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ivingAny\Transfer Entropy\EyeHeadDirc\"/>
    </mc:Choice>
  </mc:AlternateContent>
  <xr:revisionPtr revIDLastSave="0" documentId="8_{5A16F767-4773-4A2C-8758-41E56AA838C3}" xr6:coauthVersionLast="45" xr6:coauthVersionMax="45" xr10:uidLastSave="{00000000-0000-0000-0000-000000000000}"/>
  <bookViews>
    <workbookView xWindow="1152" yWindow="1152" windowWidth="17280" windowHeight="8964"/>
  </bookViews>
  <sheets>
    <sheet name="TxtToExcel_Tem_Txt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" i="1" l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  <c r="A6540" i="1"/>
  <c r="B6540" i="1"/>
  <c r="A6541" i="1"/>
  <c r="B6541" i="1"/>
  <c r="A6542" i="1"/>
  <c r="B6542" i="1"/>
  <c r="A6543" i="1"/>
  <c r="B6543" i="1"/>
  <c r="A6544" i="1"/>
  <c r="B6544" i="1"/>
  <c r="A6545" i="1"/>
  <c r="B6545" i="1"/>
  <c r="A6546" i="1"/>
  <c r="B6546" i="1"/>
  <c r="A6547" i="1"/>
  <c r="B6547" i="1"/>
  <c r="A6548" i="1"/>
  <c r="B6548" i="1"/>
  <c r="A6549" i="1"/>
  <c r="B6549" i="1"/>
  <c r="A6550" i="1"/>
  <c r="B6550" i="1"/>
  <c r="A6551" i="1"/>
  <c r="B6551" i="1"/>
  <c r="A6552" i="1"/>
  <c r="B6552" i="1"/>
  <c r="A6553" i="1"/>
  <c r="B6553" i="1"/>
  <c r="A6554" i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A6582" i="1"/>
  <c r="B6582" i="1"/>
  <c r="A6583" i="1"/>
  <c r="B6583" i="1"/>
  <c r="A6584" i="1"/>
  <c r="B6584" i="1"/>
  <c r="A6585" i="1"/>
  <c r="B6585" i="1"/>
  <c r="A6586" i="1"/>
  <c r="B6586" i="1"/>
  <c r="A6587" i="1"/>
  <c r="B6587" i="1"/>
  <c r="A6588" i="1"/>
  <c r="B6588" i="1"/>
  <c r="A6589" i="1"/>
  <c r="B6589" i="1"/>
  <c r="A6590" i="1"/>
  <c r="B6590" i="1"/>
  <c r="A6591" i="1"/>
  <c r="B6591" i="1"/>
  <c r="A6592" i="1"/>
  <c r="B6592" i="1"/>
  <c r="A6593" i="1"/>
  <c r="B6593" i="1"/>
  <c r="A6594" i="1"/>
  <c r="B6594" i="1"/>
  <c r="A6595" i="1"/>
  <c r="B6595" i="1"/>
  <c r="A6596" i="1"/>
  <c r="B6596" i="1"/>
  <c r="A6597" i="1"/>
  <c r="B6597" i="1"/>
  <c r="A6598" i="1"/>
  <c r="B6598" i="1"/>
  <c r="A6599" i="1"/>
  <c r="B6599" i="1"/>
  <c r="A6600" i="1"/>
  <c r="B6600" i="1"/>
  <c r="A6601" i="1"/>
  <c r="B6601" i="1"/>
  <c r="A6602" i="1"/>
  <c r="B6602" i="1"/>
  <c r="A6603" i="1"/>
  <c r="B6603" i="1"/>
  <c r="A6604" i="1"/>
  <c r="B6604" i="1"/>
  <c r="A6605" i="1"/>
  <c r="B6605" i="1"/>
  <c r="A6606" i="1"/>
  <c r="B6606" i="1"/>
  <c r="A6607" i="1"/>
  <c r="B6607" i="1"/>
  <c r="A6608" i="1"/>
  <c r="B6608" i="1"/>
  <c r="A6609" i="1"/>
  <c r="B6609" i="1"/>
  <c r="A6610" i="1"/>
  <c r="B6610" i="1"/>
  <c r="A6611" i="1"/>
  <c r="B6611" i="1"/>
  <c r="A6612" i="1"/>
  <c r="B6612" i="1"/>
  <c r="A6613" i="1"/>
  <c r="B6613" i="1"/>
  <c r="A6614" i="1"/>
  <c r="B6614" i="1"/>
  <c r="A6615" i="1"/>
  <c r="B6615" i="1"/>
  <c r="A6616" i="1"/>
  <c r="B6616" i="1"/>
  <c r="A6617" i="1"/>
  <c r="B6617" i="1"/>
  <c r="A6618" i="1"/>
  <c r="B6618" i="1"/>
  <c r="A6619" i="1"/>
  <c r="B6619" i="1"/>
  <c r="A6620" i="1"/>
  <c r="B6620" i="1"/>
  <c r="A6621" i="1"/>
  <c r="B6621" i="1"/>
  <c r="A6622" i="1"/>
  <c r="B6622" i="1"/>
  <c r="A6623" i="1"/>
  <c r="B6623" i="1"/>
  <c r="A6624" i="1"/>
  <c r="B6624" i="1"/>
  <c r="A6625" i="1"/>
  <c r="B6625" i="1"/>
  <c r="A6626" i="1"/>
  <c r="B6626" i="1"/>
  <c r="A6627" i="1"/>
  <c r="B6627" i="1"/>
  <c r="A6628" i="1"/>
  <c r="B6628" i="1"/>
  <c r="A6629" i="1"/>
  <c r="B6629" i="1"/>
  <c r="A6630" i="1"/>
  <c r="B6630" i="1"/>
  <c r="A6631" i="1"/>
  <c r="B6631" i="1"/>
  <c r="A6632" i="1"/>
  <c r="B6632" i="1"/>
  <c r="A6633" i="1"/>
  <c r="B6633" i="1"/>
  <c r="A6634" i="1"/>
  <c r="B6634" i="1"/>
  <c r="A6635" i="1"/>
  <c r="B6635" i="1"/>
  <c r="A6636" i="1"/>
  <c r="B6636" i="1"/>
  <c r="A6637" i="1"/>
  <c r="B6637" i="1"/>
  <c r="A6638" i="1"/>
  <c r="B6638" i="1"/>
  <c r="A6639" i="1"/>
  <c r="B6639" i="1"/>
  <c r="A6640" i="1"/>
  <c r="B6640" i="1"/>
  <c r="A6641" i="1"/>
  <c r="B6641" i="1"/>
  <c r="A6642" i="1"/>
  <c r="B6642" i="1"/>
  <c r="A6643" i="1"/>
  <c r="B6643" i="1"/>
  <c r="A6644" i="1"/>
  <c r="B6644" i="1"/>
  <c r="A6645" i="1"/>
  <c r="B6645" i="1"/>
  <c r="A6646" i="1"/>
  <c r="B6646" i="1"/>
  <c r="A6647" i="1"/>
  <c r="B6647" i="1"/>
  <c r="A6648" i="1"/>
  <c r="B6648" i="1"/>
  <c r="A6649" i="1"/>
  <c r="B6649" i="1"/>
  <c r="A6650" i="1"/>
  <c r="B6650" i="1"/>
  <c r="A6651" i="1"/>
  <c r="B6651" i="1"/>
  <c r="A6652" i="1"/>
  <c r="B6652" i="1"/>
  <c r="A6653" i="1"/>
  <c r="B6653" i="1"/>
  <c r="A6654" i="1"/>
  <c r="B6654" i="1"/>
  <c r="A6655" i="1"/>
  <c r="B6655" i="1"/>
  <c r="A6656" i="1"/>
  <c r="B6656" i="1"/>
  <c r="A6657" i="1"/>
  <c r="B6657" i="1"/>
  <c r="A6658" i="1"/>
  <c r="B6658" i="1"/>
  <c r="A6659" i="1"/>
  <c r="B6659" i="1"/>
  <c r="A6660" i="1"/>
  <c r="B6660" i="1"/>
  <c r="A6661" i="1"/>
  <c r="B6661" i="1"/>
  <c r="A6662" i="1"/>
  <c r="B6662" i="1"/>
  <c r="A6663" i="1"/>
  <c r="B6663" i="1"/>
  <c r="A6664" i="1"/>
  <c r="B6664" i="1"/>
  <c r="A6665" i="1"/>
  <c r="B6665" i="1"/>
  <c r="A6666" i="1"/>
  <c r="B6666" i="1"/>
  <c r="A6667" i="1"/>
  <c r="B6667" i="1"/>
  <c r="A6668" i="1"/>
  <c r="B6668" i="1"/>
  <c r="A6669" i="1"/>
  <c r="B6669" i="1"/>
  <c r="A6670" i="1"/>
  <c r="B6670" i="1"/>
  <c r="A6671" i="1"/>
  <c r="B6671" i="1"/>
  <c r="A6672" i="1"/>
  <c r="B6672" i="1"/>
  <c r="A6673" i="1"/>
  <c r="B6673" i="1"/>
  <c r="A6674" i="1"/>
  <c r="B6674" i="1"/>
  <c r="A6675" i="1"/>
  <c r="B6675" i="1"/>
  <c r="A6676" i="1"/>
  <c r="B6676" i="1"/>
  <c r="A6677" i="1"/>
  <c r="B6677" i="1"/>
  <c r="A6678" i="1"/>
  <c r="B6678" i="1"/>
  <c r="A6679" i="1"/>
  <c r="B6679" i="1"/>
  <c r="A6680" i="1"/>
  <c r="B6680" i="1"/>
  <c r="A6681" i="1"/>
  <c r="B6681" i="1"/>
  <c r="A6682" i="1"/>
  <c r="B6682" i="1"/>
  <c r="A6683" i="1"/>
  <c r="B6683" i="1"/>
  <c r="A6684" i="1"/>
  <c r="B6684" i="1"/>
  <c r="A6685" i="1"/>
  <c r="B6685" i="1"/>
  <c r="A6686" i="1"/>
  <c r="B6686" i="1"/>
  <c r="A6687" i="1"/>
  <c r="B6687" i="1"/>
  <c r="A6688" i="1"/>
  <c r="B6688" i="1"/>
  <c r="A6689" i="1"/>
  <c r="B6689" i="1"/>
  <c r="A6690" i="1"/>
  <c r="B6690" i="1"/>
  <c r="A6691" i="1"/>
  <c r="B6691" i="1"/>
  <c r="A6692" i="1"/>
  <c r="B6692" i="1"/>
  <c r="A6693" i="1"/>
  <c r="B6693" i="1"/>
  <c r="A6694" i="1"/>
  <c r="B6694" i="1"/>
  <c r="A6695" i="1"/>
  <c r="B6695" i="1"/>
  <c r="A6696" i="1"/>
  <c r="B6696" i="1"/>
  <c r="A6697" i="1"/>
  <c r="B6697" i="1"/>
  <c r="A6698" i="1"/>
  <c r="B6698" i="1"/>
  <c r="A6699" i="1"/>
  <c r="B6699" i="1"/>
  <c r="A6700" i="1"/>
  <c r="B6700" i="1"/>
  <c r="A6701" i="1"/>
  <c r="B6701" i="1"/>
  <c r="A6702" i="1"/>
  <c r="B6702" i="1"/>
  <c r="A6703" i="1"/>
  <c r="B6703" i="1"/>
  <c r="A6704" i="1"/>
  <c r="B6704" i="1"/>
  <c r="A6705" i="1"/>
  <c r="B6705" i="1"/>
  <c r="A6706" i="1"/>
  <c r="B6706" i="1"/>
  <c r="A6707" i="1"/>
  <c r="B6707" i="1"/>
  <c r="A6708" i="1"/>
  <c r="B6708" i="1"/>
  <c r="A6709" i="1"/>
  <c r="B6709" i="1"/>
  <c r="A6710" i="1"/>
  <c r="B6710" i="1"/>
  <c r="A6711" i="1"/>
  <c r="B6711" i="1"/>
  <c r="A6712" i="1"/>
  <c r="B6712" i="1"/>
  <c r="A6713" i="1"/>
  <c r="B6713" i="1"/>
  <c r="A6714" i="1"/>
  <c r="B6714" i="1"/>
  <c r="A6715" i="1"/>
  <c r="B6715" i="1"/>
  <c r="A6716" i="1"/>
  <c r="B6716" i="1"/>
  <c r="A6717" i="1"/>
  <c r="B6717" i="1"/>
  <c r="A6718" i="1"/>
  <c r="B6718" i="1"/>
  <c r="A6719" i="1"/>
  <c r="B6719" i="1"/>
  <c r="A6720" i="1"/>
  <c r="B6720" i="1"/>
  <c r="A6721" i="1"/>
  <c r="B6721" i="1"/>
  <c r="A6722" i="1"/>
  <c r="B6722" i="1"/>
  <c r="A6723" i="1"/>
  <c r="B6723" i="1"/>
  <c r="A6724" i="1"/>
  <c r="B6724" i="1"/>
  <c r="A6725" i="1"/>
  <c r="B6725" i="1"/>
  <c r="A6726" i="1"/>
  <c r="B6726" i="1"/>
  <c r="A6727" i="1"/>
  <c r="B6727" i="1"/>
  <c r="A6728" i="1"/>
  <c r="B6728" i="1"/>
  <c r="A6729" i="1"/>
  <c r="B6729" i="1"/>
  <c r="A6730" i="1"/>
  <c r="B6730" i="1"/>
  <c r="A6731" i="1"/>
  <c r="B6731" i="1"/>
  <c r="A6732" i="1"/>
  <c r="B6732" i="1"/>
  <c r="A6733" i="1"/>
  <c r="B6733" i="1"/>
  <c r="A6734" i="1"/>
  <c r="B6734" i="1"/>
  <c r="A6735" i="1"/>
  <c r="B6735" i="1"/>
  <c r="A6736" i="1"/>
  <c r="B6736" i="1"/>
  <c r="A6737" i="1"/>
  <c r="B6737" i="1"/>
  <c r="A6738" i="1"/>
  <c r="B6738" i="1"/>
  <c r="A6739" i="1"/>
  <c r="B6739" i="1"/>
  <c r="A6740" i="1"/>
  <c r="B6740" i="1"/>
  <c r="A6741" i="1"/>
  <c r="B6741" i="1"/>
  <c r="A6742" i="1"/>
  <c r="B6742" i="1"/>
  <c r="A6743" i="1"/>
  <c r="B6743" i="1"/>
  <c r="A6744" i="1"/>
  <c r="B6744" i="1"/>
  <c r="A6745" i="1"/>
  <c r="B6745" i="1"/>
  <c r="A6746" i="1"/>
  <c r="B6746" i="1"/>
  <c r="A6747" i="1"/>
  <c r="B6747" i="1"/>
  <c r="A6748" i="1"/>
  <c r="B6748" i="1"/>
  <c r="A6749" i="1"/>
  <c r="B6749" i="1"/>
  <c r="A6750" i="1"/>
  <c r="B6750" i="1"/>
  <c r="A6751" i="1"/>
  <c r="B6751" i="1"/>
  <c r="A6752" i="1"/>
  <c r="B6752" i="1"/>
  <c r="A6753" i="1"/>
  <c r="B6753" i="1"/>
  <c r="A6754" i="1"/>
  <c r="B6754" i="1"/>
  <c r="A6755" i="1"/>
  <c r="B6755" i="1"/>
  <c r="A6756" i="1"/>
  <c r="B6756" i="1"/>
  <c r="A6757" i="1"/>
  <c r="B6757" i="1"/>
  <c r="A6758" i="1"/>
  <c r="B6758" i="1"/>
  <c r="A6759" i="1"/>
  <c r="B6759" i="1"/>
  <c r="A6760" i="1"/>
  <c r="B6760" i="1"/>
  <c r="A6761" i="1"/>
  <c r="B6761" i="1"/>
  <c r="A6762" i="1"/>
  <c r="B6762" i="1"/>
  <c r="A6763" i="1"/>
  <c r="B6763" i="1"/>
  <c r="A6764" i="1"/>
  <c r="B6764" i="1"/>
  <c r="A6765" i="1"/>
  <c r="B6765" i="1"/>
  <c r="A6766" i="1"/>
  <c r="B6766" i="1"/>
  <c r="A6767" i="1"/>
  <c r="B6767" i="1"/>
  <c r="A6768" i="1"/>
  <c r="B6768" i="1"/>
  <c r="A6769" i="1"/>
  <c r="B6769" i="1"/>
  <c r="A6770" i="1"/>
  <c r="B6770" i="1"/>
  <c r="A6771" i="1"/>
  <c r="B6771" i="1"/>
  <c r="A6772" i="1"/>
  <c r="B6772" i="1"/>
  <c r="A6773" i="1"/>
  <c r="B6773" i="1"/>
  <c r="A6774" i="1"/>
  <c r="B6774" i="1"/>
  <c r="A6775" i="1"/>
  <c r="B6775" i="1"/>
  <c r="A6776" i="1"/>
  <c r="B6776" i="1"/>
  <c r="A6777" i="1"/>
  <c r="B6777" i="1"/>
  <c r="A6778" i="1"/>
  <c r="B6778" i="1"/>
  <c r="A6779" i="1"/>
  <c r="B6779" i="1"/>
  <c r="A6780" i="1"/>
  <c r="B6780" i="1"/>
  <c r="A6781" i="1"/>
  <c r="B6781" i="1"/>
  <c r="A6782" i="1"/>
  <c r="B6782" i="1"/>
  <c r="A6783" i="1"/>
  <c r="B6783" i="1"/>
  <c r="A6784" i="1"/>
  <c r="B6784" i="1"/>
  <c r="A6785" i="1"/>
  <c r="B6785" i="1"/>
  <c r="A6786" i="1"/>
  <c r="B6786" i="1"/>
  <c r="A6787" i="1"/>
  <c r="B6787" i="1"/>
  <c r="A6788" i="1"/>
  <c r="B6788" i="1"/>
  <c r="A6789" i="1"/>
  <c r="B6789" i="1"/>
  <c r="A6790" i="1"/>
  <c r="B6790" i="1"/>
  <c r="A6791" i="1"/>
  <c r="B6791" i="1"/>
  <c r="A6792" i="1"/>
  <c r="B6792" i="1"/>
  <c r="A6793" i="1"/>
  <c r="B6793" i="1"/>
  <c r="A6794" i="1"/>
  <c r="B6794" i="1"/>
  <c r="A6795" i="1"/>
  <c r="B6795" i="1"/>
  <c r="A6796" i="1"/>
  <c r="B6796" i="1"/>
  <c r="A6797" i="1"/>
  <c r="B6797" i="1"/>
  <c r="A6798" i="1"/>
  <c r="B6798" i="1"/>
  <c r="A6799" i="1"/>
  <c r="B6799" i="1"/>
  <c r="A6800" i="1"/>
  <c r="B6800" i="1"/>
  <c r="A6801" i="1"/>
  <c r="B6801" i="1"/>
  <c r="A6802" i="1"/>
  <c r="B6802" i="1"/>
  <c r="A6803" i="1"/>
  <c r="B6803" i="1"/>
  <c r="A6804" i="1"/>
  <c r="B6804" i="1"/>
  <c r="A6805" i="1"/>
  <c r="B6805" i="1"/>
  <c r="A6806" i="1"/>
  <c r="B6806" i="1"/>
  <c r="A6807" i="1"/>
  <c r="B6807" i="1"/>
  <c r="A6808" i="1"/>
  <c r="B6808" i="1"/>
  <c r="A6809" i="1"/>
  <c r="B6809" i="1"/>
  <c r="A6810" i="1"/>
  <c r="B6810" i="1"/>
  <c r="A6811" i="1"/>
  <c r="B6811" i="1"/>
  <c r="A6812" i="1"/>
  <c r="B6812" i="1"/>
  <c r="A6813" i="1"/>
  <c r="B6813" i="1"/>
  <c r="A6814" i="1"/>
  <c r="B6814" i="1"/>
  <c r="A6815" i="1"/>
  <c r="B6815" i="1"/>
  <c r="A6816" i="1"/>
  <c r="B6816" i="1"/>
  <c r="A6817" i="1"/>
  <c r="B6817" i="1"/>
  <c r="A6818" i="1"/>
  <c r="B6818" i="1"/>
  <c r="A6819" i="1"/>
  <c r="B6819" i="1"/>
  <c r="A6820" i="1"/>
  <c r="B6820" i="1"/>
  <c r="A6821" i="1"/>
  <c r="B6821" i="1"/>
  <c r="A6822" i="1"/>
  <c r="B6822" i="1"/>
  <c r="A6823" i="1"/>
  <c r="B6823" i="1"/>
  <c r="A6824" i="1"/>
  <c r="B6824" i="1"/>
  <c r="A6825" i="1"/>
  <c r="B6825" i="1"/>
  <c r="A6826" i="1"/>
  <c r="B6826" i="1"/>
  <c r="A6827" i="1"/>
  <c r="B6827" i="1"/>
  <c r="A6828" i="1"/>
  <c r="B6828" i="1"/>
  <c r="A6829" i="1"/>
  <c r="B6829" i="1"/>
  <c r="A6830" i="1"/>
  <c r="B6830" i="1"/>
  <c r="A6831" i="1"/>
  <c r="B6831" i="1"/>
  <c r="A6832" i="1"/>
  <c r="B6832" i="1"/>
  <c r="A6833" i="1"/>
  <c r="B6833" i="1"/>
  <c r="A6834" i="1"/>
  <c r="B6834" i="1"/>
  <c r="A6835" i="1"/>
  <c r="B6835" i="1"/>
  <c r="A6836" i="1"/>
  <c r="B6836" i="1"/>
  <c r="A6837" i="1"/>
  <c r="B6837" i="1"/>
  <c r="A6838" i="1"/>
  <c r="B6838" i="1"/>
  <c r="A6839" i="1"/>
  <c r="B6839" i="1"/>
  <c r="A6840" i="1"/>
  <c r="B6840" i="1"/>
  <c r="A6841" i="1"/>
  <c r="B6841" i="1"/>
  <c r="A6842" i="1"/>
  <c r="B6842" i="1"/>
  <c r="A6843" i="1"/>
  <c r="B6843" i="1"/>
  <c r="A6844" i="1"/>
  <c r="B6844" i="1"/>
  <c r="A6845" i="1"/>
  <c r="B6845" i="1"/>
  <c r="A6846" i="1"/>
  <c r="B6846" i="1"/>
  <c r="A6847" i="1"/>
  <c r="B6847" i="1"/>
  <c r="A6848" i="1"/>
  <c r="B6848" i="1"/>
  <c r="A6849" i="1"/>
  <c r="B6849" i="1"/>
  <c r="A6850" i="1"/>
  <c r="B6850" i="1"/>
  <c r="A6851" i="1"/>
  <c r="B6851" i="1"/>
  <c r="A6852" i="1"/>
  <c r="B6852" i="1"/>
  <c r="A6853" i="1"/>
  <c r="B6853" i="1"/>
  <c r="A6854" i="1"/>
  <c r="B6854" i="1"/>
  <c r="A6855" i="1"/>
  <c r="B6855" i="1"/>
  <c r="A6856" i="1"/>
  <c r="B6856" i="1"/>
  <c r="A6857" i="1"/>
  <c r="B6857" i="1"/>
  <c r="A6858" i="1"/>
  <c r="B6858" i="1"/>
  <c r="A6859" i="1"/>
  <c r="B6859" i="1"/>
  <c r="A6860" i="1"/>
  <c r="B6860" i="1"/>
  <c r="A6861" i="1"/>
  <c r="B6861" i="1"/>
  <c r="A6862" i="1"/>
  <c r="B6862" i="1"/>
  <c r="A6863" i="1"/>
  <c r="B6863" i="1"/>
  <c r="A6864" i="1"/>
  <c r="B6864" i="1"/>
  <c r="A6865" i="1"/>
  <c r="B6865" i="1"/>
  <c r="A6866" i="1"/>
  <c r="B6866" i="1"/>
  <c r="A6867" i="1"/>
  <c r="B6867" i="1"/>
  <c r="A6868" i="1"/>
  <c r="B6868" i="1"/>
  <c r="A6869" i="1"/>
  <c r="B6869" i="1"/>
  <c r="A6870" i="1"/>
  <c r="B6870" i="1"/>
  <c r="A6871" i="1"/>
  <c r="B6871" i="1"/>
  <c r="A6872" i="1"/>
  <c r="B6872" i="1"/>
  <c r="A6873" i="1"/>
  <c r="B6873" i="1"/>
  <c r="A6874" i="1"/>
  <c r="B6874" i="1"/>
  <c r="A6875" i="1"/>
  <c r="B6875" i="1"/>
  <c r="A6876" i="1"/>
  <c r="B6876" i="1"/>
  <c r="A6877" i="1"/>
  <c r="B6877" i="1"/>
  <c r="A6878" i="1"/>
  <c r="B6878" i="1"/>
  <c r="A6879" i="1"/>
  <c r="B6879" i="1"/>
  <c r="A6880" i="1"/>
  <c r="B6880" i="1"/>
  <c r="A6881" i="1"/>
  <c r="B6881" i="1"/>
  <c r="A6882" i="1"/>
  <c r="B6882" i="1"/>
  <c r="A6883" i="1"/>
  <c r="B6883" i="1"/>
  <c r="A6884" i="1"/>
  <c r="B6884" i="1"/>
  <c r="A6885" i="1"/>
  <c r="B6885" i="1"/>
  <c r="A6886" i="1"/>
  <c r="B6886" i="1"/>
  <c r="A6887" i="1"/>
  <c r="B6887" i="1"/>
  <c r="A6888" i="1"/>
  <c r="B6888" i="1"/>
  <c r="A6889" i="1"/>
  <c r="B6889" i="1"/>
  <c r="A6890" i="1"/>
  <c r="B6890" i="1"/>
  <c r="A6891" i="1"/>
  <c r="B6891" i="1"/>
  <c r="A6892" i="1"/>
  <c r="B6892" i="1"/>
  <c r="A6893" i="1"/>
  <c r="B6893" i="1"/>
  <c r="A6894" i="1"/>
  <c r="B6894" i="1"/>
  <c r="A6895" i="1"/>
  <c r="B6895" i="1"/>
  <c r="A6896" i="1"/>
  <c r="B6896" i="1"/>
  <c r="A6897" i="1"/>
  <c r="B6897" i="1"/>
  <c r="A6898" i="1"/>
  <c r="B6898" i="1"/>
  <c r="A6899" i="1"/>
  <c r="B6899" i="1"/>
  <c r="A6900" i="1"/>
  <c r="B6900" i="1"/>
  <c r="A6901" i="1"/>
  <c r="B6901" i="1"/>
  <c r="A6902" i="1"/>
  <c r="B6902" i="1"/>
  <c r="A6903" i="1"/>
  <c r="B6903" i="1"/>
  <c r="A6904" i="1"/>
  <c r="B6904" i="1"/>
  <c r="A6905" i="1"/>
  <c r="B6905" i="1"/>
  <c r="A6906" i="1"/>
  <c r="B6906" i="1"/>
  <c r="A6907" i="1"/>
  <c r="B6907" i="1"/>
  <c r="A6908" i="1"/>
  <c r="B6908" i="1"/>
  <c r="A6909" i="1"/>
  <c r="B6909" i="1"/>
  <c r="A6910" i="1"/>
  <c r="B6910" i="1"/>
  <c r="A6911" i="1"/>
  <c r="B6911" i="1"/>
  <c r="A6912" i="1"/>
  <c r="B6912" i="1"/>
  <c r="A6913" i="1"/>
  <c r="B6913" i="1"/>
  <c r="A6914" i="1"/>
  <c r="B6914" i="1"/>
  <c r="A6915" i="1"/>
  <c r="B6915" i="1"/>
  <c r="A6916" i="1"/>
  <c r="B6916" i="1"/>
  <c r="A6917" i="1"/>
  <c r="B6917" i="1"/>
  <c r="A6918" i="1"/>
  <c r="B6918" i="1"/>
  <c r="A6919" i="1"/>
  <c r="B6919" i="1"/>
  <c r="A6920" i="1"/>
  <c r="B6920" i="1"/>
  <c r="A6921" i="1"/>
  <c r="B6921" i="1"/>
  <c r="A6922" i="1"/>
  <c r="B6922" i="1"/>
  <c r="A6923" i="1"/>
  <c r="B6923" i="1"/>
  <c r="A6924" i="1"/>
  <c r="B6924" i="1"/>
  <c r="A6925" i="1"/>
  <c r="B6925" i="1"/>
  <c r="A6926" i="1"/>
  <c r="B6926" i="1"/>
  <c r="A6927" i="1"/>
  <c r="B6927" i="1"/>
  <c r="A6928" i="1"/>
  <c r="B6928" i="1"/>
  <c r="A6929" i="1"/>
  <c r="B6929" i="1"/>
  <c r="A6930" i="1"/>
  <c r="B6930" i="1"/>
  <c r="A6931" i="1"/>
  <c r="B6931" i="1"/>
  <c r="A6932" i="1"/>
  <c r="B6932" i="1"/>
  <c r="A6933" i="1"/>
  <c r="B6933" i="1"/>
  <c r="A6934" i="1"/>
  <c r="B6934" i="1"/>
  <c r="A6935" i="1"/>
  <c r="B6935" i="1"/>
  <c r="A6936" i="1"/>
  <c r="B6936" i="1"/>
  <c r="A6937" i="1"/>
  <c r="B6937" i="1"/>
  <c r="A6938" i="1"/>
  <c r="B6938" i="1"/>
  <c r="A6939" i="1"/>
  <c r="B6939" i="1"/>
  <c r="A6940" i="1"/>
  <c r="B6940" i="1"/>
  <c r="A6941" i="1"/>
  <c r="B6941" i="1"/>
  <c r="A6942" i="1"/>
  <c r="B6942" i="1"/>
  <c r="A6943" i="1"/>
  <c r="B6943" i="1"/>
  <c r="A6944" i="1"/>
  <c r="B6944" i="1"/>
  <c r="A6945" i="1"/>
  <c r="B6945" i="1"/>
  <c r="A6946" i="1"/>
  <c r="B6946" i="1"/>
  <c r="A6947" i="1"/>
  <c r="B6947" i="1"/>
  <c r="A6948" i="1"/>
  <c r="B6948" i="1"/>
  <c r="A6949" i="1"/>
  <c r="B6949" i="1"/>
  <c r="A6950" i="1"/>
  <c r="B6950" i="1"/>
  <c r="A6951" i="1"/>
  <c r="B6951" i="1"/>
  <c r="A6952" i="1"/>
  <c r="B6952" i="1"/>
  <c r="A6953" i="1"/>
  <c r="B6953" i="1"/>
  <c r="A6954" i="1"/>
  <c r="B6954" i="1"/>
  <c r="A6955" i="1"/>
  <c r="B6955" i="1"/>
  <c r="A6956" i="1"/>
  <c r="B6956" i="1"/>
  <c r="A6957" i="1"/>
  <c r="B6957" i="1"/>
  <c r="A6958" i="1"/>
  <c r="B6958" i="1"/>
  <c r="A6959" i="1"/>
  <c r="B6959" i="1"/>
  <c r="A6960" i="1"/>
  <c r="B6960" i="1"/>
  <c r="A6961" i="1"/>
  <c r="B6961" i="1"/>
  <c r="A6962" i="1"/>
  <c r="B6962" i="1"/>
  <c r="A6963" i="1"/>
  <c r="B6963" i="1"/>
  <c r="A6964" i="1"/>
  <c r="B6964" i="1"/>
  <c r="A6965" i="1"/>
  <c r="B6965" i="1"/>
  <c r="A6966" i="1"/>
  <c r="B6966" i="1"/>
  <c r="A6967" i="1"/>
  <c r="B6967" i="1"/>
  <c r="A6968" i="1"/>
  <c r="B6968" i="1"/>
  <c r="A6969" i="1"/>
  <c r="B6969" i="1"/>
  <c r="A6970" i="1"/>
  <c r="B6970" i="1"/>
  <c r="A6971" i="1"/>
  <c r="B6971" i="1"/>
  <c r="A6972" i="1"/>
  <c r="B6972" i="1"/>
  <c r="A6973" i="1"/>
  <c r="B6973" i="1"/>
  <c r="A6974" i="1"/>
  <c r="B6974" i="1"/>
  <c r="A6975" i="1"/>
  <c r="B6975" i="1"/>
  <c r="A6976" i="1"/>
  <c r="B6976" i="1"/>
  <c r="A6977" i="1"/>
  <c r="B6977" i="1"/>
  <c r="A6978" i="1"/>
  <c r="B6978" i="1"/>
  <c r="A6979" i="1"/>
  <c r="B6979" i="1"/>
  <c r="A6980" i="1"/>
  <c r="B6980" i="1"/>
  <c r="A6981" i="1"/>
  <c r="B6981" i="1"/>
  <c r="A6982" i="1"/>
  <c r="B6982" i="1"/>
  <c r="A6983" i="1"/>
  <c r="B6983" i="1"/>
  <c r="A6984" i="1"/>
  <c r="B6984" i="1"/>
  <c r="A6985" i="1"/>
  <c r="B6985" i="1"/>
  <c r="A6986" i="1"/>
  <c r="B6986" i="1"/>
  <c r="A6987" i="1"/>
  <c r="B6987" i="1"/>
  <c r="A6988" i="1"/>
  <c r="B6988" i="1"/>
  <c r="A6989" i="1"/>
  <c r="B6989" i="1"/>
  <c r="A6990" i="1"/>
  <c r="B6990" i="1"/>
  <c r="A6991" i="1"/>
  <c r="B6991" i="1"/>
  <c r="A6992" i="1"/>
  <c r="B6992" i="1"/>
  <c r="A6993" i="1"/>
  <c r="B6993" i="1"/>
  <c r="A6994" i="1"/>
  <c r="B6994" i="1"/>
  <c r="A6995" i="1"/>
  <c r="B6995" i="1"/>
  <c r="A6996" i="1"/>
  <c r="B6996" i="1"/>
  <c r="A6997" i="1"/>
  <c r="B6997" i="1"/>
  <c r="A6998" i="1"/>
  <c r="B6998" i="1"/>
  <c r="A6999" i="1"/>
  <c r="B6999" i="1"/>
  <c r="A7000" i="1"/>
  <c r="B7000" i="1"/>
  <c r="A7001" i="1"/>
  <c r="B7001" i="1"/>
  <c r="A7002" i="1"/>
  <c r="B7002" i="1"/>
  <c r="A7003" i="1"/>
  <c r="B7003" i="1"/>
  <c r="A7004" i="1"/>
  <c r="B7004" i="1"/>
  <c r="A7005" i="1"/>
  <c r="B7005" i="1"/>
  <c r="A7006" i="1"/>
  <c r="B7006" i="1"/>
  <c r="A7007" i="1"/>
  <c r="B7007" i="1"/>
  <c r="A7008" i="1"/>
  <c r="B7008" i="1"/>
  <c r="A7009" i="1"/>
  <c r="B7009" i="1"/>
  <c r="A7010" i="1"/>
  <c r="B7010" i="1"/>
  <c r="A7011" i="1"/>
  <c r="B7011" i="1"/>
  <c r="A7012" i="1"/>
  <c r="B7012" i="1"/>
  <c r="A7013" i="1"/>
  <c r="B7013" i="1"/>
  <c r="A7014" i="1"/>
  <c r="B7014" i="1"/>
  <c r="A7015" i="1"/>
  <c r="B7015" i="1"/>
  <c r="A7016" i="1"/>
  <c r="B7016" i="1"/>
  <c r="A7017" i="1"/>
  <c r="B7017" i="1"/>
  <c r="A7018" i="1"/>
  <c r="B7018" i="1"/>
  <c r="A7019" i="1"/>
  <c r="B7019" i="1"/>
  <c r="A7020" i="1"/>
  <c r="B7020" i="1"/>
  <c r="A7021" i="1"/>
  <c r="B7021" i="1"/>
  <c r="A7022" i="1"/>
  <c r="B7022" i="1"/>
  <c r="A7023" i="1"/>
  <c r="B7023" i="1"/>
  <c r="A7024" i="1"/>
  <c r="B7024" i="1"/>
  <c r="A7025" i="1"/>
  <c r="B7025" i="1"/>
  <c r="A7026" i="1"/>
  <c r="B7026" i="1"/>
  <c r="A7027" i="1"/>
  <c r="B7027" i="1"/>
  <c r="A7028" i="1"/>
  <c r="B7028" i="1"/>
  <c r="A7029" i="1"/>
  <c r="B7029" i="1"/>
  <c r="A7030" i="1"/>
  <c r="B7030" i="1"/>
  <c r="A7031" i="1"/>
  <c r="B7031" i="1"/>
  <c r="A7032" i="1"/>
  <c r="B7032" i="1"/>
  <c r="A7033" i="1"/>
  <c r="B7033" i="1"/>
  <c r="A7034" i="1"/>
  <c r="B7034" i="1"/>
  <c r="A7035" i="1"/>
  <c r="B7035" i="1"/>
  <c r="A7036" i="1"/>
  <c r="B7036" i="1"/>
  <c r="A7037" i="1"/>
  <c r="B7037" i="1"/>
  <c r="A7038" i="1"/>
  <c r="B7038" i="1"/>
  <c r="A7039" i="1"/>
  <c r="B7039" i="1"/>
  <c r="A7040" i="1"/>
  <c r="B7040" i="1"/>
  <c r="A7041" i="1"/>
  <c r="B7041" i="1"/>
  <c r="A7042" i="1"/>
  <c r="B7042" i="1"/>
  <c r="A7043" i="1"/>
  <c r="B7043" i="1"/>
  <c r="A7044" i="1"/>
  <c r="B7044" i="1"/>
  <c r="A7045" i="1"/>
  <c r="B7045" i="1"/>
  <c r="A7046" i="1"/>
  <c r="B7046" i="1"/>
  <c r="A7047" i="1"/>
  <c r="B7047" i="1"/>
  <c r="A7048" i="1"/>
  <c r="B7048" i="1"/>
  <c r="A7049" i="1"/>
  <c r="B7049" i="1"/>
  <c r="A7050" i="1"/>
  <c r="B7050" i="1"/>
  <c r="A7051" i="1"/>
  <c r="B7051" i="1"/>
  <c r="A7052" i="1"/>
  <c r="B7052" i="1"/>
  <c r="A7053" i="1"/>
  <c r="B7053" i="1"/>
  <c r="A7054" i="1"/>
  <c r="B7054" i="1"/>
  <c r="A7055" i="1"/>
  <c r="B7055" i="1"/>
  <c r="A7056" i="1"/>
  <c r="B7056" i="1"/>
  <c r="A7057" i="1"/>
  <c r="B7057" i="1"/>
  <c r="A7058" i="1"/>
  <c r="B7058" i="1"/>
  <c r="A7059" i="1"/>
  <c r="B7059" i="1"/>
  <c r="A7060" i="1"/>
  <c r="B7060" i="1"/>
  <c r="A7061" i="1"/>
  <c r="B7061" i="1"/>
  <c r="A7062" i="1"/>
  <c r="B7062" i="1"/>
  <c r="A7063" i="1"/>
  <c r="B7063" i="1"/>
  <c r="A7064" i="1"/>
  <c r="B7064" i="1"/>
  <c r="A7065" i="1"/>
  <c r="B7065" i="1"/>
  <c r="A7066" i="1"/>
  <c r="B7066" i="1"/>
  <c r="A7067" i="1"/>
  <c r="B7067" i="1"/>
  <c r="A7068" i="1"/>
  <c r="B7068" i="1"/>
  <c r="A7069" i="1"/>
  <c r="B7069" i="1"/>
  <c r="A7070" i="1"/>
  <c r="B7070" i="1"/>
  <c r="A7071" i="1"/>
  <c r="B7071" i="1"/>
  <c r="A7072" i="1"/>
  <c r="B7072" i="1"/>
  <c r="A7073" i="1"/>
  <c r="B7073" i="1"/>
  <c r="A7074" i="1"/>
  <c r="B7074" i="1"/>
  <c r="A7075" i="1"/>
  <c r="B7075" i="1"/>
  <c r="A7076" i="1"/>
  <c r="B7076" i="1"/>
  <c r="A7077" i="1"/>
  <c r="B7077" i="1"/>
  <c r="A7078" i="1"/>
  <c r="B7078" i="1"/>
  <c r="A7079" i="1"/>
  <c r="B7079" i="1"/>
  <c r="A7080" i="1"/>
  <c r="B7080" i="1"/>
  <c r="A7081" i="1"/>
  <c r="B7081" i="1"/>
  <c r="A7082" i="1"/>
  <c r="B7082" i="1"/>
  <c r="A7083" i="1"/>
  <c r="B7083" i="1"/>
  <c r="A7084" i="1"/>
  <c r="B7084" i="1"/>
  <c r="A7085" i="1"/>
  <c r="B7085" i="1"/>
  <c r="A7086" i="1"/>
  <c r="B7086" i="1"/>
  <c r="A7087" i="1"/>
  <c r="B7087" i="1"/>
  <c r="A7088" i="1"/>
  <c r="B7088" i="1"/>
  <c r="A7089" i="1"/>
  <c r="B7089" i="1"/>
  <c r="A7090" i="1"/>
  <c r="B7090" i="1"/>
  <c r="A7091" i="1"/>
  <c r="B7091" i="1"/>
  <c r="A7092" i="1"/>
  <c r="B7092" i="1"/>
  <c r="A7093" i="1"/>
  <c r="B7093" i="1"/>
  <c r="A7094" i="1"/>
  <c r="B7094" i="1"/>
  <c r="A7095" i="1"/>
  <c r="B7095" i="1"/>
  <c r="A7096" i="1"/>
  <c r="B7096" i="1"/>
  <c r="A7097" i="1"/>
  <c r="B7097" i="1"/>
  <c r="A7098" i="1"/>
  <c r="B7098" i="1"/>
  <c r="A7099" i="1"/>
  <c r="B7099" i="1"/>
  <c r="A7100" i="1"/>
  <c r="B7100" i="1"/>
  <c r="A7101" i="1"/>
  <c r="B7101" i="1"/>
  <c r="A7102" i="1"/>
  <c r="B7102" i="1"/>
  <c r="A7103" i="1"/>
  <c r="B7103" i="1"/>
  <c r="A7104" i="1"/>
  <c r="B7104" i="1"/>
  <c r="A7105" i="1"/>
  <c r="B7105" i="1"/>
  <c r="A7106" i="1"/>
  <c r="B7106" i="1"/>
  <c r="A7107" i="1"/>
  <c r="B7107" i="1"/>
  <c r="A7108" i="1"/>
  <c r="B7108" i="1"/>
  <c r="A7109" i="1"/>
  <c r="B7109" i="1"/>
  <c r="A7110" i="1"/>
  <c r="B7110" i="1"/>
  <c r="A7111" i="1"/>
  <c r="B7111" i="1"/>
  <c r="A7112" i="1"/>
  <c r="B7112" i="1"/>
  <c r="A7113" i="1"/>
  <c r="B7113" i="1"/>
  <c r="A7114" i="1"/>
  <c r="B7114" i="1"/>
  <c r="A7115" i="1"/>
  <c r="B7115" i="1"/>
  <c r="A7116" i="1"/>
  <c r="B7116" i="1"/>
  <c r="A7117" i="1"/>
  <c r="B7117" i="1"/>
  <c r="A7118" i="1"/>
  <c r="B7118" i="1"/>
  <c r="A7119" i="1"/>
  <c r="B7119" i="1"/>
  <c r="A7120" i="1"/>
  <c r="B7120" i="1"/>
  <c r="A7121" i="1"/>
  <c r="B7121" i="1"/>
  <c r="A7122" i="1"/>
  <c r="B7122" i="1"/>
  <c r="A7123" i="1"/>
  <c r="B7123" i="1"/>
  <c r="A7124" i="1"/>
  <c r="B7124" i="1"/>
  <c r="A7125" i="1"/>
  <c r="B7125" i="1"/>
  <c r="A7126" i="1"/>
  <c r="B7126" i="1"/>
  <c r="A7127" i="1"/>
  <c r="B7127" i="1"/>
  <c r="A7128" i="1"/>
  <c r="B7128" i="1"/>
  <c r="A7129" i="1"/>
  <c r="B7129" i="1"/>
  <c r="A7130" i="1"/>
  <c r="B7130" i="1"/>
  <c r="A7131" i="1"/>
  <c r="B7131" i="1"/>
  <c r="A7132" i="1"/>
  <c r="B7132" i="1"/>
  <c r="A7133" i="1"/>
  <c r="B7133" i="1"/>
  <c r="A7134" i="1"/>
  <c r="B7134" i="1"/>
  <c r="A7135" i="1"/>
  <c r="B7135" i="1"/>
  <c r="A7136" i="1"/>
  <c r="B7136" i="1"/>
  <c r="A7137" i="1"/>
  <c r="B7137" i="1"/>
  <c r="A7138" i="1"/>
  <c r="B7138" i="1"/>
  <c r="A7139" i="1"/>
  <c r="B7139" i="1"/>
  <c r="A7140" i="1"/>
  <c r="B7140" i="1"/>
  <c r="A7141" i="1"/>
  <c r="B7141" i="1"/>
  <c r="A7142" i="1"/>
  <c r="B7142" i="1"/>
  <c r="A7143" i="1"/>
  <c r="B7143" i="1"/>
  <c r="A7144" i="1"/>
  <c r="B7144" i="1"/>
  <c r="A7145" i="1"/>
  <c r="B7145" i="1"/>
  <c r="A7146" i="1"/>
  <c r="B7146" i="1"/>
  <c r="A7147" i="1"/>
  <c r="B7147" i="1"/>
  <c r="A7148" i="1"/>
  <c r="B7148" i="1"/>
  <c r="A7149" i="1"/>
  <c r="B7149" i="1"/>
  <c r="A7150" i="1"/>
  <c r="B7150" i="1"/>
  <c r="A7151" i="1"/>
  <c r="B7151" i="1"/>
  <c r="A7152" i="1"/>
  <c r="B7152" i="1"/>
  <c r="A7153" i="1"/>
  <c r="B7153" i="1"/>
  <c r="A7154" i="1"/>
  <c r="B7154" i="1"/>
  <c r="A7155" i="1"/>
  <c r="B7155" i="1"/>
  <c r="A7156" i="1"/>
  <c r="B7156" i="1"/>
  <c r="A7157" i="1"/>
  <c r="B7157" i="1"/>
  <c r="A7158" i="1"/>
  <c r="B7158" i="1"/>
  <c r="A7159" i="1"/>
  <c r="B7159" i="1"/>
  <c r="A7160" i="1"/>
  <c r="B7160" i="1"/>
  <c r="A7161" i="1"/>
  <c r="B7161" i="1"/>
  <c r="A7162" i="1"/>
  <c r="B7162" i="1"/>
  <c r="A7163" i="1"/>
  <c r="B7163" i="1"/>
  <c r="A7164" i="1"/>
  <c r="B7164" i="1"/>
  <c r="A7165" i="1"/>
  <c r="B7165" i="1"/>
  <c r="A7166" i="1"/>
  <c r="B7166" i="1"/>
  <c r="A7167" i="1"/>
  <c r="B7167" i="1"/>
  <c r="A7168" i="1"/>
  <c r="B7168" i="1"/>
  <c r="A7169" i="1"/>
  <c r="B7169" i="1"/>
  <c r="A7170" i="1"/>
  <c r="B7170" i="1"/>
  <c r="A7171" i="1"/>
  <c r="B7171" i="1"/>
  <c r="A7172" i="1"/>
  <c r="B7172" i="1"/>
  <c r="A7173" i="1"/>
  <c r="B7173" i="1"/>
  <c r="A7174" i="1"/>
  <c r="B7174" i="1"/>
  <c r="A7175" i="1"/>
  <c r="B7175" i="1"/>
  <c r="A7176" i="1"/>
  <c r="B7176" i="1"/>
  <c r="A7177" i="1"/>
  <c r="B7177" i="1"/>
  <c r="A7178" i="1"/>
  <c r="B7178" i="1"/>
  <c r="A7179" i="1"/>
  <c r="B7179" i="1"/>
  <c r="A7180" i="1"/>
  <c r="B7180" i="1"/>
  <c r="A7181" i="1"/>
  <c r="B7181" i="1"/>
  <c r="A7182" i="1"/>
  <c r="B7182" i="1"/>
  <c r="A7183" i="1"/>
  <c r="B7183" i="1"/>
  <c r="A7184" i="1"/>
  <c r="B7184" i="1"/>
  <c r="A7185" i="1"/>
  <c r="B7185" i="1"/>
  <c r="A7186" i="1"/>
  <c r="B7186" i="1"/>
  <c r="A7187" i="1"/>
  <c r="B7187" i="1"/>
  <c r="A7188" i="1"/>
  <c r="B7188" i="1"/>
  <c r="A7189" i="1"/>
  <c r="B7189" i="1"/>
  <c r="A7190" i="1"/>
  <c r="B7190" i="1"/>
  <c r="A7191" i="1"/>
  <c r="B7191" i="1"/>
  <c r="A7192" i="1"/>
  <c r="B7192" i="1"/>
  <c r="A7193" i="1"/>
  <c r="B7193" i="1"/>
  <c r="A7194" i="1"/>
  <c r="B7194" i="1"/>
  <c r="A7195" i="1"/>
  <c r="B7195" i="1"/>
  <c r="A7196" i="1"/>
  <c r="B7196" i="1"/>
  <c r="A7197" i="1"/>
  <c r="B7197" i="1"/>
  <c r="A7198" i="1"/>
  <c r="B7198" i="1"/>
  <c r="A7199" i="1"/>
  <c r="B7199" i="1"/>
  <c r="A7200" i="1"/>
  <c r="B7200" i="1"/>
  <c r="A7201" i="1"/>
  <c r="B7201" i="1"/>
  <c r="A7202" i="1"/>
  <c r="B7202" i="1"/>
  <c r="A7203" i="1"/>
  <c r="B7203" i="1"/>
  <c r="A7204" i="1"/>
  <c r="B7204" i="1"/>
  <c r="A7205" i="1"/>
  <c r="B7205" i="1"/>
  <c r="A7206" i="1"/>
  <c r="B7206" i="1"/>
  <c r="A7207" i="1"/>
  <c r="B7207" i="1"/>
  <c r="A7208" i="1"/>
  <c r="B7208" i="1"/>
  <c r="A7209" i="1"/>
  <c r="B7209" i="1"/>
  <c r="A7210" i="1"/>
  <c r="B7210" i="1"/>
  <c r="A7211" i="1"/>
  <c r="B7211" i="1"/>
  <c r="A7212" i="1"/>
  <c r="B7212" i="1"/>
  <c r="A7213" i="1"/>
  <c r="B7213" i="1"/>
  <c r="A7214" i="1"/>
  <c r="B7214" i="1"/>
  <c r="A7215" i="1"/>
  <c r="B7215" i="1"/>
  <c r="A7216" i="1"/>
  <c r="B7216" i="1"/>
  <c r="A7217" i="1"/>
  <c r="B7217" i="1"/>
  <c r="A7218" i="1"/>
  <c r="B7218" i="1"/>
  <c r="A7219" i="1"/>
  <c r="B7219" i="1"/>
  <c r="A7220" i="1"/>
  <c r="B7220" i="1"/>
  <c r="A7221" i="1"/>
  <c r="B7221" i="1"/>
  <c r="A7222" i="1"/>
  <c r="B7222" i="1"/>
  <c r="A7223" i="1"/>
  <c r="B7223" i="1"/>
  <c r="A7224" i="1"/>
  <c r="B7224" i="1"/>
  <c r="A7225" i="1"/>
  <c r="B7225" i="1"/>
  <c r="A7226" i="1"/>
  <c r="B7226" i="1"/>
  <c r="A7227" i="1"/>
  <c r="B7227" i="1"/>
  <c r="A7228" i="1"/>
  <c r="B7228" i="1"/>
  <c r="A7229" i="1"/>
  <c r="B7229" i="1"/>
  <c r="A7230" i="1"/>
  <c r="B7230" i="1"/>
  <c r="A7231" i="1"/>
  <c r="B7231" i="1"/>
  <c r="A7232" i="1"/>
  <c r="B7232" i="1"/>
  <c r="A7233" i="1"/>
  <c r="B7233" i="1"/>
  <c r="A7234" i="1"/>
  <c r="B7234" i="1"/>
  <c r="A7235" i="1"/>
  <c r="B7235" i="1"/>
  <c r="A7236" i="1"/>
  <c r="B7236" i="1"/>
  <c r="A7237" i="1"/>
  <c r="B7237" i="1"/>
  <c r="A7238" i="1"/>
  <c r="B7238" i="1"/>
  <c r="A7239" i="1"/>
  <c r="B7239" i="1"/>
  <c r="A7240" i="1"/>
  <c r="B7240" i="1"/>
  <c r="A7241" i="1"/>
  <c r="B7241" i="1"/>
  <c r="A7242" i="1"/>
  <c r="B7242" i="1"/>
  <c r="A7243" i="1"/>
  <c r="B7243" i="1"/>
  <c r="A7244" i="1"/>
  <c r="B7244" i="1"/>
  <c r="A7245" i="1"/>
  <c r="B7245" i="1"/>
  <c r="A7246" i="1"/>
  <c r="B7246" i="1"/>
  <c r="A7247" i="1"/>
  <c r="B7247" i="1"/>
  <c r="A7248" i="1"/>
  <c r="B7248" i="1"/>
  <c r="A7249" i="1"/>
  <c r="B7249" i="1"/>
  <c r="A7250" i="1"/>
  <c r="B7250" i="1"/>
  <c r="A7251" i="1"/>
  <c r="B7251" i="1"/>
  <c r="A7252" i="1"/>
  <c r="B7252" i="1"/>
  <c r="A7253" i="1"/>
  <c r="B7253" i="1"/>
  <c r="A7254" i="1"/>
  <c r="B7254" i="1"/>
  <c r="A7255" i="1"/>
  <c r="B7255" i="1"/>
  <c r="A7256" i="1"/>
  <c r="B7256" i="1"/>
  <c r="A7257" i="1"/>
  <c r="B7257" i="1"/>
  <c r="A7258" i="1"/>
  <c r="B7258" i="1"/>
  <c r="A7259" i="1"/>
  <c r="B7259" i="1"/>
  <c r="A7260" i="1"/>
  <c r="B7260" i="1"/>
  <c r="A7261" i="1"/>
  <c r="B7261" i="1"/>
  <c r="A7262" i="1"/>
  <c r="B7262" i="1"/>
  <c r="A7263" i="1"/>
  <c r="B7263" i="1"/>
  <c r="A7264" i="1"/>
  <c r="B7264" i="1"/>
  <c r="A7265" i="1"/>
  <c r="B7265" i="1"/>
  <c r="A7266" i="1"/>
  <c r="B7266" i="1"/>
  <c r="A7267" i="1"/>
  <c r="B7267" i="1"/>
  <c r="A7268" i="1"/>
  <c r="B7268" i="1"/>
  <c r="A7269" i="1"/>
  <c r="B7269" i="1"/>
  <c r="A7270" i="1"/>
  <c r="B7270" i="1"/>
  <c r="A7271" i="1"/>
  <c r="B7271" i="1"/>
  <c r="A7272" i="1"/>
  <c r="B7272" i="1"/>
  <c r="A7273" i="1"/>
  <c r="B7273" i="1"/>
  <c r="A7274" i="1"/>
  <c r="B7274" i="1"/>
  <c r="A7275" i="1"/>
  <c r="B7275" i="1"/>
  <c r="A7276" i="1"/>
  <c r="B7276" i="1"/>
  <c r="A7277" i="1"/>
  <c r="B7277" i="1"/>
  <c r="A7278" i="1"/>
  <c r="B7278" i="1"/>
  <c r="A7279" i="1"/>
  <c r="B7279" i="1"/>
  <c r="A7280" i="1"/>
  <c r="B7280" i="1"/>
  <c r="A7281" i="1"/>
  <c r="B7281" i="1"/>
  <c r="A7282" i="1"/>
  <c r="B7282" i="1"/>
  <c r="A7283" i="1"/>
  <c r="B7283" i="1"/>
  <c r="A7284" i="1"/>
  <c r="B7284" i="1"/>
  <c r="A7285" i="1"/>
  <c r="B7285" i="1"/>
  <c r="A7286" i="1"/>
  <c r="B7286" i="1"/>
  <c r="A7287" i="1"/>
  <c r="B7287" i="1"/>
  <c r="A7288" i="1"/>
  <c r="B7288" i="1"/>
  <c r="A7289" i="1"/>
  <c r="B7289" i="1"/>
  <c r="A7290" i="1"/>
  <c r="B7290" i="1"/>
  <c r="A7291" i="1"/>
  <c r="B7291" i="1"/>
  <c r="A7292" i="1"/>
  <c r="B7292" i="1"/>
  <c r="A7293" i="1"/>
  <c r="B7293" i="1"/>
  <c r="A7294" i="1"/>
  <c r="B7294" i="1"/>
  <c r="A7295" i="1"/>
  <c r="B7295" i="1"/>
  <c r="A7296" i="1"/>
  <c r="B7296" i="1"/>
  <c r="A7297" i="1"/>
  <c r="B7297" i="1"/>
  <c r="A7298" i="1"/>
  <c r="B7298" i="1"/>
  <c r="A7299" i="1"/>
  <c r="B7299" i="1"/>
  <c r="A7300" i="1"/>
  <c r="B7300" i="1"/>
  <c r="A7301" i="1"/>
  <c r="B7301" i="1"/>
  <c r="A7302" i="1"/>
  <c r="B7302" i="1"/>
  <c r="A7303" i="1"/>
  <c r="B7303" i="1"/>
  <c r="A7304" i="1"/>
  <c r="B7304" i="1"/>
  <c r="A7305" i="1"/>
  <c r="B7305" i="1"/>
  <c r="A7306" i="1"/>
  <c r="B7306" i="1"/>
  <c r="A7307" i="1"/>
  <c r="B7307" i="1"/>
  <c r="A7308" i="1"/>
  <c r="B7308" i="1"/>
  <c r="A7309" i="1"/>
  <c r="B7309" i="1"/>
  <c r="A7310" i="1"/>
  <c r="B7310" i="1"/>
  <c r="A7311" i="1"/>
  <c r="B7311" i="1"/>
  <c r="A7312" i="1"/>
  <c r="B7312" i="1"/>
  <c r="A7313" i="1"/>
  <c r="B7313" i="1"/>
  <c r="A7314" i="1"/>
  <c r="B7314" i="1"/>
  <c r="A7315" i="1"/>
  <c r="B7315" i="1"/>
  <c r="A7316" i="1"/>
  <c r="B7316" i="1"/>
  <c r="A7317" i="1"/>
  <c r="B7317" i="1"/>
  <c r="A7318" i="1"/>
  <c r="B7318" i="1"/>
  <c r="A7319" i="1"/>
  <c r="B7319" i="1"/>
  <c r="A7320" i="1"/>
  <c r="B7320" i="1"/>
  <c r="A7321" i="1"/>
  <c r="B7321" i="1"/>
  <c r="A7322" i="1"/>
  <c r="B7322" i="1"/>
  <c r="A7323" i="1"/>
  <c r="B7323" i="1"/>
  <c r="A7324" i="1"/>
  <c r="B7324" i="1"/>
  <c r="A7325" i="1"/>
  <c r="B7325" i="1"/>
  <c r="A7326" i="1"/>
  <c r="B7326" i="1"/>
  <c r="A7327" i="1"/>
  <c r="B7327" i="1"/>
  <c r="A7328" i="1"/>
  <c r="B7328" i="1"/>
  <c r="A7329" i="1"/>
  <c r="B7329" i="1"/>
  <c r="A7330" i="1"/>
  <c r="B7330" i="1"/>
  <c r="A7331" i="1"/>
  <c r="B7331" i="1"/>
  <c r="A7332" i="1"/>
  <c r="B7332" i="1"/>
  <c r="A7333" i="1"/>
  <c r="B7333" i="1"/>
  <c r="A7334" i="1"/>
  <c r="B7334" i="1"/>
  <c r="A7335" i="1"/>
  <c r="B7335" i="1"/>
  <c r="A7336" i="1"/>
  <c r="B7336" i="1"/>
  <c r="A7337" i="1"/>
  <c r="B7337" i="1"/>
  <c r="A7338" i="1"/>
  <c r="B7338" i="1"/>
  <c r="A7339" i="1"/>
  <c r="B7339" i="1"/>
  <c r="A7340" i="1"/>
  <c r="B7340" i="1"/>
  <c r="A7341" i="1"/>
  <c r="B7341" i="1"/>
  <c r="A7342" i="1"/>
  <c r="B7342" i="1"/>
  <c r="A7343" i="1"/>
  <c r="B7343" i="1"/>
  <c r="A7344" i="1"/>
  <c r="B7344" i="1"/>
  <c r="A7345" i="1"/>
  <c r="B7345" i="1"/>
  <c r="A7346" i="1"/>
  <c r="B7346" i="1"/>
  <c r="A7347" i="1"/>
  <c r="B7347" i="1"/>
  <c r="A7348" i="1"/>
  <c r="B7348" i="1"/>
  <c r="A7349" i="1"/>
  <c r="B7349" i="1"/>
  <c r="A7350" i="1"/>
  <c r="B7350" i="1"/>
  <c r="A7351" i="1"/>
  <c r="B7351" i="1"/>
  <c r="A7352" i="1"/>
  <c r="B7352" i="1"/>
  <c r="A7353" i="1"/>
  <c r="B7353" i="1"/>
  <c r="A7354" i="1"/>
  <c r="B7354" i="1"/>
  <c r="A7355" i="1"/>
  <c r="B7355" i="1"/>
  <c r="A7356" i="1"/>
  <c r="B7356" i="1"/>
  <c r="A7357" i="1"/>
  <c r="B7357" i="1"/>
  <c r="A7358" i="1"/>
  <c r="B7358" i="1"/>
  <c r="A7359" i="1"/>
  <c r="B7359" i="1"/>
  <c r="A7360" i="1"/>
  <c r="B7360" i="1"/>
  <c r="A7361" i="1"/>
  <c r="B7361" i="1"/>
  <c r="A7362" i="1"/>
  <c r="B7362" i="1"/>
  <c r="A7363" i="1"/>
  <c r="B7363" i="1"/>
  <c r="A7364" i="1"/>
  <c r="B7364" i="1"/>
  <c r="A7365" i="1"/>
  <c r="B7365" i="1"/>
  <c r="A7366" i="1"/>
  <c r="B7366" i="1"/>
  <c r="A7367" i="1"/>
  <c r="B7367" i="1"/>
  <c r="A7368" i="1"/>
  <c r="B7368" i="1"/>
  <c r="A7369" i="1"/>
  <c r="B7369" i="1"/>
  <c r="A7370" i="1"/>
  <c r="B7370" i="1"/>
  <c r="A7371" i="1"/>
  <c r="B7371" i="1"/>
  <c r="A7372" i="1"/>
  <c r="B7372" i="1"/>
  <c r="A7373" i="1"/>
  <c r="B7373" i="1"/>
  <c r="A7374" i="1"/>
  <c r="B7374" i="1"/>
  <c r="A7375" i="1"/>
  <c r="B7375" i="1"/>
  <c r="A7376" i="1"/>
  <c r="B7376" i="1"/>
  <c r="A7377" i="1"/>
  <c r="B7377" i="1"/>
  <c r="A7378" i="1"/>
  <c r="B7378" i="1"/>
  <c r="A7379" i="1"/>
  <c r="B7379" i="1"/>
  <c r="A7380" i="1"/>
  <c r="B7380" i="1"/>
  <c r="A7381" i="1"/>
  <c r="B7381" i="1"/>
  <c r="A7382" i="1"/>
  <c r="B7382" i="1"/>
  <c r="A7383" i="1"/>
  <c r="B7383" i="1"/>
  <c r="A7384" i="1"/>
  <c r="B7384" i="1"/>
  <c r="A7385" i="1"/>
  <c r="B7385" i="1"/>
  <c r="A7386" i="1"/>
  <c r="B7386" i="1"/>
  <c r="A7387" i="1"/>
  <c r="B7387" i="1"/>
  <c r="A7388" i="1"/>
  <c r="B7388" i="1"/>
  <c r="A7389" i="1"/>
  <c r="B7389" i="1"/>
  <c r="A7390" i="1"/>
  <c r="B7390" i="1"/>
  <c r="A7391" i="1"/>
  <c r="B7391" i="1"/>
  <c r="A7392" i="1"/>
  <c r="B7392" i="1"/>
  <c r="A7393" i="1"/>
  <c r="B7393" i="1"/>
  <c r="A7394" i="1"/>
  <c r="B7394" i="1"/>
  <c r="A7395" i="1"/>
  <c r="B7395" i="1"/>
  <c r="A7396" i="1"/>
  <c r="B7396" i="1"/>
  <c r="A7397" i="1"/>
  <c r="B7397" i="1"/>
  <c r="A7398" i="1"/>
  <c r="B7398" i="1"/>
  <c r="A7399" i="1"/>
  <c r="B7399" i="1"/>
  <c r="A7400" i="1"/>
  <c r="B7400" i="1"/>
  <c r="A7401" i="1"/>
  <c r="B7401" i="1"/>
  <c r="A7402" i="1"/>
  <c r="B7402" i="1"/>
  <c r="A7403" i="1"/>
  <c r="B7403" i="1"/>
  <c r="A7404" i="1"/>
  <c r="B7404" i="1"/>
  <c r="A7405" i="1"/>
  <c r="B7405" i="1"/>
  <c r="A7406" i="1"/>
  <c r="B7406" i="1"/>
  <c r="A7407" i="1"/>
  <c r="B7407" i="1"/>
  <c r="A7408" i="1"/>
  <c r="B7408" i="1"/>
  <c r="A7409" i="1"/>
  <c r="B7409" i="1"/>
  <c r="A7410" i="1"/>
  <c r="B7410" i="1"/>
  <c r="A7411" i="1"/>
  <c r="B7411" i="1"/>
  <c r="A7412" i="1"/>
  <c r="B7412" i="1"/>
  <c r="A7413" i="1"/>
  <c r="B7413" i="1"/>
  <c r="A7414" i="1"/>
  <c r="B7414" i="1"/>
  <c r="A7415" i="1"/>
  <c r="B7415" i="1"/>
  <c r="A7416" i="1"/>
  <c r="B7416" i="1"/>
  <c r="A7417" i="1"/>
  <c r="B7417" i="1"/>
  <c r="A7418" i="1"/>
  <c r="B7418" i="1"/>
  <c r="A7419" i="1"/>
  <c r="B7419" i="1"/>
  <c r="A7420" i="1"/>
  <c r="B7420" i="1"/>
  <c r="A7421" i="1"/>
  <c r="B7421" i="1"/>
  <c r="A7422" i="1"/>
  <c r="B7422" i="1"/>
  <c r="A7423" i="1"/>
  <c r="B7423" i="1"/>
  <c r="A7424" i="1"/>
  <c r="B7424" i="1"/>
  <c r="A7425" i="1"/>
  <c r="B7425" i="1"/>
  <c r="A7426" i="1"/>
  <c r="B7426" i="1"/>
  <c r="A7427" i="1"/>
  <c r="B7427" i="1"/>
  <c r="A7428" i="1"/>
  <c r="B7428" i="1"/>
  <c r="A7429" i="1"/>
  <c r="B7429" i="1"/>
  <c r="A7430" i="1"/>
  <c r="B7430" i="1"/>
  <c r="A7431" i="1"/>
  <c r="B7431" i="1"/>
  <c r="A7432" i="1"/>
  <c r="B7432" i="1"/>
  <c r="A7433" i="1"/>
  <c r="B7433" i="1"/>
  <c r="A7434" i="1"/>
  <c r="B7434" i="1"/>
  <c r="A7435" i="1"/>
  <c r="B7435" i="1"/>
  <c r="A7436" i="1"/>
  <c r="B7436" i="1"/>
  <c r="A7437" i="1"/>
  <c r="B7437" i="1"/>
  <c r="A7438" i="1"/>
  <c r="B7438" i="1"/>
  <c r="A7439" i="1"/>
  <c r="B7439" i="1"/>
  <c r="A7440" i="1"/>
  <c r="B7440" i="1"/>
  <c r="A7441" i="1"/>
  <c r="B7441" i="1"/>
  <c r="A7442" i="1"/>
  <c r="B7442" i="1"/>
  <c r="A7443" i="1"/>
  <c r="B7443" i="1"/>
  <c r="A7444" i="1"/>
  <c r="B7444" i="1"/>
  <c r="A7445" i="1"/>
  <c r="B7445" i="1"/>
  <c r="A7446" i="1"/>
  <c r="B7446" i="1"/>
  <c r="A7447" i="1"/>
  <c r="B7447" i="1"/>
  <c r="A7448" i="1"/>
  <c r="B7448" i="1"/>
  <c r="A7449" i="1"/>
  <c r="B7449" i="1"/>
  <c r="A7450" i="1"/>
  <c r="B7450" i="1"/>
  <c r="A7451" i="1"/>
  <c r="B7451" i="1"/>
  <c r="A7452" i="1"/>
  <c r="B7452" i="1"/>
  <c r="A7453" i="1"/>
  <c r="B7453" i="1"/>
  <c r="A7454" i="1"/>
  <c r="B7454" i="1"/>
  <c r="A7455" i="1"/>
  <c r="B7455" i="1"/>
  <c r="A7456" i="1"/>
  <c r="B7456" i="1"/>
  <c r="A7457" i="1"/>
  <c r="B7457" i="1"/>
  <c r="A7458" i="1"/>
  <c r="B7458" i="1"/>
  <c r="A7459" i="1"/>
  <c r="B7459" i="1"/>
  <c r="A7460" i="1"/>
  <c r="B7460" i="1"/>
  <c r="A7461" i="1"/>
  <c r="B7461" i="1"/>
  <c r="A7462" i="1"/>
  <c r="B7462" i="1"/>
  <c r="A7463" i="1"/>
  <c r="B7463" i="1"/>
  <c r="A7464" i="1"/>
  <c r="B7464" i="1"/>
  <c r="A7465" i="1"/>
  <c r="B7465" i="1"/>
  <c r="A7466" i="1"/>
  <c r="B7466" i="1"/>
  <c r="A7467" i="1"/>
  <c r="B7467" i="1"/>
  <c r="A7468" i="1"/>
  <c r="B7468" i="1"/>
  <c r="A7469" i="1"/>
  <c r="B7469" i="1"/>
  <c r="A7470" i="1"/>
  <c r="B7470" i="1"/>
  <c r="A7471" i="1"/>
  <c r="B7471" i="1"/>
  <c r="A7472" i="1"/>
  <c r="B7472" i="1"/>
  <c r="A7473" i="1"/>
  <c r="B7473" i="1"/>
  <c r="A7474" i="1"/>
  <c r="B7474" i="1"/>
  <c r="A7475" i="1"/>
  <c r="B7475" i="1"/>
  <c r="A7476" i="1"/>
  <c r="B7476" i="1"/>
  <c r="A7477" i="1"/>
  <c r="B7477" i="1"/>
  <c r="A7478" i="1"/>
  <c r="B7478" i="1"/>
  <c r="A7479" i="1"/>
  <c r="B7479" i="1"/>
  <c r="A7480" i="1"/>
  <c r="B7480" i="1"/>
  <c r="A7481" i="1"/>
  <c r="B7481" i="1"/>
  <c r="A7482" i="1"/>
  <c r="B7482" i="1"/>
  <c r="A7483" i="1"/>
  <c r="B7483" i="1"/>
  <c r="A7484" i="1"/>
  <c r="B7484" i="1"/>
  <c r="A7485" i="1"/>
  <c r="B7485" i="1"/>
  <c r="A7486" i="1"/>
  <c r="B7486" i="1"/>
  <c r="A7487" i="1"/>
  <c r="B7487" i="1"/>
  <c r="A7488" i="1"/>
  <c r="B7488" i="1"/>
  <c r="A7489" i="1"/>
  <c r="B7489" i="1"/>
  <c r="A7490" i="1"/>
  <c r="B7490" i="1"/>
  <c r="A7491" i="1"/>
  <c r="B7491" i="1"/>
  <c r="A7492" i="1"/>
  <c r="B7492" i="1"/>
  <c r="A7493" i="1"/>
  <c r="B7493" i="1"/>
  <c r="A7494" i="1"/>
  <c r="B7494" i="1"/>
  <c r="A7495" i="1"/>
  <c r="B7495" i="1"/>
  <c r="A7496" i="1"/>
  <c r="B7496" i="1"/>
  <c r="A7497" i="1"/>
  <c r="B7497" i="1"/>
  <c r="A7498" i="1"/>
  <c r="B7498" i="1"/>
  <c r="A7499" i="1"/>
  <c r="B7499" i="1"/>
  <c r="A7500" i="1"/>
  <c r="B7500" i="1"/>
  <c r="A7501" i="1"/>
  <c r="B7501" i="1"/>
  <c r="A7502" i="1"/>
  <c r="B7502" i="1"/>
  <c r="A7503" i="1"/>
  <c r="B7503" i="1"/>
  <c r="A7504" i="1"/>
  <c r="B7504" i="1"/>
  <c r="A7505" i="1"/>
  <c r="B7505" i="1"/>
  <c r="A7506" i="1"/>
  <c r="B7506" i="1"/>
  <c r="A7507" i="1"/>
  <c r="B7507" i="1"/>
  <c r="A7508" i="1"/>
  <c r="B7508" i="1"/>
  <c r="A7509" i="1"/>
  <c r="B7509" i="1"/>
  <c r="A7510" i="1"/>
  <c r="B7510" i="1"/>
  <c r="A7511" i="1"/>
  <c r="B7511" i="1"/>
  <c r="A7512" i="1"/>
  <c r="B7512" i="1"/>
  <c r="A7513" i="1"/>
  <c r="B7513" i="1"/>
  <c r="A7514" i="1"/>
  <c r="B7514" i="1"/>
  <c r="A7515" i="1"/>
  <c r="B7515" i="1"/>
  <c r="A7516" i="1"/>
  <c r="B7516" i="1"/>
  <c r="A7517" i="1"/>
  <c r="B7517" i="1"/>
  <c r="A7518" i="1"/>
  <c r="B7518" i="1"/>
  <c r="A7519" i="1"/>
  <c r="B7519" i="1"/>
  <c r="A7520" i="1"/>
  <c r="B7520" i="1"/>
  <c r="A7521" i="1"/>
  <c r="B7521" i="1"/>
  <c r="A7522" i="1"/>
  <c r="B7522" i="1"/>
  <c r="A7523" i="1"/>
  <c r="B7523" i="1"/>
  <c r="A7524" i="1"/>
  <c r="B7524" i="1"/>
  <c r="A7525" i="1"/>
  <c r="B7525" i="1"/>
  <c r="A7526" i="1"/>
  <c r="B7526" i="1"/>
  <c r="A7527" i="1"/>
  <c r="B7527" i="1"/>
  <c r="A7528" i="1"/>
  <c r="B7528" i="1"/>
  <c r="A7529" i="1"/>
  <c r="B7529" i="1"/>
  <c r="A7530" i="1"/>
  <c r="B7530" i="1"/>
  <c r="A7531" i="1"/>
  <c r="B7531" i="1"/>
  <c r="A7532" i="1"/>
  <c r="B7532" i="1"/>
  <c r="A7533" i="1"/>
  <c r="B7533" i="1"/>
  <c r="A7534" i="1"/>
  <c r="B7534" i="1"/>
  <c r="A7535" i="1"/>
  <c r="B7535" i="1"/>
  <c r="A7536" i="1"/>
  <c r="B7536" i="1"/>
  <c r="A7537" i="1"/>
  <c r="B7537" i="1"/>
  <c r="A7538" i="1"/>
  <c r="B7538" i="1"/>
  <c r="A7539" i="1"/>
  <c r="B7539" i="1"/>
  <c r="A7540" i="1"/>
  <c r="B7540" i="1"/>
  <c r="A7541" i="1"/>
  <c r="B7541" i="1"/>
  <c r="A7542" i="1"/>
  <c r="B7542" i="1"/>
  <c r="A7543" i="1"/>
  <c r="B7543" i="1"/>
  <c r="A7544" i="1"/>
  <c r="B7544" i="1"/>
  <c r="A7545" i="1"/>
  <c r="B7545" i="1"/>
  <c r="A7546" i="1"/>
  <c r="B7546" i="1"/>
  <c r="A7547" i="1"/>
  <c r="B7547" i="1"/>
  <c r="A7548" i="1"/>
  <c r="B7548" i="1"/>
  <c r="A7549" i="1"/>
  <c r="B7549" i="1"/>
  <c r="A7550" i="1"/>
  <c r="B7550" i="1"/>
  <c r="A7551" i="1"/>
  <c r="B7551" i="1"/>
  <c r="A7552" i="1"/>
  <c r="B7552" i="1"/>
  <c r="A7553" i="1"/>
  <c r="B7553" i="1"/>
  <c r="A7554" i="1"/>
  <c r="B7554" i="1"/>
  <c r="A7555" i="1"/>
  <c r="B7555" i="1"/>
  <c r="A7556" i="1"/>
  <c r="B7556" i="1"/>
  <c r="A7557" i="1"/>
  <c r="B7557" i="1"/>
  <c r="A7558" i="1"/>
  <c r="B7558" i="1"/>
  <c r="A7559" i="1"/>
  <c r="B7559" i="1"/>
  <c r="A7560" i="1"/>
  <c r="B7560" i="1"/>
  <c r="A7561" i="1"/>
  <c r="B7561" i="1"/>
  <c r="A7562" i="1"/>
  <c r="B7562" i="1"/>
  <c r="A7563" i="1"/>
  <c r="B7563" i="1"/>
  <c r="A7564" i="1"/>
  <c r="B7564" i="1"/>
  <c r="A7565" i="1"/>
  <c r="B7565" i="1"/>
  <c r="A7566" i="1"/>
  <c r="B7566" i="1"/>
  <c r="A7567" i="1"/>
  <c r="B7567" i="1"/>
  <c r="A7568" i="1"/>
  <c r="B7568" i="1"/>
  <c r="A7569" i="1"/>
  <c r="B7569" i="1"/>
  <c r="A7570" i="1"/>
  <c r="B7570" i="1"/>
  <c r="A7571" i="1"/>
  <c r="B7571" i="1"/>
  <c r="A7572" i="1"/>
  <c r="B7572" i="1"/>
  <c r="A7573" i="1"/>
  <c r="B7573" i="1"/>
  <c r="A7574" i="1"/>
  <c r="B7574" i="1"/>
  <c r="A7575" i="1"/>
  <c r="B7575" i="1"/>
  <c r="A7576" i="1"/>
  <c r="B7576" i="1"/>
  <c r="A7577" i="1"/>
  <c r="B7577" i="1"/>
  <c r="A7578" i="1"/>
  <c r="B7578" i="1"/>
  <c r="A7579" i="1"/>
  <c r="B7579" i="1"/>
  <c r="A7580" i="1"/>
  <c r="B7580" i="1"/>
  <c r="A7581" i="1"/>
  <c r="B7581" i="1"/>
  <c r="A7582" i="1"/>
  <c r="B7582" i="1"/>
  <c r="A7583" i="1"/>
  <c r="B7583" i="1"/>
  <c r="A7584" i="1"/>
  <c r="B7584" i="1"/>
  <c r="A7585" i="1"/>
  <c r="B7585" i="1"/>
  <c r="A7586" i="1"/>
  <c r="B7586" i="1"/>
  <c r="A7587" i="1"/>
  <c r="B7587" i="1"/>
  <c r="A7588" i="1"/>
  <c r="B7588" i="1"/>
  <c r="A7589" i="1"/>
  <c r="B7589" i="1"/>
  <c r="A7590" i="1"/>
  <c r="B7590" i="1"/>
  <c r="A7591" i="1"/>
  <c r="B7591" i="1"/>
  <c r="A7592" i="1"/>
  <c r="B7592" i="1"/>
  <c r="A7593" i="1"/>
  <c r="B7593" i="1"/>
  <c r="A7594" i="1"/>
  <c r="B7594" i="1"/>
  <c r="A7595" i="1"/>
  <c r="B7595" i="1"/>
  <c r="A7596" i="1"/>
  <c r="B7596" i="1"/>
  <c r="A7597" i="1"/>
  <c r="B7597" i="1"/>
  <c r="A7598" i="1"/>
  <c r="B7598" i="1"/>
  <c r="A7599" i="1"/>
  <c r="B7599" i="1"/>
  <c r="A7600" i="1"/>
  <c r="B7600" i="1"/>
  <c r="A7601" i="1"/>
  <c r="B7601" i="1"/>
  <c r="A7602" i="1"/>
  <c r="B7602" i="1"/>
  <c r="A7603" i="1"/>
  <c r="B7603" i="1"/>
  <c r="A7604" i="1"/>
  <c r="B7604" i="1"/>
  <c r="A7605" i="1"/>
  <c r="B7605" i="1"/>
  <c r="A7606" i="1"/>
  <c r="B7606" i="1"/>
  <c r="A7607" i="1"/>
  <c r="B7607" i="1"/>
  <c r="A7608" i="1"/>
  <c r="B7608" i="1"/>
  <c r="A7609" i="1"/>
  <c r="B7609" i="1"/>
  <c r="A7610" i="1"/>
  <c r="B7610" i="1"/>
  <c r="A7611" i="1"/>
  <c r="B7611" i="1"/>
  <c r="A7612" i="1"/>
  <c r="B7612" i="1"/>
  <c r="A7613" i="1"/>
  <c r="B7613" i="1"/>
  <c r="A7614" i="1"/>
  <c r="B7614" i="1"/>
  <c r="A7615" i="1"/>
  <c r="B7615" i="1"/>
  <c r="A7616" i="1"/>
  <c r="B7616" i="1"/>
  <c r="A7617" i="1"/>
  <c r="B7617" i="1"/>
  <c r="A7618" i="1"/>
  <c r="B7618" i="1"/>
  <c r="A7619" i="1"/>
  <c r="B7619" i="1"/>
  <c r="A7620" i="1"/>
  <c r="B7620" i="1"/>
  <c r="A7621" i="1"/>
  <c r="B7621" i="1"/>
  <c r="A7622" i="1"/>
  <c r="B7622" i="1"/>
  <c r="A7623" i="1"/>
  <c r="B7623" i="1"/>
  <c r="A7624" i="1"/>
  <c r="B7624" i="1"/>
  <c r="A7625" i="1"/>
  <c r="B7625" i="1"/>
  <c r="A7626" i="1"/>
  <c r="B7626" i="1"/>
  <c r="A7627" i="1"/>
  <c r="B7627" i="1"/>
  <c r="A7628" i="1"/>
  <c r="B7628" i="1"/>
  <c r="A7629" i="1"/>
  <c r="B7629" i="1"/>
  <c r="A7630" i="1"/>
  <c r="B7630" i="1"/>
  <c r="A7631" i="1"/>
  <c r="B7631" i="1"/>
  <c r="A7632" i="1"/>
  <c r="B7632" i="1"/>
  <c r="A7633" i="1"/>
  <c r="B7633" i="1"/>
  <c r="A7634" i="1"/>
  <c r="B7634" i="1"/>
  <c r="A7635" i="1"/>
  <c r="B7635" i="1"/>
  <c r="A7636" i="1"/>
  <c r="B7636" i="1"/>
  <c r="A7637" i="1"/>
  <c r="B7637" i="1"/>
  <c r="A7638" i="1"/>
  <c r="B7638" i="1"/>
  <c r="A7639" i="1"/>
  <c r="B7639" i="1"/>
  <c r="A7640" i="1"/>
  <c r="B7640" i="1"/>
  <c r="A7641" i="1"/>
  <c r="B7641" i="1"/>
  <c r="A7642" i="1"/>
  <c r="B7642" i="1"/>
  <c r="A7643" i="1"/>
  <c r="B7643" i="1"/>
  <c r="A7644" i="1"/>
  <c r="B7644" i="1"/>
  <c r="A7645" i="1"/>
  <c r="B7645" i="1"/>
  <c r="A7646" i="1"/>
  <c r="B7646" i="1"/>
  <c r="A7647" i="1"/>
  <c r="B7647" i="1"/>
  <c r="A7648" i="1"/>
  <c r="B7648" i="1"/>
  <c r="A7649" i="1"/>
  <c r="B7649" i="1"/>
  <c r="A7650" i="1"/>
  <c r="B7650" i="1"/>
  <c r="A7651" i="1"/>
  <c r="B7651" i="1"/>
  <c r="A7652" i="1"/>
  <c r="B7652" i="1"/>
  <c r="A7653" i="1"/>
  <c r="B7653" i="1"/>
  <c r="A7654" i="1"/>
  <c r="B7654" i="1"/>
  <c r="A7655" i="1"/>
  <c r="B7655" i="1"/>
  <c r="A7656" i="1"/>
  <c r="B7656" i="1"/>
  <c r="A7657" i="1"/>
  <c r="B7657" i="1"/>
  <c r="A7658" i="1"/>
  <c r="B7658" i="1"/>
  <c r="A7659" i="1"/>
  <c r="B7659" i="1"/>
  <c r="A7660" i="1"/>
  <c r="B7660" i="1"/>
  <c r="A7661" i="1"/>
  <c r="B7661" i="1"/>
  <c r="A7662" i="1"/>
  <c r="B7662" i="1"/>
  <c r="A7663" i="1"/>
  <c r="B7663" i="1"/>
  <c r="A7664" i="1"/>
  <c r="B7664" i="1"/>
  <c r="A7665" i="1"/>
  <c r="B7665" i="1"/>
  <c r="A7666" i="1"/>
  <c r="B7666" i="1"/>
  <c r="A7667" i="1"/>
  <c r="B7667" i="1"/>
  <c r="A7668" i="1"/>
  <c r="B7668" i="1"/>
  <c r="A7669" i="1"/>
  <c r="B7669" i="1"/>
  <c r="A7670" i="1"/>
  <c r="B7670" i="1"/>
  <c r="A7671" i="1"/>
  <c r="B7671" i="1"/>
  <c r="A7672" i="1"/>
  <c r="B7672" i="1"/>
  <c r="A7673" i="1"/>
  <c r="B7673" i="1"/>
  <c r="A7674" i="1"/>
  <c r="B7674" i="1"/>
  <c r="A7675" i="1"/>
  <c r="B7675" i="1"/>
  <c r="A7676" i="1"/>
  <c r="B7676" i="1"/>
  <c r="A7677" i="1"/>
  <c r="B7677" i="1"/>
  <c r="A7678" i="1"/>
  <c r="B7678" i="1"/>
  <c r="A7679" i="1"/>
  <c r="B7679" i="1"/>
  <c r="A7680" i="1"/>
  <c r="B7680" i="1"/>
  <c r="A7681" i="1"/>
  <c r="B7681" i="1"/>
  <c r="A7682" i="1"/>
  <c r="B7682" i="1"/>
  <c r="A7683" i="1"/>
  <c r="B7683" i="1"/>
  <c r="A7684" i="1"/>
  <c r="B7684" i="1"/>
  <c r="A7685" i="1"/>
  <c r="B7685" i="1"/>
  <c r="A7686" i="1"/>
  <c r="B7686" i="1"/>
  <c r="A7687" i="1"/>
  <c r="B7687" i="1"/>
  <c r="A7688" i="1"/>
  <c r="B7688" i="1"/>
  <c r="A7689" i="1"/>
  <c r="B7689" i="1"/>
  <c r="A7690" i="1"/>
  <c r="B7690" i="1"/>
  <c r="A7691" i="1"/>
  <c r="B7691" i="1"/>
  <c r="A7692" i="1"/>
  <c r="B7692" i="1"/>
  <c r="A7693" i="1"/>
  <c r="B7693" i="1"/>
  <c r="A7694" i="1"/>
  <c r="B7694" i="1"/>
  <c r="A7695" i="1"/>
  <c r="B7695" i="1"/>
  <c r="A7696" i="1"/>
  <c r="B7696" i="1"/>
  <c r="A7697" i="1"/>
  <c r="B7697" i="1"/>
  <c r="A7698" i="1"/>
  <c r="B7698" i="1"/>
  <c r="A7699" i="1"/>
  <c r="B7699" i="1"/>
  <c r="A7700" i="1"/>
  <c r="B7700" i="1"/>
  <c r="A7701" i="1"/>
  <c r="B7701" i="1"/>
  <c r="A7702" i="1"/>
  <c r="B7702" i="1"/>
  <c r="A7703" i="1"/>
  <c r="B7703" i="1"/>
  <c r="A7704" i="1"/>
  <c r="B7704" i="1"/>
  <c r="A7705" i="1"/>
  <c r="B7705" i="1"/>
  <c r="A7706" i="1"/>
  <c r="B7706" i="1"/>
  <c r="A7707" i="1"/>
  <c r="B7707" i="1"/>
  <c r="A7708" i="1"/>
  <c r="B7708" i="1"/>
  <c r="A7709" i="1"/>
  <c r="B7709" i="1"/>
  <c r="A7710" i="1"/>
  <c r="B7710" i="1"/>
  <c r="A7711" i="1"/>
  <c r="B7711" i="1"/>
  <c r="A7712" i="1"/>
  <c r="B7712" i="1"/>
  <c r="A7713" i="1"/>
  <c r="B7713" i="1"/>
  <c r="A7714" i="1"/>
  <c r="B7714" i="1"/>
  <c r="A7715" i="1"/>
  <c r="B7715" i="1"/>
  <c r="A7716" i="1"/>
  <c r="B7716" i="1"/>
  <c r="A7717" i="1"/>
  <c r="B7717" i="1"/>
  <c r="A7718" i="1"/>
  <c r="B7718" i="1"/>
  <c r="A7719" i="1"/>
  <c r="B7719" i="1"/>
  <c r="A7720" i="1"/>
  <c r="B7720" i="1"/>
  <c r="A7721" i="1"/>
  <c r="B7721" i="1"/>
  <c r="A7722" i="1"/>
  <c r="B7722" i="1"/>
  <c r="A7723" i="1"/>
  <c r="B7723" i="1"/>
  <c r="A7724" i="1"/>
  <c r="B7724" i="1"/>
  <c r="A7725" i="1"/>
  <c r="B7725" i="1"/>
  <c r="A7726" i="1"/>
  <c r="B7726" i="1"/>
  <c r="A7727" i="1"/>
  <c r="B7727" i="1"/>
  <c r="A7728" i="1"/>
  <c r="B7728" i="1"/>
  <c r="A7729" i="1"/>
  <c r="B7729" i="1"/>
  <c r="A7730" i="1"/>
  <c r="B7730" i="1"/>
  <c r="A7731" i="1"/>
  <c r="B7731" i="1"/>
  <c r="A7732" i="1"/>
  <c r="B7732" i="1"/>
  <c r="A7733" i="1"/>
  <c r="B7733" i="1"/>
  <c r="A7734" i="1"/>
  <c r="B7734" i="1"/>
  <c r="A7735" i="1"/>
  <c r="B7735" i="1"/>
  <c r="A7736" i="1"/>
  <c r="B7736" i="1"/>
  <c r="A7737" i="1"/>
  <c r="B7737" i="1"/>
  <c r="A7738" i="1"/>
  <c r="B7738" i="1"/>
  <c r="A7739" i="1"/>
  <c r="B7739" i="1"/>
  <c r="A7740" i="1"/>
  <c r="B7740" i="1"/>
  <c r="A7741" i="1"/>
  <c r="B7741" i="1"/>
  <c r="A7742" i="1"/>
  <c r="B7742" i="1"/>
  <c r="A7743" i="1"/>
  <c r="B7743" i="1"/>
  <c r="A7744" i="1"/>
  <c r="B7744" i="1"/>
  <c r="A7745" i="1"/>
  <c r="B7745" i="1"/>
  <c r="A7746" i="1"/>
  <c r="B7746" i="1"/>
  <c r="A7747" i="1"/>
  <c r="B7747" i="1"/>
  <c r="A7748" i="1"/>
  <c r="B7748" i="1"/>
  <c r="A7749" i="1"/>
  <c r="B7749" i="1"/>
  <c r="A7750" i="1"/>
  <c r="B7750" i="1"/>
  <c r="A7751" i="1"/>
  <c r="B7751" i="1"/>
  <c r="A7752" i="1"/>
  <c r="B7752" i="1"/>
  <c r="A7753" i="1"/>
  <c r="B7753" i="1"/>
  <c r="A7754" i="1"/>
  <c r="B7754" i="1"/>
  <c r="A7755" i="1"/>
  <c r="B7755" i="1"/>
  <c r="A7756" i="1"/>
  <c r="B7756" i="1"/>
  <c r="A7757" i="1"/>
  <c r="B7757" i="1"/>
  <c r="A7758" i="1"/>
  <c r="B7758" i="1"/>
  <c r="A7759" i="1"/>
  <c r="B7759" i="1"/>
  <c r="A7760" i="1"/>
  <c r="B7760" i="1"/>
  <c r="A7761" i="1"/>
  <c r="B7761" i="1"/>
  <c r="A7762" i="1"/>
  <c r="B7762" i="1"/>
  <c r="A7763" i="1"/>
  <c r="B7763" i="1"/>
  <c r="A7764" i="1"/>
  <c r="B7764" i="1"/>
  <c r="A7765" i="1"/>
  <c r="B7765" i="1"/>
  <c r="A7766" i="1"/>
  <c r="B7766" i="1"/>
  <c r="A7767" i="1"/>
  <c r="B7767" i="1"/>
  <c r="A7768" i="1"/>
  <c r="B7768" i="1"/>
  <c r="A7769" i="1"/>
  <c r="B7769" i="1"/>
  <c r="A7770" i="1"/>
  <c r="B7770" i="1"/>
  <c r="A7771" i="1"/>
  <c r="B7771" i="1"/>
  <c r="A7772" i="1"/>
  <c r="B7772" i="1"/>
  <c r="A7773" i="1"/>
  <c r="B7773" i="1"/>
  <c r="A7774" i="1"/>
  <c r="B7774" i="1"/>
  <c r="A7775" i="1"/>
  <c r="B7775" i="1"/>
  <c r="A7776" i="1"/>
  <c r="B7776" i="1"/>
  <c r="A7777" i="1"/>
  <c r="B7777" i="1"/>
  <c r="A7778" i="1"/>
  <c r="B7778" i="1"/>
  <c r="A7779" i="1"/>
  <c r="B7779" i="1"/>
  <c r="A7780" i="1"/>
  <c r="B7780" i="1"/>
  <c r="A7781" i="1"/>
  <c r="B7781" i="1"/>
  <c r="A7782" i="1"/>
  <c r="B7782" i="1"/>
  <c r="A7783" i="1"/>
  <c r="B7783" i="1"/>
  <c r="A7784" i="1"/>
  <c r="B7784" i="1"/>
  <c r="A7785" i="1"/>
  <c r="B7785" i="1"/>
  <c r="A7786" i="1"/>
  <c r="B7786" i="1"/>
  <c r="A7787" i="1"/>
  <c r="B7787" i="1"/>
  <c r="A7788" i="1"/>
  <c r="B7788" i="1"/>
  <c r="A7789" i="1"/>
  <c r="B7789" i="1"/>
  <c r="A7790" i="1"/>
  <c r="B7790" i="1"/>
  <c r="A7791" i="1"/>
  <c r="B7791" i="1"/>
  <c r="A7792" i="1"/>
  <c r="B7792" i="1"/>
  <c r="A7793" i="1"/>
  <c r="B7793" i="1"/>
  <c r="A7794" i="1"/>
  <c r="B7794" i="1"/>
  <c r="A7795" i="1"/>
  <c r="B7795" i="1"/>
  <c r="A7796" i="1"/>
  <c r="B7796" i="1"/>
  <c r="A7797" i="1"/>
  <c r="B7797" i="1"/>
  <c r="A7798" i="1"/>
  <c r="B7798" i="1"/>
  <c r="A7799" i="1"/>
  <c r="B7799" i="1"/>
  <c r="A7800" i="1"/>
  <c r="B7800" i="1"/>
  <c r="A7801" i="1"/>
  <c r="B7801" i="1"/>
  <c r="A7802" i="1"/>
  <c r="B7802" i="1"/>
  <c r="A7803" i="1"/>
  <c r="B7803" i="1"/>
  <c r="A7804" i="1"/>
  <c r="B7804" i="1"/>
  <c r="A7805" i="1"/>
  <c r="B7805" i="1"/>
  <c r="A7806" i="1"/>
  <c r="B7806" i="1"/>
  <c r="A7807" i="1"/>
  <c r="B7807" i="1"/>
  <c r="A7808" i="1"/>
  <c r="B7808" i="1"/>
  <c r="A7809" i="1"/>
  <c r="B7809" i="1"/>
  <c r="A7810" i="1"/>
  <c r="B7810" i="1"/>
  <c r="A7811" i="1"/>
  <c r="B7811" i="1"/>
  <c r="A7812" i="1"/>
  <c r="B7812" i="1"/>
  <c r="A7813" i="1"/>
  <c r="B7813" i="1"/>
  <c r="A7814" i="1"/>
  <c r="B7814" i="1"/>
  <c r="A7815" i="1"/>
  <c r="B7815" i="1"/>
  <c r="A7816" i="1"/>
  <c r="B7816" i="1"/>
  <c r="A7817" i="1"/>
  <c r="B7817" i="1"/>
  <c r="A7818" i="1"/>
  <c r="B7818" i="1"/>
  <c r="A7819" i="1"/>
  <c r="B7819" i="1"/>
  <c r="A7820" i="1"/>
  <c r="B7820" i="1"/>
  <c r="A7821" i="1"/>
  <c r="B7821" i="1"/>
  <c r="A7822" i="1"/>
  <c r="B7822" i="1"/>
  <c r="A7823" i="1"/>
  <c r="B7823" i="1"/>
  <c r="A7824" i="1"/>
  <c r="B7824" i="1"/>
  <c r="A7825" i="1"/>
  <c r="B7825" i="1"/>
  <c r="A7826" i="1"/>
  <c r="B7826" i="1"/>
  <c r="A7827" i="1"/>
  <c r="B7827" i="1"/>
  <c r="A7828" i="1"/>
  <c r="B7828" i="1"/>
  <c r="A7829" i="1"/>
  <c r="B7829" i="1"/>
  <c r="A7830" i="1"/>
  <c r="B7830" i="1"/>
  <c r="A7831" i="1"/>
  <c r="B7831" i="1"/>
  <c r="A7832" i="1"/>
  <c r="B7832" i="1"/>
  <c r="A7833" i="1"/>
  <c r="B7833" i="1"/>
  <c r="A7834" i="1"/>
  <c r="B7834" i="1"/>
  <c r="A7835" i="1"/>
  <c r="B7835" i="1"/>
  <c r="A7836" i="1"/>
  <c r="B7836" i="1"/>
  <c r="A7837" i="1"/>
  <c r="B7837" i="1"/>
  <c r="A7838" i="1"/>
  <c r="B7838" i="1"/>
  <c r="A7839" i="1"/>
  <c r="B7839" i="1"/>
  <c r="A7840" i="1"/>
  <c r="B7840" i="1"/>
  <c r="A7841" i="1"/>
  <c r="B7841" i="1"/>
  <c r="A7842" i="1"/>
  <c r="B7842" i="1"/>
  <c r="A7843" i="1"/>
  <c r="B7843" i="1"/>
  <c r="A7844" i="1"/>
  <c r="B7844" i="1"/>
  <c r="A7845" i="1"/>
  <c r="B7845" i="1"/>
  <c r="A7846" i="1"/>
  <c r="B7846" i="1"/>
  <c r="A7847" i="1"/>
  <c r="B7847" i="1"/>
  <c r="A7848" i="1"/>
  <c r="B7848" i="1"/>
  <c r="A7849" i="1"/>
  <c r="B7849" i="1"/>
  <c r="A7850" i="1"/>
  <c r="B7850" i="1"/>
  <c r="A7851" i="1"/>
  <c r="B7851" i="1"/>
  <c r="A7852" i="1"/>
  <c r="B7852" i="1"/>
  <c r="A7853" i="1"/>
  <c r="B7853" i="1"/>
  <c r="A7854" i="1"/>
  <c r="B7854" i="1"/>
  <c r="A7855" i="1"/>
  <c r="B7855" i="1"/>
  <c r="A7856" i="1"/>
  <c r="B7856" i="1"/>
  <c r="A7857" i="1"/>
  <c r="B7857" i="1"/>
  <c r="A7858" i="1"/>
  <c r="B7858" i="1"/>
  <c r="A7859" i="1"/>
  <c r="B7859" i="1"/>
  <c r="A7860" i="1"/>
  <c r="B7860" i="1"/>
  <c r="A7861" i="1"/>
  <c r="B7861" i="1"/>
  <c r="A7862" i="1"/>
  <c r="B7862" i="1"/>
  <c r="A7863" i="1"/>
  <c r="B7863" i="1"/>
  <c r="A7864" i="1"/>
  <c r="B7864" i="1"/>
  <c r="A7865" i="1"/>
  <c r="B7865" i="1"/>
  <c r="A7866" i="1"/>
  <c r="B7866" i="1"/>
  <c r="A7867" i="1"/>
  <c r="B7867" i="1"/>
  <c r="A7868" i="1"/>
  <c r="B7868" i="1"/>
  <c r="A7869" i="1"/>
  <c r="B7869" i="1"/>
  <c r="A7870" i="1"/>
  <c r="B7870" i="1"/>
  <c r="A7871" i="1"/>
  <c r="B7871" i="1"/>
  <c r="A7872" i="1"/>
  <c r="B7872" i="1"/>
  <c r="A7873" i="1"/>
  <c r="B7873" i="1"/>
  <c r="A7874" i="1"/>
  <c r="B7874" i="1"/>
  <c r="A7875" i="1"/>
  <c r="B7875" i="1"/>
  <c r="A7876" i="1"/>
  <c r="B7876" i="1"/>
  <c r="A7877" i="1"/>
  <c r="B7877" i="1"/>
  <c r="A7878" i="1"/>
  <c r="B7878" i="1"/>
  <c r="A7879" i="1"/>
  <c r="B7879" i="1"/>
  <c r="A7880" i="1"/>
  <c r="B7880" i="1"/>
  <c r="A7881" i="1"/>
  <c r="B7881" i="1"/>
  <c r="A7882" i="1"/>
  <c r="B7882" i="1"/>
  <c r="A7883" i="1"/>
  <c r="B7883" i="1"/>
  <c r="A7884" i="1"/>
  <c r="B7884" i="1"/>
  <c r="A7885" i="1"/>
  <c r="B7885" i="1"/>
  <c r="A7886" i="1"/>
  <c r="B7886" i="1"/>
  <c r="A7887" i="1"/>
  <c r="B7887" i="1"/>
  <c r="A7888" i="1"/>
  <c r="B7888" i="1"/>
  <c r="A7889" i="1"/>
  <c r="B7889" i="1"/>
  <c r="A7890" i="1"/>
  <c r="B7890" i="1"/>
  <c r="A7891" i="1"/>
  <c r="B7891" i="1"/>
  <c r="A7892" i="1"/>
  <c r="B7892" i="1"/>
  <c r="A7893" i="1"/>
  <c r="B7893" i="1"/>
  <c r="A7894" i="1"/>
  <c r="B7894" i="1"/>
  <c r="A7895" i="1"/>
  <c r="B7895" i="1"/>
  <c r="A7896" i="1"/>
  <c r="B7896" i="1"/>
  <c r="A7897" i="1"/>
  <c r="B7897" i="1"/>
  <c r="A7898" i="1"/>
  <c r="B7898" i="1"/>
  <c r="A7899" i="1"/>
  <c r="B7899" i="1"/>
  <c r="A7900" i="1"/>
  <c r="B7900" i="1"/>
  <c r="A7901" i="1"/>
  <c r="B7901" i="1"/>
  <c r="A7902" i="1"/>
  <c r="B7902" i="1"/>
  <c r="A7903" i="1"/>
  <c r="B7903" i="1"/>
  <c r="A7904" i="1"/>
  <c r="B7904" i="1"/>
  <c r="A7905" i="1"/>
  <c r="B7905" i="1"/>
  <c r="A7906" i="1"/>
  <c r="B7906" i="1"/>
  <c r="A7907" i="1"/>
  <c r="B7907" i="1"/>
  <c r="A7908" i="1"/>
  <c r="B7908" i="1"/>
  <c r="A7909" i="1"/>
  <c r="B7909" i="1"/>
  <c r="A7910" i="1"/>
  <c r="B7910" i="1"/>
  <c r="A7911" i="1"/>
  <c r="B7911" i="1"/>
  <c r="A7912" i="1"/>
  <c r="B7912" i="1"/>
  <c r="A7913" i="1"/>
  <c r="B7913" i="1"/>
  <c r="A7914" i="1"/>
  <c r="B7914" i="1"/>
  <c r="A7915" i="1"/>
  <c r="B7915" i="1"/>
  <c r="A7916" i="1"/>
  <c r="B7916" i="1"/>
  <c r="A7917" i="1"/>
  <c r="B7917" i="1"/>
  <c r="A7918" i="1"/>
  <c r="B7918" i="1"/>
  <c r="A7919" i="1"/>
  <c r="B7919" i="1"/>
  <c r="A7920" i="1"/>
  <c r="B7920" i="1"/>
  <c r="A7921" i="1"/>
  <c r="B7921" i="1"/>
  <c r="A7922" i="1"/>
  <c r="B7922" i="1"/>
  <c r="A7923" i="1"/>
  <c r="B7923" i="1"/>
  <c r="A7924" i="1"/>
  <c r="B7924" i="1"/>
  <c r="A7925" i="1"/>
  <c r="B7925" i="1"/>
  <c r="A7926" i="1"/>
  <c r="B7926" i="1"/>
  <c r="A7927" i="1"/>
  <c r="B7927" i="1"/>
  <c r="A7928" i="1"/>
  <c r="B7928" i="1"/>
  <c r="A7929" i="1"/>
  <c r="B7929" i="1"/>
  <c r="A7930" i="1"/>
  <c r="B7930" i="1"/>
  <c r="A7931" i="1"/>
  <c r="B7931" i="1"/>
  <c r="A7932" i="1"/>
  <c r="B7932" i="1"/>
  <c r="A7933" i="1"/>
  <c r="B7933" i="1"/>
  <c r="A7934" i="1"/>
  <c r="B7934" i="1"/>
  <c r="A7935" i="1"/>
  <c r="B7935" i="1"/>
  <c r="A7936" i="1"/>
  <c r="B7936" i="1"/>
  <c r="A7937" i="1"/>
  <c r="B7937" i="1"/>
  <c r="A7938" i="1"/>
  <c r="B7938" i="1"/>
  <c r="A7939" i="1"/>
  <c r="B7939" i="1"/>
  <c r="A7940" i="1"/>
  <c r="B7940" i="1"/>
  <c r="A7941" i="1"/>
  <c r="B7941" i="1"/>
  <c r="A7942" i="1"/>
  <c r="B7942" i="1"/>
  <c r="A7943" i="1"/>
  <c r="B7943" i="1"/>
  <c r="A7944" i="1"/>
  <c r="B7944" i="1"/>
  <c r="A7945" i="1"/>
  <c r="B7945" i="1"/>
  <c r="A7946" i="1"/>
  <c r="B7946" i="1"/>
  <c r="A7947" i="1"/>
  <c r="B7947" i="1"/>
  <c r="A7948" i="1"/>
  <c r="B7948" i="1"/>
  <c r="A7949" i="1"/>
  <c r="B7949" i="1"/>
  <c r="A7950" i="1"/>
  <c r="B7950" i="1"/>
  <c r="A7951" i="1"/>
  <c r="B7951" i="1"/>
  <c r="A7952" i="1"/>
  <c r="B7952" i="1"/>
  <c r="A7953" i="1"/>
  <c r="B7953" i="1"/>
  <c r="A7954" i="1"/>
  <c r="B7954" i="1"/>
  <c r="A7955" i="1"/>
  <c r="B7955" i="1"/>
  <c r="A7956" i="1"/>
  <c r="B7956" i="1"/>
  <c r="A7957" i="1"/>
  <c r="B7957" i="1"/>
  <c r="A7958" i="1"/>
  <c r="B7958" i="1"/>
  <c r="A7959" i="1"/>
  <c r="B7959" i="1"/>
  <c r="A7960" i="1"/>
  <c r="B7960" i="1"/>
  <c r="A7961" i="1"/>
  <c r="B7961" i="1"/>
  <c r="A7962" i="1"/>
  <c r="B7962" i="1"/>
  <c r="A7963" i="1"/>
  <c r="B7963" i="1"/>
  <c r="A7964" i="1"/>
  <c r="B7964" i="1"/>
  <c r="A7965" i="1"/>
  <c r="B7965" i="1"/>
  <c r="A7966" i="1"/>
  <c r="B7966" i="1"/>
  <c r="A7967" i="1"/>
  <c r="B7967" i="1"/>
  <c r="A7968" i="1"/>
  <c r="B7968" i="1"/>
  <c r="A7969" i="1"/>
  <c r="B7969" i="1"/>
  <c r="A7970" i="1"/>
  <c r="B7970" i="1"/>
  <c r="A7971" i="1"/>
  <c r="B7971" i="1"/>
  <c r="A7972" i="1"/>
  <c r="B7972" i="1"/>
  <c r="A7973" i="1"/>
  <c r="B7973" i="1"/>
  <c r="A7974" i="1"/>
  <c r="B7974" i="1"/>
  <c r="A7975" i="1"/>
  <c r="B7975" i="1"/>
  <c r="A7976" i="1"/>
  <c r="B7976" i="1"/>
  <c r="A7977" i="1"/>
  <c r="B7977" i="1"/>
  <c r="A7978" i="1"/>
  <c r="B7978" i="1"/>
  <c r="A7979" i="1"/>
  <c r="B7979" i="1"/>
  <c r="A7980" i="1"/>
  <c r="B7980" i="1"/>
  <c r="A7981" i="1"/>
  <c r="B7981" i="1"/>
  <c r="A7982" i="1"/>
  <c r="B7982" i="1"/>
  <c r="A7983" i="1"/>
  <c r="B7983" i="1"/>
  <c r="A7984" i="1"/>
  <c r="B7984" i="1"/>
  <c r="A7985" i="1"/>
  <c r="B7985" i="1"/>
  <c r="A7986" i="1"/>
  <c r="B7986" i="1"/>
  <c r="A7987" i="1"/>
  <c r="B7987" i="1"/>
  <c r="A7988" i="1"/>
  <c r="B7988" i="1"/>
  <c r="A7989" i="1"/>
  <c r="B7989" i="1"/>
  <c r="A7990" i="1"/>
  <c r="B7990" i="1"/>
  <c r="A7991" i="1"/>
  <c r="B7991" i="1"/>
  <c r="A7992" i="1"/>
  <c r="B7992" i="1"/>
  <c r="A7993" i="1"/>
  <c r="B7993" i="1"/>
  <c r="A7994" i="1"/>
  <c r="B7994" i="1"/>
  <c r="A7995" i="1"/>
  <c r="B7995" i="1"/>
  <c r="A7996" i="1"/>
  <c r="B7996" i="1"/>
  <c r="A7997" i="1"/>
  <c r="B7997" i="1"/>
  <c r="A7998" i="1"/>
  <c r="B7998" i="1"/>
  <c r="A7999" i="1"/>
  <c r="B7999" i="1"/>
  <c r="A8000" i="1"/>
  <c r="B8000" i="1"/>
  <c r="A8001" i="1"/>
  <c r="B8001" i="1"/>
  <c r="A8002" i="1"/>
  <c r="B8002" i="1"/>
  <c r="A8003" i="1"/>
  <c r="B8003" i="1"/>
  <c r="A8004" i="1"/>
  <c r="B8004" i="1"/>
  <c r="A8005" i="1"/>
  <c r="B8005" i="1"/>
  <c r="A8006" i="1"/>
  <c r="B8006" i="1"/>
  <c r="A8007" i="1"/>
  <c r="B8007" i="1"/>
  <c r="A8008" i="1"/>
  <c r="B8008" i="1"/>
  <c r="A8009" i="1"/>
  <c r="B8009" i="1"/>
  <c r="A8010" i="1"/>
  <c r="B8010" i="1"/>
  <c r="A8011" i="1"/>
  <c r="B8011" i="1"/>
  <c r="A8012" i="1"/>
  <c r="B8012" i="1"/>
  <c r="A8013" i="1"/>
  <c r="B8013" i="1"/>
  <c r="A8014" i="1"/>
  <c r="B8014" i="1"/>
  <c r="A8015" i="1"/>
  <c r="B8015" i="1"/>
  <c r="A8016" i="1"/>
  <c r="B8016" i="1"/>
  <c r="A8017" i="1"/>
  <c r="B8017" i="1"/>
  <c r="A8018" i="1"/>
  <c r="B8018" i="1"/>
  <c r="A8019" i="1"/>
  <c r="B8019" i="1"/>
  <c r="A8020" i="1"/>
  <c r="B8020" i="1"/>
  <c r="A8021" i="1"/>
  <c r="B8021" i="1"/>
  <c r="A8022" i="1"/>
  <c r="B8022" i="1"/>
  <c r="A8023" i="1"/>
  <c r="B8023" i="1"/>
  <c r="A8024" i="1"/>
  <c r="B8024" i="1"/>
  <c r="A8025" i="1"/>
  <c r="B8025" i="1"/>
  <c r="A8026" i="1"/>
  <c r="B8026" i="1"/>
  <c r="A8027" i="1"/>
  <c r="B8027" i="1"/>
  <c r="A8028" i="1"/>
  <c r="B8028" i="1"/>
  <c r="A8029" i="1"/>
  <c r="B8029" i="1"/>
  <c r="A8030" i="1"/>
  <c r="B8030" i="1"/>
  <c r="A8031" i="1"/>
  <c r="B8031" i="1"/>
  <c r="A8032" i="1"/>
  <c r="B8032" i="1"/>
  <c r="A8033" i="1"/>
  <c r="B8033" i="1"/>
  <c r="A8034" i="1"/>
  <c r="B8034" i="1"/>
  <c r="A8035" i="1"/>
  <c r="B8035" i="1"/>
  <c r="A8036" i="1"/>
  <c r="B8036" i="1"/>
  <c r="A8037" i="1"/>
  <c r="B8037" i="1"/>
  <c r="A8038" i="1"/>
  <c r="B8038" i="1"/>
  <c r="A8039" i="1"/>
  <c r="B8039" i="1"/>
  <c r="A8040" i="1"/>
  <c r="B8040" i="1"/>
  <c r="A8041" i="1"/>
  <c r="B8041" i="1"/>
  <c r="A8042" i="1"/>
  <c r="B8042" i="1"/>
  <c r="A8043" i="1"/>
  <c r="B8043" i="1"/>
  <c r="A8044" i="1"/>
  <c r="B8044" i="1"/>
  <c r="A8045" i="1"/>
  <c r="B8045" i="1"/>
  <c r="A8046" i="1"/>
  <c r="B8046" i="1"/>
  <c r="A8047" i="1"/>
  <c r="B8047" i="1"/>
  <c r="A8048" i="1"/>
  <c r="B8048" i="1"/>
  <c r="A8049" i="1"/>
  <c r="B8049" i="1"/>
  <c r="A8050" i="1"/>
  <c r="B8050" i="1"/>
  <c r="A8051" i="1"/>
  <c r="B8051" i="1"/>
  <c r="A8052" i="1"/>
  <c r="B8052" i="1"/>
  <c r="A8053" i="1"/>
  <c r="B8053" i="1"/>
  <c r="A8054" i="1"/>
  <c r="B8054" i="1"/>
  <c r="A8055" i="1"/>
  <c r="B8055" i="1"/>
  <c r="A8056" i="1"/>
  <c r="B8056" i="1"/>
  <c r="A8057" i="1"/>
  <c r="B8057" i="1"/>
  <c r="A8058" i="1"/>
  <c r="B8058" i="1"/>
  <c r="A8059" i="1"/>
  <c r="B8059" i="1"/>
  <c r="A8060" i="1"/>
  <c r="B8060" i="1"/>
  <c r="A8061" i="1"/>
  <c r="B8061" i="1"/>
  <c r="A8062" i="1"/>
  <c r="B8062" i="1"/>
  <c r="A8063" i="1"/>
  <c r="B8063" i="1"/>
  <c r="A8064" i="1"/>
  <c r="B8064" i="1"/>
  <c r="A8065" i="1"/>
  <c r="B8065" i="1"/>
  <c r="A8066" i="1"/>
  <c r="B8066" i="1"/>
  <c r="A8067" i="1"/>
  <c r="B8067" i="1"/>
  <c r="A8068" i="1"/>
  <c r="B8068" i="1"/>
  <c r="A8069" i="1"/>
  <c r="B8069" i="1"/>
  <c r="A8070" i="1"/>
  <c r="B8070" i="1"/>
  <c r="A8071" i="1"/>
  <c r="B8071" i="1"/>
  <c r="A8072" i="1"/>
  <c r="B8072" i="1"/>
  <c r="A8073" i="1"/>
  <c r="B8073" i="1"/>
  <c r="A8074" i="1"/>
  <c r="B8074" i="1"/>
  <c r="A8075" i="1"/>
  <c r="B8075" i="1"/>
  <c r="A8076" i="1"/>
  <c r="B8076" i="1"/>
  <c r="A8077" i="1"/>
  <c r="B8077" i="1"/>
  <c r="A8078" i="1"/>
  <c r="B8078" i="1"/>
  <c r="A8079" i="1"/>
  <c r="B8079" i="1"/>
  <c r="A8080" i="1"/>
  <c r="B8080" i="1"/>
  <c r="A8081" i="1"/>
  <c r="B8081" i="1"/>
  <c r="A8082" i="1"/>
  <c r="B8082" i="1"/>
  <c r="A8083" i="1"/>
  <c r="B8083" i="1"/>
  <c r="A8084" i="1"/>
  <c r="B8084" i="1"/>
  <c r="A8085" i="1"/>
  <c r="B8085" i="1"/>
  <c r="A8086" i="1"/>
  <c r="B8086" i="1"/>
  <c r="A8087" i="1"/>
  <c r="B8087" i="1"/>
  <c r="A8088" i="1"/>
  <c r="B8088" i="1"/>
  <c r="A8089" i="1"/>
  <c r="B8089" i="1"/>
  <c r="A8090" i="1"/>
  <c r="B8090" i="1"/>
  <c r="A8091" i="1"/>
  <c r="B8091" i="1"/>
  <c r="A8092" i="1"/>
  <c r="B8092" i="1"/>
  <c r="A8093" i="1"/>
  <c r="B8093" i="1"/>
  <c r="A8094" i="1"/>
  <c r="B8094" i="1"/>
  <c r="A8095" i="1"/>
  <c r="B8095" i="1"/>
  <c r="A8096" i="1"/>
  <c r="B8096" i="1"/>
  <c r="A8097" i="1"/>
  <c r="B8097" i="1"/>
  <c r="A8098" i="1"/>
  <c r="B8098" i="1"/>
  <c r="A8099" i="1"/>
  <c r="B8099" i="1"/>
  <c r="A8100" i="1"/>
  <c r="B8100" i="1"/>
  <c r="A8101" i="1"/>
  <c r="B8101" i="1"/>
  <c r="A8102" i="1"/>
  <c r="B8102" i="1"/>
  <c r="A8103" i="1"/>
  <c r="B8103" i="1"/>
  <c r="A8104" i="1"/>
  <c r="B8104" i="1"/>
  <c r="A8105" i="1"/>
  <c r="B8105" i="1"/>
  <c r="A8106" i="1"/>
  <c r="B8106" i="1"/>
  <c r="A8107" i="1"/>
  <c r="B8107" i="1"/>
  <c r="A8108" i="1"/>
  <c r="B8108" i="1"/>
  <c r="A8109" i="1"/>
  <c r="B8109" i="1"/>
  <c r="A8110" i="1"/>
  <c r="B8110" i="1"/>
  <c r="A8111" i="1"/>
  <c r="B8111" i="1"/>
  <c r="A8112" i="1"/>
  <c r="B8112" i="1"/>
  <c r="A8113" i="1"/>
  <c r="B8113" i="1"/>
  <c r="A8114" i="1"/>
  <c r="B8114" i="1"/>
  <c r="A8115" i="1"/>
  <c r="B8115" i="1"/>
  <c r="A8116" i="1"/>
  <c r="B8116" i="1"/>
  <c r="A8117" i="1"/>
  <c r="B8117" i="1"/>
  <c r="A8118" i="1"/>
  <c r="B8118" i="1"/>
  <c r="A8119" i="1"/>
  <c r="B8119" i="1"/>
  <c r="A8120" i="1"/>
  <c r="B8120" i="1"/>
  <c r="A8121" i="1"/>
  <c r="B8121" i="1"/>
  <c r="A8122" i="1"/>
  <c r="B8122" i="1"/>
  <c r="A8123" i="1"/>
  <c r="B8123" i="1"/>
  <c r="A8124" i="1"/>
  <c r="B8124" i="1"/>
  <c r="A8125" i="1"/>
  <c r="B8125" i="1"/>
  <c r="A8126" i="1"/>
  <c r="B8126" i="1"/>
  <c r="A8127" i="1"/>
  <c r="B8127" i="1"/>
  <c r="A8128" i="1"/>
  <c r="B8128" i="1"/>
  <c r="A8129" i="1"/>
  <c r="B8129" i="1"/>
  <c r="A8130" i="1"/>
  <c r="B8130" i="1"/>
  <c r="A8131" i="1"/>
  <c r="B8131" i="1"/>
  <c r="A8132" i="1"/>
  <c r="B8132" i="1"/>
  <c r="A8133" i="1"/>
  <c r="B8133" i="1"/>
  <c r="A8134" i="1"/>
  <c r="B8134" i="1"/>
  <c r="A8135" i="1"/>
  <c r="B8135" i="1"/>
  <c r="A8136" i="1"/>
  <c r="B8136" i="1"/>
  <c r="A8137" i="1"/>
  <c r="B8137" i="1"/>
  <c r="A8138" i="1"/>
  <c r="B8138" i="1"/>
  <c r="A8139" i="1"/>
  <c r="B8139" i="1"/>
  <c r="A8140" i="1"/>
  <c r="B8140" i="1"/>
  <c r="A8141" i="1"/>
  <c r="B8141" i="1"/>
  <c r="A8142" i="1"/>
  <c r="B8142" i="1"/>
  <c r="A8143" i="1"/>
  <c r="B8143" i="1"/>
  <c r="A8144" i="1"/>
  <c r="B8144" i="1"/>
  <c r="A8145" i="1"/>
  <c r="B8145" i="1"/>
  <c r="A8146" i="1"/>
  <c r="B8146" i="1"/>
  <c r="A8147" i="1"/>
  <c r="B8147" i="1"/>
  <c r="A8148" i="1"/>
  <c r="B8148" i="1"/>
  <c r="A8149" i="1"/>
  <c r="B8149" i="1"/>
  <c r="A8150" i="1"/>
  <c r="B8150" i="1"/>
  <c r="A8151" i="1"/>
  <c r="B8151" i="1"/>
  <c r="A8152" i="1"/>
  <c r="B8152" i="1"/>
  <c r="A8153" i="1"/>
  <c r="B8153" i="1"/>
  <c r="A8154" i="1"/>
  <c r="B8154" i="1"/>
  <c r="A8155" i="1"/>
  <c r="B8155" i="1"/>
  <c r="A8156" i="1"/>
  <c r="B8156" i="1"/>
  <c r="A8157" i="1"/>
  <c r="B8157" i="1"/>
  <c r="A8158" i="1"/>
  <c r="B8158" i="1"/>
  <c r="A8159" i="1"/>
  <c r="B8159" i="1"/>
  <c r="A8160" i="1"/>
  <c r="B8160" i="1"/>
  <c r="A8161" i="1"/>
  <c r="B8161" i="1"/>
  <c r="A8162" i="1"/>
  <c r="B8162" i="1"/>
  <c r="A8163" i="1"/>
  <c r="B8163" i="1"/>
  <c r="A8164" i="1"/>
  <c r="B8164" i="1"/>
  <c r="A8165" i="1"/>
  <c r="B8165" i="1"/>
  <c r="A8166" i="1"/>
  <c r="B8166" i="1"/>
  <c r="A8167" i="1"/>
  <c r="B8167" i="1"/>
  <c r="A8168" i="1"/>
  <c r="B8168" i="1"/>
  <c r="A8169" i="1"/>
  <c r="B8169" i="1"/>
  <c r="A8170" i="1"/>
  <c r="B8170" i="1"/>
  <c r="A8171" i="1"/>
  <c r="B8171" i="1"/>
  <c r="A8172" i="1"/>
  <c r="B8172" i="1"/>
  <c r="A8173" i="1"/>
  <c r="B8173" i="1"/>
  <c r="A8174" i="1"/>
  <c r="B8174" i="1"/>
  <c r="A8175" i="1"/>
  <c r="B8175" i="1"/>
  <c r="A8176" i="1"/>
  <c r="B8176" i="1"/>
  <c r="A8177" i="1"/>
  <c r="B8177" i="1"/>
  <c r="A8178" i="1"/>
  <c r="B8178" i="1"/>
  <c r="A8179" i="1"/>
  <c r="B8179" i="1"/>
  <c r="A8180" i="1"/>
  <c r="B8180" i="1"/>
  <c r="A8181" i="1"/>
  <c r="B8181" i="1"/>
  <c r="A8182" i="1"/>
  <c r="B8182" i="1"/>
  <c r="A8183" i="1"/>
  <c r="B8183" i="1"/>
  <c r="A8184" i="1"/>
  <c r="B8184" i="1"/>
  <c r="A8185" i="1"/>
  <c r="B8185" i="1"/>
  <c r="A8186" i="1"/>
  <c r="B8186" i="1"/>
  <c r="A8187" i="1"/>
  <c r="B8187" i="1"/>
  <c r="A8188" i="1"/>
  <c r="B8188" i="1"/>
  <c r="A8189" i="1"/>
  <c r="B8189" i="1"/>
  <c r="A8190" i="1"/>
  <c r="B8190" i="1"/>
  <c r="A8191" i="1"/>
  <c r="B8191" i="1"/>
  <c r="A8192" i="1"/>
  <c r="B8192" i="1"/>
  <c r="A8193" i="1"/>
  <c r="B8193" i="1"/>
  <c r="A8194" i="1"/>
  <c r="B8194" i="1"/>
  <c r="A8195" i="1"/>
  <c r="B8195" i="1"/>
  <c r="A8196" i="1"/>
  <c r="B8196" i="1"/>
  <c r="A8197" i="1"/>
  <c r="B8197" i="1"/>
  <c r="A8198" i="1"/>
  <c r="B8198" i="1"/>
  <c r="A8199" i="1"/>
  <c r="B8199" i="1"/>
  <c r="A8200" i="1"/>
  <c r="B8200" i="1"/>
  <c r="A8201" i="1"/>
  <c r="B8201" i="1"/>
  <c r="A8202" i="1"/>
  <c r="B8202" i="1"/>
  <c r="A8203" i="1"/>
  <c r="B8203" i="1"/>
  <c r="A8204" i="1"/>
  <c r="B8204" i="1"/>
  <c r="A8205" i="1"/>
  <c r="B8205" i="1"/>
  <c r="A8206" i="1"/>
  <c r="B8206" i="1"/>
  <c r="A8207" i="1"/>
  <c r="B8207" i="1"/>
  <c r="A8208" i="1"/>
  <c r="B8208" i="1"/>
  <c r="A8209" i="1"/>
  <c r="B8209" i="1"/>
  <c r="A8210" i="1"/>
  <c r="B8210" i="1"/>
  <c r="A8211" i="1"/>
  <c r="B8211" i="1"/>
  <c r="A8212" i="1"/>
  <c r="B8212" i="1"/>
  <c r="A8213" i="1"/>
  <c r="B8213" i="1"/>
  <c r="A8214" i="1"/>
  <c r="B8214" i="1"/>
  <c r="A8215" i="1"/>
  <c r="B8215" i="1"/>
  <c r="A8216" i="1"/>
  <c r="B8216" i="1"/>
  <c r="A8217" i="1"/>
  <c r="B8217" i="1"/>
  <c r="A8218" i="1"/>
  <c r="B8218" i="1"/>
  <c r="A8219" i="1"/>
  <c r="B8219" i="1"/>
  <c r="A8220" i="1"/>
  <c r="B8220" i="1"/>
  <c r="A8221" i="1"/>
  <c r="B8221" i="1"/>
  <c r="A8222" i="1"/>
  <c r="B8222" i="1"/>
  <c r="A8223" i="1"/>
  <c r="B8223" i="1"/>
  <c r="A8224" i="1"/>
  <c r="B8224" i="1"/>
  <c r="A8225" i="1"/>
  <c r="B8225" i="1"/>
  <c r="A8226" i="1"/>
  <c r="B8226" i="1"/>
  <c r="A8227" i="1"/>
  <c r="B8227" i="1"/>
  <c r="A8228" i="1"/>
  <c r="B8228" i="1"/>
  <c r="A8229" i="1"/>
  <c r="B8229" i="1"/>
  <c r="A8230" i="1"/>
  <c r="B8230" i="1"/>
  <c r="A8231" i="1"/>
  <c r="B8231" i="1"/>
  <c r="A8232" i="1"/>
  <c r="B8232" i="1"/>
  <c r="A8233" i="1"/>
  <c r="B8233" i="1"/>
  <c r="A8234" i="1"/>
  <c r="B8234" i="1"/>
  <c r="A8235" i="1"/>
  <c r="B8235" i="1"/>
  <c r="A8236" i="1"/>
  <c r="B8236" i="1"/>
  <c r="A8237" i="1"/>
  <c r="B8237" i="1"/>
  <c r="A8238" i="1"/>
  <c r="B8238" i="1"/>
  <c r="A8239" i="1"/>
  <c r="B8239" i="1"/>
  <c r="A8240" i="1"/>
  <c r="B8240" i="1"/>
  <c r="A8241" i="1"/>
  <c r="B8241" i="1"/>
  <c r="A8242" i="1"/>
  <c r="B8242" i="1"/>
  <c r="A8243" i="1"/>
  <c r="B8243" i="1"/>
  <c r="A8244" i="1"/>
  <c r="B8244" i="1"/>
  <c r="A8245" i="1"/>
  <c r="B8245" i="1"/>
  <c r="A8246" i="1"/>
  <c r="B8246" i="1"/>
  <c r="A8247" i="1"/>
  <c r="B8247" i="1"/>
  <c r="A8248" i="1"/>
  <c r="B8248" i="1"/>
  <c r="A8249" i="1"/>
  <c r="B8249" i="1"/>
  <c r="A8250" i="1"/>
  <c r="B8250" i="1"/>
  <c r="A8251" i="1"/>
  <c r="B8251" i="1"/>
  <c r="A8252" i="1"/>
  <c r="B8252" i="1"/>
  <c r="A8253" i="1"/>
  <c r="B8253" i="1"/>
  <c r="A8254" i="1"/>
  <c r="B8254" i="1"/>
  <c r="A8255" i="1"/>
  <c r="B8255" i="1"/>
  <c r="A8256" i="1"/>
  <c r="B8256" i="1"/>
  <c r="A8257" i="1"/>
  <c r="B8257" i="1"/>
  <c r="A8258" i="1"/>
  <c r="B8258" i="1"/>
  <c r="A8259" i="1"/>
  <c r="B8259" i="1"/>
  <c r="A8260" i="1"/>
  <c r="B8260" i="1"/>
  <c r="A8261" i="1"/>
  <c r="B8261" i="1"/>
  <c r="A8262" i="1"/>
  <c r="B8262" i="1"/>
  <c r="A8263" i="1"/>
  <c r="B8263" i="1"/>
  <c r="A8264" i="1"/>
  <c r="B8264" i="1"/>
  <c r="A8265" i="1"/>
  <c r="B8265" i="1"/>
  <c r="A8266" i="1"/>
  <c r="B8266" i="1"/>
  <c r="A8267" i="1"/>
  <c r="B8267" i="1"/>
  <c r="A8268" i="1"/>
  <c r="B8268" i="1"/>
  <c r="A8269" i="1"/>
  <c r="B8269" i="1"/>
  <c r="A8270" i="1"/>
  <c r="B8270" i="1"/>
  <c r="A8271" i="1"/>
  <c r="B8271" i="1"/>
  <c r="A8272" i="1"/>
  <c r="B8272" i="1"/>
  <c r="A8273" i="1"/>
  <c r="B8273" i="1"/>
  <c r="A8274" i="1"/>
  <c r="B8274" i="1"/>
  <c r="A8275" i="1"/>
  <c r="B8275" i="1"/>
  <c r="A8276" i="1"/>
  <c r="B8276" i="1"/>
  <c r="A8277" i="1"/>
  <c r="B8277" i="1"/>
  <c r="A8278" i="1"/>
  <c r="B8278" i="1"/>
  <c r="A8279" i="1"/>
  <c r="B8279" i="1"/>
  <c r="A8280" i="1"/>
  <c r="B8280" i="1"/>
  <c r="A8281" i="1"/>
  <c r="B8281" i="1"/>
  <c r="A8282" i="1"/>
  <c r="B8282" i="1"/>
  <c r="A8283" i="1"/>
  <c r="B8283" i="1"/>
  <c r="A8284" i="1"/>
  <c r="B8284" i="1"/>
  <c r="A8285" i="1"/>
  <c r="B8285" i="1"/>
  <c r="A8286" i="1"/>
  <c r="B8286" i="1"/>
  <c r="A8287" i="1"/>
  <c r="B8287" i="1"/>
  <c r="A8288" i="1"/>
  <c r="B8288" i="1"/>
  <c r="A8289" i="1"/>
  <c r="B8289" i="1"/>
  <c r="A8290" i="1"/>
  <c r="B8290" i="1"/>
  <c r="A8291" i="1"/>
  <c r="B8291" i="1"/>
  <c r="A8292" i="1"/>
  <c r="B8292" i="1"/>
  <c r="A8293" i="1"/>
  <c r="B8293" i="1"/>
  <c r="A8294" i="1"/>
  <c r="B8294" i="1"/>
  <c r="A8295" i="1"/>
  <c r="B8295" i="1"/>
  <c r="A8296" i="1"/>
  <c r="B8296" i="1"/>
  <c r="A8297" i="1"/>
  <c r="B8297" i="1"/>
  <c r="A8298" i="1"/>
  <c r="B8298" i="1"/>
  <c r="A8299" i="1"/>
  <c r="B8299" i="1"/>
  <c r="A8300" i="1"/>
  <c r="B8300" i="1"/>
  <c r="A8301" i="1"/>
  <c r="B8301" i="1"/>
  <c r="A8302" i="1"/>
  <c r="B8302" i="1"/>
  <c r="A8303" i="1"/>
  <c r="B8303" i="1"/>
  <c r="A8304" i="1"/>
  <c r="B8304" i="1"/>
  <c r="A8305" i="1"/>
  <c r="B8305" i="1"/>
  <c r="A8306" i="1"/>
  <c r="B8306" i="1"/>
  <c r="A8307" i="1"/>
  <c r="B8307" i="1"/>
  <c r="A8308" i="1"/>
  <c r="B8308" i="1"/>
  <c r="A8309" i="1"/>
  <c r="B8309" i="1"/>
  <c r="A8310" i="1"/>
  <c r="B8310" i="1"/>
  <c r="A8311" i="1"/>
  <c r="B8311" i="1"/>
  <c r="A8312" i="1"/>
  <c r="B8312" i="1"/>
  <c r="A8313" i="1"/>
  <c r="B8313" i="1"/>
  <c r="A8314" i="1"/>
  <c r="B8314" i="1"/>
  <c r="A8315" i="1"/>
  <c r="B8315" i="1"/>
  <c r="A8316" i="1"/>
  <c r="B8316" i="1"/>
  <c r="A8317" i="1"/>
  <c r="B8317" i="1"/>
  <c r="A8318" i="1"/>
  <c r="B8318" i="1"/>
  <c r="A8319" i="1"/>
  <c r="B8319" i="1"/>
  <c r="A8320" i="1"/>
  <c r="B8320" i="1"/>
  <c r="A8321" i="1"/>
  <c r="B8321" i="1"/>
  <c r="A8322" i="1"/>
  <c r="B8322" i="1"/>
  <c r="A8323" i="1"/>
  <c r="B8323" i="1"/>
  <c r="A8324" i="1"/>
  <c r="B8324" i="1"/>
  <c r="A8325" i="1"/>
  <c r="B8325" i="1"/>
  <c r="A8326" i="1"/>
  <c r="B8326" i="1"/>
  <c r="A8327" i="1"/>
  <c r="B8327" i="1"/>
  <c r="A8328" i="1"/>
  <c r="B8328" i="1"/>
  <c r="A8329" i="1"/>
  <c r="B8329" i="1"/>
  <c r="A8330" i="1"/>
  <c r="B8330" i="1"/>
  <c r="A8331" i="1"/>
  <c r="B8331" i="1"/>
  <c r="A8332" i="1"/>
  <c r="B8332" i="1"/>
  <c r="A8333" i="1"/>
  <c r="B8333" i="1"/>
  <c r="A8334" i="1"/>
  <c r="B8334" i="1"/>
  <c r="A8335" i="1"/>
  <c r="B8335" i="1"/>
  <c r="A8336" i="1"/>
  <c r="B8336" i="1"/>
  <c r="A8337" i="1"/>
  <c r="B8337" i="1"/>
  <c r="A8338" i="1"/>
  <c r="B8338" i="1"/>
  <c r="A8339" i="1"/>
  <c r="B8339" i="1"/>
  <c r="A8340" i="1"/>
  <c r="B8340" i="1"/>
  <c r="A8341" i="1"/>
  <c r="B8341" i="1"/>
  <c r="A8342" i="1"/>
  <c r="B8342" i="1"/>
  <c r="A8343" i="1"/>
  <c r="B8343" i="1"/>
  <c r="A8344" i="1"/>
  <c r="B8344" i="1"/>
  <c r="A8345" i="1"/>
  <c r="B8345" i="1"/>
  <c r="A8346" i="1"/>
  <c r="B8346" i="1"/>
  <c r="A8347" i="1"/>
  <c r="B8347" i="1"/>
  <c r="A8348" i="1"/>
  <c r="B8348" i="1"/>
  <c r="A8349" i="1"/>
  <c r="B8349" i="1"/>
  <c r="A8350" i="1"/>
  <c r="B8350" i="1"/>
  <c r="A8351" i="1"/>
  <c r="B8351" i="1"/>
  <c r="A8352" i="1"/>
  <c r="B8352" i="1"/>
  <c r="A8353" i="1"/>
  <c r="B8353" i="1"/>
  <c r="A8354" i="1"/>
  <c r="B8354" i="1"/>
  <c r="A8355" i="1"/>
  <c r="B8355" i="1"/>
  <c r="A8356" i="1"/>
  <c r="B8356" i="1"/>
  <c r="A8357" i="1"/>
  <c r="B8357" i="1"/>
  <c r="A8358" i="1"/>
  <c r="B8358" i="1"/>
  <c r="A8359" i="1"/>
  <c r="B8359" i="1"/>
  <c r="A8360" i="1"/>
  <c r="B8360" i="1"/>
  <c r="A8361" i="1"/>
  <c r="B8361" i="1"/>
  <c r="A8362" i="1"/>
  <c r="B8362" i="1"/>
  <c r="A8363" i="1"/>
  <c r="B8363" i="1"/>
  <c r="A8364" i="1"/>
  <c r="B8364" i="1"/>
  <c r="A8365" i="1"/>
  <c r="B8365" i="1"/>
  <c r="A8366" i="1"/>
  <c r="B8366" i="1"/>
  <c r="A8367" i="1"/>
  <c r="B8367" i="1"/>
  <c r="A8368" i="1"/>
  <c r="B8368" i="1"/>
  <c r="A8369" i="1"/>
  <c r="B8369" i="1"/>
  <c r="A8370" i="1"/>
  <c r="B8370" i="1"/>
  <c r="A8371" i="1"/>
  <c r="B8371" i="1"/>
  <c r="A8372" i="1"/>
  <c r="B8372" i="1"/>
  <c r="A8373" i="1"/>
  <c r="B8373" i="1"/>
  <c r="A8374" i="1"/>
  <c r="B8374" i="1"/>
  <c r="A8375" i="1"/>
  <c r="B8375" i="1"/>
  <c r="A8376" i="1"/>
  <c r="B8376" i="1"/>
  <c r="A8377" i="1"/>
  <c r="B8377" i="1"/>
  <c r="A8378" i="1"/>
  <c r="B8378" i="1"/>
  <c r="A8379" i="1"/>
  <c r="B8379" i="1"/>
  <c r="A8380" i="1"/>
  <c r="B8380" i="1"/>
  <c r="A8381" i="1"/>
  <c r="B8381" i="1"/>
  <c r="A8382" i="1"/>
  <c r="B8382" i="1"/>
  <c r="A8383" i="1"/>
  <c r="B8383" i="1"/>
  <c r="A8384" i="1"/>
  <c r="B8384" i="1"/>
  <c r="A8385" i="1"/>
  <c r="B8385" i="1"/>
  <c r="A8386" i="1"/>
  <c r="B8386" i="1"/>
  <c r="A8387" i="1"/>
  <c r="B8387" i="1"/>
  <c r="A8388" i="1"/>
  <c r="B8388" i="1"/>
  <c r="A8389" i="1"/>
  <c r="B8389" i="1"/>
  <c r="A8390" i="1"/>
  <c r="B8390" i="1"/>
  <c r="A8391" i="1"/>
  <c r="B8391" i="1"/>
  <c r="A8392" i="1"/>
  <c r="B8392" i="1"/>
  <c r="A8393" i="1"/>
  <c r="B8393" i="1"/>
  <c r="A8394" i="1"/>
  <c r="B8394" i="1"/>
  <c r="A8395" i="1"/>
  <c r="B8395" i="1"/>
  <c r="A8396" i="1"/>
  <c r="B8396" i="1"/>
  <c r="A8397" i="1"/>
  <c r="B8397" i="1"/>
  <c r="A8398" i="1"/>
  <c r="B8398" i="1"/>
  <c r="A8399" i="1"/>
  <c r="B8399" i="1"/>
  <c r="A8400" i="1"/>
  <c r="B8400" i="1"/>
  <c r="A8401" i="1"/>
  <c r="B8401" i="1"/>
  <c r="A8402" i="1"/>
  <c r="B8402" i="1"/>
  <c r="A8403" i="1"/>
  <c r="B8403" i="1"/>
  <c r="A8404" i="1"/>
  <c r="B8404" i="1"/>
  <c r="A8405" i="1"/>
  <c r="B8405" i="1"/>
  <c r="A8406" i="1"/>
  <c r="B8406" i="1"/>
  <c r="A8407" i="1"/>
  <c r="B8407" i="1"/>
  <c r="A8408" i="1"/>
  <c r="B8408" i="1"/>
  <c r="A8409" i="1"/>
  <c r="B8409" i="1"/>
  <c r="A8410" i="1"/>
  <c r="B8410" i="1"/>
  <c r="A8411" i="1"/>
  <c r="B8411" i="1"/>
  <c r="A8412" i="1"/>
  <c r="B8412" i="1"/>
  <c r="A8413" i="1"/>
  <c r="B8413" i="1"/>
  <c r="A8414" i="1"/>
  <c r="B8414" i="1"/>
  <c r="A8415" i="1"/>
  <c r="B8415" i="1"/>
  <c r="A8416" i="1"/>
  <c r="B8416" i="1"/>
  <c r="A8417" i="1"/>
  <c r="B8417" i="1"/>
  <c r="A8418" i="1"/>
  <c r="B8418" i="1"/>
  <c r="A8419" i="1"/>
  <c r="B8419" i="1"/>
  <c r="A8420" i="1"/>
  <c r="B8420" i="1"/>
  <c r="A8421" i="1"/>
  <c r="B8421" i="1"/>
  <c r="A8422" i="1"/>
  <c r="B8422" i="1"/>
  <c r="A8423" i="1"/>
  <c r="B8423" i="1"/>
  <c r="A8424" i="1"/>
  <c r="B8424" i="1"/>
  <c r="A8425" i="1"/>
  <c r="B8425" i="1"/>
  <c r="A8426" i="1"/>
  <c r="B8426" i="1"/>
  <c r="A8427" i="1"/>
  <c r="B8427" i="1"/>
  <c r="A8428" i="1"/>
  <c r="B8428" i="1"/>
  <c r="A8429" i="1"/>
  <c r="B8429" i="1"/>
  <c r="A8430" i="1"/>
  <c r="B8430" i="1"/>
  <c r="A8431" i="1"/>
  <c r="B8431" i="1"/>
  <c r="A8432" i="1"/>
  <c r="B8432" i="1"/>
  <c r="A8433" i="1"/>
  <c r="B8433" i="1"/>
  <c r="A8434" i="1"/>
  <c r="B8434" i="1"/>
  <c r="A8435" i="1"/>
  <c r="B8435" i="1"/>
  <c r="A8436" i="1"/>
  <c r="B8436" i="1"/>
  <c r="A8437" i="1"/>
  <c r="B8437" i="1"/>
  <c r="A8438" i="1"/>
  <c r="B8438" i="1"/>
  <c r="A8439" i="1"/>
  <c r="B8439" i="1"/>
  <c r="A8440" i="1"/>
  <c r="B8440" i="1"/>
  <c r="A8441" i="1"/>
  <c r="B8441" i="1"/>
  <c r="A8442" i="1"/>
  <c r="B8442" i="1"/>
  <c r="A8443" i="1"/>
  <c r="B8443" i="1"/>
  <c r="A8444" i="1"/>
  <c r="B8444" i="1"/>
  <c r="A8445" i="1"/>
  <c r="B8445" i="1"/>
  <c r="A8446" i="1"/>
  <c r="B8446" i="1"/>
  <c r="A8447" i="1"/>
  <c r="B8447" i="1"/>
  <c r="A8448" i="1"/>
  <c r="B8448" i="1"/>
  <c r="A8449" i="1"/>
  <c r="B8449" i="1"/>
  <c r="A8450" i="1"/>
  <c r="B8450" i="1"/>
  <c r="A8451" i="1"/>
  <c r="B8451" i="1"/>
  <c r="A8452" i="1"/>
  <c r="B8452" i="1"/>
  <c r="A8453" i="1"/>
  <c r="B8453" i="1"/>
  <c r="A8454" i="1"/>
  <c r="B8454" i="1"/>
  <c r="A8455" i="1"/>
  <c r="B8455" i="1"/>
  <c r="A8456" i="1"/>
  <c r="B8456" i="1"/>
  <c r="A8457" i="1"/>
  <c r="B8457" i="1"/>
  <c r="A8458" i="1"/>
  <c r="B8458" i="1"/>
  <c r="A8459" i="1"/>
  <c r="B8459" i="1"/>
  <c r="A8460" i="1"/>
  <c r="B8460" i="1"/>
  <c r="A8461" i="1"/>
  <c r="B8461" i="1"/>
  <c r="A8462" i="1"/>
  <c r="B8462" i="1"/>
  <c r="A8463" i="1"/>
  <c r="B8463" i="1"/>
  <c r="A8464" i="1"/>
  <c r="B8464" i="1"/>
  <c r="A8465" i="1"/>
  <c r="B8465" i="1"/>
  <c r="A8466" i="1"/>
  <c r="B8466" i="1"/>
  <c r="A8467" i="1"/>
  <c r="B8467" i="1"/>
  <c r="A8468" i="1"/>
  <c r="B8468" i="1"/>
  <c r="A8469" i="1"/>
  <c r="B8469" i="1"/>
  <c r="A8470" i="1"/>
  <c r="B8470" i="1"/>
  <c r="A8471" i="1"/>
  <c r="B8471" i="1"/>
  <c r="A8472" i="1"/>
  <c r="B8472" i="1"/>
  <c r="A8473" i="1"/>
  <c r="B8473" i="1"/>
  <c r="A8474" i="1"/>
  <c r="B8474" i="1"/>
  <c r="A8475" i="1"/>
  <c r="B8475" i="1"/>
  <c r="A8476" i="1"/>
  <c r="B8476" i="1"/>
  <c r="A8477" i="1"/>
  <c r="B8477" i="1"/>
  <c r="A8478" i="1"/>
  <c r="B8478" i="1"/>
  <c r="A8479" i="1"/>
  <c r="B8479" i="1"/>
  <c r="A8480" i="1"/>
  <c r="B8480" i="1"/>
  <c r="A8481" i="1"/>
  <c r="B8481" i="1"/>
  <c r="A8482" i="1"/>
  <c r="B8482" i="1"/>
  <c r="A8483" i="1"/>
  <c r="B8483" i="1"/>
  <c r="A8484" i="1"/>
  <c r="B8484" i="1"/>
  <c r="A8485" i="1"/>
  <c r="B8485" i="1"/>
  <c r="A8486" i="1"/>
  <c r="B8486" i="1"/>
  <c r="A8487" i="1"/>
  <c r="B8487" i="1"/>
  <c r="A8488" i="1"/>
  <c r="B8488" i="1"/>
  <c r="A8489" i="1"/>
  <c r="B8489" i="1"/>
  <c r="A8490" i="1"/>
  <c r="B8490" i="1"/>
  <c r="A8491" i="1"/>
  <c r="B8491" i="1"/>
  <c r="A8492" i="1"/>
  <c r="B8492" i="1"/>
  <c r="A8493" i="1"/>
  <c r="B8493" i="1"/>
  <c r="A8494" i="1"/>
  <c r="B8494" i="1"/>
  <c r="A8495" i="1"/>
  <c r="B8495" i="1"/>
  <c r="A8496" i="1"/>
  <c r="B8496" i="1"/>
  <c r="A8497" i="1"/>
  <c r="B8497" i="1"/>
  <c r="A8498" i="1"/>
  <c r="B8498" i="1"/>
  <c r="A8499" i="1"/>
  <c r="B8499" i="1"/>
  <c r="A8500" i="1"/>
  <c r="B8500" i="1"/>
  <c r="A8501" i="1"/>
  <c r="B8501" i="1"/>
  <c r="A8502" i="1"/>
  <c r="B8502" i="1"/>
  <c r="A8503" i="1"/>
  <c r="B8503" i="1"/>
  <c r="A8504" i="1"/>
  <c r="B8504" i="1"/>
  <c r="A8505" i="1"/>
  <c r="B8505" i="1"/>
  <c r="A8506" i="1"/>
  <c r="B8506" i="1"/>
  <c r="A8507" i="1"/>
  <c r="B8507" i="1"/>
  <c r="A8508" i="1"/>
  <c r="B8508" i="1"/>
  <c r="A8509" i="1"/>
  <c r="B8509" i="1"/>
  <c r="A8510" i="1"/>
  <c r="B8510" i="1"/>
  <c r="A8511" i="1"/>
  <c r="B8511" i="1"/>
  <c r="A8512" i="1"/>
  <c r="B8512" i="1"/>
  <c r="A8513" i="1"/>
  <c r="B8513" i="1"/>
  <c r="A8514" i="1"/>
  <c r="B8514" i="1"/>
  <c r="A8515" i="1"/>
  <c r="B8515" i="1"/>
  <c r="A8516" i="1"/>
  <c r="B8516" i="1"/>
  <c r="A8517" i="1"/>
  <c r="B8517" i="1"/>
  <c r="A8518" i="1"/>
  <c r="B8518" i="1"/>
  <c r="A8519" i="1"/>
  <c r="B8519" i="1"/>
  <c r="A8520" i="1"/>
  <c r="B8520" i="1"/>
  <c r="A8521" i="1"/>
  <c r="B8521" i="1"/>
  <c r="A8522" i="1"/>
  <c r="B8522" i="1"/>
  <c r="A8523" i="1"/>
  <c r="B8523" i="1"/>
  <c r="A8524" i="1"/>
  <c r="B8524" i="1"/>
  <c r="A8525" i="1"/>
  <c r="B8525" i="1"/>
  <c r="A8526" i="1"/>
  <c r="B8526" i="1"/>
  <c r="A8527" i="1"/>
  <c r="B8527" i="1"/>
  <c r="A8528" i="1"/>
  <c r="B8528" i="1"/>
  <c r="A8529" i="1"/>
  <c r="B8529" i="1"/>
  <c r="A8530" i="1"/>
  <c r="B8530" i="1"/>
  <c r="A8531" i="1"/>
  <c r="B8531" i="1"/>
  <c r="A8532" i="1"/>
  <c r="B8532" i="1"/>
  <c r="A8533" i="1"/>
  <c r="B8533" i="1"/>
  <c r="A8534" i="1"/>
  <c r="B8534" i="1"/>
  <c r="A8535" i="1"/>
  <c r="B8535" i="1"/>
  <c r="A8536" i="1"/>
  <c r="B8536" i="1"/>
  <c r="A8537" i="1"/>
  <c r="B8537" i="1"/>
  <c r="A8538" i="1"/>
  <c r="B8538" i="1"/>
  <c r="A8539" i="1"/>
  <c r="B8539" i="1"/>
  <c r="A8540" i="1"/>
  <c r="B8540" i="1"/>
  <c r="A8541" i="1"/>
  <c r="B8541" i="1"/>
  <c r="A8542" i="1"/>
  <c r="B8542" i="1"/>
  <c r="A8543" i="1"/>
  <c r="B8543" i="1"/>
  <c r="A8544" i="1"/>
  <c r="B8544" i="1"/>
  <c r="A8545" i="1"/>
  <c r="B8545" i="1"/>
  <c r="A8546" i="1"/>
  <c r="B8546" i="1"/>
  <c r="A8547" i="1"/>
  <c r="B8547" i="1"/>
  <c r="A8548" i="1"/>
  <c r="B8548" i="1"/>
  <c r="A8549" i="1"/>
  <c r="B8549" i="1"/>
  <c r="A8550" i="1"/>
  <c r="B8550" i="1"/>
  <c r="A8551" i="1"/>
  <c r="B8551" i="1"/>
  <c r="A8552" i="1"/>
  <c r="B8552" i="1"/>
  <c r="A8553" i="1"/>
  <c r="B8553" i="1"/>
  <c r="A8554" i="1"/>
  <c r="B8554" i="1"/>
  <c r="A8555" i="1"/>
  <c r="B8555" i="1"/>
  <c r="A8556" i="1"/>
  <c r="B8556" i="1"/>
  <c r="A8557" i="1"/>
  <c r="B8557" i="1"/>
  <c r="A8558" i="1"/>
  <c r="B8558" i="1"/>
  <c r="A8559" i="1"/>
  <c r="B8559" i="1"/>
  <c r="A8560" i="1"/>
  <c r="B8560" i="1"/>
  <c r="A8561" i="1"/>
  <c r="B8561" i="1"/>
  <c r="A8562" i="1"/>
  <c r="B8562" i="1"/>
  <c r="A8563" i="1"/>
  <c r="B8563" i="1"/>
  <c r="A8564" i="1"/>
  <c r="B8564" i="1"/>
  <c r="A8565" i="1"/>
  <c r="B8565" i="1"/>
  <c r="A8566" i="1"/>
  <c r="B8566" i="1"/>
  <c r="A8567" i="1"/>
  <c r="B8567" i="1"/>
  <c r="A8568" i="1"/>
  <c r="B8568" i="1"/>
  <c r="A8569" i="1"/>
  <c r="B8569" i="1"/>
  <c r="A8570" i="1"/>
  <c r="B8570" i="1"/>
  <c r="A8571" i="1"/>
  <c r="B8571" i="1"/>
  <c r="A8572" i="1"/>
  <c r="B8572" i="1"/>
  <c r="A8573" i="1"/>
  <c r="B8573" i="1"/>
  <c r="A8574" i="1"/>
  <c r="B8574" i="1"/>
  <c r="A8575" i="1"/>
  <c r="B8575" i="1"/>
  <c r="A8576" i="1"/>
  <c r="B8576" i="1"/>
  <c r="A8577" i="1"/>
  <c r="B8577" i="1"/>
  <c r="A8578" i="1"/>
  <c r="B8578" i="1"/>
  <c r="A8579" i="1"/>
  <c r="B8579" i="1"/>
  <c r="A8580" i="1"/>
  <c r="B8580" i="1"/>
  <c r="A8581" i="1"/>
  <c r="B8581" i="1"/>
  <c r="A8582" i="1"/>
  <c r="B8582" i="1"/>
  <c r="A8583" i="1"/>
  <c r="B8583" i="1"/>
  <c r="A8584" i="1"/>
  <c r="B8584" i="1"/>
  <c r="A8585" i="1"/>
  <c r="B8585" i="1"/>
  <c r="A8586" i="1"/>
  <c r="B8586" i="1"/>
  <c r="A8587" i="1"/>
  <c r="B8587" i="1"/>
  <c r="A8588" i="1"/>
  <c r="B8588" i="1"/>
  <c r="A8589" i="1"/>
  <c r="B8589" i="1"/>
  <c r="A8590" i="1"/>
  <c r="B8590" i="1"/>
  <c r="A8591" i="1"/>
  <c r="B8591" i="1"/>
  <c r="A8592" i="1"/>
  <c r="B8592" i="1"/>
  <c r="A8593" i="1"/>
  <c r="B8593" i="1"/>
  <c r="A8594" i="1"/>
  <c r="B8594" i="1"/>
  <c r="A8595" i="1"/>
  <c r="B8595" i="1"/>
  <c r="A8596" i="1"/>
  <c r="B8596" i="1"/>
  <c r="A8597" i="1"/>
  <c r="B8597" i="1"/>
  <c r="A8598" i="1"/>
  <c r="B8598" i="1"/>
  <c r="A8599" i="1"/>
  <c r="B8599" i="1"/>
  <c r="A8600" i="1"/>
  <c r="B8600" i="1"/>
  <c r="A8601" i="1"/>
  <c r="B8601" i="1"/>
  <c r="A8602" i="1"/>
  <c r="B8602" i="1"/>
  <c r="A8603" i="1"/>
  <c r="B8603" i="1"/>
  <c r="A8604" i="1"/>
  <c r="B8604" i="1"/>
  <c r="A8605" i="1"/>
  <c r="B8605" i="1"/>
  <c r="A8606" i="1"/>
  <c r="B8606" i="1"/>
  <c r="A8607" i="1"/>
  <c r="B8607" i="1"/>
  <c r="A8608" i="1"/>
  <c r="B8608" i="1"/>
  <c r="A8609" i="1"/>
  <c r="B8609" i="1"/>
  <c r="A8610" i="1"/>
  <c r="B8610" i="1"/>
  <c r="A8611" i="1"/>
  <c r="B8611" i="1"/>
  <c r="A8612" i="1"/>
  <c r="B8612" i="1"/>
  <c r="A8613" i="1"/>
  <c r="B8613" i="1"/>
  <c r="A8614" i="1"/>
  <c r="B8614" i="1"/>
  <c r="A8615" i="1"/>
  <c r="B8615" i="1"/>
  <c r="A8616" i="1"/>
  <c r="B8616" i="1"/>
  <c r="A8617" i="1"/>
  <c r="B8617" i="1"/>
  <c r="A8618" i="1"/>
  <c r="B8618" i="1"/>
  <c r="A8619" i="1"/>
  <c r="B8619" i="1"/>
  <c r="A8620" i="1"/>
  <c r="B8620" i="1"/>
  <c r="A8621" i="1"/>
  <c r="B8621" i="1"/>
  <c r="A8622" i="1"/>
  <c r="B8622" i="1"/>
  <c r="A8623" i="1"/>
  <c r="B8623" i="1"/>
  <c r="A8624" i="1"/>
  <c r="B8624" i="1"/>
  <c r="A8625" i="1"/>
  <c r="B8625" i="1"/>
  <c r="A8626" i="1"/>
  <c r="B8626" i="1"/>
  <c r="A8627" i="1"/>
  <c r="B8627" i="1"/>
  <c r="A8628" i="1"/>
  <c r="B8628" i="1"/>
  <c r="A8629" i="1"/>
  <c r="B8629" i="1"/>
  <c r="A8630" i="1"/>
  <c r="B8630" i="1"/>
  <c r="A8631" i="1"/>
  <c r="B8631" i="1"/>
  <c r="A8632" i="1"/>
  <c r="B8632" i="1"/>
  <c r="A8633" i="1"/>
  <c r="B8633" i="1"/>
  <c r="A8634" i="1"/>
  <c r="B8634" i="1"/>
  <c r="A8635" i="1"/>
  <c r="B8635" i="1"/>
  <c r="A8636" i="1"/>
  <c r="B8636" i="1"/>
  <c r="A8637" i="1"/>
  <c r="B8637" i="1"/>
  <c r="A8638" i="1"/>
  <c r="B8638" i="1"/>
  <c r="A8639" i="1"/>
  <c r="B8639" i="1"/>
  <c r="A8640" i="1"/>
  <c r="B8640" i="1"/>
  <c r="A8641" i="1"/>
  <c r="B8641" i="1"/>
  <c r="A8642" i="1"/>
  <c r="B8642" i="1"/>
  <c r="A8643" i="1"/>
  <c r="B8643" i="1"/>
  <c r="A8644" i="1"/>
  <c r="B8644" i="1"/>
  <c r="A8645" i="1"/>
  <c r="B8645" i="1"/>
  <c r="A8646" i="1"/>
  <c r="B8646" i="1"/>
  <c r="A8647" i="1"/>
  <c r="B8647" i="1"/>
  <c r="A8648" i="1"/>
  <c r="B8648" i="1"/>
  <c r="A8649" i="1"/>
  <c r="B8649" i="1"/>
  <c r="A8650" i="1"/>
  <c r="B8650" i="1"/>
  <c r="A8651" i="1"/>
  <c r="B8651" i="1"/>
  <c r="A8652" i="1"/>
  <c r="B8652" i="1"/>
  <c r="A8653" i="1"/>
  <c r="B8653" i="1"/>
  <c r="A8654" i="1"/>
  <c r="B8654" i="1"/>
  <c r="A8655" i="1"/>
  <c r="B8655" i="1"/>
  <c r="A8656" i="1"/>
  <c r="B8656" i="1"/>
  <c r="A8657" i="1"/>
  <c r="B8657" i="1"/>
  <c r="A8658" i="1"/>
  <c r="B8658" i="1"/>
  <c r="A8659" i="1"/>
  <c r="B8659" i="1"/>
  <c r="A8660" i="1"/>
  <c r="B8660" i="1"/>
  <c r="A8661" i="1"/>
  <c r="B8661" i="1"/>
  <c r="A8662" i="1"/>
  <c r="B8662" i="1"/>
  <c r="A8663" i="1"/>
  <c r="B8663" i="1"/>
  <c r="A8664" i="1"/>
  <c r="B8664" i="1"/>
  <c r="A8665" i="1"/>
  <c r="B8665" i="1"/>
  <c r="A8666" i="1"/>
  <c r="B8666" i="1"/>
  <c r="A8667" i="1"/>
  <c r="B8667" i="1"/>
  <c r="A8668" i="1"/>
  <c r="B8668" i="1"/>
  <c r="A8669" i="1"/>
  <c r="B8669" i="1"/>
  <c r="A8670" i="1"/>
  <c r="B8670" i="1"/>
  <c r="A8671" i="1"/>
  <c r="B8671" i="1"/>
  <c r="A8672" i="1"/>
  <c r="B8672" i="1"/>
  <c r="A8673" i="1"/>
  <c r="B8673" i="1"/>
  <c r="A8674" i="1"/>
  <c r="B8674" i="1"/>
  <c r="A8675" i="1"/>
  <c r="B8675" i="1"/>
  <c r="A8676" i="1"/>
  <c r="B8676" i="1"/>
  <c r="A8677" i="1"/>
  <c r="B8677" i="1"/>
  <c r="A8678" i="1"/>
  <c r="B8678" i="1"/>
  <c r="A8679" i="1"/>
  <c r="B8679" i="1"/>
  <c r="A8680" i="1"/>
  <c r="B8680" i="1"/>
  <c r="A8681" i="1"/>
  <c r="B8681" i="1"/>
  <c r="A8682" i="1"/>
  <c r="B8682" i="1"/>
  <c r="A8683" i="1"/>
  <c r="B8683" i="1"/>
  <c r="A8684" i="1"/>
  <c r="B8684" i="1"/>
  <c r="A8685" i="1"/>
  <c r="B8685" i="1"/>
  <c r="A8686" i="1"/>
  <c r="B8686" i="1"/>
  <c r="A8687" i="1"/>
  <c r="B8687" i="1"/>
  <c r="A8688" i="1"/>
  <c r="B8688" i="1"/>
  <c r="A8689" i="1"/>
  <c r="B8689" i="1"/>
  <c r="A8690" i="1"/>
  <c r="B8690" i="1"/>
  <c r="A8691" i="1"/>
  <c r="B8691" i="1"/>
  <c r="A8692" i="1"/>
  <c r="B8692" i="1"/>
  <c r="A8693" i="1"/>
  <c r="B8693" i="1"/>
  <c r="A8694" i="1"/>
  <c r="B8694" i="1"/>
  <c r="A8695" i="1"/>
  <c r="B8695" i="1"/>
  <c r="A8696" i="1"/>
  <c r="B8696" i="1"/>
  <c r="A8697" i="1"/>
  <c r="B8697" i="1"/>
  <c r="A8698" i="1"/>
  <c r="B8698" i="1"/>
  <c r="A8699" i="1"/>
  <c r="B8699" i="1"/>
  <c r="A8700" i="1"/>
  <c r="B8700" i="1"/>
  <c r="A8701" i="1"/>
  <c r="B8701" i="1"/>
  <c r="A8702" i="1"/>
  <c r="B8702" i="1"/>
  <c r="A8703" i="1"/>
  <c r="B8703" i="1"/>
  <c r="A8704" i="1"/>
  <c r="B8704" i="1"/>
  <c r="A8705" i="1"/>
  <c r="B8705" i="1"/>
  <c r="A8706" i="1"/>
  <c r="B8706" i="1"/>
  <c r="A8707" i="1"/>
  <c r="B8707" i="1"/>
  <c r="A8708" i="1"/>
  <c r="B8708" i="1"/>
  <c r="A8709" i="1"/>
  <c r="B8709" i="1"/>
  <c r="A8710" i="1"/>
  <c r="B8710" i="1"/>
  <c r="A8711" i="1"/>
  <c r="B8711" i="1"/>
  <c r="A8712" i="1"/>
  <c r="B8712" i="1"/>
  <c r="A8713" i="1"/>
  <c r="B8713" i="1"/>
  <c r="A8714" i="1"/>
  <c r="B8714" i="1"/>
  <c r="A8715" i="1"/>
  <c r="B8715" i="1"/>
  <c r="A8716" i="1"/>
  <c r="B8716" i="1"/>
  <c r="A8717" i="1"/>
  <c r="B8717" i="1"/>
  <c r="A8718" i="1"/>
  <c r="B8718" i="1"/>
  <c r="A8719" i="1"/>
  <c r="B8719" i="1"/>
  <c r="A8720" i="1"/>
  <c r="B8720" i="1"/>
  <c r="A8721" i="1"/>
  <c r="B8721" i="1"/>
  <c r="A8722" i="1"/>
  <c r="B8722" i="1"/>
  <c r="A8723" i="1"/>
  <c r="B8723" i="1"/>
  <c r="A8724" i="1"/>
  <c r="B8724" i="1"/>
  <c r="A8725" i="1"/>
  <c r="B8725" i="1"/>
  <c r="A8726" i="1"/>
  <c r="B8726" i="1"/>
  <c r="A8727" i="1"/>
  <c r="B8727" i="1"/>
  <c r="A8728" i="1"/>
  <c r="B8728" i="1"/>
  <c r="A8729" i="1"/>
  <c r="B8729" i="1"/>
  <c r="A8730" i="1"/>
  <c r="B8730" i="1"/>
  <c r="A8731" i="1"/>
  <c r="B8731" i="1"/>
  <c r="A8732" i="1"/>
  <c r="B8732" i="1"/>
  <c r="A8733" i="1"/>
  <c r="B8733" i="1"/>
  <c r="A8734" i="1"/>
  <c r="B8734" i="1"/>
  <c r="A8735" i="1"/>
  <c r="B8735" i="1"/>
  <c r="A8736" i="1"/>
  <c r="B8736" i="1"/>
  <c r="A8737" i="1"/>
  <c r="B8737" i="1"/>
  <c r="A8738" i="1"/>
  <c r="B8738" i="1"/>
  <c r="A8739" i="1"/>
  <c r="B8739" i="1"/>
  <c r="A8740" i="1"/>
  <c r="B8740" i="1"/>
  <c r="A8741" i="1"/>
  <c r="B8741" i="1"/>
  <c r="A8742" i="1"/>
  <c r="B8742" i="1"/>
  <c r="A8743" i="1"/>
  <c r="B8743" i="1"/>
  <c r="A8744" i="1"/>
  <c r="B8744" i="1"/>
  <c r="A8745" i="1"/>
  <c r="B8745" i="1"/>
  <c r="A8746" i="1"/>
  <c r="B8746" i="1"/>
  <c r="A8747" i="1"/>
  <c r="B8747" i="1"/>
  <c r="A8748" i="1"/>
  <c r="B8748" i="1"/>
  <c r="A8749" i="1"/>
  <c r="B8749" i="1"/>
  <c r="A8750" i="1"/>
  <c r="B8750" i="1"/>
  <c r="A8751" i="1"/>
  <c r="B8751" i="1"/>
  <c r="A8752" i="1"/>
  <c r="B8752" i="1"/>
  <c r="A8753" i="1"/>
  <c r="B8753" i="1"/>
  <c r="A8754" i="1"/>
  <c r="B8754" i="1"/>
  <c r="A8755" i="1"/>
  <c r="B8755" i="1"/>
  <c r="A8756" i="1"/>
  <c r="B8756" i="1"/>
  <c r="A8757" i="1"/>
  <c r="B8757" i="1"/>
  <c r="A8758" i="1"/>
  <c r="B8758" i="1"/>
  <c r="A8759" i="1"/>
  <c r="B8759" i="1"/>
  <c r="A8760" i="1"/>
  <c r="B8760" i="1"/>
  <c r="A8761" i="1"/>
  <c r="B8761" i="1"/>
  <c r="A8762" i="1"/>
  <c r="B8762" i="1"/>
  <c r="A8763" i="1"/>
  <c r="B8763" i="1"/>
  <c r="A8764" i="1"/>
  <c r="B8764" i="1"/>
  <c r="A8765" i="1"/>
  <c r="B8765" i="1"/>
  <c r="A8766" i="1"/>
  <c r="B8766" i="1"/>
  <c r="A8767" i="1"/>
  <c r="B8767" i="1"/>
  <c r="A8768" i="1"/>
  <c r="B8768" i="1"/>
  <c r="A8769" i="1"/>
  <c r="B8769" i="1"/>
  <c r="A8770" i="1"/>
  <c r="B8770" i="1"/>
  <c r="A8771" i="1"/>
  <c r="B8771" i="1"/>
  <c r="A8772" i="1"/>
  <c r="B8772" i="1"/>
  <c r="A8773" i="1"/>
  <c r="B8773" i="1"/>
  <c r="A8774" i="1"/>
  <c r="B8774" i="1"/>
  <c r="A8775" i="1"/>
  <c r="B8775" i="1"/>
  <c r="A8776" i="1"/>
  <c r="B8776" i="1"/>
  <c r="A8777" i="1"/>
  <c r="B8777" i="1"/>
  <c r="A8778" i="1"/>
  <c r="B8778" i="1"/>
  <c r="A8779" i="1"/>
  <c r="B8779" i="1"/>
  <c r="A8780" i="1"/>
  <c r="B8780" i="1"/>
  <c r="A8781" i="1"/>
  <c r="B8781" i="1"/>
  <c r="A8782" i="1"/>
  <c r="B8782" i="1"/>
  <c r="A8783" i="1"/>
  <c r="B8783" i="1"/>
  <c r="A8784" i="1"/>
  <c r="B8784" i="1"/>
  <c r="A8785" i="1"/>
  <c r="B8785" i="1"/>
  <c r="A8786" i="1"/>
  <c r="B8786" i="1"/>
  <c r="A8787" i="1"/>
  <c r="B8787" i="1"/>
  <c r="A8788" i="1"/>
  <c r="B8788" i="1"/>
  <c r="A8789" i="1"/>
  <c r="B8789" i="1"/>
  <c r="A8790" i="1"/>
  <c r="B8790" i="1"/>
  <c r="A8791" i="1"/>
  <c r="B8791" i="1"/>
  <c r="A8792" i="1"/>
  <c r="B8792" i="1"/>
  <c r="A8793" i="1"/>
  <c r="B8793" i="1"/>
  <c r="A8794" i="1"/>
  <c r="B8794" i="1"/>
  <c r="A8795" i="1"/>
  <c r="B8795" i="1"/>
  <c r="A8796" i="1"/>
  <c r="B8796" i="1"/>
  <c r="A8797" i="1"/>
  <c r="B8797" i="1"/>
  <c r="A8798" i="1"/>
  <c r="B8798" i="1"/>
  <c r="A8799" i="1"/>
  <c r="B8799" i="1"/>
  <c r="A8800" i="1"/>
  <c r="B8800" i="1"/>
  <c r="A8801" i="1"/>
  <c r="B8801" i="1"/>
  <c r="A8802" i="1"/>
  <c r="B8802" i="1"/>
  <c r="A8803" i="1"/>
  <c r="B8803" i="1"/>
  <c r="A8804" i="1"/>
  <c r="B8804" i="1"/>
  <c r="A8805" i="1"/>
  <c r="B8805" i="1"/>
  <c r="A8806" i="1"/>
  <c r="B8806" i="1"/>
  <c r="A8807" i="1"/>
  <c r="B8807" i="1"/>
  <c r="A8808" i="1"/>
  <c r="B8808" i="1"/>
  <c r="A8809" i="1"/>
  <c r="B8809" i="1"/>
  <c r="A8810" i="1"/>
  <c r="B8810" i="1"/>
  <c r="A8811" i="1"/>
  <c r="B8811" i="1"/>
  <c r="A8812" i="1"/>
  <c r="B8812" i="1"/>
  <c r="A8813" i="1"/>
  <c r="B8813" i="1"/>
  <c r="A8814" i="1"/>
  <c r="B8814" i="1"/>
  <c r="A8815" i="1"/>
  <c r="B8815" i="1"/>
  <c r="A8816" i="1"/>
  <c r="B8816" i="1"/>
  <c r="A8817" i="1"/>
  <c r="B8817" i="1"/>
  <c r="A8818" i="1"/>
  <c r="B8818" i="1"/>
  <c r="A8819" i="1"/>
  <c r="B8819" i="1"/>
  <c r="A8820" i="1"/>
  <c r="B8820" i="1"/>
  <c r="A8821" i="1"/>
  <c r="B8821" i="1"/>
  <c r="A8822" i="1"/>
  <c r="B8822" i="1"/>
  <c r="A8823" i="1"/>
  <c r="B8823" i="1"/>
  <c r="A8824" i="1"/>
  <c r="B8824" i="1"/>
  <c r="A8825" i="1"/>
  <c r="B8825" i="1"/>
  <c r="A8826" i="1"/>
  <c r="B8826" i="1"/>
  <c r="A8827" i="1"/>
  <c r="B8827" i="1"/>
  <c r="A8828" i="1"/>
  <c r="B8828" i="1"/>
  <c r="A8829" i="1"/>
  <c r="B8829" i="1"/>
  <c r="A8830" i="1"/>
  <c r="B8830" i="1"/>
  <c r="A8831" i="1"/>
  <c r="B8831" i="1"/>
  <c r="A8832" i="1"/>
  <c r="B8832" i="1"/>
  <c r="A8833" i="1"/>
  <c r="B8833" i="1"/>
  <c r="A8834" i="1"/>
  <c r="B8834" i="1"/>
  <c r="A8835" i="1"/>
  <c r="B8835" i="1"/>
  <c r="A8836" i="1"/>
  <c r="B8836" i="1"/>
  <c r="A8837" i="1"/>
  <c r="B8837" i="1"/>
  <c r="A8838" i="1"/>
  <c r="B8838" i="1"/>
  <c r="A8839" i="1"/>
  <c r="B8839" i="1"/>
  <c r="A8840" i="1"/>
  <c r="B8840" i="1"/>
  <c r="A8841" i="1"/>
  <c r="B8841" i="1"/>
  <c r="A8842" i="1"/>
  <c r="B8842" i="1"/>
  <c r="A8843" i="1"/>
  <c r="B8843" i="1"/>
  <c r="A8844" i="1"/>
  <c r="B8844" i="1"/>
  <c r="A8845" i="1"/>
  <c r="B8845" i="1"/>
  <c r="A8846" i="1"/>
  <c r="B8846" i="1"/>
  <c r="A8847" i="1"/>
  <c r="B8847" i="1"/>
  <c r="A8848" i="1"/>
  <c r="B8848" i="1"/>
  <c r="A8849" i="1"/>
  <c r="B8849" i="1"/>
  <c r="A8850" i="1"/>
  <c r="B8850" i="1"/>
  <c r="A8851" i="1"/>
  <c r="B8851" i="1"/>
  <c r="A8852" i="1"/>
  <c r="B8852" i="1"/>
  <c r="A8853" i="1"/>
  <c r="B8853" i="1"/>
  <c r="A8854" i="1"/>
  <c r="B8854" i="1"/>
  <c r="A8855" i="1"/>
  <c r="B8855" i="1"/>
  <c r="A8856" i="1"/>
  <c r="B8856" i="1"/>
  <c r="A8857" i="1"/>
  <c r="B8857" i="1"/>
  <c r="A8858" i="1"/>
  <c r="B8858" i="1"/>
  <c r="A8859" i="1"/>
  <c r="B8859" i="1"/>
  <c r="A8860" i="1"/>
  <c r="B8860" i="1"/>
  <c r="A8861" i="1"/>
  <c r="B8861" i="1"/>
  <c r="A8862" i="1"/>
  <c r="B8862" i="1"/>
  <c r="A8863" i="1"/>
  <c r="B8863" i="1"/>
  <c r="A8864" i="1"/>
  <c r="B8864" i="1"/>
  <c r="A8865" i="1"/>
  <c r="B8865" i="1"/>
  <c r="A8866" i="1"/>
  <c r="B8866" i="1"/>
  <c r="A8867" i="1"/>
  <c r="B8867" i="1"/>
  <c r="A8868" i="1"/>
  <c r="B8868" i="1"/>
  <c r="A8869" i="1"/>
  <c r="B8869" i="1"/>
  <c r="A8870" i="1"/>
  <c r="B8870" i="1"/>
  <c r="A8871" i="1"/>
  <c r="B8871" i="1"/>
  <c r="A8872" i="1"/>
  <c r="B8872" i="1"/>
  <c r="A8873" i="1"/>
  <c r="B8873" i="1"/>
  <c r="A8874" i="1"/>
  <c r="B8874" i="1"/>
  <c r="A8875" i="1"/>
  <c r="B8875" i="1"/>
  <c r="A8876" i="1"/>
  <c r="B8876" i="1"/>
  <c r="A8877" i="1"/>
  <c r="B8877" i="1"/>
  <c r="A8878" i="1"/>
  <c r="B8878" i="1"/>
  <c r="A8879" i="1"/>
  <c r="B8879" i="1"/>
  <c r="A8880" i="1"/>
  <c r="B8880" i="1"/>
  <c r="A8881" i="1"/>
  <c r="B8881" i="1"/>
  <c r="A8882" i="1"/>
  <c r="B8882" i="1"/>
  <c r="A8883" i="1"/>
  <c r="B8883" i="1"/>
  <c r="A8884" i="1"/>
  <c r="B8884" i="1"/>
  <c r="A8885" i="1"/>
  <c r="B8885" i="1"/>
  <c r="A8886" i="1"/>
  <c r="B8886" i="1"/>
  <c r="A8887" i="1"/>
  <c r="B8887" i="1"/>
  <c r="A8888" i="1"/>
  <c r="B8888" i="1"/>
  <c r="A8889" i="1"/>
  <c r="B8889" i="1"/>
  <c r="A8890" i="1"/>
  <c r="B8890" i="1"/>
  <c r="A8891" i="1"/>
  <c r="B8891" i="1"/>
  <c r="A8892" i="1"/>
  <c r="B8892" i="1"/>
  <c r="A8893" i="1"/>
  <c r="B8893" i="1"/>
  <c r="A8894" i="1"/>
  <c r="B8894" i="1"/>
  <c r="A8895" i="1"/>
  <c r="B8895" i="1"/>
  <c r="A8896" i="1"/>
  <c r="B8896" i="1"/>
  <c r="A8897" i="1"/>
  <c r="B8897" i="1"/>
  <c r="A8898" i="1"/>
  <c r="B8898" i="1"/>
  <c r="A8899" i="1"/>
  <c r="B8899" i="1"/>
  <c r="A8900" i="1"/>
  <c r="B8900" i="1"/>
  <c r="A8901" i="1"/>
  <c r="B8901" i="1"/>
  <c r="A8902" i="1"/>
  <c r="B8902" i="1"/>
  <c r="A8903" i="1"/>
  <c r="B8903" i="1"/>
  <c r="A8904" i="1"/>
  <c r="B8904" i="1"/>
  <c r="A8905" i="1"/>
  <c r="B8905" i="1"/>
  <c r="A8906" i="1"/>
  <c r="B8906" i="1"/>
  <c r="A8907" i="1"/>
  <c r="B8907" i="1"/>
  <c r="A8908" i="1"/>
  <c r="B8908" i="1"/>
  <c r="A8909" i="1"/>
  <c r="B8909" i="1"/>
  <c r="A8910" i="1"/>
  <c r="B8910" i="1"/>
  <c r="A8911" i="1"/>
  <c r="B8911" i="1"/>
  <c r="A8912" i="1"/>
  <c r="B8912" i="1"/>
  <c r="A8913" i="1"/>
  <c r="B8913" i="1"/>
  <c r="A8914" i="1"/>
  <c r="B8914" i="1"/>
  <c r="A8915" i="1"/>
  <c r="B8915" i="1"/>
  <c r="A8916" i="1"/>
  <c r="B8916" i="1"/>
  <c r="A8917" i="1"/>
  <c r="B8917" i="1"/>
  <c r="A8918" i="1"/>
  <c r="B8918" i="1"/>
  <c r="A8919" i="1"/>
  <c r="B8919" i="1"/>
  <c r="A8920" i="1"/>
  <c r="B8920" i="1"/>
  <c r="A8921" i="1"/>
  <c r="B8921" i="1"/>
  <c r="A8922" i="1"/>
  <c r="B8922" i="1"/>
  <c r="A8923" i="1"/>
  <c r="B8923" i="1"/>
  <c r="A8924" i="1"/>
  <c r="B8924" i="1"/>
  <c r="A8925" i="1"/>
  <c r="B8925" i="1"/>
  <c r="A8926" i="1"/>
  <c r="B8926" i="1"/>
  <c r="A8927" i="1"/>
  <c r="B8927" i="1"/>
  <c r="A8928" i="1"/>
  <c r="B8928" i="1"/>
  <c r="A8929" i="1"/>
  <c r="B8929" i="1"/>
  <c r="A8930" i="1"/>
  <c r="B8930" i="1"/>
  <c r="A8931" i="1"/>
  <c r="B8931" i="1"/>
  <c r="A8932" i="1"/>
  <c r="B8932" i="1"/>
  <c r="A8933" i="1"/>
  <c r="B8933" i="1"/>
  <c r="A8934" i="1"/>
  <c r="B8934" i="1"/>
  <c r="A8935" i="1"/>
  <c r="B8935" i="1"/>
  <c r="A8936" i="1"/>
  <c r="B8936" i="1"/>
  <c r="A8937" i="1"/>
  <c r="B8937" i="1"/>
  <c r="A8938" i="1"/>
  <c r="B8938" i="1"/>
  <c r="A8939" i="1"/>
  <c r="B8939" i="1"/>
  <c r="A8940" i="1"/>
  <c r="B8940" i="1"/>
  <c r="A8941" i="1"/>
  <c r="B8941" i="1"/>
  <c r="A8942" i="1"/>
  <c r="B8942" i="1"/>
  <c r="A8943" i="1"/>
  <c r="B8943" i="1"/>
  <c r="A8944" i="1"/>
  <c r="B8944" i="1"/>
  <c r="A8945" i="1"/>
  <c r="B8945" i="1"/>
  <c r="A8946" i="1"/>
  <c r="B8946" i="1"/>
  <c r="A8947" i="1"/>
  <c r="B8947" i="1"/>
  <c r="A8948" i="1"/>
  <c r="B8948" i="1"/>
  <c r="A8949" i="1"/>
  <c r="B8949" i="1"/>
  <c r="A8950" i="1"/>
  <c r="B8950" i="1"/>
  <c r="A8951" i="1"/>
  <c r="B8951" i="1"/>
  <c r="A8952" i="1"/>
  <c r="B8952" i="1"/>
  <c r="A8953" i="1"/>
  <c r="B8953" i="1"/>
  <c r="A8954" i="1"/>
  <c r="B8954" i="1"/>
  <c r="A8955" i="1"/>
  <c r="B8955" i="1"/>
  <c r="A8956" i="1"/>
  <c r="B8956" i="1"/>
  <c r="A8957" i="1"/>
  <c r="B8957" i="1"/>
  <c r="A8958" i="1"/>
  <c r="B8958" i="1"/>
  <c r="A8959" i="1"/>
  <c r="B8959" i="1"/>
  <c r="A8960" i="1"/>
  <c r="B8960" i="1"/>
  <c r="A8961" i="1"/>
  <c r="B8961" i="1"/>
  <c r="A8962" i="1"/>
  <c r="B8962" i="1"/>
  <c r="A8963" i="1"/>
  <c r="B8963" i="1"/>
  <c r="A8964" i="1"/>
  <c r="B8964" i="1"/>
  <c r="A8965" i="1"/>
  <c r="B8965" i="1"/>
  <c r="A8966" i="1"/>
  <c r="B8966" i="1"/>
  <c r="A8967" i="1"/>
  <c r="B8967" i="1"/>
  <c r="A8968" i="1"/>
  <c r="B8968" i="1"/>
  <c r="A8969" i="1"/>
  <c r="B8969" i="1"/>
  <c r="A8970" i="1"/>
  <c r="B8970" i="1"/>
  <c r="A8971" i="1"/>
  <c r="B8971" i="1"/>
  <c r="A8972" i="1"/>
  <c r="B8972" i="1"/>
  <c r="A8973" i="1"/>
  <c r="B8973" i="1"/>
  <c r="A8974" i="1"/>
  <c r="B8974" i="1"/>
  <c r="A8975" i="1"/>
  <c r="B8975" i="1"/>
  <c r="A8976" i="1"/>
  <c r="B8976" i="1"/>
  <c r="A8977" i="1"/>
  <c r="B8977" i="1"/>
  <c r="A8978" i="1"/>
  <c r="B8978" i="1"/>
  <c r="A8979" i="1"/>
  <c r="B8979" i="1"/>
  <c r="A8980" i="1"/>
  <c r="B8980" i="1"/>
  <c r="A8981" i="1"/>
  <c r="B8981" i="1"/>
  <c r="A8982" i="1"/>
  <c r="B8982" i="1"/>
  <c r="A8983" i="1"/>
  <c r="B8983" i="1"/>
  <c r="A8984" i="1"/>
  <c r="B8984" i="1"/>
  <c r="A8985" i="1"/>
  <c r="B8985" i="1"/>
  <c r="A8986" i="1"/>
  <c r="B8986" i="1"/>
  <c r="A8987" i="1"/>
  <c r="B8987" i="1"/>
  <c r="A8988" i="1"/>
  <c r="B8988" i="1"/>
  <c r="A8989" i="1"/>
  <c r="B8989" i="1"/>
  <c r="A8990" i="1"/>
  <c r="B8990" i="1"/>
  <c r="A8991" i="1"/>
  <c r="B8991" i="1"/>
  <c r="A8992" i="1"/>
  <c r="B8992" i="1"/>
  <c r="A8993" i="1"/>
  <c r="B8993" i="1"/>
  <c r="A8994" i="1"/>
  <c r="B8994" i="1"/>
  <c r="A8995" i="1"/>
  <c r="B8995" i="1"/>
  <c r="A8996" i="1"/>
  <c r="B8996" i="1"/>
  <c r="A8997" i="1"/>
  <c r="B8997" i="1"/>
  <c r="A8998" i="1"/>
  <c r="B8998" i="1"/>
  <c r="A8999" i="1"/>
  <c r="B8999" i="1"/>
  <c r="A9000" i="1"/>
  <c r="B9000" i="1"/>
  <c r="A9001" i="1"/>
  <c r="B9001" i="1"/>
  <c r="A9002" i="1"/>
  <c r="B9002" i="1"/>
  <c r="A9003" i="1"/>
  <c r="B9003" i="1"/>
  <c r="A9004" i="1"/>
  <c r="B9004" i="1"/>
  <c r="A9005" i="1"/>
  <c r="B9005" i="1"/>
  <c r="A9006" i="1"/>
  <c r="B9006" i="1"/>
  <c r="A9007" i="1"/>
  <c r="B9007" i="1"/>
  <c r="A9008" i="1"/>
  <c r="B9008" i="1"/>
  <c r="A9009" i="1"/>
  <c r="B9009" i="1"/>
  <c r="A9010" i="1"/>
  <c r="B9010" i="1"/>
  <c r="A9011" i="1"/>
  <c r="B9011" i="1"/>
  <c r="A9012" i="1"/>
  <c r="B9012" i="1"/>
  <c r="A9013" i="1"/>
  <c r="B9013" i="1"/>
  <c r="A9014" i="1"/>
  <c r="B9014" i="1"/>
  <c r="A9015" i="1"/>
  <c r="B9015" i="1"/>
  <c r="A9016" i="1"/>
  <c r="B9016" i="1"/>
  <c r="A9017" i="1"/>
  <c r="B9017" i="1"/>
  <c r="A9018" i="1"/>
  <c r="B9018" i="1"/>
  <c r="A9019" i="1"/>
  <c r="B9019" i="1"/>
  <c r="A9020" i="1"/>
  <c r="B9020" i="1"/>
  <c r="A9021" i="1"/>
  <c r="B9021" i="1"/>
  <c r="A9022" i="1"/>
  <c r="B9022" i="1"/>
  <c r="A9023" i="1"/>
  <c r="B9023" i="1"/>
  <c r="A9024" i="1"/>
  <c r="B9024" i="1"/>
  <c r="A9025" i="1"/>
  <c r="B9025" i="1"/>
  <c r="A9026" i="1"/>
  <c r="B9026" i="1"/>
  <c r="A9027" i="1"/>
  <c r="B9027" i="1"/>
  <c r="A9028" i="1"/>
  <c r="B9028" i="1"/>
  <c r="A9029" i="1"/>
  <c r="B9029" i="1"/>
  <c r="A9030" i="1"/>
  <c r="B9030" i="1"/>
  <c r="A9031" i="1"/>
  <c r="B9031" i="1"/>
  <c r="A9032" i="1"/>
  <c r="B9032" i="1"/>
  <c r="A9033" i="1"/>
  <c r="B9033" i="1"/>
  <c r="A9034" i="1"/>
  <c r="B9034" i="1"/>
  <c r="A9035" i="1"/>
  <c r="B9035" i="1"/>
  <c r="A9036" i="1"/>
  <c r="B9036" i="1"/>
  <c r="A9037" i="1"/>
  <c r="B9037" i="1"/>
  <c r="A9038" i="1"/>
  <c r="B9038" i="1"/>
  <c r="A9039" i="1"/>
  <c r="B9039" i="1"/>
  <c r="A9040" i="1"/>
  <c r="B9040" i="1"/>
  <c r="A9041" i="1"/>
  <c r="B9041" i="1"/>
  <c r="A9042" i="1"/>
  <c r="B9042" i="1"/>
  <c r="A9043" i="1"/>
  <c r="B9043" i="1"/>
  <c r="A9044" i="1"/>
  <c r="B9044" i="1"/>
  <c r="A9045" i="1"/>
  <c r="B9045" i="1"/>
  <c r="A9046" i="1"/>
  <c r="B9046" i="1"/>
  <c r="A9047" i="1"/>
  <c r="B9047" i="1"/>
  <c r="A9048" i="1"/>
  <c r="B9048" i="1"/>
  <c r="A9049" i="1"/>
  <c r="B9049" i="1"/>
  <c r="A9050" i="1"/>
  <c r="B9050" i="1"/>
  <c r="A9051" i="1"/>
  <c r="B9051" i="1"/>
  <c r="A9052" i="1"/>
  <c r="B9052" i="1"/>
  <c r="A9053" i="1"/>
  <c r="B9053" i="1"/>
  <c r="A9054" i="1"/>
  <c r="B9054" i="1"/>
  <c r="A9055" i="1"/>
  <c r="B9055" i="1"/>
  <c r="A9056" i="1"/>
  <c r="B9056" i="1"/>
  <c r="A9057" i="1"/>
  <c r="B9057" i="1"/>
  <c r="A9058" i="1"/>
  <c r="B9058" i="1"/>
  <c r="A9059" i="1"/>
  <c r="B9059" i="1"/>
  <c r="A9060" i="1"/>
  <c r="B9060" i="1"/>
  <c r="A9061" i="1"/>
  <c r="B9061" i="1"/>
  <c r="A9062" i="1"/>
  <c r="B9062" i="1"/>
  <c r="A9063" i="1"/>
  <c r="B9063" i="1"/>
  <c r="A9064" i="1"/>
  <c r="B9064" i="1"/>
  <c r="A9065" i="1"/>
  <c r="B9065" i="1"/>
  <c r="A9066" i="1"/>
  <c r="B9066" i="1"/>
  <c r="A9067" i="1"/>
  <c r="B9067" i="1"/>
  <c r="A9068" i="1"/>
  <c r="B9068" i="1"/>
  <c r="A9069" i="1"/>
  <c r="B9069" i="1"/>
  <c r="A9070" i="1"/>
  <c r="B9070" i="1"/>
  <c r="A9071" i="1"/>
  <c r="B9071" i="1"/>
  <c r="A9072" i="1"/>
  <c r="B9072" i="1"/>
  <c r="A9073" i="1"/>
  <c r="B9073" i="1"/>
  <c r="A9074" i="1"/>
  <c r="B9074" i="1"/>
  <c r="A9075" i="1"/>
  <c r="B9075" i="1"/>
  <c r="A9076" i="1"/>
  <c r="B9076" i="1"/>
  <c r="A9077" i="1"/>
  <c r="B9077" i="1"/>
  <c r="A9078" i="1"/>
  <c r="B9078" i="1"/>
  <c r="A9079" i="1"/>
  <c r="B9079" i="1"/>
  <c r="A9080" i="1"/>
  <c r="B9080" i="1"/>
  <c r="A9081" i="1"/>
  <c r="B9081" i="1"/>
  <c r="A9082" i="1"/>
  <c r="B9082" i="1"/>
  <c r="A9083" i="1"/>
  <c r="B9083" i="1"/>
  <c r="A9084" i="1"/>
  <c r="B9084" i="1"/>
  <c r="A9085" i="1"/>
  <c r="B9085" i="1"/>
  <c r="A9086" i="1"/>
  <c r="B9086" i="1"/>
  <c r="A9087" i="1"/>
  <c r="B9087" i="1"/>
  <c r="A9088" i="1"/>
  <c r="B9088" i="1"/>
  <c r="A9089" i="1"/>
  <c r="B9089" i="1"/>
  <c r="A9090" i="1"/>
  <c r="B9090" i="1"/>
  <c r="A9091" i="1"/>
  <c r="B9091" i="1"/>
  <c r="A9092" i="1"/>
  <c r="B9092" i="1"/>
  <c r="A9093" i="1"/>
  <c r="B9093" i="1"/>
  <c r="A9094" i="1"/>
  <c r="B9094" i="1"/>
  <c r="A9095" i="1"/>
  <c r="B9095" i="1"/>
  <c r="A9096" i="1"/>
  <c r="B9096" i="1"/>
  <c r="A9097" i="1"/>
  <c r="B9097" i="1"/>
  <c r="A9098" i="1"/>
  <c r="B9098" i="1"/>
  <c r="A9099" i="1"/>
  <c r="B9099" i="1"/>
  <c r="A9100" i="1"/>
  <c r="B9100" i="1"/>
  <c r="A9101" i="1"/>
  <c r="B9101" i="1"/>
  <c r="A9102" i="1"/>
  <c r="B9102" i="1"/>
  <c r="A9103" i="1"/>
  <c r="B9103" i="1"/>
  <c r="A9104" i="1"/>
  <c r="B9104" i="1"/>
  <c r="A9105" i="1"/>
  <c r="B9105" i="1"/>
  <c r="A9106" i="1"/>
  <c r="B9106" i="1"/>
  <c r="A9107" i="1"/>
  <c r="B9107" i="1"/>
  <c r="A9108" i="1"/>
  <c r="B9108" i="1"/>
  <c r="A9109" i="1"/>
  <c r="B9109" i="1"/>
  <c r="A9110" i="1"/>
  <c r="B9110" i="1"/>
  <c r="A9111" i="1"/>
  <c r="B9111" i="1"/>
  <c r="A9112" i="1"/>
  <c r="B9112" i="1"/>
  <c r="A9113" i="1"/>
  <c r="B9113" i="1"/>
  <c r="A9114" i="1"/>
  <c r="B9114" i="1"/>
  <c r="A9115" i="1"/>
  <c r="B9115" i="1"/>
  <c r="A9116" i="1"/>
  <c r="B9116" i="1"/>
  <c r="A9117" i="1"/>
  <c r="B9117" i="1"/>
  <c r="A9118" i="1"/>
  <c r="B9118" i="1"/>
  <c r="A9119" i="1"/>
  <c r="B9119" i="1"/>
  <c r="A9120" i="1"/>
  <c r="B9120" i="1"/>
  <c r="A9121" i="1"/>
  <c r="B9121" i="1"/>
  <c r="A9122" i="1"/>
  <c r="B9122" i="1"/>
  <c r="A9123" i="1"/>
  <c r="B9123" i="1"/>
  <c r="A9124" i="1"/>
  <c r="B9124" i="1"/>
  <c r="A9125" i="1"/>
  <c r="B9125" i="1"/>
  <c r="A9126" i="1"/>
  <c r="B9126" i="1"/>
  <c r="A9127" i="1"/>
  <c r="B9127" i="1"/>
  <c r="A9128" i="1"/>
  <c r="B9128" i="1"/>
  <c r="A9129" i="1"/>
  <c r="B9129" i="1"/>
  <c r="A9130" i="1"/>
  <c r="B9130" i="1"/>
  <c r="A9131" i="1"/>
  <c r="B9131" i="1"/>
  <c r="A9132" i="1"/>
  <c r="B9132" i="1"/>
  <c r="A9133" i="1"/>
  <c r="B9133" i="1"/>
  <c r="A9134" i="1"/>
  <c r="B9134" i="1"/>
  <c r="A9135" i="1"/>
  <c r="B9135" i="1"/>
  <c r="A9136" i="1"/>
  <c r="B9136" i="1"/>
  <c r="A9137" i="1"/>
  <c r="B9137" i="1"/>
  <c r="A9138" i="1"/>
  <c r="B9138" i="1"/>
  <c r="A9139" i="1"/>
  <c r="B9139" i="1"/>
  <c r="A9140" i="1"/>
  <c r="B9140" i="1"/>
  <c r="A9141" i="1"/>
  <c r="B9141" i="1"/>
  <c r="A9142" i="1"/>
  <c r="B9142" i="1"/>
  <c r="A9143" i="1"/>
  <c r="B9143" i="1"/>
  <c r="A9144" i="1"/>
  <c r="B9144" i="1"/>
  <c r="A9145" i="1"/>
  <c r="B9145" i="1"/>
  <c r="A9146" i="1"/>
  <c r="B9146" i="1"/>
  <c r="A9147" i="1"/>
  <c r="B9147" i="1"/>
  <c r="A9148" i="1"/>
  <c r="B9148" i="1"/>
  <c r="A9149" i="1"/>
  <c r="B9149" i="1"/>
  <c r="A9150" i="1"/>
  <c r="B9150" i="1"/>
  <c r="A9151" i="1"/>
  <c r="B9151" i="1"/>
  <c r="A9152" i="1"/>
  <c r="B9152" i="1"/>
  <c r="A9153" i="1"/>
  <c r="B9153" i="1"/>
  <c r="A9154" i="1"/>
  <c r="B9154" i="1"/>
  <c r="A9155" i="1"/>
  <c r="B9155" i="1"/>
  <c r="A9156" i="1"/>
  <c r="B9156" i="1"/>
  <c r="A9157" i="1"/>
  <c r="B9157" i="1"/>
  <c r="A9158" i="1"/>
  <c r="B9158" i="1"/>
  <c r="A9159" i="1"/>
  <c r="B9159" i="1"/>
  <c r="A9160" i="1"/>
  <c r="B9160" i="1"/>
  <c r="A9161" i="1"/>
  <c r="B9161" i="1"/>
  <c r="A9162" i="1"/>
  <c r="B9162" i="1"/>
  <c r="A9163" i="1"/>
  <c r="B9163" i="1"/>
  <c r="A9164" i="1"/>
  <c r="B9164" i="1"/>
  <c r="A9165" i="1"/>
  <c r="B9165" i="1"/>
  <c r="A9166" i="1"/>
  <c r="B9166" i="1"/>
  <c r="A9167" i="1"/>
  <c r="B9167" i="1"/>
  <c r="A9168" i="1"/>
  <c r="B9168" i="1"/>
  <c r="A9169" i="1"/>
  <c r="B9169" i="1"/>
  <c r="A9170" i="1"/>
  <c r="B9170" i="1"/>
  <c r="A9171" i="1"/>
  <c r="B9171" i="1"/>
  <c r="A9172" i="1"/>
  <c r="B9172" i="1"/>
  <c r="A9173" i="1"/>
  <c r="B9173" i="1"/>
  <c r="A9174" i="1"/>
  <c r="B9174" i="1"/>
  <c r="A9175" i="1"/>
  <c r="B9175" i="1"/>
  <c r="A9176" i="1"/>
  <c r="B9176" i="1"/>
  <c r="A9177" i="1"/>
  <c r="B9177" i="1"/>
  <c r="A9178" i="1"/>
  <c r="B9178" i="1"/>
  <c r="A9179" i="1"/>
  <c r="B9179" i="1"/>
  <c r="A9180" i="1"/>
  <c r="B9180" i="1"/>
  <c r="A9181" i="1"/>
  <c r="B9181" i="1"/>
  <c r="A9182" i="1"/>
  <c r="B9182" i="1"/>
  <c r="A9183" i="1"/>
  <c r="B9183" i="1"/>
  <c r="A9184" i="1"/>
  <c r="B9184" i="1"/>
  <c r="A9185" i="1"/>
  <c r="B9185" i="1"/>
  <c r="A9186" i="1"/>
  <c r="B9186" i="1"/>
  <c r="A9187" i="1"/>
  <c r="B9187" i="1"/>
  <c r="A9188" i="1"/>
  <c r="B9188" i="1"/>
  <c r="A9189" i="1"/>
  <c r="B9189" i="1"/>
  <c r="A9190" i="1"/>
  <c r="B9190" i="1"/>
  <c r="A9191" i="1"/>
  <c r="B9191" i="1"/>
  <c r="A9192" i="1"/>
  <c r="B9192" i="1"/>
  <c r="A9193" i="1"/>
  <c r="B9193" i="1"/>
  <c r="A9194" i="1"/>
  <c r="B9194" i="1"/>
  <c r="A9195" i="1"/>
  <c r="B9195" i="1"/>
  <c r="A9196" i="1"/>
  <c r="B9196" i="1"/>
  <c r="A9197" i="1"/>
  <c r="B9197" i="1"/>
  <c r="A9198" i="1"/>
  <c r="B9198" i="1"/>
  <c r="A9199" i="1"/>
  <c r="B9199" i="1"/>
  <c r="A9200" i="1"/>
  <c r="B9200" i="1"/>
  <c r="A9201" i="1"/>
  <c r="B9201" i="1"/>
  <c r="A9202" i="1"/>
  <c r="B9202" i="1"/>
  <c r="A9203" i="1"/>
  <c r="B9203" i="1"/>
  <c r="A9204" i="1"/>
  <c r="B9204" i="1"/>
  <c r="A9205" i="1"/>
  <c r="B9205" i="1"/>
  <c r="A9206" i="1"/>
  <c r="B9206" i="1"/>
  <c r="A9207" i="1"/>
  <c r="B9207" i="1"/>
  <c r="A9208" i="1"/>
  <c r="B9208" i="1"/>
  <c r="A9209" i="1"/>
  <c r="B9209" i="1"/>
  <c r="A9210" i="1"/>
  <c r="B9210" i="1"/>
  <c r="A9211" i="1"/>
  <c r="B9211" i="1"/>
  <c r="A9212" i="1"/>
  <c r="B9212" i="1"/>
  <c r="A9213" i="1"/>
  <c r="B9213" i="1"/>
  <c r="A9214" i="1"/>
  <c r="B9214" i="1"/>
  <c r="A9215" i="1"/>
  <c r="B9215" i="1"/>
  <c r="A9216" i="1"/>
  <c r="B9216" i="1"/>
  <c r="A9217" i="1"/>
  <c r="B9217" i="1"/>
  <c r="A9218" i="1"/>
  <c r="B9218" i="1"/>
  <c r="A9219" i="1"/>
  <c r="B9219" i="1"/>
  <c r="A9220" i="1"/>
  <c r="B9220" i="1"/>
  <c r="A9221" i="1"/>
  <c r="B9221" i="1"/>
  <c r="A9222" i="1"/>
  <c r="B9222" i="1"/>
  <c r="A9223" i="1"/>
  <c r="B9223" i="1"/>
  <c r="A9224" i="1"/>
  <c r="B9224" i="1"/>
  <c r="A9225" i="1"/>
  <c r="B9225" i="1"/>
  <c r="A9226" i="1"/>
  <c r="B9226" i="1"/>
  <c r="A9227" i="1"/>
  <c r="B9227" i="1"/>
  <c r="A9228" i="1"/>
  <c r="B9228" i="1"/>
  <c r="A9229" i="1"/>
  <c r="B9229" i="1"/>
  <c r="A9230" i="1"/>
  <c r="B9230" i="1"/>
  <c r="A9231" i="1"/>
  <c r="B9231" i="1"/>
  <c r="A9232" i="1"/>
  <c r="B9232" i="1"/>
  <c r="A9233" i="1"/>
  <c r="B9233" i="1"/>
  <c r="A9234" i="1"/>
  <c r="B9234" i="1"/>
  <c r="A9235" i="1"/>
  <c r="B9235" i="1"/>
  <c r="A9236" i="1"/>
  <c r="B9236" i="1"/>
  <c r="A9237" i="1"/>
  <c r="B9237" i="1"/>
  <c r="A9238" i="1"/>
  <c r="B9238" i="1"/>
  <c r="A9239" i="1"/>
  <c r="B9239" i="1"/>
  <c r="A9240" i="1"/>
  <c r="B9240" i="1"/>
  <c r="A9241" i="1"/>
  <c r="B9241" i="1"/>
  <c r="A9242" i="1"/>
  <c r="B9242" i="1"/>
  <c r="A9243" i="1"/>
  <c r="B9243" i="1"/>
  <c r="A9244" i="1"/>
  <c r="B9244" i="1"/>
  <c r="A9245" i="1"/>
  <c r="B9245" i="1"/>
  <c r="A9246" i="1"/>
  <c r="B9246" i="1"/>
  <c r="A9247" i="1"/>
  <c r="B9247" i="1"/>
  <c r="A9248" i="1"/>
  <c r="B9248" i="1"/>
  <c r="A9249" i="1"/>
  <c r="B9249" i="1"/>
  <c r="A9250" i="1"/>
  <c r="B9250" i="1"/>
  <c r="A9251" i="1"/>
  <c r="B9251" i="1"/>
  <c r="A9252" i="1"/>
  <c r="B9252" i="1"/>
  <c r="A9253" i="1"/>
  <c r="B9253" i="1"/>
  <c r="A9254" i="1"/>
  <c r="B9254" i="1"/>
  <c r="A9255" i="1"/>
  <c r="B9255" i="1"/>
  <c r="A9256" i="1"/>
  <c r="B9256" i="1"/>
  <c r="A9257" i="1"/>
  <c r="B9257" i="1"/>
  <c r="A9258" i="1"/>
  <c r="B9258" i="1"/>
  <c r="A9259" i="1"/>
  <c r="B9259" i="1"/>
  <c r="A9260" i="1"/>
  <c r="B9260" i="1"/>
  <c r="A9261" i="1"/>
  <c r="B9261" i="1"/>
  <c r="A9262" i="1"/>
  <c r="B9262" i="1"/>
  <c r="A9263" i="1"/>
  <c r="B9263" i="1"/>
  <c r="A9264" i="1"/>
  <c r="B9264" i="1"/>
  <c r="A9265" i="1"/>
  <c r="B9265" i="1"/>
  <c r="A9266" i="1"/>
  <c r="B9266" i="1"/>
  <c r="A9267" i="1"/>
  <c r="B9267" i="1"/>
  <c r="A9268" i="1"/>
  <c r="B9268" i="1"/>
  <c r="A9269" i="1"/>
  <c r="B9269" i="1"/>
  <c r="A9270" i="1"/>
  <c r="B9270" i="1"/>
  <c r="A9271" i="1"/>
  <c r="B9271" i="1"/>
  <c r="A9272" i="1"/>
  <c r="B9272" i="1"/>
  <c r="A9273" i="1"/>
  <c r="B9273" i="1"/>
  <c r="A9274" i="1"/>
  <c r="B9274" i="1"/>
  <c r="A9275" i="1"/>
  <c r="B9275" i="1"/>
  <c r="A9276" i="1"/>
  <c r="B9276" i="1"/>
  <c r="A9277" i="1"/>
  <c r="B9277" i="1"/>
  <c r="A9278" i="1"/>
  <c r="B9278" i="1"/>
  <c r="A9279" i="1"/>
  <c r="B9279" i="1"/>
  <c r="A9280" i="1"/>
  <c r="B9280" i="1"/>
  <c r="A9281" i="1"/>
  <c r="B9281" i="1"/>
  <c r="A9282" i="1"/>
  <c r="B9282" i="1"/>
  <c r="A9283" i="1"/>
  <c r="B9283" i="1"/>
  <c r="A9284" i="1"/>
  <c r="B9284" i="1"/>
  <c r="A9285" i="1"/>
  <c r="B9285" i="1"/>
  <c r="A9286" i="1"/>
  <c r="B9286" i="1"/>
  <c r="A9287" i="1"/>
  <c r="B9287" i="1"/>
  <c r="A9288" i="1"/>
  <c r="B9288" i="1"/>
  <c r="A9289" i="1"/>
  <c r="B9289" i="1"/>
  <c r="A9290" i="1"/>
  <c r="B9290" i="1"/>
  <c r="A9291" i="1"/>
  <c r="B9291" i="1"/>
  <c r="A9292" i="1"/>
  <c r="B9292" i="1"/>
  <c r="A9293" i="1"/>
  <c r="B9293" i="1"/>
  <c r="A9294" i="1"/>
  <c r="B9294" i="1"/>
  <c r="A9295" i="1"/>
  <c r="B9295" i="1"/>
  <c r="A9296" i="1"/>
  <c r="B9296" i="1"/>
  <c r="A9297" i="1"/>
  <c r="B9297" i="1"/>
  <c r="A9298" i="1"/>
  <c r="B9298" i="1"/>
  <c r="A9299" i="1"/>
  <c r="B9299" i="1"/>
  <c r="A9300" i="1"/>
  <c r="B9300" i="1"/>
  <c r="A9301" i="1"/>
  <c r="B9301" i="1"/>
  <c r="A9302" i="1"/>
  <c r="B9302" i="1"/>
  <c r="A9303" i="1"/>
  <c r="B9303" i="1"/>
  <c r="A9304" i="1"/>
  <c r="B9304" i="1"/>
  <c r="A9305" i="1"/>
  <c r="B9305" i="1"/>
  <c r="A9306" i="1"/>
  <c r="B9306" i="1"/>
  <c r="A9307" i="1"/>
  <c r="B9307" i="1"/>
  <c r="A9308" i="1"/>
  <c r="B9308" i="1"/>
  <c r="A9309" i="1"/>
  <c r="B9309" i="1"/>
  <c r="A9310" i="1"/>
  <c r="B9310" i="1"/>
  <c r="A9311" i="1"/>
  <c r="B9311" i="1"/>
  <c r="A9312" i="1"/>
  <c r="B9312" i="1"/>
  <c r="A9313" i="1"/>
  <c r="B9313" i="1"/>
  <c r="A9314" i="1"/>
  <c r="B9314" i="1"/>
  <c r="A9315" i="1"/>
  <c r="B9315" i="1"/>
  <c r="A9316" i="1"/>
  <c r="B9316" i="1"/>
  <c r="A9317" i="1"/>
  <c r="B9317" i="1"/>
  <c r="A9318" i="1"/>
  <c r="B9318" i="1"/>
  <c r="A9319" i="1"/>
  <c r="B9319" i="1"/>
  <c r="A9320" i="1"/>
  <c r="B9320" i="1"/>
  <c r="A9321" i="1"/>
  <c r="B9321" i="1"/>
  <c r="A9322" i="1"/>
  <c r="B9322" i="1"/>
  <c r="A9323" i="1"/>
  <c r="B9323" i="1"/>
  <c r="A9324" i="1"/>
  <c r="B9324" i="1"/>
  <c r="A9325" i="1"/>
  <c r="B9325" i="1"/>
  <c r="A9326" i="1"/>
  <c r="B9326" i="1"/>
  <c r="A9327" i="1"/>
  <c r="B9327" i="1"/>
  <c r="A9328" i="1"/>
  <c r="B9328" i="1"/>
  <c r="A9329" i="1"/>
  <c r="B9329" i="1"/>
  <c r="A9330" i="1"/>
  <c r="B9330" i="1"/>
  <c r="A9331" i="1"/>
  <c r="B9331" i="1"/>
  <c r="A9332" i="1"/>
  <c r="B9332" i="1"/>
  <c r="A9333" i="1"/>
  <c r="B9333" i="1"/>
  <c r="A9334" i="1"/>
  <c r="B9334" i="1"/>
  <c r="A9335" i="1"/>
  <c r="B9335" i="1"/>
  <c r="A9336" i="1"/>
  <c r="B9336" i="1"/>
  <c r="A9337" i="1"/>
  <c r="B9337" i="1"/>
  <c r="A9338" i="1"/>
  <c r="B9338" i="1"/>
  <c r="A9339" i="1"/>
  <c r="B9339" i="1"/>
  <c r="A9340" i="1"/>
  <c r="B9340" i="1"/>
  <c r="A9341" i="1"/>
  <c r="B9341" i="1"/>
  <c r="A9342" i="1"/>
  <c r="B9342" i="1"/>
  <c r="A9343" i="1"/>
  <c r="B9343" i="1"/>
  <c r="A9344" i="1"/>
  <c r="B9344" i="1"/>
  <c r="A9345" i="1"/>
  <c r="B9345" i="1"/>
  <c r="A9346" i="1"/>
  <c r="B9346" i="1"/>
  <c r="A9347" i="1"/>
  <c r="B9347" i="1"/>
  <c r="A9348" i="1"/>
  <c r="B9348" i="1"/>
  <c r="A9349" i="1"/>
  <c r="B9349" i="1"/>
  <c r="A9350" i="1"/>
  <c r="B9350" i="1"/>
  <c r="A9351" i="1"/>
  <c r="B9351" i="1"/>
  <c r="A9352" i="1"/>
  <c r="B9352" i="1"/>
  <c r="A9353" i="1"/>
  <c r="B9353" i="1"/>
  <c r="A9354" i="1"/>
  <c r="B9354" i="1"/>
  <c r="A9355" i="1"/>
  <c r="B9355" i="1"/>
  <c r="A9356" i="1"/>
  <c r="B9356" i="1"/>
  <c r="A9357" i="1"/>
  <c r="B9357" i="1"/>
  <c r="A9358" i="1"/>
  <c r="B9358" i="1"/>
  <c r="A9359" i="1"/>
  <c r="B9359" i="1"/>
  <c r="A9360" i="1"/>
  <c r="B9360" i="1"/>
  <c r="A9361" i="1"/>
  <c r="B9361" i="1"/>
  <c r="A9362" i="1"/>
  <c r="B9362" i="1"/>
  <c r="A9363" i="1"/>
  <c r="B9363" i="1"/>
  <c r="A9364" i="1"/>
  <c r="B9364" i="1"/>
  <c r="A9365" i="1"/>
  <c r="B9365" i="1"/>
  <c r="A9366" i="1"/>
  <c r="B9366" i="1"/>
  <c r="A9367" i="1"/>
  <c r="B9367" i="1"/>
  <c r="A9368" i="1"/>
  <c r="B9368" i="1"/>
  <c r="A9369" i="1"/>
  <c r="B9369" i="1"/>
</calcChain>
</file>

<file path=xl/sharedStrings.xml><?xml version="1.0" encoding="utf-8"?>
<sst xmlns="http://schemas.openxmlformats.org/spreadsheetml/2006/main" count="18776" uniqueCount="72">
  <si>
    <t>SystemTime</t>
  </si>
  <si>
    <t>Timestamp</t>
  </si>
  <si>
    <t>NowSsceneName</t>
  </si>
  <si>
    <t>PupilRadiusH</t>
  </si>
  <si>
    <t>GazePointX</t>
  </si>
  <si>
    <t>Hitname</t>
  </si>
  <si>
    <t>HitPointX</t>
  </si>
  <si>
    <t>HitPointY</t>
  </si>
  <si>
    <t>HitPointZ</t>
  </si>
  <si>
    <t>CameraPosX</t>
  </si>
  <si>
    <t>CameraPosY</t>
  </si>
  <si>
    <t>CameraPosZ</t>
  </si>
  <si>
    <t>CarDirX</t>
  </si>
  <si>
    <t>CarDirY</t>
  </si>
  <si>
    <t>CarDirZ</t>
  </si>
  <si>
    <t>CameraDirX</t>
  </si>
  <si>
    <t>CameraDirY</t>
  </si>
  <si>
    <t>CameraDirZ</t>
  </si>
  <si>
    <t>EyeDirX</t>
  </si>
  <si>
    <t>EyeDirY</t>
  </si>
  <si>
    <t>EyeDirZ</t>
  </si>
  <si>
    <t>HeadLocalDirX</t>
  </si>
  <si>
    <t>HeadLocalDirY</t>
  </si>
  <si>
    <t>HeadLocalDirZ</t>
  </si>
  <si>
    <t>EyeLocalDirX</t>
  </si>
  <si>
    <t>EyeLocalDirY</t>
  </si>
  <si>
    <t>EyeLocalDirZ</t>
  </si>
  <si>
    <t>speed</t>
  </si>
  <si>
    <t>VecX</t>
  </si>
  <si>
    <t>VecY</t>
  </si>
  <si>
    <t>VecZ</t>
  </si>
  <si>
    <t>LocalVecX</t>
  </si>
  <si>
    <t>LocalVecY</t>
  </si>
  <si>
    <t>LocalVecZ</t>
  </si>
  <si>
    <t>Theta</t>
  </si>
  <si>
    <t>Phi</t>
  </si>
  <si>
    <t>r</t>
  </si>
  <si>
    <t>Theta_Head</t>
  </si>
  <si>
    <t>Phi_Head</t>
  </si>
  <si>
    <t>r_Head_value_is_1</t>
  </si>
  <si>
    <t>Testhuanghun_off</t>
  </si>
  <si>
    <t>mcp_road_part_02</t>
  </si>
  <si>
    <t>Kooper</t>
  </si>
  <si>
    <t>Plane_01</t>
  </si>
  <si>
    <t>mcp_roads_turn_01 (1)</t>
  </si>
  <si>
    <t>Building 15 (35)</t>
  </si>
  <si>
    <t>mcp_roads_T_cross_01</t>
  </si>
  <si>
    <t>Building 15 (34)</t>
  </si>
  <si>
    <t>Building 21 (2)</t>
  </si>
  <si>
    <t>Box001</t>
  </si>
  <si>
    <t>mcp_road_part_01</t>
  </si>
  <si>
    <t>mcp_roads_cross_01</t>
  </si>
  <si>
    <t>Building 15 (31)</t>
  </si>
  <si>
    <t>Plane_01 (1)</t>
  </si>
  <si>
    <t>FAR</t>
  </si>
  <si>
    <t>Building 15 (33)</t>
  </si>
  <si>
    <t>Building 24</t>
  </si>
  <si>
    <t>mcp_roads_cross_02</t>
  </si>
  <si>
    <t>mcp_roads_turn_01</t>
  </si>
  <si>
    <t>mcp_road_part_02 (1)</t>
  </si>
  <si>
    <t>mcp_road_part_02 (2)</t>
  </si>
  <si>
    <t>Building 23 (4)</t>
  </si>
  <si>
    <t>mcp_road_part_02 (3)</t>
  </si>
  <si>
    <t>Shurbs (2)</t>
  </si>
  <si>
    <t>Building 30 (4)</t>
  </si>
  <si>
    <t>mcp_road_part_02 (6)</t>
  </si>
  <si>
    <t>mcp_road_part_02 (12)</t>
  </si>
  <si>
    <t>mcp_road_part_02 (10)</t>
  </si>
  <si>
    <t>mcp_road_part_02 (8)</t>
  </si>
  <si>
    <t>mcp_road_part_02 (9)</t>
  </si>
  <si>
    <t>mcp_road_part_02 (11)</t>
  </si>
  <si>
    <t>Building 07 (18)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</si>
</sst>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9369"/>
  <sheetViews>
    <sheetView tabSelected="1" workbookViewId="0"/>
  </sheetViews>
  <sheetFormatPr defaultRowHeight="13.8" x14ac:dyDescent="0.25"/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 t="str">
        <f>"20190303154056345"</f>
        <v>20190303154056345</v>
      </c>
      <c r="B2" t="str">
        <f>"1551598856338866"</f>
        <v>1551598856338866</v>
      </c>
      <c r="C2" t="s">
        <v>40</v>
      </c>
      <c r="D2">
        <v>5.4527089999999996</v>
      </c>
      <c r="E2">
        <v>0.49660300000000002</v>
      </c>
      <c r="F2" t="s">
        <v>41</v>
      </c>
      <c r="G2">
        <v>-457.1309</v>
      </c>
      <c r="H2" s="1">
        <v>-1.7074919999999999E-6</v>
      </c>
      <c r="I2">
        <v>366.82940000000002</v>
      </c>
      <c r="J2">
        <v>-475.67250000000001</v>
      </c>
      <c r="K2">
        <v>1.120503</v>
      </c>
      <c r="L2">
        <v>367.06400000000002</v>
      </c>
      <c r="M2">
        <v>0.99996470000000004</v>
      </c>
      <c r="N2">
        <v>-8.4086000000000004E-3</v>
      </c>
      <c r="O2">
        <v>-1.408976E-4</v>
      </c>
      <c r="P2">
        <v>0.99943020000000005</v>
      </c>
      <c r="Q2">
        <v>-2.6100419999999999E-2</v>
      </c>
      <c r="R2">
        <v>-2.1406729999999999E-2</v>
      </c>
      <c r="S2">
        <v>2.996124</v>
      </c>
      <c r="T2">
        <v>-0.1810012</v>
      </c>
      <c r="U2">
        <v>-3.7872309999999999E-2</v>
      </c>
      <c r="V2">
        <v>2.1264399999999999E-2</v>
      </c>
      <c r="W2">
        <v>-1.7697270000000001E-2</v>
      </c>
      <c r="X2">
        <v>0.99961719999999998</v>
      </c>
      <c r="Y2">
        <v>1.2472820000000001E-2</v>
      </c>
      <c r="Z2">
        <v>-4.2157140000000001E-4</v>
      </c>
      <c r="AA2">
        <v>0.99992210000000004</v>
      </c>
      <c r="AB2">
        <v>1</v>
      </c>
      <c r="AC2">
        <v>18.541599999999999</v>
      </c>
      <c r="AD2">
        <v>-1.120504707492</v>
      </c>
      <c r="AE2">
        <v>-0.2346</v>
      </c>
      <c r="AF2">
        <v>0.231143433580209</v>
      </c>
      <c r="AG2">
        <v>-1.120504707492</v>
      </c>
      <c r="AH2">
        <v>18.474175641729801</v>
      </c>
      <c r="AI2">
        <v>93.470608607959093</v>
      </c>
      <c r="AJ2">
        <v>89.2831695190213</v>
      </c>
      <c r="AK2">
        <v>18.509568437105202</v>
      </c>
      <c r="AL2">
        <v>91.014031859240006</v>
      </c>
      <c r="AM2">
        <v>88.781356857567104</v>
      </c>
      <c r="AN2">
        <v>0.999999957304325</v>
      </c>
    </row>
    <row r="3" spans="1:40" x14ac:dyDescent="0.25">
      <c r="A3" t="str">
        <f>"20190303154056367"</f>
        <v>20190303154056367</v>
      </c>
      <c r="B3" t="str">
        <f>"1551598856359361"</f>
        <v>1551598856359361</v>
      </c>
      <c r="C3" t="s">
        <v>40</v>
      </c>
      <c r="D3">
        <v>5.4273540000000002</v>
      </c>
      <c r="E3">
        <v>0.49689329999999998</v>
      </c>
      <c r="F3" t="s">
        <v>41</v>
      </c>
      <c r="G3">
        <v>-456.90769999999998</v>
      </c>
      <c r="H3" s="1">
        <v>-1.8046329999999999E-6</v>
      </c>
      <c r="I3">
        <v>366.82170000000002</v>
      </c>
      <c r="J3">
        <v>-475.66059999999999</v>
      </c>
      <c r="K3">
        <v>1.120322</v>
      </c>
      <c r="L3">
        <v>367.06389999999999</v>
      </c>
      <c r="M3">
        <v>0.99997340000000001</v>
      </c>
      <c r="N3">
        <v>-7.2963209999999997E-3</v>
      </c>
      <c r="O3">
        <v>-1.7693860000000001E-4</v>
      </c>
      <c r="P3">
        <v>0.99945419999999996</v>
      </c>
      <c r="Q3">
        <v>-2.508732E-2</v>
      </c>
      <c r="R3">
        <v>-2.149833E-2</v>
      </c>
      <c r="S3">
        <v>2.9962460000000002</v>
      </c>
      <c r="T3">
        <v>-0.1789135</v>
      </c>
      <c r="U3">
        <v>-3.8665770000000002E-2</v>
      </c>
      <c r="V3">
        <v>2.1319939999999999E-2</v>
      </c>
      <c r="W3">
        <v>-1.7796119999999999E-2</v>
      </c>
      <c r="X3">
        <v>0.99961429999999996</v>
      </c>
      <c r="Y3">
        <v>1.270159E-2</v>
      </c>
      <c r="Z3">
        <v>-4.1598939999999999E-4</v>
      </c>
      <c r="AA3">
        <v>0.99991920000000001</v>
      </c>
      <c r="AB3">
        <v>1</v>
      </c>
      <c r="AC3">
        <v>18.7529</v>
      </c>
      <c r="AD3">
        <v>-1.120323804633</v>
      </c>
      <c r="AE3">
        <v>-0.242199999999968</v>
      </c>
      <c r="AF3">
        <v>0.23803239295290399</v>
      </c>
      <c r="AG3">
        <v>-1.120323804633</v>
      </c>
      <c r="AH3">
        <v>18.6862618474368</v>
      </c>
      <c r="AI3">
        <v>93.430749941388797</v>
      </c>
      <c r="AJ3">
        <v>89.270185015474596</v>
      </c>
      <c r="AK3">
        <v>18.721329191013499</v>
      </c>
      <c r="AL3">
        <v>91.019696400681795</v>
      </c>
      <c r="AM3">
        <v>88.778171331450196</v>
      </c>
      <c r="AN3">
        <v>0.99999999524657301</v>
      </c>
    </row>
    <row r="4" spans="1:40" x14ac:dyDescent="0.25">
      <c r="A4" t="str">
        <f>"20190303154056391"</f>
        <v>20190303154056391</v>
      </c>
      <c r="B4" t="str">
        <f>"1551598856378881"</f>
        <v>1551598856378881</v>
      </c>
      <c r="C4" t="s">
        <v>40</v>
      </c>
      <c r="D4">
        <v>5.4226549999999998</v>
      </c>
      <c r="E4">
        <v>0.49715690000000001</v>
      </c>
      <c r="F4" t="s">
        <v>41</v>
      </c>
      <c r="G4">
        <v>-456.58170000000001</v>
      </c>
      <c r="H4" s="1">
        <v>-1.9478280000000001E-6</v>
      </c>
      <c r="I4">
        <v>366.80270000000002</v>
      </c>
      <c r="J4">
        <v>-475.64339999999999</v>
      </c>
      <c r="K4">
        <v>1.120136</v>
      </c>
      <c r="L4">
        <v>367.06389999999999</v>
      </c>
      <c r="M4">
        <v>0.99998200000000004</v>
      </c>
      <c r="N4">
        <v>-5.9994439999999996E-3</v>
      </c>
      <c r="O4">
        <v>-2.258827E-4</v>
      </c>
      <c r="P4">
        <v>0.99947430000000004</v>
      </c>
      <c r="Q4">
        <v>-2.4192910000000001E-2</v>
      </c>
      <c r="R4">
        <v>-2.1585670000000001E-2</v>
      </c>
      <c r="S4">
        <v>2.9963380000000002</v>
      </c>
      <c r="T4">
        <v>-0.1759464</v>
      </c>
      <c r="U4">
        <v>-4.1015629999999997E-2</v>
      </c>
      <c r="V4">
        <v>2.135811E-2</v>
      </c>
      <c r="W4">
        <v>-1.8198160000000001E-2</v>
      </c>
      <c r="X4">
        <v>0.99960629999999995</v>
      </c>
      <c r="Y4">
        <v>1.343624E-2</v>
      </c>
      <c r="Z4">
        <v>-4.2258090000000002E-4</v>
      </c>
      <c r="AA4">
        <v>0.99990959999999995</v>
      </c>
      <c r="AB4">
        <v>1</v>
      </c>
      <c r="AC4">
        <v>19.061699999999899</v>
      </c>
      <c r="AD4">
        <v>-1.120137947828</v>
      </c>
      <c r="AE4">
        <v>-0.26119999999997301</v>
      </c>
      <c r="AF4">
        <v>0.25601032281206398</v>
      </c>
      <c r="AG4">
        <v>-1.120137947828</v>
      </c>
      <c r="AH4">
        <v>18.996173541458798</v>
      </c>
      <c r="AI4">
        <v>93.374318488626798</v>
      </c>
      <c r="AJ4">
        <v>89.227874865681997</v>
      </c>
      <c r="AK4">
        <v>19.030892241951499</v>
      </c>
      <c r="AL4">
        <v>91.042735272086603</v>
      </c>
      <c r="AM4">
        <v>88.775974711251493</v>
      </c>
      <c r="AN4">
        <v>1.0000000484449201</v>
      </c>
    </row>
    <row r="5" spans="1:40" x14ac:dyDescent="0.25">
      <c r="A5" t="str">
        <f>"20190303154056413"</f>
        <v>20190303154056413</v>
      </c>
      <c r="B5" t="str">
        <f>"1551598856409137"</f>
        <v>1551598856409137</v>
      </c>
      <c r="C5" t="s">
        <v>40</v>
      </c>
      <c r="D5">
        <v>5.4230960000000001</v>
      </c>
      <c r="E5">
        <v>0.49749860000000001</v>
      </c>
      <c r="F5" t="s">
        <v>41</v>
      </c>
      <c r="G5">
        <v>-456.29</v>
      </c>
      <c r="H5" s="1">
        <v>-2.0764990000000001E-6</v>
      </c>
      <c r="I5">
        <v>366.78269999999998</v>
      </c>
      <c r="J5">
        <v>-475.62549999999999</v>
      </c>
      <c r="K5">
        <v>1.1199950000000001</v>
      </c>
      <c r="L5">
        <v>367.06380000000001</v>
      </c>
      <c r="M5">
        <v>0.99998810000000005</v>
      </c>
      <c r="N5">
        <v>-4.895674E-3</v>
      </c>
      <c r="O5">
        <v>-2.7814849999999999E-4</v>
      </c>
      <c r="P5">
        <v>0.99946650000000004</v>
      </c>
      <c r="Q5">
        <v>-2.3947409999999999E-2</v>
      </c>
      <c r="R5">
        <v>-2.2216799999999998E-2</v>
      </c>
      <c r="S5">
        <v>2.996429</v>
      </c>
      <c r="T5">
        <v>-0.17342759999999999</v>
      </c>
      <c r="U5">
        <v>-4.3518069999999999E-2</v>
      </c>
      <c r="V5">
        <v>2.1936830000000001E-2</v>
      </c>
      <c r="W5">
        <v>-1.9056179999999999E-2</v>
      </c>
      <c r="X5">
        <v>0.99957770000000001</v>
      </c>
      <c r="Y5">
        <v>1.421824E-2</v>
      </c>
      <c r="Z5">
        <v>-4.3121030000000001E-4</v>
      </c>
      <c r="AA5">
        <v>0.99989890000000003</v>
      </c>
      <c r="AB5">
        <v>1</v>
      </c>
      <c r="AC5">
        <v>19.3354999999999</v>
      </c>
      <c r="AD5">
        <v>-1.1199970764989999</v>
      </c>
      <c r="AE5">
        <v>-0.28110000000003699</v>
      </c>
      <c r="AF5">
        <v>0.27479996135099299</v>
      </c>
      <c r="AG5">
        <v>-1.1199970764989999</v>
      </c>
      <c r="AH5">
        <v>19.270932592879099</v>
      </c>
      <c r="AI5">
        <v>93.325863886774599</v>
      </c>
      <c r="AJ5">
        <v>89.183028073507401</v>
      </c>
      <c r="AK5">
        <v>19.305407311668201</v>
      </c>
      <c r="AL5">
        <v>91.091904812094896</v>
      </c>
      <c r="AM5">
        <v>88.742783029545805</v>
      </c>
      <c r="AN5">
        <v>0.99999997042196498</v>
      </c>
    </row>
    <row r="6" spans="1:40" x14ac:dyDescent="0.25">
      <c r="A6" t="str">
        <f>"20190303154056434"</f>
        <v>20190303154056434</v>
      </c>
      <c r="B6" t="str">
        <f>"1551598856428657"</f>
        <v>1551598856428657</v>
      </c>
      <c r="C6" t="s">
        <v>40</v>
      </c>
      <c r="D6">
        <v>5.407451</v>
      </c>
      <c r="E6">
        <v>0.4977221</v>
      </c>
      <c r="F6" t="s">
        <v>41</v>
      </c>
      <c r="G6">
        <v>-456.20690000000002</v>
      </c>
      <c r="H6" s="1">
        <v>-2.117383E-6</v>
      </c>
      <c r="I6">
        <v>366.75319999999999</v>
      </c>
      <c r="J6">
        <v>-475.60469999999998</v>
      </c>
      <c r="K6">
        <v>1.1198790000000001</v>
      </c>
      <c r="L6">
        <v>367.06380000000001</v>
      </c>
      <c r="M6">
        <v>0.99999249999999995</v>
      </c>
      <c r="N6">
        <v>-3.866937E-3</v>
      </c>
      <c r="O6">
        <v>-3.3796059999999998E-4</v>
      </c>
      <c r="P6">
        <v>0.99946480000000004</v>
      </c>
      <c r="Q6">
        <v>-2.3774750000000001E-2</v>
      </c>
      <c r="R6">
        <v>-2.24736E-2</v>
      </c>
      <c r="S6">
        <v>2.9963989999999998</v>
      </c>
      <c r="T6">
        <v>-0.17282159999999999</v>
      </c>
      <c r="U6">
        <v>-4.79126E-2</v>
      </c>
      <c r="V6">
        <v>2.2133759999999999E-2</v>
      </c>
      <c r="W6">
        <v>-1.9911930000000001E-2</v>
      </c>
      <c r="X6">
        <v>0.99955669999999996</v>
      </c>
      <c r="Y6">
        <v>1.562288E-2</v>
      </c>
      <c r="Z6">
        <v>-4.6219940000000003E-4</v>
      </c>
      <c r="AA6">
        <v>0.99987789999999999</v>
      </c>
      <c r="AB6">
        <v>2</v>
      </c>
      <c r="AC6">
        <v>19.397799999999901</v>
      </c>
      <c r="AD6">
        <v>-1.1198811173829999</v>
      </c>
      <c r="AE6">
        <v>-0.31060000000002203</v>
      </c>
      <c r="AF6">
        <v>0.30303447800168498</v>
      </c>
      <c r="AG6">
        <v>-1.1198811173829999</v>
      </c>
      <c r="AH6">
        <v>19.3334813567953</v>
      </c>
      <c r="AI6">
        <v>93.314715444005301</v>
      </c>
      <c r="AJ6">
        <v>89.102015065790496</v>
      </c>
      <c r="AK6">
        <v>19.368259214123501</v>
      </c>
      <c r="AL6">
        <v>91.140944962686902</v>
      </c>
      <c r="AM6">
        <v>88.731473846109694</v>
      </c>
      <c r="AN6">
        <v>0.99999999240147597</v>
      </c>
    </row>
    <row r="7" spans="1:40" x14ac:dyDescent="0.25">
      <c r="A7" t="str">
        <f>"20190303154056457"</f>
        <v>20190303154056457</v>
      </c>
      <c r="B7" t="str">
        <f>"1551598856449153"</f>
        <v>1551598856449153</v>
      </c>
      <c r="C7" t="s">
        <v>40</v>
      </c>
      <c r="D7">
        <v>5.4073859999999998</v>
      </c>
      <c r="E7">
        <v>0.49793959999999998</v>
      </c>
      <c r="F7" t="s">
        <v>41</v>
      </c>
      <c r="G7">
        <v>-456.1703</v>
      </c>
      <c r="H7" s="1">
        <v>-2.1361549999999998E-6</v>
      </c>
      <c r="I7">
        <v>366.73590000000002</v>
      </c>
      <c r="J7">
        <v>-475.58030000000002</v>
      </c>
      <c r="K7">
        <v>1.11981</v>
      </c>
      <c r="L7">
        <v>367.06369999999998</v>
      </c>
      <c r="M7">
        <v>0.99999559999999998</v>
      </c>
      <c r="N7">
        <v>-2.9835310000000002E-3</v>
      </c>
      <c r="O7">
        <v>-4.0685949999999998E-4</v>
      </c>
      <c r="P7">
        <v>0.9994653</v>
      </c>
      <c r="Q7">
        <v>-2.342588E-2</v>
      </c>
      <c r="R7">
        <v>-2.2816880000000001E-2</v>
      </c>
      <c r="S7">
        <v>2.9963679999999999</v>
      </c>
      <c r="T7">
        <v>-0.17266129999999999</v>
      </c>
      <c r="U7">
        <v>-5.0537110000000003E-2</v>
      </c>
      <c r="V7">
        <v>2.2408270000000001E-2</v>
      </c>
      <c r="W7">
        <v>-2.044615E-2</v>
      </c>
      <c r="X7">
        <v>0.99953979999999998</v>
      </c>
      <c r="Y7">
        <v>1.6428870000000002E-2</v>
      </c>
      <c r="Z7">
        <v>-4.752391E-4</v>
      </c>
      <c r="AA7">
        <v>0.99986489999999995</v>
      </c>
      <c r="AB7">
        <v>2</v>
      </c>
      <c r="AC7">
        <v>19.41</v>
      </c>
      <c r="AD7">
        <v>-1.119812136155</v>
      </c>
      <c r="AE7">
        <v>-0.32779999999996701</v>
      </c>
      <c r="AF7">
        <v>0.31884185606055898</v>
      </c>
      <c r="AG7">
        <v>-1.119812136155</v>
      </c>
      <c r="AH7">
        <v>19.3457591408268</v>
      </c>
      <c r="AI7">
        <v>93.312369975552002</v>
      </c>
      <c r="AJ7">
        <v>89.055780714335896</v>
      </c>
      <c r="AK7">
        <v>19.3807645897766</v>
      </c>
      <c r="AL7">
        <v>91.171559746803098</v>
      </c>
      <c r="AM7">
        <v>88.715724707433694</v>
      </c>
      <c r="AN7">
        <v>0.99999999369912695</v>
      </c>
    </row>
    <row r="8" spans="1:40" x14ac:dyDescent="0.25">
      <c r="A8" t="str">
        <f>"20190303154056479"</f>
        <v>20190303154056479</v>
      </c>
      <c r="B8" t="str">
        <f>"1551598856469649"</f>
        <v>1551598856469649</v>
      </c>
      <c r="C8" t="s">
        <v>40</v>
      </c>
      <c r="D8">
        <v>5.4168379999999896</v>
      </c>
      <c r="E8">
        <v>0.49817099999999997</v>
      </c>
      <c r="F8" t="s">
        <v>41</v>
      </c>
      <c r="G8">
        <v>-456.0865</v>
      </c>
      <c r="H8" s="1">
        <v>-2.1756189999999999E-6</v>
      </c>
      <c r="I8">
        <v>366.71629999999999</v>
      </c>
      <c r="J8">
        <v>-475.55259999999998</v>
      </c>
      <c r="K8">
        <v>1.119788</v>
      </c>
      <c r="L8">
        <v>367.06360000000001</v>
      </c>
      <c r="M8">
        <v>0.99999729999999998</v>
      </c>
      <c r="N8">
        <v>-2.2719680000000001E-3</v>
      </c>
      <c r="O8">
        <v>-4.7263999999999997E-4</v>
      </c>
      <c r="P8">
        <v>0.99944659999999996</v>
      </c>
      <c r="Q8">
        <v>-2.3938500000000001E-2</v>
      </c>
      <c r="R8">
        <v>-2.3097949999999999E-2</v>
      </c>
      <c r="S8">
        <v>2.9963380000000002</v>
      </c>
      <c r="T8">
        <v>-0.17212239999999901</v>
      </c>
      <c r="U8">
        <v>-5.3375239999999997E-2</v>
      </c>
      <c r="V8">
        <v>2.2623379999999998E-2</v>
      </c>
      <c r="W8">
        <v>-2.1669959999999999E-2</v>
      </c>
      <c r="X8">
        <v>0.99950919999999999</v>
      </c>
      <c r="Y8">
        <v>1.7309160000000001E-2</v>
      </c>
      <c r="Z8">
        <v>-4.9033529999999896E-4</v>
      </c>
      <c r="AA8">
        <v>0.99985009999999996</v>
      </c>
      <c r="AB8">
        <v>2</v>
      </c>
      <c r="AC8">
        <v>19.466099999999901</v>
      </c>
      <c r="AD8">
        <v>-1.1197901756190001</v>
      </c>
      <c r="AE8">
        <v>-0.34730000000001798</v>
      </c>
      <c r="AF8">
        <v>0.33698470449200402</v>
      </c>
      <c r="AG8">
        <v>-1.1197901756190001</v>
      </c>
      <c r="AH8">
        <v>19.402078172387402</v>
      </c>
      <c r="AI8">
        <v>93.302662271049499</v>
      </c>
      <c r="AJ8">
        <v>89.004959158685296</v>
      </c>
      <c r="AK8">
        <v>19.437287005544398</v>
      </c>
      <c r="AL8">
        <v>91.241694415604996</v>
      </c>
      <c r="AM8">
        <v>88.703360709662107</v>
      </c>
      <c r="AN8">
        <v>1.00000002268683</v>
      </c>
    </row>
    <row r="9" spans="1:40" x14ac:dyDescent="0.25">
      <c r="A9" t="str">
        <f>"20190303154056500"</f>
        <v>20190303154056500</v>
      </c>
      <c r="B9" t="str">
        <f>"1551598856489169"</f>
        <v>1551598856489169</v>
      </c>
      <c r="C9" t="s">
        <v>40</v>
      </c>
      <c r="D9">
        <v>5.4287650000000003</v>
      </c>
      <c r="E9">
        <v>0.49835010000000002</v>
      </c>
      <c r="F9" t="s">
        <v>41</v>
      </c>
      <c r="G9">
        <v>-456.23700000000002</v>
      </c>
      <c r="H9" s="1">
        <v>-2.113625E-6</v>
      </c>
      <c r="I9">
        <v>366.70170000000002</v>
      </c>
      <c r="J9">
        <v>-475.52569999999997</v>
      </c>
      <c r="K9">
        <v>1.1198900000000001</v>
      </c>
      <c r="L9">
        <v>367.06349999999998</v>
      </c>
      <c r="M9">
        <v>0.99999780000000005</v>
      </c>
      <c r="N9">
        <v>-2.0942339999999999E-3</v>
      </c>
      <c r="O9">
        <v>-4.9923800000000005E-4</v>
      </c>
      <c r="P9">
        <v>0.99943000000000004</v>
      </c>
      <c r="Q9">
        <v>-2.4291650000000001E-2</v>
      </c>
      <c r="R9">
        <v>-2.3454139999999998E-2</v>
      </c>
      <c r="S9">
        <v>2.9961850000000001</v>
      </c>
      <c r="T9">
        <v>-0.1736984</v>
      </c>
      <c r="U9">
        <v>-5.6121829999999998E-2</v>
      </c>
      <c r="V9">
        <v>2.2953149999999999E-2</v>
      </c>
      <c r="W9">
        <v>-2.2200370000000001E-2</v>
      </c>
      <c r="X9">
        <v>0.99948999999999999</v>
      </c>
      <c r="Y9">
        <v>1.8197789999999998E-2</v>
      </c>
      <c r="Z9">
        <v>-5.1820580000000005E-4</v>
      </c>
      <c r="AA9">
        <v>0.99983429999999995</v>
      </c>
      <c r="AB9">
        <v>3</v>
      </c>
      <c r="AC9">
        <v>19.288699999999999</v>
      </c>
      <c r="AD9">
        <v>-1.119892113625</v>
      </c>
      <c r="AE9">
        <v>-0.36179999999995899</v>
      </c>
      <c r="AF9">
        <v>0.35098755349273097</v>
      </c>
      <c r="AG9">
        <v>-1.119892113625</v>
      </c>
      <c r="AH9">
        <v>19.224098411463299</v>
      </c>
      <c r="AI9">
        <v>93.333420299077304</v>
      </c>
      <c r="AJ9">
        <v>88.954027857559097</v>
      </c>
      <c r="AK9">
        <v>19.2598886378529</v>
      </c>
      <c r="AL9">
        <v>91.272092035486295</v>
      </c>
      <c r="AM9">
        <v>88.684441561767201</v>
      </c>
      <c r="AN9">
        <v>0.99999998181152905</v>
      </c>
    </row>
    <row r="10" spans="1:40" x14ac:dyDescent="0.25">
      <c r="A10" t="str">
        <f>"20190303154056525"</f>
        <v>20190303154056525</v>
      </c>
      <c r="B10" t="str">
        <f>"1551598856519425"</f>
        <v>1551598856519425</v>
      </c>
      <c r="C10" t="s">
        <v>40</v>
      </c>
      <c r="D10">
        <v>5.4224290000000002</v>
      </c>
      <c r="E10">
        <v>0.49860989999999999</v>
      </c>
      <c r="F10" t="s">
        <v>41</v>
      </c>
      <c r="G10">
        <v>-456.32709999999997</v>
      </c>
      <c r="H10" s="1">
        <v>-2.0772659999999999E-6</v>
      </c>
      <c r="I10">
        <v>366.68889999999999</v>
      </c>
      <c r="J10">
        <v>-475.49169999999998</v>
      </c>
      <c r="K10">
        <v>1.1198520000000001</v>
      </c>
      <c r="L10">
        <v>367.0634</v>
      </c>
      <c r="M10">
        <v>0.99999890000000002</v>
      </c>
      <c r="N10">
        <v>-1.4804579999999901E-3</v>
      </c>
      <c r="O10">
        <v>-5.4371780000000004E-4</v>
      </c>
      <c r="P10">
        <v>0.9993997</v>
      </c>
      <c r="Q10">
        <v>-2.5165E-2</v>
      </c>
      <c r="R10">
        <v>-2.381672E-2</v>
      </c>
      <c r="S10">
        <v>2.9960939999999998</v>
      </c>
      <c r="T10">
        <v>-0.1747668</v>
      </c>
      <c r="U10">
        <v>-5.8441159999999999E-2</v>
      </c>
      <c r="V10">
        <v>2.3271759999999999E-2</v>
      </c>
      <c r="W10">
        <v>-2.3687E-2</v>
      </c>
      <c r="X10">
        <v>0.99944849999999996</v>
      </c>
      <c r="Y10">
        <v>1.892636E-2</v>
      </c>
      <c r="Z10">
        <v>-5.3462249999999996E-4</v>
      </c>
      <c r="AA10">
        <v>0.99982070000000001</v>
      </c>
      <c r="AB10">
        <v>3</v>
      </c>
      <c r="AC10">
        <v>19.1646</v>
      </c>
      <c r="AD10">
        <v>-1.1198540772659999</v>
      </c>
      <c r="AE10">
        <v>-0.37450000000001099</v>
      </c>
      <c r="AF10">
        <v>0.36284136238806602</v>
      </c>
      <c r="AG10">
        <v>-1.1198540772659999</v>
      </c>
      <c r="AH10">
        <v>19.099610627980699</v>
      </c>
      <c r="AI10">
        <v>93.354937658281997</v>
      </c>
      <c r="AJ10">
        <v>88.911664813115607</v>
      </c>
      <c r="AK10">
        <v>19.135852558720799</v>
      </c>
      <c r="AL10">
        <v>91.357292104997697</v>
      </c>
      <c r="AM10">
        <v>88.666131636308506</v>
      </c>
      <c r="AN10">
        <v>0.99999997646737304</v>
      </c>
    </row>
    <row r="11" spans="1:40" x14ac:dyDescent="0.25">
      <c r="A11" t="str">
        <f>"20190303154056557"</f>
        <v>20190303154056557</v>
      </c>
      <c r="B11" t="str">
        <f>"1551598856548705"</f>
        <v>1551598856548705</v>
      </c>
      <c r="C11" t="s">
        <v>40</v>
      </c>
      <c r="D11">
        <v>5.4167019999999999</v>
      </c>
      <c r="E11">
        <v>0.49878489999999998</v>
      </c>
      <c r="F11" t="s">
        <v>41</v>
      </c>
      <c r="G11">
        <v>-456.56700000000001</v>
      </c>
      <c r="H11" s="1">
        <v>-1.9769589999999998E-6</v>
      </c>
      <c r="I11">
        <v>366.67410000000001</v>
      </c>
      <c r="J11">
        <v>-475.43990000000002</v>
      </c>
      <c r="K11">
        <v>1.11974</v>
      </c>
      <c r="L11">
        <v>367.06330000000003</v>
      </c>
      <c r="M11">
        <v>0.99999979999999999</v>
      </c>
      <c r="N11">
        <v>-5.4874609999999995E-4</v>
      </c>
      <c r="O11">
        <v>-6.2928029999999996E-4</v>
      </c>
      <c r="P11">
        <v>0.99941970000000002</v>
      </c>
      <c r="Q11">
        <v>-2.4376660000000001E-2</v>
      </c>
      <c r="R11">
        <v>-2.3798989999999999E-2</v>
      </c>
      <c r="S11">
        <v>2.9958499999999999</v>
      </c>
      <c r="T11">
        <v>-0.1772763</v>
      </c>
      <c r="U11">
        <v>-6.1614990000000001E-2</v>
      </c>
      <c r="V11">
        <v>2.3168569999999999E-2</v>
      </c>
      <c r="W11">
        <v>-2.3829690000000001E-2</v>
      </c>
      <c r="X11">
        <v>0.99944750000000004</v>
      </c>
      <c r="Y11">
        <v>1.989925E-2</v>
      </c>
      <c r="Z11">
        <v>-5.5679169999999997E-4</v>
      </c>
      <c r="AA11">
        <v>0.99980179999999996</v>
      </c>
      <c r="AB11">
        <v>3</v>
      </c>
      <c r="AC11">
        <v>18.872900000000001</v>
      </c>
      <c r="AD11">
        <v>-1.119741976959</v>
      </c>
      <c r="AE11">
        <v>-0.38920000000001598</v>
      </c>
      <c r="AF11">
        <v>0.37600057068007903</v>
      </c>
      <c r="AG11">
        <v>-1.119741976959</v>
      </c>
      <c r="AH11">
        <v>18.806966364343701</v>
      </c>
      <c r="AI11">
        <v>93.406613688574097</v>
      </c>
      <c r="AJ11">
        <v>88.854659717497697</v>
      </c>
      <c r="AK11">
        <v>18.8440224568342</v>
      </c>
      <c r="AL11">
        <v>91.365469955785102</v>
      </c>
      <c r="AM11">
        <v>88.672042730682193</v>
      </c>
      <c r="AN11">
        <v>0.99999997100879501</v>
      </c>
    </row>
    <row r="12" spans="1:40" x14ac:dyDescent="0.25">
      <c r="A12" t="str">
        <f>"20190303154056581"</f>
        <v>20190303154056581</v>
      </c>
      <c r="B12" t="str">
        <f>"1551598856569201"</f>
        <v>1551598856569201</v>
      </c>
      <c r="C12" t="s">
        <v>40</v>
      </c>
      <c r="D12">
        <v>5.4354800000000001</v>
      </c>
      <c r="E12">
        <v>0.49889169999999999</v>
      </c>
      <c r="F12" t="s">
        <v>41</v>
      </c>
      <c r="G12">
        <v>-456.24290000000002</v>
      </c>
      <c r="H12" s="1">
        <v>-2.1185640000000002E-6</v>
      </c>
      <c r="I12">
        <v>366.65960000000001</v>
      </c>
      <c r="J12">
        <v>-475.3963</v>
      </c>
      <c r="K12">
        <v>1.119688</v>
      </c>
      <c r="L12">
        <v>367.06319999999999</v>
      </c>
      <c r="M12">
        <v>0.99999979999999999</v>
      </c>
      <c r="N12" s="1">
        <v>8.3167850000000004E-6</v>
      </c>
      <c r="O12">
        <v>-7.0798479999999999E-4</v>
      </c>
      <c r="P12">
        <v>0.99944520000000003</v>
      </c>
      <c r="Q12">
        <v>-2.3169559999999999E-2</v>
      </c>
      <c r="R12">
        <v>-2.3931129999999998E-2</v>
      </c>
      <c r="S12">
        <v>2.9959720000000001</v>
      </c>
      <c r="T12">
        <v>-0.1747512</v>
      </c>
      <c r="U12">
        <v>-6.2988279999999994E-2</v>
      </c>
      <c r="V12">
        <v>2.3221889999999999E-2</v>
      </c>
      <c r="W12">
        <v>-2.3179410000000001E-2</v>
      </c>
      <c r="X12">
        <v>0.99946159999999995</v>
      </c>
      <c r="Y12">
        <v>2.0278600000000001E-2</v>
      </c>
      <c r="Z12">
        <v>-5.4949860000000003E-4</v>
      </c>
      <c r="AA12">
        <v>0.99979419999999997</v>
      </c>
      <c r="AB12">
        <v>4</v>
      </c>
      <c r="AC12">
        <v>19.153399999999898</v>
      </c>
      <c r="AD12">
        <v>-1.119690118564</v>
      </c>
      <c r="AE12">
        <v>-0.40359999999998297</v>
      </c>
      <c r="AF12">
        <v>0.38871176463863999</v>
      </c>
      <c r="AG12">
        <v>-1.119690118564</v>
      </c>
      <c r="AH12">
        <v>19.088475718950601</v>
      </c>
      <c r="AI12">
        <v>93.356309849670396</v>
      </c>
      <c r="AJ12">
        <v>88.833407856404705</v>
      </c>
      <c r="AK12">
        <v>19.125237464422401</v>
      </c>
      <c r="AL12">
        <v>91.328201299176797</v>
      </c>
      <c r="AM12">
        <v>88.669006447015505</v>
      </c>
      <c r="AN12">
        <v>1.00000001554884</v>
      </c>
    </row>
    <row r="13" spans="1:40" x14ac:dyDescent="0.25">
      <c r="A13" t="str">
        <f>"20190303154056603"</f>
        <v>20190303154056603</v>
      </c>
      <c r="B13" t="str">
        <f>"1551598856599456"</f>
        <v>1551598856599456</v>
      </c>
      <c r="C13" t="s">
        <v>40</v>
      </c>
      <c r="D13">
        <v>5.442863</v>
      </c>
      <c r="E13">
        <v>0.49892829999999999</v>
      </c>
      <c r="F13" t="s">
        <v>41</v>
      </c>
      <c r="G13">
        <v>-455.7774</v>
      </c>
      <c r="H13" s="1">
        <v>-2.3214490000000002E-6</v>
      </c>
      <c r="I13">
        <v>366.64170000000001</v>
      </c>
      <c r="J13">
        <v>-475.3546</v>
      </c>
      <c r="K13">
        <v>1.1196440000000001</v>
      </c>
      <c r="L13">
        <v>367.06299999999999</v>
      </c>
      <c r="M13">
        <v>0.99999959999999999</v>
      </c>
      <c r="N13">
        <v>4.4816540000000002E-4</v>
      </c>
      <c r="O13">
        <v>-7.8395570000000005E-4</v>
      </c>
      <c r="P13">
        <v>0.99945949999999995</v>
      </c>
      <c r="Q13">
        <v>-2.2555059999999998E-2</v>
      </c>
      <c r="R13">
        <v>-2.3921230000000002E-2</v>
      </c>
      <c r="S13">
        <v>2.9961549999999999</v>
      </c>
      <c r="T13">
        <v>-0.1709956</v>
      </c>
      <c r="U13">
        <v>-6.4361570000000007E-2</v>
      </c>
      <c r="V13">
        <v>2.3135969999999999E-2</v>
      </c>
      <c r="W13">
        <v>-2.3004650000000001E-2</v>
      </c>
      <c r="X13">
        <v>0.99946760000000001</v>
      </c>
      <c r="Y13">
        <v>2.0660609999999999E-2</v>
      </c>
      <c r="Z13">
        <v>-5.393358E-4</v>
      </c>
      <c r="AA13">
        <v>0.99978639999999996</v>
      </c>
      <c r="AB13">
        <v>4</v>
      </c>
      <c r="AC13">
        <v>19.577200000000001</v>
      </c>
      <c r="AD13">
        <v>-1.119646321449</v>
      </c>
      <c r="AE13">
        <v>-0.42130000000002998</v>
      </c>
      <c r="AF13">
        <v>0.40462934253715799</v>
      </c>
      <c r="AG13">
        <v>-1.119646321449</v>
      </c>
      <c r="AH13">
        <v>19.513727344361499</v>
      </c>
      <c r="AI13">
        <v>93.283176307070406</v>
      </c>
      <c r="AJ13">
        <v>88.812106404488901</v>
      </c>
      <c r="AK13">
        <v>19.550009914577</v>
      </c>
      <c r="AL13">
        <v>91.318185658106103</v>
      </c>
      <c r="AM13">
        <v>88.673937262381799</v>
      </c>
      <c r="AN13">
        <v>0.99999998523961098</v>
      </c>
    </row>
    <row r="14" spans="1:40" x14ac:dyDescent="0.25">
      <c r="A14" t="str">
        <f>"20190303154056623"</f>
        <v>20190303154056623</v>
      </c>
      <c r="B14" t="str">
        <f>"1551598856618977"</f>
        <v>1551598856618977</v>
      </c>
      <c r="C14" t="s">
        <v>40</v>
      </c>
      <c r="D14">
        <v>5.468896</v>
      </c>
      <c r="E14">
        <v>0.499</v>
      </c>
      <c r="F14" t="s">
        <v>41</v>
      </c>
      <c r="G14">
        <v>-455.58769999999998</v>
      </c>
      <c r="H14" s="1">
        <v>-2.4036760000000001E-6</v>
      </c>
      <c r="I14">
        <v>366.637</v>
      </c>
      <c r="J14">
        <v>-475.31319999999999</v>
      </c>
      <c r="K14">
        <v>1.119591</v>
      </c>
      <c r="L14">
        <v>367.06299999999999</v>
      </c>
      <c r="M14">
        <v>0.99999930000000004</v>
      </c>
      <c r="N14">
        <v>8.4382599999999999E-4</v>
      </c>
      <c r="O14">
        <v>-8.5964519999999999E-4</v>
      </c>
      <c r="P14">
        <v>0.99946440000000003</v>
      </c>
      <c r="Q14">
        <v>-2.2878550000000001E-2</v>
      </c>
      <c r="R14">
        <v>-2.339902E-2</v>
      </c>
      <c r="S14">
        <v>2.9963069999999998</v>
      </c>
      <c r="T14">
        <v>-0.1697177</v>
      </c>
      <c r="U14">
        <v>-6.4575199999999999E-2</v>
      </c>
      <c r="V14">
        <v>2.2538099999999998E-2</v>
      </c>
      <c r="W14">
        <v>-2.3723709999999999E-2</v>
      </c>
      <c r="X14">
        <v>0.99946449999999998</v>
      </c>
      <c r="Y14">
        <v>2.0655949999999999E-2</v>
      </c>
      <c r="Z14">
        <v>-5.2636879999999999E-4</v>
      </c>
      <c r="AA14">
        <v>0.99978650000000002</v>
      </c>
      <c r="AB14">
        <v>4</v>
      </c>
      <c r="AC14">
        <v>19.7255</v>
      </c>
      <c r="AD14">
        <v>-1.119593403676</v>
      </c>
      <c r="AE14">
        <v>-0.42600000000010102</v>
      </c>
      <c r="AF14">
        <v>0.40772999614785399</v>
      </c>
      <c r="AG14">
        <v>-1.119593403676</v>
      </c>
      <c r="AH14">
        <v>19.662544617186299</v>
      </c>
      <c r="AI14">
        <v>93.2582273951719</v>
      </c>
      <c r="AJ14">
        <v>88.812063196368598</v>
      </c>
      <c r="AK14">
        <v>19.698614011197702</v>
      </c>
      <c r="AL14">
        <v>91.359395946707096</v>
      </c>
      <c r="AM14">
        <v>88.708189046509105</v>
      </c>
      <c r="AN14">
        <v>1.00000003356401</v>
      </c>
    </row>
    <row r="15" spans="1:40" x14ac:dyDescent="0.25">
      <c r="A15" t="str">
        <f>"20190303154056646"</f>
        <v>20190303154056646</v>
      </c>
      <c r="B15" t="str">
        <f>"1551598856639473"</f>
        <v>1551598856639473</v>
      </c>
      <c r="C15" t="s">
        <v>40</v>
      </c>
      <c r="D15">
        <v>5.4819719999999998</v>
      </c>
      <c r="E15">
        <v>0.49906289999999998</v>
      </c>
      <c r="F15" t="s">
        <v>41</v>
      </c>
      <c r="G15">
        <v>-455.58139999999997</v>
      </c>
      <c r="H15" s="1">
        <v>-2.405176E-6</v>
      </c>
      <c r="I15">
        <v>366.64359999999999</v>
      </c>
      <c r="J15">
        <v>-475.26389999999998</v>
      </c>
      <c r="K15">
        <v>1.1195329999999999</v>
      </c>
      <c r="L15">
        <v>367.06279999999998</v>
      </c>
      <c r="M15">
        <v>0.99999870000000002</v>
      </c>
      <c r="N15">
        <v>1.2780269999999999E-3</v>
      </c>
      <c r="O15">
        <v>-9.5033309999999996E-4</v>
      </c>
      <c r="P15">
        <v>0.99946310000000005</v>
      </c>
      <c r="Q15">
        <v>-2.3006059999999998E-2</v>
      </c>
      <c r="R15">
        <v>-2.3332459999999999E-2</v>
      </c>
      <c r="S15">
        <v>2.996216</v>
      </c>
      <c r="T15">
        <v>-0.1700065</v>
      </c>
      <c r="U15">
        <v>-6.3659670000000002E-2</v>
      </c>
      <c r="V15">
        <v>2.2380400000000002E-2</v>
      </c>
      <c r="W15">
        <v>-2.4285359999999999E-2</v>
      </c>
      <c r="X15">
        <v>0.99945450000000002</v>
      </c>
      <c r="Y15">
        <v>2.0261520000000002E-2</v>
      </c>
      <c r="Z15">
        <v>-5.0625180000000004E-4</v>
      </c>
      <c r="AA15">
        <v>0.99979459999999998</v>
      </c>
      <c r="AB15">
        <v>4</v>
      </c>
      <c r="AC15">
        <v>19.682500000000001</v>
      </c>
      <c r="AD15">
        <v>-1.11953540517599</v>
      </c>
      <c r="AE15">
        <v>-0.41919999999998903</v>
      </c>
      <c r="AF15">
        <v>0.39920390304995501</v>
      </c>
      <c r="AG15">
        <v>-1.11953540517599</v>
      </c>
      <c r="AH15">
        <v>19.619443400666501</v>
      </c>
      <c r="AI15">
        <v>93.265227034848607</v>
      </c>
      <c r="AJ15">
        <v>88.834342923032594</v>
      </c>
      <c r="AK15">
        <v>19.655413570607202</v>
      </c>
      <c r="AL15">
        <v>91.391585471553896</v>
      </c>
      <c r="AM15">
        <v>88.717212038865696</v>
      </c>
      <c r="AN15">
        <v>0.99999997929236895</v>
      </c>
    </row>
    <row r="16" spans="1:40" x14ac:dyDescent="0.25">
      <c r="A16" t="str">
        <f>"20190303154056668"</f>
        <v>20190303154056668</v>
      </c>
      <c r="B16" t="str">
        <f>"1551598856658993"</f>
        <v>1551598856658993</v>
      </c>
      <c r="C16" t="s">
        <v>40</v>
      </c>
      <c r="D16">
        <v>5.5071519999999996</v>
      </c>
      <c r="E16">
        <v>0.49905939999999999</v>
      </c>
      <c r="F16" t="s">
        <v>41</v>
      </c>
      <c r="G16">
        <v>-455.54899999999998</v>
      </c>
      <c r="H16" s="1">
        <v>-2.4196199999999998E-6</v>
      </c>
      <c r="I16">
        <v>366.64060000000001</v>
      </c>
      <c r="J16">
        <v>-475.21249999999998</v>
      </c>
      <c r="K16">
        <v>1.119486</v>
      </c>
      <c r="L16">
        <v>367.06270000000001</v>
      </c>
      <c r="M16">
        <v>0.99999819999999995</v>
      </c>
      <c r="N16">
        <v>1.648217E-3</v>
      </c>
      <c r="O16">
        <v>-1.04571E-3</v>
      </c>
      <c r="P16">
        <v>0.99945470000000003</v>
      </c>
      <c r="Q16">
        <v>-2.3596289999999999E-2</v>
      </c>
      <c r="R16">
        <v>-2.3100289999999999E-2</v>
      </c>
      <c r="S16">
        <v>2.9961850000000001</v>
      </c>
      <c r="T16">
        <v>-0.17014089999999901</v>
      </c>
      <c r="U16">
        <v>-6.4147949999999995E-2</v>
      </c>
      <c r="V16">
        <v>2.2052579999999999E-2</v>
      </c>
      <c r="W16">
        <v>-2.5245719999999999E-2</v>
      </c>
      <c r="X16">
        <v>0.99943800000000005</v>
      </c>
      <c r="Y16">
        <v>2.032948E-2</v>
      </c>
      <c r="Z16">
        <v>-4.9886539999999995E-4</v>
      </c>
      <c r="AA16">
        <v>0.99979320000000005</v>
      </c>
      <c r="AB16">
        <v>5</v>
      </c>
      <c r="AC16">
        <v>19.6634999999999</v>
      </c>
      <c r="AD16">
        <v>-1.1194884196199999</v>
      </c>
      <c r="AE16">
        <v>-0.42209999999999998</v>
      </c>
      <c r="AF16">
        <v>0.40024072707324698</v>
      </c>
      <c r="AG16">
        <v>-1.1194884196199999</v>
      </c>
      <c r="AH16">
        <v>19.600429276714099</v>
      </c>
      <c r="AI16">
        <v>93.268246026335106</v>
      </c>
      <c r="AJ16">
        <v>88.830182872908594</v>
      </c>
      <c r="AK16">
        <v>19.636452703906102</v>
      </c>
      <c r="AL16">
        <v>91.446626917146403</v>
      </c>
      <c r="AM16">
        <v>88.735974850439902</v>
      </c>
      <c r="AN16">
        <v>0.99999998925348699</v>
      </c>
    </row>
    <row r="17" spans="1:40" x14ac:dyDescent="0.25">
      <c r="A17" t="str">
        <f>"20190303154056691"</f>
        <v>20190303154056691</v>
      </c>
      <c r="B17" t="str">
        <f>"1551598856679492"</f>
        <v>1551598856679492</v>
      </c>
      <c r="C17" t="s">
        <v>40</v>
      </c>
      <c r="D17">
        <v>5.4087350000000001</v>
      </c>
      <c r="E17">
        <v>0.49899759999999999</v>
      </c>
      <c r="F17" t="s">
        <v>41</v>
      </c>
      <c r="G17">
        <v>-455.72730000000001</v>
      </c>
      <c r="H17" s="1">
        <v>-2.3414210000000001E-6</v>
      </c>
      <c r="I17">
        <v>366.65019999999998</v>
      </c>
      <c r="J17">
        <v>-475.16059999999999</v>
      </c>
      <c r="K17">
        <v>1.1196889999999999</v>
      </c>
      <c r="L17">
        <v>367.06259999999997</v>
      </c>
      <c r="M17">
        <v>0.99999890000000002</v>
      </c>
      <c r="N17">
        <v>1.115071E-3</v>
      </c>
      <c r="O17">
        <v>-1.1192820000000001E-3</v>
      </c>
      <c r="P17">
        <v>0.99944449999999996</v>
      </c>
      <c r="Q17">
        <v>-2.43032E-2</v>
      </c>
      <c r="R17">
        <v>-2.2810480000000001E-2</v>
      </c>
      <c r="S17">
        <v>2.996124</v>
      </c>
      <c r="T17">
        <v>-0.17213680000000001</v>
      </c>
      <c r="U17">
        <v>-6.3415529999999998E-2</v>
      </c>
      <c r="V17">
        <v>2.168956E-2</v>
      </c>
      <c r="W17">
        <v>-2.5419509999999999E-2</v>
      </c>
      <c r="X17">
        <v>0.99944160000000004</v>
      </c>
      <c r="Y17">
        <v>2.0011640000000001E-2</v>
      </c>
      <c r="Z17">
        <v>-4.9766790000000001E-4</v>
      </c>
      <c r="AA17">
        <v>0.99979960000000001</v>
      </c>
      <c r="AB17">
        <v>5</v>
      </c>
      <c r="AC17">
        <v>19.4332999999999</v>
      </c>
      <c r="AD17">
        <v>-1.1196913414209999</v>
      </c>
      <c r="AE17">
        <v>-0.412399999999991</v>
      </c>
      <c r="AF17">
        <v>0.389356409881157</v>
      </c>
      <c r="AG17">
        <v>-1.1196913414209999</v>
      </c>
      <c r="AH17">
        <v>19.369476817195199</v>
      </c>
      <c r="AI17">
        <v>93.307748469359694</v>
      </c>
      <c r="AJ17">
        <v>88.848421399989206</v>
      </c>
      <c r="AK17">
        <v>19.4057192416522</v>
      </c>
      <c r="AL17">
        <v>91.456587458645799</v>
      </c>
      <c r="AM17">
        <v>88.756780575352096</v>
      </c>
      <c r="AN17">
        <v>1.0000000501560899</v>
      </c>
    </row>
    <row r="18" spans="1:40" x14ac:dyDescent="0.25">
      <c r="A18" t="str">
        <f>"20190303154056713"</f>
        <v>20190303154056713</v>
      </c>
      <c r="B18" t="str">
        <f>"1551598856708769"</f>
        <v>1551598856708769</v>
      </c>
      <c r="C18" t="s">
        <v>40</v>
      </c>
      <c r="D18">
        <v>5.401999</v>
      </c>
      <c r="E18">
        <v>0.49856790000000001</v>
      </c>
      <c r="F18" t="s">
        <v>41</v>
      </c>
      <c r="G18">
        <v>-455.90879999999999</v>
      </c>
      <c r="H18" s="1">
        <v>-2.2608640000000001E-6</v>
      </c>
      <c r="I18">
        <v>366.66539999999998</v>
      </c>
      <c r="J18">
        <v>-475.1139</v>
      </c>
      <c r="K18">
        <v>1.1202289999999999</v>
      </c>
      <c r="L18">
        <v>367.06240000000003</v>
      </c>
      <c r="M18">
        <v>0.99999910000000003</v>
      </c>
      <c r="N18">
        <v>-7.2350919999999996E-4</v>
      </c>
      <c r="O18">
        <v>-1.169954E-3</v>
      </c>
      <c r="P18">
        <v>0.99940300000000004</v>
      </c>
      <c r="Q18">
        <v>-2.6402390000000001E-2</v>
      </c>
      <c r="R18">
        <v>-2.228867E-2</v>
      </c>
      <c r="S18">
        <v>2.9960330000000002</v>
      </c>
      <c r="T18">
        <v>-0.17424919999999999</v>
      </c>
      <c r="U18">
        <v>-6.1798100000000002E-2</v>
      </c>
      <c r="V18">
        <v>2.1117770000000001E-2</v>
      </c>
      <c r="W18">
        <v>-2.5680540000000002E-2</v>
      </c>
      <c r="X18">
        <v>0.99944710000000003</v>
      </c>
      <c r="Y18">
        <v>1.9421250000000001E-2</v>
      </c>
      <c r="Z18">
        <v>-5.0413149999999996E-4</v>
      </c>
      <c r="AA18">
        <v>0.99981129999999996</v>
      </c>
      <c r="AB18">
        <v>5</v>
      </c>
      <c r="AC18">
        <v>19.205100000000002</v>
      </c>
      <c r="AD18">
        <v>-1.1202312608639999</v>
      </c>
      <c r="AE18">
        <v>-0.39700000000004798</v>
      </c>
      <c r="AF18">
        <v>0.37326120758074699</v>
      </c>
      <c r="AG18">
        <v>-1.1202312608639999</v>
      </c>
      <c r="AH18">
        <v>19.140456126963599</v>
      </c>
      <c r="AI18">
        <v>93.348887190946101</v>
      </c>
      <c r="AJ18">
        <v>88.882807113356506</v>
      </c>
      <c r="AK18">
        <v>19.176842877677199</v>
      </c>
      <c r="AL18">
        <v>91.471548365467797</v>
      </c>
      <c r="AM18">
        <v>88.789551664765099</v>
      </c>
      <c r="AN18">
        <v>0.99999997802143703</v>
      </c>
    </row>
    <row r="19" spans="1:40" x14ac:dyDescent="0.25">
      <c r="A19" t="str">
        <f>"20190303154056737"</f>
        <v>20190303154056737</v>
      </c>
      <c r="B19" t="str">
        <f>"1551598856729265"</f>
        <v>1551598856729265</v>
      </c>
      <c r="C19" t="s">
        <v>40</v>
      </c>
      <c r="D19">
        <v>5.5570659999999998</v>
      </c>
      <c r="E19">
        <v>0.4984074</v>
      </c>
      <c r="F19" t="s">
        <v>41</v>
      </c>
      <c r="G19">
        <v>-456.43540000000002</v>
      </c>
      <c r="H19" s="1">
        <v>-2.0276919999999999E-6</v>
      </c>
      <c r="I19">
        <v>366.7063</v>
      </c>
      <c r="J19">
        <v>-475.06150000000002</v>
      </c>
      <c r="K19">
        <v>1.120371</v>
      </c>
      <c r="L19">
        <v>367.06229999999999</v>
      </c>
      <c r="M19">
        <v>0.9999981</v>
      </c>
      <c r="N19">
        <v>-1.5470320000000001E-3</v>
      </c>
      <c r="O19">
        <v>-1.2233630000000001E-3</v>
      </c>
      <c r="P19">
        <v>0.99940399999999996</v>
      </c>
      <c r="Q19">
        <v>-2.6711490000000001E-2</v>
      </c>
      <c r="R19">
        <v>-2.1874500000000002E-2</v>
      </c>
      <c r="S19">
        <v>2.9957579999999999</v>
      </c>
      <c r="T19">
        <v>-0.17966779999999999</v>
      </c>
      <c r="U19">
        <v>-5.7098389999999999E-2</v>
      </c>
      <c r="V19">
        <v>2.065059E-2</v>
      </c>
      <c r="W19">
        <v>-2.5166250000000001E-2</v>
      </c>
      <c r="X19">
        <v>0.99946999999999997</v>
      </c>
      <c r="Y19">
        <v>1.7802410000000001E-2</v>
      </c>
      <c r="Z19">
        <v>-4.75692E-4</v>
      </c>
      <c r="AA19">
        <v>0.99984139999999999</v>
      </c>
      <c r="AB19">
        <v>5</v>
      </c>
      <c r="AC19">
        <v>18.626100000000001</v>
      </c>
      <c r="AD19">
        <v>-1.1203730276919901</v>
      </c>
      <c r="AE19">
        <v>-0.35599999999999399</v>
      </c>
      <c r="AF19">
        <v>0.33201240796859799</v>
      </c>
      <c r="AG19">
        <v>-1.1203730276919901</v>
      </c>
      <c r="AH19">
        <v>18.559396215970601</v>
      </c>
      <c r="AI19">
        <v>93.454024438175395</v>
      </c>
      <c r="AJ19">
        <v>88.975134716897699</v>
      </c>
      <c r="AK19">
        <v>18.596146263718399</v>
      </c>
      <c r="AL19">
        <v>91.4420721098857</v>
      </c>
      <c r="AM19">
        <v>88.816349338462103</v>
      </c>
      <c r="AN19">
        <v>1.0000000339532</v>
      </c>
    </row>
    <row r="20" spans="1:40" x14ac:dyDescent="0.25">
      <c r="A20" t="str">
        <f>"20190303154056758"</f>
        <v>20190303154056758</v>
      </c>
      <c r="B20" t="str">
        <f>"1551598856748789"</f>
        <v>1551598856748789</v>
      </c>
      <c r="C20" t="s">
        <v>40</v>
      </c>
      <c r="D20">
        <v>5.3996959999999996</v>
      </c>
      <c r="E20">
        <v>0.49816440000000001</v>
      </c>
      <c r="F20" t="s">
        <v>41</v>
      </c>
      <c r="G20">
        <v>-456.47969999999998</v>
      </c>
      <c r="H20" s="1">
        <v>-2.0051110000000002E-6</v>
      </c>
      <c r="I20">
        <v>366.72640000000001</v>
      </c>
      <c r="J20">
        <v>-475.0068</v>
      </c>
      <c r="K20">
        <v>1.1201350000000001</v>
      </c>
      <c r="L20">
        <v>367.06209999999999</v>
      </c>
      <c r="M20">
        <v>0.99999870000000002</v>
      </c>
      <c r="N20">
        <v>-1.118562E-3</v>
      </c>
      <c r="O20">
        <v>-1.2860129999999999E-3</v>
      </c>
      <c r="P20">
        <v>0.99942489999999995</v>
      </c>
      <c r="Q20">
        <v>-2.622551E-2</v>
      </c>
      <c r="R20">
        <v>-2.1505130000000001E-2</v>
      </c>
      <c r="S20">
        <v>2.995819</v>
      </c>
      <c r="T20">
        <v>-0.1806296</v>
      </c>
      <c r="U20">
        <v>-5.4138180000000001E-2</v>
      </c>
      <c r="V20">
        <v>2.021848E-2</v>
      </c>
      <c r="W20">
        <v>-2.510855E-2</v>
      </c>
      <c r="X20">
        <v>0.99948020000000004</v>
      </c>
      <c r="Y20">
        <v>1.6753750000000001E-2</v>
      </c>
      <c r="Z20">
        <v>-4.3792979999999999E-4</v>
      </c>
      <c r="AA20">
        <v>0.99985959999999996</v>
      </c>
      <c r="AB20">
        <v>5</v>
      </c>
      <c r="AC20">
        <v>18.527100000000001</v>
      </c>
      <c r="AD20">
        <v>-1.120137005111</v>
      </c>
      <c r="AE20">
        <v>-0.33569999999997402</v>
      </c>
      <c r="AF20">
        <v>0.31073813991506699</v>
      </c>
      <c r="AG20">
        <v>-1.120137005111</v>
      </c>
      <c r="AH20">
        <v>18.460060801388099</v>
      </c>
      <c r="AI20">
        <v>93.471899255763205</v>
      </c>
      <c r="AJ20">
        <v>89.035631418373697</v>
      </c>
      <c r="AK20">
        <v>18.496624283710901</v>
      </c>
      <c r="AL20">
        <v>91.438765221921102</v>
      </c>
      <c r="AM20">
        <v>88.841122019335899</v>
      </c>
      <c r="AN20">
        <v>0.99999994820432503</v>
      </c>
    </row>
    <row r="21" spans="1:40" x14ac:dyDescent="0.25">
      <c r="A21" t="str">
        <f>"20190303154056781"</f>
        <v>20190303154056781</v>
      </c>
      <c r="B21" t="str">
        <f>"1551598856769284"</f>
        <v>1551598856769284</v>
      </c>
      <c r="C21" t="s">
        <v>40</v>
      </c>
      <c r="D21">
        <v>5.436598</v>
      </c>
      <c r="E21">
        <v>0.49798710000000002</v>
      </c>
      <c r="F21" t="s">
        <v>41</v>
      </c>
      <c r="G21">
        <v>-456.30070000000001</v>
      </c>
      <c r="H21" s="1">
        <v>-2.0793120000000001E-6</v>
      </c>
      <c r="I21">
        <v>366.74110000000002</v>
      </c>
      <c r="J21">
        <v>-474.94490000000002</v>
      </c>
      <c r="K21">
        <v>1.119902</v>
      </c>
      <c r="L21">
        <v>367.06200000000001</v>
      </c>
      <c r="M21">
        <v>0.99999899999999997</v>
      </c>
      <c r="N21">
        <v>-5.6356199999999998E-4</v>
      </c>
      <c r="O21">
        <v>-1.36421E-3</v>
      </c>
      <c r="P21">
        <v>0.99943879999999996</v>
      </c>
      <c r="Q21">
        <v>-2.5885999999999999E-2</v>
      </c>
      <c r="R21">
        <v>-2.1273170000000001E-2</v>
      </c>
      <c r="S21">
        <v>2.995911</v>
      </c>
      <c r="T21">
        <v>-0.17939669999999999</v>
      </c>
      <c r="U21">
        <v>-5.1391600000000003E-2</v>
      </c>
      <c r="V21">
        <v>1.990803E-2</v>
      </c>
      <c r="W21">
        <v>-2.5323979999999999E-2</v>
      </c>
      <c r="X21">
        <v>0.99948099999999995</v>
      </c>
      <c r="Y21">
        <v>1.5761270000000001E-2</v>
      </c>
      <c r="Z21">
        <v>-3.9504330000000003E-4</v>
      </c>
      <c r="AA21">
        <v>0.99987570000000003</v>
      </c>
      <c r="AB21">
        <v>6</v>
      </c>
      <c r="AC21">
        <v>18.644200000000001</v>
      </c>
      <c r="AD21">
        <v>-1.1199040793120001</v>
      </c>
      <c r="AE21">
        <v>-0.32089999999993701</v>
      </c>
      <c r="AF21">
        <v>0.29440318480509697</v>
      </c>
      <c r="AG21">
        <v>-1.1199040793120001</v>
      </c>
      <c r="AH21">
        <v>18.577611080595801</v>
      </c>
      <c r="AI21">
        <v>93.449323701176894</v>
      </c>
      <c r="AJ21">
        <v>89.0920981143868</v>
      </c>
      <c r="AK21">
        <v>18.613664116555899</v>
      </c>
      <c r="AL21">
        <v>91.451112373750405</v>
      </c>
      <c r="AM21">
        <v>88.858912489428704</v>
      </c>
      <c r="AN21">
        <v>0.99999995149125898</v>
      </c>
    </row>
    <row r="22" spans="1:40" x14ac:dyDescent="0.25">
      <c r="A22" t="str">
        <f>"20190303154056805"</f>
        <v>20190303154056805</v>
      </c>
      <c r="B22" t="str">
        <f>"1551598856799537"</f>
        <v>1551598856799537</v>
      </c>
      <c r="C22" t="s">
        <v>40</v>
      </c>
      <c r="D22">
        <v>5.4473739999999999</v>
      </c>
      <c r="E22">
        <v>0.49770609999999998</v>
      </c>
      <c r="F22" t="s">
        <v>41</v>
      </c>
      <c r="G22">
        <v>-456.11829999999998</v>
      </c>
      <c r="H22" s="1">
        <v>-2.1556269999999999E-6</v>
      </c>
      <c r="I22">
        <v>366.75200000000001</v>
      </c>
      <c r="J22">
        <v>-474.88049999999998</v>
      </c>
      <c r="K22">
        <v>1.1197589999999999</v>
      </c>
      <c r="L22">
        <v>367.06180000000001</v>
      </c>
      <c r="M22">
        <v>0.99999890000000002</v>
      </c>
      <c r="N22">
        <v>-1.927159E-4</v>
      </c>
      <c r="O22">
        <v>-1.45151E-3</v>
      </c>
      <c r="P22">
        <v>0.99945499999999998</v>
      </c>
      <c r="Q22">
        <v>-2.5692940000000001E-2</v>
      </c>
      <c r="R22">
        <v>-2.0732520000000001E-2</v>
      </c>
      <c r="S22">
        <v>2.9960330000000002</v>
      </c>
      <c r="T22">
        <v>-0.17821909999999999</v>
      </c>
      <c r="U22">
        <v>-4.9316409999999998E-2</v>
      </c>
      <c r="V22">
        <v>1.9279569999999999E-2</v>
      </c>
      <c r="W22">
        <v>-2.550181E-2</v>
      </c>
      <c r="X22">
        <v>0.99948879999999996</v>
      </c>
      <c r="Y22">
        <v>1.498299E-2</v>
      </c>
      <c r="Z22">
        <v>-3.6067210000000001E-4</v>
      </c>
      <c r="AA22">
        <v>0.99988770000000005</v>
      </c>
      <c r="AB22">
        <v>6</v>
      </c>
      <c r="AC22">
        <v>18.7622</v>
      </c>
      <c r="AD22">
        <v>-1.119761155627</v>
      </c>
      <c r="AE22">
        <v>-0.30980000000005198</v>
      </c>
      <c r="AF22">
        <v>0.28156352013130698</v>
      </c>
      <c r="AG22">
        <v>-1.119761155627</v>
      </c>
      <c r="AH22">
        <v>18.696054350549002</v>
      </c>
      <c r="AI22">
        <v>93.427128999356896</v>
      </c>
      <c r="AJ22">
        <v>89.137187900997802</v>
      </c>
      <c r="AK22">
        <v>18.731673479435901</v>
      </c>
      <c r="AL22">
        <v>91.461304572590805</v>
      </c>
      <c r="AM22">
        <v>88.894934073248507</v>
      </c>
      <c r="AN22">
        <v>0.99999995272904896</v>
      </c>
    </row>
    <row r="23" spans="1:40" x14ac:dyDescent="0.25">
      <c r="A23" t="str">
        <f>"20190303154056828"</f>
        <v>20190303154056828</v>
      </c>
      <c r="B23" t="str">
        <f>"1551598856819057"</f>
        <v>1551598856819057</v>
      </c>
      <c r="C23" t="s">
        <v>40</v>
      </c>
      <c r="D23">
        <v>5.4608749999999997</v>
      </c>
      <c r="E23">
        <v>0.49752099999999999</v>
      </c>
      <c r="F23" t="s">
        <v>41</v>
      </c>
      <c r="G23">
        <v>-456.0111</v>
      </c>
      <c r="H23" s="1">
        <v>-2.1972700000000001E-6</v>
      </c>
      <c r="I23">
        <v>366.7765</v>
      </c>
      <c r="J23">
        <v>-474.8134</v>
      </c>
      <c r="K23">
        <v>1.1196520000000001</v>
      </c>
      <c r="L23">
        <v>367.0616</v>
      </c>
      <c r="M23">
        <v>0.99999890000000002</v>
      </c>
      <c r="N23">
        <v>1.3140029999999999E-4</v>
      </c>
      <c r="O23">
        <v>-1.5466220000000001E-3</v>
      </c>
      <c r="P23">
        <v>0.99943700000000002</v>
      </c>
      <c r="Q23">
        <v>-2.6290279999999999E-2</v>
      </c>
      <c r="R23">
        <v>-2.085505E-2</v>
      </c>
      <c r="S23">
        <v>2.9961549999999999</v>
      </c>
      <c r="T23">
        <v>-0.17779919999999999</v>
      </c>
      <c r="U23">
        <v>-4.5288090000000003E-2</v>
      </c>
      <c r="V23">
        <v>1.9306819999999999E-2</v>
      </c>
      <c r="W23">
        <v>-2.6423350000000002E-2</v>
      </c>
      <c r="X23">
        <v>0.99946440000000003</v>
      </c>
      <c r="Y23">
        <v>1.354617E-2</v>
      </c>
      <c r="Z23">
        <v>-3.0876759999999998E-4</v>
      </c>
      <c r="AA23">
        <v>0.99990820000000002</v>
      </c>
      <c r="AB23">
        <v>6</v>
      </c>
      <c r="AC23">
        <v>18.802299999999999</v>
      </c>
      <c r="AD23">
        <v>-1.11965419727</v>
      </c>
      <c r="AE23">
        <v>-0.28509999999999902</v>
      </c>
      <c r="AF23">
        <v>0.25511516567790898</v>
      </c>
      <c r="AG23">
        <v>-1.11965419727</v>
      </c>
      <c r="AH23">
        <v>18.736293736578801</v>
      </c>
      <c r="AI23">
        <v>93.419530876381501</v>
      </c>
      <c r="AJ23">
        <v>89.219903398901806</v>
      </c>
      <c r="AK23">
        <v>18.7714520549846</v>
      </c>
      <c r="AL23">
        <v>91.514122636775497</v>
      </c>
      <c r="AM23">
        <v>88.893345537083505</v>
      </c>
      <c r="AN23">
        <v>1.0000000167955401</v>
      </c>
    </row>
    <row r="24" spans="1:40" x14ac:dyDescent="0.25">
      <c r="A24" t="str">
        <f>"20190303154056848"</f>
        <v>20190303154056848</v>
      </c>
      <c r="B24" t="str">
        <f>"1551598856839553"</f>
        <v>1551598856839553</v>
      </c>
      <c r="C24" t="s">
        <v>40</v>
      </c>
      <c r="D24">
        <v>5.4377089999999999</v>
      </c>
      <c r="E24">
        <v>0.49733050000000001</v>
      </c>
      <c r="F24" t="s">
        <v>41</v>
      </c>
      <c r="G24">
        <v>-456.13979999999998</v>
      </c>
      <c r="H24" s="1">
        <v>-2.1403239999999999E-6</v>
      </c>
      <c r="I24">
        <v>366.78629999999998</v>
      </c>
      <c r="J24">
        <v>-474.75459999999998</v>
      </c>
      <c r="K24">
        <v>1.1195520000000001</v>
      </c>
      <c r="L24">
        <v>367.06139999999999</v>
      </c>
      <c r="M24">
        <v>0.99999859999999896</v>
      </c>
      <c r="N24">
        <v>4.7793690000000002E-4</v>
      </c>
      <c r="O24">
        <v>-1.6306999999999999E-3</v>
      </c>
      <c r="P24">
        <v>0.99938039999999995</v>
      </c>
      <c r="Q24">
        <v>-2.7509829999999999E-2</v>
      </c>
      <c r="R24">
        <v>-2.195832E-2</v>
      </c>
      <c r="S24">
        <v>2.9960330000000002</v>
      </c>
      <c r="T24">
        <v>-0.179639299999999</v>
      </c>
      <c r="U24">
        <v>-4.4158940000000001E-2</v>
      </c>
      <c r="V24">
        <v>2.032579E-2</v>
      </c>
      <c r="W24">
        <v>-2.7989460000000001E-2</v>
      </c>
      <c r="X24">
        <v>0.9994016</v>
      </c>
      <c r="Y24">
        <v>1.308666E-2</v>
      </c>
      <c r="Z24">
        <v>-2.9036790000000002E-4</v>
      </c>
      <c r="AA24">
        <v>0.99991430000000003</v>
      </c>
      <c r="AB24">
        <v>6</v>
      </c>
      <c r="AC24">
        <v>18.614799999999999</v>
      </c>
      <c r="AD24">
        <v>-1.1195541403239999</v>
      </c>
      <c r="AE24">
        <v>-0.275100000000009</v>
      </c>
      <c r="AF24">
        <v>0.243862568773976</v>
      </c>
      <c r="AG24">
        <v>-1.1195541403239999</v>
      </c>
      <c r="AH24">
        <v>18.548146008339099</v>
      </c>
      <c r="AI24">
        <v>93.453847845671405</v>
      </c>
      <c r="AJ24">
        <v>89.246744608588898</v>
      </c>
      <c r="AK24">
        <v>18.5835031889101</v>
      </c>
      <c r="AL24">
        <v>91.603887307439805</v>
      </c>
      <c r="AM24">
        <v>88.834881340587998</v>
      </c>
      <c r="AN24">
        <v>1.0000000528463799</v>
      </c>
    </row>
    <row r="25" spans="1:40" x14ac:dyDescent="0.25">
      <c r="A25" t="str">
        <f>"20190303154056870"</f>
        <v>20190303154056870</v>
      </c>
      <c r="B25" t="str">
        <f>"1551598856859073"</f>
        <v>1551598856859073</v>
      </c>
      <c r="C25" t="s">
        <v>40</v>
      </c>
      <c r="D25">
        <v>5.4748830000000002</v>
      </c>
      <c r="E25">
        <v>0.49714710000000001</v>
      </c>
      <c r="F25" t="s">
        <v>41</v>
      </c>
      <c r="G25">
        <v>-456.45940000000002</v>
      </c>
      <c r="H25" s="1">
        <v>-2.0040830000000002E-6</v>
      </c>
      <c r="I25">
        <v>366.78140000000002</v>
      </c>
      <c r="J25">
        <v>-474.68419999999998</v>
      </c>
      <c r="K25">
        <v>1.1194409999999999</v>
      </c>
      <c r="L25">
        <v>367.06119999999999</v>
      </c>
      <c r="M25">
        <v>0.99999819999999995</v>
      </c>
      <c r="N25">
        <v>9.1805890000000001E-4</v>
      </c>
      <c r="O25">
        <v>-1.7283439999999999E-3</v>
      </c>
      <c r="P25">
        <v>0.99932880000000002</v>
      </c>
      <c r="Q25">
        <v>-2.845895E-2</v>
      </c>
      <c r="R25">
        <v>-2.3064689999999999E-2</v>
      </c>
      <c r="S25">
        <v>2.995819</v>
      </c>
      <c r="T25">
        <v>-0.18332490000000001</v>
      </c>
      <c r="U25">
        <v>-4.58374E-2</v>
      </c>
      <c r="V25">
        <v>2.1334570000000001E-2</v>
      </c>
      <c r="W25">
        <v>-2.937857E-2</v>
      </c>
      <c r="X25">
        <v>0.99934069999999997</v>
      </c>
      <c r="Y25">
        <v>1.3548879999999999E-2</v>
      </c>
      <c r="Z25">
        <v>-3.0067199999999998E-4</v>
      </c>
      <c r="AA25">
        <v>0.99990809999999997</v>
      </c>
      <c r="AB25">
        <v>7</v>
      </c>
      <c r="AC25">
        <v>18.224799999999899</v>
      </c>
      <c r="AD25">
        <v>-1.1194430040829999</v>
      </c>
      <c r="AE25">
        <v>-0.27979999999996602</v>
      </c>
      <c r="AF25">
        <v>0.24736776805079899</v>
      </c>
      <c r="AG25">
        <v>-1.1194430040829999</v>
      </c>
      <c r="AH25">
        <v>18.156768347402799</v>
      </c>
      <c r="AI25">
        <v>93.5277392969587</v>
      </c>
      <c r="AJ25">
        <v>89.219450729544604</v>
      </c>
      <c r="AK25">
        <v>18.192926654975299</v>
      </c>
      <c r="AL25">
        <v>91.683510218142501</v>
      </c>
      <c r="AM25">
        <v>88.776998511614593</v>
      </c>
      <c r="AN25">
        <v>1.0000000494643999</v>
      </c>
    </row>
    <row r="26" spans="1:40" x14ac:dyDescent="0.25">
      <c r="A26" t="str">
        <f>"20190303154056893"</f>
        <v>20190303154056893</v>
      </c>
      <c r="B26" t="str">
        <f>"1551598856889330"</f>
        <v>1551598856889330</v>
      </c>
      <c r="C26" t="s">
        <v>40</v>
      </c>
      <c r="D26">
        <v>5.4448049999999997</v>
      </c>
      <c r="E26">
        <v>0.49689749999999999</v>
      </c>
      <c r="F26" t="s">
        <v>41</v>
      </c>
      <c r="G26">
        <v>-456.6678</v>
      </c>
      <c r="H26" s="1">
        <v>-1.9158899999999999E-6</v>
      </c>
      <c r="I26">
        <v>366.77460000000002</v>
      </c>
      <c r="J26">
        <v>-474.61630000000002</v>
      </c>
      <c r="K26">
        <v>1.119745</v>
      </c>
      <c r="L26">
        <v>367.0609</v>
      </c>
      <c r="M26">
        <v>0.99999839999999995</v>
      </c>
      <c r="N26" s="1">
        <v>-5.6035900000000003E-5</v>
      </c>
      <c r="O26">
        <v>-1.8137749999999999E-3</v>
      </c>
      <c r="P26">
        <v>0.9992354</v>
      </c>
      <c r="Q26">
        <v>-3.0489550000000001E-2</v>
      </c>
      <c r="R26">
        <v>-2.447291E-2</v>
      </c>
      <c r="S26">
        <v>2.9956049999999999</v>
      </c>
      <c r="T26">
        <v>-0.1861303</v>
      </c>
      <c r="U26">
        <v>-4.7637939999999997E-2</v>
      </c>
      <c r="V26">
        <v>2.2657799999999999E-2</v>
      </c>
      <c r="W26">
        <v>-3.04356E-2</v>
      </c>
      <c r="X26">
        <v>0.9992799</v>
      </c>
      <c r="Y26">
        <v>1.406338E-2</v>
      </c>
      <c r="Z26">
        <v>-3.2437589999999999E-4</v>
      </c>
      <c r="AA26">
        <v>0.99990109999999999</v>
      </c>
      <c r="AB26">
        <v>7</v>
      </c>
      <c r="AC26">
        <v>17.948499999999999</v>
      </c>
      <c r="AD26">
        <v>-1.11974691589</v>
      </c>
      <c r="AE26">
        <v>-0.28629999999998201</v>
      </c>
      <c r="AF26">
        <v>0.25276146854379999</v>
      </c>
      <c r="AG26">
        <v>-1.11974691589</v>
      </c>
      <c r="AH26">
        <v>17.879419064663701</v>
      </c>
      <c r="AI26">
        <v>93.583265474665694</v>
      </c>
      <c r="AJ26">
        <v>89.190063130303201</v>
      </c>
      <c r="AK26">
        <v>17.9162314007574</v>
      </c>
      <c r="AL26">
        <v>91.7441007476138</v>
      </c>
      <c r="AM26">
        <v>88.701090748321207</v>
      </c>
      <c r="AN26">
        <v>1.0000000100961</v>
      </c>
    </row>
    <row r="27" spans="1:40" x14ac:dyDescent="0.25">
      <c r="A27" t="str">
        <f>"20190303154056914"</f>
        <v>20190303154056914</v>
      </c>
      <c r="B27" t="str">
        <f>"1551598856908850"</f>
        <v>1551598856908850</v>
      </c>
      <c r="C27" t="s">
        <v>40</v>
      </c>
      <c r="D27">
        <v>5.4437049999999996</v>
      </c>
      <c r="E27">
        <v>0.49672569999999999</v>
      </c>
      <c r="F27" t="s">
        <v>41</v>
      </c>
      <c r="G27">
        <v>-457.16770000000002</v>
      </c>
      <c r="H27" s="1">
        <v>-1.70672E-6</v>
      </c>
      <c r="I27">
        <v>366.77199999999999</v>
      </c>
      <c r="J27">
        <v>-474.5523</v>
      </c>
      <c r="K27">
        <v>1.120325</v>
      </c>
      <c r="L27">
        <v>367.06079999999997</v>
      </c>
      <c r="M27">
        <v>0.99999570000000004</v>
      </c>
      <c r="N27">
        <v>-2.2367089999999999E-3</v>
      </c>
      <c r="O27">
        <v>-1.887697E-3</v>
      </c>
      <c r="P27">
        <v>0.99913200000000002</v>
      </c>
      <c r="Q27">
        <v>-3.3000910000000001E-2</v>
      </c>
      <c r="R27">
        <v>-2.542231E-2</v>
      </c>
      <c r="S27">
        <v>2.9951780000000001</v>
      </c>
      <c r="T27">
        <v>-0.1922112</v>
      </c>
      <c r="U27">
        <v>-4.9591059999999999E-2</v>
      </c>
      <c r="V27">
        <v>2.3534010000000001E-2</v>
      </c>
      <c r="W27">
        <v>-3.0767630000000001E-2</v>
      </c>
      <c r="X27">
        <v>0.99924950000000001</v>
      </c>
      <c r="Y27">
        <v>1.463968E-2</v>
      </c>
      <c r="Z27">
        <v>-3.6882720000000003E-4</v>
      </c>
      <c r="AA27">
        <v>0.99989280000000003</v>
      </c>
      <c r="AB27">
        <v>7</v>
      </c>
      <c r="AC27">
        <v>17.384599999999899</v>
      </c>
      <c r="AD27">
        <v>-1.12032670672</v>
      </c>
      <c r="AE27">
        <v>-0.28879999999998002</v>
      </c>
      <c r="AF27">
        <v>0.254924142432784</v>
      </c>
      <c r="AG27">
        <v>-1.12032670672</v>
      </c>
      <c r="AH27">
        <v>17.3132325009006</v>
      </c>
      <c r="AI27">
        <v>93.702006207768804</v>
      </c>
      <c r="AJ27">
        <v>89.156424310365296</v>
      </c>
      <c r="AK27">
        <v>17.3513151627889</v>
      </c>
      <c r="AL27">
        <v>91.763133543954893</v>
      </c>
      <c r="AM27">
        <v>88.650837233303704</v>
      </c>
      <c r="AN27">
        <v>1.0000000299663701</v>
      </c>
    </row>
    <row r="28" spans="1:40" x14ac:dyDescent="0.25">
      <c r="A28" t="str">
        <f>"20190303154056938"</f>
        <v>20190303154056938</v>
      </c>
      <c r="B28" t="str">
        <f>"1551598856929346"</f>
        <v>1551598856929346</v>
      </c>
      <c r="C28" t="s">
        <v>40</v>
      </c>
      <c r="D28">
        <v>5.4284730000000003</v>
      </c>
      <c r="E28">
        <v>0.49655739999999998</v>
      </c>
      <c r="F28" t="s">
        <v>41</v>
      </c>
      <c r="G28">
        <v>-457.74290000000002</v>
      </c>
      <c r="H28" s="1">
        <v>-1.5103110000000001E-6</v>
      </c>
      <c r="I28">
        <v>366.77440000000001</v>
      </c>
      <c r="J28">
        <v>-474.4896</v>
      </c>
      <c r="K28">
        <v>1.120857</v>
      </c>
      <c r="L28">
        <v>367.06060000000002</v>
      </c>
      <c r="M28">
        <v>0.99998750000000003</v>
      </c>
      <c r="N28">
        <v>-4.6050809999999996E-3</v>
      </c>
      <c r="O28">
        <v>-1.936459E-3</v>
      </c>
      <c r="P28">
        <v>0.99900029999999995</v>
      </c>
      <c r="Q28">
        <v>-3.5766880000000001E-2</v>
      </c>
      <c r="R28">
        <v>-2.682789E-2</v>
      </c>
      <c r="S28">
        <v>2.9947509999999999</v>
      </c>
      <c r="T28">
        <v>-0.19959589999999999</v>
      </c>
      <c r="U28">
        <v>-5.0994869999999998E-2</v>
      </c>
      <c r="V28">
        <v>2.4891900000000002E-2</v>
      </c>
      <c r="W28">
        <v>-3.1166820000000001E-2</v>
      </c>
      <c r="X28">
        <v>0.99920419999999999</v>
      </c>
      <c r="Y28">
        <v>1.50574E-2</v>
      </c>
      <c r="Z28">
        <v>-4.1589749999999999E-4</v>
      </c>
      <c r="AA28">
        <v>0.99988659999999996</v>
      </c>
      <c r="AB28">
        <v>7</v>
      </c>
      <c r="AC28">
        <v>16.746699999999901</v>
      </c>
      <c r="AD28">
        <v>-1.120858510311</v>
      </c>
      <c r="AE28">
        <v>-0.286200000000008</v>
      </c>
      <c r="AF28">
        <v>0.25263842216085602</v>
      </c>
      <c r="AG28">
        <v>-1.120858510311</v>
      </c>
      <c r="AH28">
        <v>16.672557573420001</v>
      </c>
      <c r="AI28">
        <v>93.845638872081807</v>
      </c>
      <c r="AJ28">
        <v>89.131866389700903</v>
      </c>
      <c r="AK28">
        <v>16.712101184814902</v>
      </c>
      <c r="AL28">
        <v>91.786016464283904</v>
      </c>
      <c r="AM28">
        <v>88.572958467048807</v>
      </c>
      <c r="AN28">
        <v>1.00000000532608</v>
      </c>
    </row>
    <row r="29" spans="1:40" x14ac:dyDescent="0.25">
      <c r="A29" t="str">
        <f>"20190303154056960"</f>
        <v>20190303154056960</v>
      </c>
      <c r="B29" t="str">
        <f>"1551598856948865"</f>
        <v>1551598856948865</v>
      </c>
      <c r="C29" t="s">
        <v>40</v>
      </c>
      <c r="D29">
        <v>5.4783569999999999</v>
      </c>
      <c r="E29">
        <v>0.49637419999999999</v>
      </c>
      <c r="F29" t="s">
        <v>41</v>
      </c>
      <c r="G29">
        <v>-458.351</v>
      </c>
      <c r="H29" s="1">
        <v>-1.3043289999999999E-6</v>
      </c>
      <c r="I29">
        <v>366.77080000000001</v>
      </c>
      <c r="J29">
        <v>-474.42149999999998</v>
      </c>
      <c r="K29">
        <v>1.12073</v>
      </c>
      <c r="L29">
        <v>367.06040000000002</v>
      </c>
      <c r="M29">
        <v>0.99998620000000005</v>
      </c>
      <c r="N29">
        <v>-4.907659E-3</v>
      </c>
      <c r="O29">
        <v>-1.9563050000000002E-3</v>
      </c>
      <c r="P29">
        <v>0.99891169999999996</v>
      </c>
      <c r="Q29">
        <v>-3.7412149999999998E-2</v>
      </c>
      <c r="R29">
        <v>-2.7852749999999999E-2</v>
      </c>
      <c r="S29">
        <v>2.99411</v>
      </c>
      <c r="T29">
        <v>-0.20794670000000001</v>
      </c>
      <c r="U29">
        <v>-5.3741459999999998E-2</v>
      </c>
      <c r="V29">
        <v>2.5898089999999999E-2</v>
      </c>
      <c r="W29">
        <v>-3.2509450000000002E-2</v>
      </c>
      <c r="X29">
        <v>0.99913589999999997</v>
      </c>
      <c r="Y29">
        <v>1.595305E-2</v>
      </c>
      <c r="Z29">
        <v>-4.6636939999999998E-4</v>
      </c>
      <c r="AA29">
        <v>0.9998726</v>
      </c>
      <c r="AB29">
        <v>6</v>
      </c>
      <c r="AC29">
        <v>16.0704999999999</v>
      </c>
      <c r="AD29">
        <v>-1.1207313043289999</v>
      </c>
      <c r="AE29">
        <v>-0.28960000000000702</v>
      </c>
      <c r="AF29">
        <v>0.25691120410167601</v>
      </c>
      <c r="AG29">
        <v>-1.1207313043289999</v>
      </c>
      <c r="AH29">
        <v>15.993278581099499</v>
      </c>
      <c r="AI29">
        <v>94.007941984742104</v>
      </c>
      <c r="AJ29">
        <v>89.079697029965004</v>
      </c>
      <c r="AK29">
        <v>16.0345564889071</v>
      </c>
      <c r="AL29">
        <v>91.862982417158307</v>
      </c>
      <c r="AM29">
        <v>88.515197913383702</v>
      </c>
      <c r="AN29">
        <v>1.00000006103687</v>
      </c>
    </row>
    <row r="30" spans="1:40" x14ac:dyDescent="0.25">
      <c r="A30" t="str">
        <f>"20190303154056981"</f>
        <v>20190303154056981</v>
      </c>
      <c r="B30" t="str">
        <f>"1551598856969365"</f>
        <v>1551598856969365</v>
      </c>
      <c r="C30" t="s">
        <v>40</v>
      </c>
      <c r="D30">
        <v>5.5160280000000004</v>
      </c>
      <c r="E30">
        <v>0.49620809999999999</v>
      </c>
      <c r="F30" t="s">
        <v>41</v>
      </c>
      <c r="G30">
        <v>-458.65260000000001</v>
      </c>
      <c r="H30" s="1">
        <v>-1.202627E-6</v>
      </c>
      <c r="I30">
        <v>366.76740000000001</v>
      </c>
      <c r="J30">
        <v>-474.35649999999998</v>
      </c>
      <c r="K30">
        <v>1.120409</v>
      </c>
      <c r="L30">
        <v>367.06020000000001</v>
      </c>
      <c r="M30">
        <v>0.99998880000000001</v>
      </c>
      <c r="N30">
        <v>-4.3052439999999997E-3</v>
      </c>
      <c r="O30">
        <v>-1.9670360000000001E-3</v>
      </c>
      <c r="P30">
        <v>0.99885539999999995</v>
      </c>
      <c r="Q30">
        <v>-3.8730100000000003E-2</v>
      </c>
      <c r="R30">
        <v>-2.8075849999999999E-2</v>
      </c>
      <c r="S30">
        <v>2.9937740000000002</v>
      </c>
      <c r="T30">
        <v>-0.2127724</v>
      </c>
      <c r="U30">
        <v>-5.5603029999999998E-2</v>
      </c>
      <c r="V30">
        <v>2.611109E-2</v>
      </c>
      <c r="W30">
        <v>-3.4429050000000003E-2</v>
      </c>
      <c r="X30">
        <v>0.99906600000000001</v>
      </c>
      <c r="Y30">
        <v>1.656301E-2</v>
      </c>
      <c r="Z30">
        <v>-4.9233899999999995E-4</v>
      </c>
      <c r="AA30">
        <v>0.99986269999999999</v>
      </c>
      <c r="AB30">
        <v>7</v>
      </c>
      <c r="AC30">
        <v>15.7038999999999</v>
      </c>
      <c r="AD30">
        <v>-1.120410202627</v>
      </c>
      <c r="AE30">
        <v>-0.29279999999999901</v>
      </c>
      <c r="AF30">
        <v>0.260583038963216</v>
      </c>
      <c r="AG30">
        <v>-1.120410202627</v>
      </c>
      <c r="AH30">
        <v>15.6249383772409</v>
      </c>
      <c r="AI30">
        <v>94.100893491132595</v>
      </c>
      <c r="AJ30">
        <v>89.044545072628793</v>
      </c>
      <c r="AK30">
        <v>15.667224445795201</v>
      </c>
      <c r="AL30">
        <v>91.973029159524302</v>
      </c>
      <c r="AM30">
        <v>88.502886935397697</v>
      </c>
      <c r="AN30">
        <v>1.0000000104304401</v>
      </c>
    </row>
    <row r="31" spans="1:40" x14ac:dyDescent="0.25">
      <c r="A31" t="str">
        <f>"20190303154057006"</f>
        <v>20190303154057006</v>
      </c>
      <c r="B31" t="str">
        <f>"1551598856999617"</f>
        <v>1551598856999617</v>
      </c>
      <c r="C31" t="s">
        <v>40</v>
      </c>
      <c r="D31">
        <v>5.4941430000000002</v>
      </c>
      <c r="E31">
        <v>0.495923</v>
      </c>
      <c r="F31" t="s">
        <v>41</v>
      </c>
      <c r="G31">
        <v>-458.87369999999999</v>
      </c>
      <c r="H31" s="1">
        <v>-1.124877E-6</v>
      </c>
      <c r="I31">
        <v>366.77690000000001</v>
      </c>
      <c r="J31">
        <v>-474.27359999999999</v>
      </c>
      <c r="K31">
        <v>1.1201179999999999</v>
      </c>
      <c r="L31">
        <v>367.06</v>
      </c>
      <c r="M31">
        <v>0.99999150000000003</v>
      </c>
      <c r="N31">
        <v>-3.63007E-3</v>
      </c>
      <c r="O31">
        <v>-1.9746120000000002E-3</v>
      </c>
      <c r="P31">
        <v>0.99886109999999995</v>
      </c>
      <c r="Q31">
        <v>-3.8973250000000001E-2</v>
      </c>
      <c r="R31">
        <v>-2.7524489999999999E-2</v>
      </c>
      <c r="S31">
        <v>2.9935</v>
      </c>
      <c r="T31">
        <v>-0.2166226</v>
      </c>
      <c r="U31">
        <v>-5.4779050000000003E-2</v>
      </c>
      <c r="V31">
        <v>2.5552800000000001E-2</v>
      </c>
      <c r="W31">
        <v>-3.5346309999999999E-2</v>
      </c>
      <c r="X31">
        <v>0.99904839999999995</v>
      </c>
      <c r="Y31">
        <v>1.628189E-2</v>
      </c>
      <c r="Z31">
        <v>-4.8235729999999998E-4</v>
      </c>
      <c r="AA31">
        <v>0.99986730000000001</v>
      </c>
      <c r="AB31">
        <v>7</v>
      </c>
      <c r="AC31">
        <v>15.399900000000001</v>
      </c>
      <c r="AD31">
        <v>-1.1201191248769999</v>
      </c>
      <c r="AE31">
        <v>-0.28309999999999003</v>
      </c>
      <c r="AF31">
        <v>0.25136105765859201</v>
      </c>
      <c r="AG31">
        <v>-1.1201191248769999</v>
      </c>
      <c r="AH31">
        <v>15.3194097996951</v>
      </c>
      <c r="AI31">
        <v>94.181329688967793</v>
      </c>
      <c r="AJ31">
        <v>89.059974523032196</v>
      </c>
      <c r="AK31">
        <v>15.362361987865601</v>
      </c>
      <c r="AL31">
        <v>92.025616308719094</v>
      </c>
      <c r="AM31">
        <v>88.534857309703</v>
      </c>
      <c r="AN31">
        <v>1.0000000063804999</v>
      </c>
    </row>
    <row r="32" spans="1:40" x14ac:dyDescent="0.25">
      <c r="A32" t="str">
        <f>"20190303154057027"</f>
        <v>20190303154057027</v>
      </c>
      <c r="B32" t="str">
        <f>"1551598857019137"</f>
        <v>1551598857019137</v>
      </c>
      <c r="C32" t="s">
        <v>40</v>
      </c>
      <c r="D32">
        <v>5.4624410000000001</v>
      </c>
      <c r="E32">
        <v>0.4957454</v>
      </c>
      <c r="F32" t="s">
        <v>41</v>
      </c>
      <c r="G32">
        <v>-458.7962</v>
      </c>
      <c r="H32" s="1">
        <v>-1.145812E-6</v>
      </c>
      <c r="I32">
        <v>366.79719999999998</v>
      </c>
      <c r="J32">
        <v>-474.20229999999998</v>
      </c>
      <c r="K32">
        <v>1.120012</v>
      </c>
      <c r="L32">
        <v>367.05990000000003</v>
      </c>
      <c r="M32">
        <v>0.99999249999999995</v>
      </c>
      <c r="N32">
        <v>-3.3486969999999999E-3</v>
      </c>
      <c r="O32">
        <v>-1.9732719999999999E-3</v>
      </c>
      <c r="P32">
        <v>0.9988977</v>
      </c>
      <c r="Q32">
        <v>-3.8597369999999999E-2</v>
      </c>
      <c r="R32">
        <v>-2.671985E-2</v>
      </c>
      <c r="S32">
        <v>2.9935299999999998</v>
      </c>
      <c r="T32">
        <v>-0.2166438</v>
      </c>
      <c r="U32">
        <v>-5.0811769999999999E-2</v>
      </c>
      <c r="V32">
        <v>2.474991E-2</v>
      </c>
      <c r="W32">
        <v>-3.5251150000000002E-2</v>
      </c>
      <c r="X32">
        <v>0.99907199999999996</v>
      </c>
      <c r="Y32">
        <v>1.496215E-2</v>
      </c>
      <c r="Z32">
        <v>-4.2974199999999999E-4</v>
      </c>
      <c r="AA32">
        <v>0.99988790000000005</v>
      </c>
      <c r="AB32">
        <v>7</v>
      </c>
      <c r="AC32">
        <v>15.406099999999901</v>
      </c>
      <c r="AD32">
        <v>-1.120013145812</v>
      </c>
      <c r="AE32">
        <v>-0.262700000000052</v>
      </c>
      <c r="AF32">
        <v>0.23107795746398399</v>
      </c>
      <c r="AG32">
        <v>-1.120013145812</v>
      </c>
      <c r="AH32">
        <v>15.325613114837401</v>
      </c>
      <c r="AI32">
        <v>94.179336351036895</v>
      </c>
      <c r="AJ32">
        <v>89.136165815045899</v>
      </c>
      <c r="AK32">
        <v>15.3682218820166</v>
      </c>
      <c r="AL32">
        <v>92.020160591863302</v>
      </c>
      <c r="AM32">
        <v>88.580907676498995</v>
      </c>
      <c r="AN32">
        <v>1.00000003140266</v>
      </c>
    </row>
    <row r="33" spans="1:40" x14ac:dyDescent="0.25">
      <c r="A33" t="str">
        <f>"20190303154057050"</f>
        <v>20190303154057050</v>
      </c>
      <c r="B33" t="str">
        <f>"1551598857038661"</f>
        <v>1551598857038661</v>
      </c>
      <c r="C33" t="s">
        <v>40</v>
      </c>
      <c r="D33">
        <v>5.4973489999999998</v>
      </c>
      <c r="E33">
        <v>0.49559249999999999</v>
      </c>
      <c r="F33" t="s">
        <v>41</v>
      </c>
      <c r="G33">
        <v>-458.62950000000001</v>
      </c>
      <c r="H33" s="1">
        <v>-1.1980589999999999E-6</v>
      </c>
      <c r="I33">
        <v>366.8141</v>
      </c>
      <c r="J33">
        <v>-474.13060000000002</v>
      </c>
      <c r="K33">
        <v>1.1202650000000001</v>
      </c>
      <c r="L33">
        <v>367.0598</v>
      </c>
      <c r="M33">
        <v>0.99998909999999996</v>
      </c>
      <c r="N33">
        <v>-4.2638620000000002E-3</v>
      </c>
      <c r="O33">
        <v>-1.9691470000000001E-3</v>
      </c>
      <c r="P33">
        <v>0.99889790000000001</v>
      </c>
      <c r="Q33">
        <v>-3.9162990000000002E-2</v>
      </c>
      <c r="R33">
        <v>-2.5876969999999999E-2</v>
      </c>
      <c r="S33">
        <v>2.9937130000000001</v>
      </c>
      <c r="T33">
        <v>-0.2153089</v>
      </c>
      <c r="U33">
        <v>-4.7241209999999999E-2</v>
      </c>
      <c r="V33">
        <v>2.39113E-2</v>
      </c>
      <c r="W33">
        <v>-3.4902379999999997E-2</v>
      </c>
      <c r="X33">
        <v>0.99910460000000001</v>
      </c>
      <c r="Y33">
        <v>1.377604E-2</v>
      </c>
      <c r="Z33">
        <v>-3.9108650000000002E-4</v>
      </c>
      <c r="AA33">
        <v>0.99990500000000004</v>
      </c>
      <c r="AB33">
        <v>7</v>
      </c>
      <c r="AC33">
        <v>15.501099999999999</v>
      </c>
      <c r="AD33">
        <v>-1.1202661980589901</v>
      </c>
      <c r="AE33">
        <v>-0.245699999999999</v>
      </c>
      <c r="AF33">
        <v>0.21405757035396</v>
      </c>
      <c r="AG33">
        <v>-1.1202661980589901</v>
      </c>
      <c r="AH33">
        <v>15.421030440376001</v>
      </c>
      <c r="AI33">
        <v>94.154574470966494</v>
      </c>
      <c r="AJ33">
        <v>89.204734872772093</v>
      </c>
      <c r="AK33">
        <v>15.4631496416785</v>
      </c>
      <c r="AL33">
        <v>92.0001653733799</v>
      </c>
      <c r="AM33">
        <v>88.629017330248701</v>
      </c>
      <c r="AN33">
        <v>0.99999996406925595</v>
      </c>
    </row>
    <row r="34" spans="1:40" x14ac:dyDescent="0.25">
      <c r="A34" t="str">
        <f>"20190303154057071"</f>
        <v>20190303154057071</v>
      </c>
      <c r="B34" t="str">
        <f>"1551598857059153"</f>
        <v>1551598857059153</v>
      </c>
      <c r="C34" t="s">
        <v>40</v>
      </c>
      <c r="D34">
        <v>5.5090629999999896</v>
      </c>
      <c r="E34">
        <v>0.4954422</v>
      </c>
      <c r="F34" t="s">
        <v>41</v>
      </c>
      <c r="G34">
        <v>-458.63339999999999</v>
      </c>
      <c r="H34" s="1">
        <v>-1.191189E-6</v>
      </c>
      <c r="I34">
        <v>366.8349</v>
      </c>
      <c r="J34">
        <v>-474.065</v>
      </c>
      <c r="K34">
        <v>1.120754</v>
      </c>
      <c r="L34">
        <v>367.05970000000002</v>
      </c>
      <c r="M34">
        <v>0.9999787</v>
      </c>
      <c r="N34">
        <v>-6.2231300000000003E-3</v>
      </c>
      <c r="O34">
        <v>-1.9653209999999999E-3</v>
      </c>
      <c r="P34">
        <v>0.99879850000000003</v>
      </c>
      <c r="Q34">
        <v>-4.1864129999999999E-2</v>
      </c>
      <c r="R34">
        <v>-2.547054E-2</v>
      </c>
      <c r="S34">
        <v>2.9937130000000001</v>
      </c>
      <c r="T34">
        <v>-0.21640899999999999</v>
      </c>
      <c r="U34">
        <v>-4.3426510000000001E-2</v>
      </c>
      <c r="V34">
        <v>2.3508640000000001E-2</v>
      </c>
      <c r="W34">
        <v>-3.5646700000000003E-2</v>
      </c>
      <c r="X34">
        <v>0.99908790000000003</v>
      </c>
      <c r="Y34">
        <v>1.250803E-2</v>
      </c>
      <c r="Z34">
        <v>-3.6079329999999998E-4</v>
      </c>
      <c r="AA34">
        <v>0.99992170000000002</v>
      </c>
      <c r="AB34">
        <v>8</v>
      </c>
      <c r="AC34">
        <v>15.4316</v>
      </c>
      <c r="AD34">
        <v>-1.1207551911889999</v>
      </c>
      <c r="AE34">
        <v>-0.22480000000001599</v>
      </c>
      <c r="AF34">
        <v>0.19345074838046999</v>
      </c>
      <c r="AG34">
        <v>-1.1207551911889999</v>
      </c>
      <c r="AH34">
        <v>15.351056627786599</v>
      </c>
      <c r="AI34">
        <v>94.175330969844595</v>
      </c>
      <c r="AJ34">
        <v>89.278008998111105</v>
      </c>
      <c r="AK34">
        <v>15.3931301228872</v>
      </c>
      <c r="AL34">
        <v>92.042838279413104</v>
      </c>
      <c r="AM34">
        <v>88.652073205232895</v>
      </c>
      <c r="AN34">
        <v>0.99999998765097398</v>
      </c>
    </row>
    <row r="35" spans="1:40" x14ac:dyDescent="0.25">
      <c r="A35" t="str">
        <f>"20190303154057093"</f>
        <v>20190303154057093</v>
      </c>
      <c r="B35" t="str">
        <f>"1551598857089409"</f>
        <v>1551598857089409</v>
      </c>
      <c r="C35" t="s">
        <v>40</v>
      </c>
      <c r="D35">
        <v>5.5162129999999996</v>
      </c>
      <c r="E35">
        <v>0.49522899999999997</v>
      </c>
      <c r="F35" t="s">
        <v>41</v>
      </c>
      <c r="G35">
        <v>-459.09539999999998</v>
      </c>
      <c r="H35" s="1">
        <v>-1.029E-6</v>
      </c>
      <c r="I35">
        <v>366.8535</v>
      </c>
      <c r="J35">
        <v>-474.00150000000002</v>
      </c>
      <c r="K35">
        <v>1.121254</v>
      </c>
      <c r="L35">
        <v>367.05959999999999</v>
      </c>
      <c r="M35">
        <v>0.99996160000000001</v>
      </c>
      <c r="N35">
        <v>-8.548422E-3</v>
      </c>
      <c r="O35">
        <v>-1.9602059999999999E-3</v>
      </c>
      <c r="P35">
        <v>0.99869929999999996</v>
      </c>
      <c r="Q35">
        <v>-4.4770200000000003E-2</v>
      </c>
      <c r="R35">
        <v>-2.4406770000000001E-2</v>
      </c>
      <c r="S35">
        <v>2.993134</v>
      </c>
      <c r="T35">
        <v>-0.22409109999999999</v>
      </c>
      <c r="U35">
        <v>-4.1198730000000003E-2</v>
      </c>
      <c r="V35">
        <v>2.2449360000000002E-2</v>
      </c>
      <c r="W35">
        <v>-3.6230520000000002E-2</v>
      </c>
      <c r="X35">
        <v>0.99909130000000002</v>
      </c>
      <c r="Y35">
        <v>1.1770589999999999E-2</v>
      </c>
      <c r="Z35">
        <v>-3.6056830000000002E-4</v>
      </c>
      <c r="AA35">
        <v>0.99993069999999895</v>
      </c>
      <c r="AB35">
        <v>7</v>
      </c>
      <c r="AC35">
        <v>14.9061</v>
      </c>
      <c r="AD35">
        <v>-1.1212550290000001</v>
      </c>
      <c r="AE35">
        <v>-0.20609999999999201</v>
      </c>
      <c r="AF35">
        <v>0.175884506327117</v>
      </c>
      <c r="AG35">
        <v>-1.1212550290000001</v>
      </c>
      <c r="AH35">
        <v>14.822621573028099</v>
      </c>
      <c r="AI35">
        <v>94.325588885499101</v>
      </c>
      <c r="AJ35">
        <v>89.320162974271796</v>
      </c>
      <c r="AK35">
        <v>14.8660101741127</v>
      </c>
      <c r="AL35">
        <v>92.076310247593298</v>
      </c>
      <c r="AM35">
        <v>88.712793141395906</v>
      </c>
      <c r="AN35">
        <v>1.00000002503978</v>
      </c>
    </row>
    <row r="36" spans="1:40" x14ac:dyDescent="0.25">
      <c r="A36" t="str">
        <f>"20190303154057115"</f>
        <v>20190303154057115</v>
      </c>
      <c r="B36" t="str">
        <f>"1551598857108930"</f>
        <v>1551598857108930</v>
      </c>
      <c r="C36" t="s">
        <v>40</v>
      </c>
      <c r="D36">
        <v>5.7237090000000004</v>
      </c>
      <c r="E36">
        <v>0.49509769999999997</v>
      </c>
      <c r="F36" t="s">
        <v>41</v>
      </c>
      <c r="G36">
        <v>-459.53699999999998</v>
      </c>
      <c r="H36" s="1">
        <v>-8.7071949999999999E-7</v>
      </c>
      <c r="I36">
        <v>366.8836</v>
      </c>
      <c r="J36">
        <v>-473.93970000000002</v>
      </c>
      <c r="K36">
        <v>1.121588</v>
      </c>
      <c r="L36">
        <v>367.05950000000001</v>
      </c>
      <c r="M36">
        <v>0.99994280000000002</v>
      </c>
      <c r="N36">
        <v>-1.0523630000000001E-2</v>
      </c>
      <c r="O36">
        <v>-1.93867E-3</v>
      </c>
      <c r="P36">
        <v>0.99862070000000003</v>
      </c>
      <c r="Q36">
        <v>-4.6991610000000003E-2</v>
      </c>
      <c r="R36">
        <v>-2.3429169999999999E-2</v>
      </c>
      <c r="S36">
        <v>2.9926149999999998</v>
      </c>
      <c r="T36">
        <v>-0.23198009999999999</v>
      </c>
      <c r="U36">
        <v>-3.6407469999999997E-2</v>
      </c>
      <c r="V36">
        <v>2.1493720000000001E-2</v>
      </c>
      <c r="W36">
        <v>-3.6478919999999998E-2</v>
      </c>
      <c r="X36">
        <v>0.99910319999999997</v>
      </c>
      <c r="Y36">
        <v>1.019581E-2</v>
      </c>
      <c r="Z36">
        <v>-3.1863939999999998E-4</v>
      </c>
      <c r="AA36">
        <v>0.99994799999999995</v>
      </c>
      <c r="AB36">
        <v>7</v>
      </c>
      <c r="AC36">
        <v>14.402699999999999</v>
      </c>
      <c r="AD36">
        <v>-1.1215888707195001</v>
      </c>
      <c r="AE36">
        <v>-0.17590000000001199</v>
      </c>
      <c r="AF36">
        <v>0.14708421477363001</v>
      </c>
      <c r="AG36">
        <v>-1.1215888707195001</v>
      </c>
      <c r="AH36">
        <v>14.31620934603</v>
      </c>
      <c r="AI36">
        <v>94.4793941306542</v>
      </c>
      <c r="AJ36">
        <v>89.411365952970996</v>
      </c>
      <c r="AK36">
        <v>14.3608302476045</v>
      </c>
      <c r="AL36">
        <v>92.090552094669405</v>
      </c>
      <c r="AM36">
        <v>88.767585258991204</v>
      </c>
      <c r="AN36">
        <v>0.99999994792702096</v>
      </c>
    </row>
    <row r="37" spans="1:40" x14ac:dyDescent="0.25">
      <c r="A37" t="str">
        <f>"20190303154057140"</f>
        <v>20190303154057140</v>
      </c>
      <c r="B37" t="str">
        <f>"1551598857129425"</f>
        <v>1551598857129425</v>
      </c>
      <c r="C37" t="s">
        <v>40</v>
      </c>
      <c r="D37">
        <v>5.5271100000000004</v>
      </c>
      <c r="E37">
        <v>0.49498359999999902</v>
      </c>
      <c r="F37" t="s">
        <v>41</v>
      </c>
      <c r="G37">
        <v>-459.82530000000003</v>
      </c>
      <c r="H37" s="1">
        <v>-7.6644529999999998E-7</v>
      </c>
      <c r="I37">
        <v>366.9067</v>
      </c>
      <c r="J37">
        <v>-473.86739999999998</v>
      </c>
      <c r="K37">
        <v>1.12127</v>
      </c>
      <c r="L37">
        <v>367.05939999999998</v>
      </c>
      <c r="M37">
        <v>0.9999458</v>
      </c>
      <c r="N37">
        <v>-1.0253979999999999E-2</v>
      </c>
      <c r="O37">
        <v>-1.870123E-3</v>
      </c>
      <c r="P37">
        <v>0.99862660000000003</v>
      </c>
      <c r="Q37">
        <v>-4.7202920000000002E-2</v>
      </c>
      <c r="R37">
        <v>-2.2745189999999998E-2</v>
      </c>
      <c r="S37">
        <v>2.9921880000000001</v>
      </c>
      <c r="T37">
        <v>-0.2377707</v>
      </c>
      <c r="U37">
        <v>-3.2379150000000002E-2</v>
      </c>
      <c r="V37">
        <v>2.0879499999999999E-2</v>
      </c>
      <c r="W37">
        <v>-3.6958980000000002E-2</v>
      </c>
      <c r="X37">
        <v>0.99909870000000001</v>
      </c>
      <c r="Y37">
        <v>8.9231699999999994E-3</v>
      </c>
      <c r="Z37">
        <v>-2.7058060000000002E-4</v>
      </c>
      <c r="AA37">
        <v>0.99996010000000002</v>
      </c>
      <c r="AB37">
        <v>6</v>
      </c>
      <c r="AC37">
        <v>14.0420999999999</v>
      </c>
      <c r="AD37">
        <v>-1.1212707664453001</v>
      </c>
      <c r="AE37">
        <v>-0.15269999999998099</v>
      </c>
      <c r="AF37">
        <v>0.125636919223652</v>
      </c>
      <c r="AG37">
        <v>-1.1212707664453001</v>
      </c>
      <c r="AH37">
        <v>13.953402892686</v>
      </c>
      <c r="AI37">
        <v>94.594129822859102</v>
      </c>
      <c r="AJ37">
        <v>89.484120772938496</v>
      </c>
      <c r="AK37">
        <v>13.998945855055499</v>
      </c>
      <c r="AL37">
        <v>92.118075819300998</v>
      </c>
      <c r="AM37">
        <v>88.802787837290595</v>
      </c>
      <c r="AN37">
        <v>1.0000000660322801</v>
      </c>
    </row>
    <row r="38" spans="1:40" x14ac:dyDescent="0.25">
      <c r="A38" t="str">
        <f>"20190303154057161"</f>
        <v>20190303154057161</v>
      </c>
      <c r="B38" t="str">
        <f>"1551598857148946"</f>
        <v>1551598857148946</v>
      </c>
      <c r="C38" t="s">
        <v>40</v>
      </c>
      <c r="D38">
        <v>5.5274000000000001</v>
      </c>
      <c r="E38">
        <v>0.4948861</v>
      </c>
      <c r="F38" t="s">
        <v>41</v>
      </c>
      <c r="G38">
        <v>-459.73649999999998</v>
      </c>
      <c r="H38" s="1">
        <v>-7.9302839999999997E-7</v>
      </c>
      <c r="I38">
        <v>366.92039999999997</v>
      </c>
      <c r="J38">
        <v>-473.79669999999999</v>
      </c>
      <c r="K38">
        <v>1.120811</v>
      </c>
      <c r="L38">
        <v>367.05939999999998</v>
      </c>
      <c r="M38">
        <v>0.99995659999999997</v>
      </c>
      <c r="N38">
        <v>-9.1531979999999995E-3</v>
      </c>
      <c r="O38">
        <v>-1.7825670000000001E-3</v>
      </c>
      <c r="P38">
        <v>0.99865250000000005</v>
      </c>
      <c r="Q38">
        <v>-4.6760450000000002E-2</v>
      </c>
      <c r="R38">
        <v>-2.251645E-2</v>
      </c>
      <c r="S38">
        <v>2.9922490000000002</v>
      </c>
      <c r="T38">
        <v>-0.23743049999999999</v>
      </c>
      <c r="U38">
        <v>-2.9418949999999999E-2</v>
      </c>
      <c r="V38">
        <v>2.0739279999999999E-2</v>
      </c>
      <c r="W38">
        <v>-3.7615580000000003E-2</v>
      </c>
      <c r="X38">
        <v>0.99907699999999999</v>
      </c>
      <c r="Y38">
        <v>8.0249180000000007E-3</v>
      </c>
      <c r="Z38">
        <v>-2.297434E-4</v>
      </c>
      <c r="AA38">
        <v>0.99996779999999996</v>
      </c>
      <c r="AB38">
        <v>7</v>
      </c>
      <c r="AC38">
        <v>14.0602</v>
      </c>
      <c r="AD38">
        <v>-1.1208117930283901</v>
      </c>
      <c r="AE38">
        <v>-0.13900000000001</v>
      </c>
      <c r="AF38">
        <v>0.113216119455064</v>
      </c>
      <c r="AG38">
        <v>-1.1208117930283901</v>
      </c>
      <c r="AH38">
        <v>13.9716510614083</v>
      </c>
      <c r="AI38">
        <v>94.586320244945796</v>
      </c>
      <c r="AJ38">
        <v>89.535726750292397</v>
      </c>
      <c r="AK38">
        <v>14.0169922004275</v>
      </c>
      <c r="AL38">
        <v>92.155722654835103</v>
      </c>
      <c r="AM38">
        <v>88.810799790676796</v>
      </c>
      <c r="AN38">
        <v>0.99999995076132597</v>
      </c>
    </row>
    <row r="39" spans="1:40" x14ac:dyDescent="0.25">
      <c r="A39" t="str">
        <f>"20190303154057184"</f>
        <v>20190303154057184</v>
      </c>
      <c r="B39" t="str">
        <f>"1551598857179202"</f>
        <v>1551598857179202</v>
      </c>
      <c r="C39" t="s">
        <v>40</v>
      </c>
      <c r="D39">
        <v>5.5116420000000002</v>
      </c>
      <c r="E39">
        <v>0.49719239999999998</v>
      </c>
      <c r="F39" t="s">
        <v>41</v>
      </c>
      <c r="G39">
        <v>-459.52800000000002</v>
      </c>
      <c r="H39" s="1">
        <v>-8.6297810000000001E-7</v>
      </c>
      <c r="I39">
        <v>366.92430000000002</v>
      </c>
      <c r="J39">
        <v>-473.72579999999999</v>
      </c>
      <c r="K39">
        <v>1.12053799999999</v>
      </c>
      <c r="L39">
        <v>367.05939999999998</v>
      </c>
      <c r="M39">
        <v>0.99996379999999996</v>
      </c>
      <c r="N39">
        <v>-8.3378329999999994E-3</v>
      </c>
      <c r="O39">
        <v>-1.68847299999999E-3</v>
      </c>
      <c r="P39">
        <v>0.99862130000000005</v>
      </c>
      <c r="Q39">
        <v>-4.747237E-2</v>
      </c>
      <c r="R39">
        <v>-2.241042E-2</v>
      </c>
      <c r="S39">
        <v>2.9924010000000001</v>
      </c>
      <c r="T39">
        <v>-0.23505219999999999</v>
      </c>
      <c r="U39">
        <v>-2.8320310000000001E-2</v>
      </c>
      <c r="V39">
        <v>2.0728170000000001E-2</v>
      </c>
      <c r="W39">
        <v>-3.9141929999999998E-2</v>
      </c>
      <c r="X39">
        <v>0.99901870000000004</v>
      </c>
      <c r="Y39">
        <v>7.7529159999999899E-3</v>
      </c>
      <c r="Z39">
        <v>-2.1803409999999999E-4</v>
      </c>
      <c r="AA39">
        <v>0.99996989999999997</v>
      </c>
      <c r="AB39">
        <v>7</v>
      </c>
      <c r="AC39">
        <v>14.1977999999999</v>
      </c>
      <c r="AD39">
        <v>-1.1205388629780999</v>
      </c>
      <c r="AE39">
        <v>-0.135099999999965</v>
      </c>
      <c r="AF39">
        <v>0.11043852294642301</v>
      </c>
      <c r="AG39">
        <v>-1.1205388629780999</v>
      </c>
      <c r="AH39">
        <v>14.110125202281299</v>
      </c>
      <c r="AI39">
        <v>94.540408837009906</v>
      </c>
      <c r="AJ39">
        <v>89.551560885324903</v>
      </c>
      <c r="AK39">
        <v>14.1549792382344</v>
      </c>
      <c r="AL39">
        <v>92.243240323621507</v>
      </c>
      <c r="AM39">
        <v>88.811367319174707</v>
      </c>
      <c r="AN39">
        <v>1.00000005533268</v>
      </c>
    </row>
    <row r="40" spans="1:40" x14ac:dyDescent="0.25">
      <c r="A40" t="str">
        <f>"20190303154057208"</f>
        <v>20190303154057208</v>
      </c>
      <c r="B40" t="str">
        <f>"1551598857199698"</f>
        <v>1551598857199698</v>
      </c>
      <c r="C40" t="s">
        <v>40</v>
      </c>
      <c r="D40">
        <v>5.5387909999999998</v>
      </c>
      <c r="E40">
        <v>0.49667299999999998</v>
      </c>
      <c r="F40" t="s">
        <v>41</v>
      </c>
      <c r="G40">
        <v>-451.52730000000003</v>
      </c>
      <c r="H40" s="1">
        <v>-4.1298639999999999E-6</v>
      </c>
      <c r="I40">
        <v>366.72559999999999</v>
      </c>
      <c r="J40">
        <v>-473.6499</v>
      </c>
      <c r="K40">
        <v>1.1206430000000001</v>
      </c>
      <c r="L40">
        <v>367.05939999999998</v>
      </c>
      <c r="M40">
        <v>0.99996079999999998</v>
      </c>
      <c r="N40">
        <v>-8.7144470000000002E-3</v>
      </c>
      <c r="O40">
        <v>-1.592064E-3</v>
      </c>
      <c r="P40">
        <v>0.99857510000000005</v>
      </c>
      <c r="Q40">
        <v>-4.8421550000000001E-2</v>
      </c>
      <c r="R40">
        <v>-2.2433740000000001E-2</v>
      </c>
      <c r="S40">
        <v>2.9959720000000001</v>
      </c>
      <c r="T40">
        <v>-0.1512308</v>
      </c>
      <c r="U40">
        <v>-4.5043949999999999E-2</v>
      </c>
      <c r="V40">
        <v>2.0848060000000002E-2</v>
      </c>
      <c r="W40">
        <v>-3.9715199999999999E-2</v>
      </c>
      <c r="X40">
        <v>0.99899349999999998</v>
      </c>
      <c r="Y40">
        <v>1.342252E-2</v>
      </c>
      <c r="Z40">
        <v>-3.3062750000000001E-4</v>
      </c>
      <c r="AA40">
        <v>0.99990990000000002</v>
      </c>
      <c r="AB40">
        <v>7</v>
      </c>
      <c r="AC40">
        <v>22.122599999999899</v>
      </c>
      <c r="AD40">
        <v>-1.1206471298639999</v>
      </c>
      <c r="AE40">
        <v>-0.33379999999999599</v>
      </c>
      <c r="AF40">
        <v>0.29781361458448702</v>
      </c>
      <c r="AG40">
        <v>-1.1206471298639999</v>
      </c>
      <c r="AH40">
        <v>22.0664925360452</v>
      </c>
      <c r="AI40">
        <v>92.907004993201994</v>
      </c>
      <c r="AJ40">
        <v>89.226772117864598</v>
      </c>
      <c r="AK40">
        <v>22.096937248905</v>
      </c>
      <c r="AL40">
        <v>92.276112015871604</v>
      </c>
      <c r="AM40">
        <v>88.804464208435107</v>
      </c>
      <c r="AN40">
        <v>0.99999997587952605</v>
      </c>
    </row>
    <row r="41" spans="1:40" x14ac:dyDescent="0.25">
      <c r="A41" t="str">
        <f>"20190303154057231"</f>
        <v>20190303154057231</v>
      </c>
      <c r="B41" t="str">
        <f>"1551598857219218"</f>
        <v>1551598857219218</v>
      </c>
      <c r="C41" t="s">
        <v>40</v>
      </c>
      <c r="D41">
        <v>5.5362679999999997</v>
      </c>
      <c r="E41">
        <v>0.4970639</v>
      </c>
      <c r="F41" t="s">
        <v>41</v>
      </c>
      <c r="G41">
        <v>-452.91180000000003</v>
      </c>
      <c r="H41" s="1">
        <v>-3.5267679999999998E-6</v>
      </c>
      <c r="I41">
        <v>366.77710000000002</v>
      </c>
      <c r="J41">
        <v>-473.58069999999998</v>
      </c>
      <c r="K41">
        <v>1.1211169999999999</v>
      </c>
      <c r="L41">
        <v>367.05939999999998</v>
      </c>
      <c r="M41">
        <v>0.99994360000000004</v>
      </c>
      <c r="N41">
        <v>-1.0526829999999999E-2</v>
      </c>
      <c r="O41">
        <v>-1.5103600000000001E-3</v>
      </c>
      <c r="P41">
        <v>0.99847260000000004</v>
      </c>
      <c r="Q41">
        <v>-5.0595309999999998E-2</v>
      </c>
      <c r="R41">
        <v>-2.2198800000000001E-2</v>
      </c>
      <c r="S41">
        <v>2.995514</v>
      </c>
      <c r="T41">
        <v>-0.16187079999999901</v>
      </c>
      <c r="U41">
        <v>-4.0771479999999999E-2</v>
      </c>
      <c r="V41">
        <v>2.0693659999999999E-2</v>
      </c>
      <c r="W41">
        <v>-4.0079879999999998E-2</v>
      </c>
      <c r="X41">
        <v>0.99898220000000004</v>
      </c>
      <c r="Y41">
        <v>1.2079640000000001E-2</v>
      </c>
      <c r="Z41">
        <v>-3.2410240000000002E-4</v>
      </c>
      <c r="AA41">
        <v>0.99992700000000001</v>
      </c>
      <c r="AB41">
        <v>7</v>
      </c>
      <c r="AC41">
        <v>20.668899999999901</v>
      </c>
      <c r="AD41">
        <v>-1.121120526768</v>
      </c>
      <c r="AE41">
        <v>-0.28229999999996302</v>
      </c>
      <c r="AF41">
        <v>0.250344052043873</v>
      </c>
      <c r="AG41">
        <v>-1.121120526768</v>
      </c>
      <c r="AH41">
        <v>20.608679595333001</v>
      </c>
      <c r="AI41">
        <v>93.113615086321701</v>
      </c>
      <c r="AJ41">
        <v>89.304033425398799</v>
      </c>
      <c r="AK41">
        <v>20.640669999857799</v>
      </c>
      <c r="AL41">
        <v>92.297023166738299</v>
      </c>
      <c r="AM41">
        <v>88.813302343847099</v>
      </c>
      <c r="AN41">
        <v>1.00000003013092</v>
      </c>
    </row>
    <row r="42" spans="1:40" x14ac:dyDescent="0.25">
      <c r="A42" t="str">
        <f>"20190303154057251"</f>
        <v>20190303154057251</v>
      </c>
      <c r="B42" t="str">
        <f>"1551598857239717"</f>
        <v>1551598857239717</v>
      </c>
      <c r="C42" t="s">
        <v>40</v>
      </c>
      <c r="D42">
        <v>5.5382239999999996</v>
      </c>
      <c r="E42">
        <v>0.49710280000000001</v>
      </c>
      <c r="F42" t="s">
        <v>41</v>
      </c>
      <c r="G42">
        <v>-454.10759999999999</v>
      </c>
      <c r="H42" s="1">
        <v>-3.013698E-6</v>
      </c>
      <c r="I42">
        <v>366.7774</v>
      </c>
      <c r="J42">
        <v>-473.52609999999999</v>
      </c>
      <c r="K42">
        <v>1.1215310000000001</v>
      </c>
      <c r="L42">
        <v>367.05939999999998</v>
      </c>
      <c r="M42">
        <v>0.99992259999999999</v>
      </c>
      <c r="N42">
        <v>-1.235722E-2</v>
      </c>
      <c r="O42">
        <v>-1.446945E-3</v>
      </c>
      <c r="P42">
        <v>0.99836060000000004</v>
      </c>
      <c r="Q42">
        <v>-5.2961029999999999E-2</v>
      </c>
      <c r="R42">
        <v>-2.1711290000000001E-2</v>
      </c>
      <c r="S42">
        <v>2.994904</v>
      </c>
      <c r="T42">
        <v>-0.17242439999999901</v>
      </c>
      <c r="U42">
        <v>-4.3365479999999998E-2</v>
      </c>
      <c r="V42">
        <v>2.026814E-2</v>
      </c>
      <c r="W42">
        <v>-4.0618889999999998E-2</v>
      </c>
      <c r="X42">
        <v>0.99896910000000005</v>
      </c>
      <c r="Y42">
        <v>1.300664E-2</v>
      </c>
      <c r="Z42">
        <v>-3.8917219999999998E-4</v>
      </c>
      <c r="AA42">
        <v>0.99991540000000001</v>
      </c>
      <c r="AB42">
        <v>7</v>
      </c>
      <c r="AC42">
        <v>19.418499999999899</v>
      </c>
      <c r="AD42">
        <v>-1.1215340136980001</v>
      </c>
      <c r="AE42">
        <v>-0.28199999999998199</v>
      </c>
      <c r="AF42">
        <v>0.25305610377254001</v>
      </c>
      <c r="AG42">
        <v>-1.1215340136980001</v>
      </c>
      <c r="AH42">
        <v>19.354340104831799</v>
      </c>
      <c r="AI42">
        <v>93.316150840727204</v>
      </c>
      <c r="AJ42">
        <v>89.2509059718098</v>
      </c>
      <c r="AK42">
        <v>19.388459372241002</v>
      </c>
      <c r="AL42">
        <v>92.327931458117703</v>
      </c>
      <c r="AM42">
        <v>88.837682191835</v>
      </c>
      <c r="AN42">
        <v>0.99999997723934997</v>
      </c>
    </row>
    <row r="43" spans="1:40" x14ac:dyDescent="0.25">
      <c r="A43" t="str">
        <f>"20190303154057271"</f>
        <v>20190303154057271</v>
      </c>
      <c r="B43" t="str">
        <f>"1551598857268995"</f>
        <v>1551598857268995</v>
      </c>
      <c r="C43" t="s">
        <v>40</v>
      </c>
      <c r="D43">
        <v>5.5284190000000004</v>
      </c>
      <c r="E43">
        <v>0.49718449999999997</v>
      </c>
      <c r="F43" t="s">
        <v>41</v>
      </c>
      <c r="G43">
        <v>-454.95069999999998</v>
      </c>
      <c r="H43" s="1">
        <v>-2.648701E-6</v>
      </c>
      <c r="I43">
        <v>366.79610000000002</v>
      </c>
      <c r="J43">
        <v>-473.46980000000002</v>
      </c>
      <c r="K43">
        <v>1.121847</v>
      </c>
      <c r="L43">
        <v>367.05939999999998</v>
      </c>
      <c r="M43">
        <v>0.99989950000000005</v>
      </c>
      <c r="N43">
        <v>-1.4118510000000001E-2</v>
      </c>
      <c r="O43">
        <v>-1.384389E-3</v>
      </c>
      <c r="P43">
        <v>0.99823589999999995</v>
      </c>
      <c r="Q43">
        <v>-5.5416420000000001E-2</v>
      </c>
      <c r="R43">
        <v>-2.131473E-2</v>
      </c>
      <c r="S43">
        <v>2.9943849999999999</v>
      </c>
      <c r="T43">
        <v>-0.1807928</v>
      </c>
      <c r="U43">
        <v>-4.244995E-2</v>
      </c>
      <c r="V43">
        <v>1.993294E-2</v>
      </c>
      <c r="W43">
        <v>-4.1316770000000003E-2</v>
      </c>
      <c r="X43">
        <v>0.99894729999999998</v>
      </c>
      <c r="Y43">
        <v>1.2763490000000001E-2</v>
      </c>
      <c r="Z43">
        <v>-4.1118010000000001E-4</v>
      </c>
      <c r="AA43">
        <v>0.99991850000000004</v>
      </c>
      <c r="AB43">
        <v>6</v>
      </c>
      <c r="AC43">
        <v>18.519100000000002</v>
      </c>
      <c r="AD43">
        <v>-1.1218496487009999</v>
      </c>
      <c r="AE43">
        <v>-0.26329999999995801</v>
      </c>
      <c r="AF43">
        <v>0.23679078352778901</v>
      </c>
      <c r="AG43">
        <v>-1.1218496487009999</v>
      </c>
      <c r="AH43">
        <v>18.451748256819599</v>
      </c>
      <c r="AI43">
        <v>93.478963124605301</v>
      </c>
      <c r="AJ43">
        <v>89.264765178833301</v>
      </c>
      <c r="AK43">
        <v>18.487337024095702</v>
      </c>
      <c r="AL43">
        <v>92.367950456699006</v>
      </c>
      <c r="AM43">
        <v>88.856874836603296</v>
      </c>
      <c r="AN43">
        <v>1.00000005287878</v>
      </c>
    </row>
    <row r="44" spans="1:40" x14ac:dyDescent="0.25">
      <c r="A44" t="str">
        <f>"20190303154057294"</f>
        <v>20190303154057294</v>
      </c>
      <c r="B44" t="str">
        <f>"1551598857289490"</f>
        <v>1551598857289490</v>
      </c>
      <c r="C44" t="s">
        <v>40</v>
      </c>
      <c r="D44">
        <v>5.5376010000000004</v>
      </c>
      <c r="E44">
        <v>0.4973843</v>
      </c>
      <c r="F44" t="s">
        <v>41</v>
      </c>
      <c r="G44">
        <v>-455.50450000000001</v>
      </c>
      <c r="H44" s="1">
        <v>-2.4087930000000001E-6</v>
      </c>
      <c r="I44">
        <v>366.80919999999998</v>
      </c>
      <c r="J44">
        <v>-473.41050000000001</v>
      </c>
      <c r="K44">
        <v>1.1217600000000001</v>
      </c>
      <c r="L44">
        <v>367.05950000000001</v>
      </c>
      <c r="M44">
        <v>0.99989380000000005</v>
      </c>
      <c r="N44">
        <v>-1.4528839999999999E-2</v>
      </c>
      <c r="O44">
        <v>-1.3163129999999999E-3</v>
      </c>
      <c r="P44">
        <v>0.99818490000000004</v>
      </c>
      <c r="Q44">
        <v>-5.6434329999999998E-2</v>
      </c>
      <c r="R44">
        <v>-2.1031459999999998E-2</v>
      </c>
      <c r="S44">
        <v>2.994049</v>
      </c>
      <c r="T44">
        <v>-0.18696380000000001</v>
      </c>
      <c r="U44">
        <v>-4.1687009999999997E-2</v>
      </c>
      <c r="V44">
        <v>1.9717559999999999E-2</v>
      </c>
      <c r="W44">
        <v>-4.1925490000000003E-2</v>
      </c>
      <c r="X44">
        <v>0.99892619999999999</v>
      </c>
      <c r="Y44">
        <v>1.257691E-2</v>
      </c>
      <c r="Z44">
        <v>-4.2076229999999997E-4</v>
      </c>
      <c r="AA44">
        <v>0.99992080000000005</v>
      </c>
      <c r="AB44">
        <v>6</v>
      </c>
      <c r="AC44">
        <v>17.905999999999999</v>
      </c>
      <c r="AD44">
        <v>-1.121762408793</v>
      </c>
      <c r="AE44">
        <v>-0.25030000000003799</v>
      </c>
      <c r="AF44">
        <v>0.225841217499792</v>
      </c>
      <c r="AG44">
        <v>-1.121762408793</v>
      </c>
      <c r="AH44">
        <v>17.836325739926099</v>
      </c>
      <c r="AI44">
        <v>93.598419368717302</v>
      </c>
      <c r="AJ44">
        <v>89.274567119638903</v>
      </c>
      <c r="AK44">
        <v>17.872992784031801</v>
      </c>
      <c r="AL44">
        <v>92.402857819357493</v>
      </c>
      <c r="AM44">
        <v>88.869199463407696</v>
      </c>
      <c r="AN44">
        <v>1.0000000409652601</v>
      </c>
    </row>
    <row r="45" spans="1:40" x14ac:dyDescent="0.25">
      <c r="A45" t="str">
        <f>"20190303154057316"</f>
        <v>20190303154057316</v>
      </c>
      <c r="B45" t="str">
        <f>"1551598857309009"</f>
        <v>1551598857309009</v>
      </c>
      <c r="C45" t="s">
        <v>40</v>
      </c>
      <c r="D45">
        <v>5.548616</v>
      </c>
      <c r="E45">
        <v>0.49765579999999998</v>
      </c>
      <c r="F45" t="s">
        <v>41</v>
      </c>
      <c r="G45">
        <v>-455.66019999999997</v>
      </c>
      <c r="H45" s="1">
        <v>-2.342277E-6</v>
      </c>
      <c r="I45">
        <v>366.80759999999998</v>
      </c>
      <c r="J45">
        <v>-473.3449</v>
      </c>
      <c r="K45">
        <v>1.121362</v>
      </c>
      <c r="L45">
        <v>367.05950000000001</v>
      </c>
      <c r="M45">
        <v>0.99990590000000001</v>
      </c>
      <c r="N45">
        <v>-1.3671030000000001E-2</v>
      </c>
      <c r="O45">
        <v>-1.224033E-3</v>
      </c>
      <c r="P45">
        <v>0.99821559999999998</v>
      </c>
      <c r="Q45">
        <v>-5.6006680000000003E-2</v>
      </c>
      <c r="R45">
        <v>-2.071112E-2</v>
      </c>
      <c r="S45">
        <v>2.9938660000000001</v>
      </c>
      <c r="T45">
        <v>-0.1892025</v>
      </c>
      <c r="U45">
        <v>-4.2480469999999999E-2</v>
      </c>
      <c r="V45">
        <v>1.9489670000000001E-2</v>
      </c>
      <c r="W45">
        <v>-4.2354299999999998E-2</v>
      </c>
      <c r="X45">
        <v>0.99891249999999998</v>
      </c>
      <c r="Y45">
        <v>1.293381E-2</v>
      </c>
      <c r="Z45">
        <v>-4.3623149999999999E-4</v>
      </c>
      <c r="AA45">
        <v>0.99991629999999998</v>
      </c>
      <c r="AB45">
        <v>6</v>
      </c>
      <c r="AC45">
        <v>17.684699999999999</v>
      </c>
      <c r="AD45">
        <v>-1.1213643422770001</v>
      </c>
      <c r="AE45">
        <v>-0.25190000000003399</v>
      </c>
      <c r="AF45">
        <v>0.229329264407653</v>
      </c>
      <c r="AG45">
        <v>-1.1213643422770001</v>
      </c>
      <c r="AH45">
        <v>17.614188693291201</v>
      </c>
      <c r="AI45">
        <v>93.642372271613596</v>
      </c>
      <c r="AJ45">
        <v>89.254075402201494</v>
      </c>
      <c r="AK45">
        <v>17.651336867855399</v>
      </c>
      <c r="AL45">
        <v>92.427448866065703</v>
      </c>
      <c r="AM45">
        <v>88.882250276483802</v>
      </c>
      <c r="AN45">
        <v>0.99999995831072297</v>
      </c>
    </row>
    <row r="46" spans="1:40" x14ac:dyDescent="0.25">
      <c r="A46" t="str">
        <f>"20190303154057340"</f>
        <v>20190303154057340</v>
      </c>
      <c r="B46" t="str">
        <f>"1551598857329509"</f>
        <v>1551598857329509</v>
      </c>
      <c r="C46" t="s">
        <v>40</v>
      </c>
      <c r="D46">
        <v>5.4974990000000004</v>
      </c>
      <c r="E46">
        <v>0.49775779999999997</v>
      </c>
      <c r="F46" t="s">
        <v>41</v>
      </c>
      <c r="G46">
        <v>-455.28019999999998</v>
      </c>
      <c r="H46" s="1">
        <v>-2.5070610000000001E-6</v>
      </c>
      <c r="I46">
        <v>366.7978</v>
      </c>
      <c r="J46">
        <v>-473.27870000000001</v>
      </c>
      <c r="K46">
        <v>1.1211519999999999</v>
      </c>
      <c r="L46">
        <v>367.05950000000001</v>
      </c>
      <c r="M46">
        <v>0.99991289999999999</v>
      </c>
      <c r="N46">
        <v>-1.3151090000000001E-2</v>
      </c>
      <c r="O46">
        <v>-1.123108E-3</v>
      </c>
      <c r="P46">
        <v>0.99823249999999997</v>
      </c>
      <c r="Q46">
        <v>-5.5871690000000002E-2</v>
      </c>
      <c r="R46">
        <v>-2.024842E-2</v>
      </c>
      <c r="S46">
        <v>2.9940799999999999</v>
      </c>
      <c r="T46">
        <v>-0.1858563</v>
      </c>
      <c r="U46">
        <v>-4.3365479999999998E-2</v>
      </c>
      <c r="V46">
        <v>1.9128119999999998E-2</v>
      </c>
      <c r="W46">
        <v>-4.2738390000000001E-2</v>
      </c>
      <c r="X46">
        <v>0.99890319999999999</v>
      </c>
      <c r="Y46">
        <v>1.332937E-2</v>
      </c>
      <c r="Z46">
        <v>-4.461601E-4</v>
      </c>
      <c r="AA46">
        <v>0.99991110000000005</v>
      </c>
      <c r="AB46">
        <v>7</v>
      </c>
      <c r="AC46">
        <v>17.9985</v>
      </c>
      <c r="AD46">
        <v>-1.1211545070610001</v>
      </c>
      <c r="AE46">
        <v>-0.26170000000001797</v>
      </c>
      <c r="AF46">
        <v>0.24055063122898701</v>
      </c>
      <c r="AG46">
        <v>-1.1211545070610001</v>
      </c>
      <c r="AH46">
        <v>17.929227632781998</v>
      </c>
      <c r="AI46">
        <v>93.577852408910104</v>
      </c>
      <c r="AJ46">
        <v>89.231327231989894</v>
      </c>
      <c r="AK46">
        <v>17.965858051955099</v>
      </c>
      <c r="AL46">
        <v>92.449475375195703</v>
      </c>
      <c r="AM46">
        <v>88.902970161044394</v>
      </c>
      <c r="AN46">
        <v>1.00000002896238</v>
      </c>
    </row>
    <row r="47" spans="1:40" x14ac:dyDescent="0.25">
      <c r="A47" t="str">
        <f>"20190303154057352"</f>
        <v>20190303154057352</v>
      </c>
      <c r="B47" t="str">
        <f>"1551598857349026"</f>
        <v>1551598857349026</v>
      </c>
      <c r="C47" t="s">
        <v>40</v>
      </c>
      <c r="D47">
        <v>5.5142759999999997</v>
      </c>
      <c r="E47">
        <v>0.49791740000000001</v>
      </c>
      <c r="F47" t="s">
        <v>41</v>
      </c>
      <c r="G47">
        <v>-455.0401</v>
      </c>
      <c r="H47" s="1">
        <v>-2.6102680000000002E-6</v>
      </c>
      <c r="I47">
        <v>366.79660000000001</v>
      </c>
      <c r="J47">
        <v>-473.24149999999997</v>
      </c>
      <c r="K47">
        <v>1.1211599999999999</v>
      </c>
      <c r="L47">
        <v>367.05950000000001</v>
      </c>
      <c r="M47">
        <v>0.99991209999999997</v>
      </c>
      <c r="N47">
        <v>-1.322044E-2</v>
      </c>
      <c r="O47">
        <v>-1.067056E-3</v>
      </c>
      <c r="P47">
        <v>0.99820940000000002</v>
      </c>
      <c r="Q47">
        <v>-5.6354139999999997E-2</v>
      </c>
      <c r="R47">
        <v>-2.0061949999999999E-2</v>
      </c>
      <c r="S47">
        <v>2.99411</v>
      </c>
      <c r="T47">
        <v>-0.1840521</v>
      </c>
      <c r="U47">
        <v>-4.315186E-2</v>
      </c>
      <c r="V47">
        <v>1.899735E-2</v>
      </c>
      <c r="W47">
        <v>-4.3151809999999999E-2</v>
      </c>
      <c r="X47">
        <v>0.99888790000000005</v>
      </c>
      <c r="Y47">
        <v>1.3314400000000001E-2</v>
      </c>
      <c r="Z47">
        <v>-4.4550919999999998E-4</v>
      </c>
      <c r="AA47">
        <v>0.9999112</v>
      </c>
      <c r="AB47">
        <v>6</v>
      </c>
      <c r="AC47">
        <v>18.2013999999999</v>
      </c>
      <c r="AD47">
        <v>-1.1211626102679999</v>
      </c>
      <c r="AE47">
        <v>-0.26290000000000102</v>
      </c>
      <c r="AF47">
        <v>0.242556110827087</v>
      </c>
      <c r="AG47">
        <v>-1.1211626102679999</v>
      </c>
      <c r="AH47">
        <v>18.132883580480598</v>
      </c>
      <c r="AI47">
        <v>93.537798490832799</v>
      </c>
      <c r="AJ47">
        <v>89.233623677740397</v>
      </c>
      <c r="AK47">
        <v>18.1691305793323</v>
      </c>
      <c r="AL47">
        <v>92.473184522443404</v>
      </c>
      <c r="AM47">
        <v>88.910451541928495</v>
      </c>
      <c r="AN47">
        <v>1.0000000073898501</v>
      </c>
    </row>
    <row r="48" spans="1:40" x14ac:dyDescent="0.25">
      <c r="A48" t="str">
        <f>"20190303154057373"</f>
        <v>20190303154057373</v>
      </c>
      <c r="B48" t="str">
        <f>"1551598857369525"</f>
        <v>1551598857369525</v>
      </c>
      <c r="C48" t="s">
        <v>40</v>
      </c>
      <c r="D48">
        <v>5.5047230000000003</v>
      </c>
      <c r="E48">
        <v>0.49813289999999999</v>
      </c>
      <c r="F48" t="s">
        <v>41</v>
      </c>
      <c r="G48">
        <v>-454.9751</v>
      </c>
      <c r="H48" s="1">
        <v>-2.6389869999999999E-6</v>
      </c>
      <c r="I48">
        <v>366.7919</v>
      </c>
      <c r="J48">
        <v>-473.18770000000001</v>
      </c>
      <c r="K48">
        <v>1.121229</v>
      </c>
      <c r="L48">
        <v>367.05959999999999</v>
      </c>
      <c r="M48">
        <v>0.99990809999999997</v>
      </c>
      <c r="N48">
        <v>-1.3520799999999999E-2</v>
      </c>
      <c r="O48">
        <v>-9.905192000000001E-4</v>
      </c>
      <c r="P48">
        <v>0.99813320000000005</v>
      </c>
      <c r="Q48">
        <v>-5.7565850000000002E-2</v>
      </c>
      <c r="R48">
        <v>-2.0398110000000001E-2</v>
      </c>
      <c r="S48">
        <v>2.9941710000000001</v>
      </c>
      <c r="T48">
        <v>-0.18377689999999999</v>
      </c>
      <c r="U48">
        <v>-4.3853759999999999E-2</v>
      </c>
      <c r="V48">
        <v>1.9410139999999999E-2</v>
      </c>
      <c r="W48">
        <v>-4.4064430000000002E-2</v>
      </c>
      <c r="X48">
        <v>0.99884010000000001</v>
      </c>
      <c r="Y48">
        <v>1.362414E-2</v>
      </c>
      <c r="Z48">
        <v>-4.6256360000000002E-4</v>
      </c>
      <c r="AA48">
        <v>0.99990710000000005</v>
      </c>
      <c r="AB48">
        <v>6</v>
      </c>
      <c r="AC48">
        <v>18.212599999999998</v>
      </c>
      <c r="AD48">
        <v>-1.1212316389870001</v>
      </c>
      <c r="AE48">
        <v>-0.26769999999999</v>
      </c>
      <c r="AF48">
        <v>0.24871584361583399</v>
      </c>
      <c r="AG48">
        <v>-1.1212316389870001</v>
      </c>
      <c r="AH48">
        <v>18.144103750677001</v>
      </c>
      <c r="AI48">
        <v>93.535817610696697</v>
      </c>
      <c r="AJ48">
        <v>89.214649791087794</v>
      </c>
      <c r="AK48">
        <v>18.180415860877901</v>
      </c>
      <c r="AL48">
        <v>92.525523640557907</v>
      </c>
      <c r="AM48">
        <v>88.886729573658002</v>
      </c>
      <c r="AN48">
        <v>0.99999998644702703</v>
      </c>
    </row>
    <row r="49" spans="1:40" x14ac:dyDescent="0.25">
      <c r="A49" t="str">
        <f>"20190303154057394"</f>
        <v>20190303154057394</v>
      </c>
      <c r="B49" t="str">
        <f>"1551598857389045"</f>
        <v>1551598857389045</v>
      </c>
      <c r="C49" t="s">
        <v>40</v>
      </c>
      <c r="D49">
        <v>5.4724680000000001</v>
      </c>
      <c r="E49">
        <v>0.4982838</v>
      </c>
      <c r="F49" t="s">
        <v>41</v>
      </c>
      <c r="G49">
        <v>-455.15339999999998</v>
      </c>
      <c r="H49" s="1">
        <v>-2.5649659999999999E-6</v>
      </c>
      <c r="I49">
        <v>366.77809999999999</v>
      </c>
      <c r="J49">
        <v>-473.1277</v>
      </c>
      <c r="K49">
        <v>1.12124</v>
      </c>
      <c r="L49">
        <v>367.05959999999999</v>
      </c>
      <c r="M49">
        <v>0.99990670000000004</v>
      </c>
      <c r="N49">
        <v>-1.363699E-2</v>
      </c>
      <c r="O49">
        <v>-9.0801239999999995E-4</v>
      </c>
      <c r="P49">
        <v>0.99812579999999995</v>
      </c>
      <c r="Q49">
        <v>-5.7695900000000001E-2</v>
      </c>
      <c r="R49">
        <v>-2.039995E-2</v>
      </c>
      <c r="S49">
        <v>2.9939269999999998</v>
      </c>
      <c r="T49">
        <v>-0.1861371</v>
      </c>
      <c r="U49">
        <v>-4.6722409999999999E-2</v>
      </c>
      <c r="V49">
        <v>1.9494149999999998E-2</v>
      </c>
      <c r="W49">
        <v>-4.4078619999999999E-2</v>
      </c>
      <c r="X49">
        <v>0.9988378</v>
      </c>
      <c r="Y49">
        <v>1.4662379999999999E-2</v>
      </c>
      <c r="Z49">
        <v>-5.1140639999999998E-4</v>
      </c>
      <c r="AA49">
        <v>0.99989240000000001</v>
      </c>
      <c r="AB49">
        <v>6</v>
      </c>
      <c r="AC49">
        <v>17.974299999999999</v>
      </c>
      <c r="AD49">
        <v>-1.1212425649660001</v>
      </c>
      <c r="AE49">
        <v>-0.28149999999999398</v>
      </c>
      <c r="AF49">
        <v>0.26414984515648798</v>
      </c>
      <c r="AG49">
        <v>-1.1212425649660001</v>
      </c>
      <c r="AH49">
        <v>17.904891922244001</v>
      </c>
      <c r="AI49">
        <v>93.582916059162102</v>
      </c>
      <c r="AJ49">
        <v>89.154779963005495</v>
      </c>
      <c r="AK49">
        <v>17.9419094518233</v>
      </c>
      <c r="AL49">
        <v>92.526337553910096</v>
      </c>
      <c r="AM49">
        <v>88.881909818705793</v>
      </c>
      <c r="AN49">
        <v>0.99999994866708197</v>
      </c>
    </row>
    <row r="50" spans="1:40" x14ac:dyDescent="0.25">
      <c r="A50" t="str">
        <f>"20190303154057418"</f>
        <v>20190303154057418</v>
      </c>
      <c r="B50" t="str">
        <f>"1551598857409542"</f>
        <v>1551598857409542</v>
      </c>
      <c r="C50" t="s">
        <v>40</v>
      </c>
      <c r="D50">
        <v>5.4852699999999999</v>
      </c>
      <c r="E50">
        <v>0.49848480000000001</v>
      </c>
      <c r="F50" t="s">
        <v>41</v>
      </c>
      <c r="G50">
        <v>-455.09530000000001</v>
      </c>
      <c r="H50" s="1">
        <v>-2.5907800000000001E-6</v>
      </c>
      <c r="I50">
        <v>366.77300000000002</v>
      </c>
      <c r="J50">
        <v>-473.05990000000003</v>
      </c>
      <c r="K50">
        <v>1.120951</v>
      </c>
      <c r="L50">
        <v>367.05970000000002</v>
      </c>
      <c r="M50">
        <v>0.99992080000000005</v>
      </c>
      <c r="N50">
        <v>-1.2560730000000001E-2</v>
      </c>
      <c r="O50">
        <v>-8.1059130000000004E-4</v>
      </c>
      <c r="P50">
        <v>0.99819650000000004</v>
      </c>
      <c r="Q50">
        <v>-5.6665E-2</v>
      </c>
      <c r="R50">
        <v>-1.9824749999999999E-2</v>
      </c>
      <c r="S50">
        <v>2.9938660000000001</v>
      </c>
      <c r="T50">
        <v>-0.18615570000000001</v>
      </c>
      <c r="U50">
        <v>-4.7576899999999998E-2</v>
      </c>
      <c r="V50">
        <v>1.9016229999999999E-2</v>
      </c>
      <c r="W50">
        <v>-4.4121929999999997E-2</v>
      </c>
      <c r="X50">
        <v>0.99884519999999999</v>
      </c>
      <c r="Y50">
        <v>1.504496E-2</v>
      </c>
      <c r="Z50">
        <v>-5.2169089999999998E-4</v>
      </c>
      <c r="AA50">
        <v>0.99988670000000002</v>
      </c>
      <c r="AB50">
        <v>6</v>
      </c>
      <c r="AC50">
        <v>17.964600000000001</v>
      </c>
      <c r="AD50">
        <v>-1.1209535907799999</v>
      </c>
      <c r="AE50">
        <v>-0.28669999999999601</v>
      </c>
      <c r="AF50">
        <v>0.27108162121610102</v>
      </c>
      <c r="AG50">
        <v>-1.1209535907799999</v>
      </c>
      <c r="AH50">
        <v>17.895169414003501</v>
      </c>
      <c r="AI50">
        <v>93.583914965115</v>
      </c>
      <c r="AJ50">
        <v>89.132131997944398</v>
      </c>
      <c r="AK50">
        <v>17.9322923953947</v>
      </c>
      <c r="AL50">
        <v>92.528821200368995</v>
      </c>
      <c r="AM50">
        <v>88.909322372694405</v>
      </c>
      <c r="AN50">
        <v>1.0000000476366799</v>
      </c>
    </row>
    <row r="51" spans="1:40" x14ac:dyDescent="0.25">
      <c r="A51" t="str">
        <f>"20190303154057440"</f>
        <v>20190303154057440</v>
      </c>
      <c r="B51" t="str">
        <f>"1551598857429061"</f>
        <v>1551598857429061</v>
      </c>
      <c r="C51" t="s">
        <v>40</v>
      </c>
      <c r="D51">
        <v>5.4610629999999896</v>
      </c>
      <c r="E51">
        <v>0.49866630000000001</v>
      </c>
      <c r="F51" t="s">
        <v>41</v>
      </c>
      <c r="G51">
        <v>-454.54930000000002</v>
      </c>
      <c r="H51" s="1">
        <v>-2.826394E-6</v>
      </c>
      <c r="I51">
        <v>366.76510000000002</v>
      </c>
      <c r="J51">
        <v>-472.99079999999998</v>
      </c>
      <c r="K51">
        <v>1.1206100000000001</v>
      </c>
      <c r="L51">
        <v>367.0598</v>
      </c>
      <c r="M51">
        <v>0.99993829999999995</v>
      </c>
      <c r="N51">
        <v>-1.1084510000000001E-2</v>
      </c>
      <c r="O51">
        <v>-7.0504719999999995E-4</v>
      </c>
      <c r="P51">
        <v>0.99833320000000003</v>
      </c>
      <c r="Q51">
        <v>-5.4592710000000003E-2</v>
      </c>
      <c r="R51">
        <v>-1.87224E-2</v>
      </c>
      <c r="S51">
        <v>2.9941409999999999</v>
      </c>
      <c r="T51">
        <v>-0.18131639999999999</v>
      </c>
      <c r="U51">
        <v>-4.7637939999999997E-2</v>
      </c>
      <c r="V51">
        <v>1.8019469999999999E-2</v>
      </c>
      <c r="W51">
        <v>-4.3522739999999997E-2</v>
      </c>
      <c r="X51">
        <v>0.9988899</v>
      </c>
      <c r="Y51">
        <v>1.517135E-2</v>
      </c>
      <c r="Z51">
        <v>-5.0825449999999895E-4</v>
      </c>
      <c r="AA51">
        <v>0.99988480000000002</v>
      </c>
      <c r="AB51">
        <v>7</v>
      </c>
      <c r="AC51">
        <v>18.441499999999898</v>
      </c>
      <c r="AD51">
        <v>-1.1206128263940001</v>
      </c>
      <c r="AE51">
        <v>-0.29469999999997698</v>
      </c>
      <c r="AF51">
        <v>0.280660928183458</v>
      </c>
      <c r="AG51">
        <v>-1.1206128263940001</v>
      </c>
      <c r="AH51">
        <v>18.373875275768398</v>
      </c>
      <c r="AI51">
        <v>93.489709732581503</v>
      </c>
      <c r="AJ51">
        <v>89.124875078650604</v>
      </c>
      <c r="AK51">
        <v>18.4101557927352</v>
      </c>
      <c r="AL51">
        <v>92.494457296859096</v>
      </c>
      <c r="AM51">
        <v>88.966525130956995</v>
      </c>
      <c r="AN51">
        <v>0.99999998125909895</v>
      </c>
    </row>
    <row r="52" spans="1:40" x14ac:dyDescent="0.25">
      <c r="A52" t="str">
        <f>"20190303154057461"</f>
        <v>20190303154057461</v>
      </c>
      <c r="B52" t="str">
        <f>"1551598857449560"</f>
        <v>1551598857449560</v>
      </c>
      <c r="C52" t="s">
        <v>40</v>
      </c>
      <c r="D52">
        <v>5.4797349999999998</v>
      </c>
      <c r="E52">
        <v>0.49889810000000001</v>
      </c>
      <c r="F52" t="s">
        <v>41</v>
      </c>
      <c r="G52">
        <v>-453.72289999999998</v>
      </c>
      <c r="H52" s="1">
        <v>-3.180743E-6</v>
      </c>
      <c r="I52">
        <v>366.76609999999999</v>
      </c>
      <c r="J52">
        <v>-472.9255</v>
      </c>
      <c r="K52">
        <v>1.120512</v>
      </c>
      <c r="L52">
        <v>367.0598</v>
      </c>
      <c r="M52">
        <v>0.99994629999999995</v>
      </c>
      <c r="N52">
        <v>-1.034438E-2</v>
      </c>
      <c r="O52">
        <v>-6.0715740000000002E-4</v>
      </c>
      <c r="P52">
        <v>0.99834900000000004</v>
      </c>
      <c r="Q52">
        <v>-5.4581999999999999E-2</v>
      </c>
      <c r="R52">
        <v>-1.7894179999999999E-2</v>
      </c>
      <c r="S52">
        <v>2.994659</v>
      </c>
      <c r="T52">
        <v>-0.17416760000000001</v>
      </c>
      <c r="U52">
        <v>-4.5623780000000003E-2</v>
      </c>
      <c r="V52">
        <v>1.7289120000000002E-2</v>
      </c>
      <c r="W52">
        <v>-4.4251249999999999E-2</v>
      </c>
      <c r="X52">
        <v>0.99887079999999995</v>
      </c>
      <c r="Y52">
        <v>1.4597789999999999E-2</v>
      </c>
      <c r="Z52">
        <v>-4.706968E-4</v>
      </c>
      <c r="AA52">
        <v>0.99989329999999998</v>
      </c>
      <c r="AB52">
        <v>7</v>
      </c>
      <c r="AC52">
        <v>19.2026</v>
      </c>
      <c r="AD52">
        <v>-1.120515180743</v>
      </c>
      <c r="AE52">
        <v>-0.29370000000000102</v>
      </c>
      <c r="AF52">
        <v>0.28108345959844799</v>
      </c>
      <c r="AG52">
        <v>-1.120515180743</v>
      </c>
      <c r="AH52">
        <v>19.137626667953999</v>
      </c>
      <c r="AI52">
        <v>93.350503129746699</v>
      </c>
      <c r="AJ52">
        <v>89.158530036397906</v>
      </c>
      <c r="AK52">
        <v>19.172462456959401</v>
      </c>
      <c r="AL52">
        <v>92.536238103440397</v>
      </c>
      <c r="AM52">
        <v>89.008385567650294</v>
      </c>
      <c r="AN52">
        <v>0.99999998094478804</v>
      </c>
    </row>
    <row r="53" spans="1:40" x14ac:dyDescent="0.25">
      <c r="A53" t="str">
        <f>"20190303154057484"</f>
        <v>20190303154057484</v>
      </c>
      <c r="B53" t="str">
        <f>"1551598857479010"</f>
        <v>1551598857479010</v>
      </c>
      <c r="C53" t="s">
        <v>40</v>
      </c>
      <c r="D53">
        <v>5.46631</v>
      </c>
      <c r="E53">
        <v>0.49934050000000002</v>
      </c>
      <c r="F53" t="s">
        <v>41</v>
      </c>
      <c r="G53">
        <v>-453.51069999999999</v>
      </c>
      <c r="H53" s="1">
        <v>-3.271564E-6</v>
      </c>
      <c r="I53">
        <v>366.76749999999998</v>
      </c>
      <c r="J53">
        <v>-472.86130000000003</v>
      </c>
      <c r="K53">
        <v>1.120879</v>
      </c>
      <c r="L53">
        <v>367.05990000000003</v>
      </c>
      <c r="M53">
        <v>0.9999363</v>
      </c>
      <c r="N53">
        <v>-1.127762E-2</v>
      </c>
      <c r="O53">
        <v>-5.2158199999999895E-4</v>
      </c>
      <c r="P53">
        <v>0.99821119999999997</v>
      </c>
      <c r="Q53">
        <v>-5.7256250000000002E-2</v>
      </c>
      <c r="R53">
        <v>-1.7214279999999998E-2</v>
      </c>
      <c r="S53">
        <v>2.9946899999999999</v>
      </c>
      <c r="T53">
        <v>-0.17283589999999999</v>
      </c>
      <c r="U53">
        <v>-4.5074459999999997E-2</v>
      </c>
      <c r="V53">
        <v>1.6693889999999999E-2</v>
      </c>
      <c r="W53">
        <v>-4.5994989999999999E-2</v>
      </c>
      <c r="X53">
        <v>0.99880219999999997</v>
      </c>
      <c r="Y53">
        <v>1.4499919999999999E-2</v>
      </c>
      <c r="Z53">
        <v>-4.7570659999999999E-4</v>
      </c>
      <c r="AA53">
        <v>0.99989470000000003</v>
      </c>
      <c r="AB53">
        <v>7</v>
      </c>
      <c r="AC53">
        <v>19.3506</v>
      </c>
      <c r="AD53">
        <v>-1.1208822715639899</v>
      </c>
      <c r="AE53">
        <v>-0.29240000000004301</v>
      </c>
      <c r="AF53">
        <v>0.28136255421055101</v>
      </c>
      <c r="AG53">
        <v>-1.1208822715639899</v>
      </c>
      <c r="AH53">
        <v>19.2860541961468</v>
      </c>
      <c r="AI53">
        <v>93.325866938924605</v>
      </c>
      <c r="AJ53">
        <v>89.164176189295802</v>
      </c>
      <c r="AK53">
        <v>19.3206477223289</v>
      </c>
      <c r="AL53">
        <v>92.636248799234707</v>
      </c>
      <c r="AM53">
        <v>89.042452660849705</v>
      </c>
      <c r="AN53">
        <v>1.0000000298966301</v>
      </c>
    </row>
    <row r="54" spans="1:40" x14ac:dyDescent="0.25">
      <c r="A54" t="str">
        <f>"20190303154057498"</f>
        <v>20190303154057498</v>
      </c>
      <c r="B54" t="str">
        <f>"1551598857488770"</f>
        <v>1551598857488770</v>
      </c>
      <c r="C54" t="s">
        <v>40</v>
      </c>
      <c r="D54">
        <v>5.4829470000000002</v>
      </c>
      <c r="E54">
        <v>0.49946829999999998</v>
      </c>
      <c r="F54" t="s">
        <v>41</v>
      </c>
      <c r="G54">
        <v>-454.09309999999999</v>
      </c>
      <c r="H54" s="1">
        <v>-3.021609E-6</v>
      </c>
      <c r="I54">
        <v>366.7679</v>
      </c>
      <c r="J54">
        <v>-472.82170000000002</v>
      </c>
      <c r="K54">
        <v>1.121191</v>
      </c>
      <c r="L54">
        <v>367.05990000000003</v>
      </c>
      <c r="M54">
        <v>0.99992449999999999</v>
      </c>
      <c r="N54">
        <v>-1.2284059999999999E-2</v>
      </c>
      <c r="O54">
        <v>-4.7325440000000002E-4</v>
      </c>
      <c r="P54">
        <v>0.99811479999999997</v>
      </c>
      <c r="Q54">
        <v>-5.8939400000000003E-2</v>
      </c>
      <c r="R54">
        <v>-1.7130300000000001E-2</v>
      </c>
      <c r="S54">
        <v>2.994354</v>
      </c>
      <c r="T54">
        <v>-0.17882979999999901</v>
      </c>
      <c r="U54">
        <v>-4.6569819999999998E-2</v>
      </c>
      <c r="V54">
        <v>1.6657089999999999E-2</v>
      </c>
      <c r="W54">
        <v>-4.6674149999999998E-2</v>
      </c>
      <c r="X54">
        <v>0.99877130000000003</v>
      </c>
      <c r="Y54">
        <v>1.5045630000000001E-2</v>
      </c>
      <c r="Z54">
        <v>-5.1894440000000005E-4</v>
      </c>
      <c r="AA54">
        <v>0.99988670000000002</v>
      </c>
      <c r="AB54">
        <v>7</v>
      </c>
      <c r="AC54">
        <v>18.7286</v>
      </c>
      <c r="AD54">
        <v>-1.1211940216089999</v>
      </c>
      <c r="AE54">
        <v>-0.29200000000003001</v>
      </c>
      <c r="AF54">
        <v>0.28212505598765503</v>
      </c>
      <c r="AG54">
        <v>-1.1211940216089999</v>
      </c>
      <c r="AH54">
        <v>18.6618708425863</v>
      </c>
      <c r="AI54">
        <v>93.437771484613194</v>
      </c>
      <c r="AJ54">
        <v>89.133884064443507</v>
      </c>
      <c r="AK54">
        <v>18.697649422499101</v>
      </c>
      <c r="AL54">
        <v>92.675203659127405</v>
      </c>
      <c r="AM54">
        <v>89.044533532008302</v>
      </c>
      <c r="AN54">
        <v>1.00000002231459</v>
      </c>
    </row>
    <row r="55" spans="1:40" x14ac:dyDescent="0.25">
      <c r="A55" t="str">
        <f>"20190303154057518"</f>
        <v>20190303154057518</v>
      </c>
      <c r="B55" t="str">
        <f>"1551598857509266"</f>
        <v>1551598857509266</v>
      </c>
      <c r="C55" t="s">
        <v>40</v>
      </c>
      <c r="D55">
        <v>5.5215969999999999</v>
      </c>
      <c r="E55">
        <v>0.49964180000000002</v>
      </c>
      <c r="F55" t="s">
        <v>41</v>
      </c>
      <c r="G55">
        <v>-454.47840000000002</v>
      </c>
      <c r="H55" s="1">
        <v>-2.8557309999999998E-6</v>
      </c>
      <c r="I55">
        <v>366.77109999999999</v>
      </c>
      <c r="J55">
        <v>-472.7715</v>
      </c>
      <c r="K55">
        <v>1.1215949999999999</v>
      </c>
      <c r="L55">
        <v>367.05990000000003</v>
      </c>
      <c r="M55">
        <v>0.99990420000000002</v>
      </c>
      <c r="N55">
        <v>-1.384869E-2</v>
      </c>
      <c r="O55">
        <v>-4.192771E-4</v>
      </c>
      <c r="P55">
        <v>0.99793880000000001</v>
      </c>
      <c r="Q55">
        <v>-6.1769200000000003E-2</v>
      </c>
      <c r="R55">
        <v>-1.7402440000000002E-2</v>
      </c>
      <c r="S55">
        <v>2.9940799999999999</v>
      </c>
      <c r="T55">
        <v>-0.18300559999999999</v>
      </c>
      <c r="U55">
        <v>-4.7119139999999997E-2</v>
      </c>
      <c r="V55">
        <v>1.698239E-2</v>
      </c>
      <c r="W55">
        <v>-4.7943649999999997E-2</v>
      </c>
      <c r="X55">
        <v>0.99870570000000003</v>
      </c>
      <c r="Y55">
        <v>1.52817E-2</v>
      </c>
      <c r="Z55">
        <v>-5.5271239999999896E-4</v>
      </c>
      <c r="AA55">
        <v>0.99988310000000002</v>
      </c>
      <c r="AB55">
        <v>6</v>
      </c>
      <c r="AC55">
        <v>18.2930999999999</v>
      </c>
      <c r="AD55">
        <v>-1.121597855731</v>
      </c>
      <c r="AE55">
        <v>-0.28880000000003703</v>
      </c>
      <c r="AF55">
        <v>0.28007674995370502</v>
      </c>
      <c r="AG55">
        <v>-1.121597855731</v>
      </c>
      <c r="AH55">
        <v>18.224725497014798</v>
      </c>
      <c r="AI55">
        <v>93.521277559619804</v>
      </c>
      <c r="AJ55">
        <v>89.119550383248296</v>
      </c>
      <c r="AK55">
        <v>18.2613538429489</v>
      </c>
      <c r="AL55">
        <v>92.7480221535303</v>
      </c>
      <c r="AM55">
        <v>89.025813603939497</v>
      </c>
      <c r="AN55">
        <v>1.00000003517896</v>
      </c>
    </row>
    <row r="56" spans="1:40" x14ac:dyDescent="0.25">
      <c r="A56" t="str">
        <f>"20190303154057540"</f>
        <v>20190303154057540</v>
      </c>
      <c r="B56" t="str">
        <f>"1551598857528790"</f>
        <v>1551598857528790</v>
      </c>
      <c r="C56" t="s">
        <v>40</v>
      </c>
      <c r="D56">
        <v>5.4746360000000003</v>
      </c>
      <c r="E56">
        <v>0.49974000000000002</v>
      </c>
      <c r="F56" t="s">
        <v>41</v>
      </c>
      <c r="G56">
        <v>-455.19569999999999</v>
      </c>
      <c r="H56" s="1">
        <v>-2.5481900000000002E-6</v>
      </c>
      <c r="I56">
        <v>366.77010000000001</v>
      </c>
      <c r="J56">
        <v>-472.71589999999998</v>
      </c>
      <c r="K56">
        <v>1.1219520000000001</v>
      </c>
      <c r="L56">
        <v>367.06</v>
      </c>
      <c r="M56">
        <v>0.99987939999999997</v>
      </c>
      <c r="N56">
        <v>-1.5529879999999999E-2</v>
      </c>
      <c r="O56">
        <v>-3.6476709999999998E-4</v>
      </c>
      <c r="P56">
        <v>0.99777099999999996</v>
      </c>
      <c r="Q56">
        <v>-6.4358589999999993E-2</v>
      </c>
      <c r="R56">
        <v>-1.7643849999999999E-2</v>
      </c>
      <c r="S56">
        <v>2.9935</v>
      </c>
      <c r="T56">
        <v>-0.19102930000000001</v>
      </c>
      <c r="U56">
        <v>-4.9346920000000002E-2</v>
      </c>
      <c r="V56">
        <v>1.7277339999999999E-2</v>
      </c>
      <c r="W56">
        <v>-4.885631E-2</v>
      </c>
      <c r="X56">
        <v>0.9986564</v>
      </c>
      <c r="Y56">
        <v>1.6077439999999998E-2</v>
      </c>
      <c r="Z56">
        <v>-6.1985510000000003E-4</v>
      </c>
      <c r="AA56">
        <v>0.9998705</v>
      </c>
      <c r="AB56">
        <v>6</v>
      </c>
      <c r="AC56">
        <v>17.5201999999999</v>
      </c>
      <c r="AD56">
        <v>-1.12195454819</v>
      </c>
      <c r="AE56">
        <v>-0.289899999999988</v>
      </c>
      <c r="AF56">
        <v>0.28235086010552202</v>
      </c>
      <c r="AG56">
        <v>-1.12195454819</v>
      </c>
      <c r="AH56">
        <v>17.448769634717198</v>
      </c>
      <c r="AI56">
        <v>93.678569225727102</v>
      </c>
      <c r="AJ56">
        <v>89.072937452207697</v>
      </c>
      <c r="AK56">
        <v>17.487082826527601</v>
      </c>
      <c r="AL56">
        <v>92.800375102937295</v>
      </c>
      <c r="AM56">
        <v>89.008848371992499</v>
      </c>
      <c r="AN56">
        <v>1.00000002538262</v>
      </c>
    </row>
    <row r="57" spans="1:40" x14ac:dyDescent="0.25">
      <c r="A57" t="str">
        <f>"20190303154057573"</f>
        <v>20190303154057573</v>
      </c>
      <c r="B57" t="str">
        <f>"1551598857569112"</f>
        <v>1551598857569112</v>
      </c>
      <c r="C57" t="s">
        <v>40</v>
      </c>
      <c r="D57">
        <v>5.4618279999999997</v>
      </c>
      <c r="E57">
        <v>0.49972729999999999</v>
      </c>
      <c r="F57" t="s">
        <v>41</v>
      </c>
      <c r="G57">
        <v>-455.65109999999999</v>
      </c>
      <c r="H57" s="1">
        <v>-2.3528510000000001E-6</v>
      </c>
      <c r="I57">
        <v>366.77019999999999</v>
      </c>
      <c r="J57">
        <v>-472.63380000000001</v>
      </c>
      <c r="K57">
        <v>1.1218159999999999</v>
      </c>
      <c r="L57">
        <v>367.06009999999998</v>
      </c>
      <c r="M57">
        <v>0.9998764</v>
      </c>
      <c r="N57">
        <v>-1.573053E-2</v>
      </c>
      <c r="O57">
        <v>-2.5051499999999998E-4</v>
      </c>
      <c r="P57">
        <v>0.99771200000000004</v>
      </c>
      <c r="Q57">
        <v>-6.5255599999999997E-2</v>
      </c>
      <c r="R57">
        <v>-1.7689940000000001E-2</v>
      </c>
      <c r="S57">
        <v>2.993134</v>
      </c>
      <c r="T57">
        <v>-0.1967865</v>
      </c>
      <c r="U57">
        <v>-5.0811769999999999E-2</v>
      </c>
      <c r="V57">
        <v>1.7439300000000001E-2</v>
      </c>
      <c r="W57">
        <v>-4.9553079999999999E-2</v>
      </c>
      <c r="X57">
        <v>0.99861920000000004</v>
      </c>
      <c r="Y57">
        <v>1.6678829999999999E-2</v>
      </c>
      <c r="Z57">
        <v>-6.6651519999999997E-4</v>
      </c>
      <c r="AA57">
        <v>0.99986070000000005</v>
      </c>
      <c r="AB57">
        <v>5</v>
      </c>
      <c r="AC57">
        <v>16.982700000000001</v>
      </c>
      <c r="AD57">
        <v>-1.121818352851</v>
      </c>
      <c r="AE57">
        <v>-0.289899999999988</v>
      </c>
      <c r="AF57">
        <v>0.28440441651707898</v>
      </c>
      <c r="AG57">
        <v>-1.121818352851</v>
      </c>
      <c r="AH57">
        <v>16.909011694461999</v>
      </c>
      <c r="AI57">
        <v>93.795156797320899</v>
      </c>
      <c r="AJ57">
        <v>89.036393335688302</v>
      </c>
      <c r="AK57">
        <v>16.9485704049746</v>
      </c>
      <c r="AL57">
        <v>92.840345650969894</v>
      </c>
      <c r="AM57">
        <v>88.999521808905897</v>
      </c>
      <c r="AN57">
        <v>0.99999997176530697</v>
      </c>
    </row>
    <row r="58" spans="1:40" x14ac:dyDescent="0.25">
      <c r="A58" t="str">
        <f>"20190303154057594"</f>
        <v>20190303154057594</v>
      </c>
      <c r="B58" t="str">
        <f>"1551598857589608"</f>
        <v>1551598857589608</v>
      </c>
      <c r="C58" t="s">
        <v>40</v>
      </c>
      <c r="D58">
        <v>5.5298040000000004</v>
      </c>
      <c r="E58">
        <v>0.4996428</v>
      </c>
      <c r="F58" t="s">
        <v>41</v>
      </c>
      <c r="G58">
        <v>-455.58670000000001</v>
      </c>
      <c r="H58" s="1">
        <v>-2.3804169999999999E-6</v>
      </c>
      <c r="I58">
        <v>366.7704</v>
      </c>
      <c r="J58">
        <v>-472.57459999999998</v>
      </c>
      <c r="K58">
        <v>1.1214390000000001</v>
      </c>
      <c r="L58">
        <v>367.06020000000001</v>
      </c>
      <c r="M58">
        <v>0.99989300000000003</v>
      </c>
      <c r="N58">
        <v>-1.46402999999999E-2</v>
      </c>
      <c r="O58">
        <v>-1.2500440000000001E-4</v>
      </c>
      <c r="P58">
        <v>0.99774399999999996</v>
      </c>
      <c r="Q58">
        <v>-6.4701350000000005E-2</v>
      </c>
      <c r="R58">
        <v>-1.7922420000000001E-2</v>
      </c>
      <c r="S58">
        <v>2.993134</v>
      </c>
      <c r="T58">
        <v>-0.19696859999999999</v>
      </c>
      <c r="U58">
        <v>-5.0842289999999998E-2</v>
      </c>
      <c r="V58">
        <v>1.7799160000000001E-2</v>
      </c>
      <c r="W58">
        <v>-5.0086579999999999E-2</v>
      </c>
      <c r="X58">
        <v>0.99858619999999998</v>
      </c>
      <c r="Y58">
        <v>1.6814559999999999E-2</v>
      </c>
      <c r="Z58">
        <v>-6.6949369999999998E-4</v>
      </c>
      <c r="AA58">
        <v>0.99985840000000004</v>
      </c>
      <c r="AB58">
        <v>5</v>
      </c>
      <c r="AC58">
        <v>16.9878999999999</v>
      </c>
      <c r="AD58">
        <v>-1.12144138041699</v>
      </c>
      <c r="AE58">
        <v>-0.28980000000001299</v>
      </c>
      <c r="AF58">
        <v>0.28642835532802202</v>
      </c>
      <c r="AG58">
        <v>-1.12144138041699</v>
      </c>
      <c r="AH58">
        <v>16.914247536252599</v>
      </c>
      <c r="AI58">
        <v>93.7927069297983</v>
      </c>
      <c r="AJ58">
        <v>89.029837572562201</v>
      </c>
      <c r="AK58">
        <v>16.953803163009599</v>
      </c>
      <c r="AL58">
        <v>92.870951054873103</v>
      </c>
      <c r="AM58">
        <v>88.978847528423699</v>
      </c>
      <c r="AN58">
        <v>0.99999993721161895</v>
      </c>
    </row>
    <row r="59" spans="1:40" x14ac:dyDescent="0.25">
      <c r="A59" t="str">
        <f>"20190303154057619"</f>
        <v>20190303154057619</v>
      </c>
      <c r="B59" t="str">
        <f>"1551598857609128"</f>
        <v>1551598857609128</v>
      </c>
      <c r="C59" t="s">
        <v>40</v>
      </c>
      <c r="D59">
        <v>5.5809879999999996</v>
      </c>
      <c r="E59">
        <v>0.48430990000000002</v>
      </c>
      <c r="F59" t="s">
        <v>41</v>
      </c>
      <c r="G59">
        <v>-455.42380000000003</v>
      </c>
      <c r="H59" s="1">
        <v>-2.4510159999999999E-6</v>
      </c>
      <c r="I59">
        <v>366.7663</v>
      </c>
      <c r="J59">
        <v>-472.51170000000002</v>
      </c>
      <c r="K59">
        <v>1.121305</v>
      </c>
      <c r="L59">
        <v>367.06040000000002</v>
      </c>
      <c r="M59">
        <v>0.99990020000000002</v>
      </c>
      <c r="N59">
        <v>-1.414023E-2</v>
      </c>
      <c r="O59" s="1">
        <v>2.0660969999999999E-5</v>
      </c>
      <c r="P59">
        <v>0.99770250000000005</v>
      </c>
      <c r="Q59">
        <v>-6.5151239999999999E-2</v>
      </c>
      <c r="R59">
        <v>-1.858744E-2</v>
      </c>
      <c r="S59">
        <v>2.9931640000000002</v>
      </c>
      <c r="T59">
        <v>-0.1957132</v>
      </c>
      <c r="U59">
        <v>-5.1269530000000001E-2</v>
      </c>
      <c r="V59">
        <v>1.8611530000000001E-2</v>
      </c>
      <c r="W59">
        <v>-5.1035669999999998E-2</v>
      </c>
      <c r="X59">
        <v>0.99852339999999995</v>
      </c>
      <c r="Y59">
        <v>1.7102570000000001E-2</v>
      </c>
      <c r="Z59">
        <v>-6.8064959999999996E-4</v>
      </c>
      <c r="AA59">
        <v>0.99985349999999995</v>
      </c>
      <c r="AB59">
        <v>6</v>
      </c>
      <c r="AC59">
        <v>17.087899999999902</v>
      </c>
      <c r="AD59">
        <v>-1.1213074510159999</v>
      </c>
      <c r="AE59">
        <v>-0.29410000000001402</v>
      </c>
      <c r="AF59">
        <v>0.29319098703787</v>
      </c>
      <c r="AG59">
        <v>-1.1213074510159999</v>
      </c>
      <c r="AH59">
        <v>17.014650865605599</v>
      </c>
      <c r="AI59">
        <v>93.769922855349705</v>
      </c>
      <c r="AJ59">
        <v>89.012795272542306</v>
      </c>
      <c r="AK59">
        <v>17.054079729878001</v>
      </c>
      <c r="AL59">
        <v>92.925399356058605</v>
      </c>
      <c r="AM59">
        <v>88.932184608584606</v>
      </c>
      <c r="AN59">
        <v>1.0000000045044199</v>
      </c>
    </row>
    <row r="60" spans="1:40" x14ac:dyDescent="0.25">
      <c r="A60" t="str">
        <f>"20190303154057642"</f>
        <v>20190303154057642</v>
      </c>
      <c r="B60" t="str">
        <f>"1551598857639384"</f>
        <v>1551598857639384</v>
      </c>
      <c r="C60" t="s">
        <v>40</v>
      </c>
      <c r="D60">
        <v>5.5155560000000001</v>
      </c>
      <c r="E60">
        <v>0.48401260000000002</v>
      </c>
      <c r="F60" t="s">
        <v>41</v>
      </c>
      <c r="G60">
        <v>-456.55700000000002</v>
      </c>
      <c r="H60" s="1">
        <v>-1.8474699999999999E-6</v>
      </c>
      <c r="I60">
        <v>367.4282</v>
      </c>
      <c r="J60">
        <v>-472.45299999999997</v>
      </c>
      <c r="K60">
        <v>1.1213679999999999</v>
      </c>
      <c r="L60">
        <v>367.06049999999999</v>
      </c>
      <c r="M60">
        <v>0.99989799999999995</v>
      </c>
      <c r="N60">
        <v>-1.4282690000000001E-2</v>
      </c>
      <c r="O60">
        <v>1.6104699999999999E-4</v>
      </c>
      <c r="P60">
        <v>0.99764160000000002</v>
      </c>
      <c r="Q60">
        <v>-6.5893610000000005E-2</v>
      </c>
      <c r="R60">
        <v>-1.9221430000000001E-2</v>
      </c>
      <c r="S60">
        <v>2.9944459999999999</v>
      </c>
      <c r="T60">
        <v>-0.2104512</v>
      </c>
      <c r="U60">
        <v>6.9061280000000003E-2</v>
      </c>
      <c r="V60">
        <v>1.938666E-2</v>
      </c>
      <c r="W60">
        <v>-5.1636189999999998E-2</v>
      </c>
      <c r="X60">
        <v>0.99847779999999997</v>
      </c>
      <c r="Y60">
        <v>-2.282847E-2</v>
      </c>
      <c r="Z60">
        <v>9.5539669999999998E-4</v>
      </c>
      <c r="AA60">
        <v>0.99973889999999999</v>
      </c>
      <c r="AB60">
        <v>6</v>
      </c>
      <c r="AC60">
        <v>15.896000000000001</v>
      </c>
      <c r="AD60">
        <v>-1.12136984747</v>
      </c>
      <c r="AE60">
        <v>0.36770000000001302</v>
      </c>
      <c r="AF60">
        <v>-0.36333258156096898</v>
      </c>
      <c r="AG60">
        <v>-1.12136984747</v>
      </c>
      <c r="AH60">
        <v>15.8173862464606</v>
      </c>
      <c r="AI60">
        <v>94.054120052360801</v>
      </c>
      <c r="AJ60">
        <v>91.315878801719705</v>
      </c>
      <c r="AK60">
        <v>15.861248014244</v>
      </c>
      <c r="AL60">
        <v>92.959851976509896</v>
      </c>
      <c r="AM60">
        <v>88.887672570089507</v>
      </c>
      <c r="AN60">
        <v>1.0000000278982499</v>
      </c>
    </row>
    <row r="61" spans="1:40" x14ac:dyDescent="0.25">
      <c r="A61" t="str">
        <f>"20190303154057662"</f>
        <v>20190303154057662</v>
      </c>
      <c r="B61" t="str">
        <f>"1551598857658904"</f>
        <v>1551598857658904</v>
      </c>
      <c r="C61" t="s">
        <v>40</v>
      </c>
      <c r="D61">
        <v>5.5323200000000003</v>
      </c>
      <c r="E61">
        <v>0.48415229999999998</v>
      </c>
      <c r="F61" t="s">
        <v>41</v>
      </c>
      <c r="G61">
        <v>-455.71910000000003</v>
      </c>
      <c r="H61" s="1">
        <v>-2.2029070000000001E-6</v>
      </c>
      <c r="I61">
        <v>367.45089999999999</v>
      </c>
      <c r="J61">
        <v>-472.4</v>
      </c>
      <c r="K61">
        <v>1.1214010000000001</v>
      </c>
      <c r="L61">
        <v>367.0607</v>
      </c>
      <c r="M61">
        <v>0.99989749999999999</v>
      </c>
      <c r="N61">
        <v>-1.432044E-2</v>
      </c>
      <c r="O61">
        <v>3.0069359999999998E-4</v>
      </c>
      <c r="P61">
        <v>0.99765680000000001</v>
      </c>
      <c r="Q61">
        <v>-6.5560670000000001E-2</v>
      </c>
      <c r="R61">
        <v>-1.9569530000000002E-2</v>
      </c>
      <c r="S61">
        <v>2.995209</v>
      </c>
      <c r="T61">
        <v>-0.2007138</v>
      </c>
      <c r="U61">
        <v>6.9885249999999996E-2</v>
      </c>
      <c r="V61">
        <v>1.9874380000000001E-2</v>
      </c>
      <c r="W61">
        <v>-5.1265280000000003E-2</v>
      </c>
      <c r="X61">
        <v>0.99848729999999997</v>
      </c>
      <c r="Y61">
        <v>-2.2963270000000001E-2</v>
      </c>
      <c r="Z61">
        <v>9.1729029999999996E-4</v>
      </c>
      <c r="AA61">
        <v>0.99973590000000001</v>
      </c>
      <c r="AB61">
        <v>6</v>
      </c>
      <c r="AC61">
        <v>16.680899999999902</v>
      </c>
      <c r="AD61">
        <v>-1.121403202907</v>
      </c>
      <c r="AE61">
        <v>0.390199999999993</v>
      </c>
      <c r="AF61">
        <v>-0.38345158982342298</v>
      </c>
      <c r="AG61">
        <v>-1.121403202907</v>
      </c>
      <c r="AH61">
        <v>16.6060077761583</v>
      </c>
      <c r="AI61">
        <v>93.8622903253884</v>
      </c>
      <c r="AJ61">
        <v>91.3227895864988</v>
      </c>
      <c r="AK61">
        <v>16.648245388840799</v>
      </c>
      <c r="AL61">
        <v>92.938572285108705</v>
      </c>
      <c r="AM61">
        <v>88.859707331518393</v>
      </c>
      <c r="AN61">
        <v>1.0000000040875701</v>
      </c>
    </row>
    <row r="62" spans="1:40" x14ac:dyDescent="0.25">
      <c r="A62" t="str">
        <f>"20190303154057684"</f>
        <v>20190303154057684</v>
      </c>
      <c r="B62" t="str">
        <f>"1551598857678934"</f>
        <v>1551598857678934</v>
      </c>
      <c r="C62" t="s">
        <v>40</v>
      </c>
      <c r="D62">
        <v>5.5227300000000001</v>
      </c>
      <c r="E62">
        <v>0.48399340000000002</v>
      </c>
      <c r="F62" t="s">
        <v>41</v>
      </c>
      <c r="G62">
        <v>-455.27440000000001</v>
      </c>
      <c r="H62" s="1">
        <v>-2.3941289999999998E-6</v>
      </c>
      <c r="I62">
        <v>367.44830000000002</v>
      </c>
      <c r="J62">
        <v>-472.34399999999999</v>
      </c>
      <c r="K62">
        <v>1.1213310000000001</v>
      </c>
      <c r="L62">
        <v>367.0609</v>
      </c>
      <c r="M62">
        <v>0.9999015</v>
      </c>
      <c r="N62">
        <v>-1.4029659999999999E-2</v>
      </c>
      <c r="O62">
        <v>4.60357E-4</v>
      </c>
      <c r="P62">
        <v>0.99774280000000004</v>
      </c>
      <c r="Q62">
        <v>-6.4362320000000001E-2</v>
      </c>
      <c r="R62">
        <v>-1.916025E-2</v>
      </c>
      <c r="S62">
        <v>2.9954529999999999</v>
      </c>
      <c r="T62">
        <v>-0.1961455</v>
      </c>
      <c r="U62">
        <v>6.7810060000000005E-2</v>
      </c>
      <c r="V62">
        <v>1.9624050000000001E-2</v>
      </c>
      <c r="W62">
        <v>-5.0356369999999998E-2</v>
      </c>
      <c r="X62">
        <v>0.9985385</v>
      </c>
      <c r="Y62">
        <v>-2.2114680000000001E-2</v>
      </c>
      <c r="Z62">
        <v>8.5488380000000002E-4</v>
      </c>
      <c r="AA62">
        <v>0.99975510000000001</v>
      </c>
      <c r="AB62">
        <v>6</v>
      </c>
      <c r="AC62">
        <v>17.069599999999902</v>
      </c>
      <c r="AD62">
        <v>-1.12133339412899</v>
      </c>
      <c r="AE62">
        <v>0.38740000000001301</v>
      </c>
      <c r="AF62">
        <v>-0.377911071335786</v>
      </c>
      <c r="AG62">
        <v>-1.12133339412899</v>
      </c>
      <c r="AH62">
        <v>16.996467456628601</v>
      </c>
      <c r="AI62">
        <v>93.773660113398904</v>
      </c>
      <c r="AJ62">
        <v>91.273743635359196</v>
      </c>
      <c r="AK62">
        <v>17.0376087337062</v>
      </c>
      <c r="AL62">
        <v>92.886428228859899</v>
      </c>
      <c r="AM62">
        <v>88.874124013121801</v>
      </c>
      <c r="AN62">
        <v>1.00000000166011</v>
      </c>
    </row>
    <row r="63" spans="1:40" x14ac:dyDescent="0.25">
      <c r="A63" t="str">
        <f>"20190303154057708"</f>
        <v>20190303154057708</v>
      </c>
      <c r="B63" t="str">
        <f>"1551598857699429"</f>
        <v>1551598857699429</v>
      </c>
      <c r="C63" t="s">
        <v>40</v>
      </c>
      <c r="D63">
        <v>5.5166899999999996</v>
      </c>
      <c r="E63">
        <v>0.48389369999999998</v>
      </c>
      <c r="F63" t="s">
        <v>41</v>
      </c>
      <c r="G63">
        <v>-454.86520000000002</v>
      </c>
      <c r="H63" s="1">
        <v>-2.565789E-6</v>
      </c>
      <c r="I63">
        <v>367.47019999999998</v>
      </c>
      <c r="J63">
        <v>-472.28379999999999</v>
      </c>
      <c r="K63">
        <v>1.121243</v>
      </c>
      <c r="L63">
        <v>367.06110000000001</v>
      </c>
      <c r="M63">
        <v>0.99990730000000005</v>
      </c>
      <c r="N63">
        <v>-1.3613299999999899E-2</v>
      </c>
      <c r="O63">
        <v>6.3282889999999997E-4</v>
      </c>
      <c r="P63">
        <v>0.99779130000000005</v>
      </c>
      <c r="Q63">
        <v>-6.3727549999999994E-2</v>
      </c>
      <c r="R63">
        <v>-1.875692E-2</v>
      </c>
      <c r="S63">
        <v>2.9957280000000002</v>
      </c>
      <c r="T63">
        <v>-0.19218730000000001</v>
      </c>
      <c r="U63">
        <v>7.0159910000000006E-2</v>
      </c>
      <c r="V63">
        <v>1.939229E-2</v>
      </c>
      <c r="W63">
        <v>-5.0137050000000002E-2</v>
      </c>
      <c r="X63">
        <v>0.9985541</v>
      </c>
      <c r="Y63">
        <v>-2.272503E-2</v>
      </c>
      <c r="Z63">
        <v>8.5105909999999996E-4</v>
      </c>
      <c r="AA63">
        <v>0.9997414</v>
      </c>
      <c r="AB63">
        <v>6</v>
      </c>
      <c r="AC63">
        <v>17.418599999999898</v>
      </c>
      <c r="AD63">
        <v>-1.1212455657889999</v>
      </c>
      <c r="AE63">
        <v>0.40909999999996599</v>
      </c>
      <c r="AF63">
        <v>-0.396434156646639</v>
      </c>
      <c r="AG63">
        <v>-1.1212455657889999</v>
      </c>
      <c r="AH63">
        <v>17.3470164256298</v>
      </c>
      <c r="AI63">
        <v>93.697275426465396</v>
      </c>
      <c r="AJ63">
        <v>91.309161786335807</v>
      </c>
      <c r="AK63">
        <v>17.387735060393201</v>
      </c>
      <c r="AL63">
        <v>92.873846121815802</v>
      </c>
      <c r="AM63">
        <v>88.887434621641603</v>
      </c>
      <c r="AN63">
        <v>1.0000000376604701</v>
      </c>
    </row>
    <row r="64" spans="1:40" x14ac:dyDescent="0.25">
      <c r="A64" t="str">
        <f>"20190303154057730"</f>
        <v>20190303154057730</v>
      </c>
      <c r="B64" t="str">
        <f>"1551598857718949"</f>
        <v>1551598857718949</v>
      </c>
      <c r="C64" t="s">
        <v>40</v>
      </c>
      <c r="D64">
        <v>5.5204779999999998</v>
      </c>
      <c r="E64">
        <v>0.4837765</v>
      </c>
      <c r="F64" t="s">
        <v>41</v>
      </c>
      <c r="G64">
        <v>-454.71949999999998</v>
      </c>
      <c r="H64" s="1">
        <v>-2.625726E-6</v>
      </c>
      <c r="I64">
        <v>367.48469999999998</v>
      </c>
      <c r="J64">
        <v>-472.2251</v>
      </c>
      <c r="K64">
        <v>1.121208</v>
      </c>
      <c r="L64">
        <v>367.06139999999999</v>
      </c>
      <c r="M64">
        <v>0.99991050000000004</v>
      </c>
      <c r="N64">
        <v>-1.335767E-2</v>
      </c>
      <c r="O64">
        <v>7.9435520000000002E-4</v>
      </c>
      <c r="P64">
        <v>0.99775199999999997</v>
      </c>
      <c r="Q64">
        <v>-6.4548179999999997E-2</v>
      </c>
      <c r="R64">
        <v>-1.8019960000000002E-2</v>
      </c>
      <c r="S64">
        <v>2.9957889999999998</v>
      </c>
      <c r="T64">
        <v>-0.19124089999999999</v>
      </c>
      <c r="U64">
        <v>7.2265629999999997E-2</v>
      </c>
      <c r="V64">
        <v>1.8815780000000001E-2</v>
      </c>
      <c r="W64">
        <v>-5.1213769999999999E-2</v>
      </c>
      <c r="X64">
        <v>0.99851040000000002</v>
      </c>
      <c r="Y64">
        <v>-2.3264940000000001E-2</v>
      </c>
      <c r="Z64">
        <v>8.5726919999999998E-4</v>
      </c>
      <c r="AA64">
        <v>0.99972899999999998</v>
      </c>
      <c r="AB64">
        <v>6</v>
      </c>
      <c r="AC64">
        <v>17.505600000000001</v>
      </c>
      <c r="AD64">
        <v>-1.1212106257259999</v>
      </c>
      <c r="AE64">
        <v>0.42329999999998302</v>
      </c>
      <c r="AF64">
        <v>-0.407721370768869</v>
      </c>
      <c r="AG64">
        <v>-1.1212106257259999</v>
      </c>
      <c r="AH64">
        <v>17.4344523511826</v>
      </c>
      <c r="AI64">
        <v>93.678624693369898</v>
      </c>
      <c r="AJ64">
        <v>91.339672506313804</v>
      </c>
      <c r="AK64">
        <v>17.4752247129781</v>
      </c>
      <c r="AL64">
        <v>92.935617252481507</v>
      </c>
      <c r="AM64">
        <v>88.920454703483799</v>
      </c>
      <c r="AN64">
        <v>0.99999995136138897</v>
      </c>
    </row>
    <row r="65" spans="1:40" x14ac:dyDescent="0.25">
      <c r="A65" t="str">
        <f>"20190303154057753"</f>
        <v>20190303154057753</v>
      </c>
      <c r="B65" t="str">
        <f>"1551598857749205"</f>
        <v>1551598857749205</v>
      </c>
      <c r="C65" t="s">
        <v>40</v>
      </c>
      <c r="D65">
        <v>5.4998379999999996</v>
      </c>
      <c r="E65">
        <v>0.4838481</v>
      </c>
      <c r="F65" t="s">
        <v>41</v>
      </c>
      <c r="G65">
        <v>-454.9649</v>
      </c>
      <c r="H65" s="1">
        <v>-2.5186310000000001E-6</v>
      </c>
      <c r="I65">
        <v>367.49509999999998</v>
      </c>
      <c r="J65">
        <v>-472.16800000000001</v>
      </c>
      <c r="K65">
        <v>1.121208</v>
      </c>
      <c r="L65">
        <v>367.0616</v>
      </c>
      <c r="M65">
        <v>0.99991209999999997</v>
      </c>
      <c r="N65">
        <v>-1.322506E-2</v>
      </c>
      <c r="O65">
        <v>9.47115E-4</v>
      </c>
      <c r="P65">
        <v>0.99773460000000003</v>
      </c>
      <c r="Q65">
        <v>-6.5035090000000004E-2</v>
      </c>
      <c r="R65">
        <v>-1.721375E-2</v>
      </c>
      <c r="S65">
        <v>2.995514</v>
      </c>
      <c r="T65">
        <v>-0.19458520000000001</v>
      </c>
      <c r="U65">
        <v>7.5286870000000006E-2</v>
      </c>
      <c r="V65">
        <v>1.8161090000000001E-2</v>
      </c>
      <c r="W65">
        <v>-5.1833659999999997E-2</v>
      </c>
      <c r="X65">
        <v>0.99849060000000001</v>
      </c>
      <c r="Y65">
        <v>-2.4118460000000001E-2</v>
      </c>
      <c r="Z65">
        <v>8.9318920000000003E-4</v>
      </c>
      <c r="AA65">
        <v>0.99970870000000001</v>
      </c>
      <c r="AB65">
        <v>6</v>
      </c>
      <c r="AC65">
        <v>17.203099999999999</v>
      </c>
      <c r="AD65">
        <v>-1.121210518631</v>
      </c>
      <c r="AE65">
        <v>0.43349999999998001</v>
      </c>
      <c r="AF65">
        <v>-0.41544148682868798</v>
      </c>
      <c r="AG65">
        <v>-1.121210518631</v>
      </c>
      <c r="AH65">
        <v>17.1307814664397</v>
      </c>
      <c r="AI65">
        <v>93.743573211367902</v>
      </c>
      <c r="AJ65">
        <v>91.389217367572599</v>
      </c>
      <c r="AK65">
        <v>17.1724598793237</v>
      </c>
      <c r="AL65">
        <v>92.971181381192807</v>
      </c>
      <c r="AM65">
        <v>88.9579881025345</v>
      </c>
      <c r="AN65">
        <v>1.0000000158936699</v>
      </c>
    </row>
    <row r="66" spans="1:40" x14ac:dyDescent="0.25">
      <c r="A66" t="str">
        <f>"20190303154057775"</f>
        <v>20190303154057775</v>
      </c>
      <c r="B66" t="str">
        <f>"1551598857769232"</f>
        <v>1551598857769232</v>
      </c>
      <c r="C66" t="s">
        <v>40</v>
      </c>
      <c r="D66">
        <v>5.5355349999999897</v>
      </c>
      <c r="E66">
        <v>0.48370659999999999</v>
      </c>
      <c r="F66" t="s">
        <v>41</v>
      </c>
      <c r="G66">
        <v>-455.36</v>
      </c>
      <c r="H66" s="1">
        <v>-2.349188E-6</v>
      </c>
      <c r="I66">
        <v>367.4948</v>
      </c>
      <c r="J66">
        <v>-472.1123</v>
      </c>
      <c r="K66">
        <v>1.1212070000000001</v>
      </c>
      <c r="L66">
        <v>367.06189999999998</v>
      </c>
      <c r="M66">
        <v>0.99991379999999996</v>
      </c>
      <c r="N66">
        <v>-1.3087430000000001E-2</v>
      </c>
      <c r="O66">
        <v>1.093552E-3</v>
      </c>
      <c r="P66">
        <v>0.99777119999999997</v>
      </c>
      <c r="Q66">
        <v>-6.4761739999999998E-2</v>
      </c>
      <c r="R66">
        <v>-1.6077089999999999E-2</v>
      </c>
      <c r="S66">
        <v>2.9950559999999999</v>
      </c>
      <c r="T66">
        <v>-0.1997893</v>
      </c>
      <c r="U66">
        <v>7.7209470000000002E-2</v>
      </c>
      <c r="V66">
        <v>1.7170230000000002E-2</v>
      </c>
      <c r="W66">
        <v>-5.1697550000000002E-2</v>
      </c>
      <c r="X66">
        <v>0.99851520000000005</v>
      </c>
      <c r="Y66">
        <v>-2.4613260000000001E-2</v>
      </c>
      <c r="Z66">
        <v>9.2263719999999998E-4</v>
      </c>
      <c r="AA66">
        <v>0.99969660000000005</v>
      </c>
      <c r="AB66">
        <v>6</v>
      </c>
      <c r="AC66">
        <v>16.752299999999899</v>
      </c>
      <c r="AD66">
        <v>-1.121209349188</v>
      </c>
      <c r="AE66">
        <v>0.43290000000001699</v>
      </c>
      <c r="AF66">
        <v>-0.41273108776674</v>
      </c>
      <c r="AG66">
        <v>-1.121209349188</v>
      </c>
      <c r="AH66">
        <v>16.678104566986999</v>
      </c>
      <c r="AI66">
        <v>93.844829945536503</v>
      </c>
      <c r="AJ66">
        <v>91.417602565242206</v>
      </c>
      <c r="AK66">
        <v>16.720844156407502</v>
      </c>
      <c r="AL66">
        <v>92.963372343913306</v>
      </c>
      <c r="AM66">
        <v>89.014852489703202</v>
      </c>
      <c r="AN66">
        <v>1.0000000290526401</v>
      </c>
    </row>
    <row r="67" spans="1:40" x14ac:dyDescent="0.25">
      <c r="A67" t="str">
        <f>"20190303154057797"</f>
        <v>20190303154057797</v>
      </c>
      <c r="B67" t="str">
        <f>"1551598857789728"</f>
        <v>1551598857789728</v>
      </c>
      <c r="C67" t="s">
        <v>40</v>
      </c>
      <c r="D67">
        <v>5.5405340000000001</v>
      </c>
      <c r="E67">
        <v>0.48339749999999998</v>
      </c>
      <c r="F67" t="s">
        <v>41</v>
      </c>
      <c r="G67">
        <v>-455.51690000000002</v>
      </c>
      <c r="H67" s="1">
        <v>-2.2783069999999998E-6</v>
      </c>
      <c r="I67">
        <v>367.51499999999999</v>
      </c>
      <c r="J67">
        <v>-472.05439999999999</v>
      </c>
      <c r="K67">
        <v>1.121194</v>
      </c>
      <c r="L67">
        <v>367.06209999999999</v>
      </c>
      <c r="M67">
        <v>0.99991600000000003</v>
      </c>
      <c r="N67">
        <v>-1.2910990000000001E-2</v>
      </c>
      <c r="O67">
        <v>1.2412180000000001E-3</v>
      </c>
      <c r="P67">
        <v>0.99776900000000002</v>
      </c>
      <c r="Q67">
        <v>-6.4896640000000005E-2</v>
      </c>
      <c r="R67">
        <v>-1.568164E-2</v>
      </c>
      <c r="S67">
        <v>2.994904</v>
      </c>
      <c r="T67">
        <v>-0.20233880000000001</v>
      </c>
      <c r="U67">
        <v>8.1787109999999996E-2</v>
      </c>
      <c r="V67">
        <v>1.692165E-2</v>
      </c>
      <c r="W67">
        <v>-5.2008810000000003E-2</v>
      </c>
      <c r="X67">
        <v>0.99850329999999998</v>
      </c>
      <c r="Y67">
        <v>-2.598901E-2</v>
      </c>
      <c r="Z67">
        <v>9.7705909999999999E-4</v>
      </c>
      <c r="AA67">
        <v>0.99966169999999999</v>
      </c>
      <c r="AB67">
        <v>6</v>
      </c>
      <c r="AC67">
        <v>16.537499999999898</v>
      </c>
      <c r="AD67">
        <v>-1.121196278307</v>
      </c>
      <c r="AE67">
        <v>0.45289999999999903</v>
      </c>
      <c r="AF67">
        <v>-0.43039449094815801</v>
      </c>
      <c r="AG67">
        <v>-1.121196278307</v>
      </c>
      <c r="AH67">
        <v>16.462437212147801</v>
      </c>
      <c r="AI67">
        <v>93.894862151688201</v>
      </c>
      <c r="AJ67">
        <v>91.497601566216403</v>
      </c>
      <c r="AK67">
        <v>16.5061854913919</v>
      </c>
      <c r="AL67">
        <v>92.981230191185404</v>
      </c>
      <c r="AM67">
        <v>89.029100529006897</v>
      </c>
      <c r="AN67">
        <v>1.0000000493336101</v>
      </c>
    </row>
    <row r="68" spans="1:40" x14ac:dyDescent="0.25">
      <c r="A68" t="str">
        <f>"20190303154057822"</f>
        <v>20190303154057822</v>
      </c>
      <c r="B68" t="str">
        <f>"1551598857819008"</f>
        <v>1551598857819008</v>
      </c>
      <c r="C68" t="s">
        <v>40</v>
      </c>
      <c r="D68">
        <v>5.5233819999999998</v>
      </c>
      <c r="E68">
        <v>0.48297370000000001</v>
      </c>
      <c r="F68" t="s">
        <v>41</v>
      </c>
      <c r="G68">
        <v>-455.78629999999998</v>
      </c>
      <c r="H68" s="1">
        <v>-2.1609389999999999E-6</v>
      </c>
      <c r="I68">
        <v>367.52510000000001</v>
      </c>
      <c r="J68">
        <v>-471.98770000000002</v>
      </c>
      <c r="K68">
        <v>1.1211819999999999</v>
      </c>
      <c r="L68">
        <v>367.06240000000003</v>
      </c>
      <c r="M68">
        <v>0.99991779999999997</v>
      </c>
      <c r="N68">
        <v>-1.2741870000000001E-2</v>
      </c>
      <c r="O68">
        <v>1.4073709999999999E-3</v>
      </c>
      <c r="P68">
        <v>0.99774189999999996</v>
      </c>
      <c r="Q68">
        <v>-6.5358529999999998E-2</v>
      </c>
      <c r="R68">
        <v>-1.5474099999999999E-2</v>
      </c>
      <c r="S68">
        <v>2.9946290000000002</v>
      </c>
      <c r="T68">
        <v>-0.2063885</v>
      </c>
      <c r="U68">
        <v>8.5235599999999995E-2</v>
      </c>
      <c r="V68">
        <v>1.6879599999999901E-2</v>
      </c>
      <c r="W68">
        <v>-5.2639989999999998E-2</v>
      </c>
      <c r="X68">
        <v>0.99847090000000005</v>
      </c>
      <c r="Y68">
        <v>-2.6970790000000001E-2</v>
      </c>
      <c r="Z68">
        <v>1.021283E-3</v>
      </c>
      <c r="AA68">
        <v>0.99963570000000002</v>
      </c>
      <c r="AB68">
        <v>6</v>
      </c>
      <c r="AC68">
        <v>16.2014</v>
      </c>
      <c r="AD68">
        <v>-1.1211841609390001</v>
      </c>
      <c r="AE68">
        <v>0.46269999999998301</v>
      </c>
      <c r="AF68">
        <v>-0.43780136805846698</v>
      </c>
      <c r="AG68">
        <v>-1.1211841609390001</v>
      </c>
      <c r="AH68">
        <v>16.124875393571401</v>
      </c>
      <c r="AI68">
        <v>93.975990151987006</v>
      </c>
      <c r="AJ68">
        <v>91.555237425953393</v>
      </c>
      <c r="AK68">
        <v>16.169735013871399</v>
      </c>
      <c r="AL68">
        <v>93.017443854941803</v>
      </c>
      <c r="AM68">
        <v>89.031481315795901</v>
      </c>
      <c r="AN68">
        <v>1.00000001379508</v>
      </c>
    </row>
    <row r="69" spans="1:40" x14ac:dyDescent="0.25">
      <c r="A69" t="str">
        <f>"20190303154057844"</f>
        <v>20190303154057844</v>
      </c>
      <c r="B69" t="str">
        <f>"1551598857839503"</f>
        <v>1551598857839503</v>
      </c>
      <c r="C69" t="s">
        <v>40</v>
      </c>
      <c r="D69">
        <v>5.5428889999999997</v>
      </c>
      <c r="E69">
        <v>0.48274319999999998</v>
      </c>
      <c r="F69" t="s">
        <v>41</v>
      </c>
      <c r="G69">
        <v>-456.17509999999999</v>
      </c>
      <c r="H69" s="1">
        <v>-1.9926639999999998E-6</v>
      </c>
      <c r="I69">
        <v>367.53339999999997</v>
      </c>
      <c r="J69">
        <v>-471.93439999999998</v>
      </c>
      <c r="K69">
        <v>1.121184</v>
      </c>
      <c r="L69">
        <v>367.06270000000001</v>
      </c>
      <c r="M69">
        <v>0.99991890000000005</v>
      </c>
      <c r="N69">
        <v>-1.264356E-2</v>
      </c>
      <c r="O69">
        <v>1.5396749999999999E-3</v>
      </c>
      <c r="P69">
        <v>0.99765110000000001</v>
      </c>
      <c r="Q69">
        <v>-6.6578709999999999E-2</v>
      </c>
      <c r="R69">
        <v>-1.6118339999999998E-2</v>
      </c>
      <c r="S69">
        <v>2.9942319999999998</v>
      </c>
      <c r="T69">
        <v>-0.21230379999999999</v>
      </c>
      <c r="U69">
        <v>8.9202879999999998E-2</v>
      </c>
      <c r="V69">
        <v>1.7655489999999999E-2</v>
      </c>
      <c r="W69">
        <v>-5.3959519999999997E-2</v>
      </c>
      <c r="X69">
        <v>0.99838700000000002</v>
      </c>
      <c r="Y69">
        <v>-2.8158550000000001E-2</v>
      </c>
      <c r="Z69">
        <v>1.085566E-3</v>
      </c>
      <c r="AA69">
        <v>0.99960289999999996</v>
      </c>
      <c r="AB69">
        <v>6</v>
      </c>
      <c r="AC69">
        <v>15.7592999999999</v>
      </c>
      <c r="AD69">
        <v>-1.121185992664</v>
      </c>
      <c r="AE69">
        <v>0.47069999999996498</v>
      </c>
      <c r="AF69">
        <v>-0.444187042129843</v>
      </c>
      <c r="AG69">
        <v>-1.121185992664</v>
      </c>
      <c r="AH69">
        <v>15.680708526504301</v>
      </c>
      <c r="AI69">
        <v>94.088109987622801</v>
      </c>
      <c r="AJ69">
        <v>91.622582224143699</v>
      </c>
      <c r="AK69">
        <v>15.7270143400369</v>
      </c>
      <c r="AL69">
        <v>93.0931551017445</v>
      </c>
      <c r="AM69">
        <v>88.986886214544896</v>
      </c>
      <c r="AN69">
        <v>0.99999997394738405</v>
      </c>
    </row>
    <row r="70" spans="1:40" x14ac:dyDescent="0.25">
      <c r="A70" t="str">
        <f>"20190303154057864"</f>
        <v>20190303154057864</v>
      </c>
      <c r="B70" t="str">
        <f>"1551598857859025"</f>
        <v>1551598857859025</v>
      </c>
      <c r="C70" t="s">
        <v>40</v>
      </c>
      <c r="D70">
        <v>5.5097100000000001</v>
      </c>
      <c r="E70">
        <v>0.48256300000000002</v>
      </c>
      <c r="F70" t="s">
        <v>41</v>
      </c>
      <c r="G70">
        <v>-456.60570000000001</v>
      </c>
      <c r="H70" s="1">
        <v>-1.810658E-6</v>
      </c>
      <c r="I70">
        <v>367.51799999999997</v>
      </c>
      <c r="J70">
        <v>-471.88099999999997</v>
      </c>
      <c r="K70">
        <v>1.121186</v>
      </c>
      <c r="L70">
        <v>367.06290000000001</v>
      </c>
      <c r="M70">
        <v>0.99991980000000003</v>
      </c>
      <c r="N70">
        <v>-1.2560150000000001E-2</v>
      </c>
      <c r="O70">
        <v>1.672551E-3</v>
      </c>
      <c r="P70">
        <v>0.99768109999999999</v>
      </c>
      <c r="Q70">
        <v>-6.6041660000000002E-2</v>
      </c>
      <c r="R70">
        <v>-1.6470499999999999E-2</v>
      </c>
      <c r="S70">
        <v>2.9939269999999998</v>
      </c>
      <c r="T70">
        <v>-0.2189837</v>
      </c>
      <c r="U70">
        <v>8.8958739999999994E-2</v>
      </c>
      <c r="V70">
        <v>1.8139949999999998E-2</v>
      </c>
      <c r="W70">
        <v>-5.3505509999999999E-2</v>
      </c>
      <c r="X70">
        <v>0.99840280000000003</v>
      </c>
      <c r="Y70">
        <v>-2.7943599999999999E-2</v>
      </c>
      <c r="Z70">
        <v>1.094991E-3</v>
      </c>
      <c r="AA70">
        <v>0.99960890000000002</v>
      </c>
      <c r="AB70">
        <v>6</v>
      </c>
      <c r="AC70">
        <v>15.2752999999999</v>
      </c>
      <c r="AD70">
        <v>-1.121187810658</v>
      </c>
      <c r="AE70">
        <v>0.45510000000001499</v>
      </c>
      <c r="AF70">
        <v>-0.42724892259501002</v>
      </c>
      <c r="AG70">
        <v>-1.121187810658</v>
      </c>
      <c r="AH70">
        <v>15.1942553064231</v>
      </c>
      <c r="AI70">
        <v>94.218559533677805</v>
      </c>
      <c r="AJ70">
        <v>91.610681850729307</v>
      </c>
      <c r="AK70">
        <v>15.241554975309899</v>
      </c>
      <c r="AL70">
        <v>93.067104456199004</v>
      </c>
      <c r="AM70">
        <v>88.959109257376198</v>
      </c>
      <c r="AN70">
        <v>1.0000000242171001</v>
      </c>
    </row>
    <row r="71" spans="1:40" x14ac:dyDescent="0.25">
      <c r="A71" t="str">
        <f>"20190303154057885"</f>
        <v>20190303154057885</v>
      </c>
      <c r="B71" t="str">
        <f>"1551598857879051"</f>
        <v>1551598857879051</v>
      </c>
      <c r="C71" t="s">
        <v>40</v>
      </c>
      <c r="D71">
        <v>5.5242009999999997</v>
      </c>
      <c r="E71">
        <v>0.48230679999999998</v>
      </c>
      <c r="F71" t="s">
        <v>41</v>
      </c>
      <c r="G71">
        <v>-456.64609999999999</v>
      </c>
      <c r="H71" s="1">
        <v>-1.793337E-6</v>
      </c>
      <c r="I71">
        <v>367.5181</v>
      </c>
      <c r="J71">
        <v>-471.82619999999997</v>
      </c>
      <c r="K71">
        <v>1.1211979999999999</v>
      </c>
      <c r="L71">
        <v>367.06310000000002</v>
      </c>
      <c r="M71">
        <v>0.9999207</v>
      </c>
      <c r="N71">
        <v>-1.247623E-2</v>
      </c>
      <c r="O71">
        <v>1.8135779999999999E-3</v>
      </c>
      <c r="P71">
        <v>0.99769410000000003</v>
      </c>
      <c r="Q71">
        <v>-6.5959480000000001E-2</v>
      </c>
      <c r="R71">
        <v>-1.6007420000000001E-2</v>
      </c>
      <c r="S71">
        <v>2.9938349999999998</v>
      </c>
      <c r="T71">
        <v>-0.22032389999999999</v>
      </c>
      <c r="U71">
        <v>8.9477539999999994E-2</v>
      </c>
      <c r="V71">
        <v>1.781779E-2</v>
      </c>
      <c r="W71">
        <v>-5.3506940000000003E-2</v>
      </c>
      <c r="X71">
        <v>0.99840850000000003</v>
      </c>
      <c r="Y71">
        <v>-2.7975900000000001E-2</v>
      </c>
      <c r="Z71">
        <v>1.09197E-3</v>
      </c>
      <c r="AA71">
        <v>0.99960800000000005</v>
      </c>
      <c r="AB71">
        <v>6</v>
      </c>
      <c r="AC71">
        <v>15.1800999999999</v>
      </c>
      <c r="AD71">
        <v>-1.1211997933369999</v>
      </c>
      <c r="AE71">
        <v>0.45499999999998397</v>
      </c>
      <c r="AF71">
        <v>-0.42514959149964299</v>
      </c>
      <c r="AG71">
        <v>-1.1211997933369999</v>
      </c>
      <c r="AH71">
        <v>15.098607132903201</v>
      </c>
      <c r="AI71">
        <v>94.245226852256707</v>
      </c>
      <c r="AJ71">
        <v>91.612919792709505</v>
      </c>
      <c r="AK71">
        <v>15.146147315587701</v>
      </c>
      <c r="AL71">
        <v>93.067186582365906</v>
      </c>
      <c r="AM71">
        <v>88.977597037029398</v>
      </c>
      <c r="AN71">
        <v>0.99999999957044805</v>
      </c>
    </row>
    <row r="72" spans="1:40" x14ac:dyDescent="0.25">
      <c r="A72" t="str">
        <f>"20190303154057910"</f>
        <v>20190303154057910</v>
      </c>
      <c r="B72" t="str">
        <f>"1551598857899551"</f>
        <v>1551598857899551</v>
      </c>
      <c r="C72" t="s">
        <v>40</v>
      </c>
      <c r="D72">
        <v>5.5271980000000003</v>
      </c>
      <c r="E72">
        <v>0.48223919999999998</v>
      </c>
      <c r="F72" t="s">
        <v>41</v>
      </c>
      <c r="G72">
        <v>-456.78800000000001</v>
      </c>
      <c r="H72" s="1">
        <v>-1.730378E-6</v>
      </c>
      <c r="I72">
        <v>367.52969999999999</v>
      </c>
      <c r="J72">
        <v>-471.7663</v>
      </c>
      <c r="K72">
        <v>1.1212040000000001</v>
      </c>
      <c r="L72">
        <v>367.0634</v>
      </c>
      <c r="M72">
        <v>0.99992139999999996</v>
      </c>
      <c r="N72">
        <v>-1.239113E-2</v>
      </c>
      <c r="O72">
        <v>1.9738149999999999E-3</v>
      </c>
      <c r="P72">
        <v>0.99770820000000005</v>
      </c>
      <c r="Q72">
        <v>-6.5785590000000005E-2</v>
      </c>
      <c r="R72">
        <v>-1.5837540000000001E-2</v>
      </c>
      <c r="S72">
        <v>2.9936829999999999</v>
      </c>
      <c r="T72">
        <v>-0.2231979</v>
      </c>
      <c r="U72">
        <v>9.2895510000000001E-2</v>
      </c>
      <c r="V72">
        <v>1.7808230000000001E-2</v>
      </c>
      <c r="W72">
        <v>-5.3417800000000001E-2</v>
      </c>
      <c r="X72">
        <v>0.99841340000000001</v>
      </c>
      <c r="Y72">
        <v>-2.8952640000000002E-2</v>
      </c>
      <c r="Z72">
        <v>1.13477E-3</v>
      </c>
      <c r="AA72">
        <v>0.99958009999999997</v>
      </c>
      <c r="AB72">
        <v>6</v>
      </c>
      <c r="AC72">
        <v>14.9782999999999</v>
      </c>
      <c r="AD72">
        <v>-1.1212057303780001</v>
      </c>
      <c r="AE72">
        <v>0.466299999999989</v>
      </c>
      <c r="AF72">
        <v>-0.434301258491193</v>
      </c>
      <c r="AG72">
        <v>-1.1212057303780001</v>
      </c>
      <c r="AH72">
        <v>14.895806098540699</v>
      </c>
      <c r="AI72">
        <v>94.302708708462205</v>
      </c>
      <c r="AJ72">
        <v>91.670039314741004</v>
      </c>
      <c r="AK72">
        <v>14.9442550566525</v>
      </c>
      <c r="AL72">
        <v>93.062072055904693</v>
      </c>
      <c r="AM72">
        <v>88.978150497213093</v>
      </c>
      <c r="AN72">
        <v>0.99999995585606505</v>
      </c>
    </row>
    <row r="73" spans="1:40" x14ac:dyDescent="0.25">
      <c r="A73" t="str">
        <f>"20190303154057930"</f>
        <v>20190303154057930</v>
      </c>
      <c r="B73" t="str">
        <f>"1551598857919067"</f>
        <v>1551598857919067</v>
      </c>
      <c r="C73" t="s">
        <v>40</v>
      </c>
      <c r="D73">
        <v>5.5532019999999997</v>
      </c>
      <c r="E73">
        <v>0.48217680000000002</v>
      </c>
      <c r="F73" t="s">
        <v>41</v>
      </c>
      <c r="G73">
        <v>-456.79689999999999</v>
      </c>
      <c r="H73" s="1">
        <v>-1.7258719999999999E-6</v>
      </c>
      <c r="I73">
        <v>367.53370000000001</v>
      </c>
      <c r="J73">
        <v>-471.71039999999999</v>
      </c>
      <c r="K73">
        <v>1.1212009999999999</v>
      </c>
      <c r="L73">
        <v>367.06369999999998</v>
      </c>
      <c r="M73">
        <v>0.99992190000000003</v>
      </c>
      <c r="N73">
        <v>-1.232683E-2</v>
      </c>
      <c r="O73">
        <v>2.1211849999999998E-3</v>
      </c>
      <c r="P73">
        <v>0.99764079999999999</v>
      </c>
      <c r="Q73">
        <v>-6.6738190000000003E-2</v>
      </c>
      <c r="R73">
        <v>-1.6098589999999999E-2</v>
      </c>
      <c r="S73">
        <v>2.9936219999999998</v>
      </c>
      <c r="T73">
        <v>-0.22422020000000001</v>
      </c>
      <c r="U73">
        <v>9.4055180000000002E-2</v>
      </c>
      <c r="V73">
        <v>1.8216019999999999E-2</v>
      </c>
      <c r="W73">
        <v>-5.4435419999999998E-2</v>
      </c>
      <c r="X73">
        <v>0.99835110000000005</v>
      </c>
      <c r="Y73">
        <v>-2.9191620000000001E-2</v>
      </c>
      <c r="Z73">
        <v>1.1391820000000001E-3</v>
      </c>
      <c r="AA73">
        <v>0.99957320000000005</v>
      </c>
      <c r="AB73">
        <v>6</v>
      </c>
      <c r="AC73">
        <v>14.913500000000001</v>
      </c>
      <c r="AD73">
        <v>-1.1212027258720001</v>
      </c>
      <c r="AE73">
        <v>0.47000000000002701</v>
      </c>
      <c r="AF73">
        <v>-0.43590094317271</v>
      </c>
      <c r="AG73">
        <v>-1.1212027258720001</v>
      </c>
      <c r="AH73">
        <v>14.830722060067799</v>
      </c>
      <c r="AI73">
        <v>94.321478369824007</v>
      </c>
      <c r="AJ73">
        <v>91.683538812919906</v>
      </c>
      <c r="AK73">
        <v>14.8794294920115</v>
      </c>
      <c r="AL73">
        <v>93.120462284752904</v>
      </c>
      <c r="AM73">
        <v>88.954691124659007</v>
      </c>
      <c r="AN73">
        <v>0.99999997860321299</v>
      </c>
    </row>
    <row r="74" spans="1:40" x14ac:dyDescent="0.25">
      <c r="A74" t="str">
        <f>"20190303154057953"</f>
        <v>20190303154057953</v>
      </c>
      <c r="B74" t="str">
        <f>"1551598857949324"</f>
        <v>1551598857949324</v>
      </c>
      <c r="C74" t="s">
        <v>40</v>
      </c>
      <c r="D74">
        <v>5.5213479999999997</v>
      </c>
      <c r="E74">
        <v>0.48209649999999998</v>
      </c>
      <c r="F74" t="s">
        <v>41</v>
      </c>
      <c r="G74">
        <v>-457.01179999999999</v>
      </c>
      <c r="H74" s="1">
        <v>-1.6354789999999999E-6</v>
      </c>
      <c r="I74">
        <v>367.52339999999998</v>
      </c>
      <c r="J74">
        <v>-471.65390000000002</v>
      </c>
      <c r="K74">
        <v>1.1212029999999999</v>
      </c>
      <c r="L74">
        <v>367.06400000000002</v>
      </c>
      <c r="M74">
        <v>0.99992219999999998</v>
      </c>
      <c r="N74">
        <v>-1.227542E-2</v>
      </c>
      <c r="O74">
        <v>2.2676800000000002E-3</v>
      </c>
      <c r="P74">
        <v>0.99758210000000003</v>
      </c>
      <c r="Q74">
        <v>-6.7504809999999998E-2</v>
      </c>
      <c r="R74">
        <v>-1.6531489999999999E-2</v>
      </c>
      <c r="S74">
        <v>2.9932859999999999</v>
      </c>
      <c r="T74">
        <v>-0.2283251</v>
      </c>
      <c r="U74">
        <v>9.3627929999999998E-2</v>
      </c>
      <c r="V74">
        <v>1.8794910000000001E-2</v>
      </c>
      <c r="W74">
        <v>-5.525414E-2</v>
      </c>
      <c r="X74">
        <v>0.99829540000000005</v>
      </c>
      <c r="Y74">
        <v>-2.8904389999999999E-2</v>
      </c>
      <c r="Z74">
        <v>1.133404E-3</v>
      </c>
      <c r="AA74">
        <v>0.99958150000000001</v>
      </c>
      <c r="AB74">
        <v>6</v>
      </c>
      <c r="AC74">
        <v>14.642099999999999</v>
      </c>
      <c r="AD74">
        <v>-1.121204635479</v>
      </c>
      <c r="AE74">
        <v>0.45939999999995901</v>
      </c>
      <c r="AF74">
        <v>-0.42371070393812998</v>
      </c>
      <c r="AG74">
        <v>-1.121204635479</v>
      </c>
      <c r="AH74">
        <v>14.557827125928901</v>
      </c>
      <c r="AI74">
        <v>94.402215643059407</v>
      </c>
      <c r="AJ74">
        <v>91.667143262426706</v>
      </c>
      <c r="AK74">
        <v>14.6070859935746</v>
      </c>
      <c r="AL74">
        <v>93.167442170429695</v>
      </c>
      <c r="AM74">
        <v>88.921419639774001</v>
      </c>
      <c r="AN74">
        <v>0.99999998714510296</v>
      </c>
    </row>
    <row r="75" spans="1:40" x14ac:dyDescent="0.25">
      <c r="A75" t="str">
        <f>"20190303154057974"</f>
        <v>20190303154057974</v>
      </c>
      <c r="B75" t="str">
        <f>"1551598857969121"</f>
        <v>1551598857969121</v>
      </c>
      <c r="C75" t="s">
        <v>40</v>
      </c>
      <c r="D75">
        <v>5.4608379999999999</v>
      </c>
      <c r="E75">
        <v>0.50053349999999996</v>
      </c>
      <c r="F75" t="s">
        <v>41</v>
      </c>
      <c r="G75">
        <v>-457.20499999999998</v>
      </c>
      <c r="H75" s="1">
        <v>-1.5546319999999999E-6</v>
      </c>
      <c r="I75">
        <v>367.512</v>
      </c>
      <c r="J75">
        <v>-471.59960000000001</v>
      </c>
      <c r="K75">
        <v>1.1212009999999999</v>
      </c>
      <c r="L75">
        <v>367.0643</v>
      </c>
      <c r="M75">
        <v>0.99992239999999999</v>
      </c>
      <c r="N75">
        <v>-1.223226E-2</v>
      </c>
      <c r="O75">
        <v>2.4075110000000002E-3</v>
      </c>
      <c r="P75">
        <v>0.99752870000000005</v>
      </c>
      <c r="Q75">
        <v>-6.8189970000000003E-2</v>
      </c>
      <c r="R75">
        <v>-1.694932E-2</v>
      </c>
      <c r="S75">
        <v>2.9931030000000001</v>
      </c>
      <c r="T75">
        <v>-0.2322564</v>
      </c>
      <c r="U75">
        <v>9.2834470000000002E-2</v>
      </c>
      <c r="V75">
        <v>1.935164E-2</v>
      </c>
      <c r="W75">
        <v>-5.5983100000000001E-2</v>
      </c>
      <c r="X75">
        <v>0.99824420000000003</v>
      </c>
      <c r="Y75">
        <v>-2.8500589999999999E-2</v>
      </c>
      <c r="Z75">
        <v>1.1214409999999999E-3</v>
      </c>
      <c r="AA75">
        <v>0.99959310000000001</v>
      </c>
      <c r="AB75">
        <v>6</v>
      </c>
      <c r="AC75">
        <v>14.394600000000001</v>
      </c>
      <c r="AD75">
        <v>-1.1212025546319999</v>
      </c>
      <c r="AE75">
        <v>0.44769999999993998</v>
      </c>
      <c r="AF75">
        <v>-0.41055256907280002</v>
      </c>
      <c r="AG75">
        <v>-1.1212025546319999</v>
      </c>
      <c r="AH75">
        <v>14.3089089513341</v>
      </c>
      <c r="AI75">
        <v>94.478532757306994</v>
      </c>
      <c r="AJ75">
        <v>91.643485032031705</v>
      </c>
      <c r="AK75">
        <v>14.3586393491185</v>
      </c>
      <c r="AL75">
        <v>93.209273090392301</v>
      </c>
      <c r="AM75">
        <v>88.889421609738207</v>
      </c>
      <c r="AN75">
        <v>1.0000000381449601</v>
      </c>
    </row>
    <row r="76" spans="1:40" x14ac:dyDescent="0.25">
      <c r="A76" t="str">
        <f>"20190303154057998"</f>
        <v>20190303154057998</v>
      </c>
      <c r="B76" t="str">
        <f>"1551598857989617"</f>
        <v>1551598857989617</v>
      </c>
      <c r="C76" t="s">
        <v>40</v>
      </c>
      <c r="D76">
        <v>5.5303339999999999</v>
      </c>
      <c r="E76">
        <v>0.5046813</v>
      </c>
      <c r="F76" t="s">
        <v>41</v>
      </c>
      <c r="G76">
        <v>-457.64479999999998</v>
      </c>
      <c r="H76" s="1">
        <v>-1.535395E-6</v>
      </c>
      <c r="I76">
        <v>366.8057</v>
      </c>
      <c r="J76">
        <v>-471.5394</v>
      </c>
      <c r="K76">
        <v>1.1211990000000001</v>
      </c>
      <c r="L76">
        <v>367.06459999999998</v>
      </c>
      <c r="M76">
        <v>0.99992250000000005</v>
      </c>
      <c r="N76">
        <v>-1.2188589999999999E-2</v>
      </c>
      <c r="O76">
        <v>2.5609529999999999E-3</v>
      </c>
      <c r="P76">
        <v>0.99751699999999999</v>
      </c>
      <c r="Q76">
        <v>-6.8307950000000006E-2</v>
      </c>
      <c r="R76">
        <v>-1.714212E-2</v>
      </c>
      <c r="S76">
        <v>2.9900509999999998</v>
      </c>
      <c r="T76">
        <v>-0.24023439999999999</v>
      </c>
      <c r="U76">
        <v>-5.5389399999999998E-2</v>
      </c>
      <c r="V76">
        <v>1.969773E-2</v>
      </c>
      <c r="W76">
        <v>-5.6144859999999998E-2</v>
      </c>
      <c r="X76">
        <v>0.99822829999999996</v>
      </c>
      <c r="Y76">
        <v>2.0998159999999998E-2</v>
      </c>
      <c r="Z76">
        <v>-1.144578E-3</v>
      </c>
      <c r="AA76">
        <v>0.99977890000000003</v>
      </c>
      <c r="AB76">
        <v>6</v>
      </c>
      <c r="AC76">
        <v>13.894600000000001</v>
      </c>
      <c r="AD76">
        <v>-1.1212005353950001</v>
      </c>
      <c r="AE76">
        <v>-0.25889999999998198</v>
      </c>
      <c r="AF76">
        <v>0.29258075997176203</v>
      </c>
      <c r="AG76">
        <v>-1.1212005353950001</v>
      </c>
      <c r="AH76">
        <v>13.8040389019079</v>
      </c>
      <c r="AI76">
        <v>94.642483189691006</v>
      </c>
      <c r="AJ76">
        <v>88.785780509267497</v>
      </c>
      <c r="AK76">
        <v>13.8525876336178</v>
      </c>
      <c r="AL76">
        <v>93.218556002877307</v>
      </c>
      <c r="AM76">
        <v>88.8695468309093</v>
      </c>
      <c r="AN76">
        <v>0.99999999239623105</v>
      </c>
    </row>
    <row r="77" spans="1:40" x14ac:dyDescent="0.25">
      <c r="A77" t="str">
        <f>"20190303154058022"</f>
        <v>20190303154058022</v>
      </c>
      <c r="B77" t="str">
        <f>"1551598858018896"</f>
        <v>1551598858018896</v>
      </c>
      <c r="C77" t="s">
        <v>40</v>
      </c>
      <c r="D77">
        <v>5.6084160000000001</v>
      </c>
      <c r="E77">
        <v>0.50908039999999999</v>
      </c>
      <c r="F77" t="s">
        <v>42</v>
      </c>
      <c r="G77">
        <v>-470.77210000000002</v>
      </c>
      <c r="H77">
        <v>1.030287</v>
      </c>
      <c r="I77">
        <v>367.041</v>
      </c>
      <c r="J77">
        <v>-471.4776</v>
      </c>
      <c r="K77">
        <v>1.1212009999999999</v>
      </c>
      <c r="L77">
        <v>367.06490000000002</v>
      </c>
      <c r="M77">
        <v>0.99992250000000005</v>
      </c>
      <c r="N77">
        <v>-1.2150029999999999E-2</v>
      </c>
      <c r="O77">
        <v>2.7179470000000001E-3</v>
      </c>
      <c r="P77">
        <v>0.99751509999999999</v>
      </c>
      <c r="Q77">
        <v>-6.8276980000000001E-2</v>
      </c>
      <c r="R77">
        <v>-1.7373469999999998E-2</v>
      </c>
      <c r="S77">
        <v>2.9817809999999998</v>
      </c>
      <c r="T77">
        <v>-0.35353879999999999</v>
      </c>
      <c r="U77">
        <v>-9.0240479999999998E-2</v>
      </c>
      <c r="V77">
        <v>2.0085769999999999E-2</v>
      </c>
      <c r="W77">
        <v>-5.6152430000000003E-2</v>
      </c>
      <c r="X77">
        <v>0.99822010000000005</v>
      </c>
      <c r="Y77">
        <v>3.2699100000000002E-2</v>
      </c>
      <c r="Z77">
        <v>-2.418917E-3</v>
      </c>
      <c r="AA77">
        <v>0.99946230000000003</v>
      </c>
      <c r="AB77">
        <v>6</v>
      </c>
      <c r="AC77">
        <v>0.70549999999997204</v>
      </c>
      <c r="AD77">
        <v>-9.0913999999999898E-2</v>
      </c>
      <c r="AE77">
        <v>-2.3900000000026001E-2</v>
      </c>
      <c r="AF77">
        <v>2.53963146984309E-2</v>
      </c>
      <c r="AG77">
        <v>-9.0913999999999898E-2</v>
      </c>
      <c r="AH77">
        <v>0.69392230034449498</v>
      </c>
      <c r="AI77">
        <v>97.459137200997802</v>
      </c>
      <c r="AJ77">
        <v>87.904012452362807</v>
      </c>
      <c r="AK77">
        <v>0.70031313504150206</v>
      </c>
      <c r="AL77">
        <v>93.218990551301104</v>
      </c>
      <c r="AM77">
        <v>88.847273690742497</v>
      </c>
      <c r="AN77">
        <v>0.99999995079770199</v>
      </c>
    </row>
    <row r="78" spans="1:40" x14ac:dyDescent="0.25">
      <c r="A78" t="str">
        <f>"20190303154058044"</f>
        <v>20190303154058044</v>
      </c>
      <c r="B78" t="str">
        <f>"1551598858039392"</f>
        <v>1551598858039392</v>
      </c>
      <c r="C78" t="s">
        <v>40</v>
      </c>
      <c r="D78">
        <v>5.5837019999999997</v>
      </c>
      <c r="E78">
        <v>0.5097334</v>
      </c>
      <c r="F78" t="s">
        <v>42</v>
      </c>
      <c r="G78">
        <v>-470.72120000000001</v>
      </c>
      <c r="H78">
        <v>1.030376</v>
      </c>
      <c r="I78">
        <v>367.03280000000001</v>
      </c>
      <c r="J78">
        <v>-471.42320000000001</v>
      </c>
      <c r="K78">
        <v>1.1211990000000001</v>
      </c>
      <c r="L78">
        <v>367.06529999999998</v>
      </c>
      <c r="M78">
        <v>0.99992259999999999</v>
      </c>
      <c r="N78">
        <v>-1.212193E-2</v>
      </c>
      <c r="O78">
        <v>2.8558630000000002E-3</v>
      </c>
      <c r="P78">
        <v>0.99748879999999995</v>
      </c>
      <c r="Q78">
        <v>-6.8844810000000006E-2</v>
      </c>
      <c r="R78">
        <v>-1.6629999999999999E-2</v>
      </c>
      <c r="S78">
        <v>2.9807739999999998</v>
      </c>
      <c r="T78">
        <v>-0.35790929999999999</v>
      </c>
      <c r="U78">
        <v>-0.12622069999999999</v>
      </c>
      <c r="V78">
        <v>1.9479670000000001E-2</v>
      </c>
      <c r="W78">
        <v>-5.6748609999999998E-2</v>
      </c>
      <c r="X78">
        <v>0.99819840000000004</v>
      </c>
      <c r="Y78">
        <v>4.4789950000000002E-2</v>
      </c>
      <c r="Z78">
        <v>-3.2579280000000002E-3</v>
      </c>
      <c r="AA78">
        <v>0.99899110000000002</v>
      </c>
      <c r="AB78">
        <v>6</v>
      </c>
      <c r="AC78">
        <v>0.70199999999999796</v>
      </c>
      <c r="AD78">
        <v>-9.0823000000000098E-2</v>
      </c>
      <c r="AE78">
        <v>-3.24999999999704E-2</v>
      </c>
      <c r="AF78">
        <v>3.3937973274626901E-2</v>
      </c>
      <c r="AG78">
        <v>-9.0823000000000098E-2</v>
      </c>
      <c r="AH78">
        <v>0.69037319335771796</v>
      </c>
      <c r="AI78">
        <v>97.485650036021198</v>
      </c>
      <c r="AJ78">
        <v>87.185669198906993</v>
      </c>
      <c r="AK78">
        <v>0.69714829804419798</v>
      </c>
      <c r="AL78">
        <v>93.253203697198003</v>
      </c>
      <c r="AM78">
        <v>88.882024627160405</v>
      </c>
      <c r="AN78">
        <v>0.99999995402139896</v>
      </c>
    </row>
    <row r="79" spans="1:40" x14ac:dyDescent="0.25">
      <c r="A79" t="str">
        <f>"20190303154058065"</f>
        <v>20190303154058065</v>
      </c>
      <c r="B79" t="str">
        <f>"1551598858058913"</f>
        <v>1551598858058913</v>
      </c>
      <c r="C79" t="s">
        <v>40</v>
      </c>
      <c r="D79">
        <v>5.5501839999999998</v>
      </c>
      <c r="E79">
        <v>0.50945429999999903</v>
      </c>
      <c r="F79" t="s">
        <v>42</v>
      </c>
      <c r="G79">
        <v>-470.67230000000001</v>
      </c>
      <c r="H79">
        <v>1.026357</v>
      </c>
      <c r="I79">
        <v>367.03199999999998</v>
      </c>
      <c r="J79">
        <v>-471.36959999999999</v>
      </c>
      <c r="K79">
        <v>1.12117</v>
      </c>
      <c r="L79">
        <v>367.06560000000002</v>
      </c>
      <c r="M79">
        <v>0.99992340000000002</v>
      </c>
      <c r="N79">
        <v>-1.2020579999999999E-2</v>
      </c>
      <c r="O79">
        <v>2.9931549999999999E-3</v>
      </c>
      <c r="P79">
        <v>0.99748930000000002</v>
      </c>
      <c r="Q79">
        <v>-6.9016270000000005E-2</v>
      </c>
      <c r="R79">
        <v>-1.588262E-2</v>
      </c>
      <c r="S79">
        <v>2.9793400000000001</v>
      </c>
      <c r="T79">
        <v>-0.3767083</v>
      </c>
      <c r="U79">
        <v>-0.12960819999999901</v>
      </c>
      <c r="V79">
        <v>1.8869259999999999E-2</v>
      </c>
      <c r="W79">
        <v>-5.7021200000000001E-2</v>
      </c>
      <c r="X79">
        <v>0.99819460000000004</v>
      </c>
      <c r="Y79">
        <v>4.6031139999999998E-2</v>
      </c>
      <c r="Z79">
        <v>-3.5161509999999999E-3</v>
      </c>
      <c r="AA79">
        <v>0.99893379999999998</v>
      </c>
      <c r="AB79">
        <v>6</v>
      </c>
      <c r="AC79">
        <v>0.69729999999998404</v>
      </c>
      <c r="AD79">
        <v>-9.4812999999999995E-2</v>
      </c>
      <c r="AE79">
        <v>-3.3600000000035303E-2</v>
      </c>
      <c r="AF79">
        <v>3.5040783981399197E-2</v>
      </c>
      <c r="AG79">
        <v>-9.4812999999999995E-2</v>
      </c>
      <c r="AH79">
        <v>0.68456911389489505</v>
      </c>
      <c r="AI79">
        <v>97.875135781906394</v>
      </c>
      <c r="AJ79">
        <v>87.069779640316298</v>
      </c>
      <c r="AK79">
        <v>0.69199149793178305</v>
      </c>
      <c r="AL79">
        <v>93.2688472566211</v>
      </c>
      <c r="AM79">
        <v>88.917044620403601</v>
      </c>
      <c r="AN79">
        <v>0.99999996284577297</v>
      </c>
    </row>
    <row r="80" spans="1:40" x14ac:dyDescent="0.25">
      <c r="A80" t="str">
        <f>"20190303154058087"</f>
        <v>20190303154058087</v>
      </c>
      <c r="B80" t="str">
        <f>"1551598858078942"</f>
        <v>1551598858078942</v>
      </c>
      <c r="C80" t="s">
        <v>40</v>
      </c>
      <c r="D80">
        <v>5.7955030000000001</v>
      </c>
      <c r="E80">
        <v>0.50926199999999999</v>
      </c>
      <c r="F80" t="s">
        <v>42</v>
      </c>
      <c r="G80">
        <v>-470.62299999999999</v>
      </c>
      <c r="H80">
        <v>1.021782</v>
      </c>
      <c r="I80">
        <v>367.03379999999999</v>
      </c>
      <c r="J80">
        <v>-471.31110000000001</v>
      </c>
      <c r="K80">
        <v>1.121097</v>
      </c>
      <c r="L80">
        <v>367.0659</v>
      </c>
      <c r="M80">
        <v>0.99992309999999995</v>
      </c>
      <c r="N80">
        <v>-1.199511E-2</v>
      </c>
      <c r="O80">
        <v>3.1422500000000001E-3</v>
      </c>
      <c r="P80">
        <v>0.99736760000000002</v>
      </c>
      <c r="Q80">
        <v>-7.0808350000000006E-2</v>
      </c>
      <c r="R80">
        <v>-1.562115E-2</v>
      </c>
      <c r="S80">
        <v>2.9780880000000001</v>
      </c>
      <c r="T80">
        <v>-0.39672079999999998</v>
      </c>
      <c r="U80">
        <v>-0.1254883</v>
      </c>
      <c r="V80">
        <v>1.8756160000000001E-2</v>
      </c>
      <c r="W80">
        <v>-5.8840080000000003E-2</v>
      </c>
      <c r="X80">
        <v>0.99809119999999996</v>
      </c>
      <c r="Y80">
        <v>4.4785489999999997E-2</v>
      </c>
      <c r="Z80">
        <v>-3.6176580000000002E-3</v>
      </c>
      <c r="AA80">
        <v>0.99899009999999999</v>
      </c>
      <c r="AB80">
        <v>6</v>
      </c>
      <c r="AC80">
        <v>0.68809999999996296</v>
      </c>
      <c r="AD80">
        <v>-9.9315000000000001E-2</v>
      </c>
      <c r="AE80">
        <v>-3.2100000000013999E-2</v>
      </c>
      <c r="AF80">
        <v>3.3564489302343202E-2</v>
      </c>
      <c r="AG80">
        <v>-9.9315000000000001E-2</v>
      </c>
      <c r="AH80">
        <v>0.67398588566585005</v>
      </c>
      <c r="AI80">
        <v>98.372252033678507</v>
      </c>
      <c r="AJ80">
        <v>87.149026128976402</v>
      </c>
      <c r="AK80">
        <v>0.68209018336573901</v>
      </c>
      <c r="AL80">
        <v>93.373236621033797</v>
      </c>
      <c r="AM80">
        <v>88.923422695208401</v>
      </c>
      <c r="AN80">
        <v>0.99999999603489498</v>
      </c>
    </row>
    <row r="81" spans="1:40" x14ac:dyDescent="0.25">
      <c r="A81" t="str">
        <f>"20190303154058110"</f>
        <v>20190303154058110</v>
      </c>
      <c r="B81" t="str">
        <f>"1551598858099437"</f>
        <v>1551598858099437</v>
      </c>
      <c r="C81" t="s">
        <v>40</v>
      </c>
      <c r="D81">
        <v>5.5731210000000004</v>
      </c>
      <c r="E81">
        <v>0.50913629999999999</v>
      </c>
      <c r="F81" t="s">
        <v>42</v>
      </c>
      <c r="G81">
        <v>-470.57389999999998</v>
      </c>
      <c r="H81">
        <v>1.0180049999999901</v>
      </c>
      <c r="I81">
        <v>367.03489999999999</v>
      </c>
      <c r="J81">
        <v>-471.25450000000001</v>
      </c>
      <c r="K81">
        <v>1.121024</v>
      </c>
      <c r="L81">
        <v>367.06630000000001</v>
      </c>
      <c r="M81">
        <v>0.99991929999999996</v>
      </c>
      <c r="N81">
        <v>-1.227513E-2</v>
      </c>
      <c r="O81">
        <v>3.2824260000000002E-3</v>
      </c>
      <c r="P81">
        <v>0.99725459999999999</v>
      </c>
      <c r="Q81">
        <v>-7.2328240000000002E-2</v>
      </c>
      <c r="R81">
        <v>-1.5884499999999999E-2</v>
      </c>
      <c r="S81">
        <v>2.97641</v>
      </c>
      <c r="T81">
        <v>-0.41664299999999999</v>
      </c>
      <c r="U81">
        <v>-0.1231995</v>
      </c>
      <c r="V81">
        <v>1.915851E-2</v>
      </c>
      <c r="W81">
        <v>-6.0081879999999997E-2</v>
      </c>
      <c r="X81">
        <v>0.99800960000000005</v>
      </c>
      <c r="Y81">
        <v>4.414183E-2</v>
      </c>
      <c r="Z81">
        <v>-3.762685E-3</v>
      </c>
      <c r="AA81">
        <v>0.99901819999999997</v>
      </c>
      <c r="AB81">
        <v>6</v>
      </c>
      <c r="AC81">
        <v>0.68060000000002596</v>
      </c>
      <c r="AD81">
        <v>-0.103019</v>
      </c>
      <c r="AE81">
        <v>-3.14000000000191E-2</v>
      </c>
      <c r="AF81">
        <v>3.28822416730052E-2</v>
      </c>
      <c r="AG81">
        <v>-0.103019</v>
      </c>
      <c r="AH81">
        <v>0.66528309494451399</v>
      </c>
      <c r="AI81">
        <v>98.791768441260402</v>
      </c>
      <c r="AJ81">
        <v>87.170404958674794</v>
      </c>
      <c r="AK81">
        <v>0.674014653102878</v>
      </c>
      <c r="AL81">
        <v>93.444512551595807</v>
      </c>
      <c r="AM81">
        <v>88.900244090771693</v>
      </c>
      <c r="AN81">
        <v>1.0000000212509501</v>
      </c>
    </row>
    <row r="82" spans="1:40" x14ac:dyDescent="0.25">
      <c r="A82" t="str">
        <f>"20190303154058132"</f>
        <v>20190303154058132</v>
      </c>
      <c r="B82" t="str">
        <f>"1551598858129694"</f>
        <v>1551598858129694</v>
      </c>
      <c r="C82" t="s">
        <v>40</v>
      </c>
      <c r="D82">
        <v>5.4329330000000002</v>
      </c>
      <c r="E82">
        <v>0.51014129999999902</v>
      </c>
      <c r="F82" t="s">
        <v>42</v>
      </c>
      <c r="G82">
        <v>-470.5249</v>
      </c>
      <c r="H82">
        <v>1.015037</v>
      </c>
      <c r="I82">
        <v>367.03620000000001</v>
      </c>
      <c r="J82">
        <v>-471.1979</v>
      </c>
      <c r="K82">
        <v>1.1209370000000001</v>
      </c>
      <c r="L82">
        <v>367.06670000000003</v>
      </c>
      <c r="M82">
        <v>0.99991580000000002</v>
      </c>
      <c r="N82">
        <v>-1.252461E-2</v>
      </c>
      <c r="O82">
        <v>3.422891E-3</v>
      </c>
      <c r="P82">
        <v>0.99720469999999894</v>
      </c>
      <c r="Q82">
        <v>-7.3062210000000002E-2</v>
      </c>
      <c r="R82">
        <v>-1.565107E-2</v>
      </c>
      <c r="S82">
        <v>2.974945</v>
      </c>
      <c r="T82">
        <v>-0.43210480000000001</v>
      </c>
      <c r="U82">
        <v>-0.1228943</v>
      </c>
      <c r="V82">
        <v>1.906499E-2</v>
      </c>
      <c r="W82">
        <v>-6.0567459999999997E-2</v>
      </c>
      <c r="X82">
        <v>0.99798200000000004</v>
      </c>
      <c r="Y82">
        <v>4.4161609999999997E-2</v>
      </c>
      <c r="Z82">
        <v>-3.9190889999999997E-3</v>
      </c>
      <c r="AA82">
        <v>0.99901669999999998</v>
      </c>
      <c r="AB82">
        <v>6</v>
      </c>
      <c r="AC82">
        <v>0.67300000000000104</v>
      </c>
      <c r="AD82">
        <v>-0.10589999999999899</v>
      </c>
      <c r="AE82">
        <v>-3.05000000000177E-2</v>
      </c>
      <c r="AF82">
        <v>3.2012580239434402E-2</v>
      </c>
      <c r="AG82">
        <v>-0.10589999999999899</v>
      </c>
      <c r="AH82">
        <v>0.65666552083426399</v>
      </c>
      <c r="AI82">
        <v>99.150491189368395</v>
      </c>
      <c r="AJ82">
        <v>87.209028465840802</v>
      </c>
      <c r="AK82">
        <v>0.66591983117048104</v>
      </c>
      <c r="AL82">
        <v>93.472385134491802</v>
      </c>
      <c r="AM82">
        <v>88.905580851472394</v>
      </c>
      <c r="AN82">
        <v>0.99999998168927495</v>
      </c>
    </row>
    <row r="83" spans="1:40" x14ac:dyDescent="0.25">
      <c r="A83" t="str">
        <f>"20190303154058157"</f>
        <v>20190303154058157</v>
      </c>
      <c r="B83" t="str">
        <f>"1551598858149213"</f>
        <v>1551598858149213</v>
      </c>
      <c r="C83" t="s">
        <v>40</v>
      </c>
      <c r="D83">
        <v>5.589181</v>
      </c>
      <c r="E83">
        <v>0.51042509999999996</v>
      </c>
      <c r="F83" t="s">
        <v>42</v>
      </c>
      <c r="G83">
        <v>-470.47430000000003</v>
      </c>
      <c r="H83">
        <v>1.0153099999999999</v>
      </c>
      <c r="I83">
        <v>367.03460000000001</v>
      </c>
      <c r="J83">
        <v>-471.13729999999998</v>
      </c>
      <c r="K83">
        <v>1.1208020000000001</v>
      </c>
      <c r="L83">
        <v>367.06700000000001</v>
      </c>
      <c r="M83">
        <v>0.99991479999999999</v>
      </c>
      <c r="N83">
        <v>-1.254889E-2</v>
      </c>
      <c r="O83">
        <v>3.5775389999999998E-3</v>
      </c>
      <c r="P83">
        <v>0.99728110000000003</v>
      </c>
      <c r="Q83">
        <v>-7.2033379999999994E-2</v>
      </c>
      <c r="R83">
        <v>-1.5544469999999999E-2</v>
      </c>
      <c r="S83">
        <v>2.9745789999999999</v>
      </c>
      <c r="T83">
        <v>-0.43441930000000001</v>
      </c>
      <c r="U83">
        <v>-0.13015750000000001</v>
      </c>
      <c r="V83">
        <v>1.9112939999999998E-2</v>
      </c>
      <c r="W83">
        <v>-5.9513539999999997E-2</v>
      </c>
      <c r="X83">
        <v>0.9980445</v>
      </c>
      <c r="Y83">
        <v>4.6719530000000002E-2</v>
      </c>
      <c r="Z83">
        <v>-4.1617529999999998E-3</v>
      </c>
      <c r="AA83">
        <v>0.99889939999999999</v>
      </c>
      <c r="AB83">
        <v>6</v>
      </c>
      <c r="AC83">
        <v>0.66299999999995396</v>
      </c>
      <c r="AD83">
        <v>-0.105492</v>
      </c>
      <c r="AE83">
        <v>-3.23999999999387E-2</v>
      </c>
      <c r="AF83">
        <v>3.3915300397071697E-2</v>
      </c>
      <c r="AG83">
        <v>-0.105492</v>
      </c>
      <c r="AH83">
        <v>0.64655013259628902</v>
      </c>
      <c r="AI83">
        <v>99.254297942488193</v>
      </c>
      <c r="AJ83">
        <v>86.997256516436394</v>
      </c>
      <c r="AK83">
        <v>0.65597704504449095</v>
      </c>
      <c r="AL83">
        <v>93.411890782059601</v>
      </c>
      <c r="AM83">
        <v>88.902897661084197</v>
      </c>
      <c r="AN83">
        <v>0.99999999494951197</v>
      </c>
    </row>
    <row r="84" spans="1:40" x14ac:dyDescent="0.25">
      <c r="A84" t="str">
        <f>"20190303154058178"</f>
        <v>20190303154058178</v>
      </c>
      <c r="B84" t="str">
        <f>"1551598858168734"</f>
        <v>1551598858168734</v>
      </c>
      <c r="C84" t="s">
        <v>40</v>
      </c>
      <c r="D84">
        <v>5.4201050000000004</v>
      </c>
      <c r="E84">
        <v>0.51095429999999997</v>
      </c>
      <c r="F84" t="s">
        <v>42</v>
      </c>
      <c r="G84">
        <v>-470.37529999999998</v>
      </c>
      <c r="H84">
        <v>1.009868</v>
      </c>
      <c r="I84">
        <v>367.03269999999998</v>
      </c>
      <c r="J84">
        <v>-471.08260000000001</v>
      </c>
      <c r="K84">
        <v>1.1207129999999901</v>
      </c>
      <c r="L84">
        <v>367.06740000000002</v>
      </c>
      <c r="M84">
        <v>0.9999152</v>
      </c>
      <c r="N84">
        <v>-1.248413E-2</v>
      </c>
      <c r="O84">
        <v>3.7169740000000001E-3</v>
      </c>
      <c r="P84">
        <v>0.99732489999999996</v>
      </c>
      <c r="Q84">
        <v>-7.1436609999999998E-2</v>
      </c>
      <c r="R84">
        <v>-1.5498899999999999E-2</v>
      </c>
      <c r="S84">
        <v>2.9747919999999999</v>
      </c>
      <c r="T84">
        <v>-0.43332120000000002</v>
      </c>
      <c r="U84">
        <v>-0.13204959999999999</v>
      </c>
      <c r="V84">
        <v>1.9206930000000001E-2</v>
      </c>
      <c r="W84">
        <v>-5.8980810000000002E-2</v>
      </c>
      <c r="X84">
        <v>0.99807440000000003</v>
      </c>
      <c r="Y84">
        <v>4.7482870000000003E-2</v>
      </c>
      <c r="Z84">
        <v>-4.2288769999999998E-3</v>
      </c>
      <c r="AA84">
        <v>0.9988631</v>
      </c>
      <c r="AB84">
        <v>6</v>
      </c>
      <c r="AC84">
        <v>0.70730000000003201</v>
      </c>
      <c r="AD84">
        <v>-0.110844999999999</v>
      </c>
      <c r="AE84">
        <v>-3.4700000000043398E-2</v>
      </c>
      <c r="AF84">
        <v>3.6436261955669902E-2</v>
      </c>
      <c r="AG84">
        <v>-0.110844999999999</v>
      </c>
      <c r="AH84">
        <v>0.69025431775199897</v>
      </c>
      <c r="AI84">
        <v>99.110525654031207</v>
      </c>
      <c r="AJ84">
        <v>86.978348149571701</v>
      </c>
      <c r="AK84">
        <v>0.70004659729590901</v>
      </c>
      <c r="AL84">
        <v>93.381313616745501</v>
      </c>
      <c r="AM84">
        <v>88.897536887247696</v>
      </c>
      <c r="AN84">
        <v>1.0000000750218101</v>
      </c>
    </row>
    <row r="85" spans="1:40" x14ac:dyDescent="0.25">
      <c r="A85" t="str">
        <f>"20190303154058200"</f>
        <v>20190303154058200</v>
      </c>
      <c r="B85" t="str">
        <f>"1551598858189230"</f>
        <v>1551598858189230</v>
      </c>
      <c r="C85" t="s">
        <v>40</v>
      </c>
      <c r="D85">
        <v>5.4690589999999997</v>
      </c>
      <c r="E85">
        <v>0.51119269999999895</v>
      </c>
      <c r="F85" t="s">
        <v>42</v>
      </c>
      <c r="G85">
        <v>-470.32380000000001</v>
      </c>
      <c r="H85">
        <v>1.0115559999999999</v>
      </c>
      <c r="I85">
        <v>367.03230000000002</v>
      </c>
      <c r="J85">
        <v>-471.02480000000003</v>
      </c>
      <c r="K85">
        <v>1.120673</v>
      </c>
      <c r="L85">
        <v>367.06779999999998</v>
      </c>
      <c r="M85">
        <v>0.99991459999999999</v>
      </c>
      <c r="N85">
        <v>-1.2488819999999999E-2</v>
      </c>
      <c r="O85">
        <v>3.864901E-3</v>
      </c>
      <c r="P85">
        <v>0.99733369999999999</v>
      </c>
      <c r="Q85">
        <v>-7.133225E-2</v>
      </c>
      <c r="R85">
        <v>-1.540945E-2</v>
      </c>
      <c r="S85">
        <v>2.9751889999999999</v>
      </c>
      <c r="T85">
        <v>-0.42818119999999998</v>
      </c>
      <c r="U85">
        <v>-0.13653560000000001</v>
      </c>
      <c r="V85">
        <v>1.9265310000000001E-2</v>
      </c>
      <c r="W85">
        <v>-5.887162E-2</v>
      </c>
      <c r="X85">
        <v>0.99807970000000001</v>
      </c>
      <c r="Y85">
        <v>4.9121400000000003E-2</v>
      </c>
      <c r="Z85">
        <v>-4.3284680000000002E-3</v>
      </c>
      <c r="AA85">
        <v>0.99878339999999999</v>
      </c>
      <c r="AB85">
        <v>6</v>
      </c>
      <c r="AC85">
        <v>0.70100000000002105</v>
      </c>
      <c r="AD85">
        <v>-0.10911700000000001</v>
      </c>
      <c r="AE85">
        <v>-3.5499999999956303E-2</v>
      </c>
      <c r="AF85">
        <v>3.73076003768558E-2</v>
      </c>
      <c r="AG85">
        <v>-0.10911700000000001</v>
      </c>
      <c r="AH85">
        <v>0.68431908825404597</v>
      </c>
      <c r="AI85">
        <v>99.046526338940495</v>
      </c>
      <c r="AJ85">
        <v>86.879446892291895</v>
      </c>
      <c r="AK85">
        <v>0.69396757221337702</v>
      </c>
      <c r="AL85">
        <v>93.375046673219501</v>
      </c>
      <c r="AM85">
        <v>88.894192621282997</v>
      </c>
      <c r="AN85">
        <v>1.00000005368145</v>
      </c>
    </row>
    <row r="86" spans="1:40" x14ac:dyDescent="0.25">
      <c r="A86" t="str">
        <f>"20190303154058222"</f>
        <v>20190303154058222</v>
      </c>
      <c r="B86" t="str">
        <f>"1551598858219485"</f>
        <v>1551598858219485</v>
      </c>
      <c r="C86" t="s">
        <v>40</v>
      </c>
      <c r="D86">
        <v>5.5446210000000002</v>
      </c>
      <c r="E86">
        <v>0.5109804</v>
      </c>
      <c r="F86" t="s">
        <v>42</v>
      </c>
      <c r="G86">
        <v>-470.27300000000002</v>
      </c>
      <c r="H86">
        <v>1.012294</v>
      </c>
      <c r="I86">
        <v>367.03250000000003</v>
      </c>
      <c r="J86">
        <v>-470.9708</v>
      </c>
      <c r="K86">
        <v>1.1206750000000001</v>
      </c>
      <c r="L86">
        <v>367.06810000000002</v>
      </c>
      <c r="M86">
        <v>0.99991350000000001</v>
      </c>
      <c r="N86">
        <v>-1.253198E-2</v>
      </c>
      <c r="O86">
        <v>4.0035690000000002E-3</v>
      </c>
      <c r="P86">
        <v>0.99728700000000003</v>
      </c>
      <c r="Q86">
        <v>-7.2046379999999993E-2</v>
      </c>
      <c r="R86">
        <v>-1.510686E-2</v>
      </c>
      <c r="S86">
        <v>2.9751889999999999</v>
      </c>
      <c r="T86">
        <v>-0.42910039999999999</v>
      </c>
      <c r="U86">
        <v>-0.13818359999999999</v>
      </c>
      <c r="V86">
        <v>1.9101030000000001E-2</v>
      </c>
      <c r="W86">
        <v>-5.9543209999999999E-2</v>
      </c>
      <c r="X86">
        <v>0.99804289999999996</v>
      </c>
      <c r="Y86">
        <v>4.9800589999999999E-2</v>
      </c>
      <c r="Z86">
        <v>-4.4091159999999898E-3</v>
      </c>
      <c r="AA86">
        <v>0.99874940000000001</v>
      </c>
      <c r="AB86">
        <v>6</v>
      </c>
      <c r="AC86">
        <v>0.697799999999972</v>
      </c>
      <c r="AD86">
        <v>-0.10838100000000001</v>
      </c>
      <c r="AE86">
        <v>-3.5599999999988002E-2</v>
      </c>
      <c r="AF86">
        <v>3.7491536772536103E-2</v>
      </c>
      <c r="AG86">
        <v>-0.10838100000000001</v>
      </c>
      <c r="AH86">
        <v>0.68126000367011297</v>
      </c>
      <c r="AI86">
        <v>99.025946076857096</v>
      </c>
      <c r="AJ86">
        <v>86.850039389153906</v>
      </c>
      <c r="AK86">
        <v>0.69084531487965395</v>
      </c>
      <c r="AL86">
        <v>93.413593966897594</v>
      </c>
      <c r="AM86">
        <v>88.903579383069399</v>
      </c>
      <c r="AN86">
        <v>0.99999993672228504</v>
      </c>
    </row>
    <row r="87" spans="1:40" x14ac:dyDescent="0.25">
      <c r="A87" t="str">
        <f>"20190303154058246"</f>
        <v>20190303154058246</v>
      </c>
      <c r="B87" t="str">
        <f>"1551598858239006"</f>
        <v>1551598858239006</v>
      </c>
      <c r="C87" t="s">
        <v>40</v>
      </c>
      <c r="D87">
        <v>5.4480259999999996</v>
      </c>
      <c r="E87">
        <v>0.51110270000000002</v>
      </c>
      <c r="F87" t="s">
        <v>42</v>
      </c>
      <c r="G87">
        <v>-470.22379999999998</v>
      </c>
      <c r="H87">
        <v>1.0097910000000001</v>
      </c>
      <c r="I87">
        <v>367.03390000000002</v>
      </c>
      <c r="J87">
        <v>-470.91</v>
      </c>
      <c r="K87">
        <v>1.1206860000000001</v>
      </c>
      <c r="L87">
        <v>367.0686</v>
      </c>
      <c r="M87">
        <v>0.99991269999999999</v>
      </c>
      <c r="N87">
        <v>-1.255093E-2</v>
      </c>
      <c r="O87">
        <v>4.1616400000000003E-3</v>
      </c>
      <c r="P87">
        <v>0.99724570000000001</v>
      </c>
      <c r="Q87">
        <v>-7.2609899999999894E-2</v>
      </c>
      <c r="R87">
        <v>-1.513811E-2</v>
      </c>
      <c r="S87">
        <v>2.9742130000000002</v>
      </c>
      <c r="T87">
        <v>-0.44158449999999999</v>
      </c>
      <c r="U87">
        <v>-0.13580320000000001</v>
      </c>
      <c r="V87">
        <v>1.9289609999999999E-2</v>
      </c>
      <c r="W87">
        <v>-6.0088330000000002E-2</v>
      </c>
      <c r="X87">
        <v>0.99800659999999997</v>
      </c>
      <c r="Y87">
        <v>4.91481E-2</v>
      </c>
      <c r="Z87">
        <v>-4.499477E-3</v>
      </c>
      <c r="AA87">
        <v>0.99878140000000004</v>
      </c>
      <c r="AB87">
        <v>6</v>
      </c>
      <c r="AC87">
        <v>0.686200000000042</v>
      </c>
      <c r="AD87">
        <v>-0.11089499999999999</v>
      </c>
      <c r="AE87">
        <v>-3.4699999999986603E-2</v>
      </c>
      <c r="AF87">
        <v>3.66021432216352E-2</v>
      </c>
      <c r="AG87">
        <v>-0.11089499999999999</v>
      </c>
      <c r="AH87">
        <v>0.668631558504587</v>
      </c>
      <c r="AI87">
        <v>99.403167518973007</v>
      </c>
      <c r="AJ87">
        <v>86.866649147410897</v>
      </c>
      <c r="AK87">
        <v>0.67875295869829599</v>
      </c>
      <c r="AL87">
        <v>93.444883075581004</v>
      </c>
      <c r="AM87">
        <v>88.892717097363899</v>
      </c>
      <c r="AN87">
        <v>0.99999993504984797</v>
      </c>
    </row>
    <row r="88" spans="1:40" x14ac:dyDescent="0.25">
      <c r="A88" t="str">
        <f>"20190303154058266"</f>
        <v>20190303154058266</v>
      </c>
      <c r="B88" t="str">
        <f>"1551598858259502"</f>
        <v>1551598858259502</v>
      </c>
      <c r="C88" t="s">
        <v>40</v>
      </c>
      <c r="D88">
        <v>5.55213</v>
      </c>
      <c r="E88">
        <v>0.51126190000000005</v>
      </c>
      <c r="F88" t="s">
        <v>42</v>
      </c>
      <c r="G88">
        <v>-470.17309999999998</v>
      </c>
      <c r="H88">
        <v>1.01047</v>
      </c>
      <c r="I88">
        <v>367.0342</v>
      </c>
      <c r="J88">
        <v>-470.8596</v>
      </c>
      <c r="K88">
        <v>1.120706</v>
      </c>
      <c r="L88">
        <v>367.06900000000002</v>
      </c>
      <c r="M88">
        <v>0.99991220000000003</v>
      </c>
      <c r="N88">
        <v>-1.2540310000000001E-2</v>
      </c>
      <c r="O88">
        <v>4.2966100000000002E-3</v>
      </c>
      <c r="P88">
        <v>0.99721930000000003</v>
      </c>
      <c r="Q88">
        <v>-7.304215E-2</v>
      </c>
      <c r="R88">
        <v>-1.4786519999999999E-2</v>
      </c>
      <c r="S88">
        <v>2.9737550000000001</v>
      </c>
      <c r="T88">
        <v>-0.44505129999999998</v>
      </c>
      <c r="U88">
        <v>-0.1368713</v>
      </c>
      <c r="V88">
        <v>1.9072990000000001E-2</v>
      </c>
      <c r="W88">
        <v>-6.0531389999999997E-2</v>
      </c>
      <c r="X88">
        <v>0.99798410000000004</v>
      </c>
      <c r="Y88">
        <v>4.9631219999999997E-2</v>
      </c>
      <c r="Z88">
        <v>-4.5902169999999997E-3</v>
      </c>
      <c r="AA88">
        <v>0.99875709999999995</v>
      </c>
      <c r="AB88">
        <v>6</v>
      </c>
      <c r="AC88">
        <v>0.68650000000002298</v>
      </c>
      <c r="AD88">
        <v>-0.110235999999999</v>
      </c>
      <c r="AE88">
        <v>-3.4800000000018302E-2</v>
      </c>
      <c r="AF88">
        <v>3.6803002997843198E-2</v>
      </c>
      <c r="AG88">
        <v>-0.110235999999999</v>
      </c>
      <c r="AH88">
        <v>0.66913476372379999</v>
      </c>
      <c r="AI88">
        <v>99.341241740890695</v>
      </c>
      <c r="AJ88">
        <v>86.851853448293696</v>
      </c>
      <c r="AK88">
        <v>0.67915224268890195</v>
      </c>
      <c r="AL88">
        <v>93.470314453402096</v>
      </c>
      <c r="AM88">
        <v>88.905124029336804</v>
      </c>
      <c r="AN88">
        <v>1.00000004598784</v>
      </c>
    </row>
    <row r="89" spans="1:40" x14ac:dyDescent="0.25">
      <c r="A89" t="str">
        <f>"20190303154058289"</f>
        <v>20190303154058289</v>
      </c>
      <c r="B89" t="str">
        <f>"1551598858279530"</f>
        <v>1551598858279530</v>
      </c>
      <c r="C89" t="s">
        <v>40</v>
      </c>
      <c r="D89">
        <v>5.4501710000000001</v>
      </c>
      <c r="E89">
        <v>0.51141289999999995</v>
      </c>
      <c r="F89" t="s">
        <v>42</v>
      </c>
      <c r="G89">
        <v>-470.12310000000002</v>
      </c>
      <c r="H89">
        <v>1.009701</v>
      </c>
      <c r="I89">
        <v>367.03449999999998</v>
      </c>
      <c r="J89">
        <v>-470.80270000000002</v>
      </c>
      <c r="K89">
        <v>1.120738</v>
      </c>
      <c r="L89">
        <v>367.06939999999997</v>
      </c>
      <c r="M89">
        <v>0.99991149999999995</v>
      </c>
      <c r="N89">
        <v>-1.253377E-2</v>
      </c>
      <c r="O89">
        <v>4.4484190000000003E-3</v>
      </c>
      <c r="P89">
        <v>0.99721550000000003</v>
      </c>
      <c r="Q89">
        <v>-7.3232679999999994E-2</v>
      </c>
      <c r="R89">
        <v>-1.4080779999999999E-2</v>
      </c>
      <c r="S89">
        <v>2.9734799999999999</v>
      </c>
      <c r="T89">
        <v>-0.44847480000000001</v>
      </c>
      <c r="U89">
        <v>-0.1371155</v>
      </c>
      <c r="V89">
        <v>1.8518730000000001E-2</v>
      </c>
      <c r="W89">
        <v>-6.0728450000000003E-2</v>
      </c>
      <c r="X89">
        <v>0.99798249999999999</v>
      </c>
      <c r="Y89">
        <v>4.9855139999999999E-2</v>
      </c>
      <c r="Z89">
        <v>-4.6625049999999999E-3</v>
      </c>
      <c r="AA89">
        <v>0.99874560000000001</v>
      </c>
      <c r="AB89">
        <v>6</v>
      </c>
      <c r="AC89">
        <v>0.67959999999999299</v>
      </c>
      <c r="AD89">
        <v>-0.111037</v>
      </c>
      <c r="AE89">
        <v>-3.48999999999932E-2</v>
      </c>
      <c r="AF89">
        <v>3.6939533483858498E-2</v>
      </c>
      <c r="AG89">
        <v>-0.111037</v>
      </c>
      <c r="AH89">
        <v>0.66181731875359595</v>
      </c>
      <c r="AI89">
        <v>99.509617663047905</v>
      </c>
      <c r="AJ89">
        <v>86.8053335135086</v>
      </c>
      <c r="AK89">
        <v>0.672083259652555</v>
      </c>
      <c r="AL89">
        <v>93.481626201824795</v>
      </c>
      <c r="AM89">
        <v>88.936931947797206</v>
      </c>
      <c r="AN89">
        <v>0.99999997915323202</v>
      </c>
    </row>
    <row r="90" spans="1:40" x14ac:dyDescent="0.25">
      <c r="A90" t="str">
        <f>"20190303154058310"</f>
        <v>20190303154058310</v>
      </c>
      <c r="B90" t="str">
        <f>"1551598858299050"</f>
        <v>1551598858299050</v>
      </c>
      <c r="C90" t="s">
        <v>40</v>
      </c>
      <c r="D90">
        <v>5.4847400000000004</v>
      </c>
      <c r="E90">
        <v>0.51163139999999996</v>
      </c>
      <c r="F90" t="s">
        <v>42</v>
      </c>
      <c r="G90">
        <v>-470.07249999999999</v>
      </c>
      <c r="H90">
        <v>1.010025</v>
      </c>
      <c r="I90">
        <v>367.03539999999998</v>
      </c>
      <c r="J90">
        <v>-470.74740000000003</v>
      </c>
      <c r="K90">
        <v>1.120776</v>
      </c>
      <c r="L90">
        <v>367.06979999999999</v>
      </c>
      <c r="M90">
        <v>0.99991070000000004</v>
      </c>
      <c r="N90">
        <v>-1.2551619999999999E-2</v>
      </c>
      <c r="O90">
        <v>4.5910909999999899E-3</v>
      </c>
      <c r="P90">
        <v>0.99717129999999998</v>
      </c>
      <c r="Q90">
        <v>-7.3873250000000001E-2</v>
      </c>
      <c r="R90">
        <v>-1.385903E-2</v>
      </c>
      <c r="S90">
        <v>2.9732970000000001</v>
      </c>
      <c r="T90">
        <v>-0.45111630000000003</v>
      </c>
      <c r="U90">
        <v>-0.1361694</v>
      </c>
      <c r="V90">
        <v>1.8438779999999998E-2</v>
      </c>
      <c r="W90">
        <v>-6.1351799999999998E-2</v>
      </c>
      <c r="X90">
        <v>0.99794579999999999</v>
      </c>
      <c r="Y90">
        <v>4.9676619999999998E-2</v>
      </c>
      <c r="Z90">
        <v>-4.6939900000000003E-3</v>
      </c>
      <c r="AA90">
        <v>0.99875429999999998</v>
      </c>
      <c r="AB90">
        <v>6</v>
      </c>
      <c r="AC90">
        <v>0.67490000000003603</v>
      </c>
      <c r="AD90">
        <v>-0.110751</v>
      </c>
      <c r="AE90">
        <v>-3.4400000000005003E-2</v>
      </c>
      <c r="AF90">
        <v>3.6517583481249699E-2</v>
      </c>
      <c r="AG90">
        <v>-0.110751</v>
      </c>
      <c r="AH90">
        <v>0.65708626866738296</v>
      </c>
      <c r="AI90">
        <v>99.552736608446196</v>
      </c>
      <c r="AJ90">
        <v>86.819057998989393</v>
      </c>
      <c r="AK90">
        <v>0.66735424054660297</v>
      </c>
      <c r="AL90">
        <v>93.517408437346205</v>
      </c>
      <c r="AM90">
        <v>88.941481515357694</v>
      </c>
      <c r="AN90">
        <v>0.99999992585438102</v>
      </c>
    </row>
    <row r="91" spans="1:40" x14ac:dyDescent="0.25">
      <c r="A91" t="str">
        <f>"20190303154058334"</f>
        <v>20190303154058334</v>
      </c>
      <c r="B91" t="str">
        <f>"1551598858329307"</f>
        <v>1551598858329307</v>
      </c>
      <c r="C91" t="s">
        <v>40</v>
      </c>
      <c r="D91">
        <v>5.4610539999999999</v>
      </c>
      <c r="E91">
        <v>0.51171460000000002</v>
      </c>
      <c r="F91" t="s">
        <v>42</v>
      </c>
      <c r="G91">
        <v>-470.02179999999998</v>
      </c>
      <c r="H91">
        <v>1.0108490000000001</v>
      </c>
      <c r="I91">
        <v>367.036</v>
      </c>
      <c r="J91">
        <v>-470.69040000000001</v>
      </c>
      <c r="K91">
        <v>1.120825</v>
      </c>
      <c r="L91">
        <v>367.07029999999997</v>
      </c>
      <c r="M91">
        <v>0.99990959999999995</v>
      </c>
      <c r="N91">
        <v>-1.258767E-2</v>
      </c>
      <c r="O91">
        <v>4.7364299999999998E-3</v>
      </c>
      <c r="P91">
        <v>0.99710940000000003</v>
      </c>
      <c r="Q91">
        <v>-7.4695769999999995E-2</v>
      </c>
      <c r="R91">
        <v>-1.3911700000000001E-2</v>
      </c>
      <c r="S91">
        <v>2.9732059999999998</v>
      </c>
      <c r="T91">
        <v>-0.45058359999999897</v>
      </c>
      <c r="U91">
        <v>-0.13717650000000001</v>
      </c>
      <c r="V91">
        <v>1.8635860000000001E-2</v>
      </c>
      <c r="W91">
        <v>-6.2139220000000002E-2</v>
      </c>
      <c r="X91">
        <v>0.99789349999999999</v>
      </c>
      <c r="Y91">
        <v>5.0154829999999997E-2</v>
      </c>
      <c r="Z91">
        <v>-4.7487570000000002E-3</v>
      </c>
      <c r="AA91">
        <v>0.99873020000000001</v>
      </c>
      <c r="AB91">
        <v>6</v>
      </c>
      <c r="AC91">
        <v>0.66860000000002595</v>
      </c>
      <c r="AD91">
        <v>-0.109976</v>
      </c>
      <c r="AE91">
        <v>-3.4299999999973303E-2</v>
      </c>
      <c r="AF91">
        <v>3.6482173451720702E-2</v>
      </c>
      <c r="AG91">
        <v>-0.109976</v>
      </c>
      <c r="AH91">
        <v>0.65086642889149304</v>
      </c>
      <c r="AI91">
        <v>99.575849574213095</v>
      </c>
      <c r="AJ91">
        <v>86.791830826728599</v>
      </c>
      <c r="AK91">
        <v>0.66109967313085805</v>
      </c>
      <c r="AL91">
        <v>93.562610241802602</v>
      </c>
      <c r="AM91">
        <v>88.930114265435606</v>
      </c>
      <c r="AN91">
        <v>1.0000000076411899</v>
      </c>
    </row>
    <row r="92" spans="1:40" x14ac:dyDescent="0.25">
      <c r="A92" t="str">
        <f>"20190303154058355"</f>
        <v>20190303154058355</v>
      </c>
      <c r="B92" t="str">
        <f>"1551598858348826"</f>
        <v>1551598858348826</v>
      </c>
      <c r="C92" t="s">
        <v>40</v>
      </c>
      <c r="D92">
        <v>5.5158750000000003</v>
      </c>
      <c r="E92">
        <v>0.51143559999999999</v>
      </c>
      <c r="F92" t="s">
        <v>42</v>
      </c>
      <c r="G92">
        <v>-469.9717</v>
      </c>
      <c r="H92">
        <v>1.0105710000000001</v>
      </c>
      <c r="I92">
        <v>367.03649999999999</v>
      </c>
      <c r="J92">
        <v>-470.63490000000002</v>
      </c>
      <c r="K92">
        <v>1.1208769999999999</v>
      </c>
      <c r="L92">
        <v>367.07069999999999</v>
      </c>
      <c r="M92">
        <v>0.99990840000000003</v>
      </c>
      <c r="N92">
        <v>-1.262973E-2</v>
      </c>
      <c r="O92">
        <v>4.8787689999999998E-3</v>
      </c>
      <c r="P92">
        <v>0.99704780000000004</v>
      </c>
      <c r="Q92">
        <v>-7.5452399999999906E-2</v>
      </c>
      <c r="R92">
        <v>-1.424254E-2</v>
      </c>
      <c r="S92">
        <v>2.972534</v>
      </c>
      <c r="T92">
        <v>-0.45617079999999999</v>
      </c>
      <c r="U92">
        <v>-0.13821410000000001</v>
      </c>
      <c r="V92">
        <v>1.9107949999999999E-2</v>
      </c>
      <c r="W92">
        <v>-6.2854720000000003E-2</v>
      </c>
      <c r="X92">
        <v>0.9978397</v>
      </c>
      <c r="Y92">
        <v>5.0631379999999997E-2</v>
      </c>
      <c r="Z92">
        <v>-4.8649799999999997E-3</v>
      </c>
      <c r="AA92">
        <v>0.99870559999999997</v>
      </c>
      <c r="AB92">
        <v>6</v>
      </c>
      <c r="AC92">
        <v>0.663200000000017</v>
      </c>
      <c r="AD92">
        <v>-0.110306</v>
      </c>
      <c r="AE92">
        <v>-3.4199999999998398E-2</v>
      </c>
      <c r="AF92">
        <v>3.6430328022250803E-2</v>
      </c>
      <c r="AG92">
        <v>-0.110306</v>
      </c>
      <c r="AH92">
        <v>0.64522335566605205</v>
      </c>
      <c r="AI92">
        <v>99.686242121493194</v>
      </c>
      <c r="AJ92">
        <v>86.768421026615897</v>
      </c>
      <c r="AK92">
        <v>0.65559725528160195</v>
      </c>
      <c r="AL92">
        <v>93.603685883120093</v>
      </c>
      <c r="AM92">
        <v>88.902958962999307</v>
      </c>
      <c r="AN92">
        <v>0.99999994823778404</v>
      </c>
    </row>
    <row r="93" spans="1:40" x14ac:dyDescent="0.25">
      <c r="A93" t="str">
        <f>"20190303154058378"</f>
        <v>20190303154058378</v>
      </c>
      <c r="B93" t="str">
        <f>"1551598858368856"</f>
        <v>1551598858368856</v>
      </c>
      <c r="C93" t="s">
        <v>40</v>
      </c>
      <c r="D93">
        <v>5.4837009999999999</v>
      </c>
      <c r="E93">
        <v>0.51098319999999997</v>
      </c>
      <c r="F93" t="s">
        <v>42</v>
      </c>
      <c r="G93">
        <v>-469.92099999999999</v>
      </c>
      <c r="H93">
        <v>1.0115510000000001</v>
      </c>
      <c r="I93">
        <v>367.03750000000002</v>
      </c>
      <c r="J93">
        <v>-470.57839999999999</v>
      </c>
      <c r="K93">
        <v>1.1209290000000001</v>
      </c>
      <c r="L93">
        <v>367.0711</v>
      </c>
      <c r="M93">
        <v>0.99990710000000005</v>
      </c>
      <c r="N93">
        <v>-1.267482E-2</v>
      </c>
      <c r="O93">
        <v>5.0222449999999998E-3</v>
      </c>
      <c r="P93">
        <v>0.99703569999999997</v>
      </c>
      <c r="Q93">
        <v>-7.5544929999999996E-2</v>
      </c>
      <c r="R93">
        <v>-1.45957E-2</v>
      </c>
      <c r="S93">
        <v>2.9724430000000002</v>
      </c>
      <c r="T93">
        <v>-0.45539030000000003</v>
      </c>
      <c r="U93">
        <v>-0.1370239</v>
      </c>
      <c r="V93">
        <v>1.9604199999999999E-2</v>
      </c>
      <c r="W93">
        <v>-6.2902440000000004E-2</v>
      </c>
      <c r="X93">
        <v>0.99782709999999997</v>
      </c>
      <c r="Y93">
        <v>5.0380899999999999E-2</v>
      </c>
      <c r="Z93">
        <v>-4.8576670000000004E-3</v>
      </c>
      <c r="AA93">
        <v>0.99871829999999995</v>
      </c>
      <c r="AB93">
        <v>6</v>
      </c>
      <c r="AC93">
        <v>0.65739999999999499</v>
      </c>
      <c r="AD93">
        <v>-0.109377999999999</v>
      </c>
      <c r="AE93">
        <v>-3.3599999999978501E-2</v>
      </c>
      <c r="AF93">
        <v>3.5909987800206898E-2</v>
      </c>
      <c r="AG93">
        <v>-0.109377999999999</v>
      </c>
      <c r="AH93">
        <v>0.63956452432177002</v>
      </c>
      <c r="AI93">
        <v>99.6898358080132</v>
      </c>
      <c r="AJ93">
        <v>86.786355977357402</v>
      </c>
      <c r="AK93">
        <v>0.64984294631760298</v>
      </c>
      <c r="AL93">
        <v>93.606425338661694</v>
      </c>
      <c r="AM93">
        <v>88.874460885261897</v>
      </c>
      <c r="AN93">
        <v>0.99999998155500103</v>
      </c>
    </row>
    <row r="94" spans="1:40" x14ac:dyDescent="0.25">
      <c r="A94" t="str">
        <f>"20190303154058401"</f>
        <v>20190303154058401</v>
      </c>
      <c r="B94" t="str">
        <f>"1551598858389348"</f>
        <v>1551598858389348</v>
      </c>
      <c r="C94" t="s">
        <v>40</v>
      </c>
      <c r="D94">
        <v>5.4970299999999996</v>
      </c>
      <c r="E94">
        <v>0.5106155</v>
      </c>
      <c r="F94" t="s">
        <v>42</v>
      </c>
      <c r="G94">
        <v>-469.8227</v>
      </c>
      <c r="H94">
        <v>1.007282</v>
      </c>
      <c r="I94">
        <v>367.03660000000002</v>
      </c>
      <c r="J94">
        <v>-470.52170000000001</v>
      </c>
      <c r="K94">
        <v>1.120914</v>
      </c>
      <c r="L94">
        <v>367.07159999999999</v>
      </c>
      <c r="M94">
        <v>0.99990900000000005</v>
      </c>
      <c r="N94">
        <v>-1.246041E-2</v>
      </c>
      <c r="O94">
        <v>5.1672080000000004E-3</v>
      </c>
      <c r="P94">
        <v>0.99707040000000002</v>
      </c>
      <c r="Q94">
        <v>-7.5021069999999995E-2</v>
      </c>
      <c r="R94">
        <v>-1.4922899999999999E-2</v>
      </c>
      <c r="S94">
        <v>2.9730829999999999</v>
      </c>
      <c r="T94">
        <v>-0.44748189999999999</v>
      </c>
      <c r="U94">
        <v>-0.134552</v>
      </c>
      <c r="V94">
        <v>2.0076299999999998E-2</v>
      </c>
      <c r="W94">
        <v>-6.2592099999999998E-2</v>
      </c>
      <c r="X94">
        <v>0.99783719999999998</v>
      </c>
      <c r="Y94">
        <v>4.9717530000000003E-2</v>
      </c>
      <c r="Z94">
        <v>-4.7394660000000003E-3</v>
      </c>
      <c r="AA94">
        <v>0.99875210000000003</v>
      </c>
      <c r="AB94">
        <v>6</v>
      </c>
      <c r="AC94">
        <v>0.69900000000001195</v>
      </c>
      <c r="AD94">
        <v>-0.113631999999999</v>
      </c>
      <c r="AE94">
        <v>-3.4999999999968098E-2</v>
      </c>
      <c r="AF94">
        <v>3.76199963337693E-2</v>
      </c>
      <c r="AG94">
        <v>-0.113631999999999</v>
      </c>
      <c r="AH94">
        <v>0.68086170484900199</v>
      </c>
      <c r="AI94">
        <v>99.460847501876302</v>
      </c>
      <c r="AJ94">
        <v>86.837423079908106</v>
      </c>
      <c r="AK94">
        <v>0.69130323062896404</v>
      </c>
      <c r="AL94">
        <v>93.588609159842207</v>
      </c>
      <c r="AM94">
        <v>88.847375021532898</v>
      </c>
      <c r="AN94">
        <v>0.99999995325396895</v>
      </c>
    </row>
    <row r="95" spans="1:40" x14ac:dyDescent="0.25">
      <c r="A95" t="str">
        <f>"20190303154058422"</f>
        <v>20190303154058422</v>
      </c>
      <c r="B95" t="str">
        <f>"1551598858418629"</f>
        <v>1551598858418629</v>
      </c>
      <c r="C95" t="s">
        <v>40</v>
      </c>
      <c r="D95">
        <v>5.4735809999999896</v>
      </c>
      <c r="E95">
        <v>0.50994659999999903</v>
      </c>
      <c r="F95" t="s">
        <v>42</v>
      </c>
      <c r="G95">
        <v>-469.7679</v>
      </c>
      <c r="H95">
        <v>1.0101340000000001</v>
      </c>
      <c r="I95">
        <v>367.0376</v>
      </c>
      <c r="J95">
        <v>-470.46319999999997</v>
      </c>
      <c r="K95">
        <v>1.1206469999999999</v>
      </c>
      <c r="L95">
        <v>367.07209999999998</v>
      </c>
      <c r="M95">
        <v>0.99992199999999998</v>
      </c>
      <c r="N95">
        <v>-1.130856E-2</v>
      </c>
      <c r="O95">
        <v>5.3297619999999896E-3</v>
      </c>
      <c r="P95">
        <v>0.99716629999999995</v>
      </c>
      <c r="Q95">
        <v>-7.3854690000000001E-2</v>
      </c>
      <c r="R95">
        <v>-1.4320970000000001E-2</v>
      </c>
      <c r="S95">
        <v>2.973938</v>
      </c>
      <c r="T95">
        <v>-0.43732759999999998</v>
      </c>
      <c r="U95">
        <v>-0.13244629999999999</v>
      </c>
      <c r="V95">
        <v>1.963823E-2</v>
      </c>
      <c r="W95">
        <v>-6.2573680000000007E-2</v>
      </c>
      <c r="X95">
        <v>0.99784709999999999</v>
      </c>
      <c r="Y95">
        <v>4.9197789999999998E-2</v>
      </c>
      <c r="Z95">
        <v>-4.595437E-3</v>
      </c>
      <c r="AA95">
        <v>0.99877850000000001</v>
      </c>
      <c r="AB95">
        <v>6</v>
      </c>
      <c r="AC95">
        <v>0.69529999999997405</v>
      </c>
      <c r="AD95">
        <v>-0.110512999999999</v>
      </c>
      <c r="AE95">
        <v>-3.4499999999979901E-2</v>
      </c>
      <c r="AF95">
        <v>3.7266387066111198E-2</v>
      </c>
      <c r="AG95">
        <v>-0.110512999999999</v>
      </c>
      <c r="AH95">
        <v>0.67801959770667897</v>
      </c>
      <c r="AI95">
        <v>99.243738887282504</v>
      </c>
      <c r="AJ95">
        <v>86.853984099003299</v>
      </c>
      <c r="AK95">
        <v>0.68797709383982197</v>
      </c>
      <c r="AL95">
        <v>93.587551601717706</v>
      </c>
      <c r="AM95">
        <v>88.8725302119296</v>
      </c>
      <c r="AN95">
        <v>0.99999998024234205</v>
      </c>
    </row>
    <row r="96" spans="1:40" x14ac:dyDescent="0.25">
      <c r="A96" t="str">
        <f>"20190303154058446"</f>
        <v>20190303154058446</v>
      </c>
      <c r="B96" t="str">
        <f>"1551598858439125"</f>
        <v>1551598858439125</v>
      </c>
      <c r="C96" t="s">
        <v>40</v>
      </c>
      <c r="D96">
        <v>5.4835159999999998</v>
      </c>
      <c r="E96">
        <v>0.50966389999999995</v>
      </c>
      <c r="F96" t="s">
        <v>42</v>
      </c>
      <c r="G96">
        <v>-469.71019999999999</v>
      </c>
      <c r="H96">
        <v>1.013458</v>
      </c>
      <c r="I96">
        <v>367.0401</v>
      </c>
      <c r="J96">
        <v>-470.39420000000001</v>
      </c>
      <c r="K96">
        <v>1.120336</v>
      </c>
      <c r="L96">
        <v>367.0727</v>
      </c>
      <c r="M96">
        <v>0.99993739999999998</v>
      </c>
      <c r="N96">
        <v>-9.7240880000000005E-3</v>
      </c>
      <c r="O96">
        <v>5.5355810000000004E-3</v>
      </c>
      <c r="P96">
        <v>0.99725030000000003</v>
      </c>
      <c r="Q96">
        <v>-7.2768239999999998E-2</v>
      </c>
      <c r="R96">
        <v>-1.40219E-2</v>
      </c>
      <c r="S96">
        <v>2.9753419999999999</v>
      </c>
      <c r="T96">
        <v>-0.4236221</v>
      </c>
      <c r="U96">
        <v>-0.12527469999999999</v>
      </c>
      <c r="V96">
        <v>1.954645E-2</v>
      </c>
      <c r="W96">
        <v>-6.3067040000000005E-2</v>
      </c>
      <c r="X96">
        <v>0.99781790000000004</v>
      </c>
      <c r="Y96">
        <v>4.7042609999999999E-2</v>
      </c>
      <c r="Z96">
        <v>-4.2910190000000001E-3</v>
      </c>
      <c r="AA96">
        <v>0.99888370000000004</v>
      </c>
      <c r="AB96">
        <v>6</v>
      </c>
      <c r="AC96">
        <v>0.68400000000002503</v>
      </c>
      <c r="AD96">
        <v>-0.106878</v>
      </c>
      <c r="AE96">
        <v>-3.26000000000021E-2</v>
      </c>
      <c r="AF96">
        <v>3.55207284740739E-2</v>
      </c>
      <c r="AG96">
        <v>-0.106878</v>
      </c>
      <c r="AH96">
        <v>0.667547527566693</v>
      </c>
      <c r="AI96">
        <v>99.083532357099102</v>
      </c>
      <c r="AJ96">
        <v>86.9541190740362</v>
      </c>
      <c r="AK96">
        <v>0.67698178010618104</v>
      </c>
      <c r="AL96">
        <v>93.615874780702001</v>
      </c>
      <c r="AM96">
        <v>88.877765301815401</v>
      </c>
      <c r="AN96">
        <v>1.00000003840118</v>
      </c>
    </row>
    <row r="97" spans="1:40" x14ac:dyDescent="0.25">
      <c r="A97" t="str">
        <f>"20190303154058468"</f>
        <v>20190303154058468</v>
      </c>
      <c r="B97" t="str">
        <f>"1551598858459621"</f>
        <v>1551598858459621</v>
      </c>
      <c r="C97" t="s">
        <v>40</v>
      </c>
      <c r="D97">
        <v>5.4792360000000002</v>
      </c>
      <c r="E97">
        <v>0.50939460000000003</v>
      </c>
      <c r="F97" t="s">
        <v>42</v>
      </c>
      <c r="G97">
        <v>-469.65030000000002</v>
      </c>
      <c r="H97">
        <v>1.016931</v>
      </c>
      <c r="I97">
        <v>367.04169999999999</v>
      </c>
      <c r="J97">
        <v>-470.32780000000002</v>
      </c>
      <c r="K97">
        <v>1.1201159999999999</v>
      </c>
      <c r="L97">
        <v>367.07330000000002</v>
      </c>
      <c r="M97">
        <v>0.99994870000000002</v>
      </c>
      <c r="N97">
        <v>-8.3424620000000001E-3</v>
      </c>
      <c r="O97">
        <v>5.7431169999999998E-3</v>
      </c>
      <c r="P97">
        <v>0.99731150000000002</v>
      </c>
      <c r="Q97">
        <v>-7.2065260000000006E-2</v>
      </c>
      <c r="R97">
        <v>-1.3286920000000001E-2</v>
      </c>
      <c r="S97">
        <v>2.9762879999999998</v>
      </c>
      <c r="T97">
        <v>-0.41401840000000001</v>
      </c>
      <c r="U97">
        <v>-0.1221619</v>
      </c>
      <c r="V97">
        <v>1.9020169999999999E-2</v>
      </c>
      <c r="W97">
        <v>-6.3741829999999999E-2</v>
      </c>
      <c r="X97">
        <v>0.99778520000000004</v>
      </c>
      <c r="Y97">
        <v>4.6228180000000001E-2</v>
      </c>
      <c r="Z97">
        <v>-4.1395449999999997E-3</v>
      </c>
      <c r="AA97">
        <v>0.99892230000000004</v>
      </c>
      <c r="AB97">
        <v>6</v>
      </c>
      <c r="AC97">
        <v>0.67750000000000898</v>
      </c>
      <c r="AD97">
        <v>-0.103184999999999</v>
      </c>
      <c r="AE97">
        <v>-3.1600000000025802E-2</v>
      </c>
      <c r="AF97">
        <v>3.46877040167093E-2</v>
      </c>
      <c r="AG97">
        <v>-0.103184999999999</v>
      </c>
      <c r="AH97">
        <v>0.66198521042862302</v>
      </c>
      <c r="AI97">
        <v>98.847574090782203</v>
      </c>
      <c r="AJ97">
        <v>87.000472207196907</v>
      </c>
      <c r="AK97">
        <v>0.670876143458075</v>
      </c>
      <c r="AL97">
        <v>93.654615318529295</v>
      </c>
      <c r="AM97">
        <v>88.907937804196195</v>
      </c>
      <c r="AN97">
        <v>1.0000000465487999</v>
      </c>
    </row>
    <row r="98" spans="1:40" x14ac:dyDescent="0.25">
      <c r="A98" t="str">
        <f>"20190303154058490"</f>
        <v>20190303154058490</v>
      </c>
      <c r="B98" t="str">
        <f>"1551598858479651"</f>
        <v>1551598858479651</v>
      </c>
      <c r="C98" t="s">
        <v>40</v>
      </c>
      <c r="D98">
        <v>5.5211829999999997</v>
      </c>
      <c r="E98">
        <v>0.50905310000000004</v>
      </c>
      <c r="F98" t="s">
        <v>42</v>
      </c>
      <c r="G98">
        <v>-469.58870000000002</v>
      </c>
      <c r="H98">
        <v>1.0193760000000001</v>
      </c>
      <c r="I98">
        <v>367.04390000000001</v>
      </c>
      <c r="J98">
        <v>-470.25819999999999</v>
      </c>
      <c r="K98">
        <v>1.119955</v>
      </c>
      <c r="L98">
        <v>367.07389999999998</v>
      </c>
      <c r="M98">
        <v>0.9999574</v>
      </c>
      <c r="N98">
        <v>-7.0428000000000001E-3</v>
      </c>
      <c r="O98">
        <v>5.9634919999999999E-3</v>
      </c>
      <c r="P98">
        <v>0.99738819999999995</v>
      </c>
      <c r="Q98">
        <v>-7.1146529999999999E-2</v>
      </c>
      <c r="R98">
        <v>-1.24495E-2</v>
      </c>
      <c r="S98">
        <v>2.9772029999999998</v>
      </c>
      <c r="T98">
        <v>-0.40589999999999998</v>
      </c>
      <c r="U98">
        <v>-0.1177063</v>
      </c>
      <c r="V98">
        <v>1.8404050000000002E-2</v>
      </c>
      <c r="W98">
        <v>-6.4119129999999996E-2</v>
      </c>
      <c r="X98">
        <v>0.99777249999999995</v>
      </c>
      <c r="Y98">
        <v>4.4976599999999999E-2</v>
      </c>
      <c r="Z98">
        <v>-3.9770869999999998E-3</v>
      </c>
      <c r="AA98">
        <v>0.99898010000000004</v>
      </c>
      <c r="AB98">
        <v>7</v>
      </c>
      <c r="AC98">
        <v>0.66949999999997001</v>
      </c>
      <c r="AD98">
        <v>-0.100578999999999</v>
      </c>
      <c r="AE98">
        <v>-2.9999999999972701E-2</v>
      </c>
      <c r="AF98">
        <v>3.3243355674887898E-2</v>
      </c>
      <c r="AG98">
        <v>-0.100578999999999</v>
      </c>
      <c r="AH98">
        <v>0.65456585263619504</v>
      </c>
      <c r="AI98">
        <v>98.724535832539999</v>
      </c>
      <c r="AJ98">
        <v>87.092624227716399</v>
      </c>
      <c r="AK98">
        <v>0.66308197937726898</v>
      </c>
      <c r="AL98">
        <v>93.676277621550796</v>
      </c>
      <c r="AM98">
        <v>88.9432913516345</v>
      </c>
      <c r="AN98">
        <v>0.99999996682230397</v>
      </c>
    </row>
    <row r="99" spans="1:40" x14ac:dyDescent="0.25">
      <c r="A99" t="str">
        <f>"20190303154058511"</f>
        <v>20190303154058511</v>
      </c>
      <c r="B99" t="str">
        <f>"1551598858499168"</f>
        <v>1551598858499168</v>
      </c>
      <c r="C99" t="s">
        <v>40</v>
      </c>
      <c r="D99">
        <v>5.4864259999999998</v>
      </c>
      <c r="E99">
        <v>0.50883670000000003</v>
      </c>
      <c r="F99" t="s">
        <v>42</v>
      </c>
      <c r="G99">
        <v>-469.52499999999998</v>
      </c>
      <c r="H99">
        <v>1.021801</v>
      </c>
      <c r="I99">
        <v>367.04570000000001</v>
      </c>
      <c r="J99">
        <v>-470.19139999999999</v>
      </c>
      <c r="K99">
        <v>1.119828</v>
      </c>
      <c r="L99">
        <v>367.0745</v>
      </c>
      <c r="M99">
        <v>0.99996370000000001</v>
      </c>
      <c r="N99">
        <v>-5.8860680000000004E-3</v>
      </c>
      <c r="O99">
        <v>6.1719009999999996E-3</v>
      </c>
      <c r="P99">
        <v>0.99744820000000001</v>
      </c>
      <c r="Q99">
        <v>-7.0383009999999996E-2</v>
      </c>
      <c r="R99">
        <v>-1.198161E-2</v>
      </c>
      <c r="S99">
        <v>2.978027</v>
      </c>
      <c r="T99">
        <v>-0.3989164</v>
      </c>
      <c r="U99">
        <v>-0.1125488</v>
      </c>
      <c r="V99">
        <v>1.8144779999999999E-2</v>
      </c>
      <c r="W99">
        <v>-6.4509259999999999E-2</v>
      </c>
      <c r="X99">
        <v>0.99775210000000003</v>
      </c>
      <c r="Y99">
        <v>4.3477670000000003E-2</v>
      </c>
      <c r="Z99">
        <v>-3.8132560000000001E-3</v>
      </c>
      <c r="AA99">
        <v>0.99904709999999997</v>
      </c>
      <c r="AB99">
        <v>7</v>
      </c>
      <c r="AC99">
        <v>0.66640000000000998</v>
      </c>
      <c r="AD99">
        <v>-9.8027000000000003E-2</v>
      </c>
      <c r="AE99">
        <v>-2.8799999999989698E-2</v>
      </c>
      <c r="AF99">
        <v>3.2216665663975602E-2</v>
      </c>
      <c r="AG99">
        <v>-9.8027000000000003E-2</v>
      </c>
      <c r="AH99">
        <v>0.65212503712871495</v>
      </c>
      <c r="AI99">
        <v>98.5383991758235</v>
      </c>
      <c r="AJ99">
        <v>87.171739514833803</v>
      </c>
      <c r="AK99">
        <v>0.66023804065324199</v>
      </c>
      <c r="AL99">
        <v>93.698676803349898</v>
      </c>
      <c r="AM99">
        <v>88.958153302893905</v>
      </c>
      <c r="AN99">
        <v>0.99999996536070201</v>
      </c>
    </row>
    <row r="100" spans="1:40" x14ac:dyDescent="0.25">
      <c r="A100" t="str">
        <f>"20190303154058534"</f>
        <v>20190303154058534</v>
      </c>
      <c r="B100" t="str">
        <f>"1551598858529424"</f>
        <v>1551598858529424</v>
      </c>
      <c r="C100" t="s">
        <v>40</v>
      </c>
      <c r="D100">
        <v>5.4839310000000001</v>
      </c>
      <c r="E100">
        <v>0.50834330000000005</v>
      </c>
      <c r="F100" t="s">
        <v>42</v>
      </c>
      <c r="G100">
        <v>-469.459</v>
      </c>
      <c r="H100">
        <v>1.0236590000000001</v>
      </c>
      <c r="I100">
        <v>367.04750000000001</v>
      </c>
      <c r="J100">
        <v>-470.11599999999999</v>
      </c>
      <c r="K100">
        <v>1.119713</v>
      </c>
      <c r="L100">
        <v>367.07530000000003</v>
      </c>
      <c r="M100">
        <v>0.99996859999999999</v>
      </c>
      <c r="N100">
        <v>-4.6965610000000001E-3</v>
      </c>
      <c r="O100">
        <v>6.3965580000000001E-3</v>
      </c>
      <c r="P100">
        <v>0.9975328</v>
      </c>
      <c r="Q100">
        <v>-6.9179080000000004E-2</v>
      </c>
      <c r="R100">
        <v>-1.1963990000000001E-2</v>
      </c>
      <c r="S100">
        <v>2.978729</v>
      </c>
      <c r="T100">
        <v>-0.3912445</v>
      </c>
      <c r="U100">
        <v>-0.1092529</v>
      </c>
      <c r="V100">
        <v>1.8351949999999999E-2</v>
      </c>
      <c r="W100">
        <v>-6.4491670000000001E-2</v>
      </c>
      <c r="X100">
        <v>0.99774949999999996</v>
      </c>
      <c r="Y100">
        <v>4.2614869999999999E-2</v>
      </c>
      <c r="Z100">
        <v>-3.692711E-3</v>
      </c>
      <c r="AA100">
        <v>0.9990848</v>
      </c>
      <c r="AB100">
        <v>7</v>
      </c>
      <c r="AC100">
        <v>0.65699999999998204</v>
      </c>
      <c r="AD100">
        <v>-9.6053999999999806E-2</v>
      </c>
      <c r="AE100">
        <v>-2.78000000000133E-2</v>
      </c>
      <c r="AF100">
        <v>3.1333469106742E-2</v>
      </c>
      <c r="AG100">
        <v>-9.6053999999999806E-2</v>
      </c>
      <c r="AH100">
        <v>0.64308749267147303</v>
      </c>
      <c r="AI100">
        <v>98.485194476892104</v>
      </c>
      <c r="AJ100">
        <v>87.210555438869306</v>
      </c>
      <c r="AK100">
        <v>0.65097594458838903</v>
      </c>
      <c r="AL100">
        <v>93.697666675740507</v>
      </c>
      <c r="AM100">
        <v>88.946257826577096</v>
      </c>
      <c r="AN100">
        <v>1.00000001715922</v>
      </c>
    </row>
    <row r="101" spans="1:40" x14ac:dyDescent="0.25">
      <c r="A101" t="str">
        <f>"20190303154058556"</f>
        <v>20190303154058556</v>
      </c>
      <c r="B101" t="str">
        <f>"1551598858548945"</f>
        <v>1551598858548945</v>
      </c>
      <c r="C101" t="s">
        <v>40</v>
      </c>
      <c r="D101">
        <v>5.5087970000000004</v>
      </c>
      <c r="E101">
        <v>0.50797530000000002</v>
      </c>
      <c r="F101" t="s">
        <v>42</v>
      </c>
      <c r="G101">
        <v>-469.39</v>
      </c>
      <c r="H101">
        <v>1.0267040000000001</v>
      </c>
      <c r="I101">
        <v>367.04910000000001</v>
      </c>
      <c r="J101">
        <v>-470.03750000000002</v>
      </c>
      <c r="K101">
        <v>1.119632</v>
      </c>
      <c r="L101">
        <v>367.07600000000002</v>
      </c>
      <c r="M101">
        <v>0.99997150000000001</v>
      </c>
      <c r="N101">
        <v>-3.673454E-3</v>
      </c>
      <c r="O101">
        <v>6.6095260000000001E-3</v>
      </c>
      <c r="P101">
        <v>0.99760150000000003</v>
      </c>
      <c r="Q101">
        <v>-6.8118509999999993E-2</v>
      </c>
      <c r="R101">
        <v>-1.2306060000000001E-2</v>
      </c>
      <c r="S101">
        <v>2.9796450000000001</v>
      </c>
      <c r="T101">
        <v>-0.38200519999999999</v>
      </c>
      <c r="U101">
        <v>-0.1052551</v>
      </c>
      <c r="V101">
        <v>1.8906639999999999E-2</v>
      </c>
      <c r="W101">
        <v>-6.4451629999999996E-2</v>
      </c>
      <c r="X101">
        <v>0.99774169999999995</v>
      </c>
      <c r="Y101">
        <v>4.1507269999999999E-2</v>
      </c>
      <c r="Z101">
        <v>-3.5451440000000001E-3</v>
      </c>
      <c r="AA101">
        <v>0.99913189999999996</v>
      </c>
      <c r="AB101">
        <v>7</v>
      </c>
      <c r="AC101">
        <v>0.64750000000003605</v>
      </c>
      <c r="AD101">
        <v>-9.29279999999999E-2</v>
      </c>
      <c r="AE101">
        <v>-2.6899999999955002E-2</v>
      </c>
      <c r="AF101">
        <v>3.0550921853402101E-2</v>
      </c>
      <c r="AG101">
        <v>-9.29279999999999E-2</v>
      </c>
      <c r="AH101">
        <v>0.63426629456266304</v>
      </c>
      <c r="AI101">
        <v>98.325732463011605</v>
      </c>
      <c r="AJ101">
        <v>87.242345917097794</v>
      </c>
      <c r="AK101">
        <v>0.64176530322879299</v>
      </c>
      <c r="AL101">
        <v>93.695367882394194</v>
      </c>
      <c r="AM101">
        <v>88.914407362094707</v>
      </c>
      <c r="AN101">
        <v>0.99999998678231805</v>
      </c>
    </row>
    <row r="102" spans="1:40" x14ac:dyDescent="0.25">
      <c r="A102" t="str">
        <f>"20190303154058578"</f>
        <v>20190303154058578</v>
      </c>
      <c r="B102" t="str">
        <f>"1551598858569440"</f>
        <v>1551598858569440</v>
      </c>
      <c r="C102" t="s">
        <v>40</v>
      </c>
      <c r="D102">
        <v>5.498926</v>
      </c>
      <c r="E102">
        <v>0.50769849999999905</v>
      </c>
      <c r="F102" t="s">
        <v>42</v>
      </c>
      <c r="G102">
        <v>-469.25150000000002</v>
      </c>
      <c r="H102">
        <v>1.0204819999999999</v>
      </c>
      <c r="I102">
        <v>367.04849999999999</v>
      </c>
      <c r="J102">
        <v>-469.95690000000002</v>
      </c>
      <c r="K102">
        <v>1.1196120000000001</v>
      </c>
      <c r="L102">
        <v>367.07679999999999</v>
      </c>
      <c r="M102">
        <v>0.99997259999999999</v>
      </c>
      <c r="N102">
        <v>-2.9254369999999999E-3</v>
      </c>
      <c r="O102">
        <v>6.8003680000000002E-3</v>
      </c>
      <c r="P102">
        <v>0.99753590000000003</v>
      </c>
      <c r="Q102">
        <v>-6.9013060000000001E-2</v>
      </c>
      <c r="R102">
        <v>-1.262739E-2</v>
      </c>
      <c r="S102">
        <v>2.980286</v>
      </c>
      <c r="T102">
        <v>-0.37607239999999997</v>
      </c>
      <c r="U102">
        <v>-0.10321039999999999</v>
      </c>
      <c r="V102">
        <v>1.9417190000000001E-2</v>
      </c>
      <c r="W102">
        <v>-6.6092949999999998E-2</v>
      </c>
      <c r="X102">
        <v>0.99762450000000003</v>
      </c>
      <c r="Y102">
        <v>4.10219E-2</v>
      </c>
      <c r="Z102">
        <v>-3.472171E-3</v>
      </c>
      <c r="AA102">
        <v>0.99915220000000005</v>
      </c>
      <c r="AB102">
        <v>8</v>
      </c>
      <c r="AC102">
        <v>0.70539999999999703</v>
      </c>
      <c r="AD102">
        <v>-9.9130000000000107E-2</v>
      </c>
      <c r="AE102">
        <v>-2.8300000000001501E-2</v>
      </c>
      <c r="AF102">
        <v>3.2456402811871399E-2</v>
      </c>
      <c r="AG102">
        <v>-9.9130000000000107E-2</v>
      </c>
      <c r="AH102">
        <v>0.69155583110493501</v>
      </c>
      <c r="AI102">
        <v>98.148558039339093</v>
      </c>
      <c r="AJ102">
        <v>87.312940973631399</v>
      </c>
      <c r="AK102">
        <v>0.69937803977443003</v>
      </c>
      <c r="AL102">
        <v>93.789609622461896</v>
      </c>
      <c r="AM102">
        <v>88.884968657940107</v>
      </c>
      <c r="AN102">
        <v>0.99999997415372399</v>
      </c>
    </row>
    <row r="103" spans="1:40" x14ac:dyDescent="0.25">
      <c r="A103" t="str">
        <f>"20190303154058612"</f>
        <v>20190303154058612</v>
      </c>
      <c r="B103" t="str">
        <f>"1551598858609457"</f>
        <v>1551598858609457</v>
      </c>
      <c r="C103" t="s">
        <v>40</v>
      </c>
      <c r="D103">
        <v>5.4851109999999998</v>
      </c>
      <c r="E103">
        <v>0.50708149999999996</v>
      </c>
      <c r="F103" t="s">
        <v>42</v>
      </c>
      <c r="G103">
        <v>-469.1773</v>
      </c>
      <c r="H103">
        <v>1.021695</v>
      </c>
      <c r="I103">
        <v>367.0498</v>
      </c>
      <c r="J103">
        <v>-469.83269999999999</v>
      </c>
      <c r="K103">
        <v>1.1196600000000001</v>
      </c>
      <c r="L103">
        <v>367.07799999999997</v>
      </c>
      <c r="M103">
        <v>0.99997270000000005</v>
      </c>
      <c r="N103">
        <v>-2.227035E-3</v>
      </c>
      <c r="O103">
        <v>7.0542249999999999E-3</v>
      </c>
      <c r="P103">
        <v>0.99747920000000001</v>
      </c>
      <c r="Q103">
        <v>-6.9894189999999995E-2</v>
      </c>
      <c r="R103">
        <v>-1.2255780000000001E-2</v>
      </c>
      <c r="S103">
        <v>2.9801639999999998</v>
      </c>
      <c r="T103">
        <v>-0.3744943</v>
      </c>
      <c r="U103">
        <v>-0.1021118</v>
      </c>
      <c r="V103">
        <v>1.9296310000000001E-2</v>
      </c>
      <c r="W103">
        <v>-6.7671590000000004E-2</v>
      </c>
      <c r="X103">
        <v>0.99752099999999999</v>
      </c>
      <c r="Y103">
        <v>4.0912370000000003E-2</v>
      </c>
      <c r="Z103">
        <v>-3.472611E-3</v>
      </c>
      <c r="AA103">
        <v>0.99915670000000001</v>
      </c>
      <c r="AB103">
        <v>8</v>
      </c>
      <c r="AC103">
        <v>0.65539999999998599</v>
      </c>
      <c r="AD103">
        <v>-9.7964999999999997E-2</v>
      </c>
      <c r="AE103">
        <v>-2.82000000000266E-2</v>
      </c>
      <c r="AF103">
        <v>3.2106636200536103E-2</v>
      </c>
      <c r="AG103">
        <v>-9.7964999999999997E-2</v>
      </c>
      <c r="AH103">
        <v>0.64089218072245102</v>
      </c>
      <c r="AI103">
        <v>98.680083443546593</v>
      </c>
      <c r="AJ103">
        <v>87.132063398815603</v>
      </c>
      <c r="AK103">
        <v>0.64913077621099802</v>
      </c>
      <c r="AL103">
        <v>93.880262047633593</v>
      </c>
      <c r="AM103">
        <v>88.891793506996706</v>
      </c>
      <c r="AN103">
        <v>0.99999996855687101</v>
      </c>
    </row>
    <row r="104" spans="1:40" x14ac:dyDescent="0.25">
      <c r="A104" t="str">
        <f>"20190303154058635"</f>
        <v>20190303154058635</v>
      </c>
      <c r="B104" t="str">
        <f>"1551598858628977"</f>
        <v>1551598858628977</v>
      </c>
      <c r="C104" t="s">
        <v>40</v>
      </c>
      <c r="D104">
        <v>5.5785299999999998</v>
      </c>
      <c r="E104">
        <v>0.50670269999999995</v>
      </c>
      <c r="F104" t="s">
        <v>42</v>
      </c>
      <c r="G104">
        <v>-469.09899999999999</v>
      </c>
      <c r="H104">
        <v>1.0285530000000001</v>
      </c>
      <c r="I104">
        <v>367.05369999999999</v>
      </c>
      <c r="J104">
        <v>-469.74189999999999</v>
      </c>
      <c r="K104">
        <v>1.119704</v>
      </c>
      <c r="L104">
        <v>367.0788</v>
      </c>
      <c r="M104">
        <v>0.99997210000000003</v>
      </c>
      <c r="N104">
        <v>-1.902848E-3</v>
      </c>
      <c r="O104">
        <v>7.2248769999999898E-3</v>
      </c>
      <c r="P104">
        <v>0.99742529999999996</v>
      </c>
      <c r="Q104">
        <v>-7.0767559999999993E-2</v>
      </c>
      <c r="R104">
        <v>-1.160917E-2</v>
      </c>
      <c r="S104">
        <v>2.9804689999999998</v>
      </c>
      <c r="T104">
        <v>-0.37065480000000001</v>
      </c>
      <c r="U104">
        <v>-9.5825199999999999E-2</v>
      </c>
      <c r="V104">
        <v>1.8817960000000002E-2</v>
      </c>
      <c r="W104">
        <v>-6.8868929999999995E-2</v>
      </c>
      <c r="X104">
        <v>0.99744820000000001</v>
      </c>
      <c r="Y104">
        <v>3.8996129999999997E-2</v>
      </c>
      <c r="Z104">
        <v>-3.333286E-3</v>
      </c>
      <c r="AA104">
        <v>0.99923379999999995</v>
      </c>
      <c r="AB104">
        <v>8</v>
      </c>
      <c r="AC104">
        <v>0.64289999999999703</v>
      </c>
      <c r="AD104">
        <v>-9.1150999999999899E-2</v>
      </c>
      <c r="AE104">
        <v>-2.5100000000009001E-2</v>
      </c>
      <c r="AF104">
        <v>2.9158969539729102E-2</v>
      </c>
      <c r="AG104">
        <v>-9.1150999999999899E-2</v>
      </c>
      <c r="AH104">
        <v>0.63005586321331697</v>
      </c>
      <c r="AI104">
        <v>98.223259823382904</v>
      </c>
      <c r="AJ104">
        <v>87.350243463927995</v>
      </c>
      <c r="AK104">
        <v>0.63728262260561996</v>
      </c>
      <c r="AL104">
        <v>93.949024976998004</v>
      </c>
      <c r="AM104">
        <v>88.919180169554494</v>
      </c>
      <c r="AN104">
        <v>0.99999997841057198</v>
      </c>
    </row>
    <row r="105" spans="1:40" x14ac:dyDescent="0.25">
      <c r="A105" t="str">
        <f>"20190303154058659"</f>
        <v>20190303154058659</v>
      </c>
      <c r="B105" t="str">
        <f>"1551598858649472"</f>
        <v>1551598858649472</v>
      </c>
      <c r="C105" t="s">
        <v>40</v>
      </c>
      <c r="D105">
        <v>5.5707250000000004</v>
      </c>
      <c r="E105">
        <v>0.50635549999999996</v>
      </c>
      <c r="F105" t="s">
        <v>42</v>
      </c>
      <c r="G105">
        <v>-469.02159999999998</v>
      </c>
      <c r="H105">
        <v>1.029779</v>
      </c>
      <c r="I105">
        <v>367.05680000000001</v>
      </c>
      <c r="J105">
        <v>-469.65289999999999</v>
      </c>
      <c r="K105">
        <v>1.119734</v>
      </c>
      <c r="L105">
        <v>367.0797</v>
      </c>
      <c r="M105">
        <v>0.99997139999999995</v>
      </c>
      <c r="N105">
        <v>-1.6457209999999999E-3</v>
      </c>
      <c r="O105">
        <v>7.3864940000000004E-3</v>
      </c>
      <c r="P105">
        <v>0.99740589999999996</v>
      </c>
      <c r="Q105">
        <v>-7.113063E-2</v>
      </c>
      <c r="R105">
        <v>-1.1042120000000001E-2</v>
      </c>
      <c r="S105">
        <v>2.9803160000000002</v>
      </c>
      <c r="T105">
        <v>-0.37208560000000002</v>
      </c>
      <c r="U105">
        <v>-9.0911870000000006E-2</v>
      </c>
      <c r="V105">
        <v>1.8410289999999999E-2</v>
      </c>
      <c r="W105">
        <v>-6.9488930000000004E-2</v>
      </c>
      <c r="X105">
        <v>0.99741279999999999</v>
      </c>
      <c r="Y105">
        <v>3.752146E-2</v>
      </c>
      <c r="Z105">
        <v>-3.269966E-3</v>
      </c>
      <c r="AA105">
        <v>0.99929049999999997</v>
      </c>
      <c r="AB105">
        <v>8</v>
      </c>
      <c r="AC105">
        <v>0.63130000000000996</v>
      </c>
      <c r="AD105">
        <v>-8.9954999999999993E-2</v>
      </c>
      <c r="AE105">
        <v>-2.2899999999992801E-2</v>
      </c>
      <c r="AF105">
        <v>2.7014692797368001E-2</v>
      </c>
      <c r="AG105">
        <v>-8.9954999999999993E-2</v>
      </c>
      <c r="AH105">
        <v>0.618570744959966</v>
      </c>
      <c r="AI105">
        <v>98.266405549775797</v>
      </c>
      <c r="AJ105">
        <v>87.499324116514003</v>
      </c>
      <c r="AK105">
        <v>0.62566082039093895</v>
      </c>
      <c r="AL105">
        <v>93.984633696566704</v>
      </c>
      <c r="AM105">
        <v>88.942552023037905</v>
      </c>
      <c r="AN105">
        <v>0.99999997188713396</v>
      </c>
    </row>
    <row r="106" spans="1:40" x14ac:dyDescent="0.25">
      <c r="A106" t="str">
        <f>"20190303154058680"</f>
        <v>20190303154058680</v>
      </c>
      <c r="B106" t="str">
        <f>"1551598858668992"</f>
        <v>1551598858668992</v>
      </c>
      <c r="C106" t="s">
        <v>40</v>
      </c>
      <c r="D106">
        <v>5.5850799999999996</v>
      </c>
      <c r="E106">
        <v>0.50599189999999905</v>
      </c>
      <c r="F106" t="s">
        <v>42</v>
      </c>
      <c r="G106">
        <v>-468.8664</v>
      </c>
      <c r="H106">
        <v>1.0217210000000001</v>
      </c>
      <c r="I106">
        <v>367.05669999999998</v>
      </c>
      <c r="J106">
        <v>-469.56380000000001</v>
      </c>
      <c r="K106">
        <v>1.11974</v>
      </c>
      <c r="L106">
        <v>367.08049999999997</v>
      </c>
      <c r="M106">
        <v>0.99997069999999999</v>
      </c>
      <c r="N106">
        <v>-1.4107309999999999E-3</v>
      </c>
      <c r="O106">
        <v>7.543541E-3</v>
      </c>
      <c r="P106">
        <v>0.997336</v>
      </c>
      <c r="Q106">
        <v>-7.2098770000000006E-2</v>
      </c>
      <c r="R106">
        <v>-1.108993E-2</v>
      </c>
      <c r="S106">
        <v>2.9803470000000001</v>
      </c>
      <c r="T106">
        <v>-0.37147239999999998</v>
      </c>
      <c r="U106">
        <v>-8.6212159999999996E-2</v>
      </c>
      <c r="V106">
        <v>1.8613230000000001E-2</v>
      </c>
      <c r="W106">
        <v>-7.0691829999999997E-2</v>
      </c>
      <c r="X106">
        <v>0.99732449999999995</v>
      </c>
      <c r="Y106">
        <v>3.6114930000000003E-2</v>
      </c>
      <c r="Z106">
        <v>-3.1929699999999998E-3</v>
      </c>
      <c r="AA106">
        <v>0.99934259999999997</v>
      </c>
      <c r="AB106">
        <v>9</v>
      </c>
      <c r="AC106">
        <v>0.69740000000001501</v>
      </c>
      <c r="AD106">
        <v>-9.8018999999999995E-2</v>
      </c>
      <c r="AE106">
        <v>-2.3799999999994201E-2</v>
      </c>
      <c r="AF106">
        <v>2.84978980855927E-2</v>
      </c>
      <c r="AG106">
        <v>-9.8018999999999995E-2</v>
      </c>
      <c r="AH106">
        <v>0.68371026941775603</v>
      </c>
      <c r="AI106">
        <v>98.151541612253098</v>
      </c>
      <c r="AJ106">
        <v>87.613221903435104</v>
      </c>
      <c r="AK106">
        <v>0.69128835305073499</v>
      </c>
      <c r="AL106">
        <v>94.053724711840502</v>
      </c>
      <c r="AM106">
        <v>88.930803637964303</v>
      </c>
      <c r="AN106">
        <v>0.99999997273001495</v>
      </c>
    </row>
    <row r="107" spans="1:40" x14ac:dyDescent="0.25">
      <c r="A107" t="str">
        <f>"20190303154058701"</f>
        <v>20190303154058701</v>
      </c>
      <c r="B107" t="str">
        <f>"1551598858689492"</f>
        <v>1551598858689492</v>
      </c>
      <c r="C107" t="s">
        <v>40</v>
      </c>
      <c r="D107">
        <v>5.5722959999999997</v>
      </c>
      <c r="E107">
        <v>0.50569039999999998</v>
      </c>
      <c r="F107" t="s">
        <v>42</v>
      </c>
      <c r="G107">
        <v>-468.78379999999999</v>
      </c>
      <c r="H107">
        <v>1.0223009999999999</v>
      </c>
      <c r="I107">
        <v>367.0582</v>
      </c>
      <c r="J107">
        <v>-469.47820000000002</v>
      </c>
      <c r="K107">
        <v>1.119731</v>
      </c>
      <c r="L107">
        <v>367.08139999999997</v>
      </c>
      <c r="M107">
        <v>0.99996969999999996</v>
      </c>
      <c r="N107">
        <v>-1.1976300000000001E-3</v>
      </c>
      <c r="O107">
        <v>7.69114E-3</v>
      </c>
      <c r="P107">
        <v>0.99726919999999997</v>
      </c>
      <c r="Q107">
        <v>-7.2957449999999993E-2</v>
      </c>
      <c r="R107">
        <v>-1.146613E-2</v>
      </c>
      <c r="S107">
        <v>2.980194</v>
      </c>
      <c r="T107">
        <v>-0.37263230000000003</v>
      </c>
      <c r="U107">
        <v>-8.3282469999999997E-2</v>
      </c>
      <c r="V107">
        <v>1.9135739999999998E-2</v>
      </c>
      <c r="W107">
        <v>-7.1763229999999997E-2</v>
      </c>
      <c r="X107">
        <v>0.99723810000000002</v>
      </c>
      <c r="Y107">
        <v>3.5285810000000001E-2</v>
      </c>
      <c r="Z107">
        <v>-3.1668410000000001E-3</v>
      </c>
      <c r="AA107">
        <v>0.99937220000000004</v>
      </c>
      <c r="AB107">
        <v>9</v>
      </c>
      <c r="AC107">
        <v>0.69440000000002999</v>
      </c>
      <c r="AD107">
        <v>-9.7429999999999906E-2</v>
      </c>
      <c r="AE107">
        <v>-2.31999999999743E-2</v>
      </c>
      <c r="AF107">
        <v>2.7989644729712802E-2</v>
      </c>
      <c r="AG107">
        <v>-9.7429999999999906E-2</v>
      </c>
      <c r="AH107">
        <v>0.68081321956240903</v>
      </c>
      <c r="AI107">
        <v>98.137420582694205</v>
      </c>
      <c r="AJ107">
        <v>87.645777340087193</v>
      </c>
      <c r="AK107">
        <v>0.68831872344360101</v>
      </c>
      <c r="AL107">
        <v>94.115267686211297</v>
      </c>
      <c r="AM107">
        <v>88.900701244454496</v>
      </c>
      <c r="AN107">
        <v>0.99999998290849501</v>
      </c>
    </row>
    <row r="108" spans="1:40" x14ac:dyDescent="0.25">
      <c r="A108" t="str">
        <f>"20190303154058723"</f>
        <v>20190303154058723</v>
      </c>
      <c r="B108" t="str">
        <f>"1551598858718768"</f>
        <v>1551598858718768</v>
      </c>
      <c r="C108" t="s">
        <v>40</v>
      </c>
      <c r="D108">
        <v>5.5962259999999997</v>
      </c>
      <c r="E108">
        <v>0.50518269999999998</v>
      </c>
      <c r="F108" t="s">
        <v>42</v>
      </c>
      <c r="G108">
        <v>-468.69970000000001</v>
      </c>
      <c r="H108">
        <v>1.022445</v>
      </c>
      <c r="I108">
        <v>367.0598</v>
      </c>
      <c r="J108">
        <v>-469.38369999999998</v>
      </c>
      <c r="K108">
        <v>1.119715</v>
      </c>
      <c r="L108">
        <v>367.0822</v>
      </c>
      <c r="M108">
        <v>0.99996879999999999</v>
      </c>
      <c r="N108">
        <v>-9.7040069999999997E-4</v>
      </c>
      <c r="O108">
        <v>7.8490980000000005E-3</v>
      </c>
      <c r="P108">
        <v>0.99716249999999995</v>
      </c>
      <c r="Q108">
        <v>-7.4348750000000005E-2</v>
      </c>
      <c r="R108">
        <v>-1.180695E-2</v>
      </c>
      <c r="S108">
        <v>2.9800420000000001</v>
      </c>
      <c r="T108">
        <v>-0.37243150000000003</v>
      </c>
      <c r="U108">
        <v>-8.184814E-2</v>
      </c>
      <c r="V108">
        <v>1.9633299999999999E-2</v>
      </c>
      <c r="W108">
        <v>-7.3381210000000002E-2</v>
      </c>
      <c r="X108">
        <v>0.99711070000000002</v>
      </c>
      <c r="Y108">
        <v>3.4966360000000002E-2</v>
      </c>
      <c r="Z108">
        <v>-3.1625220000000001E-3</v>
      </c>
      <c r="AA108">
        <v>0.99938349999999998</v>
      </c>
      <c r="AB108">
        <v>9</v>
      </c>
      <c r="AC108">
        <v>0.68399999999996897</v>
      </c>
      <c r="AD108">
        <v>-9.7269999999999898E-2</v>
      </c>
      <c r="AE108">
        <v>-2.24000000000046E-2</v>
      </c>
      <c r="AF108">
        <v>2.7218250090017802E-2</v>
      </c>
      <c r="AG108">
        <v>-9.7269999999999898E-2</v>
      </c>
      <c r="AH108">
        <v>0.67026290302566105</v>
      </c>
      <c r="AI108">
        <v>98.2505360258575</v>
      </c>
      <c r="AJ108">
        <v>87.674592346741804</v>
      </c>
      <c r="AK108">
        <v>0.67783083819663303</v>
      </c>
      <c r="AL108">
        <v>94.208216107021101</v>
      </c>
      <c r="AM108">
        <v>88.871980929384904</v>
      </c>
      <c r="AN108">
        <v>1.00000000825222</v>
      </c>
    </row>
    <row r="109" spans="1:40" x14ac:dyDescent="0.25">
      <c r="A109" t="str">
        <f>"20190303154058746"</f>
        <v>20190303154058746</v>
      </c>
      <c r="B109" t="str">
        <f>"1551598858739265"</f>
        <v>1551598858739265</v>
      </c>
      <c r="C109" t="s">
        <v>40</v>
      </c>
      <c r="D109">
        <v>5.4806249999999999</v>
      </c>
      <c r="E109">
        <v>0.50492740000000003</v>
      </c>
      <c r="F109" t="s">
        <v>42</v>
      </c>
      <c r="G109">
        <v>-468.61340000000001</v>
      </c>
      <c r="H109">
        <v>1.0230109999999999</v>
      </c>
      <c r="I109">
        <v>367.06130000000002</v>
      </c>
      <c r="J109">
        <v>-469.28320000000002</v>
      </c>
      <c r="K109">
        <v>1.1196790000000001</v>
      </c>
      <c r="L109">
        <v>367.0831</v>
      </c>
      <c r="M109">
        <v>0.99996770000000001</v>
      </c>
      <c r="N109">
        <v>-7.3048289999999897E-4</v>
      </c>
      <c r="O109">
        <v>8.0102550000000008E-3</v>
      </c>
      <c r="P109">
        <v>0.99707310000000005</v>
      </c>
      <c r="Q109">
        <v>-7.5478459999999997E-2</v>
      </c>
      <c r="R109">
        <v>-1.216712E-2</v>
      </c>
      <c r="S109">
        <v>2.9797060000000002</v>
      </c>
      <c r="T109">
        <v>-0.37441960000000002</v>
      </c>
      <c r="U109">
        <v>-7.91626E-2</v>
      </c>
      <c r="V109">
        <v>2.015393E-2</v>
      </c>
      <c r="W109">
        <v>-7.4750109999999995E-2</v>
      </c>
      <c r="X109">
        <v>0.99699859999999896</v>
      </c>
      <c r="Y109">
        <v>3.4231650000000002E-2</v>
      </c>
      <c r="Z109">
        <v>-3.1510879999999998E-3</v>
      </c>
      <c r="AA109">
        <v>0.99940899999999999</v>
      </c>
      <c r="AB109">
        <v>9</v>
      </c>
      <c r="AC109">
        <v>0.66980000000000905</v>
      </c>
      <c r="AD109">
        <v>-9.6667999999999907E-2</v>
      </c>
      <c r="AE109">
        <v>-2.17999999999847E-2</v>
      </c>
      <c r="AF109">
        <v>2.6610870650537501E-2</v>
      </c>
      <c r="AG109">
        <v>-9.6667999999999907E-2</v>
      </c>
      <c r="AH109">
        <v>0.65595524119507997</v>
      </c>
      <c r="AI109">
        <v>98.376534211345202</v>
      </c>
      <c r="AJ109">
        <v>87.676891843324199</v>
      </c>
      <c r="AK109">
        <v>0.66357374805825098</v>
      </c>
      <c r="AL109">
        <v>94.286864426631993</v>
      </c>
      <c r="AM109">
        <v>88.8419463361043</v>
      </c>
      <c r="AN109">
        <v>0.99999998412070801</v>
      </c>
    </row>
    <row r="110" spans="1:40" x14ac:dyDescent="0.25">
      <c r="A110" t="str">
        <f>"20190303154058769"</f>
        <v>20190303154058769</v>
      </c>
      <c r="B110" t="str">
        <f>"1551598858758788"</f>
        <v>1551598858758788</v>
      </c>
      <c r="C110" t="s">
        <v>40</v>
      </c>
      <c r="D110">
        <v>5.5426780000000004</v>
      </c>
      <c r="E110">
        <v>0.5046119</v>
      </c>
      <c r="F110" t="s">
        <v>42</v>
      </c>
      <c r="G110">
        <v>-468.52480000000003</v>
      </c>
      <c r="H110">
        <v>1.024149</v>
      </c>
      <c r="I110">
        <v>367.0634</v>
      </c>
      <c r="J110">
        <v>-469.18189999999998</v>
      </c>
      <c r="K110">
        <v>1.1196440000000001</v>
      </c>
      <c r="L110">
        <v>367.08409999999998</v>
      </c>
      <c r="M110">
        <v>0.99996660000000004</v>
      </c>
      <c r="N110">
        <v>-4.8776039999999998E-4</v>
      </c>
      <c r="O110">
        <v>8.1663169999999993E-3</v>
      </c>
      <c r="P110">
        <v>0.99704479999999995</v>
      </c>
      <c r="Q110">
        <v>-7.5856930000000003E-2</v>
      </c>
      <c r="R110">
        <v>-1.214431E-2</v>
      </c>
      <c r="S110">
        <v>2.9794309999999999</v>
      </c>
      <c r="T110">
        <v>-0.3752085</v>
      </c>
      <c r="U110">
        <v>-7.794189E-2</v>
      </c>
      <c r="V110">
        <v>2.0287139999999999E-2</v>
      </c>
      <c r="W110">
        <v>-7.5370370000000006E-2</v>
      </c>
      <c r="X110">
        <v>0.99694919999999998</v>
      </c>
      <c r="Y110">
        <v>3.3980469999999999E-2</v>
      </c>
      <c r="Z110">
        <v>-3.159416E-3</v>
      </c>
      <c r="AA110">
        <v>0.99941749999999996</v>
      </c>
      <c r="AB110">
        <v>10</v>
      </c>
      <c r="AC110">
        <v>0.65709999999995705</v>
      </c>
      <c r="AD110">
        <v>-9.5495000000000094E-2</v>
      </c>
      <c r="AE110">
        <v>-2.0699999999976602E-2</v>
      </c>
      <c r="AF110">
        <v>2.5526799949598999E-2</v>
      </c>
      <c r="AG110">
        <v>-9.5495000000000094E-2</v>
      </c>
      <c r="AH110">
        <v>0.64333514036111505</v>
      </c>
      <c r="AI110">
        <v>98.436642604424904</v>
      </c>
      <c r="AJ110">
        <v>87.727761212245696</v>
      </c>
      <c r="AK110">
        <v>0.65088479423329704</v>
      </c>
      <c r="AL110">
        <v>94.3225032453457</v>
      </c>
      <c r="AM110">
        <v>88.834236390037503</v>
      </c>
      <c r="AN110">
        <v>0.99999998405197799</v>
      </c>
    </row>
    <row r="111" spans="1:40" x14ac:dyDescent="0.25">
      <c r="A111" t="str">
        <f>"20190303154058790"</f>
        <v>20190303154058790</v>
      </c>
      <c r="B111" t="str">
        <f>"1551598858779280"</f>
        <v>1551598858779280</v>
      </c>
      <c r="C111" t="s">
        <v>40</v>
      </c>
      <c r="D111">
        <v>5.5794119999999996</v>
      </c>
      <c r="E111">
        <v>0.5043955</v>
      </c>
      <c r="F111" t="s">
        <v>42</v>
      </c>
      <c r="G111">
        <v>-468.4341</v>
      </c>
      <c r="H111">
        <v>1.025655</v>
      </c>
      <c r="I111">
        <v>367.06479999999999</v>
      </c>
      <c r="J111">
        <v>-469.0829</v>
      </c>
      <c r="K111">
        <v>1.1196140000000001</v>
      </c>
      <c r="L111">
        <v>367.08510000000001</v>
      </c>
      <c r="M111">
        <v>0.99996549999999995</v>
      </c>
      <c r="N111">
        <v>-2.5453349999999999E-4</v>
      </c>
      <c r="O111">
        <v>8.3120929999999996E-3</v>
      </c>
      <c r="P111">
        <v>0.99703039999999998</v>
      </c>
      <c r="Q111">
        <v>-7.6108250000000002E-2</v>
      </c>
      <c r="R111">
        <v>-1.174478E-2</v>
      </c>
      <c r="S111">
        <v>2.979492</v>
      </c>
      <c r="T111">
        <v>-0.37475120000000001</v>
      </c>
      <c r="U111">
        <v>-7.5225829999999994E-2</v>
      </c>
      <c r="V111">
        <v>2.0033740000000001E-2</v>
      </c>
      <c r="W111">
        <v>-7.5853999999999894E-2</v>
      </c>
      <c r="X111">
        <v>0.99691770000000002</v>
      </c>
      <c r="Y111">
        <v>3.3221090000000002E-2</v>
      </c>
      <c r="Z111">
        <v>-3.1240560000000001E-3</v>
      </c>
      <c r="AA111">
        <v>0.99944319999999998</v>
      </c>
      <c r="AB111">
        <v>10</v>
      </c>
      <c r="AC111">
        <v>0.64879999999999405</v>
      </c>
      <c r="AD111">
        <v>-9.3958999999999904E-2</v>
      </c>
      <c r="AE111">
        <v>-2.0300000000020101E-2</v>
      </c>
      <c r="AF111">
        <v>2.5164923287684798E-2</v>
      </c>
      <c r="AG111">
        <v>-9.3958999999999904E-2</v>
      </c>
      <c r="AH111">
        <v>0.635297945972357</v>
      </c>
      <c r="AI111">
        <v>98.406419657923394</v>
      </c>
      <c r="AJ111">
        <v>87.731630478498801</v>
      </c>
      <c r="AK111">
        <v>0.64270136704520198</v>
      </c>
      <c r="AL111">
        <v>94.350292511686405</v>
      </c>
      <c r="AM111">
        <v>88.848757251551405</v>
      </c>
      <c r="AN111">
        <v>1.0000000403138301</v>
      </c>
    </row>
    <row r="112" spans="1:40" x14ac:dyDescent="0.25">
      <c r="A112" t="str">
        <f>"20190303154058814"</f>
        <v>20190303154058814</v>
      </c>
      <c r="B112" t="str">
        <f>"1551598858809537"</f>
        <v>1551598858809537</v>
      </c>
      <c r="C112" t="s">
        <v>40</v>
      </c>
      <c r="D112">
        <v>5.6195240000000002</v>
      </c>
      <c r="E112">
        <v>0.49494539999999998</v>
      </c>
      <c r="F112" t="s">
        <v>42</v>
      </c>
      <c r="G112">
        <v>-468.3415</v>
      </c>
      <c r="H112">
        <v>1.026858</v>
      </c>
      <c r="I112">
        <v>367.06700000000001</v>
      </c>
      <c r="J112">
        <v>-468.97609999999997</v>
      </c>
      <c r="K112">
        <v>1.119569</v>
      </c>
      <c r="L112">
        <v>367.08620000000002</v>
      </c>
      <c r="M112">
        <v>0.99996430000000003</v>
      </c>
      <c r="N112" s="1">
        <v>-1.224162E-5</v>
      </c>
      <c r="O112">
        <v>8.4628459999999996E-3</v>
      </c>
      <c r="P112">
        <v>0.99702449999999998</v>
      </c>
      <c r="Q112">
        <v>-7.62684E-2</v>
      </c>
      <c r="R112">
        <v>-1.119206E-2</v>
      </c>
      <c r="S112">
        <v>2.9796450000000001</v>
      </c>
      <c r="T112">
        <v>-0.3727529</v>
      </c>
      <c r="U112">
        <v>-7.2143550000000001E-2</v>
      </c>
      <c r="V112">
        <v>1.9632159999999999E-2</v>
      </c>
      <c r="W112">
        <v>-7.6255489999999995E-2</v>
      </c>
      <c r="X112">
        <v>0.99689499999999998</v>
      </c>
      <c r="Y112">
        <v>3.2346600000000003E-2</v>
      </c>
      <c r="Z112">
        <v>-3.06968E-3</v>
      </c>
      <c r="AA112">
        <v>0.99947200000000003</v>
      </c>
      <c r="AB112">
        <v>10</v>
      </c>
      <c r="AC112">
        <v>0.63459999999997696</v>
      </c>
      <c r="AD112">
        <v>-9.2711000000000002E-2</v>
      </c>
      <c r="AE112">
        <v>-1.9200000000068902E-2</v>
      </c>
      <c r="AF112">
        <v>2.40568499496722E-2</v>
      </c>
      <c r="AG112">
        <v>-9.2711000000000002E-2</v>
      </c>
      <c r="AH112">
        <v>0.62116908943413096</v>
      </c>
      <c r="AI112">
        <v>98.482604837859597</v>
      </c>
      <c r="AJ112">
        <v>87.782137764956801</v>
      </c>
      <c r="AK112">
        <v>0.62851022204808105</v>
      </c>
      <c r="AL112">
        <v>94.373363272668897</v>
      </c>
      <c r="AM112">
        <v>88.871802416141406</v>
      </c>
      <c r="AN112">
        <v>0.999999981243202</v>
      </c>
    </row>
    <row r="113" spans="1:40" x14ac:dyDescent="0.25">
      <c r="A113" t="str">
        <f>"20190303154058836"</f>
        <v>20190303154058836</v>
      </c>
      <c r="B113" t="str">
        <f>"1551598858829057"</f>
        <v>1551598858829057</v>
      </c>
      <c r="C113" t="s">
        <v>40</v>
      </c>
      <c r="D113">
        <v>5.5709019999999896</v>
      </c>
      <c r="E113">
        <v>0.49418420000000002</v>
      </c>
      <c r="F113" t="s">
        <v>41</v>
      </c>
      <c r="G113">
        <v>-456.37479999999999</v>
      </c>
      <c r="H113" s="1">
        <v>-1.9816990000000002E-6</v>
      </c>
      <c r="I113">
        <v>367.1121</v>
      </c>
      <c r="J113">
        <v>-468.8673</v>
      </c>
      <c r="K113">
        <v>1.1195310000000001</v>
      </c>
      <c r="L113">
        <v>367.0872</v>
      </c>
      <c r="M113">
        <v>0.99996289999999999</v>
      </c>
      <c r="N113">
        <v>2.2315320000000001E-4</v>
      </c>
      <c r="O113">
        <v>8.6179189999999999E-3</v>
      </c>
      <c r="P113">
        <v>0.99699899999999997</v>
      </c>
      <c r="Q113">
        <v>-7.664253E-2</v>
      </c>
      <c r="R113">
        <v>-1.091671E-2</v>
      </c>
      <c r="S113">
        <v>2.9887389999999998</v>
      </c>
      <c r="T113">
        <v>-0.26553539999999998</v>
      </c>
      <c r="U113">
        <v>6.1645509999999999E-3</v>
      </c>
      <c r="V113">
        <v>1.951172E-2</v>
      </c>
      <c r="W113">
        <v>-7.6864089999999996E-2</v>
      </c>
      <c r="X113">
        <v>0.99685069999999998</v>
      </c>
      <c r="Y113">
        <v>6.4957519999999996E-3</v>
      </c>
      <c r="Z113">
        <v>-1.053331E-3</v>
      </c>
      <c r="AA113">
        <v>0.99997840000000005</v>
      </c>
      <c r="AB113">
        <v>10</v>
      </c>
      <c r="AC113">
        <v>12.4925</v>
      </c>
      <c r="AD113">
        <v>-1.1195329816990001</v>
      </c>
      <c r="AE113">
        <v>2.4900000000002299E-2</v>
      </c>
      <c r="AF113">
        <v>8.2100915905183702E-2</v>
      </c>
      <c r="AG113">
        <v>-1.1195329816990001</v>
      </c>
      <c r="AH113">
        <v>12.392723860539901</v>
      </c>
      <c r="AI113">
        <v>95.161857527288205</v>
      </c>
      <c r="AJ113">
        <v>89.6204250808198</v>
      </c>
      <c r="AK113">
        <v>12.443460103246901</v>
      </c>
      <c r="AL113">
        <v>94.408335797077498</v>
      </c>
      <c r="AM113">
        <v>88.878672129277902</v>
      </c>
      <c r="AN113">
        <v>1.0000000568196801</v>
      </c>
    </row>
    <row r="114" spans="1:40" x14ac:dyDescent="0.25">
      <c r="A114" t="str">
        <f>"20190303154058860"</f>
        <v>20190303154058860</v>
      </c>
      <c r="B114" t="str">
        <f>"1551598858849552"</f>
        <v>1551598858849552</v>
      </c>
      <c r="C114" t="s">
        <v>40</v>
      </c>
      <c r="D114">
        <v>5.571879</v>
      </c>
      <c r="E114">
        <v>0.49399359999999998</v>
      </c>
      <c r="F114" t="s">
        <v>42</v>
      </c>
      <c r="G114">
        <v>-468.0437</v>
      </c>
      <c r="H114">
        <v>1.0435909999999999</v>
      </c>
      <c r="I114">
        <v>367.09059999999999</v>
      </c>
      <c r="J114">
        <v>-468.74799999999999</v>
      </c>
      <c r="K114">
        <v>1.119456</v>
      </c>
      <c r="L114">
        <v>367.0883</v>
      </c>
      <c r="M114">
        <v>0.99995880000000004</v>
      </c>
      <c r="N114">
        <v>5.8363030000000002E-4</v>
      </c>
      <c r="O114">
        <v>9.0686810000000003E-3</v>
      </c>
      <c r="P114">
        <v>0.99698359999999997</v>
      </c>
      <c r="Q114">
        <v>-7.6928620000000003E-2</v>
      </c>
      <c r="R114">
        <v>-1.0276220000000001E-2</v>
      </c>
      <c r="S114">
        <v>2.9879760000000002</v>
      </c>
      <c r="T114">
        <v>-0.2755899</v>
      </c>
      <c r="U114">
        <v>1.2969970000000001E-2</v>
      </c>
      <c r="V114">
        <v>1.9322329999999999E-2</v>
      </c>
      <c r="W114">
        <v>-7.7509140000000004E-2</v>
      </c>
      <c r="X114">
        <v>0.99680440000000003</v>
      </c>
      <c r="Y114">
        <v>4.6694249999999996E-3</v>
      </c>
      <c r="Z114">
        <v>-1.0534400000000001E-3</v>
      </c>
      <c r="AA114">
        <v>0.99998860000000001</v>
      </c>
      <c r="AB114">
        <v>11</v>
      </c>
      <c r="AC114">
        <v>0.704300000000046</v>
      </c>
      <c r="AD114">
        <v>-7.5865000000000002E-2</v>
      </c>
      <c r="AE114">
        <v>2.29999999999108E-3</v>
      </c>
      <c r="AF114">
        <v>4.04028843927176E-3</v>
      </c>
      <c r="AG114">
        <v>-7.5865000000000002E-2</v>
      </c>
      <c r="AH114">
        <v>0.69621386394666196</v>
      </c>
      <c r="AI114">
        <v>96.218763098226404</v>
      </c>
      <c r="AJ114">
        <v>89.667503207069203</v>
      </c>
      <c r="AK114">
        <v>0.700346747338213</v>
      </c>
      <c r="AL114">
        <v>94.445405212076906</v>
      </c>
      <c r="AM114">
        <v>88.889501964667502</v>
      </c>
      <c r="AN114">
        <v>1.0000000155397599</v>
      </c>
    </row>
    <row r="115" spans="1:40" x14ac:dyDescent="0.25">
      <c r="A115" t="str">
        <f>"20190303154058880"</f>
        <v>20190303154058880</v>
      </c>
      <c r="B115" t="str">
        <f>"1551598858869072"</f>
        <v>1551598858869072</v>
      </c>
      <c r="C115" t="s">
        <v>40</v>
      </c>
      <c r="D115">
        <v>5.4946669999999997</v>
      </c>
      <c r="E115">
        <v>0.4942957</v>
      </c>
      <c r="F115" t="s">
        <v>42</v>
      </c>
      <c r="G115">
        <v>-467.94220000000001</v>
      </c>
      <c r="H115">
        <v>1.0448120000000001</v>
      </c>
      <c r="I115">
        <v>367.0926</v>
      </c>
      <c r="J115">
        <v>-468.64580000000001</v>
      </c>
      <c r="K115">
        <v>1.119453</v>
      </c>
      <c r="L115">
        <v>367.08929999999998</v>
      </c>
      <c r="M115">
        <v>0.99995679999999998</v>
      </c>
      <c r="N115">
        <v>8.0721069999999996E-4</v>
      </c>
      <c r="O115">
        <v>9.2537379999999992E-3</v>
      </c>
      <c r="P115">
        <v>0.99696530000000005</v>
      </c>
      <c r="Q115">
        <v>-7.7217579999999994E-2</v>
      </c>
      <c r="R115">
        <v>-9.8817019999999992E-3</v>
      </c>
      <c r="S115">
        <v>2.987854</v>
      </c>
      <c r="T115">
        <v>-0.27692600000000001</v>
      </c>
      <c r="U115">
        <v>1.6571039999999999E-2</v>
      </c>
      <c r="V115">
        <v>1.9129259999999999E-2</v>
      </c>
      <c r="W115">
        <v>-7.8016740000000001E-2</v>
      </c>
      <c r="X115">
        <v>0.99676849999999995</v>
      </c>
      <c r="Y115">
        <v>3.651919E-3</v>
      </c>
      <c r="Z115">
        <v>-1.030668E-3</v>
      </c>
      <c r="AA115">
        <v>0.99999280000000002</v>
      </c>
      <c r="AB115">
        <v>11</v>
      </c>
      <c r="AC115">
        <v>0.70359999999999401</v>
      </c>
      <c r="AD115">
        <v>-7.4640999999999902E-2</v>
      </c>
      <c r="AE115">
        <v>3.30000000002428E-3</v>
      </c>
      <c r="AF115">
        <v>3.1753396631691399E-3</v>
      </c>
      <c r="AG115">
        <v>-7.4640999999999902E-2</v>
      </c>
      <c r="AH115">
        <v>0.69577044930277898</v>
      </c>
      <c r="AI115">
        <v>96.123106625222306</v>
      </c>
      <c r="AJ115">
        <v>89.738516779044502</v>
      </c>
      <c r="AK115">
        <v>0.69976987630646703</v>
      </c>
      <c r="AL115">
        <v>94.474576993022495</v>
      </c>
      <c r="AM115">
        <v>88.900555810470294</v>
      </c>
      <c r="AN115">
        <v>0.99999999145031204</v>
      </c>
    </row>
    <row r="116" spans="1:40" x14ac:dyDescent="0.25">
      <c r="A116" t="str">
        <f>"20190303154058904"</f>
        <v>20190303154058904</v>
      </c>
      <c r="B116" t="str">
        <f>"1551598858899328"</f>
        <v>1551598858899328</v>
      </c>
      <c r="C116" t="s">
        <v>40</v>
      </c>
      <c r="D116">
        <v>5.8500969999999999</v>
      </c>
      <c r="E116">
        <v>0.52274019999999999</v>
      </c>
      <c r="F116" t="s">
        <v>42</v>
      </c>
      <c r="G116">
        <v>-467.83890000000002</v>
      </c>
      <c r="H116">
        <v>1.0461560000000001</v>
      </c>
      <c r="I116">
        <v>367.09300000000002</v>
      </c>
      <c r="J116">
        <v>-468.52719999999999</v>
      </c>
      <c r="K116">
        <v>1.119499</v>
      </c>
      <c r="L116">
        <v>367.09050000000002</v>
      </c>
      <c r="M116">
        <v>0.99995730000000005</v>
      </c>
      <c r="N116">
        <v>9.6165409999999997E-4</v>
      </c>
      <c r="O116">
        <v>9.2081100000000003E-3</v>
      </c>
      <c r="P116">
        <v>0.99700560000000005</v>
      </c>
      <c r="Q116">
        <v>-7.6718819999999993E-2</v>
      </c>
      <c r="R116">
        <v>-9.7220880000000003E-3</v>
      </c>
      <c r="S116">
        <v>2.9882810000000002</v>
      </c>
      <c r="T116">
        <v>-0.27175300000000002</v>
      </c>
      <c r="U116">
        <v>1.5411380000000001E-2</v>
      </c>
      <c r="V116">
        <v>1.8950439999999999E-2</v>
      </c>
      <c r="W116">
        <v>-7.7665659999999997E-2</v>
      </c>
      <c r="X116">
        <v>0.99679930000000005</v>
      </c>
      <c r="Y116">
        <v>3.9958909999999997E-3</v>
      </c>
      <c r="Z116">
        <v>-1.023866E-3</v>
      </c>
      <c r="AA116">
        <v>0.99999150000000003</v>
      </c>
      <c r="AB116">
        <v>11</v>
      </c>
      <c r="AC116">
        <v>0.68829999999996905</v>
      </c>
      <c r="AD116">
        <v>-7.3343000000000103E-2</v>
      </c>
      <c r="AE116">
        <v>2.4999999999977202E-3</v>
      </c>
      <c r="AF116">
        <v>3.79496132798216E-3</v>
      </c>
      <c r="AG116">
        <v>-7.3343000000000103E-2</v>
      </c>
      <c r="AH116">
        <v>0.68056655891321105</v>
      </c>
      <c r="AI116">
        <v>96.150793152056295</v>
      </c>
      <c r="AJ116">
        <v>89.680511757336404</v>
      </c>
      <c r="AK116">
        <v>0.684517668502026</v>
      </c>
      <c r="AL116">
        <v>94.454400513913797</v>
      </c>
      <c r="AM116">
        <v>88.910864554771294</v>
      </c>
      <c r="AN116">
        <v>0.99999995919995799</v>
      </c>
    </row>
    <row r="117" spans="1:40" x14ac:dyDescent="0.25">
      <c r="A117" t="str">
        <f>"20190303154058924"</f>
        <v>20190303154058924</v>
      </c>
      <c r="B117" t="str">
        <f>"1551598858918849"</f>
        <v>1551598858918849</v>
      </c>
      <c r="C117" t="s">
        <v>40</v>
      </c>
      <c r="D117">
        <v>5.6088190000000004</v>
      </c>
      <c r="E117">
        <v>0.54412819999999995</v>
      </c>
      <c r="F117" t="s">
        <v>41</v>
      </c>
      <c r="G117">
        <v>-448.50240000000002</v>
      </c>
      <c r="H117" s="1">
        <v>-1.6047909999999901E-6</v>
      </c>
      <c r="I117">
        <v>365.68700000000001</v>
      </c>
      <c r="J117">
        <v>-468.41520000000003</v>
      </c>
      <c r="K117">
        <v>1.1194759999999999</v>
      </c>
      <c r="L117">
        <v>367.09160000000003</v>
      </c>
      <c r="M117">
        <v>0.99995800000000001</v>
      </c>
      <c r="N117">
        <v>1.1110740000000001E-3</v>
      </c>
      <c r="O117">
        <v>9.1096830000000004E-3</v>
      </c>
      <c r="P117">
        <v>0.99695929999999999</v>
      </c>
      <c r="Q117">
        <v>-7.7346940000000003E-2</v>
      </c>
      <c r="R117">
        <v>-9.4701679999999993E-3</v>
      </c>
      <c r="S117">
        <v>2.9940799999999999</v>
      </c>
      <c r="T117">
        <v>-0.16738629999999999</v>
      </c>
      <c r="U117">
        <v>-0.20983889999999999</v>
      </c>
      <c r="V117">
        <v>1.8612219999999999E-2</v>
      </c>
      <c r="W117">
        <v>-7.8440140000000005E-2</v>
      </c>
      <c r="X117">
        <v>0.99674499999999999</v>
      </c>
      <c r="Y117">
        <v>7.8862769999999999E-2</v>
      </c>
      <c r="Z117">
        <v>-2.6745319999999999E-3</v>
      </c>
      <c r="AA117">
        <v>0.99688189999999999</v>
      </c>
      <c r="AB117">
        <v>11</v>
      </c>
      <c r="AC117">
        <v>19.912800000000001</v>
      </c>
      <c r="AD117">
        <v>-1.119477604791</v>
      </c>
      <c r="AE117">
        <v>-1.40460000000007</v>
      </c>
      <c r="AF117">
        <v>1.58096907147113</v>
      </c>
      <c r="AG117">
        <v>-1.119477604791</v>
      </c>
      <c r="AH117">
        <v>19.8367929904881</v>
      </c>
      <c r="AI117">
        <v>93.219838797951795</v>
      </c>
      <c r="AJ117">
        <v>85.443225532147196</v>
      </c>
      <c r="AK117">
        <v>19.9311577551344</v>
      </c>
      <c r="AL117">
        <v>94.498910862804493</v>
      </c>
      <c r="AM117">
        <v>88.930240197196994</v>
      </c>
      <c r="AN117">
        <v>0.99999993266077103</v>
      </c>
    </row>
    <row r="118" spans="1:40" x14ac:dyDescent="0.25">
      <c r="A118" t="str">
        <f>"20190303154058947"</f>
        <v>20190303154058947</v>
      </c>
      <c r="B118" t="str">
        <f>"1551598858939345"</f>
        <v>1551598858939345</v>
      </c>
      <c r="C118" t="s">
        <v>40</v>
      </c>
      <c r="D118">
        <v>5.5929890000000002</v>
      </c>
      <c r="E118">
        <v>0.55124479999999998</v>
      </c>
      <c r="F118" t="s">
        <v>41</v>
      </c>
      <c r="G118">
        <v>-446.51229999999998</v>
      </c>
      <c r="H118" s="1">
        <v>-2.733225E-6</v>
      </c>
      <c r="I118">
        <v>364.31830000000002</v>
      </c>
      <c r="J118">
        <v>-468.29640000000001</v>
      </c>
      <c r="K118">
        <v>1.119373</v>
      </c>
      <c r="L118">
        <v>367.09300000000002</v>
      </c>
      <c r="M118">
        <v>0.9999574</v>
      </c>
      <c r="N118">
        <v>1.3176850000000001E-3</v>
      </c>
      <c r="O118">
        <v>9.142898E-3</v>
      </c>
      <c r="P118">
        <v>0.99687780000000004</v>
      </c>
      <c r="Q118">
        <v>-7.8415650000000003E-2</v>
      </c>
      <c r="R118">
        <v>-9.259504E-3</v>
      </c>
      <c r="S118">
        <v>2.993652</v>
      </c>
      <c r="T118">
        <v>-0.15300859999999999</v>
      </c>
      <c r="U118">
        <v>-0.37905879999999997</v>
      </c>
      <c r="V118">
        <v>1.8431579999999999E-2</v>
      </c>
      <c r="W118">
        <v>-7.9715560000000005E-2</v>
      </c>
      <c r="X118">
        <v>0.99664719999999996</v>
      </c>
      <c r="Y118">
        <v>0.13450239999999999</v>
      </c>
      <c r="Z118">
        <v>-3.8095749999999999E-3</v>
      </c>
      <c r="AA118">
        <v>0.99090590000000001</v>
      </c>
      <c r="AB118">
        <v>12</v>
      </c>
      <c r="AC118">
        <v>21.784099999999999</v>
      </c>
      <c r="AD118">
        <v>-1.1193757332250001</v>
      </c>
      <c r="AE118">
        <v>-2.77469999999999</v>
      </c>
      <c r="AF118">
        <v>2.9660474171665201</v>
      </c>
      <c r="AG118">
        <v>-1.1193757332250001</v>
      </c>
      <c r="AH118">
        <v>21.7014346234577</v>
      </c>
      <c r="AI118">
        <v>92.925590224574194</v>
      </c>
      <c r="AJ118">
        <v>82.217310613743706</v>
      </c>
      <c r="AK118">
        <v>21.9317738459347</v>
      </c>
      <c r="AL118">
        <v>94.572216457615298</v>
      </c>
      <c r="AM118">
        <v>88.940516389260694</v>
      </c>
      <c r="AN118">
        <v>0.99999996745762398</v>
      </c>
    </row>
    <row r="119" spans="1:40" x14ac:dyDescent="0.25">
      <c r="A119" t="str">
        <f>"20190303154058972"</f>
        <v>20190303154058972</v>
      </c>
      <c r="B119" t="str">
        <f>"1551598858969601"</f>
        <v>1551598858969601</v>
      </c>
      <c r="C119" t="s">
        <v>40</v>
      </c>
      <c r="D119">
        <v>5.6979280000000001</v>
      </c>
      <c r="E119">
        <v>0.55490609999999996</v>
      </c>
      <c r="F119" t="s">
        <v>41</v>
      </c>
      <c r="G119">
        <v>-446.27069999999998</v>
      </c>
      <c r="H119" s="1">
        <v>-2.9402849999999998E-6</v>
      </c>
      <c r="I119">
        <v>363.8888</v>
      </c>
      <c r="J119">
        <v>-468.16019999999997</v>
      </c>
      <c r="K119">
        <v>1.119224</v>
      </c>
      <c r="L119">
        <v>367.09440000000001</v>
      </c>
      <c r="M119">
        <v>0.99995469999999997</v>
      </c>
      <c r="N119">
        <v>1.567262E-3</v>
      </c>
      <c r="O119">
        <v>9.3955340000000005E-3</v>
      </c>
      <c r="P119">
        <v>0.99678750000000005</v>
      </c>
      <c r="Q119">
        <v>-7.9550099999999999E-2</v>
      </c>
      <c r="R119">
        <v>-9.3173349999999995E-3</v>
      </c>
      <c r="S119">
        <v>2.9933779999999999</v>
      </c>
      <c r="T119">
        <v>-0.1521274</v>
      </c>
      <c r="U119">
        <v>-0.43545529999999999</v>
      </c>
      <c r="V119">
        <v>1.8727730000000001E-2</v>
      </c>
      <c r="W119">
        <v>-8.1101480000000004E-2</v>
      </c>
      <c r="X119">
        <v>0.99652989999999997</v>
      </c>
      <c r="Y119">
        <v>0.15304889999999999</v>
      </c>
      <c r="Z119">
        <v>-4.2350249999999999E-3</v>
      </c>
      <c r="AA119">
        <v>0.98820949999999996</v>
      </c>
      <c r="AB119">
        <v>12</v>
      </c>
      <c r="AC119">
        <v>21.889500000000002</v>
      </c>
      <c r="AD119">
        <v>-1.1192269402849999</v>
      </c>
      <c r="AE119">
        <v>-3.2056</v>
      </c>
      <c r="AF119">
        <v>3.4024139284488002</v>
      </c>
      <c r="AG119">
        <v>-1.1192269402849999</v>
      </c>
      <c r="AH119">
        <v>21.802612434048399</v>
      </c>
      <c r="AI119">
        <v>92.903590517434097</v>
      </c>
      <c r="AJ119">
        <v>81.130228994181607</v>
      </c>
      <c r="AK119">
        <v>22.094863621070001</v>
      </c>
      <c r="AL119">
        <v>94.651881593190197</v>
      </c>
      <c r="AM119">
        <v>88.923370393146101</v>
      </c>
      <c r="AN119">
        <v>1.00000000976157</v>
      </c>
    </row>
    <row r="120" spans="1:40" x14ac:dyDescent="0.25">
      <c r="A120" t="str">
        <f>"20190303154058993"</f>
        <v>20190303154058993</v>
      </c>
      <c r="B120" t="str">
        <f>"1551598858989121"</f>
        <v>1551598858989121</v>
      </c>
      <c r="C120" t="s">
        <v>40</v>
      </c>
      <c r="D120">
        <v>5.7103659999999996</v>
      </c>
      <c r="E120">
        <v>0.55562869999999998</v>
      </c>
      <c r="F120" t="s">
        <v>41</v>
      </c>
      <c r="G120">
        <v>-448.64850000000001</v>
      </c>
      <c r="H120" s="1">
        <v>-1.9811099999999998E-6</v>
      </c>
      <c r="I120">
        <v>364.06189999999998</v>
      </c>
      <c r="J120">
        <v>-468.04270000000002</v>
      </c>
      <c r="K120">
        <v>1.1191249999999999</v>
      </c>
      <c r="L120">
        <v>367.09570000000002</v>
      </c>
      <c r="M120">
        <v>0.99995149999999999</v>
      </c>
      <c r="N120">
        <v>1.7395710000000001E-3</v>
      </c>
      <c r="O120">
        <v>9.6926180000000001E-3</v>
      </c>
      <c r="P120">
        <v>0.99675150000000001</v>
      </c>
      <c r="Q120">
        <v>-7.999676E-2</v>
      </c>
      <c r="R120">
        <v>-9.3237849999999994E-3</v>
      </c>
      <c r="S120">
        <v>2.9916079999999998</v>
      </c>
      <c r="T120">
        <v>-0.17160449999999999</v>
      </c>
      <c r="U120">
        <v>-0.46496579999999899</v>
      </c>
      <c r="V120">
        <v>1.9019520000000002E-2</v>
      </c>
      <c r="W120">
        <v>-8.172219E-2</v>
      </c>
      <c r="X120">
        <v>0.99647370000000002</v>
      </c>
      <c r="Y120">
        <v>0.16288</v>
      </c>
      <c r="Z120">
        <v>-5.0663749999999997E-3</v>
      </c>
      <c r="AA120">
        <v>0.98663290000000003</v>
      </c>
      <c r="AB120">
        <v>12</v>
      </c>
      <c r="AC120">
        <v>19.394200000000001</v>
      </c>
      <c r="AD120">
        <v>-1.11912698111</v>
      </c>
      <c r="AE120">
        <v>-3.0338000000000398</v>
      </c>
      <c r="AF120">
        <v>3.2112011627436901</v>
      </c>
      <c r="AG120">
        <v>-1.11912698111</v>
      </c>
      <c r="AH120">
        <v>19.301150025764802</v>
      </c>
      <c r="AI120">
        <v>93.273534413811404</v>
      </c>
      <c r="AJ120">
        <v>80.554018108233805</v>
      </c>
      <c r="AK120">
        <v>19.598434897321201</v>
      </c>
      <c r="AL120">
        <v>94.687563929901003</v>
      </c>
      <c r="AM120">
        <v>88.906538205450204</v>
      </c>
      <c r="AN120">
        <v>1.0000000466355501</v>
      </c>
    </row>
    <row r="121" spans="1:40" x14ac:dyDescent="0.25">
      <c r="A121" t="str">
        <f>"20190303154059014"</f>
        <v>20190303154059014</v>
      </c>
      <c r="B121" t="str">
        <f>"1551598859009617"</f>
        <v>1551598859009617</v>
      </c>
      <c r="C121" t="s">
        <v>40</v>
      </c>
      <c r="D121">
        <v>5.7061099999999998</v>
      </c>
      <c r="E121">
        <v>0.55618449999999997</v>
      </c>
      <c r="F121" t="s">
        <v>41</v>
      </c>
      <c r="G121">
        <v>-450.28149999999999</v>
      </c>
      <c r="H121" s="1">
        <v>-5.0948290000000001E-6</v>
      </c>
      <c r="I121">
        <v>364.29849999999999</v>
      </c>
      <c r="J121">
        <v>-467.91770000000002</v>
      </c>
      <c r="K121">
        <v>1.1190770000000001</v>
      </c>
      <c r="L121">
        <v>367.09699999999998</v>
      </c>
      <c r="M121">
        <v>0.99994859999999997</v>
      </c>
      <c r="N121">
        <v>1.872255E-3</v>
      </c>
      <c r="O121">
        <v>9.9663140000000004E-3</v>
      </c>
      <c r="P121">
        <v>0.99671169999999998</v>
      </c>
      <c r="Q121">
        <v>-8.0526769999999998E-2</v>
      </c>
      <c r="R121">
        <v>-9.0030470000000001E-3</v>
      </c>
      <c r="S121">
        <v>2.990265</v>
      </c>
      <c r="T121">
        <v>-0.18841450000000001</v>
      </c>
      <c r="U121">
        <v>-0.47091670000000002</v>
      </c>
      <c r="V121">
        <v>1.8965760000000002E-2</v>
      </c>
      <c r="W121">
        <v>-8.2385719999999996E-2</v>
      </c>
      <c r="X121">
        <v>0.99641999999999997</v>
      </c>
      <c r="Y121">
        <v>0.16507289999999999</v>
      </c>
      <c r="Z121">
        <v>-5.6502189999999997E-3</v>
      </c>
      <c r="AA121">
        <v>0.98626519999999995</v>
      </c>
      <c r="AB121">
        <v>12</v>
      </c>
      <c r="AC121">
        <v>17.636199999999999</v>
      </c>
      <c r="AD121">
        <v>-1.1190820948289999</v>
      </c>
      <c r="AE121">
        <v>-2.79849999999999</v>
      </c>
      <c r="AF121">
        <v>2.9624940843958898</v>
      </c>
      <c r="AG121">
        <v>-1.1190820948289999</v>
      </c>
      <c r="AH121">
        <v>17.538550989417601</v>
      </c>
      <c r="AI121">
        <v>93.600061955944597</v>
      </c>
      <c r="AJ121">
        <v>80.412481383485897</v>
      </c>
      <c r="AK121">
        <v>17.822162796457899</v>
      </c>
      <c r="AL121">
        <v>94.725710432811496</v>
      </c>
      <c r="AM121">
        <v>88.909569455098804</v>
      </c>
      <c r="AN121">
        <v>0.99999996165614702</v>
      </c>
    </row>
    <row r="122" spans="1:40" x14ac:dyDescent="0.25">
      <c r="A122" t="str">
        <f>"20190303154059038"</f>
        <v>20190303154059038</v>
      </c>
      <c r="B122" t="str">
        <f>"1551598859029137"</f>
        <v>1551598859029137</v>
      </c>
      <c r="C122" t="s">
        <v>40</v>
      </c>
      <c r="D122">
        <v>5.7357370000000003</v>
      </c>
      <c r="E122">
        <v>0.55665580000000003</v>
      </c>
      <c r="F122" t="s">
        <v>41</v>
      </c>
      <c r="G122">
        <v>-451.44310000000002</v>
      </c>
      <c r="H122" s="1">
        <v>-4.5639109999999997E-6</v>
      </c>
      <c r="I122">
        <v>364.48200000000003</v>
      </c>
      <c r="J122">
        <v>-467.77569999999997</v>
      </c>
      <c r="K122">
        <v>1.1190690000000001</v>
      </c>
      <c r="L122">
        <v>367.09859999999998</v>
      </c>
      <c r="M122">
        <v>0.99994649999999996</v>
      </c>
      <c r="N122">
        <v>1.9835199999999999E-3</v>
      </c>
      <c r="O122">
        <v>1.0166639999999999E-2</v>
      </c>
      <c r="P122">
        <v>0.99670409999999998</v>
      </c>
      <c r="Q122">
        <v>-8.0572589999999999E-2</v>
      </c>
      <c r="R122">
        <v>-9.4534100000000006E-3</v>
      </c>
      <c r="S122">
        <v>2.9891969999999999</v>
      </c>
      <c r="T122">
        <v>-0.20304920000000001</v>
      </c>
      <c r="U122">
        <v>-0.47445680000000001</v>
      </c>
      <c r="V122">
        <v>1.961485E-2</v>
      </c>
      <c r="W122">
        <v>-8.2542260000000006E-2</v>
      </c>
      <c r="X122">
        <v>0.99639449999999996</v>
      </c>
      <c r="Y122">
        <v>0.166407</v>
      </c>
      <c r="Z122">
        <v>-6.1497449999999999E-3</v>
      </c>
      <c r="AA122">
        <v>0.98603799999999997</v>
      </c>
      <c r="AB122">
        <v>13</v>
      </c>
      <c r="AC122">
        <v>16.3325999999999</v>
      </c>
      <c r="AD122">
        <v>-1.1190735639110001</v>
      </c>
      <c r="AE122">
        <v>-2.6166</v>
      </c>
      <c r="AF122">
        <v>2.76983463040738</v>
      </c>
      <c r="AG122">
        <v>-1.1190735639110001</v>
      </c>
      <c r="AH122">
        <v>16.230861815229598</v>
      </c>
      <c r="AI122">
        <v>93.888112717401199</v>
      </c>
      <c r="AJ122">
        <v>80.315631831274601</v>
      </c>
      <c r="AK122">
        <v>16.503490078959899</v>
      </c>
      <c r="AL122">
        <v>94.734710064337406</v>
      </c>
      <c r="AM122">
        <v>88.872230849424994</v>
      </c>
      <c r="AN122">
        <v>0.99999998332833895</v>
      </c>
    </row>
    <row r="123" spans="1:40" x14ac:dyDescent="0.25">
      <c r="A123" t="str">
        <f>"20190303154059060"</f>
        <v>20190303154059060</v>
      </c>
      <c r="B123" t="str">
        <f>"1551598859048656"</f>
        <v>1551598859048656</v>
      </c>
      <c r="C123" t="s">
        <v>40</v>
      </c>
      <c r="D123">
        <v>5.7166560000000004</v>
      </c>
      <c r="E123">
        <v>0.55705700000000002</v>
      </c>
      <c r="F123" t="s">
        <v>41</v>
      </c>
      <c r="G123">
        <v>-451.92160000000001</v>
      </c>
      <c r="H123" s="1">
        <v>-4.3460590000000001E-6</v>
      </c>
      <c r="I123">
        <v>364.55290000000002</v>
      </c>
      <c r="J123">
        <v>-467.64710000000002</v>
      </c>
      <c r="K123">
        <v>1.119068</v>
      </c>
      <c r="L123">
        <v>367.1001</v>
      </c>
      <c r="M123">
        <v>0.99994510000000003</v>
      </c>
      <c r="N123">
        <v>2.070962E-3</v>
      </c>
      <c r="O123">
        <v>1.028597E-2</v>
      </c>
      <c r="P123">
        <v>0.99666639999999995</v>
      </c>
      <c r="Q123">
        <v>-8.0964640000000004E-2</v>
      </c>
      <c r="R123">
        <v>-1.004645E-2</v>
      </c>
      <c r="S123">
        <v>2.9883419999999998</v>
      </c>
      <c r="T123">
        <v>-0.21093390000000001</v>
      </c>
      <c r="U123">
        <v>-0.47982789999999997</v>
      </c>
      <c r="V123">
        <v>2.0327830000000002E-2</v>
      </c>
      <c r="W123">
        <v>-8.302081E-2</v>
      </c>
      <c r="X123">
        <v>0.99634049999999996</v>
      </c>
      <c r="Y123">
        <v>0.16826089999999999</v>
      </c>
      <c r="Z123">
        <v>-6.4596890000000002E-3</v>
      </c>
      <c r="AA123">
        <v>0.98572130000000002</v>
      </c>
      <c r="AB123">
        <v>13</v>
      </c>
      <c r="AC123">
        <v>15.7255</v>
      </c>
      <c r="AD123">
        <v>-1.119072346059</v>
      </c>
      <c r="AE123">
        <v>-2.5471999999999699</v>
      </c>
      <c r="AF123">
        <v>2.6955160624552401</v>
      </c>
      <c r="AG123">
        <v>-1.119072346059</v>
      </c>
      <c r="AH123">
        <v>15.6213809776351</v>
      </c>
      <c r="AI123">
        <v>94.038038116298793</v>
      </c>
      <c r="AJ123">
        <v>80.209847752574007</v>
      </c>
      <c r="AK123">
        <v>15.8916856691507</v>
      </c>
      <c r="AL123">
        <v>94.762223153158203</v>
      </c>
      <c r="AM123">
        <v>88.831185423564406</v>
      </c>
      <c r="AN123">
        <v>1.0000000337529</v>
      </c>
    </row>
    <row r="124" spans="1:40" x14ac:dyDescent="0.25">
      <c r="A124" t="str">
        <f>"20190303154059081"</f>
        <v>20190303154059081</v>
      </c>
      <c r="B124" t="str">
        <f>"1551598859078913"</f>
        <v>1551598859078913</v>
      </c>
      <c r="C124" t="s">
        <v>40</v>
      </c>
      <c r="D124">
        <v>5.8172930000000003</v>
      </c>
      <c r="E124">
        <v>0.55746289999999998</v>
      </c>
      <c r="F124" t="s">
        <v>41</v>
      </c>
      <c r="G124">
        <v>-452.42950000000002</v>
      </c>
      <c r="H124" s="1">
        <v>-4.1146359999999997E-6</v>
      </c>
      <c r="I124">
        <v>364.6293</v>
      </c>
      <c r="J124">
        <v>-467.51479999999998</v>
      </c>
      <c r="K124">
        <v>1.119075</v>
      </c>
      <c r="L124">
        <v>367.10169999999999</v>
      </c>
      <c r="M124">
        <v>0.99994369999999999</v>
      </c>
      <c r="N124">
        <v>2.1549579999999998E-3</v>
      </c>
      <c r="O124">
        <v>1.0402089999999999E-2</v>
      </c>
      <c r="P124">
        <v>0.99663590000000002</v>
      </c>
      <c r="Q124">
        <v>-8.1287590000000007E-2</v>
      </c>
      <c r="R124">
        <v>-1.0471899999999999E-2</v>
      </c>
      <c r="S124">
        <v>2.9873050000000001</v>
      </c>
      <c r="T124">
        <v>-0.2196795</v>
      </c>
      <c r="U124">
        <v>-0.4850159</v>
      </c>
      <c r="V124">
        <v>2.086872E-2</v>
      </c>
      <c r="W124">
        <v>-8.3427180000000004E-2</v>
      </c>
      <c r="X124">
        <v>0.99629529999999999</v>
      </c>
      <c r="Y124">
        <v>0.17005629999999999</v>
      </c>
      <c r="Z124">
        <v>-6.8005790000000002E-3</v>
      </c>
      <c r="AA124">
        <v>0.98541089999999998</v>
      </c>
      <c r="AB124">
        <v>13</v>
      </c>
      <c r="AC124">
        <v>15.085299999999901</v>
      </c>
      <c r="AD124">
        <v>-1.119079114636</v>
      </c>
      <c r="AE124">
        <v>-2.4723999999999902</v>
      </c>
      <c r="AF124">
        <v>2.6151699488012001</v>
      </c>
      <c r="AG124">
        <v>-1.119079114636</v>
      </c>
      <c r="AH124">
        <v>14.9784925683023</v>
      </c>
      <c r="AI124">
        <v>94.209325217352102</v>
      </c>
      <c r="AJ124">
        <v>80.096271157315797</v>
      </c>
      <c r="AK124">
        <v>15.24620252865</v>
      </c>
      <c r="AL124">
        <v>94.785587839922997</v>
      </c>
      <c r="AM124">
        <v>88.800039750332402</v>
      </c>
      <c r="AN124">
        <v>0.99999996131963897</v>
      </c>
    </row>
    <row r="125" spans="1:40" x14ac:dyDescent="0.25">
      <c r="A125" t="str">
        <f>"20190303154059103"</f>
        <v>20190303154059103</v>
      </c>
      <c r="B125" t="str">
        <f>"1551598859099409"</f>
        <v>1551598859099409</v>
      </c>
      <c r="C125" t="s">
        <v>40</v>
      </c>
      <c r="D125">
        <v>5.7187229999999998</v>
      </c>
      <c r="E125">
        <v>0.557778199999999</v>
      </c>
      <c r="F125" t="s">
        <v>41</v>
      </c>
      <c r="G125">
        <v>-452.4973</v>
      </c>
      <c r="H125" s="1">
        <v>-4.0833789999999998E-6</v>
      </c>
      <c r="I125">
        <v>364.64170000000001</v>
      </c>
      <c r="J125">
        <v>-467.37889999999999</v>
      </c>
      <c r="K125">
        <v>1.119068</v>
      </c>
      <c r="L125">
        <v>367.10340000000002</v>
      </c>
      <c r="M125">
        <v>0.999942</v>
      </c>
      <c r="N125">
        <v>2.2320600000000001E-3</v>
      </c>
      <c r="O125">
        <v>1.054472E-2</v>
      </c>
      <c r="P125">
        <v>0.99664810000000004</v>
      </c>
      <c r="Q125">
        <v>-8.1080269999999996E-2</v>
      </c>
      <c r="R125">
        <v>-1.090722E-2</v>
      </c>
      <c r="S125">
        <v>2.986847</v>
      </c>
      <c r="T125">
        <v>-0.2225724</v>
      </c>
      <c r="U125">
        <v>-0.48925780000000002</v>
      </c>
      <c r="V125">
        <v>2.1444189999999998E-2</v>
      </c>
      <c r="W125">
        <v>-8.3297010000000005E-2</v>
      </c>
      <c r="X125">
        <v>0.99629400000000001</v>
      </c>
      <c r="Y125">
        <v>0.17156740000000001</v>
      </c>
      <c r="Z125">
        <v>-6.9514700000000004E-3</v>
      </c>
      <c r="AA125">
        <v>0.98514780000000002</v>
      </c>
      <c r="AB125">
        <v>14</v>
      </c>
      <c r="AC125">
        <v>14.881599999999899</v>
      </c>
      <c r="AD125">
        <v>-1.119072083379</v>
      </c>
      <c r="AE125">
        <v>-2.4617</v>
      </c>
      <c r="AF125">
        <v>2.6041520920969301</v>
      </c>
      <c r="AG125">
        <v>-1.119072083379</v>
      </c>
      <c r="AH125">
        <v>14.773498603242199</v>
      </c>
      <c r="AI125">
        <v>94.266278665311006</v>
      </c>
      <c r="AJ125">
        <v>80.003062927027699</v>
      </c>
      <c r="AK125">
        <v>15.042944905389</v>
      </c>
      <c r="AL125">
        <v>94.778103461390302</v>
      </c>
      <c r="AM125">
        <v>88.766958451644598</v>
      </c>
      <c r="AN125">
        <v>0.99999998979784799</v>
      </c>
    </row>
    <row r="126" spans="1:40" x14ac:dyDescent="0.25">
      <c r="A126" t="str">
        <f>"20190303154059125"</f>
        <v>20190303154059125</v>
      </c>
      <c r="B126" t="str">
        <f>"1551598859118929"</f>
        <v>1551598859118929</v>
      </c>
      <c r="C126" t="s">
        <v>40</v>
      </c>
      <c r="D126">
        <v>5.7671590000000004</v>
      </c>
      <c r="E126">
        <v>0.55794690000000002</v>
      </c>
      <c r="F126" t="s">
        <v>41</v>
      </c>
      <c r="G126">
        <v>-452.62119999999999</v>
      </c>
      <c r="H126" s="1">
        <v>-4.0260449999999998E-6</v>
      </c>
      <c r="I126">
        <v>364.66520000000003</v>
      </c>
      <c r="J126">
        <v>-467.23430000000002</v>
      </c>
      <c r="K126">
        <v>1.1190469999999999</v>
      </c>
      <c r="L126">
        <v>367.10520000000002</v>
      </c>
      <c r="M126">
        <v>0.99994000000000005</v>
      </c>
      <c r="N126">
        <v>2.3015539999999999E-3</v>
      </c>
      <c r="O126">
        <v>1.072481E-2</v>
      </c>
      <c r="P126">
        <v>0.99662969999999895</v>
      </c>
      <c r="Q126">
        <v>-8.1321309999999994E-2</v>
      </c>
      <c r="R126">
        <v>-1.079162E-2</v>
      </c>
      <c r="S126">
        <v>2.986237</v>
      </c>
      <c r="T126">
        <v>-0.22644339999999999</v>
      </c>
      <c r="U126">
        <v>-0.49334719999999999</v>
      </c>
      <c r="V126">
        <v>2.1504260000000001E-2</v>
      </c>
      <c r="W126">
        <v>-8.3608150000000006E-2</v>
      </c>
      <c r="X126">
        <v>0.99626669999999995</v>
      </c>
      <c r="Y126">
        <v>0.1730689</v>
      </c>
      <c r="Z126">
        <v>-7.1390069999999898E-3</v>
      </c>
      <c r="AA126">
        <v>0.98488379999999998</v>
      </c>
      <c r="AB126">
        <v>14</v>
      </c>
      <c r="AC126">
        <v>14.613099999999999</v>
      </c>
      <c r="AD126">
        <v>-1.119051026045</v>
      </c>
      <c r="AE126">
        <v>-2.4399999999999902</v>
      </c>
      <c r="AF126">
        <v>2.5818527353035399</v>
      </c>
      <c r="AG126">
        <v>-1.119051026045</v>
      </c>
      <c r="AH126">
        <v>14.5033461415783</v>
      </c>
      <c r="AI126">
        <v>94.344065340307395</v>
      </c>
      <c r="AJ126">
        <v>79.906075599811601</v>
      </c>
      <c r="AK126">
        <v>14.773804115667801</v>
      </c>
      <c r="AL126">
        <v>94.795992599516893</v>
      </c>
      <c r="AM126">
        <v>88.763471623468106</v>
      </c>
      <c r="AN126">
        <v>1.00000004673672</v>
      </c>
    </row>
    <row r="127" spans="1:40" x14ac:dyDescent="0.25">
      <c r="A127" t="str">
        <f>"20190303154059149"</f>
        <v>20190303154059149</v>
      </c>
      <c r="B127" t="str">
        <f>"1551598859139426"</f>
        <v>1551598859139426</v>
      </c>
      <c r="C127" t="s">
        <v>40</v>
      </c>
      <c r="D127">
        <v>5.8640429999999997</v>
      </c>
      <c r="E127">
        <v>0.55841070000000004</v>
      </c>
      <c r="F127" t="s">
        <v>41</v>
      </c>
      <c r="G127">
        <v>-452.71620000000001</v>
      </c>
      <c r="H127" s="1">
        <v>-3.9787060000000003E-6</v>
      </c>
      <c r="I127">
        <v>364.70209999999997</v>
      </c>
      <c r="J127">
        <v>-467.08699999999999</v>
      </c>
      <c r="K127">
        <v>1.11904</v>
      </c>
      <c r="L127">
        <v>367.10700000000003</v>
      </c>
      <c r="M127">
        <v>0.99993759999999998</v>
      </c>
      <c r="N127">
        <v>2.3609600000000001E-3</v>
      </c>
      <c r="O127">
        <v>1.0922619999999999E-2</v>
      </c>
      <c r="P127">
        <v>0.99664600000000003</v>
      </c>
      <c r="Q127">
        <v>-8.1190680000000001E-2</v>
      </c>
      <c r="R127">
        <v>-1.0223670000000001E-2</v>
      </c>
      <c r="S127">
        <v>2.9860229999999999</v>
      </c>
      <c r="T127">
        <v>-0.2301618</v>
      </c>
      <c r="U127">
        <v>-0.49423220000000001</v>
      </c>
      <c r="V127">
        <v>2.1129760000000001E-2</v>
      </c>
      <c r="W127">
        <v>-8.3537879999999995E-2</v>
      </c>
      <c r="X127">
        <v>0.99628059999999996</v>
      </c>
      <c r="Y127">
        <v>0.1735408</v>
      </c>
      <c r="Z127">
        <v>-7.2876290000000003E-3</v>
      </c>
      <c r="AA127">
        <v>0.98479969999999994</v>
      </c>
      <c r="AB127">
        <v>14</v>
      </c>
      <c r="AC127">
        <v>14.3707999999999</v>
      </c>
      <c r="AD127">
        <v>-1.119043978706</v>
      </c>
      <c r="AE127">
        <v>-2.4048999999999898</v>
      </c>
      <c r="AF127">
        <v>2.5467021827101601</v>
      </c>
      <c r="AG127">
        <v>-1.119043978706</v>
      </c>
      <c r="AH127">
        <v>14.259565629104999</v>
      </c>
      <c r="AI127">
        <v>94.417572104203799</v>
      </c>
      <c r="AJ127">
        <v>79.873960903200398</v>
      </c>
      <c r="AK127">
        <v>14.528357214924601</v>
      </c>
      <c r="AL127">
        <v>94.791952327838402</v>
      </c>
      <c r="AM127">
        <v>88.785016389708701</v>
      </c>
      <c r="AN127">
        <v>1.0000000390444499</v>
      </c>
    </row>
    <row r="128" spans="1:40" x14ac:dyDescent="0.25">
      <c r="A128" t="str">
        <f>"20190303154059171"</f>
        <v>20190303154059171</v>
      </c>
      <c r="B128" t="str">
        <f>"1551598859169682"</f>
        <v>1551598859169682</v>
      </c>
      <c r="C128" t="s">
        <v>40</v>
      </c>
      <c r="D128">
        <v>5.7337179999999996</v>
      </c>
      <c r="E128">
        <v>0.55883769999999999</v>
      </c>
      <c r="F128" t="s">
        <v>41</v>
      </c>
      <c r="G128">
        <v>-452.7</v>
      </c>
      <c r="H128" s="1">
        <v>-3.9832560000000001E-6</v>
      </c>
      <c r="I128">
        <v>364.71570000000003</v>
      </c>
      <c r="J128">
        <v>-466.9375</v>
      </c>
      <c r="K128">
        <v>1.11903</v>
      </c>
      <c r="L128">
        <v>367.10890000000001</v>
      </c>
      <c r="M128">
        <v>0.99993529999999997</v>
      </c>
      <c r="N128">
        <v>2.4133029999999999E-3</v>
      </c>
      <c r="O128">
        <v>1.112377E-2</v>
      </c>
      <c r="P128">
        <v>0.99667229999999996</v>
      </c>
      <c r="Q128">
        <v>-8.0973680000000006E-2</v>
      </c>
      <c r="R128">
        <v>-9.3695140000000007E-3</v>
      </c>
      <c r="S128">
        <v>2.9860530000000001</v>
      </c>
      <c r="T128">
        <v>-0.23225870000000001</v>
      </c>
      <c r="U128">
        <v>-0.49630740000000001</v>
      </c>
      <c r="V128">
        <v>2.0472850000000001E-2</v>
      </c>
      <c r="W128">
        <v>-8.3374119999999996E-2</v>
      </c>
      <c r="X128">
        <v>0.99630799999999997</v>
      </c>
      <c r="Y128">
        <v>0.17439099999999999</v>
      </c>
      <c r="Z128">
        <v>-7.3987039999999999E-3</v>
      </c>
      <c r="AA128">
        <v>0.98464870000000004</v>
      </c>
      <c r="AB128">
        <v>14</v>
      </c>
      <c r="AC128">
        <v>14.237500000000001</v>
      </c>
      <c r="AD128">
        <v>-1.1190339832559999</v>
      </c>
      <c r="AE128">
        <v>-2.3931999999999798</v>
      </c>
      <c r="AF128">
        <v>2.5361900281400001</v>
      </c>
      <c r="AG128">
        <v>-1.1190339832559999</v>
      </c>
      <c r="AH128">
        <v>14.1251360628772</v>
      </c>
      <c r="AI128">
        <v>94.458669609706803</v>
      </c>
      <c r="AJ128">
        <v>79.820916326793295</v>
      </c>
      <c r="AK128">
        <v>14.3945811230932</v>
      </c>
      <c r="AL128">
        <v>94.782536882261098</v>
      </c>
      <c r="AM128">
        <v>88.822810977462495</v>
      </c>
      <c r="AN128">
        <v>1.00000000616844</v>
      </c>
    </row>
    <row r="129" spans="1:40" x14ac:dyDescent="0.25">
      <c r="A129" t="str">
        <f>"20190303154059195"</f>
        <v>20190303154059195</v>
      </c>
      <c r="B129" t="str">
        <f>"1551598859189201"</f>
        <v>1551598859189201</v>
      </c>
      <c r="C129" t="s">
        <v>40</v>
      </c>
      <c r="D129">
        <v>5.7205309999999896</v>
      </c>
      <c r="E129">
        <v>0.55908429999999998</v>
      </c>
      <c r="F129" t="s">
        <v>41</v>
      </c>
      <c r="G129">
        <v>-452.6268</v>
      </c>
      <c r="H129" s="1">
        <v>-4.012811E-6</v>
      </c>
      <c r="I129">
        <v>364.72620000000001</v>
      </c>
      <c r="J129">
        <v>-466.7808</v>
      </c>
      <c r="K129">
        <v>1.1190310000000001</v>
      </c>
      <c r="L129">
        <v>367.11090000000002</v>
      </c>
      <c r="M129">
        <v>0.99993290000000001</v>
      </c>
      <c r="N129">
        <v>2.4616490000000002E-3</v>
      </c>
      <c r="O129">
        <v>1.132914E-2</v>
      </c>
      <c r="P129">
        <v>0.99671290000000001</v>
      </c>
      <c r="Q129">
        <v>-8.0606460000000005E-2</v>
      </c>
      <c r="R129">
        <v>-8.1438280000000005E-3</v>
      </c>
      <c r="S129">
        <v>2.9863279999999999</v>
      </c>
      <c r="T129">
        <v>-0.2335161</v>
      </c>
      <c r="U129">
        <v>-0.49719239999999998</v>
      </c>
      <c r="V129">
        <v>1.9449870000000001E-2</v>
      </c>
      <c r="W129">
        <v>-8.3055909999999997E-2</v>
      </c>
      <c r="X129">
        <v>0.99635510000000005</v>
      </c>
      <c r="Y129">
        <v>0.17485510000000001</v>
      </c>
      <c r="Z129">
        <v>-7.4688929999999999E-3</v>
      </c>
      <c r="AA129">
        <v>0.98456589999999999</v>
      </c>
      <c r="AB129">
        <v>15</v>
      </c>
      <c r="AC129">
        <v>14.1539999999999</v>
      </c>
      <c r="AD129">
        <v>-1.11903501281099</v>
      </c>
      <c r="AE129">
        <v>-2.3847</v>
      </c>
      <c r="AF129">
        <v>2.5295251947945498</v>
      </c>
      <c r="AG129">
        <v>-1.11903501281099</v>
      </c>
      <c r="AH129">
        <v>14.040733028076801</v>
      </c>
      <c r="AI129">
        <v>94.484896518489705</v>
      </c>
      <c r="AJ129">
        <v>79.787357435809298</v>
      </c>
      <c r="AK129">
        <v>14.310587725063</v>
      </c>
      <c r="AL129">
        <v>94.764241205977996</v>
      </c>
      <c r="AM129">
        <v>88.881669857368806</v>
      </c>
      <c r="AN129">
        <v>1.0000000334624699</v>
      </c>
    </row>
    <row r="130" spans="1:40" x14ac:dyDescent="0.25">
      <c r="A130" t="str">
        <f>"20190303154059215"</f>
        <v>20190303154059215</v>
      </c>
      <c r="B130" t="str">
        <f>"1551598859208721"</f>
        <v>1551598859208721</v>
      </c>
      <c r="C130" t="s">
        <v>40</v>
      </c>
      <c r="D130">
        <v>5.7656720000000004</v>
      </c>
      <c r="E130">
        <v>0.55928919999999904</v>
      </c>
      <c r="F130" t="s">
        <v>41</v>
      </c>
      <c r="G130">
        <v>-452.40820000000002</v>
      </c>
      <c r="H130" s="1">
        <v>-4.1064710000000002E-6</v>
      </c>
      <c r="I130">
        <v>364.7269</v>
      </c>
      <c r="J130">
        <v>-466.642</v>
      </c>
      <c r="K130">
        <v>1.119035</v>
      </c>
      <c r="L130">
        <v>367.11270000000002</v>
      </c>
      <c r="M130">
        <v>0.99993069999999895</v>
      </c>
      <c r="N130">
        <v>2.4980789999999998E-3</v>
      </c>
      <c r="O130">
        <v>1.150792E-2</v>
      </c>
      <c r="P130">
        <v>0.99677110000000002</v>
      </c>
      <c r="Q130">
        <v>-8.0019649999999998E-2</v>
      </c>
      <c r="R130">
        <v>-6.653951E-3</v>
      </c>
      <c r="S130">
        <v>2.9870610000000002</v>
      </c>
      <c r="T130">
        <v>-0.23256830000000001</v>
      </c>
      <c r="U130">
        <v>-0.49545289999999997</v>
      </c>
      <c r="V130">
        <v>1.813816E-2</v>
      </c>
      <c r="W130">
        <v>-8.2506060000000006E-2</v>
      </c>
      <c r="X130">
        <v>0.99642549999999996</v>
      </c>
      <c r="Y130">
        <v>0.1744395</v>
      </c>
      <c r="Z130">
        <v>-7.4323649999999998E-3</v>
      </c>
      <c r="AA130">
        <v>0.98463979999999995</v>
      </c>
      <c r="AB130">
        <v>15</v>
      </c>
      <c r="AC130">
        <v>14.233799999999899</v>
      </c>
      <c r="AD130">
        <v>-1.1190391064709999</v>
      </c>
      <c r="AE130">
        <v>-2.3858000000000099</v>
      </c>
      <c r="AF130">
        <v>2.5342084079401799</v>
      </c>
      <c r="AG130">
        <v>-1.1190391064709999</v>
      </c>
      <c r="AH130">
        <v>14.120509922453101</v>
      </c>
      <c r="AI130">
        <v>94.460207766592404</v>
      </c>
      <c r="AJ130">
        <v>79.825440816668603</v>
      </c>
      <c r="AK130">
        <v>14.3896928822953</v>
      </c>
      <c r="AL130">
        <v>94.732628732099897</v>
      </c>
      <c r="AM130">
        <v>88.957147069906597</v>
      </c>
      <c r="AN130">
        <v>1.0000000099175701</v>
      </c>
    </row>
    <row r="131" spans="1:40" x14ac:dyDescent="0.25">
      <c r="A131" t="str">
        <f>"20190303154059231"</f>
        <v>20190303154059231</v>
      </c>
      <c r="B131" t="str">
        <f>"1551598859219458"</f>
        <v>1551598859219458</v>
      </c>
      <c r="C131" t="s">
        <v>40</v>
      </c>
      <c r="D131">
        <v>5.7337030000000002</v>
      </c>
      <c r="E131">
        <v>0.55938859999999901</v>
      </c>
      <c r="F131" t="s">
        <v>41</v>
      </c>
      <c r="G131">
        <v>-452.1592</v>
      </c>
      <c r="H131" s="1">
        <v>-4.2138490000000001E-6</v>
      </c>
      <c r="I131">
        <v>364.72370000000001</v>
      </c>
      <c r="J131">
        <v>-466.5317</v>
      </c>
      <c r="K131">
        <v>1.1190370000000001</v>
      </c>
      <c r="L131">
        <v>367.11410000000001</v>
      </c>
      <c r="M131">
        <v>0.99992899999999996</v>
      </c>
      <c r="N131">
        <v>2.5224420000000002E-3</v>
      </c>
      <c r="O131">
        <v>1.165035E-2</v>
      </c>
      <c r="P131">
        <v>0.99680990000000003</v>
      </c>
      <c r="Q131">
        <v>-7.9580070000000003E-2</v>
      </c>
      <c r="R131">
        <v>-6.1156989999999996E-3</v>
      </c>
      <c r="S131">
        <v>2.987854</v>
      </c>
      <c r="T131">
        <v>-0.2308606</v>
      </c>
      <c r="U131">
        <v>-0.4928284</v>
      </c>
      <c r="V131">
        <v>1.7741860000000002E-2</v>
      </c>
      <c r="W131">
        <v>-8.2090969999999999E-2</v>
      </c>
      <c r="X131">
        <v>0.99646690000000004</v>
      </c>
      <c r="Y131">
        <v>0.17370539999999901</v>
      </c>
      <c r="Z131">
        <v>-7.3573529999999996E-3</v>
      </c>
      <c r="AA131">
        <v>0.98477020000000004</v>
      </c>
      <c r="AB131">
        <v>15</v>
      </c>
      <c r="AC131">
        <v>14.3725</v>
      </c>
      <c r="AD131">
        <v>-1.119041213849</v>
      </c>
      <c r="AE131">
        <v>-2.3904000000000001</v>
      </c>
      <c r="AF131">
        <v>2.5426836906363799</v>
      </c>
      <c r="AG131">
        <v>-1.119041213849</v>
      </c>
      <c r="AH131">
        <v>14.2595585356261</v>
      </c>
      <c r="AI131">
        <v>94.417777811867893</v>
      </c>
      <c r="AJ131">
        <v>79.889604180205794</v>
      </c>
      <c r="AK131">
        <v>14.5276461692825</v>
      </c>
      <c r="AL131">
        <v>94.7087649593945</v>
      </c>
      <c r="AM131">
        <v>88.979969829276996</v>
      </c>
      <c r="AN131">
        <v>0.99999999187370503</v>
      </c>
    </row>
    <row r="132" spans="1:40" x14ac:dyDescent="0.25">
      <c r="A132" t="str">
        <f>"20190303154059251"</f>
        <v>20190303154059251</v>
      </c>
      <c r="B132" t="str">
        <f>"1551598859238977"</f>
        <v>1551598859238977</v>
      </c>
      <c r="C132" t="s">
        <v>40</v>
      </c>
      <c r="D132">
        <v>5.7501749999999996</v>
      </c>
      <c r="E132">
        <v>0.55961190000000005</v>
      </c>
      <c r="F132" t="s">
        <v>41</v>
      </c>
      <c r="G132">
        <v>-451.97969999999998</v>
      </c>
      <c r="H132" s="1">
        <v>-4.2917010000000002E-6</v>
      </c>
      <c r="I132">
        <v>364.71899999999999</v>
      </c>
      <c r="J132">
        <v>-466.39060000000001</v>
      </c>
      <c r="K132">
        <v>1.119041</v>
      </c>
      <c r="L132">
        <v>367.11590000000001</v>
      </c>
      <c r="M132">
        <v>0.99992689999999995</v>
      </c>
      <c r="N132">
        <v>2.5491210000000001E-3</v>
      </c>
      <c r="O132">
        <v>1.183354E-2</v>
      </c>
      <c r="P132">
        <v>0.99683449999999996</v>
      </c>
      <c r="Q132">
        <v>-7.9324809999999996E-2</v>
      </c>
      <c r="R132">
        <v>-5.3753630000000002E-3</v>
      </c>
      <c r="S132">
        <v>2.988251</v>
      </c>
      <c r="T132">
        <v>-0.22979269999999999</v>
      </c>
      <c r="U132">
        <v>-0.49182130000000002</v>
      </c>
      <c r="V132">
        <v>1.718457E-2</v>
      </c>
      <c r="W132">
        <v>-8.1862420000000005E-2</v>
      </c>
      <c r="X132">
        <v>0.99649549999999998</v>
      </c>
      <c r="Y132">
        <v>0.1735467</v>
      </c>
      <c r="Z132">
        <v>-7.3283300000000001E-3</v>
      </c>
      <c r="AA132">
        <v>0.98479839999999996</v>
      </c>
      <c r="AB132">
        <v>15</v>
      </c>
      <c r="AC132">
        <v>14.4109</v>
      </c>
      <c r="AD132">
        <v>-1.1190452917010001</v>
      </c>
      <c r="AE132">
        <v>-2.3969000000000098</v>
      </c>
      <c r="AF132">
        <v>2.5522887997122101</v>
      </c>
      <c r="AG132">
        <v>-1.1190452917010001</v>
      </c>
      <c r="AH132">
        <v>14.297633991962</v>
      </c>
      <c r="AI132">
        <v>94.405925944234895</v>
      </c>
      <c r="AJ132">
        <v>79.878668704904101</v>
      </c>
      <c r="AK132">
        <v>14.5667010077822</v>
      </c>
      <c r="AL132">
        <v>94.695625637323204</v>
      </c>
      <c r="AM132">
        <v>89.012031918493705</v>
      </c>
      <c r="AN132">
        <v>1.0000000233872901</v>
      </c>
    </row>
    <row r="133" spans="1:40" x14ac:dyDescent="0.25">
      <c r="A133" t="str">
        <f>"20190303154059273"</f>
        <v>20190303154059273</v>
      </c>
      <c r="B133" t="str">
        <f>"1551598859269233"</f>
        <v>1551598859269233</v>
      </c>
      <c r="C133" t="s">
        <v>40</v>
      </c>
      <c r="D133">
        <v>5.7458470000000004</v>
      </c>
      <c r="E133">
        <v>0.55987449999999905</v>
      </c>
      <c r="F133" t="s">
        <v>41</v>
      </c>
      <c r="G133">
        <v>-451.8141</v>
      </c>
      <c r="H133" s="1">
        <v>-4.3627599999999997E-6</v>
      </c>
      <c r="I133">
        <v>364.71879999999999</v>
      </c>
      <c r="J133">
        <v>-466.23509999999999</v>
      </c>
      <c r="K133">
        <v>1.1190469999999999</v>
      </c>
      <c r="L133">
        <v>367.11799999999999</v>
      </c>
      <c r="M133">
        <v>0.99992429999999999</v>
      </c>
      <c r="N133">
        <v>2.5726970000000001E-3</v>
      </c>
      <c r="O133">
        <v>1.203591E-2</v>
      </c>
      <c r="P133">
        <v>0.99687179999999997</v>
      </c>
      <c r="Q133">
        <v>-7.8863020000000006E-2</v>
      </c>
      <c r="R133">
        <v>-5.2425919999999999E-3</v>
      </c>
      <c r="S133">
        <v>2.9886170000000001</v>
      </c>
      <c r="T133">
        <v>-0.229436</v>
      </c>
      <c r="U133">
        <v>-0.49145509999999898</v>
      </c>
      <c r="V133">
        <v>1.7254439999999999E-2</v>
      </c>
      <c r="W133">
        <v>-8.1424090000000005E-2</v>
      </c>
      <c r="X133">
        <v>0.99653020000000003</v>
      </c>
      <c r="Y133">
        <v>0.1736103</v>
      </c>
      <c r="Z133">
        <v>-7.3323479999999998E-3</v>
      </c>
      <c r="AA133">
        <v>0.98478719999999997</v>
      </c>
      <c r="AB133">
        <v>16</v>
      </c>
      <c r="AC133">
        <v>14.4209999999999</v>
      </c>
      <c r="AD133">
        <v>-1.1190513627599901</v>
      </c>
      <c r="AE133">
        <v>-2.39920000000006</v>
      </c>
      <c r="AF133">
        <v>2.5576106146753901</v>
      </c>
      <c r="AG133">
        <v>-1.1190513627599901</v>
      </c>
      <c r="AH133">
        <v>14.307247102618399</v>
      </c>
      <c r="AI133">
        <v>94.402809681379495</v>
      </c>
      <c r="AJ133">
        <v>79.864675352303493</v>
      </c>
      <c r="AK133">
        <v>14.5770699272583</v>
      </c>
      <c r="AL133">
        <v>94.670427077529595</v>
      </c>
      <c r="AM133">
        <v>89.008050317654394</v>
      </c>
      <c r="AN133">
        <v>1.0000000188220399</v>
      </c>
    </row>
    <row r="134" spans="1:40" x14ac:dyDescent="0.25">
      <c r="A134" t="str">
        <f>"20190303154059293"</f>
        <v>20190303154059293</v>
      </c>
      <c r="B134" t="str">
        <f>"1551598859288753"</f>
        <v>1551598859288753</v>
      </c>
      <c r="C134" t="s">
        <v>40</v>
      </c>
      <c r="D134">
        <v>5.7653150000000002</v>
      </c>
      <c r="E134">
        <v>0.56018730000000005</v>
      </c>
      <c r="F134" t="s">
        <v>41</v>
      </c>
      <c r="G134">
        <v>-451.59100000000001</v>
      </c>
      <c r="H134" s="1">
        <v>-4.4616419999999997E-6</v>
      </c>
      <c r="I134">
        <v>364.70089999999999</v>
      </c>
      <c r="J134">
        <v>-466.08330000000001</v>
      </c>
      <c r="K134">
        <v>1.1190500000000001</v>
      </c>
      <c r="L134">
        <v>367.12009999999998</v>
      </c>
      <c r="M134">
        <v>0.99992190000000003</v>
      </c>
      <c r="N134">
        <v>2.5903670000000001E-3</v>
      </c>
      <c r="O134">
        <v>1.2232740000000001E-2</v>
      </c>
      <c r="P134">
        <v>0.99684410000000001</v>
      </c>
      <c r="Q134">
        <v>-7.9148560000000007E-2</v>
      </c>
      <c r="R134">
        <v>-6.1153580000000004E-3</v>
      </c>
      <c r="S134">
        <v>2.9887389999999998</v>
      </c>
      <c r="T134">
        <v>-0.2283878</v>
      </c>
      <c r="U134">
        <v>-0.49328610000000001</v>
      </c>
      <c r="V134">
        <v>1.8324179999999999E-2</v>
      </c>
      <c r="W134">
        <v>-8.1726750000000001E-2</v>
      </c>
      <c r="X134">
        <v>0.99648630000000005</v>
      </c>
      <c r="Y134">
        <v>0.1743873</v>
      </c>
      <c r="Z134">
        <v>-7.3399059999999898E-3</v>
      </c>
      <c r="AA134">
        <v>0.98464980000000002</v>
      </c>
      <c r="AB134">
        <v>16</v>
      </c>
      <c r="AC134">
        <v>14.4923</v>
      </c>
      <c r="AD134">
        <v>-1.119054461642</v>
      </c>
      <c r="AE134">
        <v>-2.41919999999998</v>
      </c>
      <c r="AF134">
        <v>2.5813262259287102</v>
      </c>
      <c r="AG134">
        <v>-1.119054461642</v>
      </c>
      <c r="AH134">
        <v>14.3782162535426</v>
      </c>
      <c r="AI134">
        <v>94.380593832398006</v>
      </c>
      <c r="AJ134">
        <v>79.822092770706703</v>
      </c>
      <c r="AK134">
        <v>14.650891802426999</v>
      </c>
      <c r="AL134">
        <v>94.687826333809298</v>
      </c>
      <c r="AM134">
        <v>88.946518521303005</v>
      </c>
      <c r="AN134">
        <v>0.99999999166296205</v>
      </c>
    </row>
    <row r="135" spans="1:40" x14ac:dyDescent="0.25">
      <c r="A135" t="str">
        <f>"20190303154059316"</f>
        <v>20190303154059316</v>
      </c>
      <c r="B135" t="str">
        <f>"1551598859309249"</f>
        <v>1551598859309249</v>
      </c>
      <c r="C135" t="s">
        <v>40</v>
      </c>
      <c r="D135">
        <v>5.7992229999999996</v>
      </c>
      <c r="E135">
        <v>0.56026589999999998</v>
      </c>
      <c r="F135" t="s">
        <v>41</v>
      </c>
      <c r="G135">
        <v>-451.49619999999999</v>
      </c>
      <c r="H135" s="1">
        <v>-4.5047399999999997E-6</v>
      </c>
      <c r="I135">
        <v>364.68729999999999</v>
      </c>
      <c r="J135">
        <v>-465.92149999999998</v>
      </c>
      <c r="K135">
        <v>1.119048</v>
      </c>
      <c r="L135">
        <v>367.12220000000002</v>
      </c>
      <c r="M135">
        <v>0.99991920000000001</v>
      </c>
      <c r="N135">
        <v>2.604309E-3</v>
      </c>
      <c r="O135">
        <v>1.243966E-2</v>
      </c>
      <c r="P135">
        <v>0.99678630000000001</v>
      </c>
      <c r="Q135">
        <v>-7.9803910000000006E-2</v>
      </c>
      <c r="R135">
        <v>-6.9568340000000003E-3</v>
      </c>
      <c r="S135">
        <v>2.988251</v>
      </c>
      <c r="T135">
        <v>-0.22924410000000001</v>
      </c>
      <c r="U135">
        <v>-0.49835210000000002</v>
      </c>
      <c r="V135">
        <v>1.937202E-2</v>
      </c>
      <c r="W135">
        <v>-8.2395399999999994E-2</v>
      </c>
      <c r="X135">
        <v>0.99641139999999995</v>
      </c>
      <c r="Y135">
        <v>0.17623150000000001</v>
      </c>
      <c r="Z135">
        <v>-7.4511839999999996E-3</v>
      </c>
      <c r="AA135">
        <v>0.98432050000000004</v>
      </c>
      <c r="AB135">
        <v>16</v>
      </c>
      <c r="AC135">
        <v>14.425299999999901</v>
      </c>
      <c r="AD135">
        <v>-1.11905250474</v>
      </c>
      <c r="AE135">
        <v>-2.4349000000000198</v>
      </c>
      <c r="AF135">
        <v>2.5989508598230402</v>
      </c>
      <c r="AG135">
        <v>-1.11905250474</v>
      </c>
      <c r="AH135">
        <v>14.3101616881056</v>
      </c>
      <c r="AI135">
        <v>94.399738735773596</v>
      </c>
      <c r="AJ135">
        <v>79.706380833339097</v>
      </c>
      <c r="AK135">
        <v>14.5872393419682</v>
      </c>
      <c r="AL135">
        <v>94.726266872656794</v>
      </c>
      <c r="AM135">
        <v>88.886207872797101</v>
      </c>
      <c r="AN135">
        <v>0.99999997757499903</v>
      </c>
    </row>
    <row r="136" spans="1:40" x14ac:dyDescent="0.25">
      <c r="A136" t="str">
        <f>"20190303154059338"</f>
        <v>20190303154059338</v>
      </c>
      <c r="B136" t="str">
        <f>"1551598859328774"</f>
        <v>1551598859328774</v>
      </c>
      <c r="C136" t="s">
        <v>40</v>
      </c>
      <c r="D136">
        <v>5.5816299999999996</v>
      </c>
      <c r="E136">
        <v>0.52789600000000003</v>
      </c>
      <c r="F136" t="s">
        <v>41</v>
      </c>
      <c r="G136">
        <v>-451.47480000000002</v>
      </c>
      <c r="H136" s="1">
        <v>-4.5119970000000003E-6</v>
      </c>
      <c r="I136">
        <v>364.69810000000001</v>
      </c>
      <c r="J136">
        <v>-465.74799999999999</v>
      </c>
      <c r="K136">
        <v>1.119048</v>
      </c>
      <c r="L136">
        <v>367.12459999999999</v>
      </c>
      <c r="M136">
        <v>0.99991660000000004</v>
      </c>
      <c r="N136">
        <v>2.6132500000000001E-3</v>
      </c>
      <c r="O136">
        <v>1.265641E-2</v>
      </c>
      <c r="P136">
        <v>0.99673120000000004</v>
      </c>
      <c r="Q136">
        <v>-8.0454919999999999E-2</v>
      </c>
      <c r="R136">
        <v>-7.3774080000000002E-3</v>
      </c>
      <c r="S136">
        <v>2.9876710000000002</v>
      </c>
      <c r="T136">
        <v>-0.23142560000000001</v>
      </c>
      <c r="U136">
        <v>-0.50131229999999904</v>
      </c>
      <c r="V136">
        <v>2.000853E-2</v>
      </c>
      <c r="W136">
        <v>-8.3054859999999994E-2</v>
      </c>
      <c r="X136">
        <v>0.99634409999999896</v>
      </c>
      <c r="Y136">
        <v>0.17741029999999999</v>
      </c>
      <c r="Z136">
        <v>-7.5848499999999998E-3</v>
      </c>
      <c r="AA136">
        <v>0.98410770000000003</v>
      </c>
      <c r="AB136">
        <v>16</v>
      </c>
      <c r="AC136">
        <v>14.273199999999999</v>
      </c>
      <c r="AD136">
        <v>-1.1190525119970001</v>
      </c>
      <c r="AE136">
        <v>-2.4264999999999701</v>
      </c>
      <c r="AF136">
        <v>2.5914715763752301</v>
      </c>
      <c r="AG136">
        <v>-1.1190525119970001</v>
      </c>
      <c r="AH136">
        <v>14.1567695956</v>
      </c>
      <c r="AI136">
        <v>94.446095731711395</v>
      </c>
      <c r="AJ136">
        <v>79.626555567477098</v>
      </c>
      <c r="AK136">
        <v>14.4354469566644</v>
      </c>
      <c r="AL136">
        <v>94.764180956874995</v>
      </c>
      <c r="AM136">
        <v>88.849543795699603</v>
      </c>
      <c r="AN136">
        <v>1.00000000832359</v>
      </c>
    </row>
    <row r="137" spans="1:40" x14ac:dyDescent="0.25">
      <c r="A137" t="str">
        <f>"20190303154059352"</f>
        <v>20190303154059352</v>
      </c>
      <c r="B137" t="str">
        <f>"1551598859349265"</f>
        <v>1551598859349265</v>
      </c>
      <c r="C137" t="s">
        <v>40</v>
      </c>
      <c r="D137">
        <v>5.570011</v>
      </c>
      <c r="E137">
        <v>0.51625540000000003</v>
      </c>
      <c r="F137" t="s">
        <v>42</v>
      </c>
      <c r="G137">
        <v>-464.88029999999998</v>
      </c>
      <c r="H137">
        <v>1.060605</v>
      </c>
      <c r="I137">
        <v>367.05369999999999</v>
      </c>
      <c r="J137">
        <v>-465.64420000000001</v>
      </c>
      <c r="K137">
        <v>1.1190530000000001</v>
      </c>
      <c r="L137">
        <v>367.12610000000001</v>
      </c>
      <c r="M137">
        <v>0.99991509999999995</v>
      </c>
      <c r="N137">
        <v>2.6162009999999999E-3</v>
      </c>
      <c r="O137">
        <v>1.2783539999999999E-2</v>
      </c>
      <c r="P137">
        <v>0.99672479999999997</v>
      </c>
      <c r="Q137">
        <v>-8.0563919999999997E-2</v>
      </c>
      <c r="R137">
        <v>-7.0345570000000003E-3</v>
      </c>
      <c r="S137">
        <v>2.9917600000000002</v>
      </c>
      <c r="T137">
        <v>-0.20150419999999999</v>
      </c>
      <c r="U137">
        <v>-0.2442627</v>
      </c>
      <c r="V137">
        <v>1.979268E-2</v>
      </c>
      <c r="W137">
        <v>-8.3166770000000001E-2</v>
      </c>
      <c r="X137">
        <v>0.99633910000000003</v>
      </c>
      <c r="Y137">
        <v>9.3874780000000005E-2</v>
      </c>
      <c r="Z137">
        <v>-3.9214920000000004E-3</v>
      </c>
      <c r="AA137">
        <v>0.99557629999999997</v>
      </c>
      <c r="AB137">
        <v>17</v>
      </c>
      <c r="AC137">
        <v>0.763900000000035</v>
      </c>
      <c r="AD137">
        <v>-5.8448E-2</v>
      </c>
      <c r="AE137">
        <v>-7.2400000000015993E-2</v>
      </c>
      <c r="AF137">
        <v>8.1685516602384101E-2</v>
      </c>
      <c r="AG137">
        <v>-5.8448E-2</v>
      </c>
      <c r="AH137">
        <v>0.75851111710694796</v>
      </c>
      <c r="AI137">
        <v>94.381056925016296</v>
      </c>
      <c r="AJ137">
        <v>83.8533964436985</v>
      </c>
      <c r="AK137">
        <v>0.765132542179084</v>
      </c>
      <c r="AL137">
        <v>94.770615074726294</v>
      </c>
      <c r="AM137">
        <v>88.861945809495097</v>
      </c>
      <c r="AN137">
        <v>1.00000003200131</v>
      </c>
    </row>
    <row r="138" spans="1:40" x14ac:dyDescent="0.25">
      <c r="A138" t="str">
        <f>"20190303154059371"</f>
        <v>20190303154059371</v>
      </c>
      <c r="B138" t="str">
        <f>"1551598859359025"</f>
        <v>1551598859359025</v>
      </c>
      <c r="C138" t="s">
        <v>40</v>
      </c>
      <c r="D138">
        <v>5.5644109999999998</v>
      </c>
      <c r="E138">
        <v>0.51308880000000001</v>
      </c>
      <c r="F138" t="s">
        <v>41</v>
      </c>
      <c r="G138">
        <v>-448.09039999999999</v>
      </c>
      <c r="H138" s="1">
        <v>-1.614348E-6</v>
      </c>
      <c r="I138">
        <v>366.24579999999997</v>
      </c>
      <c r="J138">
        <v>-465.49860000000001</v>
      </c>
      <c r="K138">
        <v>1.119054</v>
      </c>
      <c r="L138">
        <v>367.12819999999999</v>
      </c>
      <c r="M138">
        <v>0.99991269999999999</v>
      </c>
      <c r="N138">
        <v>2.6176279999999999E-3</v>
      </c>
      <c r="O138">
        <v>1.295872E-2</v>
      </c>
      <c r="P138">
        <v>0.99668250000000003</v>
      </c>
      <c r="Q138">
        <v>-8.1091640000000006E-2</v>
      </c>
      <c r="R138">
        <v>-6.9579300000000002E-3</v>
      </c>
      <c r="S138">
        <v>2.993347</v>
      </c>
      <c r="T138">
        <v>-0.19082569999999999</v>
      </c>
      <c r="U138">
        <v>-0.150116</v>
      </c>
      <c r="V138">
        <v>1.9890339999999999E-2</v>
      </c>
      <c r="W138">
        <v>-8.3695749999999999E-2</v>
      </c>
      <c r="X138">
        <v>0.99629279999999998</v>
      </c>
      <c r="Y138">
        <v>6.2874699999999895E-2</v>
      </c>
      <c r="Z138">
        <v>-2.7770960000000002E-3</v>
      </c>
      <c r="AA138">
        <v>0.9980175</v>
      </c>
      <c r="AB138">
        <v>17</v>
      </c>
      <c r="AC138">
        <v>17.408200000000001</v>
      </c>
      <c r="AD138">
        <v>-1.1190556143479999</v>
      </c>
      <c r="AE138">
        <v>-0.88240000000001795</v>
      </c>
      <c r="AF138">
        <v>1.1033668500848</v>
      </c>
      <c r="AG138">
        <v>-1.1190556143479999</v>
      </c>
      <c r="AH138">
        <v>17.323898747149801</v>
      </c>
      <c r="AI138">
        <v>93.688493852092506</v>
      </c>
      <c r="AJ138">
        <v>86.355728518394599</v>
      </c>
      <c r="AK138">
        <v>17.3950329598816</v>
      </c>
      <c r="AL138">
        <v>94.8010297144303</v>
      </c>
      <c r="AM138">
        <v>88.856278835429904</v>
      </c>
      <c r="AN138">
        <v>0.99999997376260796</v>
      </c>
    </row>
    <row r="139" spans="1:40" x14ac:dyDescent="0.25">
      <c r="A139" t="str">
        <f>"20190303154059394"</f>
        <v>20190303154059394</v>
      </c>
      <c r="B139" t="str">
        <f>"1551598859389245"</f>
        <v>1551598859389245</v>
      </c>
      <c r="C139" t="s">
        <v>40</v>
      </c>
      <c r="D139">
        <v>5.5378939999999997</v>
      </c>
      <c r="E139">
        <v>0.50781739999999997</v>
      </c>
      <c r="F139" t="s">
        <v>41</v>
      </c>
      <c r="G139">
        <v>-448.51339999999999</v>
      </c>
      <c r="H139" s="1">
        <v>-1.4047629999999999E-6</v>
      </c>
      <c r="I139">
        <v>366.423</v>
      </c>
      <c r="J139">
        <v>-465.31939999999997</v>
      </c>
      <c r="K139">
        <v>1.1190469999999999</v>
      </c>
      <c r="L139">
        <v>367.13069999999999</v>
      </c>
      <c r="M139">
        <v>0.99990990000000002</v>
      </c>
      <c r="N139">
        <v>2.6156280000000001E-3</v>
      </c>
      <c r="O139">
        <v>1.3166570000000001E-2</v>
      </c>
      <c r="P139">
        <v>0.99669359999999996</v>
      </c>
      <c r="Q139">
        <v>-8.0994220000000006E-2</v>
      </c>
      <c r="R139">
        <v>-6.4919319999999997E-3</v>
      </c>
      <c r="S139">
        <v>2.9930729999999999</v>
      </c>
      <c r="T139">
        <v>-0.19719639999999999</v>
      </c>
      <c r="U139">
        <v>-0.12426760000000001</v>
      </c>
      <c r="V139">
        <v>1.9631059999999999E-2</v>
      </c>
      <c r="W139">
        <v>-8.3596519999999994E-2</v>
      </c>
      <c r="X139">
        <v>0.99630629999999998</v>
      </c>
      <c r="Y139">
        <v>5.4490289999999997E-2</v>
      </c>
      <c r="Z139">
        <v>-2.6215280000000001E-3</v>
      </c>
      <c r="AA139">
        <v>0.99851080000000003</v>
      </c>
      <c r="AB139">
        <v>17</v>
      </c>
      <c r="AC139">
        <v>16.805999999999901</v>
      </c>
      <c r="AD139">
        <v>-1.1190484047629901</v>
      </c>
      <c r="AE139">
        <v>-0.70769999999998801</v>
      </c>
      <c r="AF139">
        <v>0.92482362741112401</v>
      </c>
      <c r="AG139">
        <v>-1.1190484047629901</v>
      </c>
      <c r="AH139">
        <v>16.7212190788767</v>
      </c>
      <c r="AI139">
        <v>93.8229197037912</v>
      </c>
      <c r="AJ139">
        <v>86.834288311084507</v>
      </c>
      <c r="AK139">
        <v>16.784121530715002</v>
      </c>
      <c r="AL139">
        <v>94.795324133097694</v>
      </c>
      <c r="AM139">
        <v>88.871199190802997</v>
      </c>
      <c r="AN139">
        <v>1.0000000000462601</v>
      </c>
    </row>
    <row r="140" spans="1:40" x14ac:dyDescent="0.25">
      <c r="A140" t="str">
        <f>"20190303154059417"</f>
        <v>20190303154059417</v>
      </c>
      <c r="B140" t="str">
        <f>"1551598859409741"</f>
        <v>1551598859409741</v>
      </c>
      <c r="C140" t="s">
        <v>40</v>
      </c>
      <c r="D140">
        <v>5.5421809999999896</v>
      </c>
      <c r="E140">
        <v>0.50575570000000003</v>
      </c>
      <c r="F140" t="s">
        <v>41</v>
      </c>
      <c r="G140">
        <v>-449.0874</v>
      </c>
      <c r="H140" s="1">
        <v>-1.1132199999999999E-6</v>
      </c>
      <c r="I140">
        <v>366.69029999999998</v>
      </c>
      <c r="J140">
        <v>-465.14159999999998</v>
      </c>
      <c r="K140">
        <v>1.1190370000000001</v>
      </c>
      <c r="L140">
        <v>367.13339999999999</v>
      </c>
      <c r="M140">
        <v>0.9999074</v>
      </c>
      <c r="N140">
        <v>2.6096729999999999E-3</v>
      </c>
      <c r="O140">
        <v>1.3358999999999999E-2</v>
      </c>
      <c r="P140">
        <v>0.99663559999999995</v>
      </c>
      <c r="Q140">
        <v>-8.1725030000000004E-2</v>
      </c>
      <c r="R140">
        <v>-6.2059439999999997E-3</v>
      </c>
      <c r="S140">
        <v>2.992645</v>
      </c>
      <c r="T140">
        <v>-0.20631550000000001</v>
      </c>
      <c r="U140">
        <v>-8.1207280000000007E-2</v>
      </c>
      <c r="V140">
        <v>1.9535400000000001E-2</v>
      </c>
      <c r="W140">
        <v>-8.4321530000000006E-2</v>
      </c>
      <c r="X140">
        <v>0.99624710000000005</v>
      </c>
      <c r="Y140">
        <v>4.0351129999999999E-2</v>
      </c>
      <c r="Z140">
        <v>-2.2908500000000001E-3</v>
      </c>
      <c r="AA140">
        <v>0.99918289999999998</v>
      </c>
      <c r="AB140">
        <v>17</v>
      </c>
      <c r="AC140">
        <v>16.054199999999899</v>
      </c>
      <c r="AD140">
        <v>-1.11903811322</v>
      </c>
      <c r="AE140">
        <v>-0.44310000000001498</v>
      </c>
      <c r="AF140">
        <v>0.65435241292309698</v>
      </c>
      <c r="AG140">
        <v>-1.11903811322</v>
      </c>
      <c r="AH140">
        <v>15.9693182970625</v>
      </c>
      <c r="AI140">
        <v>94.005056897086405</v>
      </c>
      <c r="AJ140">
        <v>87.653583629832298</v>
      </c>
      <c r="AK140">
        <v>16.021846031342101</v>
      </c>
      <c r="AL140">
        <v>94.837011247644796</v>
      </c>
      <c r="AM140">
        <v>88.876631567523106</v>
      </c>
      <c r="AN140">
        <v>1.0000000182665501</v>
      </c>
    </row>
    <row r="141" spans="1:40" x14ac:dyDescent="0.25">
      <c r="A141" t="str">
        <f>"20190303154059445"</f>
        <v>20190303154059445</v>
      </c>
      <c r="B141" t="str">
        <f>"1551598859439020"</f>
        <v>1551598859439020</v>
      </c>
      <c r="C141" t="s">
        <v>40</v>
      </c>
      <c r="D141">
        <v>5.5434650000000003</v>
      </c>
      <c r="E141">
        <v>0.50376599999999905</v>
      </c>
      <c r="F141" t="s">
        <v>42</v>
      </c>
      <c r="G141">
        <v>-464.25400000000002</v>
      </c>
      <c r="H141">
        <v>1.05606</v>
      </c>
      <c r="I141">
        <v>367.11410000000001</v>
      </c>
      <c r="J141">
        <v>-464.90940000000001</v>
      </c>
      <c r="K141">
        <v>1.1190199999999999</v>
      </c>
      <c r="L141">
        <v>367.13670000000002</v>
      </c>
      <c r="M141">
        <v>0.99990440000000003</v>
      </c>
      <c r="N141">
        <v>2.5962799999999999E-3</v>
      </c>
      <c r="O141">
        <v>1.3582810000000001E-2</v>
      </c>
      <c r="P141">
        <v>0.99658480000000005</v>
      </c>
      <c r="Q141">
        <v>-8.2358290000000001E-2</v>
      </c>
      <c r="R141">
        <v>-5.9922350000000003E-3</v>
      </c>
      <c r="S141">
        <v>2.9923099999999998</v>
      </c>
      <c r="T141">
        <v>-0.21231449999999999</v>
      </c>
      <c r="U141">
        <v>-6.4086909999999997E-2</v>
      </c>
      <c r="V141">
        <v>1.954154E-2</v>
      </c>
      <c r="W141">
        <v>-8.4941890000000006E-2</v>
      </c>
      <c r="X141">
        <v>0.99619420000000003</v>
      </c>
      <c r="Y141">
        <v>3.4868980000000001E-2</v>
      </c>
      <c r="Z141">
        <v>-2.187671E-3</v>
      </c>
      <c r="AA141">
        <v>0.99938950000000004</v>
      </c>
      <c r="AB141">
        <v>18</v>
      </c>
      <c r="AC141">
        <v>0.65539999999998599</v>
      </c>
      <c r="AD141">
        <v>-6.2960000000000099E-2</v>
      </c>
      <c r="AE141">
        <v>-2.2600000000011201E-2</v>
      </c>
      <c r="AF141">
        <v>3.12124264672844E-2</v>
      </c>
      <c r="AG141">
        <v>-6.2960000000000099E-2</v>
      </c>
      <c r="AH141">
        <v>0.64905012114809502</v>
      </c>
      <c r="AI141">
        <v>95.534188900212399</v>
      </c>
      <c r="AJ141">
        <v>87.246801763712995</v>
      </c>
      <c r="AK141">
        <v>0.65284319474766095</v>
      </c>
      <c r="AL141">
        <v>94.8726836186014</v>
      </c>
      <c r="AM141">
        <v>88.876218925317502</v>
      </c>
      <c r="AN141">
        <v>0.99999994028799</v>
      </c>
    </row>
    <row r="142" spans="1:40" x14ac:dyDescent="0.25">
      <c r="A142" t="str">
        <f>"20190303154059462"</f>
        <v>20190303154059462</v>
      </c>
      <c r="B142" t="str">
        <f>"1551598859459517"</f>
        <v>1551598859459517</v>
      </c>
      <c r="C142" t="s">
        <v>40</v>
      </c>
      <c r="D142">
        <v>5.5532079999999997</v>
      </c>
      <c r="E142">
        <v>0.50283270000000002</v>
      </c>
      <c r="F142" t="s">
        <v>42</v>
      </c>
      <c r="G142">
        <v>-464.08120000000002</v>
      </c>
      <c r="H142">
        <v>1.0591109999999999</v>
      </c>
      <c r="I142">
        <v>367.12310000000002</v>
      </c>
      <c r="J142">
        <v>-464.7704</v>
      </c>
      <c r="K142">
        <v>1.1190119999999999</v>
      </c>
      <c r="L142">
        <v>367.13869999999997</v>
      </c>
      <c r="M142">
        <v>0.99990290000000004</v>
      </c>
      <c r="N142">
        <v>2.5851030000000001E-3</v>
      </c>
      <c r="O142">
        <v>1.3703079999999999E-2</v>
      </c>
      <c r="P142">
        <v>0.99653689999999995</v>
      </c>
      <c r="Q142">
        <v>-8.2958850000000001E-2</v>
      </c>
      <c r="R142">
        <v>-5.6965640000000003E-3</v>
      </c>
      <c r="S142">
        <v>2.9920650000000002</v>
      </c>
      <c r="T142">
        <v>-0.21668399999999999</v>
      </c>
      <c r="U142">
        <v>-4.7729489999999999E-2</v>
      </c>
      <c r="V142">
        <v>1.936357E-2</v>
      </c>
      <c r="W142">
        <v>-8.5531560000000006E-2</v>
      </c>
      <c r="X142">
        <v>0.99614729999999996</v>
      </c>
      <c r="Y142">
        <v>2.9536819999999998E-2</v>
      </c>
      <c r="Z142">
        <v>-2.0562139999999998E-3</v>
      </c>
      <c r="AA142">
        <v>0.99956160000000005</v>
      </c>
      <c r="AB142">
        <v>18</v>
      </c>
      <c r="AC142">
        <v>0.68919999999997095</v>
      </c>
      <c r="AD142">
        <v>-5.9900999999999899E-2</v>
      </c>
      <c r="AE142">
        <v>-1.5599999999949399E-2</v>
      </c>
      <c r="AF142">
        <v>2.4855068998347999E-2</v>
      </c>
      <c r="AG142">
        <v>-5.9900999999999899E-2</v>
      </c>
      <c r="AH142">
        <v>0.68375904243421204</v>
      </c>
      <c r="AI142">
        <v>95.003351176830606</v>
      </c>
      <c r="AJ142">
        <v>87.918179194165603</v>
      </c>
      <c r="AK142">
        <v>0.68682773121537799</v>
      </c>
      <c r="AL142">
        <v>94.906592238183407</v>
      </c>
      <c r="AM142">
        <v>88.886398495224199</v>
      </c>
      <c r="AN142">
        <v>1.0000000194482299</v>
      </c>
    </row>
    <row r="143" spans="1:40" x14ac:dyDescent="0.25">
      <c r="A143" t="str">
        <f>"20190303154059483"</f>
        <v>20190303154059483</v>
      </c>
      <c r="B143" t="str">
        <f>"1551598859479037"</f>
        <v>1551598859479037</v>
      </c>
      <c r="C143" t="s">
        <v>40</v>
      </c>
      <c r="D143">
        <v>5.5974320000000004</v>
      </c>
      <c r="E143">
        <v>0.50171390000000005</v>
      </c>
      <c r="F143" t="s">
        <v>42</v>
      </c>
      <c r="G143">
        <v>-463.92469999999997</v>
      </c>
      <c r="H143">
        <v>1.056778</v>
      </c>
      <c r="I143">
        <v>367.1275</v>
      </c>
      <c r="J143">
        <v>-464.59249999999997</v>
      </c>
      <c r="K143">
        <v>1.1189910000000001</v>
      </c>
      <c r="L143">
        <v>367.14139999999998</v>
      </c>
      <c r="M143">
        <v>0.99990100000000004</v>
      </c>
      <c r="N143">
        <v>2.5643390000000001E-3</v>
      </c>
      <c r="O143">
        <v>1.3839870000000001E-2</v>
      </c>
      <c r="P143">
        <v>0.9965311</v>
      </c>
      <c r="Q143">
        <v>-8.3057480000000003E-2</v>
      </c>
      <c r="R143">
        <v>-5.2411309999999996E-3</v>
      </c>
      <c r="S143">
        <v>2.9918819999999999</v>
      </c>
      <c r="T143">
        <v>-0.22015799999999999</v>
      </c>
      <c r="U143">
        <v>-3.924561E-2</v>
      </c>
      <c r="V143">
        <v>1.9042340000000001E-2</v>
      </c>
      <c r="W143">
        <v>-8.5610060000000002E-2</v>
      </c>
      <c r="X143">
        <v>0.99614669999999905</v>
      </c>
      <c r="Y143">
        <v>2.684361E-2</v>
      </c>
      <c r="Z143">
        <v>-2.0042329999999998E-3</v>
      </c>
      <c r="AA143">
        <v>0.99963769999999996</v>
      </c>
      <c r="AB143">
        <v>18</v>
      </c>
      <c r="AC143">
        <v>0.66779999999999895</v>
      </c>
      <c r="AD143">
        <v>-6.2212999999999997E-2</v>
      </c>
      <c r="AE143">
        <v>-1.3899999999978201E-2</v>
      </c>
      <c r="AF143">
        <v>2.2941936957196499E-2</v>
      </c>
      <c r="AG143">
        <v>-6.2212999999999997E-2</v>
      </c>
      <c r="AH143">
        <v>0.66180237347764503</v>
      </c>
      <c r="AI143">
        <v>95.367125737448902</v>
      </c>
      <c r="AJ143">
        <v>88.014588570381704</v>
      </c>
      <c r="AK143">
        <v>0.66511590823028199</v>
      </c>
      <c r="AL143">
        <v>94.911106755705603</v>
      </c>
      <c r="AM143">
        <v>88.904867279069506</v>
      </c>
      <c r="AN143">
        <v>0.99999997050338396</v>
      </c>
    </row>
    <row r="144" spans="1:40" x14ac:dyDescent="0.25">
      <c r="A144" t="str">
        <f>"20190303154059506"</f>
        <v>20190303154059506</v>
      </c>
      <c r="B144" t="str">
        <f>"1551598859499533"</f>
        <v>1551598859499533</v>
      </c>
      <c r="C144" t="s">
        <v>40</v>
      </c>
      <c r="D144">
        <v>5.607666</v>
      </c>
      <c r="E144">
        <v>0.50094159999999999</v>
      </c>
      <c r="F144" t="s">
        <v>42</v>
      </c>
      <c r="G144">
        <v>-463.75810000000001</v>
      </c>
      <c r="H144">
        <v>1.0560579999999999</v>
      </c>
      <c r="I144">
        <v>367.13260000000002</v>
      </c>
      <c r="J144">
        <v>-464.40480000000002</v>
      </c>
      <c r="K144">
        <v>1.1189789999999999</v>
      </c>
      <c r="L144">
        <v>367.14409999999998</v>
      </c>
      <c r="M144">
        <v>0.99989930000000005</v>
      </c>
      <c r="N144">
        <v>2.5297739999999998E-3</v>
      </c>
      <c r="O144">
        <v>1.3963039999999999E-2</v>
      </c>
      <c r="P144">
        <v>0.99652169999999896</v>
      </c>
      <c r="Q144">
        <v>-8.3207809999999993E-2</v>
      </c>
      <c r="R144">
        <v>-4.6030250000000002E-3</v>
      </c>
      <c r="S144">
        <v>2.991425</v>
      </c>
      <c r="T144">
        <v>-0.22602359999999999</v>
      </c>
      <c r="U144">
        <v>-2.9113770000000001E-2</v>
      </c>
      <c r="V144">
        <v>1.8524260000000001E-2</v>
      </c>
      <c r="W144">
        <v>-8.5726549999999999E-2</v>
      </c>
      <c r="X144">
        <v>0.99614650000000005</v>
      </c>
      <c r="Y144">
        <v>2.3585950000000001E-2</v>
      </c>
      <c r="Z144">
        <v>-1.9486239999999999E-3</v>
      </c>
      <c r="AA144">
        <v>0.99971989999999999</v>
      </c>
      <c r="AB144">
        <v>18</v>
      </c>
      <c r="AC144">
        <v>0.64670000000000905</v>
      </c>
      <c r="AD144">
        <v>-6.2921000000000199E-2</v>
      </c>
      <c r="AE144">
        <v>-1.14999999999554E-2</v>
      </c>
      <c r="AF144">
        <v>2.0336354350294399E-2</v>
      </c>
      <c r="AG144">
        <v>-6.2921000000000199E-2</v>
      </c>
      <c r="AH144">
        <v>0.64041585326190298</v>
      </c>
      <c r="AI144">
        <v>95.608504799349802</v>
      </c>
      <c r="AJ144">
        <v>88.181188274383203</v>
      </c>
      <c r="AK144">
        <v>0.64382069294053701</v>
      </c>
      <c r="AL144">
        <v>94.917805527094501</v>
      </c>
      <c r="AM144">
        <v>88.934655093981107</v>
      </c>
      <c r="AN144">
        <v>1.00000001952285</v>
      </c>
    </row>
    <row r="145" spans="1:40" x14ac:dyDescent="0.25">
      <c r="A145" t="str">
        <f>"20190303154059527"</f>
        <v>20190303154059527</v>
      </c>
      <c r="B145" t="str">
        <f>"1551598859519053"</f>
        <v>1551598859519053</v>
      </c>
      <c r="C145" t="s">
        <v>40</v>
      </c>
      <c r="D145">
        <v>5.6090660000000003</v>
      </c>
      <c r="E145">
        <v>0.50025659999999905</v>
      </c>
      <c r="F145" t="s">
        <v>42</v>
      </c>
      <c r="G145">
        <v>-463.58879999999999</v>
      </c>
      <c r="H145">
        <v>1.0558050000000001</v>
      </c>
      <c r="I145">
        <v>367.13819999999998</v>
      </c>
      <c r="J145">
        <v>-464.22219999999999</v>
      </c>
      <c r="K145">
        <v>1.1189720000000001</v>
      </c>
      <c r="L145">
        <v>367.14679999999998</v>
      </c>
      <c r="M145">
        <v>0.99989810000000001</v>
      </c>
      <c r="N145">
        <v>2.4765379999999999E-3</v>
      </c>
      <c r="O145">
        <v>1.406257E-2</v>
      </c>
      <c r="P145">
        <v>0.99651559999999995</v>
      </c>
      <c r="Q145">
        <v>-8.3321899999999893E-2</v>
      </c>
      <c r="R145">
        <v>-3.7455380000000001E-3</v>
      </c>
      <c r="S145">
        <v>2.991028</v>
      </c>
      <c r="T145">
        <v>-0.2316433</v>
      </c>
      <c r="U145">
        <v>-2.1026610000000001E-2</v>
      </c>
      <c r="V145">
        <v>1.7763629999999999E-2</v>
      </c>
      <c r="W145">
        <v>-8.578819E-2</v>
      </c>
      <c r="X145">
        <v>0.99615500000000001</v>
      </c>
      <c r="Y145">
        <v>2.0985630000000002E-2</v>
      </c>
      <c r="Z145">
        <v>-1.9075870000000001E-3</v>
      </c>
      <c r="AA145">
        <v>0.99977800000000006</v>
      </c>
      <c r="AB145">
        <v>19</v>
      </c>
      <c r="AC145">
        <v>0.63339999999999397</v>
      </c>
      <c r="AD145">
        <v>-6.3166999999999904E-2</v>
      </c>
      <c r="AE145">
        <v>-8.6000000000012698E-3</v>
      </c>
      <c r="AF145">
        <v>1.7334045228801501E-2</v>
      </c>
      <c r="AG145">
        <v>-6.3166999999999904E-2</v>
      </c>
      <c r="AH145">
        <v>0.62698196111641802</v>
      </c>
      <c r="AI145">
        <v>95.750824090679998</v>
      </c>
      <c r="AJ145">
        <v>88.416358412262497</v>
      </c>
      <c r="AK145">
        <v>0.63039425646049796</v>
      </c>
      <c r="AL145">
        <v>94.921350531787894</v>
      </c>
      <c r="AM145">
        <v>88.978398775317601</v>
      </c>
      <c r="AN145">
        <v>0.99999997205962599</v>
      </c>
    </row>
    <row r="146" spans="1:40" x14ac:dyDescent="0.25">
      <c r="A146" t="str">
        <f>"20190303154059542"</f>
        <v>20190303154059542</v>
      </c>
      <c r="B146" t="str">
        <f>"1551598859539549"</f>
        <v>1551598859539549</v>
      </c>
      <c r="C146" t="s">
        <v>40</v>
      </c>
      <c r="D146">
        <v>5.61036</v>
      </c>
      <c r="E146">
        <v>0.49965999999999999</v>
      </c>
      <c r="F146" t="s">
        <v>42</v>
      </c>
      <c r="G146">
        <v>-463.41789999999997</v>
      </c>
      <c r="H146">
        <v>1.05531</v>
      </c>
      <c r="I146">
        <v>367.1431</v>
      </c>
      <c r="J146">
        <v>-464.0992</v>
      </c>
      <c r="K146">
        <v>1.118973</v>
      </c>
      <c r="L146">
        <v>367.14859999999999</v>
      </c>
      <c r="M146">
        <v>0.99989749999999999</v>
      </c>
      <c r="N146">
        <v>2.4224630000000001E-3</v>
      </c>
      <c r="O146">
        <v>1.4119939999999999E-2</v>
      </c>
      <c r="P146">
        <v>0.99649779999999999</v>
      </c>
      <c r="Q146">
        <v>-8.3552509999999997E-2</v>
      </c>
      <c r="R146">
        <v>-3.3868420000000002E-3</v>
      </c>
      <c r="S146">
        <v>2.990631</v>
      </c>
      <c r="T146">
        <v>-0.23690330000000001</v>
      </c>
      <c r="U146">
        <v>-1.3092039999999999E-2</v>
      </c>
      <c r="V146">
        <v>1.7460170000000001E-2</v>
      </c>
      <c r="W146">
        <v>-8.5965219999999995E-2</v>
      </c>
      <c r="X146">
        <v>0.99614510000000001</v>
      </c>
      <c r="Y146">
        <v>1.8394219999999999E-2</v>
      </c>
      <c r="Z146">
        <v>-1.855984E-3</v>
      </c>
      <c r="AA146">
        <v>0.99982910000000003</v>
      </c>
      <c r="AB146">
        <v>19</v>
      </c>
      <c r="AC146">
        <v>0.681300000000021</v>
      </c>
      <c r="AD146">
        <v>-6.3662999999999997E-2</v>
      </c>
      <c r="AE146">
        <v>-5.4999999999836204E-3</v>
      </c>
      <c r="AF146">
        <v>1.4988527453651699E-2</v>
      </c>
      <c r="AG146">
        <v>-6.3662999999999997E-2</v>
      </c>
      <c r="AH146">
        <v>0.67525866694325898</v>
      </c>
      <c r="AI146">
        <v>95.384574679737696</v>
      </c>
      <c r="AJ146">
        <v>88.728430438087798</v>
      </c>
      <c r="AK146">
        <v>0.67841867663428601</v>
      </c>
      <c r="AL146">
        <v>94.931531231686506</v>
      </c>
      <c r="AM146">
        <v>88.995837431804205</v>
      </c>
      <c r="AN146">
        <v>0.99999996842004302</v>
      </c>
    </row>
    <row r="147" spans="1:40" x14ac:dyDescent="0.25">
      <c r="A147" t="str">
        <f>"20190303154059561"</f>
        <v>20190303154059561</v>
      </c>
      <c r="B147" t="str">
        <f>"1551598859549308"</f>
        <v>1551598859549308</v>
      </c>
      <c r="C147" t="s">
        <v>40</v>
      </c>
      <c r="D147">
        <v>5.5719729999999998</v>
      </c>
      <c r="E147">
        <v>0.49961800000000001</v>
      </c>
      <c r="F147" t="s">
        <v>42</v>
      </c>
      <c r="G147">
        <v>-463.2491</v>
      </c>
      <c r="H147">
        <v>1.050357</v>
      </c>
      <c r="I147">
        <v>367.1465</v>
      </c>
      <c r="J147">
        <v>-463.93169999999998</v>
      </c>
      <c r="K147">
        <v>1.118987</v>
      </c>
      <c r="L147">
        <v>367.15100000000001</v>
      </c>
      <c r="M147">
        <v>0.99989680000000003</v>
      </c>
      <c r="N147">
        <v>2.3102119999999999E-3</v>
      </c>
      <c r="O147">
        <v>1.4186860000000001E-2</v>
      </c>
      <c r="P147">
        <v>0.99643870000000001</v>
      </c>
      <c r="Q147">
        <v>-8.4279599999999996E-2</v>
      </c>
      <c r="R147">
        <v>-2.6366279999999998E-3</v>
      </c>
      <c r="S147">
        <v>2.9902950000000001</v>
      </c>
      <c r="T147">
        <v>-0.2414732</v>
      </c>
      <c r="U147">
        <v>-7.1716310000000004E-3</v>
      </c>
      <c r="V147">
        <v>1.6773960000000001E-2</v>
      </c>
      <c r="W147">
        <v>-8.6580809999999994E-2</v>
      </c>
      <c r="X147">
        <v>0.99610359999999998</v>
      </c>
      <c r="Y147">
        <v>1.6483939999999999E-2</v>
      </c>
      <c r="Z147">
        <v>-1.8218589999999999E-3</v>
      </c>
      <c r="AA147">
        <v>0.99986249999999999</v>
      </c>
      <c r="AB147">
        <v>19</v>
      </c>
      <c r="AC147">
        <v>0.682599999999979</v>
      </c>
      <c r="AD147">
        <v>-6.8630000000000094E-2</v>
      </c>
      <c r="AE147">
        <v>-4.5000000000072699E-3</v>
      </c>
      <c r="AF147">
        <v>1.4041586505788401E-2</v>
      </c>
      <c r="AG147">
        <v>-6.8630000000000094E-2</v>
      </c>
      <c r="AH147">
        <v>0.67563793642013104</v>
      </c>
      <c r="AI147">
        <v>95.798857163868902</v>
      </c>
      <c r="AJ147">
        <v>88.809409891184004</v>
      </c>
      <c r="AK147">
        <v>0.67925979137709303</v>
      </c>
      <c r="AL147">
        <v>94.966933821904107</v>
      </c>
      <c r="AM147">
        <v>89.0352546817779</v>
      </c>
      <c r="AN147">
        <v>0.99999999216364799</v>
      </c>
    </row>
    <row r="148" spans="1:40" x14ac:dyDescent="0.25">
      <c r="A148" t="str">
        <f>"20190303154059574"</f>
        <v>20190303154059574</v>
      </c>
      <c r="B148" t="str">
        <f>"1551598859569805"</f>
        <v>1551598859569805</v>
      </c>
      <c r="C148" t="s">
        <v>40</v>
      </c>
      <c r="D148">
        <v>5.6503540000000001</v>
      </c>
      <c r="E148">
        <v>0.49932690000000002</v>
      </c>
      <c r="F148" t="s">
        <v>42</v>
      </c>
      <c r="G148">
        <v>-463.07530000000003</v>
      </c>
      <c r="H148">
        <v>1.0492539999999999</v>
      </c>
      <c r="I148">
        <v>367.14929999999998</v>
      </c>
      <c r="J148">
        <v>-463.8082</v>
      </c>
      <c r="K148">
        <v>1.1190040000000001</v>
      </c>
      <c r="L148">
        <v>367.15289999999999</v>
      </c>
      <c r="M148">
        <v>0.99989649999999997</v>
      </c>
      <c r="N148">
        <v>2.1945749999999998E-3</v>
      </c>
      <c r="O148">
        <v>1.423023E-2</v>
      </c>
      <c r="P148">
        <v>0.99640479999999998</v>
      </c>
      <c r="Q148">
        <v>-8.4678550000000005E-2</v>
      </c>
      <c r="R148">
        <v>-2.684868E-3</v>
      </c>
      <c r="S148">
        <v>2.9900509999999998</v>
      </c>
      <c r="T148">
        <v>-0.2437202</v>
      </c>
      <c r="U148">
        <v>-4.8217770000000002E-3</v>
      </c>
      <c r="V148">
        <v>1.686342E-2</v>
      </c>
      <c r="W148">
        <v>-8.6864780000000003E-2</v>
      </c>
      <c r="X148">
        <v>0.9960774</v>
      </c>
      <c r="Y148">
        <v>1.5742119999999998E-2</v>
      </c>
      <c r="Z148">
        <v>-1.8123499999999999E-3</v>
      </c>
      <c r="AA148">
        <v>0.99987440000000005</v>
      </c>
      <c r="AB148">
        <v>19</v>
      </c>
      <c r="AC148">
        <v>0.73289999999997202</v>
      </c>
      <c r="AD148">
        <v>-6.9749999999999895E-2</v>
      </c>
      <c r="AE148">
        <v>-3.6000000000058199E-3</v>
      </c>
      <c r="AF148">
        <v>1.3903073128962599E-2</v>
      </c>
      <c r="AG148">
        <v>-6.9749999999999895E-2</v>
      </c>
      <c r="AH148">
        <v>0.72619732922078895</v>
      </c>
      <c r="AI148">
        <v>95.485332015063506</v>
      </c>
      <c r="AJ148">
        <v>88.903204298777297</v>
      </c>
      <c r="AK148">
        <v>0.72967178848427205</v>
      </c>
      <c r="AL148">
        <v>94.983265466642493</v>
      </c>
      <c r="AM148">
        <v>89.030084911774594</v>
      </c>
      <c r="AN148">
        <v>1.00000002586465</v>
      </c>
    </row>
    <row r="149" spans="1:40" x14ac:dyDescent="0.25">
      <c r="A149" t="str">
        <f>"20190303154059595"</f>
        <v>20190303154059595</v>
      </c>
      <c r="B149" t="str">
        <f>"1551598859589325"</f>
        <v>1551598859589325</v>
      </c>
      <c r="C149" t="s">
        <v>40</v>
      </c>
      <c r="D149">
        <v>5.5803279999999997</v>
      </c>
      <c r="E149">
        <v>0.49906040000000002</v>
      </c>
      <c r="F149" t="s">
        <v>41</v>
      </c>
      <c r="G149">
        <v>-450.24489999999997</v>
      </c>
      <c r="H149" s="1">
        <v>-4.6062229999999996E-6</v>
      </c>
      <c r="I149">
        <v>367.1413</v>
      </c>
      <c r="J149">
        <v>-463.63200000000001</v>
      </c>
      <c r="K149">
        <v>1.1190469999999999</v>
      </c>
      <c r="L149">
        <v>367.15539999999999</v>
      </c>
      <c r="M149">
        <v>0.99989600000000001</v>
      </c>
      <c r="N149">
        <v>1.934732E-3</v>
      </c>
      <c r="O149">
        <v>1.4284399999999999E-2</v>
      </c>
      <c r="P149">
        <v>0.99634089999999997</v>
      </c>
      <c r="Q149">
        <v>-8.5428329999999997E-2</v>
      </c>
      <c r="R149">
        <v>-2.5621250000000002E-3</v>
      </c>
      <c r="S149">
        <v>2.989868</v>
      </c>
      <c r="T149">
        <v>-0.2466708</v>
      </c>
      <c r="U149">
        <v>-2.532959E-3</v>
      </c>
      <c r="V149">
        <v>1.6792390000000001E-2</v>
      </c>
      <c r="W149">
        <v>-8.73559E-2</v>
      </c>
      <c r="X149">
        <v>0.99603560000000002</v>
      </c>
      <c r="Y149">
        <v>1.503082E-2</v>
      </c>
      <c r="Z149">
        <v>-1.808479E-3</v>
      </c>
      <c r="AA149">
        <v>0.99988540000000004</v>
      </c>
      <c r="AB149">
        <v>19</v>
      </c>
      <c r="AC149">
        <v>13.387099999999901</v>
      </c>
      <c r="AD149">
        <v>-1.11905160622299</v>
      </c>
      <c r="AE149">
        <v>-1.4099999999984901E-2</v>
      </c>
      <c r="AF149">
        <v>0.20390085650574</v>
      </c>
      <c r="AG149">
        <v>-1.11905160622299</v>
      </c>
      <c r="AH149">
        <v>13.292649297694</v>
      </c>
      <c r="AI149">
        <v>94.811577736558405</v>
      </c>
      <c r="AJ149">
        <v>89.121187801667205</v>
      </c>
      <c r="AK149">
        <v>13.3412284819711</v>
      </c>
      <c r="AL149">
        <v>95.011512188911794</v>
      </c>
      <c r="AM149">
        <v>89.0341289672225</v>
      </c>
      <c r="AN149">
        <v>0.99999997704704002</v>
      </c>
    </row>
    <row r="150" spans="1:40" x14ac:dyDescent="0.25">
      <c r="A150" t="str">
        <f>"20190303154059617"</f>
        <v>20190303154059617</v>
      </c>
      <c r="B150" t="str">
        <f>"1551598859609821"</f>
        <v>1551598859609821</v>
      </c>
      <c r="C150" t="s">
        <v>40</v>
      </c>
      <c r="D150">
        <v>5.5878969999999999</v>
      </c>
      <c r="E150">
        <v>0.49896669999999999</v>
      </c>
      <c r="F150" t="s">
        <v>41</v>
      </c>
      <c r="G150">
        <v>-450.31279999999998</v>
      </c>
      <c r="H150" s="1">
        <v>-4.5748069999999998E-6</v>
      </c>
      <c r="I150">
        <v>367.15429999999998</v>
      </c>
      <c r="J150">
        <v>-463.43790000000001</v>
      </c>
      <c r="K150">
        <v>1.119146</v>
      </c>
      <c r="L150">
        <v>367.15820000000002</v>
      </c>
      <c r="M150">
        <v>0.99989629999999996</v>
      </c>
      <c r="N150">
        <v>1.473416E-3</v>
      </c>
      <c r="O150">
        <v>1.4339040000000001E-2</v>
      </c>
      <c r="P150">
        <v>0.99637120000000001</v>
      </c>
      <c r="Q150">
        <v>-8.5068299999999999E-2</v>
      </c>
      <c r="R150">
        <v>-2.8761390000000002E-3</v>
      </c>
      <c r="S150">
        <v>2.9895019999999999</v>
      </c>
      <c r="T150">
        <v>-0.25117089999999997</v>
      </c>
      <c r="U150">
        <v>-2.4414059999999999E-4</v>
      </c>
      <c r="V150">
        <v>1.7160209999999999E-2</v>
      </c>
      <c r="W150">
        <v>-8.6536589999999997E-2</v>
      </c>
      <c r="X150">
        <v>0.99610080000000001</v>
      </c>
      <c r="Y150">
        <v>1.4318839999999999E-2</v>
      </c>
      <c r="Z150">
        <v>-1.8135650000000001E-3</v>
      </c>
      <c r="AA150">
        <v>0.9998958</v>
      </c>
      <c r="AB150">
        <v>20</v>
      </c>
      <c r="AC150">
        <v>13.1251</v>
      </c>
      <c r="AD150">
        <v>-1.1191505748070001</v>
      </c>
      <c r="AE150">
        <v>-3.9000000000442001E-3</v>
      </c>
      <c r="AF150">
        <v>0.190714486981376</v>
      </c>
      <c r="AG150">
        <v>-1.1191505748070001</v>
      </c>
      <c r="AH150">
        <v>13.0289659630144</v>
      </c>
      <c r="AI150">
        <v>94.908967874720403</v>
      </c>
      <c r="AJ150">
        <v>89.161379736509502</v>
      </c>
      <c r="AK150">
        <v>13.0783341481254</v>
      </c>
      <c r="AL150">
        <v>94.964390971801507</v>
      </c>
      <c r="AM150">
        <v>89.013041291072</v>
      </c>
      <c r="AN150">
        <v>0.99999992898835299</v>
      </c>
    </row>
    <row r="151" spans="1:40" x14ac:dyDescent="0.25">
      <c r="A151" t="str">
        <f>"20190303154059641"</f>
        <v>20190303154059641</v>
      </c>
      <c r="B151" t="str">
        <f>"1551598859629341"</f>
        <v>1551598859629341</v>
      </c>
      <c r="C151" t="s">
        <v>40</v>
      </c>
      <c r="D151">
        <v>5.5876720000000004</v>
      </c>
      <c r="E151">
        <v>0.49887550000000003</v>
      </c>
      <c r="F151" t="s">
        <v>42</v>
      </c>
      <c r="G151">
        <v>-462.54739999999998</v>
      </c>
      <c r="H151">
        <v>1.0445500000000001</v>
      </c>
      <c r="I151">
        <v>367.15780000000001</v>
      </c>
      <c r="J151">
        <v>-463.23250000000002</v>
      </c>
      <c r="K151">
        <v>1.1193010000000001</v>
      </c>
      <c r="L151">
        <v>367.16120000000001</v>
      </c>
      <c r="M151">
        <v>0.99989620000000001</v>
      </c>
      <c r="N151">
        <v>7.6437629999999998E-4</v>
      </c>
      <c r="O151">
        <v>1.439349E-2</v>
      </c>
      <c r="P151">
        <v>0.99638740000000003</v>
      </c>
      <c r="Q151">
        <v>-8.4863919999999995E-2</v>
      </c>
      <c r="R151">
        <v>-3.2308900000000002E-3</v>
      </c>
      <c r="S151">
        <v>2.9895019999999999</v>
      </c>
      <c r="T151">
        <v>-0.25061499999999998</v>
      </c>
      <c r="U151">
        <v>-4.577637E-4</v>
      </c>
      <c r="V151">
        <v>1.7569310000000001E-2</v>
      </c>
      <c r="W151">
        <v>-8.5625950000000006E-2</v>
      </c>
      <c r="X151">
        <v>0.99617239999999996</v>
      </c>
      <c r="Y151">
        <v>1.444499E-2</v>
      </c>
      <c r="Z151">
        <v>-1.814354E-3</v>
      </c>
      <c r="AA151">
        <v>0.99989399999999995</v>
      </c>
      <c r="AB151">
        <v>20</v>
      </c>
      <c r="AC151">
        <v>0.68510000000003402</v>
      </c>
      <c r="AD151">
        <v>-7.4750999999999998E-2</v>
      </c>
      <c r="AE151">
        <v>-3.3999999999991802E-3</v>
      </c>
      <c r="AF151">
        <v>1.31046243243378E-2</v>
      </c>
      <c r="AG151">
        <v>-7.4750999999999998E-2</v>
      </c>
      <c r="AH151">
        <v>0.67692159990996204</v>
      </c>
      <c r="AI151">
        <v>96.300347542579402</v>
      </c>
      <c r="AJ151">
        <v>88.890941154717396</v>
      </c>
      <c r="AK151">
        <v>0.68116245903921102</v>
      </c>
      <c r="AL151">
        <v>94.912020557102096</v>
      </c>
      <c r="AM151">
        <v>88.989589596706907</v>
      </c>
      <c r="AN151">
        <v>0.99999996724451801</v>
      </c>
    </row>
    <row r="152" spans="1:40" x14ac:dyDescent="0.25">
      <c r="A152" t="str">
        <f>"20190303154059664"</f>
        <v>20190303154059664</v>
      </c>
      <c r="B152" t="str">
        <f>"1551598859659597"</f>
        <v>1551598859659597</v>
      </c>
      <c r="C152" t="s">
        <v>40</v>
      </c>
      <c r="D152">
        <v>5.5592230000000002</v>
      </c>
      <c r="E152">
        <v>0.52226989999999995</v>
      </c>
      <c r="F152" t="s">
        <v>42</v>
      </c>
      <c r="G152">
        <v>-462.36649999999997</v>
      </c>
      <c r="H152">
        <v>1.0470839999999999</v>
      </c>
      <c r="I152">
        <v>367.16070000000002</v>
      </c>
      <c r="J152">
        <v>-463.02359999999999</v>
      </c>
      <c r="K152">
        <v>1.11948</v>
      </c>
      <c r="L152">
        <v>367.16430000000003</v>
      </c>
      <c r="M152">
        <v>0.9998958</v>
      </c>
      <c r="N152">
        <v>-1.069337E-4</v>
      </c>
      <c r="O152">
        <v>1.444435E-2</v>
      </c>
      <c r="P152">
        <v>0.99634389999999995</v>
      </c>
      <c r="Q152">
        <v>-8.5355739999999999E-2</v>
      </c>
      <c r="R152">
        <v>-3.6842670000000002E-3</v>
      </c>
      <c r="S152">
        <v>2.9896850000000001</v>
      </c>
      <c r="T152">
        <v>-0.2495995</v>
      </c>
      <c r="U152">
        <v>-6.408691E-4</v>
      </c>
      <c r="V152">
        <v>1.807363E-2</v>
      </c>
      <c r="W152">
        <v>-8.5249599999999995E-2</v>
      </c>
      <c r="X152">
        <v>0.99619570000000002</v>
      </c>
      <c r="Y152">
        <v>1.4557850000000001E-2</v>
      </c>
      <c r="Z152">
        <v>-1.8096659999999999E-3</v>
      </c>
      <c r="AA152">
        <v>0.99989240000000001</v>
      </c>
      <c r="AB152">
        <v>20</v>
      </c>
      <c r="AC152">
        <v>0.65710000000001401</v>
      </c>
      <c r="AD152">
        <v>-7.2396000000000099E-2</v>
      </c>
      <c r="AE152">
        <v>-3.6000000000058199E-3</v>
      </c>
      <c r="AF152">
        <v>1.2934010426007701E-2</v>
      </c>
      <c r="AG152">
        <v>-7.2396000000000099E-2</v>
      </c>
      <c r="AH152">
        <v>0.64910055623711704</v>
      </c>
      <c r="AI152">
        <v>96.362804087199294</v>
      </c>
      <c r="AJ152">
        <v>88.858472471483694</v>
      </c>
      <c r="AK152">
        <v>0.65325339765594403</v>
      </c>
      <c r="AL152">
        <v>94.890377937176297</v>
      </c>
      <c r="AM152">
        <v>88.960616750670795</v>
      </c>
      <c r="AN152">
        <v>1.0000000115500101</v>
      </c>
    </row>
    <row r="153" spans="1:40" x14ac:dyDescent="0.25">
      <c r="A153" t="str">
        <f>"20190303154059685"</f>
        <v>20190303154059685</v>
      </c>
      <c r="B153" t="str">
        <f>"1551598859679117"</f>
        <v>1551598859679117</v>
      </c>
      <c r="C153" t="s">
        <v>40</v>
      </c>
      <c r="D153">
        <v>5.6610959999999997</v>
      </c>
      <c r="E153">
        <v>0.52226989999999995</v>
      </c>
      <c r="F153" t="s">
        <v>42</v>
      </c>
      <c r="G153">
        <v>-462.20119999999997</v>
      </c>
      <c r="H153">
        <v>1.020305</v>
      </c>
      <c r="I153">
        <v>367.11160000000001</v>
      </c>
      <c r="J153">
        <v>-462.82819999999998</v>
      </c>
      <c r="K153">
        <v>1.1196549999999901</v>
      </c>
      <c r="L153">
        <v>367.1671</v>
      </c>
      <c r="M153">
        <v>0.99989470000000003</v>
      </c>
      <c r="N153">
        <v>-1.0059520000000001E-3</v>
      </c>
      <c r="O153">
        <v>1.448808E-2</v>
      </c>
      <c r="P153">
        <v>0.99625249999999999</v>
      </c>
      <c r="Q153">
        <v>-8.6422650000000004E-2</v>
      </c>
      <c r="R153">
        <v>-3.4849579999999998E-3</v>
      </c>
      <c r="S153">
        <v>2.979492</v>
      </c>
      <c r="T153">
        <v>-0.35933110000000001</v>
      </c>
      <c r="U153">
        <v>-0.19033810000000001</v>
      </c>
      <c r="V153">
        <v>1.7918139999999999E-2</v>
      </c>
      <c r="W153">
        <v>-8.5420650000000001E-2</v>
      </c>
      <c r="X153">
        <v>0.99618390000000001</v>
      </c>
      <c r="Y153">
        <v>7.7537460000000002E-2</v>
      </c>
      <c r="Z153">
        <v>-6.4180460000000002E-3</v>
      </c>
      <c r="AA153">
        <v>0.99696879999999999</v>
      </c>
      <c r="AB153">
        <v>20</v>
      </c>
      <c r="AC153">
        <v>0.62700000000000899</v>
      </c>
      <c r="AD153">
        <v>-9.93499999999998E-2</v>
      </c>
      <c r="AE153">
        <v>-5.5499999999994998E-2</v>
      </c>
      <c r="AF153">
        <v>6.3008526527209105E-2</v>
      </c>
      <c r="AG153">
        <v>-9.93499999999998E-2</v>
      </c>
      <c r="AH153">
        <v>0.61091099901828905</v>
      </c>
      <c r="AI153">
        <v>99.189011470676306</v>
      </c>
      <c r="AJ153">
        <v>84.111412711146102</v>
      </c>
      <c r="AK153">
        <v>0.62213563282989504</v>
      </c>
      <c r="AL153">
        <v>94.900214047102295</v>
      </c>
      <c r="AM153">
        <v>88.969544572469104</v>
      </c>
      <c r="AN153">
        <v>1.0000000549033401</v>
      </c>
    </row>
    <row r="154" spans="1:40" x14ac:dyDescent="0.25">
      <c r="A154" t="str">
        <f>"20190303154059707"</f>
        <v>20190303154059707</v>
      </c>
      <c r="B154" t="str">
        <f>"1551598859699613"</f>
        <v>1551598859699613</v>
      </c>
      <c r="C154" t="s">
        <v>40</v>
      </c>
      <c r="D154">
        <v>5.6326269999999896</v>
      </c>
      <c r="E154">
        <v>0.51874100000000001</v>
      </c>
      <c r="F154" t="s">
        <v>42</v>
      </c>
      <c r="G154">
        <v>-462.02140000000003</v>
      </c>
      <c r="H154">
        <v>1.021541</v>
      </c>
      <c r="I154">
        <v>367.11540000000002</v>
      </c>
      <c r="J154">
        <v>-462.6345</v>
      </c>
      <c r="K154">
        <v>1.1198189999999999</v>
      </c>
      <c r="L154">
        <v>367.17</v>
      </c>
      <c r="M154">
        <v>0.99989249999999996</v>
      </c>
      <c r="N154">
        <v>-1.9609380000000002E-3</v>
      </c>
      <c r="O154">
        <v>1.453053E-2</v>
      </c>
      <c r="P154">
        <v>0.99620609999999998</v>
      </c>
      <c r="Q154">
        <v>-8.6952920000000003E-2</v>
      </c>
      <c r="R154">
        <v>-3.5778070000000001E-3</v>
      </c>
      <c r="S154">
        <v>2.9792179999999999</v>
      </c>
      <c r="T154">
        <v>-0.36236819999999997</v>
      </c>
      <c r="U154">
        <v>-0.1898193</v>
      </c>
      <c r="V154">
        <v>1.8054219999999999E-2</v>
      </c>
      <c r="W154">
        <v>-8.4999290000000005E-2</v>
      </c>
      <c r="X154">
        <v>0.99621740000000003</v>
      </c>
      <c r="Y154">
        <v>7.7399220000000005E-2</v>
      </c>
      <c r="Z154">
        <v>-6.492299E-3</v>
      </c>
      <c r="AA154">
        <v>0.99697910000000001</v>
      </c>
      <c r="AB154">
        <v>20</v>
      </c>
      <c r="AC154">
        <v>0.613099999999974</v>
      </c>
      <c r="AD154">
        <v>-9.8278000000000004E-2</v>
      </c>
      <c r="AE154">
        <v>-5.4599999999993501E-2</v>
      </c>
      <c r="AF154">
        <v>6.1924291052768601E-2</v>
      </c>
      <c r="AG154">
        <v>-9.8278000000000004E-2</v>
      </c>
      <c r="AH154">
        <v>0.59702208039932403</v>
      </c>
      <c r="AI154">
        <v>99.298828284394006</v>
      </c>
      <c r="AJ154">
        <v>84.078345290749297</v>
      </c>
      <c r="AK154">
        <v>0.60821751667534596</v>
      </c>
      <c r="AL154">
        <v>94.875984183053802</v>
      </c>
      <c r="AM154">
        <v>88.961755352767497</v>
      </c>
      <c r="AN154">
        <v>0.99999997111153505</v>
      </c>
    </row>
    <row r="155" spans="1:40" x14ac:dyDescent="0.25">
      <c r="A155" t="str">
        <f>"20190303154059729"</f>
        <v>20190303154059729</v>
      </c>
      <c r="B155" t="str">
        <f>"1551598859719133"</f>
        <v>1551598859719133</v>
      </c>
      <c r="C155" t="s">
        <v>40</v>
      </c>
      <c r="D155">
        <v>5.5597919999999998</v>
      </c>
      <c r="E155">
        <v>0.52062189999999997</v>
      </c>
      <c r="F155" t="s">
        <v>42</v>
      </c>
      <c r="G155">
        <v>-461.86649999999997</v>
      </c>
      <c r="H155">
        <v>0.97120790000000001</v>
      </c>
      <c r="I155">
        <v>367.12700000000001</v>
      </c>
      <c r="J155">
        <v>-462.43450000000001</v>
      </c>
      <c r="K155">
        <v>1.11998</v>
      </c>
      <c r="L155">
        <v>367.17290000000003</v>
      </c>
      <c r="M155">
        <v>0.99988929999999998</v>
      </c>
      <c r="N155">
        <v>-3.0123400000000001E-3</v>
      </c>
      <c r="O155">
        <v>1.457026E-2</v>
      </c>
      <c r="P155">
        <v>0.99613739999999995</v>
      </c>
      <c r="Q155">
        <v>-8.7743409999999994E-2</v>
      </c>
      <c r="R155">
        <v>-3.3689190000000002E-3</v>
      </c>
      <c r="S155">
        <v>2.9608150000000002</v>
      </c>
      <c r="T155">
        <v>-0.57301119999999905</v>
      </c>
      <c r="U155">
        <v>-0.16506960000000001</v>
      </c>
      <c r="V155">
        <v>1.7885950000000001E-2</v>
      </c>
      <c r="W155">
        <v>-8.4742100000000001E-2</v>
      </c>
      <c r="X155">
        <v>0.99624239999999997</v>
      </c>
      <c r="Y155">
        <v>6.865512E-2</v>
      </c>
      <c r="Z155">
        <v>-9.4304030000000004E-3</v>
      </c>
      <c r="AA155">
        <v>0.99759589999999998</v>
      </c>
      <c r="AB155">
        <v>20</v>
      </c>
      <c r="AC155">
        <v>0.56800000000004003</v>
      </c>
      <c r="AD155">
        <v>-0.14877209999999899</v>
      </c>
      <c r="AE155">
        <v>-4.5900000000074201E-2</v>
      </c>
      <c r="AF155">
        <v>5.0714455902281103E-2</v>
      </c>
      <c r="AG155">
        <v>-0.14877209999999899</v>
      </c>
      <c r="AH155">
        <v>0.53107377945826495</v>
      </c>
      <c r="AI155">
        <v>105.581973613363</v>
      </c>
      <c r="AJ155">
        <v>84.5451275460495</v>
      </c>
      <c r="AK155">
        <v>0.55384515255074696</v>
      </c>
      <c r="AL155">
        <v>94.861194657733904</v>
      </c>
      <c r="AM155">
        <v>88.971455778446</v>
      </c>
      <c r="AN155">
        <v>1.0000000251387799</v>
      </c>
    </row>
    <row r="156" spans="1:40" x14ac:dyDescent="0.25">
      <c r="A156" t="str">
        <f>"20190303154059751"</f>
        <v>20190303154059751</v>
      </c>
      <c r="B156" t="str">
        <f>"1551598859739632"</f>
        <v>1551598859739632</v>
      </c>
      <c r="C156" t="s">
        <v>40</v>
      </c>
      <c r="D156">
        <v>5.5587920000000004</v>
      </c>
      <c r="E156">
        <v>0.52129369999999997</v>
      </c>
      <c r="F156" t="s">
        <v>42</v>
      </c>
      <c r="G156">
        <v>-461.6825</v>
      </c>
      <c r="H156">
        <v>0.98135280000000003</v>
      </c>
      <c r="I156">
        <v>367.12700000000001</v>
      </c>
      <c r="J156">
        <v>-462.24489999999997</v>
      </c>
      <c r="K156">
        <v>1.1201430000000001</v>
      </c>
      <c r="L156">
        <v>367.17579999999998</v>
      </c>
      <c r="M156">
        <v>0.99988509999999997</v>
      </c>
      <c r="N156">
        <v>-4.0655680000000003E-3</v>
      </c>
      <c r="O156">
        <v>1.461078E-2</v>
      </c>
      <c r="P156">
        <v>0.9960251</v>
      </c>
      <c r="Q156">
        <v>-8.9016650000000003E-2</v>
      </c>
      <c r="R156">
        <v>-3.1862700000000002E-3</v>
      </c>
      <c r="S156">
        <v>2.96286</v>
      </c>
      <c r="T156">
        <v>-0.54637659999999999</v>
      </c>
      <c r="U156">
        <v>-0.17901610000000001</v>
      </c>
      <c r="V156">
        <v>1.7742709999999998E-2</v>
      </c>
      <c r="W156">
        <v>-8.4966319999999998E-2</v>
      </c>
      <c r="X156">
        <v>0.99622580000000005</v>
      </c>
      <c r="Y156">
        <v>7.3392120000000005E-2</v>
      </c>
      <c r="Z156">
        <v>-9.4659429999999992E-3</v>
      </c>
      <c r="AA156">
        <v>0.99725819999999998</v>
      </c>
      <c r="AB156">
        <v>20</v>
      </c>
      <c r="AC156">
        <v>0.56239999999996804</v>
      </c>
      <c r="AD156">
        <v>-0.1387902</v>
      </c>
      <c r="AE156">
        <v>-4.88000000000283E-2</v>
      </c>
      <c r="AF156">
        <v>5.3762235230572303E-2</v>
      </c>
      <c r="AG156">
        <v>-0.1387902</v>
      </c>
      <c r="AH156">
        <v>0.52961378926897595</v>
      </c>
      <c r="AI156">
        <v>104.61281739907101</v>
      </c>
      <c r="AJ156">
        <v>84.203637687702297</v>
      </c>
      <c r="AK156">
        <v>0.55013076930569005</v>
      </c>
      <c r="AL156">
        <v>94.874088327388307</v>
      </c>
      <c r="AM156">
        <v>88.979674150059097</v>
      </c>
      <c r="AN156">
        <v>0.99999996193906204</v>
      </c>
    </row>
    <row r="157" spans="1:40" x14ac:dyDescent="0.25">
      <c r="A157" t="str">
        <f>"20190303154059774"</f>
        <v>20190303154059774</v>
      </c>
      <c r="B157" t="str">
        <f>"1551598859769885"</f>
        <v>1551598859769885</v>
      </c>
      <c r="C157" t="s">
        <v>40</v>
      </c>
      <c r="D157">
        <v>5.535393</v>
      </c>
      <c r="E157">
        <v>0.52141479999999996</v>
      </c>
      <c r="F157" t="s">
        <v>42</v>
      </c>
      <c r="G157">
        <v>-461.50200000000001</v>
      </c>
      <c r="H157">
        <v>0.98523939999999999</v>
      </c>
      <c r="I157">
        <v>367.12950000000001</v>
      </c>
      <c r="J157">
        <v>-462.0385</v>
      </c>
      <c r="K157">
        <v>1.120296</v>
      </c>
      <c r="L157">
        <v>367.1789</v>
      </c>
      <c r="M157">
        <v>0.99987879999999996</v>
      </c>
      <c r="N157">
        <v>-5.2345439999999998E-3</v>
      </c>
      <c r="O157">
        <v>1.4666739999999999E-2</v>
      </c>
      <c r="P157">
        <v>0.99591359999999995</v>
      </c>
      <c r="Q157">
        <v>-9.0259989999999998E-2</v>
      </c>
      <c r="R157">
        <v>-3.0591099999999999E-3</v>
      </c>
      <c r="S157">
        <v>2.9632260000000001</v>
      </c>
      <c r="T157">
        <v>-0.53820900000000005</v>
      </c>
      <c r="U157">
        <v>-0.18362429999999999</v>
      </c>
      <c r="V157">
        <v>1.7669089999999998E-2</v>
      </c>
      <c r="W157">
        <v>-8.5045739999999995E-2</v>
      </c>
      <c r="X157">
        <v>0.99622040000000001</v>
      </c>
      <c r="Y157">
        <v>7.4997209999999995E-2</v>
      </c>
      <c r="Z157">
        <v>-9.5113379999999994E-3</v>
      </c>
      <c r="AA157">
        <v>0.99713839999999998</v>
      </c>
      <c r="AB157">
        <v>20</v>
      </c>
      <c r="AC157">
        <v>0.53650000000004605</v>
      </c>
      <c r="AD157">
        <v>-0.135056599999999</v>
      </c>
      <c r="AE157">
        <v>-4.9399999999991402E-2</v>
      </c>
      <c r="AF157">
        <v>5.38778953481669E-2</v>
      </c>
      <c r="AG157">
        <v>-0.135056599999999</v>
      </c>
      <c r="AH157">
        <v>0.50404436992604595</v>
      </c>
      <c r="AI157">
        <v>104.918655661301</v>
      </c>
      <c r="AJ157">
        <v>83.898753433041406</v>
      </c>
      <c r="AK157">
        <v>0.52459874157764896</v>
      </c>
      <c r="AL157">
        <v>94.878654955903798</v>
      </c>
      <c r="AM157">
        <v>88.983901402065101</v>
      </c>
      <c r="AN157">
        <v>1.0000000300048599</v>
      </c>
    </row>
    <row r="158" spans="1:40" x14ac:dyDescent="0.25">
      <c r="A158" t="str">
        <f>"20190303154059797"</f>
        <v>20190303154059797</v>
      </c>
      <c r="B158" t="str">
        <f>"1551598859789684"</f>
        <v>1551598859789684</v>
      </c>
      <c r="C158" t="s">
        <v>40</v>
      </c>
      <c r="D158">
        <v>5.5620430000000001</v>
      </c>
      <c r="E158">
        <v>0.52144929999999901</v>
      </c>
      <c r="F158" t="s">
        <v>42</v>
      </c>
      <c r="G158">
        <v>-461.32209999999998</v>
      </c>
      <c r="H158">
        <v>0.98890319999999998</v>
      </c>
      <c r="I158">
        <v>367.13420000000002</v>
      </c>
      <c r="J158">
        <v>-461.84100000000001</v>
      </c>
      <c r="K158">
        <v>1.120422</v>
      </c>
      <c r="L158">
        <v>367.18189999999998</v>
      </c>
      <c r="M158">
        <v>0.99987159999999997</v>
      </c>
      <c r="N158">
        <v>-6.3091969999999999E-3</v>
      </c>
      <c r="O158">
        <v>1.4729020000000001E-2</v>
      </c>
      <c r="P158">
        <v>0.99577269999999896</v>
      </c>
      <c r="Q158">
        <v>-9.1806009999999993E-2</v>
      </c>
      <c r="R158">
        <v>-2.9264600000000001E-3</v>
      </c>
      <c r="S158">
        <v>2.962494</v>
      </c>
      <c r="T158">
        <v>-0.54343629999999998</v>
      </c>
      <c r="U158">
        <v>-0.1839905</v>
      </c>
      <c r="V158">
        <v>1.7595449999999999E-2</v>
      </c>
      <c r="W158">
        <v>-8.5522139999999996E-2</v>
      </c>
      <c r="X158">
        <v>0.99618090000000004</v>
      </c>
      <c r="Y158">
        <v>7.5159699999999996E-2</v>
      </c>
      <c r="Z158">
        <v>-9.6546389999999996E-3</v>
      </c>
      <c r="AA158">
        <v>0.99712480000000003</v>
      </c>
      <c r="AB158">
        <v>20</v>
      </c>
      <c r="AC158">
        <v>0.51890000000003</v>
      </c>
      <c r="AD158">
        <v>-0.13151879999999999</v>
      </c>
      <c r="AE158">
        <v>-4.7699999999963397E-2</v>
      </c>
      <c r="AF158">
        <v>5.2023837598821399E-2</v>
      </c>
      <c r="AG158">
        <v>-0.13151879999999999</v>
      </c>
      <c r="AH158">
        <v>0.48711111187873002</v>
      </c>
      <c r="AI158">
        <v>105.027876819035</v>
      </c>
      <c r="AJ158">
        <v>83.903875327983997</v>
      </c>
      <c r="AK158">
        <v>0.50722865627612301</v>
      </c>
      <c r="AL158">
        <v>94.906050569051004</v>
      </c>
      <c r="AM158">
        <v>88.988095231020694</v>
      </c>
      <c r="AN158">
        <v>1.00000001090784</v>
      </c>
    </row>
    <row r="159" spans="1:40" x14ac:dyDescent="0.25">
      <c r="A159" t="str">
        <f>"20190303154059819"</f>
        <v>20190303154059819</v>
      </c>
      <c r="B159" t="str">
        <f>"1551598859809207"</f>
        <v>1551598859809207</v>
      </c>
      <c r="C159" t="s">
        <v>40</v>
      </c>
      <c r="D159">
        <v>5.4857809999999896</v>
      </c>
      <c r="E159">
        <v>0.52161800000000003</v>
      </c>
      <c r="F159" t="s">
        <v>42</v>
      </c>
      <c r="G159">
        <v>-460.9803</v>
      </c>
      <c r="H159">
        <v>0.96134500000000001</v>
      </c>
      <c r="I159">
        <v>367.12819999999999</v>
      </c>
      <c r="J159">
        <v>-461.63200000000001</v>
      </c>
      <c r="K159">
        <v>1.1205149999999999</v>
      </c>
      <c r="L159">
        <v>367.185</v>
      </c>
      <c r="M159">
        <v>0.99986359999999996</v>
      </c>
      <c r="N159">
        <v>-7.3410680000000001E-3</v>
      </c>
      <c r="O159">
        <v>1.4795890000000001E-2</v>
      </c>
      <c r="P159">
        <v>0.99565459999999995</v>
      </c>
      <c r="Q159">
        <v>-9.3064330000000001E-2</v>
      </c>
      <c r="R159">
        <v>-3.3495959999999998E-3</v>
      </c>
      <c r="S159">
        <v>2.9617309999999999</v>
      </c>
      <c r="T159">
        <v>-0.54743330000000001</v>
      </c>
      <c r="U159">
        <v>-0.18362429999999999</v>
      </c>
      <c r="V159">
        <v>1.80828E-2</v>
      </c>
      <c r="W159">
        <v>-8.5753460000000004E-2</v>
      </c>
      <c r="X159">
        <v>0.99615229999999999</v>
      </c>
      <c r="Y159">
        <v>7.5092279999999997E-2</v>
      </c>
      <c r="Z159">
        <v>-9.7553450000000003E-3</v>
      </c>
      <c r="AA159">
        <v>0.99712880000000004</v>
      </c>
      <c r="AB159">
        <v>20</v>
      </c>
      <c r="AC159">
        <v>0.65169999999994799</v>
      </c>
      <c r="AD159">
        <v>-0.15916999999999901</v>
      </c>
      <c r="AE159">
        <v>-5.6800000000009697E-2</v>
      </c>
      <c r="AF159">
        <v>6.2723152510873195E-2</v>
      </c>
      <c r="AG159">
        <v>-0.15916999999999901</v>
      </c>
      <c r="AH159">
        <v>0.61441338755642105</v>
      </c>
      <c r="AI159">
        <v>104.451821216281</v>
      </c>
      <c r="AJ159">
        <v>84.171082220001097</v>
      </c>
      <c r="AK159">
        <v>0.63778765554803496</v>
      </c>
      <c r="AL159">
        <v>94.919353032242995</v>
      </c>
      <c r="AM159">
        <v>88.960044219091401</v>
      </c>
      <c r="AN159">
        <v>1.0000000241765501</v>
      </c>
    </row>
    <row r="160" spans="1:40" x14ac:dyDescent="0.25">
      <c r="A160" t="str">
        <f>"20190303154059841"</f>
        <v>20190303154059841</v>
      </c>
      <c r="B160" t="str">
        <f>"1551598859829703"</f>
        <v>1551598859829703</v>
      </c>
      <c r="C160" t="s">
        <v>40</v>
      </c>
      <c r="D160">
        <v>5.5183229999999996</v>
      </c>
      <c r="E160">
        <v>0.52151239999999999</v>
      </c>
      <c r="F160" t="s">
        <v>42</v>
      </c>
      <c r="G160">
        <v>-460.80099999999999</v>
      </c>
      <c r="H160">
        <v>0.96628809999999998</v>
      </c>
      <c r="I160">
        <v>367.13260000000002</v>
      </c>
      <c r="J160">
        <v>-461.44189999999998</v>
      </c>
      <c r="K160">
        <v>1.1205849999999999</v>
      </c>
      <c r="L160">
        <v>367.18790000000001</v>
      </c>
      <c r="M160">
        <v>0.99985619999999997</v>
      </c>
      <c r="N160">
        <v>-8.1836670000000004E-3</v>
      </c>
      <c r="O160">
        <v>1.48513E-2</v>
      </c>
      <c r="P160">
        <v>0.99556979999999995</v>
      </c>
      <c r="Q160">
        <v>-9.3956230000000002E-2</v>
      </c>
      <c r="R160">
        <v>-3.6212029999999999E-3</v>
      </c>
      <c r="S160">
        <v>2.9610599999999998</v>
      </c>
      <c r="T160">
        <v>-0.54956099999999997</v>
      </c>
      <c r="U160">
        <v>-0.1864624</v>
      </c>
      <c r="V160">
        <v>1.840864E-2</v>
      </c>
      <c r="W160">
        <v>-8.580662E-2</v>
      </c>
      <c r="X160">
        <v>0.99614170000000002</v>
      </c>
      <c r="Y160">
        <v>7.6078999999999994E-2</v>
      </c>
      <c r="Z160">
        <v>-9.9179990000000003E-3</v>
      </c>
      <c r="AA160">
        <v>0.99705250000000001</v>
      </c>
      <c r="AB160">
        <v>20</v>
      </c>
      <c r="AC160">
        <v>0.64089999999998704</v>
      </c>
      <c r="AD160">
        <v>-0.15429689999999899</v>
      </c>
      <c r="AE160">
        <v>-5.5299999999988303E-2</v>
      </c>
      <c r="AF160">
        <v>6.1286460823198802E-2</v>
      </c>
      <c r="AG160">
        <v>-0.15429689999999899</v>
      </c>
      <c r="AH160">
        <v>0.60518997755754</v>
      </c>
      <c r="AI160">
        <v>104.23337490971301</v>
      </c>
      <c r="AJ160">
        <v>84.217476497720099</v>
      </c>
      <c r="AK160">
        <v>0.62754957777528497</v>
      </c>
      <c r="AL160">
        <v>94.922410410019694</v>
      </c>
      <c r="AM160">
        <v>88.9412978735769</v>
      </c>
      <c r="AN160">
        <v>0.99999997027068099</v>
      </c>
    </row>
    <row r="161" spans="1:40" x14ac:dyDescent="0.25">
      <c r="A161" t="str">
        <f>"20190303154059886"</f>
        <v>20190303154059886</v>
      </c>
      <c r="B161" t="str">
        <f>"1551598859879007"</f>
        <v>1551598859879007</v>
      </c>
      <c r="C161" t="s">
        <v>40</v>
      </c>
      <c r="D161">
        <v>5.6315299999999997</v>
      </c>
      <c r="E161">
        <v>0.52078029999999997</v>
      </c>
      <c r="F161" t="s">
        <v>42</v>
      </c>
      <c r="G161">
        <v>-460.62329999999997</v>
      </c>
      <c r="H161">
        <v>0.96861909999999896</v>
      </c>
      <c r="I161">
        <v>367.13600000000002</v>
      </c>
      <c r="J161">
        <v>-461.04059999999998</v>
      </c>
      <c r="K161">
        <v>1.1206879999999999</v>
      </c>
      <c r="L161">
        <v>367.19400000000002</v>
      </c>
      <c r="M161">
        <v>0.99984139999999999</v>
      </c>
      <c r="N161">
        <v>-9.6824259999999992E-3</v>
      </c>
      <c r="O161">
        <v>1.495753E-2</v>
      </c>
      <c r="P161">
        <v>0.99550740000000004</v>
      </c>
      <c r="Q161">
        <v>-9.4615009999999999E-2</v>
      </c>
      <c r="R161">
        <v>-3.6534039999999999E-3</v>
      </c>
      <c r="S161">
        <v>2.9608150000000002</v>
      </c>
      <c r="T161">
        <v>-0.54980530000000005</v>
      </c>
      <c r="U161">
        <v>-0.186615</v>
      </c>
      <c r="V161">
        <v>1.8546859999999998E-2</v>
      </c>
      <c r="W161">
        <v>-8.4972629999999993E-2</v>
      </c>
      <c r="X161">
        <v>0.99621059999999995</v>
      </c>
      <c r="Y161">
        <v>7.6228740000000003E-2</v>
      </c>
      <c r="Z161">
        <v>-9.9915860000000002E-3</v>
      </c>
      <c r="AA161">
        <v>0.99704029999999999</v>
      </c>
      <c r="AB161">
        <v>20</v>
      </c>
      <c r="AC161">
        <v>0.417300000000011</v>
      </c>
      <c r="AD161">
        <v>-0.15206890000000001</v>
      </c>
      <c r="AE161">
        <v>-5.8000000000049498E-2</v>
      </c>
      <c r="AF161">
        <v>5.6831614231188397E-2</v>
      </c>
      <c r="AG161">
        <v>-0.15206890000000001</v>
      </c>
      <c r="AH161">
        <v>0.36839199574846498</v>
      </c>
      <c r="AI161">
        <v>112.19373812686599</v>
      </c>
      <c r="AJ161">
        <v>81.230149409623905</v>
      </c>
      <c r="AK161">
        <v>0.40257601177277003</v>
      </c>
      <c r="AL161">
        <v>94.874451250412406</v>
      </c>
      <c r="AM161">
        <v>88.933424266252501</v>
      </c>
      <c r="AN161">
        <v>0.99999994670866599</v>
      </c>
    </row>
    <row r="162" spans="1:40" x14ac:dyDescent="0.25">
      <c r="A162" t="str">
        <f>"20190303154059910"</f>
        <v>20190303154059910</v>
      </c>
      <c r="B162" t="str">
        <f>"1551598859899503"</f>
        <v>1551598859899503</v>
      </c>
      <c r="C162" t="s">
        <v>40</v>
      </c>
      <c r="D162">
        <v>5.5049029999999997</v>
      </c>
      <c r="E162">
        <v>0.52080990000000005</v>
      </c>
      <c r="F162" t="s">
        <v>42</v>
      </c>
      <c r="G162">
        <v>-460.2688</v>
      </c>
      <c r="H162">
        <v>0.9740335</v>
      </c>
      <c r="I162">
        <v>367.14620000000002</v>
      </c>
      <c r="J162">
        <v>-460.83300000000003</v>
      </c>
      <c r="K162">
        <v>1.1207210000000001</v>
      </c>
      <c r="L162">
        <v>367.19709999999998</v>
      </c>
      <c r="M162">
        <v>0.999834</v>
      </c>
      <c r="N162">
        <v>-1.032399E-2</v>
      </c>
      <c r="O162">
        <v>1.5013540000000001E-2</v>
      </c>
      <c r="P162">
        <v>0.99555170000000004</v>
      </c>
      <c r="Q162">
        <v>-9.416513E-2</v>
      </c>
      <c r="R162">
        <v>-3.1258380000000001E-3</v>
      </c>
      <c r="S162">
        <v>2.9594119999999999</v>
      </c>
      <c r="T162">
        <v>-0.56255849999999996</v>
      </c>
      <c r="U162">
        <v>-0.181366</v>
      </c>
      <c r="V162">
        <v>1.8076129999999999E-2</v>
      </c>
      <c r="W162">
        <v>-8.3883050000000001E-2</v>
      </c>
      <c r="X162">
        <v>0.99631170000000002</v>
      </c>
      <c r="Y162">
        <v>7.450619E-2</v>
      </c>
      <c r="Z162">
        <v>-1.0073530000000001E-2</v>
      </c>
      <c r="AA162">
        <v>0.99716970000000005</v>
      </c>
      <c r="AB162">
        <v>20</v>
      </c>
      <c r="AC162">
        <v>0.56420000000002701</v>
      </c>
      <c r="AD162">
        <v>-0.146687499999999</v>
      </c>
      <c r="AE162">
        <v>-5.0899999999955897E-2</v>
      </c>
      <c r="AF162">
        <v>5.5635017743871598E-2</v>
      </c>
      <c r="AG162">
        <v>-0.146687499999999</v>
      </c>
      <c r="AH162">
        <v>0.52797160586397895</v>
      </c>
      <c r="AI162">
        <v>105.445603322488</v>
      </c>
      <c r="AJ162">
        <v>83.984655212023299</v>
      </c>
      <c r="AK162">
        <v>0.55078715894091002</v>
      </c>
      <c r="AL162">
        <v>94.811798678328302</v>
      </c>
      <c r="AM162">
        <v>88.960594016511607</v>
      </c>
      <c r="AN162">
        <v>1.0000000580549799</v>
      </c>
    </row>
    <row r="163" spans="1:40" x14ac:dyDescent="0.25">
      <c r="A163" t="str">
        <f>"20190303154059930"</f>
        <v>20190303154059930</v>
      </c>
      <c r="B163" t="str">
        <f>"1551598859919023"</f>
        <v>1551598859919023</v>
      </c>
      <c r="C163" t="s">
        <v>40</v>
      </c>
      <c r="D163">
        <v>5.528905</v>
      </c>
      <c r="E163">
        <v>0.51088679999999997</v>
      </c>
      <c r="F163" t="s">
        <v>42</v>
      </c>
      <c r="G163">
        <v>-460.09039999999999</v>
      </c>
      <c r="H163">
        <v>0.98055199999999998</v>
      </c>
      <c r="I163">
        <v>367.15179999999998</v>
      </c>
      <c r="J163">
        <v>-460.66050000000001</v>
      </c>
      <c r="K163">
        <v>1.120744</v>
      </c>
      <c r="L163">
        <v>367.19979999999998</v>
      </c>
      <c r="M163">
        <v>0.99982850000000001</v>
      </c>
      <c r="N163">
        <v>-1.079047E-2</v>
      </c>
      <c r="O163">
        <v>1.506189E-2</v>
      </c>
      <c r="P163">
        <v>0.99553599999999998</v>
      </c>
      <c r="Q163">
        <v>-9.4352649999999996E-2</v>
      </c>
      <c r="R163">
        <v>-2.4724230000000001E-3</v>
      </c>
      <c r="S163">
        <v>2.9599609999999998</v>
      </c>
      <c r="T163">
        <v>-0.55868099999999998</v>
      </c>
      <c r="U163">
        <v>-0.1797791</v>
      </c>
      <c r="V163">
        <v>1.7470590000000001E-2</v>
      </c>
      <c r="W163">
        <v>-8.3605840000000001E-2</v>
      </c>
      <c r="X163">
        <v>0.99634579999999995</v>
      </c>
      <c r="Y163">
        <v>7.4039010000000002E-2</v>
      </c>
      <c r="Z163">
        <v>-9.9781279999999993E-3</v>
      </c>
      <c r="AA163">
        <v>0.99720540000000002</v>
      </c>
      <c r="AB163">
        <v>20</v>
      </c>
      <c r="AC163">
        <v>0.57010000000002403</v>
      </c>
      <c r="AD163">
        <v>-0.14019199999999901</v>
      </c>
      <c r="AE163">
        <v>-4.8000000000001798E-2</v>
      </c>
      <c r="AF163">
        <v>5.3376826995103897E-2</v>
      </c>
      <c r="AG163">
        <v>-0.14019199999999901</v>
      </c>
      <c r="AH163">
        <v>0.53706430475932498</v>
      </c>
      <c r="AI163">
        <v>104.561023455547</v>
      </c>
      <c r="AJ163">
        <v>84.324224002695999</v>
      </c>
      <c r="AK163">
        <v>0.55762079406231102</v>
      </c>
      <c r="AL163">
        <v>94.795859738704195</v>
      </c>
      <c r="AM163">
        <v>88.995440637386295</v>
      </c>
      <c r="AN163">
        <v>1.0000000555873401</v>
      </c>
    </row>
    <row r="164" spans="1:40" x14ac:dyDescent="0.25">
      <c r="A164" t="str">
        <f>"20190303154059952"</f>
        <v>20190303154059952</v>
      </c>
      <c r="B164" t="str">
        <f>"1551598859949279"</f>
        <v>1551598859949279</v>
      </c>
      <c r="C164" t="s">
        <v>40</v>
      </c>
      <c r="D164">
        <v>5.5754900000000003</v>
      </c>
      <c r="E164">
        <v>0.51028720000000005</v>
      </c>
      <c r="F164" t="s">
        <v>42</v>
      </c>
      <c r="G164">
        <v>-459.88010000000003</v>
      </c>
      <c r="H164">
        <v>1.048638</v>
      </c>
      <c r="I164">
        <v>367.1748</v>
      </c>
      <c r="J164">
        <v>-460.46730000000002</v>
      </c>
      <c r="K164">
        <v>1.120773</v>
      </c>
      <c r="L164">
        <v>367.20280000000002</v>
      </c>
      <c r="M164">
        <v>0.9998224</v>
      </c>
      <c r="N164">
        <v>-1.125111E-2</v>
      </c>
      <c r="O164">
        <v>1.5116889999999999E-2</v>
      </c>
      <c r="P164">
        <v>0.9955311</v>
      </c>
      <c r="Q164">
        <v>-9.4412040000000003E-2</v>
      </c>
      <c r="R164">
        <v>-2.051958E-3</v>
      </c>
      <c r="S164">
        <v>2.9870299999999999</v>
      </c>
      <c r="T164">
        <v>-0.27619769999999999</v>
      </c>
      <c r="U164">
        <v>-9.4238279999999994E-2</v>
      </c>
      <c r="V164">
        <v>1.7104870000000001E-2</v>
      </c>
      <c r="W164">
        <v>-8.3206290000000002E-2</v>
      </c>
      <c r="X164">
        <v>0.99638550000000004</v>
      </c>
      <c r="Y164">
        <v>4.6368680000000002E-2</v>
      </c>
      <c r="Z164">
        <v>-3.6250029999999999E-3</v>
      </c>
      <c r="AA164">
        <v>0.99891779999999997</v>
      </c>
      <c r="AB164">
        <v>20</v>
      </c>
      <c r="AC164">
        <v>0.58719999999999495</v>
      </c>
      <c r="AD164">
        <v>-7.2135000000000005E-2</v>
      </c>
      <c r="AE164">
        <v>-2.8000000000019998E-2</v>
      </c>
      <c r="AF164">
        <v>3.6327030085243399E-2</v>
      </c>
      <c r="AG164">
        <v>-7.2135000000000005E-2</v>
      </c>
      <c r="AH164">
        <v>0.578006645116382</v>
      </c>
      <c r="AI164">
        <v>97.099845925090804</v>
      </c>
      <c r="AJ164">
        <v>86.403758454802897</v>
      </c>
      <c r="AK164">
        <v>0.58362213215273895</v>
      </c>
      <c r="AL164">
        <v>94.772887604928599</v>
      </c>
      <c r="AM164">
        <v>89.0165045518753</v>
      </c>
      <c r="AN164">
        <v>0.99999996394176405</v>
      </c>
    </row>
    <row r="165" spans="1:40" x14ac:dyDescent="0.25">
      <c r="A165" t="str">
        <f>"20190303154059974"</f>
        <v>20190303154059974</v>
      </c>
      <c r="B165" t="str">
        <f>"1551598859969775"</f>
        <v>1551598859969775</v>
      </c>
      <c r="C165" t="s">
        <v>40</v>
      </c>
      <c r="D165">
        <v>5.5522049999999998</v>
      </c>
      <c r="E165">
        <v>0.51004020000000005</v>
      </c>
      <c r="F165" t="s">
        <v>41</v>
      </c>
      <c r="G165">
        <v>-442.839</v>
      </c>
      <c r="H165" s="1">
        <v>-3.8842089999999996E-6</v>
      </c>
      <c r="I165">
        <v>366.69229999999999</v>
      </c>
      <c r="J165">
        <v>-460.27710000000002</v>
      </c>
      <c r="K165">
        <v>1.1207929999999999</v>
      </c>
      <c r="L165">
        <v>367.20569999999998</v>
      </c>
      <c r="M165">
        <v>0.99981719999999996</v>
      </c>
      <c r="N165">
        <v>-1.1647029999999999E-2</v>
      </c>
      <c r="O165">
        <v>1.517144E-2</v>
      </c>
      <c r="P165">
        <v>0.99553910000000001</v>
      </c>
      <c r="Q165">
        <v>-9.4339339999999994E-2</v>
      </c>
      <c r="R165">
        <v>-1.4482620000000001E-3</v>
      </c>
      <c r="S165">
        <v>2.9952700000000001</v>
      </c>
      <c r="T165">
        <v>-0.19043399999999999</v>
      </c>
      <c r="U165">
        <v>-8.6730959999999996E-2</v>
      </c>
      <c r="V165">
        <v>1.6555609999999998E-2</v>
      </c>
      <c r="W165">
        <v>-8.2738919999999994E-2</v>
      </c>
      <c r="X165">
        <v>0.99643369999999998</v>
      </c>
      <c r="Y165">
        <v>4.398117E-2</v>
      </c>
      <c r="Z165">
        <v>-2.4398169999999999E-3</v>
      </c>
      <c r="AA165">
        <v>0.99902939999999996</v>
      </c>
      <c r="AB165">
        <v>20</v>
      </c>
      <c r="AC165">
        <v>17.438099999999999</v>
      </c>
      <c r="AD165">
        <v>-1.1207968842089999</v>
      </c>
      <c r="AE165">
        <v>-0.51339999999998998</v>
      </c>
      <c r="AF165">
        <v>0.77472229455614505</v>
      </c>
      <c r="AG165">
        <v>-1.1207968842089999</v>
      </c>
      <c r="AH165">
        <v>17.356664843863101</v>
      </c>
      <c r="AI165">
        <v>93.6910481301815</v>
      </c>
      <c r="AJ165">
        <v>87.444274303193097</v>
      </c>
      <c r="AK165">
        <v>17.410060160479802</v>
      </c>
      <c r="AL165">
        <v>94.746016601112203</v>
      </c>
      <c r="AM165">
        <v>89.048126022216294</v>
      </c>
      <c r="AN165">
        <v>0.99999996780046296</v>
      </c>
    </row>
    <row r="166" spans="1:40" x14ac:dyDescent="0.25">
      <c r="A166" t="str">
        <f>"20190303154059997"</f>
        <v>20190303154059997</v>
      </c>
      <c r="B166" t="str">
        <f>"1551598859989296"</f>
        <v>1551598859989296</v>
      </c>
      <c r="C166" t="s">
        <v>40</v>
      </c>
      <c r="D166">
        <v>5.5164489999999997</v>
      </c>
      <c r="E166">
        <v>0.50990349999999995</v>
      </c>
      <c r="F166" t="s">
        <v>41</v>
      </c>
      <c r="G166">
        <v>-440.25560000000002</v>
      </c>
      <c r="H166" s="1">
        <v>-5.1121770000000004E-6</v>
      </c>
      <c r="I166">
        <v>366.65410000000003</v>
      </c>
      <c r="J166">
        <v>-460.0849</v>
      </c>
      <c r="K166">
        <v>1.1208149999999999</v>
      </c>
      <c r="L166">
        <v>367.20870000000002</v>
      </c>
      <c r="M166">
        <v>0.99981220000000004</v>
      </c>
      <c r="N166">
        <v>-1.1995759999999999E-2</v>
      </c>
      <c r="O166">
        <v>1.5225259999999999E-2</v>
      </c>
      <c r="P166">
        <v>0.99556670000000003</v>
      </c>
      <c r="Q166">
        <v>-9.4046130000000006E-2</v>
      </c>
      <c r="R166">
        <v>-1.58701E-3</v>
      </c>
      <c r="S166">
        <v>2.9974370000000001</v>
      </c>
      <c r="T166">
        <v>-0.16779520000000001</v>
      </c>
      <c r="U166">
        <v>-8.2580570000000006E-2</v>
      </c>
      <c r="V166">
        <v>1.6748280000000001E-2</v>
      </c>
      <c r="W166">
        <v>-8.209793E-2</v>
      </c>
      <c r="X166">
        <v>0.99648349999999997</v>
      </c>
      <c r="Y166">
        <v>4.2661539999999998E-2</v>
      </c>
      <c r="Z166">
        <v>-2.1181080000000001E-3</v>
      </c>
      <c r="AA166">
        <v>0.99908730000000001</v>
      </c>
      <c r="AB166">
        <v>19</v>
      </c>
      <c r="AC166">
        <v>19.8292999999999</v>
      </c>
      <c r="AD166">
        <v>-1.1208201121769901</v>
      </c>
      <c r="AE166">
        <v>-0.55459999999999299</v>
      </c>
      <c r="AF166">
        <v>0.85373818259510703</v>
      </c>
      <c r="AG166">
        <v>-1.1208201121769901</v>
      </c>
      <c r="AH166">
        <v>19.755489251208601</v>
      </c>
      <c r="AI166">
        <v>93.244151632197202</v>
      </c>
      <c r="AJ166">
        <v>87.525488878488403</v>
      </c>
      <c r="AK166">
        <v>19.805667425332999</v>
      </c>
      <c r="AL166">
        <v>94.709165190070905</v>
      </c>
      <c r="AM166">
        <v>89.037098542688199</v>
      </c>
      <c r="AN166">
        <v>0.99999997038274602</v>
      </c>
    </row>
    <row r="167" spans="1:40" x14ac:dyDescent="0.25">
      <c r="A167" t="str">
        <f>"20190303154100020"</f>
        <v>20190303154100020</v>
      </c>
      <c r="B167" t="str">
        <f>"1551598860009791"</f>
        <v>1551598860009791</v>
      </c>
      <c r="C167" t="s">
        <v>40</v>
      </c>
      <c r="D167">
        <v>5.4790080000000003</v>
      </c>
      <c r="E167">
        <v>0.51008249999999999</v>
      </c>
      <c r="F167" t="s">
        <v>43</v>
      </c>
      <c r="G167">
        <v>-437.47480000000002</v>
      </c>
      <c r="H167">
        <v>-0.05</v>
      </c>
      <c r="I167">
        <v>366.59179999999998</v>
      </c>
      <c r="J167">
        <v>-459.88170000000002</v>
      </c>
      <c r="K167">
        <v>1.1208359999999999</v>
      </c>
      <c r="L167">
        <v>367.21190000000001</v>
      </c>
      <c r="M167">
        <v>0.99980740000000001</v>
      </c>
      <c r="N167">
        <v>-1.2312200000000001E-2</v>
      </c>
      <c r="O167">
        <v>1.528148E-2</v>
      </c>
      <c r="P167">
        <v>0.995583</v>
      </c>
      <c r="Q167">
        <v>-9.3875589999999995E-2</v>
      </c>
      <c r="R167">
        <v>-1.460135E-3</v>
      </c>
      <c r="S167">
        <v>2.9985659999999998</v>
      </c>
      <c r="T167">
        <v>-0.15527449999999901</v>
      </c>
      <c r="U167">
        <v>-8.1817630000000002E-2</v>
      </c>
      <c r="V167">
        <v>1.6677589999999999E-2</v>
      </c>
      <c r="W167">
        <v>-8.1611820000000002E-2</v>
      </c>
      <c r="X167">
        <v>0.99652459999999998</v>
      </c>
      <c r="Y167">
        <v>4.2466909999999997E-2</v>
      </c>
      <c r="Z167">
        <v>-1.9629370000000001E-3</v>
      </c>
      <c r="AA167">
        <v>0.99909590000000004</v>
      </c>
      <c r="AB167">
        <v>19</v>
      </c>
      <c r="AC167">
        <v>22.4069</v>
      </c>
      <c r="AD167">
        <v>-1.170836</v>
      </c>
      <c r="AE167">
        <v>-0.62010000000003596</v>
      </c>
      <c r="AF167">
        <v>0.95984536933911702</v>
      </c>
      <c r="AG167">
        <v>-1.170836</v>
      </c>
      <c r="AH167">
        <v>22.333872354792</v>
      </c>
      <c r="AI167">
        <v>92.998177286399098</v>
      </c>
      <c r="AJ167">
        <v>87.539107145669902</v>
      </c>
      <c r="AK167">
        <v>22.385129314616002</v>
      </c>
      <c r="AL167">
        <v>94.681219431776199</v>
      </c>
      <c r="AM167">
        <v>89.041201469545399</v>
      </c>
      <c r="AN167">
        <v>0.99999995478853898</v>
      </c>
    </row>
    <row r="168" spans="1:40" x14ac:dyDescent="0.25">
      <c r="A168" t="str">
        <f>"20190303154100042"</f>
        <v>20190303154100042</v>
      </c>
      <c r="B168" t="str">
        <f>"1551598860029311"</f>
        <v>1551598860029311</v>
      </c>
      <c r="C168" t="s">
        <v>40</v>
      </c>
      <c r="D168">
        <v>5.4919079999999996</v>
      </c>
      <c r="E168">
        <v>0.51023909999999995</v>
      </c>
      <c r="F168" t="s">
        <v>43</v>
      </c>
      <c r="G168">
        <v>-436.31420000000003</v>
      </c>
      <c r="H168">
        <v>-0.05</v>
      </c>
      <c r="I168">
        <v>366.5625</v>
      </c>
      <c r="J168">
        <v>-459.69319999999999</v>
      </c>
      <c r="K168">
        <v>1.120854</v>
      </c>
      <c r="L168">
        <v>367.21480000000003</v>
      </c>
      <c r="M168">
        <v>0.99980340000000001</v>
      </c>
      <c r="N168">
        <v>-1.256704E-2</v>
      </c>
      <c r="O168">
        <v>1.5333579999999999E-2</v>
      </c>
      <c r="P168">
        <v>0.99554030000000004</v>
      </c>
      <c r="Q168">
        <v>-9.4313149999999998E-2</v>
      </c>
      <c r="R168">
        <v>-2.1302869999999998E-3</v>
      </c>
      <c r="S168">
        <v>2.9991460000000001</v>
      </c>
      <c r="T168">
        <v>-0.14899799999999999</v>
      </c>
      <c r="U168">
        <v>-8.2641599999999996E-2</v>
      </c>
      <c r="V168">
        <v>1.7399129999999999E-2</v>
      </c>
      <c r="W168">
        <v>-8.1796030000000006E-2</v>
      </c>
      <c r="X168">
        <v>0.99649719999999997</v>
      </c>
      <c r="Y168">
        <v>4.2793669999999999E-2</v>
      </c>
      <c r="Z168">
        <v>-1.899909E-3</v>
      </c>
      <c r="AA168">
        <v>0.99908209999999997</v>
      </c>
      <c r="AB168">
        <v>19</v>
      </c>
      <c r="AC168">
        <v>23.378999999999898</v>
      </c>
      <c r="AD168">
        <v>-1.1708540000000001</v>
      </c>
      <c r="AE168">
        <v>-0.65230000000002497</v>
      </c>
      <c r="AF168">
        <v>1.0082086253159801</v>
      </c>
      <c r="AG168">
        <v>-1.1708540000000001</v>
      </c>
      <c r="AH168">
        <v>23.307834013153499</v>
      </c>
      <c r="AI168">
        <v>92.873116936341404</v>
      </c>
      <c r="AJ168">
        <v>87.523145619367497</v>
      </c>
      <c r="AK168">
        <v>23.3589920610071</v>
      </c>
      <c r="AL168">
        <v>94.691809104730197</v>
      </c>
      <c r="AM168">
        <v>88.999700722180805</v>
      </c>
      <c r="AN168">
        <v>0.99999999492817804</v>
      </c>
    </row>
    <row r="169" spans="1:40" x14ac:dyDescent="0.25">
      <c r="A169" t="str">
        <f>"20190303154100065"</f>
        <v>20190303154100065</v>
      </c>
      <c r="B169" t="str">
        <f>"1551598860059568"</f>
        <v>1551598860059568</v>
      </c>
      <c r="C169" t="s">
        <v>40</v>
      </c>
      <c r="D169">
        <v>5.4730220000000003</v>
      </c>
      <c r="E169">
        <v>0.51030120000000001</v>
      </c>
      <c r="F169" t="s">
        <v>43</v>
      </c>
      <c r="G169">
        <v>-435.77300000000002</v>
      </c>
      <c r="H169">
        <v>-0.05</v>
      </c>
      <c r="I169">
        <v>366.53070000000002</v>
      </c>
      <c r="J169">
        <v>-459.4941</v>
      </c>
      <c r="K169">
        <v>1.1208689999999999</v>
      </c>
      <c r="L169">
        <v>367.21800000000002</v>
      </c>
      <c r="M169">
        <v>0.99979980000000002</v>
      </c>
      <c r="N169">
        <v>-1.279924E-2</v>
      </c>
      <c r="O169">
        <v>1.538865E-2</v>
      </c>
      <c r="P169">
        <v>0.9955039</v>
      </c>
      <c r="Q169">
        <v>-9.4695180000000004E-2</v>
      </c>
      <c r="R169">
        <v>-2.2774750000000002E-3</v>
      </c>
      <c r="S169">
        <v>2.9993289999999999</v>
      </c>
      <c r="T169">
        <v>-0.14681229999999901</v>
      </c>
      <c r="U169">
        <v>-8.5784910000000006E-2</v>
      </c>
      <c r="V169">
        <v>1.760055E-2</v>
      </c>
      <c r="W169">
        <v>-8.1947119999999998E-2</v>
      </c>
      <c r="X169">
        <v>0.99648119999999996</v>
      </c>
      <c r="Y169">
        <v>4.389361E-2</v>
      </c>
      <c r="Z169">
        <v>-1.9104079999999999E-3</v>
      </c>
      <c r="AA169">
        <v>0.99903439999999999</v>
      </c>
      <c r="AB169">
        <v>19</v>
      </c>
      <c r="AC169">
        <v>23.7210999999999</v>
      </c>
      <c r="AD169">
        <v>-1.1708689999999999</v>
      </c>
      <c r="AE169">
        <v>-0.68729999999999303</v>
      </c>
      <c r="AF169">
        <v>1.04972875747288</v>
      </c>
      <c r="AG169">
        <v>-1.1708689999999999</v>
      </c>
      <c r="AH169">
        <v>23.650140532286699</v>
      </c>
      <c r="AI169">
        <v>92.831496858538699</v>
      </c>
      <c r="AJ169">
        <v>87.458553073851803</v>
      </c>
      <c r="AK169">
        <v>23.702363001952701</v>
      </c>
      <c r="AL169">
        <v>94.700495314917404</v>
      </c>
      <c r="AM169">
        <v>88.988106966792898</v>
      </c>
      <c r="AN169">
        <v>0.99999994589501695</v>
      </c>
    </row>
    <row r="170" spans="1:40" x14ac:dyDescent="0.25">
      <c r="A170" t="str">
        <f>"20190303154100087"</f>
        <v>20190303154100087</v>
      </c>
      <c r="B170" t="str">
        <f>"1551598860079088"</f>
        <v>1551598860079088</v>
      </c>
      <c r="C170" t="s">
        <v>40</v>
      </c>
      <c r="D170">
        <v>5.4737519999999904</v>
      </c>
      <c r="E170">
        <v>0.51017520000000005</v>
      </c>
      <c r="F170" t="s">
        <v>43</v>
      </c>
      <c r="G170">
        <v>-435.03059999999999</v>
      </c>
      <c r="H170">
        <v>-0.05</v>
      </c>
      <c r="I170">
        <v>366.51139999999998</v>
      </c>
      <c r="J170">
        <v>-459.29939999999999</v>
      </c>
      <c r="K170">
        <v>1.120886</v>
      </c>
      <c r="L170">
        <v>367.221</v>
      </c>
      <c r="M170">
        <v>0.99979649999999998</v>
      </c>
      <c r="N170">
        <v>-1.299493E-2</v>
      </c>
      <c r="O170">
        <v>1.544274E-2</v>
      </c>
      <c r="P170">
        <v>0.99555950000000004</v>
      </c>
      <c r="Q170">
        <v>-9.4100180000000005E-2</v>
      </c>
      <c r="R170">
        <v>-2.5863269999999998E-3</v>
      </c>
      <c r="S170">
        <v>2.999695</v>
      </c>
      <c r="T170">
        <v>-0.143571</v>
      </c>
      <c r="U170">
        <v>-8.6639399999999894E-2</v>
      </c>
      <c r="V170">
        <v>1.7964040000000001E-2</v>
      </c>
      <c r="W170">
        <v>-8.1156480000000003E-2</v>
      </c>
      <c r="X170">
        <v>0.99653950000000002</v>
      </c>
      <c r="Y170">
        <v>4.423113E-2</v>
      </c>
      <c r="Z170">
        <v>-1.8833439999999999E-3</v>
      </c>
      <c r="AA170">
        <v>0.99901960000000001</v>
      </c>
      <c r="AB170">
        <v>19</v>
      </c>
      <c r="AC170">
        <v>24.268799999999999</v>
      </c>
      <c r="AD170">
        <v>-1.1708860000000001</v>
      </c>
      <c r="AE170">
        <v>-0.70960000000002299</v>
      </c>
      <c r="AF170">
        <v>1.0818077070432299</v>
      </c>
      <c r="AG170">
        <v>-1.1708860000000001</v>
      </c>
      <c r="AH170">
        <v>24.1986666089838</v>
      </c>
      <c r="AI170">
        <v>92.767415373414593</v>
      </c>
      <c r="AJ170">
        <v>87.440281564374899</v>
      </c>
      <c r="AK170">
        <v>24.251118481273501</v>
      </c>
      <c r="AL170">
        <v>94.655043198012507</v>
      </c>
      <c r="AM170">
        <v>88.967274042126306</v>
      </c>
      <c r="AN170">
        <v>1.0000000280196799</v>
      </c>
    </row>
    <row r="171" spans="1:40" x14ac:dyDescent="0.25">
      <c r="A171" t="str">
        <f>"20190303154100108"</f>
        <v>20190303154100108</v>
      </c>
      <c r="B171" t="str">
        <f>"1551598860099583"</f>
        <v>1551598860099583</v>
      </c>
      <c r="C171" t="s">
        <v>40</v>
      </c>
      <c r="D171">
        <v>5.5002469999999999</v>
      </c>
      <c r="E171">
        <v>0.51000920000000005</v>
      </c>
      <c r="F171" t="s">
        <v>43</v>
      </c>
      <c r="G171">
        <v>-434.08109999999999</v>
      </c>
      <c r="H171">
        <v>-0.05</v>
      </c>
      <c r="I171">
        <v>366.49430000000001</v>
      </c>
      <c r="J171">
        <v>-459.11880000000002</v>
      </c>
      <c r="K171">
        <v>1.12090499999999</v>
      </c>
      <c r="L171">
        <v>367.22390000000001</v>
      </c>
      <c r="M171">
        <v>0.99979359999999995</v>
      </c>
      <c r="N171">
        <v>-1.315182E-2</v>
      </c>
      <c r="O171">
        <v>1.549187E-2</v>
      </c>
      <c r="P171">
        <v>0.9955077</v>
      </c>
      <c r="Q171">
        <v>-9.4651620000000006E-2</v>
      </c>
      <c r="R171">
        <v>-2.3457550000000001E-3</v>
      </c>
      <c r="S171">
        <v>3.0000309999999999</v>
      </c>
      <c r="T171">
        <v>-0.1392919</v>
      </c>
      <c r="U171">
        <v>-8.64563E-2</v>
      </c>
      <c r="V171">
        <v>1.7771499999999999E-2</v>
      </c>
      <c r="W171">
        <v>-8.155221E-2</v>
      </c>
      <c r="X171">
        <v>0.99651060000000002</v>
      </c>
      <c r="Y171">
        <v>4.4220160000000001E-2</v>
      </c>
      <c r="Z171">
        <v>-1.8320140000000001E-3</v>
      </c>
      <c r="AA171">
        <v>0.99902020000000002</v>
      </c>
      <c r="AB171">
        <v>19</v>
      </c>
      <c r="AC171">
        <v>25.037700000000001</v>
      </c>
      <c r="AD171">
        <v>-1.1709050000000001</v>
      </c>
      <c r="AE171">
        <v>-0.72960000000000402</v>
      </c>
      <c r="AF171">
        <v>1.1149902844675199</v>
      </c>
      <c r="AG171">
        <v>-1.1709050000000001</v>
      </c>
      <c r="AH171">
        <v>24.968829742313901</v>
      </c>
      <c r="AI171">
        <v>92.682230554743896</v>
      </c>
      <c r="AJ171">
        <v>87.443139099836102</v>
      </c>
      <c r="AK171">
        <v>25.021124686035598</v>
      </c>
      <c r="AL171">
        <v>94.677792477229701</v>
      </c>
      <c r="AM171">
        <v>88.978310898643002</v>
      </c>
      <c r="AN171">
        <v>0.99999998254024602</v>
      </c>
    </row>
    <row r="172" spans="1:40" x14ac:dyDescent="0.25">
      <c r="A172" t="str">
        <f>"20190303154100130"</f>
        <v>20190303154100130</v>
      </c>
      <c r="B172" t="str">
        <f>"1551598860119103"</f>
        <v>1551598860119103</v>
      </c>
      <c r="C172" t="s">
        <v>40</v>
      </c>
      <c r="D172">
        <v>5.498926</v>
      </c>
      <c r="E172">
        <v>0.50981779999999999</v>
      </c>
      <c r="F172" t="s">
        <v>43</v>
      </c>
      <c r="G172">
        <v>-434.19779999999997</v>
      </c>
      <c r="H172">
        <v>-0.05</v>
      </c>
      <c r="I172">
        <v>366.52089999999998</v>
      </c>
      <c r="J172">
        <v>-458.92939999999999</v>
      </c>
      <c r="K172">
        <v>1.1209260000000001</v>
      </c>
      <c r="L172">
        <v>367.2269</v>
      </c>
      <c r="M172">
        <v>0.99979090000000004</v>
      </c>
      <c r="N172">
        <v>-1.3294479999999999E-2</v>
      </c>
      <c r="O172">
        <v>1.554174E-2</v>
      </c>
      <c r="P172">
        <v>0.99549410000000005</v>
      </c>
      <c r="Q172">
        <v>-9.4794110000000001E-2</v>
      </c>
      <c r="R172">
        <v>-2.3584930000000001E-3</v>
      </c>
      <c r="S172">
        <v>2.9999389999999999</v>
      </c>
      <c r="T172">
        <v>-0.14095139999999901</v>
      </c>
      <c r="U172">
        <v>-8.4625240000000004E-2</v>
      </c>
      <c r="V172">
        <v>1.783355E-2</v>
      </c>
      <c r="W172">
        <v>-8.1552749999999993E-2</v>
      </c>
      <c r="X172">
        <v>0.99650950000000005</v>
      </c>
      <c r="Y172">
        <v>4.366072E-2</v>
      </c>
      <c r="Z172">
        <v>-1.8386190000000001E-3</v>
      </c>
      <c r="AA172">
        <v>0.99904470000000001</v>
      </c>
      <c r="AB172">
        <v>19</v>
      </c>
      <c r="AC172">
        <v>24.7316</v>
      </c>
      <c r="AD172">
        <v>-1.1709259999999999</v>
      </c>
      <c r="AE172">
        <v>-0.70600000000001695</v>
      </c>
      <c r="AF172">
        <v>1.0878841626551701</v>
      </c>
      <c r="AG172">
        <v>-1.1709259999999999</v>
      </c>
      <c r="AH172">
        <v>24.662401187839102</v>
      </c>
      <c r="AI172">
        <v>92.715621495870906</v>
      </c>
      <c r="AJ172">
        <v>87.474260915813105</v>
      </c>
      <c r="AK172">
        <v>24.714137492511401</v>
      </c>
      <c r="AL172">
        <v>94.677823274109102</v>
      </c>
      <c r="AM172">
        <v>88.974743253335006</v>
      </c>
      <c r="AN172">
        <v>1.0000000350642</v>
      </c>
    </row>
    <row r="173" spans="1:40" x14ac:dyDescent="0.25">
      <c r="A173" t="str">
        <f>"20190303154100154"</f>
        <v>20190303154100154</v>
      </c>
      <c r="B173" t="str">
        <f>"1551598860149359"</f>
        <v>1551598860149359</v>
      </c>
      <c r="C173" t="s">
        <v>40</v>
      </c>
      <c r="D173">
        <v>5.4796490000000002</v>
      </c>
      <c r="E173">
        <v>0.50950309999999999</v>
      </c>
      <c r="F173" t="s">
        <v>43</v>
      </c>
      <c r="G173">
        <v>-434.36</v>
      </c>
      <c r="H173">
        <v>-0.05</v>
      </c>
      <c r="I173">
        <v>366.54469999999998</v>
      </c>
      <c r="J173">
        <v>-458.73219999999998</v>
      </c>
      <c r="K173">
        <v>1.120954</v>
      </c>
      <c r="L173">
        <v>367.23</v>
      </c>
      <c r="M173">
        <v>0.99978829999999996</v>
      </c>
      <c r="N173">
        <v>-1.3422389999999999E-2</v>
      </c>
      <c r="O173">
        <v>1.559235E-2</v>
      </c>
      <c r="P173">
        <v>0.99545229999999996</v>
      </c>
      <c r="Q173">
        <v>-9.5235050000000002E-2</v>
      </c>
      <c r="R173">
        <v>-2.2918230000000001E-3</v>
      </c>
      <c r="S173">
        <v>2.9997250000000002</v>
      </c>
      <c r="T173">
        <v>-0.1429608</v>
      </c>
      <c r="U173">
        <v>-8.3282469999999997E-2</v>
      </c>
      <c r="V173">
        <v>1.7816240000000001E-2</v>
      </c>
      <c r="W173">
        <v>-8.1866789999999995E-2</v>
      </c>
      <c r="X173">
        <v>0.99648400000000004</v>
      </c>
      <c r="Y173">
        <v>4.326501E-2</v>
      </c>
      <c r="Z173">
        <v>-1.854206E-3</v>
      </c>
      <c r="AA173">
        <v>0.99906189999999995</v>
      </c>
      <c r="AB173">
        <v>19</v>
      </c>
      <c r="AC173">
        <v>24.3721999999999</v>
      </c>
      <c r="AD173">
        <v>-1.1709540000000001</v>
      </c>
      <c r="AE173">
        <v>-0.68530000000003999</v>
      </c>
      <c r="AF173">
        <v>1.06281944145976</v>
      </c>
      <c r="AG173">
        <v>-1.1709540000000001</v>
      </c>
      <c r="AH173">
        <v>24.3024973109132</v>
      </c>
      <c r="AI173">
        <v>92.755887912048706</v>
      </c>
      <c r="AJ173">
        <v>87.495883238724204</v>
      </c>
      <c r="AK173">
        <v>24.353892789084199</v>
      </c>
      <c r="AL173">
        <v>94.6958770862216</v>
      </c>
      <c r="AM173">
        <v>88.975711993658507</v>
      </c>
      <c r="AN173">
        <v>0.99999997598432</v>
      </c>
    </row>
    <row r="174" spans="1:40" x14ac:dyDescent="0.25">
      <c r="A174" t="str">
        <f>"20190303154100177"</f>
        <v>20190303154100177</v>
      </c>
      <c r="B174" t="str">
        <f>"1551598860168880"</f>
        <v>1551598860168880</v>
      </c>
      <c r="C174" t="s">
        <v>40</v>
      </c>
      <c r="D174">
        <v>5.4815959999999997</v>
      </c>
      <c r="E174">
        <v>0.50932939999999904</v>
      </c>
      <c r="F174" t="s">
        <v>43</v>
      </c>
      <c r="G174">
        <v>-434.75319999999999</v>
      </c>
      <c r="H174">
        <v>-0.05</v>
      </c>
      <c r="I174">
        <v>366.58539999999999</v>
      </c>
      <c r="J174">
        <v>-458.53730000000002</v>
      </c>
      <c r="K174">
        <v>1.1209720000000001</v>
      </c>
      <c r="L174">
        <v>367.23309999999998</v>
      </c>
      <c r="M174">
        <v>0.99978610000000001</v>
      </c>
      <c r="N174">
        <v>-1.353033E-2</v>
      </c>
      <c r="O174">
        <v>1.5641120000000001E-2</v>
      </c>
      <c r="P174">
        <v>0.99542509999999995</v>
      </c>
      <c r="Q174">
        <v>-9.5508850000000006E-2</v>
      </c>
      <c r="R174">
        <v>-2.6538289999999999E-3</v>
      </c>
      <c r="S174">
        <v>2.9995120000000002</v>
      </c>
      <c r="T174">
        <v>-0.1464733</v>
      </c>
      <c r="U174">
        <v>-8.0627439999999995E-2</v>
      </c>
      <c r="V174">
        <v>1.8226139999999998E-2</v>
      </c>
      <c r="W174">
        <v>-8.2033529999999993E-2</v>
      </c>
      <c r="X174">
        <v>0.99646290000000004</v>
      </c>
      <c r="Y174">
        <v>4.242982E-2</v>
      </c>
      <c r="Z174">
        <v>-1.874211E-3</v>
      </c>
      <c r="AA174">
        <v>0.99909769999999998</v>
      </c>
      <c r="AB174">
        <v>19</v>
      </c>
      <c r="AC174">
        <v>23.784099999999999</v>
      </c>
      <c r="AD174">
        <v>-1.1709719999999999</v>
      </c>
      <c r="AE174">
        <v>-0.64769999999998595</v>
      </c>
      <c r="AF174">
        <v>1.01720098465645</v>
      </c>
      <c r="AG174">
        <v>-1.1709719999999999</v>
      </c>
      <c r="AH174">
        <v>23.713620786933799</v>
      </c>
      <c r="AI174">
        <v>92.824360437892295</v>
      </c>
      <c r="AJ174">
        <v>87.543790659565403</v>
      </c>
      <c r="AK174">
        <v>23.764294310887301</v>
      </c>
      <c r="AL174">
        <v>94.705462706020299</v>
      </c>
      <c r="AM174">
        <v>88.952129110050606</v>
      </c>
      <c r="AN174">
        <v>1.0000000016499799</v>
      </c>
    </row>
    <row r="175" spans="1:40" x14ac:dyDescent="0.25">
      <c r="A175" t="str">
        <f>"20190303154100201"</f>
        <v>20190303154100201</v>
      </c>
      <c r="B175" t="str">
        <f>"1551598860189376"</f>
        <v>1551598860189376</v>
      </c>
      <c r="C175" t="s">
        <v>40</v>
      </c>
      <c r="D175">
        <v>5.4794340000000004</v>
      </c>
      <c r="E175">
        <v>0.50917400000000002</v>
      </c>
      <c r="F175" t="s">
        <v>43</v>
      </c>
      <c r="G175">
        <v>-434.89499999999998</v>
      </c>
      <c r="H175">
        <v>-0.05</v>
      </c>
      <c r="I175">
        <v>366.6028</v>
      </c>
      <c r="J175">
        <v>-458.33359999999999</v>
      </c>
      <c r="K175">
        <v>1.120986</v>
      </c>
      <c r="L175">
        <v>367.23630000000003</v>
      </c>
      <c r="M175">
        <v>0.99978420000000001</v>
      </c>
      <c r="N175">
        <v>-1.3625369999999999E-2</v>
      </c>
      <c r="O175">
        <v>1.5687759999999999E-2</v>
      </c>
      <c r="P175">
        <v>0.99542459999999999</v>
      </c>
      <c r="Q175">
        <v>-9.5511440000000003E-2</v>
      </c>
      <c r="R175">
        <v>-2.7659590000000001E-3</v>
      </c>
      <c r="S175">
        <v>2.9993289999999999</v>
      </c>
      <c r="T175">
        <v>-0.14855279999999901</v>
      </c>
      <c r="U175">
        <v>-7.9956050000000001E-2</v>
      </c>
      <c r="V175">
        <v>1.8384399999999999E-2</v>
      </c>
      <c r="W175">
        <v>-8.1941529999999999E-2</v>
      </c>
      <c r="X175">
        <v>0.99646760000000001</v>
      </c>
      <c r="Y175">
        <v>4.225276E-2</v>
      </c>
      <c r="Z175">
        <v>-1.8964520000000001E-3</v>
      </c>
      <c r="AA175">
        <v>0.99910520000000003</v>
      </c>
      <c r="AB175">
        <v>19</v>
      </c>
      <c r="AC175">
        <v>23.438600000000001</v>
      </c>
      <c r="AD175">
        <v>-1.1709860000000001</v>
      </c>
      <c r="AE175">
        <v>-0.63350000000002604</v>
      </c>
      <c r="AF175">
        <v>0.99866443650771997</v>
      </c>
      <c r="AG175">
        <v>-1.1709860000000001</v>
      </c>
      <c r="AH175">
        <v>23.367493899009801</v>
      </c>
      <c r="AI175">
        <v>92.866180049005195</v>
      </c>
      <c r="AJ175">
        <v>87.552820207051397</v>
      </c>
      <c r="AK175">
        <v>23.418119266695999</v>
      </c>
      <c r="AL175">
        <v>94.700173511292604</v>
      </c>
      <c r="AM175">
        <v>88.943037347111201</v>
      </c>
      <c r="AN175">
        <v>1.0000000391759201</v>
      </c>
    </row>
    <row r="176" spans="1:40" x14ac:dyDescent="0.25">
      <c r="A176" t="str">
        <f>"20190303154100221"</f>
        <v>20190303154100221</v>
      </c>
      <c r="B176" t="str">
        <f>"1551598860208899"</f>
        <v>1551598860208899</v>
      </c>
      <c r="C176" t="s">
        <v>40</v>
      </c>
      <c r="D176">
        <v>5.4883280000000001</v>
      </c>
      <c r="E176">
        <v>0.50904119999999997</v>
      </c>
      <c r="F176" t="s">
        <v>43</v>
      </c>
      <c r="G176">
        <v>-434.97390000000001</v>
      </c>
      <c r="H176">
        <v>-0.05</v>
      </c>
      <c r="I176">
        <v>366.61880000000002</v>
      </c>
      <c r="J176">
        <v>-458.16</v>
      </c>
      <c r="K176">
        <v>1.1209979999999999</v>
      </c>
      <c r="L176">
        <v>367.23910000000001</v>
      </c>
      <c r="M176">
        <v>0.99978259999999997</v>
      </c>
      <c r="N176">
        <v>-1.3695209999999999E-2</v>
      </c>
      <c r="O176">
        <v>1.5725030000000001E-2</v>
      </c>
      <c r="P176">
        <v>0.99540930000000005</v>
      </c>
      <c r="Q176">
        <v>-9.5663129999999999E-2</v>
      </c>
      <c r="R176">
        <v>-3.0408829999999999E-3</v>
      </c>
      <c r="S176">
        <v>2.9991759999999998</v>
      </c>
      <c r="T176">
        <v>-0.15034400000000001</v>
      </c>
      <c r="U176">
        <v>-7.9284670000000002E-2</v>
      </c>
      <c r="V176">
        <v>1.8695730000000001E-2</v>
      </c>
      <c r="W176">
        <v>-8.2023940000000004E-2</v>
      </c>
      <c r="X176">
        <v>0.99645499999999998</v>
      </c>
      <c r="Y176">
        <v>4.2066340000000001E-2</v>
      </c>
      <c r="Z176">
        <v>-1.914291E-3</v>
      </c>
      <c r="AA176">
        <v>0.99911300000000003</v>
      </c>
      <c r="AB176">
        <v>19</v>
      </c>
      <c r="AC176">
        <v>23.1861</v>
      </c>
      <c r="AD176">
        <v>-1.170998</v>
      </c>
      <c r="AE176">
        <v>-0.62029999999998597</v>
      </c>
      <c r="AF176">
        <v>0.98235569979741</v>
      </c>
      <c r="AG176">
        <v>-1.170998</v>
      </c>
      <c r="AH176">
        <v>23.1145616376132</v>
      </c>
      <c r="AI176">
        <v>92.897549130332294</v>
      </c>
      <c r="AJ176">
        <v>87.566426485385506</v>
      </c>
      <c r="AK176">
        <v>23.165043033328299</v>
      </c>
      <c r="AL176">
        <v>94.7049113325223</v>
      </c>
      <c r="AM176">
        <v>88.925128824859399</v>
      </c>
      <c r="AN176">
        <v>1.0000000120391701</v>
      </c>
    </row>
    <row r="177" spans="1:40" x14ac:dyDescent="0.25">
      <c r="A177" t="str">
        <f>"20190303154100243"</f>
        <v>20190303154100243</v>
      </c>
      <c r="B177" t="str">
        <f>"1551598860239152"</f>
        <v>1551598860239152</v>
      </c>
      <c r="C177" t="s">
        <v>40</v>
      </c>
      <c r="D177">
        <v>5.4867660000000003</v>
      </c>
      <c r="E177">
        <v>0.50893299999999997</v>
      </c>
      <c r="F177" t="s">
        <v>43</v>
      </c>
      <c r="G177">
        <v>-435.05149999999998</v>
      </c>
      <c r="H177">
        <v>-0.05</v>
      </c>
      <c r="I177">
        <v>366.63</v>
      </c>
      <c r="J177">
        <v>-457.97500000000002</v>
      </c>
      <c r="K177">
        <v>1.1210100000000001</v>
      </c>
      <c r="L177">
        <v>367.24209999999999</v>
      </c>
      <c r="M177">
        <v>0.99978120000000004</v>
      </c>
      <c r="N177">
        <v>-1.3759230000000001E-2</v>
      </c>
      <c r="O177">
        <v>1.5759990000000001E-2</v>
      </c>
      <c r="P177">
        <v>0.99539180000000005</v>
      </c>
      <c r="Q177">
        <v>-9.5849719999999999E-2</v>
      </c>
      <c r="R177">
        <v>-2.8241630000000002E-3</v>
      </c>
      <c r="S177">
        <v>2.9989620000000001</v>
      </c>
      <c r="T177">
        <v>-0.1519692</v>
      </c>
      <c r="U177">
        <v>-7.9040529999999998E-2</v>
      </c>
      <c r="V177">
        <v>1.8513020000000002E-2</v>
      </c>
      <c r="W177">
        <v>-8.2147090000000006E-2</v>
      </c>
      <c r="X177">
        <v>0.99644829999999995</v>
      </c>
      <c r="Y177">
        <v>4.202028E-2</v>
      </c>
      <c r="Z177">
        <v>-1.9344570000000001E-3</v>
      </c>
      <c r="AA177">
        <v>0.99911490000000003</v>
      </c>
      <c r="AB177">
        <v>19</v>
      </c>
      <c r="AC177">
        <v>22.923500000000001</v>
      </c>
      <c r="AD177">
        <v>-1.1710100000000001</v>
      </c>
      <c r="AE177">
        <v>-0.61209999999999798</v>
      </c>
      <c r="AF177">
        <v>0.97080076101342405</v>
      </c>
      <c r="AG177">
        <v>-1.1710100000000001</v>
      </c>
      <c r="AH177">
        <v>22.851416277149401</v>
      </c>
      <c r="AI177">
        <v>92.930889995591201</v>
      </c>
      <c r="AJ177">
        <v>87.567356052460894</v>
      </c>
      <c r="AK177">
        <v>22.9019855997085</v>
      </c>
      <c r="AL177">
        <v>94.711991042455097</v>
      </c>
      <c r="AM177">
        <v>88.935623763636897</v>
      </c>
      <c r="AN177">
        <v>1.00000004543893</v>
      </c>
    </row>
    <row r="178" spans="1:40" x14ac:dyDescent="0.25">
      <c r="A178" t="str">
        <f>"20190303154100257"</f>
        <v>20190303154100257</v>
      </c>
      <c r="B178" t="str">
        <f>"1551598860249888"</f>
        <v>1551598860249888</v>
      </c>
      <c r="C178" t="s">
        <v>40</v>
      </c>
      <c r="D178">
        <v>5.4888079999999997</v>
      </c>
      <c r="E178">
        <v>0.50894510000000004</v>
      </c>
      <c r="F178" t="s">
        <v>43</v>
      </c>
      <c r="G178">
        <v>-435.09969999999998</v>
      </c>
      <c r="H178">
        <v>-0.05</v>
      </c>
      <c r="I178">
        <v>366.65010000000001</v>
      </c>
      <c r="J178">
        <v>-457.84949999999998</v>
      </c>
      <c r="K178">
        <v>1.121014</v>
      </c>
      <c r="L178">
        <v>367.2441</v>
      </c>
      <c r="M178">
        <v>0.99978029999999996</v>
      </c>
      <c r="N178">
        <v>-1.3798070000000001E-2</v>
      </c>
      <c r="O178">
        <v>1.5779580000000001E-2</v>
      </c>
      <c r="P178">
        <v>0.99540019999999996</v>
      </c>
      <c r="Q178">
        <v>-9.5778290000000002E-2</v>
      </c>
      <c r="R178">
        <v>-2.2483389999999998E-3</v>
      </c>
      <c r="S178">
        <v>2.9988709999999998</v>
      </c>
      <c r="T178">
        <v>-0.15351509999999999</v>
      </c>
      <c r="U178">
        <v>-7.76062E-2</v>
      </c>
      <c r="V178">
        <v>1.7956159999999999E-2</v>
      </c>
      <c r="W178">
        <v>-8.2036819999999996E-2</v>
      </c>
      <c r="X178">
        <v>0.99646749999999995</v>
      </c>
      <c r="Y178">
        <v>4.1562290000000002E-2</v>
      </c>
      <c r="Z178">
        <v>-1.9395040000000001E-3</v>
      </c>
      <c r="AA178">
        <v>0.99913399999999997</v>
      </c>
      <c r="AB178">
        <v>19</v>
      </c>
      <c r="AC178">
        <v>22.7498</v>
      </c>
      <c r="AD178">
        <v>-1.171014</v>
      </c>
      <c r="AE178">
        <v>-0.59399999999999398</v>
      </c>
      <c r="AF178">
        <v>0.95042602338160198</v>
      </c>
      <c r="AG178">
        <v>-1.171014</v>
      </c>
      <c r="AH178">
        <v>22.677549091186801</v>
      </c>
      <c r="AI178">
        <v>92.953402488024807</v>
      </c>
      <c r="AJ178">
        <v>87.600113228360698</v>
      </c>
      <c r="AK178">
        <v>22.727644316939301</v>
      </c>
      <c r="AL178">
        <v>94.705651991024496</v>
      </c>
      <c r="AM178">
        <v>88.967652382570904</v>
      </c>
      <c r="AN178">
        <v>0.99999997103695304</v>
      </c>
    </row>
    <row r="179" spans="1:40" x14ac:dyDescent="0.25">
      <c r="A179" t="str">
        <f>"20190303154100277"</f>
        <v>20190303154100277</v>
      </c>
      <c r="B179" t="str">
        <f>"1551598860269408"</f>
        <v>1551598860269408</v>
      </c>
      <c r="C179" t="s">
        <v>40</v>
      </c>
      <c r="D179">
        <v>5.5083690000000001</v>
      </c>
      <c r="E179">
        <v>0.50897650000000005</v>
      </c>
      <c r="F179" t="s">
        <v>43</v>
      </c>
      <c r="G179">
        <v>-434.87560000000002</v>
      </c>
      <c r="H179">
        <v>-0.05</v>
      </c>
      <c r="I179">
        <v>366.66359999999997</v>
      </c>
      <c r="J179">
        <v>-457.68639999999999</v>
      </c>
      <c r="K179">
        <v>1.1210230000000001</v>
      </c>
      <c r="L179">
        <v>367.24669999999998</v>
      </c>
      <c r="M179">
        <v>0.99977939999999998</v>
      </c>
      <c r="N179">
        <v>-1.3842409999999999E-2</v>
      </c>
      <c r="O179">
        <v>1.5797229999999999E-2</v>
      </c>
      <c r="P179">
        <v>0.99535600000000002</v>
      </c>
      <c r="Q179">
        <v>-9.6249390000000004E-2</v>
      </c>
      <c r="R179">
        <v>-1.651392E-3</v>
      </c>
      <c r="S179">
        <v>2.998993</v>
      </c>
      <c r="T179">
        <v>-0.15286329999999901</v>
      </c>
      <c r="U179">
        <v>-7.5775149999999999E-2</v>
      </c>
      <c r="V179">
        <v>1.7374899999999999E-2</v>
      </c>
      <c r="W179">
        <v>-8.246444E-2</v>
      </c>
      <c r="X179">
        <v>0.99644259999999996</v>
      </c>
      <c r="Y179">
        <v>4.0970859999999998E-2</v>
      </c>
      <c r="Z179">
        <v>-1.913224E-3</v>
      </c>
      <c r="AA179">
        <v>0.99915849999999995</v>
      </c>
      <c r="AB179">
        <v>19</v>
      </c>
      <c r="AC179">
        <v>22.810799999999901</v>
      </c>
      <c r="AD179">
        <v>-1.1710229999999999</v>
      </c>
      <c r="AE179">
        <v>-0.58310000000000095</v>
      </c>
      <c r="AF179">
        <v>0.94093107546695998</v>
      </c>
      <c r="AG179">
        <v>-1.1710229999999999</v>
      </c>
      <c r="AH179">
        <v>22.738853489989001</v>
      </c>
      <c r="AI179">
        <v>92.945541548653907</v>
      </c>
      <c r="AJ179">
        <v>87.630459235193996</v>
      </c>
      <c r="AK179">
        <v>22.788420397089698</v>
      </c>
      <c r="AL179">
        <v>94.730235675862801</v>
      </c>
      <c r="AM179">
        <v>89.001038730947499</v>
      </c>
      <c r="AN179">
        <v>1.00000006305463</v>
      </c>
    </row>
    <row r="180" spans="1:40" x14ac:dyDescent="0.25">
      <c r="A180" t="str">
        <f>"20190303154100298"</f>
        <v>20190303154100298</v>
      </c>
      <c r="B180" t="str">
        <f>"1551598860288927"</f>
        <v>1551598860288927</v>
      </c>
      <c r="C180" t="s">
        <v>40</v>
      </c>
      <c r="D180">
        <v>5.5196149999999999</v>
      </c>
      <c r="E180">
        <v>0.5089262</v>
      </c>
      <c r="F180" t="s">
        <v>43</v>
      </c>
      <c r="G180">
        <v>-434.88929999999999</v>
      </c>
      <c r="H180">
        <v>-0.05</v>
      </c>
      <c r="I180">
        <v>366.6825</v>
      </c>
      <c r="J180">
        <v>-457.50400000000002</v>
      </c>
      <c r="K180">
        <v>1.121035</v>
      </c>
      <c r="L180">
        <v>367.24959999999999</v>
      </c>
      <c r="M180">
        <v>0.99977870000000002</v>
      </c>
      <c r="N180">
        <v>-1.388498E-2</v>
      </c>
      <c r="O180">
        <v>1.580836E-2</v>
      </c>
      <c r="P180">
        <v>0.99533590000000005</v>
      </c>
      <c r="Q180">
        <v>-9.6468419999999999E-2</v>
      </c>
      <c r="R180">
        <v>-8.2214500000000004E-4</v>
      </c>
      <c r="S180">
        <v>2.9990230000000002</v>
      </c>
      <c r="T180">
        <v>-0.1540511</v>
      </c>
      <c r="U180">
        <v>-7.421875E-2</v>
      </c>
      <c r="V180">
        <v>1.655502E-2</v>
      </c>
      <c r="W180">
        <v>-8.2641419999999993E-2</v>
      </c>
      <c r="X180">
        <v>0.99644180000000004</v>
      </c>
      <c r="Y180">
        <v>4.0463159999999998E-2</v>
      </c>
      <c r="Z180">
        <v>-1.911619E-3</v>
      </c>
      <c r="AA180">
        <v>0.99917920000000005</v>
      </c>
      <c r="AB180">
        <v>19</v>
      </c>
      <c r="AC180">
        <v>22.614699999999999</v>
      </c>
      <c r="AD180">
        <v>-1.171035</v>
      </c>
      <c r="AE180">
        <v>-0.56709999999998195</v>
      </c>
      <c r="AF180">
        <v>0.92209395227772795</v>
      </c>
      <c r="AG180">
        <v>-1.171035</v>
      </c>
      <c r="AH180">
        <v>22.542500753426499</v>
      </c>
      <c r="AI180">
        <v>92.971240709115804</v>
      </c>
      <c r="AJ180">
        <v>87.657639859920195</v>
      </c>
      <c r="AK180">
        <v>22.591722387774901</v>
      </c>
      <c r="AL180">
        <v>94.740411069507601</v>
      </c>
      <c r="AM180">
        <v>89.048167674364706</v>
      </c>
      <c r="AN180">
        <v>0.99999996688702797</v>
      </c>
    </row>
    <row r="181" spans="1:40" x14ac:dyDescent="0.25">
      <c r="A181" t="str">
        <f>"20190303154100321"</f>
        <v>20190303154100321</v>
      </c>
      <c r="B181" t="str">
        <f>"1551598860309423"</f>
        <v>1551598860309423</v>
      </c>
      <c r="C181" t="s">
        <v>40</v>
      </c>
      <c r="D181">
        <v>5.520632</v>
      </c>
      <c r="E181">
        <v>0.50894329999999999</v>
      </c>
      <c r="F181" t="s">
        <v>43</v>
      </c>
      <c r="G181">
        <v>-434.8963</v>
      </c>
      <c r="H181">
        <v>-0.05</v>
      </c>
      <c r="I181">
        <v>366.71289999999999</v>
      </c>
      <c r="J181">
        <v>-457.31330000000003</v>
      </c>
      <c r="K181">
        <v>1.1210439999999999</v>
      </c>
      <c r="L181">
        <v>367.25259999999997</v>
      </c>
      <c r="M181">
        <v>0.99977819999999995</v>
      </c>
      <c r="N181">
        <v>-1.392259E-2</v>
      </c>
      <c r="O181">
        <v>1.581281E-2</v>
      </c>
      <c r="P181">
        <v>0.99539200000000005</v>
      </c>
      <c r="Q181">
        <v>-9.5890020000000006E-2</v>
      </c>
      <c r="R181" s="1">
        <v>4.6528879999999996E-6</v>
      </c>
      <c r="S181">
        <v>2.9989319999999999</v>
      </c>
      <c r="T181">
        <v>-0.155339</v>
      </c>
      <c r="U181">
        <v>-7.1197510000000006E-2</v>
      </c>
      <c r="V181">
        <v>1.573244E-2</v>
      </c>
      <c r="W181">
        <v>-8.202487E-2</v>
      </c>
      <c r="X181">
        <v>0.99650609999999995</v>
      </c>
      <c r="Y181">
        <v>3.9462740000000003E-2</v>
      </c>
      <c r="Z181">
        <v>-1.894616E-3</v>
      </c>
      <c r="AA181">
        <v>0.99921919999999997</v>
      </c>
      <c r="AB181">
        <v>19</v>
      </c>
      <c r="AC181">
        <v>22.417000000000002</v>
      </c>
      <c r="AD181">
        <v>-1.171044</v>
      </c>
      <c r="AE181">
        <v>-0.53969999999998197</v>
      </c>
      <c r="AF181">
        <v>0.89171057067064896</v>
      </c>
      <c r="AG181">
        <v>-1.171044</v>
      </c>
      <c r="AH181">
        <v>22.344719934740201</v>
      </c>
      <c r="AI181">
        <v>92.997635852186605</v>
      </c>
      <c r="AJ181">
        <v>87.7147104021019</v>
      </c>
      <c r="AK181">
        <v>22.393146289741399</v>
      </c>
      <c r="AL181">
        <v>94.704964863243006</v>
      </c>
      <c r="AM181">
        <v>89.095512276716207</v>
      </c>
      <c r="AN181">
        <v>0.99999999815203999</v>
      </c>
    </row>
    <row r="182" spans="1:40" x14ac:dyDescent="0.25">
      <c r="A182" t="str">
        <f>"20190303154100343"</f>
        <v>20190303154100343</v>
      </c>
      <c r="B182" t="str">
        <f>"1551598860339680"</f>
        <v>1551598860339680</v>
      </c>
      <c r="C182" t="s">
        <v>40</v>
      </c>
      <c r="D182">
        <v>5.5293089999999996</v>
      </c>
      <c r="E182">
        <v>0.50895519999999905</v>
      </c>
      <c r="F182" t="s">
        <v>43</v>
      </c>
      <c r="G182">
        <v>-434.41379999999998</v>
      </c>
      <c r="H182">
        <v>-0.05</v>
      </c>
      <c r="I182">
        <v>366.72570000000002</v>
      </c>
      <c r="J182">
        <v>-457.12650000000002</v>
      </c>
      <c r="K182">
        <v>1.121048</v>
      </c>
      <c r="L182">
        <v>367.25560000000002</v>
      </c>
      <c r="M182">
        <v>0.99977780000000005</v>
      </c>
      <c r="N182">
        <v>-1.395389E-2</v>
      </c>
      <c r="O182">
        <v>1.581049E-2</v>
      </c>
      <c r="P182">
        <v>0.99544500000000002</v>
      </c>
      <c r="Q182">
        <v>-9.5334879999999997E-2</v>
      </c>
      <c r="R182">
        <v>1.016014E-3</v>
      </c>
      <c r="S182">
        <v>2.9991150000000002</v>
      </c>
      <c r="T182">
        <v>-0.15336949999999999</v>
      </c>
      <c r="U182">
        <v>-6.9000240000000004E-2</v>
      </c>
      <c r="V182">
        <v>1.471883E-2</v>
      </c>
      <c r="W182">
        <v>-8.1437720000000005E-2</v>
      </c>
      <c r="X182">
        <v>0.99656979999999995</v>
      </c>
      <c r="Y182">
        <v>3.873041E-2</v>
      </c>
      <c r="Z182">
        <v>-1.847425E-3</v>
      </c>
      <c r="AA182">
        <v>0.99924800000000003</v>
      </c>
      <c r="AB182">
        <v>19</v>
      </c>
      <c r="AC182">
        <v>22.712700000000002</v>
      </c>
      <c r="AD182">
        <v>-1.1710479999999901</v>
      </c>
      <c r="AE182">
        <v>-0.52989999999999704</v>
      </c>
      <c r="AF182">
        <v>0.88661193395113203</v>
      </c>
      <c r="AG182">
        <v>-1.1710479999999901</v>
      </c>
      <c r="AH182">
        <v>22.641325928550099</v>
      </c>
      <c r="AI182">
        <v>92.9585337111277</v>
      </c>
      <c r="AJ182">
        <v>87.757499701914497</v>
      </c>
      <c r="AK182">
        <v>22.688919629250002</v>
      </c>
      <c r="AL182">
        <v>94.671210446000302</v>
      </c>
      <c r="AM182">
        <v>89.153831948470597</v>
      </c>
      <c r="AN182">
        <v>1.0000000562336999</v>
      </c>
    </row>
    <row r="183" spans="1:40" x14ac:dyDescent="0.25">
      <c r="A183" t="str">
        <f>"20190303154100358"</f>
        <v>20190303154100358</v>
      </c>
      <c r="B183" t="str">
        <f>"1551598860349440"</f>
        <v>1551598860349440</v>
      </c>
      <c r="C183" t="s">
        <v>40</v>
      </c>
      <c r="D183">
        <v>5.655195</v>
      </c>
      <c r="E183">
        <v>0.50903659999999995</v>
      </c>
      <c r="F183" t="s">
        <v>43</v>
      </c>
      <c r="G183">
        <v>-433.82310000000001</v>
      </c>
      <c r="H183">
        <v>-0.05</v>
      </c>
      <c r="I183">
        <v>366.74369999999999</v>
      </c>
      <c r="J183">
        <v>-457.00569999999999</v>
      </c>
      <c r="K183">
        <v>1.1210599999999999</v>
      </c>
      <c r="L183">
        <v>367.25740000000002</v>
      </c>
      <c r="M183">
        <v>0.99977749999999999</v>
      </c>
      <c r="N183">
        <v>-1.397177E-2</v>
      </c>
      <c r="O183">
        <v>1.5805019999999999E-2</v>
      </c>
      <c r="P183">
        <v>0.99548999999999999</v>
      </c>
      <c r="Q183">
        <v>-9.4857750000000005E-2</v>
      </c>
      <c r="R183">
        <v>1.4168679999999999E-3</v>
      </c>
      <c r="S183">
        <v>2.99939</v>
      </c>
      <c r="T183">
        <v>-0.150726</v>
      </c>
      <c r="U183">
        <v>-6.588745E-2</v>
      </c>
      <c r="V183">
        <v>1.4312770000000001E-2</v>
      </c>
      <c r="W183">
        <v>-8.0942159999999999E-2</v>
      </c>
      <c r="X183">
        <v>0.99661599999999995</v>
      </c>
      <c r="Y183">
        <v>3.769049E-2</v>
      </c>
      <c r="Z183">
        <v>-1.7828080000000001E-3</v>
      </c>
      <c r="AA183">
        <v>0.99928779999999995</v>
      </c>
      <c r="AB183">
        <v>19</v>
      </c>
      <c r="AC183">
        <v>23.182599999999901</v>
      </c>
      <c r="AD183">
        <v>-1.17106</v>
      </c>
      <c r="AE183">
        <v>-0.51370000000002802</v>
      </c>
      <c r="AF183">
        <v>0.87783414379497704</v>
      </c>
      <c r="AG183">
        <v>-1.17106</v>
      </c>
      <c r="AH183">
        <v>23.112635766309101</v>
      </c>
      <c r="AI183">
        <v>92.8984685646504</v>
      </c>
      <c r="AJ183">
        <v>87.824911519418507</v>
      </c>
      <c r="AK183">
        <v>23.158927142112599</v>
      </c>
      <c r="AL183">
        <v>94.642723304379601</v>
      </c>
      <c r="AM183">
        <v>89.177210738942193</v>
      </c>
      <c r="AN183">
        <v>0.99999997005326802</v>
      </c>
    </row>
    <row r="184" spans="1:40" x14ac:dyDescent="0.25">
      <c r="A184" t="str">
        <f>"20190303154100377"</f>
        <v>20190303154100377</v>
      </c>
      <c r="B184" t="str">
        <f>"1551598860368961"</f>
        <v>1551598860368961</v>
      </c>
      <c r="C184" t="s">
        <v>40</v>
      </c>
      <c r="D184">
        <v>5.5868379999999904</v>
      </c>
      <c r="E184">
        <v>0.50907119999999995</v>
      </c>
      <c r="F184" t="s">
        <v>43</v>
      </c>
      <c r="G184">
        <v>-433.3929</v>
      </c>
      <c r="H184">
        <v>-0.05</v>
      </c>
      <c r="I184">
        <v>366.74239999999998</v>
      </c>
      <c r="J184">
        <v>-456.84589999999997</v>
      </c>
      <c r="K184">
        <v>1.1210789999999999</v>
      </c>
      <c r="L184">
        <v>367.26</v>
      </c>
      <c r="M184">
        <v>0.99977749999999999</v>
      </c>
      <c r="N184">
        <v>-1.3992330000000001E-2</v>
      </c>
      <c r="O184">
        <v>1.5787700000000002E-2</v>
      </c>
      <c r="P184">
        <v>0.99566370000000004</v>
      </c>
      <c r="Q184">
        <v>-9.2997270000000007E-2</v>
      </c>
      <c r="R184">
        <v>2.3324819999999999E-3</v>
      </c>
      <c r="S184">
        <v>2.9995120000000002</v>
      </c>
      <c r="T184">
        <v>-0.14875829999999901</v>
      </c>
      <c r="U184">
        <v>-6.5429689999999999E-2</v>
      </c>
      <c r="V184">
        <v>1.3382369999999999E-2</v>
      </c>
      <c r="W184">
        <v>-7.9058779999999995E-2</v>
      </c>
      <c r="X184">
        <v>0.99678009999999995</v>
      </c>
      <c r="Y184">
        <v>3.7521909999999999E-2</v>
      </c>
      <c r="Z184">
        <v>-1.7541340000000001E-3</v>
      </c>
      <c r="AA184">
        <v>0.99929429999999997</v>
      </c>
      <c r="AB184">
        <v>19</v>
      </c>
      <c r="AC184">
        <v>23.4529999999999</v>
      </c>
      <c r="AD184">
        <v>-1.171079</v>
      </c>
      <c r="AE184">
        <v>-0.51760000000001505</v>
      </c>
      <c r="AF184">
        <v>0.88563356067097498</v>
      </c>
      <c r="AG184">
        <v>-1.171079</v>
      </c>
      <c r="AH184">
        <v>23.3836297247577</v>
      </c>
      <c r="AI184">
        <v>92.864992322818793</v>
      </c>
      <c r="AJ184">
        <v>87.831011526178003</v>
      </c>
      <c r="AK184">
        <v>23.4296801500277</v>
      </c>
      <c r="AL184">
        <v>94.5344665638614</v>
      </c>
      <c r="AM184">
        <v>89.230816046980294</v>
      </c>
      <c r="AN184">
        <v>0.99999997313895705</v>
      </c>
    </row>
    <row r="185" spans="1:40" x14ac:dyDescent="0.25">
      <c r="A185" t="str">
        <f>"20190303154100390"</f>
        <v>20190303154100390</v>
      </c>
      <c r="B185" t="str">
        <f>"1551598860379696"</f>
        <v>1551598860379696</v>
      </c>
      <c r="C185" t="s">
        <v>40</v>
      </c>
      <c r="D185">
        <v>5.5944059999999904</v>
      </c>
      <c r="E185">
        <v>0.50904729999999998</v>
      </c>
      <c r="F185" t="s">
        <v>43</v>
      </c>
      <c r="G185">
        <v>-432.24680000000001</v>
      </c>
      <c r="H185">
        <v>-0.05</v>
      </c>
      <c r="I185">
        <v>366.74119999999999</v>
      </c>
      <c r="J185">
        <v>-456.72840000000002</v>
      </c>
      <c r="K185">
        <v>1.1210850000000001</v>
      </c>
      <c r="L185">
        <v>367.26179999999999</v>
      </c>
      <c r="M185">
        <v>0.99977769999999999</v>
      </c>
      <c r="N185">
        <v>-1.400538E-2</v>
      </c>
      <c r="O185">
        <v>1.576613E-2</v>
      </c>
      <c r="P185">
        <v>0.99573239999999996</v>
      </c>
      <c r="Q185">
        <v>-9.2240470000000005E-2</v>
      </c>
      <c r="R185">
        <v>3.0429879999999999E-3</v>
      </c>
      <c r="S185">
        <v>2.9998779999999998</v>
      </c>
      <c r="T185">
        <v>-0.14281440000000001</v>
      </c>
      <c r="U185">
        <v>-6.3262940000000004E-2</v>
      </c>
      <c r="V185">
        <v>1.2650659999999999E-2</v>
      </c>
      <c r="W185">
        <v>-7.8287999999999996E-2</v>
      </c>
      <c r="X185">
        <v>0.99685049999999997</v>
      </c>
      <c r="Y185">
        <v>3.6782559999999999E-2</v>
      </c>
      <c r="Z185">
        <v>-1.6621299999999999E-3</v>
      </c>
      <c r="AA185">
        <v>0.99932189999999999</v>
      </c>
      <c r="AB185">
        <v>19</v>
      </c>
      <c r="AC185">
        <v>24.4816</v>
      </c>
      <c r="AD185">
        <v>-1.1710849999999999</v>
      </c>
      <c r="AE185">
        <v>-0.52060000000000095</v>
      </c>
      <c r="AF185">
        <v>0.90448447476745197</v>
      </c>
      <c r="AG185">
        <v>-1.1710849999999999</v>
      </c>
      <c r="AH185">
        <v>24.4145074123578</v>
      </c>
      <c r="AI185">
        <v>92.744308741443604</v>
      </c>
      <c r="AJ185">
        <v>87.878333037335494</v>
      </c>
      <c r="AK185">
        <v>24.459307112638999</v>
      </c>
      <c r="AL185">
        <v>94.490166758878203</v>
      </c>
      <c r="AM185">
        <v>89.272919542042303</v>
      </c>
      <c r="AN185">
        <v>0.999999984746342</v>
      </c>
    </row>
    <row r="186" spans="1:40" x14ac:dyDescent="0.25">
      <c r="A186" t="str">
        <f>"20190303154100410"</f>
        <v>20190303154100410</v>
      </c>
      <c r="B186" t="str">
        <f>"1551598860399216"</f>
        <v>1551598860399216</v>
      </c>
      <c r="C186" t="s">
        <v>40</v>
      </c>
      <c r="D186">
        <v>5.6150570000000002</v>
      </c>
      <c r="E186">
        <v>0.50903189999999998</v>
      </c>
      <c r="F186" t="s">
        <v>43</v>
      </c>
      <c r="G186">
        <v>-431.8023</v>
      </c>
      <c r="H186">
        <v>-0.05</v>
      </c>
      <c r="I186">
        <v>366.75619999999998</v>
      </c>
      <c r="J186">
        <v>-456.56130000000002</v>
      </c>
      <c r="K186">
        <v>1.1210929999999999</v>
      </c>
      <c r="L186">
        <v>367.26440000000002</v>
      </c>
      <c r="M186">
        <v>0.99977830000000001</v>
      </c>
      <c r="N186">
        <v>-1.4021820000000001E-2</v>
      </c>
      <c r="O186">
        <v>1.5723890000000001E-2</v>
      </c>
      <c r="P186">
        <v>0.99575449999999999</v>
      </c>
      <c r="Q186">
        <v>-9.1974849999999997E-2</v>
      </c>
      <c r="R186">
        <v>3.7444790000000002E-3</v>
      </c>
      <c r="S186">
        <v>3</v>
      </c>
      <c r="T186">
        <v>-0.14094660000000001</v>
      </c>
      <c r="U186">
        <v>-6.0852049999999998E-2</v>
      </c>
      <c r="V186">
        <v>1.1905870000000001E-2</v>
      </c>
      <c r="W186">
        <v>-7.8005770000000002E-2</v>
      </c>
      <c r="X186">
        <v>0.99688180000000004</v>
      </c>
      <c r="Y186">
        <v>3.5939539999999999E-2</v>
      </c>
      <c r="Z186">
        <v>-1.6137829999999999E-3</v>
      </c>
      <c r="AA186">
        <v>0.99935260000000004</v>
      </c>
      <c r="AB186">
        <v>19</v>
      </c>
      <c r="AC186">
        <v>24.759</v>
      </c>
      <c r="AD186">
        <v>-1.1710929999999999</v>
      </c>
      <c r="AE186">
        <v>-0.50820000000004395</v>
      </c>
      <c r="AF186">
        <v>0.89548055202344301</v>
      </c>
      <c r="AG186">
        <v>-1.1710929999999999</v>
      </c>
      <c r="AH186">
        <v>24.692726031941799</v>
      </c>
      <c r="AI186">
        <v>92.713530534800498</v>
      </c>
      <c r="AJ186">
        <v>87.923081407026999</v>
      </c>
      <c r="AK186">
        <v>24.736694668492699</v>
      </c>
      <c r="AL186">
        <v>94.473946559034303</v>
      </c>
      <c r="AM186">
        <v>89.315742677381095</v>
      </c>
      <c r="AN186">
        <v>0.999999986532495</v>
      </c>
    </row>
    <row r="187" spans="1:40" x14ac:dyDescent="0.25">
      <c r="A187" t="str">
        <f>"20190303154100432"</f>
        <v>20190303154100432</v>
      </c>
      <c r="B187" t="str">
        <f>"1551598860429472"</f>
        <v>1551598860429472</v>
      </c>
      <c r="C187" t="s">
        <v>40</v>
      </c>
      <c r="D187">
        <v>5.5968309999999999</v>
      </c>
      <c r="E187">
        <v>0.50905279999999997</v>
      </c>
      <c r="F187" t="s">
        <v>43</v>
      </c>
      <c r="G187">
        <v>-431.6508</v>
      </c>
      <c r="H187">
        <v>-0.05</v>
      </c>
      <c r="I187">
        <v>366.77640000000002</v>
      </c>
      <c r="J187">
        <v>-456.38729999999998</v>
      </c>
      <c r="K187">
        <v>1.121084</v>
      </c>
      <c r="L187">
        <v>367.26710000000003</v>
      </c>
      <c r="M187">
        <v>0.99977890000000003</v>
      </c>
      <c r="N187">
        <v>-1.403632E-2</v>
      </c>
      <c r="O187">
        <v>1.5662329999999999E-2</v>
      </c>
      <c r="P187">
        <v>0.99567969999999895</v>
      </c>
      <c r="Q187">
        <v>-9.2780399999999999E-2</v>
      </c>
      <c r="R187">
        <v>3.762998E-3</v>
      </c>
      <c r="S187">
        <v>3</v>
      </c>
      <c r="T187">
        <v>-0.14103589999999999</v>
      </c>
      <c r="U187">
        <v>-5.877686E-2</v>
      </c>
      <c r="V187">
        <v>1.182188E-2</v>
      </c>
      <c r="W187">
        <v>-7.8798179999999995E-2</v>
      </c>
      <c r="X187">
        <v>0.9968205</v>
      </c>
      <c r="Y187">
        <v>3.5188030000000002E-2</v>
      </c>
      <c r="Z187">
        <v>-1.5898640000000001E-3</v>
      </c>
      <c r="AA187">
        <v>0.99937949999999998</v>
      </c>
      <c r="AB187">
        <v>19</v>
      </c>
      <c r="AC187">
        <v>24.7364999999999</v>
      </c>
      <c r="AD187">
        <v>-1.171084</v>
      </c>
      <c r="AE187">
        <v>-0.49070000000000302</v>
      </c>
      <c r="AF187">
        <v>0.87614622883339499</v>
      </c>
      <c r="AG187">
        <v>-1.171084</v>
      </c>
      <c r="AH187">
        <v>24.670506710876701</v>
      </c>
      <c r="AI187">
        <v>92.716022962370801</v>
      </c>
      <c r="AJ187">
        <v>87.966057479288295</v>
      </c>
      <c r="AK187">
        <v>24.713821463318201</v>
      </c>
      <c r="AL187">
        <v>94.519488390886394</v>
      </c>
      <c r="AM187">
        <v>89.320527540821502</v>
      </c>
      <c r="AN187">
        <v>1.0000000096191399</v>
      </c>
    </row>
    <row r="188" spans="1:40" x14ac:dyDescent="0.25">
      <c r="A188" t="str">
        <f>"20190303154100455"</f>
        <v>20190303154100455</v>
      </c>
      <c r="B188" t="str">
        <f>"1551598860448992"</f>
        <v>1551598860448992</v>
      </c>
      <c r="C188" t="s">
        <v>40</v>
      </c>
      <c r="D188">
        <v>5.6082260000000002</v>
      </c>
      <c r="E188">
        <v>0.50909349999999998</v>
      </c>
      <c r="F188" t="s">
        <v>43</v>
      </c>
      <c r="G188">
        <v>-432.12810000000002</v>
      </c>
      <c r="H188">
        <v>-0.05</v>
      </c>
      <c r="I188">
        <v>366.79050000000001</v>
      </c>
      <c r="J188">
        <v>-456.19529999999997</v>
      </c>
      <c r="K188">
        <v>1.121065</v>
      </c>
      <c r="L188">
        <v>367.27</v>
      </c>
      <c r="M188">
        <v>0.99978009999999995</v>
      </c>
      <c r="N188">
        <v>-1.404971E-2</v>
      </c>
      <c r="O188">
        <v>1.5570250000000001E-2</v>
      </c>
      <c r="P188">
        <v>0.99565300000000001</v>
      </c>
      <c r="Q188">
        <v>-9.3099609999999999E-2</v>
      </c>
      <c r="R188">
        <v>2.7503889999999998E-3</v>
      </c>
      <c r="S188">
        <v>2.9997560000000001</v>
      </c>
      <c r="T188">
        <v>-0.14480960000000001</v>
      </c>
      <c r="U188">
        <v>-5.892944E-2</v>
      </c>
      <c r="V188">
        <v>1.2739E-2</v>
      </c>
      <c r="W188">
        <v>-7.9105330000000001E-2</v>
      </c>
      <c r="X188">
        <v>0.99678489999999997</v>
      </c>
      <c r="Y188">
        <v>3.5145410000000002E-2</v>
      </c>
      <c r="Z188">
        <v>-1.6273150000000001E-3</v>
      </c>
      <c r="AA188">
        <v>0.99938090000000002</v>
      </c>
      <c r="AB188">
        <v>19</v>
      </c>
      <c r="AC188">
        <v>24.0671999999999</v>
      </c>
      <c r="AD188">
        <v>-1.171065</v>
      </c>
      <c r="AE188">
        <v>-0.479499999999973</v>
      </c>
      <c r="AF188">
        <v>0.85219429251860701</v>
      </c>
      <c r="AG188">
        <v>-1.171065</v>
      </c>
      <c r="AH188">
        <v>24.000015016625799</v>
      </c>
      <c r="AI188">
        <v>92.791737805279297</v>
      </c>
      <c r="AJ188">
        <v>87.966391647422199</v>
      </c>
      <c r="AK188">
        <v>24.043675865904799</v>
      </c>
      <c r="AL188">
        <v>94.537141775520595</v>
      </c>
      <c r="AM188">
        <v>89.267794685443505</v>
      </c>
      <c r="AN188">
        <v>1.0000000361117001</v>
      </c>
    </row>
    <row r="189" spans="1:40" x14ac:dyDescent="0.25">
      <c r="A189" t="str">
        <f>"20190303154100472"</f>
        <v>20190303154100472</v>
      </c>
      <c r="B189" t="str">
        <f>"1551598860469488"</f>
        <v>1551598860469488</v>
      </c>
      <c r="C189" t="s">
        <v>40</v>
      </c>
      <c r="D189">
        <v>5.6127949999999904</v>
      </c>
      <c r="E189">
        <v>0.50917199999999996</v>
      </c>
      <c r="F189" t="s">
        <v>43</v>
      </c>
      <c r="G189">
        <v>-432.12889999999999</v>
      </c>
      <c r="H189">
        <v>-0.05</v>
      </c>
      <c r="I189">
        <v>366.76949999999999</v>
      </c>
      <c r="J189">
        <v>-456.05650000000003</v>
      </c>
      <c r="K189">
        <v>1.121057</v>
      </c>
      <c r="L189">
        <v>367.27210000000002</v>
      </c>
      <c r="M189">
        <v>0.99978129999999998</v>
      </c>
      <c r="N189">
        <v>-1.405762E-2</v>
      </c>
      <c r="O189">
        <v>1.5484120000000001E-2</v>
      </c>
      <c r="P189">
        <v>0.99563639999999998</v>
      </c>
      <c r="Q189">
        <v>-9.3300419999999995E-2</v>
      </c>
      <c r="R189">
        <v>1.815297E-3</v>
      </c>
      <c r="S189">
        <v>2.999603</v>
      </c>
      <c r="T189">
        <v>-0.14595999999999901</v>
      </c>
      <c r="U189">
        <v>-6.2377929999999998E-2</v>
      </c>
      <c r="V189">
        <v>1.3585140000000001E-2</v>
      </c>
      <c r="W189">
        <v>-7.9299270000000005E-2</v>
      </c>
      <c r="X189">
        <v>0.99675829999999999</v>
      </c>
      <c r="Y189">
        <v>3.6206229999999999E-2</v>
      </c>
      <c r="Z189">
        <v>-1.6703690000000001E-3</v>
      </c>
      <c r="AA189">
        <v>0.99934290000000003</v>
      </c>
      <c r="AB189">
        <v>19</v>
      </c>
      <c r="AC189">
        <v>23.927600000000002</v>
      </c>
      <c r="AD189">
        <v>-1.171057</v>
      </c>
      <c r="AE189">
        <v>-0.50260000000002902</v>
      </c>
      <c r="AF189">
        <v>0.87098882331086802</v>
      </c>
      <c r="AG189">
        <v>-1.171057</v>
      </c>
      <c r="AH189">
        <v>23.8598218101057</v>
      </c>
      <c r="AI189">
        <v>92.807995447816793</v>
      </c>
      <c r="AJ189">
        <v>87.909379424789904</v>
      </c>
      <c r="AK189">
        <v>23.904415760222602</v>
      </c>
      <c r="AL189">
        <v>94.548288812091599</v>
      </c>
      <c r="AM189">
        <v>89.2191457095158</v>
      </c>
      <c r="AN189">
        <v>1.00000001943512</v>
      </c>
    </row>
    <row r="190" spans="1:40" x14ac:dyDescent="0.25">
      <c r="A190" t="str">
        <f>"20190303154100490"</f>
        <v>20190303154100490</v>
      </c>
      <c r="B190" t="str">
        <f>"1551598860479248"</f>
        <v>1551598860479248</v>
      </c>
      <c r="C190" t="s">
        <v>40</v>
      </c>
      <c r="D190">
        <v>5.6237269999999997</v>
      </c>
      <c r="E190">
        <v>0.50919820000000005</v>
      </c>
      <c r="F190" t="s">
        <v>43</v>
      </c>
      <c r="G190">
        <v>-432.089</v>
      </c>
      <c r="H190">
        <v>-0.05</v>
      </c>
      <c r="I190">
        <v>366.74759999999998</v>
      </c>
      <c r="J190">
        <v>-455.90640000000002</v>
      </c>
      <c r="K190">
        <v>1.1210500000000001</v>
      </c>
      <c r="L190">
        <v>367.27429999999998</v>
      </c>
      <c r="M190">
        <v>0.99978299999999998</v>
      </c>
      <c r="N190">
        <v>-1.406486E-2</v>
      </c>
      <c r="O190">
        <v>1.5374469999999999E-2</v>
      </c>
      <c r="P190">
        <v>0.9956815</v>
      </c>
      <c r="Q190">
        <v>-9.2833769999999996E-2</v>
      </c>
      <c r="R190">
        <v>3.7518680000000001E-4</v>
      </c>
      <c r="S190">
        <v>2.9995419999999999</v>
      </c>
      <c r="T190">
        <v>-0.14655850000000001</v>
      </c>
      <c r="U190">
        <v>-6.5643309999999996E-2</v>
      </c>
      <c r="V190">
        <v>1.4914129999999999E-2</v>
      </c>
      <c r="W190">
        <v>-7.8825909999999999E-2</v>
      </c>
      <c r="X190">
        <v>0.99677680000000002</v>
      </c>
      <c r="Y190">
        <v>3.7182510000000002E-2</v>
      </c>
      <c r="Z190">
        <v>-1.703995E-3</v>
      </c>
      <c r="AA190">
        <v>0.99930699999999995</v>
      </c>
      <c r="AB190">
        <v>19</v>
      </c>
      <c r="AC190">
        <v>23.817399999999999</v>
      </c>
      <c r="AD190">
        <v>-1.1710499999999999</v>
      </c>
      <c r="AE190">
        <v>-0.52670000000000505</v>
      </c>
      <c r="AF190">
        <v>0.89070161931513803</v>
      </c>
      <c r="AG190">
        <v>-1.1710499999999999</v>
      </c>
      <c r="AH190">
        <v>23.749101013614101</v>
      </c>
      <c r="AI190">
        <v>92.820944579965897</v>
      </c>
      <c r="AJ190">
        <v>87.852148766277907</v>
      </c>
      <c r="AK190">
        <v>23.794631882674601</v>
      </c>
      <c r="AL190">
        <v>94.521082329841704</v>
      </c>
      <c r="AM190">
        <v>89.142784076449502</v>
      </c>
      <c r="AN190">
        <v>0.99999997218961201</v>
      </c>
    </row>
    <row r="191" spans="1:40" x14ac:dyDescent="0.25">
      <c r="A191" t="str">
        <f>"20190303154100511"</f>
        <v>20190303154100511</v>
      </c>
      <c r="B191" t="str">
        <f>"1551598860499747"</f>
        <v>1551598860499747</v>
      </c>
      <c r="C191" t="s">
        <v>40</v>
      </c>
      <c r="D191">
        <v>5.6989340000000004</v>
      </c>
      <c r="E191">
        <v>0.50917219999999996</v>
      </c>
      <c r="F191" t="s">
        <v>43</v>
      </c>
      <c r="G191">
        <v>-431.74869999999999</v>
      </c>
      <c r="H191">
        <v>-0.05</v>
      </c>
      <c r="I191">
        <v>366.7099</v>
      </c>
      <c r="J191">
        <v>-455.73849999999999</v>
      </c>
      <c r="K191">
        <v>1.121046</v>
      </c>
      <c r="L191">
        <v>367.27670000000001</v>
      </c>
      <c r="M191">
        <v>0.99978500000000003</v>
      </c>
      <c r="N191">
        <v>-1.4071739999999999E-2</v>
      </c>
      <c r="O191">
        <v>1.5232829999999999E-2</v>
      </c>
      <c r="P191">
        <v>0.99567260000000002</v>
      </c>
      <c r="Q191">
        <v>-9.2929929999999994E-2</v>
      </c>
      <c r="R191">
        <v>-6.3427209999999999E-4</v>
      </c>
      <c r="S191">
        <v>2.9994510000000001</v>
      </c>
      <c r="T191">
        <v>-0.1453991</v>
      </c>
      <c r="U191">
        <v>-7.0068359999999996E-2</v>
      </c>
      <c r="V191">
        <v>1.577988E-2</v>
      </c>
      <c r="W191">
        <v>-7.8916210000000001E-2</v>
      </c>
      <c r="X191">
        <v>0.99675639999999999</v>
      </c>
      <c r="Y191">
        <v>3.8514149999999997E-2</v>
      </c>
      <c r="Z191">
        <v>-1.727704E-3</v>
      </c>
      <c r="AA191">
        <v>0.99925660000000005</v>
      </c>
      <c r="AB191">
        <v>19</v>
      </c>
      <c r="AC191">
        <v>23.989799999999999</v>
      </c>
      <c r="AD191">
        <v>-1.17104599999999</v>
      </c>
      <c r="AE191">
        <v>-0.56679999999999997</v>
      </c>
      <c r="AF191">
        <v>0.929988160517211</v>
      </c>
      <c r="AG191">
        <v>-1.17104599999999</v>
      </c>
      <c r="AH191">
        <v>23.921412112457102</v>
      </c>
      <c r="AI191">
        <v>92.800501310547205</v>
      </c>
      <c r="AJ191">
        <v>87.773644136382899</v>
      </c>
      <c r="AK191">
        <v>23.968107646763102</v>
      </c>
      <c r="AL191">
        <v>94.526271967798294</v>
      </c>
      <c r="AM191">
        <v>89.093013093284299</v>
      </c>
      <c r="AN191">
        <v>1.0000000468772601</v>
      </c>
    </row>
    <row r="192" spans="1:40" x14ac:dyDescent="0.25">
      <c r="A192" t="str">
        <f>"20190303154100533"</f>
        <v>20190303154100533</v>
      </c>
      <c r="B192" t="str">
        <f>"1551598860529024"</f>
        <v>1551598860529024</v>
      </c>
      <c r="C192" t="s">
        <v>40</v>
      </c>
      <c r="D192">
        <v>5.8906780000000003</v>
      </c>
      <c r="E192">
        <v>0.50926380000000004</v>
      </c>
      <c r="F192" t="s">
        <v>43</v>
      </c>
      <c r="G192">
        <v>-431.8578</v>
      </c>
      <c r="H192">
        <v>-0.05</v>
      </c>
      <c r="I192">
        <v>366.6952</v>
      </c>
      <c r="J192">
        <v>-455.54950000000002</v>
      </c>
      <c r="K192">
        <v>1.1210420000000001</v>
      </c>
      <c r="L192">
        <v>367.27929999999998</v>
      </c>
      <c r="M192">
        <v>0.9997876</v>
      </c>
      <c r="N192">
        <v>-1.407803E-2</v>
      </c>
      <c r="O192">
        <v>1.50528E-2</v>
      </c>
      <c r="P192">
        <v>0.99567850000000002</v>
      </c>
      <c r="Q192">
        <v>-9.2854530000000005E-2</v>
      </c>
      <c r="R192">
        <v>-1.6422800000000001E-3</v>
      </c>
      <c r="S192">
        <v>2.9992679999999998</v>
      </c>
      <c r="T192">
        <v>-0.14707600000000001</v>
      </c>
      <c r="U192">
        <v>-7.3028560000000006E-2</v>
      </c>
      <c r="V192">
        <v>1.6606570000000001E-2</v>
      </c>
      <c r="W192">
        <v>-7.8835240000000001E-2</v>
      </c>
      <c r="X192">
        <v>0.99674929999999995</v>
      </c>
      <c r="Y192">
        <v>3.931867E-2</v>
      </c>
      <c r="Z192">
        <v>-1.766164E-3</v>
      </c>
      <c r="AA192">
        <v>0.99922509999999998</v>
      </c>
      <c r="AB192">
        <v>18</v>
      </c>
      <c r="AC192">
        <v>23.691700000000001</v>
      </c>
      <c r="AD192">
        <v>-1.1710419999999999</v>
      </c>
      <c r="AE192">
        <v>-0.58409999999997797</v>
      </c>
      <c r="AF192">
        <v>0.93840428926591801</v>
      </c>
      <c r="AG192">
        <v>-1.1710419999999999</v>
      </c>
      <c r="AH192">
        <v>23.622543319201402</v>
      </c>
      <c r="AI192">
        <v>92.835771449416796</v>
      </c>
      <c r="AJ192">
        <v>87.725124311976899</v>
      </c>
      <c r="AK192">
        <v>23.6701604312988</v>
      </c>
      <c r="AL192">
        <v>94.521618577517202</v>
      </c>
      <c r="AM192">
        <v>89.045498853101805</v>
      </c>
      <c r="AN192">
        <v>0.99999997014175501</v>
      </c>
    </row>
    <row r="193" spans="1:40" x14ac:dyDescent="0.25">
      <c r="A193" t="str">
        <f>"20190303154100555"</f>
        <v>20190303154100555</v>
      </c>
      <c r="B193" t="str">
        <f>"1551598860549520"</f>
        <v>1551598860549520</v>
      </c>
      <c r="C193" t="s">
        <v>40</v>
      </c>
      <c r="D193">
        <v>5.7928350000000002</v>
      </c>
      <c r="E193">
        <v>0.54138180000000002</v>
      </c>
      <c r="F193" t="s">
        <v>43</v>
      </c>
      <c r="G193">
        <v>-431.73739999999998</v>
      </c>
      <c r="H193">
        <v>-0.05</v>
      </c>
      <c r="I193">
        <v>366.67070000000001</v>
      </c>
      <c r="J193">
        <v>-455.37189999999998</v>
      </c>
      <c r="K193">
        <v>1.121041</v>
      </c>
      <c r="L193">
        <v>367.28179999999998</v>
      </c>
      <c r="M193">
        <v>0.99979030000000002</v>
      </c>
      <c r="N193">
        <v>-1.408245E-2</v>
      </c>
      <c r="O193">
        <v>1.486751E-2</v>
      </c>
      <c r="P193">
        <v>0.99566100000000002</v>
      </c>
      <c r="Q193">
        <v>-9.3024490000000001E-2</v>
      </c>
      <c r="R193">
        <v>-2.4003340000000001E-3</v>
      </c>
      <c r="S193">
        <v>2.9991460000000001</v>
      </c>
      <c r="T193">
        <v>-0.14749289999999901</v>
      </c>
      <c r="U193">
        <v>-7.6660160000000005E-2</v>
      </c>
      <c r="V193">
        <v>1.7179070000000001E-2</v>
      </c>
      <c r="W193">
        <v>-7.9001500000000002E-2</v>
      </c>
      <c r="X193">
        <v>0.99672649999999996</v>
      </c>
      <c r="Y193">
        <v>4.0341790000000002E-2</v>
      </c>
      <c r="Z193">
        <v>-1.796906E-3</v>
      </c>
      <c r="AA193">
        <v>0.99918430000000003</v>
      </c>
      <c r="AB193">
        <v>18</v>
      </c>
      <c r="AC193">
        <v>23.634499999999999</v>
      </c>
      <c r="AD193">
        <v>-1.171041</v>
      </c>
      <c r="AE193">
        <v>-0.61109999999996401</v>
      </c>
      <c r="AF193">
        <v>0.96009799064973</v>
      </c>
      <c r="AG193">
        <v>-1.171041</v>
      </c>
      <c r="AH193">
        <v>23.5649874070014</v>
      </c>
      <c r="AI193">
        <v>92.842567856465294</v>
      </c>
      <c r="AJ193">
        <v>87.666913447199605</v>
      </c>
      <c r="AK193">
        <v>23.613592625169598</v>
      </c>
      <c r="AL193">
        <v>94.531174075999999</v>
      </c>
      <c r="AM193">
        <v>89.012576911107104</v>
      </c>
      <c r="AN193">
        <v>1.0000000366252799</v>
      </c>
    </row>
    <row r="194" spans="1:40" x14ac:dyDescent="0.25">
      <c r="A194" t="str">
        <f>"20190303154100570"</f>
        <v>20190303154100570</v>
      </c>
      <c r="B194" t="str">
        <f>"1551598860559280"</f>
        <v>1551598860559280</v>
      </c>
      <c r="C194" t="s">
        <v>40</v>
      </c>
      <c r="D194">
        <v>5.8046629999999997</v>
      </c>
      <c r="E194">
        <v>0.54671709999999996</v>
      </c>
      <c r="F194" t="s">
        <v>43</v>
      </c>
      <c r="G194">
        <v>-436.17430000000002</v>
      </c>
      <c r="H194">
        <v>-0.05</v>
      </c>
      <c r="I194">
        <v>365.12790000000001</v>
      </c>
      <c r="J194">
        <v>-455.2509</v>
      </c>
      <c r="K194">
        <v>1.121046</v>
      </c>
      <c r="L194">
        <v>367.28339999999997</v>
      </c>
      <c r="M194">
        <v>0.99979229999999997</v>
      </c>
      <c r="N194">
        <v>-1.408468E-2</v>
      </c>
      <c r="O194">
        <v>1.473642E-2</v>
      </c>
      <c r="P194">
        <v>0.995645</v>
      </c>
      <c r="Q194">
        <v>-9.3189149999999998E-2</v>
      </c>
      <c r="R194">
        <v>-2.6767710000000001E-3</v>
      </c>
      <c r="S194">
        <v>2.9952390000000002</v>
      </c>
      <c r="T194">
        <v>-0.18270700000000001</v>
      </c>
      <c r="U194">
        <v>-0.33605960000000001</v>
      </c>
      <c r="V194">
        <v>1.7324590000000001E-2</v>
      </c>
      <c r="W194">
        <v>-7.9164239999999997E-2</v>
      </c>
      <c r="X194">
        <v>0.99671100000000001</v>
      </c>
      <c r="Y194">
        <v>0.1258311</v>
      </c>
      <c r="Z194">
        <v>-5.4009330000000001E-3</v>
      </c>
      <c r="AA194">
        <v>0.99203699999999995</v>
      </c>
      <c r="AB194">
        <v>18</v>
      </c>
      <c r="AC194">
        <v>19.0765999999999</v>
      </c>
      <c r="AD194">
        <v>-1.17104599999999</v>
      </c>
      <c r="AE194">
        <v>-2.15549999999996</v>
      </c>
      <c r="AF194">
        <v>2.4273827404232899</v>
      </c>
      <c r="AG194">
        <v>-1.17104599999999</v>
      </c>
      <c r="AH194">
        <v>18.9721689673916</v>
      </c>
      <c r="AI194">
        <v>93.503579340155298</v>
      </c>
      <c r="AJ194">
        <v>82.708938109913305</v>
      </c>
      <c r="AK194">
        <v>19.162638937001301</v>
      </c>
      <c r="AL194">
        <v>94.540527998533193</v>
      </c>
      <c r="AM194">
        <v>89.004198869043194</v>
      </c>
      <c r="AN194">
        <v>0.99999996791722201</v>
      </c>
    </row>
    <row r="195" spans="1:40" x14ac:dyDescent="0.25">
      <c r="A195" t="str">
        <f>"20190303154100590"</f>
        <v>20190303154100590</v>
      </c>
      <c r="B195" t="str">
        <f>"1551598860579779"</f>
        <v>1551598860579779</v>
      </c>
      <c r="C195" t="s">
        <v>40</v>
      </c>
      <c r="D195">
        <v>5.7653499999999998</v>
      </c>
      <c r="E195">
        <v>0.55192649999999999</v>
      </c>
      <c r="F195" t="s">
        <v>43</v>
      </c>
      <c r="G195">
        <v>-434.8186</v>
      </c>
      <c r="H195">
        <v>-0.05</v>
      </c>
      <c r="I195">
        <v>364.69920000000002</v>
      </c>
      <c r="J195">
        <v>-455.08699999999999</v>
      </c>
      <c r="K195">
        <v>1.121051</v>
      </c>
      <c r="L195">
        <v>367.28559999999999</v>
      </c>
      <c r="M195">
        <v>0.99979490000000004</v>
      </c>
      <c r="N195">
        <v>-1.408705E-2</v>
      </c>
      <c r="O195">
        <v>1.455738E-2</v>
      </c>
      <c r="P195">
        <v>0.9956661</v>
      </c>
      <c r="Q195">
        <v>-9.291518E-2</v>
      </c>
      <c r="R195">
        <v>-3.9983620000000001E-3</v>
      </c>
      <c r="S195">
        <v>2.9960330000000002</v>
      </c>
      <c r="T195">
        <v>-0.17171239999999999</v>
      </c>
      <c r="U195">
        <v>-0.37893680000000002</v>
      </c>
      <c r="V195">
        <v>1.8468499999999999E-2</v>
      </c>
      <c r="W195">
        <v>-7.8888189999999997E-2</v>
      </c>
      <c r="X195">
        <v>0.99671240000000005</v>
      </c>
      <c r="Y195">
        <v>0.13961509999999999</v>
      </c>
      <c r="Z195">
        <v>-5.596536E-3</v>
      </c>
      <c r="AA195">
        <v>0.99019000000000001</v>
      </c>
      <c r="AB195">
        <v>18</v>
      </c>
      <c r="AC195">
        <v>20.2683999999999</v>
      </c>
      <c r="AD195">
        <v>-1.1710510000000001</v>
      </c>
      <c r="AE195">
        <v>-2.5863999999999598</v>
      </c>
      <c r="AF195">
        <v>2.8717769609602501</v>
      </c>
      <c r="AG195">
        <v>-1.1710510000000001</v>
      </c>
      <c r="AH195">
        <v>20.162369264571499</v>
      </c>
      <c r="AI195">
        <v>93.290923147408293</v>
      </c>
      <c r="AJ195">
        <v>81.893741863230304</v>
      </c>
      <c r="AK195">
        <v>20.399499937965199</v>
      </c>
      <c r="AL195">
        <v>94.524661640457495</v>
      </c>
      <c r="AM195">
        <v>88.938464069047399</v>
      </c>
      <c r="AN195">
        <v>1.00000002016374</v>
      </c>
    </row>
    <row r="196" spans="1:40" x14ac:dyDescent="0.25">
      <c r="A196" t="str">
        <f>"20190303154100611"</f>
        <v>20190303154100611</v>
      </c>
      <c r="B196" t="str">
        <f>"1551598860599299"</f>
        <v>1551598860599299</v>
      </c>
      <c r="C196" t="s">
        <v>40</v>
      </c>
      <c r="D196">
        <v>5.7033769999999997</v>
      </c>
      <c r="E196">
        <v>0.55550089999999996</v>
      </c>
      <c r="F196" t="s">
        <v>43</v>
      </c>
      <c r="G196">
        <v>-433.08280000000002</v>
      </c>
      <c r="H196">
        <v>-0.05</v>
      </c>
      <c r="I196">
        <v>364.16860000000003</v>
      </c>
      <c r="J196">
        <v>-454.91770000000002</v>
      </c>
      <c r="K196">
        <v>1.1210639999999901</v>
      </c>
      <c r="L196">
        <v>367.28789999999998</v>
      </c>
      <c r="M196">
        <v>0.99979750000000001</v>
      </c>
      <c r="N196">
        <v>-1.4088659999999999E-2</v>
      </c>
      <c r="O196">
        <v>1.4373199999999999E-2</v>
      </c>
      <c r="P196">
        <v>0.99571270000000001</v>
      </c>
      <c r="Q196">
        <v>-9.2405860000000006E-2</v>
      </c>
      <c r="R196">
        <v>-4.2041420000000001E-3</v>
      </c>
      <c r="S196">
        <v>2.9964900000000001</v>
      </c>
      <c r="T196">
        <v>-0.159472</v>
      </c>
      <c r="U196">
        <v>-0.42446899999999999</v>
      </c>
      <c r="V196">
        <v>1.8492100000000001E-2</v>
      </c>
      <c r="W196">
        <v>-7.8376500000000002E-2</v>
      </c>
      <c r="X196">
        <v>0.99675230000000004</v>
      </c>
      <c r="Y196">
        <v>0.15419079999999999</v>
      </c>
      <c r="Z196">
        <v>-5.731763E-3</v>
      </c>
      <c r="AA196">
        <v>0.98802449999999997</v>
      </c>
      <c r="AB196">
        <v>18</v>
      </c>
      <c r="AC196">
        <v>21.834900000000001</v>
      </c>
      <c r="AD196">
        <v>-1.1710640000000001</v>
      </c>
      <c r="AE196">
        <v>-3.1192999999999498</v>
      </c>
      <c r="AF196">
        <v>3.4231964686751799</v>
      </c>
      <c r="AG196">
        <v>-1.1710640000000001</v>
      </c>
      <c r="AH196">
        <v>21.7265595249849</v>
      </c>
      <c r="AI196">
        <v>93.047738179537205</v>
      </c>
      <c r="AJ196">
        <v>81.046190414858899</v>
      </c>
      <c r="AK196">
        <v>22.025736168127501</v>
      </c>
      <c r="AL196">
        <v>94.495253038016102</v>
      </c>
      <c r="AM196">
        <v>88.937150432599296</v>
      </c>
      <c r="AN196">
        <v>0.99999999053497401</v>
      </c>
    </row>
    <row r="197" spans="1:40" x14ac:dyDescent="0.25">
      <c r="A197" t="str">
        <f>"20190303154100633"</f>
        <v>20190303154100633</v>
      </c>
      <c r="B197" t="str">
        <f>"1551598860629552"</f>
        <v>1551598860629552</v>
      </c>
      <c r="C197" t="s">
        <v>40</v>
      </c>
      <c r="D197">
        <v>5.7404510000000002</v>
      </c>
      <c r="E197">
        <v>0.55853219999999904</v>
      </c>
      <c r="F197" t="s">
        <v>43</v>
      </c>
      <c r="G197">
        <v>-431.17309999999998</v>
      </c>
      <c r="H197">
        <v>-0.05</v>
      </c>
      <c r="I197">
        <v>363.69560000000001</v>
      </c>
      <c r="J197">
        <v>-454.73660000000001</v>
      </c>
      <c r="K197">
        <v>1.1210739999999999</v>
      </c>
      <c r="L197">
        <v>367.2903</v>
      </c>
      <c r="M197">
        <v>0.99980020000000003</v>
      </c>
      <c r="N197">
        <v>-1.4089610000000001E-2</v>
      </c>
      <c r="O197">
        <v>1.417944E-2</v>
      </c>
      <c r="P197">
        <v>0.99573780000000001</v>
      </c>
      <c r="Q197">
        <v>-9.2122319999999994E-2</v>
      </c>
      <c r="R197">
        <v>-4.4630540000000002E-3</v>
      </c>
      <c r="S197">
        <v>2.9973139999999998</v>
      </c>
      <c r="T197">
        <v>-0.14782490000000001</v>
      </c>
      <c r="U197">
        <v>-0.45346069999999999</v>
      </c>
      <c r="V197">
        <v>1.85594E-2</v>
      </c>
      <c r="W197">
        <v>-7.809149E-2</v>
      </c>
      <c r="X197">
        <v>0.99677340000000003</v>
      </c>
      <c r="Y197">
        <v>0.1633337</v>
      </c>
      <c r="Z197">
        <v>-5.6572460000000003E-3</v>
      </c>
      <c r="AA197">
        <v>0.98655470000000001</v>
      </c>
      <c r="AB197">
        <v>18</v>
      </c>
      <c r="AC197">
        <v>23.563500000000001</v>
      </c>
      <c r="AD197">
        <v>-1.1710739999999999</v>
      </c>
      <c r="AE197">
        <v>-3.59469999999998</v>
      </c>
      <c r="AF197">
        <v>3.9190292670839502</v>
      </c>
      <c r="AG197">
        <v>-1.1710739999999999</v>
      </c>
      <c r="AH197">
        <v>23.453543022957799</v>
      </c>
      <c r="AI197">
        <v>92.819471884648394</v>
      </c>
      <c r="AJ197">
        <v>80.513659651746494</v>
      </c>
      <c r="AK197">
        <v>23.807538407812501</v>
      </c>
      <c r="AL197">
        <v>94.478873048383804</v>
      </c>
      <c r="AM197">
        <v>88.933305773961806</v>
      </c>
      <c r="AN197">
        <v>0.999999971543169</v>
      </c>
    </row>
    <row r="198" spans="1:40" x14ac:dyDescent="0.25">
      <c r="A198" t="str">
        <f>"20190303154100655"</f>
        <v>20190303154100655</v>
      </c>
      <c r="B198" t="str">
        <f>"1551598860649072"</f>
        <v>1551598860649072</v>
      </c>
      <c r="C198" t="s">
        <v>40</v>
      </c>
      <c r="D198">
        <v>5.7241210000000002</v>
      </c>
      <c r="E198">
        <v>0.56016169999999899</v>
      </c>
      <c r="F198" t="s">
        <v>43</v>
      </c>
      <c r="G198">
        <v>-429.47800000000001</v>
      </c>
      <c r="H198">
        <v>-0.05</v>
      </c>
      <c r="I198">
        <v>363.2595</v>
      </c>
      <c r="J198">
        <v>-454.55459999999999</v>
      </c>
      <c r="K198">
        <v>1.1210850000000001</v>
      </c>
      <c r="L198">
        <v>367.29259999999999</v>
      </c>
      <c r="M198">
        <v>0.99980290000000005</v>
      </c>
      <c r="N198">
        <v>-1.4089870000000001E-2</v>
      </c>
      <c r="O198">
        <v>1.398903E-2</v>
      </c>
      <c r="P198">
        <v>0.99582740000000003</v>
      </c>
      <c r="Q198">
        <v>-9.1152529999999996E-2</v>
      </c>
      <c r="R198">
        <v>-4.3538020000000004E-3</v>
      </c>
      <c r="S198">
        <v>2.997833</v>
      </c>
      <c r="T198">
        <v>-0.13898969999999999</v>
      </c>
      <c r="U198">
        <v>-0.47839359999999997</v>
      </c>
      <c r="V198">
        <v>1.8263080000000001E-2</v>
      </c>
      <c r="W198">
        <v>-7.7119939999999998E-2</v>
      </c>
      <c r="X198">
        <v>0.99685449999999998</v>
      </c>
      <c r="Y198">
        <v>0.17114389999999999</v>
      </c>
      <c r="Z198">
        <v>-5.6031240000000001E-3</v>
      </c>
      <c r="AA198">
        <v>0.9852301</v>
      </c>
      <c r="AB198">
        <v>18</v>
      </c>
      <c r="AC198">
        <v>25.0765999999999</v>
      </c>
      <c r="AD198">
        <v>-1.1710849999999999</v>
      </c>
      <c r="AE198">
        <v>-4.0330999999999904</v>
      </c>
      <c r="AF198">
        <v>4.3742380872212001</v>
      </c>
      <c r="AG198">
        <v>-1.1710849999999999</v>
      </c>
      <c r="AH198">
        <v>24.9646479285006</v>
      </c>
      <c r="AI198">
        <v>92.6455163573129</v>
      </c>
      <c r="AJ198">
        <v>80.061674792259893</v>
      </c>
      <c r="AK198">
        <v>25.372013028431802</v>
      </c>
      <c r="AL198">
        <v>94.423038993956098</v>
      </c>
      <c r="AM198">
        <v>88.950418185770303</v>
      </c>
      <c r="AN198">
        <v>0.999999959703469</v>
      </c>
    </row>
    <row r="199" spans="1:40" x14ac:dyDescent="0.25">
      <c r="A199" t="str">
        <f>"20190303154100681"</f>
        <v>20190303154100681</v>
      </c>
      <c r="B199" t="str">
        <f>"1551598860669568"</f>
        <v>1551598860669568</v>
      </c>
      <c r="C199" t="s">
        <v>40</v>
      </c>
      <c r="D199">
        <v>5.7644190000000002</v>
      </c>
      <c r="E199">
        <v>0.56107559999999901</v>
      </c>
      <c r="F199" t="s">
        <v>43</v>
      </c>
      <c r="G199">
        <v>-426.73559999999998</v>
      </c>
      <c r="H199">
        <v>-0.05</v>
      </c>
      <c r="I199">
        <v>362.74040000000002</v>
      </c>
      <c r="J199">
        <v>-454.35520000000002</v>
      </c>
      <c r="K199">
        <v>1.1210880000000001</v>
      </c>
      <c r="L199">
        <v>367.29509999999999</v>
      </c>
      <c r="M199">
        <v>0.99980570000000002</v>
      </c>
      <c r="N199">
        <v>-1.408936E-2</v>
      </c>
      <c r="O199">
        <v>1.378473E-2</v>
      </c>
      <c r="P199">
        <v>0.99584589999999995</v>
      </c>
      <c r="Q199">
        <v>-9.0985670000000005E-2</v>
      </c>
      <c r="R199">
        <v>-3.6221309999999998E-3</v>
      </c>
      <c r="S199">
        <v>2.9988709999999998</v>
      </c>
      <c r="T199">
        <v>-0.1262422</v>
      </c>
      <c r="U199">
        <v>-0.49072270000000001</v>
      </c>
      <c r="V199">
        <v>1.7328820000000002E-2</v>
      </c>
      <c r="W199">
        <v>-7.6952690000000004E-2</v>
      </c>
      <c r="X199">
        <v>0.9968842</v>
      </c>
      <c r="Y199">
        <v>0.17487</v>
      </c>
      <c r="Z199">
        <v>-5.2791449999999998E-3</v>
      </c>
      <c r="AA199">
        <v>0.98457740000000005</v>
      </c>
      <c r="AB199">
        <v>18</v>
      </c>
      <c r="AC199">
        <v>27.619599999999998</v>
      </c>
      <c r="AD199">
        <v>-1.1710879999999999</v>
      </c>
      <c r="AE199">
        <v>-4.5546999999999596</v>
      </c>
      <c r="AF199">
        <v>4.9264114028998804</v>
      </c>
      <c r="AG199">
        <v>-1.1710879999999999</v>
      </c>
      <c r="AH199">
        <v>27.506042189814799</v>
      </c>
      <c r="AI199">
        <v>92.399792918047794</v>
      </c>
      <c r="AJ199">
        <v>79.845822052027302</v>
      </c>
      <c r="AK199">
        <v>27.968255815517701</v>
      </c>
      <c r="AL199">
        <v>94.4134272850565</v>
      </c>
      <c r="AM199">
        <v>89.0041288008062</v>
      </c>
      <c r="AN199">
        <v>1.00000005635523</v>
      </c>
    </row>
    <row r="200" spans="1:40" x14ac:dyDescent="0.25">
      <c r="A200" t="str">
        <f>"20190303154100700"</f>
        <v>20190303154100700</v>
      </c>
      <c r="B200" t="str">
        <f>"1551598860689087"</f>
        <v>1551598860689087</v>
      </c>
      <c r="C200" t="s">
        <v>40</v>
      </c>
      <c r="D200">
        <v>5.761933</v>
      </c>
      <c r="E200">
        <v>0.56144780000000005</v>
      </c>
      <c r="F200" t="s">
        <v>43</v>
      </c>
      <c r="G200">
        <v>-425.83089999999999</v>
      </c>
      <c r="H200">
        <v>-0.05</v>
      </c>
      <c r="I200">
        <v>362.58319999999998</v>
      </c>
      <c r="J200">
        <v>-454.1866</v>
      </c>
      <c r="K200">
        <v>1.121097</v>
      </c>
      <c r="L200">
        <v>367.29719999999998</v>
      </c>
      <c r="M200">
        <v>0.99980820000000004</v>
      </c>
      <c r="N200">
        <v>-1.4088430000000001E-2</v>
      </c>
      <c r="O200">
        <v>1.3615510000000001E-2</v>
      </c>
      <c r="P200">
        <v>0.99590160000000005</v>
      </c>
      <c r="Q200">
        <v>-9.0407059999999997E-2</v>
      </c>
      <c r="R200">
        <v>-2.5893320000000002E-3</v>
      </c>
      <c r="S200">
        <v>2.9994510000000001</v>
      </c>
      <c r="T200">
        <v>-0.123145</v>
      </c>
      <c r="U200">
        <v>-0.49548340000000002</v>
      </c>
      <c r="V200">
        <v>1.61292E-2</v>
      </c>
      <c r="W200">
        <v>-7.6373640000000007E-2</v>
      </c>
      <c r="X200">
        <v>0.99694879999999997</v>
      </c>
      <c r="Y200">
        <v>0.1762022</v>
      </c>
      <c r="Z200">
        <v>-5.2062549999999999E-3</v>
      </c>
      <c r="AA200">
        <v>0.98434029999999995</v>
      </c>
      <c r="AB200">
        <v>18</v>
      </c>
      <c r="AC200">
        <v>28.355699999999999</v>
      </c>
      <c r="AD200">
        <v>-1.1710969999999901</v>
      </c>
      <c r="AE200">
        <v>-4.7139999999999898</v>
      </c>
      <c r="AF200">
        <v>5.0912279257008901</v>
      </c>
      <c r="AG200">
        <v>-1.1710969999999901</v>
      </c>
      <c r="AH200">
        <v>28.242004080518399</v>
      </c>
      <c r="AI200">
        <v>92.336869767661995</v>
      </c>
      <c r="AJ200">
        <v>79.780960386157304</v>
      </c>
      <c r="AK200">
        <v>28.721122270184001</v>
      </c>
      <c r="AL200">
        <v>94.380152499436505</v>
      </c>
      <c r="AM200">
        <v>89.073117425840906</v>
      </c>
      <c r="AN200">
        <v>0.99999999690046404</v>
      </c>
    </row>
    <row r="201" spans="1:40" x14ac:dyDescent="0.25">
      <c r="A201" t="str">
        <f>"20190303154100722"</f>
        <v>20190303154100722</v>
      </c>
      <c r="B201" t="str">
        <f>"1551598860719344"</f>
        <v>1551598860719344</v>
      </c>
      <c r="C201" t="s">
        <v>40</v>
      </c>
      <c r="D201">
        <v>5.7801989999999996</v>
      </c>
      <c r="E201">
        <v>0.56177369999999904</v>
      </c>
      <c r="F201" t="s">
        <v>43</v>
      </c>
      <c r="G201">
        <v>-425.93020000000001</v>
      </c>
      <c r="H201">
        <v>-0.05</v>
      </c>
      <c r="I201">
        <v>362.62970000000001</v>
      </c>
      <c r="J201">
        <v>-454.0129</v>
      </c>
      <c r="K201">
        <v>1.121108</v>
      </c>
      <c r="L201">
        <v>367.29939999999999</v>
      </c>
      <c r="M201">
        <v>0.99981030000000004</v>
      </c>
      <c r="N201">
        <v>-1.408706E-2</v>
      </c>
      <c r="O201">
        <v>1.3443790000000001E-2</v>
      </c>
      <c r="P201">
        <v>0.99592519999999995</v>
      </c>
      <c r="Q201">
        <v>-9.0155680000000002E-2</v>
      </c>
      <c r="R201">
        <v>-2.190792E-3</v>
      </c>
      <c r="S201">
        <v>2.9997560000000001</v>
      </c>
      <c r="T201">
        <v>-0.12432600000000001</v>
      </c>
      <c r="U201">
        <v>-0.49551390000000001</v>
      </c>
      <c r="V201">
        <v>1.55604E-2</v>
      </c>
      <c r="W201">
        <v>-7.6122960000000003E-2</v>
      </c>
      <c r="X201">
        <v>0.996977</v>
      </c>
      <c r="Y201">
        <v>0.1760236</v>
      </c>
      <c r="Z201">
        <v>-5.2358639999999998E-3</v>
      </c>
      <c r="AA201">
        <v>0.98437200000000002</v>
      </c>
      <c r="AB201">
        <v>18</v>
      </c>
      <c r="AC201">
        <v>28.0826999999999</v>
      </c>
      <c r="AD201">
        <v>-1.171108</v>
      </c>
      <c r="AE201">
        <v>-4.6696999999999704</v>
      </c>
      <c r="AF201">
        <v>5.0383270962798896</v>
      </c>
      <c r="AG201">
        <v>-1.171108</v>
      </c>
      <c r="AH201">
        <v>27.9700439168538</v>
      </c>
      <c r="AI201">
        <v>92.359645331858999</v>
      </c>
      <c r="AJ201">
        <v>79.788646897356998</v>
      </c>
      <c r="AK201">
        <v>28.4443244002649</v>
      </c>
      <c r="AL201">
        <v>94.365747711746096</v>
      </c>
      <c r="AM201">
        <v>89.105824040425702</v>
      </c>
      <c r="AN201">
        <v>0.99999998480815999</v>
      </c>
    </row>
    <row r="202" spans="1:40" x14ac:dyDescent="0.25">
      <c r="A202" t="str">
        <f>"20190303154100744"</f>
        <v>20190303154100744</v>
      </c>
      <c r="B202" t="str">
        <f>"1551598860739840"</f>
        <v>1551598860739840</v>
      </c>
      <c r="C202" t="s">
        <v>40</v>
      </c>
      <c r="D202">
        <v>5.7565359999999997</v>
      </c>
      <c r="E202">
        <v>0.56179609999999902</v>
      </c>
      <c r="F202" t="s">
        <v>43</v>
      </c>
      <c r="G202">
        <v>-426.18579999999997</v>
      </c>
      <c r="H202">
        <v>-0.05</v>
      </c>
      <c r="I202">
        <v>362.6857</v>
      </c>
      <c r="J202">
        <v>-453.83749999999998</v>
      </c>
      <c r="K202">
        <v>1.1211120000000001</v>
      </c>
      <c r="L202">
        <v>367.30149999999998</v>
      </c>
      <c r="M202">
        <v>0.9998129</v>
      </c>
      <c r="N202">
        <v>-1.408529E-2</v>
      </c>
      <c r="O202">
        <v>1.327104E-2</v>
      </c>
      <c r="P202">
        <v>0.99592190000000003</v>
      </c>
      <c r="Q202">
        <v>-9.0205279999999999E-2</v>
      </c>
      <c r="R202">
        <v>-1.8285879999999999E-3</v>
      </c>
      <c r="S202">
        <v>2.9997250000000002</v>
      </c>
      <c r="T202">
        <v>-0.12624389999999999</v>
      </c>
      <c r="U202">
        <v>-0.49734499999999998</v>
      </c>
      <c r="V202">
        <v>1.5026339999999999E-2</v>
      </c>
      <c r="W202">
        <v>-7.6174039999999998E-2</v>
      </c>
      <c r="X202">
        <v>0.99698129999999996</v>
      </c>
      <c r="Y202">
        <v>0.17643399999999901</v>
      </c>
      <c r="Z202">
        <v>-5.3066869999999896E-3</v>
      </c>
      <c r="AA202">
        <v>0.98429820000000001</v>
      </c>
      <c r="AB202">
        <v>18</v>
      </c>
      <c r="AC202">
        <v>27.651700000000002</v>
      </c>
      <c r="AD202">
        <v>-1.1711119999999999</v>
      </c>
      <c r="AE202">
        <v>-4.6157999999999699</v>
      </c>
      <c r="AF202">
        <v>4.9737170189044697</v>
      </c>
      <c r="AG202">
        <v>-1.1711119999999999</v>
      </c>
      <c r="AH202">
        <v>27.539942237132799</v>
      </c>
      <c r="AI202">
        <v>92.396267019921893</v>
      </c>
      <c r="AJ202">
        <v>79.762724219104697</v>
      </c>
      <c r="AK202">
        <v>28.0099586348373</v>
      </c>
      <c r="AL202">
        <v>94.368682862745302</v>
      </c>
      <c r="AM202">
        <v>89.136512709404897</v>
      </c>
      <c r="AN202">
        <v>0.99999999390670302</v>
      </c>
    </row>
    <row r="203" spans="1:40" x14ac:dyDescent="0.25">
      <c r="A203" t="str">
        <f>"20190303154100768"</f>
        <v>20190303154100768</v>
      </c>
      <c r="B203" t="str">
        <f>"1551598860759360"</f>
        <v>1551598860759360</v>
      </c>
      <c r="C203" t="s">
        <v>40</v>
      </c>
      <c r="D203">
        <v>5.7509240000000004</v>
      </c>
      <c r="E203">
        <v>0.56178159999999999</v>
      </c>
      <c r="F203" t="s">
        <v>43</v>
      </c>
      <c r="G203">
        <v>-426.90600000000001</v>
      </c>
      <c r="H203">
        <v>-0.05</v>
      </c>
      <c r="I203">
        <v>362.84469999999999</v>
      </c>
      <c r="J203">
        <v>-453.64909999999998</v>
      </c>
      <c r="K203">
        <v>1.1211120000000001</v>
      </c>
      <c r="L203">
        <v>367.30380000000002</v>
      </c>
      <c r="M203">
        <v>0.99981520000000002</v>
      </c>
      <c r="N203">
        <v>-1.408302E-2</v>
      </c>
      <c r="O203">
        <v>1.308585E-2</v>
      </c>
      <c r="P203">
        <v>0.99588960000000004</v>
      </c>
      <c r="Q203">
        <v>-9.0556730000000002E-2</v>
      </c>
      <c r="R203">
        <v>-1.91756E-3</v>
      </c>
      <c r="S203">
        <v>2.999603</v>
      </c>
      <c r="T203">
        <v>-0.1304371</v>
      </c>
      <c r="U203">
        <v>-0.49639889999999998</v>
      </c>
      <c r="V203">
        <v>1.493065E-2</v>
      </c>
      <c r="W203">
        <v>-7.6528059999999995E-2</v>
      </c>
      <c r="X203">
        <v>0.99695560000000005</v>
      </c>
      <c r="Y203">
        <v>0.17594409999999999</v>
      </c>
      <c r="Z203">
        <v>-5.4280719999999999E-3</v>
      </c>
      <c r="AA203">
        <v>0.98438519999999896</v>
      </c>
      <c r="AB203">
        <v>18</v>
      </c>
      <c r="AC203">
        <v>26.743099999999899</v>
      </c>
      <c r="AD203">
        <v>-1.1711119999999999</v>
      </c>
      <c r="AE203">
        <v>-4.4591000000000296</v>
      </c>
      <c r="AF203">
        <v>4.7997536651494697</v>
      </c>
      <c r="AG203">
        <v>-1.1711119999999999</v>
      </c>
      <c r="AH203">
        <v>26.6327615226357</v>
      </c>
      <c r="AI203">
        <v>92.477954423145405</v>
      </c>
      <c r="AJ203">
        <v>79.783822714343401</v>
      </c>
      <c r="AK203">
        <v>27.087139474005799</v>
      </c>
      <c r="AL203">
        <v>94.389026209278995</v>
      </c>
      <c r="AM203">
        <v>89.141988587740599</v>
      </c>
      <c r="AN203">
        <v>0.99999996832407201</v>
      </c>
    </row>
    <row r="204" spans="1:40" x14ac:dyDescent="0.25">
      <c r="A204" t="str">
        <f>"20190303154100790"</f>
        <v>20190303154100790</v>
      </c>
      <c r="B204" t="str">
        <f>"1551598860779861"</f>
        <v>1551598860779861</v>
      </c>
      <c r="C204" t="s">
        <v>40</v>
      </c>
      <c r="D204">
        <v>5.8319669999999997</v>
      </c>
      <c r="E204">
        <v>0.56171419999999905</v>
      </c>
      <c r="F204" t="s">
        <v>43</v>
      </c>
      <c r="G204">
        <v>-428.25229999999999</v>
      </c>
      <c r="H204">
        <v>-0.05</v>
      </c>
      <c r="I204">
        <v>363.09930000000003</v>
      </c>
      <c r="J204">
        <v>-453.46269999999998</v>
      </c>
      <c r="K204">
        <v>1.1211120000000001</v>
      </c>
      <c r="L204">
        <v>367.30599999999998</v>
      </c>
      <c r="M204">
        <v>0.99981770000000003</v>
      </c>
      <c r="N204">
        <v>-1.4080499999999999E-2</v>
      </c>
      <c r="O204">
        <v>1.2901839999999999E-2</v>
      </c>
      <c r="P204">
        <v>0.99579859999999998</v>
      </c>
      <c r="Q204">
        <v>-9.1524709999999995E-2</v>
      </c>
      <c r="R204">
        <v>-2.8686549999999999E-3</v>
      </c>
      <c r="S204">
        <v>2.99884</v>
      </c>
      <c r="T204">
        <v>-0.13828399999999999</v>
      </c>
      <c r="U204">
        <v>-0.49646000000000001</v>
      </c>
      <c r="V204">
        <v>1.5697409999999998E-2</v>
      </c>
      <c r="W204">
        <v>-7.7500050000000001E-2</v>
      </c>
      <c r="X204">
        <v>0.9968688</v>
      </c>
      <c r="Y204">
        <v>0.1757987</v>
      </c>
      <c r="Z204">
        <v>-5.6811159999999999E-3</v>
      </c>
      <c r="AA204">
        <v>0.98440970000000005</v>
      </c>
      <c r="AB204">
        <v>18</v>
      </c>
      <c r="AC204">
        <v>25.2104</v>
      </c>
      <c r="AD204">
        <v>-1.1711119999999999</v>
      </c>
      <c r="AE204">
        <v>-4.2066999999999499</v>
      </c>
      <c r="AF204">
        <v>4.5221484373127501</v>
      </c>
      <c r="AG204">
        <v>-1.1711119999999999</v>
      </c>
      <c r="AH204">
        <v>25.101322158695499</v>
      </c>
      <c r="AI204">
        <v>92.628958545707306</v>
      </c>
      <c r="AJ204">
        <v>79.787380724067205</v>
      </c>
      <c r="AK204">
        <v>25.5322874791948</v>
      </c>
      <c r="AL204">
        <v>94.444882733545199</v>
      </c>
      <c r="AM204">
        <v>89.097854185425007</v>
      </c>
      <c r="AN204">
        <v>1.0000000354220699</v>
      </c>
    </row>
    <row r="205" spans="1:40" x14ac:dyDescent="0.25">
      <c r="A205" t="str">
        <f>"20190303154100814"</f>
        <v>20190303154100814</v>
      </c>
      <c r="B205" t="str">
        <f>"1551598860809137"</f>
        <v>1551598860809137</v>
      </c>
      <c r="C205" t="s">
        <v>40</v>
      </c>
      <c r="D205">
        <v>5.8180310000000004</v>
      </c>
      <c r="E205">
        <v>0.56205000000000005</v>
      </c>
      <c r="F205" t="s">
        <v>43</v>
      </c>
      <c r="G205">
        <v>-429.428</v>
      </c>
      <c r="H205">
        <v>-0.05</v>
      </c>
      <c r="I205">
        <v>363.30509999999998</v>
      </c>
      <c r="J205">
        <v>-453.28399999999999</v>
      </c>
      <c r="K205">
        <v>1.121103</v>
      </c>
      <c r="L205">
        <v>367.30810000000002</v>
      </c>
      <c r="M205">
        <v>0.99981989999999998</v>
      </c>
      <c r="N205">
        <v>-1.407781E-2</v>
      </c>
      <c r="O205">
        <v>1.2725149999999999E-2</v>
      </c>
      <c r="P205">
        <v>0.99572850000000002</v>
      </c>
      <c r="Q205">
        <v>-9.2247220000000005E-2</v>
      </c>
      <c r="R205">
        <v>-3.9246910000000001E-3</v>
      </c>
      <c r="S205">
        <v>2.9977719999999999</v>
      </c>
      <c r="T205">
        <v>-0.14606920000000001</v>
      </c>
      <c r="U205">
        <v>-0.49902340000000001</v>
      </c>
      <c r="V205">
        <v>1.657633E-2</v>
      </c>
      <c r="W205">
        <v>-7.8226500000000004E-2</v>
      </c>
      <c r="X205">
        <v>0.99679779999999996</v>
      </c>
      <c r="Y205">
        <v>0.17647399999999999</v>
      </c>
      <c r="Z205">
        <v>-5.9570219999999898E-3</v>
      </c>
      <c r="AA205">
        <v>0.98428729999999998</v>
      </c>
      <c r="AB205">
        <v>18</v>
      </c>
      <c r="AC205">
        <v>23.855999999999899</v>
      </c>
      <c r="AD205">
        <v>-1.171103</v>
      </c>
      <c r="AE205">
        <v>-4.0030000000000401</v>
      </c>
      <c r="AF205">
        <v>4.2962072895226502</v>
      </c>
      <c r="AG205">
        <v>-1.171103</v>
      </c>
      <c r="AH205">
        <v>23.747462963025299</v>
      </c>
      <c r="AI205">
        <v>92.778220501492498</v>
      </c>
      <c r="AJ205">
        <v>79.745405828197903</v>
      </c>
      <c r="AK205">
        <v>24.1613508829994</v>
      </c>
      <c r="AL205">
        <v>94.486632128401098</v>
      </c>
      <c r="AM205">
        <v>89.047282995509903</v>
      </c>
      <c r="AN205">
        <v>1.0000000070516699</v>
      </c>
    </row>
    <row r="206" spans="1:40" x14ac:dyDescent="0.25">
      <c r="A206" t="str">
        <f>"20190303154100834"</f>
        <v>20190303154100834</v>
      </c>
      <c r="B206" t="str">
        <f>"1551598860829632"</f>
        <v>1551598860829632</v>
      </c>
      <c r="C206" t="s">
        <v>40</v>
      </c>
      <c r="D206">
        <v>5.7771629999999998</v>
      </c>
      <c r="E206">
        <v>0.56231189999999998</v>
      </c>
      <c r="F206" t="s">
        <v>43</v>
      </c>
      <c r="G206">
        <v>-430.56299999999999</v>
      </c>
      <c r="H206">
        <v>-0.05</v>
      </c>
      <c r="I206">
        <v>363.47879999999998</v>
      </c>
      <c r="J206">
        <v>-453.12020000000001</v>
      </c>
      <c r="K206">
        <v>1.1211009999999999</v>
      </c>
      <c r="L206">
        <v>367.31</v>
      </c>
      <c r="M206">
        <v>0.99982210000000005</v>
      </c>
      <c r="N206">
        <v>-1.407512E-2</v>
      </c>
      <c r="O206">
        <v>1.25627E-2</v>
      </c>
      <c r="P206">
        <v>0.99576679999999995</v>
      </c>
      <c r="Q206">
        <v>-9.1784359999999995E-2</v>
      </c>
      <c r="R206">
        <v>-4.9356649999999997E-3</v>
      </c>
      <c r="S206">
        <v>2.9965820000000001</v>
      </c>
      <c r="T206">
        <v>-0.15445229999999999</v>
      </c>
      <c r="U206">
        <v>-0.50503540000000002</v>
      </c>
      <c r="V206">
        <v>1.7426130000000001E-2</v>
      </c>
      <c r="W206">
        <v>-7.7766160000000001E-2</v>
      </c>
      <c r="X206">
        <v>0.99681929999999996</v>
      </c>
      <c r="Y206">
        <v>0.17826629999999999</v>
      </c>
      <c r="Z206">
        <v>-6.2907409999999999E-3</v>
      </c>
      <c r="AA206">
        <v>0.98396220000000001</v>
      </c>
      <c r="AB206">
        <v>18</v>
      </c>
      <c r="AC206">
        <v>22.557199999999899</v>
      </c>
      <c r="AD206">
        <v>-1.1711009999999999</v>
      </c>
      <c r="AE206">
        <v>-3.8312000000000199</v>
      </c>
      <c r="AF206">
        <v>4.10355451513486</v>
      </c>
      <c r="AG206">
        <v>-1.1711009999999999</v>
      </c>
      <c r="AH206">
        <v>22.448474156714699</v>
      </c>
      <c r="AI206">
        <v>92.937730021015796</v>
      </c>
      <c r="AJ206">
        <v>79.640774646277606</v>
      </c>
      <c r="AK206">
        <v>22.850484221905901</v>
      </c>
      <c r="AL206">
        <v>94.460176109774395</v>
      </c>
      <c r="AM206">
        <v>88.998472432174594</v>
      </c>
      <c r="AN206">
        <v>0.99999998125020595</v>
      </c>
    </row>
    <row r="207" spans="1:40" x14ac:dyDescent="0.25">
      <c r="A207" t="str">
        <f>"20190303154100857"</f>
        <v>20190303154100857</v>
      </c>
      <c r="B207" t="str">
        <f>"1551598860849153"</f>
        <v>1551598860849153</v>
      </c>
      <c r="C207" t="s">
        <v>40</v>
      </c>
      <c r="D207">
        <v>5.791766</v>
      </c>
      <c r="E207">
        <v>0.56248430000000005</v>
      </c>
      <c r="F207" t="s">
        <v>43</v>
      </c>
      <c r="G207">
        <v>-430.34640000000002</v>
      </c>
      <c r="H207">
        <v>-0.05</v>
      </c>
      <c r="I207">
        <v>363.43209999999999</v>
      </c>
      <c r="J207">
        <v>-452.93490000000003</v>
      </c>
      <c r="K207">
        <v>1.1211100000000001</v>
      </c>
      <c r="L207">
        <v>367.31209999999999</v>
      </c>
      <c r="M207">
        <v>0.99982439999999995</v>
      </c>
      <c r="N207">
        <v>-1.4071780000000001E-2</v>
      </c>
      <c r="O207">
        <v>1.2378149999999999E-2</v>
      </c>
      <c r="P207">
        <v>0.99569200000000002</v>
      </c>
      <c r="Q207">
        <v>-9.2577320000000005E-2</v>
      </c>
      <c r="R207">
        <v>-5.1891059999999998E-3</v>
      </c>
      <c r="S207">
        <v>2.9960629999999999</v>
      </c>
      <c r="T207">
        <v>-0.15406700000000001</v>
      </c>
      <c r="U207">
        <v>-0.51016240000000002</v>
      </c>
      <c r="V207">
        <v>1.749467E-2</v>
      </c>
      <c r="W207">
        <v>-7.8563439999999998E-2</v>
      </c>
      <c r="X207">
        <v>0.99675559999999996</v>
      </c>
      <c r="Y207">
        <v>0.1797482</v>
      </c>
      <c r="Z207">
        <v>-6.3193479999999998E-3</v>
      </c>
      <c r="AA207">
        <v>0.98369229999999996</v>
      </c>
      <c r="AB207">
        <v>18</v>
      </c>
      <c r="AC207">
        <v>22.5885</v>
      </c>
      <c r="AD207">
        <v>-1.1711100000000001</v>
      </c>
      <c r="AE207">
        <v>-3.8799999999999901</v>
      </c>
      <c r="AF207">
        <v>4.1485028266550001</v>
      </c>
      <c r="AG207">
        <v>-1.1711100000000001</v>
      </c>
      <c r="AH207">
        <v>22.480043696500601</v>
      </c>
      <c r="AI207">
        <v>92.932727510269402</v>
      </c>
      <c r="AJ207">
        <v>79.544180168844605</v>
      </c>
      <c r="AK207">
        <v>22.8896032934483</v>
      </c>
      <c r="AL207">
        <v>94.505996989402703</v>
      </c>
      <c r="AM207">
        <v>88.994469813702807</v>
      </c>
      <c r="AN207">
        <v>1.0000000018571999</v>
      </c>
    </row>
    <row r="208" spans="1:40" x14ac:dyDescent="0.25">
      <c r="A208" t="str">
        <f>"20190303154100881"</f>
        <v>20190303154100881</v>
      </c>
      <c r="B208" t="str">
        <f>"1551598860869648"</f>
        <v>1551598860869648</v>
      </c>
      <c r="C208" t="s">
        <v>40</v>
      </c>
      <c r="D208">
        <v>5.7844009999999999</v>
      </c>
      <c r="E208">
        <v>0.56267299999999998</v>
      </c>
      <c r="F208" t="s">
        <v>43</v>
      </c>
      <c r="G208">
        <v>-430.62970000000001</v>
      </c>
      <c r="H208">
        <v>-0.05</v>
      </c>
      <c r="I208">
        <v>363.49900000000002</v>
      </c>
      <c r="J208">
        <v>-452.74639999999999</v>
      </c>
      <c r="K208">
        <v>1.1211139999999999</v>
      </c>
      <c r="L208">
        <v>367.3143</v>
      </c>
      <c r="M208">
        <v>0.99982689999999996</v>
      </c>
      <c r="N208">
        <v>-1.406806E-2</v>
      </c>
      <c r="O208">
        <v>1.2190009999999999E-2</v>
      </c>
      <c r="P208">
        <v>0.99571600000000005</v>
      </c>
      <c r="Q208">
        <v>-9.2293340000000001E-2</v>
      </c>
      <c r="R208">
        <v>-5.6391740000000003E-3</v>
      </c>
      <c r="S208">
        <v>2.9956969999999998</v>
      </c>
      <c r="T208">
        <v>-0.15728619999999999</v>
      </c>
      <c r="U208">
        <v>-0.51211549999999995</v>
      </c>
      <c r="V208">
        <v>1.7757820000000001E-2</v>
      </c>
      <c r="W208">
        <v>-7.8282950000000004E-2</v>
      </c>
      <c r="X208">
        <v>0.99677300000000002</v>
      </c>
      <c r="Y208">
        <v>0.18019399999999999</v>
      </c>
      <c r="Z208">
        <v>-6.4359909999999899E-3</v>
      </c>
      <c r="AA208">
        <v>0.98360999999999998</v>
      </c>
      <c r="AB208">
        <v>18</v>
      </c>
      <c r="AC208">
        <v>22.116699999999899</v>
      </c>
      <c r="AD208">
        <v>-1.171114</v>
      </c>
      <c r="AE208">
        <v>-3.8152999999999699</v>
      </c>
      <c r="AF208">
        <v>4.0735542579844397</v>
      </c>
      <c r="AG208">
        <v>-1.171114</v>
      </c>
      <c r="AH208">
        <v>22.008617297359098</v>
      </c>
      <c r="AI208">
        <v>92.995151254212203</v>
      </c>
      <c r="AJ208">
        <v>79.513848109278399</v>
      </c>
      <c r="AK208">
        <v>22.4130450326446</v>
      </c>
      <c r="AL208">
        <v>94.489876514401502</v>
      </c>
      <c r="AM208">
        <v>88.979365894913997</v>
      </c>
      <c r="AN208">
        <v>0.99999998698042702</v>
      </c>
    </row>
    <row r="209" spans="1:40" x14ac:dyDescent="0.25">
      <c r="A209" t="str">
        <f>"20190303154100903"</f>
        <v>20190303154100903</v>
      </c>
      <c r="B209" t="str">
        <f>"1551598860898928"</f>
        <v>1551598860898928</v>
      </c>
      <c r="C209" t="s">
        <v>40</v>
      </c>
      <c r="D209">
        <v>5.7806749999999996</v>
      </c>
      <c r="E209">
        <v>0.56278879999999998</v>
      </c>
      <c r="F209" t="s">
        <v>43</v>
      </c>
      <c r="G209">
        <v>-430.47430000000003</v>
      </c>
      <c r="H209">
        <v>-0.05</v>
      </c>
      <c r="I209">
        <v>363.48579999999998</v>
      </c>
      <c r="J209">
        <v>-452.56799999999998</v>
      </c>
      <c r="K209">
        <v>1.1211150000000001</v>
      </c>
      <c r="L209">
        <v>367.31619999999998</v>
      </c>
      <c r="M209">
        <v>0.99982899999999997</v>
      </c>
      <c r="N209">
        <v>-1.406436E-2</v>
      </c>
      <c r="O209">
        <v>1.201141E-2</v>
      </c>
      <c r="P209">
        <v>0.99564419999999998</v>
      </c>
      <c r="Q209">
        <v>-9.3033649999999996E-2</v>
      </c>
      <c r="R209">
        <v>-6.1223349999999996E-3</v>
      </c>
      <c r="S209">
        <v>2.9953919999999998</v>
      </c>
      <c r="T209">
        <v>-0.1575047</v>
      </c>
      <c r="U209">
        <v>-0.51489259999999903</v>
      </c>
      <c r="V209">
        <v>1.8062189999999999E-2</v>
      </c>
      <c r="W209">
        <v>-7.9028000000000001E-2</v>
      </c>
      <c r="X209">
        <v>0.99670879999999995</v>
      </c>
      <c r="Y209">
        <v>0.18091889999999999</v>
      </c>
      <c r="Z209">
        <v>-6.460548E-3</v>
      </c>
      <c r="AA209">
        <v>0.98347680000000004</v>
      </c>
      <c r="AB209">
        <v>18</v>
      </c>
      <c r="AC209">
        <v>22.093699999999998</v>
      </c>
      <c r="AD209">
        <v>-1.1711149999999999</v>
      </c>
      <c r="AE209">
        <v>-3.8303999999999898</v>
      </c>
      <c r="AF209">
        <v>4.0843852627006498</v>
      </c>
      <c r="AG209">
        <v>-1.1711149999999999</v>
      </c>
      <c r="AH209">
        <v>21.986120686080501</v>
      </c>
      <c r="AI209">
        <v>92.997847038496005</v>
      </c>
      <c r="AJ209">
        <v>79.476070443558598</v>
      </c>
      <c r="AK209">
        <v>22.392927815278899</v>
      </c>
      <c r="AL209">
        <v>94.532697116564705</v>
      </c>
      <c r="AM209">
        <v>88.961809114015693</v>
      </c>
      <c r="AN209">
        <v>1.0000000497445101</v>
      </c>
    </row>
    <row r="210" spans="1:40" x14ac:dyDescent="0.25">
      <c r="A210" t="str">
        <f>"20190303154100924"</f>
        <v>20190303154100924</v>
      </c>
      <c r="B210" t="str">
        <f>"1551598860919425"</f>
        <v>1551598860919425</v>
      </c>
      <c r="C210" t="s">
        <v>40</v>
      </c>
      <c r="D210">
        <v>5.7860639999999997</v>
      </c>
      <c r="E210">
        <v>0.56278499999999998</v>
      </c>
      <c r="F210" t="s">
        <v>43</v>
      </c>
      <c r="G210">
        <v>-431.23820000000001</v>
      </c>
      <c r="H210">
        <v>-0.05</v>
      </c>
      <c r="I210">
        <v>363.62759999999997</v>
      </c>
      <c r="J210">
        <v>-452.40550000000002</v>
      </c>
      <c r="K210">
        <v>1.121111</v>
      </c>
      <c r="L210">
        <v>367.31799999999998</v>
      </c>
      <c r="M210">
        <v>0.99983100000000003</v>
      </c>
      <c r="N210">
        <v>-1.406089E-2</v>
      </c>
      <c r="O210">
        <v>1.1848249999999999E-2</v>
      </c>
      <c r="P210">
        <v>0.9956043</v>
      </c>
      <c r="Q210">
        <v>-9.3437300000000001E-2</v>
      </c>
      <c r="R210">
        <v>-6.4561820000000004E-3</v>
      </c>
      <c r="S210">
        <v>2.9945979999999999</v>
      </c>
      <c r="T210">
        <v>-0.16441910000000001</v>
      </c>
      <c r="U210">
        <v>-0.5178528</v>
      </c>
      <c r="V210">
        <v>1.8232890000000002E-2</v>
      </c>
      <c r="W210">
        <v>-7.9435720000000001E-2</v>
      </c>
      <c r="X210">
        <v>0.99667320000000004</v>
      </c>
      <c r="Y210">
        <v>0.18171880000000001</v>
      </c>
      <c r="Z210">
        <v>-6.7166469999999897E-3</v>
      </c>
      <c r="AA210">
        <v>0.98332759999999997</v>
      </c>
      <c r="AB210">
        <v>18</v>
      </c>
      <c r="AC210">
        <v>21.167300000000001</v>
      </c>
      <c r="AD210">
        <v>-1.171111</v>
      </c>
      <c r="AE210">
        <v>-3.6904000000000599</v>
      </c>
      <c r="AF210">
        <v>3.9292883546884299</v>
      </c>
      <c r="AG210">
        <v>-1.171111</v>
      </c>
      <c r="AH210">
        <v>21.059522960133901</v>
      </c>
      <c r="AI210">
        <v>93.129027287793306</v>
      </c>
      <c r="AJ210">
        <v>79.431268359202306</v>
      </c>
      <c r="AK210">
        <v>21.454936850455098</v>
      </c>
      <c r="AL210">
        <v>94.556131788481295</v>
      </c>
      <c r="AM210">
        <v>88.951962255914495</v>
      </c>
      <c r="AN210">
        <v>0.999999969743954</v>
      </c>
    </row>
    <row r="211" spans="1:40" x14ac:dyDescent="0.25">
      <c r="A211" t="str">
        <f>"20190303154100946"</f>
        <v>20190303154100946</v>
      </c>
      <c r="B211" t="str">
        <f>"1551598860938944"</f>
        <v>1551598860938944</v>
      </c>
      <c r="C211" t="s">
        <v>40</v>
      </c>
      <c r="D211">
        <v>5.9193389999999999</v>
      </c>
      <c r="E211">
        <v>0.56295509999999904</v>
      </c>
      <c r="F211" t="s">
        <v>43</v>
      </c>
      <c r="G211">
        <v>-431.39760000000001</v>
      </c>
      <c r="H211">
        <v>-0.05</v>
      </c>
      <c r="I211">
        <v>363.68</v>
      </c>
      <c r="J211">
        <v>-452.22859999999997</v>
      </c>
      <c r="K211">
        <v>1.121108</v>
      </c>
      <c r="L211">
        <v>367.31990000000002</v>
      </c>
      <c r="M211">
        <v>0.99983319999999998</v>
      </c>
      <c r="N211">
        <v>-1.405699E-2</v>
      </c>
      <c r="O211">
        <v>1.167048E-2</v>
      </c>
      <c r="P211">
        <v>0.99558060000000004</v>
      </c>
      <c r="Q211">
        <v>-9.3663800000000005E-2</v>
      </c>
      <c r="R211">
        <v>-6.826866E-3</v>
      </c>
      <c r="S211">
        <v>2.9942630000000001</v>
      </c>
      <c r="T211">
        <v>-0.16691919999999999</v>
      </c>
      <c r="U211">
        <v>-0.51852419999999999</v>
      </c>
      <c r="V211">
        <v>1.8426120000000001E-2</v>
      </c>
      <c r="W211">
        <v>-7.9666409999999993E-2</v>
      </c>
      <c r="X211">
        <v>0.99665130000000002</v>
      </c>
      <c r="Y211">
        <v>0.18176690000000001</v>
      </c>
      <c r="Z211">
        <v>-6.796168E-3</v>
      </c>
      <c r="AA211">
        <v>0.98331820000000003</v>
      </c>
      <c r="AB211">
        <v>18</v>
      </c>
      <c r="AC211">
        <v>20.8309999999999</v>
      </c>
      <c r="AD211">
        <v>-1.171108</v>
      </c>
      <c r="AE211">
        <v>-3.6399000000000101</v>
      </c>
      <c r="AF211">
        <v>3.8709117890745999</v>
      </c>
      <c r="AG211">
        <v>-1.171108</v>
      </c>
      <c r="AH211">
        <v>20.723538662496502</v>
      </c>
      <c r="AI211">
        <v>93.179526754906504</v>
      </c>
      <c r="AJ211">
        <v>79.419749703692403</v>
      </c>
      <c r="AK211">
        <v>21.114462027777201</v>
      </c>
      <c r="AL211">
        <v>94.569391069971701</v>
      </c>
      <c r="AM211">
        <v>88.940834525528004</v>
      </c>
      <c r="AN211">
        <v>1.0000000362861099</v>
      </c>
    </row>
    <row r="212" spans="1:40" x14ac:dyDescent="0.25">
      <c r="A212" t="str">
        <f>"20190303154100969"</f>
        <v>20190303154100969</v>
      </c>
      <c r="B212" t="str">
        <f>"1551598860959440"</f>
        <v>1551598860959440</v>
      </c>
      <c r="C212" t="s">
        <v>40</v>
      </c>
      <c r="D212">
        <v>5.8030140000000001</v>
      </c>
      <c r="E212">
        <v>0.56313760000000002</v>
      </c>
      <c r="F212" t="s">
        <v>43</v>
      </c>
      <c r="G212">
        <v>-431.57229999999998</v>
      </c>
      <c r="H212">
        <v>-0.05</v>
      </c>
      <c r="I212">
        <v>363.72469999999998</v>
      </c>
      <c r="J212">
        <v>-452.05180000000001</v>
      </c>
      <c r="K212">
        <v>1.1211059999999999</v>
      </c>
      <c r="L212">
        <v>367.32170000000002</v>
      </c>
      <c r="M212">
        <v>0.99983520000000004</v>
      </c>
      <c r="N212">
        <v>-1.4053009999999999E-2</v>
      </c>
      <c r="O212">
        <v>1.149266E-2</v>
      </c>
      <c r="P212">
        <v>0.99558400000000002</v>
      </c>
      <c r="Q212">
        <v>-9.3610959999999993E-2</v>
      </c>
      <c r="R212">
        <v>-7.0446789999999999E-3</v>
      </c>
      <c r="S212">
        <v>2.993805</v>
      </c>
      <c r="T212">
        <v>-0.16973360000000001</v>
      </c>
      <c r="U212">
        <v>-0.52105709999999905</v>
      </c>
      <c r="V212">
        <v>1.846706E-2</v>
      </c>
      <c r="W212">
        <v>-7.9617510000000002E-2</v>
      </c>
      <c r="X212">
        <v>0.99665440000000005</v>
      </c>
      <c r="Y212">
        <v>0.18241280000000001</v>
      </c>
      <c r="Z212">
        <v>-6.9071230000000003E-3</v>
      </c>
      <c r="AA212">
        <v>0.98319769999999895</v>
      </c>
      <c r="AB212">
        <v>18</v>
      </c>
      <c r="AC212">
        <v>20.479500000000002</v>
      </c>
      <c r="AD212">
        <v>-1.171106</v>
      </c>
      <c r="AE212">
        <v>-3.5970000000000302</v>
      </c>
      <c r="AF212">
        <v>3.8200317215736201</v>
      </c>
      <c r="AG212">
        <v>-1.171106</v>
      </c>
      <c r="AH212">
        <v>20.372179688008</v>
      </c>
      <c r="AI212">
        <v>93.233820629986795</v>
      </c>
      <c r="AJ212">
        <v>79.379670843782307</v>
      </c>
      <c r="AK212">
        <v>20.7602947199106</v>
      </c>
      <c r="AL212">
        <v>94.566580605668605</v>
      </c>
      <c r="AM212">
        <v>88.938485061890404</v>
      </c>
      <c r="AN212">
        <v>0.99999998662150102</v>
      </c>
    </row>
    <row r="213" spans="1:40" x14ac:dyDescent="0.25">
      <c r="A213" t="str">
        <f>"20190303154100990"</f>
        <v>20190303154100990</v>
      </c>
      <c r="B213" t="str">
        <f>"1551598860978964"</f>
        <v>1551598860978964</v>
      </c>
      <c r="C213" t="s">
        <v>40</v>
      </c>
      <c r="D213">
        <v>5.81243</v>
      </c>
      <c r="E213">
        <v>0.5632781</v>
      </c>
      <c r="F213" t="s">
        <v>43</v>
      </c>
      <c r="G213">
        <v>-431.51530000000002</v>
      </c>
      <c r="H213">
        <v>-0.05</v>
      </c>
      <c r="I213">
        <v>363.73390000000001</v>
      </c>
      <c r="J213">
        <v>-451.88159999999999</v>
      </c>
      <c r="K213">
        <v>1.1210990000000001</v>
      </c>
      <c r="L213">
        <v>367.32350000000002</v>
      </c>
      <c r="M213">
        <v>0.99983730000000004</v>
      </c>
      <c r="N213">
        <v>-1.404913E-2</v>
      </c>
      <c r="O213">
        <v>1.1321289999999999E-2</v>
      </c>
      <c r="P213">
        <v>0.9955657</v>
      </c>
      <c r="Q213">
        <v>-9.3816800000000006E-2</v>
      </c>
      <c r="R213">
        <v>-6.9097840000000004E-3</v>
      </c>
      <c r="S213">
        <v>2.9935610000000001</v>
      </c>
      <c r="T213">
        <v>-0.1707089</v>
      </c>
      <c r="U213">
        <v>-0.52297970000000005</v>
      </c>
      <c r="V213">
        <v>1.816131E-2</v>
      </c>
      <c r="W213">
        <v>-7.9827300000000004E-2</v>
      </c>
      <c r="X213">
        <v>0.99664319999999895</v>
      </c>
      <c r="Y213">
        <v>0.1828661</v>
      </c>
      <c r="Z213">
        <v>-6.9488999999999896E-3</v>
      </c>
      <c r="AA213">
        <v>0.98311329999999997</v>
      </c>
      <c r="AB213">
        <v>18</v>
      </c>
      <c r="AC213">
        <v>20.366299999999899</v>
      </c>
      <c r="AD213">
        <v>-1.1710989999999999</v>
      </c>
      <c r="AE213">
        <v>-3.5896000000000101</v>
      </c>
      <c r="AF213">
        <v>3.80775457972869</v>
      </c>
      <c r="AG213">
        <v>-1.1710989999999999</v>
      </c>
      <c r="AH213">
        <v>20.259383042380399</v>
      </c>
      <c r="AI213">
        <v>93.251509690391401</v>
      </c>
      <c r="AJ213">
        <v>79.355429645650204</v>
      </c>
      <c r="AK213">
        <v>20.647350170545799</v>
      </c>
      <c r="AL213">
        <v>94.578639238344394</v>
      </c>
      <c r="AM213">
        <v>88.956044389831007</v>
      </c>
      <c r="AN213">
        <v>0.99999994955622096</v>
      </c>
    </row>
    <row r="214" spans="1:40" x14ac:dyDescent="0.25">
      <c r="A214" t="str">
        <f>"20190303154101013"</f>
        <v>20190303154101013</v>
      </c>
      <c r="B214" t="str">
        <f>"1551598861009216"</f>
        <v>1551598861009216</v>
      </c>
      <c r="C214" t="s">
        <v>40</v>
      </c>
      <c r="D214">
        <v>6.000521</v>
      </c>
      <c r="E214">
        <v>0.53660289999999999</v>
      </c>
      <c r="F214" t="s">
        <v>43</v>
      </c>
      <c r="G214">
        <v>-431.52949999999998</v>
      </c>
      <c r="H214">
        <v>-0.05</v>
      </c>
      <c r="I214">
        <v>363.76330000000002</v>
      </c>
      <c r="J214">
        <v>-451.70659999999998</v>
      </c>
      <c r="K214">
        <v>1.1210990000000001</v>
      </c>
      <c r="L214">
        <v>367.3252</v>
      </c>
      <c r="M214">
        <v>0.99983940000000004</v>
      </c>
      <c r="N214">
        <v>-1.404509E-2</v>
      </c>
      <c r="O214">
        <v>1.1144960000000001E-2</v>
      </c>
      <c r="P214">
        <v>0.9955022</v>
      </c>
      <c r="Q214">
        <v>-9.4527239999999998E-2</v>
      </c>
      <c r="R214">
        <v>-6.3491959999999997E-3</v>
      </c>
      <c r="S214">
        <v>2.9935299999999998</v>
      </c>
      <c r="T214">
        <v>-0.1722543</v>
      </c>
      <c r="U214">
        <v>-0.52365109999999904</v>
      </c>
      <c r="V214">
        <v>1.7424479999999999E-2</v>
      </c>
      <c r="W214">
        <v>-8.0542230000000006E-2</v>
      </c>
      <c r="X214">
        <v>0.99659889999999995</v>
      </c>
      <c r="Y214">
        <v>0.18290229999999999</v>
      </c>
      <c r="Z214">
        <v>-6.9947739999999996E-3</v>
      </c>
      <c r="AA214">
        <v>0.98310620000000004</v>
      </c>
      <c r="AB214">
        <v>18</v>
      </c>
      <c r="AC214">
        <v>20.177099999999999</v>
      </c>
      <c r="AD214">
        <v>-1.1710989999999999</v>
      </c>
      <c r="AE214">
        <v>-3.5618999999999699</v>
      </c>
      <c r="AF214">
        <v>3.7742436020724299</v>
      </c>
      <c r="AG214">
        <v>-1.1710989999999999</v>
      </c>
      <c r="AH214">
        <v>20.0705759457773</v>
      </c>
      <c r="AI214">
        <v>93.281972077458704</v>
      </c>
      <c r="AJ214">
        <v>79.349983088254803</v>
      </c>
      <c r="AK214">
        <v>20.455913727594702</v>
      </c>
      <c r="AL214">
        <v>94.619733732660293</v>
      </c>
      <c r="AM214">
        <v>88.998345818993698</v>
      </c>
      <c r="AN214">
        <v>1.0000000153989199</v>
      </c>
    </row>
    <row r="215" spans="1:40" x14ac:dyDescent="0.25">
      <c r="A215" t="str">
        <f>"20190303154101035"</f>
        <v>20190303154101035</v>
      </c>
      <c r="B215" t="str">
        <f>"1551598861029712"</f>
        <v>1551598861029712</v>
      </c>
      <c r="C215" t="s">
        <v>40</v>
      </c>
      <c r="D215">
        <v>5.6803489999999996</v>
      </c>
      <c r="E215">
        <v>0.52230770000000004</v>
      </c>
      <c r="F215" t="s">
        <v>43</v>
      </c>
      <c r="G215">
        <v>-433.85910000000001</v>
      </c>
      <c r="H215">
        <v>-0.05</v>
      </c>
      <c r="I215">
        <v>365.47949999999997</v>
      </c>
      <c r="J215">
        <v>-451.53489999999999</v>
      </c>
      <c r="K215">
        <v>1.1210990000000001</v>
      </c>
      <c r="L215">
        <v>367.32690000000002</v>
      </c>
      <c r="M215">
        <v>0.99984130000000004</v>
      </c>
      <c r="N215">
        <v>-1.4041069999999999E-2</v>
      </c>
      <c r="O215">
        <v>1.097216E-2</v>
      </c>
      <c r="P215">
        <v>0.99549069999999995</v>
      </c>
      <c r="Q215">
        <v>-9.4687430000000003E-2</v>
      </c>
      <c r="R215">
        <v>-5.6998269999999898E-3</v>
      </c>
      <c r="S215">
        <v>2.9929199999999998</v>
      </c>
      <c r="T215">
        <v>-0.19638549999999999</v>
      </c>
      <c r="U215">
        <v>-0.30950929999999999</v>
      </c>
      <c r="V215">
        <v>1.6603219999999998E-2</v>
      </c>
      <c r="W215">
        <v>-8.0706249999999993E-2</v>
      </c>
      <c r="X215">
        <v>0.99659960000000003</v>
      </c>
      <c r="Y215">
        <v>0.11346589999999999</v>
      </c>
      <c r="Z215">
        <v>-5.0724089999999999E-3</v>
      </c>
      <c r="AA215">
        <v>0.993529</v>
      </c>
      <c r="AB215">
        <v>18</v>
      </c>
      <c r="AC215">
        <v>17.675799999999899</v>
      </c>
      <c r="AD215">
        <v>-1.1710989999999999</v>
      </c>
      <c r="AE215">
        <v>-1.8474000000000499</v>
      </c>
      <c r="AF215">
        <v>2.0324243706455598</v>
      </c>
      <c r="AG215">
        <v>-1.1710989999999999</v>
      </c>
      <c r="AH215">
        <v>17.578135869078999</v>
      </c>
      <c r="AI215">
        <v>93.786403147201199</v>
      </c>
      <c r="AJ215">
        <v>83.404616722893195</v>
      </c>
      <c r="AK215">
        <v>17.733952811542</v>
      </c>
      <c r="AL215">
        <v>94.629162317103095</v>
      </c>
      <c r="AM215">
        <v>89.045548045587793</v>
      </c>
      <c r="AN215">
        <v>0.99999996421179405</v>
      </c>
    </row>
    <row r="216" spans="1:40" x14ac:dyDescent="0.25">
      <c r="A216" t="str">
        <f>"20190303154101058"</f>
        <v>20190303154101058</v>
      </c>
      <c r="B216" t="str">
        <f>"1551598861049232"</f>
        <v>1551598861049232</v>
      </c>
      <c r="C216" t="s">
        <v>40</v>
      </c>
      <c r="D216">
        <v>5.7413290000000003</v>
      </c>
      <c r="E216">
        <v>0.51495800000000003</v>
      </c>
      <c r="F216" t="s">
        <v>43</v>
      </c>
      <c r="G216">
        <v>-431.57920000000001</v>
      </c>
      <c r="H216">
        <v>-0.05</v>
      </c>
      <c r="I216">
        <v>366.03870000000001</v>
      </c>
      <c r="J216">
        <v>-451.3494</v>
      </c>
      <c r="K216">
        <v>1.1210960000000001</v>
      </c>
      <c r="L216">
        <v>367.32870000000003</v>
      </c>
      <c r="M216">
        <v>0.99984340000000005</v>
      </c>
      <c r="N216">
        <v>-1.4036679999999999E-2</v>
      </c>
      <c r="O216">
        <v>1.078541E-2</v>
      </c>
      <c r="P216">
        <v>0.99543680000000001</v>
      </c>
      <c r="Q216">
        <v>-9.5257599999999998E-2</v>
      </c>
      <c r="R216">
        <v>-5.6305019999999999E-3</v>
      </c>
      <c r="S216">
        <v>2.9957579999999999</v>
      </c>
      <c r="T216">
        <v>-0.17580599999999999</v>
      </c>
      <c r="U216">
        <v>-0.1933899</v>
      </c>
      <c r="V216">
        <v>1.6347250000000001E-2</v>
      </c>
      <c r="W216">
        <v>-8.1281329999999999E-2</v>
      </c>
      <c r="X216">
        <v>0.99655709999999997</v>
      </c>
      <c r="Y216">
        <v>7.5010660000000007E-2</v>
      </c>
      <c r="Z216">
        <v>-3.2050669999999998E-3</v>
      </c>
      <c r="AA216">
        <v>0.9971776</v>
      </c>
      <c r="AB216">
        <v>18</v>
      </c>
      <c r="AC216">
        <v>19.7701999999999</v>
      </c>
      <c r="AD216">
        <v>-1.1710959999999999</v>
      </c>
      <c r="AE216">
        <v>-1.29000000000002</v>
      </c>
      <c r="AF216">
        <v>1.4979419091775601</v>
      </c>
      <c r="AG216">
        <v>-1.1710959999999999</v>
      </c>
      <c r="AH216">
        <v>19.686352004645201</v>
      </c>
      <c r="AI216">
        <v>93.394593020271202</v>
      </c>
      <c r="AJ216">
        <v>85.648727303483398</v>
      </c>
      <c r="AK216">
        <v>19.777961246177099</v>
      </c>
      <c r="AL216">
        <v>94.662220556274306</v>
      </c>
      <c r="AM216">
        <v>89.0602199962443</v>
      </c>
      <c r="AN216">
        <v>0.99999997037476995</v>
      </c>
    </row>
    <row r="217" spans="1:40" x14ac:dyDescent="0.25">
      <c r="A217" t="str">
        <f>"20190303154101082"</f>
        <v>20190303154101082</v>
      </c>
      <c r="B217" t="str">
        <f>"1551598861069732"</f>
        <v>1551598861069732</v>
      </c>
      <c r="C217" t="s">
        <v>40</v>
      </c>
      <c r="D217">
        <v>5.7600709999999999</v>
      </c>
      <c r="E217">
        <v>0.51026369999999999</v>
      </c>
      <c r="F217" t="s">
        <v>43</v>
      </c>
      <c r="G217">
        <v>-432.66719999999998</v>
      </c>
      <c r="H217">
        <v>-0.05</v>
      </c>
      <c r="I217">
        <v>366.48610000000002</v>
      </c>
      <c r="J217">
        <v>-451.16849999999999</v>
      </c>
      <c r="K217">
        <v>1.1211</v>
      </c>
      <c r="L217">
        <v>367.3304</v>
      </c>
      <c r="M217">
        <v>0.9998454</v>
      </c>
      <c r="N217">
        <v>-1.403245E-2</v>
      </c>
      <c r="O217">
        <v>1.0603720000000001E-2</v>
      </c>
      <c r="P217">
        <v>0.99546760000000001</v>
      </c>
      <c r="Q217">
        <v>-9.492138E-2</v>
      </c>
      <c r="R217">
        <v>-5.8670980000000003E-3</v>
      </c>
      <c r="S217">
        <v>2.9949949999999999</v>
      </c>
      <c r="T217">
        <v>-0.18774179999999999</v>
      </c>
      <c r="U217">
        <v>-0.13507079999999999</v>
      </c>
      <c r="V217">
        <v>1.6403339999999999E-2</v>
      </c>
      <c r="W217">
        <v>-8.0948919999999994E-2</v>
      </c>
      <c r="X217">
        <v>0.99658329999999995</v>
      </c>
      <c r="Y217">
        <v>5.5498850000000002E-2</v>
      </c>
      <c r="Z217">
        <v>-2.6420979999999998E-3</v>
      </c>
      <c r="AA217">
        <v>0.99845519999999999</v>
      </c>
      <c r="AB217">
        <v>17</v>
      </c>
      <c r="AC217">
        <v>18.501300000000001</v>
      </c>
      <c r="AD217">
        <v>-1.1711</v>
      </c>
      <c r="AE217">
        <v>-0.84429999999997496</v>
      </c>
      <c r="AF217">
        <v>1.03631090329779</v>
      </c>
      <c r="AG217">
        <v>-1.1711</v>
      </c>
      <c r="AH217">
        <v>18.417665896871998</v>
      </c>
      <c r="AI217">
        <v>93.632563208316796</v>
      </c>
      <c r="AJ217">
        <v>86.779521445032998</v>
      </c>
      <c r="AK217">
        <v>18.483934445542101</v>
      </c>
      <c r="AL217">
        <v>94.6431115943615</v>
      </c>
      <c r="AM217">
        <v>89.057020830648497</v>
      </c>
      <c r="AN217">
        <v>1.0000000355256</v>
      </c>
    </row>
    <row r="218" spans="1:40" x14ac:dyDescent="0.25">
      <c r="A218" t="str">
        <f>"20190303154101104"</f>
        <v>20190303154101104</v>
      </c>
      <c r="B218" t="str">
        <f>"1551598861099009"</f>
        <v>1551598861099009</v>
      </c>
      <c r="C218" t="s">
        <v>40</v>
      </c>
      <c r="D218">
        <v>5.7637879999999999</v>
      </c>
      <c r="E218">
        <v>0.50663449999999999</v>
      </c>
      <c r="F218" t="s">
        <v>43</v>
      </c>
      <c r="G218">
        <v>-434.27330000000001</v>
      </c>
      <c r="H218">
        <v>-0.05</v>
      </c>
      <c r="I218">
        <v>366.77550000000002</v>
      </c>
      <c r="J218">
        <v>-450.99639999999999</v>
      </c>
      <c r="K218">
        <v>1.121102</v>
      </c>
      <c r="L218">
        <v>367.33210000000003</v>
      </c>
      <c r="M218">
        <v>0.99984740000000005</v>
      </c>
      <c r="N218">
        <v>-1.402491E-2</v>
      </c>
      <c r="O218">
        <v>1.043123E-2</v>
      </c>
      <c r="P218">
        <v>0.99545640000000002</v>
      </c>
      <c r="Q218">
        <v>-9.4992560000000004E-2</v>
      </c>
      <c r="R218">
        <v>-6.5767469999999896E-3</v>
      </c>
      <c r="S218">
        <v>2.9932560000000001</v>
      </c>
      <c r="T218">
        <v>-0.2074801</v>
      </c>
      <c r="U218">
        <v>-9.8327639999999994E-2</v>
      </c>
      <c r="V218">
        <v>1.694114E-2</v>
      </c>
      <c r="W218">
        <v>-8.1027950000000001E-2</v>
      </c>
      <c r="X218">
        <v>0.9965678</v>
      </c>
      <c r="Y218">
        <v>4.3116620000000001E-2</v>
      </c>
      <c r="Z218">
        <v>-2.3709159999999998E-3</v>
      </c>
      <c r="AA218">
        <v>0.99906719999999904</v>
      </c>
      <c r="AB218">
        <v>17</v>
      </c>
      <c r="AC218">
        <v>16.723099999999899</v>
      </c>
      <c r="AD218">
        <v>-1.1711020000000001</v>
      </c>
      <c r="AE218">
        <v>-0.55660000000000298</v>
      </c>
      <c r="AF218">
        <v>0.72746575464941599</v>
      </c>
      <c r="AG218">
        <v>-1.1711020000000001</v>
      </c>
      <c r="AH218">
        <v>16.634895107905098</v>
      </c>
      <c r="AI218">
        <v>94.023164794532505</v>
      </c>
      <c r="AJ218">
        <v>87.495975946429496</v>
      </c>
      <c r="AK218">
        <v>16.691926838133401</v>
      </c>
      <c r="AL218">
        <v>94.647654976228907</v>
      </c>
      <c r="AM218">
        <v>89.026095025851205</v>
      </c>
      <c r="AN218">
        <v>0.99999995545126996</v>
      </c>
    </row>
    <row r="219" spans="1:40" x14ac:dyDescent="0.25">
      <c r="A219" t="str">
        <f>"20190303154101126"</f>
        <v>20190303154101126</v>
      </c>
      <c r="B219" t="str">
        <f>"1551598861119505"</f>
        <v>1551598861119505</v>
      </c>
      <c r="C219" t="s">
        <v>40</v>
      </c>
      <c r="D219">
        <v>5.7535720000000001</v>
      </c>
      <c r="E219">
        <v>0.50533130000000004</v>
      </c>
      <c r="F219" t="s">
        <v>43</v>
      </c>
      <c r="G219">
        <v>-434.83580000000001</v>
      </c>
      <c r="H219">
        <v>-0.05</v>
      </c>
      <c r="I219">
        <v>366.9461</v>
      </c>
      <c r="J219">
        <v>-450.82859999999999</v>
      </c>
      <c r="K219">
        <v>1.1210960000000001</v>
      </c>
      <c r="L219">
        <v>367.33359999999999</v>
      </c>
      <c r="M219">
        <v>0.99984960000000001</v>
      </c>
      <c r="N219">
        <v>-1.399155E-2</v>
      </c>
      <c r="O219">
        <v>1.0263100000000001E-2</v>
      </c>
      <c r="P219">
        <v>0.99553080000000005</v>
      </c>
      <c r="Q219">
        <v>-9.4190259999999998E-2</v>
      </c>
      <c r="R219">
        <v>-6.8417909999999998E-3</v>
      </c>
      <c r="S219">
        <v>2.9925229999999998</v>
      </c>
      <c r="T219">
        <v>-0.21685679999999999</v>
      </c>
      <c r="U219">
        <v>-7.1472170000000002E-2</v>
      </c>
      <c r="V219">
        <v>1.7039869999999999E-2</v>
      </c>
      <c r="W219">
        <v>-8.0257949999999995E-2</v>
      </c>
      <c r="X219">
        <v>0.99662850000000003</v>
      </c>
      <c r="Y219">
        <v>3.4012760000000003E-2</v>
      </c>
      <c r="Z219">
        <v>-2.0681950000000001E-3</v>
      </c>
      <c r="AA219">
        <v>0.99941930000000001</v>
      </c>
      <c r="AB219">
        <v>17</v>
      </c>
      <c r="AC219">
        <v>15.9927999999999</v>
      </c>
      <c r="AD219">
        <v>-1.1710959999999999</v>
      </c>
      <c r="AE219">
        <v>-0.38749999999998802</v>
      </c>
      <c r="AF219">
        <v>0.54869091882460996</v>
      </c>
      <c r="AG219">
        <v>-1.1710959999999999</v>
      </c>
      <c r="AH219">
        <v>15.902757845951299</v>
      </c>
      <c r="AI219">
        <v>94.209224043867195</v>
      </c>
      <c r="AJ219">
        <v>88.023914585462407</v>
      </c>
      <c r="AK219">
        <v>15.9552572737823</v>
      </c>
      <c r="AL219">
        <v>94.603392714034101</v>
      </c>
      <c r="AM219">
        <v>89.020480030818206</v>
      </c>
      <c r="AN219">
        <v>1.0000000313600299</v>
      </c>
    </row>
    <row r="220" spans="1:40" x14ac:dyDescent="0.25">
      <c r="A220" t="str">
        <f>"20190303154101148"</f>
        <v>20190303154101148</v>
      </c>
      <c r="B220" t="str">
        <f>"1551598861139025"</f>
        <v>1551598861139025</v>
      </c>
      <c r="C220" t="s">
        <v>40</v>
      </c>
      <c r="D220">
        <v>5.6905340000000004</v>
      </c>
      <c r="E220">
        <v>0.50423929999999995</v>
      </c>
      <c r="F220" t="s">
        <v>43</v>
      </c>
      <c r="G220">
        <v>-434.78879999999998</v>
      </c>
      <c r="H220">
        <v>-0.05</v>
      </c>
      <c r="I220">
        <v>367.00040000000001</v>
      </c>
      <c r="J220">
        <v>-450.6506</v>
      </c>
      <c r="K220">
        <v>1.1210719999999901</v>
      </c>
      <c r="L220">
        <v>367.33519999999999</v>
      </c>
      <c r="M220">
        <v>0.99985299999999999</v>
      </c>
      <c r="N220">
        <v>-1.388178E-2</v>
      </c>
      <c r="O220">
        <v>1.008273E-2</v>
      </c>
      <c r="P220">
        <v>0.99560530000000003</v>
      </c>
      <c r="Q220">
        <v>-9.3383640000000004E-2</v>
      </c>
      <c r="R220">
        <v>-7.0759530000000003E-3</v>
      </c>
      <c r="S220">
        <v>2.9924010000000001</v>
      </c>
      <c r="T220">
        <v>-0.21847939999999999</v>
      </c>
      <c r="U220">
        <v>-6.216431E-2</v>
      </c>
      <c r="V220">
        <v>1.7095160000000002E-2</v>
      </c>
      <c r="W220">
        <v>-7.9559829999999998E-2</v>
      </c>
      <c r="X220">
        <v>0.99668350000000006</v>
      </c>
      <c r="Y220">
        <v>3.0735080000000001E-2</v>
      </c>
      <c r="Z220">
        <v>-1.929395E-3</v>
      </c>
      <c r="AA220">
        <v>0.99952569999999996</v>
      </c>
      <c r="AB220">
        <v>17</v>
      </c>
      <c r="AC220">
        <v>15.861800000000001</v>
      </c>
      <c r="AD220">
        <v>-1.1710719999999999</v>
      </c>
      <c r="AE220">
        <v>-0.33479999999997201</v>
      </c>
      <c r="AF220">
        <v>0.49204773393830098</v>
      </c>
      <c r="AG220">
        <v>-1.1710719999999999</v>
      </c>
      <c r="AH220">
        <v>15.7716871090373</v>
      </c>
      <c r="AI220">
        <v>94.244449463892806</v>
      </c>
      <c r="AJ220">
        <v>88.213056290849195</v>
      </c>
      <c r="AK220">
        <v>15.8227568668368</v>
      </c>
      <c r="AL220">
        <v>94.563265183574998</v>
      </c>
      <c r="AM220">
        <v>89.017356580031901</v>
      </c>
      <c r="AN220">
        <v>1.0000000051086499</v>
      </c>
    </row>
    <row r="221" spans="1:40" x14ac:dyDescent="0.25">
      <c r="A221" t="str">
        <f>"20190303154101172"</f>
        <v>20190303154101172</v>
      </c>
      <c r="B221" t="str">
        <f>"1551598861159521"</f>
        <v>1551598861159521</v>
      </c>
      <c r="C221" t="s">
        <v>40</v>
      </c>
      <c r="D221">
        <v>5.6904879999999904</v>
      </c>
      <c r="E221">
        <v>0.50366149999999998</v>
      </c>
      <c r="F221" t="s">
        <v>43</v>
      </c>
      <c r="G221">
        <v>-434.69619999999998</v>
      </c>
      <c r="H221">
        <v>-0.05</v>
      </c>
      <c r="I221">
        <v>367.04649999999998</v>
      </c>
      <c r="J221">
        <v>-450.47030000000001</v>
      </c>
      <c r="K221">
        <v>1.121022</v>
      </c>
      <c r="L221">
        <v>367.33679999999998</v>
      </c>
      <c r="M221">
        <v>0.99985769999999996</v>
      </c>
      <c r="N221">
        <v>-1.366583E-2</v>
      </c>
      <c r="O221">
        <v>9.8997170000000006E-3</v>
      </c>
      <c r="P221">
        <v>0.99561999999999995</v>
      </c>
      <c r="Q221">
        <v>-9.31752E-2</v>
      </c>
      <c r="R221">
        <v>-7.7268290000000002E-3</v>
      </c>
      <c r="S221">
        <v>2.9922490000000002</v>
      </c>
      <c r="T221">
        <v>-0.21963489999999999</v>
      </c>
      <c r="U221">
        <v>-5.4138180000000001E-2</v>
      </c>
      <c r="V221">
        <v>1.7563579999999999E-2</v>
      </c>
      <c r="W221">
        <v>-7.9566659999999997E-2</v>
      </c>
      <c r="X221">
        <v>0.99667479999999997</v>
      </c>
      <c r="Y221">
        <v>2.7881360000000001E-2</v>
      </c>
      <c r="Z221">
        <v>-1.803135E-3</v>
      </c>
      <c r="AA221">
        <v>0.99960959999999999</v>
      </c>
      <c r="AB221">
        <v>17</v>
      </c>
      <c r="AC221">
        <v>15.774100000000001</v>
      </c>
      <c r="AD221">
        <v>-1.171022</v>
      </c>
      <c r="AE221">
        <v>-0.290300000000002</v>
      </c>
      <c r="AF221">
        <v>0.44401327940774599</v>
      </c>
      <c r="AG221">
        <v>-1.171022</v>
      </c>
      <c r="AH221">
        <v>15.6840451148233</v>
      </c>
      <c r="AI221">
        <v>94.268263480455104</v>
      </c>
      <c r="AJ221">
        <v>88.378397044300797</v>
      </c>
      <c r="AK221">
        <v>15.7339668068986</v>
      </c>
      <c r="AL221">
        <v>94.563657805239203</v>
      </c>
      <c r="AM221">
        <v>88.990428112830003</v>
      </c>
      <c r="AN221">
        <v>0.99999999484050595</v>
      </c>
    </row>
    <row r="222" spans="1:40" x14ac:dyDescent="0.25">
      <c r="A222" t="str">
        <f>"20190303154101193"</f>
        <v>20190303154101193</v>
      </c>
      <c r="B222" t="str">
        <f>"1551598861188801"</f>
        <v>1551598861188801</v>
      </c>
      <c r="C222" t="s">
        <v>40</v>
      </c>
      <c r="D222">
        <v>5.6850170000000002</v>
      </c>
      <c r="E222">
        <v>0.50298849999999995</v>
      </c>
      <c r="F222" t="s">
        <v>43</v>
      </c>
      <c r="G222">
        <v>-434.41950000000003</v>
      </c>
      <c r="H222">
        <v>-0.05</v>
      </c>
      <c r="I222">
        <v>367.06</v>
      </c>
      <c r="J222">
        <v>-450.30419999999998</v>
      </c>
      <c r="K222">
        <v>1.120962</v>
      </c>
      <c r="L222">
        <v>367.3383</v>
      </c>
      <c r="M222">
        <v>0.99986299999999995</v>
      </c>
      <c r="N222">
        <v>-1.3390559999999999E-2</v>
      </c>
      <c r="O222">
        <v>9.7308849999999999E-3</v>
      </c>
      <c r="P222">
        <v>0.99563559999999995</v>
      </c>
      <c r="Q222">
        <v>-9.3000869999999999E-2</v>
      </c>
      <c r="R222">
        <v>-7.7639909999999996E-3</v>
      </c>
      <c r="S222">
        <v>2.9924010000000001</v>
      </c>
      <c r="T222">
        <v>-0.21831809999999999</v>
      </c>
      <c r="U222">
        <v>-5.160522E-2</v>
      </c>
      <c r="V222">
        <v>1.7433049999999999E-2</v>
      </c>
      <c r="W222">
        <v>-7.9666470000000003E-2</v>
      </c>
      <c r="X222">
        <v>0.99666909999999997</v>
      </c>
      <c r="Y222">
        <v>2.687057E-2</v>
      </c>
      <c r="Z222">
        <v>-1.73783799999999E-3</v>
      </c>
      <c r="AA222">
        <v>0.99963740000000001</v>
      </c>
      <c r="AB222">
        <v>17</v>
      </c>
      <c r="AC222">
        <v>15.884699999999899</v>
      </c>
      <c r="AD222">
        <v>-1.1709620000000001</v>
      </c>
      <c r="AE222">
        <v>-0.27830000000000099</v>
      </c>
      <c r="AF222">
        <v>0.43053402201651803</v>
      </c>
      <c r="AG222">
        <v>-1.1709620000000001</v>
      </c>
      <c r="AH222">
        <v>15.7954318310149</v>
      </c>
      <c r="AI222">
        <v>94.238181549262194</v>
      </c>
      <c r="AJ222">
        <v>88.438682999299104</v>
      </c>
      <c r="AK222">
        <v>15.8446261640279</v>
      </c>
      <c r="AL222">
        <v>94.569394793432807</v>
      </c>
      <c r="AM222">
        <v>88.9979238405014</v>
      </c>
      <c r="AN222">
        <v>0.99999997628468595</v>
      </c>
    </row>
    <row r="223" spans="1:40" x14ac:dyDescent="0.25">
      <c r="A223" t="str">
        <f>"20190303154101215"</f>
        <v>20190303154101215</v>
      </c>
      <c r="B223" t="str">
        <f>"1551598861209297"</f>
        <v>1551598861209297</v>
      </c>
      <c r="C223" t="s">
        <v>40</v>
      </c>
      <c r="D223">
        <v>5.7369050000000001</v>
      </c>
      <c r="E223">
        <v>0.50231979999999998</v>
      </c>
      <c r="F223" t="s">
        <v>43</v>
      </c>
      <c r="G223">
        <v>-434.20710000000003</v>
      </c>
      <c r="H223">
        <v>-0.05</v>
      </c>
      <c r="I223">
        <v>367.08980000000003</v>
      </c>
      <c r="J223">
        <v>-450.13760000000002</v>
      </c>
      <c r="K223">
        <v>1.1209070000000001</v>
      </c>
      <c r="L223">
        <v>367.33969999999999</v>
      </c>
      <c r="M223">
        <v>0.9998688</v>
      </c>
      <c r="N223">
        <v>-1.3083279999999999E-2</v>
      </c>
      <c r="O223">
        <v>9.5612260000000008E-3</v>
      </c>
      <c r="P223">
        <v>0.99565320000000002</v>
      </c>
      <c r="Q223">
        <v>-9.2760880000000004E-2</v>
      </c>
      <c r="R223">
        <v>-8.3883469999999904E-3</v>
      </c>
      <c r="S223">
        <v>2.9924930000000001</v>
      </c>
      <c r="T223">
        <v>-0.2176852</v>
      </c>
      <c r="U223">
        <v>-4.6203609999999999E-2</v>
      </c>
      <c r="V223">
        <v>1.788855E-2</v>
      </c>
      <c r="W223">
        <v>-7.9732609999999995E-2</v>
      </c>
      <c r="X223">
        <v>0.99665579999999998</v>
      </c>
      <c r="Y223">
        <v>2.490355E-2</v>
      </c>
      <c r="Z223">
        <v>-1.6373329999999999E-3</v>
      </c>
      <c r="AA223">
        <v>0.99968849999999998</v>
      </c>
      <c r="AB223">
        <v>17</v>
      </c>
      <c r="AC223">
        <v>15.930499999999901</v>
      </c>
      <c r="AD223">
        <v>-1.1709069999999999</v>
      </c>
      <c r="AE223">
        <v>-0.24989999999996801</v>
      </c>
      <c r="AF223">
        <v>0.40005598101059697</v>
      </c>
      <c r="AG223">
        <v>-1.1709069999999999</v>
      </c>
      <c r="AH223">
        <v>15.841819501032999</v>
      </c>
      <c r="AI223">
        <v>94.225839999836495</v>
      </c>
      <c r="AJ223">
        <v>88.553408046107606</v>
      </c>
      <c r="AK223">
        <v>15.8900696377926</v>
      </c>
      <c r="AL223">
        <v>94.5731961536992</v>
      </c>
      <c r="AM223">
        <v>88.971732893009104</v>
      </c>
      <c r="AN223">
        <v>1.0000000364960699</v>
      </c>
    </row>
    <row r="224" spans="1:40" x14ac:dyDescent="0.25">
      <c r="A224" t="str">
        <f>"20190303154101228"</f>
        <v>20190303154101228</v>
      </c>
      <c r="B224" t="str">
        <f>"1551598861219057"</f>
        <v>1551598861219057</v>
      </c>
      <c r="C224" t="s">
        <v>40</v>
      </c>
      <c r="D224">
        <v>5.7311730000000001</v>
      </c>
      <c r="E224">
        <v>0.50204859999999996</v>
      </c>
      <c r="F224" t="s">
        <v>43</v>
      </c>
      <c r="G224">
        <v>-434.35840000000002</v>
      </c>
      <c r="H224">
        <v>-0.05</v>
      </c>
      <c r="I224">
        <v>367.11180000000002</v>
      </c>
      <c r="J224">
        <v>-450.02370000000002</v>
      </c>
      <c r="K224">
        <v>1.1208720000000001</v>
      </c>
      <c r="L224">
        <v>367.34059999999999</v>
      </c>
      <c r="M224">
        <v>0.9998726</v>
      </c>
      <c r="N224">
        <v>-1.2869810000000001E-2</v>
      </c>
      <c r="O224">
        <v>9.4445359999999999E-3</v>
      </c>
      <c r="P224">
        <v>0.99567649999999996</v>
      </c>
      <c r="Q224">
        <v>-9.2517909999999995E-2</v>
      </c>
      <c r="R224">
        <v>-8.2943589999999994E-3</v>
      </c>
      <c r="S224">
        <v>2.992035</v>
      </c>
      <c r="T224">
        <v>-0.2220261</v>
      </c>
      <c r="U224">
        <v>-4.3212889999999997E-2</v>
      </c>
      <c r="V224">
        <v>1.7678869999999999E-2</v>
      </c>
      <c r="W224">
        <v>-7.9701969999999997E-2</v>
      </c>
      <c r="X224">
        <v>0.99666200000000005</v>
      </c>
      <c r="Y224">
        <v>2.3790309999999999E-2</v>
      </c>
      <c r="Z224">
        <v>-1.6132150000000001E-3</v>
      </c>
      <c r="AA224">
        <v>0.99971569999999998</v>
      </c>
      <c r="AB224">
        <v>17</v>
      </c>
      <c r="AC224">
        <v>15.6653</v>
      </c>
      <c r="AD224">
        <v>-1.1708719999999999</v>
      </c>
      <c r="AE224">
        <v>-0.22879999999997799</v>
      </c>
      <c r="AF224">
        <v>0.374660929624265</v>
      </c>
      <c r="AG224">
        <v>-1.1708719999999999</v>
      </c>
      <c r="AH224">
        <v>15.5754461196716</v>
      </c>
      <c r="AI224">
        <v>94.297840812093895</v>
      </c>
      <c r="AJ224">
        <v>88.622039397674797</v>
      </c>
      <c r="AK224">
        <v>15.6238866444737</v>
      </c>
      <c r="AL224">
        <v>94.571434970246202</v>
      </c>
      <c r="AM224">
        <v>88.983789466987005</v>
      </c>
      <c r="AN224">
        <v>1.00000004435517</v>
      </c>
    </row>
    <row r="225" spans="1:40" x14ac:dyDescent="0.25">
      <c r="A225" t="str">
        <f>"20190303154101248"</f>
        <v>20190303154101248</v>
      </c>
      <c r="B225" t="str">
        <f>"1551598861239552"</f>
        <v>1551598861239552</v>
      </c>
      <c r="C225" t="s">
        <v>40</v>
      </c>
      <c r="D225">
        <v>5.711989</v>
      </c>
      <c r="E225">
        <v>0.50155740000000004</v>
      </c>
      <c r="F225" t="s">
        <v>43</v>
      </c>
      <c r="G225">
        <v>-434.32639999999998</v>
      </c>
      <c r="H225">
        <v>-0.05</v>
      </c>
      <c r="I225">
        <v>367.12810000000002</v>
      </c>
      <c r="J225">
        <v>-449.87470000000002</v>
      </c>
      <c r="K225">
        <v>1.1208290000000001</v>
      </c>
      <c r="L225">
        <v>367.34190000000001</v>
      </c>
      <c r="M225">
        <v>0.99987769999999998</v>
      </c>
      <c r="N225">
        <v>-1.259064E-2</v>
      </c>
      <c r="O225">
        <v>9.2915329999999994E-3</v>
      </c>
      <c r="P225">
        <v>0.99570539999999996</v>
      </c>
      <c r="Q225">
        <v>-9.2189729999999998E-2</v>
      </c>
      <c r="R225">
        <v>-8.4984669999999991E-3</v>
      </c>
      <c r="S225">
        <v>2.9919739999999999</v>
      </c>
      <c r="T225">
        <v>-0.22317329999999999</v>
      </c>
      <c r="U225">
        <v>-4.0496829999999998E-2</v>
      </c>
      <c r="V225">
        <v>1.7731E-2</v>
      </c>
      <c r="W225">
        <v>-7.9651699999999895E-2</v>
      </c>
      <c r="X225">
        <v>0.99666509999999997</v>
      </c>
      <c r="Y225">
        <v>2.2733079999999999E-2</v>
      </c>
      <c r="Z225">
        <v>-1.565201E-3</v>
      </c>
      <c r="AA225">
        <v>0.99974039999999997</v>
      </c>
      <c r="AB225">
        <v>17</v>
      </c>
      <c r="AC225">
        <v>15.548299999999999</v>
      </c>
      <c r="AD225">
        <v>-1.1708289999999999</v>
      </c>
      <c r="AE225">
        <v>-0.213799999999992</v>
      </c>
      <c r="AF225">
        <v>0.35625001176152998</v>
      </c>
      <c r="AG225">
        <v>-1.1708289999999999</v>
      </c>
      <c r="AH225">
        <v>15.4580040364091</v>
      </c>
      <c r="AI225">
        <v>94.330313838492202</v>
      </c>
      <c r="AJ225">
        <v>88.679777190549601</v>
      </c>
      <c r="AK225">
        <v>15.5063742831057</v>
      </c>
      <c r="AL225">
        <v>94.568545492020505</v>
      </c>
      <c r="AM225">
        <v>88.980796749424101</v>
      </c>
      <c r="AN225">
        <v>1.00000005161594</v>
      </c>
    </row>
    <row r="226" spans="1:40" x14ac:dyDescent="0.25">
      <c r="A226" t="str">
        <f>"20190303154101271"</f>
        <v>20190303154101271</v>
      </c>
      <c r="B226" t="str">
        <f>"1551598861259072"</f>
        <v>1551598861259072</v>
      </c>
      <c r="C226" t="s">
        <v>40</v>
      </c>
      <c r="D226">
        <v>5.6932710000000002</v>
      </c>
      <c r="E226">
        <v>0.50104759999999904</v>
      </c>
      <c r="F226" t="s">
        <v>43</v>
      </c>
      <c r="G226">
        <v>-434.38130000000001</v>
      </c>
      <c r="H226">
        <v>-0.05</v>
      </c>
      <c r="I226">
        <v>367.14839999999998</v>
      </c>
      <c r="J226">
        <v>-449.69400000000002</v>
      </c>
      <c r="K226">
        <v>1.1207819999999999</v>
      </c>
      <c r="L226">
        <v>367.3433</v>
      </c>
      <c r="M226">
        <v>0.99988370000000004</v>
      </c>
      <c r="N226">
        <v>-1.225036E-2</v>
      </c>
      <c r="O226">
        <v>9.1074480000000006E-3</v>
      </c>
      <c r="P226">
        <v>0.99575170000000002</v>
      </c>
      <c r="Q226">
        <v>-9.1672480000000001E-2</v>
      </c>
      <c r="R226">
        <v>-8.6667789999999995E-3</v>
      </c>
      <c r="S226">
        <v>2.9916990000000001</v>
      </c>
      <c r="T226">
        <v>-0.22608149999999999</v>
      </c>
      <c r="U226">
        <v>-3.7353520000000001E-2</v>
      </c>
      <c r="V226">
        <v>1.7716490000000001E-2</v>
      </c>
      <c r="W226">
        <v>-7.9473059999999998E-2</v>
      </c>
      <c r="X226">
        <v>0.99667950000000005</v>
      </c>
      <c r="Y226">
        <v>2.1502150000000001E-2</v>
      </c>
      <c r="Z226">
        <v>-1.5190049999999999E-3</v>
      </c>
      <c r="AA226">
        <v>0.99976770000000004</v>
      </c>
      <c r="AB226">
        <v>17</v>
      </c>
      <c r="AC226">
        <v>15.3127</v>
      </c>
      <c r="AD226">
        <v>-1.170782</v>
      </c>
      <c r="AE226">
        <v>-0.194900000000018</v>
      </c>
      <c r="AF226">
        <v>0.33241900942096603</v>
      </c>
      <c r="AG226">
        <v>-1.170782</v>
      </c>
      <c r="AH226">
        <v>15.2213223266954</v>
      </c>
      <c r="AI226">
        <v>94.397328107811106</v>
      </c>
      <c r="AJ226">
        <v>88.748914270447699</v>
      </c>
      <c r="AK226">
        <v>15.2699013180343</v>
      </c>
      <c r="AL226">
        <v>94.558278163740894</v>
      </c>
      <c r="AM226">
        <v>88.981645339542794</v>
      </c>
      <c r="AN226">
        <v>0.99999993350196403</v>
      </c>
    </row>
    <row r="227" spans="1:40" x14ac:dyDescent="0.25">
      <c r="A227" t="str">
        <f>"20190303154101295"</f>
        <v>20190303154101295</v>
      </c>
      <c r="B227" t="str">
        <f>"1551598861289329"</f>
        <v>1551598861289329</v>
      </c>
      <c r="C227" t="s">
        <v>40</v>
      </c>
      <c r="D227">
        <v>5.6967790000000003</v>
      </c>
      <c r="E227">
        <v>0.50047649999999999</v>
      </c>
      <c r="F227" t="s">
        <v>43</v>
      </c>
      <c r="G227">
        <v>-434.33589999999998</v>
      </c>
      <c r="H227">
        <v>-0.05</v>
      </c>
      <c r="I227">
        <v>367.1705</v>
      </c>
      <c r="J227">
        <v>-449.5145</v>
      </c>
      <c r="K227">
        <v>1.1207339999999999</v>
      </c>
      <c r="L227">
        <v>367.34480000000002</v>
      </c>
      <c r="M227">
        <v>0.99988929999999998</v>
      </c>
      <c r="N227">
        <v>-1.19097E-2</v>
      </c>
      <c r="O227">
        <v>8.926804E-3</v>
      </c>
      <c r="P227">
        <v>0.99576509999999996</v>
      </c>
      <c r="Q227">
        <v>-9.1556209999999999E-2</v>
      </c>
      <c r="R227">
        <v>-8.3243899999999992E-3</v>
      </c>
      <c r="S227">
        <v>2.9915769999999999</v>
      </c>
      <c r="T227">
        <v>-0.2280548</v>
      </c>
      <c r="U227">
        <v>-3.3660889999999999E-2</v>
      </c>
      <c r="V227">
        <v>1.7194000000000001E-2</v>
      </c>
      <c r="W227">
        <v>-7.9696050000000004E-2</v>
      </c>
      <c r="X227">
        <v>0.99667090000000003</v>
      </c>
      <c r="Y227">
        <v>2.009174E-2</v>
      </c>
      <c r="Z227">
        <v>-1.4578569999999999E-3</v>
      </c>
      <c r="AA227">
        <v>0.99979709999999999</v>
      </c>
      <c r="AB227">
        <v>17</v>
      </c>
      <c r="AC227">
        <v>15.178599999999999</v>
      </c>
      <c r="AD227">
        <v>-1.1707339999999999</v>
      </c>
      <c r="AE227">
        <v>-0.174300000000016</v>
      </c>
      <c r="AF227">
        <v>0.30796714898083399</v>
      </c>
      <c r="AG227">
        <v>-1.1707339999999999</v>
      </c>
      <c r="AH227">
        <v>15.086698268380401</v>
      </c>
      <c r="AI227">
        <v>94.436362979510704</v>
      </c>
      <c r="AJ227">
        <v>88.830574638606294</v>
      </c>
      <c r="AK227">
        <v>15.135188353792</v>
      </c>
      <c r="AL227">
        <v>94.571094952854594</v>
      </c>
      <c r="AM227">
        <v>89.011663809748597</v>
      </c>
      <c r="AN227">
        <v>0.99999998846420601</v>
      </c>
    </row>
    <row r="228" spans="1:40" x14ac:dyDescent="0.25">
      <c r="A228" t="str">
        <f>"20190303154101315"</f>
        <v>20190303154101315</v>
      </c>
      <c r="B228" t="str">
        <f>"1551598861308849"</f>
        <v>1551598861308849</v>
      </c>
      <c r="C228" t="s">
        <v>40</v>
      </c>
      <c r="D228">
        <v>5.73482</v>
      </c>
      <c r="E228">
        <v>0.50020489999999995</v>
      </c>
      <c r="F228" t="s">
        <v>43</v>
      </c>
      <c r="G228">
        <v>-434.40769999999998</v>
      </c>
      <c r="H228">
        <v>-0.05</v>
      </c>
      <c r="I228">
        <v>367.20159999999998</v>
      </c>
      <c r="J228">
        <v>-449.34550000000002</v>
      </c>
      <c r="K228">
        <v>1.120684</v>
      </c>
      <c r="L228">
        <v>367.34609999999998</v>
      </c>
      <c r="M228">
        <v>0.99989470000000003</v>
      </c>
      <c r="N228">
        <v>-1.158377E-2</v>
      </c>
      <c r="O228">
        <v>8.7566859999999996E-3</v>
      </c>
      <c r="P228">
        <v>0.99582150000000003</v>
      </c>
      <c r="Q228">
        <v>-9.0972049999999999E-2</v>
      </c>
      <c r="R228">
        <v>-7.9987089999999997E-3</v>
      </c>
      <c r="S228">
        <v>2.9911799999999999</v>
      </c>
      <c r="T228">
        <v>-0.23180790000000001</v>
      </c>
      <c r="U228">
        <v>-2.835083E-2</v>
      </c>
      <c r="V228">
        <v>1.6699249999999999E-2</v>
      </c>
      <c r="W228">
        <v>-7.9436000000000007E-2</v>
      </c>
      <c r="X228">
        <v>0.99670009999999998</v>
      </c>
      <c r="Y228">
        <v>1.8152649999999999E-2</v>
      </c>
      <c r="Z228">
        <v>-1.3839259999999999E-3</v>
      </c>
      <c r="AA228">
        <v>0.99983420000000001</v>
      </c>
      <c r="AB228">
        <v>18</v>
      </c>
      <c r="AC228">
        <v>14.937799999999999</v>
      </c>
      <c r="AD228">
        <v>-1.1706840000000001</v>
      </c>
      <c r="AE228">
        <v>-0.144499999999993</v>
      </c>
      <c r="AF228">
        <v>0.27362838822670799</v>
      </c>
      <c r="AG228">
        <v>-1.1706840000000001</v>
      </c>
      <c r="AH228">
        <v>14.8447943611794</v>
      </c>
      <c r="AI228">
        <v>94.508341136919498</v>
      </c>
      <c r="AJ228">
        <v>88.944008504510805</v>
      </c>
      <c r="AK228">
        <v>14.8933976361474</v>
      </c>
      <c r="AL228">
        <v>94.556147670079199</v>
      </c>
      <c r="AM228">
        <v>89.040125477859405</v>
      </c>
      <c r="AN228">
        <v>1.0000000161932801</v>
      </c>
    </row>
    <row r="229" spans="1:40" x14ac:dyDescent="0.25">
      <c r="A229" t="str">
        <f>"20190303154101338"</f>
        <v>20190303154101338</v>
      </c>
      <c r="B229" t="str">
        <f>"1551598861329345"</f>
        <v>1551598861329345</v>
      </c>
      <c r="C229" t="s">
        <v>40</v>
      </c>
      <c r="D229">
        <v>5.681959</v>
      </c>
      <c r="E229">
        <v>0.49990390000000001</v>
      </c>
      <c r="F229" t="s">
        <v>43</v>
      </c>
      <c r="G229">
        <v>-434.279</v>
      </c>
      <c r="H229">
        <v>-0.05</v>
      </c>
      <c r="I229">
        <v>367.21879999999999</v>
      </c>
      <c r="J229">
        <v>-449.1703</v>
      </c>
      <c r="K229">
        <v>1.120638</v>
      </c>
      <c r="L229">
        <v>367.34739999999999</v>
      </c>
      <c r="M229">
        <v>0.99990029999999996</v>
      </c>
      <c r="N229">
        <v>-1.1227600000000001E-2</v>
      </c>
      <c r="O229">
        <v>8.5807269999999998E-3</v>
      </c>
      <c r="P229">
        <v>0.99585880000000004</v>
      </c>
      <c r="Q229">
        <v>-9.0565699999999999E-2</v>
      </c>
      <c r="R229">
        <v>-7.9655690000000005E-3</v>
      </c>
      <c r="S229">
        <v>2.9911500000000002</v>
      </c>
      <c r="T229">
        <v>-0.23241619999999999</v>
      </c>
      <c r="U229">
        <v>-2.5268550000000001E-2</v>
      </c>
      <c r="V229">
        <v>1.649076E-2</v>
      </c>
      <c r="W229">
        <v>-7.938423E-2</v>
      </c>
      <c r="X229">
        <v>0.99670769999999997</v>
      </c>
      <c r="Y229">
        <v>1.6950699999999999E-2</v>
      </c>
      <c r="Z229">
        <v>-1.3223690000000001E-3</v>
      </c>
      <c r="AA229">
        <v>0.99985550000000001</v>
      </c>
      <c r="AB229">
        <v>18</v>
      </c>
      <c r="AC229">
        <v>14.891299999999999</v>
      </c>
      <c r="AD229">
        <v>-1.1706379999999901</v>
      </c>
      <c r="AE229">
        <v>-0.12860000000000499</v>
      </c>
      <c r="AF229">
        <v>0.254806921829552</v>
      </c>
      <c r="AG229">
        <v>-1.1706379999999901</v>
      </c>
      <c r="AH229">
        <v>14.7982038579249</v>
      </c>
      <c r="AI229">
        <v>94.522396809011099</v>
      </c>
      <c r="AJ229">
        <v>89.013534428088803</v>
      </c>
      <c r="AK229">
        <v>14.8466210740074</v>
      </c>
      <c r="AL229">
        <v>94.553172052539594</v>
      </c>
      <c r="AM229">
        <v>89.052114529523493</v>
      </c>
      <c r="AN229">
        <v>1.0000000201886801</v>
      </c>
    </row>
    <row r="230" spans="1:40" x14ac:dyDescent="0.25">
      <c r="A230" t="str">
        <f>"20190303154101350"</f>
        <v>20190303154101350</v>
      </c>
      <c r="B230" t="str">
        <f>"1551598861339105"</f>
        <v>1551598861339105</v>
      </c>
      <c r="C230" t="s">
        <v>40</v>
      </c>
      <c r="D230">
        <v>5.752135</v>
      </c>
      <c r="E230">
        <v>0.49983420000000001</v>
      </c>
      <c r="F230" t="s">
        <v>43</v>
      </c>
      <c r="G230">
        <v>-434.1782</v>
      </c>
      <c r="H230">
        <v>-0.05</v>
      </c>
      <c r="I230">
        <v>367.23390000000001</v>
      </c>
      <c r="J230">
        <v>-449.06060000000002</v>
      </c>
      <c r="K230">
        <v>1.1206130000000001</v>
      </c>
      <c r="L230">
        <v>367.34820000000002</v>
      </c>
      <c r="M230">
        <v>0.99990369999999995</v>
      </c>
      <c r="N230">
        <v>-1.098971E-2</v>
      </c>
      <c r="O230">
        <v>8.4700850000000005E-3</v>
      </c>
      <c r="P230">
        <v>0.99589190000000005</v>
      </c>
      <c r="Q230">
        <v>-9.0205610000000006E-2</v>
      </c>
      <c r="R230">
        <v>-7.9000470000000003E-3</v>
      </c>
      <c r="S230">
        <v>2.9910580000000002</v>
      </c>
      <c r="T230">
        <v>-0.23355219999999999</v>
      </c>
      <c r="U230">
        <v>-2.2644040000000001E-2</v>
      </c>
      <c r="V230">
        <v>1.631527E-2</v>
      </c>
      <c r="W230">
        <v>-7.9260890000000001E-2</v>
      </c>
      <c r="X230">
        <v>0.99672039999999995</v>
      </c>
      <c r="Y230">
        <v>1.596595E-2</v>
      </c>
      <c r="Z230">
        <v>-1.277664E-3</v>
      </c>
      <c r="AA230">
        <v>0.99987170000000003</v>
      </c>
      <c r="AB230">
        <v>18</v>
      </c>
      <c r="AC230">
        <v>14.882400000000001</v>
      </c>
      <c r="AD230">
        <v>-1.1706129999999999</v>
      </c>
      <c r="AE230">
        <v>-0.114300000000014</v>
      </c>
      <c r="AF230">
        <v>0.238880839133886</v>
      </c>
      <c r="AG230">
        <v>-1.1706129999999999</v>
      </c>
      <c r="AH230">
        <v>14.7894011284501</v>
      </c>
      <c r="AI230">
        <v>94.525061326344698</v>
      </c>
      <c r="AJ230">
        <v>89.074629615492498</v>
      </c>
      <c r="AK230">
        <v>14.8375801460102</v>
      </c>
      <c r="AL230">
        <v>94.546082871130594</v>
      </c>
      <c r="AM230">
        <v>89.062211794344705</v>
      </c>
      <c r="AN230">
        <v>1.00000001624746</v>
      </c>
    </row>
    <row r="231" spans="1:40" x14ac:dyDescent="0.25">
      <c r="A231" t="str">
        <f>"20190303154101371"</f>
        <v>20190303154101371</v>
      </c>
      <c r="B231" t="str">
        <f>"1551598861359600"</f>
        <v>1551598861359600</v>
      </c>
      <c r="C231" t="s">
        <v>40</v>
      </c>
      <c r="D231">
        <v>5.6986990000000004</v>
      </c>
      <c r="E231">
        <v>0.4995658</v>
      </c>
      <c r="F231" t="s">
        <v>43</v>
      </c>
      <c r="G231">
        <v>-434.0668</v>
      </c>
      <c r="H231">
        <v>-0.05</v>
      </c>
      <c r="I231">
        <v>367.23820000000001</v>
      </c>
      <c r="J231">
        <v>-448.90320000000003</v>
      </c>
      <c r="K231">
        <v>1.1205670000000001</v>
      </c>
      <c r="L231">
        <v>367.34930000000003</v>
      </c>
      <c r="M231">
        <v>0.99990900000000005</v>
      </c>
      <c r="N231">
        <v>-1.0638699999999999E-2</v>
      </c>
      <c r="O231">
        <v>8.3105680000000008E-3</v>
      </c>
      <c r="P231">
        <v>0.99588100000000002</v>
      </c>
      <c r="Q231">
        <v>-9.0304990000000002E-2</v>
      </c>
      <c r="R231">
        <v>-8.1477310000000001E-3</v>
      </c>
      <c r="S231">
        <v>2.9909970000000001</v>
      </c>
      <c r="T231">
        <v>-0.23351620000000001</v>
      </c>
      <c r="U231">
        <v>-2.1942139999999999E-2</v>
      </c>
      <c r="V231">
        <v>1.6403919999999999E-2</v>
      </c>
      <c r="W231">
        <v>-7.9710299999999998E-2</v>
      </c>
      <c r="X231">
        <v>0.99668310000000004</v>
      </c>
      <c r="Y231">
        <v>1.5573689999999999E-2</v>
      </c>
      <c r="Z231">
        <v>-1.2495360000000001E-3</v>
      </c>
      <c r="AA231">
        <v>0.99987789999999999</v>
      </c>
      <c r="AB231">
        <v>18</v>
      </c>
      <c r="AC231">
        <v>14.836399999999999</v>
      </c>
      <c r="AD231">
        <v>-1.1705669999999999</v>
      </c>
      <c r="AE231">
        <v>-0.111100000000021</v>
      </c>
      <c r="AF231">
        <v>0.232952004417639</v>
      </c>
      <c r="AG231">
        <v>-1.1705669999999999</v>
      </c>
      <c r="AH231">
        <v>14.743193817419201</v>
      </c>
      <c r="AI231">
        <v>94.539032103415494</v>
      </c>
      <c r="AJ231">
        <v>89.094764929454598</v>
      </c>
      <c r="AK231">
        <v>14.7914251401222</v>
      </c>
      <c r="AL231">
        <v>94.571913919442594</v>
      </c>
      <c r="AM231">
        <v>89.0570819029967</v>
      </c>
      <c r="AN231">
        <v>1.0000000111715299</v>
      </c>
    </row>
    <row r="232" spans="1:40" x14ac:dyDescent="0.25">
      <c r="A232" t="str">
        <f>"20190303154101394"</f>
        <v>20190303154101394</v>
      </c>
      <c r="B232" t="str">
        <f>"1551598861389352"</f>
        <v>1551598861389352</v>
      </c>
      <c r="C232" t="s">
        <v>40</v>
      </c>
      <c r="D232">
        <v>5.6626019999999997</v>
      </c>
      <c r="E232">
        <v>0.49922080000000002</v>
      </c>
      <c r="F232" t="s">
        <v>43</v>
      </c>
      <c r="G232">
        <v>-434.0523</v>
      </c>
      <c r="H232">
        <v>-0.05</v>
      </c>
      <c r="I232">
        <v>367.2473</v>
      </c>
      <c r="J232">
        <v>-448.72519999999997</v>
      </c>
      <c r="K232">
        <v>1.120512</v>
      </c>
      <c r="L232">
        <v>367.35059999999999</v>
      </c>
      <c r="M232">
        <v>0.99991470000000005</v>
      </c>
      <c r="N232">
        <v>-1.023608E-2</v>
      </c>
      <c r="O232">
        <v>8.1293890000000008E-3</v>
      </c>
      <c r="P232">
        <v>0.99587539999999997</v>
      </c>
      <c r="Q232">
        <v>-9.0339849999999999E-2</v>
      </c>
      <c r="R232">
        <v>-8.4572139999999994E-3</v>
      </c>
      <c r="S232">
        <v>2.9909059999999998</v>
      </c>
      <c r="T232">
        <v>-0.23574709999999999</v>
      </c>
      <c r="U232">
        <v>-2.053833E-2</v>
      </c>
      <c r="V232">
        <v>1.6532330000000001E-2</v>
      </c>
      <c r="W232">
        <v>-8.0146560000000006E-2</v>
      </c>
      <c r="X232">
        <v>0.99664600000000003</v>
      </c>
      <c r="Y232">
        <v>1.4924750000000001E-2</v>
      </c>
      <c r="Z232">
        <v>-1.220465E-3</v>
      </c>
      <c r="AA232">
        <v>0.99988790000000005</v>
      </c>
      <c r="AB232">
        <v>18</v>
      </c>
      <c r="AC232">
        <v>14.672899999999901</v>
      </c>
      <c r="AD232">
        <v>-1.170512</v>
      </c>
      <c r="AE232">
        <v>-0.10329999999999</v>
      </c>
      <c r="AF232">
        <v>0.22117706381075999</v>
      </c>
      <c r="AG232">
        <v>-1.170512</v>
      </c>
      <c r="AH232">
        <v>14.5788025964419</v>
      </c>
      <c r="AI232">
        <v>94.5898267382196</v>
      </c>
      <c r="AJ232">
        <v>89.1308243539264</v>
      </c>
      <c r="AK232">
        <v>14.627388788902801</v>
      </c>
      <c r="AL232">
        <v>94.596989967609503</v>
      </c>
      <c r="AM232">
        <v>89.049666713680594</v>
      </c>
      <c r="AN232">
        <v>1.0000000191655301</v>
      </c>
    </row>
    <row r="233" spans="1:40" x14ac:dyDescent="0.25">
      <c r="A233" t="str">
        <f>"20190303154101415"</f>
        <v>20190303154101415</v>
      </c>
      <c r="B233" t="str">
        <f>"1551598861408873"</f>
        <v>1551598861408873</v>
      </c>
      <c r="C233" t="s">
        <v>40</v>
      </c>
      <c r="D233">
        <v>5.6874960000000003</v>
      </c>
      <c r="E233">
        <v>0.49898579999999998</v>
      </c>
      <c r="F233" t="s">
        <v>43</v>
      </c>
      <c r="G233">
        <v>-434.05459999999999</v>
      </c>
      <c r="H233">
        <v>-0.05</v>
      </c>
      <c r="I233">
        <v>367.25889999999998</v>
      </c>
      <c r="J233">
        <v>-448.54719999999998</v>
      </c>
      <c r="K233">
        <v>1.1204620000000001</v>
      </c>
      <c r="L233">
        <v>367.3519</v>
      </c>
      <c r="M233">
        <v>0.99992009999999998</v>
      </c>
      <c r="N233">
        <v>-9.8353120000000006E-3</v>
      </c>
      <c r="O233">
        <v>7.9485960000000005E-3</v>
      </c>
      <c r="P233">
        <v>0.99593339999999997</v>
      </c>
      <c r="Q233">
        <v>-8.9640159999999997E-2</v>
      </c>
      <c r="R233">
        <v>-9.0188639999999997E-3</v>
      </c>
      <c r="S233">
        <v>2.990631</v>
      </c>
      <c r="T233">
        <v>-0.23861160000000001</v>
      </c>
      <c r="U233">
        <v>-1.870728E-2</v>
      </c>
      <c r="V233">
        <v>1.691438E-2</v>
      </c>
      <c r="W233">
        <v>-7.9845929999999996E-2</v>
      </c>
      <c r="X233">
        <v>0.99666370000000004</v>
      </c>
      <c r="Y233">
        <v>1.413391E-2</v>
      </c>
      <c r="Z233">
        <v>-1.1876860000000001E-3</v>
      </c>
      <c r="AA233">
        <v>0.99989939999999999</v>
      </c>
      <c r="AB233">
        <v>18</v>
      </c>
      <c r="AC233">
        <v>14.4925999999999</v>
      </c>
      <c r="AD233">
        <v>-1.1704619999999999</v>
      </c>
      <c r="AE233">
        <v>-9.3000000000017694E-2</v>
      </c>
      <c r="AF233">
        <v>0.206849305616749</v>
      </c>
      <c r="AG233">
        <v>-1.1704619999999999</v>
      </c>
      <c r="AH233">
        <v>14.397497344920801</v>
      </c>
      <c r="AI233">
        <v>94.647231322602096</v>
      </c>
      <c r="AJ233">
        <v>89.176886330401103</v>
      </c>
      <c r="AK233">
        <v>14.4464770004898</v>
      </c>
      <c r="AL233">
        <v>94.579709846136694</v>
      </c>
      <c r="AM233">
        <v>89.027726641805998</v>
      </c>
      <c r="AN233">
        <v>0.99999999984301902</v>
      </c>
    </row>
    <row r="234" spans="1:40" x14ac:dyDescent="0.25">
      <c r="A234" t="str">
        <f>"20190303154101439"</f>
        <v>20190303154101439</v>
      </c>
      <c r="B234" t="str">
        <f>"1551598861429368"</f>
        <v>1551598861429368</v>
      </c>
      <c r="C234" t="s">
        <v>40</v>
      </c>
      <c r="D234">
        <v>5.5957619999999997</v>
      </c>
      <c r="E234">
        <v>0.49892710000000001</v>
      </c>
      <c r="F234" t="s">
        <v>43</v>
      </c>
      <c r="G234">
        <v>-433.82569999999998</v>
      </c>
      <c r="H234">
        <v>-0.05</v>
      </c>
      <c r="I234">
        <v>367.26100000000002</v>
      </c>
      <c r="J234">
        <v>-448.3596</v>
      </c>
      <c r="K234">
        <v>1.120414</v>
      </c>
      <c r="L234">
        <v>367.35309999999998</v>
      </c>
      <c r="M234">
        <v>0.99992539999999996</v>
      </c>
      <c r="N234">
        <v>-9.430641E-3</v>
      </c>
      <c r="O234">
        <v>7.7585019999999996E-3</v>
      </c>
      <c r="P234">
        <v>0.99595679999999998</v>
      </c>
      <c r="Q234">
        <v>-8.9323979999999997E-2</v>
      </c>
      <c r="R234">
        <v>-9.5753629999999999E-3</v>
      </c>
      <c r="S234">
        <v>2.990723</v>
      </c>
      <c r="T234">
        <v>-0.23778369999999999</v>
      </c>
      <c r="U234">
        <v>-1.8463130000000001E-2</v>
      </c>
      <c r="V234">
        <v>1.728149E-2</v>
      </c>
      <c r="W234">
        <v>-7.9933019999999994E-2</v>
      </c>
      <c r="X234">
        <v>0.99665040000000005</v>
      </c>
      <c r="Y234">
        <v>1.386389E-2</v>
      </c>
      <c r="Z234">
        <v>-1.158566E-3</v>
      </c>
      <c r="AA234">
        <v>0.99990319999999999</v>
      </c>
      <c r="AB234">
        <v>18</v>
      </c>
      <c r="AC234">
        <v>14.533899999999999</v>
      </c>
      <c r="AD234">
        <v>-1.1704139999999901</v>
      </c>
      <c r="AE234">
        <v>-9.2100000000016197E-2</v>
      </c>
      <c r="AF234">
        <v>0.20354359669054101</v>
      </c>
      <c r="AG234">
        <v>-1.1704139999999901</v>
      </c>
      <c r="AH234">
        <v>14.4391130339133</v>
      </c>
      <c r="AI234">
        <v>94.633724261026103</v>
      </c>
      <c r="AJ234">
        <v>89.192373062506206</v>
      </c>
      <c r="AK234">
        <v>14.487901301889</v>
      </c>
      <c r="AL234">
        <v>94.5847158328978</v>
      </c>
      <c r="AM234">
        <v>89.006615333839704</v>
      </c>
      <c r="AN234">
        <v>0.99999997870155</v>
      </c>
    </row>
    <row r="235" spans="1:40" x14ac:dyDescent="0.25">
      <c r="A235" t="str">
        <f>"20190303154101459"</f>
        <v>20190303154101459</v>
      </c>
      <c r="B235" t="str">
        <f>"1551598861448891"</f>
        <v>1551598861448891</v>
      </c>
      <c r="C235" t="s">
        <v>40</v>
      </c>
      <c r="D235">
        <v>5.8246099999999998</v>
      </c>
      <c r="E235">
        <v>0.51928220000000003</v>
      </c>
      <c r="F235" t="s">
        <v>43</v>
      </c>
      <c r="G235">
        <v>-433.5865</v>
      </c>
      <c r="H235">
        <v>-0.05</v>
      </c>
      <c r="I235">
        <v>367.25599999999997</v>
      </c>
      <c r="J235">
        <v>-448.18740000000003</v>
      </c>
      <c r="K235">
        <v>1.1203749999999999</v>
      </c>
      <c r="L235">
        <v>367.35419999999999</v>
      </c>
      <c r="M235">
        <v>0.99992999999999999</v>
      </c>
      <c r="N235">
        <v>-9.0865589999999993E-3</v>
      </c>
      <c r="O235">
        <v>7.5844909999999996E-3</v>
      </c>
      <c r="P235">
        <v>0.9959692</v>
      </c>
      <c r="Q235">
        <v>-8.9167430000000006E-2</v>
      </c>
      <c r="R235">
        <v>-9.7343199999999994E-3</v>
      </c>
      <c r="S235">
        <v>2.990723</v>
      </c>
      <c r="T235">
        <v>-0.2369434</v>
      </c>
      <c r="U235">
        <v>-1.9653319999999998E-2</v>
      </c>
      <c r="V235">
        <v>1.7267020000000001E-2</v>
      </c>
      <c r="W235">
        <v>-8.0119330000000002E-2</v>
      </c>
      <c r="X235">
        <v>0.99663570000000001</v>
      </c>
      <c r="Y235">
        <v>1.408789E-2</v>
      </c>
      <c r="Z235">
        <v>-1.1524250000000001E-3</v>
      </c>
      <c r="AA235">
        <v>0.99990009999999996</v>
      </c>
      <c r="AB235">
        <v>18</v>
      </c>
      <c r="AC235">
        <v>14.600899999999999</v>
      </c>
      <c r="AD235">
        <v>-1.1703749999999999</v>
      </c>
      <c r="AE235">
        <v>-9.8200000000019799E-2</v>
      </c>
      <c r="AF235">
        <v>0.20760825955288301</v>
      </c>
      <c r="AG235">
        <v>-1.1703749999999999</v>
      </c>
      <c r="AH235">
        <v>14.5065311342135</v>
      </c>
      <c r="AI235">
        <v>94.612115450375597</v>
      </c>
      <c r="AJ235">
        <v>89.180075170501397</v>
      </c>
      <c r="AK235">
        <v>14.555147693443899</v>
      </c>
      <c r="AL235">
        <v>94.595424914777993</v>
      </c>
      <c r="AM235">
        <v>89.007432303479305</v>
      </c>
      <c r="AN235">
        <v>0.99999998776690902</v>
      </c>
    </row>
    <row r="236" spans="1:40" x14ac:dyDescent="0.25">
      <c r="A236" t="str">
        <f>"20190303154101472"</f>
        <v>20190303154101472</v>
      </c>
      <c r="B236" t="str">
        <f>"1551598861469385"</f>
        <v>1551598861469385</v>
      </c>
      <c r="C236" t="s">
        <v>40</v>
      </c>
      <c r="D236">
        <v>5.7719889999999996</v>
      </c>
      <c r="E236">
        <v>0.52158099999999996</v>
      </c>
      <c r="F236" t="s">
        <v>43</v>
      </c>
      <c r="G236">
        <v>-430.28930000000003</v>
      </c>
      <c r="H236">
        <v>-0.05</v>
      </c>
      <c r="I236">
        <v>366.26459999999997</v>
      </c>
      <c r="J236">
        <v>-448.08199999999999</v>
      </c>
      <c r="K236">
        <v>1.1203529999999999</v>
      </c>
      <c r="L236">
        <v>367.35489999999999</v>
      </c>
      <c r="M236">
        <v>0.99993259999999995</v>
      </c>
      <c r="N236">
        <v>-8.8913919999999997E-3</v>
      </c>
      <c r="O236">
        <v>7.4784040000000001E-3</v>
      </c>
      <c r="P236">
        <v>0.99599119999999997</v>
      </c>
      <c r="Q236">
        <v>-8.89128E-2</v>
      </c>
      <c r="R236">
        <v>-9.8214440000000004E-3</v>
      </c>
      <c r="S236">
        <v>2.9927980000000001</v>
      </c>
      <c r="T236">
        <v>-0.19570280000000001</v>
      </c>
      <c r="U236">
        <v>-0.18218989999999999</v>
      </c>
      <c r="V236">
        <v>1.724852E-2</v>
      </c>
      <c r="W236">
        <v>-8.0059030000000003E-2</v>
      </c>
      <c r="X236">
        <v>0.99664090000000005</v>
      </c>
      <c r="Y236">
        <v>6.8050349999999996E-2</v>
      </c>
      <c r="Z236">
        <v>-2.9454149999999998E-3</v>
      </c>
      <c r="AA236">
        <v>0.99767760000000005</v>
      </c>
      <c r="AB236">
        <v>18</v>
      </c>
      <c r="AC236">
        <v>17.7926999999999</v>
      </c>
      <c r="AD236">
        <v>-1.170353</v>
      </c>
      <c r="AE236">
        <v>-1.09030000000001</v>
      </c>
      <c r="AF236">
        <v>1.2180852631100501</v>
      </c>
      <c r="AG236">
        <v>-1.170353</v>
      </c>
      <c r="AH236">
        <v>17.7077201956272</v>
      </c>
      <c r="AI236">
        <v>93.772450604228098</v>
      </c>
      <c r="AJ236">
        <v>86.064915461323906</v>
      </c>
      <c r="AK236">
        <v>17.7881087353163</v>
      </c>
      <c r="AL236">
        <v>94.591958689305798</v>
      </c>
      <c r="AM236">
        <v>89.008500706865107</v>
      </c>
      <c r="AN236">
        <v>1.00000002163977</v>
      </c>
    </row>
    <row r="237" spans="1:40" x14ac:dyDescent="0.25">
      <c r="A237" t="str">
        <f>"20190303154101488"</f>
        <v>20190303154101488</v>
      </c>
      <c r="B237" t="str">
        <f>"1551598861479144"</f>
        <v>1551598861479144</v>
      </c>
      <c r="C237" t="s">
        <v>40</v>
      </c>
      <c r="D237">
        <v>5.7498839999999998</v>
      </c>
      <c r="E237">
        <v>0.52180269999999995</v>
      </c>
      <c r="F237" t="s">
        <v>43</v>
      </c>
      <c r="G237">
        <v>-430.67939999999999</v>
      </c>
      <c r="H237">
        <v>-0.05</v>
      </c>
      <c r="I237">
        <v>366.1866</v>
      </c>
      <c r="J237">
        <v>-447.95490000000001</v>
      </c>
      <c r="K237">
        <v>1.120336</v>
      </c>
      <c r="L237">
        <v>367.35570000000001</v>
      </c>
      <c r="M237">
        <v>0.99993549999999998</v>
      </c>
      <c r="N237">
        <v>-8.6764709999999998E-3</v>
      </c>
      <c r="O237">
        <v>7.3500390000000001E-3</v>
      </c>
      <c r="P237">
        <v>0.99597820000000004</v>
      </c>
      <c r="Q237">
        <v>-8.9014120000000002E-2</v>
      </c>
      <c r="R237">
        <v>-1.019835E-2</v>
      </c>
      <c r="S237">
        <v>2.9921259999999998</v>
      </c>
      <c r="T237">
        <v>-0.2012255</v>
      </c>
      <c r="U237">
        <v>-0.20086670000000001</v>
      </c>
      <c r="V237">
        <v>1.7497390000000002E-2</v>
      </c>
      <c r="W237">
        <v>-8.0374749999999995E-2</v>
      </c>
      <c r="X237">
        <v>0.99661109999999997</v>
      </c>
      <c r="Y237">
        <v>7.4112150000000002E-2</v>
      </c>
      <c r="Z237">
        <v>-3.238356E-3</v>
      </c>
      <c r="AA237">
        <v>0.99724469999999998</v>
      </c>
      <c r="AB237">
        <v>18</v>
      </c>
      <c r="AC237">
        <v>17.275500000000001</v>
      </c>
      <c r="AD237">
        <v>-1.170336</v>
      </c>
      <c r="AE237">
        <v>-1.16910000000001</v>
      </c>
      <c r="AF237">
        <v>1.29015468043766</v>
      </c>
      <c r="AG237">
        <v>-1.170336</v>
      </c>
      <c r="AH237">
        <v>17.1879167402729</v>
      </c>
      <c r="AI237">
        <v>93.884399027350199</v>
      </c>
      <c r="AJ237">
        <v>85.707329884876998</v>
      </c>
      <c r="AK237">
        <v>17.275956335986301</v>
      </c>
      <c r="AL237">
        <v>94.610106825289293</v>
      </c>
      <c r="AM237">
        <v>88.994167724174304</v>
      </c>
      <c r="AN237">
        <v>0.99999997186879097</v>
      </c>
    </row>
    <row r="238" spans="1:40" x14ac:dyDescent="0.25">
      <c r="A238" t="str">
        <f>"20190303154101507"</f>
        <v>20190303154101507</v>
      </c>
      <c r="B238" t="str">
        <f>"1551598861499640"</f>
        <v>1551598861499640</v>
      </c>
      <c r="C238" t="s">
        <v>40</v>
      </c>
      <c r="D238">
        <v>5.7627959999999998</v>
      </c>
      <c r="E238">
        <v>0.52264290000000002</v>
      </c>
      <c r="F238" t="s">
        <v>43</v>
      </c>
      <c r="G238">
        <v>-430.84750000000003</v>
      </c>
      <c r="H238">
        <v>-0.05</v>
      </c>
      <c r="I238">
        <v>366.19139999999999</v>
      </c>
      <c r="J238">
        <v>-447.80520000000001</v>
      </c>
      <c r="K238">
        <v>1.120317</v>
      </c>
      <c r="L238">
        <v>367.35669999999999</v>
      </c>
      <c r="M238">
        <v>0.99993849999999995</v>
      </c>
      <c r="N238">
        <v>-8.4455050000000007E-3</v>
      </c>
      <c r="O238">
        <v>7.1988909999999998E-3</v>
      </c>
      <c r="P238">
        <v>0.99597089999999999</v>
      </c>
      <c r="Q238">
        <v>-8.9054469999999997E-2</v>
      </c>
      <c r="R238">
        <v>-1.0567790000000001E-2</v>
      </c>
      <c r="S238">
        <v>2.9917600000000002</v>
      </c>
      <c r="T238">
        <v>-0.2046695</v>
      </c>
      <c r="U238">
        <v>-0.2036133</v>
      </c>
      <c r="V238">
        <v>1.771588E-2</v>
      </c>
      <c r="W238">
        <v>-8.0645430000000004E-2</v>
      </c>
      <c r="X238">
        <v>0.99658539999999995</v>
      </c>
      <c r="Y238">
        <v>7.4873019999999998E-2</v>
      </c>
      <c r="Z238">
        <v>-3.3027970000000001E-3</v>
      </c>
      <c r="AA238">
        <v>0.99718759999999995</v>
      </c>
      <c r="AB238">
        <v>18</v>
      </c>
      <c r="AC238">
        <v>16.9576999999999</v>
      </c>
      <c r="AD238">
        <v>-1.1703170000000001</v>
      </c>
      <c r="AE238">
        <v>-1.1653</v>
      </c>
      <c r="AF238">
        <v>1.2812768457816599</v>
      </c>
      <c r="AG238">
        <v>-1.1703170000000001</v>
      </c>
      <c r="AH238">
        <v>16.8689037986268</v>
      </c>
      <c r="AI238">
        <v>93.957298189342296</v>
      </c>
      <c r="AJ238">
        <v>85.656441663987493</v>
      </c>
      <c r="AK238">
        <v>16.9579252151715</v>
      </c>
      <c r="AL238">
        <v>94.625666032074406</v>
      </c>
      <c r="AM238">
        <v>88.981584263385599</v>
      </c>
      <c r="AN238">
        <v>0.999999998638609</v>
      </c>
    </row>
    <row r="239" spans="1:40" x14ac:dyDescent="0.25">
      <c r="A239" t="str">
        <f>"20190303154101527"</f>
        <v>20190303154101527</v>
      </c>
      <c r="B239" t="str">
        <f>"1551598861519160"</f>
        <v>1551598861519160</v>
      </c>
      <c r="C239" t="s">
        <v>40</v>
      </c>
      <c r="D239">
        <v>5.7408809999999999</v>
      </c>
      <c r="E239">
        <v>0.52307159999999997</v>
      </c>
      <c r="F239" t="s">
        <v>43</v>
      </c>
      <c r="G239">
        <v>-430.8014</v>
      </c>
      <c r="H239">
        <v>-0.05</v>
      </c>
      <c r="I239">
        <v>366.15410000000003</v>
      </c>
      <c r="J239">
        <v>-447.6318</v>
      </c>
      <c r="K239">
        <v>1.120298</v>
      </c>
      <c r="L239">
        <v>367.35770000000002</v>
      </c>
      <c r="M239">
        <v>0.99994159999999999</v>
      </c>
      <c r="N239">
        <v>-8.2083850000000003E-3</v>
      </c>
      <c r="O239">
        <v>7.0243730000000004E-3</v>
      </c>
      <c r="P239">
        <v>0.99596830000000003</v>
      </c>
      <c r="Q239">
        <v>-8.9013179999999997E-2</v>
      </c>
      <c r="R239">
        <v>-1.1136500000000001E-2</v>
      </c>
      <c r="S239">
        <v>2.9915159999999998</v>
      </c>
      <c r="T239">
        <v>-0.2058971</v>
      </c>
      <c r="U239">
        <v>-0.2115784</v>
      </c>
      <c r="V239">
        <v>1.8110480000000002E-2</v>
      </c>
      <c r="W239">
        <v>-8.0840659999999995E-2</v>
      </c>
      <c r="X239">
        <v>0.99656250000000002</v>
      </c>
      <c r="Y239">
        <v>7.7338519999999994E-2</v>
      </c>
      <c r="Z239">
        <v>-3.3980690000000001E-3</v>
      </c>
      <c r="AA239">
        <v>0.99699910000000003</v>
      </c>
      <c r="AB239">
        <v>18</v>
      </c>
      <c r="AC239">
        <v>16.830399999999901</v>
      </c>
      <c r="AD239">
        <v>-1.1702980000000001</v>
      </c>
      <c r="AE239">
        <v>-1.20359999999999</v>
      </c>
      <c r="AF239">
        <v>1.3154692565810799</v>
      </c>
      <c r="AG239">
        <v>-1.1702980000000001</v>
      </c>
      <c r="AH239">
        <v>16.740997646347999</v>
      </c>
      <c r="AI239">
        <v>93.986570848277097</v>
      </c>
      <c r="AJ239">
        <v>85.507060834498105</v>
      </c>
      <c r="AK239">
        <v>16.833331784553</v>
      </c>
      <c r="AL239">
        <v>94.636888480538104</v>
      </c>
      <c r="AM239">
        <v>88.958881293386597</v>
      </c>
      <c r="AN239">
        <v>1.00000000910065</v>
      </c>
    </row>
    <row r="240" spans="1:40" x14ac:dyDescent="0.25">
      <c r="A240" t="str">
        <f>"20190303154101550"</f>
        <v>20190303154101550</v>
      </c>
      <c r="B240" t="str">
        <f>"1551598861539656"</f>
        <v>1551598861539656</v>
      </c>
      <c r="C240" t="s">
        <v>40</v>
      </c>
      <c r="D240">
        <v>5.7497189999999998</v>
      </c>
      <c r="E240">
        <v>0.52330940000000004</v>
      </c>
      <c r="F240" t="s">
        <v>43</v>
      </c>
      <c r="G240">
        <v>-430.92250000000001</v>
      </c>
      <c r="H240">
        <v>-0.05</v>
      </c>
      <c r="I240">
        <v>366.14769999999999</v>
      </c>
      <c r="J240">
        <v>-447.44159999999999</v>
      </c>
      <c r="K240">
        <v>1.1202859999999999</v>
      </c>
      <c r="L240">
        <v>367.35879999999997</v>
      </c>
      <c r="M240">
        <v>0.99994479999999997</v>
      </c>
      <c r="N240">
        <v>-7.98138199999999E-3</v>
      </c>
      <c r="O240">
        <v>6.8327980000000002E-3</v>
      </c>
      <c r="P240">
        <v>0.99597880000000005</v>
      </c>
      <c r="Q240">
        <v>-8.8844699999999999E-2</v>
      </c>
      <c r="R240">
        <v>-1.1543680000000001E-2</v>
      </c>
      <c r="S240">
        <v>2.9909970000000001</v>
      </c>
      <c r="T240">
        <v>-0.20948549999999999</v>
      </c>
      <c r="U240">
        <v>-0.21658330000000001</v>
      </c>
      <c r="V240">
        <v>1.8326729999999999E-2</v>
      </c>
      <c r="W240">
        <v>-8.0898429999999993E-2</v>
      </c>
      <c r="X240">
        <v>0.99655380000000005</v>
      </c>
      <c r="Y240">
        <v>7.8808920000000005E-2</v>
      </c>
      <c r="Z240">
        <v>-3.4911909999999998E-3</v>
      </c>
      <c r="AA240">
        <v>0.99688359999999998</v>
      </c>
      <c r="AB240">
        <v>18</v>
      </c>
      <c r="AC240">
        <v>16.519099999999899</v>
      </c>
      <c r="AD240">
        <v>-1.1702859999999999</v>
      </c>
      <c r="AE240">
        <v>-1.2110999999999801</v>
      </c>
      <c r="AF240">
        <v>1.31737055234874</v>
      </c>
      <c r="AG240">
        <v>-1.1702859999999999</v>
      </c>
      <c r="AH240">
        <v>16.428426571056999</v>
      </c>
      <c r="AI240">
        <v>94.061612798427305</v>
      </c>
      <c r="AJ240">
        <v>85.415348478249896</v>
      </c>
      <c r="AK240">
        <v>16.522658203043498</v>
      </c>
      <c r="AL240">
        <v>94.640209606311799</v>
      </c>
      <c r="AM240">
        <v>88.946443301205704</v>
      </c>
      <c r="AN240">
        <v>0.999999950651697</v>
      </c>
    </row>
    <row r="241" spans="1:40" x14ac:dyDescent="0.25">
      <c r="A241" t="str">
        <f>"20190303154101570"</f>
        <v>20190303154101570</v>
      </c>
      <c r="B241" t="str">
        <f>"1551598861559176"</f>
        <v>1551598861559176</v>
      </c>
      <c r="C241" t="s">
        <v>40</v>
      </c>
      <c r="D241">
        <v>5.7247979999999998</v>
      </c>
      <c r="E241">
        <v>0.52357739999999997</v>
      </c>
      <c r="F241" t="s">
        <v>43</v>
      </c>
      <c r="G241">
        <v>-430.2552</v>
      </c>
      <c r="H241">
        <v>-0.05</v>
      </c>
      <c r="I241">
        <v>366.09589999999997</v>
      </c>
      <c r="J241">
        <v>-447.26569999999998</v>
      </c>
      <c r="K241">
        <v>1.1202730000000001</v>
      </c>
      <c r="L241">
        <v>367.35980000000001</v>
      </c>
      <c r="M241">
        <v>0.99994749999999999</v>
      </c>
      <c r="N241">
        <v>-7.8043890000000001E-3</v>
      </c>
      <c r="O241">
        <v>6.6554190000000001E-3</v>
      </c>
      <c r="P241">
        <v>0.99598770000000003</v>
      </c>
      <c r="Q241">
        <v>-8.8680419999999996E-2</v>
      </c>
      <c r="R241">
        <v>-1.203304E-2</v>
      </c>
      <c r="S241">
        <v>2.9913639999999999</v>
      </c>
      <c r="T241">
        <v>-0.20369390000000001</v>
      </c>
      <c r="U241">
        <v>-0.21981809999999999</v>
      </c>
      <c r="V241">
        <v>1.8639019999999999E-2</v>
      </c>
      <c r="W241">
        <v>-8.0910579999999996E-2</v>
      </c>
      <c r="X241">
        <v>0.99654699999999996</v>
      </c>
      <c r="Y241">
        <v>7.9705940000000003E-2</v>
      </c>
      <c r="Z241">
        <v>-3.4190940000000001E-3</v>
      </c>
      <c r="AA241">
        <v>0.99681260000000005</v>
      </c>
      <c r="AB241">
        <v>19</v>
      </c>
      <c r="AC241">
        <v>17.010499999999901</v>
      </c>
      <c r="AD241">
        <v>-1.1702729999999999</v>
      </c>
      <c r="AE241">
        <v>-1.26390000000003</v>
      </c>
      <c r="AF241">
        <v>1.37063579005828</v>
      </c>
      <c r="AG241">
        <v>-1.1702729999999999</v>
      </c>
      <c r="AH241">
        <v>16.9220581495901</v>
      </c>
      <c r="AI241">
        <v>93.943213176257899</v>
      </c>
      <c r="AJ241">
        <v>85.369323150198696</v>
      </c>
      <c r="AK241">
        <v>17.017762290666401</v>
      </c>
      <c r="AL241">
        <v>94.640908139797006</v>
      </c>
      <c r="AM241">
        <v>88.928487390867303</v>
      </c>
      <c r="AN241">
        <v>0.99999992911574498</v>
      </c>
    </row>
    <row r="242" spans="1:40" x14ac:dyDescent="0.25">
      <c r="A242" t="str">
        <f>"20190303154101605"</f>
        <v>20190303154101605</v>
      </c>
      <c r="B242" t="str">
        <f>"1551598861599193"</f>
        <v>1551598861599193</v>
      </c>
      <c r="C242" t="s">
        <v>40</v>
      </c>
      <c r="D242">
        <v>5.7683470000000003</v>
      </c>
      <c r="E242">
        <v>0.5236326</v>
      </c>
      <c r="F242" t="s">
        <v>43</v>
      </c>
      <c r="G242">
        <v>-429.66109999999998</v>
      </c>
      <c r="H242">
        <v>-0.05</v>
      </c>
      <c r="I242">
        <v>366.0455</v>
      </c>
      <c r="J242">
        <v>-446.98610000000002</v>
      </c>
      <c r="K242">
        <v>1.1202669999999999</v>
      </c>
      <c r="L242">
        <v>367.36130000000003</v>
      </c>
      <c r="M242">
        <v>0.99995080000000003</v>
      </c>
      <c r="N242">
        <v>-7.5969760000000001E-3</v>
      </c>
      <c r="O242">
        <v>6.3737739999999996E-3</v>
      </c>
      <c r="P242">
        <v>0.99594380000000005</v>
      </c>
      <c r="Q242">
        <v>-8.9089160000000001E-2</v>
      </c>
      <c r="R242">
        <v>-1.2626750000000001E-2</v>
      </c>
      <c r="S242">
        <v>2.9916689999999999</v>
      </c>
      <c r="T242">
        <v>-0.1988732</v>
      </c>
      <c r="U242">
        <v>-0.22335820000000001</v>
      </c>
      <c r="V242">
        <v>1.8951610000000001E-2</v>
      </c>
      <c r="W242">
        <v>-8.1526489999999993E-2</v>
      </c>
      <c r="X242">
        <v>0.99649100000000002</v>
      </c>
      <c r="Y242">
        <v>8.059935E-2</v>
      </c>
      <c r="Z242">
        <v>-3.3536130000000001E-3</v>
      </c>
      <c r="AA242">
        <v>0.99674090000000004</v>
      </c>
      <c r="AB242">
        <v>19</v>
      </c>
      <c r="AC242">
        <v>17.324999999999999</v>
      </c>
      <c r="AD242">
        <v>-1.1702669999999999</v>
      </c>
      <c r="AE242">
        <v>-1.3158000000000201</v>
      </c>
      <c r="AF242">
        <v>1.4197612793848</v>
      </c>
      <c r="AG242">
        <v>-1.1702669999999999</v>
      </c>
      <c r="AH242">
        <v>17.238059910857899</v>
      </c>
      <c r="AI242">
        <v>93.870702264864903</v>
      </c>
      <c r="AJ242">
        <v>85.291631596035998</v>
      </c>
      <c r="AK242">
        <v>17.335972901226398</v>
      </c>
      <c r="AL242">
        <v>94.676313718606707</v>
      </c>
      <c r="AM242">
        <v>88.910460425317098</v>
      </c>
      <c r="AN242">
        <v>1.0000000225871499</v>
      </c>
    </row>
    <row r="243" spans="1:40" x14ac:dyDescent="0.25">
      <c r="A243" t="str">
        <f>"20190303154101628"</f>
        <v>20190303154101628</v>
      </c>
      <c r="B243" t="str">
        <f>"1551598861619688"</f>
        <v>1551598861619688</v>
      </c>
      <c r="C243" t="s">
        <v>40</v>
      </c>
      <c r="D243">
        <v>5.7518099999999999</v>
      </c>
      <c r="E243">
        <v>0.52358229999999994</v>
      </c>
      <c r="F243" t="s">
        <v>43</v>
      </c>
      <c r="G243">
        <v>-429.06729999999999</v>
      </c>
      <c r="H243">
        <v>-0.05</v>
      </c>
      <c r="I243">
        <v>366.0104</v>
      </c>
      <c r="J243">
        <v>-446.78919999999999</v>
      </c>
      <c r="K243">
        <v>1.120261</v>
      </c>
      <c r="L243">
        <v>367.36239999999998</v>
      </c>
      <c r="M243">
        <v>0.99995290000000003</v>
      </c>
      <c r="N243">
        <v>-7.4987700000000001E-3</v>
      </c>
      <c r="O243">
        <v>6.1758480000000003E-3</v>
      </c>
      <c r="P243">
        <v>0.99593690000000001</v>
      </c>
      <c r="Q243">
        <v>-8.9172299999999996E-2</v>
      </c>
      <c r="R243">
        <v>-1.2584120000000001E-2</v>
      </c>
      <c r="S243">
        <v>2.9918520000000002</v>
      </c>
      <c r="T243">
        <v>-0.19539570000000001</v>
      </c>
      <c r="U243">
        <v>-0.22555539999999999</v>
      </c>
      <c r="V243">
        <v>1.8711539999999999E-2</v>
      </c>
      <c r="W243">
        <v>-8.1707520000000006E-2</v>
      </c>
      <c r="X243">
        <v>0.9964807</v>
      </c>
      <c r="Y243">
        <v>8.1131679999999998E-2</v>
      </c>
      <c r="Z243">
        <v>-3.3039200000000001E-3</v>
      </c>
      <c r="AA243">
        <v>0.99669790000000003</v>
      </c>
      <c r="AB243">
        <v>19</v>
      </c>
      <c r="AC243">
        <v>17.721900000000002</v>
      </c>
      <c r="AD243">
        <v>-1.170261</v>
      </c>
      <c r="AE243">
        <v>-1.3519999999999699</v>
      </c>
      <c r="AF243">
        <v>1.4551165976342999</v>
      </c>
      <c r="AG243">
        <v>-1.170261</v>
      </c>
      <c r="AH243">
        <v>17.636750472171499</v>
      </c>
      <c r="AI243">
        <v>93.783396063877007</v>
      </c>
      <c r="AJ243">
        <v>85.283505517208994</v>
      </c>
      <c r="AK243">
        <v>17.7353275227292</v>
      </c>
      <c r="AL243">
        <v>94.686720738414493</v>
      </c>
      <c r="AM243">
        <v>88.924247814773494</v>
      </c>
      <c r="AN243">
        <v>1.0000000130130999</v>
      </c>
    </row>
    <row r="244" spans="1:40" x14ac:dyDescent="0.25">
      <c r="A244" t="str">
        <f>"20190303154101650"</f>
        <v>20190303154101650</v>
      </c>
      <c r="B244" t="str">
        <f>"1551598861639208"</f>
        <v>1551598861639208</v>
      </c>
      <c r="C244" t="s">
        <v>40</v>
      </c>
      <c r="D244">
        <v>5.751735</v>
      </c>
      <c r="E244">
        <v>0.52350589999999997</v>
      </c>
      <c r="F244" t="s">
        <v>43</v>
      </c>
      <c r="G244">
        <v>-428.75220000000002</v>
      </c>
      <c r="H244">
        <v>-0.05</v>
      </c>
      <c r="I244">
        <v>366.00670000000002</v>
      </c>
      <c r="J244">
        <v>-446.59809999999999</v>
      </c>
      <c r="K244">
        <v>1.1202620000000001</v>
      </c>
      <c r="L244">
        <v>367.36329999999998</v>
      </c>
      <c r="M244">
        <v>0.99995460000000003</v>
      </c>
      <c r="N244">
        <v>-7.4341759999999998E-3</v>
      </c>
      <c r="O244">
        <v>5.9833339999999999E-3</v>
      </c>
      <c r="P244">
        <v>0.99587890000000001</v>
      </c>
      <c r="Q244">
        <v>-8.9841850000000001E-2</v>
      </c>
      <c r="R244">
        <v>-1.2403269999999999E-2</v>
      </c>
      <c r="S244">
        <v>2.9920040000000001</v>
      </c>
      <c r="T244">
        <v>-0.19412399999999999</v>
      </c>
      <c r="U244">
        <v>-0.224884</v>
      </c>
      <c r="V244">
        <v>1.833831E-2</v>
      </c>
      <c r="W244">
        <v>-8.2441749999999994E-2</v>
      </c>
      <c r="X244">
        <v>0.99642719999999996</v>
      </c>
      <c r="Y244">
        <v>8.0717529999999996E-2</v>
      </c>
      <c r="Z244">
        <v>-3.2557979999999999E-3</v>
      </c>
      <c r="AA244">
        <v>0.9967317</v>
      </c>
      <c r="AB244">
        <v>19</v>
      </c>
      <c r="AC244">
        <v>17.845899999999901</v>
      </c>
      <c r="AD244">
        <v>-1.1702619999999999</v>
      </c>
      <c r="AE244">
        <v>-1.3565999999999501</v>
      </c>
      <c r="AF244">
        <v>1.4571266869997499</v>
      </c>
      <c r="AG244">
        <v>-1.1702619999999999</v>
      </c>
      <c r="AH244">
        <v>17.761523930794102</v>
      </c>
      <c r="AI244">
        <v>93.757040343601204</v>
      </c>
      <c r="AJ244">
        <v>85.310049714786899</v>
      </c>
      <c r="AK244">
        <v>17.859576245666702</v>
      </c>
      <c r="AL244">
        <v>94.728931253192798</v>
      </c>
      <c r="AM244">
        <v>88.945643834044901</v>
      </c>
      <c r="AN244">
        <v>1.00000005032827</v>
      </c>
    </row>
    <row r="245" spans="1:40" x14ac:dyDescent="0.25">
      <c r="A245" t="str">
        <f>"20190303154101672"</f>
        <v>20190303154101672</v>
      </c>
      <c r="B245" t="str">
        <f>"1551598861669465"</f>
        <v>1551598861669465</v>
      </c>
      <c r="C245" t="s">
        <v>40</v>
      </c>
      <c r="D245">
        <v>5.7460360000000001</v>
      </c>
      <c r="E245">
        <v>0.52334369999999997</v>
      </c>
      <c r="F245" t="s">
        <v>43</v>
      </c>
      <c r="G245">
        <v>-428.94479999999999</v>
      </c>
      <c r="H245">
        <v>-0.05</v>
      </c>
      <c r="I245">
        <v>366.0421</v>
      </c>
      <c r="J245">
        <v>-446.41129999999998</v>
      </c>
      <c r="K245">
        <v>1.120263</v>
      </c>
      <c r="L245">
        <v>367.36419999999998</v>
      </c>
      <c r="M245">
        <v>0.99995579999999995</v>
      </c>
      <c r="N245">
        <v>-7.3995290000000002E-3</v>
      </c>
      <c r="O245">
        <v>5.7951729999999998E-3</v>
      </c>
      <c r="P245">
        <v>0.99581509999999995</v>
      </c>
      <c r="Q245">
        <v>-9.0571849999999995E-2</v>
      </c>
      <c r="R245">
        <v>-1.221594E-2</v>
      </c>
      <c r="S245">
        <v>2.99173</v>
      </c>
      <c r="T245">
        <v>-0.19832630000000001</v>
      </c>
      <c r="U245">
        <v>-0.22390750000000001</v>
      </c>
      <c r="V245">
        <v>1.7962889999999999E-2</v>
      </c>
      <c r="W245">
        <v>-8.3206600000000006E-2</v>
      </c>
      <c r="X245">
        <v>0.99637039999999999</v>
      </c>
      <c r="Y245">
        <v>8.0206589999999994E-2</v>
      </c>
      <c r="Z245">
        <v>-3.289878E-3</v>
      </c>
      <c r="AA245">
        <v>0.99677280000000001</v>
      </c>
      <c r="AB245">
        <v>19</v>
      </c>
      <c r="AC245">
        <v>17.4664999999999</v>
      </c>
      <c r="AD245">
        <v>-1.1702629999999901</v>
      </c>
      <c r="AE245">
        <v>-1.3220999999999701</v>
      </c>
      <c r="AF245">
        <v>1.4169773058333499</v>
      </c>
      <c r="AG245">
        <v>-1.1702629999999901</v>
      </c>
      <c r="AH245">
        <v>17.380965016240701</v>
      </c>
      <c r="AI245">
        <v>93.839220968727901</v>
      </c>
      <c r="AJ245">
        <v>85.339288129926501</v>
      </c>
      <c r="AK245">
        <v>17.477851271543699</v>
      </c>
      <c r="AL245">
        <v>94.772905309273995</v>
      </c>
      <c r="AM245">
        <v>88.967164918659407</v>
      </c>
      <c r="AN245">
        <v>0.999999988848435</v>
      </c>
    </row>
    <row r="246" spans="1:40" x14ac:dyDescent="0.25">
      <c r="A246" t="str">
        <f>"20190303154101695"</f>
        <v>20190303154101695</v>
      </c>
      <c r="B246" t="str">
        <f>"1551598861688985"</f>
        <v>1551598861688985</v>
      </c>
      <c r="C246" t="s">
        <v>40</v>
      </c>
      <c r="D246">
        <v>5.774559</v>
      </c>
      <c r="E246">
        <v>0.52325999999999995</v>
      </c>
      <c r="F246" t="s">
        <v>43</v>
      </c>
      <c r="G246">
        <v>-429.18729999999999</v>
      </c>
      <c r="H246">
        <v>-0.05</v>
      </c>
      <c r="I246">
        <v>366.08539999999999</v>
      </c>
      <c r="J246">
        <v>-446.21519999999998</v>
      </c>
      <c r="K246">
        <v>1.120269</v>
      </c>
      <c r="L246">
        <v>367.36509999999998</v>
      </c>
      <c r="M246">
        <v>0.99995710000000004</v>
      </c>
      <c r="N246">
        <v>-7.3946289999999998E-3</v>
      </c>
      <c r="O246">
        <v>5.5976580000000001E-3</v>
      </c>
      <c r="P246">
        <v>0.99578880000000003</v>
      </c>
      <c r="Q246">
        <v>-9.0831869999999995E-2</v>
      </c>
      <c r="R246">
        <v>-1.2431299999999999E-2</v>
      </c>
      <c r="S246">
        <v>2.9913940000000001</v>
      </c>
      <c r="T246">
        <v>-0.2032465</v>
      </c>
      <c r="U246">
        <v>-0.2221069</v>
      </c>
      <c r="V246">
        <v>1.798129E-2</v>
      </c>
      <c r="W246">
        <v>-8.3471719999999999E-2</v>
      </c>
      <c r="X246">
        <v>0.99634789999999995</v>
      </c>
      <c r="Y246">
        <v>7.9413869999999998E-2</v>
      </c>
      <c r="Z246">
        <v>-3.323533E-3</v>
      </c>
      <c r="AA246">
        <v>0.99683619999999995</v>
      </c>
      <c r="AB246">
        <v>19</v>
      </c>
      <c r="AC246">
        <v>17.027899999999899</v>
      </c>
      <c r="AD246">
        <v>-1.170269</v>
      </c>
      <c r="AE246">
        <v>-1.2796999999999901</v>
      </c>
      <c r="AF246">
        <v>1.3685709848857099</v>
      </c>
      <c r="AG246">
        <v>-1.170269</v>
      </c>
      <c r="AH246">
        <v>16.9409014524933</v>
      </c>
      <c r="AI246">
        <v>93.938894436459904</v>
      </c>
      <c r="AJ246">
        <v>85.381389497113801</v>
      </c>
      <c r="AK246">
        <v>17.036333469855599</v>
      </c>
      <c r="AL246">
        <v>94.788148558348098</v>
      </c>
      <c r="AM246">
        <v>88.966083837249101</v>
      </c>
      <c r="AN246">
        <v>0.999999996332116</v>
      </c>
    </row>
    <row r="247" spans="1:40" x14ac:dyDescent="0.25">
      <c r="A247" t="str">
        <f>"20190303154101719"</f>
        <v>20190303154101719</v>
      </c>
      <c r="B247" t="str">
        <f>"1551598861709481"</f>
        <v>1551598861709481</v>
      </c>
      <c r="C247" t="s">
        <v>40</v>
      </c>
      <c r="D247">
        <v>5.7334750000000003</v>
      </c>
      <c r="E247">
        <v>0.52322579999999996</v>
      </c>
      <c r="F247" t="s">
        <v>43</v>
      </c>
      <c r="G247">
        <v>-429.18650000000002</v>
      </c>
      <c r="H247">
        <v>-0.05</v>
      </c>
      <c r="I247">
        <v>366.10059999999999</v>
      </c>
      <c r="J247">
        <v>-446.01069999999999</v>
      </c>
      <c r="K247">
        <v>1.1202840000000001</v>
      </c>
      <c r="L247">
        <v>367.36599999999999</v>
      </c>
      <c r="M247">
        <v>0.99995789999999996</v>
      </c>
      <c r="N247">
        <v>-7.4434269999999999E-3</v>
      </c>
      <c r="O247">
        <v>5.3923679999999998E-3</v>
      </c>
      <c r="P247">
        <v>0.99577859999999996</v>
      </c>
      <c r="Q247">
        <v>-9.0883930000000002E-2</v>
      </c>
      <c r="R247">
        <v>-1.286666E-2</v>
      </c>
      <c r="S247">
        <v>2.9911189999999999</v>
      </c>
      <c r="T247">
        <v>-0.20556079999999999</v>
      </c>
      <c r="U247">
        <v>-0.2221069</v>
      </c>
      <c r="V247">
        <v>1.8211999999999999E-2</v>
      </c>
      <c r="W247">
        <v>-8.3475289999999994E-2</v>
      </c>
      <c r="X247">
        <v>0.99634339999999999</v>
      </c>
      <c r="Y247">
        <v>7.9212069999999996E-2</v>
      </c>
      <c r="Z247">
        <v>-3.3401580000000002E-3</v>
      </c>
      <c r="AA247">
        <v>0.99685219999999997</v>
      </c>
      <c r="AB247">
        <v>19</v>
      </c>
      <c r="AC247">
        <v>16.824199999999902</v>
      </c>
      <c r="AD247">
        <v>-1.1702840000000001</v>
      </c>
      <c r="AE247">
        <v>-1.2653999999999901</v>
      </c>
      <c r="AF247">
        <v>1.34961296625595</v>
      </c>
      <c r="AG247">
        <v>-1.1702840000000001</v>
      </c>
      <c r="AH247">
        <v>16.736606601243398</v>
      </c>
      <c r="AI247">
        <v>93.986917972346902</v>
      </c>
      <c r="AJ247">
        <v>85.389736291118993</v>
      </c>
      <c r="AK247">
        <v>16.831667187897001</v>
      </c>
      <c r="AL247">
        <v>94.788353870937499</v>
      </c>
      <c r="AM247">
        <v>88.952816321777902</v>
      </c>
      <c r="AN247">
        <v>0.99999998585407102</v>
      </c>
    </row>
    <row r="248" spans="1:40" x14ac:dyDescent="0.25">
      <c r="A248" t="str">
        <f>"20190303154101739"</f>
        <v>20190303154101739</v>
      </c>
      <c r="B248" t="str">
        <f>"1551598861729000"</f>
        <v>1551598861729000</v>
      </c>
      <c r="C248" t="s">
        <v>40</v>
      </c>
      <c r="D248">
        <v>5.7599039999999997</v>
      </c>
      <c r="E248">
        <v>0.52320749999999905</v>
      </c>
      <c r="F248" t="s">
        <v>42</v>
      </c>
      <c r="G248">
        <v>-445.11290000000002</v>
      </c>
      <c r="H248">
        <v>1.058384</v>
      </c>
      <c r="I248">
        <v>367.29840000000002</v>
      </c>
      <c r="J248">
        <v>-445.82420000000002</v>
      </c>
      <c r="K248">
        <v>1.120306</v>
      </c>
      <c r="L248">
        <v>367.36680000000001</v>
      </c>
      <c r="M248">
        <v>0.99995800000000001</v>
      </c>
      <c r="N248">
        <v>-7.5462749999999999E-3</v>
      </c>
      <c r="O248">
        <v>5.205164E-3</v>
      </c>
      <c r="P248">
        <v>0.9957066</v>
      </c>
      <c r="Q248">
        <v>-9.1573450000000001E-2</v>
      </c>
      <c r="R248">
        <v>-1.3515869999999999E-2</v>
      </c>
      <c r="S248">
        <v>2.9909059999999998</v>
      </c>
      <c r="T248">
        <v>-0.20657629999999999</v>
      </c>
      <c r="U248">
        <v>-0.2231445</v>
      </c>
      <c r="V248">
        <v>1.8674179999999999E-2</v>
      </c>
      <c r="W248">
        <v>-8.406305E-2</v>
      </c>
      <c r="X248">
        <v>0.99628539999999999</v>
      </c>
      <c r="Y248">
        <v>7.9372250000000005E-2</v>
      </c>
      <c r="Z248">
        <v>-3.353717E-3</v>
      </c>
      <c r="AA248">
        <v>0.99683940000000004</v>
      </c>
      <c r="AB248">
        <v>19</v>
      </c>
      <c r="AC248">
        <v>0.71129999999999405</v>
      </c>
      <c r="AD248">
        <v>-6.1921999999999998E-2</v>
      </c>
      <c r="AE248">
        <v>-6.8399999999996894E-2</v>
      </c>
      <c r="AF248">
        <v>7.1564230204577903E-2</v>
      </c>
      <c r="AG248">
        <v>-6.1921999999999998E-2</v>
      </c>
      <c r="AH248">
        <v>0.70563564464735995</v>
      </c>
      <c r="AI248">
        <v>94.989593880696404</v>
      </c>
      <c r="AJ248">
        <v>84.208971222807406</v>
      </c>
      <c r="AK248">
        <v>0.71195325417169797</v>
      </c>
      <c r="AL248">
        <v>94.822148948114801</v>
      </c>
      <c r="AM248">
        <v>88.926184781850196</v>
      </c>
      <c r="AN248">
        <v>0.99999995981356604</v>
      </c>
    </row>
    <row r="249" spans="1:40" x14ac:dyDescent="0.25">
      <c r="A249" t="str">
        <f>"20190303154101762"</f>
        <v>20190303154101762</v>
      </c>
      <c r="B249" t="str">
        <f>"1551598861749500"</f>
        <v>1551598861749500</v>
      </c>
      <c r="C249" t="s">
        <v>40</v>
      </c>
      <c r="D249">
        <v>5.7468050000000002</v>
      </c>
      <c r="E249">
        <v>0.52323189999999997</v>
      </c>
      <c r="F249" t="s">
        <v>43</v>
      </c>
      <c r="G249">
        <v>-429.08109999999999</v>
      </c>
      <c r="H249">
        <v>-0.05</v>
      </c>
      <c r="I249">
        <v>366.10759999999999</v>
      </c>
      <c r="J249">
        <v>-445.6386</v>
      </c>
      <c r="K249">
        <v>1.1203299999999901</v>
      </c>
      <c r="L249">
        <v>367.36750000000001</v>
      </c>
      <c r="M249">
        <v>0.99995780000000001</v>
      </c>
      <c r="N249">
        <v>-7.6930590000000004E-3</v>
      </c>
      <c r="O249">
        <v>5.0190920000000002E-3</v>
      </c>
      <c r="P249">
        <v>0.99565429999999999</v>
      </c>
      <c r="Q249">
        <v>-9.2037339999999995E-2</v>
      </c>
      <c r="R249">
        <v>-1.4197990000000001E-2</v>
      </c>
      <c r="S249">
        <v>2.9906920000000001</v>
      </c>
      <c r="T249">
        <v>-0.20904300000000001</v>
      </c>
      <c r="U249">
        <v>-0.22491459999999999</v>
      </c>
      <c r="V249">
        <v>1.9170650000000001E-2</v>
      </c>
      <c r="W249">
        <v>-8.4381209999999998E-2</v>
      </c>
      <c r="X249">
        <v>0.9962491</v>
      </c>
      <c r="Y249">
        <v>7.9772590000000004E-2</v>
      </c>
      <c r="Z249">
        <v>-3.3997609999999998E-3</v>
      </c>
      <c r="AA249">
        <v>0.99680729999999995</v>
      </c>
      <c r="AB249">
        <v>19</v>
      </c>
      <c r="AC249">
        <v>16.557500000000001</v>
      </c>
      <c r="AD249">
        <v>-1.1703300000000001</v>
      </c>
      <c r="AE249">
        <v>-1.25990000000001</v>
      </c>
      <c r="AF249">
        <v>1.33635215256136</v>
      </c>
      <c r="AG249">
        <v>-1.1703300000000001</v>
      </c>
      <c r="AH249">
        <v>16.469160540607799</v>
      </c>
      <c r="AI249">
        <v>94.051443520979205</v>
      </c>
      <c r="AJ249">
        <v>85.361029146473101</v>
      </c>
      <c r="AK249">
        <v>16.564684068731001</v>
      </c>
      <c r="AL249">
        <v>94.8404430471777</v>
      </c>
      <c r="AM249">
        <v>88.897603228188103</v>
      </c>
      <c r="AN249">
        <v>0.99999998583664795</v>
      </c>
    </row>
    <row r="250" spans="1:40" x14ac:dyDescent="0.25">
      <c r="A250" t="str">
        <f>"20190303154101783"</f>
        <v>20190303154101783</v>
      </c>
      <c r="B250" t="str">
        <f>"1551598861779753"</f>
        <v>1551598861779753</v>
      </c>
      <c r="C250" t="s">
        <v>40</v>
      </c>
      <c r="D250">
        <v>5.7402470000000001</v>
      </c>
      <c r="E250">
        <v>0.52324369999999998</v>
      </c>
      <c r="F250" t="s">
        <v>43</v>
      </c>
      <c r="G250">
        <v>-429.00310000000002</v>
      </c>
      <c r="H250">
        <v>-0.05</v>
      </c>
      <c r="I250">
        <v>366.10309999999998</v>
      </c>
      <c r="J250">
        <v>-445.4452</v>
      </c>
      <c r="K250">
        <v>1.1203559999999999</v>
      </c>
      <c r="L250">
        <v>367.36829999999998</v>
      </c>
      <c r="M250">
        <v>0.99995730000000005</v>
      </c>
      <c r="N250">
        <v>-7.8895879999999995E-3</v>
      </c>
      <c r="O250">
        <v>4.8269059999999997E-3</v>
      </c>
      <c r="P250">
        <v>0.9955927</v>
      </c>
      <c r="Q250">
        <v>-9.2658329999999997E-2</v>
      </c>
      <c r="R250">
        <v>-1.447562E-2</v>
      </c>
      <c r="S250">
        <v>2.9904169999999999</v>
      </c>
      <c r="T250">
        <v>-0.21038029999999999</v>
      </c>
      <c r="U250">
        <v>-0.22729489999999999</v>
      </c>
      <c r="V250">
        <v>1.925665E-2</v>
      </c>
      <c r="W250">
        <v>-8.4806899999999893E-2</v>
      </c>
      <c r="X250">
        <v>0.99621130000000002</v>
      </c>
      <c r="Y250">
        <v>8.0372250000000006E-2</v>
      </c>
      <c r="Z250">
        <v>-3.4382639999999999E-3</v>
      </c>
      <c r="AA250">
        <v>0.99675899999999995</v>
      </c>
      <c r="AB250">
        <v>19</v>
      </c>
      <c r="AC250">
        <v>16.4420999999999</v>
      </c>
      <c r="AD250">
        <v>-1.170356</v>
      </c>
      <c r="AE250">
        <v>-1.2651999999999901</v>
      </c>
      <c r="AF250">
        <v>1.3378138517584199</v>
      </c>
      <c r="AG250">
        <v>-1.170356</v>
      </c>
      <c r="AH250">
        <v>16.353431763201801</v>
      </c>
      <c r="AI250">
        <v>94.079889931738805</v>
      </c>
      <c r="AJ250">
        <v>85.323258020762495</v>
      </c>
      <c r="AK250">
        <v>16.4497480072611</v>
      </c>
      <c r="AL250">
        <v>94.864921001584705</v>
      </c>
      <c r="AM250">
        <v>88.892617072003901</v>
      </c>
      <c r="AN250">
        <v>0.99999999155226105</v>
      </c>
    </row>
    <row r="251" spans="1:40" x14ac:dyDescent="0.25">
      <c r="A251" t="str">
        <f>"20190303154101806"</f>
        <v>20190303154101806</v>
      </c>
      <c r="B251" t="str">
        <f>"1551598861799273"</f>
        <v>1551598861799273</v>
      </c>
      <c r="C251" t="s">
        <v>40</v>
      </c>
      <c r="D251">
        <v>5.603612</v>
      </c>
      <c r="E251">
        <v>0.52272459999999998</v>
      </c>
      <c r="F251" t="s">
        <v>43</v>
      </c>
      <c r="G251">
        <v>-428.96480000000003</v>
      </c>
      <c r="H251">
        <v>-0.05</v>
      </c>
      <c r="I251">
        <v>366.11149999999998</v>
      </c>
      <c r="J251">
        <v>-445.2491</v>
      </c>
      <c r="K251">
        <v>1.120395</v>
      </c>
      <c r="L251">
        <v>367.36900000000003</v>
      </c>
      <c r="M251">
        <v>0.99995619999999996</v>
      </c>
      <c r="N251">
        <v>-8.1409269999999992E-3</v>
      </c>
      <c r="O251">
        <v>4.6338129999999996E-3</v>
      </c>
      <c r="P251">
        <v>0.9955406</v>
      </c>
      <c r="Q251">
        <v>-9.316228E-2</v>
      </c>
      <c r="R251">
        <v>-1.483045E-2</v>
      </c>
      <c r="S251">
        <v>2.9902039999999999</v>
      </c>
      <c r="T251">
        <v>-0.21234910000000001</v>
      </c>
      <c r="U251">
        <v>-0.22802729999999999</v>
      </c>
      <c r="V251">
        <v>1.941882E-2</v>
      </c>
      <c r="W251">
        <v>-8.5060849999999993E-2</v>
      </c>
      <c r="X251">
        <v>0.99618649999999997</v>
      </c>
      <c r="Y251">
        <v>8.0423359999999999E-2</v>
      </c>
      <c r="Z251">
        <v>-3.466785E-3</v>
      </c>
      <c r="AA251">
        <v>0.99675480000000005</v>
      </c>
      <c r="AB251">
        <v>19</v>
      </c>
      <c r="AC251">
        <v>16.284299999999899</v>
      </c>
      <c r="AD251">
        <v>-1.1703950000000001</v>
      </c>
      <c r="AE251">
        <v>-1.25750000000005</v>
      </c>
      <c r="AF251">
        <v>1.3261376120102299</v>
      </c>
      <c r="AG251">
        <v>-1.1703950000000001</v>
      </c>
      <c r="AH251">
        <v>16.1951351229641</v>
      </c>
      <c r="AI251">
        <v>94.119742056690001</v>
      </c>
      <c r="AJ251">
        <v>85.318782830710703</v>
      </c>
      <c r="AK251">
        <v>16.291435390200501</v>
      </c>
      <c r="AL251">
        <v>94.879524035479307</v>
      </c>
      <c r="AM251">
        <v>88.883265798050502</v>
      </c>
      <c r="AN251">
        <v>0.99999999077758195</v>
      </c>
    </row>
    <row r="252" spans="1:40" x14ac:dyDescent="0.25">
      <c r="A252" t="str">
        <f>"20190303154101829"</f>
        <v>20190303154101829</v>
      </c>
      <c r="B252" t="str">
        <f>"1551598861819772"</f>
        <v>1551598861819772</v>
      </c>
      <c r="C252" t="s">
        <v>40</v>
      </c>
      <c r="D252">
        <v>5.6323509999999999</v>
      </c>
      <c r="E252">
        <v>0.49779950000000001</v>
      </c>
      <c r="F252" t="s">
        <v>43</v>
      </c>
      <c r="G252">
        <v>-428.53919999999999</v>
      </c>
      <c r="H252">
        <v>-0.05</v>
      </c>
      <c r="I252">
        <v>366.11219999999997</v>
      </c>
      <c r="J252">
        <v>-445.05520000000001</v>
      </c>
      <c r="K252">
        <v>1.120447</v>
      </c>
      <c r="L252">
        <v>367.36970000000002</v>
      </c>
      <c r="M252">
        <v>0.99995449999999997</v>
      </c>
      <c r="N252">
        <v>-8.4477969999999999E-3</v>
      </c>
      <c r="O252">
        <v>4.4400660000000003E-3</v>
      </c>
      <c r="P252">
        <v>0.99553020000000003</v>
      </c>
      <c r="Q252">
        <v>-9.3349580000000001E-2</v>
      </c>
      <c r="R252">
        <v>-1.433308E-2</v>
      </c>
      <c r="S252">
        <v>2.9904169999999999</v>
      </c>
      <c r="T252">
        <v>-0.20945429999999901</v>
      </c>
      <c r="U252">
        <v>-0.22491459999999999</v>
      </c>
      <c r="V252">
        <v>1.8728020000000001E-2</v>
      </c>
      <c r="W252">
        <v>-8.4942390000000007E-2</v>
      </c>
      <c r="X252">
        <v>0.99620989999999998</v>
      </c>
      <c r="Y252">
        <v>7.9202149999999999E-2</v>
      </c>
      <c r="Z252">
        <v>-3.3746919999999999E-3</v>
      </c>
      <c r="AA252">
        <v>0.99685290000000004</v>
      </c>
      <c r="AB252">
        <v>19</v>
      </c>
      <c r="AC252">
        <v>16.515999999999998</v>
      </c>
      <c r="AD252">
        <v>-1.170447</v>
      </c>
      <c r="AE252">
        <v>-1.25750000000005</v>
      </c>
      <c r="AF252">
        <v>1.3242102334758701</v>
      </c>
      <c r="AG252">
        <v>-1.170447</v>
      </c>
      <c r="AH252">
        <v>16.4282233618333</v>
      </c>
      <c r="AI252">
        <v>94.062084810978106</v>
      </c>
      <c r="AJ252">
        <v>85.391590843005702</v>
      </c>
      <c r="AK252">
        <v>16.523014305765699</v>
      </c>
      <c r="AL252">
        <v>94.872711802255395</v>
      </c>
      <c r="AM252">
        <v>88.923007969275005</v>
      </c>
      <c r="AN252">
        <v>1.00000005660501</v>
      </c>
    </row>
    <row r="253" spans="1:40" x14ac:dyDescent="0.25">
      <c r="A253" t="str">
        <f>"20190303154101851"</f>
        <v>20190303154101851</v>
      </c>
      <c r="B253" t="str">
        <f>"1551598861849048"</f>
        <v>1551598861849048</v>
      </c>
      <c r="C253" t="s">
        <v>40</v>
      </c>
      <c r="D253">
        <v>5.5966649999999998</v>
      </c>
      <c r="E253">
        <v>0.49699500000000002</v>
      </c>
      <c r="F253" t="s">
        <v>43</v>
      </c>
      <c r="G253">
        <v>-421.96910000000003</v>
      </c>
      <c r="H253">
        <v>-0.05</v>
      </c>
      <c r="I253">
        <v>367.18450000000001</v>
      </c>
      <c r="J253">
        <v>-444.85899999999998</v>
      </c>
      <c r="K253">
        <v>1.120503</v>
      </c>
      <c r="L253">
        <v>367.37029999999999</v>
      </c>
      <c r="M253">
        <v>0.99995219999999996</v>
      </c>
      <c r="N253">
        <v>-8.8159799999999993E-3</v>
      </c>
      <c r="O253">
        <v>4.2522849999999997E-3</v>
      </c>
      <c r="P253">
        <v>0.9955176</v>
      </c>
      <c r="Q253">
        <v>-9.3504889999999993E-2</v>
      </c>
      <c r="R253">
        <v>-1.420226E-2</v>
      </c>
      <c r="S253">
        <v>2.998901</v>
      </c>
      <c r="T253">
        <v>-0.15204229999999899</v>
      </c>
      <c r="U253">
        <v>-2.4047849999999999E-2</v>
      </c>
      <c r="V253">
        <v>1.8409430000000001E-2</v>
      </c>
      <c r="W253">
        <v>-8.4731100000000004E-2</v>
      </c>
      <c r="X253">
        <v>0.99623379999999995</v>
      </c>
      <c r="Y253">
        <v>1.224867E-2</v>
      </c>
      <c r="Z253">
        <v>-5.4230830000000002E-4</v>
      </c>
      <c r="AA253">
        <v>0.99992479999999995</v>
      </c>
      <c r="AB253">
        <v>19</v>
      </c>
      <c r="AC253">
        <v>22.889900000000001</v>
      </c>
      <c r="AD253">
        <v>-1.1705030000000001</v>
      </c>
      <c r="AE253">
        <v>-0.18579999999997199</v>
      </c>
      <c r="AF253">
        <v>0.28239807337883499</v>
      </c>
      <c r="AG253">
        <v>-1.1705030000000001</v>
      </c>
      <c r="AH253">
        <v>22.829210461100899</v>
      </c>
      <c r="AI253">
        <v>92.934884232122599</v>
      </c>
      <c r="AJ253">
        <v>89.291285497411906</v>
      </c>
      <c r="AK253">
        <v>22.8609421551715</v>
      </c>
      <c r="AL253">
        <v>94.860562128227897</v>
      </c>
      <c r="AM253">
        <v>88.9413503071127</v>
      </c>
      <c r="AN253">
        <v>1.00000002534128</v>
      </c>
    </row>
    <row r="254" spans="1:40" x14ac:dyDescent="0.25">
      <c r="A254" t="str">
        <f>"20190303154101873"</f>
        <v>20190303154101873</v>
      </c>
      <c r="B254" t="str">
        <f>"1551598861869546"</f>
        <v>1551598861869546</v>
      </c>
      <c r="C254" t="s">
        <v>40</v>
      </c>
      <c r="D254">
        <v>5.5755309999999998</v>
      </c>
      <c r="E254">
        <v>0.49746829999999997</v>
      </c>
      <c r="F254" t="s">
        <v>43</v>
      </c>
      <c r="G254">
        <v>-422.65870000000001</v>
      </c>
      <c r="H254">
        <v>-0.05</v>
      </c>
      <c r="I254">
        <v>367.24130000000002</v>
      </c>
      <c r="J254">
        <v>-444.66629999999998</v>
      </c>
      <c r="K254">
        <v>1.120568</v>
      </c>
      <c r="L254">
        <v>367.37090000000001</v>
      </c>
      <c r="M254">
        <v>0.99994919999999998</v>
      </c>
      <c r="N254">
        <v>-9.2322470000000007E-3</v>
      </c>
      <c r="O254">
        <v>4.072198E-3</v>
      </c>
      <c r="P254">
        <v>0.99551319999999999</v>
      </c>
      <c r="Q254">
        <v>-9.3531340000000004E-2</v>
      </c>
      <c r="R254">
        <v>-1.4338989999999999E-2</v>
      </c>
      <c r="S254">
        <v>2.998383</v>
      </c>
      <c r="T254">
        <v>-0.15808839999999999</v>
      </c>
      <c r="U254">
        <v>-1.742554E-2</v>
      </c>
      <c r="V254">
        <v>1.8367310000000001E-2</v>
      </c>
      <c r="W254">
        <v>-8.4342730000000005E-2</v>
      </c>
      <c r="X254">
        <v>0.99626749999999997</v>
      </c>
      <c r="Y254">
        <v>9.8638509999999999E-3</v>
      </c>
      <c r="Z254">
        <v>-4.8240209999999997E-4</v>
      </c>
      <c r="AA254">
        <v>0.99995120000000004</v>
      </c>
      <c r="AB254">
        <v>19</v>
      </c>
      <c r="AC254">
        <v>22.007599999999901</v>
      </c>
      <c r="AD254">
        <v>-1.1705680000000001</v>
      </c>
      <c r="AE254">
        <v>-0.12959999999998201</v>
      </c>
      <c r="AF254">
        <v>0.21860361026387901</v>
      </c>
      <c r="AG254">
        <v>-1.1705680000000001</v>
      </c>
      <c r="AH254">
        <v>21.944807880702701</v>
      </c>
      <c r="AI254">
        <v>93.053195381943993</v>
      </c>
      <c r="AJ254">
        <v>89.429265908724702</v>
      </c>
      <c r="AK254">
        <v>21.977092844641501</v>
      </c>
      <c r="AL254">
        <v>94.838230383812203</v>
      </c>
      <c r="AM254">
        <v>88.943807623796104</v>
      </c>
      <c r="AN254">
        <v>0.99999999286836905</v>
      </c>
    </row>
    <row r="255" spans="1:40" x14ac:dyDescent="0.25">
      <c r="A255" t="str">
        <f>"20190303154101896"</f>
        <v>20190303154101896</v>
      </c>
      <c r="B255" t="str">
        <f>"1551598861890041"</f>
        <v>1551598861890041</v>
      </c>
      <c r="C255" t="s">
        <v>40</v>
      </c>
      <c r="D255">
        <v>5.5808920000000004</v>
      </c>
      <c r="E255">
        <v>0.49775019999999998</v>
      </c>
      <c r="F255" t="s">
        <v>43</v>
      </c>
      <c r="G255">
        <v>-421.9409</v>
      </c>
      <c r="H255">
        <v>-0.05</v>
      </c>
      <c r="I255">
        <v>367.20690000000002</v>
      </c>
      <c r="J255">
        <v>-444.4683</v>
      </c>
      <c r="K255">
        <v>1.1206499999999999</v>
      </c>
      <c r="L255">
        <v>367.37139999999999</v>
      </c>
      <c r="M255">
        <v>0.99994539999999998</v>
      </c>
      <c r="N255">
        <v>-9.7091790000000001E-3</v>
      </c>
      <c r="O255">
        <v>3.8821910000000001E-3</v>
      </c>
      <c r="P255">
        <v>0.99549699999999997</v>
      </c>
      <c r="Q255">
        <v>-9.3720289999999998E-2</v>
      </c>
      <c r="R255">
        <v>-1.4224499999999999E-2</v>
      </c>
      <c r="S255">
        <v>2.9986570000000001</v>
      </c>
      <c r="T255">
        <v>-0.1544586</v>
      </c>
      <c r="U255">
        <v>-2.163696E-2</v>
      </c>
      <c r="V255">
        <v>1.8065210000000002E-2</v>
      </c>
      <c r="W255">
        <v>-8.4056199999999998E-2</v>
      </c>
      <c r="X255">
        <v>0.99629719999999999</v>
      </c>
      <c r="Y255">
        <v>1.107674E-2</v>
      </c>
      <c r="Z255">
        <v>-5.0106309999999998E-4</v>
      </c>
      <c r="AA255">
        <v>0.99993849999999995</v>
      </c>
      <c r="AB255">
        <v>19</v>
      </c>
      <c r="AC255">
        <v>22.5274</v>
      </c>
      <c r="AD255">
        <v>-1.17065</v>
      </c>
      <c r="AE255">
        <v>-0.164499999999975</v>
      </c>
      <c r="AF255">
        <v>0.25128001951324402</v>
      </c>
      <c r="AG255">
        <v>-1.17065</v>
      </c>
      <c r="AH255">
        <v>22.465927273255598</v>
      </c>
      <c r="AI255">
        <v>92.982672919914705</v>
      </c>
      <c r="AJ255">
        <v>89.359176940102898</v>
      </c>
      <c r="AK255">
        <v>22.497809922699499</v>
      </c>
      <c r="AL255">
        <v>94.821755107788107</v>
      </c>
      <c r="AM255">
        <v>88.961206681152504</v>
      </c>
      <c r="AN255">
        <v>0.99999995364931005</v>
      </c>
    </row>
    <row r="256" spans="1:40" x14ac:dyDescent="0.25">
      <c r="A256" t="str">
        <f>"20190303154101921"</f>
        <v>20190303154101921</v>
      </c>
      <c r="B256" t="str">
        <f>"1551598861909560"</f>
        <v>1551598861909560</v>
      </c>
      <c r="C256" t="s">
        <v>40</v>
      </c>
      <c r="D256">
        <v>5.5822989999999999</v>
      </c>
      <c r="E256">
        <v>0.49779630000000002</v>
      </c>
      <c r="F256" t="s">
        <v>43</v>
      </c>
      <c r="G256">
        <v>-421.74110000000002</v>
      </c>
      <c r="H256">
        <v>-0.05</v>
      </c>
      <c r="I256">
        <v>367.19450000000001</v>
      </c>
      <c r="J256">
        <v>-444.26220000000001</v>
      </c>
      <c r="K256">
        <v>1.1207260000000001</v>
      </c>
      <c r="L256">
        <v>367.37200000000001</v>
      </c>
      <c r="M256">
        <v>0.99994099999999997</v>
      </c>
      <c r="N256">
        <v>-1.022937E-2</v>
      </c>
      <c r="O256">
        <v>3.677671E-3</v>
      </c>
      <c r="P256">
        <v>0.99547890000000006</v>
      </c>
      <c r="Q256">
        <v>-9.3854800000000002E-2</v>
      </c>
      <c r="R256">
        <v>-1.460286E-2</v>
      </c>
      <c r="S256">
        <v>2.9987180000000002</v>
      </c>
      <c r="T256">
        <v>-0.15445999999999999</v>
      </c>
      <c r="U256">
        <v>-2.3345950000000001E-2</v>
      </c>
      <c r="V256">
        <v>1.8241520000000001E-2</v>
      </c>
      <c r="W256">
        <v>-8.3672289999999996E-2</v>
      </c>
      <c r="X256">
        <v>0.9963263</v>
      </c>
      <c r="Y256">
        <v>1.1441460000000001E-2</v>
      </c>
      <c r="Z256">
        <v>-5.047389E-4</v>
      </c>
      <c r="AA256">
        <v>0.9999344</v>
      </c>
      <c r="AB256">
        <v>19</v>
      </c>
      <c r="AC256">
        <v>22.521099999999901</v>
      </c>
      <c r="AD256">
        <v>-1.1707259999999999</v>
      </c>
      <c r="AE256">
        <v>-0.177499999999952</v>
      </c>
      <c r="AF256">
        <v>0.25962678036249898</v>
      </c>
      <c r="AG256">
        <v>-1.1707259999999999</v>
      </c>
      <c r="AH256">
        <v>22.459606348528201</v>
      </c>
      <c r="AI256">
        <v>92.983691483595507</v>
      </c>
      <c r="AJ256">
        <v>89.337706280573698</v>
      </c>
      <c r="AK256">
        <v>22.491596714395499</v>
      </c>
      <c r="AL256">
        <v>94.799680935302902</v>
      </c>
      <c r="AM256">
        <v>88.951101312946093</v>
      </c>
      <c r="AN256">
        <v>0.99999995061872105</v>
      </c>
    </row>
    <row r="257" spans="1:40" x14ac:dyDescent="0.25">
      <c r="A257" t="str">
        <f>"20190303154101940"</f>
        <v>20190303154101940</v>
      </c>
      <c r="B257" t="str">
        <f>"1551598861929080"</f>
        <v>1551598861929080</v>
      </c>
      <c r="C257" t="s">
        <v>40</v>
      </c>
      <c r="D257">
        <v>5.5848000000000004</v>
      </c>
      <c r="E257">
        <v>0.49801649999999997</v>
      </c>
      <c r="F257" t="s">
        <v>43</v>
      </c>
      <c r="G257">
        <v>-421.58569999999997</v>
      </c>
      <c r="H257">
        <v>-0.05</v>
      </c>
      <c r="I257">
        <v>367.18299999999999</v>
      </c>
      <c r="J257">
        <v>-444.08600000000001</v>
      </c>
      <c r="K257">
        <v>1.1207830000000001</v>
      </c>
      <c r="L257">
        <v>367.37240000000003</v>
      </c>
      <c r="M257">
        <v>0.99993719999999997</v>
      </c>
      <c r="N257">
        <v>-1.0660060000000001E-2</v>
      </c>
      <c r="O257">
        <v>3.5032639999999999E-3</v>
      </c>
      <c r="P257">
        <v>0.99546559999999995</v>
      </c>
      <c r="Q257">
        <v>-9.3959169999999995E-2</v>
      </c>
      <c r="R257">
        <v>-1.48363E-2</v>
      </c>
      <c r="S257">
        <v>2.9986570000000001</v>
      </c>
      <c r="T257">
        <v>-0.1548128</v>
      </c>
      <c r="U257">
        <v>-2.4993899999999999E-2</v>
      </c>
      <c r="V257">
        <v>1.8301990000000001E-2</v>
      </c>
      <c r="W257">
        <v>-8.334751E-2</v>
      </c>
      <c r="X257">
        <v>0.99635240000000003</v>
      </c>
      <c r="Y257">
        <v>1.18161E-2</v>
      </c>
      <c r="Z257">
        <v>-5.1125819999999996E-4</v>
      </c>
      <c r="AA257">
        <v>0.99993010000000004</v>
      </c>
      <c r="AB257">
        <v>19</v>
      </c>
      <c r="AC257">
        <v>22.500299999999999</v>
      </c>
      <c r="AD257">
        <v>-1.1707829999999999</v>
      </c>
      <c r="AE257">
        <v>-0.189399999999977</v>
      </c>
      <c r="AF257">
        <v>0.26750356781613199</v>
      </c>
      <c r="AG257">
        <v>-1.1707829999999999</v>
      </c>
      <c r="AH257">
        <v>22.4387486673998</v>
      </c>
      <c r="AI257">
        <v>92.9865924012053</v>
      </c>
      <c r="AJ257">
        <v>89.316980655399107</v>
      </c>
      <c r="AK257">
        <v>22.470864085535801</v>
      </c>
      <c r="AL257">
        <v>94.781007244901502</v>
      </c>
      <c r="AM257">
        <v>88.947652592546802</v>
      </c>
      <c r="AN257">
        <v>0.99999993762345796</v>
      </c>
    </row>
    <row r="258" spans="1:40" x14ac:dyDescent="0.25">
      <c r="A258" t="str">
        <f>"20190303154101964"</f>
        <v>20190303154101964</v>
      </c>
      <c r="B258" t="str">
        <f>"1551598861959337"</f>
        <v>1551598861959337</v>
      </c>
      <c r="C258" t="s">
        <v>40</v>
      </c>
      <c r="D258">
        <v>5.6494479999999996</v>
      </c>
      <c r="E258">
        <v>0.49749910000000003</v>
      </c>
      <c r="F258" t="s">
        <v>43</v>
      </c>
      <c r="G258">
        <v>-421.38330000000002</v>
      </c>
      <c r="H258">
        <v>-0.05</v>
      </c>
      <c r="I258">
        <v>367.16419999999999</v>
      </c>
      <c r="J258">
        <v>-443.89299999999997</v>
      </c>
      <c r="K258">
        <v>1.1208229999999999</v>
      </c>
      <c r="L258">
        <v>367.37290000000002</v>
      </c>
      <c r="M258">
        <v>0.99993299999999996</v>
      </c>
      <c r="N258">
        <v>-1.109506E-2</v>
      </c>
      <c r="O258">
        <v>3.317253E-3</v>
      </c>
      <c r="P258">
        <v>0.9954229</v>
      </c>
      <c r="Q258">
        <v>-9.4304799999999994E-2</v>
      </c>
      <c r="R258">
        <v>-1.5501279999999999E-2</v>
      </c>
      <c r="S258">
        <v>2.9986570000000001</v>
      </c>
      <c r="T258">
        <v>-0.15464140000000001</v>
      </c>
      <c r="U258">
        <v>-2.7496340000000001E-2</v>
      </c>
      <c r="V258">
        <v>1.8781559999999999E-2</v>
      </c>
      <c r="W258">
        <v>-8.3260280000000006E-2</v>
      </c>
      <c r="X258">
        <v>0.99635079999999998</v>
      </c>
      <c r="Y258">
        <v>1.246359E-2</v>
      </c>
      <c r="Z258">
        <v>-5.2452480000000001E-4</v>
      </c>
      <c r="AA258">
        <v>0.99992219999999998</v>
      </c>
      <c r="AB258">
        <v>19</v>
      </c>
      <c r="AC258">
        <v>22.509699999999999</v>
      </c>
      <c r="AD258">
        <v>-1.1708229999999999</v>
      </c>
      <c r="AE258">
        <v>-0.20870000000002101</v>
      </c>
      <c r="AF258">
        <v>0.28260928789953299</v>
      </c>
      <c r="AG258">
        <v>-1.1708229999999999</v>
      </c>
      <c r="AH258">
        <v>22.448156138645601</v>
      </c>
      <c r="AI258">
        <v>92.985420478515394</v>
      </c>
      <c r="AJ258">
        <v>89.278717415811698</v>
      </c>
      <c r="AK258">
        <v>22.480445025220199</v>
      </c>
      <c r="AL258">
        <v>94.775991751436706</v>
      </c>
      <c r="AM258">
        <v>88.920082476518203</v>
      </c>
      <c r="AN258">
        <v>0.99999996894117504</v>
      </c>
    </row>
    <row r="259" spans="1:40" x14ac:dyDescent="0.25">
      <c r="A259" t="str">
        <f>"20190303154101984"</f>
        <v>20190303154101984</v>
      </c>
      <c r="B259" t="str">
        <f>"1551598861979832"</f>
        <v>1551598861979832</v>
      </c>
      <c r="C259" t="s">
        <v>40</v>
      </c>
      <c r="D259">
        <v>5.6712410000000002</v>
      </c>
      <c r="E259">
        <v>0.4969614</v>
      </c>
      <c r="F259" t="s">
        <v>43</v>
      </c>
      <c r="G259">
        <v>-422.43650000000002</v>
      </c>
      <c r="H259">
        <v>-0.05</v>
      </c>
      <c r="I259">
        <v>367.19240000000002</v>
      </c>
      <c r="J259">
        <v>-443.71300000000002</v>
      </c>
      <c r="K259">
        <v>1.120857</v>
      </c>
      <c r="L259">
        <v>367.37329999999997</v>
      </c>
      <c r="M259">
        <v>0.99992950000000003</v>
      </c>
      <c r="N259">
        <v>-1.146117E-2</v>
      </c>
      <c r="O259">
        <v>3.1486270000000002E-3</v>
      </c>
      <c r="P259">
        <v>0.99536930000000001</v>
      </c>
      <c r="Q259">
        <v>-9.4873990000000005E-2</v>
      </c>
      <c r="R259">
        <v>-1.5471459999999999E-2</v>
      </c>
      <c r="S259">
        <v>2.9978940000000001</v>
      </c>
      <c r="T259">
        <v>-0.1635866</v>
      </c>
      <c r="U259">
        <v>-2.5207520000000001E-2</v>
      </c>
      <c r="V259">
        <v>1.8583260000000001E-2</v>
      </c>
      <c r="W259">
        <v>-8.3465259999999999E-2</v>
      </c>
      <c r="X259">
        <v>0.99633740000000004</v>
      </c>
      <c r="Y259">
        <v>1.1533099999999999E-2</v>
      </c>
      <c r="Z259">
        <v>-5.1619429999999998E-4</v>
      </c>
      <c r="AA259">
        <v>0.99993339999999997</v>
      </c>
      <c r="AB259">
        <v>19</v>
      </c>
      <c r="AC259">
        <v>21.276499999999999</v>
      </c>
      <c r="AD259">
        <v>-1.170857</v>
      </c>
      <c r="AE259">
        <v>-0.18089999999995099</v>
      </c>
      <c r="AF259">
        <v>0.24714686136250699</v>
      </c>
      <c r="AG259">
        <v>-1.170857</v>
      </c>
      <c r="AH259">
        <v>21.211593222895701</v>
      </c>
      <c r="AI259">
        <v>93.159244774698095</v>
      </c>
      <c r="AJ259">
        <v>89.332448478389907</v>
      </c>
      <c r="AK259">
        <v>21.245321243490899</v>
      </c>
      <c r="AL259">
        <v>94.787777109522295</v>
      </c>
      <c r="AM259">
        <v>88.931467467332098</v>
      </c>
      <c r="AN259">
        <v>1.0000000009089201</v>
      </c>
    </row>
    <row r="260" spans="1:40" x14ac:dyDescent="0.25">
      <c r="A260" t="str">
        <f>"20190303154102007"</f>
        <v>20190303154102007</v>
      </c>
      <c r="B260" t="str">
        <f>"1551598861999353"</f>
        <v>1551598861999353</v>
      </c>
      <c r="C260" t="s">
        <v>40</v>
      </c>
      <c r="D260">
        <v>5.6537689999999996</v>
      </c>
      <c r="E260">
        <v>0.49655060000000001</v>
      </c>
      <c r="F260" t="s">
        <v>43</v>
      </c>
      <c r="G260">
        <v>-423.18</v>
      </c>
      <c r="H260">
        <v>-0.05</v>
      </c>
      <c r="I260">
        <v>367.22879999999998</v>
      </c>
      <c r="J260">
        <v>-443.51639999999998</v>
      </c>
      <c r="K260">
        <v>1.120873</v>
      </c>
      <c r="L260">
        <v>367.37369999999999</v>
      </c>
      <c r="M260">
        <v>0.99992590000000003</v>
      </c>
      <c r="N260">
        <v>-1.181919E-2</v>
      </c>
      <c r="O260">
        <v>2.965854E-3</v>
      </c>
      <c r="P260">
        <v>0.99537260000000005</v>
      </c>
      <c r="Q260">
        <v>-9.4790570000000005E-2</v>
      </c>
      <c r="R260">
        <v>-1.5754239999999999E-2</v>
      </c>
      <c r="S260">
        <v>2.9973450000000001</v>
      </c>
      <c r="T260">
        <v>-0.17091870000000001</v>
      </c>
      <c r="U260">
        <v>-2.1087649999999999E-2</v>
      </c>
      <c r="V260">
        <v>1.8683600000000002E-2</v>
      </c>
      <c r="W260">
        <v>-8.3025199999999993E-2</v>
      </c>
      <c r="X260">
        <v>0.99637229999999999</v>
      </c>
      <c r="Y260">
        <v>9.978621E-3</v>
      </c>
      <c r="Z260">
        <v>-4.7725479999999998E-4</v>
      </c>
      <c r="AA260">
        <v>0.99995009999999995</v>
      </c>
      <c r="AB260">
        <v>19</v>
      </c>
      <c r="AC260">
        <v>20.336399999999902</v>
      </c>
      <c r="AD260">
        <v>-1.1708730000000001</v>
      </c>
      <c r="AE260">
        <v>-0.144900000000006</v>
      </c>
      <c r="AF260">
        <v>0.20454036224331801</v>
      </c>
      <c r="AG260">
        <v>-1.1708730000000001</v>
      </c>
      <c r="AH260">
        <v>20.268695320705401</v>
      </c>
      <c r="AI260">
        <v>93.305994827415901</v>
      </c>
      <c r="AJ260">
        <v>89.421822593152498</v>
      </c>
      <c r="AK260">
        <v>20.303516698973599</v>
      </c>
      <c r="AL260">
        <v>94.7624756641126</v>
      </c>
      <c r="AM260">
        <v>88.925736913188004</v>
      </c>
      <c r="AN260">
        <v>1.0000000104756399</v>
      </c>
    </row>
    <row r="261" spans="1:40" x14ac:dyDescent="0.25">
      <c r="A261" t="str">
        <f>"20190303154102029"</f>
        <v>20190303154102029</v>
      </c>
      <c r="B261" t="str">
        <f>"1551598862019849"</f>
        <v>1551598862019849</v>
      </c>
      <c r="C261" t="s">
        <v>40</v>
      </c>
      <c r="D261">
        <v>5.6664849999999998</v>
      </c>
      <c r="E261">
        <v>0.49617410000000001</v>
      </c>
      <c r="F261" t="s">
        <v>43</v>
      </c>
      <c r="G261">
        <v>-423.4203</v>
      </c>
      <c r="H261">
        <v>-0.05</v>
      </c>
      <c r="I261">
        <v>367.24990000000003</v>
      </c>
      <c r="J261">
        <v>-443.3263</v>
      </c>
      <c r="K261">
        <v>1.1208769999999999</v>
      </c>
      <c r="L261">
        <v>367.37400000000002</v>
      </c>
      <c r="M261">
        <v>0.99992259999999999</v>
      </c>
      <c r="N261">
        <v>-1.212745E-2</v>
      </c>
      <c r="O261">
        <v>2.7868649999999999E-3</v>
      </c>
      <c r="P261">
        <v>0.9954035</v>
      </c>
      <c r="Q261">
        <v>-9.4494549999999997E-2</v>
      </c>
      <c r="R261">
        <v>-1.556518E-2</v>
      </c>
      <c r="S261">
        <v>2.9970699999999999</v>
      </c>
      <c r="T261">
        <v>-0.17462130000000001</v>
      </c>
      <c r="U261">
        <v>-1.8463130000000001E-2</v>
      </c>
      <c r="V261">
        <v>1.8316590000000001E-2</v>
      </c>
      <c r="W261">
        <v>-8.2421579999999994E-2</v>
      </c>
      <c r="X261">
        <v>0.99642920000000001</v>
      </c>
      <c r="Y261">
        <v>8.9260139999999995E-3</v>
      </c>
      <c r="Z261">
        <v>-4.4245200000000003E-4</v>
      </c>
      <c r="AA261">
        <v>0.99996010000000002</v>
      </c>
      <c r="AB261">
        <v>19</v>
      </c>
      <c r="AC261">
        <v>19.905999999999999</v>
      </c>
      <c r="AD261">
        <v>-1.1708769999999999</v>
      </c>
      <c r="AE261">
        <v>-0.124099999999998</v>
      </c>
      <c r="AF261">
        <v>0.17895978527505901</v>
      </c>
      <c r="AG261">
        <v>-1.1708769999999999</v>
      </c>
      <c r="AH261">
        <v>19.836947047966301</v>
      </c>
      <c r="AI261">
        <v>93.377830455715696</v>
      </c>
      <c r="AJ261">
        <v>89.483117930766099</v>
      </c>
      <c r="AK261">
        <v>19.8722783730929</v>
      </c>
      <c r="AL261">
        <v>94.727771972494907</v>
      </c>
      <c r="AM261">
        <v>88.946894451448003</v>
      </c>
      <c r="AN261">
        <v>0.99999998246578203</v>
      </c>
    </row>
    <row r="262" spans="1:40" x14ac:dyDescent="0.25">
      <c r="A262" t="str">
        <f>"20190303154102052"</f>
        <v>20190303154102052</v>
      </c>
      <c r="B262" t="str">
        <f>"1551598862049128"</f>
        <v>1551598862049128</v>
      </c>
      <c r="C262" t="s">
        <v>40</v>
      </c>
      <c r="D262">
        <v>5.5731190000000002</v>
      </c>
      <c r="E262">
        <v>0.51430520000000002</v>
      </c>
      <c r="F262" t="s">
        <v>43</v>
      </c>
      <c r="G262">
        <v>-423.52140000000003</v>
      </c>
      <c r="H262">
        <v>-0.05</v>
      </c>
      <c r="I262">
        <v>367.27480000000003</v>
      </c>
      <c r="J262">
        <v>-443.13819999999998</v>
      </c>
      <c r="K262">
        <v>1.120892</v>
      </c>
      <c r="L262">
        <v>367.37430000000001</v>
      </c>
      <c r="M262">
        <v>0.99991980000000003</v>
      </c>
      <c r="N262">
        <v>-1.2396890000000001E-2</v>
      </c>
      <c r="O262">
        <v>2.6060129999999999E-3</v>
      </c>
      <c r="P262">
        <v>0.99535890000000005</v>
      </c>
      <c r="Q262">
        <v>-9.505094E-2</v>
      </c>
      <c r="R262">
        <v>-1.503766E-2</v>
      </c>
      <c r="S262">
        <v>2.996826</v>
      </c>
      <c r="T262">
        <v>-0.17717439999999901</v>
      </c>
      <c r="U262">
        <v>-1.5014649999999999E-2</v>
      </c>
      <c r="V262">
        <v>1.7608789999999999E-2</v>
      </c>
      <c r="W262">
        <v>-8.2709660000000004E-2</v>
      </c>
      <c r="X262">
        <v>0.99641809999999997</v>
      </c>
      <c r="Y262">
        <v>7.5973909999999898E-3</v>
      </c>
      <c r="Z262">
        <v>-3.931769E-4</v>
      </c>
      <c r="AA262">
        <v>0.9999711</v>
      </c>
      <c r="AB262">
        <v>19</v>
      </c>
      <c r="AC262">
        <v>19.616799999999898</v>
      </c>
      <c r="AD262">
        <v>-1.170892</v>
      </c>
      <c r="AE262">
        <v>-9.9499999999977704E-2</v>
      </c>
      <c r="AF262">
        <v>0.150090513181108</v>
      </c>
      <c r="AG262">
        <v>-1.170892</v>
      </c>
      <c r="AH262">
        <v>19.5468366417401</v>
      </c>
      <c r="AI262">
        <v>93.427927054090802</v>
      </c>
      <c r="AJ262">
        <v>89.560062627755002</v>
      </c>
      <c r="AK262">
        <v>19.582449742988899</v>
      </c>
      <c r="AL262">
        <v>94.744334237583601</v>
      </c>
      <c r="AM262">
        <v>88.9875692336188</v>
      </c>
      <c r="AN262">
        <v>0.99999999367509396</v>
      </c>
    </row>
    <row r="263" spans="1:40" x14ac:dyDescent="0.25">
      <c r="A263" t="str">
        <f>"20190303154102074"</f>
        <v>20190303154102074</v>
      </c>
      <c r="B263" t="str">
        <f>"1551598862069624"</f>
        <v>1551598862069624</v>
      </c>
      <c r="C263" t="s">
        <v>40</v>
      </c>
      <c r="D263">
        <v>5.8135560000000002</v>
      </c>
      <c r="E263">
        <v>0.5339216</v>
      </c>
      <c r="F263" t="s">
        <v>42</v>
      </c>
      <c r="G263">
        <v>-442.37950000000001</v>
      </c>
      <c r="H263">
        <v>1.037153</v>
      </c>
      <c r="I263">
        <v>367.33330000000001</v>
      </c>
      <c r="J263">
        <v>-442.95089999999999</v>
      </c>
      <c r="K263">
        <v>1.1209009999999999</v>
      </c>
      <c r="L263">
        <v>367.37459999999999</v>
      </c>
      <c r="M263">
        <v>0.99991739999999996</v>
      </c>
      <c r="N263">
        <v>-1.263246E-2</v>
      </c>
      <c r="O263">
        <v>2.4225610000000002E-3</v>
      </c>
      <c r="P263">
        <v>0.99529160000000005</v>
      </c>
      <c r="Q263">
        <v>-9.5771430000000005E-2</v>
      </c>
      <c r="R263">
        <v>-1.4920569999999999E-2</v>
      </c>
      <c r="S263">
        <v>2.9801639999999998</v>
      </c>
      <c r="T263">
        <v>-0.32902100000000001</v>
      </c>
      <c r="U263">
        <v>-0.1596069</v>
      </c>
      <c r="V263">
        <v>1.730928E-2</v>
      </c>
      <c r="W263">
        <v>-8.3196019999999996E-2</v>
      </c>
      <c r="X263">
        <v>0.99638289999999996</v>
      </c>
      <c r="Y263">
        <v>5.5512249999999999E-2</v>
      </c>
      <c r="Z263">
        <v>-3.6409680000000001E-3</v>
      </c>
      <c r="AA263">
        <v>0.99845139999999999</v>
      </c>
      <c r="AB263">
        <v>19</v>
      </c>
      <c r="AC263">
        <v>0.57139999999998203</v>
      </c>
      <c r="AD263">
        <v>-8.3747999999999906E-2</v>
      </c>
      <c r="AE263">
        <v>-4.1299999999978299E-2</v>
      </c>
      <c r="AF263">
        <v>4.1791161338881999E-2</v>
      </c>
      <c r="AG263">
        <v>-8.3747999999999906E-2</v>
      </c>
      <c r="AH263">
        <v>0.55934503348545594</v>
      </c>
      <c r="AI263">
        <v>98.492039041686894</v>
      </c>
      <c r="AJ263">
        <v>85.727115823150598</v>
      </c>
      <c r="AK263">
        <v>0.56712176395805702</v>
      </c>
      <c r="AL263">
        <v>94.772296784470001</v>
      </c>
      <c r="AM263">
        <v>89.004751143647397</v>
      </c>
      <c r="AN263">
        <v>1.00000003616518</v>
      </c>
    </row>
    <row r="264" spans="1:40" x14ac:dyDescent="0.25">
      <c r="A264" t="str">
        <f>"20190303154102097"</f>
        <v>20190303154102097</v>
      </c>
      <c r="B264" t="str">
        <f>"1551598862089145"</f>
        <v>1551598862089145</v>
      </c>
      <c r="C264" t="s">
        <v>40</v>
      </c>
      <c r="D264">
        <v>5.6720810000000004</v>
      </c>
      <c r="E264">
        <v>0.53647460000000002</v>
      </c>
      <c r="F264" t="s">
        <v>42</v>
      </c>
      <c r="G264">
        <v>-442.25670000000002</v>
      </c>
      <c r="H264">
        <v>0.94216299999999997</v>
      </c>
      <c r="I264">
        <v>367.29880000000003</v>
      </c>
      <c r="J264">
        <v>-442.75380000000001</v>
      </c>
      <c r="K264">
        <v>1.1209089999999999</v>
      </c>
      <c r="L264">
        <v>367.37479999999999</v>
      </c>
      <c r="M264">
        <v>0.99991509999999995</v>
      </c>
      <c r="N264">
        <v>-1.284735E-2</v>
      </c>
      <c r="O264">
        <v>2.2295589999999999E-3</v>
      </c>
      <c r="P264">
        <v>0.99521190000000004</v>
      </c>
      <c r="Q264">
        <v>-9.6559409999999998E-2</v>
      </c>
      <c r="R264">
        <v>-1.516087E-2</v>
      </c>
      <c r="S264">
        <v>2.9366460000000001</v>
      </c>
      <c r="T264">
        <v>-0.75617159999999894</v>
      </c>
      <c r="U264">
        <v>-0.31988529999999998</v>
      </c>
      <c r="V264">
        <v>1.7357259999999999E-2</v>
      </c>
      <c r="W264">
        <v>-8.3770739999999996E-2</v>
      </c>
      <c r="X264">
        <v>0.99633389999999999</v>
      </c>
      <c r="Y264">
        <v>0.1068163</v>
      </c>
      <c r="Z264">
        <v>-1.4728440000000001E-2</v>
      </c>
      <c r="AA264">
        <v>0.99416970000000005</v>
      </c>
      <c r="AB264">
        <v>19</v>
      </c>
      <c r="AC264">
        <v>0.497099999999989</v>
      </c>
      <c r="AD264">
        <v>-0.17874599999999899</v>
      </c>
      <c r="AE264">
        <v>-7.5999999999964901E-2</v>
      </c>
      <c r="AF264">
        <v>6.8458922108847103E-2</v>
      </c>
      <c r="AG264">
        <v>-0.17874599999999899</v>
      </c>
      <c r="AH264">
        <v>0.44118832181669698</v>
      </c>
      <c r="AI264">
        <v>111.818971251336</v>
      </c>
      <c r="AJ264">
        <v>81.179789709136699</v>
      </c>
      <c r="AK264">
        <v>0.480919839307695</v>
      </c>
      <c r="AL264">
        <v>94.805341216288198</v>
      </c>
      <c r="AM264">
        <v>89.001943874803302</v>
      </c>
      <c r="AN264">
        <v>1.0000000258220301</v>
      </c>
    </row>
    <row r="265" spans="1:40" x14ac:dyDescent="0.25">
      <c r="A265" t="str">
        <f>"20190303154102121"</f>
        <v>20190303154102121</v>
      </c>
      <c r="B265" t="str">
        <f>"1551598862109641"</f>
        <v>1551598862109641</v>
      </c>
      <c r="C265" t="s">
        <v>40</v>
      </c>
      <c r="D265">
        <v>5.6565760000000003</v>
      </c>
      <c r="E265">
        <v>0.53722740000000002</v>
      </c>
      <c r="F265" t="s">
        <v>42</v>
      </c>
      <c r="G265">
        <v>-441.93040000000002</v>
      </c>
      <c r="H265">
        <v>0.91596010000000005</v>
      </c>
      <c r="I265">
        <v>367.27910000000003</v>
      </c>
      <c r="J265">
        <v>-442.55509999999998</v>
      </c>
      <c r="K265">
        <v>1.1209129999999901</v>
      </c>
      <c r="L265">
        <v>367.375</v>
      </c>
      <c r="M265">
        <v>0.99991300000000005</v>
      </c>
      <c r="N265">
        <v>-1.3033660000000001E-2</v>
      </c>
      <c r="O265">
        <v>2.0365359999999998E-3</v>
      </c>
      <c r="P265">
        <v>0.99513470000000004</v>
      </c>
      <c r="Q265">
        <v>-9.7328070000000003E-2</v>
      </c>
      <c r="R265">
        <v>-1.531135E-2</v>
      </c>
      <c r="S265">
        <v>2.9382929999999998</v>
      </c>
      <c r="T265">
        <v>-0.73134089999999996</v>
      </c>
      <c r="U265">
        <v>-0.34069820000000001</v>
      </c>
      <c r="V265">
        <v>1.731543E-2</v>
      </c>
      <c r="W265">
        <v>-8.4354650000000003E-2</v>
      </c>
      <c r="X265">
        <v>0.99628530000000004</v>
      </c>
      <c r="Y265">
        <v>0.1135417</v>
      </c>
      <c r="Z265">
        <v>-1.5099130000000001E-2</v>
      </c>
      <c r="AA265">
        <v>0.99341849999999998</v>
      </c>
      <c r="AB265">
        <v>19</v>
      </c>
      <c r="AC265">
        <v>0.62469999999996095</v>
      </c>
      <c r="AD265">
        <v>-0.20495289999999899</v>
      </c>
      <c r="AE265">
        <v>-9.5899999999971897E-2</v>
      </c>
      <c r="AF265">
        <v>8.7925879562975706E-2</v>
      </c>
      <c r="AG265">
        <v>-0.20495289999999899</v>
      </c>
      <c r="AH265">
        <v>0.56507979726471103</v>
      </c>
      <c r="AI265">
        <v>109.71690664180301</v>
      </c>
      <c r="AJ265">
        <v>81.155752291018004</v>
      </c>
      <c r="AK265">
        <v>0.60749636113482997</v>
      </c>
      <c r="AL265">
        <v>94.838915927057798</v>
      </c>
      <c r="AM265">
        <v>89.004300088690201</v>
      </c>
      <c r="AN265">
        <v>0.99999996504439803</v>
      </c>
    </row>
    <row r="266" spans="1:40" x14ac:dyDescent="0.25">
      <c r="A266" t="str">
        <f>"20190303154102143"</f>
        <v>20190303154102143</v>
      </c>
      <c r="B266" t="str">
        <f>"1551598862139897"</f>
        <v>1551598862139897</v>
      </c>
      <c r="C266" t="s">
        <v>40</v>
      </c>
      <c r="D266">
        <v>5.6543049999999999</v>
      </c>
      <c r="E266">
        <v>0.53802320000000003</v>
      </c>
      <c r="F266" t="s">
        <v>42</v>
      </c>
      <c r="G266">
        <v>-441.7593</v>
      </c>
      <c r="H266">
        <v>0.92144099999999995</v>
      </c>
      <c r="I266">
        <v>367.28059999999999</v>
      </c>
      <c r="J266">
        <v>-442.36700000000002</v>
      </c>
      <c r="K266">
        <v>1.1209180000000001</v>
      </c>
      <c r="L266">
        <v>367.37520000000001</v>
      </c>
      <c r="M266">
        <v>0.99991140000000001</v>
      </c>
      <c r="N266">
        <v>-1.3186990000000001E-2</v>
      </c>
      <c r="O266">
        <v>1.854978E-3</v>
      </c>
      <c r="P266">
        <v>0.99511850000000002</v>
      </c>
      <c r="Q266">
        <v>-9.7427669999999994E-2</v>
      </c>
      <c r="R266">
        <v>-1.572192E-2</v>
      </c>
      <c r="S266">
        <v>2.9373170000000002</v>
      </c>
      <c r="T266">
        <v>-0.73622049999999895</v>
      </c>
      <c r="U266">
        <v>-0.34713749999999999</v>
      </c>
      <c r="V266">
        <v>1.7545379999999999E-2</v>
      </c>
      <c r="W266">
        <v>-8.4301699999999993E-2</v>
      </c>
      <c r="X266">
        <v>0.9962858</v>
      </c>
      <c r="Y266">
        <v>0.1154406</v>
      </c>
      <c r="Z266">
        <v>-1.54079E-2</v>
      </c>
      <c r="AA266">
        <v>0.99319489999999999</v>
      </c>
      <c r="AB266">
        <v>19</v>
      </c>
      <c r="AC266">
        <v>0.60769999999996505</v>
      </c>
      <c r="AD266">
        <v>-0.19947699999999999</v>
      </c>
      <c r="AE266">
        <v>-9.4600000000014006E-2</v>
      </c>
      <c r="AF266">
        <v>8.6615415495493606E-2</v>
      </c>
      <c r="AG266">
        <v>-0.19947699999999999</v>
      </c>
      <c r="AH266">
        <v>0.549696364671455</v>
      </c>
      <c r="AI266">
        <v>109.72088245290099</v>
      </c>
      <c r="AJ266">
        <v>81.045552242911498</v>
      </c>
      <c r="AK266">
        <v>0.59115090887477295</v>
      </c>
      <c r="AL266">
        <v>94.835871071300005</v>
      </c>
      <c r="AM266">
        <v>88.991080352789098</v>
      </c>
      <c r="AN266">
        <v>1.0000000061319301</v>
      </c>
    </row>
    <row r="267" spans="1:40" x14ac:dyDescent="0.25">
      <c r="A267" t="str">
        <f>"20190303154102165"</f>
        <v>20190303154102165</v>
      </c>
      <c r="B267" t="str">
        <f>"1551598862159418"</f>
        <v>1551598862159418</v>
      </c>
      <c r="C267" t="s">
        <v>40</v>
      </c>
      <c r="D267">
        <v>5.6366509999999996</v>
      </c>
      <c r="E267">
        <v>0.53825279999999998</v>
      </c>
      <c r="F267" t="s">
        <v>42</v>
      </c>
      <c r="G267">
        <v>-441.59039999999999</v>
      </c>
      <c r="H267">
        <v>0.92315899999999995</v>
      </c>
      <c r="I267">
        <v>367.28109999999998</v>
      </c>
      <c r="J267">
        <v>-442.18869999999998</v>
      </c>
      <c r="K267">
        <v>1.1209279999999999</v>
      </c>
      <c r="L267">
        <v>367.37529999999998</v>
      </c>
      <c r="M267">
        <v>0.99991010000000002</v>
      </c>
      <c r="N267">
        <v>-1.331365E-2</v>
      </c>
      <c r="O267">
        <v>1.68348E-3</v>
      </c>
      <c r="P267">
        <v>0.99513079999999998</v>
      </c>
      <c r="Q267">
        <v>-9.7263219999999997E-2</v>
      </c>
      <c r="R267">
        <v>-1.596125E-2</v>
      </c>
      <c r="S267">
        <v>2.9359739999999999</v>
      </c>
      <c r="T267">
        <v>-0.74747739999999996</v>
      </c>
      <c r="U267">
        <v>-0.35482789999999997</v>
      </c>
      <c r="V267">
        <v>1.761414E-2</v>
      </c>
      <c r="W267">
        <v>-8.4010890000000005E-2</v>
      </c>
      <c r="X267">
        <v>0.99630920000000001</v>
      </c>
      <c r="Y267">
        <v>0.11770220000000001</v>
      </c>
      <c r="Z267">
        <v>-1.5894430000000001E-2</v>
      </c>
      <c r="AA267">
        <v>0.99292170000000002</v>
      </c>
      <c r="AB267">
        <v>19</v>
      </c>
      <c r="AC267">
        <v>0.59829999999999395</v>
      </c>
      <c r="AD267">
        <v>-0.197769</v>
      </c>
      <c r="AE267">
        <v>-9.42000000000007E-2</v>
      </c>
      <c r="AF267">
        <v>8.6034114952069196E-2</v>
      </c>
      <c r="AG267">
        <v>-0.197769</v>
      </c>
      <c r="AH267">
        <v>0.54051062403664396</v>
      </c>
      <c r="AI267">
        <v>109.867021778923</v>
      </c>
      <c r="AJ267">
        <v>80.955990130250299</v>
      </c>
      <c r="AK267">
        <v>0.58195032519371304</v>
      </c>
      <c r="AL267">
        <v>94.819149332261205</v>
      </c>
      <c r="AM267">
        <v>88.987151022658495</v>
      </c>
      <c r="AN267">
        <v>1.0000000547855801</v>
      </c>
    </row>
    <row r="268" spans="1:40" x14ac:dyDescent="0.25">
      <c r="A268" t="str">
        <f>"20190303154102187"</f>
        <v>20190303154102187</v>
      </c>
      <c r="B268" t="str">
        <f>"1551598862179913"</f>
        <v>1551598862179913</v>
      </c>
      <c r="C268" t="s">
        <v>40</v>
      </c>
      <c r="D268">
        <v>5.6471499999999999</v>
      </c>
      <c r="E268">
        <v>0.53837699999999999</v>
      </c>
      <c r="F268" t="s">
        <v>42</v>
      </c>
      <c r="G268">
        <v>-441.42189999999999</v>
      </c>
      <c r="H268">
        <v>0.92427680000000001</v>
      </c>
      <c r="I268">
        <v>367.28140000000002</v>
      </c>
      <c r="J268">
        <v>-441.99549999999999</v>
      </c>
      <c r="K268">
        <v>1.120935</v>
      </c>
      <c r="L268">
        <v>367.37540000000001</v>
      </c>
      <c r="M268">
        <v>0.99990869999999998</v>
      </c>
      <c r="N268">
        <v>-1.343248E-2</v>
      </c>
      <c r="O268">
        <v>1.4980799999999999E-3</v>
      </c>
      <c r="P268">
        <v>0.99513510000000005</v>
      </c>
      <c r="Q268">
        <v>-9.7154509999999999E-2</v>
      </c>
      <c r="R268">
        <v>-1.6346030000000001E-2</v>
      </c>
      <c r="S268">
        <v>2.935333</v>
      </c>
      <c r="T268">
        <v>-0.75287130000000002</v>
      </c>
      <c r="U268">
        <v>-0.3574524</v>
      </c>
      <c r="V268">
        <v>1.7814630000000001E-2</v>
      </c>
      <c r="W268">
        <v>-8.3783730000000001E-2</v>
      </c>
      <c r="X268">
        <v>0.99632469999999995</v>
      </c>
      <c r="Y268">
        <v>0.118344699999999</v>
      </c>
      <c r="Z268">
        <v>-1.6050740000000001E-2</v>
      </c>
      <c r="AA268">
        <v>0.99284289999999997</v>
      </c>
      <c r="AB268">
        <v>19</v>
      </c>
      <c r="AC268">
        <v>0.573599999999999</v>
      </c>
      <c r="AD268">
        <v>-0.19665820000000001</v>
      </c>
      <c r="AE268">
        <v>-9.3999999999994005E-2</v>
      </c>
      <c r="AF268">
        <v>8.5115943050987797E-2</v>
      </c>
      <c r="AG268">
        <v>-0.19665820000000001</v>
      </c>
      <c r="AH268">
        <v>0.51455659229816098</v>
      </c>
      <c r="AI268">
        <v>110.659740204211</v>
      </c>
      <c r="AJ268">
        <v>80.607407726322606</v>
      </c>
      <c r="AK268">
        <v>0.55739362937352899</v>
      </c>
      <c r="AL268">
        <v>94.806088281223396</v>
      </c>
      <c r="AM268">
        <v>88.975640814465606</v>
      </c>
      <c r="AN268">
        <v>0.999999991142419</v>
      </c>
    </row>
    <row r="269" spans="1:40" x14ac:dyDescent="0.25">
      <c r="A269" t="str">
        <f>"20190303154102210"</f>
        <v>20190303154102210</v>
      </c>
      <c r="B269" t="str">
        <f>"1551598862199432"</f>
        <v>1551598862199432</v>
      </c>
      <c r="C269" t="s">
        <v>40</v>
      </c>
      <c r="D269">
        <v>5.612895</v>
      </c>
      <c r="E269">
        <v>0.53849230000000003</v>
      </c>
      <c r="F269" t="s">
        <v>42</v>
      </c>
      <c r="G269">
        <v>-441.25220000000002</v>
      </c>
      <c r="H269">
        <v>0.92928049999999995</v>
      </c>
      <c r="I269">
        <v>367.28440000000001</v>
      </c>
      <c r="J269">
        <v>-441.80900000000003</v>
      </c>
      <c r="K269">
        <v>1.120941</v>
      </c>
      <c r="L269">
        <v>367.37549999999999</v>
      </c>
      <c r="M269">
        <v>0.99990769999999995</v>
      </c>
      <c r="N269">
        <v>-1.3531090000000001E-2</v>
      </c>
      <c r="O269">
        <v>1.3181250000000001E-3</v>
      </c>
      <c r="P269">
        <v>0.99513300000000005</v>
      </c>
      <c r="Q269">
        <v>-9.7169179999999994E-2</v>
      </c>
      <c r="R269">
        <v>-1.6398490000000002E-2</v>
      </c>
      <c r="S269">
        <v>2.9348749999999999</v>
      </c>
      <c r="T269">
        <v>-0.75674680000000005</v>
      </c>
      <c r="U269">
        <v>-0.35971069999999999</v>
      </c>
      <c r="V269">
        <v>1.768786E-2</v>
      </c>
      <c r="W269">
        <v>-8.3700049999999998E-2</v>
      </c>
      <c r="X269">
        <v>0.99633400000000005</v>
      </c>
      <c r="Y269">
        <v>0.1188821</v>
      </c>
      <c r="Z269">
        <v>-1.616298E-2</v>
      </c>
      <c r="AA269">
        <v>0.99277680000000001</v>
      </c>
      <c r="AB269">
        <v>19</v>
      </c>
      <c r="AC269">
        <v>0.55680000000000895</v>
      </c>
      <c r="AD269">
        <v>-0.19166049999999901</v>
      </c>
      <c r="AE269">
        <v>-9.1099999999983E-2</v>
      </c>
      <c r="AF269">
        <v>8.2332957772882701E-2</v>
      </c>
      <c r="AG269">
        <v>-0.19166049999999901</v>
      </c>
      <c r="AH269">
        <v>0.49908643271197001</v>
      </c>
      <c r="AI269">
        <v>110.75177394459899</v>
      </c>
      <c r="AJ269">
        <v>80.632436984738206</v>
      </c>
      <c r="AK269">
        <v>0.54092488435367903</v>
      </c>
      <c r="AL269">
        <v>94.801276831588595</v>
      </c>
      <c r="AM269">
        <v>88.982938172164907</v>
      </c>
      <c r="AN269">
        <v>0.99999999915869098</v>
      </c>
    </row>
    <row r="270" spans="1:40" x14ac:dyDescent="0.25">
      <c r="A270" t="str">
        <f>"20190303154102230"</f>
        <v>20190303154102230</v>
      </c>
      <c r="B270" t="str">
        <f>"1551598862219932"</f>
        <v>1551598862219932</v>
      </c>
      <c r="C270" t="s">
        <v>40</v>
      </c>
      <c r="D270">
        <v>5.6411009999999999</v>
      </c>
      <c r="E270">
        <v>0.538558599999999</v>
      </c>
      <c r="F270" t="s">
        <v>42</v>
      </c>
      <c r="G270">
        <v>-441.08319999999998</v>
      </c>
      <c r="H270">
        <v>0.93327300000000002</v>
      </c>
      <c r="I270">
        <v>367.28609999999998</v>
      </c>
      <c r="J270">
        <v>-441.63560000000001</v>
      </c>
      <c r="K270">
        <v>1.120946</v>
      </c>
      <c r="L270">
        <v>367.37549999999999</v>
      </c>
      <c r="M270">
        <v>0.99990679999999998</v>
      </c>
      <c r="N270">
        <v>-1.3610199999999999E-2</v>
      </c>
      <c r="O270">
        <v>1.1506419999999999E-3</v>
      </c>
      <c r="P270">
        <v>0.9951255</v>
      </c>
      <c r="Q270">
        <v>-9.7286629999999999E-2</v>
      </c>
      <c r="R270">
        <v>-1.6153669999999998E-2</v>
      </c>
      <c r="S270">
        <v>2.9346920000000001</v>
      </c>
      <c r="T270">
        <v>-0.75866869999999997</v>
      </c>
      <c r="U270">
        <v>-0.36056519999999997</v>
      </c>
      <c r="V270">
        <v>1.7276590000000001E-2</v>
      </c>
      <c r="W270">
        <v>-8.3738599999999996E-2</v>
      </c>
      <c r="X270">
        <v>0.99633799999999995</v>
      </c>
      <c r="Y270">
        <v>0.118988</v>
      </c>
      <c r="Z270">
        <v>-1.6180150000000001E-2</v>
      </c>
      <c r="AA270">
        <v>0.99276390000000003</v>
      </c>
      <c r="AB270">
        <v>19</v>
      </c>
      <c r="AC270">
        <v>0.55240000000003397</v>
      </c>
      <c r="AD270">
        <v>-0.18767300000000001</v>
      </c>
      <c r="AE270">
        <v>-8.9400000000011901E-2</v>
      </c>
      <c r="AF270">
        <v>8.0932488425694907E-2</v>
      </c>
      <c r="AG270">
        <v>-0.18767300000000001</v>
      </c>
      <c r="AH270">
        <v>0.496456333218671</v>
      </c>
      <c r="AI270">
        <v>110.46054568093</v>
      </c>
      <c r="AJ270">
        <v>80.741068948230094</v>
      </c>
      <c r="AK270">
        <v>0.53687998044693697</v>
      </c>
      <c r="AL270">
        <v>94.803493255487695</v>
      </c>
      <c r="AM270">
        <v>89.006585618775603</v>
      </c>
      <c r="AN270">
        <v>1.0000000219679901</v>
      </c>
    </row>
    <row r="271" spans="1:40" x14ac:dyDescent="0.25">
      <c r="A271" t="str">
        <f>"20190303154102244"</f>
        <v>20190303154102244</v>
      </c>
      <c r="B271" t="str">
        <f>"1551598862239449"</f>
        <v>1551598862239449</v>
      </c>
      <c r="C271" t="s">
        <v>40</v>
      </c>
      <c r="D271">
        <v>5.6442779999999999</v>
      </c>
      <c r="E271">
        <v>0.53845080000000001</v>
      </c>
      <c r="F271" t="s">
        <v>42</v>
      </c>
      <c r="G271">
        <v>-440.91590000000002</v>
      </c>
      <c r="H271">
        <v>0.93408970000000002</v>
      </c>
      <c r="I271">
        <v>367.2869</v>
      </c>
      <c r="J271">
        <v>-441.52280000000002</v>
      </c>
      <c r="K271">
        <v>1.1209519999999999</v>
      </c>
      <c r="L271">
        <v>367.37549999999999</v>
      </c>
      <c r="M271">
        <v>0.99990619999999997</v>
      </c>
      <c r="N271">
        <v>-1.365573E-2</v>
      </c>
      <c r="O271">
        <v>1.0415019999999999E-3</v>
      </c>
      <c r="P271">
        <v>0.99509190000000003</v>
      </c>
      <c r="Q271">
        <v>-9.7597840000000005E-2</v>
      </c>
      <c r="R271">
        <v>-1.6343670000000001E-2</v>
      </c>
      <c r="S271">
        <v>2.9343870000000001</v>
      </c>
      <c r="T271">
        <v>-0.76187539999999998</v>
      </c>
      <c r="U271">
        <v>-0.3608093</v>
      </c>
      <c r="V271">
        <v>1.7357919999999999E-2</v>
      </c>
      <c r="W271">
        <v>-8.4004860000000001E-2</v>
      </c>
      <c r="X271">
        <v>0.99631420000000004</v>
      </c>
      <c r="Y271">
        <v>0.11894349999999999</v>
      </c>
      <c r="Z271">
        <v>-1.6215070000000002E-2</v>
      </c>
      <c r="AA271">
        <v>0.9927686</v>
      </c>
      <c r="AB271">
        <v>19</v>
      </c>
      <c r="AC271">
        <v>0.606899999999996</v>
      </c>
      <c r="AD271">
        <v>-0.18686230000000001</v>
      </c>
      <c r="AE271">
        <v>-8.8599999999985302E-2</v>
      </c>
      <c r="AF271">
        <v>8.1652918868154706E-2</v>
      </c>
      <c r="AG271">
        <v>-0.18686230000000001</v>
      </c>
      <c r="AH271">
        <v>0.55526649089556901</v>
      </c>
      <c r="AI271">
        <v>108.41500610019899</v>
      </c>
      <c r="AJ271">
        <v>81.634509604265901</v>
      </c>
      <c r="AK271">
        <v>0.59152818549284603</v>
      </c>
      <c r="AL271">
        <v>94.818802638610507</v>
      </c>
      <c r="AM271">
        <v>89.0018862007595</v>
      </c>
      <c r="AN271">
        <v>1.00000004950599</v>
      </c>
    </row>
    <row r="272" spans="1:40" x14ac:dyDescent="0.25">
      <c r="A272" t="str">
        <f>"20190303154102264"</f>
        <v>20190303154102264</v>
      </c>
      <c r="B272" t="str">
        <f>"1551598862258969"</f>
        <v>1551598862258969</v>
      </c>
      <c r="C272" t="s">
        <v>40</v>
      </c>
      <c r="D272">
        <v>5.6507860000000001</v>
      </c>
      <c r="E272">
        <v>0.53841799999999995</v>
      </c>
      <c r="F272" t="s">
        <v>42</v>
      </c>
      <c r="G272">
        <v>-440.75560000000002</v>
      </c>
      <c r="H272">
        <v>0.92062889999999997</v>
      </c>
      <c r="I272">
        <v>367.28089999999997</v>
      </c>
      <c r="J272">
        <v>-441.35300000000001</v>
      </c>
      <c r="K272">
        <v>1.120959</v>
      </c>
      <c r="L272">
        <v>367.37549999999999</v>
      </c>
      <c r="M272">
        <v>0.99990559999999995</v>
      </c>
      <c r="N272">
        <v>-1.3716890000000001E-2</v>
      </c>
      <c r="O272">
        <v>8.7700369999999905E-4</v>
      </c>
      <c r="P272">
        <v>0.99512179999999995</v>
      </c>
      <c r="Q272">
        <v>-9.7380250000000002E-2</v>
      </c>
      <c r="R272">
        <v>-1.581202E-2</v>
      </c>
      <c r="S272">
        <v>2.933716</v>
      </c>
      <c r="T272">
        <v>-0.76607599999999998</v>
      </c>
      <c r="U272">
        <v>-0.36019899999999999</v>
      </c>
      <c r="V272">
        <v>1.666275E-2</v>
      </c>
      <c r="W272">
        <v>-8.3725659999999993E-2</v>
      </c>
      <c r="X272">
        <v>0.9963495</v>
      </c>
      <c r="Y272">
        <v>0.11857520000000001</v>
      </c>
      <c r="Z272">
        <v>-1.6215070000000002E-2</v>
      </c>
      <c r="AA272">
        <v>0.99281269999999999</v>
      </c>
      <c r="AB272">
        <v>19</v>
      </c>
      <c r="AC272">
        <v>0.59739999999999305</v>
      </c>
      <c r="AD272">
        <v>-0.20033010000000001</v>
      </c>
      <c r="AE272">
        <v>-9.4600000000014006E-2</v>
      </c>
      <c r="AF272">
        <v>8.5720417177725605E-2</v>
      </c>
      <c r="AG272">
        <v>-0.20033010000000001</v>
      </c>
      <c r="AH272">
        <v>0.53826878757992203</v>
      </c>
      <c r="AI272">
        <v>110.18056814933099</v>
      </c>
      <c r="AJ272">
        <v>80.951511672266804</v>
      </c>
      <c r="AK272">
        <v>0.58070080641402</v>
      </c>
      <c r="AL272">
        <v>94.802749438506893</v>
      </c>
      <c r="AM272">
        <v>89.041886146098093</v>
      </c>
      <c r="AN272">
        <v>0.999999979765123</v>
      </c>
    </row>
    <row r="273" spans="1:40" x14ac:dyDescent="0.25">
      <c r="A273" t="str">
        <f>"20190303154102278"</f>
        <v>20190303154102278</v>
      </c>
      <c r="B273" t="str">
        <f>"1551598862269705"</f>
        <v>1551598862269705</v>
      </c>
      <c r="C273" t="s">
        <v>40</v>
      </c>
      <c r="D273">
        <v>5.6433419999999996</v>
      </c>
      <c r="E273">
        <v>0.53838739999999996</v>
      </c>
      <c r="F273" t="s">
        <v>42</v>
      </c>
      <c r="G273">
        <v>-440.58940000000001</v>
      </c>
      <c r="H273">
        <v>0.92101219999999995</v>
      </c>
      <c r="I273">
        <v>367.28219999999999</v>
      </c>
      <c r="J273">
        <v>-441.23570000000001</v>
      </c>
      <c r="K273">
        <v>1.1209439999999999</v>
      </c>
      <c r="L273">
        <v>367.37540000000001</v>
      </c>
      <c r="M273">
        <v>0.99990619999999997</v>
      </c>
      <c r="N273">
        <v>-1.367956E-2</v>
      </c>
      <c r="O273">
        <v>7.6265339999999999E-4</v>
      </c>
      <c r="P273">
        <v>0.9951023</v>
      </c>
      <c r="Q273">
        <v>-9.7530099999999995E-2</v>
      </c>
      <c r="R273">
        <v>-1.6103180000000002E-2</v>
      </c>
      <c r="S273">
        <v>2.9338069999999998</v>
      </c>
      <c r="T273">
        <v>-0.76823660000000005</v>
      </c>
      <c r="U273">
        <v>-0.35839840000000001</v>
      </c>
      <c r="V273">
        <v>1.6840109999999998E-2</v>
      </c>
      <c r="W273">
        <v>-8.3913000000000001E-2</v>
      </c>
      <c r="X273">
        <v>0.99633079999999996</v>
      </c>
      <c r="Y273">
        <v>0.11786389999999999</v>
      </c>
      <c r="Z273">
        <v>-1.6130950000000002E-2</v>
      </c>
      <c r="AA273">
        <v>0.99289870000000002</v>
      </c>
      <c r="AB273">
        <v>19</v>
      </c>
      <c r="AC273">
        <v>0.64629999999999599</v>
      </c>
      <c r="AD273">
        <v>-0.19993179999999999</v>
      </c>
      <c r="AE273">
        <v>-9.3200000000024305E-2</v>
      </c>
      <c r="AF273">
        <v>8.5662344535301305E-2</v>
      </c>
      <c r="AG273">
        <v>-0.19993179999999999</v>
      </c>
      <c r="AH273">
        <v>0.59083937901579298</v>
      </c>
      <c r="AI273">
        <v>108.514906715927</v>
      </c>
      <c r="AJ273">
        <v>81.750502269454401</v>
      </c>
      <c r="AK273">
        <v>0.62960458521066498</v>
      </c>
      <c r="AL273">
        <v>94.813520932479406</v>
      </c>
      <c r="AM273">
        <v>89.031671646024705</v>
      </c>
      <c r="AN273">
        <v>1.00000002195122</v>
      </c>
    </row>
    <row r="274" spans="1:40" x14ac:dyDescent="0.25">
      <c r="A274" t="str">
        <f>"20190303154102298"</f>
        <v>20190303154102298</v>
      </c>
      <c r="B274" t="str">
        <f>"1551598862289225"</f>
        <v>1551598862289225</v>
      </c>
      <c r="C274" t="s">
        <v>40</v>
      </c>
      <c r="D274">
        <v>5.6414530000000003</v>
      </c>
      <c r="E274">
        <v>0.53838129999999995</v>
      </c>
      <c r="F274" t="s">
        <v>42</v>
      </c>
      <c r="G274">
        <v>-440.42700000000002</v>
      </c>
      <c r="H274">
        <v>0.90876259999999998</v>
      </c>
      <c r="I274">
        <v>367.27620000000002</v>
      </c>
      <c r="J274">
        <v>-441.07769999999999</v>
      </c>
      <c r="K274">
        <v>1.120797</v>
      </c>
      <c r="L274">
        <v>367.37529999999998</v>
      </c>
      <c r="M274">
        <v>0.99991289999999999</v>
      </c>
      <c r="N274">
        <v>-1.319411E-2</v>
      </c>
      <c r="O274">
        <v>6.0218209999999997E-4</v>
      </c>
      <c r="P274">
        <v>0.99512990000000001</v>
      </c>
      <c r="Q274">
        <v>-9.7212720000000002E-2</v>
      </c>
      <c r="R274">
        <v>-1.6324479999999999E-2</v>
      </c>
      <c r="S274">
        <v>2.9334720000000001</v>
      </c>
      <c r="T274">
        <v>-0.76976369999999905</v>
      </c>
      <c r="U274">
        <v>-0.35897829999999997</v>
      </c>
      <c r="V274">
        <v>1.6901590000000001E-2</v>
      </c>
      <c r="W274">
        <v>-8.4078990000000006E-2</v>
      </c>
      <c r="X274">
        <v>0.99631570000000003</v>
      </c>
      <c r="Y274">
        <v>0.11790589999999999</v>
      </c>
      <c r="Z274">
        <v>-1.609961E-2</v>
      </c>
      <c r="AA274">
        <v>0.99289419999999995</v>
      </c>
      <c r="AB274">
        <v>19</v>
      </c>
      <c r="AC274">
        <v>0.65070000000002803</v>
      </c>
      <c r="AD274">
        <v>-0.21203440000000001</v>
      </c>
      <c r="AE274">
        <v>-9.9099999999964397E-2</v>
      </c>
      <c r="AF274">
        <v>9.0137803617403298E-2</v>
      </c>
      <c r="AG274">
        <v>-0.21203440000000001</v>
      </c>
      <c r="AH274">
        <v>0.58946813329697501</v>
      </c>
      <c r="AI274">
        <v>109.57393809411001</v>
      </c>
      <c r="AJ274">
        <v>81.306030652654101</v>
      </c>
      <c r="AK274">
        <v>0.63289500756203598</v>
      </c>
      <c r="AL274">
        <v>94.823065500349102</v>
      </c>
      <c r="AM274">
        <v>89.028122415844194</v>
      </c>
      <c r="AN274">
        <v>0.99999995718521795</v>
      </c>
    </row>
    <row r="275" spans="1:40" x14ac:dyDescent="0.25">
      <c r="A275" t="str">
        <f>"20190303154102322"</f>
        <v>20190303154102322</v>
      </c>
      <c r="B275" t="str">
        <f>"1551598862309721"</f>
        <v>1551598862309721</v>
      </c>
      <c r="C275" t="s">
        <v>40</v>
      </c>
      <c r="D275">
        <v>5.6080829999999997</v>
      </c>
      <c r="E275">
        <v>0.52574460000000001</v>
      </c>
      <c r="F275" t="s">
        <v>42</v>
      </c>
      <c r="G275">
        <v>-440.25920000000002</v>
      </c>
      <c r="H275">
        <v>0.90595669999999995</v>
      </c>
      <c r="I275">
        <v>367.27499999999998</v>
      </c>
      <c r="J275">
        <v>-440.86849999999998</v>
      </c>
      <c r="K275">
        <v>1.1204689999999999</v>
      </c>
      <c r="L275">
        <v>367.37520000000001</v>
      </c>
      <c r="M275">
        <v>0.99991980000000003</v>
      </c>
      <c r="N275">
        <v>-1.2658030000000001E-2</v>
      </c>
      <c r="O275">
        <v>3.8808769999999998E-4</v>
      </c>
      <c r="P275">
        <v>0.99516349999999998</v>
      </c>
      <c r="Q275">
        <v>-9.6848820000000002E-2</v>
      </c>
      <c r="R275">
        <v>-1.643712E-2</v>
      </c>
      <c r="S275">
        <v>2.9335629999999999</v>
      </c>
      <c r="T275">
        <v>-0.76993219999999996</v>
      </c>
      <c r="U275">
        <v>-0.35961910000000002</v>
      </c>
      <c r="V275">
        <v>1.6800699999999998E-2</v>
      </c>
      <c r="W275">
        <v>-8.4248809999999993E-2</v>
      </c>
      <c r="X275">
        <v>0.9963031</v>
      </c>
      <c r="Y275">
        <v>0.1179164</v>
      </c>
      <c r="Z275">
        <v>-1.601926E-2</v>
      </c>
      <c r="AA275">
        <v>0.99289430000000001</v>
      </c>
      <c r="AB275">
        <v>19</v>
      </c>
      <c r="AC275">
        <v>0.60929999999996198</v>
      </c>
      <c r="AD275">
        <v>-0.21451229999999999</v>
      </c>
      <c r="AE275">
        <v>-0.100200000000029</v>
      </c>
      <c r="AF275">
        <v>8.9620617902131203E-2</v>
      </c>
      <c r="AG275">
        <v>-0.21451229999999999</v>
      </c>
      <c r="AH275">
        <v>0.543650641186183</v>
      </c>
      <c r="AI275">
        <v>111.272104359651</v>
      </c>
      <c r="AJ275">
        <v>80.639001216646093</v>
      </c>
      <c r="AK275">
        <v>0.59127269653400805</v>
      </c>
      <c r="AL275">
        <v>94.832829926221606</v>
      </c>
      <c r="AM275">
        <v>89.033910488462595</v>
      </c>
      <c r="AN275">
        <v>0.99999999628825798</v>
      </c>
    </row>
    <row r="276" spans="1:40" x14ac:dyDescent="0.25">
      <c r="A276" t="str">
        <f>"20190303154102343"</f>
        <v>20190303154102343</v>
      </c>
      <c r="B276" t="str">
        <f>"1551598862339977"</f>
        <v>1551598862339977</v>
      </c>
      <c r="C276" t="s">
        <v>40</v>
      </c>
      <c r="D276">
        <v>5.5888400000000003</v>
      </c>
      <c r="E276">
        <v>0.52545569999999997</v>
      </c>
      <c r="F276" t="s">
        <v>42</v>
      </c>
      <c r="G276">
        <v>-440.09300000000002</v>
      </c>
      <c r="H276">
        <v>0.90114689999999997</v>
      </c>
      <c r="I276">
        <v>367.30610000000001</v>
      </c>
      <c r="J276">
        <v>-440.68599999999998</v>
      </c>
      <c r="K276">
        <v>1.1201110000000001</v>
      </c>
      <c r="L276">
        <v>367.37509999999997</v>
      </c>
      <c r="M276">
        <v>0.99991870000000005</v>
      </c>
      <c r="N276">
        <v>-1.276014E-2</v>
      </c>
      <c r="O276">
        <v>2.0389609999999999E-4</v>
      </c>
      <c r="P276">
        <v>0.99514740000000002</v>
      </c>
      <c r="Q276">
        <v>-9.6968810000000003E-2</v>
      </c>
      <c r="R276">
        <v>-1.6706249999999999E-2</v>
      </c>
      <c r="S276">
        <v>2.9296570000000002</v>
      </c>
      <c r="T276">
        <v>-0.82848619999999995</v>
      </c>
      <c r="U276">
        <v>-0.25961299999999998</v>
      </c>
      <c r="V276">
        <v>1.6886539999999998E-2</v>
      </c>
      <c r="W276">
        <v>-8.4267289999999995E-2</v>
      </c>
      <c r="X276">
        <v>0.99630010000000002</v>
      </c>
      <c r="Y276">
        <v>8.5001339999999995E-2</v>
      </c>
      <c r="Z276">
        <v>-1.2374120000000001E-2</v>
      </c>
      <c r="AA276">
        <v>0.99630399999999997</v>
      </c>
      <c r="AB276">
        <v>19</v>
      </c>
      <c r="AC276">
        <v>0.59299999999996</v>
      </c>
      <c r="AD276">
        <v>-0.21896409999999999</v>
      </c>
      <c r="AE276">
        <v>-6.8999999999959899E-2</v>
      </c>
      <c r="AF276">
        <v>6.0925102400328203E-2</v>
      </c>
      <c r="AG276">
        <v>-0.21896409999999999</v>
      </c>
      <c r="AH276">
        <v>0.52267429881945904</v>
      </c>
      <c r="AI276">
        <v>112.592826151252</v>
      </c>
      <c r="AJ276">
        <v>83.351368077707505</v>
      </c>
      <c r="AK276">
        <v>0.56995225048920894</v>
      </c>
      <c r="AL276">
        <v>94.833892462856596</v>
      </c>
      <c r="AM276">
        <v>89.028972456138703</v>
      </c>
      <c r="AN276">
        <v>1.00000001032856</v>
      </c>
    </row>
    <row r="277" spans="1:40" x14ac:dyDescent="0.25">
      <c r="A277" t="str">
        <f>"20190303154102364"</f>
        <v>20190303154102364</v>
      </c>
      <c r="B277" t="str">
        <f>"1551598862359497"</f>
        <v>1551598862359497</v>
      </c>
      <c r="C277" t="s">
        <v>40</v>
      </c>
      <c r="D277">
        <v>5.5587429999999998</v>
      </c>
      <c r="E277">
        <v>0.52530069999999995</v>
      </c>
      <c r="F277" t="s">
        <v>42</v>
      </c>
      <c r="G277">
        <v>-439.92309999999998</v>
      </c>
      <c r="H277">
        <v>0.90423050000000005</v>
      </c>
      <c r="I277">
        <v>367.30759999999998</v>
      </c>
      <c r="J277">
        <v>-440.5145</v>
      </c>
      <c r="K277">
        <v>1.119648</v>
      </c>
      <c r="L277">
        <v>367.375</v>
      </c>
      <c r="M277">
        <v>0.99991090000000005</v>
      </c>
      <c r="N277">
        <v>-1.3358119999999999E-2</v>
      </c>
      <c r="O277" s="1">
        <v>3.5326849999999999E-5</v>
      </c>
      <c r="P277">
        <v>0.99508799999999997</v>
      </c>
      <c r="Q277">
        <v>-9.748076E-2</v>
      </c>
      <c r="R277">
        <v>-1.724699E-2</v>
      </c>
      <c r="S277">
        <v>2.9295040000000001</v>
      </c>
      <c r="T277">
        <v>-0.82900750000000001</v>
      </c>
      <c r="U277">
        <v>-0.25814819999999999</v>
      </c>
      <c r="V277">
        <v>1.7259320000000002E-2</v>
      </c>
      <c r="W277">
        <v>-8.418428E-2</v>
      </c>
      <c r="X277">
        <v>0.99630070000000004</v>
      </c>
      <c r="Y277">
        <v>8.4363659999999993E-2</v>
      </c>
      <c r="Z277">
        <v>-1.227083E-2</v>
      </c>
      <c r="AA277">
        <v>0.99635949999999995</v>
      </c>
      <c r="AB277">
        <v>19</v>
      </c>
      <c r="AC277">
        <v>0.59140000000002102</v>
      </c>
      <c r="AD277">
        <v>-0.21541750000000001</v>
      </c>
      <c r="AE277">
        <v>-6.7400000000020499E-2</v>
      </c>
      <c r="AF277">
        <v>5.9612969894342602E-2</v>
      </c>
      <c r="AG277">
        <v>-0.21541750000000001</v>
      </c>
      <c r="AH277">
        <v>0.52290864547929095</v>
      </c>
      <c r="AI277">
        <v>112.259721116336</v>
      </c>
      <c r="AJ277">
        <v>83.496208198404801</v>
      </c>
      <c r="AK277">
        <v>0.56867552875331395</v>
      </c>
      <c r="AL277">
        <v>94.829119522127996</v>
      </c>
      <c r="AM277">
        <v>89.007541308182596</v>
      </c>
      <c r="AN277">
        <v>0.99999998097323495</v>
      </c>
    </row>
    <row r="278" spans="1:40" x14ac:dyDescent="0.25">
      <c r="A278" t="str">
        <f>"20190303154102387"</f>
        <v>20190303154102387</v>
      </c>
      <c r="B278" t="str">
        <f>"1551598862379017"</f>
        <v>1551598862379017</v>
      </c>
      <c r="C278" t="s">
        <v>40</v>
      </c>
      <c r="D278">
        <v>5.5071379999999897</v>
      </c>
      <c r="E278">
        <v>0.52546159999999997</v>
      </c>
      <c r="F278" t="s">
        <v>42</v>
      </c>
      <c r="G278">
        <v>-439.75540000000001</v>
      </c>
      <c r="H278">
        <v>0.90316450000000004</v>
      </c>
      <c r="I278">
        <v>367.30779999999999</v>
      </c>
      <c r="J278">
        <v>-440.3159</v>
      </c>
      <c r="K278">
        <v>1.1188610000000001</v>
      </c>
      <c r="L278">
        <v>367.37479999999999</v>
      </c>
      <c r="M278">
        <v>0.99989490000000003</v>
      </c>
      <c r="N278">
        <v>-1.449869E-2</v>
      </c>
      <c r="O278">
        <v>-1.5151070000000001E-4</v>
      </c>
      <c r="P278">
        <v>0.99493529999999997</v>
      </c>
      <c r="Q278">
        <v>-9.8975640000000004E-2</v>
      </c>
      <c r="R278">
        <v>-1.753975E-2</v>
      </c>
      <c r="S278">
        <v>2.928528</v>
      </c>
      <c r="T278">
        <v>-0.83503619999999901</v>
      </c>
      <c r="U278">
        <v>-0.2583008</v>
      </c>
      <c r="V278">
        <v>1.7365370000000001E-2</v>
      </c>
      <c r="W278">
        <v>-8.4544809999999998E-2</v>
      </c>
      <c r="X278">
        <v>0.9962683</v>
      </c>
      <c r="Y278">
        <v>8.4206790000000004E-2</v>
      </c>
      <c r="Z278">
        <v>-1.2333220000000001E-2</v>
      </c>
      <c r="AA278">
        <v>0.99637200000000004</v>
      </c>
      <c r="AB278">
        <v>19</v>
      </c>
      <c r="AC278">
        <v>0.56049999999999001</v>
      </c>
      <c r="AD278">
        <v>-0.21569650000000001</v>
      </c>
      <c r="AE278">
        <v>-6.7000000000007207E-2</v>
      </c>
      <c r="AF278">
        <v>5.8389762068451298E-2</v>
      </c>
      <c r="AG278">
        <v>-0.21569650000000001</v>
      </c>
      <c r="AH278">
        <v>0.48909841621989603</v>
      </c>
      <c r="AI278">
        <v>113.648559111699</v>
      </c>
      <c r="AJ278">
        <v>83.192110452542096</v>
      </c>
      <c r="AK278">
        <v>0.53772818893514496</v>
      </c>
      <c r="AL278">
        <v>94.849850410690294</v>
      </c>
      <c r="AM278">
        <v>89.001411902700795</v>
      </c>
      <c r="AN278">
        <v>0.99999995327903002</v>
      </c>
    </row>
    <row r="279" spans="1:40" x14ac:dyDescent="0.25">
      <c r="A279" t="str">
        <f>"20190303154102409"</f>
        <v>20190303154102409</v>
      </c>
      <c r="B279" t="str">
        <f>"1551598862399031"</f>
        <v>1551598862399031</v>
      </c>
      <c r="C279" t="s">
        <v>40</v>
      </c>
      <c r="D279">
        <v>5.4720360000000001</v>
      </c>
      <c r="E279">
        <v>0.52571080000000003</v>
      </c>
      <c r="F279" t="s">
        <v>42</v>
      </c>
      <c r="G279">
        <v>-439.58460000000002</v>
      </c>
      <c r="H279">
        <v>0.90934669999999895</v>
      </c>
      <c r="I279">
        <v>367.30950000000001</v>
      </c>
      <c r="J279">
        <v>-440.13290000000001</v>
      </c>
      <c r="K279">
        <v>1.1178999999999999</v>
      </c>
      <c r="L279">
        <v>367.37450000000001</v>
      </c>
      <c r="M279">
        <v>0.99987250000000005</v>
      </c>
      <c r="N279">
        <v>-1.5966959999999999E-2</v>
      </c>
      <c r="O279">
        <v>-3.1325990000000001E-4</v>
      </c>
      <c r="P279">
        <v>0.99471989999999999</v>
      </c>
      <c r="Q279">
        <v>-0.1010233</v>
      </c>
      <c r="R279">
        <v>-1.8080189999999999E-2</v>
      </c>
      <c r="S279">
        <v>2.927216</v>
      </c>
      <c r="T279">
        <v>-0.83866359999999995</v>
      </c>
      <c r="U279">
        <v>-0.26028440000000003</v>
      </c>
      <c r="V279">
        <v>1.774417E-2</v>
      </c>
      <c r="W279">
        <v>-8.5132769999999997E-2</v>
      </c>
      <c r="X279">
        <v>0.99621159999999997</v>
      </c>
      <c r="Y279">
        <v>8.4689929999999997E-2</v>
      </c>
      <c r="Z279">
        <v>-1.247934E-2</v>
      </c>
      <c r="AA279">
        <v>0.99632920000000003</v>
      </c>
      <c r="AB279">
        <v>19</v>
      </c>
      <c r="AC279">
        <v>0.54829999999998302</v>
      </c>
      <c r="AD279">
        <v>-0.2085533</v>
      </c>
      <c r="AE279">
        <v>-6.4999999999997699E-2</v>
      </c>
      <c r="AF279">
        <v>5.6733912127433402E-2</v>
      </c>
      <c r="AG279">
        <v>-0.2085533</v>
      </c>
      <c r="AH279">
        <v>0.47985831606865897</v>
      </c>
      <c r="AI279">
        <v>113.34542326670901</v>
      </c>
      <c r="AJ279">
        <v>83.257190309778693</v>
      </c>
      <c r="AK279">
        <v>0.52628625217311398</v>
      </c>
      <c r="AL279">
        <v>94.883659713974794</v>
      </c>
      <c r="AM279">
        <v>88.979575666088607</v>
      </c>
      <c r="AN279">
        <v>0.99999999803571005</v>
      </c>
    </row>
    <row r="280" spans="1:40" x14ac:dyDescent="0.25">
      <c r="A280" t="str">
        <f>"20190303154102432"</f>
        <v>20190303154102432</v>
      </c>
      <c r="B280" t="str">
        <f>"1551598862429287"</f>
        <v>1551598862429287</v>
      </c>
      <c r="C280" t="s">
        <v>40</v>
      </c>
      <c r="D280">
        <v>5.4157019999999996</v>
      </c>
      <c r="E280">
        <v>0.52575169999999904</v>
      </c>
      <c r="F280" t="s">
        <v>42</v>
      </c>
      <c r="G280">
        <v>-439.41640000000001</v>
      </c>
      <c r="H280">
        <v>0.91140659999999896</v>
      </c>
      <c r="I280">
        <v>367.30959999999999</v>
      </c>
      <c r="J280">
        <v>-439.94920000000002</v>
      </c>
      <c r="K280">
        <v>1.1167400000000001</v>
      </c>
      <c r="L280">
        <v>367.37430000000001</v>
      </c>
      <c r="M280">
        <v>0.99984090000000003</v>
      </c>
      <c r="N280">
        <v>-1.7831550000000002E-2</v>
      </c>
      <c r="O280">
        <v>-4.7196659999999997E-4</v>
      </c>
      <c r="P280">
        <v>0.99451120000000004</v>
      </c>
      <c r="Q280">
        <v>-0.10306070000000001</v>
      </c>
      <c r="R280">
        <v>-1.8058230000000002E-2</v>
      </c>
      <c r="S280">
        <v>2.9255070000000001</v>
      </c>
      <c r="T280">
        <v>-0.84321689999999905</v>
      </c>
      <c r="U280">
        <v>-0.2640381</v>
      </c>
      <c r="V280">
        <v>1.7564260000000002E-2</v>
      </c>
      <c r="W280">
        <v>-8.5315500000000002E-2</v>
      </c>
      <c r="X280">
        <v>0.9961991</v>
      </c>
      <c r="Y280">
        <v>8.5747459999999998E-2</v>
      </c>
      <c r="Z280">
        <v>-1.274522E-2</v>
      </c>
      <c r="AA280">
        <v>0.99623539999999999</v>
      </c>
      <c r="AB280">
        <v>19</v>
      </c>
      <c r="AC280">
        <v>0.53280000000000804</v>
      </c>
      <c r="AD280">
        <v>-0.2053334</v>
      </c>
      <c r="AE280">
        <v>-6.4700000000016106E-2</v>
      </c>
      <c r="AF280">
        <v>5.6219932581333197E-2</v>
      </c>
      <c r="AG280">
        <v>-0.2053334</v>
      </c>
      <c r="AH280">
        <v>0.46480055971442802</v>
      </c>
      <c r="AI280">
        <v>113.680822702993</v>
      </c>
      <c r="AJ280">
        <v>83.103294296242794</v>
      </c>
      <c r="AK280">
        <v>0.51123580301643101</v>
      </c>
      <c r="AL280">
        <v>94.894167874962903</v>
      </c>
      <c r="AM280">
        <v>88.989907029344295</v>
      </c>
      <c r="AN280">
        <v>0.99999994230520195</v>
      </c>
    </row>
    <row r="281" spans="1:40" x14ac:dyDescent="0.25">
      <c r="A281" t="str">
        <f>"20190303154102446"</f>
        <v>20190303154102446</v>
      </c>
      <c r="B281" t="str">
        <f>"1551598862439047"</f>
        <v>1551598862439047</v>
      </c>
      <c r="C281" t="s">
        <v>40</v>
      </c>
      <c r="D281">
        <v>5.425211</v>
      </c>
      <c r="E281">
        <v>0.52576239999999996</v>
      </c>
      <c r="F281" t="s">
        <v>42</v>
      </c>
      <c r="G281">
        <v>-439.24900000000002</v>
      </c>
      <c r="H281">
        <v>0.91375580000000001</v>
      </c>
      <c r="I281">
        <v>367.31079999999997</v>
      </c>
      <c r="J281">
        <v>-439.82900000000001</v>
      </c>
      <c r="K281">
        <v>1.1158790000000001</v>
      </c>
      <c r="L281">
        <v>367.3741</v>
      </c>
      <c r="M281">
        <v>0.99981600000000004</v>
      </c>
      <c r="N281">
        <v>-1.917694E-2</v>
      </c>
      <c r="O281">
        <v>-5.7863890000000001E-4</v>
      </c>
      <c r="P281">
        <v>0.99443170000000003</v>
      </c>
      <c r="Q281">
        <v>-0.1037594</v>
      </c>
      <c r="R281">
        <v>-1.842763E-2</v>
      </c>
      <c r="S281">
        <v>2.9239199999999999</v>
      </c>
      <c r="T281">
        <v>-0.84758539999999905</v>
      </c>
      <c r="U281">
        <v>-0.26400759999999901</v>
      </c>
      <c r="V281">
        <v>1.7827989999999998E-2</v>
      </c>
      <c r="W281">
        <v>-8.4675070000000005E-2</v>
      </c>
      <c r="X281">
        <v>0.9962491</v>
      </c>
      <c r="Y281">
        <v>8.5630819999999996E-2</v>
      </c>
      <c r="Z281">
        <v>-1.282499E-2</v>
      </c>
      <c r="AA281">
        <v>0.99624440000000003</v>
      </c>
      <c r="AB281">
        <v>19</v>
      </c>
      <c r="AC281">
        <v>0.57999999999998397</v>
      </c>
      <c r="AD281">
        <v>-0.202123199999999</v>
      </c>
      <c r="AE281">
        <v>-6.3300000000026502E-2</v>
      </c>
      <c r="AF281">
        <v>5.6217408752146099E-2</v>
      </c>
      <c r="AG281">
        <v>-0.202123199999999</v>
      </c>
      <c r="AH281">
        <v>0.51788302650102402</v>
      </c>
      <c r="AI281">
        <v>111.20665100096301</v>
      </c>
      <c r="AJ281">
        <v>83.804668140300194</v>
      </c>
      <c r="AK281">
        <v>0.55876382682033598</v>
      </c>
      <c r="AL281">
        <v>94.857340453962394</v>
      </c>
      <c r="AM281">
        <v>88.974794990066101</v>
      </c>
      <c r="AN281">
        <v>0.99999998697887704</v>
      </c>
    </row>
    <row r="282" spans="1:40" x14ac:dyDescent="0.25">
      <c r="A282" t="str">
        <f>"20190303154102465"</f>
        <v>20190303154102465</v>
      </c>
      <c r="B282" t="str">
        <f>"1551598862459544"</f>
        <v>1551598862459544</v>
      </c>
      <c r="C282" t="s">
        <v>40</v>
      </c>
      <c r="D282">
        <v>5.3727150000000004</v>
      </c>
      <c r="E282">
        <v>0.52579219999999904</v>
      </c>
      <c r="F282" t="s">
        <v>42</v>
      </c>
      <c r="G282">
        <v>-439.08980000000003</v>
      </c>
      <c r="H282">
        <v>0.90104200000000001</v>
      </c>
      <c r="I282">
        <v>367.30650000000003</v>
      </c>
      <c r="J282">
        <v>-439.67290000000003</v>
      </c>
      <c r="K282">
        <v>1.1146689999999999</v>
      </c>
      <c r="L282">
        <v>367.37380000000002</v>
      </c>
      <c r="M282">
        <v>0.99978109999999998</v>
      </c>
      <c r="N282">
        <v>-2.0912980000000001E-2</v>
      </c>
      <c r="O282">
        <v>-7.233335E-4</v>
      </c>
      <c r="P282">
        <v>0.99424389999999996</v>
      </c>
      <c r="Q282">
        <v>-0.1055513</v>
      </c>
      <c r="R282">
        <v>-1.8388890000000001E-2</v>
      </c>
      <c r="S282">
        <v>2.9232480000000001</v>
      </c>
      <c r="T282">
        <v>-0.84950959999999998</v>
      </c>
      <c r="U282">
        <v>-0.26556400000000002</v>
      </c>
      <c r="V282">
        <v>1.7645399999999999E-2</v>
      </c>
      <c r="W282">
        <v>-8.4740309999999999E-2</v>
      </c>
      <c r="X282">
        <v>0.99624679999999999</v>
      </c>
      <c r="Y282">
        <v>8.5983030000000002E-2</v>
      </c>
      <c r="Z282">
        <v>-1.294642E-2</v>
      </c>
      <c r="AA282">
        <v>0.99621249999999995</v>
      </c>
      <c r="AB282">
        <v>18</v>
      </c>
      <c r="AC282">
        <v>0.58310000000000095</v>
      </c>
      <c r="AD282">
        <v>-0.21362700000000001</v>
      </c>
      <c r="AE282">
        <v>-6.7299999999988799E-2</v>
      </c>
      <c r="AF282">
        <v>5.9055698956354798E-2</v>
      </c>
      <c r="AG282">
        <v>-0.21362700000000001</v>
      </c>
      <c r="AH282">
        <v>0.514940423271942</v>
      </c>
      <c r="AI282">
        <v>112.399306886155</v>
      </c>
      <c r="AJ282">
        <v>83.457643574915096</v>
      </c>
      <c r="AK282">
        <v>0.56061369072446898</v>
      </c>
      <c r="AL282">
        <v>94.861091931460507</v>
      </c>
      <c r="AM282">
        <v>88.985290345193306</v>
      </c>
      <c r="AN282">
        <v>0.99999998339514795</v>
      </c>
    </row>
    <row r="283" spans="1:40" x14ac:dyDescent="0.25">
      <c r="A283" t="str">
        <f>"20190303154102487"</f>
        <v>20190303154102487</v>
      </c>
      <c r="B283" t="str">
        <f>"1551598862479063"</f>
        <v>1551598862479063</v>
      </c>
      <c r="C283" t="s">
        <v>40</v>
      </c>
      <c r="D283">
        <v>5.3695589999999997</v>
      </c>
      <c r="E283">
        <v>0.52572909999999995</v>
      </c>
      <c r="F283" t="s">
        <v>42</v>
      </c>
      <c r="G283">
        <v>-438.92720000000003</v>
      </c>
      <c r="H283">
        <v>0.89665019999999995</v>
      </c>
      <c r="I283">
        <v>367.3057</v>
      </c>
      <c r="J283">
        <v>-439.48809999999997</v>
      </c>
      <c r="K283">
        <v>1.113111</v>
      </c>
      <c r="L283">
        <v>367.37349999999998</v>
      </c>
      <c r="M283">
        <v>0.99974019999999997</v>
      </c>
      <c r="N283">
        <v>-2.2774900000000001E-2</v>
      </c>
      <c r="O283">
        <v>-9.0272870000000002E-4</v>
      </c>
      <c r="P283">
        <v>0.99405560000000004</v>
      </c>
      <c r="Q283">
        <v>-0.107305399999999</v>
      </c>
      <c r="R283">
        <v>-1.842191E-2</v>
      </c>
      <c r="S283">
        <v>2.9217529999999998</v>
      </c>
      <c r="T283">
        <v>-0.85441630000000002</v>
      </c>
      <c r="U283">
        <v>-0.26583859999999998</v>
      </c>
      <c r="V283">
        <v>1.7499870000000001E-2</v>
      </c>
      <c r="W283">
        <v>-8.4642759999999997E-2</v>
      </c>
      <c r="X283">
        <v>0.99625770000000002</v>
      </c>
      <c r="Y283">
        <v>8.5884600000000005E-2</v>
      </c>
      <c r="Z283">
        <v>-1.3040070000000001E-2</v>
      </c>
      <c r="AA283">
        <v>0.99621979999999999</v>
      </c>
      <c r="AB283">
        <v>18</v>
      </c>
      <c r="AC283">
        <v>0.560899999999946</v>
      </c>
      <c r="AD283">
        <v>-0.21646079999999901</v>
      </c>
      <c r="AE283">
        <v>-6.7799999999976907E-2</v>
      </c>
      <c r="AF283">
        <v>5.86800281451796E-2</v>
      </c>
      <c r="AG283">
        <v>-0.21646079999999901</v>
      </c>
      <c r="AH283">
        <v>0.48915878336591601</v>
      </c>
      <c r="AI283">
        <v>113.719070044216</v>
      </c>
      <c r="AJ283">
        <v>83.159423484903698</v>
      </c>
      <c r="AK283">
        <v>0.53812167674586597</v>
      </c>
      <c r="AL283">
        <v>94.855482379487398</v>
      </c>
      <c r="AM283">
        <v>88.993668417849406</v>
      </c>
      <c r="AN283">
        <v>1.0000000235398601</v>
      </c>
    </row>
    <row r="284" spans="1:40" x14ac:dyDescent="0.25">
      <c r="A284" t="str">
        <f>"20190303154102510"</f>
        <v>20190303154102510</v>
      </c>
      <c r="B284" t="str">
        <f>"1551598862499755"</f>
        <v>1551598862499755</v>
      </c>
      <c r="C284" t="s">
        <v>40</v>
      </c>
      <c r="D284">
        <v>5.5284559999999896</v>
      </c>
      <c r="E284">
        <v>0.52528249999999999</v>
      </c>
      <c r="F284" t="s">
        <v>42</v>
      </c>
      <c r="G284">
        <v>-438.76170000000002</v>
      </c>
      <c r="H284">
        <v>0.89950699999999995</v>
      </c>
      <c r="I284">
        <v>367.30709999999999</v>
      </c>
      <c r="J284">
        <v>-439.30689999999998</v>
      </c>
      <c r="K284">
        <v>1.111521</v>
      </c>
      <c r="L284">
        <v>367.37310000000002</v>
      </c>
      <c r="M284">
        <v>0.99970360000000003</v>
      </c>
      <c r="N284">
        <v>-2.432523E-2</v>
      </c>
      <c r="O284">
        <v>-1.0808809999999999E-3</v>
      </c>
      <c r="P284">
        <v>0.99386509999999995</v>
      </c>
      <c r="Q284">
        <v>-0.10898919999999999</v>
      </c>
      <c r="R284">
        <v>-1.8815749999999999E-2</v>
      </c>
      <c r="S284">
        <v>2.9203489999999999</v>
      </c>
      <c r="T284">
        <v>-0.85886090000000004</v>
      </c>
      <c r="U284">
        <v>-0.2648315</v>
      </c>
      <c r="V284">
        <v>1.7715950000000001E-2</v>
      </c>
      <c r="W284">
        <v>-8.4785719999999995E-2</v>
      </c>
      <c r="X284">
        <v>0.99624170000000001</v>
      </c>
      <c r="Y284">
        <v>8.5377309999999998E-2</v>
      </c>
      <c r="Z284">
        <v>-1.304953E-2</v>
      </c>
      <c r="AA284">
        <v>0.99626320000000002</v>
      </c>
      <c r="AB284">
        <v>18</v>
      </c>
      <c r="AC284">
        <v>0.54519999999996505</v>
      </c>
      <c r="AD284">
        <v>-0.21201400000000001</v>
      </c>
      <c r="AE284">
        <v>-6.6000000000030895E-2</v>
      </c>
      <c r="AF284">
        <v>5.6926271795205499E-2</v>
      </c>
      <c r="AG284">
        <v>-0.21201400000000001</v>
      </c>
      <c r="AH284">
        <v>0.47454539957380498</v>
      </c>
      <c r="AI284">
        <v>113.921716480238</v>
      </c>
      <c r="AJ284">
        <v>83.159509026482297</v>
      </c>
      <c r="AK284">
        <v>0.522861236728412</v>
      </c>
      <c r="AL284">
        <v>94.863703054064203</v>
      </c>
      <c r="AM284">
        <v>88.981228962893496</v>
      </c>
      <c r="AN284">
        <v>0.99999999900960501</v>
      </c>
    </row>
    <row r="285" spans="1:40" x14ac:dyDescent="0.25">
      <c r="A285" t="str">
        <f>"20190303154102527"</f>
        <v>20190303154102527</v>
      </c>
      <c r="B285" t="str">
        <f>"1551598862519275"</f>
        <v>1551598862519275</v>
      </c>
      <c r="C285" t="s">
        <v>40</v>
      </c>
      <c r="D285">
        <v>5.3581820000000002</v>
      </c>
      <c r="E285">
        <v>0.52519439999999995</v>
      </c>
      <c r="F285" t="s">
        <v>42</v>
      </c>
      <c r="G285">
        <v>-438.59719999999999</v>
      </c>
      <c r="H285">
        <v>0.90059880000000003</v>
      </c>
      <c r="I285">
        <v>367.30930000000001</v>
      </c>
      <c r="J285">
        <v>-439.17290000000003</v>
      </c>
      <c r="K285">
        <v>1.1103590000000001</v>
      </c>
      <c r="L285">
        <v>367.37279999999998</v>
      </c>
      <c r="M285">
        <v>0.99967850000000003</v>
      </c>
      <c r="N285">
        <v>-2.5328130000000001E-2</v>
      </c>
      <c r="O285">
        <v>-1.2097259999999999E-3</v>
      </c>
      <c r="P285">
        <v>0.99376489999999995</v>
      </c>
      <c r="Q285">
        <v>-0.10992680000000001</v>
      </c>
      <c r="R285">
        <v>-1.8642229999999999E-2</v>
      </c>
      <c r="S285">
        <v>2.918488</v>
      </c>
      <c r="T285">
        <v>-0.86731769999999997</v>
      </c>
      <c r="U285">
        <v>-0.2616272</v>
      </c>
      <c r="V285">
        <v>1.7414300000000001E-2</v>
      </c>
      <c r="W285">
        <v>-8.4726010000000004E-2</v>
      </c>
      <c r="X285">
        <v>0.99625209999999997</v>
      </c>
      <c r="Y285">
        <v>8.4190710000000002E-2</v>
      </c>
      <c r="Z285">
        <v>-1.2993930000000001E-2</v>
      </c>
      <c r="AA285">
        <v>0.99636499999999995</v>
      </c>
      <c r="AB285">
        <v>18</v>
      </c>
      <c r="AC285">
        <v>0.57570000000003996</v>
      </c>
      <c r="AD285">
        <v>-0.20976019999999901</v>
      </c>
      <c r="AE285">
        <v>-6.3499999999976298E-2</v>
      </c>
      <c r="AF285">
        <v>5.5521131183370799E-2</v>
      </c>
      <c r="AG285">
        <v>-0.20976019999999901</v>
      </c>
      <c r="AH285">
        <v>0.50901406264222804</v>
      </c>
      <c r="AI285">
        <v>112.277018413333</v>
      </c>
      <c r="AJ285">
        <v>83.775024764352594</v>
      </c>
      <c r="AK285">
        <v>0.55333285956959699</v>
      </c>
      <c r="AL285">
        <v>94.860269560358205</v>
      </c>
      <c r="AM285">
        <v>88.998582495946394</v>
      </c>
      <c r="AN285">
        <v>1.0000000006847001</v>
      </c>
    </row>
    <row r="286" spans="1:40" x14ac:dyDescent="0.25">
      <c r="A286" t="str">
        <f>"20190303154102545"</f>
        <v>20190303154102545</v>
      </c>
      <c r="B286" t="str">
        <f>"1551598862539772"</f>
        <v>1551598862539772</v>
      </c>
      <c r="C286" t="s">
        <v>40</v>
      </c>
      <c r="D286">
        <v>5.5074630000000004</v>
      </c>
      <c r="E286">
        <v>0.52448799999999995</v>
      </c>
      <c r="F286" t="s">
        <v>42</v>
      </c>
      <c r="G286">
        <v>-438.43810000000002</v>
      </c>
      <c r="H286">
        <v>0.89139950000000001</v>
      </c>
      <c r="I286">
        <v>367.30709999999999</v>
      </c>
      <c r="J286">
        <v>-439.02640000000002</v>
      </c>
      <c r="K286">
        <v>1.10914</v>
      </c>
      <c r="L286">
        <v>367.3725</v>
      </c>
      <c r="M286">
        <v>0.99965219999999999</v>
      </c>
      <c r="N286">
        <v>-2.6335850000000001E-2</v>
      </c>
      <c r="O286">
        <v>-1.3484759999999999E-3</v>
      </c>
      <c r="P286">
        <v>0.99361730000000004</v>
      </c>
      <c r="Q286">
        <v>-0.11114159999999999</v>
      </c>
      <c r="R286">
        <v>-1.929109E-2</v>
      </c>
      <c r="S286">
        <v>2.917786</v>
      </c>
      <c r="T286">
        <v>-0.86935769999999901</v>
      </c>
      <c r="U286">
        <v>-0.26028440000000003</v>
      </c>
      <c r="V286">
        <v>1.7925509999999999E-2</v>
      </c>
      <c r="W286">
        <v>-8.4939929999999997E-2</v>
      </c>
      <c r="X286">
        <v>0.99622480000000002</v>
      </c>
      <c r="Y286">
        <v>8.3618349999999994E-2</v>
      </c>
      <c r="Z286">
        <v>-1.2940709999999999E-2</v>
      </c>
      <c r="AA286">
        <v>0.99641380000000002</v>
      </c>
      <c r="AB286">
        <v>18</v>
      </c>
      <c r="AC286">
        <v>0.58830000000000304</v>
      </c>
      <c r="AD286">
        <v>-0.217740499999999</v>
      </c>
      <c r="AE286">
        <v>-6.5400000000010894E-2</v>
      </c>
      <c r="AF286">
        <v>5.6906098229046097E-2</v>
      </c>
      <c r="AG286">
        <v>-0.217740499999999</v>
      </c>
      <c r="AH286">
        <v>0.51825933401986701</v>
      </c>
      <c r="AI286">
        <v>112.666785185693</v>
      </c>
      <c r="AJ286">
        <v>83.733890278351893</v>
      </c>
      <c r="AK286">
        <v>0.56501501453909997</v>
      </c>
      <c r="AL286">
        <v>94.872570698642704</v>
      </c>
      <c r="AM286">
        <v>88.969163135729403</v>
      </c>
      <c r="AN286">
        <v>0.99999998387610201</v>
      </c>
    </row>
    <row r="287" spans="1:40" x14ac:dyDescent="0.25">
      <c r="A287" t="str">
        <f>"20190303154102567"</f>
        <v>20190303154102567</v>
      </c>
      <c r="B287" t="str">
        <f>"1551598862559292"</f>
        <v>1551598862559292</v>
      </c>
      <c r="C287" t="s">
        <v>40</v>
      </c>
      <c r="D287">
        <v>5.5119759999999998</v>
      </c>
      <c r="E287">
        <v>0.52380799999999905</v>
      </c>
      <c r="F287" t="s">
        <v>42</v>
      </c>
      <c r="G287">
        <v>-438.27870000000001</v>
      </c>
      <c r="H287">
        <v>0.88395380000000001</v>
      </c>
      <c r="I287">
        <v>367.3064</v>
      </c>
      <c r="J287">
        <v>-438.8494</v>
      </c>
      <c r="K287">
        <v>1.1077539999999999</v>
      </c>
      <c r="L287">
        <v>367.37200000000001</v>
      </c>
      <c r="M287">
        <v>0.99962220000000002</v>
      </c>
      <c r="N287">
        <v>-2.744661E-2</v>
      </c>
      <c r="O287">
        <v>-1.5144990000000001E-3</v>
      </c>
      <c r="P287">
        <v>0.9935079</v>
      </c>
      <c r="Q287">
        <v>-0.1120507</v>
      </c>
      <c r="R287">
        <v>-1.9672479999999999E-2</v>
      </c>
      <c r="S287">
        <v>2.9160460000000001</v>
      </c>
      <c r="T287">
        <v>-0.87825549999999997</v>
      </c>
      <c r="U287">
        <v>-0.25747680000000001</v>
      </c>
      <c r="V287">
        <v>1.814325E-2</v>
      </c>
      <c r="W287">
        <v>-8.4744420000000001E-2</v>
      </c>
      <c r="X287">
        <v>0.9962375</v>
      </c>
      <c r="Y287">
        <v>8.2518069999999999E-2</v>
      </c>
      <c r="Z287">
        <v>-1.2891430000000001E-2</v>
      </c>
      <c r="AA287">
        <v>0.99650620000000001</v>
      </c>
      <c r="AB287">
        <v>18</v>
      </c>
      <c r="AC287">
        <v>0.570699999999987</v>
      </c>
      <c r="AD287">
        <v>-0.2238002</v>
      </c>
      <c r="AE287">
        <v>-6.5599999999960801E-2</v>
      </c>
      <c r="AF287">
        <v>5.62047183820574E-2</v>
      </c>
      <c r="AG287">
        <v>-0.2238002</v>
      </c>
      <c r="AH287">
        <v>0.49558115481561399</v>
      </c>
      <c r="AI287">
        <v>114.166484914701</v>
      </c>
      <c r="AJ287">
        <v>83.529632846981897</v>
      </c>
      <c r="AK287">
        <v>0.54666825488299897</v>
      </c>
      <c r="AL287">
        <v>94.861328306573597</v>
      </c>
      <c r="AM287">
        <v>88.956657676672805</v>
      </c>
      <c r="AN287">
        <v>0.999999975323974</v>
      </c>
    </row>
    <row r="288" spans="1:40" x14ac:dyDescent="0.25">
      <c r="A288" t="str">
        <f>"20190303154102588"</f>
        <v>20190303154102588</v>
      </c>
      <c r="B288" t="str">
        <f>"1551598862579791"</f>
        <v>1551598862579791</v>
      </c>
      <c r="C288" t="s">
        <v>40</v>
      </c>
      <c r="D288">
        <v>5.5117940000000001</v>
      </c>
      <c r="E288">
        <v>0.52318940000000003</v>
      </c>
      <c r="F288" t="s">
        <v>42</v>
      </c>
      <c r="G288">
        <v>-438.11579999999998</v>
      </c>
      <c r="H288">
        <v>0.88481659999999995</v>
      </c>
      <c r="I288">
        <v>367.30770000000001</v>
      </c>
      <c r="J288">
        <v>-438.66930000000002</v>
      </c>
      <c r="K288">
        <v>1.106422</v>
      </c>
      <c r="L288">
        <v>367.37150000000003</v>
      </c>
      <c r="M288">
        <v>0.99959849999999995</v>
      </c>
      <c r="N288">
        <v>-2.8287690000000001E-2</v>
      </c>
      <c r="O288">
        <v>-1.683787E-3</v>
      </c>
      <c r="P288">
        <v>0.99341239999999997</v>
      </c>
      <c r="Q288">
        <v>-0.11278440000000001</v>
      </c>
      <c r="R288">
        <v>-2.0285999999999998E-2</v>
      </c>
      <c r="S288">
        <v>2.9146730000000001</v>
      </c>
      <c r="T288">
        <v>-0.88560749999999999</v>
      </c>
      <c r="U288">
        <v>-0.25311280000000003</v>
      </c>
      <c r="V288">
        <v>1.859069E-2</v>
      </c>
      <c r="W288">
        <v>-8.4641880000000003E-2</v>
      </c>
      <c r="X288">
        <v>0.99623799999999996</v>
      </c>
      <c r="Y288">
        <v>8.0917600000000006E-2</v>
      </c>
      <c r="Z288">
        <v>-1.2722300000000001E-2</v>
      </c>
      <c r="AA288">
        <v>0.99663959999999996</v>
      </c>
      <c r="AB288">
        <v>18</v>
      </c>
      <c r="AC288">
        <v>0.55350000000004196</v>
      </c>
      <c r="AD288">
        <v>-0.22160540000000001</v>
      </c>
      <c r="AE288">
        <v>-6.3800000000014706E-2</v>
      </c>
      <c r="AF288">
        <v>5.4280627130077301E-2</v>
      </c>
      <c r="AG288">
        <v>-0.22160540000000001</v>
      </c>
      <c r="AH288">
        <v>0.47799083948568299</v>
      </c>
      <c r="AI288">
        <v>114.73352620986699</v>
      </c>
      <c r="AJ288">
        <v>83.521247370387599</v>
      </c>
      <c r="AK288">
        <v>0.52965137819420705</v>
      </c>
      <c r="AL288">
        <v>94.855431857508705</v>
      </c>
      <c r="AM288">
        <v>88.930933712332205</v>
      </c>
      <c r="AN288">
        <v>1.0000000071243</v>
      </c>
    </row>
    <row r="289" spans="1:40" x14ac:dyDescent="0.25">
      <c r="A289" t="str">
        <f>"20190303154102602"</f>
        <v>20190303154102602</v>
      </c>
      <c r="B289" t="str">
        <f>"1551598862599308"</f>
        <v>1551598862599308</v>
      </c>
      <c r="C289" t="s">
        <v>40</v>
      </c>
      <c r="D289">
        <v>5.5168220000000003</v>
      </c>
      <c r="E289">
        <v>0.5226577</v>
      </c>
      <c r="F289" t="s">
        <v>42</v>
      </c>
      <c r="G289">
        <v>-437.95190000000002</v>
      </c>
      <c r="H289">
        <v>0.88679419999999898</v>
      </c>
      <c r="I289">
        <v>367.30939999999998</v>
      </c>
      <c r="J289">
        <v>-438.5582</v>
      </c>
      <c r="K289">
        <v>1.1056049999999999</v>
      </c>
      <c r="L289">
        <v>367.37119999999999</v>
      </c>
      <c r="M289">
        <v>0.9995889</v>
      </c>
      <c r="N289">
        <v>-2.861406E-2</v>
      </c>
      <c r="O289">
        <v>-1.7871510000000001E-3</v>
      </c>
      <c r="P289">
        <v>0.9933997</v>
      </c>
      <c r="Q289">
        <v>-0.1128494</v>
      </c>
      <c r="R289">
        <v>-2.0537099999999999E-2</v>
      </c>
      <c r="S289">
        <v>2.9135439999999999</v>
      </c>
      <c r="T289">
        <v>-0.89185449999999999</v>
      </c>
      <c r="U289">
        <v>-0.24993899999999999</v>
      </c>
      <c r="V289">
        <v>1.8740550000000002E-2</v>
      </c>
      <c r="W289">
        <v>-8.4381620000000004E-2</v>
      </c>
      <c r="X289">
        <v>0.99625719999999995</v>
      </c>
      <c r="Y289">
        <v>7.9771789999999995E-2</v>
      </c>
      <c r="Z289">
        <v>-1.260317E-2</v>
      </c>
      <c r="AA289">
        <v>0.99673350000000005</v>
      </c>
      <c r="AB289">
        <v>18</v>
      </c>
      <c r="AC289">
        <v>0.60629999999997597</v>
      </c>
      <c r="AD289">
        <v>-0.2188108</v>
      </c>
      <c r="AE289">
        <v>-6.1800000000005101E-2</v>
      </c>
      <c r="AF289">
        <v>5.3782956448552903E-2</v>
      </c>
      <c r="AG289">
        <v>-0.2188108</v>
      </c>
      <c r="AH289">
        <v>0.53716559905132699</v>
      </c>
      <c r="AI289">
        <v>112.06353709492301</v>
      </c>
      <c r="AJ289">
        <v>84.282395002758804</v>
      </c>
      <c r="AK289">
        <v>0.58250978824836797</v>
      </c>
      <c r="AL289">
        <v>94.840466858126206</v>
      </c>
      <c r="AM289">
        <v>88.922338731837598</v>
      </c>
      <c r="AN289">
        <v>0.99999993727998104</v>
      </c>
    </row>
    <row r="290" spans="1:40" x14ac:dyDescent="0.25">
      <c r="A290" t="str">
        <f>"20190303154102622"</f>
        <v>20190303154102622</v>
      </c>
      <c r="B290" t="str">
        <f>"1551598862619804"</f>
        <v>1551598862619804</v>
      </c>
      <c r="C290" t="s">
        <v>40</v>
      </c>
      <c r="D290">
        <v>5.508324</v>
      </c>
      <c r="E290">
        <v>0.5221441</v>
      </c>
      <c r="F290" t="s">
        <v>42</v>
      </c>
      <c r="G290">
        <v>-437.79599999999999</v>
      </c>
      <c r="H290">
        <v>0.871374599999999</v>
      </c>
      <c r="I290">
        <v>367.30650000000003</v>
      </c>
      <c r="J290">
        <v>-438.39530000000002</v>
      </c>
      <c r="K290">
        <v>1.1043769999999999</v>
      </c>
      <c r="L290">
        <v>367.3707</v>
      </c>
      <c r="M290">
        <v>0.99957969999999896</v>
      </c>
      <c r="N290">
        <v>-2.8926279999999999E-2</v>
      </c>
      <c r="O290">
        <v>-1.9321130000000001E-3</v>
      </c>
      <c r="P290">
        <v>0.99336729999999995</v>
      </c>
      <c r="Q290">
        <v>-0.1131916</v>
      </c>
      <c r="R290">
        <v>-2.0224229999999999E-2</v>
      </c>
      <c r="S290">
        <v>2.9131469999999999</v>
      </c>
      <c r="T290">
        <v>-0.89527259999999997</v>
      </c>
      <c r="U290">
        <v>-0.2463379</v>
      </c>
      <c r="V290">
        <v>1.8285320000000001E-2</v>
      </c>
      <c r="W290">
        <v>-8.4412780000000007E-2</v>
      </c>
      <c r="X290">
        <v>0.99626309999999996</v>
      </c>
      <c r="Y290">
        <v>7.8453729999999999E-2</v>
      </c>
      <c r="Z290">
        <v>-1.2403859999999999E-2</v>
      </c>
      <c r="AA290">
        <v>0.99684059999999997</v>
      </c>
      <c r="AB290">
        <v>18</v>
      </c>
      <c r="AC290">
        <v>0.59930000000002703</v>
      </c>
      <c r="AD290">
        <v>-0.2330024</v>
      </c>
      <c r="AE290">
        <v>-6.41999999999711E-2</v>
      </c>
      <c r="AF290">
        <v>5.4845223150911102E-2</v>
      </c>
      <c r="AG290">
        <v>-0.2330024</v>
      </c>
      <c r="AH290">
        <v>0.52148976759819399</v>
      </c>
      <c r="AI290">
        <v>113.958008560824</v>
      </c>
      <c r="AJ290">
        <v>83.996257474228898</v>
      </c>
      <c r="AK290">
        <v>0.57380283601412396</v>
      </c>
      <c r="AL290">
        <v>94.842258198443801</v>
      </c>
      <c r="AM290">
        <v>88.9485166667301</v>
      </c>
      <c r="AN290">
        <v>1.00000001738822</v>
      </c>
    </row>
    <row r="291" spans="1:40" x14ac:dyDescent="0.25">
      <c r="A291" t="str">
        <f>"20190303154102644"</f>
        <v>20190303154102644</v>
      </c>
      <c r="B291" t="str">
        <f>"1551598862639324"</f>
        <v>1551598862639324</v>
      </c>
      <c r="C291" t="s">
        <v>40</v>
      </c>
      <c r="D291">
        <v>5.5053479999999997</v>
      </c>
      <c r="E291">
        <v>0.52225999999999995</v>
      </c>
      <c r="F291" t="s">
        <v>42</v>
      </c>
      <c r="G291">
        <v>-437.63420000000002</v>
      </c>
      <c r="H291">
        <v>0.86939310000000003</v>
      </c>
      <c r="I291">
        <v>367.30700000000002</v>
      </c>
      <c r="J291">
        <v>-438.22469999999998</v>
      </c>
      <c r="K291">
        <v>1.1030450000000001</v>
      </c>
      <c r="L291">
        <v>367.37020000000001</v>
      </c>
      <c r="M291">
        <v>0.99957200000000002</v>
      </c>
      <c r="N291">
        <v>-2.9181080000000002E-2</v>
      </c>
      <c r="O291">
        <v>-2.065927E-3</v>
      </c>
      <c r="P291">
        <v>0.99333020000000005</v>
      </c>
      <c r="Q291">
        <v>-0.11353339999999899</v>
      </c>
      <c r="R291">
        <v>-2.0137490000000001E-2</v>
      </c>
      <c r="S291">
        <v>2.912598</v>
      </c>
      <c r="T291">
        <v>-0.89929459999999894</v>
      </c>
      <c r="U291">
        <v>-0.2421875</v>
      </c>
      <c r="V291">
        <v>1.8066700000000002E-2</v>
      </c>
      <c r="W291">
        <v>-8.4501240000000005E-2</v>
      </c>
      <c r="X291">
        <v>0.99625960000000002</v>
      </c>
      <c r="Y291">
        <v>7.696828E-2</v>
      </c>
      <c r="Z291">
        <v>-1.218298E-2</v>
      </c>
      <c r="AA291">
        <v>0.99695909999999999</v>
      </c>
      <c r="AB291">
        <v>18</v>
      </c>
      <c r="AC291">
        <v>0.59049999999996305</v>
      </c>
      <c r="AD291">
        <v>-0.2336519</v>
      </c>
      <c r="AE291">
        <v>-6.3200000000051604E-2</v>
      </c>
      <c r="AF291">
        <v>5.3671434703283998E-2</v>
      </c>
      <c r="AG291">
        <v>-0.2336519</v>
      </c>
      <c r="AH291">
        <v>0.51145892537353199</v>
      </c>
      <c r="AI291">
        <v>114.434169895824</v>
      </c>
      <c r="AJ291">
        <v>84.009425328999001</v>
      </c>
      <c r="AK291">
        <v>0.56485756224110795</v>
      </c>
      <c r="AL291">
        <v>94.8473447055718</v>
      </c>
      <c r="AM291">
        <v>88.961081821409607</v>
      </c>
      <c r="AN291">
        <v>1.0000000279012899</v>
      </c>
    </row>
    <row r="292" spans="1:40" x14ac:dyDescent="0.25">
      <c r="A292" t="str">
        <f>"20190303154102666"</f>
        <v>20190303154102666</v>
      </c>
      <c r="B292" t="str">
        <f>"1551598862659820"</f>
        <v>1551598862659820</v>
      </c>
      <c r="C292" t="s">
        <v>40</v>
      </c>
      <c r="D292">
        <v>5.5190260000000002</v>
      </c>
      <c r="E292">
        <v>0.52206059999999999</v>
      </c>
      <c r="F292" t="s">
        <v>42</v>
      </c>
      <c r="G292">
        <v>-437.4717</v>
      </c>
      <c r="H292">
        <v>0.87079269999999998</v>
      </c>
      <c r="I292">
        <v>367.30709999999999</v>
      </c>
      <c r="J292">
        <v>-438.0428</v>
      </c>
      <c r="K292">
        <v>1.101505</v>
      </c>
      <c r="L292">
        <v>367.36970000000002</v>
      </c>
      <c r="M292">
        <v>0.99956699999999998</v>
      </c>
      <c r="N292">
        <v>-2.934548E-2</v>
      </c>
      <c r="O292">
        <v>-2.1879260000000002E-3</v>
      </c>
      <c r="P292">
        <v>0.99332509999999996</v>
      </c>
      <c r="Q292">
        <v>-0.1137668</v>
      </c>
      <c r="R292">
        <v>-1.9036689999999998E-2</v>
      </c>
      <c r="S292">
        <v>2.9125369999999999</v>
      </c>
      <c r="T292">
        <v>-0.89831319999999903</v>
      </c>
      <c r="U292">
        <v>-0.242981</v>
      </c>
      <c r="V292">
        <v>1.684517E-2</v>
      </c>
      <c r="W292">
        <v>-8.4570530000000005E-2</v>
      </c>
      <c r="X292">
        <v>0.99627509999999997</v>
      </c>
      <c r="Y292">
        <v>7.7120620000000001E-2</v>
      </c>
      <c r="Z292">
        <v>-1.2170449999999999E-2</v>
      </c>
      <c r="AA292">
        <v>0.99694749999999999</v>
      </c>
      <c r="AB292">
        <v>18</v>
      </c>
      <c r="AC292">
        <v>0.57110000000000105</v>
      </c>
      <c r="AD292">
        <v>-0.23071230000000001</v>
      </c>
      <c r="AE292">
        <v>-6.26000000000317E-2</v>
      </c>
      <c r="AF292">
        <v>5.2830302666951802E-2</v>
      </c>
      <c r="AG292">
        <v>-0.23071230000000001</v>
      </c>
      <c r="AH292">
        <v>0.49190965317130703</v>
      </c>
      <c r="AI292">
        <v>115.001138212803</v>
      </c>
      <c r="AJ292">
        <v>83.870022279106706</v>
      </c>
      <c r="AK292">
        <v>0.54588855376742096</v>
      </c>
      <c r="AL292">
        <v>94.851329105403593</v>
      </c>
      <c r="AM292">
        <v>89.031326601339103</v>
      </c>
      <c r="AN292">
        <v>1.0000000045884001</v>
      </c>
    </row>
    <row r="293" spans="1:40" x14ac:dyDescent="0.25">
      <c r="A293" t="str">
        <f>"20190303154102689"</f>
        <v>20190303154102689</v>
      </c>
      <c r="B293" t="str">
        <f>"1551598862679341"</f>
        <v>1551598862679341</v>
      </c>
      <c r="C293" t="s">
        <v>40</v>
      </c>
      <c r="D293">
        <v>5.3430669999999996</v>
      </c>
      <c r="E293">
        <v>0.52189419999999997</v>
      </c>
      <c r="F293" t="s">
        <v>42</v>
      </c>
      <c r="G293">
        <v>-437.30860000000001</v>
      </c>
      <c r="H293">
        <v>0.87487329999999996</v>
      </c>
      <c r="I293">
        <v>367.30950000000001</v>
      </c>
      <c r="J293">
        <v>-437.8639</v>
      </c>
      <c r="K293">
        <v>1.0998079999999999</v>
      </c>
      <c r="L293">
        <v>367.36919999999998</v>
      </c>
      <c r="M293">
        <v>0.99957019999999996</v>
      </c>
      <c r="N293">
        <v>-2.922775E-2</v>
      </c>
      <c r="O293">
        <v>-2.3006530000000002E-3</v>
      </c>
      <c r="P293">
        <v>0.99337030000000004</v>
      </c>
      <c r="Q293">
        <v>-0.1134319</v>
      </c>
      <c r="R293">
        <v>-1.8678690000000001E-2</v>
      </c>
      <c r="S293">
        <v>2.9126590000000001</v>
      </c>
      <c r="T293">
        <v>-0.89915119999999904</v>
      </c>
      <c r="U293">
        <v>-0.23785400000000001</v>
      </c>
      <c r="V293">
        <v>1.6375999999999901E-2</v>
      </c>
      <c r="W293">
        <v>-8.4351449999999994E-2</v>
      </c>
      <c r="X293">
        <v>0.99630149999999995</v>
      </c>
      <c r="Y293">
        <v>7.5350490000000006E-2</v>
      </c>
      <c r="Z293">
        <v>-1.185168E-2</v>
      </c>
      <c r="AA293">
        <v>0.99708669999999999</v>
      </c>
      <c r="AB293">
        <v>18</v>
      </c>
      <c r="AC293">
        <v>0.55529999999998803</v>
      </c>
      <c r="AD293">
        <v>-0.22493469999999999</v>
      </c>
      <c r="AE293">
        <v>-5.9699999999963803E-2</v>
      </c>
      <c r="AF293">
        <v>5.0267980140959803E-2</v>
      </c>
      <c r="AG293">
        <v>-0.22493469999999999</v>
      </c>
      <c r="AH293">
        <v>0.47791525992399903</v>
      </c>
      <c r="AI293">
        <v>115.083167681912</v>
      </c>
      <c r="AJ293">
        <v>83.995605308264103</v>
      </c>
      <c r="AK293">
        <v>0.53058975184200896</v>
      </c>
      <c r="AL293">
        <v>94.838731708179495</v>
      </c>
      <c r="AM293">
        <v>89.058326017164504</v>
      </c>
      <c r="AN293">
        <v>1.00000000969767</v>
      </c>
    </row>
    <row r="294" spans="1:40" x14ac:dyDescent="0.25">
      <c r="A294" t="str">
        <f>"20190303154102711"</f>
        <v>20190303154102711</v>
      </c>
      <c r="B294" t="str">
        <f>"1551598862709596"</f>
        <v>1551598862709596</v>
      </c>
      <c r="C294" t="s">
        <v>40</v>
      </c>
      <c r="D294">
        <v>5.5490409999999999</v>
      </c>
      <c r="E294">
        <v>0.52161959999999996</v>
      </c>
      <c r="F294" t="s">
        <v>42</v>
      </c>
      <c r="G294">
        <v>-437.14620000000002</v>
      </c>
      <c r="H294">
        <v>0.87845209999999996</v>
      </c>
      <c r="I294">
        <v>367.31079999999997</v>
      </c>
      <c r="J294">
        <v>-437.68009999999998</v>
      </c>
      <c r="K294">
        <v>1.097842</v>
      </c>
      <c r="L294">
        <v>367.36860000000001</v>
      </c>
      <c r="M294">
        <v>0.99958469999999999</v>
      </c>
      <c r="N294">
        <v>-2.871785E-2</v>
      </c>
      <c r="O294">
        <v>-2.4094049999999999E-3</v>
      </c>
      <c r="P294">
        <v>0.9934385</v>
      </c>
      <c r="Q294">
        <v>-0.1128826</v>
      </c>
      <c r="R294">
        <v>-1.8380839999999999E-2</v>
      </c>
      <c r="S294">
        <v>2.9130250000000002</v>
      </c>
      <c r="T294">
        <v>-0.89862009999999903</v>
      </c>
      <c r="U294">
        <v>-0.23504639999999999</v>
      </c>
      <c r="V294">
        <v>1.5971610000000001E-2</v>
      </c>
      <c r="W294">
        <v>-8.4308170000000002E-2</v>
      </c>
      <c r="X294">
        <v>0.99631170000000002</v>
      </c>
      <c r="Y294">
        <v>7.434346E-2</v>
      </c>
      <c r="Z294">
        <v>-1.162768E-2</v>
      </c>
      <c r="AA294">
        <v>0.99716490000000002</v>
      </c>
      <c r="AB294">
        <v>18</v>
      </c>
      <c r="AC294">
        <v>0.53389999999995996</v>
      </c>
      <c r="AD294">
        <v>-0.219389899999999</v>
      </c>
      <c r="AE294">
        <v>-5.78000000000429E-2</v>
      </c>
      <c r="AF294">
        <v>4.8430013168696398E-2</v>
      </c>
      <c r="AG294">
        <v>-0.219389899999999</v>
      </c>
      <c r="AH294">
        <v>0.45765563375065699</v>
      </c>
      <c r="AI294">
        <v>115.48788091217</v>
      </c>
      <c r="AJ294">
        <v>83.959330128297296</v>
      </c>
      <c r="AK294">
        <v>0.50982945530956303</v>
      </c>
      <c r="AL294">
        <v>94.8362432178224</v>
      </c>
      <c r="AM294">
        <v>89.081585142708093</v>
      </c>
      <c r="AN294">
        <v>0.99999998170581506</v>
      </c>
    </row>
    <row r="295" spans="1:40" x14ac:dyDescent="0.25">
      <c r="A295" t="str">
        <f>"20190303154102735"</f>
        <v>20190303154102735</v>
      </c>
      <c r="B295" t="str">
        <f>"1551598862729116"</f>
        <v>1551598862729116</v>
      </c>
      <c r="C295" t="s">
        <v>40</v>
      </c>
      <c r="D295">
        <v>5.5882239999999896</v>
      </c>
      <c r="E295">
        <v>0.52130220000000005</v>
      </c>
      <c r="F295" t="s">
        <v>42</v>
      </c>
      <c r="G295">
        <v>-436.98360000000002</v>
      </c>
      <c r="H295">
        <v>0.88312579999999996</v>
      </c>
      <c r="I295">
        <v>367.31310000000002</v>
      </c>
      <c r="J295">
        <v>-437.49020000000002</v>
      </c>
      <c r="K295">
        <v>1.095626</v>
      </c>
      <c r="L295">
        <v>367.36799999999999</v>
      </c>
      <c r="M295">
        <v>0.99960780000000005</v>
      </c>
      <c r="N295">
        <v>-2.789198E-2</v>
      </c>
      <c r="O295">
        <v>-2.507362E-3</v>
      </c>
      <c r="P295">
        <v>0.99364070000000004</v>
      </c>
      <c r="Q295">
        <v>-0.1111326</v>
      </c>
      <c r="R295">
        <v>-1.8110830000000001E-2</v>
      </c>
      <c r="S295">
        <v>2.9134829999999998</v>
      </c>
      <c r="T295">
        <v>-0.89800409999999997</v>
      </c>
      <c r="U295">
        <v>-0.23287959999999999</v>
      </c>
      <c r="V295">
        <v>1.5605849999999999E-2</v>
      </c>
      <c r="W295">
        <v>-8.3375959999999999E-2</v>
      </c>
      <c r="X295">
        <v>0.9963959</v>
      </c>
      <c r="Y295">
        <v>7.3555750000000003E-2</v>
      </c>
      <c r="Z295">
        <v>-1.1429409999999999E-2</v>
      </c>
      <c r="AA295">
        <v>0.99722560000000005</v>
      </c>
      <c r="AB295">
        <v>18</v>
      </c>
      <c r="AC295">
        <v>0.50659999999999095</v>
      </c>
      <c r="AD295">
        <v>-0.2125002</v>
      </c>
      <c r="AE295">
        <v>-5.4900000000031902E-2</v>
      </c>
      <c r="AF295">
        <v>4.5684276277699797E-2</v>
      </c>
      <c r="AG295">
        <v>-0.2125002</v>
      </c>
      <c r="AH295">
        <v>0.43166622600129601</v>
      </c>
      <c r="AI295">
        <v>116.08382890447599</v>
      </c>
      <c r="AJ295">
        <v>83.958737743825495</v>
      </c>
      <c r="AK295">
        <v>0.48330023667411798</v>
      </c>
      <c r="AL295">
        <v>94.782642985332302</v>
      </c>
      <c r="AM295">
        <v>89.102689766588597</v>
      </c>
      <c r="AN295">
        <v>0.99999994139847503</v>
      </c>
    </row>
    <row r="296" spans="1:40" x14ac:dyDescent="0.25">
      <c r="A296" t="str">
        <f>"20190303154102758"</f>
        <v>20190303154102758</v>
      </c>
      <c r="B296" t="str">
        <f>"1551598862749612"</f>
        <v>1551598862749612</v>
      </c>
      <c r="C296" t="s">
        <v>40</v>
      </c>
      <c r="D296">
        <v>5.6010939999999998</v>
      </c>
      <c r="E296">
        <v>0.52119459999999995</v>
      </c>
      <c r="F296" t="s">
        <v>42</v>
      </c>
      <c r="G296">
        <v>-436.82029999999997</v>
      </c>
      <c r="H296">
        <v>0.88981390000000005</v>
      </c>
      <c r="I296">
        <v>367.31479999999999</v>
      </c>
      <c r="J296">
        <v>-437.3159</v>
      </c>
      <c r="K296">
        <v>1.093485</v>
      </c>
      <c r="L296">
        <v>367.36750000000001</v>
      </c>
      <c r="M296">
        <v>0.99963069999999998</v>
      </c>
      <c r="N296">
        <v>-2.7054149999999999E-2</v>
      </c>
      <c r="O296">
        <v>-2.5792689999999999E-3</v>
      </c>
      <c r="P296">
        <v>0.99380619999999997</v>
      </c>
      <c r="Q296">
        <v>-0.109665899999999</v>
      </c>
      <c r="R296">
        <v>-1.7966260000000001E-2</v>
      </c>
      <c r="S296">
        <v>2.914825</v>
      </c>
      <c r="T296">
        <v>-0.89574359999999997</v>
      </c>
      <c r="U296">
        <v>-0.22924800000000001</v>
      </c>
      <c r="V296">
        <v>1.539166E-2</v>
      </c>
      <c r="W296">
        <v>-8.2739950000000007E-2</v>
      </c>
      <c r="X296">
        <v>0.99645229999999996</v>
      </c>
      <c r="Y296">
        <v>7.2308109999999995E-2</v>
      </c>
      <c r="Z296">
        <v>-1.1142539999999999E-2</v>
      </c>
      <c r="AA296">
        <v>0.99732010000000004</v>
      </c>
      <c r="AB296">
        <v>18</v>
      </c>
      <c r="AC296">
        <v>0.49560000000002402</v>
      </c>
      <c r="AD296">
        <v>-0.20367109999999899</v>
      </c>
      <c r="AE296">
        <v>-5.27000000000157E-2</v>
      </c>
      <c r="AF296">
        <v>4.4062663468661799E-2</v>
      </c>
      <c r="AG296">
        <v>-0.20367109999999899</v>
      </c>
      <c r="AH296">
        <v>0.42479424238955399</v>
      </c>
      <c r="AI296">
        <v>115.49645330147899</v>
      </c>
      <c r="AJ296">
        <v>84.078054563224498</v>
      </c>
      <c r="AK296">
        <v>0.47315281215953597</v>
      </c>
      <c r="AL296">
        <v>94.746075692519497</v>
      </c>
      <c r="AM296">
        <v>89.115053443968094</v>
      </c>
      <c r="AN296">
        <v>0.99999999434942399</v>
      </c>
    </row>
    <row r="297" spans="1:40" x14ac:dyDescent="0.25">
      <c r="A297" t="str">
        <f>"20190303154102778"</f>
        <v>20190303154102778</v>
      </c>
      <c r="B297" t="str">
        <f>"1551598862769132"</f>
        <v>1551598862769132</v>
      </c>
      <c r="C297" t="s">
        <v>40</v>
      </c>
      <c r="D297">
        <v>5.3939659999999998</v>
      </c>
      <c r="E297">
        <v>0.52111949999999996</v>
      </c>
      <c r="F297" t="s">
        <v>42</v>
      </c>
      <c r="G297">
        <v>-436.5215</v>
      </c>
      <c r="H297">
        <v>0.85052779999999994</v>
      </c>
      <c r="I297">
        <v>367.30509999999998</v>
      </c>
      <c r="J297">
        <v>-437.15249999999997</v>
      </c>
      <c r="K297">
        <v>1.091445</v>
      </c>
      <c r="L297">
        <v>367.36689999999999</v>
      </c>
      <c r="M297">
        <v>0.99965210000000004</v>
      </c>
      <c r="N297">
        <v>-2.6241480000000001E-2</v>
      </c>
      <c r="O297">
        <v>-2.633125E-3</v>
      </c>
      <c r="P297">
        <v>0.99395069999999996</v>
      </c>
      <c r="Q297">
        <v>-0.1083406</v>
      </c>
      <c r="R297">
        <v>-1.801001E-2</v>
      </c>
      <c r="S297">
        <v>2.9161380000000001</v>
      </c>
      <c r="T297">
        <v>-0.89195419999999903</v>
      </c>
      <c r="U297">
        <v>-0.22766110000000001</v>
      </c>
      <c r="V297">
        <v>1.5383869999999999E-2</v>
      </c>
      <c r="W297">
        <v>-8.2220879999999996E-2</v>
      </c>
      <c r="X297">
        <v>0.99649540000000003</v>
      </c>
      <c r="Y297">
        <v>7.1750069999999999E-2</v>
      </c>
      <c r="Z297">
        <v>-1.0959679999999999E-2</v>
      </c>
      <c r="AA297">
        <v>0.99736239999999998</v>
      </c>
      <c r="AB297">
        <v>18</v>
      </c>
      <c r="AC297">
        <v>0.63099999999997103</v>
      </c>
      <c r="AD297">
        <v>-0.240917199999999</v>
      </c>
      <c r="AE297">
        <v>-6.1800000000005101E-2</v>
      </c>
      <c r="AF297">
        <v>5.2550109417658399E-2</v>
      </c>
      <c r="AG297">
        <v>-0.240917199999999</v>
      </c>
      <c r="AH297">
        <v>0.55152678058944704</v>
      </c>
      <c r="AI297">
        <v>113.501776828997</v>
      </c>
      <c r="AJ297">
        <v>84.557222935692593</v>
      </c>
      <c r="AK297">
        <v>0.60413938868692196</v>
      </c>
      <c r="AL297">
        <v>94.716233418862998</v>
      </c>
      <c r="AM297">
        <v>89.115539510286098</v>
      </c>
      <c r="AN297">
        <v>1.00000000939265</v>
      </c>
    </row>
    <row r="298" spans="1:40" x14ac:dyDescent="0.25">
      <c r="A298" t="str">
        <f>"20190303154102800"</f>
        <v>20190303154102800</v>
      </c>
      <c r="B298" t="str">
        <f>"1551598862789628"</f>
        <v>1551598862789628</v>
      </c>
      <c r="C298" t="s">
        <v>40</v>
      </c>
      <c r="D298">
        <v>5.4147220000000003</v>
      </c>
      <c r="E298">
        <v>0.52103310000000003</v>
      </c>
      <c r="F298" t="s">
        <v>42</v>
      </c>
      <c r="G298">
        <v>-436.36349999999999</v>
      </c>
      <c r="H298">
        <v>0.85118749999999999</v>
      </c>
      <c r="I298">
        <v>367.30540000000002</v>
      </c>
      <c r="J298">
        <v>-436.983</v>
      </c>
      <c r="K298">
        <v>1.08934</v>
      </c>
      <c r="L298">
        <v>367.36649999999997</v>
      </c>
      <c r="M298">
        <v>0.99967620000000001</v>
      </c>
      <c r="N298">
        <v>-2.5310829999999999E-2</v>
      </c>
      <c r="O298">
        <v>-2.6774960000000001E-3</v>
      </c>
      <c r="P298">
        <v>0.99400500000000003</v>
      </c>
      <c r="Q298">
        <v>-0.10788880000000001</v>
      </c>
      <c r="R298">
        <v>-1.7723740000000002E-2</v>
      </c>
      <c r="S298">
        <v>2.9173279999999999</v>
      </c>
      <c r="T298">
        <v>-0.88841320000000001</v>
      </c>
      <c r="U298">
        <v>-0.22821040000000001</v>
      </c>
      <c r="V298">
        <v>1.505575E-2</v>
      </c>
      <c r="W298">
        <v>-8.2695119999999997E-2</v>
      </c>
      <c r="X298">
        <v>0.99646120000000005</v>
      </c>
      <c r="Y298">
        <v>7.1894940000000004E-2</v>
      </c>
      <c r="Z298">
        <v>-1.0892499999999999E-2</v>
      </c>
      <c r="AA298">
        <v>0.99735269999999998</v>
      </c>
      <c r="AB298">
        <v>18</v>
      </c>
      <c r="AC298">
        <v>0.61950000000001604</v>
      </c>
      <c r="AD298">
        <v>-0.23815249999999999</v>
      </c>
      <c r="AE298">
        <v>-6.1099999999953497E-2</v>
      </c>
      <c r="AF298">
        <v>5.1851531451283399E-2</v>
      </c>
      <c r="AG298">
        <v>-0.23815249999999999</v>
      </c>
      <c r="AH298">
        <v>0.54054679643925696</v>
      </c>
      <c r="AI298">
        <v>113.680523202507</v>
      </c>
      <c r="AJ298">
        <v>84.520711640277398</v>
      </c>
      <c r="AK298">
        <v>0.59295533871518202</v>
      </c>
      <c r="AL298">
        <v>94.743498069226803</v>
      </c>
      <c r="AM298">
        <v>89.134371415072195</v>
      </c>
      <c r="AN298">
        <v>1.0000000407926499</v>
      </c>
    </row>
    <row r="299" spans="1:40" x14ac:dyDescent="0.25">
      <c r="A299" t="str">
        <f>"20190303154102834"</f>
        <v>20190303154102834</v>
      </c>
      <c r="B299" t="str">
        <f>"1551598862829644"</f>
        <v>1551598862829644</v>
      </c>
      <c r="C299" t="s">
        <v>40</v>
      </c>
      <c r="D299">
        <v>5.4085179999999999</v>
      </c>
      <c r="E299">
        <v>0.50440609999999997</v>
      </c>
      <c r="F299" t="s">
        <v>42</v>
      </c>
      <c r="G299">
        <v>-436.2054</v>
      </c>
      <c r="H299">
        <v>0.85287519999999994</v>
      </c>
      <c r="I299">
        <v>367.30560000000003</v>
      </c>
      <c r="J299">
        <v>-436.71710000000002</v>
      </c>
      <c r="K299">
        <v>1.0861609999999999</v>
      </c>
      <c r="L299">
        <v>367.3657</v>
      </c>
      <c r="M299">
        <v>0.99971580000000004</v>
      </c>
      <c r="N299">
        <v>-2.3688799999999999E-2</v>
      </c>
      <c r="O299">
        <v>-2.716319E-3</v>
      </c>
      <c r="P299">
        <v>0.99422279999999996</v>
      </c>
      <c r="Q299">
        <v>-0.1057568</v>
      </c>
      <c r="R299">
        <v>-1.8352199999999999E-2</v>
      </c>
      <c r="S299">
        <v>2.9177550000000001</v>
      </c>
      <c r="T299">
        <v>-0.88732080000000002</v>
      </c>
      <c r="U299">
        <v>-0.22686770000000001</v>
      </c>
      <c r="V299">
        <v>1.5647999999999999E-2</v>
      </c>
      <c r="W299">
        <v>-8.217468E-2</v>
      </c>
      <c r="X299">
        <v>0.99649509999999997</v>
      </c>
      <c r="Y299">
        <v>7.1440390000000006E-2</v>
      </c>
      <c r="Z299">
        <v>-1.073175E-2</v>
      </c>
      <c r="AA299">
        <v>0.99738709999999997</v>
      </c>
      <c r="AB299">
        <v>18</v>
      </c>
      <c r="AC299">
        <v>0.51170000000001803</v>
      </c>
      <c r="AD299">
        <v>-0.23328579999999999</v>
      </c>
      <c r="AE299">
        <v>-6.0099999999977102E-2</v>
      </c>
      <c r="AF299">
        <v>4.8720735244754197E-2</v>
      </c>
      <c r="AG299">
        <v>-0.23328579999999999</v>
      </c>
      <c r="AH299">
        <v>0.42477429267825301</v>
      </c>
      <c r="AI299">
        <v>118.617860658045</v>
      </c>
      <c r="AJ299">
        <v>83.456885198375005</v>
      </c>
      <c r="AK299">
        <v>0.48706177662052202</v>
      </c>
      <c r="AL299">
        <v>94.713577357678702</v>
      </c>
      <c r="AM299">
        <v>89.100356162816894</v>
      </c>
      <c r="AN299">
        <v>1.00000001113055</v>
      </c>
    </row>
    <row r="300" spans="1:40" x14ac:dyDescent="0.25">
      <c r="A300" t="str">
        <f>"20190303154102855"</f>
        <v>20190303154102855</v>
      </c>
      <c r="B300" t="str">
        <f>"1551598862849164"</f>
        <v>1551598862849164</v>
      </c>
      <c r="C300" t="s">
        <v>40</v>
      </c>
      <c r="D300">
        <v>5.4160620000000002</v>
      </c>
      <c r="E300">
        <v>0.50281279999999995</v>
      </c>
      <c r="F300" t="s">
        <v>42</v>
      </c>
      <c r="G300">
        <v>-435.98509999999999</v>
      </c>
      <c r="H300">
        <v>0.9790565</v>
      </c>
      <c r="I300">
        <v>367.34289999999999</v>
      </c>
      <c r="J300">
        <v>-436.54880000000003</v>
      </c>
      <c r="K300">
        <v>1.084303</v>
      </c>
      <c r="L300">
        <v>367.36520000000002</v>
      </c>
      <c r="M300">
        <v>0.99973920000000005</v>
      </c>
      <c r="N300">
        <v>-2.2674529999999998E-2</v>
      </c>
      <c r="O300">
        <v>-2.7197660000000002E-3</v>
      </c>
      <c r="P300">
        <v>0.99435739999999995</v>
      </c>
      <c r="Q300">
        <v>-0.1044117</v>
      </c>
      <c r="R300">
        <v>-1.8749890000000002E-2</v>
      </c>
      <c r="S300">
        <v>2.9694820000000002</v>
      </c>
      <c r="T300">
        <v>-0.4346255</v>
      </c>
      <c r="U300">
        <v>-9.1369629999999993E-2</v>
      </c>
      <c r="V300">
        <v>1.6043419999999999E-2</v>
      </c>
      <c r="W300">
        <v>-8.1837480000000004E-2</v>
      </c>
      <c r="X300">
        <v>0.99651650000000003</v>
      </c>
      <c r="Y300">
        <v>2.7715099999999999E-2</v>
      </c>
      <c r="Z300">
        <v>-1.9988010000000001E-3</v>
      </c>
      <c r="AA300">
        <v>0.99961390000000006</v>
      </c>
      <c r="AB300">
        <v>18</v>
      </c>
      <c r="AC300">
        <v>0.56370000000003895</v>
      </c>
      <c r="AD300">
        <v>-0.10524650000000001</v>
      </c>
      <c r="AE300">
        <v>-2.2300000000029699E-2</v>
      </c>
      <c r="AF300">
        <v>2.00679292838256E-2</v>
      </c>
      <c r="AG300">
        <v>-0.10524650000000001</v>
      </c>
      <c r="AH300">
        <v>0.54479698771259899</v>
      </c>
      <c r="AI300">
        <v>100.926749795776</v>
      </c>
      <c r="AJ300">
        <v>87.890428807568995</v>
      </c>
      <c r="AK300">
        <v>0.55523265877352002</v>
      </c>
      <c r="AL300">
        <v>94.694192216921294</v>
      </c>
      <c r="AM300">
        <v>89.077646131782501</v>
      </c>
      <c r="AN300">
        <v>0.99999994961514704</v>
      </c>
    </row>
    <row r="301" spans="1:40" x14ac:dyDescent="0.25">
      <c r="A301" t="str">
        <f>"20190303154102879"</f>
        <v>20190303154102879</v>
      </c>
      <c r="B301" t="str">
        <f>"1551598862869663"</f>
        <v>1551598862869663</v>
      </c>
      <c r="C301" t="s">
        <v>40</v>
      </c>
      <c r="D301">
        <v>5.4507879999999904</v>
      </c>
      <c r="E301">
        <v>0.50257879999999999</v>
      </c>
      <c r="F301" t="s">
        <v>43</v>
      </c>
      <c r="G301">
        <v>-425.49329999999998</v>
      </c>
      <c r="H301">
        <v>-0.05</v>
      </c>
      <c r="I301">
        <v>367.07389999999998</v>
      </c>
      <c r="J301">
        <v>-436.36660000000001</v>
      </c>
      <c r="K301">
        <v>1.0824940000000001</v>
      </c>
      <c r="L301">
        <v>367.3648</v>
      </c>
      <c r="M301">
        <v>0.99976120000000002</v>
      </c>
      <c r="N301">
        <v>-2.1684370000000001E-2</v>
      </c>
      <c r="O301">
        <v>-2.7091210000000001E-3</v>
      </c>
      <c r="P301">
        <v>0.99445329999999998</v>
      </c>
      <c r="Q301">
        <v>-0.1034736</v>
      </c>
      <c r="R301">
        <v>-1.8869690000000001E-2</v>
      </c>
      <c r="S301">
        <v>2.9834290000000001</v>
      </c>
      <c r="T301">
        <v>-0.30610199999999999</v>
      </c>
      <c r="U301">
        <v>-7.8613279999999994E-2</v>
      </c>
      <c r="V301">
        <v>1.6174750000000002E-2</v>
      </c>
      <c r="W301">
        <v>-8.1884239999999997E-2</v>
      </c>
      <c r="X301">
        <v>0.99651060000000002</v>
      </c>
      <c r="Y301">
        <v>2.3491310000000001E-2</v>
      </c>
      <c r="Z301">
        <v>-1.238772E-3</v>
      </c>
      <c r="AA301">
        <v>0.99972329999999998</v>
      </c>
      <c r="AB301">
        <v>18</v>
      </c>
      <c r="AC301">
        <v>10.8733</v>
      </c>
      <c r="AD301">
        <v>-1.1324939999999999</v>
      </c>
      <c r="AE301">
        <v>-0.29090000000002098</v>
      </c>
      <c r="AF301">
        <v>0.25863129702443</v>
      </c>
      <c r="AG301">
        <v>-1.1324939999999999</v>
      </c>
      <c r="AH301">
        <v>10.7574353172268</v>
      </c>
      <c r="AI301">
        <v>96.007979927745296</v>
      </c>
      <c r="AJ301">
        <v>88.6227546637041</v>
      </c>
      <c r="AK301">
        <v>10.819974464487199</v>
      </c>
      <c r="AL301">
        <v>94.696880088611906</v>
      </c>
      <c r="AM301">
        <v>89.070091641336106</v>
      </c>
      <c r="AN301">
        <v>1.0000000136051499</v>
      </c>
    </row>
    <row r="302" spans="1:40" x14ac:dyDescent="0.25">
      <c r="A302" t="str">
        <f>"20190303154102901"</f>
        <v>20190303154102901</v>
      </c>
      <c r="B302" t="str">
        <f>"1551598862889192"</f>
        <v>1551598862889192</v>
      </c>
      <c r="C302" t="s">
        <v>40</v>
      </c>
      <c r="D302">
        <v>5.4626419999999998</v>
      </c>
      <c r="E302">
        <v>0.50232019999999999</v>
      </c>
      <c r="F302" t="s">
        <v>43</v>
      </c>
      <c r="G302">
        <v>-422.83640000000003</v>
      </c>
      <c r="H302">
        <v>-0.05</v>
      </c>
      <c r="I302">
        <v>367.01900000000001</v>
      </c>
      <c r="J302">
        <v>-436.19889999999998</v>
      </c>
      <c r="K302">
        <v>1.0810059999999999</v>
      </c>
      <c r="L302">
        <v>367.36430000000001</v>
      </c>
      <c r="M302">
        <v>0.99977870000000002</v>
      </c>
      <c r="N302">
        <v>-2.0864420000000002E-2</v>
      </c>
      <c r="O302">
        <v>-2.6861950000000002E-3</v>
      </c>
      <c r="P302">
        <v>0.99445249999999996</v>
      </c>
      <c r="Q302">
        <v>-0.103420899999999</v>
      </c>
      <c r="R302">
        <v>-1.9192359999999999E-2</v>
      </c>
      <c r="S302">
        <v>2.989258</v>
      </c>
      <c r="T302">
        <v>-0.25020360000000003</v>
      </c>
      <c r="U302">
        <v>-7.6385499999999995E-2</v>
      </c>
      <c r="V302">
        <v>1.6521609999999999E-2</v>
      </c>
      <c r="W302">
        <v>-8.2648470000000002E-2</v>
      </c>
      <c r="X302">
        <v>0.99644180000000004</v>
      </c>
      <c r="Y302">
        <v>2.2764820000000002E-2</v>
      </c>
      <c r="Z302">
        <v>-1.0205349999999999E-3</v>
      </c>
      <c r="AA302">
        <v>0.99974030000000003</v>
      </c>
      <c r="AB302">
        <v>17</v>
      </c>
      <c r="AC302">
        <v>13.362499999999899</v>
      </c>
      <c r="AD302">
        <v>-1.131006</v>
      </c>
      <c r="AE302">
        <v>-0.34530000000000799</v>
      </c>
      <c r="AF302">
        <v>0.30719737009738801</v>
      </c>
      <c r="AG302">
        <v>-1.131006</v>
      </c>
      <c r="AH302">
        <v>13.268388472048899</v>
      </c>
      <c r="AI302">
        <v>94.870852684102701</v>
      </c>
      <c r="AJ302">
        <v>88.673692072320094</v>
      </c>
      <c r="AK302">
        <v>13.320047951919401</v>
      </c>
      <c r="AL302">
        <v>94.740816248316904</v>
      </c>
      <c r="AM302">
        <v>89.050088232910397</v>
      </c>
      <c r="AN302">
        <v>0.99999999698878606</v>
      </c>
    </row>
    <row r="303" spans="1:40" x14ac:dyDescent="0.25">
      <c r="A303" t="str">
        <f>"20190303154102924"</f>
        <v>20190303154102924</v>
      </c>
      <c r="B303" t="str">
        <f>"1551598862919673"</f>
        <v>1551598862919673</v>
      </c>
      <c r="C303" t="s">
        <v>40</v>
      </c>
      <c r="D303">
        <v>5.493913</v>
      </c>
      <c r="E303">
        <v>0.50261809999999996</v>
      </c>
      <c r="F303" t="s">
        <v>43</v>
      </c>
      <c r="G303">
        <v>-420.84219999999999</v>
      </c>
      <c r="H303">
        <v>-0.05</v>
      </c>
      <c r="I303">
        <v>366.97739999999999</v>
      </c>
      <c r="J303">
        <v>-436.01150000000001</v>
      </c>
      <c r="K303">
        <v>1.079537</v>
      </c>
      <c r="L303">
        <v>367.3639</v>
      </c>
      <c r="M303">
        <v>0.99979589999999996</v>
      </c>
      <c r="N303">
        <v>-2.0031179999999999E-2</v>
      </c>
      <c r="O303">
        <v>-2.646986E-3</v>
      </c>
      <c r="P303">
        <v>0.99454659999999995</v>
      </c>
      <c r="Q303">
        <v>-0.1024492</v>
      </c>
      <c r="R303">
        <v>-1.9531940000000001E-2</v>
      </c>
      <c r="S303">
        <v>2.99234</v>
      </c>
      <c r="T303">
        <v>-0.2203833</v>
      </c>
      <c r="U303">
        <v>-7.5408939999999994E-2</v>
      </c>
      <c r="V303">
        <v>1.690156E-2</v>
      </c>
      <c r="W303">
        <v>-8.2505179999999997E-2</v>
      </c>
      <c r="X303">
        <v>0.99644730000000004</v>
      </c>
      <c r="Y303">
        <v>2.2472260000000001E-2</v>
      </c>
      <c r="Z303">
        <v>-9.1011529999999996E-4</v>
      </c>
      <c r="AA303">
        <v>0.99974700000000005</v>
      </c>
      <c r="AB303">
        <v>17</v>
      </c>
      <c r="AC303">
        <v>15.1693</v>
      </c>
      <c r="AD303">
        <v>-1.129537</v>
      </c>
      <c r="AE303">
        <v>-0.386500000000012</v>
      </c>
      <c r="AF303">
        <v>0.34442918314863202</v>
      </c>
      <c r="AG303">
        <v>-1.129537</v>
      </c>
      <c r="AH303">
        <v>15.0866748659049</v>
      </c>
      <c r="AI303">
        <v>94.2806263444824</v>
      </c>
      <c r="AJ303">
        <v>88.692163037654495</v>
      </c>
      <c r="AK303">
        <v>15.132820087680299</v>
      </c>
      <c r="AL303">
        <v>94.732578212135493</v>
      </c>
      <c r="AM303">
        <v>89.028252470832697</v>
      </c>
      <c r="AN303">
        <v>0.99999999456727795</v>
      </c>
    </row>
    <row r="304" spans="1:40" x14ac:dyDescent="0.25">
      <c r="A304" t="str">
        <f>"20190303154102947"</f>
        <v>20190303154102947</v>
      </c>
      <c r="B304" t="str">
        <f>"1551598862939193"</f>
        <v>1551598862939193</v>
      </c>
      <c r="C304" t="s">
        <v>40</v>
      </c>
      <c r="D304">
        <v>5.4811209999999999</v>
      </c>
      <c r="E304">
        <v>0.50301070000000003</v>
      </c>
      <c r="F304" t="s">
        <v>43</v>
      </c>
      <c r="G304">
        <v>-418.6035</v>
      </c>
      <c r="H304">
        <v>-0.05</v>
      </c>
      <c r="I304">
        <v>366.9067</v>
      </c>
      <c r="J304">
        <v>-435.83589999999998</v>
      </c>
      <c r="K304">
        <v>1.0783240000000001</v>
      </c>
      <c r="L304">
        <v>367.36340000000001</v>
      </c>
      <c r="M304">
        <v>0.99981010000000003</v>
      </c>
      <c r="N304">
        <v>-1.9317259999999999E-2</v>
      </c>
      <c r="O304">
        <v>-2.5935039999999999E-3</v>
      </c>
      <c r="P304">
        <v>0.99459830000000005</v>
      </c>
      <c r="Q304">
        <v>-0.1018597</v>
      </c>
      <c r="R304">
        <v>-1.9966979999999999E-2</v>
      </c>
      <c r="S304">
        <v>2.994904</v>
      </c>
      <c r="T304">
        <v>-0.194327</v>
      </c>
      <c r="U304">
        <v>-7.86438E-2</v>
      </c>
      <c r="V304">
        <v>1.7391819999999999E-2</v>
      </c>
      <c r="W304">
        <v>-8.2625809999999994E-2</v>
      </c>
      <c r="X304">
        <v>0.9964288</v>
      </c>
      <c r="Y304">
        <v>2.359528E-2</v>
      </c>
      <c r="Z304">
        <v>-8.748184E-4</v>
      </c>
      <c r="AA304">
        <v>0.99972119999999998</v>
      </c>
      <c r="AB304">
        <v>17</v>
      </c>
      <c r="AC304">
        <v>17.232399999999899</v>
      </c>
      <c r="AD304">
        <v>-1.1283239999999899</v>
      </c>
      <c r="AE304">
        <v>-0.45670000000001199</v>
      </c>
      <c r="AF304">
        <v>0.41024026963489602</v>
      </c>
      <c r="AG304">
        <v>-1.1283239999999899</v>
      </c>
      <c r="AH304">
        <v>17.160009539472298</v>
      </c>
      <c r="AI304">
        <v>93.760888872666897</v>
      </c>
      <c r="AJ304">
        <v>88.630504281064802</v>
      </c>
      <c r="AK304">
        <v>17.201957432879102</v>
      </c>
      <c r="AL304">
        <v>94.739513804073894</v>
      </c>
      <c r="AM304">
        <v>89.000052275618799</v>
      </c>
      <c r="AN304">
        <v>0.99999992667525095</v>
      </c>
    </row>
    <row r="305" spans="1:40" x14ac:dyDescent="0.25">
      <c r="A305" t="str">
        <f>"20190303154102969"</f>
        <v>20190303154102969</v>
      </c>
      <c r="B305" t="str">
        <f>"1551598862959690"</f>
        <v>1551598862959690</v>
      </c>
      <c r="C305" t="s">
        <v>40</v>
      </c>
      <c r="D305">
        <v>5.4921439999999997</v>
      </c>
      <c r="E305">
        <v>0.50287119999999996</v>
      </c>
      <c r="F305" t="s">
        <v>43</v>
      </c>
      <c r="G305">
        <v>-417.56490000000002</v>
      </c>
      <c r="H305">
        <v>-0.05</v>
      </c>
      <c r="I305">
        <v>366.85770000000002</v>
      </c>
      <c r="J305">
        <v>-435.66789999999997</v>
      </c>
      <c r="K305">
        <v>1.07731</v>
      </c>
      <c r="L305">
        <v>367.36309999999997</v>
      </c>
      <c r="M305">
        <v>0.99982210000000005</v>
      </c>
      <c r="N305">
        <v>-1.8698889999999999E-2</v>
      </c>
      <c r="O305">
        <v>-2.5225270000000001E-3</v>
      </c>
      <c r="P305">
        <v>0.99463140000000005</v>
      </c>
      <c r="Q305">
        <v>-0.1015771</v>
      </c>
      <c r="R305">
        <v>-1.97711E-2</v>
      </c>
      <c r="S305">
        <v>2.9956670000000001</v>
      </c>
      <c r="T305">
        <v>-0.18499679999999999</v>
      </c>
      <c r="U305">
        <v>-8.2916260000000006E-2</v>
      </c>
      <c r="V305">
        <v>1.726896E-2</v>
      </c>
      <c r="W305">
        <v>-8.2958439999999994E-2</v>
      </c>
      <c r="X305">
        <v>0.99640340000000005</v>
      </c>
      <c r="Y305">
        <v>2.5086130000000002E-2</v>
      </c>
      <c r="Z305">
        <v>-9.0014130000000002E-4</v>
      </c>
      <c r="AA305">
        <v>0.99968489999999999</v>
      </c>
      <c r="AB305">
        <v>17</v>
      </c>
      <c r="AC305">
        <v>18.102999999999899</v>
      </c>
      <c r="AD305">
        <v>-1.12731</v>
      </c>
      <c r="AE305">
        <v>-0.505399999999951</v>
      </c>
      <c r="AF305">
        <v>0.45795064641602801</v>
      </c>
      <c r="AG305">
        <v>-1.12731</v>
      </c>
      <c r="AH305">
        <v>18.034338365529901</v>
      </c>
      <c r="AI305">
        <v>93.575703253128594</v>
      </c>
      <c r="AJ305">
        <v>88.545385963073002</v>
      </c>
      <c r="AK305">
        <v>18.075339745439798</v>
      </c>
      <c r="AL305">
        <v>94.758637274764794</v>
      </c>
      <c r="AM305">
        <v>89.007089422503697</v>
      </c>
      <c r="AN305">
        <v>1.0000000276391301</v>
      </c>
    </row>
    <row r="306" spans="1:40" x14ac:dyDescent="0.25">
      <c r="A306" t="str">
        <f>"20190303154102990"</f>
        <v>20190303154102990</v>
      </c>
      <c r="B306" t="str">
        <f>"1551598862979208"</f>
        <v>1551598862979208</v>
      </c>
      <c r="C306" t="s">
        <v>40</v>
      </c>
      <c r="D306">
        <v>5.5110029999999997</v>
      </c>
      <c r="E306">
        <v>0.50285230000000003</v>
      </c>
      <c r="F306" t="s">
        <v>43</v>
      </c>
      <c r="G306">
        <v>-416.6542</v>
      </c>
      <c r="H306">
        <v>-0.05</v>
      </c>
      <c r="I306">
        <v>366.84800000000001</v>
      </c>
      <c r="J306">
        <v>-435.50549999999998</v>
      </c>
      <c r="K306">
        <v>1.0764579999999999</v>
      </c>
      <c r="L306">
        <v>367.36270000000002</v>
      </c>
      <c r="M306">
        <v>0.9998321</v>
      </c>
      <c r="N306">
        <v>-1.8164909999999999E-2</v>
      </c>
      <c r="O306">
        <v>-2.4312600000000002E-3</v>
      </c>
      <c r="P306">
        <v>0.99464759999999997</v>
      </c>
      <c r="Q306">
        <v>-0.10149320000000001</v>
      </c>
      <c r="R306">
        <v>-1.9383520000000001E-2</v>
      </c>
      <c r="S306">
        <v>2.9964599999999999</v>
      </c>
      <c r="T306">
        <v>-0.17765810000000001</v>
      </c>
      <c r="U306">
        <v>-8.1176760000000001E-2</v>
      </c>
      <c r="V306">
        <v>1.6975150000000001E-2</v>
      </c>
      <c r="W306">
        <v>-8.3405839999999995E-2</v>
      </c>
      <c r="X306">
        <v>0.99637109999999995</v>
      </c>
      <c r="Y306">
        <v>2.4595740000000001E-2</v>
      </c>
      <c r="Z306">
        <v>-8.5220350000000001E-4</v>
      </c>
      <c r="AA306">
        <v>0.99969710000000001</v>
      </c>
      <c r="AB306">
        <v>17</v>
      </c>
      <c r="AC306">
        <v>18.851299999999899</v>
      </c>
      <c r="AD306">
        <v>-1.126458</v>
      </c>
      <c r="AE306">
        <v>-0.51470000000000404</v>
      </c>
      <c r="AF306">
        <v>0.46719157024079599</v>
      </c>
      <c r="AG306">
        <v>-1.126458</v>
      </c>
      <c r="AH306">
        <v>18.785469453543701</v>
      </c>
      <c r="AI306">
        <v>93.4305354669374</v>
      </c>
      <c r="AJ306">
        <v>88.575356951149203</v>
      </c>
      <c r="AK306">
        <v>18.825010974209</v>
      </c>
      <c r="AL306">
        <v>94.784360545243999</v>
      </c>
      <c r="AM306">
        <v>89.023947637843705</v>
      </c>
      <c r="AN306">
        <v>1.00000002938941</v>
      </c>
    </row>
    <row r="307" spans="1:40" x14ac:dyDescent="0.25">
      <c r="A307" t="str">
        <f>"20190303154103012"</f>
        <v>20190303154103012</v>
      </c>
      <c r="B307" t="str">
        <f>"1551598863009933"</f>
        <v>1551598863009933</v>
      </c>
      <c r="C307" t="s">
        <v>40</v>
      </c>
      <c r="D307">
        <v>5.5078440000000004</v>
      </c>
      <c r="E307">
        <v>0.5028821</v>
      </c>
      <c r="F307" t="s">
        <v>43</v>
      </c>
      <c r="G307">
        <v>-415.84679999999997</v>
      </c>
      <c r="H307">
        <v>-0.05</v>
      </c>
      <c r="I307">
        <v>366.83949999999999</v>
      </c>
      <c r="J307">
        <v>-435.33499999999998</v>
      </c>
      <c r="K307">
        <v>1.075685</v>
      </c>
      <c r="L307">
        <v>367.36250000000001</v>
      </c>
      <c r="M307">
        <v>0.99984130000000004</v>
      </c>
      <c r="N307">
        <v>-1.7666649999999999E-2</v>
      </c>
      <c r="O307">
        <v>-2.3114659999999999E-3</v>
      </c>
      <c r="P307">
        <v>0.99470210000000003</v>
      </c>
      <c r="Q307">
        <v>-0.1010602</v>
      </c>
      <c r="R307">
        <v>-1.8833200000000001E-2</v>
      </c>
      <c r="S307">
        <v>2.9970699999999999</v>
      </c>
      <c r="T307">
        <v>-0.17173459999999999</v>
      </c>
      <c r="U307">
        <v>-7.9772949999999995E-2</v>
      </c>
      <c r="V307">
        <v>1.6547389999999999E-2</v>
      </c>
      <c r="W307">
        <v>-8.3467940000000004E-2</v>
      </c>
      <c r="X307">
        <v>0.99637310000000001</v>
      </c>
      <c r="Y307">
        <v>2.4246259999999999E-2</v>
      </c>
      <c r="Z307">
        <v>-8.1692579999999998E-4</v>
      </c>
      <c r="AA307">
        <v>0.99970570000000003</v>
      </c>
      <c r="AB307">
        <v>17</v>
      </c>
      <c r="AC307">
        <v>19.488199999999999</v>
      </c>
      <c r="AD307">
        <v>-1.125685</v>
      </c>
      <c r="AE307">
        <v>-0.523000000000024</v>
      </c>
      <c r="AF307">
        <v>0.47635704271628698</v>
      </c>
      <c r="AG307">
        <v>-1.125685</v>
      </c>
      <c r="AH307">
        <v>19.424593617676599</v>
      </c>
      <c r="AI307">
        <v>93.315674119542294</v>
      </c>
      <c r="AJ307">
        <v>88.595194358254503</v>
      </c>
      <c r="AK307">
        <v>19.463014154114301</v>
      </c>
      <c r="AL307">
        <v>94.787931042224798</v>
      </c>
      <c r="AM307">
        <v>89.048540694621593</v>
      </c>
      <c r="AN307">
        <v>1.0000000337636299</v>
      </c>
    </row>
    <row r="308" spans="1:40" x14ac:dyDescent="0.25">
      <c r="A308" t="str">
        <f>"20190303154103033"</f>
        <v>20190303154103033</v>
      </c>
      <c r="B308" t="str">
        <f>"1551598863029453"</f>
        <v>1551598863029453</v>
      </c>
      <c r="C308" t="s">
        <v>40</v>
      </c>
      <c r="D308">
        <v>5.5052009999999996</v>
      </c>
      <c r="E308">
        <v>0.50293379999999999</v>
      </c>
      <c r="F308" t="s">
        <v>43</v>
      </c>
      <c r="G308">
        <v>-414.82159999999999</v>
      </c>
      <c r="H308">
        <v>-0.05</v>
      </c>
      <c r="I308">
        <v>366.82830000000001</v>
      </c>
      <c r="J308">
        <v>-435.17189999999999</v>
      </c>
      <c r="K308">
        <v>1.075045</v>
      </c>
      <c r="L308">
        <v>367.36219999999997</v>
      </c>
      <c r="M308">
        <v>0.99984899999999999</v>
      </c>
      <c r="N308">
        <v>-1.7243169999999999E-2</v>
      </c>
      <c r="O308">
        <v>-2.1731960000000001E-3</v>
      </c>
      <c r="P308">
        <v>0.9947973</v>
      </c>
      <c r="Q308">
        <v>-0.1003329</v>
      </c>
      <c r="R308">
        <v>-1.7661929999999999E-2</v>
      </c>
      <c r="S308">
        <v>2.9977719999999999</v>
      </c>
      <c r="T308">
        <v>-0.1645045</v>
      </c>
      <c r="U308">
        <v>-7.8063960000000002E-2</v>
      </c>
      <c r="V308">
        <v>1.5515899999999999E-2</v>
      </c>
      <c r="W308">
        <v>-8.3160830000000005E-2</v>
      </c>
      <c r="X308">
        <v>0.9964153</v>
      </c>
      <c r="Y308">
        <v>2.381345E-2</v>
      </c>
      <c r="Z308">
        <v>-7.7665519999999997E-4</v>
      </c>
      <c r="AA308">
        <v>0.9997161</v>
      </c>
      <c r="AB308">
        <v>17</v>
      </c>
      <c r="AC308">
        <v>20.350300000000001</v>
      </c>
      <c r="AD308">
        <v>-1.1250450000000001</v>
      </c>
      <c r="AE308">
        <v>-0.53389999999995996</v>
      </c>
      <c r="AF308">
        <v>0.488175980318589</v>
      </c>
      <c r="AG308">
        <v>-1.1250450000000001</v>
      </c>
      <c r="AH308">
        <v>20.2894440868399</v>
      </c>
      <c r="AI308">
        <v>93.172871248730303</v>
      </c>
      <c r="AJ308">
        <v>88.621695714509102</v>
      </c>
      <c r="AK308">
        <v>20.326474937696101</v>
      </c>
      <c r="AL308">
        <v>94.770273906481506</v>
      </c>
      <c r="AM308">
        <v>89.107878269527802</v>
      </c>
      <c r="AN308">
        <v>0.99999995843659295</v>
      </c>
    </row>
    <row r="309" spans="1:40" x14ac:dyDescent="0.25">
      <c r="A309" t="str">
        <f>"20190303154103057"</f>
        <v>20190303154103057</v>
      </c>
      <c r="B309" t="str">
        <f>"1551598863049949"</f>
        <v>1551598863049949</v>
      </c>
      <c r="C309" t="s">
        <v>40</v>
      </c>
      <c r="D309">
        <v>5.5499210000000003</v>
      </c>
      <c r="E309">
        <v>0.50307979999999997</v>
      </c>
      <c r="F309" t="s">
        <v>43</v>
      </c>
      <c r="G309">
        <v>-414.10649999999998</v>
      </c>
      <c r="H309">
        <v>-0.05</v>
      </c>
      <c r="I309">
        <v>366.83580000000001</v>
      </c>
      <c r="J309">
        <v>-434.99189999999999</v>
      </c>
      <c r="K309">
        <v>1.0744400000000001</v>
      </c>
      <c r="L309">
        <v>367.3621</v>
      </c>
      <c r="M309">
        <v>0.99985639999999998</v>
      </c>
      <c r="N309">
        <v>-1.682732E-2</v>
      </c>
      <c r="O309">
        <v>-1.9974709999999998E-3</v>
      </c>
      <c r="P309">
        <v>0.99488690000000002</v>
      </c>
      <c r="Q309">
        <v>-9.9599610000000005E-2</v>
      </c>
      <c r="R309">
        <v>-1.6728969999999999E-2</v>
      </c>
      <c r="S309">
        <v>2.998138</v>
      </c>
      <c r="T309">
        <v>-0.16012199999999999</v>
      </c>
      <c r="U309">
        <v>-7.4920650000000005E-2</v>
      </c>
      <c r="V309">
        <v>1.4759899999999999E-2</v>
      </c>
      <c r="W309">
        <v>-8.2840399999999995E-2</v>
      </c>
      <c r="X309">
        <v>0.99645349999999999</v>
      </c>
      <c r="Y309">
        <v>2.294241E-2</v>
      </c>
      <c r="Z309">
        <v>-7.3237429999999896E-4</v>
      </c>
      <c r="AA309">
        <v>0.99973650000000003</v>
      </c>
      <c r="AB309">
        <v>17</v>
      </c>
      <c r="AC309">
        <v>20.885400000000001</v>
      </c>
      <c r="AD309">
        <v>-1.1244399999999899</v>
      </c>
      <c r="AE309">
        <v>-0.526299999999992</v>
      </c>
      <c r="AF309">
        <v>0.48317542136972502</v>
      </c>
      <c r="AG309">
        <v>-1.1244399999999899</v>
      </c>
      <c r="AH309">
        <v>20.8260817511973</v>
      </c>
      <c r="AI309">
        <v>93.089678209552105</v>
      </c>
      <c r="AJ309">
        <v>88.670947935964506</v>
      </c>
      <c r="AK309">
        <v>20.862011046612199</v>
      </c>
      <c r="AL309">
        <v>94.751850938203802</v>
      </c>
      <c r="AM309">
        <v>89.151372207049306</v>
      </c>
      <c r="AN309">
        <v>0.99999998209120899</v>
      </c>
    </row>
    <row r="310" spans="1:40" x14ac:dyDescent="0.25">
      <c r="A310" t="str">
        <f>"20190303154103079"</f>
        <v>20190303154103079</v>
      </c>
      <c r="B310" t="str">
        <f>"1551598863069468"</f>
        <v>1551598863069468</v>
      </c>
      <c r="C310" t="s">
        <v>40</v>
      </c>
      <c r="D310">
        <v>5.4845569999999997</v>
      </c>
      <c r="E310">
        <v>0.50306890000000004</v>
      </c>
      <c r="F310" t="s">
        <v>43</v>
      </c>
      <c r="G310">
        <v>-413.32580000000002</v>
      </c>
      <c r="H310">
        <v>-0.05</v>
      </c>
      <c r="I310">
        <v>366.83339999999998</v>
      </c>
      <c r="J310">
        <v>-434.82440000000003</v>
      </c>
      <c r="K310">
        <v>1.07395</v>
      </c>
      <c r="L310">
        <v>367.36200000000002</v>
      </c>
      <c r="M310">
        <v>0.99986240000000004</v>
      </c>
      <c r="N310">
        <v>-1.6486569999999999E-2</v>
      </c>
      <c r="O310">
        <v>-1.816727E-3</v>
      </c>
      <c r="P310">
        <v>0.99490020000000001</v>
      </c>
      <c r="Q310">
        <v>-9.9612179999999995E-2</v>
      </c>
      <c r="R310">
        <v>-1.584779E-2</v>
      </c>
      <c r="S310">
        <v>2.998596</v>
      </c>
      <c r="T310">
        <v>-0.1556236</v>
      </c>
      <c r="U310">
        <v>-7.318115E-2</v>
      </c>
      <c r="V310">
        <v>1.4059530000000001E-2</v>
      </c>
      <c r="W310">
        <v>-8.3192390000000005E-2</v>
      </c>
      <c r="X310">
        <v>0.9964343</v>
      </c>
      <c r="Y310">
        <v>2.254256E-2</v>
      </c>
      <c r="Z310">
        <v>-7.0624320000000002E-4</v>
      </c>
      <c r="AA310">
        <v>0.99974560000000001</v>
      </c>
      <c r="AB310">
        <v>17</v>
      </c>
      <c r="AC310">
        <v>21.4986</v>
      </c>
      <c r="AD310">
        <v>-1.12395</v>
      </c>
      <c r="AE310">
        <v>-0.52859999999998297</v>
      </c>
      <c r="AF310">
        <v>0.48820317234080401</v>
      </c>
      <c r="AG310">
        <v>-1.12395</v>
      </c>
      <c r="AH310">
        <v>21.440957647769501</v>
      </c>
      <c r="AI310">
        <v>92.9999620973378</v>
      </c>
      <c r="AJ310">
        <v>88.695620354659994</v>
      </c>
      <c r="AK310">
        <v>21.475946330567801</v>
      </c>
      <c r="AL310">
        <v>94.772088349866607</v>
      </c>
      <c r="AM310">
        <v>89.191619277997702</v>
      </c>
      <c r="AN310">
        <v>0.99999997917711103</v>
      </c>
    </row>
    <row r="311" spans="1:40" x14ac:dyDescent="0.25">
      <c r="A311" t="str">
        <f>"20190303154103101"</f>
        <v>20190303154103101</v>
      </c>
      <c r="B311" t="str">
        <f>"1551598863088989"</f>
        <v>1551598863088989</v>
      </c>
      <c r="C311" t="s">
        <v>40</v>
      </c>
      <c r="D311">
        <v>5.5105589999999998</v>
      </c>
      <c r="E311">
        <v>0.50296379999999996</v>
      </c>
      <c r="F311" t="s">
        <v>43</v>
      </c>
      <c r="G311">
        <v>-412.94310000000002</v>
      </c>
      <c r="H311">
        <v>-0.05</v>
      </c>
      <c r="I311">
        <v>366.84800000000001</v>
      </c>
      <c r="J311">
        <v>-434.65730000000002</v>
      </c>
      <c r="K311">
        <v>1.0735349999999999</v>
      </c>
      <c r="L311">
        <v>367.36189999999999</v>
      </c>
      <c r="M311">
        <v>0.99986779999999997</v>
      </c>
      <c r="N311">
        <v>-1.6184750000000001E-2</v>
      </c>
      <c r="O311">
        <v>-1.625839E-3</v>
      </c>
      <c r="P311">
        <v>0.9949173</v>
      </c>
      <c r="Q311">
        <v>-9.9543709999999994E-2</v>
      </c>
      <c r="R311">
        <v>-1.519715E-2</v>
      </c>
      <c r="S311">
        <v>2.9988100000000002</v>
      </c>
      <c r="T311">
        <v>-0.1540359</v>
      </c>
      <c r="U311">
        <v>-7.0434570000000002E-2</v>
      </c>
      <c r="V311">
        <v>1.359899E-2</v>
      </c>
      <c r="W311">
        <v>-8.3424590000000007E-2</v>
      </c>
      <c r="X311">
        <v>0.99642129999999995</v>
      </c>
      <c r="Y311">
        <v>2.1818580000000001E-2</v>
      </c>
      <c r="Z311">
        <v>-6.7952460000000002E-4</v>
      </c>
      <c r="AA311">
        <v>0.99976169999999998</v>
      </c>
      <c r="AB311">
        <v>17</v>
      </c>
      <c r="AC311">
        <v>21.714200000000002</v>
      </c>
      <c r="AD311">
        <v>-1.123535</v>
      </c>
      <c r="AE311">
        <v>-0.51389999999997804</v>
      </c>
      <c r="AF311">
        <v>0.47731374337746502</v>
      </c>
      <c r="AG311">
        <v>-1.123535</v>
      </c>
      <c r="AH311">
        <v>21.657058470377201</v>
      </c>
      <c r="AI311">
        <v>92.969035172541297</v>
      </c>
      <c r="AJ311">
        <v>88.737426125580797</v>
      </c>
      <c r="AK311">
        <v>21.691434735747102</v>
      </c>
      <c r="AL311">
        <v>94.785438734782204</v>
      </c>
      <c r="AM311">
        <v>89.218085400776602</v>
      </c>
      <c r="AN311">
        <v>1.0000000009196801</v>
      </c>
    </row>
    <row r="312" spans="1:40" x14ac:dyDescent="0.25">
      <c r="A312" t="str">
        <f>"20190303154103123"</f>
        <v>20190303154103123</v>
      </c>
      <c r="B312" t="str">
        <f>"1551598863119752"</f>
        <v>1551598863119752</v>
      </c>
      <c r="C312" t="s">
        <v>40</v>
      </c>
      <c r="D312">
        <v>5.5087679999999999</v>
      </c>
      <c r="E312">
        <v>0.50289110000000004</v>
      </c>
      <c r="F312" t="s">
        <v>43</v>
      </c>
      <c r="G312">
        <v>-412.58780000000002</v>
      </c>
      <c r="H312">
        <v>-0.05</v>
      </c>
      <c r="I312">
        <v>366.86380000000003</v>
      </c>
      <c r="J312">
        <v>-434.48469999999998</v>
      </c>
      <c r="K312">
        <v>1.073172</v>
      </c>
      <c r="L312">
        <v>367.36180000000002</v>
      </c>
      <c r="M312">
        <v>0.99987250000000005</v>
      </c>
      <c r="N312">
        <v>-1.59095E-2</v>
      </c>
      <c r="O312">
        <v>-1.424898E-3</v>
      </c>
      <c r="P312">
        <v>0.99492380000000002</v>
      </c>
      <c r="Q312">
        <v>-9.9473259999999994E-2</v>
      </c>
      <c r="R312">
        <v>-1.5227930000000001E-2</v>
      </c>
      <c r="S312">
        <v>2.9990230000000002</v>
      </c>
      <c r="T312">
        <v>-0.1526777</v>
      </c>
      <c r="U312">
        <v>-6.7687990000000003E-2</v>
      </c>
      <c r="V312">
        <v>1.382922E-2</v>
      </c>
      <c r="W312">
        <v>-8.3628439999999998E-2</v>
      </c>
      <c r="X312">
        <v>0.99640110000000004</v>
      </c>
      <c r="Y312">
        <v>2.110453E-2</v>
      </c>
      <c r="Z312">
        <v>-6.5502069999999999E-4</v>
      </c>
      <c r="AA312">
        <v>0.99977709999999997</v>
      </c>
      <c r="AB312">
        <v>17</v>
      </c>
      <c r="AC312">
        <v>21.896899999999899</v>
      </c>
      <c r="AD312">
        <v>-1.1231719999999901</v>
      </c>
      <c r="AE312">
        <v>-0.49799999999999001</v>
      </c>
      <c r="AF312">
        <v>0.46557039781263598</v>
      </c>
      <c r="AG312">
        <v>-1.1231719999999901</v>
      </c>
      <c r="AH312">
        <v>21.840154864179901</v>
      </c>
      <c r="AI312">
        <v>92.943284754735103</v>
      </c>
      <c r="AJ312">
        <v>88.778800813157304</v>
      </c>
      <c r="AK312">
        <v>21.873971647331601</v>
      </c>
      <c r="AL312">
        <v>94.797159163809994</v>
      </c>
      <c r="AM312">
        <v>89.204833205919499</v>
      </c>
      <c r="AN312">
        <v>1.0000000576919199</v>
      </c>
    </row>
    <row r="313" spans="1:40" x14ac:dyDescent="0.25">
      <c r="A313" t="str">
        <f>"20190303154103148"</f>
        <v>20190303154103148</v>
      </c>
      <c r="B313" t="str">
        <f>"1551598863139272"</f>
        <v>1551598863139272</v>
      </c>
      <c r="C313" t="s">
        <v>40</v>
      </c>
      <c r="D313">
        <v>5.5235089999999998</v>
      </c>
      <c r="E313">
        <v>0.50287219999999999</v>
      </c>
      <c r="F313" t="s">
        <v>43</v>
      </c>
      <c r="G313">
        <v>-412.2559</v>
      </c>
      <c r="H313">
        <v>-0.05</v>
      </c>
      <c r="I313">
        <v>366.86290000000002</v>
      </c>
      <c r="J313">
        <v>-434.30270000000002</v>
      </c>
      <c r="K313">
        <v>1.0728470000000001</v>
      </c>
      <c r="L313">
        <v>367.36180000000002</v>
      </c>
      <c r="M313">
        <v>0.99987680000000001</v>
      </c>
      <c r="N313">
        <v>-1.565358E-2</v>
      </c>
      <c r="O313">
        <v>-1.213574E-3</v>
      </c>
      <c r="P313">
        <v>0.99490480000000003</v>
      </c>
      <c r="Q313">
        <v>-9.9666459999999998E-2</v>
      </c>
      <c r="R313">
        <v>-1.520665E-2</v>
      </c>
      <c r="S313">
        <v>2.9990839999999999</v>
      </c>
      <c r="T313">
        <v>-0.15153730000000001</v>
      </c>
      <c r="U313">
        <v>-6.7321779999999998E-2</v>
      </c>
      <c r="V313">
        <v>1.401728E-2</v>
      </c>
      <c r="W313">
        <v>-8.4077139999999995E-2</v>
      </c>
      <c r="X313">
        <v>0.99636069999999999</v>
      </c>
      <c r="Y313">
        <v>2.1193679999999999E-2</v>
      </c>
      <c r="Z313">
        <v>-6.5879000000000003E-4</v>
      </c>
      <c r="AA313">
        <v>0.99977519999999998</v>
      </c>
      <c r="AB313">
        <v>17</v>
      </c>
      <c r="AC313">
        <v>22.046800000000001</v>
      </c>
      <c r="AD313">
        <v>-1.1228469999999999</v>
      </c>
      <c r="AE313">
        <v>-0.49889999999999102</v>
      </c>
      <c r="AF313">
        <v>0.47092004694622103</v>
      </c>
      <c r="AG313">
        <v>-1.1228469999999999</v>
      </c>
      <c r="AH313">
        <v>21.990378058633802</v>
      </c>
      <c r="AI313">
        <v>92.922362767649005</v>
      </c>
      <c r="AJ313">
        <v>88.773208551408104</v>
      </c>
      <c r="AK313">
        <v>22.024061347482402</v>
      </c>
      <c r="AL313">
        <v>94.822958692027001</v>
      </c>
      <c r="AM313">
        <v>89.193988678246001</v>
      </c>
      <c r="AN313">
        <v>1.00000004705683</v>
      </c>
    </row>
    <row r="314" spans="1:40" x14ac:dyDescent="0.25">
      <c r="A314" t="str">
        <f>"20190303154103174"</f>
        <v>20190303154103174</v>
      </c>
      <c r="B314" t="str">
        <f>"1551598863169527"</f>
        <v>1551598863169527</v>
      </c>
      <c r="C314" t="s">
        <v>40</v>
      </c>
      <c r="D314">
        <v>5.5144310000000001</v>
      </c>
      <c r="E314">
        <v>0.50286090000000006</v>
      </c>
      <c r="F314" t="s">
        <v>43</v>
      </c>
      <c r="G314">
        <v>-412.09629999999999</v>
      </c>
      <c r="H314">
        <v>-0.05</v>
      </c>
      <c r="I314">
        <v>366.86489999999998</v>
      </c>
      <c r="J314">
        <v>-434.10989999999998</v>
      </c>
      <c r="K314">
        <v>1.072554</v>
      </c>
      <c r="L314">
        <v>367.36180000000002</v>
      </c>
      <c r="M314">
        <v>0.99988080000000001</v>
      </c>
      <c r="N314">
        <v>-1.5415420000000001E-2</v>
      </c>
      <c r="O314">
        <v>-9.958708000000001E-4</v>
      </c>
      <c r="P314">
        <v>0.99488840000000001</v>
      </c>
      <c r="Q314">
        <v>-9.9757689999999996E-2</v>
      </c>
      <c r="R314">
        <v>-1.5674460000000001E-2</v>
      </c>
      <c r="S314">
        <v>2.9991759999999998</v>
      </c>
      <c r="T314">
        <v>-0.1516507</v>
      </c>
      <c r="U314">
        <v>-6.7108150000000005E-2</v>
      </c>
      <c r="V314">
        <v>1.470058E-2</v>
      </c>
      <c r="W314">
        <v>-8.4406049999999996E-2</v>
      </c>
      <c r="X314">
        <v>0.99632299999999996</v>
      </c>
      <c r="Y314">
        <v>2.1339219999999999E-2</v>
      </c>
      <c r="Z314">
        <v>-6.6875880000000004E-4</v>
      </c>
      <c r="AA314">
        <v>0.99977210000000005</v>
      </c>
      <c r="AB314">
        <v>17</v>
      </c>
      <c r="AC314">
        <v>22.0136</v>
      </c>
      <c r="AD314">
        <v>-1.1225540000000001</v>
      </c>
      <c r="AE314">
        <v>-0.49690000000003898</v>
      </c>
      <c r="AF314">
        <v>0.4737431772349</v>
      </c>
      <c r="AG314">
        <v>-1.1225540000000001</v>
      </c>
      <c r="AH314">
        <v>21.957017064973499</v>
      </c>
      <c r="AI314">
        <v>92.926022712257407</v>
      </c>
      <c r="AJ314">
        <v>88.763981748040706</v>
      </c>
      <c r="AK314">
        <v>21.9907971313554</v>
      </c>
      <c r="AL314">
        <v>94.841871280159793</v>
      </c>
      <c r="AM314">
        <v>89.154671652261797</v>
      </c>
      <c r="AN314">
        <v>1.0000000043289601</v>
      </c>
    </row>
    <row r="315" spans="1:40" x14ac:dyDescent="0.25">
      <c r="A315" t="str">
        <f>"20190303154103192"</f>
        <v>20190303154103192</v>
      </c>
      <c r="B315" t="str">
        <f>"1551598863189048"</f>
        <v>1551598863189048</v>
      </c>
      <c r="C315" t="s">
        <v>40</v>
      </c>
      <c r="D315">
        <v>5.5100829999999998</v>
      </c>
      <c r="E315">
        <v>0.50288459999999902</v>
      </c>
      <c r="F315" t="s">
        <v>43</v>
      </c>
      <c r="G315">
        <v>-411.90769999999998</v>
      </c>
      <c r="H315">
        <v>-0.05</v>
      </c>
      <c r="I315">
        <v>366.85550000000001</v>
      </c>
      <c r="J315">
        <v>-433.96800000000002</v>
      </c>
      <c r="K315">
        <v>1.072368</v>
      </c>
      <c r="L315">
        <v>367.36189999999999</v>
      </c>
      <c r="M315">
        <v>0.99988330000000003</v>
      </c>
      <c r="N315">
        <v>-1.5261429999999999E-2</v>
      </c>
      <c r="O315">
        <v>-8.4029000000000005E-4</v>
      </c>
      <c r="P315">
        <v>0.99483730000000004</v>
      </c>
      <c r="Q315">
        <v>-0.10007249999999999</v>
      </c>
      <c r="R315">
        <v>-1.6866800000000001E-2</v>
      </c>
      <c r="S315">
        <v>2.9991460000000001</v>
      </c>
      <c r="T315">
        <v>-0.15163779999999999</v>
      </c>
      <c r="U315">
        <v>-6.8389889999999995E-2</v>
      </c>
      <c r="V315">
        <v>1.6046919999999999E-2</v>
      </c>
      <c r="W315">
        <v>-8.4874899999999906E-2</v>
      </c>
      <c r="X315">
        <v>0.99626239999999999</v>
      </c>
      <c r="Y315">
        <v>2.1921090000000001E-2</v>
      </c>
      <c r="Z315">
        <v>-6.9155219999999997E-4</v>
      </c>
      <c r="AA315">
        <v>0.99975939999999996</v>
      </c>
      <c r="AB315">
        <v>17</v>
      </c>
      <c r="AC315">
        <v>22.060300000000002</v>
      </c>
      <c r="AD315">
        <v>-1.122368</v>
      </c>
      <c r="AE315">
        <v>-0.50639999999998497</v>
      </c>
      <c r="AF315">
        <v>0.48660171084667603</v>
      </c>
      <c r="AG315">
        <v>-1.122368</v>
      </c>
      <c r="AH315">
        <v>22.003791024912399</v>
      </c>
      <c r="AI315">
        <v>92.919296349235395</v>
      </c>
      <c r="AJ315">
        <v>88.733141906936595</v>
      </c>
      <c r="AK315">
        <v>22.037770091831799</v>
      </c>
      <c r="AL315">
        <v>94.868831118066197</v>
      </c>
      <c r="AM315">
        <v>89.077209687689304</v>
      </c>
      <c r="AN315">
        <v>1.0000000109726199</v>
      </c>
    </row>
    <row r="316" spans="1:40" x14ac:dyDescent="0.25">
      <c r="A316" t="str">
        <f>"20190303154103214"</f>
        <v>20190303154103214</v>
      </c>
      <c r="B316" t="str">
        <f>"1551598863209074"</f>
        <v>1551598863209074</v>
      </c>
      <c r="C316" t="s">
        <v>40</v>
      </c>
      <c r="D316">
        <v>5.578722</v>
      </c>
      <c r="E316">
        <v>0.50284119999999999</v>
      </c>
      <c r="F316" t="s">
        <v>43</v>
      </c>
      <c r="G316">
        <v>-411.89769999999999</v>
      </c>
      <c r="H316">
        <v>-0.05</v>
      </c>
      <c r="I316">
        <v>366.83010000000002</v>
      </c>
      <c r="J316">
        <v>-433.79939999999999</v>
      </c>
      <c r="K316">
        <v>1.0721830000000001</v>
      </c>
      <c r="L316">
        <v>367.36200000000002</v>
      </c>
      <c r="M316">
        <v>0.99988580000000005</v>
      </c>
      <c r="N316">
        <v>-1.5097080000000001E-2</v>
      </c>
      <c r="O316">
        <v>-6.5912740000000005E-4</v>
      </c>
      <c r="P316">
        <v>0.99479499999999998</v>
      </c>
      <c r="Q316">
        <v>-0.100247</v>
      </c>
      <c r="R316">
        <v>-1.8259850000000001E-2</v>
      </c>
      <c r="S316">
        <v>2.998993</v>
      </c>
      <c r="T316">
        <v>-0.15251120000000001</v>
      </c>
      <c r="U316">
        <v>-7.2265629999999997E-2</v>
      </c>
      <c r="V316">
        <v>1.7619679999999999E-2</v>
      </c>
      <c r="W316">
        <v>-8.5213709999999998E-2</v>
      </c>
      <c r="X316">
        <v>0.99620690000000001</v>
      </c>
      <c r="Y316">
        <v>2.3391849999999999E-2</v>
      </c>
      <c r="Z316">
        <v>-7.4752659999999997E-4</v>
      </c>
      <c r="AA316">
        <v>0.99972609999999995</v>
      </c>
      <c r="AB316">
        <v>17</v>
      </c>
      <c r="AC316">
        <v>21.901700000000002</v>
      </c>
      <c r="AD316">
        <v>-1.1221829999999999</v>
      </c>
      <c r="AE316">
        <v>-0.53189999999994997</v>
      </c>
      <c r="AF316">
        <v>0.51610811077058205</v>
      </c>
      <c r="AG316">
        <v>-1.1221829999999999</v>
      </c>
      <c r="AH316">
        <v>21.844731654410602</v>
      </c>
      <c r="AI316">
        <v>92.939930376416598</v>
      </c>
      <c r="AJ316">
        <v>88.646569950590703</v>
      </c>
      <c r="AK316">
        <v>21.879624387102801</v>
      </c>
      <c r="AL316">
        <v>94.888314096330902</v>
      </c>
      <c r="AM316">
        <v>88.986728507769598</v>
      </c>
      <c r="AN316">
        <v>1.00000000855143</v>
      </c>
    </row>
    <row r="317" spans="1:40" x14ac:dyDescent="0.25">
      <c r="A317" t="str">
        <f>"20190303154103236"</f>
        <v>20190303154103236</v>
      </c>
      <c r="B317" t="str">
        <f>"1551598863229570"</f>
        <v>1551598863229570</v>
      </c>
      <c r="C317" t="s">
        <v>40</v>
      </c>
      <c r="D317">
        <v>5.5425509999999996</v>
      </c>
      <c r="E317">
        <v>0.50285210000000002</v>
      </c>
      <c r="F317" t="s">
        <v>43</v>
      </c>
      <c r="G317">
        <v>-411.7774</v>
      </c>
      <c r="H317">
        <v>-0.05</v>
      </c>
      <c r="I317">
        <v>366.80349999999999</v>
      </c>
      <c r="J317">
        <v>-433.63839999999999</v>
      </c>
      <c r="K317">
        <v>1.072033</v>
      </c>
      <c r="L317">
        <v>367.3621</v>
      </c>
      <c r="M317">
        <v>0.99988809999999995</v>
      </c>
      <c r="N317">
        <v>-1.4958300000000001E-2</v>
      </c>
      <c r="O317">
        <v>-4.8935690000000002E-4</v>
      </c>
      <c r="P317">
        <v>0.99478029999999995</v>
      </c>
      <c r="Q317">
        <v>-0.100207</v>
      </c>
      <c r="R317">
        <v>-1.926464E-2</v>
      </c>
      <c r="S317">
        <v>2.998901</v>
      </c>
      <c r="T317">
        <v>-0.15281649999999999</v>
      </c>
      <c r="U317">
        <v>-7.6049800000000001E-2</v>
      </c>
      <c r="V317">
        <v>1.8792759999999999E-2</v>
      </c>
      <c r="W317">
        <v>-8.5312089999999993E-2</v>
      </c>
      <c r="X317">
        <v>0.99617699999999998</v>
      </c>
      <c r="Y317">
        <v>2.4820479999999999E-2</v>
      </c>
      <c r="Z317">
        <v>-8.0011509999999896E-4</v>
      </c>
      <c r="AA317">
        <v>0.99969160000000001</v>
      </c>
      <c r="AB317">
        <v>17</v>
      </c>
      <c r="AC317">
        <v>21.860999999999901</v>
      </c>
      <c r="AD317">
        <v>-1.1220330000000001</v>
      </c>
      <c r="AE317">
        <v>-0.55860000000001198</v>
      </c>
      <c r="AF317">
        <v>0.54646227987668405</v>
      </c>
      <c r="AG317">
        <v>-1.1220330000000001</v>
      </c>
      <c r="AH317">
        <v>21.803869521436098</v>
      </c>
      <c r="AI317">
        <v>92.944934582425105</v>
      </c>
      <c r="AJ317">
        <v>88.564317718772301</v>
      </c>
      <c r="AK317">
        <v>21.839558264402399</v>
      </c>
      <c r="AL317">
        <v>94.893971655705201</v>
      </c>
      <c r="AM317">
        <v>88.919250164812098</v>
      </c>
      <c r="AN317">
        <v>0.99999996792879198</v>
      </c>
    </row>
    <row r="318" spans="1:40" x14ac:dyDescent="0.25">
      <c r="A318" t="str">
        <f>"20190303154103249"</f>
        <v>20190303154103249</v>
      </c>
      <c r="B318" t="str">
        <f>"1551598863239330"</f>
        <v>1551598863239330</v>
      </c>
      <c r="C318" t="s">
        <v>40</v>
      </c>
      <c r="D318">
        <v>5.5382189999999998</v>
      </c>
      <c r="E318">
        <v>0.50284249999999997</v>
      </c>
      <c r="F318" t="s">
        <v>43</v>
      </c>
      <c r="G318">
        <v>-411.59280000000001</v>
      </c>
      <c r="H318">
        <v>-0.05</v>
      </c>
      <c r="I318">
        <v>366.7808</v>
      </c>
      <c r="J318">
        <v>-433.53590000000003</v>
      </c>
      <c r="K318">
        <v>1.071958</v>
      </c>
      <c r="L318">
        <v>367.3621</v>
      </c>
      <c r="M318">
        <v>0.99988940000000004</v>
      </c>
      <c r="N318">
        <v>-1.4879720000000001E-2</v>
      </c>
      <c r="O318">
        <v>-3.8282909999999998E-4</v>
      </c>
      <c r="P318">
        <v>0.99473330000000004</v>
      </c>
      <c r="Q318">
        <v>-0.10060860000000001</v>
      </c>
      <c r="R318">
        <v>-1.959986E-2</v>
      </c>
      <c r="S318">
        <v>2.9988100000000002</v>
      </c>
      <c r="T318">
        <v>-0.1526276</v>
      </c>
      <c r="U318">
        <v>-7.9071039999999995E-2</v>
      </c>
      <c r="V318">
        <v>1.9233779999999999E-2</v>
      </c>
      <c r="W318">
        <v>-8.5792679999999996E-2</v>
      </c>
      <c r="X318">
        <v>0.9961274</v>
      </c>
      <c r="Y318">
        <v>2.5932460000000001E-2</v>
      </c>
      <c r="Z318">
        <v>-8.3875270000000003E-4</v>
      </c>
      <c r="AA318">
        <v>0.99966339999999998</v>
      </c>
      <c r="AB318">
        <v>17</v>
      </c>
      <c r="AC318">
        <v>21.943100000000001</v>
      </c>
      <c r="AD318">
        <v>-1.121958</v>
      </c>
      <c r="AE318">
        <v>-0.58129999999999804</v>
      </c>
      <c r="AF318">
        <v>0.57140578682693499</v>
      </c>
      <c r="AG318">
        <v>-1.121958</v>
      </c>
      <c r="AH318">
        <v>21.886143896212399</v>
      </c>
      <c r="AI318">
        <v>92.933609314145698</v>
      </c>
      <c r="AJ318">
        <v>88.504455399951894</v>
      </c>
      <c r="AK318">
        <v>21.922330828921901</v>
      </c>
      <c r="AL318">
        <v>94.921608309749104</v>
      </c>
      <c r="AM318">
        <v>88.893838782463106</v>
      </c>
      <c r="AN318">
        <v>1.0000000596327101</v>
      </c>
    </row>
    <row r="319" spans="1:40" x14ac:dyDescent="0.25">
      <c r="A319" t="str">
        <f>"20190303154103270"</f>
        <v>20190303154103270</v>
      </c>
      <c r="B319" t="str">
        <f>"1551598863259826"</f>
        <v>1551598863259826</v>
      </c>
      <c r="C319" t="s">
        <v>40</v>
      </c>
      <c r="D319">
        <v>5.5622360000000004</v>
      </c>
      <c r="E319">
        <v>0.50287409999999999</v>
      </c>
      <c r="F319" t="s">
        <v>43</v>
      </c>
      <c r="G319">
        <v>-411.70179999999999</v>
      </c>
      <c r="H319">
        <v>-0.05</v>
      </c>
      <c r="I319">
        <v>366.77969999999999</v>
      </c>
      <c r="J319">
        <v>-433.37970000000001</v>
      </c>
      <c r="K319">
        <v>1.0718510000000001</v>
      </c>
      <c r="L319">
        <v>367.3623</v>
      </c>
      <c r="M319">
        <v>0.99989099999999997</v>
      </c>
      <c r="N319">
        <v>-1.476879E-2</v>
      </c>
      <c r="O319">
        <v>-2.2111869999999999E-4</v>
      </c>
      <c r="P319">
        <v>0.99471010000000004</v>
      </c>
      <c r="Q319">
        <v>-0.10090250000000001</v>
      </c>
      <c r="R319">
        <v>-1.9249490000000001E-2</v>
      </c>
      <c r="S319">
        <v>2.9987180000000002</v>
      </c>
      <c r="T319">
        <v>-0.1540908</v>
      </c>
      <c r="U319">
        <v>-7.9986570000000007E-2</v>
      </c>
      <c r="V319">
        <v>1.9044080000000001E-2</v>
      </c>
      <c r="W319">
        <v>-8.6197499999999996E-2</v>
      </c>
      <c r="X319">
        <v>0.99609599999999998</v>
      </c>
      <c r="Y319">
        <v>2.6398359999999999E-2</v>
      </c>
      <c r="Z319">
        <v>-8.6473710000000001E-4</v>
      </c>
      <c r="AA319">
        <v>0.99965110000000001</v>
      </c>
      <c r="AB319">
        <v>17</v>
      </c>
      <c r="AC319">
        <v>21.677900000000001</v>
      </c>
      <c r="AD319">
        <v>-1.1218509999999999</v>
      </c>
      <c r="AE319">
        <v>-0.582600000000013</v>
      </c>
      <c r="AF319">
        <v>0.57626386340306801</v>
      </c>
      <c r="AG319">
        <v>-1.1218509999999999</v>
      </c>
      <c r="AH319">
        <v>21.620167907353501</v>
      </c>
      <c r="AI319">
        <v>92.969309644675405</v>
      </c>
      <c r="AJ319">
        <v>88.473200032488194</v>
      </c>
      <c r="AK319">
        <v>21.6569224509999</v>
      </c>
      <c r="AL319">
        <v>94.944889504026705</v>
      </c>
      <c r="AM319">
        <v>88.904711502981598</v>
      </c>
      <c r="AN319">
        <v>0.99999996360264698</v>
      </c>
    </row>
    <row r="320" spans="1:40" x14ac:dyDescent="0.25">
      <c r="A320" t="str">
        <f>"20190303154103292"</f>
        <v>20190303154103292</v>
      </c>
      <c r="B320" t="str">
        <f>"1551598863289107"</f>
        <v>1551598863289107</v>
      </c>
      <c r="C320" t="s">
        <v>40</v>
      </c>
      <c r="D320">
        <v>5.5927129999999998</v>
      </c>
      <c r="E320">
        <v>0.50288699999999997</v>
      </c>
      <c r="F320" t="s">
        <v>43</v>
      </c>
      <c r="G320">
        <v>-411.73309999999998</v>
      </c>
      <c r="H320">
        <v>-0.05</v>
      </c>
      <c r="I320">
        <v>366.79129999999998</v>
      </c>
      <c r="J320">
        <v>-433.21850000000001</v>
      </c>
      <c r="K320">
        <v>1.071755</v>
      </c>
      <c r="L320">
        <v>367.36239999999998</v>
      </c>
      <c r="M320">
        <v>0.99989260000000002</v>
      </c>
      <c r="N320">
        <v>-1.4666749999999999E-2</v>
      </c>
      <c r="O320" s="1">
        <v>-5.458974E-5</v>
      </c>
      <c r="P320">
        <v>0.99471350000000003</v>
      </c>
      <c r="Q320">
        <v>-0.1010815</v>
      </c>
      <c r="R320">
        <v>-1.8110649999999999E-2</v>
      </c>
      <c r="S320">
        <v>2.998688</v>
      </c>
      <c r="T320">
        <v>-0.15540960000000001</v>
      </c>
      <c r="U320">
        <v>-7.9101560000000001E-2</v>
      </c>
      <c r="V320">
        <v>1.8070800000000001E-2</v>
      </c>
      <c r="W320">
        <v>-8.6478429999999995E-2</v>
      </c>
      <c r="X320">
        <v>0.99608980000000003</v>
      </c>
      <c r="Y320">
        <v>2.6269799999999999E-2</v>
      </c>
      <c r="Z320">
        <v>-8.7098220000000003E-4</v>
      </c>
      <c r="AA320">
        <v>0.9996545</v>
      </c>
      <c r="AB320">
        <v>17</v>
      </c>
      <c r="AC320">
        <v>21.485399999999998</v>
      </c>
      <c r="AD320">
        <v>-1.1217549999999901</v>
      </c>
      <c r="AE320">
        <v>-0.57110000000000105</v>
      </c>
      <c r="AF320">
        <v>0.56837874382975795</v>
      </c>
      <c r="AG320">
        <v>-1.1217549999999901</v>
      </c>
      <c r="AH320">
        <v>21.4270644557125</v>
      </c>
      <c r="AI320">
        <v>92.995775150853405</v>
      </c>
      <c r="AJ320">
        <v>88.480516624036198</v>
      </c>
      <c r="AK320">
        <v>21.463934398560799</v>
      </c>
      <c r="AL320">
        <v>94.961045850298305</v>
      </c>
      <c r="AM320">
        <v>88.960669002147895</v>
      </c>
      <c r="AN320">
        <v>0.999999981165972</v>
      </c>
    </row>
    <row r="321" spans="1:40" x14ac:dyDescent="0.25">
      <c r="A321" t="str">
        <f>"20190303154103304"</f>
        <v>20190303154103304</v>
      </c>
      <c r="B321" t="str">
        <f>"1551598863299376"</f>
        <v>1551598863299376</v>
      </c>
      <c r="C321" t="s">
        <v>40</v>
      </c>
      <c r="D321">
        <v>5.5588639999999998</v>
      </c>
      <c r="E321">
        <v>0.50285760000000002</v>
      </c>
      <c r="F321" t="s">
        <v>43</v>
      </c>
      <c r="G321">
        <v>-411.79129999999998</v>
      </c>
      <c r="H321">
        <v>-0.05</v>
      </c>
      <c r="I321">
        <v>366.81639999999999</v>
      </c>
      <c r="J321">
        <v>-433.13010000000003</v>
      </c>
      <c r="K321">
        <v>1.071709</v>
      </c>
      <c r="L321">
        <v>367.36250000000001</v>
      </c>
      <c r="M321">
        <v>0.99989329999999998</v>
      </c>
      <c r="N321">
        <v>-1.4616240000000001E-2</v>
      </c>
      <c r="O321" s="1">
        <v>3.7191989999999998E-5</v>
      </c>
      <c r="P321">
        <v>0.99470099999999995</v>
      </c>
      <c r="Q321">
        <v>-0.1012908</v>
      </c>
      <c r="R321">
        <v>-1.761857E-2</v>
      </c>
      <c r="S321">
        <v>2.9986269999999999</v>
      </c>
      <c r="T321">
        <v>-0.15698419999999999</v>
      </c>
      <c r="U321">
        <v>-7.6416020000000001E-2</v>
      </c>
      <c r="V321">
        <v>1.7669730000000002E-2</v>
      </c>
      <c r="W321">
        <v>-8.6738330000000002E-2</v>
      </c>
      <c r="X321">
        <v>0.99607440000000003</v>
      </c>
      <c r="Y321">
        <v>2.5467960000000001E-2</v>
      </c>
      <c r="Z321">
        <v>-8.5381379999999998E-4</v>
      </c>
      <c r="AA321">
        <v>0.99967530000000004</v>
      </c>
      <c r="AB321">
        <v>17</v>
      </c>
      <c r="AC321">
        <v>21.338799999999999</v>
      </c>
      <c r="AD321">
        <v>-1.1217090000000001</v>
      </c>
      <c r="AE321">
        <v>-0.54610000000002401</v>
      </c>
      <c r="AF321">
        <v>0.54538765983234605</v>
      </c>
      <c r="AG321">
        <v>-1.1217090000000001</v>
      </c>
      <c r="AH321">
        <v>21.280016121759999</v>
      </c>
      <c r="AI321">
        <v>93.016385259807706</v>
      </c>
      <c r="AJ321">
        <v>88.531882129422897</v>
      </c>
      <c r="AK321">
        <v>21.316537357707599</v>
      </c>
      <c r="AL321">
        <v>94.975993176221294</v>
      </c>
      <c r="AM321">
        <v>88.983715696007806</v>
      </c>
      <c r="AN321">
        <v>0.99999998379240995</v>
      </c>
    </row>
    <row r="322" spans="1:40" x14ac:dyDescent="0.25">
      <c r="A322" t="str">
        <f>"20190303154103324"</f>
        <v>20190303154103324</v>
      </c>
      <c r="B322" t="str">
        <f>"1551598863319872"</f>
        <v>1551598863319872</v>
      </c>
      <c r="C322" t="s">
        <v>40</v>
      </c>
      <c r="D322">
        <v>5.6071039999999996</v>
      </c>
      <c r="E322">
        <v>0.50281609999999999</v>
      </c>
      <c r="F322" t="s">
        <v>43</v>
      </c>
      <c r="G322">
        <v>-411.88819999999998</v>
      </c>
      <c r="H322">
        <v>-0.05</v>
      </c>
      <c r="I322">
        <v>366.834</v>
      </c>
      <c r="J322">
        <v>-432.97160000000002</v>
      </c>
      <c r="K322">
        <v>1.0716399999999999</v>
      </c>
      <c r="L322">
        <v>367.36270000000002</v>
      </c>
      <c r="M322">
        <v>0.99989439999999996</v>
      </c>
      <c r="N322">
        <v>-1.453308E-2</v>
      </c>
      <c r="O322">
        <v>2.0262749999999999E-4</v>
      </c>
      <c r="P322">
        <v>0.99471189999999998</v>
      </c>
      <c r="Q322">
        <v>-0.1013959</v>
      </c>
      <c r="R322">
        <v>-1.633896E-2</v>
      </c>
      <c r="S322">
        <v>2.9985050000000002</v>
      </c>
      <c r="T322">
        <v>-0.15834029999999999</v>
      </c>
      <c r="U322">
        <v>-7.4615479999999998E-2</v>
      </c>
      <c r="V322">
        <v>1.655446E-2</v>
      </c>
      <c r="W322">
        <v>-8.6926349999999999E-2</v>
      </c>
      <c r="X322">
        <v>0.9960772</v>
      </c>
      <c r="Y322">
        <v>2.503449E-2</v>
      </c>
      <c r="Z322">
        <v>-8.5029029999999996E-4</v>
      </c>
      <c r="AA322">
        <v>0.99968619999999997</v>
      </c>
      <c r="AB322">
        <v>17</v>
      </c>
      <c r="AC322">
        <v>21.083400000000001</v>
      </c>
      <c r="AD322">
        <v>-1.12164</v>
      </c>
      <c r="AE322">
        <v>-0.52870000000001405</v>
      </c>
      <c r="AF322">
        <v>0.53146926821556695</v>
      </c>
      <c r="AG322">
        <v>-1.12164</v>
      </c>
      <c r="AH322">
        <v>21.023827013406802</v>
      </c>
      <c r="AI322">
        <v>93.052912427722305</v>
      </c>
      <c r="AJ322">
        <v>88.5519067509358</v>
      </c>
      <c r="AK322">
        <v>21.0604330003519</v>
      </c>
      <c r="AL322">
        <v>94.986806619391601</v>
      </c>
      <c r="AM322">
        <v>89.047851536812203</v>
      </c>
      <c r="AN322">
        <v>1.0000000144150201</v>
      </c>
    </row>
    <row r="323" spans="1:40" x14ac:dyDescent="0.25">
      <c r="A323" t="str">
        <f>"20190303154103350"</f>
        <v>20190303154103350</v>
      </c>
      <c r="B323" t="str">
        <f>"1551598863339392"</f>
        <v>1551598863339392</v>
      </c>
      <c r="C323" t="s">
        <v>40</v>
      </c>
      <c r="D323">
        <v>5.6297430000000004</v>
      </c>
      <c r="E323">
        <v>0.5027876</v>
      </c>
      <c r="F323" t="s">
        <v>43</v>
      </c>
      <c r="G323">
        <v>-411.89620000000002</v>
      </c>
      <c r="H323">
        <v>-0.05</v>
      </c>
      <c r="I323">
        <v>366.8664</v>
      </c>
      <c r="J323">
        <v>-432.791</v>
      </c>
      <c r="K323">
        <v>1.0715650000000001</v>
      </c>
      <c r="L323">
        <v>367.363</v>
      </c>
      <c r="M323">
        <v>0.9998956</v>
      </c>
      <c r="N323">
        <v>-1.44493E-2</v>
      </c>
      <c r="O323">
        <v>3.9143350000000001E-4</v>
      </c>
      <c r="P323">
        <v>0.99471779999999999</v>
      </c>
      <c r="Q323">
        <v>-0.1014318</v>
      </c>
      <c r="R323">
        <v>-1.5769709999999999E-2</v>
      </c>
      <c r="S323">
        <v>2.9985659999999998</v>
      </c>
      <c r="T323">
        <v>-0.15958559999999999</v>
      </c>
      <c r="U323">
        <v>-7.0617680000000002E-2</v>
      </c>
      <c r="V323">
        <v>1.617273E-2</v>
      </c>
      <c r="W323">
        <v>-8.7045730000000002E-2</v>
      </c>
      <c r="X323">
        <v>0.99607299999999999</v>
      </c>
      <c r="Y323">
        <v>2.389204E-2</v>
      </c>
      <c r="Z323">
        <v>-8.231995E-4</v>
      </c>
      <c r="AA323">
        <v>0.9997142</v>
      </c>
      <c r="AB323">
        <v>17</v>
      </c>
      <c r="AC323">
        <v>20.894799999999901</v>
      </c>
      <c r="AD323">
        <v>-1.1215649999999999</v>
      </c>
      <c r="AE323">
        <v>-0.496600000000057</v>
      </c>
      <c r="AF323">
        <v>0.50333036638214401</v>
      </c>
      <c r="AG323">
        <v>-1.1215649999999999</v>
      </c>
      <c r="AH323">
        <v>20.834609335522799</v>
      </c>
      <c r="AI323">
        <v>93.080465036432003</v>
      </c>
      <c r="AJ323">
        <v>88.616096090755505</v>
      </c>
      <c r="AK323">
        <v>20.870845590699101</v>
      </c>
      <c r="AL323">
        <v>94.993672843075402</v>
      </c>
      <c r="AM323">
        <v>89.0697993440576</v>
      </c>
      <c r="AN323">
        <v>0.99999996881794195</v>
      </c>
    </row>
    <row r="324" spans="1:40" x14ac:dyDescent="0.25">
      <c r="A324" t="str">
        <f>"20190303154103371"</f>
        <v>20190303154103371</v>
      </c>
      <c r="B324" t="str">
        <f>"1551598863359887"</f>
        <v>1551598863359887</v>
      </c>
      <c r="C324" t="s">
        <v>40</v>
      </c>
      <c r="D324">
        <v>5.5980970000000001</v>
      </c>
      <c r="E324">
        <v>0.50274470000000004</v>
      </c>
      <c r="F324" t="s">
        <v>43</v>
      </c>
      <c r="G324">
        <v>-411.86040000000003</v>
      </c>
      <c r="H324">
        <v>-0.05</v>
      </c>
      <c r="I324">
        <v>366.88369999999998</v>
      </c>
      <c r="J324">
        <v>-432.62599999999998</v>
      </c>
      <c r="K324">
        <v>1.0715110000000001</v>
      </c>
      <c r="L324">
        <v>367.36329999999998</v>
      </c>
      <c r="M324">
        <v>0.99989649999999997</v>
      </c>
      <c r="N324">
        <v>-1.4381949999999999E-2</v>
      </c>
      <c r="O324">
        <v>5.6487330000000002E-4</v>
      </c>
      <c r="P324">
        <v>0.99466940000000004</v>
      </c>
      <c r="Q324">
        <v>-0.1018478</v>
      </c>
      <c r="R324">
        <v>-1.6125629999999998E-2</v>
      </c>
      <c r="S324">
        <v>2.9984739999999999</v>
      </c>
      <c r="T324">
        <v>-0.16067239999999999</v>
      </c>
      <c r="U324">
        <v>-6.8664550000000005E-2</v>
      </c>
      <c r="V324">
        <v>1.6701359999999998E-2</v>
      </c>
      <c r="W324">
        <v>-8.752944E-2</v>
      </c>
      <c r="X324">
        <v>0.99602190000000002</v>
      </c>
      <c r="Y324">
        <v>2.341557E-2</v>
      </c>
      <c r="Z324">
        <v>-8.1751539999999905E-4</v>
      </c>
      <c r="AA324">
        <v>0.99972550000000004</v>
      </c>
      <c r="AB324">
        <v>17</v>
      </c>
      <c r="AC324">
        <v>20.7655999999999</v>
      </c>
      <c r="AD324">
        <v>-1.1215109999999999</v>
      </c>
      <c r="AE324">
        <v>-0.47960000000000402</v>
      </c>
      <c r="AF324">
        <v>0.48990284430322401</v>
      </c>
      <c r="AG324">
        <v>-1.1215109999999999</v>
      </c>
      <c r="AH324">
        <v>20.704964110885001</v>
      </c>
      <c r="AI324">
        <v>93.099603840509204</v>
      </c>
      <c r="AJ324">
        <v>88.644570028910096</v>
      </c>
      <c r="AK324">
        <v>20.741102443048</v>
      </c>
      <c r="AL324">
        <v>95.021493507872094</v>
      </c>
      <c r="AM324">
        <v>89.039350670502699</v>
      </c>
      <c r="AN324">
        <v>0.99999998178608596</v>
      </c>
    </row>
    <row r="325" spans="1:40" x14ac:dyDescent="0.25">
      <c r="A325" t="str">
        <f>"20190303154103392"</f>
        <v>20190303154103392</v>
      </c>
      <c r="B325" t="str">
        <f>"1551598863389167"</f>
        <v>1551598863389167</v>
      </c>
      <c r="C325" t="s">
        <v>40</v>
      </c>
      <c r="D325">
        <v>5.6215440000000001</v>
      </c>
      <c r="E325">
        <v>0.50265660000000001</v>
      </c>
      <c r="F325" t="s">
        <v>43</v>
      </c>
      <c r="G325">
        <v>-411.9325</v>
      </c>
      <c r="H325">
        <v>-0.05</v>
      </c>
      <c r="I325">
        <v>366.88580000000002</v>
      </c>
      <c r="J325">
        <v>-432.47300000000001</v>
      </c>
      <c r="K325">
        <v>1.071469</v>
      </c>
      <c r="L325">
        <v>367.36360000000002</v>
      </c>
      <c r="M325">
        <v>0.99989720000000004</v>
      </c>
      <c r="N325">
        <v>-1.4326530000000001E-2</v>
      </c>
      <c r="O325">
        <v>7.2666389999999999E-4</v>
      </c>
      <c r="P325">
        <v>0.99467399999999995</v>
      </c>
      <c r="Q325">
        <v>-0.10166849999999999</v>
      </c>
      <c r="R325">
        <v>-1.6954070000000002E-2</v>
      </c>
      <c r="S325">
        <v>2.9983219999999999</v>
      </c>
      <c r="T325">
        <v>-0.16249820000000001</v>
      </c>
      <c r="U325">
        <v>-6.9183350000000005E-2</v>
      </c>
      <c r="V325">
        <v>1.7690669999999999E-2</v>
      </c>
      <c r="W325">
        <v>-8.7405170000000004E-2</v>
      </c>
      <c r="X325">
        <v>0.99601569999999995</v>
      </c>
      <c r="Y325">
        <v>2.374979E-2</v>
      </c>
      <c r="Z325">
        <v>-8.422789E-4</v>
      </c>
      <c r="AA325">
        <v>0.99971759999999998</v>
      </c>
      <c r="AB325">
        <v>17</v>
      </c>
      <c r="AC325">
        <v>20.540500000000002</v>
      </c>
      <c r="AD325">
        <v>-1.121469</v>
      </c>
      <c r="AE325">
        <v>-0.477800000000002</v>
      </c>
      <c r="AF325">
        <v>0.49126381068649999</v>
      </c>
      <c r="AG325">
        <v>-1.121469</v>
      </c>
      <c r="AH325">
        <v>20.4791333862496</v>
      </c>
      <c r="AI325">
        <v>93.133575025781198</v>
      </c>
      <c r="AJ325">
        <v>88.625823407765907</v>
      </c>
      <c r="AK325">
        <v>20.515699771186402</v>
      </c>
      <c r="AL325">
        <v>95.014346131821299</v>
      </c>
      <c r="AM325">
        <v>88.982451620476994</v>
      </c>
      <c r="AN325">
        <v>0.99999994909713197</v>
      </c>
    </row>
    <row r="326" spans="1:40" x14ac:dyDescent="0.25">
      <c r="A326" t="str">
        <f>"20190303154103413"</f>
        <v>20190303154103413</v>
      </c>
      <c r="B326" t="str">
        <f>"1551598863409985"</f>
        <v>1551598863409985</v>
      </c>
      <c r="C326" t="s">
        <v>40</v>
      </c>
      <c r="D326">
        <v>5.6595319999999996</v>
      </c>
      <c r="E326">
        <v>0.50264880000000001</v>
      </c>
      <c r="F326" t="s">
        <v>43</v>
      </c>
      <c r="G326">
        <v>-411.83960000000002</v>
      </c>
      <c r="H326">
        <v>-0.05</v>
      </c>
      <c r="I326">
        <v>366.87599999999998</v>
      </c>
      <c r="J326">
        <v>-432.31020000000001</v>
      </c>
      <c r="K326">
        <v>1.071429</v>
      </c>
      <c r="L326">
        <v>367.3639</v>
      </c>
      <c r="M326">
        <v>0.9998977</v>
      </c>
      <c r="N326">
        <v>-1.427383E-2</v>
      </c>
      <c r="O326">
        <v>8.987547E-4</v>
      </c>
      <c r="P326">
        <v>0.99460700000000002</v>
      </c>
      <c r="Q326">
        <v>-0.1022257</v>
      </c>
      <c r="R326">
        <v>-1.7508289999999999E-2</v>
      </c>
      <c r="S326">
        <v>2.99823</v>
      </c>
      <c r="T326">
        <v>-0.1629602</v>
      </c>
      <c r="U326">
        <v>-7.0861820000000006E-2</v>
      </c>
      <c r="V326">
        <v>1.841638E-2</v>
      </c>
      <c r="W326">
        <v>-8.8015780000000002E-2</v>
      </c>
      <c r="X326">
        <v>0.99594890000000003</v>
      </c>
      <c r="Y326">
        <v>2.4480200000000001E-2</v>
      </c>
      <c r="Z326">
        <v>-8.755875E-4</v>
      </c>
      <c r="AA326">
        <v>0.99970000000000003</v>
      </c>
      <c r="AB326">
        <v>17</v>
      </c>
      <c r="AC326">
        <v>20.470599999999902</v>
      </c>
      <c r="AD326">
        <v>-1.121429</v>
      </c>
      <c r="AE326">
        <v>-0.48790000000002398</v>
      </c>
      <c r="AF326">
        <v>0.50478566675604597</v>
      </c>
      <c r="AG326">
        <v>-1.121429</v>
      </c>
      <c r="AH326">
        <v>20.4089384170126</v>
      </c>
      <c r="AI326">
        <v>93.144162280934793</v>
      </c>
      <c r="AJ326">
        <v>88.583160370641394</v>
      </c>
      <c r="AK326">
        <v>20.445957519295</v>
      </c>
      <c r="AL326">
        <v>95.049466222634294</v>
      </c>
      <c r="AM326">
        <v>88.940647851158303</v>
      </c>
      <c r="AN326">
        <v>1.00000007599625</v>
      </c>
    </row>
    <row r="327" spans="1:40" x14ac:dyDescent="0.25">
      <c r="A327" t="str">
        <f>"20190303154103427"</f>
        <v>20190303154103427</v>
      </c>
      <c r="B327" t="str">
        <f>"1551598863419745"</f>
        <v>1551598863419745</v>
      </c>
      <c r="C327" t="s">
        <v>40</v>
      </c>
      <c r="D327">
        <v>5.6842189999999997</v>
      </c>
      <c r="E327">
        <v>0.50263990000000003</v>
      </c>
      <c r="F327" t="s">
        <v>43</v>
      </c>
      <c r="G327">
        <v>-411.95119999999997</v>
      </c>
      <c r="H327">
        <v>-0.05</v>
      </c>
      <c r="I327">
        <v>366.8723</v>
      </c>
      <c r="J327">
        <v>-432.2097</v>
      </c>
      <c r="K327">
        <v>1.0714079999999999</v>
      </c>
      <c r="L327">
        <v>367.36410000000001</v>
      </c>
      <c r="M327">
        <v>0.99989810000000001</v>
      </c>
      <c r="N327">
        <v>-1.424486E-2</v>
      </c>
      <c r="O327">
        <v>1.0051109999999999E-3</v>
      </c>
      <c r="P327">
        <v>0.99461089999999996</v>
      </c>
      <c r="Q327">
        <v>-0.1022348</v>
      </c>
      <c r="R327">
        <v>-1.7248320000000001E-2</v>
      </c>
      <c r="S327">
        <v>2.997986</v>
      </c>
      <c r="T327">
        <v>-0.1651379</v>
      </c>
      <c r="U327">
        <v>-7.2387699999999999E-2</v>
      </c>
      <c r="V327">
        <v>1.8262110000000002E-2</v>
      </c>
      <c r="W327">
        <v>-8.8053699999999999E-2</v>
      </c>
      <c r="X327">
        <v>0.99594830000000001</v>
      </c>
      <c r="Y327">
        <v>2.509461E-2</v>
      </c>
      <c r="Z327">
        <v>-9.1046509999999998E-4</v>
      </c>
      <c r="AA327">
        <v>0.99968469999999998</v>
      </c>
      <c r="AB327">
        <v>17</v>
      </c>
      <c r="AC327">
        <v>20.258500000000002</v>
      </c>
      <c r="AD327">
        <v>-1.121408</v>
      </c>
      <c r="AE327">
        <v>-0.49180000000001201</v>
      </c>
      <c r="AF327">
        <v>0.51060021365234098</v>
      </c>
      <c r="AG327">
        <v>-1.121408</v>
      </c>
      <c r="AH327">
        <v>20.1961474394509</v>
      </c>
      <c r="AI327">
        <v>93.177119497954706</v>
      </c>
      <c r="AJ327">
        <v>88.551753170154001</v>
      </c>
      <c r="AK327">
        <v>20.2337005976832</v>
      </c>
      <c r="AL327">
        <v>95.051647795016905</v>
      </c>
      <c r="AM327">
        <v>88.949519183526803</v>
      </c>
      <c r="AN327">
        <v>0.99999998750911501</v>
      </c>
    </row>
    <row r="328" spans="1:40" x14ac:dyDescent="0.25">
      <c r="A328" t="str">
        <f>"20190303154103448"</f>
        <v>20190303154103448</v>
      </c>
      <c r="B328" t="str">
        <f>"1551598863439267"</f>
        <v>1551598863439267</v>
      </c>
      <c r="C328" t="s">
        <v>40</v>
      </c>
      <c r="D328">
        <v>5.6714029999999998</v>
      </c>
      <c r="E328">
        <v>0.50263919999999995</v>
      </c>
      <c r="F328" t="s">
        <v>43</v>
      </c>
      <c r="G328">
        <v>-411.88569999999999</v>
      </c>
      <c r="H328">
        <v>-0.05</v>
      </c>
      <c r="I328">
        <v>366.88040000000001</v>
      </c>
      <c r="J328">
        <v>-432.05919999999998</v>
      </c>
      <c r="K328">
        <v>1.0713809999999999</v>
      </c>
      <c r="L328">
        <v>367.36450000000002</v>
      </c>
      <c r="M328">
        <v>0.99989859999999997</v>
      </c>
      <c r="N328">
        <v>-1.4204619999999999E-2</v>
      </c>
      <c r="O328">
        <v>1.1646499999999999E-3</v>
      </c>
      <c r="P328">
        <v>0.99456860000000002</v>
      </c>
      <c r="Q328">
        <v>-0.10257429999999999</v>
      </c>
      <c r="R328">
        <v>-1.766241E-2</v>
      </c>
      <c r="S328">
        <v>2.9980159999999998</v>
      </c>
      <c r="T328">
        <v>-0.16541989999999901</v>
      </c>
      <c r="U328">
        <v>-7.13501E-2</v>
      </c>
      <c r="V328">
        <v>1.8834969999999999E-2</v>
      </c>
      <c r="W328">
        <v>-8.843376E-2</v>
      </c>
      <c r="X328">
        <v>0.99590400000000001</v>
      </c>
      <c r="Y328">
        <v>2.4908179999999999E-2</v>
      </c>
      <c r="Z328">
        <v>-9.1133299999999996E-4</v>
      </c>
      <c r="AA328">
        <v>0.9996893</v>
      </c>
      <c r="AB328">
        <v>17</v>
      </c>
      <c r="AC328">
        <v>20.173499999999901</v>
      </c>
      <c r="AD328">
        <v>-1.121381</v>
      </c>
      <c r="AE328">
        <v>-0.48410000000001202</v>
      </c>
      <c r="AF328">
        <v>0.50603441119284898</v>
      </c>
      <c r="AG328">
        <v>-1.121381</v>
      </c>
      <c r="AH328">
        <v>20.110817875911</v>
      </c>
      <c r="AI328">
        <v>93.190505074454805</v>
      </c>
      <c r="AJ328">
        <v>88.558610617957697</v>
      </c>
      <c r="AK328">
        <v>20.148413381964701</v>
      </c>
      <c r="AL328">
        <v>95.073508687179896</v>
      </c>
      <c r="AM328">
        <v>88.916526441680503</v>
      </c>
      <c r="AN328">
        <v>1.0000000316093101</v>
      </c>
    </row>
    <row r="329" spans="1:40" x14ac:dyDescent="0.25">
      <c r="A329" t="str">
        <f>"20190303154103470"</f>
        <v>20190303154103470</v>
      </c>
      <c r="B329" t="str">
        <f>"1551598863459761"</f>
        <v>1551598863459761</v>
      </c>
      <c r="C329" t="s">
        <v>40</v>
      </c>
      <c r="D329">
        <v>5.6932830000000001</v>
      </c>
      <c r="E329">
        <v>0.50264470000000006</v>
      </c>
      <c r="F329" t="s">
        <v>43</v>
      </c>
      <c r="G329">
        <v>-411.92430000000002</v>
      </c>
      <c r="H329">
        <v>-0.05</v>
      </c>
      <c r="I329">
        <v>366.87619999999998</v>
      </c>
      <c r="J329">
        <v>-431.89929999999998</v>
      </c>
      <c r="K329">
        <v>1.0713619999999999</v>
      </c>
      <c r="L329">
        <v>367.3648</v>
      </c>
      <c r="M329">
        <v>0.99989890000000003</v>
      </c>
      <c r="N329">
        <v>-1.4166369999999999E-2</v>
      </c>
      <c r="O329">
        <v>1.3347189999999901E-3</v>
      </c>
      <c r="P329">
        <v>0.99459330000000001</v>
      </c>
      <c r="Q329">
        <v>-0.10241359999999999</v>
      </c>
      <c r="R329">
        <v>-1.7192579999999999E-2</v>
      </c>
      <c r="S329">
        <v>2.997833</v>
      </c>
      <c r="T329">
        <v>-0.16695879999999999</v>
      </c>
      <c r="U329">
        <v>-7.2692870000000007E-2</v>
      </c>
      <c r="V329">
        <v>1.8534470000000001E-2</v>
      </c>
      <c r="W329">
        <v>-8.8310970000000003E-2</v>
      </c>
      <c r="X329">
        <v>0.99592049999999999</v>
      </c>
      <c r="Y329">
        <v>2.5525030000000001E-2</v>
      </c>
      <c r="Z329">
        <v>-9.4651130000000003E-4</v>
      </c>
      <c r="AA329">
        <v>0.9996737</v>
      </c>
      <c r="AB329">
        <v>16</v>
      </c>
      <c r="AC329">
        <v>19.974999999999898</v>
      </c>
      <c r="AD329">
        <v>-1.121362</v>
      </c>
      <c r="AE329">
        <v>-0.48860000000001902</v>
      </c>
      <c r="AF329">
        <v>0.51364546004034195</v>
      </c>
      <c r="AG329">
        <v>-1.121362</v>
      </c>
      <c r="AH329">
        <v>19.911615947231901</v>
      </c>
      <c r="AI329">
        <v>93.222250547101694</v>
      </c>
      <c r="AJ329">
        <v>88.522310206721798</v>
      </c>
      <c r="AK329">
        <v>19.949780300136801</v>
      </c>
      <c r="AL329">
        <v>95.066445874686593</v>
      </c>
      <c r="AM329">
        <v>88.933826212638294</v>
      </c>
      <c r="AN329">
        <v>0.99999999816038598</v>
      </c>
    </row>
    <row r="330" spans="1:40" x14ac:dyDescent="0.25">
      <c r="A330" t="str">
        <f>"20190303154103492"</f>
        <v>20190303154103492</v>
      </c>
      <c r="B330" t="str">
        <f>"1551598863490017"</f>
        <v>1551598863490017</v>
      </c>
      <c r="C330" t="s">
        <v>40</v>
      </c>
      <c r="D330">
        <v>5.7278460000000004</v>
      </c>
      <c r="E330">
        <v>0.50263069999999999</v>
      </c>
      <c r="F330" t="s">
        <v>43</v>
      </c>
      <c r="G330">
        <v>-411.78300000000002</v>
      </c>
      <c r="H330">
        <v>-0.05</v>
      </c>
      <c r="I330">
        <v>366.88749999999999</v>
      </c>
      <c r="J330">
        <v>-431.73430000000002</v>
      </c>
      <c r="K330">
        <v>1.0713509999999999</v>
      </c>
      <c r="L330">
        <v>367.36529999999999</v>
      </c>
      <c r="M330">
        <v>0.99989910000000004</v>
      </c>
      <c r="N330">
        <v>-1.4131309999999999E-2</v>
      </c>
      <c r="O330">
        <v>1.509954E-3</v>
      </c>
      <c r="P330">
        <v>0.9946777</v>
      </c>
      <c r="Q330">
        <v>-0.1018295</v>
      </c>
      <c r="R330">
        <v>-1.5731120000000001E-2</v>
      </c>
      <c r="S330">
        <v>2.997833</v>
      </c>
      <c r="T330">
        <v>-0.1671116</v>
      </c>
      <c r="U330">
        <v>-7.1136469999999993E-2</v>
      </c>
      <c r="V330">
        <v>1.7246879999999999E-2</v>
      </c>
      <c r="W330">
        <v>-8.7760840000000007E-2</v>
      </c>
      <c r="X330">
        <v>0.99599219999999999</v>
      </c>
      <c r="Y330">
        <v>2.5181970000000001E-2</v>
      </c>
      <c r="Z330">
        <v>-9.421357E-4</v>
      </c>
      <c r="AA330">
        <v>0.99968239999999997</v>
      </c>
      <c r="AB330">
        <v>16</v>
      </c>
      <c r="AC330">
        <v>19.9513</v>
      </c>
      <c r="AD330">
        <v>-1.121351</v>
      </c>
      <c r="AE330">
        <v>-0.477800000000002</v>
      </c>
      <c r="AF330">
        <v>0.506329460788007</v>
      </c>
      <c r="AG330">
        <v>-1.121351</v>
      </c>
      <c r="AH330">
        <v>19.8877675597932</v>
      </c>
      <c r="AI330">
        <v>93.226102547252196</v>
      </c>
      <c r="AJ330">
        <v>88.541602243846597</v>
      </c>
      <c r="AK330">
        <v>19.925789723381801</v>
      </c>
      <c r="AL330">
        <v>95.034803174475897</v>
      </c>
      <c r="AM330">
        <v>89.007949377086106</v>
      </c>
      <c r="AN330">
        <v>0.99999994118403801</v>
      </c>
    </row>
    <row r="331" spans="1:40" x14ac:dyDescent="0.25">
      <c r="A331" t="str">
        <f>"20190303154103515"</f>
        <v>20190303154103515</v>
      </c>
      <c r="B331" t="str">
        <f>"1551598863509539"</f>
        <v>1551598863509539</v>
      </c>
      <c r="C331" t="s">
        <v>40</v>
      </c>
      <c r="D331">
        <v>5.7411789999999998</v>
      </c>
      <c r="E331">
        <v>0.5026138</v>
      </c>
      <c r="F331" t="s">
        <v>43</v>
      </c>
      <c r="G331">
        <v>-411.55430000000001</v>
      </c>
      <c r="H331">
        <v>-0.05</v>
      </c>
      <c r="I331">
        <v>366.91480000000001</v>
      </c>
      <c r="J331">
        <v>-431.57229999999998</v>
      </c>
      <c r="K331">
        <v>1.071337</v>
      </c>
      <c r="L331">
        <v>367.3657</v>
      </c>
      <c r="M331">
        <v>0.99989930000000005</v>
      </c>
      <c r="N331">
        <v>-1.410074E-2</v>
      </c>
      <c r="O331">
        <v>1.6819949999999999E-3</v>
      </c>
      <c r="P331">
        <v>0.99475860000000005</v>
      </c>
      <c r="Q331">
        <v>-0.10121719999999999</v>
      </c>
      <c r="R331">
        <v>-1.4515760000000001E-2</v>
      </c>
      <c r="S331">
        <v>2.997986</v>
      </c>
      <c r="T331">
        <v>-0.16659079999999901</v>
      </c>
      <c r="U331">
        <v>-6.692505E-2</v>
      </c>
      <c r="V331">
        <v>1.6202959999999999E-2</v>
      </c>
      <c r="W331">
        <v>-8.7178099999999994E-2</v>
      </c>
      <c r="X331">
        <v>0.99606099999999997</v>
      </c>
      <c r="Y331">
        <v>2.3951719999999999E-2</v>
      </c>
      <c r="Z331">
        <v>-9.0361439999999999E-4</v>
      </c>
      <c r="AA331">
        <v>0.99971270000000001</v>
      </c>
      <c r="AB331">
        <v>16</v>
      </c>
      <c r="AC331">
        <v>20.017999999999901</v>
      </c>
      <c r="AD331">
        <v>-1.121337</v>
      </c>
      <c r="AE331">
        <v>-0.45089999999998998</v>
      </c>
      <c r="AF331">
        <v>0.48305789103444202</v>
      </c>
      <c r="AG331">
        <v>-1.121337</v>
      </c>
      <c r="AH331">
        <v>19.954630485197601</v>
      </c>
      <c r="AI331">
        <v>93.215375013755306</v>
      </c>
      <c r="AJ331">
        <v>88.613265532751598</v>
      </c>
      <c r="AK331">
        <v>19.9919488643413</v>
      </c>
      <c r="AL331">
        <v>95.001285688190507</v>
      </c>
      <c r="AM331">
        <v>89.068049697693397</v>
      </c>
      <c r="AN331">
        <v>1.0000000363766799</v>
      </c>
    </row>
    <row r="332" spans="1:40" x14ac:dyDescent="0.25">
      <c r="A332" t="str">
        <f>"20190303154103529"</f>
        <v>20190303154103529</v>
      </c>
      <c r="B332" t="str">
        <f>"1551598863519298"</f>
        <v>1551598863519298</v>
      </c>
      <c r="C332" t="s">
        <v>40</v>
      </c>
      <c r="D332">
        <v>5.7459009999999999</v>
      </c>
      <c r="E332">
        <v>0.50261210000000001</v>
      </c>
      <c r="F332" t="s">
        <v>43</v>
      </c>
      <c r="G332">
        <v>-411.2937</v>
      </c>
      <c r="H332">
        <v>-0.05</v>
      </c>
      <c r="I332">
        <v>366.93979999999999</v>
      </c>
      <c r="J332">
        <v>-431.4674</v>
      </c>
      <c r="K332">
        <v>1.0713330000000001</v>
      </c>
      <c r="L332">
        <v>367.36610000000002</v>
      </c>
      <c r="M332">
        <v>0.99989930000000005</v>
      </c>
      <c r="N332">
        <v>-1.4083E-2</v>
      </c>
      <c r="O332">
        <v>1.7930929999999999E-3</v>
      </c>
      <c r="P332">
        <v>0.99477979999999999</v>
      </c>
      <c r="Q332">
        <v>-0.1010556</v>
      </c>
      <c r="R332">
        <v>-1.417944E-2</v>
      </c>
      <c r="S332">
        <v>2.997986</v>
      </c>
      <c r="T332">
        <v>-0.1657786</v>
      </c>
      <c r="U332">
        <v>-6.2957760000000001E-2</v>
      </c>
      <c r="V332">
        <v>1.5977069999999999E-2</v>
      </c>
      <c r="W332">
        <v>-8.7033979999999997E-2</v>
      </c>
      <c r="X332">
        <v>0.9960772</v>
      </c>
      <c r="Y332">
        <v>2.274313E-2</v>
      </c>
      <c r="Z332">
        <v>-8.6241509999999998E-4</v>
      </c>
      <c r="AA332">
        <v>0.99974099999999999</v>
      </c>
      <c r="AB332">
        <v>16</v>
      </c>
      <c r="AC332">
        <v>20.1737</v>
      </c>
      <c r="AD332">
        <v>-1.1213329999999999</v>
      </c>
      <c r="AE332">
        <v>-0.42630000000002599</v>
      </c>
      <c r="AF332">
        <v>0.46105240160800598</v>
      </c>
      <c r="AG332">
        <v>-1.1213329999999999</v>
      </c>
      <c r="AH332">
        <v>20.110797101275999</v>
      </c>
      <c r="AI332">
        <v>93.190543203037393</v>
      </c>
      <c r="AJ332">
        <v>88.686689042262202</v>
      </c>
      <c r="AK332">
        <v>20.147310417587001</v>
      </c>
      <c r="AL332">
        <v>94.9929969749072</v>
      </c>
      <c r="AM332">
        <v>89.081054977074999</v>
      </c>
      <c r="AN332">
        <v>0.99999998440013205</v>
      </c>
    </row>
    <row r="333" spans="1:40" x14ac:dyDescent="0.25">
      <c r="A333" t="str">
        <f>"20190303154103550"</f>
        <v>20190303154103550</v>
      </c>
      <c r="B333" t="str">
        <f>"1551598863539793"</f>
        <v>1551598863539793</v>
      </c>
      <c r="C333" t="s">
        <v>40</v>
      </c>
      <c r="D333">
        <v>5.7128459999999999</v>
      </c>
      <c r="E333">
        <v>0.50261639999999996</v>
      </c>
      <c r="F333" t="s">
        <v>43</v>
      </c>
      <c r="G333">
        <v>-411.17520000000002</v>
      </c>
      <c r="H333">
        <v>-0.05</v>
      </c>
      <c r="I333">
        <v>366.94549999999998</v>
      </c>
      <c r="J333">
        <v>-431.31119999999999</v>
      </c>
      <c r="K333">
        <v>1.0713250000000001</v>
      </c>
      <c r="L333">
        <v>367.36649999999997</v>
      </c>
      <c r="M333">
        <v>0.99989930000000005</v>
      </c>
      <c r="N333">
        <v>-1.405848E-2</v>
      </c>
      <c r="O333">
        <v>1.9588320000000002E-3</v>
      </c>
      <c r="P333">
        <v>0.99482280000000001</v>
      </c>
      <c r="Q333">
        <v>-0.1006652</v>
      </c>
      <c r="R333">
        <v>-1.3938320000000001E-2</v>
      </c>
      <c r="S333">
        <v>2.9980159999999998</v>
      </c>
      <c r="T333">
        <v>-0.16566800000000001</v>
      </c>
      <c r="U333">
        <v>-6.2133790000000001E-2</v>
      </c>
      <c r="V333">
        <v>1.59008E-2</v>
      </c>
      <c r="W333">
        <v>-8.6667460000000002E-2</v>
      </c>
      <c r="X333">
        <v>0.99611039999999995</v>
      </c>
      <c r="Y333">
        <v>2.2634109999999999E-2</v>
      </c>
      <c r="Z333">
        <v>-8.6473439999999995E-4</v>
      </c>
      <c r="AA333">
        <v>0.99974350000000001</v>
      </c>
      <c r="AB333">
        <v>16</v>
      </c>
      <c r="AC333">
        <v>20.1359999999999</v>
      </c>
      <c r="AD333">
        <v>-1.1213249999999999</v>
      </c>
      <c r="AE333">
        <v>-0.42099999999999199</v>
      </c>
      <c r="AF333">
        <v>0.45902327210046001</v>
      </c>
      <c r="AG333">
        <v>-1.1213249999999999</v>
      </c>
      <c r="AH333">
        <v>20.072915572598699</v>
      </c>
      <c r="AI333">
        <v>93.196533372112</v>
      </c>
      <c r="AJ333">
        <v>88.690000308597405</v>
      </c>
      <c r="AK333">
        <v>20.1094508056443</v>
      </c>
      <c r="AL333">
        <v>94.971917161973806</v>
      </c>
      <c r="AM333">
        <v>89.085471489802799</v>
      </c>
      <c r="AN333">
        <v>1.0000000065258201</v>
      </c>
    </row>
    <row r="334" spans="1:40" x14ac:dyDescent="0.25">
      <c r="A334" t="str">
        <f>"20190303154103572"</f>
        <v>20190303154103572</v>
      </c>
      <c r="B334" t="str">
        <f>"1551598863569073"</f>
        <v>1551598863569073</v>
      </c>
      <c r="C334" t="s">
        <v>40</v>
      </c>
      <c r="D334">
        <v>5.7007879999999904</v>
      </c>
      <c r="E334">
        <v>0.50263019999999903</v>
      </c>
      <c r="F334" t="s">
        <v>43</v>
      </c>
      <c r="G334">
        <v>-411.02229999999997</v>
      </c>
      <c r="H334">
        <v>-0.05</v>
      </c>
      <c r="I334">
        <v>366.95139999999998</v>
      </c>
      <c r="J334">
        <v>-431.15170000000001</v>
      </c>
      <c r="K334">
        <v>1.0713159999999999</v>
      </c>
      <c r="L334">
        <v>367.36709999999999</v>
      </c>
      <c r="M334">
        <v>0.99989930000000005</v>
      </c>
      <c r="N334">
        <v>-1.4036119999999999E-2</v>
      </c>
      <c r="O334">
        <v>2.1268720000000001E-3</v>
      </c>
      <c r="P334">
        <v>0.99479589999999996</v>
      </c>
      <c r="Q334">
        <v>-0.1009046</v>
      </c>
      <c r="R334">
        <v>-1.412238E-2</v>
      </c>
      <c r="S334">
        <v>2.9979550000000001</v>
      </c>
      <c r="T334">
        <v>-0.165690899999999</v>
      </c>
      <c r="U334">
        <v>-6.1340329999999998E-2</v>
      </c>
      <c r="V334">
        <v>1.625178E-2</v>
      </c>
      <c r="W334">
        <v>-8.6929549999999994E-2</v>
      </c>
      <c r="X334">
        <v>0.99608189999999996</v>
      </c>
      <c r="Y334">
        <v>2.2538099999999998E-2</v>
      </c>
      <c r="Z334">
        <v>-8.6823939999999995E-4</v>
      </c>
      <c r="AA334">
        <v>0.99974560000000001</v>
      </c>
      <c r="AB334">
        <v>16</v>
      </c>
      <c r="AC334">
        <v>20.1294</v>
      </c>
      <c r="AD334">
        <v>-1.121316</v>
      </c>
      <c r="AE334">
        <v>-0.415700000000015</v>
      </c>
      <c r="AF334">
        <v>0.45709811967279301</v>
      </c>
      <c r="AG334">
        <v>-1.121316</v>
      </c>
      <c r="AH334">
        <v>20.0662294622472</v>
      </c>
      <c r="AI334">
        <v>93.1975770715854</v>
      </c>
      <c r="AJ334">
        <v>88.695058055602502</v>
      </c>
      <c r="AK334">
        <v>20.102732478307999</v>
      </c>
      <c r="AL334">
        <v>94.986990688323402</v>
      </c>
      <c r="AM334">
        <v>89.065261811029004</v>
      </c>
      <c r="AN334">
        <v>1.0000000092619901</v>
      </c>
    </row>
    <row r="335" spans="1:40" x14ac:dyDescent="0.25">
      <c r="A335" t="str">
        <f>"20190303154103593"</f>
        <v>20190303154103593</v>
      </c>
      <c r="B335" t="str">
        <f>"1551598863589569"</f>
        <v>1551598863589569</v>
      </c>
      <c r="C335" t="s">
        <v>40</v>
      </c>
      <c r="D335">
        <v>5.7132319999999996</v>
      </c>
      <c r="E335">
        <v>0.50264979999999904</v>
      </c>
      <c r="F335" t="s">
        <v>43</v>
      </c>
      <c r="G335">
        <v>-411.12720000000002</v>
      </c>
      <c r="H335">
        <v>-0.05</v>
      </c>
      <c r="I335">
        <v>366.95370000000003</v>
      </c>
      <c r="J335">
        <v>-431.00119999999998</v>
      </c>
      <c r="K335">
        <v>1.071304</v>
      </c>
      <c r="L335">
        <v>367.36759999999998</v>
      </c>
      <c r="M335">
        <v>0.99989919999999999</v>
      </c>
      <c r="N335">
        <v>-1.4017089999999999E-2</v>
      </c>
      <c r="O335">
        <v>2.2839129999999998E-3</v>
      </c>
      <c r="P335">
        <v>0.99476520000000002</v>
      </c>
      <c r="Q335">
        <v>-0.1011548</v>
      </c>
      <c r="R335">
        <v>-1.4499669999999999E-2</v>
      </c>
      <c r="S335">
        <v>2.9977719999999999</v>
      </c>
      <c r="T335">
        <v>-0.16786719999999999</v>
      </c>
      <c r="U335">
        <v>-6.1889649999999997E-2</v>
      </c>
      <c r="V335">
        <v>1.678493E-2</v>
      </c>
      <c r="W335">
        <v>-8.7199100000000002E-2</v>
      </c>
      <c r="X335">
        <v>0.99604950000000003</v>
      </c>
      <c r="Y335">
        <v>2.287759E-2</v>
      </c>
      <c r="Z335">
        <v>-8.9627990000000002E-4</v>
      </c>
      <c r="AA335">
        <v>0.99973789999999996</v>
      </c>
      <c r="AB335">
        <v>16</v>
      </c>
      <c r="AC335">
        <v>19.873999999999899</v>
      </c>
      <c r="AD335">
        <v>-1.1213040000000001</v>
      </c>
      <c r="AE335">
        <v>-0.41389999999995503</v>
      </c>
      <c r="AF335">
        <v>0.45783706845345601</v>
      </c>
      <c r="AG335">
        <v>-1.1213040000000001</v>
      </c>
      <c r="AH335">
        <v>19.809969218849002</v>
      </c>
      <c r="AI335">
        <v>93.238793989191095</v>
      </c>
      <c r="AJ335">
        <v>88.676047277079505</v>
      </c>
      <c r="AK335">
        <v>19.846959915649801</v>
      </c>
      <c r="AL335">
        <v>95.002493622918294</v>
      </c>
      <c r="AM335">
        <v>89.034571443406804</v>
      </c>
      <c r="AN335">
        <v>1.0000000116830801</v>
      </c>
    </row>
    <row r="336" spans="1:40" x14ac:dyDescent="0.25">
      <c r="A336" t="str">
        <f>"20190303154103608"</f>
        <v>20190303154103608</v>
      </c>
      <c r="B336" t="str">
        <f>"1551598863599837"</f>
        <v>1551598863599837</v>
      </c>
      <c r="C336" t="s">
        <v>40</v>
      </c>
      <c r="D336">
        <v>5.6955070000000001</v>
      </c>
      <c r="E336">
        <v>0.50266480000000002</v>
      </c>
      <c r="F336" t="s">
        <v>43</v>
      </c>
      <c r="G336">
        <v>-411.20850000000002</v>
      </c>
      <c r="H336">
        <v>-0.05</v>
      </c>
      <c r="I336">
        <v>366.9486</v>
      </c>
      <c r="J336">
        <v>-430.8922</v>
      </c>
      <c r="K336">
        <v>1.0712999999999999</v>
      </c>
      <c r="L336">
        <v>367.36799999999999</v>
      </c>
      <c r="M336">
        <v>0.99989899999999998</v>
      </c>
      <c r="N336">
        <v>-1.4004559999999999E-2</v>
      </c>
      <c r="O336">
        <v>2.3964400000000001E-3</v>
      </c>
      <c r="P336">
        <v>0.99475820000000004</v>
      </c>
      <c r="Q336">
        <v>-0.1011291</v>
      </c>
      <c r="R336">
        <v>-1.511963E-2</v>
      </c>
      <c r="S336">
        <v>2.9975589999999999</v>
      </c>
      <c r="T336">
        <v>-0.1698192</v>
      </c>
      <c r="U336">
        <v>-6.3446039999999995E-2</v>
      </c>
      <c r="V336">
        <v>1.7516750000000001E-2</v>
      </c>
      <c r="W336">
        <v>-8.7186040000000006E-2</v>
      </c>
      <c r="X336">
        <v>0.99603799999999998</v>
      </c>
      <c r="Y336">
        <v>2.3508060000000001E-2</v>
      </c>
      <c r="Z336">
        <v>-9.3219129999999996E-4</v>
      </c>
      <c r="AA336">
        <v>0.99972320000000003</v>
      </c>
      <c r="AB336">
        <v>16</v>
      </c>
      <c r="AC336">
        <v>19.683699999999899</v>
      </c>
      <c r="AD336">
        <v>-1.1213</v>
      </c>
      <c r="AE336">
        <v>-0.41940000000005201</v>
      </c>
      <c r="AF336">
        <v>0.465065723558378</v>
      </c>
      <c r="AG336">
        <v>-1.1213</v>
      </c>
      <c r="AH336">
        <v>19.619001265937801</v>
      </c>
      <c r="AI336">
        <v>93.270194809268801</v>
      </c>
      <c r="AJ336">
        <v>88.642065748281695</v>
      </c>
      <c r="AK336">
        <v>19.656520813462802</v>
      </c>
      <c r="AL336">
        <v>95.001742689456705</v>
      </c>
      <c r="AM336">
        <v>88.992475793087607</v>
      </c>
      <c r="AN336">
        <v>0.99999996977272099</v>
      </c>
    </row>
    <row r="337" spans="1:40" x14ac:dyDescent="0.25">
      <c r="A337" t="str">
        <f>"20190303154103627"</f>
        <v>20190303154103627</v>
      </c>
      <c r="B337" t="str">
        <f>"1551598863619356"</f>
        <v>1551598863619356</v>
      </c>
      <c r="C337" t="s">
        <v>40</v>
      </c>
      <c r="D337">
        <v>5.7516069999999999</v>
      </c>
      <c r="E337">
        <v>0.50271719999999998</v>
      </c>
      <c r="F337" t="s">
        <v>43</v>
      </c>
      <c r="G337">
        <v>-411.16759999999999</v>
      </c>
      <c r="H337">
        <v>-0.05</v>
      </c>
      <c r="I337">
        <v>366.93799999999999</v>
      </c>
      <c r="J337">
        <v>-430.75740000000002</v>
      </c>
      <c r="K337">
        <v>1.071294</v>
      </c>
      <c r="L337">
        <v>367.36840000000001</v>
      </c>
      <c r="M337">
        <v>0.99989899999999998</v>
      </c>
      <c r="N337">
        <v>-1.399009E-2</v>
      </c>
      <c r="O337">
        <v>2.53323E-3</v>
      </c>
      <c r="P337">
        <v>0.99484720000000004</v>
      </c>
      <c r="Q337">
        <v>-0.1000923</v>
      </c>
      <c r="R337">
        <v>-1.614962E-2</v>
      </c>
      <c r="S337">
        <v>2.9974980000000002</v>
      </c>
      <c r="T337">
        <v>-0.1704011</v>
      </c>
      <c r="U337">
        <v>-6.5338129999999994E-2</v>
      </c>
      <c r="V337">
        <v>1.8682250000000001E-2</v>
      </c>
      <c r="W337">
        <v>-8.6162450000000002E-2</v>
      </c>
      <c r="X337">
        <v>0.99610589999999999</v>
      </c>
      <c r="Y337">
        <v>2.4274029999999999E-2</v>
      </c>
      <c r="Z337">
        <v>-9.6778170000000005E-4</v>
      </c>
      <c r="AA337">
        <v>0.99970490000000001</v>
      </c>
      <c r="AB337">
        <v>16</v>
      </c>
      <c r="AC337">
        <v>19.5898</v>
      </c>
      <c r="AD337">
        <v>-1.121294</v>
      </c>
      <c r="AE337">
        <v>-0.43039999999996298</v>
      </c>
      <c r="AF337">
        <v>0.47846212888473</v>
      </c>
      <c r="AG337">
        <v>-1.121294</v>
      </c>
      <c r="AH337">
        <v>19.524709467606101</v>
      </c>
      <c r="AI337">
        <v>93.285872441975798</v>
      </c>
      <c r="AJ337">
        <v>88.596221103373693</v>
      </c>
      <c r="AK337">
        <v>19.562732581049101</v>
      </c>
      <c r="AL337">
        <v>94.942873710614606</v>
      </c>
      <c r="AM337">
        <v>88.925527302450405</v>
      </c>
      <c r="AN337">
        <v>0.99999997913493699</v>
      </c>
    </row>
    <row r="338" spans="1:40" x14ac:dyDescent="0.25">
      <c r="A338" t="str">
        <f>"20190303154103648"</f>
        <v>20190303154103648</v>
      </c>
      <c r="B338" t="str">
        <f>"1551598863639852"</f>
        <v>1551598863639852</v>
      </c>
      <c r="C338" t="s">
        <v>40</v>
      </c>
      <c r="D338">
        <v>5.7476929999999999</v>
      </c>
      <c r="E338">
        <v>0.50275300000000001</v>
      </c>
      <c r="F338" t="s">
        <v>43</v>
      </c>
      <c r="G338">
        <v>-410.80549999999999</v>
      </c>
      <c r="H338">
        <v>-0.05</v>
      </c>
      <c r="I338">
        <v>366.90929999999997</v>
      </c>
      <c r="J338">
        <v>-430.59750000000003</v>
      </c>
      <c r="K338">
        <v>1.0712900000000001</v>
      </c>
      <c r="L338">
        <v>367.36900000000003</v>
      </c>
      <c r="M338">
        <v>0.99989870000000003</v>
      </c>
      <c r="N338">
        <v>-1.39744E-2</v>
      </c>
      <c r="O338">
        <v>2.69272E-3</v>
      </c>
      <c r="P338">
        <v>0.99494110000000002</v>
      </c>
      <c r="Q338">
        <v>-9.9090170000000005E-2</v>
      </c>
      <c r="R338">
        <v>-1.6532299999999899E-2</v>
      </c>
      <c r="S338">
        <v>2.9974370000000001</v>
      </c>
      <c r="T338">
        <v>-0.16845539999999901</v>
      </c>
      <c r="U338">
        <v>-6.8969730000000007E-2</v>
      </c>
      <c r="V338">
        <v>1.9222860000000001E-2</v>
      </c>
      <c r="W338">
        <v>-8.517487E-2</v>
      </c>
      <c r="X338">
        <v>0.99618059999999997</v>
      </c>
      <c r="Y338">
        <v>2.5642749999999999E-2</v>
      </c>
      <c r="Z338">
        <v>-1.012864E-3</v>
      </c>
      <c r="AA338">
        <v>0.99967070000000002</v>
      </c>
      <c r="AB338">
        <v>16</v>
      </c>
      <c r="AC338">
        <v>19.792000000000002</v>
      </c>
      <c r="AD338">
        <v>-1.1212899999999999</v>
      </c>
      <c r="AE338">
        <v>-0.45970000000005401</v>
      </c>
      <c r="AF338">
        <v>0.51135746410230798</v>
      </c>
      <c r="AG338">
        <v>-1.1212899999999999</v>
      </c>
      <c r="AH338">
        <v>19.7274065045093</v>
      </c>
      <c r="AI338">
        <v>93.252055955399797</v>
      </c>
      <c r="AJ338">
        <v>88.515158839115102</v>
      </c>
      <c r="AK338">
        <v>19.765863125964099</v>
      </c>
      <c r="AL338">
        <v>94.886080491685604</v>
      </c>
      <c r="AM338">
        <v>88.894525676034704</v>
      </c>
      <c r="AN338">
        <v>1.0000000323212199</v>
      </c>
    </row>
    <row r="339" spans="1:40" x14ac:dyDescent="0.25">
      <c r="A339" t="str">
        <f>"20190303154103671"</f>
        <v>20190303154103671</v>
      </c>
      <c r="B339" t="str">
        <f>"1551598863659375"</f>
        <v>1551598863659375</v>
      </c>
      <c r="C339" t="s">
        <v>40</v>
      </c>
      <c r="D339">
        <v>5.7399959999999997</v>
      </c>
      <c r="E339">
        <v>0.50277629999999995</v>
      </c>
      <c r="F339" t="s">
        <v>43</v>
      </c>
      <c r="G339">
        <v>-410.411</v>
      </c>
      <c r="H339">
        <v>-0.05</v>
      </c>
      <c r="I339">
        <v>366.89490000000001</v>
      </c>
      <c r="J339">
        <v>-430.43950000000001</v>
      </c>
      <c r="K339">
        <v>1.07128</v>
      </c>
      <c r="L339">
        <v>367.36970000000002</v>
      </c>
      <c r="M339">
        <v>0.99989859999999997</v>
      </c>
      <c r="N339">
        <v>-1.396031E-2</v>
      </c>
      <c r="O339">
        <v>2.8449180000000001E-3</v>
      </c>
      <c r="P339">
        <v>0.99496510000000005</v>
      </c>
      <c r="Q339">
        <v>-9.8791470000000006E-2</v>
      </c>
      <c r="R339">
        <v>-1.6880119999999998E-2</v>
      </c>
      <c r="S339">
        <v>2.9974980000000002</v>
      </c>
      <c r="T339">
        <v>-0.16650079999999901</v>
      </c>
      <c r="U339">
        <v>-7.0404049999999996E-2</v>
      </c>
      <c r="V339">
        <v>1.9721590000000001E-2</v>
      </c>
      <c r="W339">
        <v>-8.4890060000000003E-2</v>
      </c>
      <c r="X339">
        <v>0.9961951</v>
      </c>
      <c r="Y339">
        <v>2.6272319999999998E-2</v>
      </c>
      <c r="Z339">
        <v>-1.030797E-3</v>
      </c>
      <c r="AA339">
        <v>0.9996543</v>
      </c>
      <c r="AB339">
        <v>16</v>
      </c>
      <c r="AC339">
        <v>20.028500000000001</v>
      </c>
      <c r="AD339">
        <v>-1.1212799999999901</v>
      </c>
      <c r="AE339">
        <v>-0.47480000000001599</v>
      </c>
      <c r="AF339">
        <v>0.53012247181832195</v>
      </c>
      <c r="AG339">
        <v>-1.1212799999999901</v>
      </c>
      <c r="AH339">
        <v>19.9645296890392</v>
      </c>
      <c r="AI339">
        <v>93.213430255622896</v>
      </c>
      <c r="AJ339">
        <v>88.478970195077693</v>
      </c>
      <c r="AK339">
        <v>20.003018381685699</v>
      </c>
      <c r="AL339">
        <v>94.869703066635097</v>
      </c>
      <c r="AM339">
        <v>88.865868453561106</v>
      </c>
      <c r="AN339">
        <v>0.99999997033147003</v>
      </c>
    </row>
    <row r="340" spans="1:40" x14ac:dyDescent="0.25">
      <c r="A340" t="str">
        <f>"20190303154103693"</f>
        <v>20190303154103693</v>
      </c>
      <c r="B340" t="str">
        <f>"1551598863689628"</f>
        <v>1551598863689628</v>
      </c>
      <c r="C340" t="s">
        <v>40</v>
      </c>
      <c r="D340">
        <v>5.7900839999999896</v>
      </c>
      <c r="E340">
        <v>0.50179979999999902</v>
      </c>
      <c r="F340" t="s">
        <v>43</v>
      </c>
      <c r="G340">
        <v>-410.28960000000001</v>
      </c>
      <c r="H340">
        <v>-0.05</v>
      </c>
      <c r="I340">
        <v>366.88799999999998</v>
      </c>
      <c r="J340">
        <v>-430.2799</v>
      </c>
      <c r="K340">
        <v>1.0712729999999999</v>
      </c>
      <c r="L340">
        <v>367.37029999999999</v>
      </c>
      <c r="M340">
        <v>0.99989830000000002</v>
      </c>
      <c r="N340">
        <v>-1.3947340000000001E-2</v>
      </c>
      <c r="O340">
        <v>2.9922099999999999E-3</v>
      </c>
      <c r="P340">
        <v>0.99495750000000005</v>
      </c>
      <c r="Q340">
        <v>-9.9011299999999997E-2</v>
      </c>
      <c r="R340">
        <v>-1.6020369999999999E-2</v>
      </c>
      <c r="S340">
        <v>2.9974059999999998</v>
      </c>
      <c r="T340">
        <v>-0.166796</v>
      </c>
      <c r="U340">
        <v>-7.1655269999999993E-2</v>
      </c>
      <c r="V340">
        <v>1.9007409999999999E-2</v>
      </c>
      <c r="W340">
        <v>-8.5123219999999999E-2</v>
      </c>
      <c r="X340">
        <v>0.99618910000000005</v>
      </c>
      <c r="Y340">
        <v>2.6835959999999999E-2</v>
      </c>
      <c r="Z340">
        <v>-1.0579960000000001E-3</v>
      </c>
      <c r="AA340">
        <v>0.99963930000000001</v>
      </c>
      <c r="AB340">
        <v>16</v>
      </c>
      <c r="AC340">
        <v>19.990299999999898</v>
      </c>
      <c r="AD340">
        <v>-1.121273</v>
      </c>
      <c r="AE340">
        <v>-0.48229999999995199</v>
      </c>
      <c r="AF340">
        <v>0.54041956182631401</v>
      </c>
      <c r="AG340">
        <v>-1.121273</v>
      </c>
      <c r="AH340">
        <v>19.92611246617</v>
      </c>
      <c r="AI340">
        <v>93.219543683236793</v>
      </c>
      <c r="AJ340">
        <v>88.446452032273299</v>
      </c>
      <c r="AK340">
        <v>19.964950900460298</v>
      </c>
      <c r="AL340">
        <v>94.8831106165309</v>
      </c>
      <c r="AM340">
        <v>88.906922144188997</v>
      </c>
      <c r="AN340">
        <v>0.999999983588443</v>
      </c>
    </row>
    <row r="341" spans="1:40" x14ac:dyDescent="0.25">
      <c r="A341" t="str">
        <f>"20190303154103716"</f>
        <v>20190303154103716</v>
      </c>
      <c r="B341" t="str">
        <f>"1551598863709148"</f>
        <v>1551598863709148</v>
      </c>
      <c r="C341" t="s">
        <v>40</v>
      </c>
      <c r="D341">
        <v>5.7775439999999998</v>
      </c>
      <c r="E341">
        <v>0.50167410000000001</v>
      </c>
      <c r="F341" t="s">
        <v>43</v>
      </c>
      <c r="G341">
        <v>-415.24439999999998</v>
      </c>
      <c r="H341">
        <v>-0.05</v>
      </c>
      <c r="I341">
        <v>367.0609</v>
      </c>
      <c r="J341">
        <v>-430.11610000000002</v>
      </c>
      <c r="K341">
        <v>1.071258</v>
      </c>
      <c r="L341">
        <v>367.37099999999998</v>
      </c>
      <c r="M341">
        <v>0.99989799999999995</v>
      </c>
      <c r="N341">
        <v>-1.393523E-2</v>
      </c>
      <c r="O341">
        <v>3.133931E-3</v>
      </c>
      <c r="P341">
        <v>0.99494130000000003</v>
      </c>
      <c r="Q341">
        <v>-9.9312990000000004E-2</v>
      </c>
      <c r="R341">
        <v>-1.5123589999999999E-2</v>
      </c>
      <c r="S341">
        <v>2.992035</v>
      </c>
      <c r="T341">
        <v>-0.22313089999999999</v>
      </c>
      <c r="U341">
        <v>-6.1584470000000002E-2</v>
      </c>
      <c r="V341">
        <v>1.8250510000000001E-2</v>
      </c>
      <c r="W341">
        <v>-8.5437509999999994E-2</v>
      </c>
      <c r="X341">
        <v>0.99617639999999996</v>
      </c>
      <c r="Y341">
        <v>2.3628280000000002E-2</v>
      </c>
      <c r="Z341">
        <v>-1.2344000000000001E-3</v>
      </c>
      <c r="AA341">
        <v>0.99972000000000005</v>
      </c>
      <c r="AB341">
        <v>16</v>
      </c>
      <c r="AC341">
        <v>14.871700000000001</v>
      </c>
      <c r="AD341">
        <v>-1.1212580000000001</v>
      </c>
      <c r="AE341">
        <v>-0.31009999999997701</v>
      </c>
      <c r="AF341">
        <v>0.35469451040669397</v>
      </c>
      <c r="AG341">
        <v>-1.1212580000000001</v>
      </c>
      <c r="AH341">
        <v>14.7866373812109</v>
      </c>
      <c r="AI341">
        <v>94.335148619332699</v>
      </c>
      <c r="AJ341">
        <v>88.625880825586094</v>
      </c>
      <c r="AK341">
        <v>14.833329792791</v>
      </c>
      <c r="AL341">
        <v>94.901183698208001</v>
      </c>
      <c r="AM341">
        <v>88.950426622104601</v>
      </c>
      <c r="AN341">
        <v>1.0000000345736</v>
      </c>
    </row>
    <row r="342" spans="1:40" x14ac:dyDescent="0.25">
      <c r="A342" t="str">
        <f>"20190303154103739"</f>
        <v>20190303154103739</v>
      </c>
      <c r="B342" t="str">
        <f>"1551598863729644"</f>
        <v>1551598863729644</v>
      </c>
      <c r="C342" t="s">
        <v>40</v>
      </c>
      <c r="D342">
        <v>5.7810329999999999</v>
      </c>
      <c r="E342">
        <v>0.50167079999999997</v>
      </c>
      <c r="F342" t="s">
        <v>43</v>
      </c>
      <c r="G342">
        <v>-415.09100000000001</v>
      </c>
      <c r="H342">
        <v>-0.05</v>
      </c>
      <c r="I342">
        <v>367.07929999999999</v>
      </c>
      <c r="J342">
        <v>-429.95460000000003</v>
      </c>
      <c r="K342">
        <v>1.0712459999999999</v>
      </c>
      <c r="L342">
        <v>367.3716</v>
      </c>
      <c r="M342">
        <v>0.99989779999999995</v>
      </c>
      <c r="N342">
        <v>-1.392439E-2</v>
      </c>
      <c r="O342">
        <v>3.2614900000000001E-3</v>
      </c>
      <c r="P342">
        <v>0.9948863</v>
      </c>
      <c r="Q342">
        <v>-9.9980940000000004E-2</v>
      </c>
      <c r="R342">
        <v>-1.4329440000000001E-2</v>
      </c>
      <c r="S342">
        <v>2.9921259999999998</v>
      </c>
      <c r="T342">
        <v>-0.2232895</v>
      </c>
      <c r="U342">
        <v>-5.807495E-2</v>
      </c>
      <c r="V342">
        <v>1.7581490000000002E-2</v>
      </c>
      <c r="W342">
        <v>-8.6117330000000006E-2</v>
      </c>
      <c r="X342">
        <v>0.99612990000000001</v>
      </c>
      <c r="Y342">
        <v>2.2586160000000001E-2</v>
      </c>
      <c r="Z342">
        <v>-1.196707E-3</v>
      </c>
      <c r="AA342">
        <v>0.99974419999999997</v>
      </c>
      <c r="AB342">
        <v>16</v>
      </c>
      <c r="AC342">
        <v>14.8636</v>
      </c>
      <c r="AD342">
        <v>-1.121246</v>
      </c>
      <c r="AE342">
        <v>-0.292300000000011</v>
      </c>
      <c r="AF342">
        <v>0.33885311165619197</v>
      </c>
      <c r="AG342">
        <v>-1.121246</v>
      </c>
      <c r="AH342">
        <v>14.778502295509799</v>
      </c>
      <c r="AI342">
        <v>94.337586883823604</v>
      </c>
      <c r="AJ342">
        <v>88.686507499951404</v>
      </c>
      <c r="AK342">
        <v>14.824848873502299</v>
      </c>
      <c r="AL342">
        <v>94.9402785762463</v>
      </c>
      <c r="AM342">
        <v>88.9888461405003</v>
      </c>
      <c r="AN342">
        <v>1.0000000404954701</v>
      </c>
    </row>
    <row r="343" spans="1:40" x14ac:dyDescent="0.25">
      <c r="A343" t="str">
        <f>"20190303154103762"</f>
        <v>20190303154103762</v>
      </c>
      <c r="B343" t="str">
        <f>"1551598863759901"</f>
        <v>1551598863759901</v>
      </c>
      <c r="C343" t="s">
        <v>40</v>
      </c>
      <c r="D343">
        <v>5.7725419999999996</v>
      </c>
      <c r="E343">
        <v>0.50182309999999997</v>
      </c>
      <c r="F343" t="s">
        <v>43</v>
      </c>
      <c r="G343">
        <v>-415.26639999999998</v>
      </c>
      <c r="H343">
        <v>-0.05</v>
      </c>
      <c r="I343">
        <v>367.09840000000003</v>
      </c>
      <c r="J343">
        <v>-429.79059999999998</v>
      </c>
      <c r="K343">
        <v>1.0712299999999999</v>
      </c>
      <c r="L343">
        <v>367.3723</v>
      </c>
      <c r="M343">
        <v>0.99989749999999999</v>
      </c>
      <c r="N343">
        <v>-1.391425E-2</v>
      </c>
      <c r="O343">
        <v>3.3802150000000002E-3</v>
      </c>
      <c r="P343">
        <v>0.99488670000000001</v>
      </c>
      <c r="Q343">
        <v>-0.1000949</v>
      </c>
      <c r="R343">
        <v>-1.347833E-2</v>
      </c>
      <c r="S343">
        <v>2.9916990000000001</v>
      </c>
      <c r="T343">
        <v>-0.22837579999999999</v>
      </c>
      <c r="U343">
        <v>-5.5664060000000001E-2</v>
      </c>
      <c r="V343">
        <v>1.6847000000000001E-2</v>
      </c>
      <c r="W343">
        <v>-8.6241760000000001E-2</v>
      </c>
      <c r="X343">
        <v>0.99613180000000001</v>
      </c>
      <c r="Y343">
        <v>2.1900880000000001E-2</v>
      </c>
      <c r="Z343">
        <v>-1.197944E-3</v>
      </c>
      <c r="AA343">
        <v>0.99975939999999996</v>
      </c>
      <c r="AB343">
        <v>16</v>
      </c>
      <c r="AC343">
        <v>14.5242</v>
      </c>
      <c r="AD343">
        <v>-1.1212299999999999</v>
      </c>
      <c r="AE343">
        <v>-0.273899999999969</v>
      </c>
      <c r="AF343">
        <v>0.321085299574493</v>
      </c>
      <c r="AG343">
        <v>-1.1212299999999999</v>
      </c>
      <c r="AH343">
        <v>14.4371842249579</v>
      </c>
      <c r="AI343">
        <v>94.439734702626893</v>
      </c>
      <c r="AJ343">
        <v>88.725942679244497</v>
      </c>
      <c r="AK343">
        <v>14.4842169559792</v>
      </c>
      <c r="AL343">
        <v>94.947434650082002</v>
      </c>
      <c r="AM343">
        <v>89.031082049623606</v>
      </c>
      <c r="AN343">
        <v>1.00000001277406</v>
      </c>
    </row>
    <row r="344" spans="1:40" x14ac:dyDescent="0.25">
      <c r="A344" t="str">
        <f>"20190303154103783"</f>
        <v>20190303154103783</v>
      </c>
      <c r="B344" t="str">
        <f>"1551598863779420"</f>
        <v>1551598863779420</v>
      </c>
      <c r="C344" t="s">
        <v>40</v>
      </c>
      <c r="D344">
        <v>5.738391</v>
      </c>
      <c r="E344">
        <v>0.50191949999999996</v>
      </c>
      <c r="F344" t="s">
        <v>43</v>
      </c>
      <c r="G344">
        <v>-415.24860000000001</v>
      </c>
      <c r="H344">
        <v>-0.05</v>
      </c>
      <c r="I344">
        <v>367.10879999999997</v>
      </c>
      <c r="J344">
        <v>-429.64</v>
      </c>
      <c r="K344">
        <v>1.071226</v>
      </c>
      <c r="L344">
        <v>367.37299999999999</v>
      </c>
      <c r="M344">
        <v>0.99989720000000004</v>
      </c>
      <c r="N344">
        <v>-1.390564E-2</v>
      </c>
      <c r="O344">
        <v>3.4784350000000002E-3</v>
      </c>
      <c r="P344">
        <v>0.99490319999999999</v>
      </c>
      <c r="Q344">
        <v>-0.1000287</v>
      </c>
      <c r="R344">
        <v>-1.273116E-2</v>
      </c>
      <c r="S344">
        <v>2.9914860000000001</v>
      </c>
      <c r="T344">
        <v>-0.2306523</v>
      </c>
      <c r="U344">
        <v>-5.4199219999999999E-2</v>
      </c>
      <c r="V344">
        <v>1.619599E-2</v>
      </c>
      <c r="W344">
        <v>-8.6184179999999999E-2</v>
      </c>
      <c r="X344">
        <v>0.99614760000000002</v>
      </c>
      <c r="Y344">
        <v>2.1510640000000001E-2</v>
      </c>
      <c r="Z344">
        <v>-1.197282E-3</v>
      </c>
      <c r="AA344">
        <v>0.99976790000000004</v>
      </c>
      <c r="AB344">
        <v>16</v>
      </c>
      <c r="AC344">
        <v>14.3913999999999</v>
      </c>
      <c r="AD344">
        <v>-1.1212260000000001</v>
      </c>
      <c r="AE344">
        <v>-0.26420000000007299</v>
      </c>
      <c r="AF344">
        <v>0.31236740011775699</v>
      </c>
      <c r="AG344">
        <v>-1.1212260000000001</v>
      </c>
      <c r="AH344">
        <v>14.30360190551</v>
      </c>
      <c r="AI344">
        <v>94.481053175581096</v>
      </c>
      <c r="AJ344">
        <v>88.748952225461295</v>
      </c>
      <c r="AK344">
        <v>14.350879715440501</v>
      </c>
      <c r="AL344">
        <v>94.944123134636598</v>
      </c>
      <c r="AM344">
        <v>89.068531492423006</v>
      </c>
      <c r="AN344">
        <v>1.0000000319800499</v>
      </c>
    </row>
    <row r="345" spans="1:40" x14ac:dyDescent="0.25">
      <c r="A345" t="str">
        <f>"20190303154103803"</f>
        <v>20190303154103803</v>
      </c>
      <c r="B345" t="str">
        <f>"1551598863799916"</f>
        <v>1551598863799916</v>
      </c>
      <c r="C345" t="s">
        <v>40</v>
      </c>
      <c r="D345">
        <v>5.726559</v>
      </c>
      <c r="E345">
        <v>0.50186809999999904</v>
      </c>
      <c r="F345" t="s">
        <v>43</v>
      </c>
      <c r="G345">
        <v>-415.12959999999998</v>
      </c>
      <c r="H345">
        <v>-0.05</v>
      </c>
      <c r="I345">
        <v>367.1173</v>
      </c>
      <c r="J345">
        <v>-429.49059999999997</v>
      </c>
      <c r="K345">
        <v>1.0712159999999999</v>
      </c>
      <c r="L345">
        <v>367.37360000000001</v>
      </c>
      <c r="M345">
        <v>0.99989709999999998</v>
      </c>
      <c r="N345">
        <v>-1.3897659999999999E-2</v>
      </c>
      <c r="O345">
        <v>3.563718E-3</v>
      </c>
      <c r="P345">
        <v>0.99492250000000004</v>
      </c>
      <c r="Q345">
        <v>-9.98811E-2</v>
      </c>
      <c r="R345">
        <v>-1.2382890000000001E-2</v>
      </c>
      <c r="S345">
        <v>2.9914550000000002</v>
      </c>
      <c r="T345">
        <v>-0.2311502</v>
      </c>
      <c r="U345">
        <v>-5.2703859999999998E-2</v>
      </c>
      <c r="V345">
        <v>1.5931109999999998E-2</v>
      </c>
      <c r="W345">
        <v>-8.6044620000000002E-2</v>
      </c>
      <c r="X345">
        <v>0.99616389999999999</v>
      </c>
      <c r="Y345">
        <v>2.1097439999999999E-2</v>
      </c>
      <c r="Z345">
        <v>-1.186178E-3</v>
      </c>
      <c r="AA345">
        <v>0.99977669999999996</v>
      </c>
      <c r="AB345">
        <v>16</v>
      </c>
      <c r="AC345">
        <v>14.360999999999899</v>
      </c>
      <c r="AD345">
        <v>-1.121216</v>
      </c>
      <c r="AE345">
        <v>-0.25630000000001002</v>
      </c>
      <c r="AF345">
        <v>0.30561955779470801</v>
      </c>
      <c r="AG345">
        <v>-1.121216</v>
      </c>
      <c r="AH345">
        <v>14.2730218429944</v>
      </c>
      <c r="AI345">
        <v>94.490615932497093</v>
      </c>
      <c r="AJ345">
        <v>88.773347679175799</v>
      </c>
      <c r="AK345">
        <v>14.320254228307499</v>
      </c>
      <c r="AL345">
        <v>94.936097297965205</v>
      </c>
      <c r="AM345">
        <v>89.083777719421406</v>
      </c>
      <c r="AN345">
        <v>0.99999999627999303</v>
      </c>
    </row>
    <row r="346" spans="1:40" x14ac:dyDescent="0.25">
      <c r="A346" t="str">
        <f>"20190303154103829"</f>
        <v>20190303154103829</v>
      </c>
      <c r="B346" t="str">
        <f>"1551598863819437"</f>
        <v>1551598863819437</v>
      </c>
      <c r="C346" t="s">
        <v>40</v>
      </c>
      <c r="D346">
        <v>5.7623030000000002</v>
      </c>
      <c r="E346">
        <v>0.50204170000000004</v>
      </c>
      <c r="F346" t="s">
        <v>43</v>
      </c>
      <c r="G346">
        <v>-415.16120000000001</v>
      </c>
      <c r="H346">
        <v>-0.05</v>
      </c>
      <c r="I346">
        <v>367.1284</v>
      </c>
      <c r="J346">
        <v>-429.31259999999997</v>
      </c>
      <c r="K346">
        <v>1.071204</v>
      </c>
      <c r="L346">
        <v>367.37430000000001</v>
      </c>
      <c r="M346">
        <v>0.99989700000000004</v>
      </c>
      <c r="N346">
        <v>-1.38888E-2</v>
      </c>
      <c r="O346">
        <v>3.6485649999999999E-3</v>
      </c>
      <c r="P346">
        <v>0.99491989999999997</v>
      </c>
      <c r="Q346">
        <v>-9.9892880000000003E-2</v>
      </c>
      <c r="R346">
        <v>-1.2488839999999999E-2</v>
      </c>
      <c r="S346">
        <v>2.9911799999999999</v>
      </c>
      <c r="T346">
        <v>-0.23404630000000001</v>
      </c>
      <c r="U346">
        <v>-5.1177979999999998E-2</v>
      </c>
      <c r="V346">
        <v>1.611974E-2</v>
      </c>
      <c r="W346">
        <v>-8.6065649999999994E-2</v>
      </c>
      <c r="X346">
        <v>0.99615909999999996</v>
      </c>
      <c r="Y346">
        <v>2.0673420000000001E-2</v>
      </c>
      <c r="Z346">
        <v>-1.185768E-3</v>
      </c>
      <c r="AA346">
        <v>0.99978560000000005</v>
      </c>
      <c r="AB346">
        <v>16</v>
      </c>
      <c r="AC346">
        <v>14.151399999999899</v>
      </c>
      <c r="AD346">
        <v>-1.1212040000000001</v>
      </c>
      <c r="AE346">
        <v>-0.245900000000006</v>
      </c>
      <c r="AF346">
        <v>0.29568013827657402</v>
      </c>
      <c r="AG346">
        <v>-1.1212040000000001</v>
      </c>
      <c r="AH346">
        <v>14.0621632405041</v>
      </c>
      <c r="AI346">
        <v>94.557658538923505</v>
      </c>
      <c r="AJ346">
        <v>88.795439385992395</v>
      </c>
      <c r="AK346">
        <v>14.109888736498601</v>
      </c>
      <c r="AL346">
        <v>94.937306462067198</v>
      </c>
      <c r="AM346">
        <v>89.072926738206306</v>
      </c>
      <c r="AN346">
        <v>1.00000004732019</v>
      </c>
    </row>
    <row r="347" spans="1:40" x14ac:dyDescent="0.25">
      <c r="A347" t="str">
        <f>"20190303154103851"</f>
        <v>20190303154103851</v>
      </c>
      <c r="B347" t="str">
        <f>"1551598863838956"</f>
        <v>1551598863838956</v>
      </c>
      <c r="C347" t="s">
        <v>40</v>
      </c>
      <c r="D347">
        <v>5.7635050000000003</v>
      </c>
      <c r="E347">
        <v>0.50212630000000003</v>
      </c>
      <c r="F347" t="s">
        <v>43</v>
      </c>
      <c r="G347">
        <v>-415.12860000000001</v>
      </c>
      <c r="H347">
        <v>-0.05</v>
      </c>
      <c r="I347">
        <v>367.12270000000001</v>
      </c>
      <c r="J347">
        <v>-429.16059999999999</v>
      </c>
      <c r="K347">
        <v>1.071197</v>
      </c>
      <c r="L347">
        <v>367.375</v>
      </c>
      <c r="M347">
        <v>0.99989689999999998</v>
      </c>
      <c r="N347">
        <v>-1.388172E-2</v>
      </c>
      <c r="O347">
        <v>3.7080960000000001E-3</v>
      </c>
      <c r="P347">
        <v>0.9948979</v>
      </c>
      <c r="Q347">
        <v>-0.10006470000000001</v>
      </c>
      <c r="R347">
        <v>-1.285593E-2</v>
      </c>
      <c r="S347">
        <v>2.9908450000000002</v>
      </c>
      <c r="T347">
        <v>-0.2364174</v>
      </c>
      <c r="U347">
        <v>-5.3070069999999997E-2</v>
      </c>
      <c r="V347">
        <v>1.6544489999999999E-2</v>
      </c>
      <c r="W347">
        <v>-8.6245150000000007E-2</v>
      </c>
      <c r="X347">
        <v>0.99613649999999998</v>
      </c>
      <c r="Y347">
        <v>2.1362909999999999E-2</v>
      </c>
      <c r="Z347">
        <v>-1.2327530000000001E-3</v>
      </c>
      <c r="AA347">
        <v>0.99977099999999997</v>
      </c>
      <c r="AB347">
        <v>16</v>
      </c>
      <c r="AC347">
        <v>14.031999999999901</v>
      </c>
      <c r="AD347">
        <v>-1.121197</v>
      </c>
      <c r="AE347">
        <v>-0.25229999999999098</v>
      </c>
      <c r="AF347">
        <v>0.30240520308994001</v>
      </c>
      <c r="AG347">
        <v>-1.121197</v>
      </c>
      <c r="AH347">
        <v>13.9419844850215</v>
      </c>
      <c r="AI347">
        <v>94.596684107706906</v>
      </c>
      <c r="AJ347">
        <v>88.757434751453104</v>
      </c>
      <c r="AK347">
        <v>13.9902631497855</v>
      </c>
      <c r="AL347">
        <v>94.947629988281605</v>
      </c>
      <c r="AM347">
        <v>89.048481503996001</v>
      </c>
      <c r="AN347">
        <v>0.99999993634006401</v>
      </c>
    </row>
    <row r="348" spans="1:40" x14ac:dyDescent="0.25">
      <c r="A348" t="str">
        <f>"20190303154103873"</f>
        <v>20190303154103873</v>
      </c>
      <c r="B348" t="str">
        <f>"1551598863869212"</f>
        <v>1551598863869212</v>
      </c>
      <c r="C348" t="s">
        <v>40</v>
      </c>
      <c r="D348">
        <v>5.7674909999999997</v>
      </c>
      <c r="E348">
        <v>0.50211759999999905</v>
      </c>
      <c r="F348" t="s">
        <v>43</v>
      </c>
      <c r="G348">
        <v>-415.12880000000001</v>
      </c>
      <c r="H348">
        <v>-0.05</v>
      </c>
      <c r="I348">
        <v>367.11750000000001</v>
      </c>
      <c r="J348">
        <v>-429.00549999999998</v>
      </c>
      <c r="K348">
        <v>1.0711919999999999</v>
      </c>
      <c r="L348">
        <v>367.37560000000002</v>
      </c>
      <c r="M348">
        <v>0.99989680000000003</v>
      </c>
      <c r="N348">
        <v>-1.387497E-2</v>
      </c>
      <c r="O348">
        <v>3.757804E-3</v>
      </c>
      <c r="P348">
        <v>0.99492919999999996</v>
      </c>
      <c r="Q348">
        <v>-9.9737199999999998E-2</v>
      </c>
      <c r="R348">
        <v>-1.2979879999999999E-2</v>
      </c>
      <c r="S348">
        <v>2.990631</v>
      </c>
      <c r="T348">
        <v>-0.2389617</v>
      </c>
      <c r="U348">
        <v>-5.487061E-2</v>
      </c>
      <c r="V348">
        <v>1.6716680000000001E-2</v>
      </c>
      <c r="W348">
        <v>-8.5924189999999998E-2</v>
      </c>
      <c r="X348">
        <v>0.99616139999999997</v>
      </c>
      <c r="Y348">
        <v>2.2011289999999999E-2</v>
      </c>
      <c r="Z348">
        <v>-1.278616E-3</v>
      </c>
      <c r="AA348">
        <v>0.99975689999999995</v>
      </c>
      <c r="AB348">
        <v>16</v>
      </c>
      <c r="AC348">
        <v>13.8766999999999</v>
      </c>
      <c r="AD348">
        <v>-1.121192</v>
      </c>
      <c r="AE348">
        <v>-0.25810000000001299</v>
      </c>
      <c r="AF348">
        <v>0.308237596195162</v>
      </c>
      <c r="AG348">
        <v>-1.121192</v>
      </c>
      <c r="AH348">
        <v>13.785668756840501</v>
      </c>
      <c r="AI348">
        <v>94.648489958753302</v>
      </c>
      <c r="AJ348">
        <v>88.719121178661496</v>
      </c>
      <c r="AK348">
        <v>13.8346212449023</v>
      </c>
      <c r="AL348">
        <v>94.9291716259075</v>
      </c>
      <c r="AM348">
        <v>89.038604266375899</v>
      </c>
      <c r="AN348">
        <v>0.99999997433366805</v>
      </c>
    </row>
    <row r="349" spans="1:40" x14ac:dyDescent="0.25">
      <c r="A349" t="str">
        <f>"20190303154103894"</f>
        <v>20190303154103894</v>
      </c>
      <c r="B349" t="str">
        <f>"1551598863889709"</f>
        <v>1551598863889709</v>
      </c>
      <c r="C349" t="s">
        <v>40</v>
      </c>
      <c r="D349">
        <v>5.8063779999999996</v>
      </c>
      <c r="E349">
        <v>0.50216689999999997</v>
      </c>
      <c r="F349" t="s">
        <v>43</v>
      </c>
      <c r="G349">
        <v>-415.10219999999998</v>
      </c>
      <c r="H349">
        <v>-0.05</v>
      </c>
      <c r="I349">
        <v>367.1189</v>
      </c>
      <c r="J349">
        <v>-428.85570000000001</v>
      </c>
      <c r="K349">
        <v>1.0711900000000001</v>
      </c>
      <c r="L349">
        <v>367.37619999999998</v>
      </c>
      <c r="M349">
        <v>0.99989660000000002</v>
      </c>
      <c r="N349">
        <v>-1.386893E-2</v>
      </c>
      <c r="O349">
        <v>3.7973450000000001E-3</v>
      </c>
      <c r="P349">
        <v>0.99498220000000004</v>
      </c>
      <c r="Q349">
        <v>-9.9186449999999995E-2</v>
      </c>
      <c r="R349">
        <v>-1.3145469999999999E-2</v>
      </c>
      <c r="S349">
        <v>2.9903870000000001</v>
      </c>
      <c r="T349">
        <v>-0.2411507</v>
      </c>
      <c r="U349">
        <v>-5.52063E-2</v>
      </c>
      <c r="V349">
        <v>1.6920729999999998E-2</v>
      </c>
      <c r="W349">
        <v>-8.5378969999999998E-2</v>
      </c>
      <c r="X349">
        <v>0.99620489999999995</v>
      </c>
      <c r="Y349">
        <v>2.216226E-2</v>
      </c>
      <c r="Z349">
        <v>-1.29919E-3</v>
      </c>
      <c r="AA349">
        <v>0.99975349999999996</v>
      </c>
      <c r="AB349">
        <v>16</v>
      </c>
      <c r="AC349">
        <v>13.753500000000001</v>
      </c>
      <c r="AD349">
        <v>-1.1211899999999999</v>
      </c>
      <c r="AE349">
        <v>-0.25729999999998598</v>
      </c>
      <c r="AF349">
        <v>0.30748724133275102</v>
      </c>
      <c r="AG349">
        <v>-1.1211899999999999</v>
      </c>
      <c r="AH349">
        <v>13.661665931297399</v>
      </c>
      <c r="AI349">
        <v>94.690471654152802</v>
      </c>
      <c r="AJ349">
        <v>88.710644276143</v>
      </c>
      <c r="AK349">
        <v>13.711044141058499</v>
      </c>
      <c r="AL349">
        <v>94.897817270170194</v>
      </c>
      <c r="AM349">
        <v>89.026913840510105</v>
      </c>
      <c r="AN349">
        <v>1.0000000412029999</v>
      </c>
    </row>
    <row r="350" spans="1:40" x14ac:dyDescent="0.25">
      <c r="A350" t="str">
        <f>"20190303154103918"</f>
        <v>20190303154103918</v>
      </c>
      <c r="B350" t="str">
        <f>"1551598863909228"</f>
        <v>1551598863909228</v>
      </c>
      <c r="C350" t="s">
        <v>40</v>
      </c>
      <c r="D350">
        <v>5.7508179999999998</v>
      </c>
      <c r="E350">
        <v>0.50220359999999997</v>
      </c>
      <c r="F350" t="s">
        <v>43</v>
      </c>
      <c r="G350">
        <v>-414.95870000000002</v>
      </c>
      <c r="H350">
        <v>-0.05</v>
      </c>
      <c r="I350">
        <v>367.1146</v>
      </c>
      <c r="J350">
        <v>-428.69560000000001</v>
      </c>
      <c r="K350">
        <v>1.0711850000000001</v>
      </c>
      <c r="L350">
        <v>367.37689999999998</v>
      </c>
      <c r="M350">
        <v>0.99989660000000002</v>
      </c>
      <c r="N350">
        <v>-1.3863E-2</v>
      </c>
      <c r="O350">
        <v>3.8326860000000001E-3</v>
      </c>
      <c r="P350">
        <v>0.99497150000000001</v>
      </c>
      <c r="Q350">
        <v>-9.9233370000000001E-2</v>
      </c>
      <c r="R350">
        <v>-1.3588009999999999E-2</v>
      </c>
      <c r="S350">
        <v>2.990326</v>
      </c>
      <c r="T350">
        <v>-0.24125440000000001</v>
      </c>
      <c r="U350">
        <v>-5.6304930000000003E-2</v>
      </c>
      <c r="V350">
        <v>1.7398070000000002E-2</v>
      </c>
      <c r="W350">
        <v>-8.5432129999999995E-2</v>
      </c>
      <c r="X350">
        <v>0.99619210000000002</v>
      </c>
      <c r="Y350">
        <v>2.256346E-2</v>
      </c>
      <c r="Z350">
        <v>-1.3209809999999999E-3</v>
      </c>
      <c r="AA350">
        <v>0.99974450000000004</v>
      </c>
      <c r="AB350">
        <v>16</v>
      </c>
      <c r="AC350">
        <v>13.736899999999901</v>
      </c>
      <c r="AD350">
        <v>-1.1211850000000001</v>
      </c>
      <c r="AE350">
        <v>-0.26229999999998199</v>
      </c>
      <c r="AF350">
        <v>0.31286891420315799</v>
      </c>
      <c r="AG350">
        <v>-1.1211850000000001</v>
      </c>
      <c r="AH350">
        <v>13.644930046367101</v>
      </c>
      <c r="AI350">
        <v>94.696133282813605</v>
      </c>
      <c r="AJ350">
        <v>88.686477124484199</v>
      </c>
      <c r="AK350">
        <v>13.6944900865987</v>
      </c>
      <c r="AL350">
        <v>94.900874382978401</v>
      </c>
      <c r="AM350">
        <v>88.999455373654399</v>
      </c>
      <c r="AN350">
        <v>1.0000000208892299</v>
      </c>
    </row>
    <row r="351" spans="1:40" x14ac:dyDescent="0.25">
      <c r="A351" t="str">
        <f>"20190303154103940"</f>
        <v>20190303154103940</v>
      </c>
      <c r="B351" t="str">
        <f>"1551598863929728"</f>
        <v>1551598863929728</v>
      </c>
      <c r="C351" t="s">
        <v>40</v>
      </c>
      <c r="D351">
        <v>5.7482839999999999</v>
      </c>
      <c r="E351">
        <v>0.50225379999999997</v>
      </c>
      <c r="F351" t="s">
        <v>43</v>
      </c>
      <c r="G351">
        <v>-414.88010000000003</v>
      </c>
      <c r="H351">
        <v>-0.05</v>
      </c>
      <c r="I351">
        <v>367.10939999999999</v>
      </c>
      <c r="J351">
        <v>-428.53449999999998</v>
      </c>
      <c r="K351">
        <v>1.071186</v>
      </c>
      <c r="L351">
        <v>367.3775</v>
      </c>
      <c r="M351">
        <v>0.99989660000000002</v>
      </c>
      <c r="N351">
        <v>-1.385719E-2</v>
      </c>
      <c r="O351">
        <v>3.8643129999999999E-3</v>
      </c>
      <c r="P351">
        <v>0.99494610000000006</v>
      </c>
      <c r="Q351">
        <v>-9.9375350000000001E-2</v>
      </c>
      <c r="R351">
        <v>-1.438482E-2</v>
      </c>
      <c r="S351">
        <v>2.9901430000000002</v>
      </c>
      <c r="T351">
        <v>-0.2426642</v>
      </c>
      <c r="U351">
        <v>-5.7891850000000002E-2</v>
      </c>
      <c r="V351">
        <v>1.822613E-2</v>
      </c>
      <c r="W351">
        <v>-8.5580320000000001E-2</v>
      </c>
      <c r="X351">
        <v>0.99616459999999996</v>
      </c>
      <c r="Y351">
        <v>2.3123330000000001E-2</v>
      </c>
      <c r="Z351">
        <v>-1.3567919999999999E-3</v>
      </c>
      <c r="AA351">
        <v>0.9997317</v>
      </c>
      <c r="AB351">
        <v>16</v>
      </c>
      <c r="AC351">
        <v>13.6543999999999</v>
      </c>
      <c r="AD351">
        <v>-1.121186</v>
      </c>
      <c r="AE351">
        <v>-0.268100000000004</v>
      </c>
      <c r="AF351">
        <v>0.31871984895963901</v>
      </c>
      <c r="AG351">
        <v>-1.121186</v>
      </c>
      <c r="AH351">
        <v>13.5618586022663</v>
      </c>
      <c r="AI351">
        <v>94.724710801926406</v>
      </c>
      <c r="AJ351">
        <v>88.653728673996198</v>
      </c>
      <c r="AK351">
        <v>13.6118569319759</v>
      </c>
      <c r="AL351">
        <v>94.909396127837894</v>
      </c>
      <c r="AM351">
        <v>88.951815971646994</v>
      </c>
      <c r="AN351">
        <v>1.00000004663961</v>
      </c>
    </row>
    <row r="352" spans="1:40" x14ac:dyDescent="0.25">
      <c r="A352" t="str">
        <f>"20190303154103963"</f>
        <v>20190303154103963</v>
      </c>
      <c r="B352" t="str">
        <f>"1551598863959980"</f>
        <v>1551598863959980</v>
      </c>
      <c r="C352" t="s">
        <v>40</v>
      </c>
      <c r="D352">
        <v>5.7847309999999998</v>
      </c>
      <c r="E352">
        <v>0.50244659999999997</v>
      </c>
      <c r="F352" t="s">
        <v>43</v>
      </c>
      <c r="G352">
        <v>-414.8057</v>
      </c>
      <c r="H352">
        <v>-0.05</v>
      </c>
      <c r="I352">
        <v>367.1001</v>
      </c>
      <c r="J352">
        <v>-428.37299999999999</v>
      </c>
      <c r="K352">
        <v>1.0711869999999999</v>
      </c>
      <c r="L352">
        <v>367.37819999999999</v>
      </c>
      <c r="M352">
        <v>0.99989660000000002</v>
      </c>
      <c r="N352">
        <v>-1.3851550000000001E-2</v>
      </c>
      <c r="O352">
        <v>3.894368E-3</v>
      </c>
      <c r="P352">
        <v>0.99495250000000002</v>
      </c>
      <c r="Q352">
        <v>-9.9250580000000005E-2</v>
      </c>
      <c r="R352">
        <v>-1.479448E-2</v>
      </c>
      <c r="S352">
        <v>2.990021</v>
      </c>
      <c r="T352">
        <v>-0.24418509999999999</v>
      </c>
      <c r="U352">
        <v>-6.0424800000000001E-2</v>
      </c>
      <c r="V352">
        <v>1.866634E-2</v>
      </c>
      <c r="W352">
        <v>-8.5461029999999993E-2</v>
      </c>
      <c r="X352">
        <v>0.99616660000000001</v>
      </c>
      <c r="Y352">
        <v>2.3996099999999999E-2</v>
      </c>
      <c r="Z352">
        <v>-1.408269E-3</v>
      </c>
      <c r="AA352">
        <v>0.99971100000000002</v>
      </c>
      <c r="AB352">
        <v>16</v>
      </c>
      <c r="AC352">
        <v>13.567299999999999</v>
      </c>
      <c r="AD352">
        <v>-1.1211869999999999</v>
      </c>
      <c r="AE352">
        <v>-0.27809999999999402</v>
      </c>
      <c r="AF352">
        <v>0.328695233008164</v>
      </c>
      <c r="AG352">
        <v>-1.1211869999999999</v>
      </c>
      <c r="AH352">
        <v>13.4741351758526</v>
      </c>
      <c r="AI352">
        <v>94.755233458609894</v>
      </c>
      <c r="AJ352">
        <v>88.602573380933606</v>
      </c>
      <c r="AK352">
        <v>13.524696653985201</v>
      </c>
      <c r="AL352">
        <v>94.902536620934697</v>
      </c>
      <c r="AM352">
        <v>88.9265075208437</v>
      </c>
      <c r="AN352">
        <v>0.99999995742660697</v>
      </c>
    </row>
    <row r="353" spans="1:40" x14ac:dyDescent="0.25">
      <c r="A353" t="str">
        <f>"20190303154103984"</f>
        <v>20190303154103984</v>
      </c>
      <c r="B353" t="str">
        <f>"1551598863979500"</f>
        <v>1551598863979500</v>
      </c>
      <c r="C353" t="s">
        <v>40</v>
      </c>
      <c r="D353">
        <v>5.8113789999999996</v>
      </c>
      <c r="E353">
        <v>0.5024554</v>
      </c>
      <c r="F353" t="s">
        <v>43</v>
      </c>
      <c r="G353">
        <v>-414.69970000000001</v>
      </c>
      <c r="H353">
        <v>-0.05</v>
      </c>
      <c r="I353">
        <v>367.0883</v>
      </c>
      <c r="J353">
        <v>-428.23099999999999</v>
      </c>
      <c r="K353">
        <v>1.071188</v>
      </c>
      <c r="L353">
        <v>367.37880000000001</v>
      </c>
      <c r="M353">
        <v>0.99989649999999997</v>
      </c>
      <c r="N353">
        <v>-1.3846880000000001E-2</v>
      </c>
      <c r="O353">
        <v>3.9215109999999999E-3</v>
      </c>
      <c r="P353">
        <v>0.99491549999999995</v>
      </c>
      <c r="Q353">
        <v>-9.9582480000000001E-2</v>
      </c>
      <c r="R353">
        <v>-1.5046250000000001E-2</v>
      </c>
      <c r="S353">
        <v>2.9898069999999999</v>
      </c>
      <c r="T353">
        <v>-0.24516009999999999</v>
      </c>
      <c r="U353">
        <v>-6.3385010000000006E-2</v>
      </c>
      <c r="V353">
        <v>1.8945480000000001E-2</v>
      </c>
      <c r="W353">
        <v>-8.5797960000000006E-2</v>
      </c>
      <c r="X353">
        <v>0.99613240000000003</v>
      </c>
      <c r="Y353">
        <v>2.5009239999999999E-2</v>
      </c>
      <c r="Z353">
        <v>-1.4638120000000001E-3</v>
      </c>
      <c r="AA353">
        <v>0.99968610000000002</v>
      </c>
      <c r="AB353">
        <v>16</v>
      </c>
      <c r="AC353">
        <v>13.5312999999999</v>
      </c>
      <c r="AD353">
        <v>-1.1211879999999901</v>
      </c>
      <c r="AE353">
        <v>-0.29050000000000797</v>
      </c>
      <c r="AF353">
        <v>0.34122436497740899</v>
      </c>
      <c r="AG353">
        <v>-1.1211879999999901</v>
      </c>
      <c r="AH353">
        <v>13.437840433935699</v>
      </c>
      <c r="AI353">
        <v>94.767904269527804</v>
      </c>
      <c r="AJ353">
        <v>88.545412438952596</v>
      </c>
      <c r="AK353">
        <v>13.4888491772469</v>
      </c>
      <c r="AL353">
        <v>94.9219122958865</v>
      </c>
      <c r="AM353">
        <v>88.9104207533113</v>
      </c>
      <c r="AN353">
        <v>0.99999998974117599</v>
      </c>
    </row>
    <row r="354" spans="1:40" x14ac:dyDescent="0.25">
      <c r="A354" t="str">
        <f>"20190303154104006"</f>
        <v>20190303154104006</v>
      </c>
      <c r="B354" t="str">
        <f>"1551598863999996"</f>
        <v>1551598863999996</v>
      </c>
      <c r="C354" t="s">
        <v>40</v>
      </c>
      <c r="D354">
        <v>5.8369</v>
      </c>
      <c r="E354">
        <v>0.50249409999999906</v>
      </c>
      <c r="F354" t="s">
        <v>43</v>
      </c>
      <c r="G354">
        <v>-414.64440000000002</v>
      </c>
      <c r="H354">
        <v>-0.05</v>
      </c>
      <c r="I354">
        <v>367.08600000000001</v>
      </c>
      <c r="J354">
        <v>-428.07319999999999</v>
      </c>
      <c r="K354">
        <v>1.0711889999999999</v>
      </c>
      <c r="L354">
        <v>367.37939999999998</v>
      </c>
      <c r="M354">
        <v>0.99989629999999996</v>
      </c>
      <c r="N354">
        <v>-1.3841839999999999E-2</v>
      </c>
      <c r="O354">
        <v>3.9534359999999899E-3</v>
      </c>
      <c r="P354">
        <v>0.99486830000000004</v>
      </c>
      <c r="Q354">
        <v>-0.1000962</v>
      </c>
      <c r="R354">
        <v>-1.4758810000000001E-2</v>
      </c>
      <c r="S354">
        <v>2.989655</v>
      </c>
      <c r="T354">
        <v>-0.24671129999999999</v>
      </c>
      <c r="U354">
        <v>-6.4422610000000005E-2</v>
      </c>
      <c r="V354">
        <v>1.8690390000000001E-2</v>
      </c>
      <c r="W354">
        <v>-8.6317149999999995E-2</v>
      </c>
      <c r="X354">
        <v>0.99609239999999999</v>
      </c>
      <c r="Y354">
        <v>2.5386160000000001E-2</v>
      </c>
      <c r="Z354">
        <v>-1.4926430000000001E-3</v>
      </c>
      <c r="AA354">
        <v>0.99967660000000003</v>
      </c>
      <c r="AB354">
        <v>16</v>
      </c>
      <c r="AC354">
        <v>13.428799999999899</v>
      </c>
      <c r="AD354">
        <v>-1.121189</v>
      </c>
      <c r="AE354">
        <v>-0.29339999999996202</v>
      </c>
      <c r="AF354">
        <v>0.34409522107333201</v>
      </c>
      <c r="AG354">
        <v>-1.121189</v>
      </c>
      <c r="AH354">
        <v>13.334626191789701</v>
      </c>
      <c r="AI354">
        <v>94.804591136951203</v>
      </c>
      <c r="AJ354">
        <v>88.521831103527802</v>
      </c>
      <c r="AK354">
        <v>13.3861018212791</v>
      </c>
      <c r="AL354">
        <v>94.951770285081693</v>
      </c>
      <c r="AM354">
        <v>88.925044691047106</v>
      </c>
      <c r="AN354">
        <v>1.00000002520011</v>
      </c>
    </row>
    <row r="355" spans="1:40" x14ac:dyDescent="0.25">
      <c r="A355" t="str">
        <f>"20190303154104029"</f>
        <v>20190303154104029</v>
      </c>
      <c r="B355" t="str">
        <f>"1551598864019516"</f>
        <v>1551598864019516</v>
      </c>
      <c r="C355" t="s">
        <v>40</v>
      </c>
      <c r="D355">
        <v>5.7788059999999897</v>
      </c>
      <c r="E355">
        <v>0.50239829999999996</v>
      </c>
      <c r="F355" t="s">
        <v>43</v>
      </c>
      <c r="G355">
        <v>-414.62310000000002</v>
      </c>
      <c r="H355">
        <v>-0.05</v>
      </c>
      <c r="I355">
        <v>367.09379999999999</v>
      </c>
      <c r="J355">
        <v>-427.91570000000002</v>
      </c>
      <c r="K355">
        <v>1.0711839999999999</v>
      </c>
      <c r="L355">
        <v>367.38010000000003</v>
      </c>
      <c r="M355">
        <v>0.99989629999999996</v>
      </c>
      <c r="N355">
        <v>-1.3836940000000001E-2</v>
      </c>
      <c r="O355">
        <v>3.9879720000000002E-3</v>
      </c>
      <c r="P355">
        <v>0.99484790000000001</v>
      </c>
      <c r="Q355">
        <v>-0.10034800000000001</v>
      </c>
      <c r="R355">
        <v>-1.4420179999999999E-2</v>
      </c>
      <c r="S355">
        <v>2.989471</v>
      </c>
      <c r="T355">
        <v>-0.2491999</v>
      </c>
      <c r="U355">
        <v>-6.3476560000000001E-2</v>
      </c>
      <c r="V355">
        <v>1.8386880000000001E-2</v>
      </c>
      <c r="W355">
        <v>-8.6573899999999995E-2</v>
      </c>
      <c r="X355">
        <v>0.99607570000000001</v>
      </c>
      <c r="Y355">
        <v>2.5104720000000001E-2</v>
      </c>
      <c r="Z355">
        <v>-1.4952170000000001E-3</v>
      </c>
      <c r="AA355">
        <v>0.99968369999999995</v>
      </c>
      <c r="AB355">
        <v>16</v>
      </c>
      <c r="AC355">
        <v>13.292599999999901</v>
      </c>
      <c r="AD355">
        <v>-1.121184</v>
      </c>
      <c r="AE355">
        <v>-0.28630000000003902</v>
      </c>
      <c r="AF355">
        <v>0.33691748538841698</v>
      </c>
      <c r="AG355">
        <v>-1.121184</v>
      </c>
      <c r="AH355">
        <v>13.1975045652676</v>
      </c>
      <c r="AI355">
        <v>94.854285981831296</v>
      </c>
      <c r="AJ355">
        <v>88.537620662513206</v>
      </c>
      <c r="AK355">
        <v>13.2493280472662</v>
      </c>
      <c r="AL355">
        <v>94.966536581856005</v>
      </c>
      <c r="AM355">
        <v>88.942478981138805</v>
      </c>
      <c r="AN355">
        <v>0.99999995882391601</v>
      </c>
    </row>
    <row r="356" spans="1:40" x14ac:dyDescent="0.25">
      <c r="A356" t="str">
        <f>"20190303154104050"</f>
        <v>20190303154104050</v>
      </c>
      <c r="B356" t="str">
        <f>"1551598864039036"</f>
        <v>1551598864039036</v>
      </c>
      <c r="C356" t="s">
        <v>40</v>
      </c>
      <c r="D356">
        <v>5.7680339999999903</v>
      </c>
      <c r="E356">
        <v>0.50237679999999996</v>
      </c>
      <c r="F356" t="s">
        <v>43</v>
      </c>
      <c r="G356">
        <v>-414.53390000000002</v>
      </c>
      <c r="H356">
        <v>-0.05</v>
      </c>
      <c r="I356">
        <v>367.10399999999998</v>
      </c>
      <c r="J356">
        <v>-427.7681</v>
      </c>
      <c r="K356">
        <v>1.0711839999999999</v>
      </c>
      <c r="L356">
        <v>367.38069999999999</v>
      </c>
      <c r="M356">
        <v>0.99989629999999996</v>
      </c>
      <c r="N356">
        <v>-1.383246E-2</v>
      </c>
      <c r="O356">
        <v>4.0229059999999997E-3</v>
      </c>
      <c r="P356">
        <v>0.99473840000000002</v>
      </c>
      <c r="Q356">
        <v>-0.10153479999999999</v>
      </c>
      <c r="R356">
        <v>-1.365015E-2</v>
      </c>
      <c r="S356">
        <v>2.9893489999999998</v>
      </c>
      <c r="T356">
        <v>-0.25046049999999997</v>
      </c>
      <c r="U356">
        <v>-6.167603E-2</v>
      </c>
      <c r="V356">
        <v>1.7651489999999999E-2</v>
      </c>
      <c r="W356">
        <v>-8.7766430000000006E-2</v>
      </c>
      <c r="X356">
        <v>0.99598469999999995</v>
      </c>
      <c r="Y356">
        <v>2.4539780000000001E-2</v>
      </c>
      <c r="Z356">
        <v>-1.4770849999999999E-3</v>
      </c>
      <c r="AA356">
        <v>0.99969770000000002</v>
      </c>
      <c r="AB356">
        <v>16</v>
      </c>
      <c r="AC356">
        <v>13.2341999999999</v>
      </c>
      <c r="AD356">
        <v>-1.121184</v>
      </c>
      <c r="AE356">
        <v>-0.27669999999994799</v>
      </c>
      <c r="AF356">
        <v>0.32759260533509998</v>
      </c>
      <c r="AG356">
        <v>-1.121184</v>
      </c>
      <c r="AH356">
        <v>13.138720894988399</v>
      </c>
      <c r="AI356">
        <v>94.875972826882901</v>
      </c>
      <c r="AJ356">
        <v>88.571718986008406</v>
      </c>
      <c r="AK356">
        <v>13.190540445081499</v>
      </c>
      <c r="AL356">
        <v>95.035124290669401</v>
      </c>
      <c r="AM356">
        <v>88.984673145406504</v>
      </c>
      <c r="AN356">
        <v>1.0000000219841201</v>
      </c>
    </row>
    <row r="357" spans="1:40" x14ac:dyDescent="0.25">
      <c r="A357" t="str">
        <f>"20190303154104073"</f>
        <v>20190303154104073</v>
      </c>
      <c r="B357" t="str">
        <f>"1551598864069294"</f>
        <v>1551598864069294</v>
      </c>
      <c r="C357" t="s">
        <v>40</v>
      </c>
      <c r="D357">
        <v>5.7885790000000004</v>
      </c>
      <c r="E357">
        <v>0.50244270000000002</v>
      </c>
      <c r="F357" t="s">
        <v>43</v>
      </c>
      <c r="G357">
        <v>-414.58819999999997</v>
      </c>
      <c r="H357">
        <v>-0.05</v>
      </c>
      <c r="I357">
        <v>367.11930000000001</v>
      </c>
      <c r="J357">
        <v>-427.61380000000003</v>
      </c>
      <c r="K357">
        <v>1.0711850000000001</v>
      </c>
      <c r="L357">
        <v>367.38139999999999</v>
      </c>
      <c r="M357">
        <v>0.99989620000000001</v>
      </c>
      <c r="N357">
        <v>-1.3827890000000001E-2</v>
      </c>
      <c r="O357">
        <v>4.061098E-3</v>
      </c>
      <c r="P357">
        <v>0.99477539999999998</v>
      </c>
      <c r="Q357">
        <v>-0.10124229999999999</v>
      </c>
      <c r="R357">
        <v>-1.3134669999999999E-2</v>
      </c>
      <c r="S357">
        <v>2.9891049999999999</v>
      </c>
      <c r="T357">
        <v>-0.25427709999999998</v>
      </c>
      <c r="U357">
        <v>-5.9295649999999998E-2</v>
      </c>
      <c r="V357">
        <v>1.717401E-2</v>
      </c>
      <c r="W357">
        <v>-8.7477979999999997E-2</v>
      </c>
      <c r="X357">
        <v>0.99601839999999997</v>
      </c>
      <c r="Y357">
        <v>2.378371E-2</v>
      </c>
      <c r="Z357">
        <v>-1.463249E-3</v>
      </c>
      <c r="AA357">
        <v>0.99971600000000005</v>
      </c>
      <c r="AB357">
        <v>15</v>
      </c>
      <c r="AC357">
        <v>13.025600000000001</v>
      </c>
      <c r="AD357">
        <v>-1.1211850000000001</v>
      </c>
      <c r="AE357">
        <v>-0.26209999999997502</v>
      </c>
      <c r="AF357">
        <v>0.31268538573986798</v>
      </c>
      <c r="AG357">
        <v>-1.1211850000000001</v>
      </c>
      <c r="AH357">
        <v>12.9286783542716</v>
      </c>
      <c r="AI357">
        <v>94.954892786866495</v>
      </c>
      <c r="AJ357">
        <v>88.614548176237605</v>
      </c>
      <c r="AK357">
        <v>12.9809688368354</v>
      </c>
      <c r="AL357">
        <v>95.0185336303593</v>
      </c>
      <c r="AM357">
        <v>89.012166049964193</v>
      </c>
      <c r="AN357">
        <v>0.99999999837146003</v>
      </c>
    </row>
    <row r="358" spans="1:40" x14ac:dyDescent="0.25">
      <c r="A358" t="str">
        <f>"20190303154104095"</f>
        <v>20190303154104095</v>
      </c>
      <c r="B358" t="str">
        <f>"1551598864089788"</f>
        <v>1551598864089788</v>
      </c>
      <c r="C358" t="s">
        <v>40</v>
      </c>
      <c r="D358">
        <v>5.7521430000000002</v>
      </c>
      <c r="E358">
        <v>0.50251170000000001</v>
      </c>
      <c r="F358" t="s">
        <v>43</v>
      </c>
      <c r="G358">
        <v>-414.41719999999998</v>
      </c>
      <c r="H358">
        <v>-0.05</v>
      </c>
      <c r="I358">
        <v>367.1241</v>
      </c>
      <c r="J358">
        <v>-427.46100000000001</v>
      </c>
      <c r="K358">
        <v>1.0711930000000001</v>
      </c>
      <c r="L358">
        <v>367.38200000000001</v>
      </c>
      <c r="M358">
        <v>0.99989600000000001</v>
      </c>
      <c r="N358">
        <v>-1.3823429999999999E-2</v>
      </c>
      <c r="O358">
        <v>4.0984999999999997E-3</v>
      </c>
      <c r="P358">
        <v>0.99478290000000003</v>
      </c>
      <c r="Q358">
        <v>-0.1011769</v>
      </c>
      <c r="R358">
        <v>-1.30544999999999E-2</v>
      </c>
      <c r="S358">
        <v>2.9891049999999999</v>
      </c>
      <c r="T358">
        <v>-0.2539536</v>
      </c>
      <c r="U358">
        <v>-5.8288569999999998E-2</v>
      </c>
      <c r="V358">
        <v>1.7131150000000001E-2</v>
      </c>
      <c r="W358">
        <v>-8.7416939999999999E-2</v>
      </c>
      <c r="X358">
        <v>0.99602449999999998</v>
      </c>
      <c r="Y358">
        <v>2.3485840000000001E-2</v>
      </c>
      <c r="Z358">
        <v>-1.4494620000000001E-3</v>
      </c>
      <c r="AA358">
        <v>0.99972309999999998</v>
      </c>
      <c r="AB358">
        <v>15</v>
      </c>
      <c r="AC358">
        <v>13.043799999999999</v>
      </c>
      <c r="AD358">
        <v>-1.1211930000000001</v>
      </c>
      <c r="AE358">
        <v>-0.257899999999949</v>
      </c>
      <c r="AF358">
        <v>0.30908023207881602</v>
      </c>
      <c r="AG358">
        <v>-1.1211930000000001</v>
      </c>
      <c r="AH358">
        <v>12.9470125336089</v>
      </c>
      <c r="AI358">
        <v>94.947983155361001</v>
      </c>
      <c r="AJ358">
        <v>88.632454415373104</v>
      </c>
      <c r="AK358">
        <v>12.999143736359599</v>
      </c>
      <c r="AL358">
        <v>95.015022832657394</v>
      </c>
      <c r="AM358">
        <v>89.014636866341107</v>
      </c>
      <c r="AN358">
        <v>1.0000000011497601</v>
      </c>
    </row>
    <row r="359" spans="1:40" x14ac:dyDescent="0.25">
      <c r="A359" t="str">
        <f>"20190303154104119"</f>
        <v>20190303154104119</v>
      </c>
      <c r="B359" t="str">
        <f>"1551598864109311"</f>
        <v>1551598864109311</v>
      </c>
      <c r="C359" t="s">
        <v>40</v>
      </c>
      <c r="D359">
        <v>5.5064460000000004</v>
      </c>
      <c r="E359">
        <v>0.50259179999999903</v>
      </c>
      <c r="F359" t="s">
        <v>43</v>
      </c>
      <c r="G359">
        <v>-414.3098</v>
      </c>
      <c r="H359">
        <v>-0.05</v>
      </c>
      <c r="I359">
        <v>367.12369999999999</v>
      </c>
      <c r="J359">
        <v>-427.30090000000001</v>
      </c>
      <c r="K359">
        <v>1.0711919999999999</v>
      </c>
      <c r="L359">
        <v>367.38279999999997</v>
      </c>
      <c r="M359">
        <v>0.99989589999999995</v>
      </c>
      <c r="N359">
        <v>-1.3818820000000001E-2</v>
      </c>
      <c r="O359">
        <v>4.1353400000000004E-3</v>
      </c>
      <c r="P359">
        <v>0.9947973</v>
      </c>
      <c r="Q359">
        <v>-0.1010544</v>
      </c>
      <c r="R359">
        <v>-1.2896899999999999E-2</v>
      </c>
      <c r="S359">
        <v>2.9890140000000001</v>
      </c>
      <c r="T359">
        <v>-0.2548243</v>
      </c>
      <c r="U359">
        <v>-5.8715820000000002E-2</v>
      </c>
      <c r="V359">
        <v>1.701006E-2</v>
      </c>
      <c r="W359">
        <v>-8.7298819999999999E-2</v>
      </c>
      <c r="X359">
        <v>0.9960369</v>
      </c>
      <c r="Y359">
        <v>2.3664549999999999E-2</v>
      </c>
      <c r="Z359">
        <v>-1.4655250000000001E-3</v>
      </c>
      <c r="AA359">
        <v>0.99971889999999997</v>
      </c>
      <c r="AB359">
        <v>15</v>
      </c>
      <c r="AC359">
        <v>12.991099999999999</v>
      </c>
      <c r="AD359">
        <v>-1.121192</v>
      </c>
      <c r="AE359">
        <v>-0.25909999999998901</v>
      </c>
      <c r="AF359">
        <v>0.31051359602810602</v>
      </c>
      <c r="AG359">
        <v>-1.121192</v>
      </c>
      <c r="AH359">
        <v>12.8939153412037</v>
      </c>
      <c r="AI359">
        <v>94.9682279683404</v>
      </c>
      <c r="AJ359">
        <v>88.620459346032504</v>
      </c>
      <c r="AK359">
        <v>12.946294567184401</v>
      </c>
      <c r="AL359">
        <v>95.008229258423498</v>
      </c>
      <c r="AM359">
        <v>89.021612636765198</v>
      </c>
      <c r="AN359">
        <v>0.99999996613810205</v>
      </c>
    </row>
    <row r="360" spans="1:40" x14ac:dyDescent="0.25">
      <c r="A360" t="str">
        <f>"20190303154104130"</f>
        <v>20190303154104130</v>
      </c>
      <c r="B360" t="str">
        <f>"1551598864119068"</f>
        <v>1551598864119068</v>
      </c>
      <c r="C360" t="s">
        <v>40</v>
      </c>
      <c r="D360">
        <v>5.7580429999999998</v>
      </c>
      <c r="E360">
        <v>0.50259179999999903</v>
      </c>
      <c r="F360" t="s">
        <v>42</v>
      </c>
      <c r="G360">
        <v>-426.4384</v>
      </c>
      <c r="H360">
        <v>0.99778060000000002</v>
      </c>
      <c r="I360">
        <v>367.3655</v>
      </c>
      <c r="J360">
        <v>-427.21030000000002</v>
      </c>
      <c r="K360">
        <v>1.071191</v>
      </c>
      <c r="L360">
        <v>367.38319999999999</v>
      </c>
      <c r="M360">
        <v>0.99989589999999995</v>
      </c>
      <c r="N360">
        <v>-1.381625E-2</v>
      </c>
      <c r="O360">
        <v>4.153693E-3</v>
      </c>
      <c r="P360">
        <v>0.99478100000000003</v>
      </c>
      <c r="Q360">
        <v>-0.101175</v>
      </c>
      <c r="R360">
        <v>-1.321602E-2</v>
      </c>
      <c r="S360">
        <v>2.9890439999999998</v>
      </c>
      <c r="T360">
        <v>-0.25450220000000001</v>
      </c>
      <c r="U360">
        <v>-5.8837889999999997E-2</v>
      </c>
      <c r="V360">
        <v>1.734691E-2</v>
      </c>
      <c r="W360">
        <v>-8.7422379999999994E-2</v>
      </c>
      <c r="X360">
        <v>0.99602029999999997</v>
      </c>
      <c r="Y360">
        <v>2.3723480000000002E-2</v>
      </c>
      <c r="Z360">
        <v>-1.4679980000000001E-3</v>
      </c>
      <c r="AA360">
        <v>0.99971750000000004</v>
      </c>
      <c r="AB360">
        <v>15</v>
      </c>
      <c r="AC360">
        <v>0.77190000000001602</v>
      </c>
      <c r="AD360">
        <v>-7.3410399999999904E-2</v>
      </c>
      <c r="AE360">
        <v>-1.7699999999990699E-2</v>
      </c>
      <c r="AF360">
        <v>2.0719090032763399E-2</v>
      </c>
      <c r="AG360">
        <v>-7.3410399999999904E-2</v>
      </c>
      <c r="AH360">
        <v>0.76490512782238096</v>
      </c>
      <c r="AI360">
        <v>95.480071680822206</v>
      </c>
      <c r="AJ360">
        <v>88.448400769507401</v>
      </c>
      <c r="AK360">
        <v>0.76869904519839205</v>
      </c>
      <c r="AL360">
        <v>95.015335660420703</v>
      </c>
      <c r="AM360">
        <v>89.002224897519397</v>
      </c>
      <c r="AN360">
        <v>1.0000000129117499</v>
      </c>
    </row>
    <row r="361" spans="1:40" x14ac:dyDescent="0.25">
      <c r="A361" t="str">
        <f>"20190303154104153"</f>
        <v>20190303154104153</v>
      </c>
      <c r="B361" t="str">
        <f>"1551598864149324"</f>
        <v>1551598864149324</v>
      </c>
      <c r="C361" t="s">
        <v>40</v>
      </c>
      <c r="D361">
        <v>5.7602370000000001</v>
      </c>
      <c r="E361">
        <v>0.5061679</v>
      </c>
      <c r="F361" t="s">
        <v>43</v>
      </c>
      <c r="G361">
        <v>-414.06079999999997</v>
      </c>
      <c r="H361">
        <v>-0.05</v>
      </c>
      <c r="I361">
        <v>367.11959999999999</v>
      </c>
      <c r="J361">
        <v>-427.06310000000002</v>
      </c>
      <c r="K361">
        <v>1.0711850000000001</v>
      </c>
      <c r="L361">
        <v>367.38380000000001</v>
      </c>
      <c r="M361">
        <v>0.99989589999999995</v>
      </c>
      <c r="N361">
        <v>-1.3812100000000001E-2</v>
      </c>
      <c r="O361">
        <v>4.1802619999999997E-3</v>
      </c>
      <c r="P361">
        <v>0.99475340000000001</v>
      </c>
      <c r="Q361">
        <v>-0.1013882</v>
      </c>
      <c r="R361">
        <v>-1.365332E-2</v>
      </c>
      <c r="S361">
        <v>2.9890140000000001</v>
      </c>
      <c r="T361">
        <v>-0.25485750000000001</v>
      </c>
      <c r="U361">
        <v>-5.9906010000000003E-2</v>
      </c>
      <c r="V361">
        <v>1.7810119999999999E-2</v>
      </c>
      <c r="W361">
        <v>-8.7640140000000005E-2</v>
      </c>
      <c r="X361">
        <v>0.99599300000000002</v>
      </c>
      <c r="Y361">
        <v>2.4105379999999999E-2</v>
      </c>
      <c r="Z361">
        <v>-1.490658E-3</v>
      </c>
      <c r="AA361">
        <v>0.99970829999999999</v>
      </c>
      <c r="AB361">
        <v>15</v>
      </c>
      <c r="AC361">
        <v>13.0023</v>
      </c>
      <c r="AD361">
        <v>-1.1211850000000001</v>
      </c>
      <c r="AE361">
        <v>-0.26420000000001598</v>
      </c>
      <c r="AF361">
        <v>0.31620569661539299</v>
      </c>
      <c r="AG361">
        <v>-1.1211850000000001</v>
      </c>
      <c r="AH361">
        <v>12.905164209309</v>
      </c>
      <c r="AI361">
        <v>94.963837819381695</v>
      </c>
      <c r="AJ361">
        <v>88.596404721660306</v>
      </c>
      <c r="AK361">
        <v>12.9576350124561</v>
      </c>
      <c r="AL361">
        <v>95.027860399907198</v>
      </c>
      <c r="AM361">
        <v>88.975559100877902</v>
      </c>
      <c r="AN361">
        <v>1.0000000252813099</v>
      </c>
    </row>
    <row r="362" spans="1:40" x14ac:dyDescent="0.25">
      <c r="A362" t="str">
        <f>"20190303154104176"</f>
        <v>20190303154104176</v>
      </c>
      <c r="B362" t="str">
        <f>"1551598864169820"</f>
        <v>1551598864169820</v>
      </c>
      <c r="C362" t="s">
        <v>40</v>
      </c>
      <c r="D362">
        <v>5.7509519999999998</v>
      </c>
      <c r="E362">
        <v>0.50613419999999998</v>
      </c>
      <c r="F362" t="s">
        <v>43</v>
      </c>
      <c r="G362">
        <v>-412.44159999999999</v>
      </c>
      <c r="H362">
        <v>-0.05</v>
      </c>
      <c r="I362">
        <v>366.94819999999999</v>
      </c>
      <c r="J362">
        <v>-426.90690000000001</v>
      </c>
      <c r="K362">
        <v>1.071177</v>
      </c>
      <c r="L362">
        <v>367.3845</v>
      </c>
      <c r="M362">
        <v>0.99989589999999995</v>
      </c>
      <c r="N362">
        <v>-1.380777E-2</v>
      </c>
      <c r="O362">
        <v>4.2037740000000004E-3</v>
      </c>
      <c r="P362">
        <v>0.99472519999999998</v>
      </c>
      <c r="Q362">
        <v>-0.1016069</v>
      </c>
      <c r="R362">
        <v>-1.407654E-2</v>
      </c>
      <c r="S362">
        <v>2.9912109999999998</v>
      </c>
      <c r="T362">
        <v>-0.22936690000000001</v>
      </c>
      <c r="U362">
        <v>-8.9111330000000002E-2</v>
      </c>
      <c r="V362">
        <v>1.8255850000000001E-2</v>
      </c>
      <c r="W362">
        <v>-8.7863739999999996E-2</v>
      </c>
      <c r="X362">
        <v>0.99596519999999999</v>
      </c>
      <c r="Y362">
        <v>3.3854349999999998E-2</v>
      </c>
      <c r="Z362">
        <v>-1.793829E-3</v>
      </c>
      <c r="AA362">
        <v>0.99942520000000001</v>
      </c>
      <c r="AB362">
        <v>15</v>
      </c>
      <c r="AC362">
        <v>14.465299999999999</v>
      </c>
      <c r="AD362">
        <v>-1.1211770000000001</v>
      </c>
      <c r="AE362">
        <v>-0.43630000000001701</v>
      </c>
      <c r="AF362">
        <v>0.49414491431490198</v>
      </c>
      <c r="AG362">
        <v>-1.1211770000000001</v>
      </c>
      <c r="AH362">
        <v>14.3770463386419</v>
      </c>
      <c r="AI362">
        <v>94.456498152651903</v>
      </c>
      <c r="AJ362">
        <v>88.031495721262601</v>
      </c>
      <c r="AK362">
        <v>14.429160699262001</v>
      </c>
      <c r="AL362">
        <v>95.040721495622194</v>
      </c>
      <c r="AM362">
        <v>88.949897008193304</v>
      </c>
      <c r="AN362">
        <v>0.99999999623852498</v>
      </c>
    </row>
    <row r="363" spans="1:40" x14ac:dyDescent="0.25">
      <c r="A363" t="str">
        <f>"20190303154104199"</f>
        <v>20190303154104199</v>
      </c>
      <c r="B363" t="str">
        <f>"1551598864189340"</f>
        <v>1551598864189340</v>
      </c>
      <c r="C363" t="s">
        <v>40</v>
      </c>
      <c r="D363">
        <v>5.7489039999999996</v>
      </c>
      <c r="E363">
        <v>0.50585820000000004</v>
      </c>
      <c r="F363" t="s">
        <v>43</v>
      </c>
      <c r="G363">
        <v>-412.45330000000001</v>
      </c>
      <c r="H363">
        <v>-0.05</v>
      </c>
      <c r="I363">
        <v>366.94740000000002</v>
      </c>
      <c r="J363">
        <v>-426.75459999999998</v>
      </c>
      <c r="K363">
        <v>1.0711619999999999</v>
      </c>
      <c r="L363">
        <v>367.38510000000002</v>
      </c>
      <c r="M363">
        <v>0.99989589999999995</v>
      </c>
      <c r="N363">
        <v>-1.3803630000000001E-2</v>
      </c>
      <c r="O363">
        <v>4.2200750000000002E-3</v>
      </c>
      <c r="P363">
        <v>0.99471109999999896</v>
      </c>
      <c r="Q363">
        <v>-0.10173219999999999</v>
      </c>
      <c r="R363">
        <v>-1.4162060000000001E-2</v>
      </c>
      <c r="S363">
        <v>2.9909059999999998</v>
      </c>
      <c r="T363">
        <v>-0.23200709999999999</v>
      </c>
      <c r="U363">
        <v>-9.0454099999999996E-2</v>
      </c>
      <c r="V363">
        <v>1.835672E-2</v>
      </c>
      <c r="W363">
        <v>-8.7993550000000004E-2</v>
      </c>
      <c r="X363">
        <v>0.9959519</v>
      </c>
      <c r="Y363">
        <v>3.4317550000000002E-2</v>
      </c>
      <c r="Z363">
        <v>-1.8346840000000001E-3</v>
      </c>
      <c r="AA363">
        <v>0.99940929999999994</v>
      </c>
      <c r="AB363">
        <v>15</v>
      </c>
      <c r="AC363">
        <v>14.3012999999999</v>
      </c>
      <c r="AD363">
        <v>-1.121162</v>
      </c>
      <c r="AE363">
        <v>-0.43770000000000597</v>
      </c>
      <c r="AF363">
        <v>0.49501493936729002</v>
      </c>
      <c r="AG363">
        <v>-1.121162</v>
      </c>
      <c r="AH363">
        <v>14.2120611172147</v>
      </c>
      <c r="AI363">
        <v>94.507889331009594</v>
      </c>
      <c r="AJ363">
        <v>88.005158752793804</v>
      </c>
      <c r="AK363">
        <v>14.2648072268744</v>
      </c>
      <c r="AL363">
        <v>95.048187907667</v>
      </c>
      <c r="AM363">
        <v>88.944082031989694</v>
      </c>
      <c r="AN363">
        <v>1.00000001056218</v>
      </c>
    </row>
    <row r="364" spans="1:40" x14ac:dyDescent="0.25">
      <c r="A364" t="str">
        <f>"20190303154104220"</f>
        <v>20190303154104220</v>
      </c>
      <c r="B364" t="str">
        <f>"1551598864209837"</f>
        <v>1551598864209837</v>
      </c>
      <c r="C364" t="s">
        <v>40</v>
      </c>
      <c r="D364">
        <v>5.7182190000000004</v>
      </c>
      <c r="E364">
        <v>0.50519780000000003</v>
      </c>
      <c r="F364" t="s">
        <v>43</v>
      </c>
      <c r="G364">
        <v>-412.28100000000001</v>
      </c>
      <c r="H364">
        <v>-0.05</v>
      </c>
      <c r="I364">
        <v>366.95729999999998</v>
      </c>
      <c r="J364">
        <v>-426.60419999999999</v>
      </c>
      <c r="K364">
        <v>1.0711630000000001</v>
      </c>
      <c r="L364">
        <v>367.38580000000002</v>
      </c>
      <c r="M364">
        <v>0.99989589999999995</v>
      </c>
      <c r="N364">
        <v>-1.3799550000000001E-2</v>
      </c>
      <c r="O364">
        <v>4.2311509999999998E-3</v>
      </c>
      <c r="P364">
        <v>0.99475179999999996</v>
      </c>
      <c r="Q364">
        <v>-0.1013589</v>
      </c>
      <c r="R364">
        <v>-1.3974810000000001E-2</v>
      </c>
      <c r="S364">
        <v>2.991028</v>
      </c>
      <c r="T364">
        <v>-0.2316936</v>
      </c>
      <c r="U364">
        <v>-8.8409420000000002E-2</v>
      </c>
      <c r="V364">
        <v>1.8180379999999999E-2</v>
      </c>
      <c r="W364">
        <v>-8.762383E-2</v>
      </c>
      <c r="X364">
        <v>0.99598770000000003</v>
      </c>
      <c r="Y364">
        <v>3.3647459999999997E-2</v>
      </c>
      <c r="Z364">
        <v>-1.802508E-3</v>
      </c>
      <c r="AA364">
        <v>0.99943210000000005</v>
      </c>
      <c r="AB364">
        <v>15</v>
      </c>
      <c r="AC364">
        <v>14.3231999999999</v>
      </c>
      <c r="AD364">
        <v>-1.1211629999999999</v>
      </c>
      <c r="AE364">
        <v>-0.42850000000004201</v>
      </c>
      <c r="AF364">
        <v>0.48612963433268502</v>
      </c>
      <c r="AG364">
        <v>-1.1211629999999999</v>
      </c>
      <c r="AH364">
        <v>14.234122151113899</v>
      </c>
      <c r="AI364">
        <v>94.501040150032296</v>
      </c>
      <c r="AJ364">
        <v>88.043971070197003</v>
      </c>
      <c r="AK364">
        <v>14.2864817889772</v>
      </c>
      <c r="AL364">
        <v>95.026922524131507</v>
      </c>
      <c r="AM364">
        <v>88.954260805286793</v>
      </c>
      <c r="AN364">
        <v>0.99999998017605096</v>
      </c>
    </row>
    <row r="365" spans="1:40" x14ac:dyDescent="0.25">
      <c r="A365" t="str">
        <f>"20190303154104241"</f>
        <v>20190303154104241</v>
      </c>
      <c r="B365" t="str">
        <f>"1551598864229360"</f>
        <v>1551598864229360</v>
      </c>
      <c r="C365" t="s">
        <v>40</v>
      </c>
      <c r="D365">
        <v>5.7407820000000003</v>
      </c>
      <c r="E365">
        <v>0.50486439999999999</v>
      </c>
      <c r="F365" t="s">
        <v>43</v>
      </c>
      <c r="G365">
        <v>-410.2226</v>
      </c>
      <c r="H365">
        <v>-0.05</v>
      </c>
      <c r="I365">
        <v>366.9341</v>
      </c>
      <c r="J365">
        <v>-426.46429999999998</v>
      </c>
      <c r="K365">
        <v>1.0711630000000001</v>
      </c>
      <c r="L365">
        <v>367.38639999999998</v>
      </c>
      <c r="M365">
        <v>0.99989589999999995</v>
      </c>
      <c r="N365">
        <v>-1.379581E-2</v>
      </c>
      <c r="O365">
        <v>4.2385440000000003E-3</v>
      </c>
      <c r="P365">
        <v>0.99479260000000003</v>
      </c>
      <c r="Q365">
        <v>-0.101022</v>
      </c>
      <c r="R365">
        <v>-1.350553E-2</v>
      </c>
      <c r="S365">
        <v>2.993805</v>
      </c>
      <c r="T365">
        <v>-0.204897</v>
      </c>
      <c r="U365">
        <v>-8.255005E-2</v>
      </c>
      <c r="V365">
        <v>1.771826E-2</v>
      </c>
      <c r="W365">
        <v>-8.729017E-2</v>
      </c>
      <c r="X365">
        <v>0.9960253</v>
      </c>
      <c r="Y365">
        <v>3.1704820000000002E-2</v>
      </c>
      <c r="Z365">
        <v>-1.5338140000000001E-3</v>
      </c>
      <c r="AA365">
        <v>0.9994961</v>
      </c>
      <c r="AB365">
        <v>15</v>
      </c>
      <c r="AC365">
        <v>16.241699999999899</v>
      </c>
      <c r="AD365">
        <v>-1.1211629999999999</v>
      </c>
      <c r="AE365">
        <v>-0.452299999999979</v>
      </c>
      <c r="AF365">
        <v>0.51867401232808796</v>
      </c>
      <c r="AG365">
        <v>-1.1211629999999999</v>
      </c>
      <c r="AH365">
        <v>16.162679253487099</v>
      </c>
      <c r="AI365">
        <v>93.966067525633804</v>
      </c>
      <c r="AJ365">
        <v>88.161960877841395</v>
      </c>
      <c r="AK365">
        <v>16.209818933434601</v>
      </c>
      <c r="AL365">
        <v>95.007731809744001</v>
      </c>
      <c r="AM365">
        <v>88.980874828355795</v>
      </c>
      <c r="AN365">
        <v>0.99999995437807199</v>
      </c>
    </row>
    <row r="366" spans="1:40" x14ac:dyDescent="0.25">
      <c r="A366" t="str">
        <f>"20190303154104254"</f>
        <v>20190303154104254</v>
      </c>
      <c r="B366" t="str">
        <f>"1551598864249854"</f>
        <v>1551598864249854</v>
      </c>
      <c r="C366" t="s">
        <v>40</v>
      </c>
      <c r="D366">
        <v>5.7086129999999997</v>
      </c>
      <c r="E366">
        <v>0.50458959999999997</v>
      </c>
      <c r="F366" t="s">
        <v>43</v>
      </c>
      <c r="G366">
        <v>-407.96469999999999</v>
      </c>
      <c r="H366">
        <v>-0.05</v>
      </c>
      <c r="I366">
        <v>366.9042</v>
      </c>
      <c r="J366">
        <v>-426.36829999999998</v>
      </c>
      <c r="K366">
        <v>1.0711630000000001</v>
      </c>
      <c r="L366">
        <v>367.38679999999999</v>
      </c>
      <c r="M366">
        <v>0.99989600000000001</v>
      </c>
      <c r="N366">
        <v>-1.379327E-2</v>
      </c>
      <c r="O366">
        <v>4.2419490000000001E-3</v>
      </c>
      <c r="P366">
        <v>0.99473820000000002</v>
      </c>
      <c r="Q366">
        <v>-0.1015573</v>
      </c>
      <c r="R366">
        <v>-1.350753E-2</v>
      </c>
      <c r="S366">
        <v>2.9962460000000002</v>
      </c>
      <c r="T366">
        <v>-0.1815872</v>
      </c>
      <c r="U366">
        <v>-7.8094479999999994E-2</v>
      </c>
      <c r="V366">
        <v>1.772321E-2</v>
      </c>
      <c r="W366">
        <v>-8.7828680000000006E-2</v>
      </c>
      <c r="X366">
        <v>0.99597789999999997</v>
      </c>
      <c r="Y366">
        <v>3.022323E-2</v>
      </c>
      <c r="Z366">
        <v>-1.3219079999999999E-3</v>
      </c>
      <c r="AA366">
        <v>0.99954229999999999</v>
      </c>
      <c r="AB366">
        <v>15</v>
      </c>
      <c r="AC366">
        <v>18.403599999999901</v>
      </c>
      <c r="AD366">
        <v>-1.1211629999999999</v>
      </c>
      <c r="AE366">
        <v>-0.48259999999998998</v>
      </c>
      <c r="AF366">
        <v>0.558598477055394</v>
      </c>
      <c r="AG366">
        <v>-1.1211629999999999</v>
      </c>
      <c r="AH366">
        <v>18.333392147402598</v>
      </c>
      <c r="AI366">
        <v>93.497897228400404</v>
      </c>
      <c r="AJ366">
        <v>88.254799966382294</v>
      </c>
      <c r="AK366">
        <v>18.3761341517083</v>
      </c>
      <c r="AL366">
        <v>95.038704975197305</v>
      </c>
      <c r="AM366">
        <v>88.980541667651494</v>
      </c>
      <c r="AN366">
        <v>0.99999998324582795</v>
      </c>
    </row>
    <row r="367" spans="1:40" x14ac:dyDescent="0.25">
      <c r="A367" t="str">
        <f>"20190303154104274"</f>
        <v>20190303154104274</v>
      </c>
      <c r="B367" t="str">
        <f>"1551598864269373"</f>
        <v>1551598864269373</v>
      </c>
      <c r="C367" t="s">
        <v>40</v>
      </c>
      <c r="D367">
        <v>5.7171750000000001</v>
      </c>
      <c r="E367">
        <v>0.50449109999999997</v>
      </c>
      <c r="F367" t="s">
        <v>43</v>
      </c>
      <c r="G367">
        <v>-406.49950000000001</v>
      </c>
      <c r="H367">
        <v>-0.05</v>
      </c>
      <c r="I367">
        <v>366.88549999999998</v>
      </c>
      <c r="J367">
        <v>-426.23880000000003</v>
      </c>
      <c r="K367">
        <v>1.071159</v>
      </c>
      <c r="L367">
        <v>367.38740000000001</v>
      </c>
      <c r="M367">
        <v>0.99989600000000001</v>
      </c>
      <c r="N367">
        <v>-1.3789849999999999E-2</v>
      </c>
      <c r="O367">
        <v>4.2451279999999999E-3</v>
      </c>
      <c r="P367">
        <v>0.99474289999999999</v>
      </c>
      <c r="Q367">
        <v>-0.1015076</v>
      </c>
      <c r="R367">
        <v>-1.3531049999999999E-2</v>
      </c>
      <c r="S367">
        <v>2.9975890000000001</v>
      </c>
      <c r="T367">
        <v>-0.16914889999999999</v>
      </c>
      <c r="U367">
        <v>-7.5622560000000005E-2</v>
      </c>
      <c r="V367">
        <v>1.7749930000000001E-2</v>
      </c>
      <c r="W367">
        <v>-8.7782319999999997E-2</v>
      </c>
      <c r="X367">
        <v>0.99598149999999996</v>
      </c>
      <c r="Y367">
        <v>2.9401679999999999E-2</v>
      </c>
      <c r="Z367">
        <v>-1.21254E-3</v>
      </c>
      <c r="AA367">
        <v>0.99956690000000004</v>
      </c>
      <c r="AB367">
        <v>15</v>
      </c>
      <c r="AC367">
        <v>19.7393</v>
      </c>
      <c r="AD367">
        <v>-1.121159</v>
      </c>
      <c r="AE367">
        <v>-0.50190000000003399</v>
      </c>
      <c r="AF367">
        <v>0.58381708675069299</v>
      </c>
      <c r="AG367">
        <v>-1.121159</v>
      </c>
      <c r="AH367">
        <v>19.6735643999099</v>
      </c>
      <c r="AI367">
        <v>93.260217523352495</v>
      </c>
      <c r="AJ367">
        <v>88.300234740425694</v>
      </c>
      <c r="AK367">
        <v>19.714131380597699</v>
      </c>
      <c r="AL367">
        <v>95.036038500329099</v>
      </c>
      <c r="AM367">
        <v>88.979008718897305</v>
      </c>
      <c r="AN367">
        <v>0.99999997203091795</v>
      </c>
    </row>
    <row r="368" spans="1:40" x14ac:dyDescent="0.25">
      <c r="A368" t="str">
        <f>"20190303154104288"</f>
        <v>20190303154104288</v>
      </c>
      <c r="B368" t="str">
        <f>"1551598864280109"</f>
        <v>1551598864280109</v>
      </c>
      <c r="C368" t="s">
        <v>40</v>
      </c>
      <c r="D368">
        <v>5.7176260000000001</v>
      </c>
      <c r="E368">
        <v>0.50448110000000002</v>
      </c>
      <c r="F368" t="s">
        <v>43</v>
      </c>
      <c r="G368">
        <v>-404.8458</v>
      </c>
      <c r="H368">
        <v>-0.05</v>
      </c>
      <c r="I368">
        <v>366.8546</v>
      </c>
      <c r="J368">
        <v>-426.14170000000001</v>
      </c>
      <c r="K368">
        <v>1.071164</v>
      </c>
      <c r="L368">
        <v>367.38780000000003</v>
      </c>
      <c r="M368">
        <v>0.99989600000000001</v>
      </c>
      <c r="N368">
        <v>-1.3787310000000001E-2</v>
      </c>
      <c r="O368">
        <v>4.246817E-3</v>
      </c>
      <c r="P368">
        <v>0.99470170000000002</v>
      </c>
      <c r="Q368">
        <v>-0.1019087</v>
      </c>
      <c r="R368">
        <v>-1.3545049999999999E-2</v>
      </c>
      <c r="S368">
        <v>2.9988100000000002</v>
      </c>
      <c r="T368">
        <v>-0.157161</v>
      </c>
      <c r="U368">
        <v>-7.4676510000000001E-2</v>
      </c>
      <c r="V368">
        <v>1.7765340000000001E-2</v>
      </c>
      <c r="W368">
        <v>-8.8186479999999998E-2</v>
      </c>
      <c r="X368">
        <v>0.99594559999999999</v>
      </c>
      <c r="Y368">
        <v>2.908645E-2</v>
      </c>
      <c r="Z368">
        <v>-1.1261299999999999E-3</v>
      </c>
      <c r="AA368">
        <v>0.99957629999999997</v>
      </c>
      <c r="AB368">
        <v>15</v>
      </c>
      <c r="AC368">
        <v>21.2959</v>
      </c>
      <c r="AD368">
        <v>-1.121164</v>
      </c>
      <c r="AE368">
        <v>-0.53320000000002199</v>
      </c>
      <c r="AF368">
        <v>0.62192087344956704</v>
      </c>
      <c r="AG368">
        <v>-1.121164</v>
      </c>
      <c r="AH368">
        <v>21.234624159813499</v>
      </c>
      <c r="AI368">
        <v>93.021052545691802</v>
      </c>
      <c r="AJ368">
        <v>88.322397536241994</v>
      </c>
      <c r="AK368">
        <v>21.273294467389402</v>
      </c>
      <c r="AL368">
        <v>95.059284920655301</v>
      </c>
      <c r="AM368">
        <v>88.978085683350997</v>
      </c>
      <c r="AN368">
        <v>1.0000000503597299</v>
      </c>
    </row>
    <row r="369" spans="1:40" x14ac:dyDescent="0.25">
      <c r="A369" t="str">
        <f>"20190303154104308"</f>
        <v>20190303154104308</v>
      </c>
      <c r="B369" t="str">
        <f>"1551598864299628"</f>
        <v>1551598864299628</v>
      </c>
      <c r="C369" t="s">
        <v>40</v>
      </c>
      <c r="D369">
        <v>5.7548370000000002</v>
      </c>
      <c r="E369">
        <v>0.50453809999999999</v>
      </c>
      <c r="F369" t="s">
        <v>43</v>
      </c>
      <c r="G369">
        <v>-404.19569999999999</v>
      </c>
      <c r="H369">
        <v>-0.05</v>
      </c>
      <c r="I369">
        <v>366.84059999999999</v>
      </c>
      <c r="J369">
        <v>-426.00889999999998</v>
      </c>
      <c r="K369">
        <v>1.0711619999999999</v>
      </c>
      <c r="L369">
        <v>367.38830000000002</v>
      </c>
      <c r="M369">
        <v>0.99989609999999995</v>
      </c>
      <c r="N369">
        <v>-1.378066E-2</v>
      </c>
      <c r="O369">
        <v>4.2490760000000001E-3</v>
      </c>
      <c r="P369">
        <v>0.9947298</v>
      </c>
      <c r="Q369">
        <v>-0.1016373</v>
      </c>
      <c r="R369">
        <v>-1.353087E-2</v>
      </c>
      <c r="S369">
        <v>2.999298</v>
      </c>
      <c r="T369">
        <v>-0.15322639999999901</v>
      </c>
      <c r="U369">
        <v>-7.4768070000000006E-2</v>
      </c>
      <c r="V369">
        <v>1.7753599999999901E-2</v>
      </c>
      <c r="W369">
        <v>-8.7921429999999995E-2</v>
      </c>
      <c r="X369">
        <v>0.9959692</v>
      </c>
      <c r="Y369">
        <v>2.9117560000000001E-2</v>
      </c>
      <c r="Z369">
        <v>-1.1023879999999999E-3</v>
      </c>
      <c r="AA369">
        <v>0.9995754</v>
      </c>
      <c r="AB369">
        <v>15</v>
      </c>
      <c r="AC369">
        <v>21.813199999999899</v>
      </c>
      <c r="AD369">
        <v>-1.121162</v>
      </c>
      <c r="AE369">
        <v>-0.54770000000001995</v>
      </c>
      <c r="AF369">
        <v>0.63870353719059203</v>
      </c>
      <c r="AG369">
        <v>-1.121162</v>
      </c>
      <c r="AH369">
        <v>21.7532443527294</v>
      </c>
      <c r="AI369">
        <v>92.949144607774201</v>
      </c>
      <c r="AJ369">
        <v>88.318204592045802</v>
      </c>
      <c r="AK369">
        <v>21.791479672298902</v>
      </c>
      <c r="AL369">
        <v>95.0440396726123</v>
      </c>
      <c r="AM369">
        <v>88.978785053079207</v>
      </c>
      <c r="AN369">
        <v>1.00000000775742</v>
      </c>
    </row>
    <row r="370" spans="1:40" x14ac:dyDescent="0.25">
      <c r="A370" t="str">
        <f>"20190303154104329"</f>
        <v>20190303154104329</v>
      </c>
      <c r="B370" t="str">
        <f>"1551598864320124"</f>
        <v>1551598864320124</v>
      </c>
      <c r="C370" t="s">
        <v>40</v>
      </c>
      <c r="D370">
        <v>5.7106500000000002</v>
      </c>
      <c r="E370">
        <v>0.50459750000000003</v>
      </c>
      <c r="F370" t="s">
        <v>43</v>
      </c>
      <c r="G370">
        <v>-402.69189999999998</v>
      </c>
      <c r="H370">
        <v>-0.05</v>
      </c>
      <c r="I370">
        <v>366.80770000000001</v>
      </c>
      <c r="J370">
        <v>-425.86329999999998</v>
      </c>
      <c r="K370">
        <v>1.071169</v>
      </c>
      <c r="L370">
        <v>367.38889999999998</v>
      </c>
      <c r="M370">
        <v>0.99989620000000001</v>
      </c>
      <c r="N370">
        <v>-1.3766560000000001E-2</v>
      </c>
      <c r="O370">
        <v>4.2522259999999996E-3</v>
      </c>
      <c r="P370">
        <v>0.99475230000000003</v>
      </c>
      <c r="Q370">
        <v>-0.10147589999999999</v>
      </c>
      <c r="R370">
        <v>-1.3062259999999999E-2</v>
      </c>
      <c r="S370">
        <v>3.0001530000000001</v>
      </c>
      <c r="T370">
        <v>-0.144258</v>
      </c>
      <c r="U370">
        <v>-7.4707029999999994E-2</v>
      </c>
      <c r="V370">
        <v>1.728847E-2</v>
      </c>
      <c r="W370">
        <v>-8.7773619999999997E-2</v>
      </c>
      <c r="X370">
        <v>0.99599040000000005</v>
      </c>
      <c r="Y370">
        <v>2.9098720000000002E-2</v>
      </c>
      <c r="Z370">
        <v>-1.045364E-3</v>
      </c>
      <c r="AA370">
        <v>0.99957600000000002</v>
      </c>
      <c r="AB370">
        <v>15</v>
      </c>
      <c r="AC370">
        <v>23.171399999999998</v>
      </c>
      <c r="AD370">
        <v>-1.1211690000000001</v>
      </c>
      <c r="AE370">
        <v>-0.58119999999996697</v>
      </c>
      <c r="AF370">
        <v>0.67814743425062196</v>
      </c>
      <c r="AG370">
        <v>-1.1211690000000001</v>
      </c>
      <c r="AH370">
        <v>23.114636994664501</v>
      </c>
      <c r="AI370">
        <v>92.775746865052099</v>
      </c>
      <c r="AJ370">
        <v>88.3195131480783</v>
      </c>
      <c r="AK370">
        <v>23.151746095365102</v>
      </c>
      <c r="AL370">
        <v>95.035538013733799</v>
      </c>
      <c r="AM370">
        <v>89.005555778953095</v>
      </c>
      <c r="AN370">
        <v>0.99999998822750202</v>
      </c>
    </row>
    <row r="371" spans="1:40" x14ac:dyDescent="0.25">
      <c r="A371" t="str">
        <f>"20190303154104344"</f>
        <v>20190303154104344</v>
      </c>
      <c r="B371" t="str">
        <f>"1551598864339644"</f>
        <v>1551598864339644</v>
      </c>
      <c r="C371" t="s">
        <v>40</v>
      </c>
      <c r="D371">
        <v>5.7284660000000001</v>
      </c>
      <c r="E371">
        <v>0.5046832</v>
      </c>
      <c r="F371" t="s">
        <v>43</v>
      </c>
      <c r="G371">
        <v>-401.30270000000002</v>
      </c>
      <c r="H371">
        <v>-0.05</v>
      </c>
      <c r="I371">
        <v>366.78500000000003</v>
      </c>
      <c r="J371">
        <v>-425.7704</v>
      </c>
      <c r="K371">
        <v>1.0711660000000001</v>
      </c>
      <c r="L371">
        <v>367.38940000000002</v>
      </c>
      <c r="M371">
        <v>0.99989649999999997</v>
      </c>
      <c r="N371">
        <v>-1.374973E-2</v>
      </c>
      <c r="O371">
        <v>4.2545580000000003E-3</v>
      </c>
      <c r="P371">
        <v>0.99476710000000002</v>
      </c>
      <c r="Q371">
        <v>-0.10131709999999999</v>
      </c>
      <c r="R371">
        <v>-1.3171779999999999E-2</v>
      </c>
      <c r="S371">
        <v>3.0008539999999999</v>
      </c>
      <c r="T371">
        <v>-0.13698659999999999</v>
      </c>
      <c r="U371">
        <v>-7.3791499999999996E-2</v>
      </c>
      <c r="V371">
        <v>1.7400530000000001E-2</v>
      </c>
      <c r="W371">
        <v>-8.7631440000000005E-2</v>
      </c>
      <c r="X371">
        <v>0.99600100000000003</v>
      </c>
      <c r="Y371">
        <v>2.8795009999999999E-2</v>
      </c>
      <c r="Z371">
        <v>-9.9054640000000005E-4</v>
      </c>
      <c r="AA371">
        <v>0.9995849</v>
      </c>
      <c r="AB371">
        <v>15</v>
      </c>
      <c r="AC371">
        <v>24.467699999999901</v>
      </c>
      <c r="AD371">
        <v>-1.1211659999999899</v>
      </c>
      <c r="AE371">
        <v>-0.60439999999999805</v>
      </c>
      <c r="AF371">
        <v>0.70701999851053499</v>
      </c>
      <c r="AG371">
        <v>-1.1211659999999899</v>
      </c>
      <c r="AH371">
        <v>24.413677110307599</v>
      </c>
      <c r="AI371">
        <v>92.628285513107201</v>
      </c>
      <c r="AJ371">
        <v>88.341178075290799</v>
      </c>
      <c r="AK371">
        <v>24.4496323187938</v>
      </c>
      <c r="AL371">
        <v>95.027360028716998</v>
      </c>
      <c r="AM371">
        <v>88.999121970560296</v>
      </c>
      <c r="AN371">
        <v>1.0000000198608701</v>
      </c>
    </row>
    <row r="372" spans="1:40" x14ac:dyDescent="0.25">
      <c r="A372" t="str">
        <f>"20190303154104365"</f>
        <v>20190303154104365</v>
      </c>
      <c r="B372" t="str">
        <f>"1551598864360140"</f>
        <v>1551598864360140</v>
      </c>
      <c r="C372" t="s">
        <v>40</v>
      </c>
      <c r="D372">
        <v>5.6958029999999997</v>
      </c>
      <c r="E372">
        <v>0.50487229999999905</v>
      </c>
      <c r="F372" t="s">
        <v>43</v>
      </c>
      <c r="G372">
        <v>-400.01139999999998</v>
      </c>
      <c r="H372">
        <v>-0.05</v>
      </c>
      <c r="I372">
        <v>366.74590000000001</v>
      </c>
      <c r="J372">
        <v>-425.6266</v>
      </c>
      <c r="K372">
        <v>1.071156</v>
      </c>
      <c r="L372">
        <v>367.39</v>
      </c>
      <c r="M372">
        <v>0.99989689999999998</v>
      </c>
      <c r="N372">
        <v>-1.37062E-2</v>
      </c>
      <c r="O372">
        <v>4.2590479999999997E-3</v>
      </c>
      <c r="P372">
        <v>0.99475469999999999</v>
      </c>
      <c r="Q372">
        <v>-0.1014177</v>
      </c>
      <c r="R372">
        <v>-1.332362E-2</v>
      </c>
      <c r="S372">
        <v>3.0015260000000001</v>
      </c>
      <c r="T372">
        <v>-0.1306416</v>
      </c>
      <c r="U372">
        <v>-7.4981690000000004E-2</v>
      </c>
      <c r="V372">
        <v>1.755698E-2</v>
      </c>
      <c r="W372">
        <v>-8.7775500000000006E-2</v>
      </c>
      <c r="X372">
        <v>0.99598560000000003</v>
      </c>
      <c r="Y372">
        <v>2.9193070000000002E-2</v>
      </c>
      <c r="Z372">
        <v>-9.620548E-4</v>
      </c>
      <c r="AA372">
        <v>0.9995733</v>
      </c>
      <c r="AB372">
        <v>15</v>
      </c>
      <c r="AC372">
        <v>25.615200000000002</v>
      </c>
      <c r="AD372">
        <v>-1.121156</v>
      </c>
      <c r="AE372">
        <v>-0.64409999999998002</v>
      </c>
      <c r="AF372">
        <v>0.75176151296108695</v>
      </c>
      <c r="AG372">
        <v>-1.121156</v>
      </c>
      <c r="AH372">
        <v>25.563282460931799</v>
      </c>
      <c r="AI372">
        <v>92.510188635567204</v>
      </c>
      <c r="AJ372">
        <v>88.315539030071506</v>
      </c>
      <c r="AK372">
        <v>25.598897365435199</v>
      </c>
      <c r="AL372">
        <v>95.035645831869502</v>
      </c>
      <c r="AM372">
        <v>88.990109214490801</v>
      </c>
      <c r="AN372">
        <v>1.00000005067716</v>
      </c>
    </row>
    <row r="373" spans="1:40" x14ac:dyDescent="0.25">
      <c r="A373" t="str">
        <f>"20190303154104387"</f>
        <v>20190303154104387</v>
      </c>
      <c r="B373" t="str">
        <f>"1551598864379661"</f>
        <v>1551598864379661</v>
      </c>
      <c r="C373" t="s">
        <v>40</v>
      </c>
      <c r="D373">
        <v>5.7123879999999998</v>
      </c>
      <c r="E373">
        <v>0.50501560000000001</v>
      </c>
      <c r="F373" t="s">
        <v>43</v>
      </c>
      <c r="G373">
        <v>-398.91320000000002</v>
      </c>
      <c r="H373">
        <v>-0.05</v>
      </c>
      <c r="I373">
        <v>366.70670000000001</v>
      </c>
      <c r="J373">
        <v>-425.48320000000001</v>
      </c>
      <c r="K373">
        <v>1.071143</v>
      </c>
      <c r="L373">
        <v>367.39060000000001</v>
      </c>
      <c r="M373">
        <v>0.99989799999999995</v>
      </c>
      <c r="N373">
        <v>-1.3635889999999999E-2</v>
      </c>
      <c r="O373">
        <v>4.2646150000000002E-3</v>
      </c>
      <c r="P373">
        <v>0.99478739999999999</v>
      </c>
      <c r="Q373">
        <v>-0.10108549999999999</v>
      </c>
      <c r="R373">
        <v>-1.342776E-2</v>
      </c>
      <c r="S373">
        <v>3.0019529999999999</v>
      </c>
      <c r="T373">
        <v>-0.12599160000000001</v>
      </c>
      <c r="U373">
        <v>-7.6782230000000007E-2</v>
      </c>
      <c r="V373">
        <v>1.766686E-2</v>
      </c>
      <c r="W373">
        <v>-8.7512850000000003E-2</v>
      </c>
      <c r="X373">
        <v>0.99600670000000002</v>
      </c>
      <c r="Y373">
        <v>2.9795990000000001E-2</v>
      </c>
      <c r="Z373">
        <v>-9.4895050000000001E-4</v>
      </c>
      <c r="AA373">
        <v>0.99955550000000004</v>
      </c>
      <c r="AB373">
        <v>15</v>
      </c>
      <c r="AC373">
        <v>26.57</v>
      </c>
      <c r="AD373">
        <v>-1.121143</v>
      </c>
      <c r="AE373">
        <v>-0.68389999999999396</v>
      </c>
      <c r="AF373">
        <v>0.79579915626092801</v>
      </c>
      <c r="AG373">
        <v>-1.121143</v>
      </c>
      <c r="AH373">
        <v>26.5196548496642</v>
      </c>
      <c r="AI373">
        <v>92.419702806522807</v>
      </c>
      <c r="AJ373">
        <v>88.281189756933102</v>
      </c>
      <c r="AK373">
        <v>26.555269745737299</v>
      </c>
      <c r="AL373">
        <v>95.020539309969294</v>
      </c>
      <c r="AM373">
        <v>88.983811678437107</v>
      </c>
      <c r="AN373">
        <v>0.99999998165113502</v>
      </c>
    </row>
    <row r="374" spans="1:40" x14ac:dyDescent="0.25">
      <c r="A374" t="str">
        <f>"20190303154104409"</f>
        <v>20190303154104409</v>
      </c>
      <c r="B374" t="str">
        <f>"1551598864399180"</f>
        <v>1551598864399180</v>
      </c>
      <c r="C374" t="s">
        <v>40</v>
      </c>
      <c r="D374">
        <v>5.6959949999999999</v>
      </c>
      <c r="E374">
        <v>0.50513859999999999</v>
      </c>
      <c r="F374" t="s">
        <v>41</v>
      </c>
      <c r="G374">
        <v>-398.77679999999998</v>
      </c>
      <c r="H374" s="1">
        <v>-1.1801609999999999E-6</v>
      </c>
      <c r="I374">
        <v>366.69290000000001</v>
      </c>
      <c r="J374">
        <v>-425.33679999999998</v>
      </c>
      <c r="K374">
        <v>1.0711269999999999</v>
      </c>
      <c r="L374">
        <v>367.39120000000003</v>
      </c>
      <c r="M374">
        <v>0.99989930000000005</v>
      </c>
      <c r="N374">
        <v>-1.3536889999999999E-2</v>
      </c>
      <c r="O374">
        <v>4.2715039999999998E-3</v>
      </c>
      <c r="P374">
        <v>0.99480999999999997</v>
      </c>
      <c r="Q374">
        <v>-0.1008806</v>
      </c>
      <c r="R374">
        <v>-1.3282220000000001E-2</v>
      </c>
      <c r="S374">
        <v>3.0024109999999999</v>
      </c>
      <c r="T374">
        <v>-0.1204206</v>
      </c>
      <c r="U374">
        <v>-7.8430180000000002E-2</v>
      </c>
      <c r="V374">
        <v>1.7528740000000001E-2</v>
      </c>
      <c r="W374">
        <v>-8.740626E-2</v>
      </c>
      <c r="X374">
        <v>0.99601850000000003</v>
      </c>
      <c r="Y374">
        <v>3.0349560000000001E-2</v>
      </c>
      <c r="Z374">
        <v>-9.2728109999999999E-4</v>
      </c>
      <c r="AA374">
        <v>0.99953890000000001</v>
      </c>
      <c r="AB374">
        <v>15</v>
      </c>
      <c r="AC374">
        <v>26.56</v>
      </c>
      <c r="AD374">
        <v>-1.071128180161</v>
      </c>
      <c r="AE374">
        <v>-0.69830000000001702</v>
      </c>
      <c r="AF374">
        <v>0.81043798095089703</v>
      </c>
      <c r="AG374">
        <v>-1.071128180161</v>
      </c>
      <c r="AH374">
        <v>26.513682581295399</v>
      </c>
      <c r="AI374">
        <v>92.312359485658305</v>
      </c>
      <c r="AJ374">
        <v>88.249197482003197</v>
      </c>
      <c r="AK374">
        <v>26.547683313633801</v>
      </c>
      <c r="AL374">
        <v>95.014408660369696</v>
      </c>
      <c r="AM374">
        <v>88.991766562776306</v>
      </c>
      <c r="AN374">
        <v>0.99999998167771198</v>
      </c>
    </row>
    <row r="375" spans="1:40" x14ac:dyDescent="0.25">
      <c r="A375" t="str">
        <f>"20190303154104423"</f>
        <v>20190303154104423</v>
      </c>
      <c r="B375" t="str">
        <f>"1551598864419677"</f>
        <v>1551598864419677</v>
      </c>
      <c r="C375" t="s">
        <v>40</v>
      </c>
      <c r="D375">
        <v>5.7018899999999997</v>
      </c>
      <c r="E375">
        <v>0.50513909999999995</v>
      </c>
      <c r="F375" t="s">
        <v>41</v>
      </c>
      <c r="G375">
        <v>-397.60039999999998</v>
      </c>
      <c r="H375" s="1">
        <v>-1.588563E-6</v>
      </c>
      <c r="I375">
        <v>366.66250000000002</v>
      </c>
      <c r="J375">
        <v>-425.24419999999998</v>
      </c>
      <c r="K375">
        <v>1.071113</v>
      </c>
      <c r="L375">
        <v>367.39159999999998</v>
      </c>
      <c r="M375">
        <v>0.99990029999999996</v>
      </c>
      <c r="N375">
        <v>-1.346405E-2</v>
      </c>
      <c r="O375">
        <v>4.2765370000000004E-3</v>
      </c>
      <c r="P375">
        <v>0.99483569999999999</v>
      </c>
      <c r="Q375">
        <v>-0.100632</v>
      </c>
      <c r="R375">
        <v>-1.324971E-2</v>
      </c>
      <c r="S375">
        <v>3.002869</v>
      </c>
      <c r="T375">
        <v>-0.115964899999999</v>
      </c>
      <c r="U375">
        <v>-7.8887940000000004E-2</v>
      </c>
      <c r="V375">
        <v>1.7501349999999999E-2</v>
      </c>
      <c r="W375">
        <v>-8.7229849999999998E-2</v>
      </c>
      <c r="X375">
        <v>0.99603439999999999</v>
      </c>
      <c r="Y375">
        <v>3.0505000000000001E-2</v>
      </c>
      <c r="Z375">
        <v>-9.0171480000000002E-4</v>
      </c>
      <c r="AA375">
        <v>0.99953420000000004</v>
      </c>
      <c r="AB375">
        <v>15</v>
      </c>
      <c r="AC375">
        <v>27.643799999999999</v>
      </c>
      <c r="AD375">
        <v>-1.071114588563</v>
      </c>
      <c r="AE375">
        <v>-0.729099999999959</v>
      </c>
      <c r="AF375">
        <v>0.84605444684969799</v>
      </c>
      <c r="AG375">
        <v>-1.071114588563</v>
      </c>
      <c r="AH375">
        <v>27.5990224041796</v>
      </c>
      <c r="AI375">
        <v>92.221484062859403</v>
      </c>
      <c r="AJ375">
        <v>88.244134444518096</v>
      </c>
      <c r="AK375">
        <v>27.632754699003101</v>
      </c>
      <c r="AL375">
        <v>95.0042625920115</v>
      </c>
      <c r="AM375">
        <v>88.993357746652805</v>
      </c>
      <c r="AN375">
        <v>0.99999993498310003</v>
      </c>
    </row>
    <row r="376" spans="1:40" x14ac:dyDescent="0.25">
      <c r="A376" t="str">
        <f>"20190303154104442"</f>
        <v>20190303154104442</v>
      </c>
      <c r="B376" t="str">
        <f>"1551598864439197"</f>
        <v>1551598864439197</v>
      </c>
      <c r="C376" t="s">
        <v>40</v>
      </c>
      <c r="D376">
        <v>5.6706779999999997</v>
      </c>
      <c r="E376">
        <v>0.50521190000000005</v>
      </c>
      <c r="F376" t="s">
        <v>41</v>
      </c>
      <c r="G376">
        <v>-397.01369999999997</v>
      </c>
      <c r="H376" s="1">
        <v>-1.7910549999999999E-6</v>
      </c>
      <c r="I376">
        <v>366.65190000000001</v>
      </c>
      <c r="J376">
        <v>-425.11669999999998</v>
      </c>
      <c r="K376">
        <v>1.0710930000000001</v>
      </c>
      <c r="L376">
        <v>367.3922</v>
      </c>
      <c r="M376">
        <v>0.9999017</v>
      </c>
      <c r="N376">
        <v>-1.335835E-2</v>
      </c>
      <c r="O376">
        <v>4.2835249999999998E-3</v>
      </c>
      <c r="P376">
        <v>0.99485310000000005</v>
      </c>
      <c r="Q376">
        <v>-0.1004586</v>
      </c>
      <c r="R376">
        <v>-1.3254719999999999E-2</v>
      </c>
      <c r="S376">
        <v>3.0029910000000002</v>
      </c>
      <c r="T376">
        <v>-0.1139382</v>
      </c>
      <c r="U376">
        <v>-7.8674320000000006E-2</v>
      </c>
      <c r="V376">
        <v>1.751347E-2</v>
      </c>
      <c r="W376">
        <v>-8.7161520000000006E-2</v>
      </c>
      <c r="X376">
        <v>0.99604020000000004</v>
      </c>
      <c r="Y376">
        <v>3.0440970000000001E-2</v>
      </c>
      <c r="Z376">
        <v>-8.8588570000000001E-4</v>
      </c>
      <c r="AA376">
        <v>0.99953619999999999</v>
      </c>
      <c r="AB376">
        <v>15</v>
      </c>
      <c r="AC376">
        <v>28.103000000000002</v>
      </c>
      <c r="AD376">
        <v>-1.0710947910549999</v>
      </c>
      <c r="AE376">
        <v>-0.74029999999998997</v>
      </c>
      <c r="AF376">
        <v>0.85943627580641302</v>
      </c>
      <c r="AG376">
        <v>-1.0710947910549999</v>
      </c>
      <c r="AH376">
        <v>28.058840330041701</v>
      </c>
      <c r="AI376">
        <v>92.185076136420193</v>
      </c>
      <c r="AJ376">
        <v>88.245591048072896</v>
      </c>
      <c r="AK376">
        <v>28.092425944200201</v>
      </c>
      <c r="AL376">
        <v>95.000332446575698</v>
      </c>
      <c r="AM376">
        <v>88.992666636949807</v>
      </c>
      <c r="AN376">
        <v>0.99999996610809505</v>
      </c>
    </row>
    <row r="377" spans="1:40" x14ac:dyDescent="0.25">
      <c r="A377" t="str">
        <f>"20190303154104464"</f>
        <v>20190303154104464</v>
      </c>
      <c r="B377" t="str">
        <f>"1551598864459692"</f>
        <v>1551598864459692</v>
      </c>
      <c r="C377" t="s">
        <v>40</v>
      </c>
      <c r="D377">
        <v>5.686858</v>
      </c>
      <c r="E377">
        <v>0.50532509999999997</v>
      </c>
      <c r="F377" t="s">
        <v>41</v>
      </c>
      <c r="G377">
        <v>-395.95080000000002</v>
      </c>
      <c r="H377" s="1">
        <v>-2.2503880000000002E-6</v>
      </c>
      <c r="I377">
        <v>366.62270000000001</v>
      </c>
      <c r="J377">
        <v>-424.96710000000002</v>
      </c>
      <c r="K377">
        <v>1.071075</v>
      </c>
      <c r="L377">
        <v>367.39280000000002</v>
      </c>
      <c r="M377">
        <v>0.99990330000000005</v>
      </c>
      <c r="N377">
        <v>-1.323769E-2</v>
      </c>
      <c r="O377">
        <v>4.2909039999999999E-3</v>
      </c>
      <c r="P377">
        <v>0.99481580000000003</v>
      </c>
      <c r="Q377">
        <v>-0.1007982</v>
      </c>
      <c r="R377">
        <v>-1.3480850000000001E-2</v>
      </c>
      <c r="S377">
        <v>3.0033259999999999</v>
      </c>
      <c r="T377">
        <v>-0.1102948</v>
      </c>
      <c r="U377">
        <v>-7.9223630000000003E-2</v>
      </c>
      <c r="V377">
        <v>1.7746990000000001E-2</v>
      </c>
      <c r="W377">
        <v>-8.7621779999999996E-2</v>
      </c>
      <c r="X377">
        <v>0.99599570000000004</v>
      </c>
      <c r="Y377">
        <v>3.0629739999999999E-2</v>
      </c>
      <c r="Z377">
        <v>-8.6572989999999996E-4</v>
      </c>
      <c r="AA377">
        <v>0.99953040000000004</v>
      </c>
      <c r="AB377">
        <v>15</v>
      </c>
      <c r="AC377">
        <v>29.016300000000001</v>
      </c>
      <c r="AD377">
        <v>-1.0710772503879999</v>
      </c>
      <c r="AE377">
        <v>-0.770100000000013</v>
      </c>
      <c r="AF377">
        <v>0.89339351066744599</v>
      </c>
      <c r="AG377">
        <v>-1.0710772503879999</v>
      </c>
      <c r="AH377">
        <v>28.973277902610899</v>
      </c>
      <c r="AI377">
        <v>92.116127817534604</v>
      </c>
      <c r="AJ377">
        <v>88.233839336298402</v>
      </c>
      <c r="AK377">
        <v>29.006830072641801</v>
      </c>
      <c r="AL377">
        <v>95.026804599020096</v>
      </c>
      <c r="AM377">
        <v>88.979192345318197</v>
      </c>
      <c r="AN377">
        <v>0.999999983201459</v>
      </c>
    </row>
    <row r="378" spans="1:40" x14ac:dyDescent="0.25">
      <c r="A378" t="str">
        <f>"20190303154104480"</f>
        <v>20190303154104480</v>
      </c>
      <c r="B378" t="str">
        <f>"1551598864469453"</f>
        <v>1551598864469453</v>
      </c>
      <c r="C378" t="s">
        <v>40</v>
      </c>
      <c r="D378">
        <v>5.6984949999999897</v>
      </c>
      <c r="E378">
        <v>0.50538240000000001</v>
      </c>
      <c r="F378" t="s">
        <v>41</v>
      </c>
      <c r="G378">
        <v>-395.28719999999998</v>
      </c>
      <c r="H378" s="1">
        <v>-2.5401579999999999E-6</v>
      </c>
      <c r="I378">
        <v>366.5942</v>
      </c>
      <c r="J378">
        <v>-424.86110000000002</v>
      </c>
      <c r="K378">
        <v>1.071064</v>
      </c>
      <c r="L378">
        <v>367.39330000000001</v>
      </c>
      <c r="M378">
        <v>0.99990440000000003</v>
      </c>
      <c r="N378">
        <v>-1.3157490000000001E-2</v>
      </c>
      <c r="O378">
        <v>4.296327E-3</v>
      </c>
      <c r="P378">
        <v>0.9947918</v>
      </c>
      <c r="Q378">
        <v>-0.10099660000000001</v>
      </c>
      <c r="R378">
        <v>-1.3754189999999999E-2</v>
      </c>
      <c r="S378">
        <v>3.003571</v>
      </c>
      <c r="T378">
        <v>-0.1083914</v>
      </c>
      <c r="U378">
        <v>-8.0810549999999995E-2</v>
      </c>
      <c r="V378">
        <v>1.802575E-2</v>
      </c>
      <c r="W378">
        <v>-8.7900359999999997E-2</v>
      </c>
      <c r="X378">
        <v>0.99596609999999997</v>
      </c>
      <c r="Y378">
        <v>3.11612E-2</v>
      </c>
      <c r="Z378">
        <v>-8.6557750000000003E-4</v>
      </c>
      <c r="AA378">
        <v>0.99951400000000001</v>
      </c>
      <c r="AB378">
        <v>15</v>
      </c>
      <c r="AC378">
        <v>29.573899999999998</v>
      </c>
      <c r="AD378">
        <v>-1.071066540158</v>
      </c>
      <c r="AE378">
        <v>-0.79910000000000903</v>
      </c>
      <c r="AF378">
        <v>0.92495042394022398</v>
      </c>
      <c r="AG378">
        <v>-1.071066540158</v>
      </c>
      <c r="AH378">
        <v>29.5314870026771</v>
      </c>
      <c r="AI378">
        <v>92.076111732178603</v>
      </c>
      <c r="AJ378">
        <v>88.206035604116394</v>
      </c>
      <c r="AK378">
        <v>29.565375719065099</v>
      </c>
      <c r="AL378">
        <v>95.0428281179409</v>
      </c>
      <c r="AM378">
        <v>88.963130722973304</v>
      </c>
      <c r="AN378">
        <v>0.99999993665019904</v>
      </c>
    </row>
    <row r="379" spans="1:40" x14ac:dyDescent="0.25">
      <c r="A379" t="str">
        <f>"20190303154104497"</f>
        <v>20190303154104497</v>
      </c>
      <c r="B379" t="str">
        <f>"1551598864489965"</f>
        <v>1551598864489965</v>
      </c>
      <c r="C379" t="s">
        <v>40</v>
      </c>
      <c r="D379">
        <v>5.69937</v>
      </c>
      <c r="E379">
        <v>0.50547140000000002</v>
      </c>
      <c r="F379" t="s">
        <v>41</v>
      </c>
      <c r="G379">
        <v>-394.87200000000001</v>
      </c>
      <c r="H379" s="1">
        <v>-2.7222080000000002E-6</v>
      </c>
      <c r="I379">
        <v>366.57209999999998</v>
      </c>
      <c r="J379">
        <v>-424.74400000000003</v>
      </c>
      <c r="K379">
        <v>1.0710519999999999</v>
      </c>
      <c r="L379">
        <v>367.3938</v>
      </c>
      <c r="M379">
        <v>0.99990520000000005</v>
      </c>
      <c r="N379">
        <v>-1.307529E-2</v>
      </c>
      <c r="O379">
        <v>4.301877E-3</v>
      </c>
      <c r="P379">
        <v>0.99471120000000002</v>
      </c>
      <c r="Q379">
        <v>-0.1016537</v>
      </c>
      <c r="R379">
        <v>-1.4700599999999999E-2</v>
      </c>
      <c r="S379">
        <v>3.0037229999999999</v>
      </c>
      <c r="T379">
        <v>-0.107278</v>
      </c>
      <c r="U379">
        <v>-8.2244869999999998E-2</v>
      </c>
      <c r="V379">
        <v>1.8977359999999999E-2</v>
      </c>
      <c r="W379">
        <v>-8.8640350000000007E-2</v>
      </c>
      <c r="X379">
        <v>0.99588290000000002</v>
      </c>
      <c r="Y379">
        <v>3.1642440000000001E-2</v>
      </c>
      <c r="Z379">
        <v>-8.6911159999999998E-4</v>
      </c>
      <c r="AA379">
        <v>0.99949889999999997</v>
      </c>
      <c r="AB379">
        <v>15</v>
      </c>
      <c r="AC379">
        <v>29.872</v>
      </c>
      <c r="AD379">
        <v>-1.071054722208</v>
      </c>
      <c r="AE379">
        <v>-0.82170000000002097</v>
      </c>
      <c r="AF379">
        <v>0.948989991443426</v>
      </c>
      <c r="AG379">
        <v>-1.071054722208</v>
      </c>
      <c r="AH379">
        <v>29.829869087735698</v>
      </c>
      <c r="AI379">
        <v>92.055308152500501</v>
      </c>
      <c r="AJ379">
        <v>88.177840180152998</v>
      </c>
      <c r="AK379">
        <v>29.8641730174012</v>
      </c>
      <c r="AL379">
        <v>95.085392244585506</v>
      </c>
      <c r="AM379">
        <v>88.908314369129599</v>
      </c>
      <c r="AN379">
        <v>1.00000000117655</v>
      </c>
    </row>
    <row r="380" spans="1:40" x14ac:dyDescent="0.25">
      <c r="A380" t="str">
        <f>"20190303154104511"</f>
        <v>20190303154104511</v>
      </c>
      <c r="B380" t="str">
        <f>"1551598864499709"</f>
        <v>1551598864499709</v>
      </c>
      <c r="C380" t="s">
        <v>40</v>
      </c>
      <c r="D380">
        <v>5.6583310000000004</v>
      </c>
      <c r="E380">
        <v>0.50549829999999996</v>
      </c>
      <c r="F380" t="s">
        <v>41</v>
      </c>
      <c r="G380">
        <v>-394.53280000000001</v>
      </c>
      <c r="H380" s="1">
        <v>-2.8751280000000001E-6</v>
      </c>
      <c r="I380">
        <v>366.53030000000001</v>
      </c>
      <c r="J380">
        <v>-424.65210000000002</v>
      </c>
      <c r="K380">
        <v>1.071045</v>
      </c>
      <c r="L380">
        <v>367.39420000000001</v>
      </c>
      <c r="M380">
        <v>0.99990610000000002</v>
      </c>
      <c r="N380">
        <v>-1.301566E-2</v>
      </c>
      <c r="O380">
        <v>4.3060219999999996E-3</v>
      </c>
      <c r="P380">
        <v>0.99469350000000001</v>
      </c>
      <c r="Q380">
        <v>-0.10174850000000001</v>
      </c>
      <c r="R380">
        <v>-1.5247719999999999E-2</v>
      </c>
      <c r="S380">
        <v>3.0038450000000001</v>
      </c>
      <c r="T380">
        <v>-0.10649260000000001</v>
      </c>
      <c r="U380">
        <v>-8.5845950000000004E-2</v>
      </c>
      <c r="V380">
        <v>1.9528170000000001E-2</v>
      </c>
      <c r="W380">
        <v>-8.8794869999999998E-2</v>
      </c>
      <c r="X380">
        <v>0.99585849999999998</v>
      </c>
      <c r="Y380">
        <v>3.2842110000000001E-2</v>
      </c>
      <c r="Z380">
        <v>-8.922903E-4</v>
      </c>
      <c r="AA380">
        <v>0.99946020000000002</v>
      </c>
      <c r="AB380">
        <v>15</v>
      </c>
      <c r="AC380">
        <v>30.119299999999999</v>
      </c>
      <c r="AD380">
        <v>-1.0710478751279999</v>
      </c>
      <c r="AE380">
        <v>-0.863900000000001</v>
      </c>
      <c r="AF380">
        <v>0.99234352120654901</v>
      </c>
      <c r="AG380">
        <v>-1.0710478751279999</v>
      </c>
      <c r="AH380">
        <v>30.077298147016201</v>
      </c>
      <c r="AI380">
        <v>92.038323816848802</v>
      </c>
      <c r="AJ380">
        <v>88.110319674537195</v>
      </c>
      <c r="AK380">
        <v>30.1127174635469</v>
      </c>
      <c r="AL380">
        <v>95.094280565391301</v>
      </c>
      <c r="AM380">
        <v>88.876609134774895</v>
      </c>
      <c r="AN380">
        <v>1.0000000151920501</v>
      </c>
    </row>
    <row r="381" spans="1:40" x14ac:dyDescent="0.25">
      <c r="A381" t="str">
        <f>"20190303154104531"</f>
        <v>20190303154104531</v>
      </c>
      <c r="B381" t="str">
        <f>"1551598864529964"</f>
        <v>1551598864529964</v>
      </c>
      <c r="C381" t="s">
        <v>40</v>
      </c>
      <c r="D381">
        <v>5.6502660000000002</v>
      </c>
      <c r="E381">
        <v>0.5055769</v>
      </c>
      <c r="F381" t="s">
        <v>41</v>
      </c>
      <c r="G381">
        <v>-394.18579999999997</v>
      </c>
      <c r="H381" s="1">
        <v>-3.0289290000000001E-6</v>
      </c>
      <c r="I381">
        <v>366.50240000000002</v>
      </c>
      <c r="J381">
        <v>-424.51740000000001</v>
      </c>
      <c r="K381">
        <v>1.071035</v>
      </c>
      <c r="L381">
        <v>367.3947</v>
      </c>
      <c r="M381">
        <v>0.99990710000000005</v>
      </c>
      <c r="N381">
        <v>-1.2934269999999999E-2</v>
      </c>
      <c r="O381">
        <v>4.3122710000000003E-3</v>
      </c>
      <c r="P381">
        <v>0.99469099999999999</v>
      </c>
      <c r="Q381">
        <v>-0.1016657</v>
      </c>
      <c r="R381">
        <v>-1.5938299999999999E-2</v>
      </c>
      <c r="S381">
        <v>3.003876</v>
      </c>
      <c r="T381">
        <v>-0.1056015</v>
      </c>
      <c r="U381">
        <v>-8.7921139999999995E-2</v>
      </c>
      <c r="V381">
        <v>2.022531E-2</v>
      </c>
      <c r="W381">
        <v>-8.8793269999999994E-2</v>
      </c>
      <c r="X381">
        <v>0.99584470000000003</v>
      </c>
      <c r="Y381">
        <v>3.3537829999999998E-2</v>
      </c>
      <c r="Z381">
        <v>-9.0201180000000004E-4</v>
      </c>
      <c r="AA381">
        <v>0.99943700000000002</v>
      </c>
      <c r="AB381">
        <v>15</v>
      </c>
      <c r="AC381">
        <v>30.331600000000002</v>
      </c>
      <c r="AD381">
        <v>-1.071038028929</v>
      </c>
      <c r="AE381">
        <v>-0.892299999999977</v>
      </c>
      <c r="AF381">
        <v>1.02182773826764</v>
      </c>
      <c r="AG381">
        <v>-1.071038028929</v>
      </c>
      <c r="AH381">
        <v>30.289735243175699</v>
      </c>
      <c r="AI381">
        <v>92.023971361379907</v>
      </c>
      <c r="AJ381">
        <v>88.067852962895103</v>
      </c>
      <c r="AK381">
        <v>30.325885238320499</v>
      </c>
      <c r="AL381">
        <v>95.094188671370105</v>
      </c>
      <c r="AM381">
        <v>88.836499697684502</v>
      </c>
      <c r="AN381">
        <v>0.99999998723998895</v>
      </c>
    </row>
    <row r="382" spans="1:40" x14ac:dyDescent="0.25">
      <c r="A382" t="str">
        <f>"20190303154104554"</f>
        <v>20190303154104554</v>
      </c>
      <c r="B382" t="str">
        <f>"1551598864549485"</f>
        <v>1551598864549485</v>
      </c>
      <c r="C382" t="s">
        <v>40</v>
      </c>
      <c r="D382">
        <v>5.6703159999999997</v>
      </c>
      <c r="E382">
        <v>0.50563249999999904</v>
      </c>
      <c r="F382" t="s">
        <v>41</v>
      </c>
      <c r="G382">
        <v>-392.8999</v>
      </c>
      <c r="H382" s="1">
        <v>-3.5907619999999998E-6</v>
      </c>
      <c r="I382">
        <v>366.44490000000002</v>
      </c>
      <c r="J382">
        <v>-424.37270000000001</v>
      </c>
      <c r="K382">
        <v>1.071032</v>
      </c>
      <c r="L382">
        <v>367.3954</v>
      </c>
      <c r="M382">
        <v>0.99990800000000002</v>
      </c>
      <c r="N382">
        <v>-1.285534E-2</v>
      </c>
      <c r="O382">
        <v>4.3187989999999999E-3</v>
      </c>
      <c r="P382">
        <v>0.99469940000000001</v>
      </c>
      <c r="Q382">
        <v>-0.10147009999999999</v>
      </c>
      <c r="R382">
        <v>-1.6637519999999999E-2</v>
      </c>
      <c r="S382">
        <v>3.0041500000000001</v>
      </c>
      <c r="T382">
        <v>-0.10176499999999999</v>
      </c>
      <c r="U382">
        <v>-9.0240479999999998E-2</v>
      </c>
      <c r="V382">
        <v>2.093093E-2</v>
      </c>
      <c r="W382">
        <v>-8.8676229999999995E-2</v>
      </c>
      <c r="X382">
        <v>0.99584050000000002</v>
      </c>
      <c r="Y382">
        <v>3.4313900000000001E-2</v>
      </c>
      <c r="Z382">
        <v>-8.9232229999999997E-4</v>
      </c>
      <c r="AA382">
        <v>0.99941069999999999</v>
      </c>
      <c r="AB382">
        <v>15</v>
      </c>
      <c r="AC382">
        <v>31.472799999999999</v>
      </c>
      <c r="AD382">
        <v>-1.0710355907619999</v>
      </c>
      <c r="AE382">
        <v>-0.95049999999997603</v>
      </c>
      <c r="AF382">
        <v>1.08517150370094</v>
      </c>
      <c r="AG382">
        <v>-1.0710355907619999</v>
      </c>
      <c r="AH382">
        <v>31.432033564589702</v>
      </c>
      <c r="AI382">
        <v>91.950417501971003</v>
      </c>
      <c r="AJ382">
        <v>88.022684035765195</v>
      </c>
      <c r="AK382">
        <v>31.468991856025799</v>
      </c>
      <c r="AL382">
        <v>95.087456459090603</v>
      </c>
      <c r="AM382">
        <v>88.795914206716006</v>
      </c>
      <c r="AN382">
        <v>0.99999993951896204</v>
      </c>
    </row>
    <row r="383" spans="1:40" x14ac:dyDescent="0.25">
      <c r="A383" t="str">
        <f>"20190303154104577"</f>
        <v>20190303154104577</v>
      </c>
      <c r="B383" t="str">
        <f>"1551598864569981"</f>
        <v>1551598864569981</v>
      </c>
      <c r="C383" t="s">
        <v>40</v>
      </c>
      <c r="D383">
        <v>5.6772900000000002</v>
      </c>
      <c r="E383">
        <v>0.50568100000000005</v>
      </c>
      <c r="F383" t="s">
        <v>41</v>
      </c>
      <c r="G383">
        <v>-391.7833</v>
      </c>
      <c r="H383" s="1">
        <v>-4.0797720000000004E-6</v>
      </c>
      <c r="I383">
        <v>366.3886</v>
      </c>
      <c r="J383">
        <v>-424.21690000000001</v>
      </c>
      <c r="K383">
        <v>1.071029</v>
      </c>
      <c r="L383">
        <v>367.39609999999999</v>
      </c>
      <c r="M383">
        <v>0.99990889999999999</v>
      </c>
      <c r="N383">
        <v>-1.278045E-2</v>
      </c>
      <c r="O383">
        <v>4.3258330000000003E-3</v>
      </c>
      <c r="P383">
        <v>0.99471039999999999</v>
      </c>
      <c r="Q383">
        <v>-0.1014284</v>
      </c>
      <c r="R383">
        <v>-1.6226290000000001E-2</v>
      </c>
      <c r="S383">
        <v>3.0043639999999998</v>
      </c>
      <c r="T383">
        <v>-9.8736760000000007E-2</v>
      </c>
      <c r="U383">
        <v>-9.2803960000000005E-2</v>
      </c>
      <c r="V383">
        <v>2.0526570000000001E-2</v>
      </c>
      <c r="W383">
        <v>-8.8708999999999996E-2</v>
      </c>
      <c r="X383">
        <v>0.99584600000000001</v>
      </c>
      <c r="Y383">
        <v>3.5171590000000003E-2</v>
      </c>
      <c r="Z383">
        <v>-8.8938590000000001E-4</v>
      </c>
      <c r="AA383">
        <v>0.99938090000000002</v>
      </c>
      <c r="AB383">
        <v>15</v>
      </c>
      <c r="AC383">
        <v>32.433599999999998</v>
      </c>
      <c r="AD383">
        <v>-1.071033079772</v>
      </c>
      <c r="AE383">
        <v>-1.0074999999999901</v>
      </c>
      <c r="AF383">
        <v>1.1465552947987701</v>
      </c>
      <c r="AG383">
        <v>-1.071033079772</v>
      </c>
      <c r="AH383">
        <v>32.393647464931199</v>
      </c>
      <c r="AI383">
        <v>91.892499709922603</v>
      </c>
      <c r="AJ383">
        <v>87.972893683525498</v>
      </c>
      <c r="AK383">
        <v>32.431621867927603</v>
      </c>
      <c r="AL383">
        <v>95.089341461882398</v>
      </c>
      <c r="AM383">
        <v>88.819175542132498</v>
      </c>
      <c r="AN383">
        <v>0.99999994123647995</v>
      </c>
    </row>
    <row r="384" spans="1:40" x14ac:dyDescent="0.25">
      <c r="A384" t="str">
        <f>"20190303154104599"</f>
        <v>20190303154104599</v>
      </c>
      <c r="B384" t="str">
        <f>"1551598864589501"</f>
        <v>1551598864589501</v>
      </c>
      <c r="C384" t="s">
        <v>40</v>
      </c>
      <c r="D384">
        <v>5.6559189999999999</v>
      </c>
      <c r="E384">
        <v>0.50569019999999998</v>
      </c>
      <c r="F384" t="s">
        <v>41</v>
      </c>
      <c r="G384">
        <v>-390.92239999999998</v>
      </c>
      <c r="H384" s="1">
        <v>-4.4513330000000003E-6</v>
      </c>
      <c r="I384">
        <v>366.37610000000001</v>
      </c>
      <c r="J384">
        <v>-424.06689999999998</v>
      </c>
      <c r="K384">
        <v>1.071027</v>
      </c>
      <c r="L384">
        <v>367.39670000000001</v>
      </c>
      <c r="M384">
        <v>0.99990990000000002</v>
      </c>
      <c r="N384">
        <v>-1.271808E-2</v>
      </c>
      <c r="O384">
        <v>4.332308E-3</v>
      </c>
      <c r="P384">
        <v>0.99473739999999999</v>
      </c>
      <c r="Q384">
        <v>-0.1012179</v>
      </c>
      <c r="R384">
        <v>-1.5903299999999999E-2</v>
      </c>
      <c r="S384">
        <v>3.0046689999999998</v>
      </c>
      <c r="T384">
        <v>-9.6655370000000004E-2</v>
      </c>
      <c r="U384">
        <v>-9.2041020000000001E-2</v>
      </c>
      <c r="V384">
        <v>2.021003E-2</v>
      </c>
      <c r="W384">
        <v>-8.8560239999999998E-2</v>
      </c>
      <c r="X384">
        <v>0.99586580000000002</v>
      </c>
      <c r="Y384">
        <v>3.4922630000000003E-2</v>
      </c>
      <c r="Z384">
        <v>-8.6785910000000005E-4</v>
      </c>
      <c r="AA384">
        <v>0.99938959999999999</v>
      </c>
      <c r="AB384">
        <v>15</v>
      </c>
      <c r="AC384">
        <v>33.144499999999901</v>
      </c>
      <c r="AD384">
        <v>-1.0710314513329999</v>
      </c>
      <c r="AE384">
        <v>-1.0206</v>
      </c>
      <c r="AF384">
        <v>1.16298096582627</v>
      </c>
      <c r="AG384">
        <v>-1.0710314513329999</v>
      </c>
      <c r="AH384">
        <v>33.105231432000302</v>
      </c>
      <c r="AI384">
        <v>91.851864238167593</v>
      </c>
      <c r="AJ384">
        <v>87.988036714237097</v>
      </c>
      <c r="AK384">
        <v>33.142962771347399</v>
      </c>
      <c r="AL384">
        <v>95.080784028206097</v>
      </c>
      <c r="AM384">
        <v>88.837403094441797</v>
      </c>
      <c r="AN384">
        <v>1.00000002651554</v>
      </c>
    </row>
    <row r="385" spans="1:40" x14ac:dyDescent="0.25">
      <c r="A385" t="str">
        <f>"20190303154104620"</f>
        <v>20190303154104620</v>
      </c>
      <c r="B385" t="str">
        <f>"1551598864609996"</f>
        <v>1551598864609996</v>
      </c>
      <c r="C385" t="s">
        <v>40</v>
      </c>
      <c r="D385">
        <v>5.6283979999999998</v>
      </c>
      <c r="E385">
        <v>0.50567259999999903</v>
      </c>
      <c r="F385" t="s">
        <v>41</v>
      </c>
      <c r="G385">
        <v>-389.86869999999999</v>
      </c>
      <c r="H385" s="1">
        <v>-8.9783830000000003E-7</v>
      </c>
      <c r="I385">
        <v>366.35750000000002</v>
      </c>
      <c r="J385">
        <v>-423.92720000000003</v>
      </c>
      <c r="K385">
        <v>1.071027</v>
      </c>
      <c r="L385">
        <v>367.39729999999997</v>
      </c>
      <c r="M385">
        <v>0.99991039999999998</v>
      </c>
      <c r="N385">
        <v>-1.2666470000000001E-2</v>
      </c>
      <c r="O385">
        <v>4.338359E-3</v>
      </c>
      <c r="P385">
        <v>0.99477360000000004</v>
      </c>
      <c r="Q385">
        <v>-0.10097100000000001</v>
      </c>
      <c r="R385">
        <v>-1.517073E-2</v>
      </c>
      <c r="S385">
        <v>3.0048219999999999</v>
      </c>
      <c r="T385">
        <v>-9.4105480000000005E-2</v>
      </c>
      <c r="U385">
        <v>-9.1308589999999995E-2</v>
      </c>
      <c r="V385">
        <v>1.94837E-2</v>
      </c>
      <c r="W385">
        <v>-8.8364289999999998E-2</v>
      </c>
      <c r="X385">
        <v>0.9958977</v>
      </c>
      <c r="Y385">
        <v>3.4685130000000002E-2</v>
      </c>
      <c r="Z385">
        <v>-8.4355759999999998E-4</v>
      </c>
      <c r="AA385">
        <v>0.99939789999999995</v>
      </c>
      <c r="AB385">
        <v>15</v>
      </c>
      <c r="AC385">
        <v>34.058500000000002</v>
      </c>
      <c r="AD385">
        <v>-1.0710278978383001</v>
      </c>
      <c r="AE385">
        <v>-1.0397999999999501</v>
      </c>
      <c r="AF385">
        <v>1.1863879410531799</v>
      </c>
      <c r="AG385">
        <v>-1.0710278978383001</v>
      </c>
      <c r="AH385">
        <v>34.0200570821779</v>
      </c>
      <c r="AI385">
        <v>91.802109647251498</v>
      </c>
      <c r="AJ385">
        <v>88.002722743487794</v>
      </c>
      <c r="AK385">
        <v>34.057582136424003</v>
      </c>
      <c r="AL385">
        <v>95.069512634751902</v>
      </c>
      <c r="AM385">
        <v>88.8792107994623</v>
      </c>
      <c r="AN385">
        <v>1.0000000455890901</v>
      </c>
    </row>
    <row r="386" spans="1:40" x14ac:dyDescent="0.25">
      <c r="A386" t="str">
        <f>"20190303154104643"</f>
        <v>20190303154104643</v>
      </c>
      <c r="B386" t="str">
        <f>"1551598864639276"</f>
        <v>1551598864639276</v>
      </c>
      <c r="C386" t="s">
        <v>40</v>
      </c>
      <c r="D386">
        <v>5.6086900000000002</v>
      </c>
      <c r="E386">
        <v>0.50571219999999995</v>
      </c>
      <c r="F386" t="s">
        <v>41</v>
      </c>
      <c r="G386">
        <v>-388.7423</v>
      </c>
      <c r="H386" s="1">
        <v>-1.2810450000000001E-6</v>
      </c>
      <c r="I386">
        <v>366.3578</v>
      </c>
      <c r="J386">
        <v>-423.77839999999998</v>
      </c>
      <c r="K386">
        <v>1.071029</v>
      </c>
      <c r="L386">
        <v>367.39800000000002</v>
      </c>
      <c r="M386">
        <v>0.99991099999999999</v>
      </c>
      <c r="N386">
        <v>-1.2617710000000001E-2</v>
      </c>
      <c r="O386">
        <v>4.3442159999999997E-3</v>
      </c>
      <c r="P386">
        <v>0.99480570000000001</v>
      </c>
      <c r="Q386">
        <v>-0.10076880000000001</v>
      </c>
      <c r="R386">
        <v>-1.4406169999999999E-2</v>
      </c>
      <c r="S386">
        <v>3.0051570000000001</v>
      </c>
      <c r="T386">
        <v>-9.1476680000000005E-2</v>
      </c>
      <c r="U386">
        <v>-8.8775629999999994E-2</v>
      </c>
      <c r="V386">
        <v>1.8725120000000001E-2</v>
      </c>
      <c r="W386">
        <v>-8.8210129999999998E-2</v>
      </c>
      <c r="X386">
        <v>0.99592579999999997</v>
      </c>
      <c r="Y386">
        <v>3.3847750000000003E-2</v>
      </c>
      <c r="Z386">
        <v>-8.0597850000000001E-4</v>
      </c>
      <c r="AA386">
        <v>0.9994267</v>
      </c>
      <c r="AB386">
        <v>15</v>
      </c>
      <c r="AC386">
        <v>35.036099999999898</v>
      </c>
      <c r="AD386">
        <v>-1.0710302810449901</v>
      </c>
      <c r="AE386">
        <v>-1.04020000000002</v>
      </c>
      <c r="AF386">
        <v>1.19129441451937</v>
      </c>
      <c r="AG386">
        <v>-1.0710302810449901</v>
      </c>
      <c r="AH386">
        <v>34.998573316234697</v>
      </c>
      <c r="AI386">
        <v>91.751810957857202</v>
      </c>
      <c r="AJ386">
        <v>88.050497686355001</v>
      </c>
      <c r="AK386">
        <v>35.035216888394402</v>
      </c>
      <c r="AL386">
        <v>95.060645887306194</v>
      </c>
      <c r="AM386">
        <v>88.922867595059799</v>
      </c>
      <c r="AN386">
        <v>0.99999992812963301</v>
      </c>
    </row>
    <row r="387" spans="1:40" x14ac:dyDescent="0.25">
      <c r="A387" t="str">
        <f>"20190303154104665"</f>
        <v>20190303154104665</v>
      </c>
      <c r="B387" t="str">
        <f>"1551598864659773"</f>
        <v>1551598864659773</v>
      </c>
      <c r="C387" t="s">
        <v>40</v>
      </c>
      <c r="D387">
        <v>5.580978</v>
      </c>
      <c r="E387">
        <v>0.50574180000000002</v>
      </c>
      <c r="F387" t="s">
        <v>41</v>
      </c>
      <c r="G387">
        <v>-387.29860000000002</v>
      </c>
      <c r="H387" s="1">
        <v>-1.7755209999999999E-6</v>
      </c>
      <c r="I387">
        <v>366.34589999999997</v>
      </c>
      <c r="J387">
        <v>-423.63170000000002</v>
      </c>
      <c r="K387">
        <v>1.0710299999999999</v>
      </c>
      <c r="L387">
        <v>367.39859999999999</v>
      </c>
      <c r="M387">
        <v>0.99991149999999995</v>
      </c>
      <c r="N387">
        <v>-1.2575660000000001E-2</v>
      </c>
      <c r="O387">
        <v>4.3502050000000002E-3</v>
      </c>
      <c r="P387">
        <v>0.99478889999999998</v>
      </c>
      <c r="Q387">
        <v>-0.10096620000000001</v>
      </c>
      <c r="R387">
        <v>-1.416953E-2</v>
      </c>
      <c r="S387">
        <v>3.0054630000000002</v>
      </c>
      <c r="T387">
        <v>-8.8238949999999997E-2</v>
      </c>
      <c r="U387">
        <v>-8.6669919999999998E-2</v>
      </c>
      <c r="V387">
        <v>1.8494460000000001E-2</v>
      </c>
      <c r="W387">
        <v>-8.8449589999999995E-2</v>
      </c>
      <c r="X387">
        <v>0.99590889999999999</v>
      </c>
      <c r="Y387">
        <v>3.3152939999999999E-2</v>
      </c>
      <c r="Z387">
        <v>-7.6802469999999999E-4</v>
      </c>
      <c r="AA387">
        <v>0.99944999999999995</v>
      </c>
      <c r="AB387">
        <v>15</v>
      </c>
      <c r="AC387">
        <v>36.333100000000002</v>
      </c>
      <c r="AD387">
        <v>-1.0710317755209999</v>
      </c>
      <c r="AE387">
        <v>-1.05270000000001</v>
      </c>
      <c r="AF387">
        <v>1.2097086573926901</v>
      </c>
      <c r="AG387">
        <v>-1.0710317755209999</v>
      </c>
      <c r="AH387">
        <v>36.296662438140601</v>
      </c>
      <c r="AI387">
        <v>91.689240037743801</v>
      </c>
      <c r="AJ387">
        <v>88.091131531891605</v>
      </c>
      <c r="AK387">
        <v>36.332605304991098</v>
      </c>
      <c r="AL387">
        <v>95.074419631873099</v>
      </c>
      <c r="AM387">
        <v>88.9361148229506</v>
      </c>
      <c r="AN387">
        <v>0.99999995606053305</v>
      </c>
    </row>
    <row r="388" spans="1:40" x14ac:dyDescent="0.25">
      <c r="A388" t="str">
        <f>"20190303154104689"</f>
        <v>20190303154104689</v>
      </c>
      <c r="B388" t="str">
        <f>"1551598864679296"</f>
        <v>1551598864679296</v>
      </c>
      <c r="C388" t="s">
        <v>40</v>
      </c>
      <c r="D388">
        <v>5.5817410000000001</v>
      </c>
      <c r="E388">
        <v>0.50578429999999996</v>
      </c>
      <c r="F388" t="s">
        <v>41</v>
      </c>
      <c r="G388">
        <v>-386.6748</v>
      </c>
      <c r="H388" s="1">
        <v>-1.990175E-6</v>
      </c>
      <c r="I388">
        <v>366.33879999999999</v>
      </c>
      <c r="J388">
        <v>-423.47840000000002</v>
      </c>
      <c r="K388">
        <v>1.071029</v>
      </c>
      <c r="L388">
        <v>367.39929999999998</v>
      </c>
      <c r="M388">
        <v>0.99991200000000002</v>
      </c>
      <c r="N388">
        <v>-1.253514E-2</v>
      </c>
      <c r="O388">
        <v>4.3568390000000004E-3</v>
      </c>
      <c r="P388">
        <v>0.99478330000000004</v>
      </c>
      <c r="Q388">
        <v>-0.1010138</v>
      </c>
      <c r="R388">
        <v>-1.4239999999999999E-2</v>
      </c>
      <c r="S388">
        <v>3.0056150000000001</v>
      </c>
      <c r="T388">
        <v>-8.7104319999999999E-2</v>
      </c>
      <c r="U388">
        <v>-8.6181640000000004E-2</v>
      </c>
      <c r="V388">
        <v>1.8571480000000001E-2</v>
      </c>
      <c r="W388">
        <v>-8.8537630000000006E-2</v>
      </c>
      <c r="X388">
        <v>0.99589970000000005</v>
      </c>
      <c r="Y388">
        <v>3.2996459999999998E-2</v>
      </c>
      <c r="Z388">
        <v>-7.5646479999999896E-4</v>
      </c>
      <c r="AA388">
        <v>0.99945519999999999</v>
      </c>
      <c r="AB388">
        <v>15</v>
      </c>
      <c r="AC388">
        <v>36.803600000000003</v>
      </c>
      <c r="AD388">
        <v>-1.0710309901749999</v>
      </c>
      <c r="AE388">
        <v>-1.06049999999999</v>
      </c>
      <c r="AF388">
        <v>1.2198176965635901</v>
      </c>
      <c r="AG388">
        <v>-1.0710309901749999</v>
      </c>
      <c r="AH388">
        <v>36.767517891899097</v>
      </c>
      <c r="AI388">
        <v>91.667626621507097</v>
      </c>
      <c r="AJ388">
        <v>88.099823311934401</v>
      </c>
      <c r="AK388">
        <v>36.803334557155097</v>
      </c>
      <c r="AL388">
        <v>95.079483535091796</v>
      </c>
      <c r="AM388">
        <v>88.931675441412494</v>
      </c>
      <c r="AN388">
        <v>1.0000000121277399</v>
      </c>
    </row>
    <row r="389" spans="1:40" x14ac:dyDescent="0.25">
      <c r="A389" t="str">
        <f>"20190303154104710"</f>
        <v>20190303154104710</v>
      </c>
      <c r="B389" t="str">
        <f>"1551598864699789"</f>
        <v>1551598864699789</v>
      </c>
      <c r="C389" t="s">
        <v>40</v>
      </c>
      <c r="D389">
        <v>5.5770939999999998</v>
      </c>
      <c r="E389">
        <v>0.50577470000000002</v>
      </c>
      <c r="F389" t="s">
        <v>41</v>
      </c>
      <c r="G389">
        <v>-385.87729999999999</v>
      </c>
      <c r="H389" s="1">
        <v>-2.3369450000000002E-6</v>
      </c>
      <c r="I389">
        <v>366.31270000000001</v>
      </c>
      <c r="J389">
        <v>-423.33150000000001</v>
      </c>
      <c r="K389">
        <v>1.071024</v>
      </c>
      <c r="L389">
        <v>367.3999</v>
      </c>
      <c r="M389">
        <v>0.99991249999999998</v>
      </c>
      <c r="N389">
        <v>-1.249577E-2</v>
      </c>
      <c r="O389">
        <v>4.3634650000000004E-3</v>
      </c>
      <c r="P389">
        <v>0.99475979999999997</v>
      </c>
      <c r="Q389">
        <v>-0.1011971</v>
      </c>
      <c r="R389">
        <v>-1.4581749999999999E-2</v>
      </c>
      <c r="S389">
        <v>3.0058289999999999</v>
      </c>
      <c r="T389">
        <v>-8.5618020000000003E-2</v>
      </c>
      <c r="U389">
        <v>-8.6853029999999998E-2</v>
      </c>
      <c r="V389">
        <v>1.8919620000000002E-2</v>
      </c>
      <c r="W389">
        <v>-8.8760420000000007E-2</v>
      </c>
      <c r="X389">
        <v>0.99587329999999996</v>
      </c>
      <c r="Y389">
        <v>3.3224589999999998E-2</v>
      </c>
      <c r="Z389">
        <v>-7.5041609999999999E-4</v>
      </c>
      <c r="AA389">
        <v>0.99944759999999999</v>
      </c>
      <c r="AB389">
        <v>15</v>
      </c>
      <c r="AC389">
        <v>37.4542</v>
      </c>
      <c r="AD389">
        <v>-1.0710263369449999</v>
      </c>
      <c r="AE389">
        <v>-1.08719999999999</v>
      </c>
      <c r="AF389">
        <v>1.2496115247981701</v>
      </c>
      <c r="AG389">
        <v>-1.0710263369449999</v>
      </c>
      <c r="AH389">
        <v>37.418527312524603</v>
      </c>
      <c r="AI389">
        <v>91.638610085692093</v>
      </c>
      <c r="AJ389">
        <v>88.087287963768503</v>
      </c>
      <c r="AK389">
        <v>37.454703477874297</v>
      </c>
      <c r="AL389">
        <v>95.092298994467299</v>
      </c>
      <c r="AM389">
        <v>88.911624612929501</v>
      </c>
      <c r="AN389">
        <v>0.999999996916205</v>
      </c>
    </row>
    <row r="390" spans="1:40" x14ac:dyDescent="0.25">
      <c r="A390" t="str">
        <f>"20190303154104731"</f>
        <v>20190303154104731</v>
      </c>
      <c r="B390" t="str">
        <f>"1551598864730045"</f>
        <v>1551598864730045</v>
      </c>
      <c r="C390" t="s">
        <v>40</v>
      </c>
      <c r="D390">
        <v>5.5479699999999896</v>
      </c>
      <c r="E390">
        <v>0.50575400000000004</v>
      </c>
      <c r="F390" t="s">
        <v>41</v>
      </c>
      <c r="G390">
        <v>-385.34879999999998</v>
      </c>
      <c r="H390" s="1">
        <v>-2.56707E-6</v>
      </c>
      <c r="I390">
        <v>366.29349999999999</v>
      </c>
      <c r="J390">
        <v>-423.18669999999997</v>
      </c>
      <c r="K390">
        <v>1.071016</v>
      </c>
      <c r="L390">
        <v>367.40050000000002</v>
      </c>
      <c r="M390">
        <v>0.99991300000000005</v>
      </c>
      <c r="N390">
        <v>-1.2450940000000001E-2</v>
      </c>
      <c r="O390">
        <v>4.3730619999999996E-3</v>
      </c>
      <c r="P390">
        <v>0.99473880000000003</v>
      </c>
      <c r="Q390">
        <v>-0.1013135</v>
      </c>
      <c r="R390">
        <v>-1.5188719999999999E-2</v>
      </c>
      <c r="S390">
        <v>3.0059200000000001</v>
      </c>
      <c r="T390">
        <v>-8.4759950000000001E-2</v>
      </c>
      <c r="U390">
        <v>-8.7554930000000003E-2</v>
      </c>
      <c r="V390">
        <v>1.9536209999999998E-2</v>
      </c>
      <c r="W390">
        <v>-8.8921769999999997E-2</v>
      </c>
      <c r="X390">
        <v>0.99584700000000004</v>
      </c>
      <c r="Y390">
        <v>3.3466699999999898E-2</v>
      </c>
      <c r="Z390">
        <v>-7.4893429999999895E-4</v>
      </c>
      <c r="AA390">
        <v>0.99943950000000004</v>
      </c>
      <c r="AB390">
        <v>15</v>
      </c>
      <c r="AC390">
        <v>37.837899999999898</v>
      </c>
      <c r="AD390">
        <v>-1.0710185670700001</v>
      </c>
      <c r="AE390">
        <v>-1.10700000000002</v>
      </c>
      <c r="AF390">
        <v>1.2714518966167001</v>
      </c>
      <c r="AG390">
        <v>-1.0710185670700001</v>
      </c>
      <c r="AH390">
        <v>37.802435447526001</v>
      </c>
      <c r="AI390">
        <v>91.621953168202296</v>
      </c>
      <c r="AJ390">
        <v>88.073632687651696</v>
      </c>
      <c r="AK390">
        <v>37.838971926583604</v>
      </c>
      <c r="AL390">
        <v>95.101580373284904</v>
      </c>
      <c r="AM390">
        <v>88.876133763953106</v>
      </c>
      <c r="AN390">
        <v>0.99999999604504797</v>
      </c>
    </row>
    <row r="391" spans="1:40" x14ac:dyDescent="0.25">
      <c r="A391" t="str">
        <f>"20190303154104754"</f>
        <v>20190303154104754</v>
      </c>
      <c r="B391" t="str">
        <f>"1551598864749566"</f>
        <v>1551598864749566</v>
      </c>
      <c r="C391" t="s">
        <v>40</v>
      </c>
      <c r="D391">
        <v>5.5481749999999996</v>
      </c>
      <c r="E391">
        <v>0.50574039999999998</v>
      </c>
      <c r="F391" t="s">
        <v>41</v>
      </c>
      <c r="G391">
        <v>-384.4633</v>
      </c>
      <c r="H391" s="1">
        <v>-2.9551709999999999E-6</v>
      </c>
      <c r="I391">
        <v>366.24709999999999</v>
      </c>
      <c r="J391">
        <v>-423.04169999999999</v>
      </c>
      <c r="K391">
        <v>1.0710040000000001</v>
      </c>
      <c r="L391">
        <v>367.40120000000002</v>
      </c>
      <c r="M391">
        <v>0.99991359999999996</v>
      </c>
      <c r="N391">
        <v>-1.239442E-2</v>
      </c>
      <c r="O391">
        <v>4.3818260000000001E-3</v>
      </c>
      <c r="P391">
        <v>0.99475910000000001</v>
      </c>
      <c r="Q391">
        <v>-0.1010949</v>
      </c>
      <c r="R391">
        <v>-1.530435E-2</v>
      </c>
      <c r="S391">
        <v>3.0060419999999999</v>
      </c>
      <c r="T391">
        <v>-8.3141569999999998E-2</v>
      </c>
      <c r="U391">
        <v>-8.9538569999999998E-2</v>
      </c>
      <c r="V391">
        <v>1.966087E-2</v>
      </c>
      <c r="W391">
        <v>-8.8759199999999996E-2</v>
      </c>
      <c r="X391">
        <v>0.99585900000000005</v>
      </c>
      <c r="Y391">
        <v>3.4133530000000002E-2</v>
      </c>
      <c r="Z391">
        <v>-7.5033749999999996E-4</v>
      </c>
      <c r="AA391">
        <v>0.999417</v>
      </c>
      <c r="AB391">
        <v>15</v>
      </c>
      <c r="AC391">
        <v>38.578399999999903</v>
      </c>
      <c r="AD391">
        <v>-1.071006955171</v>
      </c>
      <c r="AE391">
        <v>-1.1541000000000201</v>
      </c>
      <c r="AF391">
        <v>1.3221276602115699</v>
      </c>
      <c r="AG391">
        <v>-1.071006955171</v>
      </c>
      <c r="AH391">
        <v>38.543292634498002</v>
      </c>
      <c r="AI391">
        <v>91.590739796935196</v>
      </c>
      <c r="AJ391">
        <v>88.035387242892597</v>
      </c>
      <c r="AK391">
        <v>38.580830532227701</v>
      </c>
      <c r="AL391">
        <v>95.092229073335702</v>
      </c>
      <c r="AM391">
        <v>88.868977887784098</v>
      </c>
      <c r="AN391">
        <v>0.999999946637397</v>
      </c>
    </row>
    <row r="392" spans="1:40" x14ac:dyDescent="0.25">
      <c r="A392" t="str">
        <f>"20190303154104778"</f>
        <v>20190303154104778</v>
      </c>
      <c r="B392" t="str">
        <f>"1551598864770061"</f>
        <v>1551598864770061</v>
      </c>
      <c r="C392" t="s">
        <v>40</v>
      </c>
      <c r="D392">
        <v>5.5405309999999997</v>
      </c>
      <c r="E392">
        <v>0.50571549999999998</v>
      </c>
      <c r="F392" t="s">
        <v>41</v>
      </c>
      <c r="G392">
        <v>-383.35739999999998</v>
      </c>
      <c r="H392" s="1">
        <v>-3.4344070000000001E-6</v>
      </c>
      <c r="I392">
        <v>366.2199</v>
      </c>
      <c r="J392">
        <v>-422.8811</v>
      </c>
      <c r="K392">
        <v>1.0709869999999999</v>
      </c>
      <c r="L392">
        <v>367.40190000000001</v>
      </c>
      <c r="M392">
        <v>0.99991459999999999</v>
      </c>
      <c r="N392">
        <v>-1.231665E-2</v>
      </c>
      <c r="O392">
        <v>4.3893339999999999E-3</v>
      </c>
      <c r="P392">
        <v>0.99469609999999997</v>
      </c>
      <c r="Q392">
        <v>-0.1016628</v>
      </c>
      <c r="R392">
        <v>-1.5637180000000001E-2</v>
      </c>
      <c r="S392">
        <v>3.006195</v>
      </c>
      <c r="T392">
        <v>-8.1131700000000001E-2</v>
      </c>
      <c r="U392">
        <v>-8.9477539999999994E-2</v>
      </c>
      <c r="V392">
        <v>2.0000710000000001E-2</v>
      </c>
      <c r="W392">
        <v>-8.9405299999999993E-2</v>
      </c>
      <c r="X392">
        <v>0.99579450000000003</v>
      </c>
      <c r="Y392">
        <v>3.4120089999999999E-2</v>
      </c>
      <c r="Z392">
        <v>-7.3483449999999905E-4</v>
      </c>
      <c r="AA392">
        <v>0.99941749999999996</v>
      </c>
      <c r="AB392">
        <v>15</v>
      </c>
      <c r="AC392">
        <v>39.523699999999998</v>
      </c>
      <c r="AD392">
        <v>-1.070990434407</v>
      </c>
      <c r="AE392">
        <v>-1.1820000000000099</v>
      </c>
      <c r="AF392">
        <v>1.35449080345645</v>
      </c>
      <c r="AG392">
        <v>-1.070990434407</v>
      </c>
      <c r="AH392">
        <v>39.489160807452897</v>
      </c>
      <c r="AI392">
        <v>91.552632490787005</v>
      </c>
      <c r="AJ392">
        <v>88.035506673825907</v>
      </c>
      <c r="AK392">
        <v>39.526895743583502</v>
      </c>
      <c r="AL392">
        <v>95.129395311469807</v>
      </c>
      <c r="AM392">
        <v>88.849358769164297</v>
      </c>
      <c r="AN392">
        <v>1.0000000111494201</v>
      </c>
    </row>
    <row r="393" spans="1:40" x14ac:dyDescent="0.25">
      <c r="A393" t="str">
        <f>"20190303154104800"</f>
        <v>20190303154104800</v>
      </c>
      <c r="B393" t="str">
        <f>"1551598864789581"</f>
        <v>1551598864789581</v>
      </c>
      <c r="C393" t="s">
        <v>40</v>
      </c>
      <c r="D393">
        <v>5.5611600000000001</v>
      </c>
      <c r="E393">
        <v>0.50569220000000004</v>
      </c>
      <c r="F393" t="s">
        <v>41</v>
      </c>
      <c r="G393">
        <v>-383.53370000000001</v>
      </c>
      <c r="H393" s="1">
        <v>-3.3594369999999999E-6</v>
      </c>
      <c r="I393">
        <v>366.21620000000001</v>
      </c>
      <c r="J393">
        <v>-422.73860000000002</v>
      </c>
      <c r="K393">
        <v>1.0709690000000001</v>
      </c>
      <c r="L393">
        <v>367.40249999999997</v>
      </c>
      <c r="M393">
        <v>0.99991549999999996</v>
      </c>
      <c r="N393">
        <v>-1.2237799999999899E-2</v>
      </c>
      <c r="O393">
        <v>4.3957079999999999E-3</v>
      </c>
      <c r="P393">
        <v>0.99469240000000003</v>
      </c>
      <c r="Q393">
        <v>-0.1016368</v>
      </c>
      <c r="R393">
        <v>-1.6039359999999999E-2</v>
      </c>
      <c r="S393">
        <v>3.006195</v>
      </c>
      <c r="T393">
        <v>-8.1825019999999998E-2</v>
      </c>
      <c r="U393">
        <v>-9.0576169999999998E-2</v>
      </c>
      <c r="V393">
        <v>2.040906E-2</v>
      </c>
      <c r="W393">
        <v>-8.9457980000000006E-2</v>
      </c>
      <c r="X393">
        <v>0.99578149999999999</v>
      </c>
      <c r="Y393">
        <v>3.4490920000000001E-2</v>
      </c>
      <c r="Z393">
        <v>-7.461872E-4</v>
      </c>
      <c r="AA393">
        <v>0.99940469999999904</v>
      </c>
      <c r="AB393">
        <v>15</v>
      </c>
      <c r="AC393">
        <v>39.204900000000002</v>
      </c>
      <c r="AD393">
        <v>-1.070972359437</v>
      </c>
      <c r="AE393">
        <v>-1.1862999999999599</v>
      </c>
      <c r="AF393">
        <v>1.35762254867466</v>
      </c>
      <c r="AG393">
        <v>-1.070972359437</v>
      </c>
      <c r="AH393">
        <v>39.170102782407497</v>
      </c>
      <c r="AI393">
        <v>91.565227346702898</v>
      </c>
      <c r="AJ393">
        <v>88.014942234084302</v>
      </c>
      <c r="AK393">
        <v>39.208252610435402</v>
      </c>
      <c r="AL393">
        <v>95.132425710530498</v>
      </c>
      <c r="AM393">
        <v>88.825857572368506</v>
      </c>
      <c r="AN393">
        <v>1.000000027829</v>
      </c>
    </row>
    <row r="394" spans="1:40" x14ac:dyDescent="0.25">
      <c r="A394" t="str">
        <f>"20190303154104823"</f>
        <v>20190303154104823</v>
      </c>
      <c r="B394" t="str">
        <f>"1551598864819837"</f>
        <v>1551598864819837</v>
      </c>
      <c r="C394" t="s">
        <v>40</v>
      </c>
      <c r="D394">
        <v>5.6146969999999996</v>
      </c>
      <c r="E394">
        <v>0.52569540000000003</v>
      </c>
      <c r="F394" t="s">
        <v>41</v>
      </c>
      <c r="G394">
        <v>-382.70249999999999</v>
      </c>
      <c r="H394" s="1">
        <v>-3.721304E-6</v>
      </c>
      <c r="I394">
        <v>366.18639999999999</v>
      </c>
      <c r="J394">
        <v>-422.58350000000002</v>
      </c>
      <c r="K394">
        <v>1.0709550000000001</v>
      </c>
      <c r="L394">
        <v>367.40320000000003</v>
      </c>
      <c r="M394">
        <v>0.99991649999999999</v>
      </c>
      <c r="N394">
        <v>-1.214984E-2</v>
      </c>
      <c r="O394">
        <v>4.4029730000000001E-3</v>
      </c>
      <c r="P394">
        <v>0.99466920000000003</v>
      </c>
      <c r="Q394">
        <v>-0.1019045</v>
      </c>
      <c r="R394">
        <v>-1.5775589999999999E-2</v>
      </c>
      <c r="S394">
        <v>3.006348</v>
      </c>
      <c r="T394">
        <v>-8.0420259999999993E-2</v>
      </c>
      <c r="U394">
        <v>-9.1308589999999995E-2</v>
      </c>
      <c r="V394">
        <v>2.0152119999999999E-2</v>
      </c>
      <c r="W394">
        <v>-8.9813550000000006E-2</v>
      </c>
      <c r="X394">
        <v>0.99575469999999999</v>
      </c>
      <c r="Y394">
        <v>3.4740380000000001E-2</v>
      </c>
      <c r="Z394">
        <v>-7.3987610000000002E-4</v>
      </c>
      <c r="AA394">
        <v>0.99939610000000001</v>
      </c>
      <c r="AB394">
        <v>15</v>
      </c>
      <c r="AC394">
        <v>39.881</v>
      </c>
      <c r="AD394">
        <v>-1.0709587213039999</v>
      </c>
      <c r="AE394">
        <v>-1.2168000000000301</v>
      </c>
      <c r="AF394">
        <v>1.3913936886756999</v>
      </c>
      <c r="AG394">
        <v>-1.0709587213039999</v>
      </c>
      <c r="AH394">
        <v>39.846547633332499</v>
      </c>
      <c r="AI394">
        <v>91.538635111410201</v>
      </c>
      <c r="AJ394">
        <v>88.000112618272198</v>
      </c>
      <c r="AK394">
        <v>39.885213892808203</v>
      </c>
      <c r="AL394">
        <v>95.152880842420302</v>
      </c>
      <c r="AM394">
        <v>88.840604191261505</v>
      </c>
      <c r="AN394">
        <v>1.0000000021380899</v>
      </c>
    </row>
    <row r="395" spans="1:40" x14ac:dyDescent="0.25">
      <c r="A395" t="str">
        <f>"20190303154104844"</f>
        <v>20190303154104844</v>
      </c>
      <c r="B395" t="str">
        <f>"1551598864839357"</f>
        <v>1551598864839357</v>
      </c>
      <c r="C395" t="s">
        <v>40</v>
      </c>
      <c r="D395">
        <v>5.6209949999999997</v>
      </c>
      <c r="E395">
        <v>0.52847500000000003</v>
      </c>
      <c r="F395" t="s">
        <v>42</v>
      </c>
      <c r="G395">
        <v>-421.77359999999999</v>
      </c>
      <c r="H395">
        <v>0.98725039999999997</v>
      </c>
      <c r="I395">
        <v>367.33440000000002</v>
      </c>
      <c r="J395">
        <v>-422.4434</v>
      </c>
      <c r="K395">
        <v>1.070948</v>
      </c>
      <c r="L395">
        <v>367.40379999999999</v>
      </c>
      <c r="M395">
        <v>0.99991739999999996</v>
      </c>
      <c r="N395">
        <v>-1.207446E-2</v>
      </c>
      <c r="O395">
        <v>4.4089730000000001E-3</v>
      </c>
      <c r="P395">
        <v>0.99466779999999999</v>
      </c>
      <c r="Q395">
        <v>-0.1019192</v>
      </c>
      <c r="R395">
        <v>-1.5769370000000001E-2</v>
      </c>
      <c r="S395">
        <v>2.980499</v>
      </c>
      <c r="T395">
        <v>-0.30815429999999999</v>
      </c>
      <c r="U395">
        <v>-0.25213619999999998</v>
      </c>
      <c r="V395">
        <v>2.0151990000000002E-2</v>
      </c>
      <c r="W395">
        <v>-8.9903360000000002E-2</v>
      </c>
      <c r="X395">
        <v>0.99574660000000004</v>
      </c>
      <c r="Y395">
        <v>8.8147119999999995E-2</v>
      </c>
      <c r="Z395">
        <v>-5.4721580000000004E-3</v>
      </c>
      <c r="AA395">
        <v>0.99609239999999999</v>
      </c>
      <c r="AB395">
        <v>15</v>
      </c>
      <c r="AC395">
        <v>0.66980000000000905</v>
      </c>
      <c r="AD395">
        <v>-8.36975999999999E-2</v>
      </c>
      <c r="AE395">
        <v>-6.9399999999973205E-2</v>
      </c>
      <c r="AF395">
        <v>7.1251905697142501E-2</v>
      </c>
      <c r="AG395">
        <v>-8.36975999999999E-2</v>
      </c>
      <c r="AH395">
        <v>0.65930198003441598</v>
      </c>
      <c r="AI395">
        <v>97.193486816167706</v>
      </c>
      <c r="AJ395">
        <v>83.831885135830305</v>
      </c>
      <c r="AK395">
        <v>0.66840199220868302</v>
      </c>
      <c r="AL395">
        <v>95.158047467472699</v>
      </c>
      <c r="AM395">
        <v>88.840602239820399</v>
      </c>
      <c r="AN395">
        <v>1.0000000041259001</v>
      </c>
    </row>
    <row r="396" spans="1:40" x14ac:dyDescent="0.25">
      <c r="A396" t="str">
        <f>"20190303154104866"</f>
        <v>20190303154104866</v>
      </c>
      <c r="B396" t="str">
        <f>"1551598864859854"</f>
        <v>1551598864859854</v>
      </c>
      <c r="C396" t="s">
        <v>40</v>
      </c>
      <c r="D396">
        <v>5.7038209999999996</v>
      </c>
      <c r="E396">
        <v>0.52923129999999996</v>
      </c>
      <c r="F396" t="s">
        <v>42</v>
      </c>
      <c r="G396">
        <v>-421.6472</v>
      </c>
      <c r="H396">
        <v>0.97399190000000002</v>
      </c>
      <c r="I396">
        <v>367.33019999999999</v>
      </c>
      <c r="J396">
        <v>-422.29629999999997</v>
      </c>
      <c r="K396">
        <v>1.070943</v>
      </c>
      <c r="L396">
        <v>367.40440000000001</v>
      </c>
      <c r="M396">
        <v>0.99991839999999999</v>
      </c>
      <c r="N396">
        <v>-1.200027E-2</v>
      </c>
      <c r="O396">
        <v>4.4151470000000003E-3</v>
      </c>
      <c r="P396">
        <v>0.9946507</v>
      </c>
      <c r="Q396">
        <v>-0.1021376</v>
      </c>
      <c r="R396">
        <v>-1.5424800000000001E-2</v>
      </c>
      <c r="S396">
        <v>2.97464</v>
      </c>
      <c r="T396">
        <v>-0.36230560000000001</v>
      </c>
      <c r="U396">
        <v>-0.27490229999999999</v>
      </c>
      <c r="V396">
        <v>1.9813529999999999E-2</v>
      </c>
      <c r="W396">
        <v>-9.0195780000000003E-2</v>
      </c>
      <c r="X396">
        <v>0.99572689999999997</v>
      </c>
      <c r="Y396">
        <v>9.5621960000000006E-2</v>
      </c>
      <c r="Z396">
        <v>-6.848921E-3</v>
      </c>
      <c r="AA396">
        <v>0.99539420000000001</v>
      </c>
      <c r="AB396">
        <v>15</v>
      </c>
      <c r="AC396">
        <v>0.64909999999997503</v>
      </c>
      <c r="AD396">
        <v>-9.6951099999999901E-2</v>
      </c>
      <c r="AE396">
        <v>-7.4200000000018904E-2</v>
      </c>
      <c r="AF396">
        <v>7.5404838040376093E-2</v>
      </c>
      <c r="AG396">
        <v>-9.6951099999999901E-2</v>
      </c>
      <c r="AH396">
        <v>0.63478717308710597</v>
      </c>
      <c r="AI396">
        <v>98.623974331806096</v>
      </c>
      <c r="AJ396">
        <v>83.225716280582603</v>
      </c>
      <c r="AK396">
        <v>0.646560252804813</v>
      </c>
      <c r="AL396">
        <v>95.174870489784993</v>
      </c>
      <c r="AM396">
        <v>88.860047017722195</v>
      </c>
      <c r="AN396">
        <v>0.99999995704223799</v>
      </c>
    </row>
    <row r="397" spans="1:40" x14ac:dyDescent="0.25">
      <c r="A397" t="str">
        <f>"20190303154104889"</f>
        <v>20190303154104889</v>
      </c>
      <c r="B397" t="str">
        <f>"1551598864879373"</f>
        <v>1551598864879373</v>
      </c>
      <c r="C397" t="s">
        <v>40</v>
      </c>
      <c r="D397">
        <v>5.599075</v>
      </c>
      <c r="E397">
        <v>0.52984449999999905</v>
      </c>
      <c r="F397" t="s">
        <v>42</v>
      </c>
      <c r="G397">
        <v>-421.51549999999997</v>
      </c>
      <c r="H397">
        <v>0.97150709999999996</v>
      </c>
      <c r="I397">
        <v>367.33089999999999</v>
      </c>
      <c r="J397">
        <v>-422.14190000000002</v>
      </c>
      <c r="K397">
        <v>1.0709360000000001</v>
      </c>
      <c r="L397">
        <v>367.4051</v>
      </c>
      <c r="M397">
        <v>0.99991920000000001</v>
      </c>
      <c r="N397">
        <v>-1.1924769999999999E-2</v>
      </c>
      <c r="O397">
        <v>4.4213289999999999E-3</v>
      </c>
      <c r="P397">
        <v>0.99469719999999995</v>
      </c>
      <c r="Q397">
        <v>-0.1017057</v>
      </c>
      <c r="R397">
        <v>-1.528648E-2</v>
      </c>
      <c r="S397">
        <v>2.9728699999999999</v>
      </c>
      <c r="T397">
        <v>-0.3786602</v>
      </c>
      <c r="U397">
        <v>-0.27984619999999999</v>
      </c>
      <c r="V397">
        <v>1.9681520000000001E-2</v>
      </c>
      <c r="W397">
        <v>-8.9838500000000002E-2</v>
      </c>
      <c r="X397">
        <v>0.99576189999999998</v>
      </c>
      <c r="Y397">
        <v>9.7238379999999999E-2</v>
      </c>
      <c r="Z397">
        <v>-7.245245E-3</v>
      </c>
      <c r="AA397">
        <v>0.99523470000000003</v>
      </c>
      <c r="AB397">
        <v>15</v>
      </c>
      <c r="AC397">
        <v>0.62640000000004603</v>
      </c>
      <c r="AD397">
        <v>-9.9428900000000098E-2</v>
      </c>
      <c r="AE397">
        <v>-7.4200000000018904E-2</v>
      </c>
      <c r="AF397">
        <v>7.5102925112432994E-2</v>
      </c>
      <c r="AG397">
        <v>-9.9428900000000098E-2</v>
      </c>
      <c r="AH397">
        <v>0.61088720349756798</v>
      </c>
      <c r="AI397">
        <v>99.176580620100196</v>
      </c>
      <c r="AJ397">
        <v>82.991184642571397</v>
      </c>
      <c r="AK397">
        <v>0.62346590196476004</v>
      </c>
      <c r="AL397">
        <v>95.154315979314504</v>
      </c>
      <c r="AM397">
        <v>88.867679896761203</v>
      </c>
      <c r="AN397">
        <v>1.00000003990168</v>
      </c>
    </row>
    <row r="398" spans="1:40" x14ac:dyDescent="0.25">
      <c r="A398" t="str">
        <f>"20190303154104912"</f>
        <v>20190303154104912</v>
      </c>
      <c r="B398" t="str">
        <f>"1551598864899869"</f>
        <v>1551598864899869</v>
      </c>
      <c r="C398" t="s">
        <v>40</v>
      </c>
      <c r="D398">
        <v>5.5961679999999996</v>
      </c>
      <c r="E398">
        <v>0.5303137</v>
      </c>
      <c r="F398" t="s">
        <v>42</v>
      </c>
      <c r="G398">
        <v>-421.38139999999999</v>
      </c>
      <c r="H398">
        <v>0.97381600000000001</v>
      </c>
      <c r="I398">
        <v>367.33190000000002</v>
      </c>
      <c r="J398">
        <v>-421.99259999999998</v>
      </c>
      <c r="K398">
        <v>1.070927</v>
      </c>
      <c r="L398">
        <v>367.4058</v>
      </c>
      <c r="M398">
        <v>0.99992009999999998</v>
      </c>
      <c r="N398">
        <v>-1.185161E-2</v>
      </c>
      <c r="O398">
        <v>4.4274910000000004E-3</v>
      </c>
      <c r="P398">
        <v>0.9947011</v>
      </c>
      <c r="Q398">
        <v>-0.1017055</v>
      </c>
      <c r="R398">
        <v>-1.5032399999999901E-2</v>
      </c>
      <c r="S398">
        <v>2.9727779999999999</v>
      </c>
      <c r="T398">
        <v>-0.3799324</v>
      </c>
      <c r="U398">
        <v>-0.2846069</v>
      </c>
      <c r="V398">
        <v>1.9433619999999999E-2</v>
      </c>
      <c r="W398">
        <v>-8.9911119999999997E-2</v>
      </c>
      <c r="X398">
        <v>0.99576019999999998</v>
      </c>
      <c r="Y398">
        <v>9.8807759999999994E-2</v>
      </c>
      <c r="Z398">
        <v>-7.3738579999999996E-3</v>
      </c>
      <c r="AA398">
        <v>0.99507920000000005</v>
      </c>
      <c r="AB398">
        <v>15</v>
      </c>
      <c r="AC398">
        <v>0.61119999999999597</v>
      </c>
      <c r="AD398">
        <v>-9.7110999999999906E-2</v>
      </c>
      <c r="AE398">
        <v>-7.3899999999980495E-2</v>
      </c>
      <c r="AF398">
        <v>7.4745800621462605E-2</v>
      </c>
      <c r="AG398">
        <v>-9.7110999999999906E-2</v>
      </c>
      <c r="AH398">
        <v>0.59603682652951995</v>
      </c>
      <c r="AI398">
        <v>99.183081265106196</v>
      </c>
      <c r="AJ398">
        <v>82.852155698881802</v>
      </c>
      <c r="AK398">
        <v>0.60850421494918605</v>
      </c>
      <c r="AL398">
        <v>95.158493780138599</v>
      </c>
      <c r="AM398">
        <v>88.881936564289603</v>
      </c>
      <c r="AN398">
        <v>1.0000000254949899</v>
      </c>
    </row>
    <row r="399" spans="1:40" x14ac:dyDescent="0.25">
      <c r="A399" t="str">
        <f>"20190303154104935"</f>
        <v>20190303154104935</v>
      </c>
      <c r="B399" t="str">
        <f>"1551598864929149"</f>
        <v>1551598864929149</v>
      </c>
      <c r="C399" t="s">
        <v>40</v>
      </c>
      <c r="D399">
        <v>5.5828620000000004</v>
      </c>
      <c r="E399">
        <v>0.53080399999999905</v>
      </c>
      <c r="F399" t="s">
        <v>42</v>
      </c>
      <c r="G399">
        <v>-421.2475</v>
      </c>
      <c r="H399">
        <v>0.97532949999999996</v>
      </c>
      <c r="I399">
        <v>367.33350000000002</v>
      </c>
      <c r="J399">
        <v>-421.84609999999998</v>
      </c>
      <c r="K399">
        <v>1.0709150000000001</v>
      </c>
      <c r="L399">
        <v>367.40649999999999</v>
      </c>
      <c r="M399">
        <v>0.9999209</v>
      </c>
      <c r="N399">
        <v>-1.1776409999999999E-2</v>
      </c>
      <c r="O399">
        <v>4.4341340000000002E-3</v>
      </c>
      <c r="P399">
        <v>0.99470990000000004</v>
      </c>
      <c r="Q399">
        <v>-0.1016653</v>
      </c>
      <c r="R399">
        <v>-1.472179E-2</v>
      </c>
      <c r="S399">
        <v>2.9726560000000002</v>
      </c>
      <c r="T399">
        <v>-0.38153700000000002</v>
      </c>
      <c r="U399">
        <v>-0.28735349999999998</v>
      </c>
      <c r="V399">
        <v>1.912962E-2</v>
      </c>
      <c r="W399">
        <v>-8.9945659999999997E-2</v>
      </c>
      <c r="X399">
        <v>0.99576290000000001</v>
      </c>
      <c r="Y399">
        <v>9.9714230000000001E-2</v>
      </c>
      <c r="Z399">
        <v>-7.463061E-3</v>
      </c>
      <c r="AA399">
        <v>0.99498810000000004</v>
      </c>
      <c r="AB399">
        <v>15</v>
      </c>
      <c r="AC399">
        <v>0.59859999999997604</v>
      </c>
      <c r="AD399">
        <v>-9.5585500000000101E-2</v>
      </c>
      <c r="AE399">
        <v>-7.2999999999978998E-2</v>
      </c>
      <c r="AF399">
        <v>7.3799553873362997E-2</v>
      </c>
      <c r="AG399">
        <v>-9.5585500000000101E-2</v>
      </c>
      <c r="AH399">
        <v>0.58360749083105801</v>
      </c>
      <c r="AI399">
        <v>99.229321074751994</v>
      </c>
      <c r="AJ399">
        <v>82.792966935748495</v>
      </c>
      <c r="AK399">
        <v>0.59597035607174398</v>
      </c>
      <c r="AL399">
        <v>95.160481173689206</v>
      </c>
      <c r="AM399">
        <v>88.899425071257298</v>
      </c>
      <c r="AN399">
        <v>0.999999958565294</v>
      </c>
    </row>
    <row r="400" spans="1:40" x14ac:dyDescent="0.25">
      <c r="A400" t="str">
        <f>"20190303154104955"</f>
        <v>20190303154104955</v>
      </c>
      <c r="B400" t="str">
        <f>"1551598864949645"</f>
        <v>1551598864949645</v>
      </c>
      <c r="C400" t="s">
        <v>40</v>
      </c>
      <c r="D400">
        <v>5.7991769999999896</v>
      </c>
      <c r="E400">
        <v>0.53039499999999995</v>
      </c>
      <c r="F400" t="s">
        <v>42</v>
      </c>
      <c r="G400">
        <v>-421.11349999999999</v>
      </c>
      <c r="H400">
        <v>0.9770432</v>
      </c>
      <c r="I400">
        <v>367.33460000000002</v>
      </c>
      <c r="J400">
        <v>-421.7045</v>
      </c>
      <c r="K400">
        <v>1.070902</v>
      </c>
      <c r="L400">
        <v>367.40719999999999</v>
      </c>
      <c r="M400">
        <v>0.99992179999999997</v>
      </c>
      <c r="N400">
        <v>-1.1697920000000001E-2</v>
      </c>
      <c r="O400">
        <v>4.4409710000000002E-3</v>
      </c>
      <c r="P400">
        <v>0.99473100000000003</v>
      </c>
      <c r="Q400">
        <v>-0.101456</v>
      </c>
      <c r="R400">
        <v>-1.473385E-2</v>
      </c>
      <c r="S400">
        <v>2.9727169999999998</v>
      </c>
      <c r="T400">
        <v>-0.38111279999999997</v>
      </c>
      <c r="U400">
        <v>-0.29040529999999998</v>
      </c>
      <c r="V400">
        <v>1.9148490000000001E-2</v>
      </c>
      <c r="W400">
        <v>-8.9814279999999996E-2</v>
      </c>
      <c r="X400">
        <v>0.99577439999999995</v>
      </c>
      <c r="Y400">
        <v>0.10072449999999999</v>
      </c>
      <c r="Z400">
        <v>-7.5224609999999898E-3</v>
      </c>
      <c r="AA400">
        <v>0.99488589999999999</v>
      </c>
      <c r="AB400">
        <v>15</v>
      </c>
      <c r="AC400">
        <v>0.59100000000000796</v>
      </c>
      <c r="AD400">
        <v>-9.3858800000000103E-2</v>
      </c>
      <c r="AE400">
        <v>-7.2599999999965803E-2</v>
      </c>
      <c r="AF400">
        <v>7.3400314758645099E-2</v>
      </c>
      <c r="AG400">
        <v>-9.3858800000000103E-2</v>
      </c>
      <c r="AH400">
        <v>0.57635125417833899</v>
      </c>
      <c r="AI400">
        <v>99.176580913049705</v>
      </c>
      <c r="AJ400">
        <v>82.742254660521297</v>
      </c>
      <c r="AK400">
        <v>0.58853874021771302</v>
      </c>
      <c r="AL400">
        <v>95.152923042203696</v>
      </c>
      <c r="AM400">
        <v>88.898352420059197</v>
      </c>
      <c r="AN400">
        <v>0.99999996262827795</v>
      </c>
    </row>
    <row r="401" spans="1:40" x14ac:dyDescent="0.25">
      <c r="A401" t="str">
        <f>"20190303154104980"</f>
        <v>20190303154104980</v>
      </c>
      <c r="B401" t="str">
        <f>"1551598864969164"</f>
        <v>1551598864969164</v>
      </c>
      <c r="C401" t="s">
        <v>40</v>
      </c>
      <c r="D401">
        <v>5.6211900000000004</v>
      </c>
      <c r="E401">
        <v>0.53050459999999899</v>
      </c>
      <c r="F401" t="s">
        <v>42</v>
      </c>
      <c r="G401">
        <v>-420.9812</v>
      </c>
      <c r="H401">
        <v>0.97506740000000003</v>
      </c>
      <c r="I401">
        <v>367.33710000000002</v>
      </c>
      <c r="J401">
        <v>-421.5412</v>
      </c>
      <c r="K401">
        <v>1.0708819999999999</v>
      </c>
      <c r="L401">
        <v>367.40789999999998</v>
      </c>
      <c r="M401">
        <v>0.9999228</v>
      </c>
      <c r="N401">
        <v>-1.159927E-2</v>
      </c>
      <c r="O401">
        <v>4.4489999999999998E-3</v>
      </c>
      <c r="P401">
        <v>0.9947587</v>
      </c>
      <c r="Q401">
        <v>-0.1012369</v>
      </c>
      <c r="R401">
        <v>-1.435813E-2</v>
      </c>
      <c r="S401">
        <v>2.9714360000000002</v>
      </c>
      <c r="T401">
        <v>-0.39375949999999998</v>
      </c>
      <c r="U401">
        <v>-0.28750609999999999</v>
      </c>
      <c r="V401">
        <v>1.8780749999999999E-2</v>
      </c>
      <c r="W401">
        <v>-8.9693110000000006E-2</v>
      </c>
      <c r="X401">
        <v>0.99579240000000002</v>
      </c>
      <c r="Y401">
        <v>9.9761450000000002E-2</v>
      </c>
      <c r="Z401">
        <v>-7.6830980000000002E-3</v>
      </c>
      <c r="AA401">
        <v>0.99498169999999997</v>
      </c>
      <c r="AB401">
        <v>15</v>
      </c>
      <c r="AC401">
        <v>0.56000000000000205</v>
      </c>
      <c r="AD401">
        <v>-9.5814599999999694E-2</v>
      </c>
      <c r="AE401">
        <v>-7.0799999999962795E-2</v>
      </c>
      <c r="AF401">
        <v>7.1238262590268095E-2</v>
      </c>
      <c r="AG401">
        <v>-9.5814599999999694E-2</v>
      </c>
      <c r="AH401">
        <v>0.54400461217992901</v>
      </c>
      <c r="AI401">
        <v>99.906079674326193</v>
      </c>
      <c r="AJ401">
        <v>82.539479084725798</v>
      </c>
      <c r="AK401">
        <v>0.55695273201868301</v>
      </c>
      <c r="AL401">
        <v>95.145951993777302</v>
      </c>
      <c r="AM401">
        <v>88.919523635198004</v>
      </c>
      <c r="AN401">
        <v>1.0000000372248901</v>
      </c>
    </row>
    <row r="402" spans="1:40" x14ac:dyDescent="0.25">
      <c r="A402" t="str">
        <f>"20190303154105003"</f>
        <v>20190303154105003</v>
      </c>
      <c r="B402" t="str">
        <f>"1551598864989660"</f>
        <v>1551598864989660</v>
      </c>
      <c r="C402" t="s">
        <v>40</v>
      </c>
      <c r="D402">
        <v>5.7894620000000003</v>
      </c>
      <c r="E402">
        <v>0.52932860000000004</v>
      </c>
      <c r="F402" t="s">
        <v>42</v>
      </c>
      <c r="G402">
        <v>-420.7201</v>
      </c>
      <c r="H402">
        <v>0.96248719999999999</v>
      </c>
      <c r="I402">
        <v>367.32839999999999</v>
      </c>
      <c r="J402">
        <v>-421.38529999999997</v>
      </c>
      <c r="K402">
        <v>1.070867</v>
      </c>
      <c r="L402">
        <v>367.40859999999998</v>
      </c>
      <c r="M402">
        <v>0.99992389999999998</v>
      </c>
      <c r="N402">
        <v>-1.1498670000000001E-2</v>
      </c>
      <c r="O402">
        <v>4.4566190000000002E-3</v>
      </c>
      <c r="P402">
        <v>0.99473319999999998</v>
      </c>
      <c r="Q402">
        <v>-0.1015911</v>
      </c>
      <c r="R402">
        <v>-1.3613429999999999E-2</v>
      </c>
      <c r="S402">
        <v>2.9716800000000001</v>
      </c>
      <c r="T402">
        <v>-0.39232869999999997</v>
      </c>
      <c r="U402">
        <v>-0.28744509999999901</v>
      </c>
      <c r="V402">
        <v>1.804356E-2</v>
      </c>
      <c r="W402">
        <v>-9.0147669999999999E-2</v>
      </c>
      <c r="X402">
        <v>0.99576500000000001</v>
      </c>
      <c r="Y402">
        <v>9.9748539999999997E-2</v>
      </c>
      <c r="Z402">
        <v>-7.6521219999999999E-3</v>
      </c>
      <c r="AA402">
        <v>0.99498330000000001</v>
      </c>
      <c r="AB402">
        <v>15</v>
      </c>
      <c r="AC402">
        <v>0.66519999999997004</v>
      </c>
      <c r="AD402">
        <v>-0.1083798</v>
      </c>
      <c r="AE402">
        <v>-8.0199999999990695E-2</v>
      </c>
      <c r="AF402">
        <v>8.1043421829338005E-2</v>
      </c>
      <c r="AG402">
        <v>-0.1083798</v>
      </c>
      <c r="AH402">
        <v>0.64788390937208795</v>
      </c>
      <c r="AI402">
        <v>99.424547898070401</v>
      </c>
      <c r="AJ402">
        <v>82.869939193490396</v>
      </c>
      <c r="AK402">
        <v>0.66186688789597903</v>
      </c>
      <c r="AL402">
        <v>95.172102212403502</v>
      </c>
      <c r="AM402">
        <v>88.961896925748405</v>
      </c>
      <c r="AN402">
        <v>1.00000005384444</v>
      </c>
    </row>
    <row r="403" spans="1:40" x14ac:dyDescent="0.25">
      <c r="A403" t="str">
        <f>"20190303154105023"</f>
        <v>20190303154105023</v>
      </c>
      <c r="B403" t="str">
        <f>"1551598865019917"</f>
        <v>1551598865019917</v>
      </c>
      <c r="C403" t="s">
        <v>40</v>
      </c>
      <c r="D403">
        <v>5.7782559999999998</v>
      </c>
      <c r="E403">
        <v>0.52920259999999997</v>
      </c>
      <c r="F403" t="s">
        <v>42</v>
      </c>
      <c r="G403">
        <v>-420.5872</v>
      </c>
      <c r="H403">
        <v>0.96072400000000002</v>
      </c>
      <c r="I403">
        <v>367.334</v>
      </c>
      <c r="J403">
        <v>-421.24810000000002</v>
      </c>
      <c r="K403">
        <v>1.0708530000000001</v>
      </c>
      <c r="L403">
        <v>367.4092</v>
      </c>
      <c r="M403">
        <v>0.99992510000000001</v>
      </c>
      <c r="N403">
        <v>-1.1408919999999999E-2</v>
      </c>
      <c r="O403">
        <v>4.4626830000000003E-3</v>
      </c>
      <c r="P403">
        <v>0.99475279999999999</v>
      </c>
      <c r="Q403">
        <v>-0.1014244</v>
      </c>
      <c r="R403">
        <v>-1.343579E-2</v>
      </c>
      <c r="S403">
        <v>2.970215</v>
      </c>
      <c r="T403">
        <v>-0.41009380000000001</v>
      </c>
      <c r="U403">
        <v>-0.27593990000000002</v>
      </c>
      <c r="V403">
        <v>1.7872160000000002E-2</v>
      </c>
      <c r="W403">
        <v>-9.0070129999999998E-2</v>
      </c>
      <c r="X403">
        <v>0.99577499999999997</v>
      </c>
      <c r="Y403">
        <v>9.5933409999999997E-2</v>
      </c>
      <c r="Z403">
        <v>-7.690087E-3</v>
      </c>
      <c r="AA403">
        <v>0.99535799999999997</v>
      </c>
      <c r="AB403">
        <v>15</v>
      </c>
      <c r="AC403">
        <v>0.66090000000002602</v>
      </c>
      <c r="AD403">
        <v>-0.110129</v>
      </c>
      <c r="AE403">
        <v>-7.5199999999995201E-2</v>
      </c>
      <c r="AF403">
        <v>7.6063748708520895E-2</v>
      </c>
      <c r="AG403">
        <v>-0.110129</v>
      </c>
      <c r="AH403">
        <v>0.64293352581449303</v>
      </c>
      <c r="AI403">
        <v>99.653898598385098</v>
      </c>
      <c r="AJ403">
        <v>83.252851773911601</v>
      </c>
      <c r="AK403">
        <v>0.65671729772014398</v>
      </c>
      <c r="AL403">
        <v>95.167641906857796</v>
      </c>
      <c r="AM403">
        <v>88.971766306371705</v>
      </c>
      <c r="AN403">
        <v>0.99999994652313895</v>
      </c>
    </row>
    <row r="404" spans="1:40" x14ac:dyDescent="0.25">
      <c r="A404" t="str">
        <f>"20190303154105045"</f>
        <v>20190303154105045</v>
      </c>
      <c r="B404" t="str">
        <f>"1551598865039438"</f>
        <v>1551598865039438</v>
      </c>
      <c r="C404" t="s">
        <v>40</v>
      </c>
      <c r="D404">
        <v>5.6683859999999999</v>
      </c>
      <c r="E404">
        <v>0.52897709999999998</v>
      </c>
      <c r="F404" t="s">
        <v>42</v>
      </c>
      <c r="G404">
        <v>-420.45280000000002</v>
      </c>
      <c r="H404">
        <v>0.96152749999999998</v>
      </c>
      <c r="I404">
        <v>367.33550000000002</v>
      </c>
      <c r="J404">
        <v>-421.10730000000001</v>
      </c>
      <c r="K404">
        <v>1.0708439999999999</v>
      </c>
      <c r="L404">
        <v>367.40989999999999</v>
      </c>
      <c r="M404">
        <v>0.99992599999999998</v>
      </c>
      <c r="N404">
        <v>-1.131632E-2</v>
      </c>
      <c r="O404">
        <v>4.4689389999999999E-3</v>
      </c>
      <c r="P404">
        <v>0.99480310000000005</v>
      </c>
      <c r="Q404">
        <v>-0.1009365</v>
      </c>
      <c r="R404">
        <v>-1.3369000000000001E-2</v>
      </c>
      <c r="S404">
        <v>2.9704899999999999</v>
      </c>
      <c r="T404">
        <v>-0.4084159</v>
      </c>
      <c r="U404">
        <v>-0.27462769999999997</v>
      </c>
      <c r="V404">
        <v>1.7811939999999998E-2</v>
      </c>
      <c r="W404">
        <v>-8.9673890000000006E-2</v>
      </c>
      <c r="X404">
        <v>0.99581189999999997</v>
      </c>
      <c r="Y404">
        <v>9.5508079999999995E-2</v>
      </c>
      <c r="Z404">
        <v>-7.6256539999999999E-3</v>
      </c>
      <c r="AA404">
        <v>0.99539949999999999</v>
      </c>
      <c r="AB404">
        <v>15</v>
      </c>
      <c r="AC404">
        <v>0.65449999999998398</v>
      </c>
      <c r="AD404">
        <v>-0.1093165</v>
      </c>
      <c r="AE404">
        <v>-7.43999999999687E-2</v>
      </c>
      <c r="AF404">
        <v>7.5251869900713295E-2</v>
      </c>
      <c r="AG404">
        <v>-0.1093165</v>
      </c>
      <c r="AH404">
        <v>0.63662773144637996</v>
      </c>
      <c r="AI404">
        <v>99.677258322213902</v>
      </c>
      <c r="AJ404">
        <v>83.258697096760002</v>
      </c>
      <c r="AK404">
        <v>0.650313623986433</v>
      </c>
      <c r="AL404">
        <v>95.144846474639294</v>
      </c>
      <c r="AM404">
        <v>88.975268150681302</v>
      </c>
      <c r="AN404">
        <v>1.0000000059679499</v>
      </c>
    </row>
    <row r="405" spans="1:40" x14ac:dyDescent="0.25">
      <c r="A405" t="str">
        <f>"20190303154105068"</f>
        <v>20190303154105068</v>
      </c>
      <c r="B405" t="str">
        <f>"1551598865059933"</f>
        <v>1551598865059933</v>
      </c>
      <c r="C405" t="s">
        <v>40</v>
      </c>
      <c r="D405">
        <v>5.7784959999999996</v>
      </c>
      <c r="E405">
        <v>0.52852889999999997</v>
      </c>
      <c r="F405" t="s">
        <v>42</v>
      </c>
      <c r="G405">
        <v>-420.31849999999997</v>
      </c>
      <c r="H405">
        <v>0.96159950000000005</v>
      </c>
      <c r="I405">
        <v>367.33749999999998</v>
      </c>
      <c r="J405">
        <v>-420.94600000000003</v>
      </c>
      <c r="K405">
        <v>1.0708310000000001</v>
      </c>
      <c r="L405">
        <v>367.41059999999999</v>
      </c>
      <c r="M405">
        <v>0.99992720000000002</v>
      </c>
      <c r="N405">
        <v>-1.120721E-2</v>
      </c>
      <c r="O405">
        <v>4.4761159999999996E-3</v>
      </c>
      <c r="P405">
        <v>0.99485380000000001</v>
      </c>
      <c r="Q405">
        <v>-0.1004123</v>
      </c>
      <c r="R405">
        <v>-1.354404E-2</v>
      </c>
      <c r="S405">
        <v>2.9703059999999999</v>
      </c>
      <c r="T405">
        <v>-0.41145120000000002</v>
      </c>
      <c r="U405">
        <v>-0.27224730000000003</v>
      </c>
      <c r="V405">
        <v>1.7994280000000001E-2</v>
      </c>
      <c r="W405">
        <v>-8.9257870000000003E-2</v>
      </c>
      <c r="X405">
        <v>0.99584600000000001</v>
      </c>
      <c r="Y405">
        <v>9.4723870000000002E-2</v>
      </c>
      <c r="Z405">
        <v>-7.6166459999999899E-3</v>
      </c>
      <c r="AA405">
        <v>0.99547450000000004</v>
      </c>
      <c r="AB405">
        <v>15</v>
      </c>
      <c r="AC405">
        <v>0.62749999999999695</v>
      </c>
      <c r="AD405">
        <v>-0.109231499999999</v>
      </c>
      <c r="AE405">
        <v>-7.3100000000010795E-2</v>
      </c>
      <c r="AF405">
        <v>7.3704724539479002E-2</v>
      </c>
      <c r="AG405">
        <v>-0.109231499999999</v>
      </c>
      <c r="AH405">
        <v>0.60896094441553805</v>
      </c>
      <c r="AI405">
        <v>100.09704945614899</v>
      </c>
      <c r="AJ405">
        <v>83.0988545062703</v>
      </c>
      <c r="AK405">
        <v>0.62305484416314005</v>
      </c>
      <c r="AL405">
        <v>95.120914300280802</v>
      </c>
      <c r="AM405">
        <v>88.964815730315294</v>
      </c>
      <c r="AN405">
        <v>1.00000000859282</v>
      </c>
    </row>
    <row r="406" spans="1:40" x14ac:dyDescent="0.25">
      <c r="A406" t="str">
        <f>"20190303154105090"</f>
        <v>20190303154105090</v>
      </c>
      <c r="B406" t="str">
        <f>"1551598865079457"</f>
        <v>1551598865079457</v>
      </c>
      <c r="C406" t="s">
        <v>40</v>
      </c>
      <c r="D406">
        <v>5.7899799999999999</v>
      </c>
      <c r="E406">
        <v>0.52821450000000003</v>
      </c>
      <c r="F406" t="s">
        <v>42</v>
      </c>
      <c r="G406">
        <v>-420.18290000000002</v>
      </c>
      <c r="H406">
        <v>0.96387650000000002</v>
      </c>
      <c r="I406">
        <v>367.34109999999998</v>
      </c>
      <c r="J406">
        <v>-420.7996</v>
      </c>
      <c r="K406">
        <v>1.070818</v>
      </c>
      <c r="L406">
        <v>367.41129999999998</v>
      </c>
      <c r="M406">
        <v>0.99992840000000005</v>
      </c>
      <c r="N406">
        <v>-1.110304E-2</v>
      </c>
      <c r="O406">
        <v>4.4829600000000002E-3</v>
      </c>
      <c r="P406">
        <v>0.99493469999999995</v>
      </c>
      <c r="Q406">
        <v>-9.9619460000000007E-2</v>
      </c>
      <c r="R406">
        <v>-1.346722E-2</v>
      </c>
      <c r="S406">
        <v>2.969757</v>
      </c>
      <c r="T406">
        <v>-0.41637469999999999</v>
      </c>
      <c r="U406">
        <v>-0.26968379999999997</v>
      </c>
      <c r="V406">
        <v>1.7924599999999999E-2</v>
      </c>
      <c r="W406">
        <v>-8.8567880000000002E-2</v>
      </c>
      <c r="X406">
        <v>0.99590889999999999</v>
      </c>
      <c r="Y406">
        <v>9.3880850000000002E-2</v>
      </c>
      <c r="Z406">
        <v>-7.63577599999999E-3</v>
      </c>
      <c r="AA406">
        <v>0.9955541</v>
      </c>
      <c r="AB406">
        <v>15</v>
      </c>
      <c r="AC406">
        <v>0.61669999999998004</v>
      </c>
      <c r="AD406">
        <v>-0.10694149999999999</v>
      </c>
      <c r="AE406">
        <v>-7.0199999999999804E-2</v>
      </c>
      <c r="AF406">
        <v>7.0860532251607905E-2</v>
      </c>
      <c r="AG406">
        <v>-0.10694149999999999</v>
      </c>
      <c r="AH406">
        <v>0.59860871245684799</v>
      </c>
      <c r="AI406">
        <v>100.060248180347</v>
      </c>
      <c r="AJ406">
        <v>83.249006784218906</v>
      </c>
      <c r="AK406">
        <v>0.61220102097470896</v>
      </c>
      <c r="AL406">
        <v>95.081223380924101</v>
      </c>
      <c r="AM406">
        <v>88.968888563637293</v>
      </c>
      <c r="AN406">
        <v>1.0000000488760299</v>
      </c>
    </row>
    <row r="407" spans="1:40" x14ac:dyDescent="0.25">
      <c r="A407" t="str">
        <f>"20190303154105112"</f>
        <v>20190303154105112</v>
      </c>
      <c r="B407" t="str">
        <f>"1551598865099949"</f>
        <v>1551598865099949</v>
      </c>
      <c r="C407" t="s">
        <v>40</v>
      </c>
      <c r="D407">
        <v>5.8332860000000002</v>
      </c>
      <c r="E407">
        <v>0.52785789999999999</v>
      </c>
      <c r="F407" t="s">
        <v>42</v>
      </c>
      <c r="G407">
        <v>-420.0478</v>
      </c>
      <c r="H407">
        <v>0.96472119999999995</v>
      </c>
      <c r="I407">
        <v>367.34339999999997</v>
      </c>
      <c r="J407">
        <v>-420.6515</v>
      </c>
      <c r="K407">
        <v>1.0708</v>
      </c>
      <c r="L407">
        <v>367.41199999999998</v>
      </c>
      <c r="M407">
        <v>0.99992950000000003</v>
      </c>
      <c r="N407">
        <v>-1.0993040000000001E-2</v>
      </c>
      <c r="O407">
        <v>4.4899500000000004E-3</v>
      </c>
      <c r="P407">
        <v>0.99495389999999995</v>
      </c>
      <c r="Q407">
        <v>-9.9467260000000002E-2</v>
      </c>
      <c r="R407">
        <v>-1.314572E-2</v>
      </c>
      <c r="S407">
        <v>2.9696959999999999</v>
      </c>
      <c r="T407">
        <v>-0.41933039999999999</v>
      </c>
      <c r="U407">
        <v>-0.26712039999999998</v>
      </c>
      <c r="V407">
        <v>1.7610420000000002E-2</v>
      </c>
      <c r="W407">
        <v>-8.8525010000000001E-2</v>
      </c>
      <c r="X407">
        <v>0.99591830000000003</v>
      </c>
      <c r="Y407">
        <v>9.3032669999999998E-2</v>
      </c>
      <c r="Z407">
        <v>-7.6185740000000004E-3</v>
      </c>
      <c r="AA407">
        <v>0.99563389999999996</v>
      </c>
      <c r="AB407">
        <v>15</v>
      </c>
      <c r="AC407">
        <v>0.60370000000000301</v>
      </c>
      <c r="AD407">
        <v>-0.1060788</v>
      </c>
      <c r="AE407">
        <v>-6.8600000000003505E-2</v>
      </c>
      <c r="AF407">
        <v>6.9200682208609393E-2</v>
      </c>
      <c r="AG407">
        <v>-0.1060788</v>
      </c>
      <c r="AH407">
        <v>0.58553754933518198</v>
      </c>
      <c r="AI407">
        <v>100.19913008034401</v>
      </c>
      <c r="AJ407">
        <v>83.259867662726194</v>
      </c>
      <c r="AK407">
        <v>0.59907901641521999</v>
      </c>
      <c r="AL407">
        <v>95.078757509323907</v>
      </c>
      <c r="AM407">
        <v>88.986967507127105</v>
      </c>
      <c r="AN407">
        <v>1.0000000322814799</v>
      </c>
    </row>
    <row r="408" spans="1:40" x14ac:dyDescent="0.25">
      <c r="A408" t="str">
        <f>"20190303154105134"</f>
        <v>20190303154105134</v>
      </c>
      <c r="B408" t="str">
        <f>"1551598865129733"</f>
        <v>1551598865129733</v>
      </c>
      <c r="C408" t="s">
        <v>40</v>
      </c>
      <c r="D408">
        <v>5.8339290000000004</v>
      </c>
      <c r="E408">
        <v>0.52751949999999903</v>
      </c>
      <c r="F408" t="s">
        <v>42</v>
      </c>
      <c r="G408">
        <v>-419.91239999999999</v>
      </c>
      <c r="H408">
        <v>0.96551160000000003</v>
      </c>
      <c r="I408">
        <v>367.34629999999999</v>
      </c>
      <c r="J408">
        <v>-420.50209999999998</v>
      </c>
      <c r="K408">
        <v>1.070784</v>
      </c>
      <c r="L408">
        <v>367.4126</v>
      </c>
      <c r="M408">
        <v>0.99993080000000001</v>
      </c>
      <c r="N408">
        <v>-1.0877970000000001E-2</v>
      </c>
      <c r="O408">
        <v>4.4967829999999999E-3</v>
      </c>
      <c r="P408">
        <v>0.99493580000000004</v>
      </c>
      <c r="Q408">
        <v>-9.9643979999999993E-2</v>
      </c>
      <c r="R408">
        <v>-1.3197840000000001E-2</v>
      </c>
      <c r="S408">
        <v>2.969452</v>
      </c>
      <c r="T408">
        <v>-0.42319069999999998</v>
      </c>
      <c r="U408">
        <v>-0.2630615</v>
      </c>
      <c r="V408">
        <v>1.7668980000000001E-2</v>
      </c>
      <c r="W408">
        <v>-8.8816539999999999E-2</v>
      </c>
      <c r="X408">
        <v>0.99589130000000003</v>
      </c>
      <c r="Y408">
        <v>9.16931E-2</v>
      </c>
      <c r="Z408">
        <v>-7.5786839999999996E-3</v>
      </c>
      <c r="AA408">
        <v>0.99575849999999999</v>
      </c>
      <c r="AB408">
        <v>15</v>
      </c>
      <c r="AC408">
        <v>0.58969999999999301</v>
      </c>
      <c r="AD408">
        <v>-0.105272399999999</v>
      </c>
      <c r="AE408">
        <v>-6.6300000000012405E-2</v>
      </c>
      <c r="AF408">
        <v>6.6847477651350906E-2</v>
      </c>
      <c r="AG408">
        <v>-0.105272399999999</v>
      </c>
      <c r="AH408">
        <v>0.57141290779549403</v>
      </c>
      <c r="AI408">
        <v>100.369484694278</v>
      </c>
      <c r="AJ408">
        <v>83.327508315852299</v>
      </c>
      <c r="AK408">
        <v>0.58486201335478205</v>
      </c>
      <c r="AL408">
        <v>95.095527034633605</v>
      </c>
      <c r="AM408">
        <v>88.983572021385996</v>
      </c>
      <c r="AN408">
        <v>1.00000002602375</v>
      </c>
    </row>
    <row r="409" spans="1:40" x14ac:dyDescent="0.25">
      <c r="A409" t="str">
        <f>"20190303154105159"</f>
        <v>20190303154105159</v>
      </c>
      <c r="B409" t="str">
        <f>"1551598865149254"</f>
        <v>1551598865149254</v>
      </c>
      <c r="C409" t="s">
        <v>40</v>
      </c>
      <c r="D409">
        <v>5.692062</v>
      </c>
      <c r="E409">
        <v>0.52785490000000002</v>
      </c>
      <c r="F409" t="s">
        <v>42</v>
      </c>
      <c r="G409">
        <v>-419.77710000000002</v>
      </c>
      <c r="H409">
        <v>0.96551430000000005</v>
      </c>
      <c r="I409">
        <v>367.34870000000001</v>
      </c>
      <c r="J409">
        <v>-420.34359999999998</v>
      </c>
      <c r="K409">
        <v>1.0707629999999999</v>
      </c>
      <c r="L409">
        <v>367.41340000000002</v>
      </c>
      <c r="M409">
        <v>0.99993209999999999</v>
      </c>
      <c r="N409">
        <v>-1.0751999999999999E-2</v>
      </c>
      <c r="O409">
        <v>4.5042040000000004E-3</v>
      </c>
      <c r="P409">
        <v>0.99493379999999998</v>
      </c>
      <c r="Q409">
        <v>-9.9633459999999993E-2</v>
      </c>
      <c r="R409">
        <v>-1.340823E-2</v>
      </c>
      <c r="S409">
        <v>2.9685969999999999</v>
      </c>
      <c r="T409">
        <v>-0.43120150000000002</v>
      </c>
      <c r="U409">
        <v>-0.26071169999999999</v>
      </c>
      <c r="V409">
        <v>1.788694E-2</v>
      </c>
      <c r="W409">
        <v>-8.893152E-2</v>
      </c>
      <c r="X409">
        <v>0.99587709999999996</v>
      </c>
      <c r="Y409">
        <v>9.0914350000000005E-2</v>
      </c>
      <c r="Z409">
        <v>-7.6499300000000001E-3</v>
      </c>
      <c r="AA409">
        <v>0.99582930000000003</v>
      </c>
      <c r="AB409">
        <v>15</v>
      </c>
      <c r="AC409">
        <v>0.56649999999996203</v>
      </c>
      <c r="AD409">
        <v>-0.105248699999999</v>
      </c>
      <c r="AE409">
        <v>-6.4700000000016106E-2</v>
      </c>
      <c r="AF409">
        <v>6.5035203590700405E-2</v>
      </c>
      <c r="AG409">
        <v>-0.105248699999999</v>
      </c>
      <c r="AH409">
        <v>0.54754647773785203</v>
      </c>
      <c r="AI409">
        <v>100.80645978455</v>
      </c>
      <c r="AJ409">
        <v>83.2263893111556</v>
      </c>
      <c r="AK409">
        <v>0.56135016864778997</v>
      </c>
      <c r="AL409">
        <v>95.102141321009597</v>
      </c>
      <c r="AM409">
        <v>88.9710216375518</v>
      </c>
      <c r="AN409">
        <v>0.99999997808824104</v>
      </c>
    </row>
    <row r="410" spans="1:40" x14ac:dyDescent="0.25">
      <c r="A410" t="str">
        <f>"20190303154105181"</f>
        <v>20190303154105181</v>
      </c>
      <c r="B410" t="str">
        <f>"1551598865169750"</f>
        <v>1551598865169750</v>
      </c>
      <c r="C410" t="s">
        <v>40</v>
      </c>
      <c r="D410">
        <v>5.593744</v>
      </c>
      <c r="E410">
        <v>0.5275649</v>
      </c>
      <c r="F410" t="s">
        <v>42</v>
      </c>
      <c r="G410">
        <v>-419.51299999999998</v>
      </c>
      <c r="H410">
        <v>0.95017560000000001</v>
      </c>
      <c r="I410">
        <v>367.33890000000002</v>
      </c>
      <c r="J410">
        <v>-420.18540000000002</v>
      </c>
      <c r="K410">
        <v>1.070749</v>
      </c>
      <c r="L410">
        <v>367.41399999999999</v>
      </c>
      <c r="M410">
        <v>0.99993350000000003</v>
      </c>
      <c r="N410">
        <v>-1.062335E-2</v>
      </c>
      <c r="O410">
        <v>4.5112750000000004E-3</v>
      </c>
      <c r="P410">
        <v>0.99492320000000001</v>
      </c>
      <c r="Q410">
        <v>-9.9742499999999998E-2</v>
      </c>
      <c r="R410">
        <v>-1.3394359999999999E-2</v>
      </c>
      <c r="S410">
        <v>2.9685359999999998</v>
      </c>
      <c r="T410">
        <v>-0.43124679999999999</v>
      </c>
      <c r="U410">
        <v>-0.2641907</v>
      </c>
      <c r="V410">
        <v>1.7879969999999999E-2</v>
      </c>
      <c r="W410">
        <v>-8.9168789999999998E-2</v>
      </c>
      <c r="X410">
        <v>0.99585599999999996</v>
      </c>
      <c r="Y410">
        <v>9.2068800000000006E-2</v>
      </c>
      <c r="Z410">
        <v>-7.7355480000000001E-3</v>
      </c>
      <c r="AA410">
        <v>0.99572260000000001</v>
      </c>
      <c r="AB410">
        <v>15</v>
      </c>
      <c r="AC410">
        <v>0.67239999999998101</v>
      </c>
      <c r="AD410">
        <v>-0.1205734</v>
      </c>
      <c r="AE410">
        <v>-7.5099999999963502E-2</v>
      </c>
      <c r="AF410">
        <v>7.5727768097581694E-2</v>
      </c>
      <c r="AG410">
        <v>-0.1205734</v>
      </c>
      <c r="AH410">
        <v>0.65136771229966095</v>
      </c>
      <c r="AI410">
        <v>100.41858118696599</v>
      </c>
      <c r="AJ410">
        <v>83.368584443054701</v>
      </c>
      <c r="AK410">
        <v>0.66674773061113202</v>
      </c>
      <c r="AL410">
        <v>95.115790159263597</v>
      </c>
      <c r="AM410">
        <v>88.971400724552794</v>
      </c>
      <c r="AN410">
        <v>0.99999996958663195</v>
      </c>
    </row>
    <row r="411" spans="1:40" x14ac:dyDescent="0.25">
      <c r="A411" t="str">
        <f>"20190303154105204"</f>
        <v>20190303154105204</v>
      </c>
      <c r="B411" t="str">
        <f>"1551598865200006"</f>
        <v>1551598865200006</v>
      </c>
      <c r="C411" t="s">
        <v>40</v>
      </c>
      <c r="D411">
        <v>5.6106819999999997</v>
      </c>
      <c r="E411">
        <v>0.49640380000000001</v>
      </c>
      <c r="F411" t="s">
        <v>42</v>
      </c>
      <c r="G411">
        <v>-419.37540000000001</v>
      </c>
      <c r="H411">
        <v>0.95306630000000003</v>
      </c>
      <c r="I411">
        <v>367.34249999999997</v>
      </c>
      <c r="J411">
        <v>-420.02929999999998</v>
      </c>
      <c r="K411">
        <v>1.0707310000000001</v>
      </c>
      <c r="L411">
        <v>367.41469999999998</v>
      </c>
      <c r="M411">
        <v>0.99993469999999995</v>
      </c>
      <c r="N411">
        <v>-1.04995E-2</v>
      </c>
      <c r="O411">
        <v>4.5185499999999997E-3</v>
      </c>
      <c r="P411">
        <v>0.99492020000000003</v>
      </c>
      <c r="Q411">
        <v>-9.9750240000000004E-2</v>
      </c>
      <c r="R411">
        <v>-1.3546559999999999E-2</v>
      </c>
      <c r="S411">
        <v>2.9685359999999998</v>
      </c>
      <c r="T411">
        <v>-0.43140699999999998</v>
      </c>
      <c r="U411">
        <v>-0.26159670000000002</v>
      </c>
      <c r="V411">
        <v>1.8039409999999999E-2</v>
      </c>
      <c r="W411">
        <v>-8.9299909999999996E-2</v>
      </c>
      <c r="X411">
        <v>0.99584139999999999</v>
      </c>
      <c r="Y411">
        <v>9.1221969999999999E-2</v>
      </c>
      <c r="Z411">
        <v>-7.6686940000000002E-3</v>
      </c>
      <c r="AA411">
        <v>0.99580100000000005</v>
      </c>
      <c r="AB411">
        <v>15</v>
      </c>
      <c r="AC411">
        <v>0.65389999999996395</v>
      </c>
      <c r="AD411">
        <v>-0.117664699999999</v>
      </c>
      <c r="AE411">
        <v>-7.2200000000009298E-2</v>
      </c>
      <c r="AF411">
        <v>7.2824488457581493E-2</v>
      </c>
      <c r="AG411">
        <v>-0.117664699999999</v>
      </c>
      <c r="AH411">
        <v>0.63330788101832902</v>
      </c>
      <c r="AI411">
        <v>100.457811219135</v>
      </c>
      <c r="AJ411">
        <v>83.440332004473802</v>
      </c>
      <c r="AK411">
        <v>0.64824938095236495</v>
      </c>
      <c r="AL411">
        <v>95.123332746664204</v>
      </c>
      <c r="AM411">
        <v>88.962215242689496</v>
      </c>
      <c r="AN411">
        <v>0.99999999409655804</v>
      </c>
    </row>
    <row r="412" spans="1:40" x14ac:dyDescent="0.25">
      <c r="A412" t="str">
        <f>"20190303154105224"</f>
        <v>20190303154105224</v>
      </c>
      <c r="B412" t="str">
        <f>"1551598865220036"</f>
        <v>1551598865220036</v>
      </c>
      <c r="C412" t="s">
        <v>40</v>
      </c>
      <c r="D412">
        <v>5.6077329999999996</v>
      </c>
      <c r="E412">
        <v>0.49598639999999999</v>
      </c>
      <c r="F412" t="s">
        <v>43</v>
      </c>
      <c r="G412">
        <v>-399.59809999999999</v>
      </c>
      <c r="H412">
        <v>-0.05</v>
      </c>
      <c r="I412">
        <v>367.34379999999999</v>
      </c>
      <c r="J412">
        <v>-419.8879</v>
      </c>
      <c r="K412">
        <v>1.0707139999999999</v>
      </c>
      <c r="L412">
        <v>367.41539999999998</v>
      </c>
      <c r="M412">
        <v>0.99993580000000004</v>
      </c>
      <c r="N412">
        <v>-1.039503E-2</v>
      </c>
      <c r="O412">
        <v>4.5249399999999999E-3</v>
      </c>
      <c r="P412">
        <v>0.99493560000000003</v>
      </c>
      <c r="Q412">
        <v>-9.9622669999999997E-2</v>
      </c>
      <c r="R412">
        <v>-1.335041E-2</v>
      </c>
      <c r="S412">
        <v>2.998688</v>
      </c>
      <c r="T412">
        <v>-0.16448940000000001</v>
      </c>
      <c r="U412">
        <v>-1.0406489999999999E-2</v>
      </c>
      <c r="V412">
        <v>1.7849670000000002E-2</v>
      </c>
      <c r="W412">
        <v>-8.9276250000000001E-2</v>
      </c>
      <c r="X412">
        <v>0.99584689999999998</v>
      </c>
      <c r="Y412">
        <v>7.9767150000000005E-3</v>
      </c>
      <c r="Z412">
        <v>-4.6112239999999998E-4</v>
      </c>
      <c r="AA412">
        <v>0.99996810000000003</v>
      </c>
      <c r="AB412">
        <v>15</v>
      </c>
      <c r="AC412">
        <v>20.2898</v>
      </c>
      <c r="AD412">
        <v>-1.120714</v>
      </c>
      <c r="AE412">
        <v>-7.1599999999989394E-2</v>
      </c>
      <c r="AF412">
        <v>0.16291730385154199</v>
      </c>
      <c r="AG412">
        <v>-1.120714</v>
      </c>
      <c r="AH412">
        <v>20.227555908580399</v>
      </c>
      <c r="AI412">
        <v>93.171145438430102</v>
      </c>
      <c r="AJ412">
        <v>89.538536829351898</v>
      </c>
      <c r="AK412">
        <v>20.2592339428824</v>
      </c>
      <c r="AL412">
        <v>95.121971898753202</v>
      </c>
      <c r="AM412">
        <v>88.973134068662404</v>
      </c>
      <c r="AN412">
        <v>0.99999995388638896</v>
      </c>
    </row>
    <row r="413" spans="1:40" x14ac:dyDescent="0.25">
      <c r="A413" t="str">
        <f>"20190303154105254"</f>
        <v>20190303154105254</v>
      </c>
      <c r="B413" t="str">
        <f>"1551598865249315"</f>
        <v>1551598865249315</v>
      </c>
      <c r="C413" t="s">
        <v>40</v>
      </c>
      <c r="D413">
        <v>5.6254200000000001</v>
      </c>
      <c r="E413">
        <v>0.49500569999999999</v>
      </c>
      <c r="F413" t="s">
        <v>41</v>
      </c>
      <c r="G413">
        <v>-397.00139999999999</v>
      </c>
      <c r="H413" s="1">
        <v>-1.6677060000000001E-6</v>
      </c>
      <c r="I413">
        <v>367.36689999999999</v>
      </c>
      <c r="J413">
        <v>-419.68630000000002</v>
      </c>
      <c r="K413">
        <v>1.070694</v>
      </c>
      <c r="L413">
        <v>367.41629999999998</v>
      </c>
      <c r="M413">
        <v>0.99993710000000002</v>
      </c>
      <c r="N413">
        <v>-1.0263080000000001E-2</v>
      </c>
      <c r="O413">
        <v>4.5345649999999999E-3</v>
      </c>
      <c r="P413">
        <v>0.994919</v>
      </c>
      <c r="Q413">
        <v>-9.9838380000000004E-2</v>
      </c>
      <c r="R413">
        <v>-1.2986960000000001E-2</v>
      </c>
      <c r="S413">
        <v>3.001099</v>
      </c>
      <c r="T413">
        <v>-0.1404021</v>
      </c>
      <c r="U413">
        <v>-6.3476560000000001E-3</v>
      </c>
      <c r="V413">
        <v>1.7495699999999999E-2</v>
      </c>
      <c r="W413">
        <v>-8.9623469999999997E-2</v>
      </c>
      <c r="X413">
        <v>0.99582199999999998</v>
      </c>
      <c r="Y413">
        <v>6.6380019999999996E-3</v>
      </c>
      <c r="Z413">
        <v>-3.5478309999999999E-4</v>
      </c>
      <c r="AA413">
        <v>0.99997789999999998</v>
      </c>
      <c r="AB413">
        <v>15</v>
      </c>
      <c r="AC413">
        <v>22.684899999999999</v>
      </c>
      <c r="AD413">
        <v>-1.070695667706</v>
      </c>
      <c r="AE413">
        <v>-4.9399999999991402E-2</v>
      </c>
      <c r="AF413">
        <v>0.15193259861858499</v>
      </c>
      <c r="AG413">
        <v>-1.070695667706</v>
      </c>
      <c r="AH413">
        <v>22.634020967627698</v>
      </c>
      <c r="AI413">
        <v>92.708280000971001</v>
      </c>
      <c r="AJ413">
        <v>89.615403469823093</v>
      </c>
      <c r="AK413">
        <v>22.659840641328</v>
      </c>
      <c r="AL413">
        <v>95.141946175251704</v>
      </c>
      <c r="AM413">
        <v>88.993468061974795</v>
      </c>
      <c r="AN413">
        <v>0.99999996078866404</v>
      </c>
    </row>
    <row r="414" spans="1:40" x14ac:dyDescent="0.25">
      <c r="A414" t="str">
        <f>"20190303154105269"</f>
        <v>20190303154105269</v>
      </c>
      <c r="B414" t="str">
        <f>"1551598865260051"</f>
        <v>1551598865260051</v>
      </c>
      <c r="C414" t="s">
        <v>40</v>
      </c>
      <c r="D414">
        <v>5.6098129999999999</v>
      </c>
      <c r="E414">
        <v>0.49480479999999999</v>
      </c>
      <c r="F414" t="s">
        <v>41</v>
      </c>
      <c r="G414">
        <v>-394.13929999999999</v>
      </c>
      <c r="H414" s="1">
        <v>-2.8822410000000002E-6</v>
      </c>
      <c r="I414">
        <v>367.44170000000003</v>
      </c>
      <c r="J414">
        <v>-419.58179999999999</v>
      </c>
      <c r="K414">
        <v>1.0706850000000001</v>
      </c>
      <c r="L414">
        <v>367.41680000000002</v>
      </c>
      <c r="M414">
        <v>0.99993779999999999</v>
      </c>
      <c r="N414">
        <v>-1.020387E-2</v>
      </c>
      <c r="O414">
        <v>4.5393999999999999E-3</v>
      </c>
      <c r="P414">
        <v>0.99484930000000005</v>
      </c>
      <c r="Q414">
        <v>-0.1005332</v>
      </c>
      <c r="R414">
        <v>-1.2973749999999999E-2</v>
      </c>
      <c r="S414">
        <v>3.0027469999999998</v>
      </c>
      <c r="T414">
        <v>-0.12584769999999901</v>
      </c>
      <c r="U414">
        <v>2.9907229999999998E-3</v>
      </c>
      <c r="V414">
        <v>1.74869E-2</v>
      </c>
      <c r="W414">
        <v>-9.037792E-2</v>
      </c>
      <c r="X414">
        <v>0.99575400000000003</v>
      </c>
      <c r="Y414">
        <v>3.5375060000000002E-3</v>
      </c>
      <c r="Z414">
        <v>-2.3601650000000001E-4</v>
      </c>
      <c r="AA414">
        <v>0.99999369999999999</v>
      </c>
      <c r="AB414">
        <v>15</v>
      </c>
      <c r="AC414">
        <v>25.4424999999999</v>
      </c>
      <c r="AD414">
        <v>-1.070687882241</v>
      </c>
      <c r="AE414">
        <v>2.4900000000002299E-2</v>
      </c>
      <c r="AF414">
        <v>9.0439770959320195E-2</v>
      </c>
      <c r="AG414">
        <v>-1.070687882241</v>
      </c>
      <c r="AH414">
        <v>25.397373446366601</v>
      </c>
      <c r="AI414">
        <v>92.413997853020604</v>
      </c>
      <c r="AJ414">
        <v>89.7959712139413</v>
      </c>
      <c r="AK414">
        <v>25.420093034203401</v>
      </c>
      <c r="AL414">
        <v>95.185348946663396</v>
      </c>
      <c r="AM414">
        <v>88.993905536733806</v>
      </c>
      <c r="AN414">
        <v>0.99999999430556796</v>
      </c>
    </row>
    <row r="415" spans="1:40" x14ac:dyDescent="0.25">
      <c r="A415" t="str">
        <f>"20190303154105292"</f>
        <v>20190303154105292</v>
      </c>
      <c r="B415" t="str">
        <f>"1551598865289331"</f>
        <v>1551598865289331</v>
      </c>
      <c r="C415" t="s">
        <v>40</v>
      </c>
      <c r="D415">
        <v>5.6605499999999997</v>
      </c>
      <c r="E415">
        <v>0.49431550000000002</v>
      </c>
      <c r="F415" t="s">
        <v>41</v>
      </c>
      <c r="G415">
        <v>-393.9742</v>
      </c>
      <c r="H415" s="1">
        <v>-2.9509750000000002E-6</v>
      </c>
      <c r="I415">
        <v>367.45370000000003</v>
      </c>
      <c r="J415">
        <v>-419.42529999999999</v>
      </c>
      <c r="K415">
        <v>1.0706819999999999</v>
      </c>
      <c r="L415">
        <v>367.41750000000002</v>
      </c>
      <c r="M415">
        <v>0.99993849999999995</v>
      </c>
      <c r="N415">
        <v>-1.012035E-2</v>
      </c>
      <c r="O415">
        <v>4.5465640000000003E-3</v>
      </c>
      <c r="P415">
        <v>0.99480009999999996</v>
      </c>
      <c r="Q415">
        <v>-0.1009597</v>
      </c>
      <c r="R415">
        <v>-1.343984E-2</v>
      </c>
      <c r="S415">
        <v>3.0028990000000002</v>
      </c>
      <c r="T415">
        <v>-0.12555439999999901</v>
      </c>
      <c r="U415">
        <v>4.333496E-3</v>
      </c>
      <c r="V415">
        <v>1.7959739999999998E-2</v>
      </c>
      <c r="W415">
        <v>-9.0888070000000001E-2</v>
      </c>
      <c r="X415">
        <v>0.99569920000000001</v>
      </c>
      <c r="Y415">
        <v>3.0980589999999998E-3</v>
      </c>
      <c r="Z415">
        <v>-2.2443800000000001E-4</v>
      </c>
      <c r="AA415">
        <v>0.99999519999999997</v>
      </c>
      <c r="AB415">
        <v>15</v>
      </c>
      <c r="AC415">
        <v>25.4511</v>
      </c>
      <c r="AD415">
        <v>-1.0706849509749901</v>
      </c>
      <c r="AE415">
        <v>3.6200000000007997E-2</v>
      </c>
      <c r="AF415">
        <v>7.9380866460360397E-2</v>
      </c>
      <c r="AG415">
        <v>-1.0706849509749901</v>
      </c>
      <c r="AH415">
        <v>25.406039435132001</v>
      </c>
      <c r="AI415">
        <v>92.413172331060395</v>
      </c>
      <c r="AJ415">
        <v>89.820980604492902</v>
      </c>
      <c r="AK415">
        <v>25.428714229502202</v>
      </c>
      <c r="AL415">
        <v>95.214698917902894</v>
      </c>
      <c r="AM415">
        <v>88.966650038673194</v>
      </c>
      <c r="AN415">
        <v>1.00000004520491</v>
      </c>
    </row>
    <row r="416" spans="1:40" x14ac:dyDescent="0.25">
      <c r="A416" t="str">
        <f>"20190303154105313"</f>
        <v>20190303154105313</v>
      </c>
      <c r="B416" t="str">
        <f>"1551598865309827"</f>
        <v>1551598865309827</v>
      </c>
      <c r="C416" t="s">
        <v>40</v>
      </c>
      <c r="D416">
        <v>5.6666449999999999</v>
      </c>
      <c r="E416">
        <v>0.49392779999999997</v>
      </c>
      <c r="F416" t="s">
        <v>41</v>
      </c>
      <c r="G416">
        <v>-393.91980000000001</v>
      </c>
      <c r="H416" s="1">
        <v>-2.9698419999999998E-6</v>
      </c>
      <c r="I416">
        <v>367.47890000000001</v>
      </c>
      <c r="J416">
        <v>-419.27539999999999</v>
      </c>
      <c r="K416">
        <v>1.070676</v>
      </c>
      <c r="L416">
        <v>367.41820000000001</v>
      </c>
      <c r="M416">
        <v>0.99993929999999998</v>
      </c>
      <c r="N416">
        <v>-1.004468E-2</v>
      </c>
      <c r="O416">
        <v>4.5535050000000002E-3</v>
      </c>
      <c r="P416">
        <v>0.99477040000000005</v>
      </c>
      <c r="Q416">
        <v>-0.1012255</v>
      </c>
      <c r="R416">
        <v>-1.3621289999999999E-2</v>
      </c>
      <c r="S416">
        <v>3.0029910000000002</v>
      </c>
      <c r="T416">
        <v>-0.12606099999999901</v>
      </c>
      <c r="U416">
        <v>7.2326659999999996E-3</v>
      </c>
      <c r="V416">
        <v>1.8148089999999999E-2</v>
      </c>
      <c r="W416">
        <v>-9.1229580000000005E-2</v>
      </c>
      <c r="X416">
        <v>0.99566449999999995</v>
      </c>
      <c r="Y416">
        <v>2.140608E-3</v>
      </c>
      <c r="Z416">
        <v>-2.010065E-4</v>
      </c>
      <c r="AA416">
        <v>0.99999769999999999</v>
      </c>
      <c r="AB416">
        <v>15</v>
      </c>
      <c r="AC416">
        <v>25.3555999999999</v>
      </c>
      <c r="AD416">
        <v>-1.0706789698420001</v>
      </c>
      <c r="AE416">
        <v>6.0699999999996999E-2</v>
      </c>
      <c r="AF416">
        <v>5.4665819270900598E-2</v>
      </c>
      <c r="AG416">
        <v>-1.0706789698420001</v>
      </c>
      <c r="AH416">
        <v>25.310483166521902</v>
      </c>
      <c r="AI416">
        <v>92.422264753016606</v>
      </c>
      <c r="AJ416">
        <v>89.876252229677306</v>
      </c>
      <c r="AK416">
        <v>25.3331778490391</v>
      </c>
      <c r="AL416">
        <v>95.234347903067103</v>
      </c>
      <c r="AM416">
        <v>88.955778944545798</v>
      </c>
      <c r="AN416">
        <v>0.99999999299893705</v>
      </c>
    </row>
    <row r="417" spans="1:40" x14ac:dyDescent="0.25">
      <c r="A417" t="str">
        <f>"20190303154105336"</f>
        <v>20190303154105336</v>
      </c>
      <c r="B417" t="str">
        <f>"1551598865329348"</f>
        <v>1551598865329348</v>
      </c>
      <c r="C417" t="s">
        <v>40</v>
      </c>
      <c r="D417">
        <v>5.6885120000000002</v>
      </c>
      <c r="E417">
        <v>0.4938398</v>
      </c>
      <c r="F417" t="s">
        <v>41</v>
      </c>
      <c r="G417">
        <v>-394.0659</v>
      </c>
      <c r="H417" s="1">
        <v>-2.9035240000000001E-6</v>
      </c>
      <c r="I417">
        <v>367.49939999999998</v>
      </c>
      <c r="J417">
        <v>-419.1207</v>
      </c>
      <c r="K417">
        <v>1.0706690000000001</v>
      </c>
      <c r="L417">
        <v>367.41890000000001</v>
      </c>
      <c r="M417">
        <v>0.99994000000000005</v>
      </c>
      <c r="N417">
        <v>-9.9715629999999993E-3</v>
      </c>
      <c r="O417">
        <v>4.5606099999999997E-3</v>
      </c>
      <c r="P417">
        <v>0.99482570000000003</v>
      </c>
      <c r="Q417">
        <v>-0.1006727</v>
      </c>
      <c r="R417">
        <v>-1.367144E-2</v>
      </c>
      <c r="S417">
        <v>3.0028990000000002</v>
      </c>
      <c r="T417">
        <v>-0.1275365</v>
      </c>
      <c r="U417">
        <v>9.6740720000000006E-3</v>
      </c>
      <c r="V417">
        <v>1.8205659999999999E-2</v>
      </c>
      <c r="W417">
        <v>-9.0749070000000001E-2</v>
      </c>
      <c r="X417">
        <v>0.99570740000000002</v>
      </c>
      <c r="Y417">
        <v>1.335391E-3</v>
      </c>
      <c r="Z417">
        <v>-1.8315049999999999E-4</v>
      </c>
      <c r="AA417">
        <v>0.99999910000000003</v>
      </c>
      <c r="AB417">
        <v>15</v>
      </c>
      <c r="AC417">
        <v>25.0548</v>
      </c>
      <c r="AD417">
        <v>-1.070671903524</v>
      </c>
      <c r="AE417">
        <v>8.0499999999972205E-2</v>
      </c>
      <c r="AF417">
        <v>3.3710118183090297E-2</v>
      </c>
      <c r="AG417">
        <v>-1.070671903524</v>
      </c>
      <c r="AH417">
        <v>25.0092369940533</v>
      </c>
      <c r="AI417">
        <v>92.451393836649899</v>
      </c>
      <c r="AJ417">
        <v>89.922770681507799</v>
      </c>
      <c r="AK417">
        <v>25.0321674994753</v>
      </c>
      <c r="AL417">
        <v>95.206701819535994</v>
      </c>
      <c r="AM417">
        <v>88.952512290121405</v>
      </c>
      <c r="AN417">
        <v>1.0000000330883201</v>
      </c>
    </row>
    <row r="418" spans="1:40" x14ac:dyDescent="0.25">
      <c r="A418" t="str">
        <f>"20190303154105348"</f>
        <v>20190303154105348</v>
      </c>
      <c r="B418" t="str">
        <f>"1551598865339109"</f>
        <v>1551598865339109</v>
      </c>
      <c r="C418" t="s">
        <v>40</v>
      </c>
      <c r="D418">
        <v>5.6984329999999996</v>
      </c>
      <c r="E418">
        <v>0.49368410000000001</v>
      </c>
      <c r="F418" t="s">
        <v>41</v>
      </c>
      <c r="G418">
        <v>-393.71570000000003</v>
      </c>
      <c r="H418" s="1">
        <v>-3.0524619999999998E-6</v>
      </c>
      <c r="I418">
        <v>367.50670000000002</v>
      </c>
      <c r="J418">
        <v>-419.03149999999999</v>
      </c>
      <c r="K418">
        <v>1.070662</v>
      </c>
      <c r="L418">
        <v>367.41930000000002</v>
      </c>
      <c r="M418">
        <v>0.9999403</v>
      </c>
      <c r="N418">
        <v>-9.9337100000000001E-3</v>
      </c>
      <c r="O418">
        <v>4.5646749999999998E-3</v>
      </c>
      <c r="P418">
        <v>0.99482360000000003</v>
      </c>
      <c r="Q418">
        <v>-0.1006488</v>
      </c>
      <c r="R418">
        <v>-1.400653E-2</v>
      </c>
      <c r="S418">
        <v>3.0028990000000002</v>
      </c>
      <c r="T418">
        <v>-0.12655439999999901</v>
      </c>
      <c r="U418">
        <v>1.037598E-2</v>
      </c>
      <c r="V418">
        <v>1.854461E-2</v>
      </c>
      <c r="W418">
        <v>-9.0762830000000003E-2</v>
      </c>
      <c r="X418">
        <v>0.99569989999999997</v>
      </c>
      <c r="Y418">
        <v>1.1060289999999999E-3</v>
      </c>
      <c r="Z418">
        <v>-1.757497E-4</v>
      </c>
      <c r="AA418">
        <v>0.99999930000000004</v>
      </c>
      <c r="AB418">
        <v>15</v>
      </c>
      <c r="AC418">
        <v>25.3157999999999</v>
      </c>
      <c r="AD418">
        <v>-1.0706650524620001</v>
      </c>
      <c r="AE418">
        <v>8.7400000000002295E-2</v>
      </c>
      <c r="AF418">
        <v>2.8114718526194599E-2</v>
      </c>
      <c r="AG418">
        <v>-1.0706650524620001</v>
      </c>
      <c r="AH418">
        <v>25.270735387775598</v>
      </c>
      <c r="AI418">
        <v>92.4260427848685</v>
      </c>
      <c r="AJ418">
        <v>89.936256146707905</v>
      </c>
      <c r="AK418">
        <v>25.293421696776001</v>
      </c>
      <c r="AL418">
        <v>95.207493428033899</v>
      </c>
      <c r="AM418">
        <v>88.933006767458494</v>
      </c>
      <c r="AN418">
        <v>1.0000000423648301</v>
      </c>
    </row>
    <row r="419" spans="1:40" x14ac:dyDescent="0.25">
      <c r="A419" t="str">
        <f>"20190303154105362"</f>
        <v>20190303154105362</v>
      </c>
      <c r="B419" t="str">
        <f>"1551598865359604"</f>
        <v>1551598865359604</v>
      </c>
      <c r="C419" t="s">
        <v>40</v>
      </c>
      <c r="D419">
        <v>5.710852</v>
      </c>
      <c r="E419">
        <v>0.49345909999999898</v>
      </c>
      <c r="F419" t="s">
        <v>41</v>
      </c>
      <c r="G419">
        <v>-393.9665</v>
      </c>
      <c r="H419" s="1">
        <v>-2.9448659999999999E-6</v>
      </c>
      <c r="I419">
        <v>367.50670000000002</v>
      </c>
      <c r="J419">
        <v>-418.94069999999999</v>
      </c>
      <c r="K419">
        <v>1.0706580000000001</v>
      </c>
      <c r="L419">
        <v>367.41980000000001</v>
      </c>
      <c r="M419">
        <v>0.99994059999999996</v>
      </c>
      <c r="N419">
        <v>-9.8971240000000002E-3</v>
      </c>
      <c r="O419">
        <v>4.5689110000000002E-3</v>
      </c>
      <c r="P419">
        <v>0.99481810000000004</v>
      </c>
      <c r="Q419">
        <v>-0.1007518</v>
      </c>
      <c r="R419">
        <v>-1.3647279999999999E-2</v>
      </c>
      <c r="S419">
        <v>3.0028079999999999</v>
      </c>
      <c r="T419">
        <v>-0.12826609999999999</v>
      </c>
      <c r="U419">
        <v>1.0467529999999999E-2</v>
      </c>
      <c r="V419">
        <v>1.8189429999999999E-2</v>
      </c>
      <c r="W419">
        <v>-9.0902339999999998E-2</v>
      </c>
      <c r="X419">
        <v>0.99569370000000001</v>
      </c>
      <c r="Y419">
        <v>1.079579E-3</v>
      </c>
      <c r="Z419">
        <v>-1.782602E-4</v>
      </c>
      <c r="AA419">
        <v>0.99999939999999998</v>
      </c>
      <c r="AB419">
        <v>16</v>
      </c>
      <c r="AC419">
        <v>24.9742</v>
      </c>
      <c r="AD419">
        <v>-1.0706609448659901</v>
      </c>
      <c r="AE419">
        <v>8.6900000000014105E-2</v>
      </c>
      <c r="AF419">
        <v>2.716147194386E-2</v>
      </c>
      <c r="AG419">
        <v>-1.0706609448659901</v>
      </c>
      <c r="AH419">
        <v>24.9285209083402</v>
      </c>
      <c r="AI419">
        <v>92.459297109865901</v>
      </c>
      <c r="AJ419">
        <v>89.937572024524499</v>
      </c>
      <c r="AK419">
        <v>24.951517133873299</v>
      </c>
      <c r="AL419">
        <v>95.215520072131497</v>
      </c>
      <c r="AM419">
        <v>88.953431501131007</v>
      </c>
      <c r="AN419">
        <v>1.00000001750044</v>
      </c>
    </row>
    <row r="420" spans="1:40" x14ac:dyDescent="0.25">
      <c r="A420" t="str">
        <f>"20190303154105382"</f>
        <v>20190303154105382</v>
      </c>
      <c r="B420" t="str">
        <f>"1551598865369363"</f>
        <v>1551598865369363</v>
      </c>
      <c r="C420" t="s">
        <v>40</v>
      </c>
      <c r="D420">
        <v>5.6491480000000003</v>
      </c>
      <c r="E420">
        <v>0.49330439999999998</v>
      </c>
      <c r="F420" t="s">
        <v>41</v>
      </c>
      <c r="G420">
        <v>-394.51499999999999</v>
      </c>
      <c r="H420" s="1">
        <v>-2.705892E-6</v>
      </c>
      <c r="I420">
        <v>367.52749999999997</v>
      </c>
      <c r="J420">
        <v>-418.80250000000001</v>
      </c>
      <c r="K420">
        <v>1.070657</v>
      </c>
      <c r="L420">
        <v>367.42039999999997</v>
      </c>
      <c r="M420">
        <v>0.99994110000000003</v>
      </c>
      <c r="N420">
        <v>-9.8470729999999996E-3</v>
      </c>
      <c r="O420">
        <v>4.5751790000000004E-3</v>
      </c>
      <c r="P420">
        <v>0.99481509999999995</v>
      </c>
      <c r="Q420">
        <v>-0.1007798</v>
      </c>
      <c r="R420">
        <v>-1.366477E-2</v>
      </c>
      <c r="S420">
        <v>3.002472</v>
      </c>
      <c r="T420">
        <v>-0.131608</v>
      </c>
      <c r="U420">
        <v>1.324463E-2</v>
      </c>
      <c r="V420">
        <v>1.821325E-2</v>
      </c>
      <c r="W420">
        <v>-9.0980249999999999E-2</v>
      </c>
      <c r="X420">
        <v>0.99568610000000002</v>
      </c>
      <c r="Y420">
        <v>1.613734E-4</v>
      </c>
      <c r="Z420">
        <v>-1.597402E-4</v>
      </c>
      <c r="AA420">
        <v>1</v>
      </c>
      <c r="AB420">
        <v>16</v>
      </c>
      <c r="AC420">
        <v>24.287500000000001</v>
      </c>
      <c r="AD420">
        <v>-1.070659705892</v>
      </c>
      <c r="AE420">
        <v>0.107100000000002</v>
      </c>
      <c r="AF420">
        <v>4.0183544825188799E-3</v>
      </c>
      <c r="AG420">
        <v>-1.070659705892</v>
      </c>
      <c r="AH420">
        <v>24.240630180430401</v>
      </c>
      <c r="AI420">
        <v>92.528995220517004</v>
      </c>
      <c r="AJ420">
        <v>89.990502113657399</v>
      </c>
      <c r="AK420">
        <v>24.264263431997801</v>
      </c>
      <c r="AL420">
        <v>95.220002814140699</v>
      </c>
      <c r="AM420">
        <v>88.952053273889206</v>
      </c>
      <c r="AN420">
        <v>0.99999996904941701</v>
      </c>
    </row>
    <row r="421" spans="1:40" x14ac:dyDescent="0.25">
      <c r="A421" t="str">
        <f>"20190303154105403"</f>
        <v>20190303154105403</v>
      </c>
      <c r="B421" t="str">
        <f>"1551598865399619"</f>
        <v>1551598865399619</v>
      </c>
      <c r="C421" t="s">
        <v>40</v>
      </c>
      <c r="D421">
        <v>5.6379900000000003</v>
      </c>
      <c r="E421">
        <v>0.4932337</v>
      </c>
      <c r="F421" t="s">
        <v>41</v>
      </c>
      <c r="G421">
        <v>-394.64550000000003</v>
      </c>
      <c r="H421" s="1">
        <v>-2.6483109999999998E-6</v>
      </c>
      <c r="I421">
        <v>367.53649999999999</v>
      </c>
      <c r="J421">
        <v>-418.6465</v>
      </c>
      <c r="K421">
        <v>1.070651</v>
      </c>
      <c r="L421">
        <v>367.42110000000002</v>
      </c>
      <c r="M421">
        <v>0.99994150000000004</v>
      </c>
      <c r="N421">
        <v>-9.7978990000000005E-3</v>
      </c>
      <c r="O421">
        <v>4.582516E-3</v>
      </c>
      <c r="P421">
        <v>0.99480820000000003</v>
      </c>
      <c r="Q421">
        <v>-0.100899</v>
      </c>
      <c r="R421">
        <v>-1.3271349999999999E-2</v>
      </c>
      <c r="S421">
        <v>3.0023499999999999</v>
      </c>
      <c r="T421">
        <v>-0.1330664</v>
      </c>
      <c r="U421">
        <v>1.4434809999999999E-2</v>
      </c>
      <c r="V421">
        <v>1.7827139999999998E-2</v>
      </c>
      <c r="W421">
        <v>-9.1148370000000006E-2</v>
      </c>
      <c r="X421">
        <v>0.99567779999999995</v>
      </c>
      <c r="Y421">
        <v>-2.2750550000000001E-4</v>
      </c>
      <c r="Z421">
        <v>-1.5196139999999999E-4</v>
      </c>
      <c r="AA421">
        <v>0.99999990000000005</v>
      </c>
      <c r="AB421">
        <v>16</v>
      </c>
      <c r="AC421">
        <v>24.000999999999902</v>
      </c>
      <c r="AD421">
        <v>-1.0706536483110001</v>
      </c>
      <c r="AE421">
        <v>0.115399999999965</v>
      </c>
      <c r="AF421">
        <v>-5.39780115648472E-3</v>
      </c>
      <c r="AG421">
        <v>-1.0706536483110001</v>
      </c>
      <c r="AH421">
        <v>23.953611741765901</v>
      </c>
      <c r="AI421">
        <v>92.559243759456393</v>
      </c>
      <c r="AJ421">
        <v>90.012911256265497</v>
      </c>
      <c r="AK421">
        <v>23.977527892719898</v>
      </c>
      <c r="AL421">
        <v>95.229675110662598</v>
      </c>
      <c r="AM421">
        <v>88.974255770748599</v>
      </c>
      <c r="AN421">
        <v>1.0000000568435301</v>
      </c>
    </row>
    <row r="422" spans="1:40" x14ac:dyDescent="0.25">
      <c r="A422" t="str">
        <f>"20190303154105424"</f>
        <v>20190303154105424</v>
      </c>
      <c r="B422" t="str">
        <f>"1551598865419140"</f>
        <v>1551598865419140</v>
      </c>
      <c r="C422" t="s">
        <v>40</v>
      </c>
      <c r="D422">
        <v>5.6482849999999996</v>
      </c>
      <c r="E422">
        <v>0.493226</v>
      </c>
      <c r="F422" t="s">
        <v>41</v>
      </c>
      <c r="G422">
        <v>-394.78680000000003</v>
      </c>
      <c r="H422" s="1">
        <v>-2.5855399999999999E-6</v>
      </c>
      <c r="I422">
        <v>367.54860000000002</v>
      </c>
      <c r="J422">
        <v>-418.50130000000001</v>
      </c>
      <c r="K422">
        <v>1.070646</v>
      </c>
      <c r="L422">
        <v>367.42180000000002</v>
      </c>
      <c r="M422">
        <v>0.99994190000000005</v>
      </c>
      <c r="N422">
        <v>-9.7576959999999997E-3</v>
      </c>
      <c r="O422">
        <v>4.5889149999999998E-3</v>
      </c>
      <c r="P422">
        <v>0.99479960000000001</v>
      </c>
      <c r="Q422">
        <v>-0.10100919999999999</v>
      </c>
      <c r="R422">
        <v>-1.3076849999999999E-2</v>
      </c>
      <c r="S422">
        <v>3.0021969999999998</v>
      </c>
      <c r="T422">
        <v>-0.1347169</v>
      </c>
      <c r="U422">
        <v>1.6052250000000001E-2</v>
      </c>
      <c r="V422">
        <v>1.7639200000000001E-2</v>
      </c>
      <c r="W422">
        <v>-9.1298710000000005E-2</v>
      </c>
      <c r="X422">
        <v>0.99566730000000003</v>
      </c>
      <c r="Y422">
        <v>-7.5952910000000003E-4</v>
      </c>
      <c r="Z422">
        <v>-1.4030999999999999E-4</v>
      </c>
      <c r="AA422">
        <v>0.99999970000000005</v>
      </c>
      <c r="AB422">
        <v>16</v>
      </c>
      <c r="AC422">
        <v>23.714499999999902</v>
      </c>
      <c r="AD422">
        <v>-1.0706485855399901</v>
      </c>
      <c r="AE422">
        <v>0.12680000000000199</v>
      </c>
      <c r="AF422">
        <v>-1.7933111141942099E-2</v>
      </c>
      <c r="AG422">
        <v>-1.0706485855399901</v>
      </c>
      <c r="AH422">
        <v>23.666594184836399</v>
      </c>
      <c r="AI422">
        <v>92.590226161705203</v>
      </c>
      <c r="AJ422">
        <v>90.043415261921297</v>
      </c>
      <c r="AK422">
        <v>23.690806028920299</v>
      </c>
      <c r="AL422">
        <v>95.238325406346107</v>
      </c>
      <c r="AM422">
        <v>88.985056553388901</v>
      </c>
      <c r="AN422">
        <v>0.99999998405679602</v>
      </c>
    </row>
    <row r="423" spans="1:40" x14ac:dyDescent="0.25">
      <c r="A423" t="str">
        <f>"20190303154105447"</f>
        <v>20190303154105447</v>
      </c>
      <c r="B423" t="str">
        <f>"1551598865439635"</f>
        <v>1551598865439635</v>
      </c>
      <c r="C423" t="s">
        <v>40</v>
      </c>
      <c r="D423">
        <v>5.6979430000000004</v>
      </c>
      <c r="E423">
        <v>0.49318879999999998</v>
      </c>
      <c r="F423" t="s">
        <v>41</v>
      </c>
      <c r="G423">
        <v>-394.69880000000001</v>
      </c>
      <c r="H423" s="1">
        <v>-2.6224550000000001E-6</v>
      </c>
      <c r="I423">
        <v>367.55329999999998</v>
      </c>
      <c r="J423">
        <v>-418.34160000000003</v>
      </c>
      <c r="K423">
        <v>1.0706420000000001</v>
      </c>
      <c r="L423">
        <v>367.42250000000001</v>
      </c>
      <c r="M423">
        <v>0.9999422</v>
      </c>
      <c r="N423">
        <v>-9.7193039999999998E-3</v>
      </c>
      <c r="O423">
        <v>4.5960200000000001E-3</v>
      </c>
      <c r="P423">
        <v>0.99478979999999995</v>
      </c>
      <c r="Q423">
        <v>-0.1011841</v>
      </c>
      <c r="R423">
        <v>-1.24645E-2</v>
      </c>
      <c r="S423">
        <v>3.0021969999999998</v>
      </c>
      <c r="T423">
        <v>-0.13503970000000001</v>
      </c>
      <c r="U423">
        <v>1.6601560000000001E-2</v>
      </c>
      <c r="V423">
        <v>1.7033610000000001E-2</v>
      </c>
      <c r="W423">
        <v>-9.1511880000000004E-2</v>
      </c>
      <c r="X423">
        <v>0.9956583</v>
      </c>
      <c r="Y423">
        <v>-9.3519960000000004E-4</v>
      </c>
      <c r="Z423">
        <v>-1.3640000000000001E-4</v>
      </c>
      <c r="AA423">
        <v>0.99999959999999999</v>
      </c>
      <c r="AB423">
        <v>16</v>
      </c>
      <c r="AC423">
        <v>23.642800000000001</v>
      </c>
      <c r="AD423">
        <v>-1.0706446224549999</v>
      </c>
      <c r="AE423">
        <v>0.130799999999965</v>
      </c>
      <c r="AF423">
        <v>-2.2085415300010298E-2</v>
      </c>
      <c r="AG423">
        <v>-1.0706446224549999</v>
      </c>
      <c r="AH423">
        <v>23.594768177092</v>
      </c>
      <c r="AI423">
        <v>92.598090414367405</v>
      </c>
      <c r="AJ423">
        <v>90.053630563624296</v>
      </c>
      <c r="AK423">
        <v>23.619056988031399</v>
      </c>
      <c r="AL423">
        <v>95.250590359896805</v>
      </c>
      <c r="AM423">
        <v>89.019885872911999</v>
      </c>
      <c r="AN423">
        <v>1.00000000920482</v>
      </c>
    </row>
    <row r="424" spans="1:40" x14ac:dyDescent="0.25">
      <c r="A424" t="str">
        <f>"20190303154105470"</f>
        <v>20190303154105470</v>
      </c>
      <c r="B424" t="str">
        <f>"1551598865459155"</f>
        <v>1551598865459155</v>
      </c>
      <c r="C424" t="s">
        <v>40</v>
      </c>
      <c r="D424">
        <v>5.6402590000000004</v>
      </c>
      <c r="E424">
        <v>0.493282</v>
      </c>
      <c r="F424" t="s">
        <v>41</v>
      </c>
      <c r="G424">
        <v>-394.67790000000002</v>
      </c>
      <c r="H424" s="1">
        <v>-2.6282819999999998E-6</v>
      </c>
      <c r="I424">
        <v>367.57089999999999</v>
      </c>
      <c r="J424">
        <v>-418.17630000000003</v>
      </c>
      <c r="K424">
        <v>1.0706389999999999</v>
      </c>
      <c r="L424">
        <v>367.42320000000001</v>
      </c>
      <c r="M424">
        <v>0.99994249999999996</v>
      </c>
      <c r="N424">
        <v>-9.6854209999999996E-3</v>
      </c>
      <c r="O424">
        <v>4.6033979999999999E-3</v>
      </c>
      <c r="P424">
        <v>0.99478120000000003</v>
      </c>
      <c r="Q424">
        <v>-0.1012542</v>
      </c>
      <c r="R424">
        <v>-1.256995E-2</v>
      </c>
      <c r="S424">
        <v>3.002167</v>
      </c>
      <c r="T424">
        <v>-0.13583020000000001</v>
      </c>
      <c r="U424">
        <v>1.8829350000000002E-2</v>
      </c>
      <c r="V424">
        <v>1.714661E-2</v>
      </c>
      <c r="W424">
        <v>-9.1615810000000006E-2</v>
      </c>
      <c r="X424">
        <v>0.99564680000000005</v>
      </c>
      <c r="Y424">
        <v>-1.6690400000000001E-3</v>
      </c>
      <c r="Z424">
        <v>-1.177724E-4</v>
      </c>
      <c r="AA424">
        <v>0.99999859999999896</v>
      </c>
      <c r="AB424">
        <v>16</v>
      </c>
      <c r="AC424">
        <v>23.4984</v>
      </c>
      <c r="AD424">
        <v>-1.0706416282819999</v>
      </c>
      <c r="AE424">
        <v>0.14769999999998601</v>
      </c>
      <c r="AF424">
        <v>-3.9439004184681797E-2</v>
      </c>
      <c r="AG424">
        <v>-1.0706416282819999</v>
      </c>
      <c r="AH424">
        <v>23.450152113951098</v>
      </c>
      <c r="AI424">
        <v>92.614080718249198</v>
      </c>
      <c r="AJ424">
        <v>90.096361266505696</v>
      </c>
      <c r="AK424">
        <v>23.4746131618543</v>
      </c>
      <c r="AL424">
        <v>95.256570244063099</v>
      </c>
      <c r="AM424">
        <v>89.0133737391062</v>
      </c>
      <c r="AN424">
        <v>1.0000000066133401</v>
      </c>
    </row>
    <row r="425" spans="1:40" x14ac:dyDescent="0.25">
      <c r="A425" t="str">
        <f>"20190303154105491"</f>
        <v>20190303154105491</v>
      </c>
      <c r="B425" t="str">
        <f>"1551598865479651"</f>
        <v>1551598865479651</v>
      </c>
      <c r="C425" t="s">
        <v>40</v>
      </c>
      <c r="D425">
        <v>5.6919899999999997</v>
      </c>
      <c r="E425">
        <v>0.49315520000000002</v>
      </c>
      <c r="F425" t="s">
        <v>41</v>
      </c>
      <c r="G425">
        <v>-394.46570000000003</v>
      </c>
      <c r="H425" s="1">
        <v>-2.7207649999999999E-6</v>
      </c>
      <c r="I425">
        <v>367.56270000000001</v>
      </c>
      <c r="J425">
        <v>-418.02769999999998</v>
      </c>
      <c r="K425">
        <v>1.0706340000000001</v>
      </c>
      <c r="L425">
        <v>367.42399999999998</v>
      </c>
      <c r="M425">
        <v>0.99994280000000002</v>
      </c>
      <c r="N425">
        <v>-9.659483E-3</v>
      </c>
      <c r="O425">
        <v>4.6104359999999999E-3</v>
      </c>
      <c r="P425">
        <v>0.99474079999999998</v>
      </c>
      <c r="Q425">
        <v>-0.1015522</v>
      </c>
      <c r="R425">
        <v>-1.334578E-2</v>
      </c>
      <c r="S425">
        <v>3.002167</v>
      </c>
      <c r="T425">
        <v>-0.13556089999999901</v>
      </c>
      <c r="U425">
        <v>1.766968E-2</v>
      </c>
      <c r="V425">
        <v>1.792914E-2</v>
      </c>
      <c r="W425">
        <v>-9.1940079999999993E-2</v>
      </c>
      <c r="X425">
        <v>0.99560309999999996</v>
      </c>
      <c r="Y425">
        <v>-1.2762310000000001E-3</v>
      </c>
      <c r="Z425">
        <v>-1.2858799999999901E-4</v>
      </c>
      <c r="AA425">
        <v>0.99999919999999998</v>
      </c>
      <c r="AB425">
        <v>16</v>
      </c>
      <c r="AC425">
        <v>23.561999999999902</v>
      </c>
      <c r="AD425">
        <v>-1.070636720765</v>
      </c>
      <c r="AE425">
        <v>0.13869999999997101</v>
      </c>
      <c r="AF425">
        <v>-3.00004331972866E-2</v>
      </c>
      <c r="AG425">
        <v>-1.070636720765</v>
      </c>
      <c r="AH425">
        <v>23.513841371932902</v>
      </c>
      <c r="AI425">
        <v>92.606999667653497</v>
      </c>
      <c r="AJ425">
        <v>90.0731015084218</v>
      </c>
      <c r="AK425">
        <v>23.538222088302799</v>
      </c>
      <c r="AL425">
        <v>95.275228420072807</v>
      </c>
      <c r="AM425">
        <v>88.968310738698307</v>
      </c>
      <c r="AN425">
        <v>0.99999998255057698</v>
      </c>
    </row>
    <row r="426" spans="1:40" x14ac:dyDescent="0.25">
      <c r="A426" t="str">
        <f>"20190303154105513"</f>
        <v>20190303154105513</v>
      </c>
      <c r="B426" t="str">
        <f>"1551598865509907"</f>
        <v>1551598865509907</v>
      </c>
      <c r="C426" t="s">
        <v>40</v>
      </c>
      <c r="D426">
        <v>5.6982109999999997</v>
      </c>
      <c r="E426">
        <v>0.49323080000000002</v>
      </c>
      <c r="F426" t="s">
        <v>41</v>
      </c>
      <c r="G426">
        <v>-394.71159999999998</v>
      </c>
      <c r="H426" s="1">
        <v>-2.6172830000000001E-6</v>
      </c>
      <c r="I426">
        <v>367.5514</v>
      </c>
      <c r="J426">
        <v>-417.87200000000001</v>
      </c>
      <c r="K426">
        <v>1.0706260000000001</v>
      </c>
      <c r="L426">
        <v>367.42469999999997</v>
      </c>
      <c r="M426">
        <v>0.99994300000000003</v>
      </c>
      <c r="N426">
        <v>-9.6363760000000003E-3</v>
      </c>
      <c r="O426">
        <v>4.6181140000000004E-3</v>
      </c>
      <c r="P426">
        <v>0.99474280000000004</v>
      </c>
      <c r="Q426">
        <v>-0.1014282</v>
      </c>
      <c r="R426">
        <v>-1.411184E-2</v>
      </c>
      <c r="S426">
        <v>3.0020449999999999</v>
      </c>
      <c r="T426">
        <v>-0.13784859999999999</v>
      </c>
      <c r="U426">
        <v>1.6418459999999999E-2</v>
      </c>
      <c r="V426">
        <v>1.8702880000000002E-2</v>
      </c>
      <c r="W426">
        <v>-9.1839089999999998E-2</v>
      </c>
      <c r="X426">
        <v>0.99559819999999999</v>
      </c>
      <c r="Y426">
        <v>-8.5264330000000004E-4</v>
      </c>
      <c r="Z426">
        <v>-1.4378040000000001E-4</v>
      </c>
      <c r="AA426">
        <v>0.99999959999999999</v>
      </c>
      <c r="AB426">
        <v>16</v>
      </c>
      <c r="AC426">
        <v>23.1603999999999</v>
      </c>
      <c r="AD426">
        <v>-1.070628617283</v>
      </c>
      <c r="AE426">
        <v>0.12670000000002801</v>
      </c>
      <c r="AF426">
        <v>-1.96942416163443E-2</v>
      </c>
      <c r="AG426">
        <v>-1.070628617283</v>
      </c>
      <c r="AH426">
        <v>23.111352817939501</v>
      </c>
      <c r="AI426">
        <v>92.652317924040204</v>
      </c>
      <c r="AJ426">
        <v>90.048824344515296</v>
      </c>
      <c r="AK426">
        <v>23.136146234292699</v>
      </c>
      <c r="AL426">
        <v>95.269417463401695</v>
      </c>
      <c r="AM426">
        <v>88.923792689819805</v>
      </c>
      <c r="AN426">
        <v>0.999999996007781</v>
      </c>
    </row>
    <row r="427" spans="1:40" x14ac:dyDescent="0.25">
      <c r="A427" t="str">
        <f>"20190303154105537"</f>
        <v>20190303154105537</v>
      </c>
      <c r="B427" t="str">
        <f>"1551598865529427"</f>
        <v>1551598865529427</v>
      </c>
      <c r="C427" t="s">
        <v>40</v>
      </c>
      <c r="D427">
        <v>5.6461839999999999</v>
      </c>
      <c r="E427">
        <v>0.49329299999999998</v>
      </c>
      <c r="F427" t="s">
        <v>41</v>
      </c>
      <c r="G427">
        <v>-394.22570000000002</v>
      </c>
      <c r="H427" s="1">
        <v>-2.8298680000000002E-6</v>
      </c>
      <c r="I427">
        <v>367.52820000000003</v>
      </c>
      <c r="J427">
        <v>-417.70909999999998</v>
      </c>
      <c r="K427">
        <v>1.0706209999999901</v>
      </c>
      <c r="L427">
        <v>367.42540000000002</v>
      </c>
      <c r="M427">
        <v>0.99994309999999997</v>
      </c>
      <c r="N427">
        <v>-9.6160659999999995E-3</v>
      </c>
      <c r="O427">
        <v>4.6257809999999998E-3</v>
      </c>
      <c r="P427">
        <v>0.99470440000000004</v>
      </c>
      <c r="Q427">
        <v>-0.1017463</v>
      </c>
      <c r="R427">
        <v>-1.452255E-2</v>
      </c>
      <c r="S427">
        <v>3.002167</v>
      </c>
      <c r="T427">
        <v>-0.13592799999999999</v>
      </c>
      <c r="U427">
        <v>1.3153079999999999E-2</v>
      </c>
      <c r="V427">
        <v>1.9120979999999999E-2</v>
      </c>
      <c r="W427">
        <v>-9.2177789999999996E-2</v>
      </c>
      <c r="X427">
        <v>0.99555899999999997</v>
      </c>
      <c r="Y427">
        <v>2.4160570000000001E-4</v>
      </c>
      <c r="Z427">
        <v>-1.714947E-4</v>
      </c>
      <c r="AA427">
        <v>0.99999990000000005</v>
      </c>
      <c r="AB427">
        <v>16</v>
      </c>
      <c r="AC427">
        <v>23.4833999999999</v>
      </c>
      <c r="AD427">
        <v>-1.07062382986799</v>
      </c>
      <c r="AE427">
        <v>0.102800000000001</v>
      </c>
      <c r="AF427">
        <v>5.82308135028643E-3</v>
      </c>
      <c r="AG427">
        <v>-1.07062382986799</v>
      </c>
      <c r="AH427">
        <v>23.434915536645502</v>
      </c>
      <c r="AI427">
        <v>92.6157381330014</v>
      </c>
      <c r="AJ427">
        <v>89.985763209696898</v>
      </c>
      <c r="AK427">
        <v>23.459359230444999</v>
      </c>
      <c r="AL427">
        <v>95.288905979389199</v>
      </c>
      <c r="AM427">
        <v>88.899696778806103</v>
      </c>
      <c r="AN427">
        <v>1.00000003966322</v>
      </c>
    </row>
    <row r="428" spans="1:40" x14ac:dyDescent="0.25">
      <c r="A428" t="str">
        <f>"20190303154105548"</f>
        <v>20190303154105548</v>
      </c>
      <c r="B428" t="str">
        <f>"1551598865539188"</f>
        <v>1551598865539188</v>
      </c>
      <c r="C428" t="s">
        <v>40</v>
      </c>
      <c r="D428">
        <v>5.676641</v>
      </c>
      <c r="E428">
        <v>0.49329079999999897</v>
      </c>
      <c r="F428" t="s">
        <v>41</v>
      </c>
      <c r="G428">
        <v>-393.88799999999998</v>
      </c>
      <c r="H428" s="1">
        <v>-2.9765709999999998E-6</v>
      </c>
      <c r="I428">
        <v>367.5179</v>
      </c>
      <c r="J428">
        <v>-417.6146</v>
      </c>
      <c r="K428">
        <v>1.0706169999999999</v>
      </c>
      <c r="L428">
        <v>367.42590000000001</v>
      </c>
      <c r="M428">
        <v>0.99994309999999997</v>
      </c>
      <c r="N428">
        <v>-9.6059939999999996E-3</v>
      </c>
      <c r="O428">
        <v>4.63036E-3</v>
      </c>
      <c r="P428">
        <v>0.99469660000000004</v>
      </c>
      <c r="Q428">
        <v>-0.1017864</v>
      </c>
      <c r="R428">
        <v>-1.477434E-2</v>
      </c>
      <c r="S428">
        <v>3.0023499999999999</v>
      </c>
      <c r="T428">
        <v>-0.1349379</v>
      </c>
      <c r="U428">
        <v>1.165771E-2</v>
      </c>
      <c r="V428">
        <v>1.937724E-2</v>
      </c>
      <c r="W428">
        <v>-9.2228099999999993E-2</v>
      </c>
      <c r="X428">
        <v>0.99554929999999997</v>
      </c>
      <c r="Y428">
        <v>7.4394499999999998E-4</v>
      </c>
      <c r="Z428">
        <v>-1.8382279999999999E-4</v>
      </c>
      <c r="AA428">
        <v>0.99999970000000005</v>
      </c>
      <c r="AB428">
        <v>16</v>
      </c>
      <c r="AC428">
        <v>23.726599999999902</v>
      </c>
      <c r="AD428">
        <v>-1.0706199765709901</v>
      </c>
      <c r="AE428">
        <v>9.1999999999984497E-2</v>
      </c>
      <c r="AF428">
        <v>1.7832451387850601E-2</v>
      </c>
      <c r="AG428">
        <v>-1.0706199765709901</v>
      </c>
      <c r="AH428">
        <v>23.678560381478999</v>
      </c>
      <c r="AI428">
        <v>92.588849870780905</v>
      </c>
      <c r="AJ428">
        <v>89.956850247934298</v>
      </c>
      <c r="AK428">
        <v>23.702758634173801</v>
      </c>
      <c r="AL428">
        <v>95.291801314497107</v>
      </c>
      <c r="AM428">
        <v>88.884943315898596</v>
      </c>
      <c r="AN428">
        <v>0.99999995429505695</v>
      </c>
    </row>
    <row r="429" spans="1:40" x14ac:dyDescent="0.25">
      <c r="A429" t="str">
        <f>"20190303154105562"</f>
        <v>20190303154105562</v>
      </c>
      <c r="B429" t="str">
        <f>"1551598865559684"</f>
        <v>1551598865559684</v>
      </c>
      <c r="C429" t="s">
        <v>40</v>
      </c>
      <c r="D429">
        <v>5.6714769999999897</v>
      </c>
      <c r="E429">
        <v>0.49331449999999999</v>
      </c>
      <c r="F429" t="s">
        <v>41</v>
      </c>
      <c r="G429">
        <v>-393.6542</v>
      </c>
      <c r="H429" s="1">
        <v>-3.0779030000000001E-6</v>
      </c>
      <c r="I429">
        <v>367.512</v>
      </c>
      <c r="J429">
        <v>-417.5222</v>
      </c>
      <c r="K429">
        <v>1.0706150000000001</v>
      </c>
      <c r="L429">
        <v>367.42630000000003</v>
      </c>
      <c r="M429">
        <v>0.99994329999999998</v>
      </c>
      <c r="N429">
        <v>-9.5969620000000005E-3</v>
      </c>
      <c r="O429">
        <v>4.634577E-3</v>
      </c>
      <c r="P429">
        <v>0.99468480000000004</v>
      </c>
      <c r="Q429">
        <v>-0.1019013</v>
      </c>
      <c r="R429">
        <v>-1.478637E-2</v>
      </c>
      <c r="S429">
        <v>3.002472</v>
      </c>
      <c r="T429">
        <v>-0.13415850000000001</v>
      </c>
      <c r="U429">
        <v>1.0803220000000001E-2</v>
      </c>
      <c r="V429">
        <v>1.9393259999999999E-2</v>
      </c>
      <c r="W429">
        <v>-9.2352080000000003E-2</v>
      </c>
      <c r="X429">
        <v>0.99553749999999996</v>
      </c>
      <c r="Y429">
        <v>1.0326090000000001E-3</v>
      </c>
      <c r="Z429">
        <v>-1.905353E-4</v>
      </c>
      <c r="AA429">
        <v>0.99999950000000004</v>
      </c>
      <c r="AB429">
        <v>16</v>
      </c>
      <c r="AC429">
        <v>23.867999999999899</v>
      </c>
      <c r="AD429">
        <v>-1.0706180779029999</v>
      </c>
      <c r="AE429">
        <v>8.5699999999917495E-2</v>
      </c>
      <c r="AF429">
        <v>2.48740415559143E-2</v>
      </c>
      <c r="AG429">
        <v>-1.0706180779029999</v>
      </c>
      <c r="AH429">
        <v>23.820214184153102</v>
      </c>
      <c r="AI429">
        <v>92.573470054339694</v>
      </c>
      <c r="AJ429">
        <v>89.940169426204704</v>
      </c>
      <c r="AK429">
        <v>23.8442749012337</v>
      </c>
      <c r="AL429">
        <v>95.298935264253103</v>
      </c>
      <c r="AM429">
        <v>88.884008459261196</v>
      </c>
      <c r="AN429">
        <v>0.99999995956000098</v>
      </c>
    </row>
    <row r="430" spans="1:40" x14ac:dyDescent="0.25">
      <c r="A430" t="str">
        <f>"20190303154105582"</f>
        <v>20190303154105582</v>
      </c>
      <c r="B430" t="str">
        <f>"1551598865569447"</f>
        <v>1551598865569447</v>
      </c>
      <c r="C430" t="s">
        <v>40</v>
      </c>
      <c r="D430">
        <v>5.6822809999999997</v>
      </c>
      <c r="E430">
        <v>0.4932781</v>
      </c>
      <c r="F430" t="s">
        <v>41</v>
      </c>
      <c r="G430">
        <v>-393.40170000000001</v>
      </c>
      <c r="H430" s="1">
        <v>-3.1862169999999999E-6</v>
      </c>
      <c r="I430">
        <v>367.51209999999998</v>
      </c>
      <c r="J430">
        <v>-417.38639999999998</v>
      </c>
      <c r="K430">
        <v>1.070614</v>
      </c>
      <c r="L430">
        <v>367.42689999999999</v>
      </c>
      <c r="M430">
        <v>0.99994329999999998</v>
      </c>
      <c r="N430">
        <v>-9.585362E-3</v>
      </c>
      <c r="O430">
        <v>4.6407139999999998E-3</v>
      </c>
      <c r="P430">
        <v>0.99471160000000003</v>
      </c>
      <c r="Q430">
        <v>-0.10157969999999999</v>
      </c>
      <c r="R430">
        <v>-1.518297E-2</v>
      </c>
      <c r="S430">
        <v>3.0025330000000001</v>
      </c>
      <c r="T430">
        <v>-0.13327049999999999</v>
      </c>
      <c r="U430">
        <v>1.068115E-2</v>
      </c>
      <c r="V430">
        <v>1.9796129999999999E-2</v>
      </c>
      <c r="W430">
        <v>-9.2041810000000002E-2</v>
      </c>
      <c r="X430">
        <v>0.99555830000000001</v>
      </c>
      <c r="Y430">
        <v>1.0794769999999999E-3</v>
      </c>
      <c r="Z430">
        <v>-1.9053479999999999E-4</v>
      </c>
      <c r="AA430">
        <v>0.99999939999999998</v>
      </c>
      <c r="AB430">
        <v>16</v>
      </c>
      <c r="AC430">
        <v>23.984699999999901</v>
      </c>
      <c r="AD430">
        <v>-1.070617186217</v>
      </c>
      <c r="AE430">
        <v>8.5199999999986106E-2</v>
      </c>
      <c r="AF430">
        <v>2.60602387313284E-2</v>
      </c>
      <c r="AG430">
        <v>-1.070617186217</v>
      </c>
      <c r="AH430">
        <v>23.9371427909172</v>
      </c>
      <c r="AI430">
        <v>92.560913644795804</v>
      </c>
      <c r="AJ430">
        <v>89.937622417364807</v>
      </c>
      <c r="AK430">
        <v>23.961087314398402</v>
      </c>
      <c r="AL430">
        <v>95.281082084915099</v>
      </c>
      <c r="AM430">
        <v>88.860855013442105</v>
      </c>
      <c r="AN430">
        <v>0.99999995512496997</v>
      </c>
    </row>
    <row r="431" spans="1:40" x14ac:dyDescent="0.25">
      <c r="A431" t="str">
        <f>"20190303154105616"</f>
        <v>20190303154105616</v>
      </c>
      <c r="B431" t="str">
        <f>"1551598865609460"</f>
        <v>1551598865609460</v>
      </c>
      <c r="C431" t="s">
        <v>40</v>
      </c>
      <c r="D431">
        <v>5.6570769999999904</v>
      </c>
      <c r="E431">
        <v>0.49327939999999998</v>
      </c>
      <c r="F431" t="s">
        <v>41</v>
      </c>
      <c r="G431">
        <v>-392.96850000000001</v>
      </c>
      <c r="H431" s="1">
        <v>-3.3735509999999999E-6</v>
      </c>
      <c r="I431">
        <v>367.50349999999997</v>
      </c>
      <c r="J431">
        <v>-417.1422</v>
      </c>
      <c r="K431">
        <v>1.0706180000000001</v>
      </c>
      <c r="L431">
        <v>367.42809999999997</v>
      </c>
      <c r="M431">
        <v>0.99994340000000004</v>
      </c>
      <c r="N431">
        <v>-9.5688040000000002E-3</v>
      </c>
      <c r="O431">
        <v>4.6517030000000001E-3</v>
      </c>
      <c r="P431">
        <v>0.99471799999999999</v>
      </c>
      <c r="Q431">
        <v>-0.1015808</v>
      </c>
      <c r="R431">
        <v>-1.474936E-2</v>
      </c>
      <c r="S431">
        <v>3.0026860000000002</v>
      </c>
      <c r="T431">
        <v>-0.13165450000000001</v>
      </c>
      <c r="U431">
        <v>9.4299320000000002E-3</v>
      </c>
      <c r="V431">
        <v>1.937357E-2</v>
      </c>
      <c r="W431">
        <v>-9.2059260000000004E-2</v>
      </c>
      <c r="X431">
        <v>0.99556509999999998</v>
      </c>
      <c r="Y431">
        <v>1.506949E-3</v>
      </c>
      <c r="Z431">
        <v>-1.995965E-4</v>
      </c>
      <c r="AA431">
        <v>0.99999890000000002</v>
      </c>
      <c r="AB431">
        <v>16</v>
      </c>
      <c r="AC431">
        <v>24.1737</v>
      </c>
      <c r="AD431">
        <v>-1.070621373551</v>
      </c>
      <c r="AE431">
        <v>7.5400000000001896E-2</v>
      </c>
      <c r="AF431">
        <v>3.6982297220837602E-2</v>
      </c>
      <c r="AG431">
        <v>-1.070621373551</v>
      </c>
      <c r="AH431">
        <v>24.126465886963999</v>
      </c>
      <c r="AI431">
        <v>92.540852754313406</v>
      </c>
      <c r="AJ431">
        <v>89.912174128701096</v>
      </c>
      <c r="AK431">
        <v>24.150237141913301</v>
      </c>
      <c r="AL431">
        <v>95.282085627831407</v>
      </c>
      <c r="AM431">
        <v>88.885172140055801</v>
      </c>
      <c r="AN431">
        <v>1.00000005545214</v>
      </c>
    </row>
    <row r="432" spans="1:40" x14ac:dyDescent="0.25">
      <c r="A432" t="str">
        <f>"20190303154105637"</f>
        <v>20190303154105637</v>
      </c>
      <c r="B432" t="str">
        <f>"1551598865629955"</f>
        <v>1551598865629955</v>
      </c>
      <c r="C432" t="s">
        <v>40</v>
      </c>
      <c r="D432">
        <v>5.7022890000000004</v>
      </c>
      <c r="E432">
        <v>0.49322270000000001</v>
      </c>
      <c r="F432" t="s">
        <v>41</v>
      </c>
      <c r="G432">
        <v>-392.24040000000002</v>
      </c>
      <c r="H432" s="1">
        <v>-3.6831430000000001E-6</v>
      </c>
      <c r="I432">
        <v>367.51909999999998</v>
      </c>
      <c r="J432">
        <v>-416.98599999999999</v>
      </c>
      <c r="K432">
        <v>1.070619</v>
      </c>
      <c r="L432">
        <v>367.42880000000002</v>
      </c>
      <c r="M432">
        <v>0.99994349999999999</v>
      </c>
      <c r="N432">
        <v>-9.5561750000000001E-3</v>
      </c>
      <c r="O432">
        <v>4.6583839999999998E-3</v>
      </c>
      <c r="P432">
        <v>0.99470139999999996</v>
      </c>
      <c r="Q432">
        <v>-0.1017474</v>
      </c>
      <c r="R432">
        <v>-1.4712670000000001E-2</v>
      </c>
      <c r="S432">
        <v>3.0028990000000002</v>
      </c>
      <c r="T432">
        <v>-0.12910539999999901</v>
      </c>
      <c r="U432">
        <v>1.0986330000000001E-2</v>
      </c>
      <c r="V432">
        <v>1.9343579999999999E-2</v>
      </c>
      <c r="W432">
        <v>-9.2238550000000002E-2</v>
      </c>
      <c r="X432">
        <v>0.99554900000000002</v>
      </c>
      <c r="Y432">
        <v>9.9632759999999996E-4</v>
      </c>
      <c r="Z432">
        <v>-1.8185639999999999E-4</v>
      </c>
      <c r="AA432">
        <v>0.99999950000000004</v>
      </c>
      <c r="AB432">
        <v>16</v>
      </c>
      <c r="AC432">
        <v>24.7455999999999</v>
      </c>
      <c r="AD432">
        <v>-1.0706226831429999</v>
      </c>
      <c r="AE432">
        <v>9.0299999999956498E-2</v>
      </c>
      <c r="AF432">
        <v>2.4934076551567201E-2</v>
      </c>
      <c r="AG432">
        <v>-1.0706226831429999</v>
      </c>
      <c r="AH432">
        <v>24.6995183472206</v>
      </c>
      <c r="AI432">
        <v>92.481981813457097</v>
      </c>
      <c r="AJ432">
        <v>89.942160132554605</v>
      </c>
      <c r="AK432">
        <v>24.722723580190699</v>
      </c>
      <c r="AL432">
        <v>95.2924025468634</v>
      </c>
      <c r="AM432">
        <v>88.886879446037597</v>
      </c>
      <c r="AN432">
        <v>0.99999996779715905</v>
      </c>
    </row>
    <row r="433" spans="1:40" x14ac:dyDescent="0.25">
      <c r="A433" t="str">
        <f>"20190303154105660"</f>
        <v>20190303154105660</v>
      </c>
      <c r="B433" t="str">
        <f>"1551598865649479"</f>
        <v>1551598865649479</v>
      </c>
      <c r="C433" t="s">
        <v>40</v>
      </c>
      <c r="D433">
        <v>5.6934480000000001</v>
      </c>
      <c r="E433">
        <v>0.49318390000000001</v>
      </c>
      <c r="F433" t="s">
        <v>41</v>
      </c>
      <c r="G433">
        <v>-391.91770000000002</v>
      </c>
      <c r="H433" s="1">
        <v>-3.8208319999999999E-6</v>
      </c>
      <c r="I433">
        <v>367.52350000000001</v>
      </c>
      <c r="J433">
        <v>-416.82549999999998</v>
      </c>
      <c r="K433">
        <v>1.070616</v>
      </c>
      <c r="L433">
        <v>367.42950000000002</v>
      </c>
      <c r="M433">
        <v>0.99994369999999999</v>
      </c>
      <c r="N433">
        <v>-9.5305089999999995E-3</v>
      </c>
      <c r="O433">
        <v>4.6655409999999996E-3</v>
      </c>
      <c r="P433">
        <v>0.99464200000000003</v>
      </c>
      <c r="Q433">
        <v>-0.1022395</v>
      </c>
      <c r="R433">
        <v>-1.5305620000000001E-2</v>
      </c>
      <c r="S433">
        <v>3.0030209999999999</v>
      </c>
      <c r="T433">
        <v>-0.12825319999999901</v>
      </c>
      <c r="U433">
        <v>1.135254E-2</v>
      </c>
      <c r="V433">
        <v>1.9943490000000001E-2</v>
      </c>
      <c r="W433">
        <v>-9.2756829999999998E-2</v>
      </c>
      <c r="X433">
        <v>0.99548910000000002</v>
      </c>
      <c r="Y433">
        <v>8.8186500000000001E-4</v>
      </c>
      <c r="Z433">
        <v>-1.777409E-4</v>
      </c>
      <c r="AA433">
        <v>0.99999959999999999</v>
      </c>
      <c r="AB433">
        <v>16</v>
      </c>
      <c r="AC433">
        <v>24.907799999999899</v>
      </c>
      <c r="AD433">
        <v>-1.0706198208319999</v>
      </c>
      <c r="AE433">
        <v>9.3999999999994005E-2</v>
      </c>
      <c r="AF433">
        <v>2.2173696445983101E-2</v>
      </c>
      <c r="AG433">
        <v>-1.0706198208319999</v>
      </c>
      <c r="AH433">
        <v>24.862033887999399</v>
      </c>
      <c r="AI433">
        <v>92.465771636313406</v>
      </c>
      <c r="AJ433">
        <v>89.948899639851305</v>
      </c>
      <c r="AK433">
        <v>24.8850848405547</v>
      </c>
      <c r="AL433">
        <v>95.322225165933503</v>
      </c>
      <c r="AM433">
        <v>88.8522978612271</v>
      </c>
      <c r="AN433">
        <v>1.0000000602619099</v>
      </c>
    </row>
    <row r="434" spans="1:40" x14ac:dyDescent="0.25">
      <c r="A434" t="str">
        <f>"20190303154105681"</f>
        <v>20190303154105681</v>
      </c>
      <c r="B434" t="str">
        <f>"1551598865679732"</f>
        <v>1551598865679732</v>
      </c>
      <c r="C434" t="s">
        <v>40</v>
      </c>
      <c r="D434">
        <v>5.7876320000000003</v>
      </c>
      <c r="E434">
        <v>0.4931643</v>
      </c>
      <c r="F434" t="s">
        <v>41</v>
      </c>
      <c r="G434">
        <v>-391.84649999999999</v>
      </c>
      <c r="H434" s="1">
        <v>-3.8534999999999996E-6</v>
      </c>
      <c r="I434">
        <v>367.51139999999998</v>
      </c>
      <c r="J434">
        <v>-416.6626</v>
      </c>
      <c r="K434">
        <v>1.0706039999999999</v>
      </c>
      <c r="L434">
        <v>367.43029999999999</v>
      </c>
      <c r="M434">
        <v>0.9999441</v>
      </c>
      <c r="N434">
        <v>-9.4902890000000007E-3</v>
      </c>
      <c r="O434">
        <v>4.6729450000000004E-3</v>
      </c>
      <c r="P434">
        <v>0.99464090000000005</v>
      </c>
      <c r="Q434">
        <v>-0.1022594</v>
      </c>
      <c r="R434">
        <v>-1.525117E-2</v>
      </c>
      <c r="S434">
        <v>3.0030519999999998</v>
      </c>
      <c r="T434">
        <v>-0.12871279999999999</v>
      </c>
      <c r="U434">
        <v>9.8571779999999994E-3</v>
      </c>
      <c r="V434">
        <v>1.9896219999999999E-2</v>
      </c>
      <c r="W434">
        <v>-9.2816770000000007E-2</v>
      </c>
      <c r="X434">
        <v>0.99548440000000005</v>
      </c>
      <c r="Y434">
        <v>1.3866410000000001E-3</v>
      </c>
      <c r="Z434">
        <v>-1.9214540000000001E-4</v>
      </c>
      <c r="AA434">
        <v>0.99999899999999997</v>
      </c>
      <c r="AB434">
        <v>16</v>
      </c>
      <c r="AC434">
        <v>24.816099999999999</v>
      </c>
      <c r="AD434">
        <v>-1.0706078534999901</v>
      </c>
      <c r="AE434">
        <v>8.1099999999992095E-2</v>
      </c>
      <c r="AF434">
        <v>3.4805592828544799E-2</v>
      </c>
      <c r="AG434">
        <v>-1.0706078534999901</v>
      </c>
      <c r="AH434">
        <v>24.7701063111435</v>
      </c>
      <c r="AI434">
        <v>92.474882238663398</v>
      </c>
      <c r="AJ434">
        <v>89.919491170728193</v>
      </c>
      <c r="AK434">
        <v>24.793256729817099</v>
      </c>
      <c r="AL434">
        <v>95.3256746683833</v>
      </c>
      <c r="AM434">
        <v>88.855012011964803</v>
      </c>
      <c r="AN434">
        <v>1.00000000150344</v>
      </c>
    </row>
    <row r="435" spans="1:40" x14ac:dyDescent="0.25">
      <c r="A435" t="str">
        <f>"20190303154105704"</f>
        <v>20190303154105704</v>
      </c>
      <c r="B435" t="str">
        <f>"1551598865699253"</f>
        <v>1551598865699253</v>
      </c>
      <c r="C435" t="s">
        <v>40</v>
      </c>
      <c r="D435">
        <v>5.7152079999999996</v>
      </c>
      <c r="E435">
        <v>0.49311260000000001</v>
      </c>
      <c r="F435" t="s">
        <v>41</v>
      </c>
      <c r="G435">
        <v>-391.43389999999999</v>
      </c>
      <c r="H435" s="1">
        <v>-4.0296719999999998E-6</v>
      </c>
      <c r="I435">
        <v>367.51609999999999</v>
      </c>
      <c r="J435">
        <v>-416.5061</v>
      </c>
      <c r="K435">
        <v>1.070594</v>
      </c>
      <c r="L435">
        <v>367.43099999999998</v>
      </c>
      <c r="M435">
        <v>0.99994459999999996</v>
      </c>
      <c r="N435">
        <v>-9.4363629999999997E-3</v>
      </c>
      <c r="O435">
        <v>4.6804719999999998E-3</v>
      </c>
      <c r="P435">
        <v>0.99464569999999997</v>
      </c>
      <c r="Q435">
        <v>-0.1021359</v>
      </c>
      <c r="R435">
        <v>-1.5757360000000002E-2</v>
      </c>
      <c r="S435">
        <v>3.0031430000000001</v>
      </c>
      <c r="T435">
        <v>-0.12744140000000001</v>
      </c>
      <c r="U435">
        <v>1.0223390000000001E-2</v>
      </c>
      <c r="V435">
        <v>2.0409940000000001E-2</v>
      </c>
      <c r="W435">
        <v>-9.2746910000000002E-2</v>
      </c>
      <c r="X435">
        <v>0.99548049999999999</v>
      </c>
      <c r="Y435">
        <v>1.272533E-3</v>
      </c>
      <c r="Z435">
        <v>-1.873733E-4</v>
      </c>
      <c r="AA435">
        <v>0.99999919999999998</v>
      </c>
      <c r="AB435">
        <v>16</v>
      </c>
      <c r="AC435">
        <v>25.072199999999999</v>
      </c>
      <c r="AD435">
        <v>-1.0705980296719999</v>
      </c>
      <c r="AE435">
        <v>8.5100000000011194E-2</v>
      </c>
      <c r="AF435">
        <v>3.21971725033681E-2</v>
      </c>
      <c r="AG435">
        <v>-1.0705980296719999</v>
      </c>
      <c r="AH435">
        <v>25.026691996016002</v>
      </c>
      <c r="AI435">
        <v>92.449517563421296</v>
      </c>
      <c r="AJ435">
        <v>89.9262882573843</v>
      </c>
      <c r="AK435">
        <v>25.049601375321501</v>
      </c>
      <c r="AL435">
        <v>95.321654703843393</v>
      </c>
      <c r="AM435">
        <v>88.825452022495099</v>
      </c>
      <c r="AN435">
        <v>0.99999999042279997</v>
      </c>
    </row>
    <row r="436" spans="1:40" x14ac:dyDescent="0.25">
      <c r="A436" t="str">
        <f>"20190303154105726"</f>
        <v>20190303154105726</v>
      </c>
      <c r="B436" t="str">
        <f>"1551598865719747"</f>
        <v>1551598865719747</v>
      </c>
      <c r="C436" t="s">
        <v>40</v>
      </c>
      <c r="D436">
        <v>6.075812</v>
      </c>
      <c r="E436">
        <v>0.51412029999999997</v>
      </c>
      <c r="F436" t="s">
        <v>41</v>
      </c>
      <c r="G436">
        <v>-391.06959999999998</v>
      </c>
      <c r="H436" s="1">
        <v>-4.1870779999999999E-6</v>
      </c>
      <c r="I436">
        <v>367.50979999999998</v>
      </c>
      <c r="J436">
        <v>-416.34179999999998</v>
      </c>
      <c r="K436">
        <v>1.0705720000000001</v>
      </c>
      <c r="L436">
        <v>367.43180000000001</v>
      </c>
      <c r="M436">
        <v>0.99994530000000004</v>
      </c>
      <c r="N436">
        <v>-9.3596240000000004E-3</v>
      </c>
      <c r="O436">
        <v>4.6886990000000002E-3</v>
      </c>
      <c r="P436">
        <v>0.9946874</v>
      </c>
      <c r="Q436">
        <v>-0.1017728</v>
      </c>
      <c r="R436">
        <v>-1.546965E-2</v>
      </c>
      <c r="S436">
        <v>3.0033259999999999</v>
      </c>
      <c r="T436">
        <v>-0.12640689999999999</v>
      </c>
      <c r="U436">
        <v>9.3078610000000006E-3</v>
      </c>
      <c r="V436">
        <v>2.0130519999999999E-2</v>
      </c>
      <c r="W436">
        <v>-9.2459890000000003E-2</v>
      </c>
      <c r="X436">
        <v>0.99551290000000003</v>
      </c>
      <c r="Y436">
        <v>1.5855209999999999E-3</v>
      </c>
      <c r="Z436">
        <v>-1.9415909999999999E-4</v>
      </c>
      <c r="AA436">
        <v>0.99999870000000002</v>
      </c>
      <c r="AB436">
        <v>16</v>
      </c>
      <c r="AC436">
        <v>25.272200000000002</v>
      </c>
      <c r="AD436">
        <v>-1.070576187078</v>
      </c>
      <c r="AE436">
        <v>7.7999999999974506E-2</v>
      </c>
      <c r="AF436">
        <v>4.0427228706564199E-2</v>
      </c>
      <c r="AG436">
        <v>-1.070576187078</v>
      </c>
      <c r="AH436">
        <v>25.227017882300899</v>
      </c>
      <c r="AI436">
        <v>92.430038909302198</v>
      </c>
      <c r="AJ436">
        <v>89.908181473916201</v>
      </c>
      <c r="AK436">
        <v>25.2497564140149</v>
      </c>
      <c r="AL436">
        <v>95.305138641575496</v>
      </c>
      <c r="AM436">
        <v>88.8415653210416</v>
      </c>
      <c r="AN436">
        <v>1.0000000015803401</v>
      </c>
    </row>
    <row r="437" spans="1:40" x14ac:dyDescent="0.25">
      <c r="A437" t="str">
        <f>"20190303154105749"</f>
        <v>20190303154105749</v>
      </c>
      <c r="B437" t="str">
        <f>"1551598865739267"</f>
        <v>1551598865739267</v>
      </c>
      <c r="C437" t="s">
        <v>40</v>
      </c>
      <c r="D437">
        <v>5.8808049999999996</v>
      </c>
      <c r="E437">
        <v>0.52844169999999901</v>
      </c>
      <c r="F437" t="s">
        <v>41</v>
      </c>
      <c r="G437">
        <v>-373.26170000000002</v>
      </c>
      <c r="H437" s="1">
        <v>-3.6596289999999998E-6</v>
      </c>
      <c r="I437">
        <v>365.18189999999998</v>
      </c>
      <c r="J437">
        <v>-416.17579999999998</v>
      </c>
      <c r="K437">
        <v>1.0705359999999999</v>
      </c>
      <c r="L437">
        <v>367.43259999999998</v>
      </c>
      <c r="M437">
        <v>0.99994620000000001</v>
      </c>
      <c r="N437">
        <v>-9.2520659999999998E-3</v>
      </c>
      <c r="O437">
        <v>4.6971299999999999E-3</v>
      </c>
      <c r="P437">
        <v>0.9946815</v>
      </c>
      <c r="Q437">
        <v>-0.10192859999999999</v>
      </c>
      <c r="R437">
        <v>-1.4801430000000001E-2</v>
      </c>
      <c r="S437">
        <v>3.005951</v>
      </c>
      <c r="T437">
        <v>-7.4700240000000001E-2</v>
      </c>
      <c r="U437">
        <v>-0.15698239999999999</v>
      </c>
      <c r="V437">
        <v>1.9470629999999999E-2</v>
      </c>
      <c r="W437">
        <v>-9.2722760000000001E-2</v>
      </c>
      <c r="X437">
        <v>0.99550159999999999</v>
      </c>
      <c r="Y437">
        <v>5.6818590000000002E-2</v>
      </c>
      <c r="Z437">
        <v>-1.041698E-3</v>
      </c>
      <c r="AA437">
        <v>0.99838400000000005</v>
      </c>
      <c r="AB437">
        <v>16</v>
      </c>
      <c r="AC437">
        <v>42.914099999999898</v>
      </c>
      <c r="AD437">
        <v>-1.070539659629</v>
      </c>
      <c r="AE437">
        <v>-2.2506999999999899</v>
      </c>
      <c r="AF437">
        <v>2.4507359674018501</v>
      </c>
      <c r="AG437">
        <v>-1.070539659629</v>
      </c>
      <c r="AH437">
        <v>42.876445097016997</v>
      </c>
      <c r="AI437">
        <v>91.427934938859295</v>
      </c>
      <c r="AJ437">
        <v>86.728641793898007</v>
      </c>
      <c r="AK437">
        <v>42.959768459598003</v>
      </c>
      <c r="AL437">
        <v>95.320264834551807</v>
      </c>
      <c r="AM437">
        <v>88.879516914486004</v>
      </c>
      <c r="AN437">
        <v>1.0000000256285799</v>
      </c>
    </row>
    <row r="438" spans="1:40" x14ac:dyDescent="0.25">
      <c r="A438" t="str">
        <f>"20190303154105770"</f>
        <v>20190303154105770</v>
      </c>
      <c r="B438" t="str">
        <f>"1551598865759763"</f>
        <v>1551598865759763</v>
      </c>
      <c r="C438" t="s">
        <v>40</v>
      </c>
      <c r="D438">
        <v>5.8971039999999997</v>
      </c>
      <c r="E438">
        <v>0.53445030000000004</v>
      </c>
      <c r="F438" t="s">
        <v>41</v>
      </c>
      <c r="G438">
        <v>-362.77409999999998</v>
      </c>
      <c r="H438" s="1">
        <v>-4.3174109999999996E-6</v>
      </c>
      <c r="I438">
        <v>362.65269999999998</v>
      </c>
      <c r="J438">
        <v>-416.0154</v>
      </c>
      <c r="K438">
        <v>1.0704979999999999</v>
      </c>
      <c r="L438">
        <v>367.43340000000001</v>
      </c>
      <c r="M438">
        <v>0.99994749999999999</v>
      </c>
      <c r="N438">
        <v>-9.1042620000000001E-3</v>
      </c>
      <c r="O438">
        <v>4.7047290000000004E-3</v>
      </c>
      <c r="P438">
        <v>0.99467240000000001</v>
      </c>
      <c r="Q438">
        <v>-0.1021094</v>
      </c>
      <c r="R438">
        <v>-1.4158799999999999E-2</v>
      </c>
      <c r="S438">
        <v>3.0058590000000001</v>
      </c>
      <c r="T438">
        <v>-6.0258150000000003E-2</v>
      </c>
      <c r="U438">
        <v>-0.26904299999999998</v>
      </c>
      <c r="V438">
        <v>1.8835669999999999E-2</v>
      </c>
      <c r="W438">
        <v>-9.3050720000000003E-2</v>
      </c>
      <c r="X438">
        <v>0.99548320000000001</v>
      </c>
      <c r="Y438">
        <v>9.3807450000000001E-2</v>
      </c>
      <c r="Z438">
        <v>-1.41763E-3</v>
      </c>
      <c r="AA438">
        <v>0.99558939999999996</v>
      </c>
      <c r="AB438">
        <v>16</v>
      </c>
      <c r="AC438">
        <v>53.241300000000003</v>
      </c>
      <c r="AD438">
        <v>-1.070502317411</v>
      </c>
      <c r="AE438">
        <v>-4.7807000000000199</v>
      </c>
      <c r="AF438">
        <v>5.02912645976149</v>
      </c>
      <c r="AG438">
        <v>-1.070502317411</v>
      </c>
      <c r="AH438">
        <v>53.196883675886198</v>
      </c>
      <c r="AI438">
        <v>91.147714429797006</v>
      </c>
      <c r="AJ438">
        <v>84.599423094949799</v>
      </c>
      <c r="AK438">
        <v>53.444798820704897</v>
      </c>
      <c r="AL438">
        <v>95.339137231543802</v>
      </c>
      <c r="AM438">
        <v>88.916028281979095</v>
      </c>
      <c r="AN438">
        <v>1.0000000102195501</v>
      </c>
    </row>
    <row r="439" spans="1:40" x14ac:dyDescent="0.25">
      <c r="A439" t="str">
        <f>"20190303154105795"</f>
        <v>20190303154105795</v>
      </c>
      <c r="B439" t="str">
        <f>"1551598865790019"</f>
        <v>1551598865790019</v>
      </c>
      <c r="C439" t="s">
        <v>40</v>
      </c>
      <c r="D439">
        <v>5.8912469999999999</v>
      </c>
      <c r="E439">
        <v>0.53874469999999997</v>
      </c>
      <c r="F439" t="s">
        <v>41</v>
      </c>
      <c r="G439">
        <v>-353.56630000000001</v>
      </c>
      <c r="H439" s="1">
        <v>-4.496567E-6</v>
      </c>
      <c r="I439">
        <v>360.8929</v>
      </c>
      <c r="J439">
        <v>-415.83819999999997</v>
      </c>
      <c r="K439">
        <v>1.0704480000000001</v>
      </c>
      <c r="L439">
        <v>367.43419999999998</v>
      </c>
      <c r="M439">
        <v>0.99994950000000005</v>
      </c>
      <c r="N439">
        <v>-8.8845959999999998E-3</v>
      </c>
      <c r="O439">
        <v>4.7129390000000002E-3</v>
      </c>
      <c r="P439">
        <v>0.99462989999999996</v>
      </c>
      <c r="Q439">
        <v>-0.1025335</v>
      </c>
      <c r="R439">
        <v>-1.4086690000000001E-2</v>
      </c>
      <c r="S439">
        <v>3.006256</v>
      </c>
      <c r="T439">
        <v>-5.1533219999999998E-2</v>
      </c>
      <c r="U439">
        <v>-0.31484990000000002</v>
      </c>
      <c r="V439">
        <v>1.8771300000000001E-2</v>
      </c>
      <c r="W439">
        <v>-9.3693860000000004E-2</v>
      </c>
      <c r="X439">
        <v>0.99542410000000003</v>
      </c>
      <c r="Y439">
        <v>0.1088239</v>
      </c>
      <c r="Z439">
        <v>-1.45374E-3</v>
      </c>
      <c r="AA439">
        <v>0.99406000000000005</v>
      </c>
      <c r="AB439">
        <v>16</v>
      </c>
      <c r="AC439">
        <v>62.271899999999903</v>
      </c>
      <c r="AD439">
        <v>-1.0704524965669999</v>
      </c>
      <c r="AE439">
        <v>-6.5412999999999704</v>
      </c>
      <c r="AF439">
        <v>6.8327255720651099</v>
      </c>
      <c r="AG439">
        <v>-1.0704524965669999</v>
      </c>
      <c r="AH439">
        <v>62.222192695055902</v>
      </c>
      <c r="AI439">
        <v>90.9797145502164</v>
      </c>
      <c r="AJ439">
        <v>83.733360798933205</v>
      </c>
      <c r="AK439">
        <v>62.605377333510503</v>
      </c>
      <c r="AL439">
        <v>95.3761480776285</v>
      </c>
      <c r="AM439">
        <v>88.919667701922094</v>
      </c>
      <c r="AN439">
        <v>1.0000000199830901</v>
      </c>
    </row>
    <row r="440" spans="1:40" x14ac:dyDescent="0.25">
      <c r="A440" t="str">
        <f>"20190303154105819"</f>
        <v>20190303154105819</v>
      </c>
      <c r="B440" t="str">
        <f>"1551598865809540"</f>
        <v>1551598865809540</v>
      </c>
      <c r="C440" t="s">
        <v>40</v>
      </c>
      <c r="D440">
        <v>5.8999949999999997</v>
      </c>
      <c r="E440">
        <v>0.5403732</v>
      </c>
      <c r="F440" t="s">
        <v>41</v>
      </c>
      <c r="G440">
        <v>-342.5258</v>
      </c>
      <c r="H440">
        <v>7.9985780000000006E-2</v>
      </c>
      <c r="I440">
        <v>358.92790000000002</v>
      </c>
      <c r="J440">
        <v>-415.66660000000002</v>
      </c>
      <c r="K440">
        <v>1.070397</v>
      </c>
      <c r="L440">
        <v>367.435</v>
      </c>
      <c r="M440">
        <v>0.99995179999999995</v>
      </c>
      <c r="N440">
        <v>-8.6211900000000008E-3</v>
      </c>
      <c r="O440">
        <v>4.7198270000000002E-3</v>
      </c>
      <c r="P440">
        <v>0.99466960000000004</v>
      </c>
      <c r="Q440">
        <v>-0.1021516</v>
      </c>
      <c r="R440">
        <v>-1.406051E-2</v>
      </c>
      <c r="S440">
        <v>3.0070800000000002</v>
      </c>
      <c r="T440">
        <v>-4.0626170000000003E-2</v>
      </c>
      <c r="U440">
        <v>-0.34890749999999998</v>
      </c>
      <c r="V440">
        <v>1.8752419999999999E-2</v>
      </c>
      <c r="W440">
        <v>-9.3573779999999995E-2</v>
      </c>
      <c r="X440">
        <v>0.99543570000000003</v>
      </c>
      <c r="Y440">
        <v>0.1199249</v>
      </c>
      <c r="Z440">
        <v>-1.3490829999999901E-3</v>
      </c>
      <c r="AA440">
        <v>0.9927821</v>
      </c>
      <c r="AB440">
        <v>16</v>
      </c>
      <c r="AC440">
        <v>73.140799999999999</v>
      </c>
      <c r="AD440">
        <v>-0.99041122000000004</v>
      </c>
      <c r="AE440">
        <v>-8.5070999999999799</v>
      </c>
      <c r="AF440">
        <v>8.8506287381416193</v>
      </c>
      <c r="AG440">
        <v>-0.99041122000000004</v>
      </c>
      <c r="AH440">
        <v>73.086609235069005</v>
      </c>
      <c r="AI440">
        <v>90.770748877547405</v>
      </c>
      <c r="AJ440">
        <v>83.095227359910496</v>
      </c>
      <c r="AK440">
        <v>73.627216387181093</v>
      </c>
      <c r="AL440">
        <v>95.369237914444795</v>
      </c>
      <c r="AM440">
        <v>88.920766606709506</v>
      </c>
      <c r="AN440">
        <v>0.99999996919691603</v>
      </c>
    </row>
    <row r="441" spans="1:40" x14ac:dyDescent="0.25">
      <c r="A441" t="str">
        <f>"20190303154105839"</f>
        <v>20190303154105839</v>
      </c>
      <c r="B441" t="str">
        <f>"1551598865830035"</f>
        <v>1551598865830035</v>
      </c>
      <c r="C441" t="s">
        <v>40</v>
      </c>
      <c r="D441">
        <v>5.9184769999999904</v>
      </c>
      <c r="E441">
        <v>0.54143079999999999</v>
      </c>
      <c r="F441" t="s">
        <v>41</v>
      </c>
      <c r="G441">
        <v>-334.74560000000002</v>
      </c>
      <c r="H441">
        <v>7.9985529999999999E-2</v>
      </c>
      <c r="I441">
        <v>357.70030000000003</v>
      </c>
      <c r="J441">
        <v>-415.50220000000002</v>
      </c>
      <c r="K441">
        <v>1.0703510000000001</v>
      </c>
      <c r="L441">
        <v>367.43579999999997</v>
      </c>
      <c r="M441">
        <v>0.99995400000000001</v>
      </c>
      <c r="N441">
        <v>-8.3449409999999998E-3</v>
      </c>
      <c r="O441">
        <v>4.7269080000000002E-3</v>
      </c>
      <c r="P441">
        <v>0.99469229999999997</v>
      </c>
      <c r="Q441">
        <v>-0.1019312</v>
      </c>
      <c r="R441">
        <v>-1.4061239999999999E-2</v>
      </c>
      <c r="S441">
        <v>3.0071720000000002</v>
      </c>
      <c r="T441">
        <v>-3.680551E-2</v>
      </c>
      <c r="U441">
        <v>-0.3617554</v>
      </c>
      <c r="V441">
        <v>1.8759970000000001E-2</v>
      </c>
      <c r="W441">
        <v>-9.3628279999999994E-2</v>
      </c>
      <c r="X441">
        <v>0.9954305</v>
      </c>
      <c r="Y441">
        <v>0.1241128</v>
      </c>
      <c r="Z441">
        <v>-1.2948720000000001E-3</v>
      </c>
      <c r="AA441">
        <v>0.99226729999999996</v>
      </c>
      <c r="AB441">
        <v>17</v>
      </c>
      <c r="AC441">
        <v>80.756599999999906</v>
      </c>
      <c r="AD441">
        <v>-0.99036546999999997</v>
      </c>
      <c r="AE441">
        <v>-9.7354999999999396</v>
      </c>
      <c r="AF441">
        <v>10.115633989406099</v>
      </c>
      <c r="AG441">
        <v>-0.99036546999999997</v>
      </c>
      <c r="AH441">
        <v>80.697714598265094</v>
      </c>
      <c r="AI441">
        <v>90.697669729831006</v>
      </c>
      <c r="AJ441">
        <v>82.855116841864998</v>
      </c>
      <c r="AK441">
        <v>81.335281496745594</v>
      </c>
      <c r="AL441">
        <v>95.372373945020897</v>
      </c>
      <c r="AM441">
        <v>88.920326555600795</v>
      </c>
      <c r="AN441">
        <v>1.0000000358101999</v>
      </c>
    </row>
    <row r="442" spans="1:40" x14ac:dyDescent="0.25">
      <c r="A442" t="str">
        <f>"20190303154105859"</f>
        <v>20190303154105859</v>
      </c>
      <c r="B442" t="str">
        <f>"1551598865849559"</f>
        <v>1551598865849559</v>
      </c>
      <c r="C442" t="s">
        <v>40</v>
      </c>
      <c r="D442">
        <v>5.8935120000000003</v>
      </c>
      <c r="E442">
        <v>0.54241919999999899</v>
      </c>
      <c r="F442" t="s">
        <v>41</v>
      </c>
      <c r="G442">
        <v>-336.06420000000003</v>
      </c>
      <c r="H442">
        <v>7.998661E-2</v>
      </c>
      <c r="I442">
        <v>357.66030000000001</v>
      </c>
      <c r="J442">
        <v>-415.35129999999998</v>
      </c>
      <c r="K442">
        <v>1.0703180000000001</v>
      </c>
      <c r="L442">
        <v>367.4366</v>
      </c>
      <c r="M442">
        <v>0.99995610000000001</v>
      </c>
      <c r="N442">
        <v>-8.0894150000000008E-3</v>
      </c>
      <c r="O442">
        <v>4.7335060000000002E-3</v>
      </c>
      <c r="P442">
        <v>0.99478100000000003</v>
      </c>
      <c r="Q442">
        <v>-0.1010704</v>
      </c>
      <c r="R442">
        <v>-1.397786E-2</v>
      </c>
      <c r="S442">
        <v>3.0069270000000001</v>
      </c>
      <c r="T442">
        <v>-3.748775E-2</v>
      </c>
      <c r="U442">
        <v>-0.37002560000000001</v>
      </c>
      <c r="V442">
        <v>1.8683829999999998E-2</v>
      </c>
      <c r="W442">
        <v>-9.3021149999999997E-2</v>
      </c>
      <c r="X442">
        <v>0.99548879999999995</v>
      </c>
      <c r="Y442">
        <v>0.12681709999999999</v>
      </c>
      <c r="Z442">
        <v>-1.323077E-3</v>
      </c>
      <c r="AA442">
        <v>0.99192519999999995</v>
      </c>
      <c r="AB442">
        <v>17</v>
      </c>
      <c r="AC442">
        <v>79.287099999999896</v>
      </c>
      <c r="AD442">
        <v>-0.99033139000000003</v>
      </c>
      <c r="AE442">
        <v>-9.7762999999999902</v>
      </c>
      <c r="AF442">
        <v>10.1499489108443</v>
      </c>
      <c r="AG442">
        <v>-0.99033139000000003</v>
      </c>
      <c r="AH442">
        <v>79.227758675500894</v>
      </c>
      <c r="AI442">
        <v>90.710343761501207</v>
      </c>
      <c r="AJ442">
        <v>82.699545386334506</v>
      </c>
      <c r="AK442">
        <v>79.881411879724396</v>
      </c>
      <c r="AL442">
        <v>95.337435747948305</v>
      </c>
      <c r="AM442">
        <v>88.924770491354593</v>
      </c>
      <c r="AN442">
        <v>0.99999998538811496</v>
      </c>
    </row>
    <row r="443" spans="1:40" x14ac:dyDescent="0.25">
      <c r="A443" t="str">
        <f>"20190303154105882"</f>
        <v>20190303154105882</v>
      </c>
      <c r="B443" t="str">
        <f>"1551598865879811"</f>
        <v>1551598865879811</v>
      </c>
      <c r="C443" t="s">
        <v>40</v>
      </c>
      <c r="D443">
        <v>5.883985</v>
      </c>
      <c r="E443">
        <v>0.54397039999999997</v>
      </c>
      <c r="F443" t="s">
        <v>41</v>
      </c>
      <c r="G443">
        <v>-331.95920000000001</v>
      </c>
      <c r="H443">
        <v>7.9986370000000001E-2</v>
      </c>
      <c r="I443">
        <v>356.9726</v>
      </c>
      <c r="J443">
        <v>-415.17790000000002</v>
      </c>
      <c r="K443">
        <v>1.0702719999999999</v>
      </c>
      <c r="L443">
        <v>367.43740000000003</v>
      </c>
      <c r="M443">
        <v>0.99995829999999997</v>
      </c>
      <c r="N443">
        <v>-7.8093759999999998E-3</v>
      </c>
      <c r="O443">
        <v>4.7406469999999997E-3</v>
      </c>
      <c r="P443">
        <v>0.99481989999999998</v>
      </c>
      <c r="Q443">
        <v>-0.1007212</v>
      </c>
      <c r="R443">
        <v>-1.3737070000000001E-2</v>
      </c>
      <c r="S443">
        <v>3.0068049999999999</v>
      </c>
      <c r="T443">
        <v>-3.5707589999999997E-2</v>
      </c>
      <c r="U443">
        <v>-0.37728879999999998</v>
      </c>
      <c r="V443">
        <v>1.8450149999999998E-2</v>
      </c>
      <c r="W443">
        <v>-9.2950379999999999E-2</v>
      </c>
      <c r="X443">
        <v>0.99549980000000005</v>
      </c>
      <c r="Y443">
        <v>0.12918949999999901</v>
      </c>
      <c r="Z443">
        <v>-1.2897360000000001E-3</v>
      </c>
      <c r="AA443">
        <v>0.99161909999999998</v>
      </c>
      <c r="AB443">
        <v>17</v>
      </c>
      <c r="AC443">
        <v>83.218699999999998</v>
      </c>
      <c r="AD443">
        <v>-0.99028563000000003</v>
      </c>
      <c r="AE443">
        <v>-10.4648</v>
      </c>
      <c r="AF443">
        <v>10.857691328559101</v>
      </c>
      <c r="AG443">
        <v>-0.99028563000000003</v>
      </c>
      <c r="AH443">
        <v>83.156561295704407</v>
      </c>
      <c r="AI443">
        <v>90.676543313951697</v>
      </c>
      <c r="AJ443">
        <v>82.561015621969304</v>
      </c>
      <c r="AK443">
        <v>83.868252713058794</v>
      </c>
      <c r="AL443">
        <v>95.333363115007401</v>
      </c>
      <c r="AM443">
        <v>88.938227095413097</v>
      </c>
      <c r="AN443">
        <v>1.0000000164886</v>
      </c>
    </row>
    <row r="444" spans="1:40" x14ac:dyDescent="0.25">
      <c r="A444" t="str">
        <f>"20190303154105905"</f>
        <v>20190303154105905</v>
      </c>
      <c r="B444" t="str">
        <f>"1551598865899332"</f>
        <v>1551598865899332</v>
      </c>
      <c r="C444" t="s">
        <v>40</v>
      </c>
      <c r="D444">
        <v>5.9418309999999996</v>
      </c>
      <c r="E444">
        <v>0.54447080000000003</v>
      </c>
      <c r="F444" t="s">
        <v>41</v>
      </c>
      <c r="G444">
        <v>-322.34109999999998</v>
      </c>
      <c r="H444">
        <v>7.9986329999999994E-2</v>
      </c>
      <c r="I444">
        <v>355.4083</v>
      </c>
      <c r="J444">
        <v>-415.00729999999999</v>
      </c>
      <c r="K444">
        <v>1.0702449999999999</v>
      </c>
      <c r="L444">
        <v>367.43819999999999</v>
      </c>
      <c r="M444">
        <v>0.99996030000000002</v>
      </c>
      <c r="N444">
        <v>-7.5536219999999899E-3</v>
      </c>
      <c r="O444">
        <v>4.7477170000000003E-3</v>
      </c>
      <c r="P444">
        <v>0.9948207</v>
      </c>
      <c r="Q444">
        <v>-0.1006707</v>
      </c>
      <c r="R444">
        <v>-1.4049310000000001E-2</v>
      </c>
      <c r="S444">
        <v>3.006958</v>
      </c>
      <c r="T444">
        <v>-3.2075050000000001E-2</v>
      </c>
      <c r="U444">
        <v>-0.38961790000000002</v>
      </c>
      <c r="V444">
        <v>1.8769359999999999E-2</v>
      </c>
      <c r="W444">
        <v>-9.3154559999999997E-2</v>
      </c>
      <c r="X444">
        <v>0.99547479999999999</v>
      </c>
      <c r="Y444">
        <v>0.13319220000000001</v>
      </c>
      <c r="Z444">
        <v>-1.2272909999999999E-3</v>
      </c>
      <c r="AA444">
        <v>0.99108949999999996</v>
      </c>
      <c r="AB444">
        <v>17</v>
      </c>
      <c r="AC444">
        <v>92.666200000000003</v>
      </c>
      <c r="AD444">
        <v>-0.99025867000000001</v>
      </c>
      <c r="AE444">
        <v>-12.0298999999999</v>
      </c>
      <c r="AF444">
        <v>12.4683295636432</v>
      </c>
      <c r="AG444">
        <v>-0.99025867000000001</v>
      </c>
      <c r="AH444">
        <v>92.597640251827002</v>
      </c>
      <c r="AI444">
        <v>90.607230141017595</v>
      </c>
      <c r="AJ444">
        <v>82.3312129063425</v>
      </c>
      <c r="AK444">
        <v>93.438551115414398</v>
      </c>
      <c r="AL444">
        <v>95.345112463863003</v>
      </c>
      <c r="AM444">
        <v>88.919834330122498</v>
      </c>
      <c r="AN444">
        <v>1.0000000691793101</v>
      </c>
    </row>
    <row r="445" spans="1:40" x14ac:dyDescent="0.25">
      <c r="A445" t="str">
        <f>"20190303154105927"</f>
        <v>20190303154105927</v>
      </c>
      <c r="B445" t="str">
        <f>"1551598865919827"</f>
        <v>1551598865919827</v>
      </c>
      <c r="C445" t="s">
        <v>40</v>
      </c>
      <c r="D445">
        <v>6.0239919999999998</v>
      </c>
      <c r="E445">
        <v>0.54467509999999997</v>
      </c>
      <c r="F445" t="s">
        <v>41</v>
      </c>
      <c r="G445">
        <v>-329.52</v>
      </c>
      <c r="H445">
        <v>7.9985639999999997E-2</v>
      </c>
      <c r="I445">
        <v>356.22430000000003</v>
      </c>
      <c r="J445">
        <v>-414.83199999999999</v>
      </c>
      <c r="K445">
        <v>1.070225</v>
      </c>
      <c r="L445">
        <v>367.4391</v>
      </c>
      <c r="M445">
        <v>0.99996209999999996</v>
      </c>
      <c r="N445">
        <v>-7.31475099999999E-3</v>
      </c>
      <c r="O445">
        <v>4.7548119999999998E-3</v>
      </c>
      <c r="P445">
        <v>0.9948437</v>
      </c>
      <c r="Q445">
        <v>-0.1004332</v>
      </c>
      <c r="R445">
        <v>-1.412659E-2</v>
      </c>
      <c r="S445">
        <v>3.0065</v>
      </c>
      <c r="T445">
        <v>-3.48264E-2</v>
      </c>
      <c r="U445">
        <v>-0.39437870000000003</v>
      </c>
      <c r="V445">
        <v>1.8853809999999999E-2</v>
      </c>
      <c r="W445">
        <v>-9.3154699999999993E-2</v>
      </c>
      <c r="X445">
        <v>0.9954731</v>
      </c>
      <c r="Y445">
        <v>0.13475960000000001</v>
      </c>
      <c r="Z445">
        <v>-1.2923699999999999E-3</v>
      </c>
      <c r="AA445">
        <v>0.99087749999999997</v>
      </c>
      <c r="AB445">
        <v>17</v>
      </c>
      <c r="AC445">
        <v>85.311999999999998</v>
      </c>
      <c r="AD445">
        <v>-0.99023936000000001</v>
      </c>
      <c r="AE445">
        <v>-11.214799999999901</v>
      </c>
      <c r="AF445">
        <v>11.618787736341</v>
      </c>
      <c r="AG445">
        <v>-0.99023936000000001</v>
      </c>
      <c r="AH445">
        <v>85.246419843478705</v>
      </c>
      <c r="AI445">
        <v>90.659432907798802</v>
      </c>
      <c r="AJ445">
        <v>82.238611034276204</v>
      </c>
      <c r="AK445">
        <v>86.040274863478203</v>
      </c>
      <c r="AL445">
        <v>95.3451210061193</v>
      </c>
      <c r="AM445">
        <v>88.914973588874304</v>
      </c>
      <c r="AN445">
        <v>0.99999997855360701</v>
      </c>
    </row>
    <row r="446" spans="1:40" x14ac:dyDescent="0.25">
      <c r="A446" t="str">
        <f>"20190303154105950"</f>
        <v>20190303154105950</v>
      </c>
      <c r="B446" t="str">
        <f>"1551598865939351"</f>
        <v>1551598865939351</v>
      </c>
      <c r="C446" t="s">
        <v>40</v>
      </c>
      <c r="D446">
        <v>5.9080450000000004</v>
      </c>
      <c r="E446">
        <v>0.54474849999999997</v>
      </c>
      <c r="F446" t="s">
        <v>41</v>
      </c>
      <c r="G446">
        <v>-338.97309999999999</v>
      </c>
      <c r="H446">
        <v>7.9985760000000003E-2</v>
      </c>
      <c r="I446">
        <v>357.43849999999998</v>
      </c>
      <c r="J446">
        <v>-414.65570000000002</v>
      </c>
      <c r="K446">
        <v>1.0702</v>
      </c>
      <c r="L446">
        <v>367.43990000000002</v>
      </c>
      <c r="M446">
        <v>0.99996359999999995</v>
      </c>
      <c r="N446">
        <v>-7.09671E-3</v>
      </c>
      <c r="O446">
        <v>4.7618640000000002E-3</v>
      </c>
      <c r="P446">
        <v>0.99492329999999995</v>
      </c>
      <c r="Q446">
        <v>-9.9597420000000006E-2</v>
      </c>
      <c r="R446">
        <v>-1.4450340000000001E-2</v>
      </c>
      <c r="S446">
        <v>3.0059200000000001</v>
      </c>
      <c r="T446">
        <v>-3.9238330000000002E-2</v>
      </c>
      <c r="U446">
        <v>-0.39627079999999998</v>
      </c>
      <c r="V446">
        <v>1.9184730000000001E-2</v>
      </c>
      <c r="W446">
        <v>-9.2535430000000002E-2</v>
      </c>
      <c r="X446">
        <v>0.99552450000000003</v>
      </c>
      <c r="Y446">
        <v>0.1354012</v>
      </c>
      <c r="Z446">
        <v>-1.390706E-3</v>
      </c>
      <c r="AA446">
        <v>0.9907899</v>
      </c>
      <c r="AB446">
        <v>17</v>
      </c>
      <c r="AC446">
        <v>75.682599999999994</v>
      </c>
      <c r="AD446">
        <v>-0.99021424000000002</v>
      </c>
      <c r="AE446">
        <v>-10.0014</v>
      </c>
      <c r="AF446">
        <v>10.3599428519904</v>
      </c>
      <c r="AG446">
        <v>-0.99021424000000002</v>
      </c>
      <c r="AH446">
        <v>75.621392311575505</v>
      </c>
      <c r="AI446">
        <v>90.743267344551697</v>
      </c>
      <c r="AJ446">
        <v>82.199181439370506</v>
      </c>
      <c r="AK446">
        <v>76.334159557034596</v>
      </c>
      <c r="AL446">
        <v>95.309485701618797</v>
      </c>
      <c r="AM446">
        <v>88.895990987934297</v>
      </c>
      <c r="AN446">
        <v>0.99999994488535204</v>
      </c>
    </row>
    <row r="447" spans="1:40" x14ac:dyDescent="0.25">
      <c r="A447" t="str">
        <f>"20190303154105971"</f>
        <v>20190303154105971</v>
      </c>
      <c r="B447" t="str">
        <f>"1551598865959844"</f>
        <v>1551598865959844</v>
      </c>
      <c r="C447" t="s">
        <v>40</v>
      </c>
      <c r="D447">
        <v>5.9003629999999996</v>
      </c>
      <c r="E447">
        <v>0.54477330000000002</v>
      </c>
      <c r="F447" t="s">
        <v>41</v>
      </c>
      <c r="G447">
        <v>-339.79410000000001</v>
      </c>
      <c r="H447">
        <v>7.9985509999999996E-2</v>
      </c>
      <c r="I447">
        <v>357.52780000000001</v>
      </c>
      <c r="J447">
        <v>-414.4846</v>
      </c>
      <c r="K447">
        <v>1.070187</v>
      </c>
      <c r="L447">
        <v>367.44069999999999</v>
      </c>
      <c r="M447">
        <v>0.99996479999999999</v>
      </c>
      <c r="N447">
        <v>-6.8974309999999999E-3</v>
      </c>
      <c r="O447">
        <v>4.7691249999999999E-3</v>
      </c>
      <c r="P447">
        <v>0.99497389999999997</v>
      </c>
      <c r="Q447">
        <v>-9.9062769999999994E-2</v>
      </c>
      <c r="R447">
        <v>-1.461558E-2</v>
      </c>
      <c r="S447">
        <v>3.0055540000000001</v>
      </c>
      <c r="T447">
        <v>-3.9755230000000003E-2</v>
      </c>
      <c r="U447">
        <v>-0.3979492</v>
      </c>
      <c r="V447">
        <v>1.9357630000000001E-2</v>
      </c>
      <c r="W447">
        <v>-9.2198859999999994E-2</v>
      </c>
      <c r="X447">
        <v>0.9955524</v>
      </c>
      <c r="Y447">
        <v>0.13596759999999999</v>
      </c>
      <c r="Z447">
        <v>-1.3963420000000001E-3</v>
      </c>
      <c r="AA447">
        <v>0.99071229999999999</v>
      </c>
      <c r="AB447">
        <v>17</v>
      </c>
      <c r="AC447">
        <v>74.690499999999901</v>
      </c>
      <c r="AD447">
        <v>-0.99020149000000002</v>
      </c>
      <c r="AE447">
        <v>-9.9128999999999792</v>
      </c>
      <c r="AF447">
        <v>10.267230762989399</v>
      </c>
      <c r="AG447">
        <v>-0.99020149000000002</v>
      </c>
      <c r="AH447">
        <v>74.629483845630205</v>
      </c>
      <c r="AI447">
        <v>90.753076659769206</v>
      </c>
      <c r="AJ447">
        <v>82.166646166709498</v>
      </c>
      <c r="AK447">
        <v>75.338943353331302</v>
      </c>
      <c r="AL447">
        <v>95.290118763613293</v>
      </c>
      <c r="AM447">
        <v>88.886074949931796</v>
      </c>
      <c r="AN447">
        <v>0.99999996438513705</v>
      </c>
    </row>
    <row r="448" spans="1:40" x14ac:dyDescent="0.25">
      <c r="A448" t="str">
        <f>"20190303154105994"</f>
        <v>20190303154105994</v>
      </c>
      <c r="B448" t="str">
        <f>"1551598865990101"</f>
        <v>1551598865990101</v>
      </c>
      <c r="C448" t="s">
        <v>40</v>
      </c>
      <c r="D448">
        <v>5.8996839999999997</v>
      </c>
      <c r="E448">
        <v>0.54484739999999998</v>
      </c>
      <c r="F448" t="s">
        <v>41</v>
      </c>
      <c r="G448">
        <v>-343.6891</v>
      </c>
      <c r="H448">
        <v>7.9985539999999994E-2</v>
      </c>
      <c r="I448">
        <v>358.04410000000001</v>
      </c>
      <c r="J448">
        <v>-414.31020000000001</v>
      </c>
      <c r="K448">
        <v>1.070173</v>
      </c>
      <c r="L448">
        <v>367.44159999999999</v>
      </c>
      <c r="M448">
        <v>0.99996629999999997</v>
      </c>
      <c r="N448">
        <v>-6.6967229999999999E-3</v>
      </c>
      <c r="O448">
        <v>4.7757140000000003E-3</v>
      </c>
      <c r="P448">
        <v>0.99501799999999996</v>
      </c>
      <c r="Q448">
        <v>-9.8594639999999997E-2</v>
      </c>
      <c r="R448">
        <v>-1.477929E-2</v>
      </c>
      <c r="S448">
        <v>3.005096</v>
      </c>
      <c r="T448">
        <v>-4.2031649999999997E-2</v>
      </c>
      <c r="U448">
        <v>-0.39886470000000002</v>
      </c>
      <c r="V448">
        <v>1.9528090000000001E-2</v>
      </c>
      <c r="W448">
        <v>-9.1930250000000005E-2</v>
      </c>
      <c r="X448">
        <v>0.99557390000000001</v>
      </c>
      <c r="Y448">
        <v>0.13628870000000001</v>
      </c>
      <c r="Z448">
        <v>-1.4419560000000001E-3</v>
      </c>
      <c r="AA448">
        <v>0.99066810000000005</v>
      </c>
      <c r="AB448">
        <v>17</v>
      </c>
      <c r="AC448">
        <v>70.621099999999998</v>
      </c>
      <c r="AD448">
        <v>-0.99018746000000002</v>
      </c>
      <c r="AE448">
        <v>-9.3974999999999795</v>
      </c>
      <c r="AF448">
        <v>9.73278642746976</v>
      </c>
      <c r="AG448">
        <v>-0.99018746000000002</v>
      </c>
      <c r="AH448">
        <v>70.561783321116494</v>
      </c>
      <c r="AI448">
        <v>90.796434408517996</v>
      </c>
      <c r="AJ448">
        <v>82.146585771723593</v>
      </c>
      <c r="AK448">
        <v>71.236738192486598</v>
      </c>
      <c r="AL448">
        <v>95.274662959453906</v>
      </c>
      <c r="AM448">
        <v>88.876292680945795</v>
      </c>
      <c r="AN448">
        <v>0.99999995376265904</v>
      </c>
    </row>
    <row r="449" spans="1:40" x14ac:dyDescent="0.25">
      <c r="A449" t="str">
        <f>"20190303154106019"</f>
        <v>20190303154106019</v>
      </c>
      <c r="B449" t="str">
        <f>"1551598866009620"</f>
        <v>1551598866009620</v>
      </c>
      <c r="C449" t="s">
        <v>40</v>
      </c>
      <c r="D449">
        <v>5.9601179999999996</v>
      </c>
      <c r="E449">
        <v>0.54494240000000005</v>
      </c>
      <c r="F449" t="s">
        <v>41</v>
      </c>
      <c r="G449">
        <v>-347.8272</v>
      </c>
      <c r="H449">
        <v>7.9985940000000005E-2</v>
      </c>
      <c r="I449">
        <v>358.59230000000002</v>
      </c>
      <c r="J449">
        <v>-414.12400000000002</v>
      </c>
      <c r="K449">
        <v>1.0701510000000001</v>
      </c>
      <c r="L449">
        <v>367.44240000000002</v>
      </c>
      <c r="M449">
        <v>0.99996759999999996</v>
      </c>
      <c r="N449">
        <v>-6.4777630000000001E-3</v>
      </c>
      <c r="O449">
        <v>4.781988E-3</v>
      </c>
      <c r="P449">
        <v>0.99500999999999995</v>
      </c>
      <c r="Q449">
        <v>-9.8685040000000002E-2</v>
      </c>
      <c r="R449">
        <v>-1.4722799999999901E-2</v>
      </c>
      <c r="S449">
        <v>3.0046390000000001</v>
      </c>
      <c r="T449">
        <v>-4.4750570000000003E-2</v>
      </c>
      <c r="U449">
        <v>-0.39993289999999998</v>
      </c>
      <c r="V449">
        <v>1.9477700000000001E-2</v>
      </c>
      <c r="W449">
        <v>-9.2238669999999995E-2</v>
      </c>
      <c r="X449">
        <v>0.99554640000000005</v>
      </c>
      <c r="Y449">
        <v>0.13665859999999999</v>
      </c>
      <c r="Z449">
        <v>-1.4978379999999901E-3</v>
      </c>
      <c r="AA449">
        <v>0.99061710000000003</v>
      </c>
      <c r="AB449">
        <v>18</v>
      </c>
      <c r="AC449">
        <v>66.296800000000005</v>
      </c>
      <c r="AD449">
        <v>-0.99016506000000004</v>
      </c>
      <c r="AE449">
        <v>-8.8500999999999905</v>
      </c>
      <c r="AF449">
        <v>9.1650273578985395</v>
      </c>
      <c r="AG449">
        <v>-0.99016506000000004</v>
      </c>
      <c r="AH449">
        <v>66.239203078737603</v>
      </c>
      <c r="AI449">
        <v>90.848331461784795</v>
      </c>
      <c r="AJ449">
        <v>82.122423729973804</v>
      </c>
      <c r="AK449">
        <v>66.877576046260202</v>
      </c>
      <c r="AL449">
        <v>95.292409313799794</v>
      </c>
      <c r="AM449">
        <v>88.879160586169107</v>
      </c>
      <c r="AN449">
        <v>0.99999999379680904</v>
      </c>
    </row>
    <row r="450" spans="1:40" x14ac:dyDescent="0.25">
      <c r="A450" t="str">
        <f>"20190303154106039"</f>
        <v>20190303154106039</v>
      </c>
      <c r="B450" t="str">
        <f>"1551598866030117"</f>
        <v>1551598866030117</v>
      </c>
      <c r="C450" t="s">
        <v>40</v>
      </c>
      <c r="D450">
        <v>5.9450269999999996</v>
      </c>
      <c r="E450">
        <v>0.54494359999999997</v>
      </c>
      <c r="F450" t="s">
        <v>41</v>
      </c>
      <c r="G450">
        <v>-351.98329999999999</v>
      </c>
      <c r="H450">
        <v>7.9986269999999998E-2</v>
      </c>
      <c r="I450">
        <v>359.15589999999997</v>
      </c>
      <c r="J450">
        <v>-413.9434</v>
      </c>
      <c r="K450">
        <v>1.070122</v>
      </c>
      <c r="L450">
        <v>367.44330000000002</v>
      </c>
      <c r="M450">
        <v>0.999969</v>
      </c>
      <c r="N450">
        <v>-6.2571709999999997E-3</v>
      </c>
      <c r="O450">
        <v>4.7882389999999997E-3</v>
      </c>
      <c r="P450">
        <v>0.9949926</v>
      </c>
      <c r="Q450">
        <v>-9.8815520000000004E-2</v>
      </c>
      <c r="R450">
        <v>-1.5003850000000001E-2</v>
      </c>
      <c r="S450">
        <v>3.0043639999999998</v>
      </c>
      <c r="T450">
        <v>-4.7872190000000002E-2</v>
      </c>
      <c r="U450">
        <v>-0.40063480000000001</v>
      </c>
      <c r="V450">
        <v>1.9765189999999998E-2</v>
      </c>
      <c r="W450">
        <v>-9.2588909999999996E-2</v>
      </c>
      <c r="X450">
        <v>0.99550830000000001</v>
      </c>
      <c r="Y450">
        <v>0.13690160000000001</v>
      </c>
      <c r="Z450">
        <v>-1.562209E-3</v>
      </c>
      <c r="AA450">
        <v>0.9905834</v>
      </c>
      <c r="AB450">
        <v>18</v>
      </c>
      <c r="AC450">
        <v>61.960099999999997</v>
      </c>
      <c r="AD450">
        <v>-0.99013572999999999</v>
      </c>
      <c r="AE450">
        <v>-8.2874000000000407</v>
      </c>
      <c r="AF450">
        <v>8.58183755242964</v>
      </c>
      <c r="AG450">
        <v>-0.99013572999999999</v>
      </c>
      <c r="AH450">
        <v>61.904176394498698</v>
      </c>
      <c r="AI450">
        <v>90.907668831174405</v>
      </c>
      <c r="AJ450">
        <v>82.107334410891895</v>
      </c>
      <c r="AK450">
        <v>62.5040427462202</v>
      </c>
      <c r="AL450">
        <v>95.312562413394801</v>
      </c>
      <c r="AM450">
        <v>88.862577841425093</v>
      </c>
      <c r="AN450">
        <v>1.0000000721797999</v>
      </c>
    </row>
    <row r="451" spans="1:40" x14ac:dyDescent="0.25">
      <c r="A451" t="str">
        <f>"20190303154106061"</f>
        <v>20190303154106061</v>
      </c>
      <c r="B451" t="str">
        <f>"1551598866049636"</f>
        <v>1551598866049636</v>
      </c>
      <c r="C451" t="s">
        <v>40</v>
      </c>
      <c r="D451">
        <v>5.9301399999999997</v>
      </c>
      <c r="E451">
        <v>0.544987</v>
      </c>
      <c r="F451" t="s">
        <v>41</v>
      </c>
      <c r="G451">
        <v>-354.86070000000001</v>
      </c>
      <c r="H451">
        <v>7.9985399999999998E-2</v>
      </c>
      <c r="I451">
        <v>359.54570000000001</v>
      </c>
      <c r="J451">
        <v>-413.7706</v>
      </c>
      <c r="K451">
        <v>1.070084</v>
      </c>
      <c r="L451">
        <v>367.44420000000002</v>
      </c>
      <c r="M451">
        <v>0.99997029999999998</v>
      </c>
      <c r="N451">
        <v>-6.0429949999999998E-3</v>
      </c>
      <c r="O451">
        <v>4.7942669999999996E-3</v>
      </c>
      <c r="P451">
        <v>0.99496439999999997</v>
      </c>
      <c r="Q451">
        <v>-9.9089999999999998E-2</v>
      </c>
      <c r="R451">
        <v>-1.5071589999999999E-2</v>
      </c>
      <c r="S451">
        <v>3.0040589999999998</v>
      </c>
      <c r="T451">
        <v>-5.0343390000000002E-2</v>
      </c>
      <c r="U451">
        <v>-0.40155030000000003</v>
      </c>
      <c r="V451">
        <v>1.9838600000000001E-2</v>
      </c>
      <c r="W451">
        <v>-9.3076770000000003E-2</v>
      </c>
      <c r="X451">
        <v>0.99546129999999999</v>
      </c>
      <c r="Y451">
        <v>0.13721529999999901</v>
      </c>
      <c r="Z451">
        <v>-1.612212E-3</v>
      </c>
      <c r="AA451">
        <v>0.99053990000000003</v>
      </c>
      <c r="AB451">
        <v>18</v>
      </c>
      <c r="AC451">
        <v>58.909899999999901</v>
      </c>
      <c r="AD451">
        <v>-0.99009859999999905</v>
      </c>
      <c r="AE451">
        <v>-7.8985000000000101</v>
      </c>
      <c r="AF451">
        <v>8.1785747074903501</v>
      </c>
      <c r="AG451">
        <v>-0.99009859999999905</v>
      </c>
      <c r="AH451">
        <v>58.855023246056902</v>
      </c>
      <c r="AI451">
        <v>90.954605994176703</v>
      </c>
      <c r="AJ451">
        <v>82.088763024893495</v>
      </c>
      <c r="AK451">
        <v>59.428807330936898</v>
      </c>
      <c r="AL451">
        <v>95.340636199826605</v>
      </c>
      <c r="AM451">
        <v>88.858300563860595</v>
      </c>
      <c r="AN451">
        <v>1.00000002748064</v>
      </c>
    </row>
    <row r="452" spans="1:40" x14ac:dyDescent="0.25">
      <c r="A452" t="str">
        <f>"20190303154106083"</f>
        <v>20190303154106083</v>
      </c>
      <c r="B452" t="str">
        <f>"1551598866079892"</f>
        <v>1551598866079892</v>
      </c>
      <c r="C452" t="s">
        <v>40</v>
      </c>
      <c r="D452">
        <v>5.9541040000000001</v>
      </c>
      <c r="E452">
        <v>0.54507059999999996</v>
      </c>
      <c r="F452" t="s">
        <v>41</v>
      </c>
      <c r="G452">
        <v>-355.2946</v>
      </c>
      <c r="H452">
        <v>2.5113989999999999E-2</v>
      </c>
      <c r="I452">
        <v>359.61630000000002</v>
      </c>
      <c r="J452">
        <v>-413.59359999999998</v>
      </c>
      <c r="K452">
        <v>1.0700510000000001</v>
      </c>
      <c r="L452">
        <v>367.44499999999999</v>
      </c>
      <c r="M452">
        <v>0.99997159999999996</v>
      </c>
      <c r="N452">
        <v>-5.820876E-3</v>
      </c>
      <c r="O452">
        <v>4.8004739999999999E-3</v>
      </c>
      <c r="P452">
        <v>0.99493319999999996</v>
      </c>
      <c r="Q452">
        <v>-9.9323170000000002E-2</v>
      </c>
      <c r="R452">
        <v>-1.558845E-2</v>
      </c>
      <c r="S452">
        <v>3.0038149999999999</v>
      </c>
      <c r="T452">
        <v>-5.367827E-2</v>
      </c>
      <c r="U452">
        <v>-0.4020996</v>
      </c>
      <c r="V452">
        <v>2.0361379999999998E-2</v>
      </c>
      <c r="W452">
        <v>-9.353127E-2</v>
      </c>
      <c r="X452">
        <v>0.99540810000000002</v>
      </c>
      <c r="Y452">
        <v>0.1374071</v>
      </c>
      <c r="Z452">
        <v>-1.6815109999999999E-3</v>
      </c>
      <c r="AA452">
        <v>0.99051319999999998</v>
      </c>
      <c r="AB452">
        <v>18</v>
      </c>
      <c r="AC452">
        <v>58.2989999999999</v>
      </c>
      <c r="AD452">
        <v>-1.0449370099999999</v>
      </c>
      <c r="AE452">
        <v>-7.8286999999999596</v>
      </c>
      <c r="AF452">
        <v>8.1059193604418898</v>
      </c>
      <c r="AG452">
        <v>-1.0449370099999999</v>
      </c>
      <c r="AH452">
        <v>58.242366560566303</v>
      </c>
      <c r="AI452">
        <v>91.018033641421795</v>
      </c>
      <c r="AJ452">
        <v>82.076718536333104</v>
      </c>
      <c r="AK452">
        <v>58.813017985886702</v>
      </c>
      <c r="AL452">
        <v>95.366791457290404</v>
      </c>
      <c r="AM452">
        <v>88.828160562994995</v>
      </c>
      <c r="AN452">
        <v>0.99999998490446296</v>
      </c>
    </row>
    <row r="453" spans="1:40" x14ac:dyDescent="0.25">
      <c r="A453" t="str">
        <f>"20190303154106106"</f>
        <v>20190303154106106</v>
      </c>
      <c r="B453" t="str">
        <f>"1551598866099412"</f>
        <v>1551598866099412</v>
      </c>
      <c r="C453" t="s">
        <v>40</v>
      </c>
      <c r="D453">
        <v>5.9502490000000003</v>
      </c>
      <c r="E453">
        <v>0.54511489999999996</v>
      </c>
      <c r="F453" t="s">
        <v>41</v>
      </c>
      <c r="G453">
        <v>-357.78620000000001</v>
      </c>
      <c r="H453" s="1">
        <v>-3.3160040000000002E-6</v>
      </c>
      <c r="I453">
        <v>359.93270000000001</v>
      </c>
      <c r="J453">
        <v>-413.40660000000003</v>
      </c>
      <c r="K453">
        <v>1.0700149999999999</v>
      </c>
      <c r="L453">
        <v>367.44589999999999</v>
      </c>
      <c r="M453">
        <v>0.99997290000000005</v>
      </c>
      <c r="N453">
        <v>-5.5810449999999998E-3</v>
      </c>
      <c r="O453">
        <v>4.8067079999999998E-3</v>
      </c>
      <c r="P453">
        <v>0.99495460000000002</v>
      </c>
      <c r="Q453">
        <v>-9.9096890000000007E-2</v>
      </c>
      <c r="R453">
        <v>-1.5658450000000001E-2</v>
      </c>
      <c r="S453">
        <v>3.0032350000000001</v>
      </c>
      <c r="T453">
        <v>-5.7584049999999998E-2</v>
      </c>
      <c r="U453">
        <v>-0.40426640000000003</v>
      </c>
      <c r="V453">
        <v>2.0437739999999999E-2</v>
      </c>
      <c r="W453">
        <v>-9.3543630000000003E-2</v>
      </c>
      <c r="X453">
        <v>0.9954054</v>
      </c>
      <c r="Y453">
        <v>0.1381366</v>
      </c>
      <c r="Z453">
        <v>-1.770549E-3</v>
      </c>
      <c r="AA453">
        <v>0.99041159999999995</v>
      </c>
      <c r="AB453">
        <v>18</v>
      </c>
      <c r="AC453">
        <v>55.620399999999997</v>
      </c>
      <c r="AD453">
        <v>-1.070018316004</v>
      </c>
      <c r="AE453">
        <v>-7.5131999999999799</v>
      </c>
      <c r="AF453">
        <v>7.7776414893503798</v>
      </c>
      <c r="AG453">
        <v>-1.070018316004</v>
      </c>
      <c r="AH453">
        <v>55.5634478114643</v>
      </c>
      <c r="AI453">
        <v>91.092593039307403</v>
      </c>
      <c r="AJ453">
        <v>82.031644907637599</v>
      </c>
      <c r="AK453">
        <v>56.115357782257497</v>
      </c>
      <c r="AL453">
        <v>95.367502610389494</v>
      </c>
      <c r="AM453">
        <v>88.823763930160595</v>
      </c>
      <c r="AN453">
        <v>1.00000001113952</v>
      </c>
    </row>
    <row r="454" spans="1:40" x14ac:dyDescent="0.25">
      <c r="A454" t="str">
        <f>"20190303154106128"</f>
        <v>20190303154106128</v>
      </c>
      <c r="B454" t="str">
        <f>"1551598866119908"</f>
        <v>1551598866119908</v>
      </c>
      <c r="C454" t="s">
        <v>40</v>
      </c>
      <c r="D454">
        <v>6.0189490000000001</v>
      </c>
      <c r="E454">
        <v>0.54509399999999997</v>
      </c>
      <c r="F454" t="s">
        <v>41</v>
      </c>
      <c r="G454">
        <v>-358.98320000000001</v>
      </c>
      <c r="H454" s="1">
        <v>-2.8607719999999999E-6</v>
      </c>
      <c r="I454">
        <v>360.11270000000002</v>
      </c>
      <c r="J454">
        <v>-413.22199999999998</v>
      </c>
      <c r="K454">
        <v>1.069985</v>
      </c>
      <c r="L454">
        <v>367.4468</v>
      </c>
      <c r="M454">
        <v>0.99997400000000003</v>
      </c>
      <c r="N454">
        <v>-5.3430519999999896E-3</v>
      </c>
      <c r="O454">
        <v>4.8129089999999998E-3</v>
      </c>
      <c r="P454">
        <v>0.99496969999999996</v>
      </c>
      <c r="Q454">
        <v>-9.9007449999999997E-2</v>
      </c>
      <c r="R454">
        <v>-1.5259899999999899E-2</v>
      </c>
      <c r="S454">
        <v>3.0029910000000002</v>
      </c>
      <c r="T454">
        <v>-5.9041620000000003E-2</v>
      </c>
      <c r="U454">
        <v>-0.40463260000000001</v>
      </c>
      <c r="V454">
        <v>2.0045480000000001E-2</v>
      </c>
      <c r="W454">
        <v>-9.3690969999999998E-2</v>
      </c>
      <c r="X454">
        <v>0.99539949999999999</v>
      </c>
      <c r="Y454">
        <v>0.1382708</v>
      </c>
      <c r="Z454">
        <v>-1.7927290000000001E-3</v>
      </c>
      <c r="AA454">
        <v>0.99039290000000002</v>
      </c>
      <c r="AB454">
        <v>18</v>
      </c>
      <c r="AC454">
        <v>54.238799999999898</v>
      </c>
      <c r="AD454">
        <v>-1.0699878607719999</v>
      </c>
      <c r="AE454">
        <v>-7.3340999999999701</v>
      </c>
      <c r="AF454">
        <v>7.5921636482164798</v>
      </c>
      <c r="AG454">
        <v>-1.0699878607719999</v>
      </c>
      <c r="AH454">
        <v>54.182165546621697</v>
      </c>
      <c r="AI454">
        <v>91.120385598418295</v>
      </c>
      <c r="AJ454">
        <v>82.023481895611795</v>
      </c>
      <c r="AK454">
        <v>54.7219598169237</v>
      </c>
      <c r="AL454">
        <v>95.375981912847294</v>
      </c>
      <c r="AM454">
        <v>88.846326342950704</v>
      </c>
      <c r="AN454">
        <v>0.99999999186411004</v>
      </c>
    </row>
    <row r="455" spans="1:40" x14ac:dyDescent="0.25">
      <c r="A455" t="str">
        <f>"20190303154106142"</f>
        <v>20190303154106142</v>
      </c>
      <c r="B455" t="str">
        <f>"1551598866129669"</f>
        <v>1551598866129669</v>
      </c>
      <c r="C455" t="s">
        <v>40</v>
      </c>
      <c r="D455">
        <v>5.9116330000000001</v>
      </c>
      <c r="E455">
        <v>0.52407029999999999</v>
      </c>
      <c r="F455" t="s">
        <v>41</v>
      </c>
      <c r="G455">
        <v>-359.76029999999997</v>
      </c>
      <c r="H455" s="1">
        <v>-2.5555330000000002E-6</v>
      </c>
      <c r="I455">
        <v>360.26589999999999</v>
      </c>
      <c r="J455">
        <v>-413.10820000000001</v>
      </c>
      <c r="K455">
        <v>1.0699650000000001</v>
      </c>
      <c r="L455">
        <v>367.44740000000002</v>
      </c>
      <c r="M455">
        <v>0.99997499999999995</v>
      </c>
      <c r="N455">
        <v>-5.1998499999999998E-3</v>
      </c>
      <c r="O455">
        <v>4.8165090000000001E-3</v>
      </c>
      <c r="P455">
        <v>0.99499320000000002</v>
      </c>
      <c r="Q455">
        <v>-9.8790089999999997E-2</v>
      </c>
      <c r="R455">
        <v>-1.5152840000000001E-2</v>
      </c>
      <c r="S455">
        <v>3.0029599999999999</v>
      </c>
      <c r="T455">
        <v>-6.0101509999999997E-2</v>
      </c>
      <c r="U455">
        <v>-0.40335080000000001</v>
      </c>
      <c r="V455">
        <v>1.9941939999999998E-2</v>
      </c>
      <c r="W455">
        <v>-9.3616000000000005E-2</v>
      </c>
      <c r="X455">
        <v>0.99540870000000004</v>
      </c>
      <c r="Y455">
        <v>0.1378596</v>
      </c>
      <c r="Z455">
        <v>-1.804375E-3</v>
      </c>
      <c r="AA455">
        <v>0.9904501</v>
      </c>
      <c r="AB455">
        <v>18</v>
      </c>
      <c r="AC455">
        <v>53.347900000000003</v>
      </c>
      <c r="AD455">
        <v>-1.0699675555329999</v>
      </c>
      <c r="AE455">
        <v>-7.1815000000000202</v>
      </c>
      <c r="AF455">
        <v>7.4354330412226197</v>
      </c>
      <c r="AG455">
        <v>-1.0699675555329999</v>
      </c>
      <c r="AH455">
        <v>53.291635434302101</v>
      </c>
      <c r="AI455">
        <v>91.139174929774995</v>
      </c>
      <c r="AJ455">
        <v>82.057170562384499</v>
      </c>
      <c r="AK455">
        <v>53.818481048269597</v>
      </c>
      <c r="AL455">
        <v>95.371667128131605</v>
      </c>
      <c r="AM455">
        <v>88.8522943674445</v>
      </c>
      <c r="AN455">
        <v>1.00000005823132</v>
      </c>
    </row>
    <row r="456" spans="1:40" x14ac:dyDescent="0.25">
      <c r="A456" t="str">
        <f>"20190303154106162"</f>
        <v>20190303154106162</v>
      </c>
      <c r="B456" t="str">
        <f>"1551598866150165"</f>
        <v>1551598866150165</v>
      </c>
      <c r="C456" t="s">
        <v>40</v>
      </c>
      <c r="D456">
        <v>5.8706750000000003</v>
      </c>
      <c r="E456">
        <v>0.51715670000000002</v>
      </c>
      <c r="F456" t="s">
        <v>42</v>
      </c>
      <c r="G456">
        <v>-412.26519999999999</v>
      </c>
      <c r="H456">
        <v>0.99714519999999995</v>
      </c>
      <c r="I456">
        <v>367.38040000000001</v>
      </c>
      <c r="J456">
        <v>-412.93810000000002</v>
      </c>
      <c r="K456">
        <v>1.069928</v>
      </c>
      <c r="L456">
        <v>367.44819999999999</v>
      </c>
      <c r="M456">
        <v>0.99997590000000003</v>
      </c>
      <c r="N456">
        <v>-4.9960630000000002E-3</v>
      </c>
      <c r="O456">
        <v>4.8223999999999897E-3</v>
      </c>
      <c r="P456">
        <v>0.9950194</v>
      </c>
      <c r="Q456">
        <v>-9.862477E-2</v>
      </c>
      <c r="R456">
        <v>-1.4484550000000001E-2</v>
      </c>
      <c r="S456">
        <v>2.9859309999999999</v>
      </c>
      <c r="T456">
        <v>-0.25809609999999999</v>
      </c>
      <c r="U456">
        <v>-0.23672489999999999</v>
      </c>
      <c r="V456">
        <v>1.9279810000000001E-2</v>
      </c>
      <c r="W456">
        <v>-9.3653410000000006E-2</v>
      </c>
      <c r="X456">
        <v>0.99541820000000003</v>
      </c>
      <c r="Y456">
        <v>8.3495230000000004E-2</v>
      </c>
      <c r="Z456">
        <v>-4.1969570000000003E-3</v>
      </c>
      <c r="AA456">
        <v>0.99649940000000004</v>
      </c>
      <c r="AB456">
        <v>19</v>
      </c>
      <c r="AC456">
        <v>0.67290000000002603</v>
      </c>
      <c r="AD456">
        <v>-7.2782799999999995E-2</v>
      </c>
      <c r="AE456">
        <v>-6.7799999999976907E-2</v>
      </c>
      <c r="AF456">
        <v>7.0230857279291597E-2</v>
      </c>
      <c r="AG456">
        <v>-7.2782799999999995E-2</v>
      </c>
      <c r="AH456">
        <v>0.66486499264853305</v>
      </c>
      <c r="AI456">
        <v>96.213001716851593</v>
      </c>
      <c r="AJ456">
        <v>83.970107120169899</v>
      </c>
      <c r="AK456">
        <v>0.67251406508678901</v>
      </c>
      <c r="AL456">
        <v>95.373820159821904</v>
      </c>
      <c r="AM456">
        <v>88.890402405169695</v>
      </c>
      <c r="AN456">
        <v>1.00000003258475</v>
      </c>
    </row>
    <row r="457" spans="1:40" x14ac:dyDescent="0.25">
      <c r="A457" t="str">
        <f>"20190303154106185"</f>
        <v>20190303154106185</v>
      </c>
      <c r="B457" t="str">
        <f>"1551598866179445"</f>
        <v>1551598866179445</v>
      </c>
      <c r="C457" t="s">
        <v>40</v>
      </c>
      <c r="D457">
        <v>5.9221430000000002</v>
      </c>
      <c r="E457">
        <v>0.51419479999999995</v>
      </c>
      <c r="F457" t="s">
        <v>42</v>
      </c>
      <c r="G457">
        <v>-412.10899999999998</v>
      </c>
      <c r="H457">
        <v>0.97215750000000001</v>
      </c>
      <c r="I457">
        <v>367.39760000000001</v>
      </c>
      <c r="J457">
        <v>-412.75380000000001</v>
      </c>
      <c r="K457">
        <v>1.069912</v>
      </c>
      <c r="L457">
        <v>367.44909999999999</v>
      </c>
      <c r="M457">
        <v>0.99997689999999995</v>
      </c>
      <c r="N457">
        <v>-4.7939810000000001E-3</v>
      </c>
      <c r="O457">
        <v>4.8286229999999998E-3</v>
      </c>
      <c r="P457">
        <v>0.99504190000000003</v>
      </c>
      <c r="Q457">
        <v>-9.8470849999999999E-2</v>
      </c>
      <c r="R457">
        <v>-1.3979729999999999E-2</v>
      </c>
      <c r="S457">
        <v>2.9775999999999998</v>
      </c>
      <c r="T457">
        <v>-0.35132590000000002</v>
      </c>
      <c r="U457">
        <v>-0.18075559999999999</v>
      </c>
      <c r="V457">
        <v>1.8781220000000001E-2</v>
      </c>
      <c r="W457">
        <v>-9.3700500000000006E-2</v>
      </c>
      <c r="X457">
        <v>0.99542330000000001</v>
      </c>
      <c r="Y457">
        <v>6.4914879999999994E-2</v>
      </c>
      <c r="Z457">
        <v>-4.5134429999999998E-3</v>
      </c>
      <c r="AA457">
        <v>0.99788060000000001</v>
      </c>
      <c r="AB457">
        <v>19</v>
      </c>
      <c r="AC457">
        <v>0.64479999999997495</v>
      </c>
      <c r="AD457">
        <v>-9.77544999999998E-2</v>
      </c>
      <c r="AE457">
        <v>-5.1499999999975898E-2</v>
      </c>
      <c r="AF457">
        <v>5.3393519609758702E-2</v>
      </c>
      <c r="AG457">
        <v>-9.77544999999998E-2</v>
      </c>
      <c r="AH457">
        <v>0.63015226420927395</v>
      </c>
      <c r="AI457">
        <v>98.786924019142404</v>
      </c>
      <c r="AJ457">
        <v>85.156831481387897</v>
      </c>
      <c r="AK457">
        <v>0.63992084377260505</v>
      </c>
      <c r="AL457">
        <v>95.376530137572999</v>
      </c>
      <c r="AM457">
        <v>88.919096049601194</v>
      </c>
      <c r="AN457">
        <v>1.00000003205391</v>
      </c>
    </row>
    <row r="458" spans="1:40" x14ac:dyDescent="0.25">
      <c r="A458" t="str">
        <f>"20190303154106209"</f>
        <v>20190303154106209</v>
      </c>
      <c r="B458" t="str">
        <f>"1551598866199941"</f>
        <v>1551598866199941</v>
      </c>
      <c r="C458" t="s">
        <v>40</v>
      </c>
      <c r="D458">
        <v>5.9245599999999996</v>
      </c>
      <c r="E458">
        <v>0.51305809999999996</v>
      </c>
      <c r="F458" t="s">
        <v>42</v>
      </c>
      <c r="G458">
        <v>-411.94549999999998</v>
      </c>
      <c r="H458">
        <v>0.95934129999999995</v>
      </c>
      <c r="I458">
        <v>367.4067</v>
      </c>
      <c r="J458">
        <v>-412.54579999999999</v>
      </c>
      <c r="K458">
        <v>1.06989</v>
      </c>
      <c r="L458">
        <v>367.45010000000002</v>
      </c>
      <c r="M458">
        <v>0.99997789999999998</v>
      </c>
      <c r="N458">
        <v>-4.5922430000000002E-3</v>
      </c>
      <c r="O458">
        <v>4.835481E-3</v>
      </c>
      <c r="P458">
        <v>0.99512029999999996</v>
      </c>
      <c r="Q458">
        <v>-9.7732600000000003E-2</v>
      </c>
      <c r="R458">
        <v>-1.357791E-2</v>
      </c>
      <c r="S458">
        <v>2.9725039999999998</v>
      </c>
      <c r="T458">
        <v>-0.40659089999999998</v>
      </c>
      <c r="U458">
        <v>-0.1557617</v>
      </c>
      <c r="V458">
        <v>1.8386759999999999E-2</v>
      </c>
      <c r="W458">
        <v>-9.3162690000000006E-2</v>
      </c>
      <c r="X458">
        <v>0.99548110000000001</v>
      </c>
      <c r="Y458">
        <v>5.6572200000000003E-2</v>
      </c>
      <c r="Z458">
        <v>-4.6149930000000004E-3</v>
      </c>
      <c r="AA458">
        <v>0.99838789999999999</v>
      </c>
      <c r="AB458">
        <v>19</v>
      </c>
      <c r="AC458">
        <v>0.60030000000000405</v>
      </c>
      <c r="AD458">
        <v>-0.110548699999999</v>
      </c>
      <c r="AE458">
        <v>-4.3400000000019603E-2</v>
      </c>
      <c r="AF458">
        <v>4.4791143132722498E-2</v>
      </c>
      <c r="AG458">
        <v>-0.110548699999999</v>
      </c>
      <c r="AH458">
        <v>0.58049882900346395</v>
      </c>
      <c r="AI458">
        <v>100.750946290388</v>
      </c>
      <c r="AJ458">
        <v>85.587814423901804</v>
      </c>
      <c r="AK458">
        <v>0.59262648611854896</v>
      </c>
      <c r="AL458">
        <v>95.345580736995998</v>
      </c>
      <c r="AM458">
        <v>88.941854372673703</v>
      </c>
      <c r="AN458">
        <v>0.99999999010427099</v>
      </c>
    </row>
    <row r="459" spans="1:40" x14ac:dyDescent="0.25">
      <c r="A459" t="str">
        <f>"20190303154106273"</f>
        <v>20190303154106273</v>
      </c>
      <c r="B459" t="str">
        <f>"1551598866269745"</f>
        <v>1551598866269745</v>
      </c>
      <c r="C459" t="s">
        <v>40</v>
      </c>
      <c r="D459">
        <v>5.9272489999999998</v>
      </c>
      <c r="E459">
        <v>0.51114870000000001</v>
      </c>
      <c r="F459" t="s">
        <v>42</v>
      </c>
      <c r="G459">
        <v>-411.77420000000001</v>
      </c>
      <c r="H459">
        <v>0.95976700000000004</v>
      </c>
      <c r="I459">
        <v>367.41180000000003</v>
      </c>
      <c r="J459">
        <v>-411.9828</v>
      </c>
      <c r="K459">
        <v>1.0698510000000001</v>
      </c>
      <c r="L459">
        <v>367.4529</v>
      </c>
      <c r="M459">
        <v>0.99997959999999997</v>
      </c>
      <c r="N459">
        <v>-4.1818940000000002E-3</v>
      </c>
      <c r="O459">
        <v>4.8539179999999996E-3</v>
      </c>
      <c r="P459">
        <v>0.99509999999999998</v>
      </c>
      <c r="Q459">
        <v>-9.7857390000000002E-2</v>
      </c>
      <c r="R459">
        <v>-1.414662E-2</v>
      </c>
      <c r="S459">
        <v>2.9710079999999999</v>
      </c>
      <c r="T459">
        <v>-0.42425819999999997</v>
      </c>
      <c r="U459">
        <v>-0.14617920000000001</v>
      </c>
      <c r="V459">
        <v>1.897393E-2</v>
      </c>
      <c r="W459">
        <v>-9.3696039999999994E-2</v>
      </c>
      <c r="X459">
        <v>0.99541999999999997</v>
      </c>
      <c r="Y459">
        <v>5.3387339999999998E-2</v>
      </c>
      <c r="Z459">
        <v>-4.5716819999999997E-3</v>
      </c>
      <c r="AA459">
        <v>0.99856339999999999</v>
      </c>
      <c r="AB459">
        <v>19</v>
      </c>
      <c r="AC459">
        <v>0.20859999999998899</v>
      </c>
      <c r="AD459">
        <v>-0.110084</v>
      </c>
      <c r="AE459">
        <v>-4.1099999999971701E-2</v>
      </c>
      <c r="AF459">
        <v>3.3209058081243602E-2</v>
      </c>
      <c r="AG459">
        <v>-0.110084</v>
      </c>
      <c r="AH459">
        <v>0.16434019412565501</v>
      </c>
      <c r="AI459">
        <v>123.28822001273799</v>
      </c>
      <c r="AJ459">
        <v>78.575792704398197</v>
      </c>
      <c r="AK459">
        <v>0.20057175274674499</v>
      </c>
      <c r="AL459">
        <v>95.376273819112598</v>
      </c>
      <c r="AM459">
        <v>88.908004182711906</v>
      </c>
      <c r="AN459">
        <v>0.99999996716566197</v>
      </c>
    </row>
    <row r="460" spans="1:40" x14ac:dyDescent="0.25">
      <c r="A460" t="str">
        <f>"20190303154106297"</f>
        <v>20190303154106297</v>
      </c>
      <c r="B460" t="str">
        <f>"1551598866289265"</f>
        <v>1551598866289265</v>
      </c>
      <c r="C460" t="s">
        <v>40</v>
      </c>
      <c r="D460">
        <v>5.9402239999999997</v>
      </c>
      <c r="E460">
        <v>0.51111850000000003</v>
      </c>
      <c r="F460" t="s">
        <v>42</v>
      </c>
      <c r="G460">
        <v>-411.25529999999998</v>
      </c>
      <c r="H460">
        <v>0.95608119999999996</v>
      </c>
      <c r="I460">
        <v>367.42020000000002</v>
      </c>
      <c r="J460">
        <v>-411.78109999999998</v>
      </c>
      <c r="K460">
        <v>1.0698399999999999</v>
      </c>
      <c r="L460">
        <v>367.45389999999998</v>
      </c>
      <c r="M460">
        <v>0.99997990000000003</v>
      </c>
      <c r="N460">
        <v>-4.0771050000000001E-3</v>
      </c>
      <c r="O460">
        <v>4.8608729999999999E-3</v>
      </c>
      <c r="P460">
        <v>0.99502800000000002</v>
      </c>
      <c r="Q460">
        <v>-9.8478650000000001E-2</v>
      </c>
      <c r="R460">
        <v>-1.4880050000000001E-2</v>
      </c>
      <c r="S460">
        <v>2.967285</v>
      </c>
      <c r="T460">
        <v>-0.46412710000000001</v>
      </c>
      <c r="U460">
        <v>-0.1329651</v>
      </c>
      <c r="V460">
        <v>1.9713749999999999E-2</v>
      </c>
      <c r="W460">
        <v>-9.4421939999999996E-2</v>
      </c>
      <c r="X460">
        <v>0.99533709999999997</v>
      </c>
      <c r="Y460">
        <v>4.8955209999999999E-2</v>
      </c>
      <c r="Z460">
        <v>-4.6397859999999999E-3</v>
      </c>
      <c r="AA460">
        <v>0.99879019999999996</v>
      </c>
      <c r="AB460">
        <v>19</v>
      </c>
      <c r="AC460">
        <v>0.52580000000000304</v>
      </c>
      <c r="AD460">
        <v>-0.11375879999999899</v>
      </c>
      <c r="AE460">
        <v>-3.3699999999953399E-2</v>
      </c>
      <c r="AF460">
        <v>3.4640613197471699E-2</v>
      </c>
      <c r="AG460">
        <v>-0.11375879999999899</v>
      </c>
      <c r="AH460">
        <v>0.502217861981891</v>
      </c>
      <c r="AI460">
        <v>102.73359514553999</v>
      </c>
      <c r="AJ460">
        <v>86.054257560051298</v>
      </c>
      <c r="AK460">
        <v>0.51610446379952801</v>
      </c>
      <c r="AL460">
        <v>95.418049648850698</v>
      </c>
      <c r="AM460">
        <v>88.8653421919755</v>
      </c>
      <c r="AN460">
        <v>1.0000000386644099</v>
      </c>
    </row>
    <row r="461" spans="1:40" x14ac:dyDescent="0.25">
      <c r="A461" t="str">
        <f>"20190303154106319"</f>
        <v>20190303154106319</v>
      </c>
      <c r="B461" t="str">
        <f>"1551598866309763"</f>
        <v>1551598866309763</v>
      </c>
      <c r="C461" t="s">
        <v>40</v>
      </c>
      <c r="D461">
        <v>6.0766839999999904</v>
      </c>
      <c r="E461">
        <v>0.51053930000000003</v>
      </c>
      <c r="F461" t="s">
        <v>42</v>
      </c>
      <c r="G461">
        <v>-410.91370000000001</v>
      </c>
      <c r="H461">
        <v>0.93196440000000003</v>
      </c>
      <c r="I461">
        <v>367.41449999999998</v>
      </c>
      <c r="J461">
        <v>-411.58249999999998</v>
      </c>
      <c r="K461">
        <v>1.0698289999999999</v>
      </c>
      <c r="L461">
        <v>367.45479999999998</v>
      </c>
      <c r="M461">
        <v>0.99998030000000004</v>
      </c>
      <c r="N461">
        <v>-3.9959599999999998E-3</v>
      </c>
      <c r="O461">
        <v>4.8674159999999899E-3</v>
      </c>
      <c r="P461">
        <v>0.99503430000000004</v>
      </c>
      <c r="Q461">
        <v>-9.8410600000000001E-2</v>
      </c>
      <c r="R461">
        <v>-1.49109E-2</v>
      </c>
      <c r="S461">
        <v>2.9663089999999999</v>
      </c>
      <c r="T461">
        <v>-0.47149570000000002</v>
      </c>
      <c r="U461">
        <v>-0.13485720000000001</v>
      </c>
      <c r="V461">
        <v>1.9751049999999999E-2</v>
      </c>
      <c r="W461">
        <v>-9.4434660000000004E-2</v>
      </c>
      <c r="X461">
        <v>0.99533510000000003</v>
      </c>
      <c r="Y461">
        <v>4.9582939999999999E-2</v>
      </c>
      <c r="Z461">
        <v>-4.762957E-3</v>
      </c>
      <c r="AA461">
        <v>0.9987587</v>
      </c>
      <c r="AB461">
        <v>20</v>
      </c>
      <c r="AC461">
        <v>0.66879999999997597</v>
      </c>
      <c r="AD461">
        <v>-0.1378646</v>
      </c>
      <c r="AE461">
        <v>-4.0300000000002001E-2</v>
      </c>
      <c r="AF461">
        <v>4.1785717153951997E-2</v>
      </c>
      <c r="AG461">
        <v>-0.1378646</v>
      </c>
      <c r="AH461">
        <v>0.641438170194645</v>
      </c>
      <c r="AI461">
        <v>102.10517254615</v>
      </c>
      <c r="AJ461">
        <v>86.272801875768806</v>
      </c>
      <c r="AK461">
        <v>0.65741586554774101</v>
      </c>
      <c r="AL461">
        <v>95.418782013199007</v>
      </c>
      <c r="AM461">
        <v>88.863193607363698</v>
      </c>
      <c r="AN461">
        <v>0.99999998513871402</v>
      </c>
    </row>
    <row r="462" spans="1:40" x14ac:dyDescent="0.25">
      <c r="A462" t="str">
        <f>"20190303154106340"</f>
        <v>20190303154106340</v>
      </c>
      <c r="B462" t="str">
        <f>"1551598866329284"</f>
        <v>1551598866329284</v>
      </c>
      <c r="C462" t="s">
        <v>40</v>
      </c>
      <c r="D462">
        <v>5.9744919999999997</v>
      </c>
      <c r="E462">
        <v>0.51037639999999995</v>
      </c>
      <c r="F462" t="s">
        <v>42</v>
      </c>
      <c r="G462">
        <v>-410.73480000000001</v>
      </c>
      <c r="H462">
        <v>0.93274330000000005</v>
      </c>
      <c r="I462">
        <v>367.4171</v>
      </c>
      <c r="J462">
        <v>-411.39060000000001</v>
      </c>
      <c r="K462">
        <v>1.0698240000000001</v>
      </c>
      <c r="L462">
        <v>367.45580000000001</v>
      </c>
      <c r="M462">
        <v>0.9999806</v>
      </c>
      <c r="N462">
        <v>-3.9349270000000004E-3</v>
      </c>
      <c r="O462">
        <v>4.8742730000000001E-3</v>
      </c>
      <c r="P462">
        <v>0.99495769999999994</v>
      </c>
      <c r="Q462">
        <v>-9.9156129999999995E-2</v>
      </c>
      <c r="R462">
        <v>-1.5087980000000001E-2</v>
      </c>
      <c r="S462">
        <v>2.965576</v>
      </c>
      <c r="T462">
        <v>-0.47968270000000002</v>
      </c>
      <c r="U462">
        <v>-0.13070680000000001</v>
      </c>
      <c r="V462">
        <v>1.993458E-2</v>
      </c>
      <c r="W462">
        <v>-9.5241199999999998E-2</v>
      </c>
      <c r="X462">
        <v>0.99525459999999999</v>
      </c>
      <c r="Y462">
        <v>4.8200069999999998E-2</v>
      </c>
      <c r="Z462">
        <v>-4.7305999999999997E-3</v>
      </c>
      <c r="AA462">
        <v>0.99882649999999995</v>
      </c>
      <c r="AB462">
        <v>20</v>
      </c>
      <c r="AC462">
        <v>0.65579999999999905</v>
      </c>
      <c r="AD462">
        <v>-0.137080699999999</v>
      </c>
      <c r="AE462">
        <v>-3.8700000000005702E-2</v>
      </c>
      <c r="AF462">
        <v>4.0148020947995397E-2</v>
      </c>
      <c r="AG462">
        <v>-0.137080699999999</v>
      </c>
      <c r="AH462">
        <v>0.628248885500441</v>
      </c>
      <c r="AI462">
        <v>102.284436140957</v>
      </c>
      <c r="AJ462">
        <v>86.343505705141794</v>
      </c>
      <c r="AK462">
        <v>0.64428227046153996</v>
      </c>
      <c r="AL462">
        <v>95.465202522588399</v>
      </c>
      <c r="AM462">
        <v>88.852540247888996</v>
      </c>
      <c r="AN462">
        <v>0.999999996239188</v>
      </c>
    </row>
    <row r="463" spans="1:40" x14ac:dyDescent="0.25">
      <c r="A463" t="str">
        <f>"20190303154106364"</f>
        <v>20190303154106364</v>
      </c>
      <c r="B463" t="str">
        <f>"1551598866359536"</f>
        <v>1551598866359536</v>
      </c>
      <c r="C463" t="s">
        <v>40</v>
      </c>
      <c r="D463">
        <v>6.1085079999999996</v>
      </c>
      <c r="E463">
        <v>0.5098973</v>
      </c>
      <c r="F463" t="s">
        <v>42</v>
      </c>
      <c r="G463">
        <v>-410.55500000000001</v>
      </c>
      <c r="H463">
        <v>0.93278190000000005</v>
      </c>
      <c r="I463">
        <v>367.41930000000002</v>
      </c>
      <c r="J463">
        <v>-411.18180000000001</v>
      </c>
      <c r="K463">
        <v>1.069817</v>
      </c>
      <c r="L463">
        <v>367.45679999999999</v>
      </c>
      <c r="M463">
        <v>0.99998069999999895</v>
      </c>
      <c r="N463">
        <v>-3.8845820000000001E-3</v>
      </c>
      <c r="O463">
        <v>4.8814059999999996E-3</v>
      </c>
      <c r="P463">
        <v>0.99495100000000003</v>
      </c>
      <c r="Q463">
        <v>-9.9217009999999994E-2</v>
      </c>
      <c r="R463">
        <v>-1.513137E-2</v>
      </c>
      <c r="S463">
        <v>2.9647830000000002</v>
      </c>
      <c r="T463">
        <v>-0.48627969999999998</v>
      </c>
      <c r="U463">
        <v>-0.12948609999999999</v>
      </c>
      <c r="V463">
        <v>1.9985019999999999E-2</v>
      </c>
      <c r="W463">
        <v>-9.5352210000000007E-2</v>
      </c>
      <c r="X463">
        <v>0.99524299999999999</v>
      </c>
      <c r="Y463">
        <v>4.7794580000000003E-2</v>
      </c>
      <c r="Z463">
        <v>-4.7614220000000004E-3</v>
      </c>
      <c r="AA463">
        <v>0.99884580000000001</v>
      </c>
      <c r="AB463">
        <v>20</v>
      </c>
      <c r="AC463">
        <v>0.62680000000000202</v>
      </c>
      <c r="AD463">
        <v>-0.13703509999999999</v>
      </c>
      <c r="AE463">
        <v>-3.7499999999965797E-2</v>
      </c>
      <c r="AF463">
        <v>3.87153424130404E-2</v>
      </c>
      <c r="AG463">
        <v>-0.13703509999999999</v>
      </c>
      <c r="AH463">
        <v>0.598122643520548</v>
      </c>
      <c r="AI463">
        <v>102.87820436519399</v>
      </c>
      <c r="AJ463">
        <v>86.296519466259099</v>
      </c>
      <c r="AK463">
        <v>0.61483997353960096</v>
      </c>
      <c r="AL463">
        <v>95.471591782420305</v>
      </c>
      <c r="AM463">
        <v>88.849624232232699</v>
      </c>
      <c r="AN463">
        <v>1.0000000370126401</v>
      </c>
    </row>
    <row r="464" spans="1:40" x14ac:dyDescent="0.25">
      <c r="A464" t="str">
        <f>"20190303154106384"</f>
        <v>20190303154106384</v>
      </c>
      <c r="B464" t="str">
        <f>"1551598866380032"</f>
        <v>1551598866380032</v>
      </c>
      <c r="C464" t="s">
        <v>40</v>
      </c>
      <c r="D464">
        <v>5.9832460000000003</v>
      </c>
      <c r="E464">
        <v>0.50983400000000001</v>
      </c>
      <c r="F464" t="s">
        <v>42</v>
      </c>
      <c r="G464">
        <v>-410.37299999999999</v>
      </c>
      <c r="H464">
        <v>0.93473090000000003</v>
      </c>
      <c r="I464">
        <v>367.4221</v>
      </c>
      <c r="J464">
        <v>-410.99279999999999</v>
      </c>
      <c r="K464">
        <v>1.069812</v>
      </c>
      <c r="L464">
        <v>367.45769999999999</v>
      </c>
      <c r="M464">
        <v>0.99998069999999895</v>
      </c>
      <c r="N464">
        <v>-3.8501210000000002E-3</v>
      </c>
      <c r="O464">
        <v>4.887911E-3</v>
      </c>
      <c r="P464">
        <v>0.99488160000000003</v>
      </c>
      <c r="Q464">
        <v>-9.9940189999999998E-2</v>
      </c>
      <c r="R464">
        <v>-1.4929339999999999E-2</v>
      </c>
      <c r="S464">
        <v>2.9639280000000001</v>
      </c>
      <c r="T464">
        <v>-0.4951701</v>
      </c>
      <c r="U464">
        <v>-0.12609860000000001</v>
      </c>
      <c r="V464">
        <v>1.9789210000000002E-2</v>
      </c>
      <c r="W464">
        <v>-9.6109959999999994E-2</v>
      </c>
      <c r="X464">
        <v>0.995174</v>
      </c>
      <c r="Y464">
        <v>4.6663749999999997E-2</v>
      </c>
      <c r="Z464">
        <v>-4.7518710000000004E-3</v>
      </c>
      <c r="AA464">
        <v>0.99889930000000005</v>
      </c>
      <c r="AB464">
        <v>20</v>
      </c>
      <c r="AC464">
        <v>0.61979999999994095</v>
      </c>
      <c r="AD464">
        <v>-0.13508109999999901</v>
      </c>
      <c r="AE464">
        <v>-3.5599999999988002E-2</v>
      </c>
      <c r="AF464">
        <v>3.6882974263209099E-2</v>
      </c>
      <c r="AG464">
        <v>-0.13508109999999901</v>
      </c>
      <c r="AH464">
        <v>0.59161000337883196</v>
      </c>
      <c r="AI464">
        <v>102.83764757263999</v>
      </c>
      <c r="AJ464">
        <v>86.432603783748704</v>
      </c>
      <c r="AK464">
        <v>0.60795530548356302</v>
      </c>
      <c r="AL464">
        <v>95.5152081064698</v>
      </c>
      <c r="AM464">
        <v>88.860813485052105</v>
      </c>
      <c r="AN464">
        <v>1.00000001375981</v>
      </c>
    </row>
    <row r="465" spans="1:40" x14ac:dyDescent="0.25">
      <c r="A465" t="str">
        <f>"20190303154106398"</f>
        <v>20190303154106398</v>
      </c>
      <c r="B465" t="str">
        <f>"1551598866389792"</f>
        <v>1551598866389792</v>
      </c>
      <c r="C465" t="s">
        <v>40</v>
      </c>
      <c r="D465">
        <v>6.0248679999999997</v>
      </c>
      <c r="E465">
        <v>0.50972280000000003</v>
      </c>
      <c r="F465" t="s">
        <v>42</v>
      </c>
      <c r="G465">
        <v>-410.19130000000001</v>
      </c>
      <c r="H465">
        <v>0.93380090000000004</v>
      </c>
      <c r="I465">
        <v>367.4239</v>
      </c>
      <c r="J465">
        <v>-410.8648</v>
      </c>
      <c r="K465">
        <v>1.069812</v>
      </c>
      <c r="L465">
        <v>367.45839999999998</v>
      </c>
      <c r="M465">
        <v>0.99998069999999895</v>
      </c>
      <c r="N465">
        <v>-3.831681E-3</v>
      </c>
      <c r="O465">
        <v>4.8924770000000001E-3</v>
      </c>
      <c r="P465">
        <v>0.99483999999999995</v>
      </c>
      <c r="Q465">
        <v>-0.10033019999999999</v>
      </c>
      <c r="R465">
        <v>-1.5077460000000001E-2</v>
      </c>
      <c r="S465">
        <v>2.9630130000000001</v>
      </c>
      <c r="T465">
        <v>-0.50284609999999996</v>
      </c>
      <c r="U465">
        <v>-0.1245728</v>
      </c>
      <c r="V465">
        <v>1.994158E-2</v>
      </c>
      <c r="W465">
        <v>-9.651846E-2</v>
      </c>
      <c r="X465">
        <v>0.9951314</v>
      </c>
      <c r="Y465">
        <v>4.6152579999999999E-2</v>
      </c>
      <c r="Z465">
        <v>-4.7812990000000001E-3</v>
      </c>
      <c r="AA465">
        <v>0.99892289999999995</v>
      </c>
      <c r="AB465">
        <v>20</v>
      </c>
      <c r="AC465">
        <v>0.67349999999999</v>
      </c>
      <c r="AD465">
        <v>-0.136011099999999</v>
      </c>
      <c r="AE465">
        <v>-3.4499999999979901E-2</v>
      </c>
      <c r="AF465">
        <v>3.63174553107617E-2</v>
      </c>
      <c r="AG465">
        <v>-0.136011099999999</v>
      </c>
      <c r="AH465">
        <v>0.64700571443507804</v>
      </c>
      <c r="AI465">
        <v>101.853514219921</v>
      </c>
      <c r="AJ465">
        <v>86.787268511693597</v>
      </c>
      <c r="AK465">
        <v>0.662143769430103</v>
      </c>
      <c r="AL465">
        <v>95.538722875986096</v>
      </c>
      <c r="AM465">
        <v>88.851995356270805</v>
      </c>
      <c r="AN465">
        <v>0.999999991499814</v>
      </c>
    </row>
    <row r="466" spans="1:40" x14ac:dyDescent="0.25">
      <c r="A466" t="str">
        <f>"20190303154106421"</f>
        <v>20190303154106421</v>
      </c>
      <c r="B466" t="str">
        <f>"1551598866409313"</f>
        <v>1551598866409313</v>
      </c>
      <c r="C466" t="s">
        <v>40</v>
      </c>
      <c r="D466">
        <v>6.018408</v>
      </c>
      <c r="E466">
        <v>0.50947679999999995</v>
      </c>
      <c r="F466" t="s">
        <v>42</v>
      </c>
      <c r="G466">
        <v>-410.01229999999998</v>
      </c>
      <c r="H466">
        <v>0.92464219999999997</v>
      </c>
      <c r="I466">
        <v>367.4221</v>
      </c>
      <c r="J466">
        <v>-410.6574</v>
      </c>
      <c r="K466">
        <v>1.0697989999999999</v>
      </c>
      <c r="L466">
        <v>367.45940000000002</v>
      </c>
      <c r="M466">
        <v>0.99998069999999895</v>
      </c>
      <c r="N466">
        <v>-3.813356E-3</v>
      </c>
      <c r="O466">
        <v>4.8992480000000001E-3</v>
      </c>
      <c r="P466">
        <v>0.99482079999999995</v>
      </c>
      <c r="Q466">
        <v>-0.100533</v>
      </c>
      <c r="R466">
        <v>-1.4985160000000001E-2</v>
      </c>
      <c r="S466">
        <v>2.9627379999999999</v>
      </c>
      <c r="T466">
        <v>-0.50473170000000001</v>
      </c>
      <c r="U466">
        <v>-0.1245117</v>
      </c>
      <c r="V466">
        <v>1.985601E-2</v>
      </c>
      <c r="W466">
        <v>-9.6739560000000002E-2</v>
      </c>
      <c r="X466">
        <v>0.99511159999999999</v>
      </c>
      <c r="Y466">
        <v>4.6137270000000001E-2</v>
      </c>
      <c r="Z466">
        <v>-4.7986110000000004E-3</v>
      </c>
      <c r="AA466">
        <v>0.99892360000000002</v>
      </c>
      <c r="AB466">
        <v>20</v>
      </c>
      <c r="AC466">
        <v>0.645100000000013</v>
      </c>
      <c r="AD466">
        <v>-0.1451568</v>
      </c>
      <c r="AE466">
        <v>-3.7300000000016098E-2</v>
      </c>
      <c r="AF466">
        <v>3.8516433962823997E-2</v>
      </c>
      <c r="AG466">
        <v>-0.1451568</v>
      </c>
      <c r="AH466">
        <v>0.61392895286445803</v>
      </c>
      <c r="AI466">
        <v>103.27748714034399</v>
      </c>
      <c r="AJ466">
        <v>86.410104864819701</v>
      </c>
      <c r="AK466">
        <v>0.63203067286066295</v>
      </c>
      <c r="AL466">
        <v>95.551450763394996</v>
      </c>
      <c r="AM466">
        <v>88.856897435376496</v>
      </c>
      <c r="AN466">
        <v>0.99999995002833497</v>
      </c>
    </row>
    <row r="467" spans="1:40" x14ac:dyDescent="0.25">
      <c r="A467" t="str">
        <f>"20190303154106444"</f>
        <v>20190303154106444</v>
      </c>
      <c r="B467" t="str">
        <f>"1551598866439568"</f>
        <v>1551598866439568</v>
      </c>
      <c r="C467" t="s">
        <v>40</v>
      </c>
      <c r="D467">
        <v>6.1194860000000002</v>
      </c>
      <c r="E467">
        <v>0.50931170000000003</v>
      </c>
      <c r="F467" t="s">
        <v>42</v>
      </c>
      <c r="G467">
        <v>-409.8261</v>
      </c>
      <c r="H467">
        <v>0.9280562</v>
      </c>
      <c r="I467">
        <v>367.42500000000001</v>
      </c>
      <c r="J467">
        <v>-410.44929999999999</v>
      </c>
      <c r="K467">
        <v>1.069793</v>
      </c>
      <c r="L467">
        <v>367.46039999999999</v>
      </c>
      <c r="M467">
        <v>0.99998069999999895</v>
      </c>
      <c r="N467">
        <v>-3.8065479999999999E-3</v>
      </c>
      <c r="O467">
        <v>4.905998E-3</v>
      </c>
      <c r="P467">
        <v>0.99482879999999996</v>
      </c>
      <c r="Q467">
        <v>-0.10047639999999999</v>
      </c>
      <c r="R467">
        <v>-1.485002E-2</v>
      </c>
      <c r="S467">
        <v>2.9627080000000001</v>
      </c>
      <c r="T467">
        <v>-0.50517230000000002</v>
      </c>
      <c r="U467">
        <v>-0.122345</v>
      </c>
      <c r="V467">
        <v>1.972759E-2</v>
      </c>
      <c r="W467">
        <v>-9.6689769999999994E-2</v>
      </c>
      <c r="X467">
        <v>0.99511899999999998</v>
      </c>
      <c r="Y467">
        <v>4.5424249999999999E-2</v>
      </c>
      <c r="Z467">
        <v>-4.7420930000000002E-3</v>
      </c>
      <c r="AA467">
        <v>0.99895650000000002</v>
      </c>
      <c r="AB467">
        <v>21</v>
      </c>
      <c r="AC467">
        <v>0.62319999999999698</v>
      </c>
      <c r="AD467">
        <v>-0.1417368</v>
      </c>
      <c r="AE467">
        <v>-3.5399999999981398E-2</v>
      </c>
      <c r="AF467">
        <v>3.6571399762259101E-2</v>
      </c>
      <c r="AG467">
        <v>-0.1417368</v>
      </c>
      <c r="AH467">
        <v>0.59247112833388105</v>
      </c>
      <c r="AI467">
        <v>103.42937320123799</v>
      </c>
      <c r="AJ467">
        <v>86.467791361442096</v>
      </c>
      <c r="AK467">
        <v>0.61028585569717497</v>
      </c>
      <c r="AL467">
        <v>95.548584532435598</v>
      </c>
      <c r="AM467">
        <v>88.864297024073906</v>
      </c>
      <c r="AN467">
        <v>0.99999995679542897</v>
      </c>
    </row>
    <row r="468" spans="1:40" x14ac:dyDescent="0.25">
      <c r="A468" t="str">
        <f>"20190303154106463"</f>
        <v>20190303154106463</v>
      </c>
      <c r="B468" t="str">
        <f>"1551598866460064"</f>
        <v>1551598866460064</v>
      </c>
      <c r="C468" t="s">
        <v>40</v>
      </c>
      <c r="D468">
        <v>6.0824540000000002</v>
      </c>
      <c r="E468">
        <v>0.51723719999999995</v>
      </c>
      <c r="F468" t="s">
        <v>42</v>
      </c>
      <c r="G468">
        <v>-409.6386</v>
      </c>
      <c r="H468">
        <v>0.93150880000000003</v>
      </c>
      <c r="I468">
        <v>367.42720000000003</v>
      </c>
      <c r="J468">
        <v>-410.26170000000002</v>
      </c>
      <c r="K468">
        <v>1.069798</v>
      </c>
      <c r="L468">
        <v>367.46140000000003</v>
      </c>
      <c r="M468">
        <v>0.99998069999999895</v>
      </c>
      <c r="N468">
        <v>-3.8077050000000002E-3</v>
      </c>
      <c r="O468">
        <v>4.9116589999999996E-3</v>
      </c>
      <c r="P468">
        <v>0.99479649999999997</v>
      </c>
      <c r="Q468">
        <v>-0.1007953</v>
      </c>
      <c r="R468">
        <v>-1.4847239999999999E-2</v>
      </c>
      <c r="S468">
        <v>2.9627379999999999</v>
      </c>
      <c r="T468">
        <v>-0.50554079999999901</v>
      </c>
      <c r="U468">
        <v>-0.12063599999999999</v>
      </c>
      <c r="V468">
        <v>1.973043E-2</v>
      </c>
      <c r="W468">
        <v>-9.7007549999999998E-2</v>
      </c>
      <c r="X468">
        <v>0.99508799999999997</v>
      </c>
      <c r="Y468">
        <v>4.4861379999999999E-2</v>
      </c>
      <c r="Z468">
        <v>-4.6976810000000004E-3</v>
      </c>
      <c r="AA468">
        <v>0.99898220000000004</v>
      </c>
      <c r="AB468">
        <v>21</v>
      </c>
      <c r="AC468">
        <v>0.62310000000002197</v>
      </c>
      <c r="AD468">
        <v>-0.1382892</v>
      </c>
      <c r="AE468">
        <v>-3.4199999999998398E-2</v>
      </c>
      <c r="AF468">
        <v>3.5515937998693597E-2</v>
      </c>
      <c r="AG468">
        <v>-0.1382892</v>
      </c>
      <c r="AH468">
        <v>0.59376569667322698</v>
      </c>
      <c r="AI468">
        <v>103.087995985493</v>
      </c>
      <c r="AJ468">
        <v>86.576946561358199</v>
      </c>
      <c r="AK468">
        <v>0.61069058223818196</v>
      </c>
      <c r="AL468">
        <v>95.566878068621307</v>
      </c>
      <c r="AM468">
        <v>88.864098193772804</v>
      </c>
      <c r="AN468">
        <v>0.99999994118449198</v>
      </c>
    </row>
    <row r="469" spans="1:40" x14ac:dyDescent="0.25">
      <c r="A469" t="str">
        <f>"20190303154106485"</f>
        <v>20190303154106485</v>
      </c>
      <c r="B469" t="str">
        <f>"1551598866479584"</f>
        <v>1551598866479584</v>
      </c>
      <c r="C469" t="s">
        <v>40</v>
      </c>
      <c r="D469">
        <v>6.0854309999999998</v>
      </c>
      <c r="E469">
        <v>0.51668800000000004</v>
      </c>
      <c r="F469" t="s">
        <v>42</v>
      </c>
      <c r="G469">
        <v>-409.48320000000001</v>
      </c>
      <c r="H469">
        <v>0.86472640000000001</v>
      </c>
      <c r="I469">
        <v>367.41219999999998</v>
      </c>
      <c r="J469">
        <v>-410.05790000000002</v>
      </c>
      <c r="K469">
        <v>1.069798</v>
      </c>
      <c r="L469">
        <v>367.46230000000003</v>
      </c>
      <c r="M469">
        <v>0.99998069999999895</v>
      </c>
      <c r="N469">
        <v>-3.8144519999999999E-3</v>
      </c>
      <c r="O469">
        <v>4.9183819999999998E-3</v>
      </c>
      <c r="P469">
        <v>0.99482099999999996</v>
      </c>
      <c r="Q469">
        <v>-0.100593</v>
      </c>
      <c r="R469">
        <v>-1.458163E-2</v>
      </c>
      <c r="S469">
        <v>2.934631</v>
      </c>
      <c r="T469">
        <v>-0.77298409999999995</v>
      </c>
      <c r="U469">
        <v>-0.18579100000000001</v>
      </c>
      <c r="V469">
        <v>1.947142E-2</v>
      </c>
      <c r="W469">
        <v>-9.6798449999999994E-2</v>
      </c>
      <c r="X469">
        <v>0.99511360000000004</v>
      </c>
      <c r="Y469">
        <v>6.5664260000000002E-2</v>
      </c>
      <c r="Z469">
        <v>-9.8765789999999999E-3</v>
      </c>
      <c r="AA469">
        <v>0.99779289999999998</v>
      </c>
      <c r="AB469">
        <v>21</v>
      </c>
      <c r="AC469">
        <v>0.57470000000000698</v>
      </c>
      <c r="AD469">
        <v>-0.20507159999999899</v>
      </c>
      <c r="AE469">
        <v>-5.0100000000043103E-2</v>
      </c>
      <c r="AF469">
        <v>4.6988160405896998E-2</v>
      </c>
      <c r="AG469">
        <v>-0.20507159999999899</v>
      </c>
      <c r="AH469">
        <v>0.50999860813656595</v>
      </c>
      <c r="AI469">
        <v>111.821480404684</v>
      </c>
      <c r="AJ469">
        <v>84.735977676347503</v>
      </c>
      <c r="AK469">
        <v>0.55168906881152202</v>
      </c>
      <c r="AL469">
        <v>95.554840117210304</v>
      </c>
      <c r="AM469">
        <v>88.879034675191605</v>
      </c>
      <c r="AN469">
        <v>1.00000007651208</v>
      </c>
    </row>
    <row r="470" spans="1:40" x14ac:dyDescent="0.25">
      <c r="A470" t="str">
        <f>"20190303154106508"</f>
        <v>20190303154106508</v>
      </c>
      <c r="B470" t="str">
        <f>"1551598866500081"</f>
        <v>1551598866500081</v>
      </c>
      <c r="C470" t="s">
        <v>40</v>
      </c>
      <c r="D470">
        <v>6.0850540000000004</v>
      </c>
      <c r="E470">
        <v>0.51782799999999995</v>
      </c>
      <c r="F470" t="s">
        <v>42</v>
      </c>
      <c r="G470">
        <v>-409.29360000000003</v>
      </c>
      <c r="H470">
        <v>0.86768579999999995</v>
      </c>
      <c r="I470">
        <v>367.41500000000002</v>
      </c>
      <c r="J470">
        <v>-409.83229999999998</v>
      </c>
      <c r="K470">
        <v>1.069796</v>
      </c>
      <c r="L470">
        <v>367.46350000000001</v>
      </c>
      <c r="M470">
        <v>0.9999806</v>
      </c>
      <c r="N470">
        <v>-3.8263529999999998E-3</v>
      </c>
      <c r="O470">
        <v>4.9262849999999999E-3</v>
      </c>
      <c r="P470">
        <v>0.99482839999999995</v>
      </c>
      <c r="Q470">
        <v>-0.100608</v>
      </c>
      <c r="R470">
        <v>-1.394987E-2</v>
      </c>
      <c r="S470">
        <v>2.9345089999999998</v>
      </c>
      <c r="T470">
        <v>-0.77608659999999996</v>
      </c>
      <c r="U470">
        <v>-0.18075559999999999</v>
      </c>
      <c r="V470">
        <v>1.8847659999999999E-2</v>
      </c>
      <c r="W470">
        <v>-9.6801600000000002E-2</v>
      </c>
      <c r="X470">
        <v>0.99512520000000004</v>
      </c>
      <c r="Y470">
        <v>6.4006869999999993E-2</v>
      </c>
      <c r="Z470">
        <v>-9.699259E-3</v>
      </c>
      <c r="AA470">
        <v>0.99790230000000002</v>
      </c>
      <c r="AB470">
        <v>21</v>
      </c>
      <c r="AC470">
        <v>0.538699999999948</v>
      </c>
      <c r="AD470">
        <v>-0.20211019999999899</v>
      </c>
      <c r="AE470">
        <v>-4.8499999999990002E-2</v>
      </c>
      <c r="AF470">
        <v>4.4885843219261902E-2</v>
      </c>
      <c r="AG470">
        <v>-0.20211019999999899</v>
      </c>
      <c r="AH470">
        <v>0.47248219524548202</v>
      </c>
      <c r="AI470">
        <v>113.06650005069</v>
      </c>
      <c r="AJ470">
        <v>84.573183334644099</v>
      </c>
      <c r="AK470">
        <v>0.51585142889162705</v>
      </c>
      <c r="AL470">
        <v>95.555022022483698</v>
      </c>
      <c r="AM470">
        <v>88.914948317929401</v>
      </c>
      <c r="AN470">
        <v>0.99999997386253703</v>
      </c>
    </row>
    <row r="471" spans="1:40" x14ac:dyDescent="0.25">
      <c r="A471" t="str">
        <f>"20190303154106530"</f>
        <v>20190303154106530</v>
      </c>
      <c r="B471" t="str">
        <f>"1551598866519604"</f>
        <v>1551598866519604</v>
      </c>
      <c r="C471" t="s">
        <v>40</v>
      </c>
      <c r="D471">
        <v>6.0992670000000002</v>
      </c>
      <c r="E471">
        <v>0.51761099999999904</v>
      </c>
      <c r="F471" t="s">
        <v>42</v>
      </c>
      <c r="G471">
        <v>-409.10070000000002</v>
      </c>
      <c r="H471">
        <v>0.87581379999999998</v>
      </c>
      <c r="I471">
        <v>367.41669999999999</v>
      </c>
      <c r="J471">
        <v>-409.63549999999998</v>
      </c>
      <c r="K471">
        <v>1.0697909999999999</v>
      </c>
      <c r="L471">
        <v>367.46440000000001</v>
      </c>
      <c r="M471">
        <v>0.99998050000000005</v>
      </c>
      <c r="N471">
        <v>-3.8395019999999998E-3</v>
      </c>
      <c r="O471">
        <v>4.9329939999999996E-3</v>
      </c>
      <c r="P471">
        <v>0.99482429999999999</v>
      </c>
      <c r="Q471">
        <v>-0.10069060000000001</v>
      </c>
      <c r="R471">
        <v>-1.364514E-2</v>
      </c>
      <c r="S471">
        <v>2.9342649999999999</v>
      </c>
      <c r="T471">
        <v>-0.77795919999999996</v>
      </c>
      <c r="U471">
        <v>-0.18856809999999999</v>
      </c>
      <c r="V471">
        <v>1.8549570000000001E-2</v>
      </c>
      <c r="W471">
        <v>-9.6871139999999994E-2</v>
      </c>
      <c r="X471">
        <v>0.99512400000000001</v>
      </c>
      <c r="Y471">
        <v>6.6564010000000007E-2</v>
      </c>
      <c r="Z471">
        <v>-1.006166E-2</v>
      </c>
      <c r="AA471">
        <v>0.99773140000000005</v>
      </c>
      <c r="AB471">
        <v>21</v>
      </c>
      <c r="AC471">
        <v>0.53479999999996097</v>
      </c>
      <c r="AD471">
        <v>-0.19397719999999899</v>
      </c>
      <c r="AE471">
        <v>-4.7700000000020198E-2</v>
      </c>
      <c r="AF471">
        <v>4.4526059423292602E-2</v>
      </c>
      <c r="AG471">
        <v>-0.19397719999999899</v>
      </c>
      <c r="AH471">
        <v>0.472842718993712</v>
      </c>
      <c r="AI471">
        <v>112.216545587852</v>
      </c>
      <c r="AJ471">
        <v>84.620506218557296</v>
      </c>
      <c r="AK471">
        <v>0.51302042941092796</v>
      </c>
      <c r="AL471">
        <v>95.559025374403006</v>
      </c>
      <c r="AM471">
        <v>88.932103937657502</v>
      </c>
      <c r="AN471">
        <v>0.99999993984404001</v>
      </c>
    </row>
    <row r="472" spans="1:40" x14ac:dyDescent="0.25">
      <c r="A472" t="str">
        <f>"20190303154106543"</f>
        <v>20190303154106543</v>
      </c>
      <c r="B472" t="str">
        <f>"1551598866540097"</f>
        <v>1551598866540097</v>
      </c>
      <c r="C472" t="s">
        <v>40</v>
      </c>
      <c r="D472">
        <v>6.1053189999999997</v>
      </c>
      <c r="E472">
        <v>0.51739429999999997</v>
      </c>
      <c r="F472" t="s">
        <v>42</v>
      </c>
      <c r="G472">
        <v>-408.91030000000001</v>
      </c>
      <c r="H472">
        <v>0.87566719999999898</v>
      </c>
      <c r="I472">
        <v>367.41840000000002</v>
      </c>
      <c r="J472">
        <v>-409.51100000000002</v>
      </c>
      <c r="K472">
        <v>1.06979</v>
      </c>
      <c r="L472">
        <v>367.46510000000001</v>
      </c>
      <c r="M472">
        <v>0.99998039999999999</v>
      </c>
      <c r="N472">
        <v>-3.848967E-3</v>
      </c>
      <c r="O472">
        <v>4.9371490000000001E-3</v>
      </c>
      <c r="P472">
        <v>0.99482979999999999</v>
      </c>
      <c r="Q472">
        <v>-0.10062069999999999</v>
      </c>
      <c r="R472">
        <v>-1.3752479999999999E-2</v>
      </c>
      <c r="S472">
        <v>2.933624</v>
      </c>
      <c r="T472">
        <v>-0.78528310000000001</v>
      </c>
      <c r="U472">
        <v>-0.1855164</v>
      </c>
      <c r="V472">
        <v>1.866114E-2</v>
      </c>
      <c r="W472">
        <v>-9.6791740000000001E-2</v>
      </c>
      <c r="X472">
        <v>0.99512970000000001</v>
      </c>
      <c r="Y472">
        <v>6.5537360000000003E-2</v>
      </c>
      <c r="Z472">
        <v>-1.001907E-2</v>
      </c>
      <c r="AA472">
        <v>0.99779980000000001</v>
      </c>
      <c r="AB472">
        <v>21</v>
      </c>
      <c r="AC472">
        <v>0.60069999999996004</v>
      </c>
      <c r="AD472">
        <v>-0.19412280000000001</v>
      </c>
      <c r="AE472">
        <v>-4.6699999999987002E-2</v>
      </c>
      <c r="AF472">
        <v>4.49945144813352E-2</v>
      </c>
      <c r="AG472">
        <v>-0.19412280000000001</v>
      </c>
      <c r="AH472">
        <v>0.54399261804407995</v>
      </c>
      <c r="AI472">
        <v>109.577106418591</v>
      </c>
      <c r="AJ472">
        <v>85.271735614356004</v>
      </c>
      <c r="AK472">
        <v>0.57934112256916703</v>
      </c>
      <c r="AL472">
        <v>95.554454278152903</v>
      </c>
      <c r="AM472">
        <v>88.925688521893804</v>
      </c>
      <c r="AN472">
        <v>0.99999999945020801</v>
      </c>
    </row>
    <row r="473" spans="1:40" x14ac:dyDescent="0.25">
      <c r="A473" t="str">
        <f>"20190303154106558"</f>
        <v>20190303154106558</v>
      </c>
      <c r="B473" t="str">
        <f>"1551598866549857"</f>
        <v>1551598866549857</v>
      </c>
      <c r="C473" t="s">
        <v>40</v>
      </c>
      <c r="D473">
        <v>6.111618</v>
      </c>
      <c r="E473">
        <v>0.51728580000000002</v>
      </c>
      <c r="F473" t="s">
        <v>42</v>
      </c>
      <c r="G473">
        <v>-408.72620000000001</v>
      </c>
      <c r="H473">
        <v>0.858734</v>
      </c>
      <c r="I473">
        <v>367.41579999999999</v>
      </c>
      <c r="J473">
        <v>-409.36939999999998</v>
      </c>
      <c r="K473">
        <v>1.069787</v>
      </c>
      <c r="L473">
        <v>367.4658</v>
      </c>
      <c r="M473">
        <v>0.99998030000000004</v>
      </c>
      <c r="N473">
        <v>-3.8605100000000002E-3</v>
      </c>
      <c r="O473">
        <v>4.9420130000000003E-3</v>
      </c>
      <c r="P473">
        <v>0.99487409999999998</v>
      </c>
      <c r="Q473">
        <v>-0.10021670000000001</v>
      </c>
      <c r="R473">
        <v>-1.3500170000000001E-2</v>
      </c>
      <c r="S473">
        <v>2.9332579999999999</v>
      </c>
      <c r="T473">
        <v>-0.78885689999999997</v>
      </c>
      <c r="U473">
        <v>-0.18420410000000001</v>
      </c>
      <c r="V473">
        <v>1.8413889999999999E-2</v>
      </c>
      <c r="W473">
        <v>-9.6376119999999996E-2</v>
      </c>
      <c r="X473">
        <v>0.99517460000000002</v>
      </c>
      <c r="Y473">
        <v>6.5097970000000005E-2</v>
      </c>
      <c r="Z473">
        <v>-1.000672E-2</v>
      </c>
      <c r="AA473">
        <v>0.99782870000000001</v>
      </c>
      <c r="AB473">
        <v>21</v>
      </c>
      <c r="AC473">
        <v>0.64319999999997801</v>
      </c>
      <c r="AD473">
        <v>-0.21105299999999999</v>
      </c>
      <c r="AE473">
        <v>-5.0000000000011299E-2</v>
      </c>
      <c r="AF473">
        <v>4.8037075393024098E-2</v>
      </c>
      <c r="AG473">
        <v>-0.21105299999999999</v>
      </c>
      <c r="AH473">
        <v>0.58078777203241105</v>
      </c>
      <c r="AI473">
        <v>109.908071131347</v>
      </c>
      <c r="AJ473">
        <v>85.271816560640701</v>
      </c>
      <c r="AK473">
        <v>0.61981074979681205</v>
      </c>
      <c r="AL473">
        <v>95.530529392496703</v>
      </c>
      <c r="AM473">
        <v>88.939967114762595</v>
      </c>
      <c r="AN473">
        <v>0.99999995616817206</v>
      </c>
    </row>
    <row r="474" spans="1:40" x14ac:dyDescent="0.25">
      <c r="A474" t="str">
        <f>"20190303154106575"</f>
        <v>20190303154106575</v>
      </c>
      <c r="B474" t="str">
        <f>"1551598866569377"</f>
        <v>1551598866569377</v>
      </c>
      <c r="C474" t="s">
        <v>40</v>
      </c>
      <c r="D474">
        <v>6.1024000000000003</v>
      </c>
      <c r="E474">
        <v>0.51721919999999999</v>
      </c>
      <c r="F474" t="s">
        <v>42</v>
      </c>
      <c r="G474">
        <v>-408.53879999999998</v>
      </c>
      <c r="H474">
        <v>0.8464969</v>
      </c>
      <c r="I474">
        <v>367.41370000000001</v>
      </c>
      <c r="J474">
        <v>-409.20269999999999</v>
      </c>
      <c r="K474">
        <v>1.069787</v>
      </c>
      <c r="L474">
        <v>367.46660000000003</v>
      </c>
      <c r="M474">
        <v>0.99998030000000004</v>
      </c>
      <c r="N474">
        <v>-3.8751010000000002E-3</v>
      </c>
      <c r="O474">
        <v>4.947707E-3</v>
      </c>
      <c r="P474">
        <v>0.99487360000000002</v>
      </c>
      <c r="Q474">
        <v>-0.10018249999999999</v>
      </c>
      <c r="R474">
        <v>-1.378803E-2</v>
      </c>
      <c r="S474">
        <v>2.9335330000000002</v>
      </c>
      <c r="T474">
        <v>-0.78865430000000003</v>
      </c>
      <c r="U474">
        <v>-0.1827087</v>
      </c>
      <c r="V474">
        <v>1.8707359999999999E-2</v>
      </c>
      <c r="W474">
        <v>-9.6327399999999994E-2</v>
      </c>
      <c r="X474">
        <v>0.99517389999999994</v>
      </c>
      <c r="Y474">
        <v>6.4609970000000003E-2</v>
      </c>
      <c r="Z474">
        <v>-9.9400510000000001E-3</v>
      </c>
      <c r="AA474">
        <v>0.99786109999999995</v>
      </c>
      <c r="AB474">
        <v>21</v>
      </c>
      <c r="AC474">
        <v>0.66390000000001204</v>
      </c>
      <c r="AD474">
        <v>-0.22329009999999999</v>
      </c>
      <c r="AE474">
        <v>-5.2900000000022297E-2</v>
      </c>
      <c r="AF474">
        <v>5.0506936082666001E-2</v>
      </c>
      <c r="AG474">
        <v>-0.22329009999999999</v>
      </c>
      <c r="AH474">
        <v>0.59657250656261895</v>
      </c>
      <c r="AI474">
        <v>110.453205298257</v>
      </c>
      <c r="AJ474">
        <v>85.160772836733003</v>
      </c>
      <c r="AK474">
        <v>0.63898996466053803</v>
      </c>
      <c r="AL474">
        <v>95.5277245825216</v>
      </c>
      <c r="AM474">
        <v>88.923076109795602</v>
      </c>
      <c r="AN474">
        <v>1.0000000122750601</v>
      </c>
    </row>
    <row r="475" spans="1:40" x14ac:dyDescent="0.25">
      <c r="A475" t="str">
        <f>"20190303154106598"</f>
        <v>20190303154106598</v>
      </c>
      <c r="B475" t="str">
        <f>"1551598866589872"</f>
        <v>1551598866589872</v>
      </c>
      <c r="C475" t="s">
        <v>40</v>
      </c>
      <c r="D475">
        <v>6.1232490000000004</v>
      </c>
      <c r="E475">
        <v>0.51721569999999994</v>
      </c>
      <c r="F475" t="s">
        <v>42</v>
      </c>
      <c r="G475">
        <v>-408.52089999999998</v>
      </c>
      <c r="H475">
        <v>0.88612119999999905</v>
      </c>
      <c r="I475">
        <v>367.4237</v>
      </c>
      <c r="J475">
        <v>-408.98079999999999</v>
      </c>
      <c r="K475">
        <v>1.0697890000000001</v>
      </c>
      <c r="L475">
        <v>367.46769999999998</v>
      </c>
      <c r="M475">
        <v>0.99998019999999999</v>
      </c>
      <c r="N475">
        <v>-3.8958389999999999E-3</v>
      </c>
      <c r="O475">
        <v>4.9548789999999997E-3</v>
      </c>
      <c r="P475">
        <v>0.99489919999999998</v>
      </c>
      <c r="Q475">
        <v>-9.9958019999999995E-2</v>
      </c>
      <c r="R475">
        <v>-1.357503E-2</v>
      </c>
      <c r="S475">
        <v>2.933319</v>
      </c>
      <c r="T475">
        <v>-0.79020880000000004</v>
      </c>
      <c r="U475">
        <v>-0.18292240000000001</v>
      </c>
      <c r="V475">
        <v>1.850164E-2</v>
      </c>
      <c r="W475">
        <v>-9.6082119999999993E-2</v>
      </c>
      <c r="X475">
        <v>0.99520149999999996</v>
      </c>
      <c r="Y475">
        <v>6.4681119999999995E-2</v>
      </c>
      <c r="Z475">
        <v>-9.9714460000000001E-3</v>
      </c>
      <c r="AA475">
        <v>0.99785610000000002</v>
      </c>
      <c r="AB475">
        <v>21</v>
      </c>
      <c r="AC475">
        <v>0.45990000000000397</v>
      </c>
      <c r="AD475">
        <v>-0.18366779999999899</v>
      </c>
      <c r="AE475">
        <v>-4.3999999999982699E-2</v>
      </c>
      <c r="AF475">
        <v>3.9962356156278002E-2</v>
      </c>
      <c r="AG475">
        <v>-0.18366779999999899</v>
      </c>
      <c r="AH475">
        <v>0.396941524765488</v>
      </c>
      <c r="AI475">
        <v>114.72040786355301</v>
      </c>
      <c r="AJ475">
        <v>84.251079375980694</v>
      </c>
      <c r="AK475">
        <v>0.43919633963587601</v>
      </c>
      <c r="AL475">
        <v>95.513605347307703</v>
      </c>
      <c r="AM475">
        <v>88.934945551367093</v>
      </c>
      <c r="AN475">
        <v>1.00000005503431</v>
      </c>
    </row>
    <row r="476" spans="1:40" x14ac:dyDescent="0.25">
      <c r="A476" t="str">
        <f>"20190303154106631"</f>
        <v>20190303154106631</v>
      </c>
      <c r="B476" t="str">
        <f>"1551598866619152"</f>
        <v>1551598866619152</v>
      </c>
      <c r="C476" t="s">
        <v>40</v>
      </c>
      <c r="D476">
        <v>6.0847850000000001</v>
      </c>
      <c r="E476">
        <v>0.5172639</v>
      </c>
      <c r="F476" t="s">
        <v>42</v>
      </c>
      <c r="G476">
        <v>-408.15019999999998</v>
      </c>
      <c r="H476">
        <v>0.84519820000000001</v>
      </c>
      <c r="I476">
        <v>367.41579999999999</v>
      </c>
      <c r="J476">
        <v>-408.64690000000002</v>
      </c>
      <c r="K476">
        <v>1.069782</v>
      </c>
      <c r="L476">
        <v>367.46929999999998</v>
      </c>
      <c r="M476">
        <v>0.99998010000000004</v>
      </c>
      <c r="N476">
        <v>-3.9291049999999996E-3</v>
      </c>
      <c r="O476">
        <v>4.9654249999999999E-3</v>
      </c>
      <c r="P476">
        <v>0.99494329999999997</v>
      </c>
      <c r="Q476">
        <v>-9.9483730000000006E-2</v>
      </c>
      <c r="R476">
        <v>-1.3810640000000001E-2</v>
      </c>
      <c r="S476">
        <v>2.9332280000000002</v>
      </c>
      <c r="T476">
        <v>-0.79319019999999996</v>
      </c>
      <c r="U476">
        <v>-0.18212890000000001</v>
      </c>
      <c r="V476">
        <v>1.8748299999999999E-2</v>
      </c>
      <c r="W476">
        <v>-9.5574569999999998E-2</v>
      </c>
      <c r="X476">
        <v>0.99524570000000001</v>
      </c>
      <c r="Y476">
        <v>6.4415029999999998E-2</v>
      </c>
      <c r="Z476">
        <v>-9.9756129999999995E-3</v>
      </c>
      <c r="AA476">
        <v>0.99787329999999996</v>
      </c>
      <c r="AB476">
        <v>22</v>
      </c>
      <c r="AC476">
        <v>0.496700000000032</v>
      </c>
      <c r="AD476">
        <v>-0.224583799999999</v>
      </c>
      <c r="AE476">
        <v>-5.34999999999854E-2</v>
      </c>
      <c r="AF476">
        <v>4.6556729045452903E-2</v>
      </c>
      <c r="AG476">
        <v>-0.224583799999999</v>
      </c>
      <c r="AH476">
        <v>0.41296866170952701</v>
      </c>
      <c r="AI476">
        <v>118.386982404265</v>
      </c>
      <c r="AJ476">
        <v>83.567820534717697</v>
      </c>
      <c r="AK476">
        <v>0.47238599449603702</v>
      </c>
      <c r="AL476">
        <v>95.4843907262008</v>
      </c>
      <c r="AM476">
        <v>88.920797723671001</v>
      </c>
      <c r="AN476">
        <v>1.0000000002760301</v>
      </c>
    </row>
    <row r="477" spans="1:40" x14ac:dyDescent="0.25">
      <c r="A477" t="str">
        <f>"20190303154106653"</f>
        <v>20190303154106653</v>
      </c>
      <c r="B477" t="str">
        <f>"1551598866649409"</f>
        <v>1551598866649409</v>
      </c>
      <c r="C477" t="s">
        <v>40</v>
      </c>
      <c r="D477">
        <v>6.1088829999999996</v>
      </c>
      <c r="E477">
        <v>0.51731130000000003</v>
      </c>
      <c r="F477" t="s">
        <v>42</v>
      </c>
      <c r="G477">
        <v>-407.9393</v>
      </c>
      <c r="H477">
        <v>0.87797069999999999</v>
      </c>
      <c r="I477">
        <v>367.42489999999998</v>
      </c>
      <c r="J477">
        <v>-408.43830000000003</v>
      </c>
      <c r="K477">
        <v>1.0697760000000001</v>
      </c>
      <c r="L477">
        <v>367.47039999999998</v>
      </c>
      <c r="M477">
        <v>0.99997990000000003</v>
      </c>
      <c r="N477">
        <v>-3.9511149999999998E-3</v>
      </c>
      <c r="O477">
        <v>4.9722949999999998E-3</v>
      </c>
      <c r="P477">
        <v>0.99497400000000003</v>
      </c>
      <c r="Q477">
        <v>-9.9148470000000002E-2</v>
      </c>
      <c r="R477">
        <v>-1.401091E-2</v>
      </c>
      <c r="S477">
        <v>2.9331969999999998</v>
      </c>
      <c r="T477">
        <v>-0.79511709999999902</v>
      </c>
      <c r="U477">
        <v>-0.18347169999999999</v>
      </c>
      <c r="V477">
        <v>1.8955429999999999E-2</v>
      </c>
      <c r="W477">
        <v>-9.5217280000000001E-2</v>
      </c>
      <c r="X477">
        <v>0.99527600000000005</v>
      </c>
      <c r="Y477">
        <v>6.4849400000000001E-2</v>
      </c>
      <c r="Z477">
        <v>-1.0059800000000001E-2</v>
      </c>
      <c r="AA477">
        <v>0.99784430000000002</v>
      </c>
      <c r="AB477">
        <v>22</v>
      </c>
      <c r="AC477">
        <v>0.49900000000002298</v>
      </c>
      <c r="AD477">
        <v>-0.19180530000000001</v>
      </c>
      <c r="AE477">
        <v>-4.5500000000004003E-2</v>
      </c>
      <c r="AF477">
        <v>4.1848590782080503E-2</v>
      </c>
      <c r="AG477">
        <v>-0.19180530000000001</v>
      </c>
      <c r="AH477">
        <v>0.43502388226168498</v>
      </c>
      <c r="AI477">
        <v>113.695779725196</v>
      </c>
      <c r="AJ477">
        <v>84.505147481886695</v>
      </c>
      <c r="AK477">
        <v>0.47726968874690201</v>
      </c>
      <c r="AL477">
        <v>95.463825853554098</v>
      </c>
      <c r="AM477">
        <v>88.908910843669901</v>
      </c>
      <c r="AN477">
        <v>0.99999997745654101</v>
      </c>
    </row>
    <row r="478" spans="1:40" x14ac:dyDescent="0.25">
      <c r="A478" t="str">
        <f>"20190303154106675"</f>
        <v>20190303154106675</v>
      </c>
      <c r="B478" t="str">
        <f>"1551598866669905"</f>
        <v>1551598866669905</v>
      </c>
      <c r="C478" t="s">
        <v>40</v>
      </c>
      <c r="D478">
        <v>6.1105859999999996</v>
      </c>
      <c r="E478">
        <v>0.5172293</v>
      </c>
      <c r="F478" t="s">
        <v>42</v>
      </c>
      <c r="G478">
        <v>-407.7407</v>
      </c>
      <c r="H478">
        <v>0.88043510000000003</v>
      </c>
      <c r="I478">
        <v>367.4264</v>
      </c>
      <c r="J478">
        <v>-408.21870000000001</v>
      </c>
      <c r="K478">
        <v>1.0697700000000001</v>
      </c>
      <c r="L478">
        <v>367.47149999999999</v>
      </c>
      <c r="M478">
        <v>0.99997970000000003</v>
      </c>
      <c r="N478">
        <v>-3.9749269999999996E-3</v>
      </c>
      <c r="O478">
        <v>4.9792810000000003E-3</v>
      </c>
      <c r="P478">
        <v>0.99498030000000004</v>
      </c>
      <c r="Q478">
        <v>-9.9073649999999999E-2</v>
      </c>
      <c r="R478">
        <v>-1.409329E-2</v>
      </c>
      <c r="S478">
        <v>2.9332280000000002</v>
      </c>
      <c r="T478">
        <v>-0.79608120000000004</v>
      </c>
      <c r="U478">
        <v>-0.18426509999999999</v>
      </c>
      <c r="V478">
        <v>1.9044829999999999E-2</v>
      </c>
      <c r="W478">
        <v>-9.5118770000000005E-2</v>
      </c>
      <c r="X478">
        <v>0.99528369999999999</v>
      </c>
      <c r="Y478">
        <v>6.5108760000000002E-2</v>
      </c>
      <c r="Z478">
        <v>-1.0108829999999999E-2</v>
      </c>
      <c r="AA478">
        <v>0.99782700000000002</v>
      </c>
      <c r="AB478">
        <v>22</v>
      </c>
      <c r="AC478">
        <v>0.47800000000000797</v>
      </c>
      <c r="AD478">
        <v>-0.1893349</v>
      </c>
      <c r="AE478">
        <v>-4.50999999999908E-2</v>
      </c>
      <c r="AF478">
        <v>4.10897205663062E-2</v>
      </c>
      <c r="AG478">
        <v>-0.1893349</v>
      </c>
      <c r="AH478">
        <v>0.41347091626774901</v>
      </c>
      <c r="AI478">
        <v>114.49739417458299</v>
      </c>
      <c r="AJ478">
        <v>84.324720521224606</v>
      </c>
      <c r="AK478">
        <v>0.45661172575123299</v>
      </c>
      <c r="AL478">
        <v>95.458155981307101</v>
      </c>
      <c r="AM478">
        <v>88.903774642516296</v>
      </c>
      <c r="AN478">
        <v>0.99999996472086505</v>
      </c>
    </row>
    <row r="479" spans="1:40" x14ac:dyDescent="0.25">
      <c r="A479" t="str">
        <f>"20190303154106698"</f>
        <v>20190303154106698</v>
      </c>
      <c r="B479" t="str">
        <f>"1551598866689428"</f>
        <v>1551598866689428</v>
      </c>
      <c r="C479" t="s">
        <v>40</v>
      </c>
      <c r="D479">
        <v>6.10703</v>
      </c>
      <c r="E479">
        <v>0.51731179999999999</v>
      </c>
      <c r="F479" t="s">
        <v>42</v>
      </c>
      <c r="G479">
        <v>-407.53980000000001</v>
      </c>
      <c r="H479">
        <v>0.88532659999999996</v>
      </c>
      <c r="I479">
        <v>367.4289</v>
      </c>
      <c r="J479">
        <v>-407.99509999999998</v>
      </c>
      <c r="K479">
        <v>1.0697760000000001</v>
      </c>
      <c r="L479">
        <v>367.4726</v>
      </c>
      <c r="M479">
        <v>0.99997970000000003</v>
      </c>
      <c r="N479">
        <v>-4.0031659999999998E-3</v>
      </c>
      <c r="O479">
        <v>4.9863169999999997E-3</v>
      </c>
      <c r="P479">
        <v>0.99494760000000004</v>
      </c>
      <c r="Q479">
        <v>-9.9376270000000003E-2</v>
      </c>
      <c r="R479">
        <v>-1.429094E-2</v>
      </c>
      <c r="S479">
        <v>2.9331969999999998</v>
      </c>
      <c r="T479">
        <v>-0.79702090000000003</v>
      </c>
      <c r="U479">
        <v>-0.18386839999999999</v>
      </c>
      <c r="V479">
        <v>1.924915E-2</v>
      </c>
      <c r="W479">
        <v>-9.5393359999999996E-2</v>
      </c>
      <c r="X479">
        <v>0.99525350000000001</v>
      </c>
      <c r="Y479">
        <v>6.4980259999999998E-2</v>
      </c>
      <c r="Z479">
        <v>-1.0105619999999999E-2</v>
      </c>
      <c r="AA479">
        <v>0.99783540000000004</v>
      </c>
      <c r="AB479">
        <v>22</v>
      </c>
      <c r="AC479">
        <v>0.45529999999996501</v>
      </c>
      <c r="AD479">
        <v>-0.18444940000000001</v>
      </c>
      <c r="AE479">
        <v>-4.3700000000001099E-2</v>
      </c>
      <c r="AF479">
        <v>3.9539750437542702E-2</v>
      </c>
      <c r="AG479">
        <v>-0.18444940000000001</v>
      </c>
      <c r="AH479">
        <v>0.39142285472594501</v>
      </c>
      <c r="AI479">
        <v>115.119155838621</v>
      </c>
      <c r="AJ479">
        <v>84.231808501620904</v>
      </c>
      <c r="AK479">
        <v>0.434507565212427</v>
      </c>
      <c r="AL479">
        <v>95.473960634781903</v>
      </c>
      <c r="AM479">
        <v>88.891983234222593</v>
      </c>
      <c r="AN479">
        <v>0.99999997608503</v>
      </c>
    </row>
    <row r="480" spans="1:40" x14ac:dyDescent="0.25">
      <c r="A480" t="str">
        <f>"20190303154106720"</f>
        <v>20190303154106720</v>
      </c>
      <c r="B480" t="str">
        <f>"1551598866709920"</f>
        <v>1551598866709920</v>
      </c>
      <c r="C480" t="s">
        <v>40</v>
      </c>
      <c r="D480">
        <v>6.1203779999999997</v>
      </c>
      <c r="E480">
        <v>0.51733209999999996</v>
      </c>
      <c r="F480" t="s">
        <v>42</v>
      </c>
      <c r="G480">
        <v>-407.15879999999999</v>
      </c>
      <c r="H480">
        <v>0.84189749999999997</v>
      </c>
      <c r="I480">
        <v>367.41980000000001</v>
      </c>
      <c r="J480">
        <v>-407.76560000000001</v>
      </c>
      <c r="K480">
        <v>1.0697810000000001</v>
      </c>
      <c r="L480">
        <v>367.47379999999998</v>
      </c>
      <c r="M480">
        <v>0.99997950000000002</v>
      </c>
      <c r="N480">
        <v>-4.0370329999999998E-3</v>
      </c>
      <c r="O480">
        <v>4.9938179999999997E-3</v>
      </c>
      <c r="P480">
        <v>0.99500060000000001</v>
      </c>
      <c r="Q480">
        <v>-9.8850309999999997E-2</v>
      </c>
      <c r="R480">
        <v>-1.4235360000000001E-2</v>
      </c>
      <c r="S480">
        <v>2.9327700000000001</v>
      </c>
      <c r="T480">
        <v>-0.79905519999999997</v>
      </c>
      <c r="U480">
        <v>-0.18505859999999999</v>
      </c>
      <c r="V480">
        <v>1.9201360000000001E-2</v>
      </c>
      <c r="W480">
        <v>-9.4833550000000003E-2</v>
      </c>
      <c r="X480">
        <v>0.99530790000000002</v>
      </c>
      <c r="Y480">
        <v>6.5371769999999996E-2</v>
      </c>
      <c r="Z480">
        <v>-1.01876E-2</v>
      </c>
      <c r="AA480">
        <v>0.99780899999999995</v>
      </c>
      <c r="AB480">
        <v>22</v>
      </c>
      <c r="AC480">
        <v>0.60680000000002099</v>
      </c>
      <c r="AD480">
        <v>-0.22788349999999899</v>
      </c>
      <c r="AE480">
        <v>-5.3999999999973597E-2</v>
      </c>
      <c r="AF480">
        <v>5.0029065680690397E-2</v>
      </c>
      <c r="AG480">
        <v>-0.22788349999999899</v>
      </c>
      <c r="AH480">
        <v>0.53207049306979703</v>
      </c>
      <c r="AI480">
        <v>113.094119811149</v>
      </c>
      <c r="AJ480">
        <v>84.628434869041101</v>
      </c>
      <c r="AK480">
        <v>0.58097573665401003</v>
      </c>
      <c r="AL480">
        <v>95.441739922600604</v>
      </c>
      <c r="AM480">
        <v>88.894793826955606</v>
      </c>
      <c r="AN480">
        <v>0.99999995511692996</v>
      </c>
    </row>
    <row r="481" spans="1:40" x14ac:dyDescent="0.25">
      <c r="A481" t="str">
        <f>"20190303154106742"</f>
        <v>20190303154106742</v>
      </c>
      <c r="B481" t="str">
        <f>"1551598866729456"</f>
        <v>1551598866729456</v>
      </c>
      <c r="C481" t="s">
        <v>40</v>
      </c>
      <c r="D481">
        <v>6.0841209999999997</v>
      </c>
      <c r="E481">
        <v>0.51739269999999904</v>
      </c>
      <c r="F481" t="s">
        <v>42</v>
      </c>
      <c r="G481">
        <v>-406.95389999999998</v>
      </c>
      <c r="H481">
        <v>0.84877739999999902</v>
      </c>
      <c r="I481">
        <v>367.42219999999998</v>
      </c>
      <c r="J481">
        <v>-407.54570000000001</v>
      </c>
      <c r="K481">
        <v>1.06978</v>
      </c>
      <c r="L481">
        <v>367.47489999999999</v>
      </c>
      <c r="M481">
        <v>0.99997930000000002</v>
      </c>
      <c r="N481">
        <v>-4.0723259999999898E-3</v>
      </c>
      <c r="O481">
        <v>5.0011359999999998E-3</v>
      </c>
      <c r="P481">
        <v>0.9950097</v>
      </c>
      <c r="Q481">
        <v>-9.8811300000000005E-2</v>
      </c>
      <c r="R481">
        <v>-1.3862910000000001E-2</v>
      </c>
      <c r="S481">
        <v>2.9330440000000002</v>
      </c>
      <c r="T481">
        <v>-0.7986491</v>
      </c>
      <c r="U481">
        <v>-0.18508910000000001</v>
      </c>
      <c r="V481">
        <v>1.883628E-2</v>
      </c>
      <c r="W481">
        <v>-9.4759319999999994E-2</v>
      </c>
      <c r="X481">
        <v>0.99532200000000004</v>
      </c>
      <c r="Y481">
        <v>6.5385570000000004E-2</v>
      </c>
      <c r="Z481">
        <v>-1.0186550000000001E-2</v>
      </c>
      <c r="AA481">
        <v>0.99780809999999998</v>
      </c>
      <c r="AB481">
        <v>22</v>
      </c>
      <c r="AC481">
        <v>0.59180000000003397</v>
      </c>
      <c r="AD481">
        <v>-0.22100259999999999</v>
      </c>
      <c r="AE481">
        <v>-5.27000000000157E-2</v>
      </c>
      <c r="AF481">
        <v>4.88940020658713E-2</v>
      </c>
      <c r="AG481">
        <v>-0.22100259999999999</v>
      </c>
      <c r="AH481">
        <v>0.519632089731073</v>
      </c>
      <c r="AI481">
        <v>112.94952796340399</v>
      </c>
      <c r="AJ481">
        <v>84.624665948399198</v>
      </c>
      <c r="AK481">
        <v>0.566789450610242</v>
      </c>
      <c r="AL481">
        <v>95.437467323651504</v>
      </c>
      <c r="AM481">
        <v>88.915817664257503</v>
      </c>
      <c r="AN481">
        <v>1.00000000892755</v>
      </c>
    </row>
    <row r="482" spans="1:40" x14ac:dyDescent="0.25">
      <c r="A482" t="str">
        <f>"20190303154106764"</f>
        <v>20190303154106764</v>
      </c>
      <c r="B482" t="str">
        <f>"1551598866759712"</f>
        <v>1551598866759712</v>
      </c>
      <c r="C482" t="s">
        <v>40</v>
      </c>
      <c r="D482">
        <v>6.1081940000000001</v>
      </c>
      <c r="E482">
        <v>0.51748539999999998</v>
      </c>
      <c r="F482" t="s">
        <v>42</v>
      </c>
      <c r="G482">
        <v>-406.7491</v>
      </c>
      <c r="H482">
        <v>0.85278569999999998</v>
      </c>
      <c r="I482">
        <v>367.4246</v>
      </c>
      <c r="J482">
        <v>-407.31790000000001</v>
      </c>
      <c r="K482">
        <v>1.06978</v>
      </c>
      <c r="L482">
        <v>367.476</v>
      </c>
      <c r="M482">
        <v>0.99997899999999995</v>
      </c>
      <c r="N482">
        <v>-4.1099810000000004E-3</v>
      </c>
      <c r="O482">
        <v>5.0089260000000004E-3</v>
      </c>
      <c r="P482">
        <v>0.99502930000000001</v>
      </c>
      <c r="Q482">
        <v>-9.8550509999999994E-2</v>
      </c>
      <c r="R482">
        <v>-1.4310959999999999E-2</v>
      </c>
      <c r="S482">
        <v>2.9331360000000002</v>
      </c>
      <c r="T482">
        <v>-0.79897649999999998</v>
      </c>
      <c r="U482">
        <v>-0.18444820000000001</v>
      </c>
      <c r="V482">
        <v>1.9292210000000001E-2</v>
      </c>
      <c r="W482">
        <v>-9.4461030000000001E-2</v>
      </c>
      <c r="X482">
        <v>0.99534160000000005</v>
      </c>
      <c r="Y482">
        <v>6.5179310000000004E-2</v>
      </c>
      <c r="Z482">
        <v>-1.016542E-2</v>
      </c>
      <c r="AA482">
        <v>0.99782179999999998</v>
      </c>
      <c r="AB482">
        <v>23</v>
      </c>
      <c r="AC482">
        <v>0.56880000000000996</v>
      </c>
      <c r="AD482">
        <v>-0.2169943</v>
      </c>
      <c r="AE482">
        <v>-5.1400000000000903E-2</v>
      </c>
      <c r="AF482">
        <v>4.7405081306143397E-2</v>
      </c>
      <c r="AG482">
        <v>-0.2169943</v>
      </c>
      <c r="AH482">
        <v>0.49681537173437201</v>
      </c>
      <c r="AI482">
        <v>113.499195199063</v>
      </c>
      <c r="AJ482">
        <v>84.549458479950403</v>
      </c>
      <c r="AK482">
        <v>0.54420518332490597</v>
      </c>
      <c r="AL482">
        <v>95.420299670993302</v>
      </c>
      <c r="AM482">
        <v>88.889603508638501</v>
      </c>
      <c r="AN482">
        <v>0.99999998812295199</v>
      </c>
    </row>
    <row r="483" spans="1:40" x14ac:dyDescent="0.25">
      <c r="A483" t="str">
        <f>"20190303154106788"</f>
        <v>20190303154106788</v>
      </c>
      <c r="B483" t="str">
        <f>"1551598866779232"</f>
        <v>1551598866779232</v>
      </c>
      <c r="C483" t="s">
        <v>40</v>
      </c>
      <c r="D483">
        <v>6.2022700000000004</v>
      </c>
      <c r="E483">
        <v>0.51742540000000004</v>
      </c>
      <c r="F483" t="s">
        <v>42</v>
      </c>
      <c r="G483">
        <v>-406.54239999999999</v>
      </c>
      <c r="H483">
        <v>0.85841999999999996</v>
      </c>
      <c r="I483">
        <v>367.4264</v>
      </c>
      <c r="J483">
        <v>-407.08390000000003</v>
      </c>
      <c r="K483">
        <v>1.0697779999999999</v>
      </c>
      <c r="L483">
        <v>367.47719999999998</v>
      </c>
      <c r="M483">
        <v>0.9999789</v>
      </c>
      <c r="N483">
        <v>-4.1489270000000002E-3</v>
      </c>
      <c r="O483">
        <v>5.0167709999999997E-3</v>
      </c>
      <c r="P483">
        <v>0.99498739999999997</v>
      </c>
      <c r="Q483">
        <v>-9.8971039999999996E-2</v>
      </c>
      <c r="R483">
        <v>-1.4329359999999999E-2</v>
      </c>
      <c r="S483">
        <v>2.9331360000000002</v>
      </c>
      <c r="T483">
        <v>-0.79940009999999995</v>
      </c>
      <c r="U483">
        <v>-0.18624879999999999</v>
      </c>
      <c r="V483">
        <v>1.9318140000000001E-2</v>
      </c>
      <c r="W483">
        <v>-9.4842940000000001E-2</v>
      </c>
      <c r="X483">
        <v>0.99530479999999999</v>
      </c>
      <c r="Y483">
        <v>6.5772189999999994E-2</v>
      </c>
      <c r="Z483">
        <v>-1.025408E-2</v>
      </c>
      <c r="AA483">
        <v>0.99778199999999995</v>
      </c>
      <c r="AB483">
        <v>23</v>
      </c>
      <c r="AC483">
        <v>0.54150000000004095</v>
      </c>
      <c r="AD483">
        <v>-0.21135799999999999</v>
      </c>
      <c r="AE483">
        <v>-5.0799999999980999E-2</v>
      </c>
      <c r="AF483">
        <v>4.6494376483413299E-2</v>
      </c>
      <c r="AG483">
        <v>-0.21135799999999999</v>
      </c>
      <c r="AH483">
        <v>0.47022488684767699</v>
      </c>
      <c r="AI483">
        <v>114.099042776652</v>
      </c>
      <c r="AJ483">
        <v>84.353126011360601</v>
      </c>
      <c r="AK483">
        <v>0.51763440324179699</v>
      </c>
      <c r="AL483">
        <v>95.442280069884006</v>
      </c>
      <c r="AM483">
        <v>88.888070336892099</v>
      </c>
      <c r="AN483">
        <v>1.0000000093519701</v>
      </c>
    </row>
    <row r="484" spans="1:40" x14ac:dyDescent="0.25">
      <c r="A484" t="str">
        <f>"20190303154106810"</f>
        <v>20190303154106810</v>
      </c>
      <c r="B484" t="str">
        <f>"1551598866799728"</f>
        <v>1551598866799728</v>
      </c>
      <c r="C484" t="s">
        <v>40</v>
      </c>
      <c r="D484">
        <v>6.1121559999999997</v>
      </c>
      <c r="E484">
        <v>0.51742709999999903</v>
      </c>
      <c r="F484" t="s">
        <v>42</v>
      </c>
      <c r="G484">
        <v>-406.33429999999998</v>
      </c>
      <c r="H484">
        <v>0.86463690000000004</v>
      </c>
      <c r="I484">
        <v>367.42959999999999</v>
      </c>
      <c r="J484">
        <v>-406.85550000000001</v>
      </c>
      <c r="K484">
        <v>1.069782</v>
      </c>
      <c r="L484">
        <v>367.47840000000002</v>
      </c>
      <c r="M484">
        <v>0.99997860000000005</v>
      </c>
      <c r="N484">
        <v>-4.1886019999999996E-3</v>
      </c>
      <c r="O484">
        <v>5.0244360000000002E-3</v>
      </c>
      <c r="P484">
        <v>0.99494210000000005</v>
      </c>
      <c r="Q484">
        <v>-9.938118E-2</v>
      </c>
      <c r="R484">
        <v>-1.461573E-2</v>
      </c>
      <c r="S484">
        <v>2.9325869999999998</v>
      </c>
      <c r="T484">
        <v>-0.802508</v>
      </c>
      <c r="U484">
        <v>-0.18548580000000001</v>
      </c>
      <c r="V484">
        <v>1.9611880000000002E-2</v>
      </c>
      <c r="W484">
        <v>-9.5213820000000005E-2</v>
      </c>
      <c r="X484">
        <v>0.99526360000000003</v>
      </c>
      <c r="Y484">
        <v>6.5521040000000003E-2</v>
      </c>
      <c r="Z484">
        <v>-1.026294E-2</v>
      </c>
      <c r="AA484">
        <v>0.99779839999999997</v>
      </c>
      <c r="AB484">
        <v>23</v>
      </c>
      <c r="AC484">
        <v>0.52120000000002098</v>
      </c>
      <c r="AD484">
        <v>-0.2051451</v>
      </c>
      <c r="AE484">
        <v>-4.88000000000283E-2</v>
      </c>
      <c r="AF484">
        <v>4.4572834283459303E-2</v>
      </c>
      <c r="AG484">
        <v>-0.2051451</v>
      </c>
      <c r="AH484">
        <v>0.45159427379125</v>
      </c>
      <c r="AI484">
        <v>114.32638999004701</v>
      </c>
      <c r="AJ484">
        <v>84.363103113738703</v>
      </c>
      <c r="AK484">
        <v>0.49800465633477498</v>
      </c>
      <c r="AL484">
        <v>95.463626771318502</v>
      </c>
      <c r="AM484">
        <v>88.871120629205393</v>
      </c>
      <c r="AN484">
        <v>0.99999996542054204</v>
      </c>
    </row>
    <row r="485" spans="1:40" x14ac:dyDescent="0.25">
      <c r="A485" t="str">
        <f>"20190303154106833"</f>
        <v>20190303154106833</v>
      </c>
      <c r="B485" t="str">
        <f>"1551598866820071"</f>
        <v>1551598866820071</v>
      </c>
      <c r="C485" t="s">
        <v>40</v>
      </c>
      <c r="D485">
        <v>6.092015</v>
      </c>
      <c r="E485">
        <v>0.51737339999999998</v>
      </c>
      <c r="F485" t="s">
        <v>42</v>
      </c>
      <c r="G485">
        <v>-406.12580000000003</v>
      </c>
      <c r="H485">
        <v>0.86956849999999997</v>
      </c>
      <c r="I485">
        <v>367.43150000000003</v>
      </c>
      <c r="J485">
        <v>-406.61219999999997</v>
      </c>
      <c r="K485">
        <v>1.0697840000000001</v>
      </c>
      <c r="L485">
        <v>367.4796</v>
      </c>
      <c r="M485">
        <v>0.99997849999999999</v>
      </c>
      <c r="N485">
        <v>-4.2343540000000001E-3</v>
      </c>
      <c r="O485">
        <v>5.031911E-3</v>
      </c>
      <c r="P485">
        <v>0.99497780000000002</v>
      </c>
      <c r="Q485">
        <v>-9.9017499999999994E-2</v>
      </c>
      <c r="R485">
        <v>-1.466484E-2</v>
      </c>
      <c r="S485">
        <v>2.9321899999999999</v>
      </c>
      <c r="T485">
        <v>-0.80441189999999996</v>
      </c>
      <c r="U485">
        <v>-0.18664549999999999</v>
      </c>
      <c r="V485">
        <v>1.9668740000000001E-2</v>
      </c>
      <c r="W485">
        <v>-9.480442E-2</v>
      </c>
      <c r="X485">
        <v>0.99530160000000001</v>
      </c>
      <c r="Y485">
        <v>6.5902399999999903E-2</v>
      </c>
      <c r="Z485">
        <v>-1.0342789999999999E-2</v>
      </c>
      <c r="AA485">
        <v>0.99777249999999995</v>
      </c>
      <c r="AB485">
        <v>23</v>
      </c>
      <c r="AC485">
        <v>0.48639999999994599</v>
      </c>
      <c r="AD485">
        <v>-0.20021549999999999</v>
      </c>
      <c r="AE485">
        <v>-4.8099999999976703E-2</v>
      </c>
      <c r="AF485">
        <v>4.32840412181612E-2</v>
      </c>
      <c r="AG485">
        <v>-0.20021549999999999</v>
      </c>
      <c r="AH485">
        <v>0.41629853726299698</v>
      </c>
      <c r="AI485">
        <v>115.56474568946901</v>
      </c>
      <c r="AJ485">
        <v>84.064082557569805</v>
      </c>
      <c r="AK485">
        <v>0.46396576036571502</v>
      </c>
      <c r="AL485">
        <v>95.440063064098595</v>
      </c>
      <c r="AM485">
        <v>88.867891775134098</v>
      </c>
      <c r="AN485">
        <v>1.00000000617364</v>
      </c>
    </row>
    <row r="486" spans="1:40" x14ac:dyDescent="0.25">
      <c r="A486" t="str">
        <f>"20190303154106856"</f>
        <v>20190303154106856</v>
      </c>
      <c r="B486" t="str">
        <f>"1551598866849352"</f>
        <v>1551598866849352</v>
      </c>
      <c r="C486" t="s">
        <v>40</v>
      </c>
      <c r="D486">
        <v>6.099494</v>
      </c>
      <c r="E486">
        <v>0.51741700000000002</v>
      </c>
      <c r="F486" t="s">
        <v>42</v>
      </c>
      <c r="G486">
        <v>-405.9144</v>
      </c>
      <c r="H486">
        <v>0.87824500000000005</v>
      </c>
      <c r="I486">
        <v>367.435</v>
      </c>
      <c r="J486">
        <v>-406.37740000000002</v>
      </c>
      <c r="K486">
        <v>1.0697840000000001</v>
      </c>
      <c r="L486">
        <v>367.48079999999999</v>
      </c>
      <c r="M486">
        <v>0.99997809999999998</v>
      </c>
      <c r="N486">
        <v>-4.2838900000000003E-3</v>
      </c>
      <c r="O486">
        <v>5.0400289999999997E-3</v>
      </c>
      <c r="P486">
        <v>0.99499360000000003</v>
      </c>
      <c r="Q486">
        <v>-9.8833589999999999E-2</v>
      </c>
      <c r="R486">
        <v>-1.482698E-2</v>
      </c>
      <c r="S486">
        <v>2.9322810000000001</v>
      </c>
      <c r="T486">
        <v>-0.80491449999999998</v>
      </c>
      <c r="U486">
        <v>-0.186615</v>
      </c>
      <c r="V486">
        <v>1.9839079999999999E-2</v>
      </c>
      <c r="W486">
        <v>-9.4571169999999996E-2</v>
      </c>
      <c r="X486">
        <v>0.99532039999999999</v>
      </c>
      <c r="Y486">
        <v>6.5894720000000004E-2</v>
      </c>
      <c r="Z486">
        <v>-1.035117E-2</v>
      </c>
      <c r="AA486">
        <v>0.99777289999999996</v>
      </c>
      <c r="AB486">
        <v>23</v>
      </c>
      <c r="AC486">
        <v>0.46300000000002201</v>
      </c>
      <c r="AD486">
        <v>-0.19153899999999999</v>
      </c>
      <c r="AE486">
        <v>-4.5799999999985602E-2</v>
      </c>
      <c r="AF486">
        <v>4.1157516903210803E-2</v>
      </c>
      <c r="AG486">
        <v>-0.19153899999999999</v>
      </c>
      <c r="AH486">
        <v>0.39569938072364202</v>
      </c>
      <c r="AI486">
        <v>115.708698834</v>
      </c>
      <c r="AJ486">
        <v>84.061898993950905</v>
      </c>
      <c r="AK486">
        <v>0.44154176430289399</v>
      </c>
      <c r="AL486">
        <v>95.426638557354195</v>
      </c>
      <c r="AM486">
        <v>88.858111364568799</v>
      </c>
      <c r="AN486">
        <v>0.99999999697328701</v>
      </c>
    </row>
    <row r="487" spans="1:40" x14ac:dyDescent="0.25">
      <c r="A487" t="str">
        <f>"20190303154106877"</f>
        <v>20190303154106877</v>
      </c>
      <c r="B487" t="str">
        <f>"1551598866869848"</f>
        <v>1551598866869848</v>
      </c>
      <c r="C487" t="s">
        <v>40</v>
      </c>
      <c r="D487">
        <v>6.0895820000000001</v>
      </c>
      <c r="E487">
        <v>0.51743669999999997</v>
      </c>
      <c r="F487" t="s">
        <v>42</v>
      </c>
      <c r="G487">
        <v>-405.51580000000001</v>
      </c>
      <c r="H487">
        <v>0.83345290000000005</v>
      </c>
      <c r="I487">
        <v>367.42570000000001</v>
      </c>
      <c r="J487">
        <v>-406.15300000000002</v>
      </c>
      <c r="K487">
        <v>1.06979</v>
      </c>
      <c r="L487">
        <v>367.48200000000003</v>
      </c>
      <c r="M487">
        <v>0.99997789999999998</v>
      </c>
      <c r="N487">
        <v>-4.3386220000000003E-3</v>
      </c>
      <c r="O487">
        <v>5.0471220000000002E-3</v>
      </c>
      <c r="P487">
        <v>0.99499579999999999</v>
      </c>
      <c r="Q487">
        <v>-9.8847050000000006E-2</v>
      </c>
      <c r="R487">
        <v>-1.458747E-2</v>
      </c>
      <c r="S487">
        <v>2.9324340000000002</v>
      </c>
      <c r="T487">
        <v>-0.80439469999999902</v>
      </c>
      <c r="U487">
        <v>-0.18780520000000001</v>
      </c>
      <c r="V487">
        <v>1.960655E-2</v>
      </c>
      <c r="W487">
        <v>-9.4530119999999995E-2</v>
      </c>
      <c r="X487">
        <v>0.99532889999999996</v>
      </c>
      <c r="Y487">
        <v>6.6290050000000003E-2</v>
      </c>
      <c r="Z487">
        <v>-1.040167E-2</v>
      </c>
      <c r="AA487">
        <v>0.99774620000000003</v>
      </c>
      <c r="AB487">
        <v>23</v>
      </c>
      <c r="AC487">
        <v>0.63720000000000698</v>
      </c>
      <c r="AD487">
        <v>-0.23633709999999999</v>
      </c>
      <c r="AE487">
        <v>-5.6299999999964698E-2</v>
      </c>
      <c r="AF487">
        <v>5.2367179709220703E-2</v>
      </c>
      <c r="AG487">
        <v>-0.23633709999999999</v>
      </c>
      <c r="AH487">
        <v>0.56041118039530002</v>
      </c>
      <c r="AI487">
        <v>112.777128997527</v>
      </c>
      <c r="AJ487">
        <v>84.661543311894107</v>
      </c>
      <c r="AK487">
        <v>0.61045740020017902</v>
      </c>
      <c r="AL487">
        <v>95.4242760205031</v>
      </c>
      <c r="AM487">
        <v>88.871501372462504</v>
      </c>
      <c r="AN487">
        <v>0.99999998978266302</v>
      </c>
    </row>
    <row r="488" spans="1:40" x14ac:dyDescent="0.25">
      <c r="A488" t="str">
        <f>"20190303154106900"</f>
        <v>20190303154106900</v>
      </c>
      <c r="B488" t="str">
        <f>"1551598866889367"</f>
        <v>1551598866889367</v>
      </c>
      <c r="C488" t="s">
        <v>40</v>
      </c>
      <c r="D488">
        <v>6.0953739999999996</v>
      </c>
      <c r="E488">
        <v>0.51743130000000004</v>
      </c>
      <c r="F488" t="s">
        <v>42</v>
      </c>
      <c r="G488">
        <v>-405.3039</v>
      </c>
      <c r="H488">
        <v>0.83686240000000001</v>
      </c>
      <c r="I488">
        <v>367.42739999999998</v>
      </c>
      <c r="J488">
        <v>-405.9153</v>
      </c>
      <c r="K488">
        <v>1.069798</v>
      </c>
      <c r="L488">
        <v>367.48320000000001</v>
      </c>
      <c r="M488">
        <v>0.99997760000000002</v>
      </c>
      <c r="N488">
        <v>-4.4027800000000002E-3</v>
      </c>
      <c r="O488">
        <v>5.0549080000000003E-3</v>
      </c>
      <c r="P488">
        <v>0.99498180000000003</v>
      </c>
      <c r="Q488">
        <v>-9.9028889999999994E-2</v>
      </c>
      <c r="R488">
        <v>-1.431296E-2</v>
      </c>
      <c r="S488">
        <v>2.9324650000000001</v>
      </c>
      <c r="T488">
        <v>-0.80443699999999996</v>
      </c>
      <c r="U488">
        <v>-0.18722530000000001</v>
      </c>
      <c r="V488">
        <v>1.9339660000000002E-2</v>
      </c>
      <c r="W488">
        <v>-9.4648129999999997E-2</v>
      </c>
      <c r="X488">
        <v>0.99532290000000001</v>
      </c>
      <c r="Y488">
        <v>6.6106509999999993E-2</v>
      </c>
      <c r="Z488">
        <v>-1.038095E-2</v>
      </c>
      <c r="AA488">
        <v>0.99775860000000005</v>
      </c>
      <c r="AB488">
        <v>23</v>
      </c>
      <c r="AC488">
        <v>0.61140000000000305</v>
      </c>
      <c r="AD488">
        <v>-0.23293559999999999</v>
      </c>
      <c r="AE488">
        <v>-5.5800000000033302E-2</v>
      </c>
      <c r="AF488">
        <v>5.1479323955483901E-2</v>
      </c>
      <c r="AG488">
        <v>-0.23293559999999999</v>
      </c>
      <c r="AH488">
        <v>0.53420947528858498</v>
      </c>
      <c r="AI488">
        <v>113.46216194674901</v>
      </c>
      <c r="AJ488">
        <v>84.495664075289497</v>
      </c>
      <c r="AK488">
        <v>0.58505459405971605</v>
      </c>
      <c r="AL488">
        <v>95.431067984153103</v>
      </c>
      <c r="AM488">
        <v>88.886852220160193</v>
      </c>
      <c r="AN488">
        <v>0.99999998311291105</v>
      </c>
    </row>
    <row r="489" spans="1:40" x14ac:dyDescent="0.25">
      <c r="A489" t="str">
        <f>"20190303154106923"</f>
        <v>20190303154106923</v>
      </c>
      <c r="B489" t="str">
        <f>"1551598866909878"</f>
        <v>1551598866909878</v>
      </c>
      <c r="C489" t="s">
        <v>40</v>
      </c>
      <c r="D489">
        <v>6.0925159999999998</v>
      </c>
      <c r="E489">
        <v>0.51740810000000004</v>
      </c>
      <c r="F489" t="s">
        <v>42</v>
      </c>
      <c r="G489">
        <v>-405.0899</v>
      </c>
      <c r="H489">
        <v>0.84316639999999998</v>
      </c>
      <c r="I489">
        <v>367.43049999999999</v>
      </c>
      <c r="J489">
        <v>-405.678</v>
      </c>
      <c r="K489">
        <v>1.069807</v>
      </c>
      <c r="L489">
        <v>367.48430000000002</v>
      </c>
      <c r="M489">
        <v>0.99997720000000001</v>
      </c>
      <c r="N489">
        <v>-4.4697080000000002E-3</v>
      </c>
      <c r="O489">
        <v>5.0625069999999999E-3</v>
      </c>
      <c r="P489">
        <v>0.99497690000000005</v>
      </c>
      <c r="Q489">
        <v>-9.9163089999999995E-2</v>
      </c>
      <c r="R489">
        <v>-1.370653E-2</v>
      </c>
      <c r="S489">
        <v>2.932312</v>
      </c>
      <c r="T489">
        <v>-0.80516049999999995</v>
      </c>
      <c r="U489">
        <v>-0.1863098</v>
      </c>
      <c r="V489">
        <v>1.8740920000000001E-2</v>
      </c>
      <c r="W489">
        <v>-9.4715709999999995E-2</v>
      </c>
      <c r="X489">
        <v>0.99532790000000004</v>
      </c>
      <c r="Y489">
        <v>6.5812350000000006E-2</v>
      </c>
      <c r="Z489">
        <v>-1.035411E-2</v>
      </c>
      <c r="AA489">
        <v>0.99777830000000001</v>
      </c>
      <c r="AB489">
        <v>24</v>
      </c>
      <c r="AC489">
        <v>0.58810000000005302</v>
      </c>
      <c r="AD489">
        <v>-0.226640599999999</v>
      </c>
      <c r="AE489">
        <v>-5.3800000000023801E-2</v>
      </c>
      <c r="AF489">
        <v>4.94878622157384E-2</v>
      </c>
      <c r="AG489">
        <v>-0.226640599999999</v>
      </c>
      <c r="AH489">
        <v>0.51235825464095197</v>
      </c>
      <c r="AI489">
        <v>113.76383740205</v>
      </c>
      <c r="AJ489">
        <v>84.483006654909005</v>
      </c>
      <c r="AK489">
        <v>0.56242865429649502</v>
      </c>
      <c r="AL489">
        <v>95.434957642403802</v>
      </c>
      <c r="AM489">
        <v>88.921311506502803</v>
      </c>
      <c r="AN489">
        <v>0.99999995816082898</v>
      </c>
    </row>
    <row r="490" spans="1:40" x14ac:dyDescent="0.25">
      <c r="A490" t="str">
        <f>"20190303154106943"</f>
        <v>20190303154106943</v>
      </c>
      <c r="B490" t="str">
        <f>"1551598866939649"</f>
        <v>1551598866939649</v>
      </c>
      <c r="C490" t="s">
        <v>40</v>
      </c>
      <c r="D490">
        <v>6.1069699999999996</v>
      </c>
      <c r="E490">
        <v>0.51742109999999997</v>
      </c>
      <c r="F490" t="s">
        <v>42</v>
      </c>
      <c r="G490">
        <v>-404.87470000000002</v>
      </c>
      <c r="H490">
        <v>0.84901949999999904</v>
      </c>
      <c r="I490">
        <v>367.43329999999997</v>
      </c>
      <c r="J490">
        <v>-405.45409999999998</v>
      </c>
      <c r="K490">
        <v>1.0698129999999999</v>
      </c>
      <c r="L490">
        <v>367.4855</v>
      </c>
      <c r="M490">
        <v>0.99997689999999995</v>
      </c>
      <c r="N490">
        <v>-4.5353370000000004E-3</v>
      </c>
      <c r="O490">
        <v>5.0701050000000001E-3</v>
      </c>
      <c r="P490">
        <v>0.99493900000000002</v>
      </c>
      <c r="Q490">
        <v>-9.9565860000000006E-2</v>
      </c>
      <c r="R490">
        <v>-1.35339E-2</v>
      </c>
      <c r="S490">
        <v>2.9322810000000001</v>
      </c>
      <c r="T490">
        <v>-0.80602819999999997</v>
      </c>
      <c r="U490">
        <v>-0.18460080000000001</v>
      </c>
      <c r="V490">
        <v>1.8575390000000001E-2</v>
      </c>
      <c r="W490">
        <v>-9.5053330000000005E-2</v>
      </c>
      <c r="X490">
        <v>0.99529889999999999</v>
      </c>
      <c r="Y490">
        <v>6.5255759999999996E-2</v>
      </c>
      <c r="Z490">
        <v>-1.0292600000000001E-2</v>
      </c>
      <c r="AA490">
        <v>0.99781549999999997</v>
      </c>
      <c r="AB490">
        <v>24</v>
      </c>
      <c r="AC490">
        <v>0.57939999999996405</v>
      </c>
      <c r="AD490">
        <v>-0.2207935</v>
      </c>
      <c r="AE490">
        <v>-5.2200000000027502E-2</v>
      </c>
      <c r="AF490">
        <v>4.8194671757193601E-2</v>
      </c>
      <c r="AG490">
        <v>-0.2207935</v>
      </c>
      <c r="AH490">
        <v>0.50620979980051495</v>
      </c>
      <c r="AI490">
        <v>113.470798163678</v>
      </c>
      <c r="AJ490">
        <v>84.561438594087505</v>
      </c>
      <c r="AK490">
        <v>0.55436527438333605</v>
      </c>
      <c r="AL490">
        <v>95.454389064976993</v>
      </c>
      <c r="AM490">
        <v>88.9308057036734</v>
      </c>
      <c r="AN490">
        <v>1.00000004049947</v>
      </c>
    </row>
    <row r="491" spans="1:40" x14ac:dyDescent="0.25">
      <c r="A491" t="str">
        <f>"20190303154106966"</f>
        <v>20190303154106966</v>
      </c>
      <c r="B491" t="str">
        <f>"1551598866959169"</f>
        <v>1551598866959169</v>
      </c>
      <c r="C491" t="s">
        <v>40</v>
      </c>
      <c r="D491">
        <v>6.0924940000000003</v>
      </c>
      <c r="E491">
        <v>0.51753890000000002</v>
      </c>
      <c r="F491" t="s">
        <v>42</v>
      </c>
      <c r="G491">
        <v>-404.6601</v>
      </c>
      <c r="H491">
        <v>0.8513252</v>
      </c>
      <c r="I491">
        <v>367.4357</v>
      </c>
      <c r="J491">
        <v>-405.21530000000001</v>
      </c>
      <c r="K491">
        <v>1.069817</v>
      </c>
      <c r="L491">
        <v>367.48669999999998</v>
      </c>
      <c r="M491">
        <v>0.99997659999999999</v>
      </c>
      <c r="N491">
        <v>-4.6069489999999999E-3</v>
      </c>
      <c r="O491">
        <v>5.0781639999999996E-3</v>
      </c>
      <c r="P491">
        <v>0.99494439999999995</v>
      </c>
      <c r="Q491">
        <v>-9.9548410000000004E-2</v>
      </c>
      <c r="R491">
        <v>-1.3271989999999999E-2</v>
      </c>
      <c r="S491">
        <v>2.932007</v>
      </c>
      <c r="T491">
        <v>-0.80679290000000004</v>
      </c>
      <c r="U491">
        <v>-0.18371580000000001</v>
      </c>
      <c r="V491">
        <v>1.832168E-2</v>
      </c>
      <c r="W491">
        <v>-9.496454E-2</v>
      </c>
      <c r="X491">
        <v>0.99531199999999997</v>
      </c>
      <c r="Y491">
        <v>6.4974009999999999E-2</v>
      </c>
      <c r="Z491">
        <v>-1.0268390000000001E-2</v>
      </c>
      <c r="AA491">
        <v>0.99783409999999995</v>
      </c>
      <c r="AB491">
        <v>24</v>
      </c>
      <c r="AC491">
        <v>0.55520000000001302</v>
      </c>
      <c r="AD491">
        <v>-0.21849179999999899</v>
      </c>
      <c r="AE491">
        <v>-5.0999999999987701E-2</v>
      </c>
      <c r="AF491">
        <v>4.66538732321344E-2</v>
      </c>
      <c r="AG491">
        <v>-0.21849179999999899</v>
      </c>
      <c r="AH491">
        <v>0.48105547982882302</v>
      </c>
      <c r="AI491">
        <v>114.326369953971</v>
      </c>
      <c r="AJ491">
        <v>84.4606463426651</v>
      </c>
      <c r="AK491">
        <v>0.53040515196228899</v>
      </c>
      <c r="AL491">
        <v>95.449279081464596</v>
      </c>
      <c r="AM491">
        <v>88.945419737117902</v>
      </c>
      <c r="AN491">
        <v>0.99999996257971602</v>
      </c>
    </row>
    <row r="492" spans="1:40" x14ac:dyDescent="0.25">
      <c r="A492" t="str">
        <f>"20190303154106989"</f>
        <v>20190303154106989</v>
      </c>
      <c r="B492" t="str">
        <f>"1551598866979665"</f>
        <v>1551598866979665</v>
      </c>
      <c r="C492" t="s">
        <v>40</v>
      </c>
      <c r="D492">
        <v>6.09307</v>
      </c>
      <c r="E492">
        <v>0.51767439999999998</v>
      </c>
      <c r="F492" t="s">
        <v>42</v>
      </c>
      <c r="G492">
        <v>-404.4427</v>
      </c>
      <c r="H492">
        <v>0.85751299999999997</v>
      </c>
      <c r="I492">
        <v>367.43790000000001</v>
      </c>
      <c r="J492">
        <v>-404.96420000000001</v>
      </c>
      <c r="K492">
        <v>1.069825</v>
      </c>
      <c r="L492">
        <v>367.488</v>
      </c>
      <c r="M492">
        <v>0.99997619999999998</v>
      </c>
      <c r="N492">
        <v>-4.6812210000000002E-3</v>
      </c>
      <c r="O492">
        <v>5.0862169999999996E-3</v>
      </c>
      <c r="P492">
        <v>0.99494990000000005</v>
      </c>
      <c r="Q492">
        <v>-9.9470390000000006E-2</v>
      </c>
      <c r="R492">
        <v>-1.3437670000000001E-2</v>
      </c>
      <c r="S492">
        <v>2.932159</v>
      </c>
      <c r="T492">
        <v>-0.80587969999999998</v>
      </c>
      <c r="U492">
        <v>-0.18420410000000001</v>
      </c>
      <c r="V492">
        <v>1.8495549999999999E-2</v>
      </c>
      <c r="W492">
        <v>-9.4812610000000005E-2</v>
      </c>
      <c r="X492">
        <v>0.99532330000000002</v>
      </c>
      <c r="Y492">
        <v>6.5143209999999993E-2</v>
      </c>
      <c r="Z492">
        <v>-1.028419E-2</v>
      </c>
      <c r="AA492">
        <v>0.99782289999999996</v>
      </c>
      <c r="AB492">
        <v>24</v>
      </c>
      <c r="AC492">
        <v>0.52150000000000296</v>
      </c>
      <c r="AD492">
        <v>-0.212312</v>
      </c>
      <c r="AE492">
        <v>-5.0100000000043103E-2</v>
      </c>
      <c r="AF492">
        <v>4.5310527082301898E-2</v>
      </c>
      <c r="AG492">
        <v>-0.212312</v>
      </c>
      <c r="AH492">
        <v>0.44771114674950502</v>
      </c>
      <c r="AI492">
        <v>115.25823869873</v>
      </c>
      <c r="AJ492">
        <v>84.221067287513506</v>
      </c>
      <c r="AK492">
        <v>0.497568789346994</v>
      </c>
      <c r="AL492">
        <v>95.440534506511597</v>
      </c>
      <c r="AM492">
        <v>88.935426304271004</v>
      </c>
      <c r="AN492">
        <v>0.99999999395385197</v>
      </c>
    </row>
    <row r="493" spans="1:40" x14ac:dyDescent="0.25">
      <c r="A493" t="str">
        <f>"20190303154107010"</f>
        <v>20190303154107010</v>
      </c>
      <c r="B493" t="str">
        <f>"1551598866999185"</f>
        <v>1551598866999185</v>
      </c>
      <c r="C493" t="s">
        <v>40</v>
      </c>
      <c r="D493">
        <v>6.0698270000000001</v>
      </c>
      <c r="E493">
        <v>0.51789129999999906</v>
      </c>
      <c r="F493" t="s">
        <v>42</v>
      </c>
      <c r="G493">
        <v>-404.22320000000002</v>
      </c>
      <c r="H493">
        <v>0.86635589999999996</v>
      </c>
      <c r="I493">
        <v>367.4409</v>
      </c>
      <c r="J493">
        <v>-404.73099999999999</v>
      </c>
      <c r="K493">
        <v>1.0698350000000001</v>
      </c>
      <c r="L493">
        <v>367.48919999999998</v>
      </c>
      <c r="M493">
        <v>0.99997590000000003</v>
      </c>
      <c r="N493">
        <v>-4.7474270000000002E-3</v>
      </c>
      <c r="O493">
        <v>5.0938090000000004E-3</v>
      </c>
      <c r="P493">
        <v>0.99492309999999995</v>
      </c>
      <c r="Q493">
        <v>-9.9678699999999995E-2</v>
      </c>
      <c r="R493">
        <v>-1.3874859999999999E-2</v>
      </c>
      <c r="S493">
        <v>2.9321899999999999</v>
      </c>
      <c r="T493">
        <v>-0.80510579999999998</v>
      </c>
      <c r="U493">
        <v>-0.1857605</v>
      </c>
      <c r="V493">
        <v>1.8940100000000001E-2</v>
      </c>
      <c r="W493">
        <v>-9.4955129999999999E-2</v>
      </c>
      <c r="X493">
        <v>0.9953014</v>
      </c>
      <c r="Y493">
        <v>6.5662460000000006E-2</v>
      </c>
      <c r="Z493">
        <v>-1.0349580000000001E-2</v>
      </c>
      <c r="AA493">
        <v>0.99778820000000001</v>
      </c>
      <c r="AB493">
        <v>24</v>
      </c>
      <c r="AC493">
        <v>0.50779999999997405</v>
      </c>
      <c r="AD493">
        <v>-0.2034791</v>
      </c>
      <c r="AE493">
        <v>-4.8299999999983301E-2</v>
      </c>
      <c r="AF493">
        <v>4.39003282848019E-2</v>
      </c>
      <c r="AG493">
        <v>-0.2034791</v>
      </c>
      <c r="AH493">
        <v>0.43787052878721999</v>
      </c>
      <c r="AI493">
        <v>114.815039312064</v>
      </c>
      <c r="AJ493">
        <v>84.2747317973637</v>
      </c>
      <c r="AK493">
        <v>0.48483149953434601</v>
      </c>
      <c r="AL493">
        <v>95.448737055025205</v>
      </c>
      <c r="AM493">
        <v>88.909820852492302</v>
      </c>
      <c r="AN493">
        <v>1.00000004047164</v>
      </c>
    </row>
    <row r="494" spans="1:40" x14ac:dyDescent="0.25">
      <c r="A494" t="str">
        <f>"20190303154107035"</f>
        <v>20190303154107035</v>
      </c>
      <c r="B494" t="str">
        <f>"1551598867029443"</f>
        <v>1551598867029443</v>
      </c>
      <c r="C494" t="s">
        <v>40</v>
      </c>
      <c r="D494">
        <v>6.0868849999999997</v>
      </c>
      <c r="E494">
        <v>0.51819959999999998</v>
      </c>
      <c r="F494" t="s">
        <v>42</v>
      </c>
      <c r="G494">
        <v>-404.00479999999999</v>
      </c>
      <c r="H494">
        <v>0.87054690000000001</v>
      </c>
      <c r="I494">
        <v>367.44200000000001</v>
      </c>
      <c r="J494">
        <v>-404.4742</v>
      </c>
      <c r="K494">
        <v>1.069836</v>
      </c>
      <c r="L494">
        <v>367.4905</v>
      </c>
      <c r="M494">
        <v>0.99997539999999996</v>
      </c>
      <c r="N494">
        <v>-4.8164669999999996E-3</v>
      </c>
      <c r="O494">
        <v>5.1022259999999996E-3</v>
      </c>
      <c r="P494">
        <v>0.99486739999999996</v>
      </c>
      <c r="Q494">
        <v>-0.10013270000000001</v>
      </c>
      <c r="R494">
        <v>-1.4580009999999999E-2</v>
      </c>
      <c r="S494">
        <v>2.9320369999999998</v>
      </c>
      <c r="T494">
        <v>-0.80478490000000003</v>
      </c>
      <c r="U494">
        <v>-0.18887329999999999</v>
      </c>
      <c r="V494">
        <v>1.9653360000000002E-2</v>
      </c>
      <c r="W494">
        <v>-9.5340679999999997E-2</v>
      </c>
      <c r="X494">
        <v>0.99525070000000004</v>
      </c>
      <c r="Y494">
        <v>6.6691639999999996E-2</v>
      </c>
      <c r="Z494">
        <v>-1.049111E-2</v>
      </c>
      <c r="AA494">
        <v>0.99771849999999995</v>
      </c>
      <c r="AB494">
        <v>24</v>
      </c>
      <c r="AC494">
        <v>0.46940000000000698</v>
      </c>
      <c r="AD494">
        <v>-0.199289099999999</v>
      </c>
      <c r="AE494">
        <v>-4.8500000000046797E-2</v>
      </c>
      <c r="AF494">
        <v>4.3191286741219997E-2</v>
      </c>
      <c r="AG494">
        <v>-0.199289099999999</v>
      </c>
      <c r="AH494">
        <v>0.39813899727191099</v>
      </c>
      <c r="AI494">
        <v>116.456404153645</v>
      </c>
      <c r="AJ494">
        <v>83.8085978867976</v>
      </c>
      <c r="AK494">
        <v>0.44732124226092301</v>
      </c>
      <c r="AL494">
        <v>95.470928189001697</v>
      </c>
      <c r="AM494">
        <v>88.868718959698299</v>
      </c>
      <c r="AN494">
        <v>1.0000000278363199</v>
      </c>
    </row>
    <row r="495" spans="1:40" x14ac:dyDescent="0.25">
      <c r="A495" t="str">
        <f>"20190303154107056"</f>
        <v>20190303154107056</v>
      </c>
      <c r="B495" t="str">
        <f>"1551598867049938"</f>
        <v>1551598867049938</v>
      </c>
      <c r="C495" t="s">
        <v>40</v>
      </c>
      <c r="D495">
        <v>6.0750159999999997</v>
      </c>
      <c r="E495">
        <v>0.51837219999999995</v>
      </c>
      <c r="F495" t="s">
        <v>42</v>
      </c>
      <c r="G495">
        <v>-403.78300000000002</v>
      </c>
      <c r="H495">
        <v>0.88014479999999995</v>
      </c>
      <c r="I495">
        <v>367.44490000000002</v>
      </c>
      <c r="J495">
        <v>-404.23289999999997</v>
      </c>
      <c r="K495">
        <v>1.0698430000000001</v>
      </c>
      <c r="L495">
        <v>367.49180000000001</v>
      </c>
      <c r="M495">
        <v>0.99997510000000001</v>
      </c>
      <c r="N495">
        <v>-4.8773200000000001E-3</v>
      </c>
      <c r="O495">
        <v>5.1101239999999997E-3</v>
      </c>
      <c r="P495">
        <v>0.99481509999999995</v>
      </c>
      <c r="Q495">
        <v>-0.1006169</v>
      </c>
      <c r="R495">
        <v>-1.4816569999999999E-2</v>
      </c>
      <c r="S495">
        <v>2.9316409999999999</v>
      </c>
      <c r="T495">
        <v>-0.80453090000000005</v>
      </c>
      <c r="U495">
        <v>-0.19320680000000001</v>
      </c>
      <c r="V495">
        <v>1.9897459999999999E-2</v>
      </c>
      <c r="W495">
        <v>-9.576461E-2</v>
      </c>
      <c r="X495">
        <v>0.99520509999999995</v>
      </c>
      <c r="Y495">
        <v>6.8123470000000005E-2</v>
      </c>
      <c r="Z495">
        <v>-1.0688960000000001E-2</v>
      </c>
      <c r="AA495">
        <v>0.99761960000000005</v>
      </c>
      <c r="AB495">
        <v>24</v>
      </c>
      <c r="AC495">
        <v>0.449899999999956</v>
      </c>
      <c r="AD495">
        <v>-0.18969820000000001</v>
      </c>
      <c r="AE495">
        <v>-4.6899999999993697E-2</v>
      </c>
      <c r="AF495">
        <v>4.18399260088591E-2</v>
      </c>
      <c r="AG495">
        <v>-0.18969820000000001</v>
      </c>
      <c r="AH495">
        <v>0.38240037165853802</v>
      </c>
      <c r="AI495">
        <v>116.249255518811</v>
      </c>
      <c r="AJ495">
        <v>83.755881725525498</v>
      </c>
      <c r="AK495">
        <v>0.42891261433566402</v>
      </c>
      <c r="AL495">
        <v>95.495329500581207</v>
      </c>
      <c r="AM495">
        <v>88.854619401079603</v>
      </c>
      <c r="AN495">
        <v>0.99999998025445602</v>
      </c>
    </row>
    <row r="496" spans="1:40" x14ac:dyDescent="0.25">
      <c r="A496" t="str">
        <f>"20190303154107078"</f>
        <v>20190303154107078</v>
      </c>
      <c r="B496" t="str">
        <f>"1551598867069457"</f>
        <v>1551598867069457</v>
      </c>
      <c r="C496" t="s">
        <v>40</v>
      </c>
      <c r="D496">
        <v>6.0999930000000004</v>
      </c>
      <c r="E496">
        <v>0.5185497</v>
      </c>
      <c r="F496" t="s">
        <v>42</v>
      </c>
      <c r="G496">
        <v>-403.36599999999999</v>
      </c>
      <c r="H496">
        <v>0.83168709999999901</v>
      </c>
      <c r="I496">
        <v>367.43389999999999</v>
      </c>
      <c r="J496">
        <v>-403.99149999999997</v>
      </c>
      <c r="K496">
        <v>1.069847</v>
      </c>
      <c r="L496">
        <v>367.49299999999999</v>
      </c>
      <c r="M496">
        <v>0.99997469999999999</v>
      </c>
      <c r="N496">
        <v>-4.9340909999999998E-3</v>
      </c>
      <c r="O496">
        <v>5.1182090000000003E-3</v>
      </c>
      <c r="P496">
        <v>0.99485310000000005</v>
      </c>
      <c r="Q496">
        <v>-0.10023550000000001</v>
      </c>
      <c r="R496">
        <v>-1.483897E-2</v>
      </c>
      <c r="S496">
        <v>2.9312740000000002</v>
      </c>
      <c r="T496">
        <v>-0.80525590000000002</v>
      </c>
      <c r="U496">
        <v>-0.1953125</v>
      </c>
      <c r="V496">
        <v>1.9928319999999999E-2</v>
      </c>
      <c r="W496">
        <v>-9.5326569999999999E-2</v>
      </c>
      <c r="X496">
        <v>0.99524650000000003</v>
      </c>
      <c r="Y496">
        <v>6.8820950000000006E-2</v>
      </c>
      <c r="Z496">
        <v>-1.079871E-2</v>
      </c>
      <c r="AA496">
        <v>0.99757059999999997</v>
      </c>
      <c r="AB496">
        <v>24</v>
      </c>
      <c r="AC496">
        <v>0.62549999999998795</v>
      </c>
      <c r="AD496">
        <v>-0.23815990000000001</v>
      </c>
      <c r="AE496">
        <v>-5.91000000000576E-2</v>
      </c>
      <c r="AF496">
        <v>5.4473478490483999E-2</v>
      </c>
      <c r="AG496">
        <v>-0.23815990000000001</v>
      </c>
      <c r="AH496">
        <v>0.54664288299938402</v>
      </c>
      <c r="AI496">
        <v>113.438182844526</v>
      </c>
      <c r="AJ496">
        <v>84.309209053746002</v>
      </c>
      <c r="AK496">
        <v>0.59875365498737598</v>
      </c>
      <c r="AL496">
        <v>95.470116504787896</v>
      </c>
      <c r="AM496">
        <v>88.852891151757802</v>
      </c>
      <c r="AN496">
        <v>0.99999994432411698</v>
      </c>
    </row>
    <row r="497" spans="1:40" x14ac:dyDescent="0.25">
      <c r="A497" t="str">
        <f>"20190303154107100"</f>
        <v>20190303154107100</v>
      </c>
      <c r="B497" t="str">
        <f>"1551598867089954"</f>
        <v>1551598867089954</v>
      </c>
      <c r="C497" t="s">
        <v>40</v>
      </c>
      <c r="D497">
        <v>6.0735279999999996</v>
      </c>
      <c r="E497">
        <v>0.51870699999999903</v>
      </c>
      <c r="F497" t="s">
        <v>42</v>
      </c>
      <c r="G497">
        <v>-403.14330000000001</v>
      </c>
      <c r="H497">
        <v>0.8374606</v>
      </c>
      <c r="I497">
        <v>367.43560000000002</v>
      </c>
      <c r="J497">
        <v>-403.74880000000002</v>
      </c>
      <c r="K497">
        <v>1.0698479999999999</v>
      </c>
      <c r="L497">
        <v>367.49419999999998</v>
      </c>
      <c r="M497">
        <v>0.99997449999999999</v>
      </c>
      <c r="N497">
        <v>-4.9885210000000001E-3</v>
      </c>
      <c r="O497">
        <v>5.1263580000000001E-3</v>
      </c>
      <c r="P497">
        <v>0.9948053</v>
      </c>
      <c r="Q497">
        <v>-0.1007453</v>
      </c>
      <c r="R497">
        <v>-1.459484E-2</v>
      </c>
      <c r="S497">
        <v>2.9316409999999999</v>
      </c>
      <c r="T497">
        <v>-0.80321750000000003</v>
      </c>
      <c r="U497">
        <v>-0.1972961</v>
      </c>
      <c r="V497">
        <v>1.9691839999999999E-2</v>
      </c>
      <c r="W497">
        <v>-9.5782339999999994E-2</v>
      </c>
      <c r="X497">
        <v>0.99520750000000002</v>
      </c>
      <c r="Y497">
        <v>6.9481790000000002E-2</v>
      </c>
      <c r="Z497">
        <v>-1.086546E-2</v>
      </c>
      <c r="AA497">
        <v>0.99752399999999997</v>
      </c>
      <c r="AB497">
        <v>25</v>
      </c>
      <c r="AC497">
        <v>0.60550000000000603</v>
      </c>
      <c r="AD497">
        <v>-0.23238739999999899</v>
      </c>
      <c r="AE497">
        <v>-5.8599999999955799E-2</v>
      </c>
      <c r="AF497">
        <v>5.3845535977341402E-2</v>
      </c>
      <c r="AG497">
        <v>-0.23238739999999899</v>
      </c>
      <c r="AH497">
        <v>0.52812215113958005</v>
      </c>
      <c r="AI497">
        <v>113.64171014462499</v>
      </c>
      <c r="AJ497">
        <v>84.178433842300507</v>
      </c>
      <c r="AK497">
        <v>0.57949655041919301</v>
      </c>
      <c r="AL497">
        <v>95.496349955737998</v>
      </c>
      <c r="AM497">
        <v>88.866455372382006</v>
      </c>
      <c r="AN497">
        <v>0.99999999663735495</v>
      </c>
    </row>
    <row r="498" spans="1:40" x14ac:dyDescent="0.25">
      <c r="A498" t="str">
        <f>"20190303154107122"</f>
        <v>20190303154107122</v>
      </c>
      <c r="B498" t="str">
        <f>"1551598867119541"</f>
        <v>1551598867119541</v>
      </c>
      <c r="C498" t="s">
        <v>40</v>
      </c>
      <c r="D498">
        <v>6.0823140000000002</v>
      </c>
      <c r="E498">
        <v>0.51889439999999998</v>
      </c>
      <c r="F498" t="s">
        <v>42</v>
      </c>
      <c r="G498">
        <v>-402.92</v>
      </c>
      <c r="H498">
        <v>0.84249839999999998</v>
      </c>
      <c r="I498">
        <v>367.43830000000003</v>
      </c>
      <c r="J498">
        <v>-403.50170000000003</v>
      </c>
      <c r="K498">
        <v>1.069849</v>
      </c>
      <c r="L498">
        <v>367.49549999999999</v>
      </c>
      <c r="M498">
        <v>0.99997420000000004</v>
      </c>
      <c r="N498">
        <v>-5.0443689999999999E-3</v>
      </c>
      <c r="O498">
        <v>5.1344420000000003E-3</v>
      </c>
      <c r="P498">
        <v>0.99475809999999998</v>
      </c>
      <c r="Q498">
        <v>-0.10124569999999999</v>
      </c>
      <c r="R498">
        <v>-1.434759E-2</v>
      </c>
      <c r="S498">
        <v>2.9313349999999998</v>
      </c>
      <c r="T498">
        <v>-0.80400990000000006</v>
      </c>
      <c r="U498">
        <v>-0.19766239999999999</v>
      </c>
      <c r="V498">
        <v>1.9452420000000002E-2</v>
      </c>
      <c r="W498">
        <v>-9.6227409999999999E-2</v>
      </c>
      <c r="X498">
        <v>0.99516930000000003</v>
      </c>
      <c r="Y498">
        <v>6.960943E-2</v>
      </c>
      <c r="Z498">
        <v>-1.089802E-2</v>
      </c>
      <c r="AA498">
        <v>0.99751480000000003</v>
      </c>
      <c r="AB498">
        <v>25</v>
      </c>
      <c r="AC498">
        <v>0.58170000000001199</v>
      </c>
      <c r="AD498">
        <v>-0.22735060000000001</v>
      </c>
      <c r="AE498">
        <v>-5.7199999999966097E-2</v>
      </c>
      <c r="AF498">
        <v>5.2276926477808898E-2</v>
      </c>
      <c r="AG498">
        <v>-0.22735060000000001</v>
      </c>
      <c r="AH498">
        <v>0.50499683694921105</v>
      </c>
      <c r="AI498">
        <v>114.1232649727</v>
      </c>
      <c r="AJ498">
        <v>84.089831787421005</v>
      </c>
      <c r="AK498">
        <v>0.55627599057575206</v>
      </c>
      <c r="AL498">
        <v>95.521968778064704</v>
      </c>
      <c r="AM498">
        <v>88.880190885961795</v>
      </c>
      <c r="AN498">
        <v>1.0000000233708199</v>
      </c>
    </row>
    <row r="499" spans="1:40" x14ac:dyDescent="0.25">
      <c r="A499" t="str">
        <f>"20190303154107144"</f>
        <v>20190303154107144</v>
      </c>
      <c r="B499" t="str">
        <f>"1551598867140037"</f>
        <v>1551598867140037</v>
      </c>
      <c r="C499" t="s">
        <v>40</v>
      </c>
      <c r="D499">
        <v>6.0922559999999999</v>
      </c>
      <c r="E499">
        <v>0.51901640000000004</v>
      </c>
      <c r="F499" t="s">
        <v>42</v>
      </c>
      <c r="G499">
        <v>-402.6952</v>
      </c>
      <c r="H499">
        <v>0.84841290000000003</v>
      </c>
      <c r="I499">
        <v>367.4409</v>
      </c>
      <c r="J499">
        <v>-403.2586</v>
      </c>
      <c r="K499">
        <v>1.0698510000000001</v>
      </c>
      <c r="L499">
        <v>367.49680000000001</v>
      </c>
      <c r="M499">
        <v>0.99997389999999997</v>
      </c>
      <c r="N499">
        <v>-5.0999720000000004E-3</v>
      </c>
      <c r="O499">
        <v>5.1423459999999999E-3</v>
      </c>
      <c r="P499">
        <v>0.99471560000000003</v>
      </c>
      <c r="Q499">
        <v>-0.1016053</v>
      </c>
      <c r="R499">
        <v>-1.475446E-2</v>
      </c>
      <c r="S499">
        <v>2.9310909999999999</v>
      </c>
      <c r="T499">
        <v>-0.80477240000000005</v>
      </c>
      <c r="U499">
        <v>-0.1972351</v>
      </c>
      <c r="V499">
        <v>1.9866970000000001E-2</v>
      </c>
      <c r="W499">
        <v>-9.6531950000000005E-2</v>
      </c>
      <c r="X499">
        <v>0.99513160000000001</v>
      </c>
      <c r="Y499">
        <v>6.9476750000000004E-2</v>
      </c>
      <c r="Z499">
        <v>-1.0894340000000001E-2</v>
      </c>
      <c r="AA499">
        <v>0.99752410000000002</v>
      </c>
      <c r="AB499">
        <v>25</v>
      </c>
      <c r="AC499">
        <v>0.56340000000000101</v>
      </c>
      <c r="AD499">
        <v>-0.2214381</v>
      </c>
      <c r="AE499">
        <v>-5.59000000000082E-2</v>
      </c>
      <c r="AF499">
        <v>5.0995525815315398E-2</v>
      </c>
      <c r="AG499">
        <v>-0.2214381</v>
      </c>
      <c r="AH499">
        <v>0.48839373316113999</v>
      </c>
      <c r="AI499">
        <v>114.272956931617</v>
      </c>
      <c r="AJ499">
        <v>84.039073867767101</v>
      </c>
      <c r="AK499">
        <v>0.53866855706998995</v>
      </c>
      <c r="AL499">
        <v>95.539499332681103</v>
      </c>
      <c r="AM499">
        <v>88.856289620580498</v>
      </c>
      <c r="AN499">
        <v>1.0000000075931701</v>
      </c>
    </row>
    <row r="500" spans="1:40" x14ac:dyDescent="0.25">
      <c r="A500" t="str">
        <f>"20190303154107168"</f>
        <v>20190303154107168</v>
      </c>
      <c r="B500" t="str">
        <f>"1551598867159558"</f>
        <v>1551598867159558</v>
      </c>
      <c r="C500" t="s">
        <v>40</v>
      </c>
      <c r="D500">
        <v>6.0997890000000003</v>
      </c>
      <c r="E500">
        <v>0.51912219999999998</v>
      </c>
      <c r="F500" t="s">
        <v>42</v>
      </c>
      <c r="G500">
        <v>-402.46969999999999</v>
      </c>
      <c r="H500">
        <v>0.85319020000000001</v>
      </c>
      <c r="I500">
        <v>367.44310000000002</v>
      </c>
      <c r="J500">
        <v>-402.99709999999999</v>
      </c>
      <c r="K500">
        <v>1.0698559999999999</v>
      </c>
      <c r="L500">
        <v>367.49810000000002</v>
      </c>
      <c r="M500">
        <v>0.99997340000000001</v>
      </c>
      <c r="N500">
        <v>-5.1589779999999998E-3</v>
      </c>
      <c r="O500">
        <v>5.1505989999999996E-3</v>
      </c>
      <c r="P500">
        <v>0.99466639999999995</v>
      </c>
      <c r="Q500">
        <v>-0.1020876</v>
      </c>
      <c r="R500">
        <v>-1.472823E-2</v>
      </c>
      <c r="S500">
        <v>2.9307560000000001</v>
      </c>
      <c r="T500">
        <v>-0.80490059999999997</v>
      </c>
      <c r="U500">
        <v>-0.19955439999999999</v>
      </c>
      <c r="V500">
        <v>1.9848970000000001E-2</v>
      </c>
      <c r="W500">
        <v>-9.6955719999999995E-2</v>
      </c>
      <c r="X500">
        <v>0.99509069999999999</v>
      </c>
      <c r="Y500">
        <v>7.0247370000000003E-2</v>
      </c>
      <c r="Z500">
        <v>-1.100669E-2</v>
      </c>
      <c r="AA500">
        <v>0.99746889999999999</v>
      </c>
      <c r="AB500">
        <v>25</v>
      </c>
      <c r="AC500">
        <v>0.52739999999999998</v>
      </c>
      <c r="AD500">
        <v>-0.21666579999999899</v>
      </c>
      <c r="AE500">
        <v>-5.50000000000068E-2</v>
      </c>
      <c r="AF500">
        <v>4.9458348877137397E-2</v>
      </c>
      <c r="AG500">
        <v>-0.21666579999999899</v>
      </c>
      <c r="AH500">
        <v>0.45169618643417703</v>
      </c>
      <c r="AI500">
        <v>115.492819842572</v>
      </c>
      <c r="AJ500">
        <v>83.751307200609403</v>
      </c>
      <c r="AK500">
        <v>0.50340802735203904</v>
      </c>
      <c r="AL500">
        <v>95.563894329726395</v>
      </c>
      <c r="AM500">
        <v>88.857278624047296</v>
      </c>
      <c r="AN500">
        <v>0.99999994723863295</v>
      </c>
    </row>
    <row r="501" spans="1:40" x14ac:dyDescent="0.25">
      <c r="A501" t="str">
        <f>"20190303154107190"</f>
        <v>20190303154107190</v>
      </c>
      <c r="B501" t="str">
        <f>"1551598867180054"</f>
        <v>1551598867180054</v>
      </c>
      <c r="C501" t="s">
        <v>40</v>
      </c>
      <c r="D501">
        <v>6.0475899999999996</v>
      </c>
      <c r="E501">
        <v>0.51942569999999999</v>
      </c>
      <c r="F501" t="s">
        <v>42</v>
      </c>
      <c r="G501">
        <v>-402.24149999999997</v>
      </c>
      <c r="H501">
        <v>0.8621645</v>
      </c>
      <c r="I501">
        <v>367.44589999999999</v>
      </c>
      <c r="J501">
        <v>-402.73419999999999</v>
      </c>
      <c r="K501">
        <v>1.069858</v>
      </c>
      <c r="L501">
        <v>367.49950000000001</v>
      </c>
      <c r="M501">
        <v>0.99997309999999995</v>
      </c>
      <c r="N501">
        <v>-5.216292E-3</v>
      </c>
      <c r="O501">
        <v>5.1590330000000004E-3</v>
      </c>
      <c r="P501">
        <v>0.99467609999999995</v>
      </c>
      <c r="Q501">
        <v>-0.101964899999999</v>
      </c>
      <c r="R501">
        <v>-1.4921129999999999E-2</v>
      </c>
      <c r="S501">
        <v>2.93045</v>
      </c>
      <c r="T501">
        <v>-0.80551430000000002</v>
      </c>
      <c r="U501">
        <v>-0.20101930000000001</v>
      </c>
      <c r="V501">
        <v>2.005026E-2</v>
      </c>
      <c r="W501">
        <v>-9.6775970000000003E-2</v>
      </c>
      <c r="X501">
        <v>0.99510419999999999</v>
      </c>
      <c r="Y501">
        <v>7.0735290000000006E-2</v>
      </c>
      <c r="Z501">
        <v>-1.108665E-2</v>
      </c>
      <c r="AA501">
        <v>0.99743349999999997</v>
      </c>
      <c r="AB501">
        <v>25</v>
      </c>
      <c r="AC501">
        <v>0.49270000000001302</v>
      </c>
      <c r="AD501">
        <v>-0.2076935</v>
      </c>
      <c r="AE501">
        <v>-5.3600000000017099E-2</v>
      </c>
      <c r="AF501">
        <v>4.7754575094098098E-2</v>
      </c>
      <c r="AG501">
        <v>-0.2076935</v>
      </c>
      <c r="AH501">
        <v>0.418857635265377</v>
      </c>
      <c r="AI501">
        <v>116.22787147702</v>
      </c>
      <c r="AJ501">
        <v>83.495709131563601</v>
      </c>
      <c r="AK501">
        <v>0.46995617668541301</v>
      </c>
      <c r="AL501">
        <v>95.553546541971897</v>
      </c>
      <c r="AM501">
        <v>88.845708969990099</v>
      </c>
      <c r="AN501">
        <v>0.99999998507657395</v>
      </c>
    </row>
    <row r="502" spans="1:40" x14ac:dyDescent="0.25">
      <c r="A502" t="str">
        <f>"20190303154107212"</f>
        <v>20190303154107212</v>
      </c>
      <c r="B502" t="str">
        <f>"1551598867209334"</f>
        <v>1551598867209334</v>
      </c>
      <c r="C502" t="s">
        <v>40</v>
      </c>
      <c r="D502">
        <v>6.071726</v>
      </c>
      <c r="E502">
        <v>0.51992950000000004</v>
      </c>
      <c r="F502" t="s">
        <v>42</v>
      </c>
      <c r="G502">
        <v>-402.01220000000001</v>
      </c>
      <c r="H502">
        <v>0.87139460000000002</v>
      </c>
      <c r="I502">
        <v>367.44900000000001</v>
      </c>
      <c r="J502">
        <v>-402.4914</v>
      </c>
      <c r="K502">
        <v>1.0698589999999999</v>
      </c>
      <c r="L502">
        <v>367.50069999999999</v>
      </c>
      <c r="M502">
        <v>0.9999728</v>
      </c>
      <c r="N502">
        <v>-5.269419E-3</v>
      </c>
      <c r="O502">
        <v>5.1669990000000002E-3</v>
      </c>
      <c r="P502">
        <v>0.99468820000000002</v>
      </c>
      <c r="Q502">
        <v>-0.1018476</v>
      </c>
      <c r="R502">
        <v>-1.4924659999999999E-2</v>
      </c>
      <c r="S502">
        <v>2.9304199999999998</v>
      </c>
      <c r="T502">
        <v>-0.80553109999999895</v>
      </c>
      <c r="U502">
        <v>-0.20388790000000001</v>
      </c>
      <c r="V502">
        <v>2.0061659999999999E-2</v>
      </c>
      <c r="W502">
        <v>-9.6605789999999997E-2</v>
      </c>
      <c r="X502">
        <v>0.99512049999999996</v>
      </c>
      <c r="Y502">
        <v>7.1679439999999997E-2</v>
      </c>
      <c r="Z502">
        <v>-1.122019E-2</v>
      </c>
      <c r="AA502">
        <v>0.99736460000000005</v>
      </c>
      <c r="AB502">
        <v>25</v>
      </c>
      <c r="AC502">
        <v>0.47919999999999102</v>
      </c>
      <c r="AD502">
        <v>-0.19846440000000001</v>
      </c>
      <c r="AE502">
        <v>-5.1699999999982503E-2</v>
      </c>
      <c r="AF502">
        <v>4.6321429089206202E-2</v>
      </c>
      <c r="AG502">
        <v>-0.19846440000000001</v>
      </c>
      <c r="AH502">
        <v>0.40949527959826998</v>
      </c>
      <c r="AI502">
        <v>115.714759609558</v>
      </c>
      <c r="AJ502">
        <v>83.546229799971599</v>
      </c>
      <c r="AK502">
        <v>0.457405921336281</v>
      </c>
      <c r="AL502">
        <v>95.543750076895805</v>
      </c>
      <c r="AM502">
        <v>88.845071763918099</v>
      </c>
      <c r="AN502">
        <v>0.99999997919186401</v>
      </c>
    </row>
    <row r="503" spans="1:40" x14ac:dyDescent="0.25">
      <c r="A503" t="str">
        <f>"20190303154107235"</f>
        <v>20190303154107235</v>
      </c>
      <c r="B503" t="str">
        <f>"1551598867229361"</f>
        <v>1551598867229361</v>
      </c>
      <c r="C503" t="s">
        <v>40</v>
      </c>
      <c r="D503">
        <v>6.0827090000000004</v>
      </c>
      <c r="E503">
        <v>0.52032440000000002</v>
      </c>
      <c r="F503" t="s">
        <v>42</v>
      </c>
      <c r="G503">
        <v>-401.78429999999997</v>
      </c>
      <c r="H503">
        <v>0.87539169999999999</v>
      </c>
      <c r="I503">
        <v>367.45010000000002</v>
      </c>
      <c r="J503">
        <v>-402.24419999999998</v>
      </c>
      <c r="K503">
        <v>1.0698620000000001</v>
      </c>
      <c r="L503">
        <v>367.50200000000001</v>
      </c>
      <c r="M503">
        <v>0.99997250000000004</v>
      </c>
      <c r="N503">
        <v>-5.3249940000000004E-3</v>
      </c>
      <c r="O503">
        <v>5.1753720000000001E-3</v>
      </c>
      <c r="P503">
        <v>0.99466849999999996</v>
      </c>
      <c r="Q503">
        <v>-0.10211439999999999</v>
      </c>
      <c r="R503">
        <v>-1.440716E-2</v>
      </c>
      <c r="S503">
        <v>2.9303889999999999</v>
      </c>
      <c r="T503">
        <v>-0.80604619999999905</v>
      </c>
      <c r="U503">
        <v>-0.2080688</v>
      </c>
      <c r="V503">
        <v>1.9552380000000001E-2</v>
      </c>
      <c r="W503">
        <v>-9.6817280000000006E-2</v>
      </c>
      <c r="X503">
        <v>0.9951101</v>
      </c>
      <c r="Y503">
        <v>7.3048699999999994E-2</v>
      </c>
      <c r="Z503">
        <v>-1.1418950000000001E-2</v>
      </c>
      <c r="AA503">
        <v>0.99726300000000001</v>
      </c>
      <c r="AB503">
        <v>25</v>
      </c>
      <c r="AC503">
        <v>0.45990000000000397</v>
      </c>
      <c r="AD503">
        <v>-0.19447030000000001</v>
      </c>
      <c r="AE503">
        <v>-5.1899999999932299E-2</v>
      </c>
      <c r="AF503">
        <v>4.6134197622695598E-2</v>
      </c>
      <c r="AG503">
        <v>-0.19447030000000001</v>
      </c>
      <c r="AH503">
        <v>0.39065290804960101</v>
      </c>
      <c r="AI503">
        <v>116.306546740286</v>
      </c>
      <c r="AJ503">
        <v>83.264843608240696</v>
      </c>
      <c r="AK503">
        <v>0.43881289445501698</v>
      </c>
      <c r="AL503">
        <v>95.555924535603495</v>
      </c>
      <c r="AM503">
        <v>88.8743710646377</v>
      </c>
      <c r="AN503">
        <v>0.999999996196136</v>
      </c>
    </row>
    <row r="504" spans="1:40" x14ac:dyDescent="0.25">
      <c r="A504" t="str">
        <f>"20190303154107258"</f>
        <v>20190303154107258</v>
      </c>
      <c r="B504" t="str">
        <f>"1551598867249856"</f>
        <v>1551598867249856</v>
      </c>
      <c r="C504" t="s">
        <v>40</v>
      </c>
      <c r="D504">
        <v>6.0896049999999997</v>
      </c>
      <c r="E504">
        <v>0.52065600000000001</v>
      </c>
      <c r="F504" t="s">
        <v>42</v>
      </c>
      <c r="G504">
        <v>-401.55509999999998</v>
      </c>
      <c r="H504">
        <v>0.88018099999999999</v>
      </c>
      <c r="I504">
        <v>367.45260000000002</v>
      </c>
      <c r="J504">
        <v>-401.97620000000001</v>
      </c>
      <c r="K504">
        <v>1.0698650000000001</v>
      </c>
      <c r="L504">
        <v>367.50349999999997</v>
      </c>
      <c r="M504">
        <v>0.99997219999999998</v>
      </c>
      <c r="N504">
        <v>-5.3858539999999998E-3</v>
      </c>
      <c r="O504">
        <v>5.1843269999999999E-3</v>
      </c>
      <c r="P504">
        <v>0.99467720000000004</v>
      </c>
      <c r="Q504">
        <v>-0.10213709999999999</v>
      </c>
      <c r="R504">
        <v>-1.362496E-2</v>
      </c>
      <c r="S504">
        <v>2.9302060000000001</v>
      </c>
      <c r="T504">
        <v>-0.8065755</v>
      </c>
      <c r="U504">
        <v>-0.20986940000000001</v>
      </c>
      <c r="V504">
        <v>1.8779089999999998E-2</v>
      </c>
      <c r="W504">
        <v>-9.6779299999999999E-2</v>
      </c>
      <c r="X504">
        <v>0.99512869999999998</v>
      </c>
      <c r="Y504">
        <v>7.3644390000000004E-2</v>
      </c>
      <c r="Z504">
        <v>-1.151289E-2</v>
      </c>
      <c r="AA504">
        <v>0.9972181</v>
      </c>
      <c r="AB504">
        <v>25</v>
      </c>
      <c r="AC504">
        <v>0.42110000000002401</v>
      </c>
      <c r="AD504">
        <v>-0.18968399999999999</v>
      </c>
      <c r="AE504">
        <v>-5.0899999999955897E-2</v>
      </c>
      <c r="AF504">
        <v>4.4236041907510501E-2</v>
      </c>
      <c r="AG504">
        <v>-0.18968399999999999</v>
      </c>
      <c r="AH504">
        <v>0.35069721781803298</v>
      </c>
      <c r="AI504">
        <v>118.21910369641</v>
      </c>
      <c r="AJ504">
        <v>82.810825955623599</v>
      </c>
      <c r="AK504">
        <v>0.40115506458843597</v>
      </c>
      <c r="AL504">
        <v>95.553738107087995</v>
      </c>
      <c r="AM504">
        <v>88.9188987262187</v>
      </c>
      <c r="AN504">
        <v>1.0000000083467</v>
      </c>
    </row>
    <row r="505" spans="1:40" x14ac:dyDescent="0.25">
      <c r="A505" t="str">
        <f>"20190303154107280"</f>
        <v>20190303154107280</v>
      </c>
      <c r="B505" t="str">
        <f>"1551598867269376"</f>
        <v>1551598867269376</v>
      </c>
      <c r="C505" t="s">
        <v>40</v>
      </c>
      <c r="D505">
        <v>6.0698059999999998</v>
      </c>
      <c r="E505">
        <v>0.52090119999999995</v>
      </c>
      <c r="F505" t="s">
        <v>42</v>
      </c>
      <c r="G505">
        <v>-401.11849999999998</v>
      </c>
      <c r="H505">
        <v>0.83373999999999904</v>
      </c>
      <c r="I505">
        <v>367.44170000000003</v>
      </c>
      <c r="J505">
        <v>-401.73059999999998</v>
      </c>
      <c r="K505">
        <v>1.069879</v>
      </c>
      <c r="L505">
        <v>367.50470000000001</v>
      </c>
      <c r="M505">
        <v>0.99997190000000002</v>
      </c>
      <c r="N505">
        <v>-5.4434089999999997E-3</v>
      </c>
      <c r="O505">
        <v>5.1922160000000004E-3</v>
      </c>
      <c r="P505">
        <v>0.99470069999999999</v>
      </c>
      <c r="Q505">
        <v>-0.101919</v>
      </c>
      <c r="R505">
        <v>-1.3548019999999999E-2</v>
      </c>
      <c r="S505">
        <v>2.9303590000000002</v>
      </c>
      <c r="T505">
        <v>-0.80675750000000002</v>
      </c>
      <c r="U505">
        <v>-0.2103882</v>
      </c>
      <c r="V505">
        <v>1.8710029999999999E-2</v>
      </c>
      <c r="W505">
        <v>-9.6503850000000002E-2</v>
      </c>
      <c r="X505">
        <v>0.99515679999999995</v>
      </c>
      <c r="Y505">
        <v>7.3815950000000005E-2</v>
      </c>
      <c r="Z505">
        <v>-1.154231E-2</v>
      </c>
      <c r="AA505">
        <v>0.99720509999999996</v>
      </c>
      <c r="AB505">
        <v>25</v>
      </c>
      <c r="AC505">
        <v>0.61209999999999798</v>
      </c>
      <c r="AD505">
        <v>-0.23613899999999999</v>
      </c>
      <c r="AE505">
        <v>-6.2999999999988093E-2</v>
      </c>
      <c r="AF505">
        <v>5.7682458432377702E-2</v>
      </c>
      <c r="AG505">
        <v>-0.23613899999999999</v>
      </c>
      <c r="AH505">
        <v>0.53323511280739999</v>
      </c>
      <c r="AI505">
        <v>113.76263100358</v>
      </c>
      <c r="AJ505">
        <v>83.826063125306305</v>
      </c>
      <c r="AK505">
        <v>0.58602779700499097</v>
      </c>
      <c r="AL505">
        <v>95.537881492397105</v>
      </c>
      <c r="AM505">
        <v>88.922903939194796</v>
      </c>
      <c r="AN505">
        <v>1.00000005743683</v>
      </c>
    </row>
    <row r="506" spans="1:40" x14ac:dyDescent="0.25">
      <c r="A506" t="str">
        <f>"20190303154107301"</f>
        <v>20190303154107301</v>
      </c>
      <c r="B506" t="str">
        <f>"1551598867289872"</f>
        <v>1551598867289872</v>
      </c>
      <c r="C506" t="s">
        <v>40</v>
      </c>
      <c r="D506">
        <v>6.0835160000000004</v>
      </c>
      <c r="E506">
        <v>0.52115889999999998</v>
      </c>
      <c r="F506" t="s">
        <v>42</v>
      </c>
      <c r="G506">
        <v>-400.88729999999998</v>
      </c>
      <c r="H506">
        <v>0.83766879999999999</v>
      </c>
      <c r="I506">
        <v>367.44319999999999</v>
      </c>
      <c r="J506">
        <v>-401.48059999999998</v>
      </c>
      <c r="K506">
        <v>1.069888</v>
      </c>
      <c r="L506">
        <v>367.50599999999997</v>
      </c>
      <c r="M506">
        <v>0.99997139999999995</v>
      </c>
      <c r="N506">
        <v>-5.5034860000000001E-3</v>
      </c>
      <c r="O506">
        <v>5.2004540000000002E-3</v>
      </c>
      <c r="P506">
        <v>0.99473460000000002</v>
      </c>
      <c r="Q506">
        <v>-0.101576</v>
      </c>
      <c r="R506">
        <v>-1.363785E-2</v>
      </c>
      <c r="S506">
        <v>2.9304199999999998</v>
      </c>
      <c r="T506">
        <v>-0.80689350000000004</v>
      </c>
      <c r="U506">
        <v>-0.21218870000000001</v>
      </c>
      <c r="V506">
        <v>1.8808169999999999E-2</v>
      </c>
      <c r="W506">
        <v>-9.6100889999999994E-2</v>
      </c>
      <c r="X506">
        <v>0.99519389999999996</v>
      </c>
      <c r="Y506">
        <v>7.4408290000000002E-2</v>
      </c>
      <c r="Z506">
        <v>-1.1629459999999999E-2</v>
      </c>
      <c r="AA506">
        <v>0.99716009999999999</v>
      </c>
      <c r="AB506">
        <v>26</v>
      </c>
      <c r="AC506">
        <v>0.59329999999999905</v>
      </c>
      <c r="AD506">
        <v>-0.23221919999999999</v>
      </c>
      <c r="AE506">
        <v>-6.2799999999981496E-2</v>
      </c>
      <c r="AF506">
        <v>5.7216416080281302E-2</v>
      </c>
      <c r="AG506">
        <v>-0.23221919999999999</v>
      </c>
      <c r="AH506">
        <v>0.51495099584363901</v>
      </c>
      <c r="AI506">
        <v>114.141724970204</v>
      </c>
      <c r="AJ506">
        <v>83.659847956655298</v>
      </c>
      <c r="AK506">
        <v>0.56777988977954097</v>
      </c>
      <c r="AL506">
        <v>95.514686018761907</v>
      </c>
      <c r="AM506">
        <v>88.917295926786494</v>
      </c>
      <c r="AN506">
        <v>1.0000000134573701</v>
      </c>
    </row>
    <row r="507" spans="1:40" x14ac:dyDescent="0.25">
      <c r="A507" t="str">
        <f>"20190303154107324"</f>
        <v>20190303154107324</v>
      </c>
      <c r="B507" t="str">
        <f>"1551598867319153"</f>
        <v>1551598867319153</v>
      </c>
      <c r="C507" t="s">
        <v>40</v>
      </c>
      <c r="D507">
        <v>6.0832949999999997</v>
      </c>
      <c r="E507">
        <v>0.52153179999999999</v>
      </c>
      <c r="F507" t="s">
        <v>42</v>
      </c>
      <c r="G507">
        <v>-400.65480000000002</v>
      </c>
      <c r="H507">
        <v>0.84265519999999905</v>
      </c>
      <c r="I507">
        <v>367.44560000000001</v>
      </c>
      <c r="J507">
        <v>-401.22370000000001</v>
      </c>
      <c r="K507">
        <v>1.07002</v>
      </c>
      <c r="L507">
        <v>367.50740000000002</v>
      </c>
      <c r="M507">
        <v>0.99996850000000004</v>
      </c>
      <c r="N507">
        <v>-6.028055E-3</v>
      </c>
      <c r="O507">
        <v>5.2081660000000002E-3</v>
      </c>
      <c r="P507">
        <v>0.99468279999999998</v>
      </c>
      <c r="Q507">
        <v>-0.10209260000000001</v>
      </c>
      <c r="R507">
        <v>-1.356037E-2</v>
      </c>
      <c r="S507">
        <v>2.9306030000000001</v>
      </c>
      <c r="T507">
        <v>-0.80646070000000003</v>
      </c>
      <c r="U507">
        <v>-0.2143555</v>
      </c>
      <c r="V507">
        <v>1.873828E-2</v>
      </c>
      <c r="W507">
        <v>-9.6095669999999994E-2</v>
      </c>
      <c r="X507">
        <v>0.99519570000000002</v>
      </c>
      <c r="Y507">
        <v>7.5116719999999998E-2</v>
      </c>
      <c r="Z507">
        <v>-1.1739589999999999E-2</v>
      </c>
      <c r="AA507">
        <v>0.99710569999999998</v>
      </c>
      <c r="AB507">
        <v>26</v>
      </c>
      <c r="AC507">
        <v>0.56889999999998497</v>
      </c>
      <c r="AD507">
        <v>-0.22736480000000001</v>
      </c>
      <c r="AE507">
        <v>-6.1800000000005101E-2</v>
      </c>
      <c r="AF507">
        <v>5.5932485035104798E-2</v>
      </c>
      <c r="AG507">
        <v>-0.22736480000000001</v>
      </c>
      <c r="AH507">
        <v>0.49105165237368897</v>
      </c>
      <c r="AI507">
        <v>114.70438732222701</v>
      </c>
      <c r="AJ507">
        <v>83.501818042408701</v>
      </c>
      <c r="AK507">
        <v>0.54401738985088799</v>
      </c>
      <c r="AL507">
        <v>95.514385667745699</v>
      </c>
      <c r="AM507">
        <v>88.921320186530295</v>
      </c>
      <c r="AN507">
        <v>0.99999999111429805</v>
      </c>
    </row>
    <row r="508" spans="1:40" x14ac:dyDescent="0.25">
      <c r="A508" t="str">
        <f>"20190303154107336"</f>
        <v>20190303154107336</v>
      </c>
      <c r="B508" t="str">
        <f>"1551598867329888"</f>
        <v>1551598867329888</v>
      </c>
      <c r="C508" t="s">
        <v>40</v>
      </c>
      <c r="D508">
        <v>6.0744680000000004</v>
      </c>
      <c r="E508">
        <v>0.52165680000000003</v>
      </c>
      <c r="F508" t="s">
        <v>42</v>
      </c>
      <c r="G508">
        <v>-400.42500000000001</v>
      </c>
      <c r="H508">
        <v>0.84961249999999999</v>
      </c>
      <c r="I508">
        <v>367.44799999999998</v>
      </c>
      <c r="J508">
        <v>-401.06990000000002</v>
      </c>
      <c r="K508">
        <v>1.070271</v>
      </c>
      <c r="L508">
        <v>367.50819999999999</v>
      </c>
      <c r="M508">
        <v>0.99996260000000003</v>
      </c>
      <c r="N508">
        <v>-6.9012379999999996E-3</v>
      </c>
      <c r="O508">
        <v>5.2124110000000001E-3</v>
      </c>
      <c r="P508">
        <v>0.99463860000000004</v>
      </c>
      <c r="Q508">
        <v>-0.102519899999999</v>
      </c>
      <c r="R508">
        <v>-1.3564069999999999E-2</v>
      </c>
      <c r="S508">
        <v>2.9301149999999998</v>
      </c>
      <c r="T508">
        <v>-0.808589</v>
      </c>
      <c r="U508">
        <v>-0.21710209999999999</v>
      </c>
      <c r="V508">
        <v>1.8746120000000002E-2</v>
      </c>
      <c r="W508">
        <v>-9.5654230000000007E-2</v>
      </c>
      <c r="X508">
        <v>0.99523810000000001</v>
      </c>
      <c r="Y508">
        <v>7.6004329999999995E-2</v>
      </c>
      <c r="Z508">
        <v>-1.192378E-2</v>
      </c>
      <c r="AA508">
        <v>0.99703620000000004</v>
      </c>
      <c r="AB508">
        <v>26</v>
      </c>
      <c r="AC508">
        <v>0.64490000000000602</v>
      </c>
      <c r="AD508">
        <v>-0.22065850000000001</v>
      </c>
      <c r="AE508">
        <v>-6.0199999999952E-2</v>
      </c>
      <c r="AF508">
        <v>5.6950929357115702E-2</v>
      </c>
      <c r="AG508">
        <v>-0.22065850000000001</v>
      </c>
      <c r="AH508">
        <v>0.57754646945460697</v>
      </c>
      <c r="AI508">
        <v>110.817695822174</v>
      </c>
      <c r="AJ508">
        <v>84.368361449336504</v>
      </c>
      <c r="AK508">
        <v>0.62088123369640602</v>
      </c>
      <c r="AL508">
        <v>95.488975849563005</v>
      </c>
      <c r="AM508">
        <v>88.920914942352397</v>
      </c>
      <c r="AN508">
        <v>1.00000001221177</v>
      </c>
    </row>
    <row r="509" spans="1:40" x14ac:dyDescent="0.25">
      <c r="A509" t="str">
        <f>"20190303154107349"</f>
        <v>20190303154107349</v>
      </c>
      <c r="B509" t="str">
        <f>"1551598867339648"</f>
        <v>1551598867339648</v>
      </c>
      <c r="C509" t="s">
        <v>40</v>
      </c>
      <c r="D509">
        <v>6.0932199999999996</v>
      </c>
      <c r="E509">
        <v>0.52176859999999903</v>
      </c>
      <c r="F509" t="s">
        <v>42</v>
      </c>
      <c r="G509">
        <v>-400.20839999999998</v>
      </c>
      <c r="H509">
        <v>0.83207799999999998</v>
      </c>
      <c r="I509">
        <v>367.44369999999998</v>
      </c>
      <c r="J509">
        <v>-400.9273</v>
      </c>
      <c r="K509">
        <v>1.070705</v>
      </c>
      <c r="L509">
        <v>367.50889999999998</v>
      </c>
      <c r="M509">
        <v>0.9999555</v>
      </c>
      <c r="N509">
        <v>-7.8783659999999995E-3</v>
      </c>
      <c r="O509">
        <v>5.2157999999999996E-3</v>
      </c>
      <c r="P509">
        <v>0.99453959999999997</v>
      </c>
      <c r="Q509">
        <v>-0.1034877</v>
      </c>
      <c r="R509">
        <v>-1.3473540000000001E-2</v>
      </c>
      <c r="S509">
        <v>2.9297179999999998</v>
      </c>
      <c r="T509">
        <v>-0.80996299999999999</v>
      </c>
      <c r="U509">
        <v>-0.21856690000000001</v>
      </c>
      <c r="V509">
        <v>1.8658299999999999E-2</v>
      </c>
      <c r="W509">
        <v>-9.5650289999999999E-2</v>
      </c>
      <c r="X509">
        <v>0.99524009999999996</v>
      </c>
      <c r="Y509">
        <v>7.647524E-2</v>
      </c>
      <c r="Z509">
        <v>-1.204378E-2</v>
      </c>
      <c r="AA509">
        <v>0.99699870000000002</v>
      </c>
      <c r="AB509">
        <v>25</v>
      </c>
      <c r="AC509">
        <v>0.71890000000001897</v>
      </c>
      <c r="AD509">
        <v>-0.23862699999999901</v>
      </c>
      <c r="AE509">
        <v>-6.5200000000004296E-2</v>
      </c>
      <c r="AF509">
        <v>6.2156360068210903E-2</v>
      </c>
      <c r="AG509">
        <v>-0.23862699999999901</v>
      </c>
      <c r="AH509">
        <v>0.64776207088656401</v>
      </c>
      <c r="AI509">
        <v>110.138111849287</v>
      </c>
      <c r="AJ509">
        <v>84.518933607356601</v>
      </c>
      <c r="AK509">
        <v>0.69311035103017904</v>
      </c>
      <c r="AL509">
        <v>95.488749223011496</v>
      </c>
      <c r="AM509">
        <v>88.925971105995004</v>
      </c>
      <c r="AN509">
        <v>0.99999998339199103</v>
      </c>
    </row>
    <row r="510" spans="1:40" x14ac:dyDescent="0.25">
      <c r="A510" t="str">
        <f>"20190303154107368"</f>
        <v>20190303154107368</v>
      </c>
      <c r="B510" t="str">
        <f>"1551598867359168"</f>
        <v>1551598867359168</v>
      </c>
      <c r="C510" t="s">
        <v>40</v>
      </c>
      <c r="D510">
        <v>6.0942689999999997</v>
      </c>
      <c r="E510">
        <v>0.52199499999999999</v>
      </c>
      <c r="F510" t="s">
        <v>42</v>
      </c>
      <c r="G510">
        <v>-400.19369999999998</v>
      </c>
      <c r="H510">
        <v>0.86702179999999995</v>
      </c>
      <c r="I510">
        <v>367.45389999999998</v>
      </c>
      <c r="J510">
        <v>-400.71390000000002</v>
      </c>
      <c r="K510">
        <v>1.0713490000000001</v>
      </c>
      <c r="L510">
        <v>367.51010000000002</v>
      </c>
      <c r="M510">
        <v>0.99995069999999997</v>
      </c>
      <c r="N510">
        <v>-8.4692380000000005E-3</v>
      </c>
      <c r="O510">
        <v>5.2214679999999999E-3</v>
      </c>
      <c r="P510">
        <v>0.99454920000000002</v>
      </c>
      <c r="Q510">
        <v>-0.1033932</v>
      </c>
      <c r="R510">
        <v>-1.349297E-2</v>
      </c>
      <c r="S510">
        <v>2.928925</v>
      </c>
      <c r="T510">
        <v>-0.81314469999999905</v>
      </c>
      <c r="U510">
        <v>-0.21881100000000001</v>
      </c>
      <c r="V510">
        <v>1.8683459999999999E-2</v>
      </c>
      <c r="W510">
        <v>-9.4967629999999997E-2</v>
      </c>
      <c r="X510">
        <v>0.995305</v>
      </c>
      <c r="Y510">
        <v>7.654946E-2</v>
      </c>
      <c r="Z510">
        <v>-1.2123419999999999E-2</v>
      </c>
      <c r="AA510">
        <v>0.99699210000000005</v>
      </c>
      <c r="AB510">
        <v>25</v>
      </c>
      <c r="AC510">
        <v>0.52020000000004496</v>
      </c>
      <c r="AD510">
        <v>-0.20432719999999899</v>
      </c>
      <c r="AE510">
        <v>-5.6200000000046602E-2</v>
      </c>
      <c r="AF510">
        <v>5.11197379157909E-2</v>
      </c>
      <c r="AG510">
        <v>-0.20432719999999899</v>
      </c>
      <c r="AH510">
        <v>0.451105504993143</v>
      </c>
      <c r="AI510">
        <v>114.23094298911199</v>
      </c>
      <c r="AJ510">
        <v>83.534764211105596</v>
      </c>
      <c r="AK510">
        <v>0.49785440532302</v>
      </c>
      <c r="AL510">
        <v>95.449456819097193</v>
      </c>
      <c r="AM510">
        <v>88.924593270498704</v>
      </c>
      <c r="AN510">
        <v>0.99999998272519397</v>
      </c>
    </row>
    <row r="511" spans="1:40" x14ac:dyDescent="0.25">
      <c r="A511" t="str">
        <f>"20190303154107381"</f>
        <v>20190303154107381</v>
      </c>
      <c r="B511" t="str">
        <f>"1551598867379664"</f>
        <v>1551598867379664</v>
      </c>
      <c r="C511" t="s">
        <v>40</v>
      </c>
      <c r="D511">
        <v>6.0871000000000004</v>
      </c>
      <c r="E511">
        <v>0.5221789</v>
      </c>
      <c r="F511" t="s">
        <v>42</v>
      </c>
      <c r="G511">
        <v>-399.9701</v>
      </c>
      <c r="H511">
        <v>0.86477359999999903</v>
      </c>
      <c r="I511">
        <v>367.45409999999998</v>
      </c>
      <c r="J511">
        <v>-400.56529999999998</v>
      </c>
      <c r="K511">
        <v>1.0717859999999999</v>
      </c>
      <c r="L511">
        <v>367.51089999999999</v>
      </c>
      <c r="M511">
        <v>0.99995319999999999</v>
      </c>
      <c r="N511">
        <v>-8.1402809999999992E-3</v>
      </c>
      <c r="O511">
        <v>5.2260040000000002E-3</v>
      </c>
      <c r="P511">
        <v>0.99460269999999995</v>
      </c>
      <c r="Q511">
        <v>-0.10287540000000001</v>
      </c>
      <c r="R511">
        <v>-1.349354E-2</v>
      </c>
      <c r="S511">
        <v>2.928925</v>
      </c>
      <c r="T511">
        <v>-0.81349380000000004</v>
      </c>
      <c r="U511">
        <v>-0.22030640000000001</v>
      </c>
      <c r="V511">
        <v>1.8688739999999999E-2</v>
      </c>
      <c r="W511">
        <v>-9.4776860000000004E-2</v>
      </c>
      <c r="X511">
        <v>0.99532310000000002</v>
      </c>
      <c r="Y511">
        <v>7.7041479999999996E-2</v>
      </c>
      <c r="Z511">
        <v>-1.2187160000000001E-2</v>
      </c>
      <c r="AA511">
        <v>0.99695339999999999</v>
      </c>
      <c r="AB511">
        <v>25</v>
      </c>
      <c r="AC511">
        <v>0.59519999999997697</v>
      </c>
      <c r="AD511">
        <v>-0.20701240000000001</v>
      </c>
      <c r="AE511">
        <v>-5.6800000000009697E-2</v>
      </c>
      <c r="AF511">
        <v>5.3496889453726E-2</v>
      </c>
      <c r="AG511">
        <v>-0.20701240000000001</v>
      </c>
      <c r="AH511">
        <v>0.53121541848238496</v>
      </c>
      <c r="AI511">
        <v>111.193033377947</v>
      </c>
      <c r="AJ511">
        <v>84.249326302212097</v>
      </c>
      <c r="AK511">
        <v>0.57263065912366196</v>
      </c>
      <c r="AL511">
        <v>95.438476895777995</v>
      </c>
      <c r="AM511">
        <v>88.924308986092996</v>
      </c>
      <c r="AN511">
        <v>0.99999999779392801</v>
      </c>
    </row>
    <row r="512" spans="1:40" x14ac:dyDescent="0.25">
      <c r="A512" t="str">
        <f>"20190303154107402"</f>
        <v>20190303154107402</v>
      </c>
      <c r="B512" t="str">
        <f>"1551598867389442"</f>
        <v>1551598867389442</v>
      </c>
      <c r="C512" t="s">
        <v>40</v>
      </c>
      <c r="D512">
        <v>6.0652419999999996</v>
      </c>
      <c r="E512">
        <v>0.52227809999999997</v>
      </c>
      <c r="F512" t="s">
        <v>42</v>
      </c>
      <c r="G512">
        <v>-399.75029999999998</v>
      </c>
      <c r="H512">
        <v>0.84574680000000002</v>
      </c>
      <c r="I512">
        <v>367.44900000000001</v>
      </c>
      <c r="J512">
        <v>-400.33640000000003</v>
      </c>
      <c r="K512">
        <v>1.0724830000000001</v>
      </c>
      <c r="L512">
        <v>367.51209999999998</v>
      </c>
      <c r="M512">
        <v>0.99996410000000002</v>
      </c>
      <c r="N512">
        <v>-6.6828290000000004E-3</v>
      </c>
      <c r="O512">
        <v>5.2331809999999999E-3</v>
      </c>
      <c r="P512">
        <v>0.99475170000000002</v>
      </c>
      <c r="Q512">
        <v>-0.10139629999999999</v>
      </c>
      <c r="R512">
        <v>-1.371933E-2</v>
      </c>
      <c r="S512">
        <v>2.92923</v>
      </c>
      <c r="T512">
        <v>-0.81245199999999995</v>
      </c>
      <c r="U512">
        <v>-0.22198490000000001</v>
      </c>
      <c r="V512">
        <v>1.8922339999999999E-2</v>
      </c>
      <c r="W512">
        <v>-9.4747339999999999E-2</v>
      </c>
      <c r="X512">
        <v>0.99532149999999997</v>
      </c>
      <c r="Y512">
        <v>7.7609250000000005E-2</v>
      </c>
      <c r="Z512">
        <v>-1.220219E-2</v>
      </c>
      <c r="AA512">
        <v>0.99690919999999905</v>
      </c>
      <c r="AB512">
        <v>25</v>
      </c>
      <c r="AC512">
        <v>0.58610000000004403</v>
      </c>
      <c r="AD512">
        <v>-0.2267362</v>
      </c>
      <c r="AE512">
        <v>-6.3099999999963005E-2</v>
      </c>
      <c r="AF512">
        <v>5.76390915014586E-2</v>
      </c>
      <c r="AG512">
        <v>-0.2267362</v>
      </c>
      <c r="AH512">
        <v>0.51027092095710003</v>
      </c>
      <c r="AI512">
        <v>113.823222041888</v>
      </c>
      <c r="AJ512">
        <v>83.555311200723494</v>
      </c>
      <c r="AK512">
        <v>0.56134479781499702</v>
      </c>
      <c r="AL512">
        <v>95.436777861893304</v>
      </c>
      <c r="AM512">
        <v>88.910864849195207</v>
      </c>
      <c r="AN512">
        <v>1.0000000008751999</v>
      </c>
    </row>
    <row r="513" spans="1:40" x14ac:dyDescent="0.25">
      <c r="A513" t="str">
        <f>"20190303154107414"</f>
        <v>20190303154107414</v>
      </c>
      <c r="B513" t="str">
        <f>"1551598867409920"</f>
        <v>1551598867409920</v>
      </c>
      <c r="C513" t="s">
        <v>40</v>
      </c>
      <c r="D513">
        <v>6.0850819999999999</v>
      </c>
      <c r="E513">
        <v>0.52245710000000001</v>
      </c>
      <c r="F513" t="s">
        <v>42</v>
      </c>
      <c r="G513">
        <v>-399.51949999999999</v>
      </c>
      <c r="H513">
        <v>0.84719940000000005</v>
      </c>
      <c r="I513">
        <v>367.44929999999999</v>
      </c>
      <c r="J513">
        <v>-400.1816</v>
      </c>
      <c r="K513">
        <v>1.073056</v>
      </c>
      <c r="L513">
        <v>367.51280000000003</v>
      </c>
      <c r="M513">
        <v>0.99997139999999995</v>
      </c>
      <c r="N513">
        <v>-5.4703099999999999E-3</v>
      </c>
      <c r="O513">
        <v>5.2383880000000001E-3</v>
      </c>
      <c r="P513">
        <v>0.99487890000000001</v>
      </c>
      <c r="Q513">
        <v>-0.1001261</v>
      </c>
      <c r="R513">
        <v>-1.383009E-2</v>
      </c>
      <c r="S513">
        <v>2.9303889999999999</v>
      </c>
      <c r="T513">
        <v>-0.80807649999999998</v>
      </c>
      <c r="U513">
        <v>-0.2236938</v>
      </c>
      <c r="V513">
        <v>1.903877E-2</v>
      </c>
      <c r="W513">
        <v>-9.4683299999999998E-2</v>
      </c>
      <c r="X513">
        <v>0.99532540000000003</v>
      </c>
      <c r="Y513">
        <v>7.8187880000000001E-2</v>
      </c>
      <c r="Z513">
        <v>-1.2174610000000001E-2</v>
      </c>
      <c r="AA513">
        <v>0.99686430000000004</v>
      </c>
      <c r="AB513">
        <v>26</v>
      </c>
      <c r="AC513">
        <v>0.66210000000000901</v>
      </c>
      <c r="AD513">
        <v>-0.22585659999999999</v>
      </c>
      <c r="AE513">
        <v>-6.3500000000033197E-2</v>
      </c>
      <c r="AF513">
        <v>6.0044217202376099E-2</v>
      </c>
      <c r="AG513">
        <v>-0.22585659999999999</v>
      </c>
      <c r="AH513">
        <v>0.59334374683450497</v>
      </c>
      <c r="AI513">
        <v>110.74249311225</v>
      </c>
      <c r="AJ513">
        <v>84.221548206095207</v>
      </c>
      <c r="AK513">
        <v>0.63770942731828495</v>
      </c>
      <c r="AL513">
        <v>95.433091928105696</v>
      </c>
      <c r="AM513">
        <v>88.904169274093505</v>
      </c>
      <c r="AN513">
        <v>1.00000002697358</v>
      </c>
    </row>
    <row r="514" spans="1:40" x14ac:dyDescent="0.25">
      <c r="A514" t="str">
        <f>"20190303154107428"</f>
        <v>20190303154107428</v>
      </c>
      <c r="B514" t="str">
        <f>"1551598867419681"</f>
        <v>1551598867419681</v>
      </c>
      <c r="C514" t="s">
        <v>40</v>
      </c>
      <c r="D514">
        <v>6.1035320000000004</v>
      </c>
      <c r="E514">
        <v>0.52253899999999998</v>
      </c>
      <c r="F514" t="s">
        <v>42</v>
      </c>
      <c r="G514">
        <v>-399.50209999999998</v>
      </c>
      <c r="H514">
        <v>0.88642199999999904</v>
      </c>
      <c r="I514">
        <v>367.46030000000002</v>
      </c>
      <c r="J514">
        <v>-400.02699999999999</v>
      </c>
      <c r="K514">
        <v>1.073796</v>
      </c>
      <c r="L514">
        <v>367.5136</v>
      </c>
      <c r="M514">
        <v>0.99997720000000001</v>
      </c>
      <c r="N514">
        <v>-4.2730850000000003E-3</v>
      </c>
      <c r="O514">
        <v>5.2436590000000003E-3</v>
      </c>
      <c r="P514">
        <v>0.99499490000000002</v>
      </c>
      <c r="Q514">
        <v>-9.8937380000000005E-2</v>
      </c>
      <c r="R514">
        <v>-1.4034929999999999E-2</v>
      </c>
      <c r="S514">
        <v>2.9312740000000002</v>
      </c>
      <c r="T514">
        <v>-0.80510099999999996</v>
      </c>
      <c r="U514">
        <v>-0.22521969999999999</v>
      </c>
      <c r="V514">
        <v>1.9249530000000001E-2</v>
      </c>
      <c r="W514">
        <v>-9.4685690000000003E-2</v>
      </c>
      <c r="X514">
        <v>0.99532109999999996</v>
      </c>
      <c r="Y514">
        <v>7.8702649999999999E-2</v>
      </c>
      <c r="Z514">
        <v>-1.2158560000000001E-2</v>
      </c>
      <c r="AA514">
        <v>0.99682400000000004</v>
      </c>
      <c r="AB514">
        <v>26</v>
      </c>
      <c r="AC514">
        <v>0.52490000000000203</v>
      </c>
      <c r="AD514">
        <v>-0.18737400000000001</v>
      </c>
      <c r="AE514">
        <v>-5.3299999999978802E-2</v>
      </c>
      <c r="AF514">
        <v>4.9773830703906799E-2</v>
      </c>
      <c r="AG514">
        <v>-0.18737400000000001</v>
      </c>
      <c r="AH514">
        <v>0.46585596020577502</v>
      </c>
      <c r="AI514">
        <v>111.798355109852</v>
      </c>
      <c r="AJ514">
        <v>83.901436039868301</v>
      </c>
      <c r="AK514">
        <v>0.504587183505671</v>
      </c>
      <c r="AL514">
        <v>95.433229585308297</v>
      </c>
      <c r="AM514">
        <v>88.892036602935903</v>
      </c>
      <c r="AN514">
        <v>1.0000000082006</v>
      </c>
    </row>
    <row r="515" spans="1:40" x14ac:dyDescent="0.25">
      <c r="A515" t="str">
        <f>"20190303154107447"</f>
        <v>20190303154107447</v>
      </c>
      <c r="B515" t="str">
        <f>"1551598867439200"</f>
        <v>1551598867439200</v>
      </c>
      <c r="C515" t="s">
        <v>40</v>
      </c>
      <c r="D515">
        <v>6.0850229999999996</v>
      </c>
      <c r="E515">
        <v>0.52272559999999901</v>
      </c>
      <c r="F515" t="s">
        <v>42</v>
      </c>
      <c r="G515">
        <v>-399.27870000000001</v>
      </c>
      <c r="H515">
        <v>0.86915659999999895</v>
      </c>
      <c r="I515">
        <v>367.4556</v>
      </c>
      <c r="J515">
        <v>-399.8109</v>
      </c>
      <c r="K515">
        <v>1.074943</v>
      </c>
      <c r="L515">
        <v>367.51479999999998</v>
      </c>
      <c r="M515">
        <v>0.9999827</v>
      </c>
      <c r="N515">
        <v>-2.6676740000000001E-3</v>
      </c>
      <c r="O515">
        <v>5.2511900000000002E-3</v>
      </c>
      <c r="P515">
        <v>0.99518410000000002</v>
      </c>
      <c r="Q515">
        <v>-9.7003950000000005E-2</v>
      </c>
      <c r="R515">
        <v>-1.4099530000000001E-2</v>
      </c>
      <c r="S515">
        <v>2.9321899999999999</v>
      </c>
      <c r="T515">
        <v>-0.80180450000000003</v>
      </c>
      <c r="U515">
        <v>-0.2267151</v>
      </c>
      <c r="V515">
        <v>1.932265E-2</v>
      </c>
      <c r="W515">
        <v>-9.4349589999999997E-2</v>
      </c>
      <c r="X515">
        <v>0.9953516</v>
      </c>
      <c r="Y515">
        <v>7.9214930000000003E-2</v>
      </c>
      <c r="Z515">
        <v>-1.212249E-2</v>
      </c>
      <c r="AA515">
        <v>0.99678389999999994</v>
      </c>
      <c r="AB515">
        <v>26</v>
      </c>
      <c r="AC515">
        <v>0.53219999999998802</v>
      </c>
      <c r="AD515">
        <v>-0.20578640000000001</v>
      </c>
      <c r="AE515">
        <v>-5.9199999999975703E-2</v>
      </c>
      <c r="AF515">
        <v>5.40163536141351E-2</v>
      </c>
      <c r="AG515">
        <v>-0.20578640000000001</v>
      </c>
      <c r="AH515">
        <v>0.463437944522264</v>
      </c>
      <c r="AI515">
        <v>113.800224183311</v>
      </c>
      <c r="AJ515">
        <v>83.351845190707394</v>
      </c>
      <c r="AK515">
        <v>0.509941699908674</v>
      </c>
      <c r="AL515">
        <v>95.413885872564805</v>
      </c>
      <c r="AM515">
        <v>88.887863092136897</v>
      </c>
      <c r="AN515">
        <v>1.0000000087793699</v>
      </c>
    </row>
    <row r="516" spans="1:40" x14ac:dyDescent="0.25">
      <c r="A516" t="str">
        <f>"20190303154107470"</f>
        <v>20190303154107470</v>
      </c>
      <c r="B516" t="str">
        <f>"1551598867459696"</f>
        <v>1551598867459696</v>
      </c>
      <c r="C516" t="s">
        <v>40</v>
      </c>
      <c r="D516">
        <v>6.081671</v>
      </c>
      <c r="E516">
        <v>0.52288119999999905</v>
      </c>
      <c r="F516" t="s">
        <v>42</v>
      </c>
      <c r="G516">
        <v>-399.04680000000002</v>
      </c>
      <c r="H516">
        <v>0.8675081</v>
      </c>
      <c r="I516">
        <v>367.45519999999999</v>
      </c>
      <c r="J516">
        <v>-399.54629999999997</v>
      </c>
      <c r="K516">
        <v>1.0765</v>
      </c>
      <c r="L516">
        <v>367.51620000000003</v>
      </c>
      <c r="M516">
        <v>0.99998580000000004</v>
      </c>
      <c r="N516">
        <v>-8.3332079999999997E-4</v>
      </c>
      <c r="O516">
        <v>5.2607569999999996E-3</v>
      </c>
      <c r="P516">
        <v>0.99540419999999996</v>
      </c>
      <c r="Q516">
        <v>-9.4726699999999997E-2</v>
      </c>
      <c r="R516">
        <v>-1.404389E-2</v>
      </c>
      <c r="S516">
        <v>2.9336549999999999</v>
      </c>
      <c r="T516">
        <v>-0.7963924</v>
      </c>
      <c r="U516">
        <v>-0.2280884</v>
      </c>
      <c r="V516">
        <v>1.9277519999999999E-2</v>
      </c>
      <c r="W516">
        <v>-9.3897830000000002E-2</v>
      </c>
      <c r="X516">
        <v>0.99539520000000004</v>
      </c>
      <c r="Y516">
        <v>7.9693920000000001E-2</v>
      </c>
      <c r="Z516">
        <v>-1.204006E-2</v>
      </c>
      <c r="AA516">
        <v>0.99674669999999999</v>
      </c>
      <c r="AB516">
        <v>26</v>
      </c>
      <c r="AC516">
        <v>0.49949999999995498</v>
      </c>
      <c r="AD516">
        <v>-0.20899189999999901</v>
      </c>
      <c r="AE516">
        <v>-6.1000000000035401E-2</v>
      </c>
      <c r="AF516">
        <v>5.4266574740671598E-2</v>
      </c>
      <c r="AG516">
        <v>-0.20899189999999901</v>
      </c>
      <c r="AH516">
        <v>0.42573757943916701</v>
      </c>
      <c r="AI516">
        <v>115.963942944111</v>
      </c>
      <c r="AJ516">
        <v>82.735973552687696</v>
      </c>
      <c r="AK516">
        <v>0.47736250580289202</v>
      </c>
      <c r="AL516">
        <v>95.387886475167093</v>
      </c>
      <c r="AM516">
        <v>88.890508537660494</v>
      </c>
      <c r="AN516">
        <v>1.00000001471954</v>
      </c>
    </row>
    <row r="517" spans="1:40" x14ac:dyDescent="0.25">
      <c r="A517" t="str">
        <f>"20190303154107490"</f>
        <v>20190303154107490</v>
      </c>
      <c r="B517" t="str">
        <f>"1551598867479217"</f>
        <v>1551598867479217</v>
      </c>
      <c r="C517" t="s">
        <v>40</v>
      </c>
      <c r="D517">
        <v>6.0884159999999996</v>
      </c>
      <c r="E517">
        <v>0.52301779999999998</v>
      </c>
      <c r="F517" t="s">
        <v>42</v>
      </c>
      <c r="G517">
        <v>-398.80849999999998</v>
      </c>
      <c r="H517">
        <v>0.87791090000000005</v>
      </c>
      <c r="I517">
        <v>367.45859999999999</v>
      </c>
      <c r="J517">
        <v>-399.29610000000002</v>
      </c>
      <c r="K517">
        <v>1.078036</v>
      </c>
      <c r="L517">
        <v>367.51749999999998</v>
      </c>
      <c r="M517">
        <v>0.99998589999999998</v>
      </c>
      <c r="N517">
        <v>7.5388429999999904E-4</v>
      </c>
      <c r="O517">
        <v>5.2692169999999997E-3</v>
      </c>
      <c r="P517">
        <v>0.99554620000000005</v>
      </c>
      <c r="Q517">
        <v>-9.3264369999999999E-2</v>
      </c>
      <c r="R517">
        <v>-1.3757119999999999E-2</v>
      </c>
      <c r="S517">
        <v>2.935425</v>
      </c>
      <c r="T517">
        <v>-0.79007179999999999</v>
      </c>
      <c r="U517">
        <v>-0.22900390000000001</v>
      </c>
      <c r="V517">
        <v>1.8999950000000002E-2</v>
      </c>
      <c r="W517">
        <v>-9.4015370000000001E-2</v>
      </c>
      <c r="X517">
        <v>0.99538939999999998</v>
      </c>
      <c r="Y517">
        <v>8.0019439999999997E-2</v>
      </c>
      <c r="Z517">
        <v>-1.1929800000000001E-2</v>
      </c>
      <c r="AA517">
        <v>0.99672190000000005</v>
      </c>
      <c r="AB517">
        <v>26</v>
      </c>
      <c r="AC517">
        <v>0.487600000000043</v>
      </c>
      <c r="AD517">
        <v>-0.200125099999999</v>
      </c>
      <c r="AE517">
        <v>-5.8899999999994103E-2</v>
      </c>
      <c r="AF517">
        <v>5.2716049760568602E-2</v>
      </c>
      <c r="AG517">
        <v>-0.200125099999999</v>
      </c>
      <c r="AH517">
        <v>0.41789937666433602</v>
      </c>
      <c r="AI517">
        <v>115.413242955456</v>
      </c>
      <c r="AJ517">
        <v>82.8103804650911</v>
      </c>
      <c r="AK517">
        <v>0.46633563724940602</v>
      </c>
      <c r="AL517">
        <v>95.394651172025604</v>
      </c>
      <c r="AM517">
        <v>88.9064734240783</v>
      </c>
      <c r="AN517">
        <v>0.99999997276429897</v>
      </c>
    </row>
    <row r="518" spans="1:40" x14ac:dyDescent="0.25">
      <c r="A518" t="str">
        <f>"20190303154107505"</f>
        <v>20190303154107505</v>
      </c>
      <c r="B518" t="str">
        <f>"1551598867499713"</f>
        <v>1551598867499713</v>
      </c>
      <c r="C518" t="s">
        <v>40</v>
      </c>
      <c r="D518">
        <v>6.1085450000000003</v>
      </c>
      <c r="E518">
        <v>0.52311649999999998</v>
      </c>
      <c r="F518" t="s">
        <v>42</v>
      </c>
      <c r="G518">
        <v>-398.5711</v>
      </c>
      <c r="H518">
        <v>0.88390389999999996</v>
      </c>
      <c r="I518">
        <v>367.46080000000001</v>
      </c>
      <c r="J518">
        <v>-399.12959999999998</v>
      </c>
      <c r="K518">
        <v>1.079062</v>
      </c>
      <c r="L518">
        <v>367.51839999999999</v>
      </c>
      <c r="M518">
        <v>0.99998469999999995</v>
      </c>
      <c r="N518">
        <v>1.70035E-3</v>
      </c>
      <c r="O518">
        <v>5.2750239999999997E-3</v>
      </c>
      <c r="P518">
        <v>0.99564520000000001</v>
      </c>
      <c r="Q518">
        <v>-9.2188279999999997E-2</v>
      </c>
      <c r="R518">
        <v>-1.385991E-2</v>
      </c>
      <c r="S518">
        <v>2.9365839999999999</v>
      </c>
      <c r="T518">
        <v>-0.78641930000000004</v>
      </c>
      <c r="U518">
        <v>-0.22897339999999999</v>
      </c>
      <c r="V518">
        <v>1.910893E-2</v>
      </c>
      <c r="W518">
        <v>-9.3881500000000007E-2</v>
      </c>
      <c r="X518">
        <v>0.99539999999999995</v>
      </c>
      <c r="Y518">
        <v>8.0022739999999995E-2</v>
      </c>
      <c r="Z518">
        <v>-1.1840170000000001E-2</v>
      </c>
      <c r="AA518">
        <v>0.99672269999999996</v>
      </c>
      <c r="AB518">
        <v>26</v>
      </c>
      <c r="AC518">
        <v>0.55849999999998001</v>
      </c>
      <c r="AD518">
        <v>-0.1951581</v>
      </c>
      <c r="AE518">
        <v>-5.7599999999979397E-2</v>
      </c>
      <c r="AF518">
        <v>5.4018851209697197E-2</v>
      </c>
      <c r="AG518">
        <v>-0.1951581</v>
      </c>
      <c r="AH518">
        <v>0.49801873428931998</v>
      </c>
      <c r="AI518">
        <v>111.285088782568</v>
      </c>
      <c r="AJ518">
        <v>83.809471458930901</v>
      </c>
      <c r="AK518">
        <v>0.53761266724730505</v>
      </c>
      <c r="AL518">
        <v>95.386946635565195</v>
      </c>
      <c r="AM518">
        <v>88.900214414372897</v>
      </c>
      <c r="AN518">
        <v>1.0000000236239901</v>
      </c>
    </row>
    <row r="519" spans="1:40" x14ac:dyDescent="0.25">
      <c r="A519" t="str">
        <f>"20190303154107526"</f>
        <v>20190303154107526</v>
      </c>
      <c r="B519" t="str">
        <f>"1551598867519233"</f>
        <v>1551598867519233</v>
      </c>
      <c r="C519" t="s">
        <v>40</v>
      </c>
      <c r="D519">
        <v>5.9084050000000001</v>
      </c>
      <c r="E519">
        <v>0.56081409999999998</v>
      </c>
      <c r="F519" t="s">
        <v>42</v>
      </c>
      <c r="G519">
        <v>-398.34199999999998</v>
      </c>
      <c r="H519">
        <v>0.86904720000000002</v>
      </c>
      <c r="I519">
        <v>367.45679999999999</v>
      </c>
      <c r="J519">
        <v>-398.88889999999998</v>
      </c>
      <c r="K519">
        <v>1.08053</v>
      </c>
      <c r="L519">
        <v>367.5197</v>
      </c>
      <c r="M519">
        <v>0.99998189999999998</v>
      </c>
      <c r="N519">
        <v>2.9096590000000002E-3</v>
      </c>
      <c r="O519">
        <v>5.2824009999999999E-3</v>
      </c>
      <c r="P519">
        <v>0.99573319999999998</v>
      </c>
      <c r="Q519">
        <v>-9.1191190000000005E-2</v>
      </c>
      <c r="R519">
        <v>-1.413854E-2</v>
      </c>
      <c r="S519">
        <v>2.9374389999999999</v>
      </c>
      <c r="T519">
        <v>-0.78330849999999996</v>
      </c>
      <c r="U519">
        <v>-0.2299805</v>
      </c>
      <c r="V519">
        <v>1.9395720000000002E-2</v>
      </c>
      <c r="W519">
        <v>-9.4088329999999998E-2</v>
      </c>
      <c r="X519">
        <v>0.99537489999999995</v>
      </c>
      <c r="Y519">
        <v>8.0371360000000003E-2</v>
      </c>
      <c r="Z519">
        <v>-1.179526E-2</v>
      </c>
      <c r="AA519">
        <v>0.9966952</v>
      </c>
      <c r="AB519">
        <v>26</v>
      </c>
      <c r="AC519">
        <v>0.54689999999999295</v>
      </c>
      <c r="AD519">
        <v>-0.2114828</v>
      </c>
      <c r="AE519">
        <v>-6.2900000000013195E-2</v>
      </c>
      <c r="AF519">
        <v>5.7327668394367703E-2</v>
      </c>
      <c r="AG519">
        <v>-0.2114828</v>
      </c>
      <c r="AH519">
        <v>0.476271943259226</v>
      </c>
      <c r="AI519">
        <v>113.790560367203</v>
      </c>
      <c r="AJ519">
        <v>83.136469572469906</v>
      </c>
      <c r="AK519">
        <v>0.52425795196190805</v>
      </c>
      <c r="AL519">
        <v>95.3988499390247</v>
      </c>
      <c r="AM519">
        <v>88.8836846531769</v>
      </c>
      <c r="AN519">
        <v>0.99999999967325803</v>
      </c>
    </row>
    <row r="520" spans="1:40" x14ac:dyDescent="0.25">
      <c r="A520" t="str">
        <f>"20190303154107546"</f>
        <v>20190303154107546</v>
      </c>
      <c r="B520" t="str">
        <f>"1551598867539728"</f>
        <v>1551598867539728</v>
      </c>
      <c r="C520" t="s">
        <v>40</v>
      </c>
      <c r="D520">
        <v>5.8729969999999998</v>
      </c>
      <c r="E520">
        <v>0.56361850000000002</v>
      </c>
      <c r="F520" t="s">
        <v>42</v>
      </c>
      <c r="G520">
        <v>-398.09820000000002</v>
      </c>
      <c r="H520">
        <v>0.87802289999999905</v>
      </c>
      <c r="I520">
        <v>367.37630000000001</v>
      </c>
      <c r="J520">
        <v>-398.63850000000002</v>
      </c>
      <c r="K520">
        <v>1.0821210000000001</v>
      </c>
      <c r="L520">
        <v>367.52100000000002</v>
      </c>
      <c r="M520">
        <v>0.99997959999999997</v>
      </c>
      <c r="N520">
        <v>3.575833E-3</v>
      </c>
      <c r="O520">
        <v>5.290739E-3</v>
      </c>
      <c r="P520">
        <v>0.9957608</v>
      </c>
      <c r="Q520">
        <v>-9.0895840000000006E-2</v>
      </c>
      <c r="R520">
        <v>-1.408621E-2</v>
      </c>
      <c r="S520">
        <v>2.936401</v>
      </c>
      <c r="T520">
        <v>-0.752166</v>
      </c>
      <c r="U520">
        <v>-0.53109740000000005</v>
      </c>
      <c r="V520">
        <v>1.9351810000000001E-2</v>
      </c>
      <c r="W520">
        <v>-9.4456120000000005E-2</v>
      </c>
      <c r="X520">
        <v>0.99534089999999997</v>
      </c>
      <c r="Y520">
        <v>0.17754</v>
      </c>
      <c r="Z520">
        <v>-2.322287E-2</v>
      </c>
      <c r="AA520">
        <v>0.98383960000000004</v>
      </c>
      <c r="AB520">
        <v>27</v>
      </c>
      <c r="AC520">
        <v>0.540300000000002</v>
      </c>
      <c r="AD520">
        <v>-0.20409809999999901</v>
      </c>
      <c r="AE520">
        <v>-0.14469999999994301</v>
      </c>
      <c r="AF520">
        <v>0.13021862123019901</v>
      </c>
      <c r="AG520">
        <v>-0.20409809999999901</v>
      </c>
      <c r="AH520">
        <v>0.47613223709914299</v>
      </c>
      <c r="AI520">
        <v>112.46380867945101</v>
      </c>
      <c r="AJ520">
        <v>74.704077469413903</v>
      </c>
      <c r="AK520">
        <v>0.53414869740900695</v>
      </c>
      <c r="AL520">
        <v>95.4200171338058</v>
      </c>
      <c r="AM520">
        <v>88.886173207351703</v>
      </c>
      <c r="AN520">
        <v>0.99999997918426997</v>
      </c>
    </row>
    <row r="521" spans="1:40" x14ac:dyDescent="0.25">
      <c r="A521" t="str">
        <f>"20190303154107560"</f>
        <v>20190303154107560</v>
      </c>
      <c r="B521" t="str">
        <f>"1551598867549488"</f>
        <v>1551598867549488</v>
      </c>
      <c r="C521" t="s">
        <v>40</v>
      </c>
      <c r="D521">
        <v>5.9373250000000004</v>
      </c>
      <c r="E521">
        <v>0.56305519999999998</v>
      </c>
      <c r="F521" t="s">
        <v>42</v>
      </c>
      <c r="G521">
        <v>-397.8605</v>
      </c>
      <c r="H521">
        <v>0.88636199999999998</v>
      </c>
      <c r="I521">
        <v>367.37430000000001</v>
      </c>
      <c r="J521">
        <v>-398.47719999999998</v>
      </c>
      <c r="K521">
        <v>1.083291</v>
      </c>
      <c r="L521">
        <v>367.52190000000002</v>
      </c>
      <c r="M521">
        <v>0.99997979999999997</v>
      </c>
      <c r="N521">
        <v>3.510156E-3</v>
      </c>
      <c r="O521">
        <v>5.2960400000000001E-3</v>
      </c>
      <c r="P521">
        <v>0.99575720000000001</v>
      </c>
      <c r="Q521">
        <v>-9.0878020000000004E-2</v>
      </c>
      <c r="R521">
        <v>-1.445226E-2</v>
      </c>
      <c r="S521">
        <v>2.9375</v>
      </c>
      <c r="T521">
        <v>-0.73912999999999995</v>
      </c>
      <c r="U521">
        <v>-0.55364990000000003</v>
      </c>
      <c r="V521">
        <v>1.9723299999999999E-2</v>
      </c>
      <c r="W521">
        <v>-9.4372940000000002E-2</v>
      </c>
      <c r="X521">
        <v>0.99534149999999999</v>
      </c>
      <c r="Y521">
        <v>0.1847694</v>
      </c>
      <c r="Z521">
        <v>-2.368572E-2</v>
      </c>
      <c r="AA521">
        <v>0.98249640000000005</v>
      </c>
      <c r="AB521">
        <v>27</v>
      </c>
      <c r="AC521">
        <v>0.61669999999998004</v>
      </c>
      <c r="AD521">
        <v>-0.19692899999999899</v>
      </c>
      <c r="AE521">
        <v>-0.147600000000011</v>
      </c>
      <c r="AF521">
        <v>0.137593770416124</v>
      </c>
      <c r="AG521">
        <v>-0.19692899999999899</v>
      </c>
      <c r="AH521">
        <v>0.56173322303667494</v>
      </c>
      <c r="AI521">
        <v>108.804107606903</v>
      </c>
      <c r="AJ521">
        <v>76.236669665015597</v>
      </c>
      <c r="AK521">
        <v>0.61094786239211596</v>
      </c>
      <c r="AL521">
        <v>95.415229876156801</v>
      </c>
      <c r="AM521">
        <v>88.864797686556301</v>
      </c>
      <c r="AN521">
        <v>0.99999998099469101</v>
      </c>
    </row>
    <row r="522" spans="1:40" x14ac:dyDescent="0.25">
      <c r="A522" t="str">
        <f>"20190303154107573"</f>
        <v>20190303154107573</v>
      </c>
      <c r="B522" t="str">
        <f>"1551598867569985"</f>
        <v>1551598867569985</v>
      </c>
      <c r="C522" t="s">
        <v>40</v>
      </c>
      <c r="D522">
        <v>5.9116010000000001</v>
      </c>
      <c r="E522">
        <v>0.562482699999999</v>
      </c>
      <c r="F522" t="s">
        <v>42</v>
      </c>
      <c r="G522">
        <v>-397.63369999999998</v>
      </c>
      <c r="H522">
        <v>0.87116479999999996</v>
      </c>
      <c r="I522">
        <v>367.36349999999999</v>
      </c>
      <c r="J522">
        <v>-398.3218</v>
      </c>
      <c r="K522">
        <v>1.084598</v>
      </c>
      <c r="L522">
        <v>367.52269999999999</v>
      </c>
      <c r="M522">
        <v>0.99998120000000001</v>
      </c>
      <c r="N522">
        <v>3.0720539999999998E-3</v>
      </c>
      <c r="O522">
        <v>5.301348E-3</v>
      </c>
      <c r="P522">
        <v>0.99576949999999997</v>
      </c>
      <c r="Q522">
        <v>-9.0708469999999999E-2</v>
      </c>
      <c r="R522">
        <v>-1.466347E-2</v>
      </c>
      <c r="S522">
        <v>2.9373779999999998</v>
      </c>
      <c r="T522">
        <v>-0.73871960000000003</v>
      </c>
      <c r="U522">
        <v>-0.55032349999999997</v>
      </c>
      <c r="V522">
        <v>1.9939689999999999E-2</v>
      </c>
      <c r="W522">
        <v>-9.3767340000000005E-2</v>
      </c>
      <c r="X522">
        <v>0.99539449999999996</v>
      </c>
      <c r="Y522">
        <v>0.1837326</v>
      </c>
      <c r="Z522">
        <v>-2.359093E-2</v>
      </c>
      <c r="AA522">
        <v>0.98269309999999999</v>
      </c>
      <c r="AB522">
        <v>26</v>
      </c>
      <c r="AC522">
        <v>0.68810000000001903</v>
      </c>
      <c r="AD522">
        <v>-0.21343319999999899</v>
      </c>
      <c r="AE522">
        <v>-0.15919999999999801</v>
      </c>
      <c r="AF522">
        <v>0.14921871056625099</v>
      </c>
      <c r="AG522">
        <v>-0.21343319999999899</v>
      </c>
      <c r="AH522">
        <v>0.62973755946476995</v>
      </c>
      <c r="AI522">
        <v>108.252144320456</v>
      </c>
      <c r="AJ522">
        <v>76.669408922673099</v>
      </c>
      <c r="AK522">
        <v>0.68146118616245399</v>
      </c>
      <c r="AL522">
        <v>95.380376582983203</v>
      </c>
      <c r="AM522">
        <v>88.852407459014799</v>
      </c>
      <c r="AN522">
        <v>1.0000000579591</v>
      </c>
    </row>
    <row r="523" spans="1:40" x14ac:dyDescent="0.25">
      <c r="A523" t="str">
        <f>"20190303154107602"</f>
        <v>20190303154107602</v>
      </c>
      <c r="B523" t="str">
        <f>"1551598867599265"</f>
        <v>1551598867599265</v>
      </c>
      <c r="C523" t="s">
        <v>40</v>
      </c>
      <c r="D523">
        <v>5.908677</v>
      </c>
      <c r="E523">
        <v>0.5621855</v>
      </c>
      <c r="F523" t="s">
        <v>42</v>
      </c>
      <c r="G523">
        <v>-397.61989999999997</v>
      </c>
      <c r="H523">
        <v>0.90806520000000002</v>
      </c>
      <c r="I523">
        <v>367.39179999999999</v>
      </c>
      <c r="J523">
        <v>-397.99250000000001</v>
      </c>
      <c r="K523">
        <v>1.0876969999999999</v>
      </c>
      <c r="L523">
        <v>367.52449999999999</v>
      </c>
      <c r="M523">
        <v>0.99998350000000003</v>
      </c>
      <c r="N523">
        <v>2.1677279999999998E-3</v>
      </c>
      <c r="O523">
        <v>5.3117659999999999E-3</v>
      </c>
      <c r="P523">
        <v>0.99570530000000002</v>
      </c>
      <c r="Q523">
        <v>-9.1331770000000007E-2</v>
      </c>
      <c r="R523">
        <v>-1.513986E-2</v>
      </c>
      <c r="S523">
        <v>2.9373779999999998</v>
      </c>
      <c r="T523">
        <v>-0.73880330000000005</v>
      </c>
      <c r="U523">
        <v>-0.54614259999999903</v>
      </c>
      <c r="V523">
        <v>2.0426400000000001E-2</v>
      </c>
      <c r="W523">
        <v>-9.3490299999999998E-2</v>
      </c>
      <c r="X523">
        <v>0.99541060000000003</v>
      </c>
      <c r="Y523">
        <v>0.18240729999999999</v>
      </c>
      <c r="Z523">
        <v>-2.3518130000000002E-2</v>
      </c>
      <c r="AA523">
        <v>0.98294170000000003</v>
      </c>
      <c r="AB523">
        <v>26</v>
      </c>
      <c r="AC523">
        <v>0.37260000000003302</v>
      </c>
      <c r="AD523">
        <v>-0.17963179999999901</v>
      </c>
      <c r="AE523">
        <v>-0.13269999999999901</v>
      </c>
      <c r="AF523">
        <v>0.111648493629984</v>
      </c>
      <c r="AG523">
        <v>-0.17963179999999901</v>
      </c>
      <c r="AH523">
        <v>0.30829950453313298</v>
      </c>
      <c r="AI523">
        <v>118.715525703868</v>
      </c>
      <c r="AJ523">
        <v>70.092502594597605</v>
      </c>
      <c r="AK523">
        <v>0.37387371423578297</v>
      </c>
      <c r="AL523">
        <v>95.364433807509599</v>
      </c>
      <c r="AM523">
        <v>88.824422527942303</v>
      </c>
      <c r="AN523">
        <v>0.99999996830170401</v>
      </c>
    </row>
    <row r="524" spans="1:40" x14ac:dyDescent="0.25">
      <c r="A524" t="str">
        <f>"20190303154107624"</f>
        <v>20190303154107624</v>
      </c>
      <c r="B524" t="str">
        <f>"1551598867619761"</f>
        <v>1551598867619761</v>
      </c>
      <c r="C524" t="s">
        <v>40</v>
      </c>
      <c r="D524">
        <v>6.1430470000000001</v>
      </c>
      <c r="E524">
        <v>0.5614169</v>
      </c>
      <c r="F524" t="s">
        <v>42</v>
      </c>
      <c r="G524">
        <v>-397.16370000000001</v>
      </c>
      <c r="H524">
        <v>0.87885219999999897</v>
      </c>
      <c r="I524">
        <v>367.37009999999998</v>
      </c>
      <c r="J524">
        <v>-397.72660000000002</v>
      </c>
      <c r="K524">
        <v>1.090333</v>
      </c>
      <c r="L524">
        <v>367.52589999999998</v>
      </c>
      <c r="M524">
        <v>0.9999844</v>
      </c>
      <c r="N524">
        <v>1.7515180000000001E-3</v>
      </c>
      <c r="O524">
        <v>5.3203950000000003E-3</v>
      </c>
      <c r="P524">
        <v>0.9956931</v>
      </c>
      <c r="Q524">
        <v>-9.1513999999999998E-2</v>
      </c>
      <c r="R524">
        <v>-1.4850749999999999E-2</v>
      </c>
      <c r="S524">
        <v>2.9367369999999999</v>
      </c>
      <c r="T524">
        <v>-0.74009799999999903</v>
      </c>
      <c r="U524">
        <v>-0.54556269999999996</v>
      </c>
      <c r="V524">
        <v>2.0145670000000001E-2</v>
      </c>
      <c r="W524">
        <v>-9.3258179999999996E-2</v>
      </c>
      <c r="X524">
        <v>0.99543809999999999</v>
      </c>
      <c r="Y524">
        <v>0.18224029999999999</v>
      </c>
      <c r="Z524">
        <v>-2.3582209999999999E-2</v>
      </c>
      <c r="AA524">
        <v>0.98297120000000004</v>
      </c>
      <c r="AB524">
        <v>26</v>
      </c>
      <c r="AC524">
        <v>0.56290000000001295</v>
      </c>
      <c r="AD524">
        <v>-0.2114808</v>
      </c>
      <c r="AE524">
        <v>-0.15579999999999899</v>
      </c>
      <c r="AF524">
        <v>0.14038708783925399</v>
      </c>
      <c r="AG524">
        <v>-0.2114808</v>
      </c>
      <c r="AH524">
        <v>0.49691471242268498</v>
      </c>
      <c r="AI524">
        <v>112.27188870549899</v>
      </c>
      <c r="AJ524">
        <v>74.224087019004003</v>
      </c>
      <c r="AK524">
        <v>0.55799363313818096</v>
      </c>
      <c r="AL524">
        <v>95.351075923199105</v>
      </c>
      <c r="AM524">
        <v>88.840606644408794</v>
      </c>
      <c r="AN524">
        <v>0.99999997354413495</v>
      </c>
    </row>
    <row r="525" spans="1:40" x14ac:dyDescent="0.25">
      <c r="A525" t="str">
        <f>"20190303154107649"</f>
        <v>20190303154107649</v>
      </c>
      <c r="B525" t="str">
        <f>"1551598867639280"</f>
        <v>1551598867639280</v>
      </c>
      <c r="C525" t="s">
        <v>40</v>
      </c>
      <c r="D525">
        <v>5.9176849999999996</v>
      </c>
      <c r="E525">
        <v>0.56159829999999999</v>
      </c>
      <c r="F525" t="s">
        <v>42</v>
      </c>
      <c r="G525">
        <v>-396.92500000000001</v>
      </c>
      <c r="H525">
        <v>0.88697150000000002</v>
      </c>
      <c r="I525">
        <v>367.37869999999998</v>
      </c>
      <c r="J525">
        <v>-397.44889999999998</v>
      </c>
      <c r="K525">
        <v>1.093242</v>
      </c>
      <c r="L525">
        <v>367.5274</v>
      </c>
      <c r="M525">
        <v>0.99998520000000002</v>
      </c>
      <c r="N525">
        <v>1.137122E-3</v>
      </c>
      <c r="O525">
        <v>5.3297149999999996E-3</v>
      </c>
      <c r="P525">
        <v>0.99566659999999996</v>
      </c>
      <c r="Q525">
        <v>-9.1881790000000005E-2</v>
      </c>
      <c r="R525">
        <v>-1.434827E-2</v>
      </c>
      <c r="S525">
        <v>2.936493</v>
      </c>
      <c r="T525">
        <v>-0.74501930000000005</v>
      </c>
      <c r="U525">
        <v>-0.53869630000000002</v>
      </c>
      <c r="V525">
        <v>1.9652409999999999E-2</v>
      </c>
      <c r="W525">
        <v>-9.3014310000000003E-2</v>
      </c>
      <c r="X525">
        <v>0.99547079999999999</v>
      </c>
      <c r="Y525">
        <v>0.18001679999999901</v>
      </c>
      <c r="Z525">
        <v>-2.3524260000000002E-2</v>
      </c>
      <c r="AA525">
        <v>0.98338219999999998</v>
      </c>
      <c r="AB525">
        <v>26</v>
      </c>
      <c r="AC525">
        <v>0.52389999999996895</v>
      </c>
      <c r="AD525">
        <v>-0.2062705</v>
      </c>
      <c r="AE525">
        <v>-0.14870000000001901</v>
      </c>
      <c r="AF525">
        <v>0.13248407914667101</v>
      </c>
      <c r="AG525">
        <v>-0.2062705</v>
      </c>
      <c r="AH525">
        <v>0.45747156579477899</v>
      </c>
      <c r="AI525">
        <v>113.41726908285101</v>
      </c>
      <c r="AJ525">
        <v>73.848947401216904</v>
      </c>
      <c r="AK525">
        <v>0.51901809593531401</v>
      </c>
      <c r="AL525">
        <v>95.337042079526498</v>
      </c>
      <c r="AM525">
        <v>88.869023679890802</v>
      </c>
      <c r="AN525">
        <v>0.99999999636811199</v>
      </c>
    </row>
    <row r="526" spans="1:40" x14ac:dyDescent="0.25">
      <c r="A526" t="str">
        <f>"20190303154107671"</f>
        <v>20190303154107671</v>
      </c>
      <c r="B526" t="str">
        <f>"1551598867659776"</f>
        <v>1551598867659776</v>
      </c>
      <c r="C526" t="s">
        <v>40</v>
      </c>
      <c r="D526">
        <v>5.9010339999999903</v>
      </c>
      <c r="E526">
        <v>0.56111599999999995</v>
      </c>
      <c r="F526" t="s">
        <v>42</v>
      </c>
      <c r="G526">
        <v>-396.68419999999998</v>
      </c>
      <c r="H526">
        <v>0.89934609999999904</v>
      </c>
      <c r="I526">
        <v>367.38670000000002</v>
      </c>
      <c r="J526">
        <v>-397.18099999999998</v>
      </c>
      <c r="K526">
        <v>1.0961669999999999</v>
      </c>
      <c r="L526">
        <v>367.52879999999999</v>
      </c>
      <c r="M526">
        <v>0.99998580000000004</v>
      </c>
      <c r="N526">
        <v>1.2993170000000001E-4</v>
      </c>
      <c r="O526">
        <v>5.3386060000000001E-3</v>
      </c>
      <c r="P526">
        <v>0.99562010000000001</v>
      </c>
      <c r="Q526">
        <v>-9.2487070000000005E-2</v>
      </c>
      <c r="R526">
        <v>-1.366704E-2</v>
      </c>
      <c r="S526">
        <v>2.9365839999999999</v>
      </c>
      <c r="T526">
        <v>-0.74476540000000002</v>
      </c>
      <c r="U526">
        <v>-0.53836059999999997</v>
      </c>
      <c r="V526">
        <v>1.897979E-2</v>
      </c>
      <c r="W526">
        <v>-9.2616900000000002E-2</v>
      </c>
      <c r="X526">
        <v>0.99552090000000004</v>
      </c>
      <c r="Y526">
        <v>0.1798969</v>
      </c>
      <c r="Z526">
        <v>-2.359087E-2</v>
      </c>
      <c r="AA526">
        <v>0.98340260000000002</v>
      </c>
      <c r="AB526">
        <v>26</v>
      </c>
      <c r="AC526">
        <v>0.49680000000000701</v>
      </c>
      <c r="AD526">
        <v>-0.19682089999999999</v>
      </c>
      <c r="AE526">
        <v>-0.14209999999997</v>
      </c>
      <c r="AF526">
        <v>0.126409839461814</v>
      </c>
      <c r="AG526">
        <v>-0.19682089999999999</v>
      </c>
      <c r="AH526">
        <v>0.43318502670359499</v>
      </c>
      <c r="AI526">
        <v>113.565187987359</v>
      </c>
      <c r="AJ526">
        <v>73.731969027122801</v>
      </c>
      <c r="AK526">
        <v>0.49230801491522203</v>
      </c>
      <c r="AL526">
        <v>95.314173467663906</v>
      </c>
      <c r="AM526">
        <v>88.907777692632294</v>
      </c>
      <c r="AN526">
        <v>0.99999999246543203</v>
      </c>
    </row>
    <row r="527" spans="1:40" x14ac:dyDescent="0.25">
      <c r="A527" t="str">
        <f>"20190303154107691"</f>
        <v>20190303154107691</v>
      </c>
      <c r="B527" t="str">
        <f>"1551598867690033"</f>
        <v>1551598867690033</v>
      </c>
      <c r="C527" t="s">
        <v>40</v>
      </c>
      <c r="D527">
        <v>5.9137120000000003</v>
      </c>
      <c r="E527">
        <v>0.56134169999999906</v>
      </c>
      <c r="F527" t="s">
        <v>42</v>
      </c>
      <c r="G527">
        <v>-396.44529999999997</v>
      </c>
      <c r="H527">
        <v>0.90853130000000004</v>
      </c>
      <c r="I527">
        <v>367.39530000000002</v>
      </c>
      <c r="J527">
        <v>-396.92989999999998</v>
      </c>
      <c r="K527">
        <v>1.0989139999999999</v>
      </c>
      <c r="L527">
        <v>367.53019999999998</v>
      </c>
      <c r="M527">
        <v>0.99998520000000002</v>
      </c>
      <c r="N527">
        <v>-1.097148E-3</v>
      </c>
      <c r="O527">
        <v>5.3465780000000003E-3</v>
      </c>
      <c r="P527">
        <v>0.99548950000000003</v>
      </c>
      <c r="Q527">
        <v>-9.3983609999999995E-2</v>
      </c>
      <c r="R527">
        <v>-1.2957450000000001E-2</v>
      </c>
      <c r="S527">
        <v>2.9363100000000002</v>
      </c>
      <c r="T527">
        <v>-0.74885749999999995</v>
      </c>
      <c r="U527">
        <v>-0.53286739999999999</v>
      </c>
      <c r="V527">
        <v>1.827728E-2</v>
      </c>
      <c r="W527">
        <v>-9.2891909999999994E-2</v>
      </c>
      <c r="X527">
        <v>0.99550839999999996</v>
      </c>
      <c r="Y527">
        <v>0.17810419999999999</v>
      </c>
      <c r="Z527">
        <v>-2.3606800000000001E-2</v>
      </c>
      <c r="AA527">
        <v>0.98372839999999995</v>
      </c>
      <c r="AB527">
        <v>26</v>
      </c>
      <c r="AC527">
        <v>0.48459999999999998</v>
      </c>
      <c r="AD527">
        <v>-0.19038269999999899</v>
      </c>
      <c r="AE527">
        <v>-0.134899999999959</v>
      </c>
      <c r="AF527">
        <v>0.12026227009556099</v>
      </c>
      <c r="AG527">
        <v>-0.19038269999999899</v>
      </c>
      <c r="AH527">
        <v>0.42324486293588798</v>
      </c>
      <c r="AI527">
        <v>113.397595486383</v>
      </c>
      <c r="AJ527">
        <v>74.1378463931933</v>
      </c>
      <c r="AK527">
        <v>0.47942131791300902</v>
      </c>
      <c r="AL527">
        <v>95.329998721106506</v>
      </c>
      <c r="AM527">
        <v>88.948182291516204</v>
      </c>
      <c r="AN527">
        <v>0.99999997018910203</v>
      </c>
    </row>
    <row r="528" spans="1:40" x14ac:dyDescent="0.25">
      <c r="A528" t="str">
        <f>"20190303154107714"</f>
        <v>20190303154107714</v>
      </c>
      <c r="B528" t="str">
        <f>"1551598867709552"</f>
        <v>1551598867709552</v>
      </c>
      <c r="C528" t="s">
        <v>40</v>
      </c>
      <c r="D528">
        <v>5.9018930000000003</v>
      </c>
      <c r="E528">
        <v>0.56150540000000004</v>
      </c>
      <c r="F528" t="s">
        <v>42</v>
      </c>
      <c r="G528">
        <v>-396.20819999999998</v>
      </c>
      <c r="H528">
        <v>0.91399220000000003</v>
      </c>
      <c r="I528">
        <v>367.39890000000003</v>
      </c>
      <c r="J528">
        <v>-396.67059999999998</v>
      </c>
      <c r="K528">
        <v>1.101612</v>
      </c>
      <c r="L528">
        <v>367.53160000000003</v>
      </c>
      <c r="M528">
        <v>0.9999827</v>
      </c>
      <c r="N528">
        <v>-2.439784E-3</v>
      </c>
      <c r="O528">
        <v>5.3544269999999897E-3</v>
      </c>
      <c r="P528">
        <v>0.99535439999999997</v>
      </c>
      <c r="Q528">
        <v>-9.5447569999999995E-2</v>
      </c>
      <c r="R528">
        <v>-1.262836E-2</v>
      </c>
      <c r="S528">
        <v>2.9356689999999999</v>
      </c>
      <c r="T528">
        <v>-0.75221879999999997</v>
      </c>
      <c r="U528">
        <v>-0.53262330000000002</v>
      </c>
      <c r="V528">
        <v>1.7955459999999999E-2</v>
      </c>
      <c r="W528">
        <v>-9.3019489999999996E-2</v>
      </c>
      <c r="X528">
        <v>0.99550240000000001</v>
      </c>
      <c r="Y528">
        <v>0.1779916</v>
      </c>
      <c r="Z528">
        <v>-2.3817319999999999E-2</v>
      </c>
      <c r="AA528">
        <v>0.9837437</v>
      </c>
      <c r="AB528">
        <v>26</v>
      </c>
      <c r="AC528">
        <v>0.46240000000000198</v>
      </c>
      <c r="AD528">
        <v>-0.1876198</v>
      </c>
      <c r="AE528">
        <v>-0.13269999999999901</v>
      </c>
      <c r="AF528">
        <v>0.117327582862031</v>
      </c>
      <c r="AG528">
        <v>-0.1876198</v>
      </c>
      <c r="AH528">
        <v>0.400728945349073</v>
      </c>
      <c r="AI528">
        <v>114.195959816601</v>
      </c>
      <c r="AJ528">
        <v>73.680739934117796</v>
      </c>
      <c r="AK528">
        <v>0.45776701354823202</v>
      </c>
      <c r="AL528">
        <v>95.337340004130894</v>
      </c>
      <c r="AM528">
        <v>88.966692054648107</v>
      </c>
      <c r="AN528">
        <v>1.00000002623471</v>
      </c>
    </row>
    <row r="529" spans="1:40" x14ac:dyDescent="0.25">
      <c r="A529" t="str">
        <f>"20190303154107736"</f>
        <v>20190303154107736</v>
      </c>
      <c r="B529" t="str">
        <f>"1551598867730049"</f>
        <v>1551598867730049</v>
      </c>
      <c r="C529" t="s">
        <v>40</v>
      </c>
      <c r="D529">
        <v>5.9054679999999999</v>
      </c>
      <c r="E529">
        <v>0.56170880000000001</v>
      </c>
      <c r="F529" t="s">
        <v>42</v>
      </c>
      <c r="G529">
        <v>-395.97050000000002</v>
      </c>
      <c r="H529">
        <v>0.92130210000000001</v>
      </c>
      <c r="I529">
        <v>367.40429999999998</v>
      </c>
      <c r="J529">
        <v>-396.41019999999997</v>
      </c>
      <c r="K529">
        <v>1.104112</v>
      </c>
      <c r="L529">
        <v>367.53289999999998</v>
      </c>
      <c r="M529">
        <v>0.9999787</v>
      </c>
      <c r="N529">
        <v>-3.7300240000000002E-3</v>
      </c>
      <c r="O529">
        <v>5.3621270000000004E-3</v>
      </c>
      <c r="P529">
        <v>0.99521150000000003</v>
      </c>
      <c r="Q529">
        <v>-9.6876379999999998E-2</v>
      </c>
      <c r="R529">
        <v>-1.2998869999999999E-2</v>
      </c>
      <c r="S529">
        <v>2.9347530000000002</v>
      </c>
      <c r="T529">
        <v>-0.75586750000000003</v>
      </c>
      <c r="U529">
        <v>-0.53305049999999998</v>
      </c>
      <c r="V529">
        <v>1.833301E-2</v>
      </c>
      <c r="W529">
        <v>-9.3164330000000004E-2</v>
      </c>
      <c r="X529">
        <v>0.99548199999999998</v>
      </c>
      <c r="Y529">
        <v>0.17810129999999999</v>
      </c>
      <c r="Z529">
        <v>-2.4061860000000001E-2</v>
      </c>
      <c r="AA529">
        <v>0.98371790000000003</v>
      </c>
      <c r="AB529">
        <v>26</v>
      </c>
      <c r="AC529">
        <v>0.43969999999995901</v>
      </c>
      <c r="AD529">
        <v>-0.1828099</v>
      </c>
      <c r="AE529">
        <v>-0.12860000000000499</v>
      </c>
      <c r="AF529">
        <v>0.112967436139968</v>
      </c>
      <c r="AG529">
        <v>-0.1828099</v>
      </c>
      <c r="AH529">
        <v>0.37870130411720698</v>
      </c>
      <c r="AI529">
        <v>114.824581984052</v>
      </c>
      <c r="AJ529">
        <v>73.390041610310107</v>
      </c>
      <c r="AK529">
        <v>0.435425974082991</v>
      </c>
      <c r="AL529">
        <v>95.345674780789906</v>
      </c>
      <c r="AM529">
        <v>88.944947902310801</v>
      </c>
      <c r="AN529">
        <v>1.000000051982</v>
      </c>
    </row>
    <row r="530" spans="1:40" x14ac:dyDescent="0.25">
      <c r="A530" t="str">
        <f>"20190303154107759"</f>
        <v>20190303154107759</v>
      </c>
      <c r="B530" t="str">
        <f>"1551598867749568"</f>
        <v>1551598867749568</v>
      </c>
      <c r="C530" t="s">
        <v>40</v>
      </c>
      <c r="D530">
        <v>5.8389179999999996</v>
      </c>
      <c r="E530">
        <v>0.56193800000000005</v>
      </c>
      <c r="F530" t="s">
        <v>42</v>
      </c>
      <c r="G530">
        <v>-395.5204</v>
      </c>
      <c r="H530">
        <v>0.87380619999999998</v>
      </c>
      <c r="I530">
        <v>367.37049999999999</v>
      </c>
      <c r="J530">
        <v>-396.13929999999999</v>
      </c>
      <c r="K530">
        <v>1.1064499999999999</v>
      </c>
      <c r="L530">
        <v>367.53440000000001</v>
      </c>
      <c r="M530">
        <v>0.99997340000000001</v>
      </c>
      <c r="N530">
        <v>-4.9659480000000004E-3</v>
      </c>
      <c r="O530">
        <v>5.369843E-3</v>
      </c>
      <c r="P530">
        <v>0.99507000000000001</v>
      </c>
      <c r="Q530">
        <v>-9.824608E-2</v>
      </c>
      <c r="R530">
        <v>-1.355584E-2</v>
      </c>
      <c r="S530">
        <v>2.9335330000000002</v>
      </c>
      <c r="T530">
        <v>-0.75928499999999999</v>
      </c>
      <c r="U530">
        <v>-0.53558349999999999</v>
      </c>
      <c r="V530">
        <v>1.889687E-2</v>
      </c>
      <c r="W530">
        <v>-9.3304300000000007E-2</v>
      </c>
      <c r="X530">
        <v>0.99545830000000002</v>
      </c>
      <c r="Y530">
        <v>0.178894</v>
      </c>
      <c r="Z530">
        <v>-2.4383999999999999E-2</v>
      </c>
      <c r="AA530">
        <v>0.98356619999999995</v>
      </c>
      <c r="AB530">
        <v>26</v>
      </c>
      <c r="AC530">
        <v>0.61889999999999601</v>
      </c>
      <c r="AD530">
        <v>-0.23264380000000001</v>
      </c>
      <c r="AE530">
        <v>-0.16390000000001201</v>
      </c>
      <c r="AF530">
        <v>0.14771661266504199</v>
      </c>
      <c r="AG530">
        <v>-0.23264380000000001</v>
      </c>
      <c r="AH530">
        <v>0.54592691089344303</v>
      </c>
      <c r="AI530">
        <v>112.35993027044501</v>
      </c>
      <c r="AJ530">
        <v>74.859484268736395</v>
      </c>
      <c r="AK530">
        <v>0.61153865566563403</v>
      </c>
      <c r="AL530">
        <v>95.353729804886797</v>
      </c>
      <c r="AM530">
        <v>88.912479939363905</v>
      </c>
      <c r="AN530">
        <v>1.0000000055665801</v>
      </c>
    </row>
    <row r="531" spans="1:40" x14ac:dyDescent="0.25">
      <c r="A531" t="str">
        <f>"20190303154107780"</f>
        <v>20190303154107780</v>
      </c>
      <c r="B531" t="str">
        <f>"1551598867770064"</f>
        <v>1551598867770064</v>
      </c>
      <c r="C531" t="s">
        <v>40</v>
      </c>
      <c r="D531">
        <v>5.9066679999999998</v>
      </c>
      <c r="E531">
        <v>0.56216489999999997</v>
      </c>
      <c r="F531" t="s">
        <v>42</v>
      </c>
      <c r="G531">
        <v>-395.28300000000002</v>
      </c>
      <c r="H531">
        <v>0.88396350000000001</v>
      </c>
      <c r="I531">
        <v>367.37670000000003</v>
      </c>
      <c r="J531">
        <v>-395.88909999999998</v>
      </c>
      <c r="K531">
        <v>1.1083829999999999</v>
      </c>
      <c r="L531">
        <v>367.53570000000002</v>
      </c>
      <c r="M531">
        <v>0.99996750000000001</v>
      </c>
      <c r="N531">
        <v>-6.0227739999999998E-3</v>
      </c>
      <c r="O531">
        <v>5.3768660000000001E-3</v>
      </c>
      <c r="P531">
        <v>0.99493109999999996</v>
      </c>
      <c r="Q531">
        <v>-9.9572099999999997E-2</v>
      </c>
      <c r="R531">
        <v>-1.4058040000000001E-2</v>
      </c>
      <c r="S531">
        <v>2.9322810000000001</v>
      </c>
      <c r="T531">
        <v>-0.76190469999999999</v>
      </c>
      <c r="U531">
        <v>-0.53872679999999995</v>
      </c>
      <c r="V531">
        <v>1.9405390000000002E-2</v>
      </c>
      <c r="W531">
        <v>-9.3579049999999997E-2</v>
      </c>
      <c r="X531">
        <v>0.99542269999999999</v>
      </c>
      <c r="Y531">
        <v>0.17989449999999901</v>
      </c>
      <c r="Z531">
        <v>-2.469476E-2</v>
      </c>
      <c r="AA531">
        <v>0.98337589999999997</v>
      </c>
      <c r="AB531">
        <v>26</v>
      </c>
      <c r="AC531">
        <v>0.606099999999969</v>
      </c>
      <c r="AD531">
        <v>-0.22441949999999899</v>
      </c>
      <c r="AE531">
        <v>-0.15899999999999101</v>
      </c>
      <c r="AF531">
        <v>0.143810018050431</v>
      </c>
      <c r="AG531">
        <v>-0.22441949999999899</v>
      </c>
      <c r="AH531">
        <v>0.53642810907814698</v>
      </c>
      <c r="AI531">
        <v>112.003125033044</v>
      </c>
      <c r="AJ531">
        <v>74.992572039009701</v>
      </c>
      <c r="AK531">
        <v>0.59899962394067596</v>
      </c>
      <c r="AL531">
        <v>95.369541137314997</v>
      </c>
      <c r="AM531">
        <v>88.883181858294506</v>
      </c>
      <c r="AN531">
        <v>0.999999979717622</v>
      </c>
    </row>
    <row r="532" spans="1:40" x14ac:dyDescent="0.25">
      <c r="A532" t="str">
        <f>"20190303154107803"</f>
        <v>20190303154107803</v>
      </c>
      <c r="B532" t="str">
        <f>"1551598867799344"</f>
        <v>1551598867799344</v>
      </c>
      <c r="C532" t="s">
        <v>40</v>
      </c>
      <c r="D532">
        <v>5.9038899999999996</v>
      </c>
      <c r="E532">
        <v>0.56238259999999995</v>
      </c>
      <c r="F532" t="s">
        <v>42</v>
      </c>
      <c r="G532">
        <v>-395.0478</v>
      </c>
      <c r="H532">
        <v>0.88910599999999995</v>
      </c>
      <c r="I532">
        <v>367.37990000000002</v>
      </c>
      <c r="J532">
        <v>-395.62479999999999</v>
      </c>
      <c r="K532">
        <v>1.110206</v>
      </c>
      <c r="L532">
        <v>367.53710000000001</v>
      </c>
      <c r="M532">
        <v>0.99996079999999998</v>
      </c>
      <c r="N532">
        <v>-7.0482069999999999E-3</v>
      </c>
      <c r="O532">
        <v>5.38457E-3</v>
      </c>
      <c r="P532">
        <v>0.99475579999999997</v>
      </c>
      <c r="Q532">
        <v>-0.1012197</v>
      </c>
      <c r="R532">
        <v>-1.4674680000000001E-2</v>
      </c>
      <c r="S532">
        <v>2.9310909999999999</v>
      </c>
      <c r="T532">
        <v>-0.76399830000000002</v>
      </c>
      <c r="U532">
        <v>-0.54226680000000005</v>
      </c>
      <c r="V532">
        <v>2.0028810000000001E-2</v>
      </c>
      <c r="W532">
        <v>-9.4207040000000006E-2</v>
      </c>
      <c r="X532">
        <v>0.99535110000000004</v>
      </c>
      <c r="Y532">
        <v>0.18102499999999999</v>
      </c>
      <c r="Z532">
        <v>-2.5004999999999999E-2</v>
      </c>
      <c r="AA532">
        <v>0.98316060000000005</v>
      </c>
      <c r="AB532">
        <v>26</v>
      </c>
      <c r="AC532">
        <v>0.57699999999999796</v>
      </c>
      <c r="AD532">
        <v>-0.22109999999999999</v>
      </c>
      <c r="AE532">
        <v>-0.15719999999998799</v>
      </c>
      <c r="AF532">
        <v>0.14102787665907801</v>
      </c>
      <c r="AG532">
        <v>-0.22109999999999999</v>
      </c>
      <c r="AH532">
        <v>0.50686306283926397</v>
      </c>
      <c r="AI532">
        <v>112.79452141658101</v>
      </c>
      <c r="AJ532">
        <v>74.451484206958796</v>
      </c>
      <c r="AK532">
        <v>0.57068751209901902</v>
      </c>
      <c r="AL532">
        <v>95.405682049662005</v>
      </c>
      <c r="AM532">
        <v>88.847229452445802</v>
      </c>
      <c r="AN532">
        <v>0.99999996594339302</v>
      </c>
    </row>
    <row r="533" spans="1:40" x14ac:dyDescent="0.25">
      <c r="A533" t="str">
        <f>"20190303154107825"</f>
        <v>20190303154107825</v>
      </c>
      <c r="B533" t="str">
        <f>"1551598867819841"</f>
        <v>1551598867819841</v>
      </c>
      <c r="C533" t="s">
        <v>40</v>
      </c>
      <c r="D533">
        <v>5.9030699999999996</v>
      </c>
      <c r="E533">
        <v>0.56241980000000003</v>
      </c>
      <c r="F533" t="s">
        <v>42</v>
      </c>
      <c r="G533">
        <v>-394.81189999999998</v>
      </c>
      <c r="H533">
        <v>0.89729400000000004</v>
      </c>
      <c r="I533">
        <v>367.38529999999997</v>
      </c>
      <c r="J533">
        <v>-395.3648</v>
      </c>
      <c r="K533">
        <v>1.111791</v>
      </c>
      <c r="L533">
        <v>367.5385</v>
      </c>
      <c r="M533">
        <v>0.9999538</v>
      </c>
      <c r="N533">
        <v>-7.9638009999999995E-3</v>
      </c>
      <c r="O533">
        <v>5.3920130000000002E-3</v>
      </c>
      <c r="P533">
        <v>0.99464459999999999</v>
      </c>
      <c r="Q533">
        <v>-0.1022972</v>
      </c>
      <c r="R533">
        <v>-1.47592E-2</v>
      </c>
      <c r="S533">
        <v>2.9297179999999998</v>
      </c>
      <c r="T533">
        <v>-0.76732359999999999</v>
      </c>
      <c r="U533">
        <v>-0.54577640000000005</v>
      </c>
      <c r="V533">
        <v>2.0119950000000001E-2</v>
      </c>
      <c r="W533">
        <v>-9.4373979999999996E-2</v>
      </c>
      <c r="X533">
        <v>0.99533349999999998</v>
      </c>
      <c r="Y533">
        <v>0.1821383</v>
      </c>
      <c r="Z533">
        <v>-2.534513E-2</v>
      </c>
      <c r="AA533">
        <v>0.98294619999999999</v>
      </c>
      <c r="AB533">
        <v>26</v>
      </c>
      <c r="AC533">
        <v>0.55290000000002204</v>
      </c>
      <c r="AD533">
        <v>-0.21449699999999899</v>
      </c>
      <c r="AE533">
        <v>-0.15320000000002601</v>
      </c>
      <c r="AF533">
        <v>0.1370264786616</v>
      </c>
      <c r="AG533">
        <v>-0.21449699999999899</v>
      </c>
      <c r="AH533">
        <v>0.48436466873977702</v>
      </c>
      <c r="AI533">
        <v>113.07975334305</v>
      </c>
      <c r="AJ533">
        <v>74.203823137563305</v>
      </c>
      <c r="AK533">
        <v>0.54716939898608297</v>
      </c>
      <c r="AL533">
        <v>95.415289527983504</v>
      </c>
      <c r="AM533">
        <v>88.841964787513604</v>
      </c>
      <c r="AN533">
        <v>1.0000000183556399</v>
      </c>
    </row>
    <row r="534" spans="1:40" x14ac:dyDescent="0.25">
      <c r="A534" t="str">
        <f>"20190303154107849"</f>
        <v>20190303154107849</v>
      </c>
      <c r="B534" t="str">
        <f>"1551598867839360"</f>
        <v>1551598867839360</v>
      </c>
      <c r="C534" t="s">
        <v>40</v>
      </c>
      <c r="D534">
        <v>5.9003399999999999</v>
      </c>
      <c r="E534">
        <v>0.56250489999999997</v>
      </c>
      <c r="F534" t="s">
        <v>42</v>
      </c>
      <c r="G534">
        <v>-394.57679999999999</v>
      </c>
      <c r="H534">
        <v>0.90444270000000004</v>
      </c>
      <c r="I534">
        <v>367.39139999999998</v>
      </c>
      <c r="J534">
        <v>-395.09640000000002</v>
      </c>
      <c r="K534">
        <v>1.1132089999999999</v>
      </c>
      <c r="L534">
        <v>367.54</v>
      </c>
      <c r="M534">
        <v>0.99994649999999996</v>
      </c>
      <c r="N534">
        <v>-8.8114919999999902E-3</v>
      </c>
      <c r="O534">
        <v>5.399694E-3</v>
      </c>
      <c r="P534">
        <v>0.99461509999999997</v>
      </c>
      <c r="Q534">
        <v>-0.1026507</v>
      </c>
      <c r="R534">
        <v>-1.426112E-2</v>
      </c>
      <c r="S534">
        <v>2.9287719999999999</v>
      </c>
      <c r="T534">
        <v>-0.7707541</v>
      </c>
      <c r="U534">
        <v>-0.54626459999999999</v>
      </c>
      <c r="V534">
        <v>1.962968E-2</v>
      </c>
      <c r="W534">
        <v>-9.3883999999999995E-2</v>
      </c>
      <c r="X534">
        <v>0.99538959999999999</v>
      </c>
      <c r="Y534">
        <v>0.18227850000000001</v>
      </c>
      <c r="Z534">
        <v>-2.5554420000000001E-2</v>
      </c>
      <c r="AA534">
        <v>0.98291479999999998</v>
      </c>
      <c r="AB534">
        <v>26</v>
      </c>
      <c r="AC534">
        <v>0.51960000000002504</v>
      </c>
      <c r="AD534">
        <v>-0.20876629999999999</v>
      </c>
      <c r="AE534">
        <v>-0.148600000000044</v>
      </c>
      <c r="AF534">
        <v>0.131744187019254</v>
      </c>
      <c r="AG534">
        <v>-0.20876629999999999</v>
      </c>
      <c r="AH534">
        <v>0.45142622712408298</v>
      </c>
      <c r="AI534">
        <v>113.93836567473301</v>
      </c>
      <c r="AJ534">
        <v>73.730648102708102</v>
      </c>
      <c r="AK534">
        <v>0.51451485631081495</v>
      </c>
      <c r="AL534">
        <v>95.387090677062304</v>
      </c>
      <c r="AM534">
        <v>88.870239299159707</v>
      </c>
      <c r="AN534">
        <v>0.99999999279053098</v>
      </c>
    </row>
    <row r="535" spans="1:40" x14ac:dyDescent="0.25">
      <c r="A535" t="str">
        <f>"20190303154107872"</f>
        <v>20190303154107872</v>
      </c>
      <c r="B535" t="str">
        <f>"1551598867869616"</f>
        <v>1551598867869616</v>
      </c>
      <c r="C535" t="s">
        <v>40</v>
      </c>
      <c r="D535">
        <v>5.8274280000000003</v>
      </c>
      <c r="E535">
        <v>0.56286009999999997</v>
      </c>
      <c r="F535" t="s">
        <v>42</v>
      </c>
      <c r="G535">
        <v>-394.34109999999998</v>
      </c>
      <c r="H535">
        <v>0.91432179999999996</v>
      </c>
      <c r="I535">
        <v>367.39879999999999</v>
      </c>
      <c r="J535">
        <v>-394.82389999999998</v>
      </c>
      <c r="K535">
        <v>1.1144559999999999</v>
      </c>
      <c r="L535">
        <v>367.54149999999998</v>
      </c>
      <c r="M535">
        <v>0.99993960000000004</v>
      </c>
      <c r="N535">
        <v>-9.5768680000000005E-3</v>
      </c>
      <c r="O535">
        <v>5.4075909999999998E-3</v>
      </c>
      <c r="P535">
        <v>0.9945138</v>
      </c>
      <c r="Q535">
        <v>-0.103689</v>
      </c>
      <c r="R535">
        <v>-1.3823770000000001E-2</v>
      </c>
      <c r="S535">
        <v>2.9288020000000001</v>
      </c>
      <c r="T535">
        <v>-0.77132889999999998</v>
      </c>
      <c r="U535">
        <v>-0.54574579999999995</v>
      </c>
      <c r="V535">
        <v>1.9199509999999999E-2</v>
      </c>
      <c r="W535">
        <v>-9.4161179999999997E-2</v>
      </c>
      <c r="X535">
        <v>0.99537180000000003</v>
      </c>
      <c r="Y535">
        <v>0.18209529999999999</v>
      </c>
      <c r="Z535">
        <v>-2.5617520000000001E-2</v>
      </c>
      <c r="AA535">
        <v>0.98294709999999996</v>
      </c>
      <c r="AB535">
        <v>26</v>
      </c>
      <c r="AC535">
        <v>0.48279999999999701</v>
      </c>
      <c r="AD535">
        <v>-0.20013419999999901</v>
      </c>
      <c r="AE535">
        <v>-0.14269999999999</v>
      </c>
      <c r="AF535">
        <v>0.12547951242414701</v>
      </c>
      <c r="AG535">
        <v>-0.20013419999999901</v>
      </c>
      <c r="AH535">
        <v>0.41624308345912497</v>
      </c>
      <c r="AI535">
        <v>114.718896074196</v>
      </c>
      <c r="AJ535">
        <v>73.224184105514396</v>
      </c>
      <c r="AK535">
        <v>0.47859911259362098</v>
      </c>
      <c r="AL535">
        <v>95.403042631616799</v>
      </c>
      <c r="AM535">
        <v>88.894971210848794</v>
      </c>
      <c r="AN535">
        <v>0.999999984619236</v>
      </c>
    </row>
    <row r="536" spans="1:40" x14ac:dyDescent="0.25">
      <c r="A536" t="str">
        <f>"20190303154107892"</f>
        <v>20190303154107892</v>
      </c>
      <c r="B536" t="str">
        <f>"1551598867890114"</f>
        <v>1551598867890114</v>
      </c>
      <c r="C536" t="s">
        <v>40</v>
      </c>
      <c r="D536">
        <v>5.8336459999999999</v>
      </c>
      <c r="E536">
        <v>0.5631178</v>
      </c>
      <c r="F536" t="s">
        <v>42</v>
      </c>
      <c r="G536">
        <v>-394.10550000000001</v>
      </c>
      <c r="H536">
        <v>0.92497439999999997</v>
      </c>
      <c r="I536">
        <v>367.40710000000001</v>
      </c>
      <c r="J536">
        <v>-394.5883</v>
      </c>
      <c r="K536">
        <v>1.115383</v>
      </c>
      <c r="L536">
        <v>367.54270000000002</v>
      </c>
      <c r="M536">
        <v>0.99993379999999998</v>
      </c>
      <c r="N536">
        <v>-1.0165159999999999E-2</v>
      </c>
      <c r="O536">
        <v>5.4144379999999997E-3</v>
      </c>
      <c r="P536">
        <v>0.99441029999999997</v>
      </c>
      <c r="Q536">
        <v>-0.10473929999999999</v>
      </c>
      <c r="R536">
        <v>-1.3340400000000001E-2</v>
      </c>
      <c r="S536">
        <v>2.928436</v>
      </c>
      <c r="T536">
        <v>-0.77236000000000005</v>
      </c>
      <c r="U536">
        <v>-0.54721070000000005</v>
      </c>
      <c r="V536">
        <v>1.8722340000000001E-2</v>
      </c>
      <c r="W536">
        <v>-9.4626870000000002E-2</v>
      </c>
      <c r="X536">
        <v>0.99533680000000002</v>
      </c>
      <c r="Y536">
        <v>0.18255250000000001</v>
      </c>
      <c r="Z536">
        <v>-2.5766250000000001E-2</v>
      </c>
      <c r="AA536">
        <v>0.98285840000000002</v>
      </c>
      <c r="AB536">
        <v>26</v>
      </c>
      <c r="AC536">
        <v>0.48279999999999701</v>
      </c>
      <c r="AD536">
        <v>-0.19040860000000001</v>
      </c>
      <c r="AE536">
        <v>-0.13560000000000999</v>
      </c>
      <c r="AF536">
        <v>0.120797319360578</v>
      </c>
      <c r="AG536">
        <v>-0.19040860000000001</v>
      </c>
      <c r="AH536">
        <v>0.42131867738268403</v>
      </c>
      <c r="AI536">
        <v>113.481642988876</v>
      </c>
      <c r="AJ536">
        <v>74.001742574269201</v>
      </c>
      <c r="AK536">
        <v>0.477866984871477</v>
      </c>
      <c r="AL536">
        <v>95.429843976318296</v>
      </c>
      <c r="AM536">
        <v>88.922390313940696</v>
      </c>
      <c r="AN536">
        <v>1.00000005798765</v>
      </c>
    </row>
    <row r="537" spans="1:40" x14ac:dyDescent="0.25">
      <c r="A537" t="str">
        <f>"20190303154107915"</f>
        <v>20190303154107915</v>
      </c>
      <c r="B537" t="str">
        <f>"1551598867909633"</f>
        <v>1551598867909633</v>
      </c>
      <c r="C537" t="s">
        <v>40</v>
      </c>
      <c r="D537">
        <v>5.8298180000000004</v>
      </c>
      <c r="E537">
        <v>0.56343350000000003</v>
      </c>
      <c r="F537" t="s">
        <v>42</v>
      </c>
      <c r="G537">
        <v>-393.8741</v>
      </c>
      <c r="H537">
        <v>0.92593409999999998</v>
      </c>
      <c r="I537">
        <v>367.40890000000002</v>
      </c>
      <c r="J537">
        <v>-394.32830000000001</v>
      </c>
      <c r="K537">
        <v>1.1162840000000001</v>
      </c>
      <c r="L537">
        <v>367.54410000000001</v>
      </c>
      <c r="M537">
        <v>0.99992760000000003</v>
      </c>
      <c r="N537">
        <v>-1.0747059999999999E-2</v>
      </c>
      <c r="O537">
        <v>5.4222790000000003E-3</v>
      </c>
      <c r="P537">
        <v>0.99433280000000002</v>
      </c>
      <c r="Q537">
        <v>-0.1054779</v>
      </c>
      <c r="R537">
        <v>-1.3300029999999999E-2</v>
      </c>
      <c r="S537">
        <v>2.927673</v>
      </c>
      <c r="T537">
        <v>-0.77672450000000004</v>
      </c>
      <c r="U537">
        <v>-0.54678340000000003</v>
      </c>
      <c r="V537">
        <v>1.8689210000000001E-2</v>
      </c>
      <c r="W537">
        <v>-9.4787049999999998E-2</v>
      </c>
      <c r="X537">
        <v>0.99532209999999999</v>
      </c>
      <c r="Y537">
        <v>0.18238589999999999</v>
      </c>
      <c r="Z537">
        <v>-2.5939830000000001E-2</v>
      </c>
      <c r="AA537">
        <v>0.9828848</v>
      </c>
      <c r="AB537">
        <v>26</v>
      </c>
      <c r="AC537">
        <v>0.45420000000001398</v>
      </c>
      <c r="AD537">
        <v>-0.19034989999999999</v>
      </c>
      <c r="AE537">
        <v>-0.13519999999999699</v>
      </c>
      <c r="AF537">
        <v>0.118536359110902</v>
      </c>
      <c r="AG537">
        <v>-0.19034989999999999</v>
      </c>
      <c r="AH537">
        <v>0.390463078341453</v>
      </c>
      <c r="AI537">
        <v>115.00793265738</v>
      </c>
      <c r="AJ537">
        <v>73.112815936413995</v>
      </c>
      <c r="AK537">
        <v>0.45027254902909902</v>
      </c>
      <c r="AL537">
        <v>95.439063493077796</v>
      </c>
      <c r="AM537">
        <v>88.924280859556205</v>
      </c>
      <c r="AN537">
        <v>0.99999997708326704</v>
      </c>
    </row>
    <row r="538" spans="1:40" x14ac:dyDescent="0.25">
      <c r="A538" t="str">
        <f>"20190303154107937"</f>
        <v>20190303154107937</v>
      </c>
      <c r="B538" t="str">
        <f>"1551598867929153"</f>
        <v>1551598867929153</v>
      </c>
      <c r="C538" t="s">
        <v>40</v>
      </c>
      <c r="D538">
        <v>5.8114619999999997</v>
      </c>
      <c r="E538">
        <v>0.56364099999999995</v>
      </c>
      <c r="F538" t="s">
        <v>42</v>
      </c>
      <c r="G538">
        <v>-393.64030000000002</v>
      </c>
      <c r="H538">
        <v>0.93341779999999996</v>
      </c>
      <c r="I538">
        <v>367.41489999999999</v>
      </c>
      <c r="J538">
        <v>-394.06810000000002</v>
      </c>
      <c r="K538">
        <v>1.1170389999999999</v>
      </c>
      <c r="L538">
        <v>367.5455</v>
      </c>
      <c r="M538">
        <v>0.99992190000000003</v>
      </c>
      <c r="N538">
        <v>-1.1258290000000001E-2</v>
      </c>
      <c r="O538">
        <v>5.4302309999999998E-3</v>
      </c>
      <c r="P538">
        <v>0.99431009999999997</v>
      </c>
      <c r="Q538">
        <v>-0.1057144</v>
      </c>
      <c r="R538">
        <v>-1.312019E-2</v>
      </c>
      <c r="S538">
        <v>2.927216</v>
      </c>
      <c r="T538">
        <v>-0.77807019999999905</v>
      </c>
      <c r="U538">
        <v>-0.54940800000000001</v>
      </c>
      <c r="V538">
        <v>1.8517260000000001E-2</v>
      </c>
      <c r="W538">
        <v>-9.4514899999999999E-2</v>
      </c>
      <c r="X538">
        <v>0.99535119999999999</v>
      </c>
      <c r="Y538">
        <v>0.18320929999999999</v>
      </c>
      <c r="Z538">
        <v>-2.6142189999999999E-2</v>
      </c>
      <c r="AA538">
        <v>0.98272630000000005</v>
      </c>
      <c r="AB538">
        <v>26</v>
      </c>
      <c r="AC538">
        <v>0.42779999999999002</v>
      </c>
      <c r="AD538">
        <v>-0.18362120000000001</v>
      </c>
      <c r="AE538">
        <v>-0.13060000000001501</v>
      </c>
      <c r="AF538">
        <v>0.113751290679818</v>
      </c>
      <c r="AG538">
        <v>-0.18362120000000001</v>
      </c>
      <c r="AH538">
        <v>0.36549008945297401</v>
      </c>
      <c r="AI538">
        <v>115.627093205297</v>
      </c>
      <c r="AJ538">
        <v>72.712318275210606</v>
      </c>
      <c r="AK538">
        <v>0.42454576515271902</v>
      </c>
      <c r="AL538">
        <v>95.423400092113297</v>
      </c>
      <c r="AM538">
        <v>88.934206868613103</v>
      </c>
      <c r="AN538">
        <v>0.99999998329067796</v>
      </c>
    </row>
    <row r="539" spans="1:40" x14ac:dyDescent="0.25">
      <c r="A539" t="str">
        <f>"20190303154107959"</f>
        <v>20190303154107959</v>
      </c>
      <c r="B539" t="str">
        <f>"1551598867949648"</f>
        <v>1551598867949648</v>
      </c>
      <c r="C539" t="s">
        <v>40</v>
      </c>
      <c r="D539">
        <v>5.7976400000000003</v>
      </c>
      <c r="E539">
        <v>0.56382730000000003</v>
      </c>
      <c r="F539" t="s">
        <v>42</v>
      </c>
      <c r="G539">
        <v>-393.19909999999999</v>
      </c>
      <c r="H539">
        <v>0.88607919999999996</v>
      </c>
      <c r="I539">
        <v>367.38200000000001</v>
      </c>
      <c r="J539">
        <v>-393.81700000000001</v>
      </c>
      <c r="K539">
        <v>1.1176630000000001</v>
      </c>
      <c r="L539">
        <v>367.54689999999999</v>
      </c>
      <c r="M539">
        <v>0.9999169</v>
      </c>
      <c r="N539">
        <v>-1.1694319999999999E-2</v>
      </c>
      <c r="O539">
        <v>5.4376040000000004E-3</v>
      </c>
      <c r="P539">
        <v>0.99428130000000003</v>
      </c>
      <c r="Q539">
        <v>-0.1060038</v>
      </c>
      <c r="R539">
        <v>-1.295848E-2</v>
      </c>
      <c r="S539">
        <v>2.9271850000000001</v>
      </c>
      <c r="T539">
        <v>-0.77799419999999897</v>
      </c>
      <c r="U539">
        <v>-0.55117799999999995</v>
      </c>
      <c r="V539">
        <v>1.8363029999999999E-2</v>
      </c>
      <c r="W539">
        <v>-9.4370599999999999E-2</v>
      </c>
      <c r="X539">
        <v>0.99536780000000002</v>
      </c>
      <c r="Y539">
        <v>0.18376439999999999</v>
      </c>
      <c r="Z539">
        <v>-2.625456E-2</v>
      </c>
      <c r="AA539">
        <v>0.98261960000000004</v>
      </c>
      <c r="AB539">
        <v>26</v>
      </c>
      <c r="AC539">
        <v>0.61789999999996303</v>
      </c>
      <c r="AD539">
        <v>-0.23158379999999901</v>
      </c>
      <c r="AE539">
        <v>-0.16490000000004501</v>
      </c>
      <c r="AF539">
        <v>0.14875189444865899</v>
      </c>
      <c r="AG539">
        <v>-0.23158379999999901</v>
      </c>
      <c r="AH539">
        <v>0.545467188704441</v>
      </c>
      <c r="AI539">
        <v>112.274145390832</v>
      </c>
      <c r="AJ539">
        <v>74.746043204620904</v>
      </c>
      <c r="AK539">
        <v>0.61097678882068096</v>
      </c>
      <c r="AL539">
        <v>95.4150949143079</v>
      </c>
      <c r="AM539">
        <v>88.943099445124005</v>
      </c>
      <c r="AN539">
        <v>1.00000003414598</v>
      </c>
    </row>
    <row r="540" spans="1:40" x14ac:dyDescent="0.25">
      <c r="A540" t="str">
        <f>"20190303154107981"</f>
        <v>20190303154107981</v>
      </c>
      <c r="B540" t="str">
        <f>"1551598867970145"</f>
        <v>1551598867970145</v>
      </c>
      <c r="C540" t="s">
        <v>40</v>
      </c>
      <c r="D540">
        <v>5.7898110000000003</v>
      </c>
      <c r="E540">
        <v>0.56402469999999905</v>
      </c>
      <c r="F540" t="s">
        <v>42</v>
      </c>
      <c r="G540">
        <v>-392.9676</v>
      </c>
      <c r="H540">
        <v>0.89160980000000001</v>
      </c>
      <c r="I540">
        <v>367.38630000000001</v>
      </c>
      <c r="J540">
        <v>-393.5598</v>
      </c>
      <c r="K540">
        <v>1.118198</v>
      </c>
      <c r="L540">
        <v>367.54829999999998</v>
      </c>
      <c r="M540">
        <v>0.99991220000000003</v>
      </c>
      <c r="N540">
        <v>-1.2089030000000001E-2</v>
      </c>
      <c r="O540">
        <v>5.4446590000000001E-3</v>
      </c>
      <c r="P540">
        <v>0.99425920000000001</v>
      </c>
      <c r="Q540">
        <v>-0.10620930000000001</v>
      </c>
      <c r="R540">
        <v>-1.2974940000000001E-2</v>
      </c>
      <c r="S540">
        <v>2.9270019999999999</v>
      </c>
      <c r="T540">
        <v>-0.77907969999999904</v>
      </c>
      <c r="U540">
        <v>-0.55221560000000003</v>
      </c>
      <c r="V540">
        <v>1.838627E-2</v>
      </c>
      <c r="W540">
        <v>-9.4183390000000006E-2</v>
      </c>
      <c r="X540">
        <v>0.99538510000000002</v>
      </c>
      <c r="Y540">
        <v>0.1840802</v>
      </c>
      <c r="Z540">
        <v>-2.6369219999999999E-2</v>
      </c>
      <c r="AA540">
        <v>0.98255749999999997</v>
      </c>
      <c r="AB540">
        <v>26</v>
      </c>
      <c r="AC540">
        <v>0.59219999999999096</v>
      </c>
      <c r="AD540">
        <v>-0.22658819999999999</v>
      </c>
      <c r="AE540">
        <v>-0.161999999999977</v>
      </c>
      <c r="AF540">
        <v>0.145415652023033</v>
      </c>
      <c r="AG540">
        <v>-0.22658819999999999</v>
      </c>
      <c r="AH540">
        <v>0.52042414330571796</v>
      </c>
      <c r="AI540">
        <v>112.749747048868</v>
      </c>
      <c r="AJ540">
        <v>74.388702676784504</v>
      </c>
      <c r="AK540">
        <v>0.58594301187744802</v>
      </c>
      <c r="AL540">
        <v>95.404320596820199</v>
      </c>
      <c r="AM540">
        <v>88.941780538411194</v>
      </c>
      <c r="AN540">
        <v>1.0000000315891999</v>
      </c>
    </row>
    <row r="541" spans="1:40" x14ac:dyDescent="0.25">
      <c r="A541" t="str">
        <f>"20190303154108004"</f>
        <v>20190303154108004</v>
      </c>
      <c r="B541" t="str">
        <f>"1551598867999425"</f>
        <v>1551598867999425</v>
      </c>
      <c r="C541" t="s">
        <v>40</v>
      </c>
      <c r="D541">
        <v>5.7826700000000004</v>
      </c>
      <c r="E541">
        <v>0.56426609999999999</v>
      </c>
      <c r="F541" t="s">
        <v>42</v>
      </c>
      <c r="G541">
        <v>-392.73599999999999</v>
      </c>
      <c r="H541">
        <v>0.89880369999999998</v>
      </c>
      <c r="I541">
        <v>367.39210000000003</v>
      </c>
      <c r="J541">
        <v>-393.30720000000002</v>
      </c>
      <c r="K541">
        <v>1.118652</v>
      </c>
      <c r="L541">
        <v>367.54969999999997</v>
      </c>
      <c r="M541">
        <v>0.99990800000000002</v>
      </c>
      <c r="N541">
        <v>-1.243174E-2</v>
      </c>
      <c r="O541">
        <v>5.4519590000000001E-3</v>
      </c>
      <c r="P541">
        <v>0.99419550000000001</v>
      </c>
      <c r="Q541">
        <v>-0.10685119999999999</v>
      </c>
      <c r="R541">
        <v>-1.258052E-2</v>
      </c>
      <c r="S541">
        <v>2.9268190000000001</v>
      </c>
      <c r="T541">
        <v>-0.77948050000000002</v>
      </c>
      <c r="U541">
        <v>-0.55392459999999999</v>
      </c>
      <c r="V541">
        <v>1.7998710000000001E-2</v>
      </c>
      <c r="W541">
        <v>-9.4484869999999999E-2</v>
      </c>
      <c r="X541">
        <v>0.99536360000000002</v>
      </c>
      <c r="Y541">
        <v>0.18461859999999999</v>
      </c>
      <c r="Z541">
        <v>-2.6487799999999999E-2</v>
      </c>
      <c r="AA541">
        <v>0.98245320000000003</v>
      </c>
      <c r="AB541">
        <v>26</v>
      </c>
      <c r="AC541">
        <v>0.57120000000003202</v>
      </c>
      <c r="AD541">
        <v>-0.219848299999999</v>
      </c>
      <c r="AE541">
        <v>-0.15759999999994501</v>
      </c>
      <c r="AF541">
        <v>0.14126550444379099</v>
      </c>
      <c r="AG541">
        <v>-0.219848299999999</v>
      </c>
      <c r="AH541">
        <v>0.50132062076726203</v>
      </c>
      <c r="AI541">
        <v>112.88461877835699</v>
      </c>
      <c r="AJ541">
        <v>74.262867402173697</v>
      </c>
      <c r="AK541">
        <v>0.56534200495374598</v>
      </c>
      <c r="AL541">
        <v>95.421671564563695</v>
      </c>
      <c r="AM541">
        <v>88.964059221333798</v>
      </c>
      <c r="AN541">
        <v>1.0000000202127699</v>
      </c>
    </row>
    <row r="542" spans="1:40" x14ac:dyDescent="0.25">
      <c r="A542" t="str">
        <f>"20190303154108026"</f>
        <v>20190303154108026</v>
      </c>
      <c r="B542" t="str">
        <f>"1551598868019921"</f>
        <v>1551598868019921</v>
      </c>
      <c r="C542" t="s">
        <v>40</v>
      </c>
      <c r="D542">
        <v>5.760656</v>
      </c>
      <c r="E542">
        <v>0.56441759999999996</v>
      </c>
      <c r="F542" t="s">
        <v>42</v>
      </c>
      <c r="G542">
        <v>-392.5052</v>
      </c>
      <c r="H542">
        <v>0.90469219999999895</v>
      </c>
      <c r="I542">
        <v>367.3974</v>
      </c>
      <c r="J542">
        <v>-393.04399999999998</v>
      </c>
      <c r="K542">
        <v>1.1190549999999999</v>
      </c>
      <c r="L542">
        <v>367.55110000000002</v>
      </c>
      <c r="M542">
        <v>0.99990400000000002</v>
      </c>
      <c r="N542">
        <v>-1.2746209999999999E-2</v>
      </c>
      <c r="O542">
        <v>5.4597369999999897E-3</v>
      </c>
      <c r="P542">
        <v>0.99411760000000005</v>
      </c>
      <c r="Q542">
        <v>-0.1075711</v>
      </c>
      <c r="R542">
        <v>-1.2608360000000001E-2</v>
      </c>
      <c r="S542">
        <v>2.9265439999999998</v>
      </c>
      <c r="T542">
        <v>-0.78077259999999904</v>
      </c>
      <c r="U542">
        <v>-0.55499270000000001</v>
      </c>
      <c r="V542">
        <v>1.8033919999999998E-2</v>
      </c>
      <c r="W542">
        <v>-9.4892649999999995E-2</v>
      </c>
      <c r="X542">
        <v>0.99532410000000004</v>
      </c>
      <c r="Y542">
        <v>0.1849478</v>
      </c>
      <c r="Z542">
        <v>-2.6605070000000001E-2</v>
      </c>
      <c r="AA542">
        <v>0.98238809999999999</v>
      </c>
      <c r="AB542">
        <v>26</v>
      </c>
      <c r="AC542">
        <v>0.53880000000003703</v>
      </c>
      <c r="AD542">
        <v>-0.21436279999999999</v>
      </c>
      <c r="AE542">
        <v>-0.15370000000001399</v>
      </c>
      <c r="AF542">
        <v>0.13663909196197299</v>
      </c>
      <c r="AG542">
        <v>-0.21436279999999999</v>
      </c>
      <c r="AH542">
        <v>0.469264148535119</v>
      </c>
      <c r="AI542">
        <v>113.681855127205</v>
      </c>
      <c r="AJ542">
        <v>73.765636380027303</v>
      </c>
      <c r="AK542">
        <v>0.53369513074078401</v>
      </c>
      <c r="AL542">
        <v>95.445141467366795</v>
      </c>
      <c r="AM542">
        <v>88.961991920470794</v>
      </c>
      <c r="AN542">
        <v>0.99999995066769798</v>
      </c>
    </row>
    <row r="543" spans="1:40" x14ac:dyDescent="0.25">
      <c r="A543" t="str">
        <f>"20190303154108050"</f>
        <v>20190303154108050</v>
      </c>
      <c r="B543" t="str">
        <f>"1551598868039443"</f>
        <v>1551598868039443</v>
      </c>
      <c r="C543" t="s">
        <v>40</v>
      </c>
      <c r="D543">
        <v>5.7601699999999996</v>
      </c>
      <c r="E543">
        <v>0.56441249999999998</v>
      </c>
      <c r="F543" t="s">
        <v>42</v>
      </c>
      <c r="G543">
        <v>-392.274</v>
      </c>
      <c r="H543">
        <v>0.91308449999999997</v>
      </c>
      <c r="I543">
        <v>367.40480000000002</v>
      </c>
      <c r="J543">
        <v>-392.79270000000002</v>
      </c>
      <c r="K543">
        <v>1.1193820000000001</v>
      </c>
      <c r="L543">
        <v>367.55250000000001</v>
      </c>
      <c r="M543">
        <v>0.99990049999999997</v>
      </c>
      <c r="N543">
        <v>-1.3010209999999999E-2</v>
      </c>
      <c r="O543">
        <v>5.4672610000000002E-3</v>
      </c>
      <c r="P543">
        <v>0.99406329999999998</v>
      </c>
      <c r="Q543">
        <v>-0.10807219999999999</v>
      </c>
      <c r="R543">
        <v>-1.25866E-2</v>
      </c>
      <c r="S543">
        <v>2.926056</v>
      </c>
      <c r="T543">
        <v>-0.78264429999999996</v>
      </c>
      <c r="U543">
        <v>-0.55633540000000004</v>
      </c>
      <c r="V543">
        <v>1.8019489999999999E-2</v>
      </c>
      <c r="W543">
        <v>-9.5131610000000005E-2</v>
      </c>
      <c r="X543">
        <v>0.99530160000000001</v>
      </c>
      <c r="Y543">
        <v>0.18536630000000001</v>
      </c>
      <c r="Z543">
        <v>-2.6750139999999999E-2</v>
      </c>
      <c r="AA543">
        <v>0.98230530000000005</v>
      </c>
      <c r="AB543">
        <v>26</v>
      </c>
      <c r="AC543">
        <v>0.51870000000002303</v>
      </c>
      <c r="AD543">
        <v>-0.206297499999999</v>
      </c>
      <c r="AE543">
        <v>-0.14769999999998601</v>
      </c>
      <c r="AF543">
        <v>0.131319543151491</v>
      </c>
      <c r="AG543">
        <v>-0.206297499999999</v>
      </c>
      <c r="AH543">
        <v>0.45178114250955498</v>
      </c>
      <c r="AI543">
        <v>113.676655240277</v>
      </c>
      <c r="AJ543">
        <v>73.792399916573302</v>
      </c>
      <c r="AK543">
        <v>0.513721404700063</v>
      </c>
      <c r="AL543">
        <v>95.458894816677201</v>
      </c>
      <c r="AM543">
        <v>88.962798868738105</v>
      </c>
      <c r="AN543">
        <v>1.0000000001017999</v>
      </c>
    </row>
    <row r="544" spans="1:40" x14ac:dyDescent="0.25">
      <c r="A544" t="str">
        <f>"20190303154108073"</f>
        <v>20190303154108073</v>
      </c>
      <c r="B544" t="str">
        <f>"1551598868069697"</f>
        <v>1551598868069697</v>
      </c>
      <c r="C544" t="s">
        <v>40</v>
      </c>
      <c r="D544">
        <v>5.749187</v>
      </c>
      <c r="E544">
        <v>0.56466700000000003</v>
      </c>
      <c r="F544" t="s">
        <v>42</v>
      </c>
      <c r="G544">
        <v>-392.04430000000002</v>
      </c>
      <c r="H544">
        <v>0.91868839999999996</v>
      </c>
      <c r="I544">
        <v>367.40989999999999</v>
      </c>
      <c r="J544">
        <v>-392.52390000000003</v>
      </c>
      <c r="K544">
        <v>1.119677</v>
      </c>
      <c r="L544">
        <v>367.55399999999997</v>
      </c>
      <c r="M544">
        <v>0.99989729999999999</v>
      </c>
      <c r="N544">
        <v>-1.3258259999999999E-2</v>
      </c>
      <c r="O544">
        <v>5.4753319999999899E-3</v>
      </c>
      <c r="P544">
        <v>0.9940696</v>
      </c>
      <c r="Q544">
        <v>-0.1079813</v>
      </c>
      <c r="R544">
        <v>-1.289657E-2</v>
      </c>
      <c r="S544">
        <v>2.9255369999999998</v>
      </c>
      <c r="T544">
        <v>-0.78460750000000001</v>
      </c>
      <c r="U544">
        <v>-0.55587769999999903</v>
      </c>
      <c r="V544">
        <v>1.833715E-2</v>
      </c>
      <c r="W544">
        <v>-9.4793740000000001E-2</v>
      </c>
      <c r="X544">
        <v>0.99532799999999999</v>
      </c>
      <c r="Y544">
        <v>0.18522169999999999</v>
      </c>
      <c r="Z544">
        <v>-2.6821370000000001E-2</v>
      </c>
      <c r="AA544">
        <v>0.9823307</v>
      </c>
      <c r="AB544">
        <v>25</v>
      </c>
      <c r="AC544">
        <v>0.47960000000000402</v>
      </c>
      <c r="AD544">
        <v>-0.20098859999999999</v>
      </c>
      <c r="AE544">
        <v>-0.144100000000037</v>
      </c>
      <c r="AF544">
        <v>0.126368318646466</v>
      </c>
      <c r="AG544">
        <v>-0.20098859999999999</v>
      </c>
      <c r="AH544">
        <v>0.41237703497213002</v>
      </c>
      <c r="AI544">
        <v>114.98558414450299</v>
      </c>
      <c r="AJ544">
        <v>72.962903954782007</v>
      </c>
      <c r="AK544">
        <v>0.47583630405833899</v>
      </c>
      <c r="AL544">
        <v>95.439448596622199</v>
      </c>
      <c r="AM544">
        <v>88.944546461428899</v>
      </c>
      <c r="AN544">
        <v>0.99999996589865403</v>
      </c>
    </row>
    <row r="545" spans="1:40" x14ac:dyDescent="0.25">
      <c r="A545" t="str">
        <f>"20190303154108093"</f>
        <v>20190303154108093</v>
      </c>
      <c r="B545" t="str">
        <f>"1551598868089217"</f>
        <v>1551598868089217</v>
      </c>
      <c r="C545" t="s">
        <v>40</v>
      </c>
      <c r="D545">
        <v>5.7360230000000003</v>
      </c>
      <c r="E545">
        <v>0.56483519999999998</v>
      </c>
      <c r="F545" t="s">
        <v>42</v>
      </c>
      <c r="G545">
        <v>-391.81299999999999</v>
      </c>
      <c r="H545">
        <v>0.92914260000000004</v>
      </c>
      <c r="I545">
        <v>367.41809999999998</v>
      </c>
      <c r="J545">
        <v>-392.29140000000001</v>
      </c>
      <c r="K545">
        <v>1.1198840000000001</v>
      </c>
      <c r="L545">
        <v>367.55529999999999</v>
      </c>
      <c r="M545">
        <v>0.99989459999999997</v>
      </c>
      <c r="N545">
        <v>-1.3446069999999999E-2</v>
      </c>
      <c r="O545">
        <v>5.4828289999999998E-3</v>
      </c>
      <c r="P545">
        <v>0.99410399999999999</v>
      </c>
      <c r="Q545">
        <v>-0.1076801</v>
      </c>
      <c r="R545">
        <v>-1.273372E-2</v>
      </c>
      <c r="S545">
        <v>2.925446</v>
      </c>
      <c r="T545">
        <v>-0.7841167</v>
      </c>
      <c r="U545">
        <v>-0.55850219999999995</v>
      </c>
      <c r="V545">
        <v>1.8182070000000002E-2</v>
      </c>
      <c r="W545">
        <v>-9.4305180000000002E-2</v>
      </c>
      <c r="X545">
        <v>0.99537730000000002</v>
      </c>
      <c r="Y545">
        <v>0.18605940000000001</v>
      </c>
      <c r="Z545">
        <v>-2.6938569999999998E-2</v>
      </c>
      <c r="AA545">
        <v>0.98216919999999996</v>
      </c>
      <c r="AB545">
        <v>25</v>
      </c>
      <c r="AC545">
        <v>0.47839999999996502</v>
      </c>
      <c r="AD545">
        <v>-0.19074140000000001</v>
      </c>
      <c r="AE545">
        <v>-0.13720000000000701</v>
      </c>
      <c r="AF545">
        <v>0.121913725765353</v>
      </c>
      <c r="AG545">
        <v>-0.19074140000000001</v>
      </c>
      <c r="AH545">
        <v>0.41646723920002698</v>
      </c>
      <c r="AI545">
        <v>113.728005982018</v>
      </c>
      <c r="AJ545">
        <v>73.683502286606497</v>
      </c>
      <c r="AK545">
        <v>0.47401497817140997</v>
      </c>
      <c r="AL545">
        <v>95.411329953367101</v>
      </c>
      <c r="AM545">
        <v>88.953522417041796</v>
      </c>
      <c r="AN545">
        <v>1.0000000119998</v>
      </c>
    </row>
    <row r="546" spans="1:40" x14ac:dyDescent="0.25">
      <c r="A546" t="str">
        <f>"20190303154108117"</f>
        <v>20190303154108117</v>
      </c>
      <c r="B546" t="str">
        <f>"1551598868109713"</f>
        <v>1551598868109713</v>
      </c>
      <c r="C546" t="s">
        <v>40</v>
      </c>
      <c r="D546">
        <v>5.7368100000000002</v>
      </c>
      <c r="E546">
        <v>0.564859</v>
      </c>
      <c r="F546" t="s">
        <v>42</v>
      </c>
      <c r="G546">
        <v>-391.58550000000002</v>
      </c>
      <c r="H546">
        <v>0.9310676</v>
      </c>
      <c r="I546">
        <v>367.42</v>
      </c>
      <c r="J546">
        <v>-392.03</v>
      </c>
      <c r="K546">
        <v>1.1200920000000001</v>
      </c>
      <c r="L546">
        <v>367.55669999999998</v>
      </c>
      <c r="M546">
        <v>0.99989209999999995</v>
      </c>
      <c r="N546">
        <v>-1.363251E-2</v>
      </c>
      <c r="O546">
        <v>5.4906159999999898E-3</v>
      </c>
      <c r="P546">
        <v>0.99416680000000002</v>
      </c>
      <c r="Q546">
        <v>-0.1071194</v>
      </c>
      <c r="R546">
        <v>-1.255534E-2</v>
      </c>
      <c r="S546">
        <v>2.9258120000000001</v>
      </c>
      <c r="T546">
        <v>-0.78258660000000002</v>
      </c>
      <c r="U546">
        <v>-0.55950929999999999</v>
      </c>
      <c r="V546">
        <v>1.8012070000000002E-2</v>
      </c>
      <c r="W546">
        <v>-9.3558069999999993E-2</v>
      </c>
      <c r="X546">
        <v>0.99545090000000003</v>
      </c>
      <c r="Y546">
        <v>0.18638209999999999</v>
      </c>
      <c r="Z546">
        <v>-2.6949210000000001E-2</v>
      </c>
      <c r="AA546">
        <v>0.98210759999999997</v>
      </c>
      <c r="AB546">
        <v>25</v>
      </c>
      <c r="AC546">
        <v>0.44449999999994799</v>
      </c>
      <c r="AD546">
        <v>-0.18902440000000001</v>
      </c>
      <c r="AE546">
        <v>-0.13669999999996199</v>
      </c>
      <c r="AF546">
        <v>0.119410528232496</v>
      </c>
      <c r="AG546">
        <v>-0.18902440000000001</v>
      </c>
      <c r="AH546">
        <v>0.38082523916952998</v>
      </c>
      <c r="AI546">
        <v>115.343070374744</v>
      </c>
      <c r="AJ546">
        <v>72.590803494063294</v>
      </c>
      <c r="AK546">
        <v>0.44160724726464001</v>
      </c>
      <c r="AL546">
        <v>95.368333554185597</v>
      </c>
      <c r="AM546">
        <v>88.963381334220003</v>
      </c>
      <c r="AN546">
        <v>1.0000000207193001</v>
      </c>
    </row>
    <row r="547" spans="1:40" x14ac:dyDescent="0.25">
      <c r="A547" t="str">
        <f>"20190303154108138"</f>
        <v>20190303154108138</v>
      </c>
      <c r="B547" t="str">
        <f>"1551598868129232"</f>
        <v>1551598868129232</v>
      </c>
      <c r="C547" t="s">
        <v>40</v>
      </c>
      <c r="D547">
        <v>5.8197479999999997</v>
      </c>
      <c r="E547">
        <v>0.56490959999999901</v>
      </c>
      <c r="F547" t="s">
        <v>42</v>
      </c>
      <c r="G547">
        <v>-391.15120000000002</v>
      </c>
      <c r="H547">
        <v>0.88568880000000005</v>
      </c>
      <c r="I547">
        <v>367.38830000000002</v>
      </c>
      <c r="J547">
        <v>-391.78359999999998</v>
      </c>
      <c r="K547">
        <v>1.1202540000000001</v>
      </c>
      <c r="L547">
        <v>367.55810000000002</v>
      </c>
      <c r="M547">
        <v>0.99988999999999995</v>
      </c>
      <c r="N547">
        <v>-1.378473E-2</v>
      </c>
      <c r="O547">
        <v>5.4979690000000001E-3</v>
      </c>
      <c r="P547">
        <v>0.99422480000000002</v>
      </c>
      <c r="Q547">
        <v>-0.1066208</v>
      </c>
      <c r="R547">
        <v>-1.222115E-2</v>
      </c>
      <c r="S547">
        <v>2.9264220000000001</v>
      </c>
      <c r="T547">
        <v>-0.78058050000000001</v>
      </c>
      <c r="U547">
        <v>-0.5593262</v>
      </c>
      <c r="V547">
        <v>1.7685240000000001E-2</v>
      </c>
      <c r="W547">
        <v>-9.2907089999999998E-2</v>
      </c>
      <c r="X547">
        <v>0.99551769999999995</v>
      </c>
      <c r="Y547">
        <v>0.18632660000000001</v>
      </c>
      <c r="Z547">
        <v>-2.6888349999999998E-2</v>
      </c>
      <c r="AA547">
        <v>0.98211990000000005</v>
      </c>
      <c r="AB547">
        <v>25</v>
      </c>
      <c r="AC547">
        <v>0.63239999999996099</v>
      </c>
      <c r="AD547">
        <v>-0.2345652</v>
      </c>
      <c r="AE547">
        <v>-0.169800000000009</v>
      </c>
      <c r="AF547">
        <v>0.153568065608893</v>
      </c>
      <c r="AG547">
        <v>-0.2345652</v>
      </c>
      <c r="AH547">
        <v>0.55964090926545296</v>
      </c>
      <c r="AI547">
        <v>112.00825708107</v>
      </c>
      <c r="AJ547">
        <v>74.655466551922501</v>
      </c>
      <c r="AK547">
        <v>0.62594083678041001</v>
      </c>
      <c r="AL547">
        <v>95.330872126423699</v>
      </c>
      <c r="AM547">
        <v>88.982255125155703</v>
      </c>
      <c r="AN547">
        <v>0.99999999304970699</v>
      </c>
    </row>
    <row r="548" spans="1:40" x14ac:dyDescent="0.25">
      <c r="A548" t="str">
        <f>"20190303154108150"</f>
        <v>20190303154108150</v>
      </c>
      <c r="B548" t="str">
        <f>"1551598868139970"</f>
        <v>1551598868139970</v>
      </c>
      <c r="C548" t="s">
        <v>40</v>
      </c>
      <c r="D548">
        <v>5.7234170000000004</v>
      </c>
      <c r="E548">
        <v>0.56497010000000003</v>
      </c>
      <c r="F548" t="s">
        <v>42</v>
      </c>
      <c r="G548">
        <v>-390.92360000000002</v>
      </c>
      <c r="H548">
        <v>0.89117029999999997</v>
      </c>
      <c r="I548">
        <v>367.39370000000002</v>
      </c>
      <c r="J548">
        <v>-391.63780000000003</v>
      </c>
      <c r="K548">
        <v>1.120341</v>
      </c>
      <c r="L548">
        <v>367.55889999999999</v>
      </c>
      <c r="M548">
        <v>0.99988869999999996</v>
      </c>
      <c r="N548">
        <v>-1.3865580000000001E-2</v>
      </c>
      <c r="O548">
        <v>5.5021169999999999E-3</v>
      </c>
      <c r="P548">
        <v>0.99420799999999998</v>
      </c>
      <c r="Q548">
        <v>-0.1067586</v>
      </c>
      <c r="R548">
        <v>-1.2375000000000001E-2</v>
      </c>
      <c r="S548">
        <v>2.926971</v>
      </c>
      <c r="T548">
        <v>-0.77975939999999999</v>
      </c>
      <c r="U548">
        <v>-0.55822749999999999</v>
      </c>
      <c r="V548">
        <v>1.78430999999999E-2</v>
      </c>
      <c r="W548">
        <v>-9.2964649999999996E-2</v>
      </c>
      <c r="X548">
        <v>0.99550950000000005</v>
      </c>
      <c r="Y548">
        <v>0.1859674</v>
      </c>
      <c r="Z548">
        <v>-2.6817580000000001E-2</v>
      </c>
      <c r="AA548">
        <v>0.98218989999999995</v>
      </c>
      <c r="AB548">
        <v>25</v>
      </c>
      <c r="AC548">
        <v>0.71420000000000505</v>
      </c>
      <c r="AD548">
        <v>-0.22917069999999901</v>
      </c>
      <c r="AE548">
        <v>-0.16519999999997001</v>
      </c>
      <c r="AF548">
        <v>0.15406974311803401</v>
      </c>
      <c r="AG548">
        <v>-0.22917069999999901</v>
      </c>
      <c r="AH548">
        <v>0.64977544617834304</v>
      </c>
      <c r="AI548">
        <v>108.941040298766</v>
      </c>
      <c r="AJ548">
        <v>76.660811497535207</v>
      </c>
      <c r="AK548">
        <v>0.706020414675958</v>
      </c>
      <c r="AL548">
        <v>95.334184457946506</v>
      </c>
      <c r="AM548">
        <v>88.973164125626298</v>
      </c>
      <c r="AN548">
        <v>0.99999998347874097</v>
      </c>
    </row>
    <row r="549" spans="1:40" x14ac:dyDescent="0.25">
      <c r="A549" t="str">
        <f>"20190303154108164"</f>
        <v>20190303154108164</v>
      </c>
      <c r="B549" t="str">
        <f>"1551598868159490"</f>
        <v>1551598868159490</v>
      </c>
      <c r="C549" t="s">
        <v>40</v>
      </c>
      <c r="D549">
        <v>5.816649</v>
      </c>
      <c r="E549">
        <v>0.56500169999999905</v>
      </c>
      <c r="F549" t="s">
        <v>42</v>
      </c>
      <c r="G549">
        <v>-390.90989999999999</v>
      </c>
      <c r="H549">
        <v>0.92641459999999998</v>
      </c>
      <c r="I549">
        <v>367.41950000000003</v>
      </c>
      <c r="J549">
        <v>-391.48849999999999</v>
      </c>
      <c r="K549">
        <v>1.1204190000000001</v>
      </c>
      <c r="L549">
        <v>367.55970000000002</v>
      </c>
      <c r="M549">
        <v>0.99988759999999999</v>
      </c>
      <c r="N549">
        <v>-1.3942349999999999E-2</v>
      </c>
      <c r="O549">
        <v>5.5062890000000001E-3</v>
      </c>
      <c r="P549">
        <v>0.99420649999999999</v>
      </c>
      <c r="Q549">
        <v>-0.106766</v>
      </c>
      <c r="R549">
        <v>-1.244374E-2</v>
      </c>
      <c r="S549">
        <v>2.9267880000000002</v>
      </c>
      <c r="T549">
        <v>-0.77975899999999998</v>
      </c>
      <c r="U549">
        <v>-0.5591431</v>
      </c>
      <c r="V549">
        <v>1.7915980000000001E-2</v>
      </c>
      <c r="W549">
        <v>-9.2895720000000001E-2</v>
      </c>
      <c r="X549">
        <v>0.99551460000000003</v>
      </c>
      <c r="Y549">
        <v>0.18626619999999999</v>
      </c>
      <c r="Z549">
        <v>-2.6867309999999998E-2</v>
      </c>
      <c r="AA549">
        <v>0.98213189999999995</v>
      </c>
      <c r="AB549">
        <v>25</v>
      </c>
      <c r="AC549">
        <v>0.57859999999999401</v>
      </c>
      <c r="AD549">
        <v>-0.19400439999999999</v>
      </c>
      <c r="AE549">
        <v>-0.140199999999993</v>
      </c>
      <c r="AF549">
        <v>0.12961967736350699</v>
      </c>
      <c r="AG549">
        <v>-0.19400439999999999</v>
      </c>
      <c r="AH549">
        <v>0.522350263890902</v>
      </c>
      <c r="AI549">
        <v>109.822918142592</v>
      </c>
      <c r="AJ549">
        <v>76.063721125021104</v>
      </c>
      <c r="AK549">
        <v>0.57209157148665901</v>
      </c>
      <c r="AL549">
        <v>95.330218031344202</v>
      </c>
      <c r="AM549">
        <v>88.968976206974801</v>
      </c>
      <c r="AN549">
        <v>0.99999995797341801</v>
      </c>
    </row>
    <row r="550" spans="1:40" x14ac:dyDescent="0.25">
      <c r="A550" t="str">
        <f>"20190303154108184"</f>
        <v>20190303154108184</v>
      </c>
      <c r="B550" t="str">
        <f>"1551598868179985"</f>
        <v>1551598868179985</v>
      </c>
      <c r="C550" t="s">
        <v>40</v>
      </c>
      <c r="D550">
        <v>5.7054299999999998</v>
      </c>
      <c r="E550">
        <v>0.56508879999999995</v>
      </c>
      <c r="F550" t="s">
        <v>42</v>
      </c>
      <c r="G550">
        <v>-390.69200000000001</v>
      </c>
      <c r="H550">
        <v>0.90822729999999996</v>
      </c>
      <c r="I550">
        <v>367.40730000000002</v>
      </c>
      <c r="J550">
        <v>-391.26850000000002</v>
      </c>
      <c r="K550">
        <v>1.12052</v>
      </c>
      <c r="L550">
        <v>367.5609</v>
      </c>
      <c r="M550">
        <v>0.99988630000000001</v>
      </c>
      <c r="N550">
        <v>-1.404537E-2</v>
      </c>
      <c r="O550">
        <v>5.5126539999999996E-3</v>
      </c>
      <c r="P550">
        <v>0.99422069999999996</v>
      </c>
      <c r="Q550">
        <v>-0.1066276</v>
      </c>
      <c r="R550">
        <v>-1.249276E-2</v>
      </c>
      <c r="S550">
        <v>2.9267270000000001</v>
      </c>
      <c r="T550">
        <v>-0.77979119999999902</v>
      </c>
      <c r="U550">
        <v>-0.5597839</v>
      </c>
      <c r="V550">
        <v>1.797141E-2</v>
      </c>
      <c r="W550">
        <v>-9.2654459999999994E-2</v>
      </c>
      <c r="X550">
        <v>0.99553610000000003</v>
      </c>
      <c r="Y550">
        <v>0.18647330000000001</v>
      </c>
      <c r="Z550">
        <v>-2.6907609999999998E-2</v>
      </c>
      <c r="AA550">
        <v>0.98209150000000001</v>
      </c>
      <c r="AB550">
        <v>25</v>
      </c>
      <c r="AC550">
        <v>0.57650000000006596</v>
      </c>
      <c r="AD550">
        <v>-0.2122927</v>
      </c>
      <c r="AE550">
        <v>-0.153599999999983</v>
      </c>
      <c r="AF550">
        <v>0.139156633229847</v>
      </c>
      <c r="AG550">
        <v>-0.2122927</v>
      </c>
      <c r="AH550">
        <v>0.510950184361599</v>
      </c>
      <c r="AI550">
        <v>111.845081993024</v>
      </c>
      <c r="AJ550">
        <v>74.765070657444994</v>
      </c>
      <c r="AK550">
        <v>0.57052857066435103</v>
      </c>
      <c r="AL550">
        <v>95.316334891975998</v>
      </c>
      <c r="AM550">
        <v>88.965809359073106</v>
      </c>
      <c r="AN550">
        <v>0.99999997346924396</v>
      </c>
    </row>
    <row r="551" spans="1:40" x14ac:dyDescent="0.25">
      <c r="A551" t="str">
        <f>"20190303154108206"</f>
        <v>20190303154108206</v>
      </c>
      <c r="B551" t="str">
        <f>"1551598868199506"</f>
        <v>1551598868199506</v>
      </c>
      <c r="C551" t="s">
        <v>40</v>
      </c>
      <c r="D551">
        <v>5.8398909999999997</v>
      </c>
      <c r="E551">
        <v>0.54525140000000005</v>
      </c>
      <c r="F551" t="s">
        <v>42</v>
      </c>
      <c r="G551">
        <v>-390.46769999999998</v>
      </c>
      <c r="H551">
        <v>0.90760859999999999</v>
      </c>
      <c r="I551">
        <v>367.40730000000002</v>
      </c>
      <c r="J551">
        <v>-391.02069999999998</v>
      </c>
      <c r="K551">
        <v>1.1206149999999999</v>
      </c>
      <c r="L551">
        <v>367.56229999999999</v>
      </c>
      <c r="M551">
        <v>0.99988469999999996</v>
      </c>
      <c r="N551">
        <v>-1.414748E-2</v>
      </c>
      <c r="O551">
        <v>5.5199740000000004E-3</v>
      </c>
      <c r="P551">
        <v>0.99426890000000001</v>
      </c>
      <c r="Q551">
        <v>-0.10618950000000001</v>
      </c>
      <c r="R551">
        <v>-1.2384559999999999E-2</v>
      </c>
      <c r="S551">
        <v>2.9269099999999999</v>
      </c>
      <c r="T551">
        <v>-0.77818909999999997</v>
      </c>
      <c r="U551">
        <v>-0.5607605</v>
      </c>
      <c r="V551">
        <v>1.7870839999999999E-2</v>
      </c>
      <c r="W551">
        <v>-9.2114080000000001E-2</v>
      </c>
      <c r="X551">
        <v>0.99558809999999998</v>
      </c>
      <c r="Y551">
        <v>0.1867991</v>
      </c>
      <c r="Z551">
        <v>-2.6909929999999999E-2</v>
      </c>
      <c r="AA551">
        <v>0.9820295</v>
      </c>
      <c r="AB551">
        <v>25</v>
      </c>
      <c r="AC551">
        <v>0.55299999999999705</v>
      </c>
      <c r="AD551">
        <v>-0.21300639999999901</v>
      </c>
      <c r="AE551">
        <v>-0.15499999999997199</v>
      </c>
      <c r="AF551">
        <v>0.13893824473666799</v>
      </c>
      <c r="AG551">
        <v>-0.21300639999999901</v>
      </c>
      <c r="AH551">
        <v>0.48536889727358801</v>
      </c>
      <c r="AI551">
        <v>112.875327799084</v>
      </c>
      <c r="AJ551">
        <v>74.026077971846803</v>
      </c>
      <c r="AK551">
        <v>0.547958510046194</v>
      </c>
      <c r="AL551">
        <v>95.285240184951206</v>
      </c>
      <c r="AM551">
        <v>88.971649260436706</v>
      </c>
      <c r="AN551">
        <v>1.00000001775908</v>
      </c>
    </row>
    <row r="552" spans="1:40" x14ac:dyDescent="0.25">
      <c r="A552" t="str">
        <f>"20190303154108227"</f>
        <v>20190303154108227</v>
      </c>
      <c r="B552" t="str">
        <f>"1551598868220001"</f>
        <v>1551598868220001</v>
      </c>
      <c r="C552" t="s">
        <v>40</v>
      </c>
      <c r="D552">
        <v>5.6963179999999998</v>
      </c>
      <c r="E552">
        <v>0.51200190000000001</v>
      </c>
      <c r="F552" t="s">
        <v>42</v>
      </c>
      <c r="G552">
        <v>-390.21469999999999</v>
      </c>
      <c r="H552">
        <v>0.97429670000000002</v>
      </c>
      <c r="I552">
        <v>367.4529</v>
      </c>
      <c r="J552">
        <v>-390.77510000000001</v>
      </c>
      <c r="K552">
        <v>1.120695</v>
      </c>
      <c r="L552">
        <v>367.56369999999998</v>
      </c>
      <c r="M552">
        <v>0.99988339999999998</v>
      </c>
      <c r="N552">
        <v>-1.423573E-2</v>
      </c>
      <c r="O552">
        <v>5.5272680000000001E-3</v>
      </c>
      <c r="P552">
        <v>0.99430090000000004</v>
      </c>
      <c r="Q552">
        <v>-0.1058854</v>
      </c>
      <c r="R552">
        <v>-1.241658E-2</v>
      </c>
      <c r="S552">
        <v>2.9550169999999998</v>
      </c>
      <c r="T552">
        <v>-0.53655200000000003</v>
      </c>
      <c r="U552">
        <v>-0.400177</v>
      </c>
      <c r="V552">
        <v>1.7910390000000002E-2</v>
      </c>
      <c r="W552">
        <v>-9.1721709999999998E-2</v>
      </c>
      <c r="X552">
        <v>0.99562360000000005</v>
      </c>
      <c r="Y552">
        <v>0.13721630000000001</v>
      </c>
      <c r="Z552">
        <v>-1.420456E-2</v>
      </c>
      <c r="AA552">
        <v>0.99043919999999996</v>
      </c>
      <c r="AB552">
        <v>25</v>
      </c>
      <c r="AC552">
        <v>0.560400000000015</v>
      </c>
      <c r="AD552">
        <v>-0.14639830000000001</v>
      </c>
      <c r="AE552">
        <v>-0.110799999999983</v>
      </c>
      <c r="AF552">
        <v>0.106876625570549</v>
      </c>
      <c r="AG552">
        <v>-0.14639830000000001</v>
      </c>
      <c r="AH552">
        <v>0.525279484337006</v>
      </c>
      <c r="AI552">
        <v>105.275511104681</v>
      </c>
      <c r="AJ552">
        <v>78.499234695510793</v>
      </c>
      <c r="AK552">
        <v>0.55567401594962895</v>
      </c>
      <c r="AL552">
        <v>95.262663538833493</v>
      </c>
      <c r="AM552">
        <v>88.9694106453519</v>
      </c>
      <c r="AN552">
        <v>1.0000000035161101</v>
      </c>
    </row>
    <row r="553" spans="1:40" x14ac:dyDescent="0.25">
      <c r="A553" t="str">
        <f>"20190303154108250"</f>
        <v>20190303154108250</v>
      </c>
      <c r="B553" t="str">
        <f>"1551598868239524"</f>
        <v>1551598868239524</v>
      </c>
      <c r="C553" t="s">
        <v>40</v>
      </c>
      <c r="D553">
        <v>5.6885659999999998</v>
      </c>
      <c r="E553">
        <v>0.51086719999999997</v>
      </c>
      <c r="F553" t="s">
        <v>41</v>
      </c>
      <c r="G553">
        <v>-374.41090000000003</v>
      </c>
      <c r="H553" s="1">
        <v>-2.8722339999999999E-6</v>
      </c>
      <c r="I553">
        <v>366.84160000000003</v>
      </c>
      <c r="J553">
        <v>-390.5258</v>
      </c>
      <c r="K553">
        <v>1.12076</v>
      </c>
      <c r="L553">
        <v>367.565</v>
      </c>
      <c r="M553">
        <v>0.9998823</v>
      </c>
      <c r="N553">
        <v>-1.431344E-2</v>
      </c>
      <c r="O553">
        <v>5.5347540000000002E-3</v>
      </c>
      <c r="P553">
        <v>0.99430410000000002</v>
      </c>
      <c r="Q553">
        <v>-0.10586130000000001</v>
      </c>
      <c r="R553">
        <v>-1.2370280000000001E-2</v>
      </c>
      <c r="S553">
        <v>2.9936829999999999</v>
      </c>
      <c r="T553">
        <v>-0.2050208</v>
      </c>
      <c r="U553">
        <v>-0.13208010000000001</v>
      </c>
      <c r="V553">
        <v>1.7871519999999998E-2</v>
      </c>
      <c r="W553">
        <v>-9.1620240000000006E-2</v>
      </c>
      <c r="X553">
        <v>0.99563369999999995</v>
      </c>
      <c r="Y553">
        <v>4.945799E-2</v>
      </c>
      <c r="Z553">
        <v>-2.3447149999999998E-3</v>
      </c>
      <c r="AA553">
        <v>0.99877349999999998</v>
      </c>
      <c r="AB553">
        <v>25</v>
      </c>
      <c r="AC553">
        <v>16.114899999999899</v>
      </c>
      <c r="AD553">
        <v>-1.120762872234</v>
      </c>
      <c r="AE553">
        <v>-0.72339999999996896</v>
      </c>
      <c r="AF553">
        <v>0.80868634256583705</v>
      </c>
      <c r="AG553">
        <v>-1.120762872234</v>
      </c>
      <c r="AH553">
        <v>16.033252675175699</v>
      </c>
      <c r="AI553">
        <v>93.993548103042897</v>
      </c>
      <c r="AJ553">
        <v>87.1125582750593</v>
      </c>
      <c r="AK553">
        <v>16.0927087329157</v>
      </c>
      <c r="AL553">
        <v>95.256824843931199</v>
      </c>
      <c r="AM553">
        <v>88.971657229374699</v>
      </c>
      <c r="AN553">
        <v>1.0000000620902201</v>
      </c>
    </row>
    <row r="554" spans="1:40" x14ac:dyDescent="0.25">
      <c r="A554" t="str">
        <f>"20190303154108266"</f>
        <v>20190303154108266</v>
      </c>
      <c r="B554" t="str">
        <f>"1551598868260017"</f>
        <v>1551598868260017</v>
      </c>
      <c r="C554" t="s">
        <v>40</v>
      </c>
      <c r="D554">
        <v>5.6977799999999998</v>
      </c>
      <c r="E554">
        <v>0.50991640000000005</v>
      </c>
      <c r="F554" t="s">
        <v>41</v>
      </c>
      <c r="G554">
        <v>-360.71269999999998</v>
      </c>
      <c r="H554" s="1">
        <v>-4.5452229999999997E-6</v>
      </c>
      <c r="I554">
        <v>366.35390000000001</v>
      </c>
      <c r="J554">
        <v>-390.35109999999997</v>
      </c>
      <c r="K554">
        <v>1.1208009999999999</v>
      </c>
      <c r="L554">
        <v>367.56599999999997</v>
      </c>
      <c r="M554">
        <v>0.99988160000000004</v>
      </c>
      <c r="N554">
        <v>-1.4361209999999999E-2</v>
      </c>
      <c r="O554">
        <v>5.5401290000000004E-3</v>
      </c>
      <c r="P554">
        <v>0.99428079999999996</v>
      </c>
      <c r="Q554">
        <v>-0.1060729</v>
      </c>
      <c r="R554">
        <v>-1.2441549999999999E-2</v>
      </c>
      <c r="S554">
        <v>3.0036930000000002</v>
      </c>
      <c r="T554">
        <v>-0.1129175</v>
      </c>
      <c r="U554">
        <v>-0.1220093</v>
      </c>
      <c r="V554">
        <v>1.7947870000000001E-2</v>
      </c>
      <c r="W554">
        <v>-9.178451E-2</v>
      </c>
      <c r="X554">
        <v>0.99561719999999998</v>
      </c>
      <c r="Y554">
        <v>4.6075379999999999E-2</v>
      </c>
      <c r="Z554">
        <v>-1.325155E-3</v>
      </c>
      <c r="AA554">
        <v>0.99893710000000002</v>
      </c>
      <c r="AB554">
        <v>25</v>
      </c>
      <c r="AC554">
        <v>29.638399999999901</v>
      </c>
      <c r="AD554">
        <v>-1.1208055452229999</v>
      </c>
      <c r="AE554">
        <v>-1.21209999999996</v>
      </c>
      <c r="AF554">
        <v>1.37433678890862</v>
      </c>
      <c r="AG554">
        <v>-1.1208055452229999</v>
      </c>
      <c r="AH554">
        <v>29.5889861148374</v>
      </c>
      <c r="AI554">
        <v>92.166944149815293</v>
      </c>
      <c r="AJ554">
        <v>87.340661018810593</v>
      </c>
      <c r="AK554">
        <v>29.642083361052599</v>
      </c>
      <c r="AL554">
        <v>95.266276627933806</v>
      </c>
      <c r="AM554">
        <v>88.967247822134695</v>
      </c>
      <c r="AN554">
        <v>1.0000000656246499</v>
      </c>
    </row>
    <row r="555" spans="1:40" x14ac:dyDescent="0.25">
      <c r="A555" t="str">
        <f>"20190303154108285"</f>
        <v>20190303154108285</v>
      </c>
      <c r="B555" t="str">
        <f>"1551598868279537"</f>
        <v>1551598868279537</v>
      </c>
      <c r="C555" t="s">
        <v>40</v>
      </c>
      <c r="D555">
        <v>5.6681910000000002</v>
      </c>
      <c r="E555">
        <v>0.50989620000000002</v>
      </c>
      <c r="F555" t="s">
        <v>41</v>
      </c>
      <c r="G555">
        <v>-348.5324</v>
      </c>
      <c r="H555" s="1">
        <v>-1.5177929999999999E-6</v>
      </c>
      <c r="I555">
        <v>365.9708</v>
      </c>
      <c r="J555">
        <v>-390.13729999999998</v>
      </c>
      <c r="K555">
        <v>1.1208320000000001</v>
      </c>
      <c r="L555">
        <v>367.56729999999999</v>
      </c>
      <c r="M555">
        <v>0.99988089999999996</v>
      </c>
      <c r="N555">
        <v>-1.441364E-2</v>
      </c>
      <c r="O555">
        <v>5.546484E-3</v>
      </c>
      <c r="P555">
        <v>0.99427600000000005</v>
      </c>
      <c r="Q555">
        <v>-0.1060758</v>
      </c>
      <c r="R555">
        <v>-1.278558E-2</v>
      </c>
      <c r="S555">
        <v>3.0072939999999999</v>
      </c>
      <c r="T555">
        <v>-8.0599779999999996E-2</v>
      </c>
      <c r="U555">
        <v>-0.1147156</v>
      </c>
      <c r="V555">
        <v>1.8298180000000001E-2</v>
      </c>
      <c r="W555">
        <v>-9.1735349999999993E-2</v>
      </c>
      <c r="X555">
        <v>0.99561529999999998</v>
      </c>
      <c r="Y555">
        <v>4.3636000000000001E-2</v>
      </c>
      <c r="Z555">
        <v>-9.6779530000000002E-4</v>
      </c>
      <c r="AA555">
        <v>0.99904700000000002</v>
      </c>
      <c r="AB555">
        <v>25</v>
      </c>
      <c r="AC555">
        <v>41.604900000000001</v>
      </c>
      <c r="AD555">
        <v>-1.120833517793</v>
      </c>
      <c r="AE555">
        <v>-1.59649999999999</v>
      </c>
      <c r="AF555">
        <v>1.8259370418343801</v>
      </c>
      <c r="AG555">
        <v>-1.120833517793</v>
      </c>
      <c r="AH555">
        <v>41.565281945631099</v>
      </c>
      <c r="AI555">
        <v>91.543154243359496</v>
      </c>
      <c r="AJ555">
        <v>87.484649163316604</v>
      </c>
      <c r="AK555">
        <v>41.620463441378902</v>
      </c>
      <c r="AL555">
        <v>95.263448318774607</v>
      </c>
      <c r="AM555">
        <v>88.947092850796906</v>
      </c>
      <c r="AN555">
        <v>1.0000000117125101</v>
      </c>
    </row>
    <row r="556" spans="1:40" x14ac:dyDescent="0.25">
      <c r="A556" t="str">
        <f>"20190303154108306"</f>
        <v>20190303154108306</v>
      </c>
      <c r="B556" t="str">
        <f>"1551598868300033"</f>
        <v>1551598868300033</v>
      </c>
      <c r="C556" t="s">
        <v>40</v>
      </c>
      <c r="D556">
        <v>5.843445</v>
      </c>
      <c r="E556">
        <v>0.51012139999999995</v>
      </c>
      <c r="F556" t="s">
        <v>41</v>
      </c>
      <c r="G556">
        <v>-340.50549999999998</v>
      </c>
      <c r="H556" s="1">
        <v>-5.1704529999999996E-6</v>
      </c>
      <c r="I556">
        <v>365.65969999999999</v>
      </c>
      <c r="J556">
        <v>-389.8913</v>
      </c>
      <c r="K556">
        <v>1.120873</v>
      </c>
      <c r="L556">
        <v>367.5686</v>
      </c>
      <c r="M556">
        <v>0.99988010000000005</v>
      </c>
      <c r="N556">
        <v>-1.4466359999999999E-2</v>
      </c>
      <c r="O556">
        <v>5.5537889999999999E-3</v>
      </c>
      <c r="P556">
        <v>0.9942086</v>
      </c>
      <c r="Q556">
        <v>-0.1066573</v>
      </c>
      <c r="R556">
        <v>-1.3187229999999999E-2</v>
      </c>
      <c r="S556">
        <v>3.0085449999999998</v>
      </c>
      <c r="T556">
        <v>-6.7942139999999998E-2</v>
      </c>
      <c r="U556">
        <v>-0.1156311</v>
      </c>
      <c r="V556">
        <v>1.8706690000000002E-2</v>
      </c>
      <c r="W556">
        <v>-9.2265369999999999E-2</v>
      </c>
      <c r="X556">
        <v>0.99555870000000002</v>
      </c>
      <c r="Y556">
        <v>4.393702E-2</v>
      </c>
      <c r="Z556">
        <v>-8.5892439999999998E-4</v>
      </c>
      <c r="AA556">
        <v>0.99903390000000003</v>
      </c>
      <c r="AB556">
        <v>25</v>
      </c>
      <c r="AC556">
        <v>49.385800000000003</v>
      </c>
      <c r="AD556">
        <v>-1.120878170453</v>
      </c>
      <c r="AE556">
        <v>-1.90890000000001</v>
      </c>
      <c r="AF556">
        <v>2.1820551709560401</v>
      </c>
      <c r="AG556">
        <v>-1.120878170453</v>
      </c>
      <c r="AH556">
        <v>49.349052449558798</v>
      </c>
      <c r="AI556">
        <v>91.299880922198795</v>
      </c>
      <c r="AJ556">
        <v>87.468215434751002</v>
      </c>
      <c r="AK556">
        <v>49.409985937170603</v>
      </c>
      <c r="AL556">
        <v>95.293945725491199</v>
      </c>
      <c r="AM556">
        <v>88.923530806639107</v>
      </c>
      <c r="AN556">
        <v>0.99999998194884099</v>
      </c>
    </row>
    <row r="557" spans="1:40" x14ac:dyDescent="0.25">
      <c r="A557" t="str">
        <f>"20190303154108328"</f>
        <v>20190303154108328</v>
      </c>
      <c r="B557" t="str">
        <f>"1551598868319561"</f>
        <v>1551598868319561</v>
      </c>
      <c r="C557" t="s">
        <v>40</v>
      </c>
      <c r="D557">
        <v>5.6802140000000003</v>
      </c>
      <c r="E557">
        <v>0.5101755</v>
      </c>
      <c r="F557" t="s">
        <v>41</v>
      </c>
      <c r="G557">
        <v>-336.58760000000001</v>
      </c>
      <c r="H557" s="1">
        <v>-2.2505899999999998E-6</v>
      </c>
      <c r="I557">
        <v>365.4699</v>
      </c>
      <c r="J557">
        <v>-389.65710000000001</v>
      </c>
      <c r="K557">
        <v>1.1209089999999999</v>
      </c>
      <c r="L557">
        <v>367.56990000000002</v>
      </c>
      <c r="M557">
        <v>0.99987939999999997</v>
      </c>
      <c r="N557">
        <v>-1.4509910000000001E-2</v>
      </c>
      <c r="O557">
        <v>5.5603869999999904E-3</v>
      </c>
      <c r="P557">
        <v>0.99422849999999996</v>
      </c>
      <c r="Q557">
        <v>-0.1063897</v>
      </c>
      <c r="R557">
        <v>-1.382508E-2</v>
      </c>
      <c r="S557">
        <v>3.009125</v>
      </c>
      <c r="T557">
        <v>-6.327605E-2</v>
      </c>
      <c r="U557">
        <v>-0.1184692</v>
      </c>
      <c r="V557">
        <v>1.9351440000000001E-2</v>
      </c>
      <c r="W557">
        <v>-9.1954209999999995E-2</v>
      </c>
      <c r="X557">
        <v>0.99557519999999999</v>
      </c>
      <c r="Y557">
        <v>4.4878719999999997E-2</v>
      </c>
      <c r="Z557">
        <v>-8.3363800000000004E-4</v>
      </c>
      <c r="AA557">
        <v>0.99899210000000005</v>
      </c>
      <c r="AB557">
        <v>25</v>
      </c>
      <c r="AC557">
        <v>53.069499999999998</v>
      </c>
      <c r="AD557">
        <v>-1.1209112505900001</v>
      </c>
      <c r="AE557">
        <v>-2.1000000000000201</v>
      </c>
      <c r="AF557">
        <v>2.3940191635343999</v>
      </c>
      <c r="AG557">
        <v>-1.1209112505900001</v>
      </c>
      <c r="AH557">
        <v>53.0333790775247</v>
      </c>
      <c r="AI557">
        <v>91.209589441055897</v>
      </c>
      <c r="AJ557">
        <v>87.415323363661102</v>
      </c>
      <c r="AK557">
        <v>53.0992190730476</v>
      </c>
      <c r="AL557">
        <v>95.276041271750998</v>
      </c>
      <c r="AM557">
        <v>88.886456556443306</v>
      </c>
      <c r="AN557">
        <v>1.00000001691091</v>
      </c>
    </row>
    <row r="558" spans="1:40" x14ac:dyDescent="0.25">
      <c r="A558" t="str">
        <f>"20190303154108342"</f>
        <v>20190303154108342</v>
      </c>
      <c r="B558" t="str">
        <f>"1551598868329313"</f>
        <v>1551598868329313</v>
      </c>
      <c r="C558" t="s">
        <v>40</v>
      </c>
      <c r="D558">
        <v>5.6539169999999999</v>
      </c>
      <c r="E558">
        <v>0.51022209999999901</v>
      </c>
      <c r="F558" t="s">
        <v>41</v>
      </c>
      <c r="G558">
        <v>-334.61590000000001</v>
      </c>
      <c r="H558" s="1">
        <v>-3.0473099999999999E-6</v>
      </c>
      <c r="I558">
        <v>365.35879999999997</v>
      </c>
      <c r="J558">
        <v>-389.51010000000002</v>
      </c>
      <c r="K558">
        <v>1.1209279999999999</v>
      </c>
      <c r="L558">
        <v>367.57069999999999</v>
      </c>
      <c r="M558">
        <v>0.99987899999999996</v>
      </c>
      <c r="N558">
        <v>-1.453423E-2</v>
      </c>
      <c r="O558">
        <v>5.5644409999999998E-3</v>
      </c>
      <c r="P558">
        <v>0.9942299</v>
      </c>
      <c r="Q558">
        <v>-0.1063491</v>
      </c>
      <c r="R558">
        <v>-1.4038139999999999E-2</v>
      </c>
      <c r="S558">
        <v>3.0091860000000001</v>
      </c>
      <c r="T558">
        <v>-6.1281919999999997E-2</v>
      </c>
      <c r="U558">
        <v>-0.1208801</v>
      </c>
      <c r="V558">
        <v>1.9568519999999999E-2</v>
      </c>
      <c r="W558">
        <v>-9.1889399999999996E-2</v>
      </c>
      <c r="X558">
        <v>0.99557689999999999</v>
      </c>
      <c r="Y558">
        <v>4.5681630000000001E-2</v>
      </c>
      <c r="Z558">
        <v>-8.2952280000000002E-4</v>
      </c>
      <c r="AA558">
        <v>0.9989557</v>
      </c>
      <c r="AB558">
        <v>25</v>
      </c>
      <c r="AC558">
        <v>54.894199999999998</v>
      </c>
      <c r="AD558">
        <v>-1.12093104731</v>
      </c>
      <c r="AE558">
        <v>-2.2119000000000102</v>
      </c>
      <c r="AF558">
        <v>2.5163059966739199</v>
      </c>
      <c r="AG558">
        <v>-1.12093104731</v>
      </c>
      <c r="AH558">
        <v>54.858203533189197</v>
      </c>
      <c r="AI558">
        <v>91.1693465791341</v>
      </c>
      <c r="AJ558">
        <v>87.373725015036698</v>
      </c>
      <c r="AK558">
        <v>54.927322683438099</v>
      </c>
      <c r="AL558">
        <v>95.272312358733203</v>
      </c>
      <c r="AM558">
        <v>88.873970203031107</v>
      </c>
      <c r="AN558">
        <v>0.99999997631047899</v>
      </c>
    </row>
    <row r="559" spans="1:40" x14ac:dyDescent="0.25">
      <c r="A559" t="str">
        <f>"20190303154108354"</f>
        <v>20190303154108354</v>
      </c>
      <c r="B559" t="str">
        <f>"1551598868349809"</f>
        <v>1551598868349809</v>
      </c>
      <c r="C559" t="s">
        <v>40</v>
      </c>
      <c r="D559">
        <v>5.6608989999999997</v>
      </c>
      <c r="E559">
        <v>0.51042520000000002</v>
      </c>
      <c r="F559" t="s">
        <v>41</v>
      </c>
      <c r="G559">
        <v>-334.20659999999998</v>
      </c>
      <c r="H559" s="1">
        <v>-3.2276190000000001E-6</v>
      </c>
      <c r="I559">
        <v>365.33229999999998</v>
      </c>
      <c r="J559">
        <v>-389.36759999999998</v>
      </c>
      <c r="K559">
        <v>1.1209370000000001</v>
      </c>
      <c r="L559">
        <v>367.57150000000001</v>
      </c>
      <c r="M559">
        <v>0.9998785</v>
      </c>
      <c r="N559">
        <v>-1.45559E-2</v>
      </c>
      <c r="O559">
        <v>5.5688109999999999E-3</v>
      </c>
      <c r="P559">
        <v>0.9942126</v>
      </c>
      <c r="Q559">
        <v>-0.1064674</v>
      </c>
      <c r="R559">
        <v>-1.4350720000000001E-2</v>
      </c>
      <c r="S559">
        <v>3.0091860000000001</v>
      </c>
      <c r="T559">
        <v>-6.0992240000000003E-2</v>
      </c>
      <c r="U559">
        <v>-0.12179570000000001</v>
      </c>
      <c r="V559">
        <v>1.9885340000000001E-2</v>
      </c>
      <c r="W559">
        <v>-9.1986399999999996E-2</v>
      </c>
      <c r="X559">
        <v>0.99556169999999999</v>
      </c>
      <c r="Y559">
        <v>4.5989420000000003E-2</v>
      </c>
      <c r="Z559">
        <v>-8.3254819999999997E-4</v>
      </c>
      <c r="AA559">
        <v>0.99894159999999999</v>
      </c>
      <c r="AB559">
        <v>25</v>
      </c>
      <c r="AC559">
        <v>55.161000000000001</v>
      </c>
      <c r="AD559">
        <v>-1.1209402276189999</v>
      </c>
      <c r="AE559">
        <v>-2.2392000000000301</v>
      </c>
      <c r="AF559">
        <v>2.5453296452693701</v>
      </c>
      <c r="AG559">
        <v>-1.1209402276189999</v>
      </c>
      <c r="AH559">
        <v>55.124946928495703</v>
      </c>
      <c r="AI559">
        <v>91.163683059425296</v>
      </c>
      <c r="AJ559">
        <v>87.356312444275005</v>
      </c>
      <c r="AK559">
        <v>55.195063038884598</v>
      </c>
      <c r="AL559">
        <v>95.277893501490297</v>
      </c>
      <c r="AM559">
        <v>88.855726797751998</v>
      </c>
      <c r="AN559">
        <v>1.0000000115193799</v>
      </c>
    </row>
    <row r="560" spans="1:40" x14ac:dyDescent="0.25">
      <c r="A560" t="str">
        <f>"20190303154108373"</f>
        <v>20190303154108373</v>
      </c>
      <c r="B560" t="str">
        <f>"1551598868369330"</f>
        <v>1551598868369330</v>
      </c>
      <c r="C560" t="s">
        <v>40</v>
      </c>
      <c r="D560">
        <v>5.713355</v>
      </c>
      <c r="E560">
        <v>0.51069739999999997</v>
      </c>
      <c r="F560" t="s">
        <v>41</v>
      </c>
      <c r="G560">
        <v>-334.1866</v>
      </c>
      <c r="H560" s="1">
        <v>-3.2429879999999998E-6</v>
      </c>
      <c r="I560">
        <v>365.29379999999998</v>
      </c>
      <c r="J560">
        <v>-389.166</v>
      </c>
      <c r="K560">
        <v>1.1209579999999999</v>
      </c>
      <c r="L560">
        <v>367.5727</v>
      </c>
      <c r="M560">
        <v>0.99987820000000005</v>
      </c>
      <c r="N560">
        <v>-1.4582660000000001E-2</v>
      </c>
      <c r="O560">
        <v>5.5748119999999898E-3</v>
      </c>
      <c r="P560">
        <v>0.99418850000000003</v>
      </c>
      <c r="Q560">
        <v>-0.10670449999999999</v>
      </c>
      <c r="R560">
        <v>-1.42709E-2</v>
      </c>
      <c r="S560">
        <v>3.009125</v>
      </c>
      <c r="T560">
        <v>-6.1126949999999999E-2</v>
      </c>
      <c r="U560">
        <v>-0.1242065</v>
      </c>
      <c r="V560">
        <v>1.9811349999999998E-2</v>
      </c>
      <c r="W560">
        <v>-9.2197189999999998E-2</v>
      </c>
      <c r="X560">
        <v>0.99554370000000003</v>
      </c>
      <c r="Y560">
        <v>4.6794889999999999E-2</v>
      </c>
      <c r="Z560">
        <v>-8.4838990000000005E-4</v>
      </c>
      <c r="AA560">
        <v>0.99890420000000002</v>
      </c>
      <c r="AB560">
        <v>25</v>
      </c>
      <c r="AC560">
        <v>54.979399999999998</v>
      </c>
      <c r="AD560">
        <v>-1.12096124298799</v>
      </c>
      <c r="AE560">
        <v>-2.2789000000000201</v>
      </c>
      <c r="AF560">
        <v>2.5843245064532301</v>
      </c>
      <c r="AG560">
        <v>-1.12096124298799</v>
      </c>
      <c r="AH560">
        <v>54.943038974002597</v>
      </c>
      <c r="AI560">
        <v>91.167509830926704</v>
      </c>
      <c r="AJ560">
        <v>87.306995827317294</v>
      </c>
      <c r="AK560">
        <v>55.015205343265798</v>
      </c>
      <c r="AL560">
        <v>95.290022295635495</v>
      </c>
      <c r="AM560">
        <v>88.8599627131224</v>
      </c>
      <c r="AN560">
        <v>1.0000000350211999</v>
      </c>
    </row>
    <row r="561" spans="1:40" x14ac:dyDescent="0.25">
      <c r="A561" t="str">
        <f>"20190303154108385"</f>
        <v>20190303154108385</v>
      </c>
      <c r="B561" t="str">
        <f>"1551598868380066"</f>
        <v>1551598868380066</v>
      </c>
      <c r="C561" t="s">
        <v>40</v>
      </c>
      <c r="D561">
        <v>5.6671589999999998</v>
      </c>
      <c r="E561">
        <v>0.51076290000000002</v>
      </c>
      <c r="F561" t="s">
        <v>41</v>
      </c>
      <c r="G561">
        <v>-335.68990000000002</v>
      </c>
      <c r="H561" s="1">
        <v>-2.5930489999999999E-6</v>
      </c>
      <c r="I561">
        <v>365.33109999999999</v>
      </c>
      <c r="J561">
        <v>-389.0258</v>
      </c>
      <c r="K561">
        <v>1.12097</v>
      </c>
      <c r="L561">
        <v>367.57350000000002</v>
      </c>
      <c r="M561">
        <v>0.99987789999999999</v>
      </c>
      <c r="N561">
        <v>-1.459919E-2</v>
      </c>
      <c r="O561">
        <v>5.5792169999999896E-3</v>
      </c>
      <c r="P561">
        <v>0.99419139999999995</v>
      </c>
      <c r="Q561">
        <v>-0.1066816</v>
      </c>
      <c r="R561">
        <v>-1.4229810000000001E-2</v>
      </c>
      <c r="S561">
        <v>3.0090029999999999</v>
      </c>
      <c r="T561">
        <v>-6.3074350000000001E-2</v>
      </c>
      <c r="U561">
        <v>-0.1261292</v>
      </c>
      <c r="V561">
        <v>1.9774549999999998E-2</v>
      </c>
      <c r="W561">
        <v>-9.2157740000000002E-2</v>
      </c>
      <c r="X561">
        <v>0.99554810000000005</v>
      </c>
      <c r="Y561">
        <v>4.7436979999999997E-2</v>
      </c>
      <c r="Z561">
        <v>-8.7889089999999999E-4</v>
      </c>
      <c r="AA561">
        <v>0.99887380000000003</v>
      </c>
      <c r="AB561">
        <v>25</v>
      </c>
      <c r="AC561">
        <v>53.335899999999903</v>
      </c>
      <c r="AD561">
        <v>-1.120972593049</v>
      </c>
      <c r="AE561">
        <v>-2.2424000000000301</v>
      </c>
      <c r="AF561">
        <v>2.5388498656219598</v>
      </c>
      <c r="AG561">
        <v>-1.120972593049</v>
      </c>
      <c r="AH561">
        <v>53.299055620988099</v>
      </c>
      <c r="AI561">
        <v>91.203488891668599</v>
      </c>
      <c r="AJ561">
        <v>87.272831394182802</v>
      </c>
      <c r="AK561">
        <v>53.3712625696987</v>
      </c>
      <c r="AL561">
        <v>95.287752230145102</v>
      </c>
      <c r="AM561">
        <v>88.862084826990497</v>
      </c>
      <c r="AN561">
        <v>1.0000000506416</v>
      </c>
    </row>
    <row r="562" spans="1:40" x14ac:dyDescent="0.25">
      <c r="A562" t="str">
        <f>"20190303154108407"</f>
        <v>20190303154108407</v>
      </c>
      <c r="B562" t="str">
        <f>"1551598868399585"</f>
        <v>1551598868399585</v>
      </c>
      <c r="C562" t="s">
        <v>40</v>
      </c>
      <c r="D562">
        <v>5.6655639999999998</v>
      </c>
      <c r="E562">
        <v>0.51066329999999904</v>
      </c>
      <c r="F562" t="s">
        <v>41</v>
      </c>
      <c r="G562">
        <v>-335.76080000000002</v>
      </c>
      <c r="H562" s="1">
        <v>-2.5680709999999999E-6</v>
      </c>
      <c r="I562">
        <v>365.33420000000001</v>
      </c>
      <c r="J562">
        <v>-388.791</v>
      </c>
      <c r="K562">
        <v>1.1209880000000001</v>
      </c>
      <c r="L562">
        <v>367.57479999999998</v>
      </c>
      <c r="M562">
        <v>0.99987740000000003</v>
      </c>
      <c r="N562">
        <v>-1.4624099999999999E-2</v>
      </c>
      <c r="O562">
        <v>5.5867750000000004E-3</v>
      </c>
      <c r="P562">
        <v>0.99423490000000003</v>
      </c>
      <c r="Q562">
        <v>-0.10630680000000001</v>
      </c>
      <c r="R562">
        <v>-1.400055E-2</v>
      </c>
      <c r="S562">
        <v>3.0089419999999998</v>
      </c>
      <c r="T562">
        <v>-6.3323740000000003E-2</v>
      </c>
      <c r="U562">
        <v>-0.12649540000000001</v>
      </c>
      <c r="V562">
        <v>1.955283E-2</v>
      </c>
      <c r="W562">
        <v>-9.1757539999999999E-2</v>
      </c>
      <c r="X562">
        <v>0.99558939999999996</v>
      </c>
      <c r="Y562">
        <v>4.7566560000000001E-2</v>
      </c>
      <c r="Z562">
        <v>-8.8414149999999905E-4</v>
      </c>
      <c r="AA562">
        <v>0.99886770000000003</v>
      </c>
      <c r="AB562">
        <v>25</v>
      </c>
      <c r="AC562">
        <v>53.030199999999901</v>
      </c>
      <c r="AD562">
        <v>-1.1209905680709999</v>
      </c>
      <c r="AE562">
        <v>-2.2405999999999699</v>
      </c>
      <c r="AF562">
        <v>2.5357334607809299</v>
      </c>
      <c r="AG562">
        <v>-1.1209905680709999</v>
      </c>
      <c r="AH562">
        <v>52.993215575693</v>
      </c>
      <c r="AI562">
        <v>91.210439480853694</v>
      </c>
      <c r="AJ562">
        <v>87.260477759732694</v>
      </c>
      <c r="AK562">
        <v>53.0656900557196</v>
      </c>
      <c r="AL562">
        <v>95.264725125357302</v>
      </c>
      <c r="AM562">
        <v>88.874886942044597</v>
      </c>
      <c r="AN562">
        <v>1.00000000635011</v>
      </c>
    </row>
    <row r="563" spans="1:40" x14ac:dyDescent="0.25">
      <c r="A563" t="str">
        <f>"20190303154108420"</f>
        <v>20190303154108420</v>
      </c>
      <c r="B563" t="str">
        <f>"1551598868409345"</f>
        <v>1551598868409345</v>
      </c>
      <c r="C563" t="s">
        <v>40</v>
      </c>
      <c r="D563">
        <v>5.6853689999999997</v>
      </c>
      <c r="E563">
        <v>0.51060280000000002</v>
      </c>
      <c r="F563" t="s">
        <v>41</v>
      </c>
      <c r="G563">
        <v>-334.92939999999999</v>
      </c>
      <c r="H563" s="1">
        <v>-2.916656E-6</v>
      </c>
      <c r="I563">
        <v>365.3372</v>
      </c>
      <c r="J563">
        <v>-388.6481</v>
      </c>
      <c r="K563">
        <v>1.1210059999999999</v>
      </c>
      <c r="L563">
        <v>367.57560000000001</v>
      </c>
      <c r="M563">
        <v>0.99987720000000002</v>
      </c>
      <c r="N563">
        <v>-1.4637590000000001E-2</v>
      </c>
      <c r="O563">
        <v>5.59138E-3</v>
      </c>
      <c r="P563">
        <v>0.99422379999999999</v>
      </c>
      <c r="Q563">
        <v>-0.10648339999999901</v>
      </c>
      <c r="R563">
        <v>-1.342748E-2</v>
      </c>
      <c r="S563">
        <v>3.0089419999999998</v>
      </c>
      <c r="T563">
        <v>-6.2623380000000006E-2</v>
      </c>
      <c r="U563">
        <v>-0.125</v>
      </c>
      <c r="V563">
        <v>1.8984150000000002E-2</v>
      </c>
      <c r="W563">
        <v>-9.1920790000000002E-2</v>
      </c>
      <c r="X563">
        <v>0.99558530000000001</v>
      </c>
      <c r="Y563">
        <v>4.7076109999999997E-2</v>
      </c>
      <c r="Z563">
        <v>-8.6889230000000001E-4</v>
      </c>
      <c r="AA563">
        <v>0.99889090000000003</v>
      </c>
      <c r="AB563">
        <v>25</v>
      </c>
      <c r="AC563">
        <v>53.718699999999998</v>
      </c>
      <c r="AD563">
        <v>-1.121008916656</v>
      </c>
      <c r="AE563">
        <v>-2.2384000000000102</v>
      </c>
      <c r="AF563">
        <v>2.5376556789017002</v>
      </c>
      <c r="AG563">
        <v>-1.121008916656</v>
      </c>
      <c r="AH563">
        <v>53.682006146156297</v>
      </c>
      <c r="AI563">
        <v>91.194965264924505</v>
      </c>
      <c r="AJ563">
        <v>87.293528832193203</v>
      </c>
      <c r="AK563">
        <v>53.753643050605</v>
      </c>
      <c r="AL563">
        <v>95.274118605856899</v>
      </c>
      <c r="AM563">
        <v>88.907597500395099</v>
      </c>
      <c r="AN563">
        <v>0.99999995958076704</v>
      </c>
    </row>
    <row r="564" spans="1:40" x14ac:dyDescent="0.25">
      <c r="A564" t="str">
        <f>"20190303154108432"</f>
        <v>20190303154108432</v>
      </c>
      <c r="B564" t="str">
        <f>"1551598868429841"</f>
        <v>1551598868429841</v>
      </c>
      <c r="C564" t="s">
        <v>40</v>
      </c>
      <c r="D564">
        <v>5.6690860000000001</v>
      </c>
      <c r="E564">
        <v>0.51021949999999905</v>
      </c>
      <c r="F564" t="s">
        <v>41</v>
      </c>
      <c r="G564">
        <v>-334.95749999999998</v>
      </c>
      <c r="H564" s="1">
        <v>-2.8968279999999999E-6</v>
      </c>
      <c r="I564">
        <v>365.38099999999997</v>
      </c>
      <c r="J564">
        <v>-388.50319999999999</v>
      </c>
      <c r="K564">
        <v>1.1210169999999999</v>
      </c>
      <c r="L564">
        <v>367.57639999999998</v>
      </c>
      <c r="M564">
        <v>0.99987700000000002</v>
      </c>
      <c r="N564">
        <v>-1.4649870000000001E-2</v>
      </c>
      <c r="O564">
        <v>5.5959979999999996E-3</v>
      </c>
      <c r="P564">
        <v>0.99424109999999999</v>
      </c>
      <c r="Q564">
        <v>-0.106359</v>
      </c>
      <c r="R564">
        <v>-1.3132949999999999E-2</v>
      </c>
      <c r="S564">
        <v>3.008972</v>
      </c>
      <c r="T564">
        <v>-6.2824370000000004E-2</v>
      </c>
      <c r="U564">
        <v>-0.12298580000000001</v>
      </c>
      <c r="V564">
        <v>1.8694450000000001E-2</v>
      </c>
      <c r="W564">
        <v>-9.1783939999999994E-2</v>
      </c>
      <c r="X564">
        <v>0.99560340000000003</v>
      </c>
      <c r="Y564">
        <v>4.641294E-2</v>
      </c>
      <c r="Z564">
        <v>-8.5930220000000001E-4</v>
      </c>
      <c r="AA564">
        <v>0.99892199999999998</v>
      </c>
      <c r="AB564">
        <v>25</v>
      </c>
      <c r="AC564">
        <v>53.545699999999997</v>
      </c>
      <c r="AD564">
        <v>-1.1210198968280001</v>
      </c>
      <c r="AE564">
        <v>-2.1953999999999998</v>
      </c>
      <c r="AF564">
        <v>2.4939481369226399</v>
      </c>
      <c r="AG564">
        <v>-1.1210198968280001</v>
      </c>
      <c r="AH564">
        <v>53.509160615970302</v>
      </c>
      <c r="AI564">
        <v>91.198873141384894</v>
      </c>
      <c r="AJ564">
        <v>87.331496751846302</v>
      </c>
      <c r="AK564">
        <v>53.578976592917897</v>
      </c>
      <c r="AL564">
        <v>95.2662444304556</v>
      </c>
      <c r="AM564">
        <v>88.924283274796693</v>
      </c>
      <c r="AN564">
        <v>0.99999995209714099</v>
      </c>
    </row>
    <row r="565" spans="1:40" x14ac:dyDescent="0.25">
      <c r="A565" t="str">
        <f>"20190303154108451"</f>
        <v>20190303154108451</v>
      </c>
      <c r="B565" t="str">
        <f>"1551598868439605"</f>
        <v>1551598868439605</v>
      </c>
      <c r="C565" t="s">
        <v>40</v>
      </c>
      <c r="D565">
        <v>5.7297549999999999</v>
      </c>
      <c r="E565">
        <v>0.51008120000000001</v>
      </c>
      <c r="F565" t="s">
        <v>41</v>
      </c>
      <c r="G565">
        <v>-337.3972</v>
      </c>
      <c r="H565" s="1">
        <v>-1.9525099999999998E-6</v>
      </c>
      <c r="I565">
        <v>365.55470000000003</v>
      </c>
      <c r="J565">
        <v>-388.30540000000002</v>
      </c>
      <c r="K565">
        <v>1.1210310000000001</v>
      </c>
      <c r="L565">
        <v>367.57749999999999</v>
      </c>
      <c r="M565">
        <v>0.99987680000000001</v>
      </c>
      <c r="N565">
        <v>-1.466453E-2</v>
      </c>
      <c r="O565">
        <v>5.602264E-3</v>
      </c>
      <c r="P565">
        <v>0.99429000000000001</v>
      </c>
      <c r="Q565">
        <v>-0.1059836</v>
      </c>
      <c r="R565">
        <v>-1.245187E-2</v>
      </c>
      <c r="S565">
        <v>3.008759</v>
      </c>
      <c r="T565">
        <v>-6.5997600000000003E-2</v>
      </c>
      <c r="U565">
        <v>-0.1190186</v>
      </c>
      <c r="V565">
        <v>1.801999E-2</v>
      </c>
      <c r="W565">
        <v>-9.1393219999999997E-2</v>
      </c>
      <c r="X565">
        <v>0.99565179999999998</v>
      </c>
      <c r="Y565">
        <v>4.5106090000000001E-2</v>
      </c>
      <c r="Z565">
        <v>-8.661001E-4</v>
      </c>
      <c r="AA565">
        <v>0.99898180000000003</v>
      </c>
      <c r="AB565">
        <v>25</v>
      </c>
      <c r="AC565">
        <v>50.908200000000001</v>
      </c>
      <c r="AD565">
        <v>-1.12103295250999</v>
      </c>
      <c r="AE565">
        <v>-2.0227999999999602</v>
      </c>
      <c r="AF565">
        <v>2.30688322216441</v>
      </c>
      <c r="AG565">
        <v>-1.12103295250999</v>
      </c>
      <c r="AH565">
        <v>50.871438265888401</v>
      </c>
      <c r="AI565">
        <v>91.261103629963998</v>
      </c>
      <c r="AJ565">
        <v>87.403568914686502</v>
      </c>
      <c r="AK565">
        <v>50.936054581420201</v>
      </c>
      <c r="AL565">
        <v>95.243763218719806</v>
      </c>
      <c r="AM565">
        <v>88.963134839626804</v>
      </c>
      <c r="AN565">
        <v>0.99999997377240302</v>
      </c>
    </row>
    <row r="566" spans="1:40" x14ac:dyDescent="0.25">
      <c r="A566" t="str">
        <f>"20190303154108464"</f>
        <v>20190303154108464</v>
      </c>
      <c r="B566" t="str">
        <f>"1551598868460097"</f>
        <v>1551598868460097</v>
      </c>
      <c r="C566" t="s">
        <v>40</v>
      </c>
      <c r="D566">
        <v>5.6962549999999998</v>
      </c>
      <c r="E566">
        <v>0.50975079999999995</v>
      </c>
      <c r="F566" t="s">
        <v>41</v>
      </c>
      <c r="G566">
        <v>-337.62799999999999</v>
      </c>
      <c r="H566" s="1">
        <v>-1.8550799999999999E-6</v>
      </c>
      <c r="I566">
        <v>365.62569999999999</v>
      </c>
      <c r="J566">
        <v>-388.16149999999999</v>
      </c>
      <c r="K566">
        <v>1.121038</v>
      </c>
      <c r="L566">
        <v>367.57830000000001</v>
      </c>
      <c r="M566">
        <v>0.99987669999999995</v>
      </c>
      <c r="N566">
        <v>-1.467392E-2</v>
      </c>
      <c r="O566">
        <v>5.6067240000000004E-3</v>
      </c>
      <c r="P566">
        <v>0.99430300000000005</v>
      </c>
      <c r="Q566">
        <v>-0.1058775</v>
      </c>
      <c r="R566">
        <v>-1.23129E-2</v>
      </c>
      <c r="S566">
        <v>3.0086979999999999</v>
      </c>
      <c r="T566">
        <v>-6.6555260000000005E-2</v>
      </c>
      <c r="U566">
        <v>-0.1158752</v>
      </c>
      <c r="V566">
        <v>1.7885450000000001E-2</v>
      </c>
      <c r="W566">
        <v>-9.1277499999999998E-2</v>
      </c>
      <c r="X566">
        <v>0.99566489999999996</v>
      </c>
      <c r="Y566">
        <v>4.406939E-2</v>
      </c>
      <c r="Z566">
        <v>-8.5245320000000005E-4</v>
      </c>
      <c r="AA566">
        <v>0.99902809999999997</v>
      </c>
      <c r="AB566">
        <v>25</v>
      </c>
      <c r="AC566">
        <v>50.533499999999897</v>
      </c>
      <c r="AD566">
        <v>-1.12103985507999</v>
      </c>
      <c r="AE566">
        <v>-1.9526000000000101</v>
      </c>
      <c r="AF566">
        <v>2.2348289782243498</v>
      </c>
      <c r="AG566">
        <v>-1.12103985507999</v>
      </c>
      <c r="AH566">
        <v>50.496942473724303</v>
      </c>
      <c r="AI566">
        <v>91.270522934726898</v>
      </c>
      <c r="AJ566">
        <v>87.465930398039802</v>
      </c>
      <c r="AK566">
        <v>50.558801312068397</v>
      </c>
      <c r="AL566">
        <v>95.237104814458505</v>
      </c>
      <c r="AM566">
        <v>88.970888099574495</v>
      </c>
      <c r="AN566">
        <v>1.00000003220998</v>
      </c>
    </row>
    <row r="567" spans="1:40" x14ac:dyDescent="0.25">
      <c r="A567" t="str">
        <f>"20190303154108479"</f>
        <v>20190303154108479</v>
      </c>
      <c r="B567" t="str">
        <f>"1551598868469857"</f>
        <v>1551598868469857</v>
      </c>
      <c r="C567" t="s">
        <v>40</v>
      </c>
      <c r="D567">
        <v>5.7281690000000003</v>
      </c>
      <c r="E567">
        <v>0.50968359999999902</v>
      </c>
      <c r="F567" t="s">
        <v>41</v>
      </c>
      <c r="G567">
        <v>-339.49849999999998</v>
      </c>
      <c r="H567" s="1">
        <v>-1.184228E-6</v>
      </c>
      <c r="I567">
        <v>365.75470000000001</v>
      </c>
      <c r="J567">
        <v>-387.9932</v>
      </c>
      <c r="K567">
        <v>1.121046</v>
      </c>
      <c r="L567">
        <v>367.57929999999999</v>
      </c>
      <c r="M567">
        <v>0.9998766</v>
      </c>
      <c r="N567">
        <v>-1.468382E-2</v>
      </c>
      <c r="O567">
        <v>5.6117179999999999E-3</v>
      </c>
      <c r="P567">
        <v>0.99430200000000002</v>
      </c>
      <c r="Q567">
        <v>-0.1059079</v>
      </c>
      <c r="R567">
        <v>-1.2153570000000001E-2</v>
      </c>
      <c r="S567">
        <v>3.0083920000000002</v>
      </c>
      <c r="T567">
        <v>-6.9303509999999999E-2</v>
      </c>
      <c r="U567">
        <v>-0.1127319</v>
      </c>
      <c r="V567">
        <v>1.7731E-2</v>
      </c>
      <c r="W567">
        <v>-9.1298099999999993E-2</v>
      </c>
      <c r="X567">
        <v>0.99566569999999999</v>
      </c>
      <c r="Y567">
        <v>4.3035129999999998E-2</v>
      </c>
      <c r="Z567">
        <v>-8.5845589999999905E-4</v>
      </c>
      <c r="AA567">
        <v>0.99907319999999999</v>
      </c>
      <c r="AB567">
        <v>24</v>
      </c>
      <c r="AC567">
        <v>48.494700000000002</v>
      </c>
      <c r="AD567">
        <v>-1.1210471842280001</v>
      </c>
      <c r="AE567">
        <v>-1.82459999999997</v>
      </c>
      <c r="AF567">
        <v>2.0956208463678601</v>
      </c>
      <c r="AG567">
        <v>-1.1210471842280001</v>
      </c>
      <c r="AH567">
        <v>48.457837172577101</v>
      </c>
      <c r="AI567">
        <v>91.324034933900705</v>
      </c>
      <c r="AJ567">
        <v>87.523714068652893</v>
      </c>
      <c r="AK567">
        <v>48.516083487488899</v>
      </c>
      <c r="AL567">
        <v>95.238290442062194</v>
      </c>
      <c r="AM567">
        <v>88.979773939715997</v>
      </c>
      <c r="AN567">
        <v>0.99999995879054904</v>
      </c>
    </row>
    <row r="568" spans="1:40" x14ac:dyDescent="0.25">
      <c r="A568" t="str">
        <f>"20190303154108497"</f>
        <v>20190303154108497</v>
      </c>
      <c r="B568" t="str">
        <f>"1551598868490354"</f>
        <v>1551598868490354</v>
      </c>
      <c r="C568" t="s">
        <v>40</v>
      </c>
      <c r="D568">
        <v>5.6845059999999998</v>
      </c>
      <c r="E568">
        <v>0.50940669999999999</v>
      </c>
      <c r="F568" t="s">
        <v>41</v>
      </c>
      <c r="G568">
        <v>-340.56880000000001</v>
      </c>
      <c r="H568" s="1">
        <v>-5.1126879999999999E-6</v>
      </c>
      <c r="I568">
        <v>365.81650000000002</v>
      </c>
      <c r="J568">
        <v>-387.80329999999998</v>
      </c>
      <c r="K568">
        <v>1.121049</v>
      </c>
      <c r="L568">
        <v>367.5804</v>
      </c>
      <c r="M568">
        <v>0.99987619999999999</v>
      </c>
      <c r="N568">
        <v>-1.4693370000000001E-2</v>
      </c>
      <c r="O568">
        <v>5.6173710000000003E-3</v>
      </c>
      <c r="P568">
        <v>0.99428070000000002</v>
      </c>
      <c r="Q568">
        <v>-0.1061024</v>
      </c>
      <c r="R568">
        <v>-1.217614E-2</v>
      </c>
      <c r="S568">
        <v>3.0082089999999999</v>
      </c>
      <c r="T568">
        <v>-7.111025E-2</v>
      </c>
      <c r="U568">
        <v>-0.1118164</v>
      </c>
      <c r="V568">
        <v>1.7759099999999899E-2</v>
      </c>
      <c r="W568">
        <v>-9.1483380000000003E-2</v>
      </c>
      <c r="X568">
        <v>0.99564819999999998</v>
      </c>
      <c r="Y568">
        <v>4.2738720000000001E-2</v>
      </c>
      <c r="Z568">
        <v>-8.6930229999999996E-4</v>
      </c>
      <c r="AA568">
        <v>0.99908589999999997</v>
      </c>
      <c r="AB568">
        <v>24</v>
      </c>
      <c r="AC568">
        <v>47.234499999999898</v>
      </c>
      <c r="AD568">
        <v>-1.121054112688</v>
      </c>
      <c r="AE568">
        <v>-1.76389999999997</v>
      </c>
      <c r="AF568">
        <v>2.0280937186167001</v>
      </c>
      <c r="AG568">
        <v>-1.121054112688</v>
      </c>
      <c r="AH568">
        <v>47.197296150428798</v>
      </c>
      <c r="AI568">
        <v>91.359408560143706</v>
      </c>
      <c r="AJ568">
        <v>87.539482586303606</v>
      </c>
      <c r="AK568">
        <v>47.254149980359898</v>
      </c>
      <c r="AL568">
        <v>95.248950777487707</v>
      </c>
      <c r="AM568">
        <v>88.978139476522898</v>
      </c>
      <c r="AN568">
        <v>0.99999996630613597</v>
      </c>
    </row>
    <row r="569" spans="1:40" x14ac:dyDescent="0.25">
      <c r="A569" t="str">
        <f>"20190303154108520"</f>
        <v>20190303154108520</v>
      </c>
      <c r="B569" t="str">
        <f>"1551598868509873"</f>
        <v>1551598868509873</v>
      </c>
      <c r="C569" t="s">
        <v>40</v>
      </c>
      <c r="D569">
        <v>5.6893050000000001</v>
      </c>
      <c r="E569">
        <v>0.5091869</v>
      </c>
      <c r="F569" t="s">
        <v>41</v>
      </c>
      <c r="G569">
        <v>-342.27589999999998</v>
      </c>
      <c r="H569" s="1">
        <v>-4.2869219999999997E-6</v>
      </c>
      <c r="I569">
        <v>365.92259999999999</v>
      </c>
      <c r="J569">
        <v>-387.55270000000002</v>
      </c>
      <c r="K569">
        <v>1.1210599999999999</v>
      </c>
      <c r="L569">
        <v>367.58179999999999</v>
      </c>
      <c r="M569">
        <v>0.99987610000000005</v>
      </c>
      <c r="N569">
        <v>-1.4703630000000001E-2</v>
      </c>
      <c r="O569">
        <v>5.6241559999999999E-3</v>
      </c>
      <c r="P569">
        <v>0.99428539999999999</v>
      </c>
      <c r="Q569">
        <v>-0.1060401</v>
      </c>
      <c r="R569">
        <v>-1.235557E-2</v>
      </c>
      <c r="S569">
        <v>3.0079959999999999</v>
      </c>
      <c r="T569">
        <v>-7.4067949999999994E-2</v>
      </c>
      <c r="U569">
        <v>-0.1095276</v>
      </c>
      <c r="V569">
        <v>1.7945369999999999E-2</v>
      </c>
      <c r="W569">
        <v>-9.1410829999999998E-2</v>
      </c>
      <c r="X569">
        <v>0.99565150000000002</v>
      </c>
      <c r="Y569">
        <v>4.1987910000000003E-2</v>
      </c>
      <c r="Z569">
        <v>-8.8133789999999895E-4</v>
      </c>
      <c r="AA569">
        <v>0.9991177</v>
      </c>
      <c r="AB569">
        <v>24</v>
      </c>
      <c r="AC569">
        <v>45.276800000000001</v>
      </c>
      <c r="AD569">
        <v>-1.121064286922</v>
      </c>
      <c r="AE569">
        <v>-1.65919999999999</v>
      </c>
      <c r="AF569">
        <v>1.9126740356578</v>
      </c>
      <c r="AG569">
        <v>-1.121064286922</v>
      </c>
      <c r="AH569">
        <v>45.239053672118501</v>
      </c>
      <c r="AI569">
        <v>91.418283693161101</v>
      </c>
      <c r="AJ569">
        <v>87.579018275632606</v>
      </c>
      <c r="AK569">
        <v>45.293344811913698</v>
      </c>
      <c r="AL569">
        <v>95.244776601591497</v>
      </c>
      <c r="AM569">
        <v>88.967427210859896</v>
      </c>
      <c r="AN569">
        <v>0.99999994279898596</v>
      </c>
    </row>
    <row r="570" spans="1:40" x14ac:dyDescent="0.25">
      <c r="A570" t="str">
        <f>"20190303154108541"</f>
        <v>20190303154108541</v>
      </c>
      <c r="B570" t="str">
        <f>"1551598868530374"</f>
        <v>1551598868530374</v>
      </c>
      <c r="C570" t="s">
        <v>40</v>
      </c>
      <c r="D570">
        <v>5.6661950000000001</v>
      </c>
      <c r="E570">
        <v>0.50890139999999995</v>
      </c>
      <c r="F570" t="s">
        <v>41</v>
      </c>
      <c r="G570">
        <v>-343.47500000000002</v>
      </c>
      <c r="H570" s="1">
        <v>-3.7077219999999999E-6</v>
      </c>
      <c r="I570">
        <v>365.9923</v>
      </c>
      <c r="J570">
        <v>-387.32799999999997</v>
      </c>
      <c r="K570">
        <v>1.121065</v>
      </c>
      <c r="L570">
        <v>367.58300000000003</v>
      </c>
      <c r="M570">
        <v>0.99987599999999999</v>
      </c>
      <c r="N570">
        <v>-1.47111E-2</v>
      </c>
      <c r="O570">
        <v>5.6306560000000004E-3</v>
      </c>
      <c r="P570">
        <v>0.99431460000000005</v>
      </c>
      <c r="Q570">
        <v>-0.105699</v>
      </c>
      <c r="R570">
        <v>-1.290607E-2</v>
      </c>
      <c r="S570">
        <v>3.0077820000000002</v>
      </c>
      <c r="T570">
        <v>-7.6499460000000005E-2</v>
      </c>
      <c r="U570">
        <v>-0.1084595</v>
      </c>
      <c r="V570">
        <v>1.8502609999999999E-2</v>
      </c>
      <c r="W570">
        <v>-9.1061879999999998E-2</v>
      </c>
      <c r="X570">
        <v>0.99567340000000004</v>
      </c>
      <c r="Y570">
        <v>4.1641669999999999E-2</v>
      </c>
      <c r="Z570">
        <v>-8.9612729999999905E-4</v>
      </c>
      <c r="AA570">
        <v>0.99913220000000003</v>
      </c>
      <c r="AB570">
        <v>24</v>
      </c>
      <c r="AC570">
        <v>43.853000000000002</v>
      </c>
      <c r="AD570">
        <v>-1.1210687077220001</v>
      </c>
      <c r="AE570">
        <v>-1.59070000000002</v>
      </c>
      <c r="AF570">
        <v>1.8364240603025801</v>
      </c>
      <c r="AG570">
        <v>-1.1210687077220001</v>
      </c>
      <c r="AH570">
        <v>43.814750378723602</v>
      </c>
      <c r="AI570">
        <v>91.464396916843796</v>
      </c>
      <c r="AJ570">
        <v>87.599945270149306</v>
      </c>
      <c r="AK570">
        <v>43.86754608052</v>
      </c>
      <c r="AL570">
        <v>95.224698856268702</v>
      </c>
      <c r="AM570">
        <v>88.935394419223101</v>
      </c>
      <c r="AN570">
        <v>1.0000000660167501</v>
      </c>
    </row>
    <row r="571" spans="1:40" x14ac:dyDescent="0.25">
      <c r="A571" t="str">
        <f>"20190303154108562"</f>
        <v>20190303154108562</v>
      </c>
      <c r="B571" t="str">
        <f>"1551598868559650"</f>
        <v>1551598868559650</v>
      </c>
      <c r="C571" t="s">
        <v>40</v>
      </c>
      <c r="D571">
        <v>5.678045</v>
      </c>
      <c r="E571">
        <v>0.50897510000000001</v>
      </c>
      <c r="F571" t="s">
        <v>41</v>
      </c>
      <c r="G571">
        <v>-343.36290000000002</v>
      </c>
      <c r="H571" s="1">
        <v>-3.7586049999999998E-6</v>
      </c>
      <c r="I571">
        <v>366.00420000000003</v>
      </c>
      <c r="J571">
        <v>-387.08890000000002</v>
      </c>
      <c r="K571">
        <v>1.1210719999999901</v>
      </c>
      <c r="L571">
        <v>367.58440000000002</v>
      </c>
      <c r="M571">
        <v>0.99987579999999998</v>
      </c>
      <c r="N571">
        <v>-1.471739E-2</v>
      </c>
      <c r="O571">
        <v>5.6377019999999996E-3</v>
      </c>
      <c r="P571">
        <v>0.9943031</v>
      </c>
      <c r="Q571">
        <v>-0.1057222</v>
      </c>
      <c r="R571">
        <v>-1.357356E-2</v>
      </c>
      <c r="S571">
        <v>3.0076290000000001</v>
      </c>
      <c r="T571">
        <v>-7.6691750000000003E-2</v>
      </c>
      <c r="U571">
        <v>-0.10800170000000001</v>
      </c>
      <c r="V571">
        <v>1.9176990000000001E-2</v>
      </c>
      <c r="W571">
        <v>-9.1079149999999998E-2</v>
      </c>
      <c r="X571">
        <v>0.99565899999999996</v>
      </c>
      <c r="Y571">
        <v>4.1498649999999998E-2</v>
      </c>
      <c r="Z571">
        <v>-8.9514809999999897E-4</v>
      </c>
      <c r="AA571">
        <v>0.99913819999999998</v>
      </c>
      <c r="AB571">
        <v>24</v>
      </c>
      <c r="AC571">
        <v>43.725999999999999</v>
      </c>
      <c r="AD571">
        <v>-1.12107575860499</v>
      </c>
      <c r="AE571">
        <v>-1.5801999999999901</v>
      </c>
      <c r="AF571">
        <v>1.82551732024158</v>
      </c>
      <c r="AG571">
        <v>-1.12107575860499</v>
      </c>
      <c r="AH571">
        <v>43.68771504555</v>
      </c>
      <c r="AI571">
        <v>91.468670303787803</v>
      </c>
      <c r="AJ571">
        <v>87.607253521104099</v>
      </c>
      <c r="AK571">
        <v>43.7402077069166</v>
      </c>
      <c r="AL571">
        <v>95.225692795814496</v>
      </c>
      <c r="AM571">
        <v>88.896585325234895</v>
      </c>
      <c r="AN571">
        <v>1.0000000063955901</v>
      </c>
    </row>
    <row r="572" spans="1:40" x14ac:dyDescent="0.25">
      <c r="A572" t="str">
        <f>"20190303154108575"</f>
        <v>20190303154108575</v>
      </c>
      <c r="B572" t="str">
        <f>"1551598868569410"</f>
        <v>1551598868569410</v>
      </c>
      <c r="C572" t="s">
        <v>40</v>
      </c>
      <c r="D572">
        <v>5.6860269999999904</v>
      </c>
      <c r="E572">
        <v>0.50897510000000001</v>
      </c>
      <c r="F572" t="s">
        <v>41</v>
      </c>
      <c r="G572">
        <v>-344.05450000000002</v>
      </c>
      <c r="H572" s="1">
        <v>-3.431988E-6</v>
      </c>
      <c r="I572">
        <v>366.00259999999997</v>
      </c>
      <c r="J572">
        <v>-386.95650000000001</v>
      </c>
      <c r="K572">
        <v>1.1210739999999999</v>
      </c>
      <c r="L572">
        <v>367.58510000000001</v>
      </c>
      <c r="M572">
        <v>0.99987579999999998</v>
      </c>
      <c r="N572">
        <v>-1.472035E-2</v>
      </c>
      <c r="O572">
        <v>5.6418509999999998E-3</v>
      </c>
      <c r="P572">
        <v>0.99424679999999999</v>
      </c>
      <c r="Q572">
        <v>-0.1062188</v>
      </c>
      <c r="R572">
        <v>-1.38143E-2</v>
      </c>
      <c r="S572">
        <v>3.007355</v>
      </c>
      <c r="T572">
        <v>-7.8343510000000005E-2</v>
      </c>
      <c r="U572">
        <v>-0.1105347</v>
      </c>
      <c r="V572">
        <v>1.9421589999999999E-2</v>
      </c>
      <c r="W572">
        <v>-9.1573589999999996E-2</v>
      </c>
      <c r="X572">
        <v>0.99560890000000002</v>
      </c>
      <c r="Y572">
        <v>4.2345229999999998E-2</v>
      </c>
      <c r="Z572">
        <v>-9.2703740000000005E-4</v>
      </c>
      <c r="AA572">
        <v>0.99910259999999995</v>
      </c>
      <c r="AB572">
        <v>24</v>
      </c>
      <c r="AC572">
        <v>42.902000000000001</v>
      </c>
      <c r="AD572">
        <v>-1.1210774319879999</v>
      </c>
      <c r="AE572">
        <v>-1.58250000000003</v>
      </c>
      <c r="AF572">
        <v>1.8233043870008401</v>
      </c>
      <c r="AG572">
        <v>-1.1210774319879999</v>
      </c>
      <c r="AH572">
        <v>42.863159133509903</v>
      </c>
      <c r="AI572">
        <v>91.496865156128294</v>
      </c>
      <c r="AJ572">
        <v>87.564232165388006</v>
      </c>
      <c r="AK572">
        <v>42.916566316525802</v>
      </c>
      <c r="AL572">
        <v>95.254141033423295</v>
      </c>
      <c r="AM572">
        <v>88.8824587430572</v>
      </c>
      <c r="AN572">
        <v>1.0000000011514101</v>
      </c>
    </row>
    <row r="573" spans="1:40" x14ac:dyDescent="0.25">
      <c r="A573" t="str">
        <f>"20190303154108619"</f>
        <v>20190303154108619</v>
      </c>
      <c r="B573" t="str">
        <f>"1551598868609426"</f>
        <v>1551598868609426</v>
      </c>
      <c r="C573" t="s">
        <v>40</v>
      </c>
      <c r="D573">
        <v>3.0857009999999998</v>
      </c>
      <c r="E573">
        <v>0.50897510000000001</v>
      </c>
      <c r="F573" t="s">
        <v>41</v>
      </c>
      <c r="G573">
        <v>-344.7328</v>
      </c>
      <c r="H573" s="1">
        <v>-3.107366E-6</v>
      </c>
      <c r="I573">
        <v>366.02499999999998</v>
      </c>
      <c r="J573">
        <v>-386.4803</v>
      </c>
      <c r="K573">
        <v>1.121075</v>
      </c>
      <c r="L573">
        <v>367.58780000000002</v>
      </c>
      <c r="M573">
        <v>0.99987559999999998</v>
      </c>
      <c r="N573">
        <v>-1.4727000000000001E-2</v>
      </c>
      <c r="O573">
        <v>5.6561049999999998E-3</v>
      </c>
      <c r="P573">
        <v>0.99416550000000004</v>
      </c>
      <c r="Q573">
        <v>-0.1069259</v>
      </c>
      <c r="R573">
        <v>-1.4218150000000001E-2</v>
      </c>
      <c r="S573">
        <v>3.0072939999999999</v>
      </c>
      <c r="T573">
        <v>-7.9846379999999995E-2</v>
      </c>
      <c r="U573">
        <v>-0.1111145</v>
      </c>
      <c r="V573">
        <v>1.98389E-2</v>
      </c>
      <c r="W573">
        <v>-9.2275190000000007E-2</v>
      </c>
      <c r="X573">
        <v>0.99553590000000003</v>
      </c>
      <c r="Y573">
        <v>4.2551720000000001E-2</v>
      </c>
      <c r="Z573">
        <v>-9.4497590000000001E-4</v>
      </c>
      <c r="AA573">
        <v>0.99909380000000003</v>
      </c>
      <c r="AB573">
        <v>24</v>
      </c>
      <c r="AC573">
        <v>41.747500000000002</v>
      </c>
      <c r="AD573">
        <v>-1.1210781073659899</v>
      </c>
      <c r="AE573">
        <v>-1.5628000000000299</v>
      </c>
      <c r="AF573">
        <v>1.79763433359146</v>
      </c>
      <c r="AG573">
        <v>-1.1210781073659899</v>
      </c>
      <c r="AH573">
        <v>41.707957168910298</v>
      </c>
      <c r="AI573">
        <v>91.538268723119003</v>
      </c>
      <c r="AJ573">
        <v>87.532049975951296</v>
      </c>
      <c r="AK573">
        <v>41.7617288497947</v>
      </c>
      <c r="AL573">
        <v>95.294510629433304</v>
      </c>
      <c r="AM573">
        <v>88.858368834955797</v>
      </c>
      <c r="AN573">
        <v>1.00000001041577</v>
      </c>
    </row>
    <row r="574" spans="1:40" x14ac:dyDescent="0.25">
      <c r="A574" t="str">
        <f>"20190303154108709"</f>
        <v>20190303154108709</v>
      </c>
      <c r="B574" t="str">
        <f>"1551598868700046"</f>
        <v>1551598868700046</v>
      </c>
      <c r="C574" t="s">
        <v>40</v>
      </c>
      <c r="D574">
        <v>5.8577389999999996</v>
      </c>
      <c r="E574">
        <v>0.50952240000000004</v>
      </c>
      <c r="F574" t="s">
        <v>41</v>
      </c>
      <c r="G574">
        <v>-345.31909999999999</v>
      </c>
      <c r="H574" s="1">
        <v>-2.8248520000000002E-6</v>
      </c>
      <c r="I574">
        <v>366.05520000000001</v>
      </c>
      <c r="J574">
        <v>-385.50850000000003</v>
      </c>
      <c r="K574">
        <v>1.1210929999999999</v>
      </c>
      <c r="L574">
        <v>367.5933</v>
      </c>
      <c r="M574">
        <v>0.99987550000000003</v>
      </c>
      <c r="N574">
        <v>-1.4728140000000001E-2</v>
      </c>
      <c r="O574">
        <v>5.6848300000000001E-3</v>
      </c>
      <c r="P574">
        <v>0.99420929999999996</v>
      </c>
      <c r="Q574">
        <v>-0.1066228</v>
      </c>
      <c r="R574">
        <v>-1.341172E-2</v>
      </c>
      <c r="S574">
        <v>3.0071720000000002</v>
      </c>
      <c r="T574">
        <v>-8.1904290000000005E-2</v>
      </c>
      <c r="U574">
        <v>-0.111969</v>
      </c>
      <c r="V574">
        <v>1.9061560000000002E-2</v>
      </c>
      <c r="W574">
        <v>-9.1970270000000007E-2</v>
      </c>
      <c r="X574">
        <v>0.99557929999999994</v>
      </c>
      <c r="Y574">
        <v>4.2864199999999998E-2</v>
      </c>
      <c r="Z574">
        <v>-9.7035429999999998E-4</v>
      </c>
      <c r="AA574">
        <v>0.99908039999999998</v>
      </c>
      <c r="AB574">
        <v>24</v>
      </c>
      <c r="AC574">
        <v>40.189399999999999</v>
      </c>
      <c r="AD574">
        <v>-1.121095824852</v>
      </c>
      <c r="AE574">
        <v>-1.53809999999998</v>
      </c>
      <c r="AF574">
        <v>1.7651982253660601</v>
      </c>
      <c r="AG574">
        <v>-1.121095824852</v>
      </c>
      <c r="AH574">
        <v>40.148809624143198</v>
      </c>
      <c r="AI574">
        <v>91.597940939900596</v>
      </c>
      <c r="AJ574">
        <v>87.482532696970296</v>
      </c>
      <c r="AK574">
        <v>40.203229905805202</v>
      </c>
      <c r="AL574">
        <v>95.276965404341993</v>
      </c>
      <c r="AM574">
        <v>88.903137584005606</v>
      </c>
      <c r="AN574">
        <v>1.0000000081109901</v>
      </c>
    </row>
    <row r="575" spans="1:40" x14ac:dyDescent="0.25">
      <c r="A575" t="str">
        <f>"20190303154108730"</f>
        <v>20190303154108730</v>
      </c>
      <c r="B575" t="str">
        <f>"1551598868719569"</f>
        <v>1551598868719569</v>
      </c>
      <c r="C575" t="s">
        <v>40</v>
      </c>
      <c r="D575">
        <v>5.7304969999999997</v>
      </c>
      <c r="E575">
        <v>0.51061559999999995</v>
      </c>
      <c r="F575" t="s">
        <v>41</v>
      </c>
      <c r="G575">
        <v>-345.2022</v>
      </c>
      <c r="H575" s="1">
        <v>-2.878581E-6</v>
      </c>
      <c r="I575">
        <v>366.06380000000001</v>
      </c>
      <c r="J575">
        <v>-385.29070000000002</v>
      </c>
      <c r="K575">
        <v>1.1211009999999999</v>
      </c>
      <c r="L575">
        <v>367.59460000000001</v>
      </c>
      <c r="M575">
        <v>0.99987539999999997</v>
      </c>
      <c r="N575">
        <v>-1.472674E-2</v>
      </c>
      <c r="O575">
        <v>5.6913969999999999E-3</v>
      </c>
      <c r="P575">
        <v>0.99422809999999995</v>
      </c>
      <c r="Q575">
        <v>-0.1064379</v>
      </c>
      <c r="R575">
        <v>-1.347333E-2</v>
      </c>
      <c r="S575">
        <v>3.006958</v>
      </c>
      <c r="T575">
        <v>-8.3636760000000004E-2</v>
      </c>
      <c r="U575">
        <v>-0.1141052</v>
      </c>
      <c r="V575">
        <v>1.9129940000000002E-2</v>
      </c>
      <c r="W575">
        <v>-9.1786519999999996E-2</v>
      </c>
      <c r="X575">
        <v>0.99559489999999995</v>
      </c>
      <c r="Y575">
        <v>4.3580830000000001E-2</v>
      </c>
      <c r="Z575">
        <v>-1.0013209999999999E-3</v>
      </c>
      <c r="AA575">
        <v>0.99904939999999998</v>
      </c>
      <c r="AB575">
        <v>24</v>
      </c>
      <c r="AC575">
        <v>40.088500000000003</v>
      </c>
      <c r="AD575">
        <v>-1.1211038785809999</v>
      </c>
      <c r="AE575">
        <v>-1.5307999999999899</v>
      </c>
      <c r="AF575">
        <v>1.75758693078925</v>
      </c>
      <c r="AG575">
        <v>-1.1211038785809999</v>
      </c>
      <c r="AH575">
        <v>40.047862150617</v>
      </c>
      <c r="AI575">
        <v>91.6019837906276</v>
      </c>
      <c r="AJ575">
        <v>87.487063508340896</v>
      </c>
      <c r="AK575">
        <v>40.102085339302199</v>
      </c>
      <c r="AL575">
        <v>95.266392825888502</v>
      </c>
      <c r="AM575">
        <v>88.899220993291806</v>
      </c>
      <c r="AN575">
        <v>0.99999996238206101</v>
      </c>
    </row>
    <row r="576" spans="1:40" x14ac:dyDescent="0.25">
      <c r="A576" t="str">
        <f>"20190303154108751"</f>
        <v>20190303154108751</v>
      </c>
      <c r="B576" t="str">
        <f>"1551598868749822"</f>
        <v>1551598868749822</v>
      </c>
      <c r="C576" t="s">
        <v>40</v>
      </c>
      <c r="D576">
        <v>5.8218690000000004</v>
      </c>
      <c r="E576">
        <v>0.51105179999999995</v>
      </c>
      <c r="F576" t="s">
        <v>41</v>
      </c>
      <c r="G576">
        <v>-342.98570000000001</v>
      </c>
      <c r="H576" s="1">
        <v>-3.9615589999999998E-6</v>
      </c>
      <c r="I576">
        <v>365.86529999999999</v>
      </c>
      <c r="J576">
        <v>-385.05759999999998</v>
      </c>
      <c r="K576">
        <v>1.1211009999999999</v>
      </c>
      <c r="L576">
        <v>367.59589999999997</v>
      </c>
      <c r="M576">
        <v>0.99987550000000003</v>
      </c>
      <c r="N576">
        <v>-1.472476E-2</v>
      </c>
      <c r="O576">
        <v>5.6983229999999999E-3</v>
      </c>
      <c r="P576">
        <v>0.99431420000000004</v>
      </c>
      <c r="Q576">
        <v>-0.1056711</v>
      </c>
      <c r="R576">
        <v>-1.314712E-2</v>
      </c>
      <c r="S576">
        <v>3.0072329999999998</v>
      </c>
      <c r="T576">
        <v>-7.9693319999999998E-2</v>
      </c>
      <c r="U576">
        <v>-0.1229248</v>
      </c>
      <c r="V576">
        <v>1.881118E-2</v>
      </c>
      <c r="W576">
        <v>-9.1020439999999994E-2</v>
      </c>
      <c r="X576">
        <v>0.99567130000000004</v>
      </c>
      <c r="Y576">
        <v>4.6510040000000002E-2</v>
      </c>
      <c r="Z576">
        <v>-1.0256410000000001E-3</v>
      </c>
      <c r="AA576">
        <v>0.99891730000000001</v>
      </c>
      <c r="AB576">
        <v>24</v>
      </c>
      <c r="AC576">
        <v>42.0718999999999</v>
      </c>
      <c r="AD576">
        <v>-1.1211049615590001</v>
      </c>
      <c r="AE576">
        <v>-1.7305999999999799</v>
      </c>
      <c r="AF576">
        <v>1.96894138215797</v>
      </c>
      <c r="AG576">
        <v>-1.1211049615590001</v>
      </c>
      <c r="AH576">
        <v>42.031558780773601</v>
      </c>
      <c r="AI576">
        <v>91.526211391594401</v>
      </c>
      <c r="AJ576">
        <v>87.317976657476706</v>
      </c>
      <c r="AK576">
        <v>42.092582957604698</v>
      </c>
      <c r="AL576">
        <v>95.222315176659293</v>
      </c>
      <c r="AM576">
        <v>88.917641785107605</v>
      </c>
      <c r="AN576">
        <v>0.99999995931723695</v>
      </c>
    </row>
    <row r="577" spans="1:40" x14ac:dyDescent="0.25">
      <c r="A577" t="str">
        <f>"20190303154108775"</f>
        <v>20190303154108775</v>
      </c>
      <c r="B577" t="str">
        <f>"1551598868769343"</f>
        <v>1551598868769343</v>
      </c>
      <c r="C577" t="s">
        <v>40</v>
      </c>
      <c r="D577">
        <v>5.9413309999999999</v>
      </c>
      <c r="E577">
        <v>0.5113048</v>
      </c>
      <c r="F577" t="s">
        <v>41</v>
      </c>
      <c r="G577">
        <v>-342.32490000000001</v>
      </c>
      <c r="H577" s="1">
        <v>-4.2839029999999996E-6</v>
      </c>
      <c r="I577">
        <v>365.80919999999998</v>
      </c>
      <c r="J577">
        <v>-384.81790000000001</v>
      </c>
      <c r="K577">
        <v>1.121103</v>
      </c>
      <c r="L577">
        <v>367.59730000000002</v>
      </c>
      <c r="M577">
        <v>0.99987539999999997</v>
      </c>
      <c r="N577">
        <v>-1.4722229999999999E-2</v>
      </c>
      <c r="O577">
        <v>5.7057310000000003E-3</v>
      </c>
      <c r="P577">
        <v>0.99429480000000003</v>
      </c>
      <c r="Q577">
        <v>-0.10587770000000001</v>
      </c>
      <c r="R577">
        <v>-1.296045E-2</v>
      </c>
      <c r="S577">
        <v>3.0071110000000001</v>
      </c>
      <c r="T577">
        <v>-7.8892470000000006E-2</v>
      </c>
      <c r="U577">
        <v>-0.12573239999999999</v>
      </c>
      <c r="V577">
        <v>1.8631419999999999E-2</v>
      </c>
      <c r="W577">
        <v>-9.1229859999999996E-2</v>
      </c>
      <c r="X577">
        <v>0.99565550000000003</v>
      </c>
      <c r="Y577">
        <v>4.7450060000000002E-2</v>
      </c>
      <c r="Z577">
        <v>-1.0372490000000001E-3</v>
      </c>
      <c r="AA577">
        <v>0.99887309999999996</v>
      </c>
      <c r="AB577">
        <v>24</v>
      </c>
      <c r="AC577">
        <v>42.493000000000002</v>
      </c>
      <c r="AD577">
        <v>-1.1211072839030001</v>
      </c>
      <c r="AE577">
        <v>-1.78810000000004</v>
      </c>
      <c r="AF577">
        <v>2.0291408311863601</v>
      </c>
      <c r="AG577">
        <v>-1.1211072839030001</v>
      </c>
      <c r="AH577">
        <v>42.452606429067799</v>
      </c>
      <c r="AI577">
        <v>91.511016521031493</v>
      </c>
      <c r="AJ577">
        <v>87.263470992661794</v>
      </c>
      <c r="AK577">
        <v>42.5158568851216</v>
      </c>
      <c r="AL577">
        <v>95.234364260163801</v>
      </c>
      <c r="AM577">
        <v>88.927965387983804</v>
      </c>
      <c r="AN577">
        <v>0.99999994592354102</v>
      </c>
    </row>
    <row r="578" spans="1:40" x14ac:dyDescent="0.25">
      <c r="A578" t="str">
        <f>"20190303154108796"</f>
        <v>20190303154108796</v>
      </c>
      <c r="B578" t="str">
        <f>"1551598868789841"</f>
        <v>1551598868789841</v>
      </c>
      <c r="C578" t="s">
        <v>40</v>
      </c>
      <c r="D578">
        <v>5.8065610000000003</v>
      </c>
      <c r="E578">
        <v>0.51145629999999997</v>
      </c>
      <c r="F578" t="s">
        <v>41</v>
      </c>
      <c r="G578">
        <v>-342.31229999999999</v>
      </c>
      <c r="H578" s="1">
        <v>-4.2902830000000004E-6</v>
      </c>
      <c r="I578">
        <v>365.80669999999998</v>
      </c>
      <c r="J578">
        <v>-384.58499999999998</v>
      </c>
      <c r="K578">
        <v>1.1211040000000001</v>
      </c>
      <c r="L578">
        <v>367.59859999999998</v>
      </c>
      <c r="M578">
        <v>0.99987519999999996</v>
      </c>
      <c r="N578">
        <v>-1.4719339999999999E-2</v>
      </c>
      <c r="O578">
        <v>5.7129619999999898E-3</v>
      </c>
      <c r="P578">
        <v>0.99427869999999996</v>
      </c>
      <c r="Q578">
        <v>-0.10607179999999999</v>
      </c>
      <c r="R578">
        <v>-1.260344E-2</v>
      </c>
      <c r="S578">
        <v>3.0071409999999998</v>
      </c>
      <c r="T578">
        <v>-7.9314830000000003E-2</v>
      </c>
      <c r="U578">
        <v>-0.1266785</v>
      </c>
      <c r="V578">
        <v>1.8281459999999999E-2</v>
      </c>
      <c r="W578">
        <v>-9.1427019999999998E-2</v>
      </c>
      <c r="X578">
        <v>0.99564399999999997</v>
      </c>
      <c r="Y578">
        <v>4.7770149999999997E-2</v>
      </c>
      <c r="Z578">
        <v>-1.047978E-3</v>
      </c>
      <c r="AA578">
        <v>0.99885780000000002</v>
      </c>
      <c r="AB578">
        <v>24</v>
      </c>
      <c r="AC578">
        <v>42.272699999999901</v>
      </c>
      <c r="AD578">
        <v>-1.1211082902830001</v>
      </c>
      <c r="AE578">
        <v>-1.7918999999999901</v>
      </c>
      <c r="AF578">
        <v>2.0319726444189001</v>
      </c>
      <c r="AG578">
        <v>-1.1211082902830001</v>
      </c>
      <c r="AH578">
        <v>42.2321208957392</v>
      </c>
      <c r="AI578">
        <v>91.518879918569397</v>
      </c>
      <c r="AJ578">
        <v>87.245372980448295</v>
      </c>
      <c r="AK578">
        <v>42.295837052581703</v>
      </c>
      <c r="AL578">
        <v>95.2457075926133</v>
      </c>
      <c r="AM578">
        <v>88.948085046704406</v>
      </c>
      <c r="AN578">
        <v>1.0000000432509</v>
      </c>
    </row>
    <row r="579" spans="1:40" x14ac:dyDescent="0.25">
      <c r="A579" t="str">
        <f>"20190303154108821"</f>
        <v>20190303154108821</v>
      </c>
      <c r="B579" t="str">
        <f>"1551598868810335"</f>
        <v>1551598868810335</v>
      </c>
      <c r="C579" t="s">
        <v>40</v>
      </c>
      <c r="D579">
        <v>5.8639029999999996</v>
      </c>
      <c r="E579">
        <v>0.51166590000000001</v>
      </c>
      <c r="F579" t="s">
        <v>41</v>
      </c>
      <c r="G579">
        <v>-341.87630000000001</v>
      </c>
      <c r="H579" s="1">
        <v>-4.4984489999999999E-6</v>
      </c>
      <c r="I579">
        <v>365.79520000000002</v>
      </c>
      <c r="J579">
        <v>-384.33010000000002</v>
      </c>
      <c r="K579">
        <v>1.121103</v>
      </c>
      <c r="L579">
        <v>367.6001</v>
      </c>
      <c r="M579">
        <v>0.99987539999999997</v>
      </c>
      <c r="N579">
        <v>-1.471572E-2</v>
      </c>
      <c r="O579">
        <v>5.7205579999999997E-3</v>
      </c>
      <c r="P579">
        <v>0.99430249999999998</v>
      </c>
      <c r="Q579">
        <v>-0.1058576</v>
      </c>
      <c r="R579">
        <v>-1.252428E-2</v>
      </c>
      <c r="S579">
        <v>3.007263</v>
      </c>
      <c r="T579">
        <v>-7.8940869999999996E-2</v>
      </c>
      <c r="U579">
        <v>-0.1269836</v>
      </c>
      <c r="V579">
        <v>1.8210029999999999E-2</v>
      </c>
      <c r="W579">
        <v>-9.1216039999999998E-2</v>
      </c>
      <c r="X579">
        <v>0.99566460000000001</v>
      </c>
      <c r="Y579">
        <v>4.7877360000000001E-2</v>
      </c>
      <c r="Z579">
        <v>-1.046485E-3</v>
      </c>
      <c r="AA579">
        <v>0.99885270000000004</v>
      </c>
      <c r="AB579">
        <v>24</v>
      </c>
      <c r="AC579">
        <v>42.453800000000001</v>
      </c>
      <c r="AD579">
        <v>-1.1211074984489999</v>
      </c>
      <c r="AE579">
        <v>-1.80489999999997</v>
      </c>
      <c r="AF579">
        <v>2.0463317055605499</v>
      </c>
      <c r="AG579">
        <v>-1.1211074984489999</v>
      </c>
      <c r="AH579">
        <v>42.413254806727601</v>
      </c>
      <c r="AI579">
        <v>91.512385533417799</v>
      </c>
      <c r="AJ579">
        <v>87.237766313416003</v>
      </c>
      <c r="AK579">
        <v>42.477388558769299</v>
      </c>
      <c r="AL579">
        <v>95.233568920308798</v>
      </c>
      <c r="AM579">
        <v>88.952215883745197</v>
      </c>
      <c r="AN579">
        <v>0.99999998341952101</v>
      </c>
    </row>
    <row r="580" spans="1:40" x14ac:dyDescent="0.25">
      <c r="A580" t="str">
        <f>"20190303154108842"</f>
        <v>20190303154108842</v>
      </c>
      <c r="B580" t="str">
        <f>"1551598868829386"</f>
        <v>1551598868829386</v>
      </c>
      <c r="C580" t="s">
        <v>40</v>
      </c>
      <c r="D580">
        <v>5.8274650000000001</v>
      </c>
      <c r="E580">
        <v>0.51177349999999999</v>
      </c>
      <c r="F580" t="s">
        <v>41</v>
      </c>
      <c r="G580">
        <v>-341.09190000000001</v>
      </c>
      <c r="H580" s="1">
        <v>-4.8763350000000001E-6</v>
      </c>
      <c r="I580">
        <v>365.755</v>
      </c>
      <c r="J580">
        <v>-384.10309999999998</v>
      </c>
      <c r="K580">
        <v>1.1211009999999999</v>
      </c>
      <c r="L580">
        <v>367.60140000000001</v>
      </c>
      <c r="M580">
        <v>0.99987539999999997</v>
      </c>
      <c r="N580">
        <v>-1.471217E-2</v>
      </c>
      <c r="O580">
        <v>5.7273189999999998E-3</v>
      </c>
      <c r="P580">
        <v>0.99432779999999998</v>
      </c>
      <c r="Q580">
        <v>-0.1056199</v>
      </c>
      <c r="R580">
        <v>-1.252782E-2</v>
      </c>
      <c r="S580">
        <v>3.007263</v>
      </c>
      <c r="T580">
        <v>-7.797432E-2</v>
      </c>
      <c r="U580">
        <v>-0.12832639999999901</v>
      </c>
      <c r="V580">
        <v>1.8220489999999999E-2</v>
      </c>
      <c r="W580">
        <v>-9.0981580000000006E-2</v>
      </c>
      <c r="X580">
        <v>0.99568590000000001</v>
      </c>
      <c r="Y580">
        <v>4.8329610000000002E-2</v>
      </c>
      <c r="Z580">
        <v>-1.0461559999999999E-3</v>
      </c>
      <c r="AA580">
        <v>0.99883089999999997</v>
      </c>
      <c r="AB580">
        <v>24</v>
      </c>
      <c r="AC580">
        <v>43.011199999999903</v>
      </c>
      <c r="AD580">
        <v>-1.1211058763349999</v>
      </c>
      <c r="AE580">
        <v>-1.84640000000001</v>
      </c>
      <c r="AF580">
        <v>2.0913169870041801</v>
      </c>
      <c r="AG580">
        <v>-1.1211058763349999</v>
      </c>
      <c r="AH580">
        <v>42.970777391875401</v>
      </c>
      <c r="AI580">
        <v>91.492739566692407</v>
      </c>
      <c r="AJ580">
        <v>87.213707236214304</v>
      </c>
      <c r="AK580">
        <v>43.0362428052007</v>
      </c>
      <c r="AL580">
        <v>95.220079053491503</v>
      </c>
      <c r="AM580">
        <v>88.951636584070698</v>
      </c>
      <c r="AN580">
        <v>1.0000000228069701</v>
      </c>
    </row>
    <row r="581" spans="1:40" x14ac:dyDescent="0.25">
      <c r="A581" t="str">
        <f>"20190303154108863"</f>
        <v>20190303154108863</v>
      </c>
      <c r="B581" t="str">
        <f>"1551598868859641"</f>
        <v>1551598868859641</v>
      </c>
      <c r="C581" t="s">
        <v>40</v>
      </c>
      <c r="D581">
        <v>5.8793040000000003</v>
      </c>
      <c r="E581">
        <v>0.51182070000000002</v>
      </c>
      <c r="F581" t="s">
        <v>41</v>
      </c>
      <c r="G581">
        <v>-341.02659999999997</v>
      </c>
      <c r="H581" s="1">
        <v>-4.9078389999999999E-6</v>
      </c>
      <c r="I581">
        <v>365.75139999999999</v>
      </c>
      <c r="J581">
        <v>-383.8766</v>
      </c>
      <c r="K581">
        <v>1.1211070000000001</v>
      </c>
      <c r="L581">
        <v>367.60270000000003</v>
      </c>
      <c r="M581">
        <v>0.99987550000000003</v>
      </c>
      <c r="N581">
        <v>-1.470837E-2</v>
      </c>
      <c r="O581">
        <v>5.7340809999999898E-3</v>
      </c>
      <c r="P581">
        <v>0.99436780000000002</v>
      </c>
      <c r="Q581">
        <v>-0.1052327</v>
      </c>
      <c r="R581">
        <v>-1.2613839999999999E-2</v>
      </c>
      <c r="S581">
        <v>3.0071409999999998</v>
      </c>
      <c r="T581">
        <v>-7.8263760000000002E-2</v>
      </c>
      <c r="U581">
        <v>-0.1291504</v>
      </c>
      <c r="V581">
        <v>1.8313469999999998E-2</v>
      </c>
      <c r="W581">
        <v>-9.0597579999999997E-2</v>
      </c>
      <c r="X581">
        <v>0.99571920000000003</v>
      </c>
      <c r="Y581">
        <v>4.861095E-2</v>
      </c>
      <c r="Z581">
        <v>-1.0547969999999999E-3</v>
      </c>
      <c r="AA581">
        <v>0.99881719999999896</v>
      </c>
      <c r="AB581">
        <v>24</v>
      </c>
      <c r="AC581">
        <v>42.85</v>
      </c>
      <c r="AD581">
        <v>-1.1211119078389999</v>
      </c>
      <c r="AE581">
        <v>-1.8513000000000299</v>
      </c>
      <c r="AF581">
        <v>2.0955696621147002</v>
      </c>
      <c r="AG581">
        <v>-1.1211119078389999</v>
      </c>
      <c r="AH581">
        <v>42.809428747303997</v>
      </c>
      <c r="AI581">
        <v>91.498350574640199</v>
      </c>
      <c r="AJ581">
        <v>87.197544180895804</v>
      </c>
      <c r="AK581">
        <v>42.875348322657103</v>
      </c>
      <c r="AL581">
        <v>95.197986274207807</v>
      </c>
      <c r="AM581">
        <v>88.946323171913605</v>
      </c>
      <c r="AN581">
        <v>1.0000000149669599</v>
      </c>
    </row>
    <row r="582" spans="1:40" x14ac:dyDescent="0.25">
      <c r="A582" t="str">
        <f>"20190303154108887"</f>
        <v>20190303154108887</v>
      </c>
      <c r="B582" t="str">
        <f>"1551598868880137"</f>
        <v>1551598868880137</v>
      </c>
      <c r="C582" t="s">
        <v>40</v>
      </c>
      <c r="D582">
        <v>5.920655</v>
      </c>
      <c r="E582">
        <v>0.51174649999999999</v>
      </c>
      <c r="F582" t="s">
        <v>41</v>
      </c>
      <c r="G582">
        <v>-341.58920000000001</v>
      </c>
      <c r="H582" s="1">
        <v>-4.6375169999999999E-6</v>
      </c>
      <c r="I582">
        <v>365.77609999999999</v>
      </c>
      <c r="J582">
        <v>-383.6232</v>
      </c>
      <c r="K582">
        <v>1.121116</v>
      </c>
      <c r="L582">
        <v>367.60419999999999</v>
      </c>
      <c r="M582">
        <v>0.99987539999999997</v>
      </c>
      <c r="N582">
        <v>-1.4703829999999999E-2</v>
      </c>
      <c r="O582">
        <v>5.7415080000000002E-3</v>
      </c>
      <c r="P582">
        <v>0.99445349999999999</v>
      </c>
      <c r="Q582">
        <v>-0.1044366</v>
      </c>
      <c r="R582">
        <v>-1.2470810000000001E-2</v>
      </c>
      <c r="S582">
        <v>3.0068969999999999</v>
      </c>
      <c r="T582">
        <v>-7.9717990000000002E-2</v>
      </c>
      <c r="U582">
        <v>-0.12988279999999999</v>
      </c>
      <c r="V582">
        <v>1.8178349999999999E-2</v>
      </c>
      <c r="W582">
        <v>-8.9804800000000004E-2</v>
      </c>
      <c r="X582">
        <v>0.9957935</v>
      </c>
      <c r="Y582">
        <v>4.8863730000000001E-2</v>
      </c>
      <c r="Z582">
        <v>-1.0745869999999999E-3</v>
      </c>
      <c r="AA582">
        <v>0.9988049</v>
      </c>
      <c r="AB582">
        <v>24</v>
      </c>
      <c r="AC582">
        <v>42.033999999999899</v>
      </c>
      <c r="AD582">
        <v>-1.121120637517</v>
      </c>
      <c r="AE582">
        <v>-1.8281000000000001</v>
      </c>
      <c r="AF582">
        <v>2.0679661663247799</v>
      </c>
      <c r="AG582">
        <v>-1.121120637517</v>
      </c>
      <c r="AH582">
        <v>41.992993146661398</v>
      </c>
      <c r="AI582">
        <v>91.527457990772703</v>
      </c>
      <c r="AJ582">
        <v>87.180717946908402</v>
      </c>
      <c r="AK582">
        <v>42.058826290856899</v>
      </c>
      <c r="AL582">
        <v>95.152377354292696</v>
      </c>
      <c r="AM582">
        <v>88.954173673004604</v>
      </c>
      <c r="AN582">
        <v>1.000000024577</v>
      </c>
    </row>
    <row r="583" spans="1:40" x14ac:dyDescent="0.25">
      <c r="A583" t="str">
        <f>"20190303154108910"</f>
        <v>20190303154108910</v>
      </c>
      <c r="B583" t="str">
        <f>"1551598868899657"</f>
        <v>1551598868899657</v>
      </c>
      <c r="C583" t="s">
        <v>40</v>
      </c>
      <c r="D583">
        <v>5.8986769999999904</v>
      </c>
      <c r="E583">
        <v>0.51168270000000005</v>
      </c>
      <c r="F583" t="s">
        <v>41</v>
      </c>
      <c r="G583">
        <v>-341.52120000000002</v>
      </c>
      <c r="H583" s="1">
        <v>-4.6661629999999999E-6</v>
      </c>
      <c r="I583">
        <v>365.79570000000001</v>
      </c>
      <c r="J583">
        <v>-383.39440000000002</v>
      </c>
      <c r="K583">
        <v>1.1211260000000001</v>
      </c>
      <c r="L583">
        <v>367.60550000000001</v>
      </c>
      <c r="M583">
        <v>0.99987550000000003</v>
      </c>
      <c r="N583">
        <v>-1.4699530000000001E-2</v>
      </c>
      <c r="O583">
        <v>5.7482770000000004E-3</v>
      </c>
      <c r="P583">
        <v>0.99444630000000001</v>
      </c>
      <c r="Q583">
        <v>-0.1045151</v>
      </c>
      <c r="R583">
        <v>-1.2387560000000001E-2</v>
      </c>
      <c r="S583">
        <v>3.0067140000000001</v>
      </c>
      <c r="T583">
        <v>-8.006489E-2</v>
      </c>
      <c r="U583">
        <v>-0.1291504</v>
      </c>
      <c r="V583">
        <v>1.8101800000000001E-2</v>
      </c>
      <c r="W583">
        <v>-8.9887670000000003E-2</v>
      </c>
      <c r="X583">
        <v>0.99578739999999999</v>
      </c>
      <c r="Y583">
        <v>4.8630189999999997E-2</v>
      </c>
      <c r="Z583">
        <v>-1.0732910000000001E-3</v>
      </c>
      <c r="AA583">
        <v>0.99881629999999999</v>
      </c>
      <c r="AB583">
        <v>24</v>
      </c>
      <c r="AC583">
        <v>41.873199999999997</v>
      </c>
      <c r="AD583">
        <v>-1.1211306661630001</v>
      </c>
      <c r="AE583">
        <v>-1.8097999999999901</v>
      </c>
      <c r="AF583">
        <v>2.0490286905855202</v>
      </c>
      <c r="AG583">
        <v>-1.1211306661630001</v>
      </c>
      <c r="AH583">
        <v>41.832171391467199</v>
      </c>
      <c r="AI583">
        <v>91.533360917958206</v>
      </c>
      <c r="AJ583">
        <v>87.195772154661796</v>
      </c>
      <c r="AK583">
        <v>41.897327073102602</v>
      </c>
      <c r="AL583">
        <v>95.157144826303195</v>
      </c>
      <c r="AM583">
        <v>88.958570353236794</v>
      </c>
      <c r="AN583">
        <v>1.0000000071900099</v>
      </c>
    </row>
    <row r="584" spans="1:40" x14ac:dyDescent="0.25">
      <c r="A584" t="str">
        <f>"20190303154108932"</f>
        <v>20190303154108932</v>
      </c>
      <c r="B584" t="str">
        <f>"1551598868920153"</f>
        <v>1551598868920153</v>
      </c>
      <c r="C584" t="s">
        <v>40</v>
      </c>
      <c r="D584">
        <v>5.89201</v>
      </c>
      <c r="E584">
        <v>0.51164140000000002</v>
      </c>
      <c r="F584" t="s">
        <v>41</v>
      </c>
      <c r="G584">
        <v>-342.6748</v>
      </c>
      <c r="H584" s="1">
        <v>-4.1082760000000003E-6</v>
      </c>
      <c r="I584">
        <v>365.86660000000001</v>
      </c>
      <c r="J584">
        <v>-383.16230000000002</v>
      </c>
      <c r="K584">
        <v>1.121127</v>
      </c>
      <c r="L584">
        <v>367.60680000000002</v>
      </c>
      <c r="M584">
        <v>0.99987550000000003</v>
      </c>
      <c r="N584">
        <v>-1.469501E-2</v>
      </c>
      <c r="O584">
        <v>5.7551629999999998E-3</v>
      </c>
      <c r="P584">
        <v>0.99448000000000003</v>
      </c>
      <c r="Q584">
        <v>-0.1041706</v>
      </c>
      <c r="R584">
        <v>-1.2589690000000001E-2</v>
      </c>
      <c r="S584">
        <v>3.0064700000000002</v>
      </c>
      <c r="T584">
        <v>-8.2777020000000007E-2</v>
      </c>
      <c r="U584">
        <v>-0.12838749999999999</v>
      </c>
      <c r="V584">
        <v>1.8310940000000001E-2</v>
      </c>
      <c r="W584">
        <v>-8.9547310000000005E-2</v>
      </c>
      <c r="X584">
        <v>0.99581430000000004</v>
      </c>
      <c r="Y584">
        <v>4.8386110000000003E-2</v>
      </c>
      <c r="Z584">
        <v>-1.095309E-3</v>
      </c>
      <c r="AA584">
        <v>0.9988281</v>
      </c>
      <c r="AB584">
        <v>23</v>
      </c>
      <c r="AC584">
        <v>40.487499999999997</v>
      </c>
      <c r="AD584">
        <v>-1.121131108276</v>
      </c>
      <c r="AE584">
        <v>-1.74020000000001</v>
      </c>
      <c r="AF584">
        <v>1.9716994172895199</v>
      </c>
      <c r="AG584">
        <v>-1.121131108276</v>
      </c>
      <c r="AH584">
        <v>40.445857227637902</v>
      </c>
      <c r="AI584">
        <v>91.585910327726793</v>
      </c>
      <c r="AJ584">
        <v>87.209091362711206</v>
      </c>
      <c r="AK584">
        <v>40.509405086134599</v>
      </c>
      <c r="AL584">
        <v>95.137564371813696</v>
      </c>
      <c r="AM584">
        <v>88.946569293502606</v>
      </c>
      <c r="AN584">
        <v>1.0000000656682</v>
      </c>
    </row>
    <row r="585" spans="1:40" x14ac:dyDescent="0.25">
      <c r="A585" t="str">
        <f>"20190303154108953"</f>
        <v>20190303154108953</v>
      </c>
      <c r="B585" t="str">
        <f>"1551598868949940"</f>
        <v>1551598868949940</v>
      </c>
      <c r="C585" t="s">
        <v>40</v>
      </c>
      <c r="D585">
        <v>5.9250530000000001</v>
      </c>
      <c r="E585">
        <v>0.51158090000000001</v>
      </c>
      <c r="F585" t="s">
        <v>41</v>
      </c>
      <c r="G585">
        <v>-343.07979999999998</v>
      </c>
      <c r="H585" s="1">
        <v>-3.9117250000000002E-6</v>
      </c>
      <c r="I585">
        <v>365.8954</v>
      </c>
      <c r="J585">
        <v>-382.93650000000002</v>
      </c>
      <c r="K585">
        <v>1.121124</v>
      </c>
      <c r="L585">
        <v>367.60820000000001</v>
      </c>
      <c r="M585">
        <v>0.99987559999999998</v>
      </c>
      <c r="N585">
        <v>-1.4690480000000001E-2</v>
      </c>
      <c r="O585">
        <v>5.7619300000000002E-3</v>
      </c>
      <c r="P585">
        <v>0.99445890000000003</v>
      </c>
      <c r="Q585">
        <v>-0.1043548</v>
      </c>
      <c r="R585">
        <v>-1.272177E-2</v>
      </c>
      <c r="S585">
        <v>3.0062259999999998</v>
      </c>
      <c r="T585">
        <v>-8.4085939999999998E-2</v>
      </c>
      <c r="U585">
        <v>-0.1283569</v>
      </c>
      <c r="V585">
        <v>1.8449710000000001E-2</v>
      </c>
      <c r="W585">
        <v>-8.9736300000000005E-2</v>
      </c>
      <c r="X585">
        <v>0.99579470000000003</v>
      </c>
      <c r="Y585">
        <v>4.838543E-2</v>
      </c>
      <c r="Z585">
        <v>-1.1083969999999999E-3</v>
      </c>
      <c r="AA585">
        <v>0.9988281</v>
      </c>
      <c r="AB585">
        <v>23</v>
      </c>
      <c r="AC585">
        <v>39.856699999999996</v>
      </c>
      <c r="AD585">
        <v>-1.1211279117249999</v>
      </c>
      <c r="AE585">
        <v>-1.7128000000000101</v>
      </c>
      <c r="AF585">
        <v>1.9409149388092</v>
      </c>
      <c r="AG585">
        <v>-1.1211279117249999</v>
      </c>
      <c r="AH585">
        <v>39.814723247804899</v>
      </c>
      <c r="AI585">
        <v>91.611032117157507</v>
      </c>
      <c r="AJ585">
        <v>87.209116142913103</v>
      </c>
      <c r="AK585">
        <v>39.877766560997799</v>
      </c>
      <c r="AL585">
        <v>95.148436603605404</v>
      </c>
      <c r="AM585">
        <v>88.938566770521106</v>
      </c>
      <c r="AN585">
        <v>1.00000003994243</v>
      </c>
    </row>
    <row r="586" spans="1:40" x14ac:dyDescent="0.25">
      <c r="A586" t="str">
        <f>"20190303154108975"</f>
        <v>20190303154108975</v>
      </c>
      <c r="B586" t="str">
        <f>"1551598868969460"</f>
        <v>1551598868969460</v>
      </c>
      <c r="C586" t="s">
        <v>40</v>
      </c>
      <c r="D586">
        <v>5.9372319999999998</v>
      </c>
      <c r="E586">
        <v>0.51152749999999902</v>
      </c>
      <c r="F586" t="s">
        <v>41</v>
      </c>
      <c r="G586">
        <v>-344.74270000000001</v>
      </c>
      <c r="H586" s="1">
        <v>-3.111501E-6</v>
      </c>
      <c r="I586">
        <v>365.9753</v>
      </c>
      <c r="J586">
        <v>-382.70460000000003</v>
      </c>
      <c r="K586">
        <v>1.1211249999999999</v>
      </c>
      <c r="L586">
        <v>367.60950000000003</v>
      </c>
      <c r="M586">
        <v>0.99987550000000003</v>
      </c>
      <c r="N586">
        <v>-1.4685709999999999E-2</v>
      </c>
      <c r="O586">
        <v>5.7692359999999996E-3</v>
      </c>
      <c r="P586">
        <v>0.99447160000000001</v>
      </c>
      <c r="Q586">
        <v>-0.1042042</v>
      </c>
      <c r="R586">
        <v>-1.2943400000000001E-2</v>
      </c>
      <c r="S586">
        <v>3.0058590000000001</v>
      </c>
      <c r="T586">
        <v>-8.8232989999999997E-2</v>
      </c>
      <c r="U586">
        <v>-0.1285095</v>
      </c>
      <c r="V586">
        <v>1.8678589999999998E-2</v>
      </c>
      <c r="W586">
        <v>-8.9590340000000004E-2</v>
      </c>
      <c r="X586">
        <v>0.99580349999999995</v>
      </c>
      <c r="Y586">
        <v>4.844598E-2</v>
      </c>
      <c r="Z586">
        <v>-1.151144E-3</v>
      </c>
      <c r="AA586">
        <v>0.99882510000000002</v>
      </c>
      <c r="AB586">
        <v>23</v>
      </c>
      <c r="AC586">
        <v>37.9619</v>
      </c>
      <c r="AD586">
        <v>-1.1211281115009999</v>
      </c>
      <c r="AE586">
        <v>-1.6342000000000201</v>
      </c>
      <c r="AF586">
        <v>1.85159561286526</v>
      </c>
      <c r="AG586">
        <v>-1.1211281115009999</v>
      </c>
      <c r="AH586">
        <v>37.9188274796158</v>
      </c>
      <c r="AI586">
        <v>91.691529669448798</v>
      </c>
      <c r="AJ586">
        <v>87.204438492172102</v>
      </c>
      <c r="AK586">
        <v>37.980558342194598</v>
      </c>
      <c r="AL586">
        <v>95.140040279011203</v>
      </c>
      <c r="AM586">
        <v>88.925411601358107</v>
      </c>
      <c r="AN586">
        <v>0.99999996467897601</v>
      </c>
    </row>
    <row r="587" spans="1:40" x14ac:dyDescent="0.25">
      <c r="A587" t="str">
        <f>"20190303154108998"</f>
        <v>20190303154108998</v>
      </c>
      <c r="B587" t="str">
        <f>"1551598868989955"</f>
        <v>1551598868989955</v>
      </c>
      <c r="C587" t="s">
        <v>40</v>
      </c>
      <c r="D587">
        <v>5.9474330000000002</v>
      </c>
      <c r="E587">
        <v>0.5115246</v>
      </c>
      <c r="F587" t="s">
        <v>41</v>
      </c>
      <c r="G587">
        <v>-344.78399999999999</v>
      </c>
      <c r="H587" s="1">
        <v>-3.0898800000000001E-6</v>
      </c>
      <c r="I587">
        <v>365.98700000000002</v>
      </c>
      <c r="J587">
        <v>-382.47219999999999</v>
      </c>
      <c r="K587">
        <v>1.1211249999999999</v>
      </c>
      <c r="L587">
        <v>367.61090000000002</v>
      </c>
      <c r="M587">
        <v>0.99987559999999998</v>
      </c>
      <c r="N587">
        <v>-1.4680759999999999E-2</v>
      </c>
      <c r="O587">
        <v>5.7761260000000004E-3</v>
      </c>
      <c r="P587">
        <v>0.99453219999999998</v>
      </c>
      <c r="Q587">
        <v>-0.1036353</v>
      </c>
      <c r="R587">
        <v>-1.286929E-2</v>
      </c>
      <c r="S587">
        <v>3.0057070000000001</v>
      </c>
      <c r="T587">
        <v>-8.8864330000000005E-2</v>
      </c>
      <c r="U587">
        <v>-0.1286011</v>
      </c>
      <c r="V587">
        <v>1.8611780000000001E-2</v>
      </c>
      <c r="W587">
        <v>-8.9025469999999995E-2</v>
      </c>
      <c r="X587">
        <v>0.9958555</v>
      </c>
      <c r="Y587">
        <v>4.8484970000000002E-2</v>
      </c>
      <c r="Z587">
        <v>-1.1583559999999999E-3</v>
      </c>
      <c r="AA587">
        <v>0.99882320000000002</v>
      </c>
      <c r="AB587">
        <v>23</v>
      </c>
      <c r="AC587">
        <v>37.688200000000002</v>
      </c>
      <c r="AD587">
        <v>-1.12112808988</v>
      </c>
      <c r="AE587">
        <v>-1.6239000000000401</v>
      </c>
      <c r="AF587">
        <v>1.8399629611936501</v>
      </c>
      <c r="AG587">
        <v>-1.12112808988</v>
      </c>
      <c r="AH587">
        <v>37.644939594470898</v>
      </c>
      <c r="AI587">
        <v>91.703825389238403</v>
      </c>
      <c r="AJ587">
        <v>87.201794333620398</v>
      </c>
      <c r="AK587">
        <v>37.706549417360399</v>
      </c>
      <c r="AL587">
        <v>95.107545303106704</v>
      </c>
      <c r="AM587">
        <v>88.929310214299804</v>
      </c>
      <c r="AN587">
        <v>1.0000000547718599</v>
      </c>
    </row>
    <row r="588" spans="1:40" x14ac:dyDescent="0.25">
      <c r="A588" t="str">
        <f>"20190303154109020"</f>
        <v>20190303154109020</v>
      </c>
      <c r="B588" t="str">
        <f>"1551598869009476"</f>
        <v>1551598869009476</v>
      </c>
      <c r="C588" t="s">
        <v>40</v>
      </c>
      <c r="D588">
        <v>5.9619010000000001</v>
      </c>
      <c r="E588">
        <v>0.51150720000000005</v>
      </c>
      <c r="F588" t="s">
        <v>41</v>
      </c>
      <c r="G588">
        <v>-344.7758</v>
      </c>
      <c r="H588" s="1">
        <v>-3.0923399999999999E-6</v>
      </c>
      <c r="I588">
        <v>365.99520000000001</v>
      </c>
      <c r="J588">
        <v>-382.24279999999999</v>
      </c>
      <c r="K588">
        <v>1.1211279999999999</v>
      </c>
      <c r="L588">
        <v>367.61219999999997</v>
      </c>
      <c r="M588">
        <v>0.99987570000000003</v>
      </c>
      <c r="N588">
        <v>-1.4675779999999999E-2</v>
      </c>
      <c r="O588">
        <v>5.7830750000000004E-3</v>
      </c>
      <c r="P588">
        <v>0.99457399999999996</v>
      </c>
      <c r="Q588">
        <v>-0.10323359999999999</v>
      </c>
      <c r="R588">
        <v>-1.2866580000000001E-2</v>
      </c>
      <c r="S588">
        <v>3.0055239999999999</v>
      </c>
      <c r="T588">
        <v>-8.9387179999999997E-2</v>
      </c>
      <c r="U588">
        <v>-0.1288147</v>
      </c>
      <c r="V588">
        <v>1.8616230000000001E-2</v>
      </c>
      <c r="W588">
        <v>-8.8628230000000002E-2</v>
      </c>
      <c r="X588">
        <v>0.99589079999999996</v>
      </c>
      <c r="Y588">
        <v>4.8564990000000002E-2</v>
      </c>
      <c r="Z588">
        <v>-1.1654160000000001E-3</v>
      </c>
      <c r="AA588">
        <v>0.99881940000000002</v>
      </c>
      <c r="AB588">
        <v>23</v>
      </c>
      <c r="AC588">
        <v>37.466999999999899</v>
      </c>
      <c r="AD588">
        <v>-1.12113109234</v>
      </c>
      <c r="AE588">
        <v>-1.61699999999996</v>
      </c>
      <c r="AF588">
        <v>1.8320333921480101</v>
      </c>
      <c r="AG588">
        <v>-1.12113109234</v>
      </c>
      <c r="AH588">
        <v>37.423574493506202</v>
      </c>
      <c r="AI588">
        <v>91.713895867422195</v>
      </c>
      <c r="AJ588">
        <v>87.197380219588695</v>
      </c>
      <c r="AK588">
        <v>37.485159852229003</v>
      </c>
      <c r="AL588">
        <v>95.084695049480104</v>
      </c>
      <c r="AM588">
        <v>88.929092227923405</v>
      </c>
      <c r="AN588">
        <v>1.00000000634849</v>
      </c>
    </row>
    <row r="589" spans="1:40" x14ac:dyDescent="0.25">
      <c r="A589" t="str">
        <f>"20190303154109043"</f>
        <v>20190303154109043</v>
      </c>
      <c r="B589" t="str">
        <f>"1551598869040239"</f>
        <v>1551598869040239</v>
      </c>
      <c r="C589" t="s">
        <v>40</v>
      </c>
      <c r="D589">
        <v>6.0310459999999999</v>
      </c>
      <c r="E589">
        <v>0.51167890000000005</v>
      </c>
      <c r="F589" t="s">
        <v>41</v>
      </c>
      <c r="G589">
        <v>-344.94229999999999</v>
      </c>
      <c r="H589" s="1">
        <v>-3.009869E-6</v>
      </c>
      <c r="I589">
        <v>366.01650000000001</v>
      </c>
      <c r="J589">
        <v>-382.0093</v>
      </c>
      <c r="K589">
        <v>1.121135</v>
      </c>
      <c r="L589">
        <v>367.61360000000002</v>
      </c>
      <c r="M589">
        <v>0.99987559999999998</v>
      </c>
      <c r="N589">
        <v>-1.4670600000000001E-2</v>
      </c>
      <c r="O589">
        <v>5.7905020000000003E-3</v>
      </c>
      <c r="P589">
        <v>0.99452070000000004</v>
      </c>
      <c r="Q589">
        <v>-0.103692699999999</v>
      </c>
      <c r="R589">
        <v>-1.3294479999999999E-2</v>
      </c>
      <c r="S589">
        <v>3.0053100000000001</v>
      </c>
      <c r="T589">
        <v>-9.0329770000000004E-2</v>
      </c>
      <c r="U589">
        <v>-0.12857060000000001</v>
      </c>
      <c r="V589">
        <v>1.9051040000000002E-2</v>
      </c>
      <c r="W589">
        <v>-8.9093249999999999E-2</v>
      </c>
      <c r="X589">
        <v>0.99584110000000003</v>
      </c>
      <c r="Y589">
        <v>4.8493910000000001E-2</v>
      </c>
      <c r="Z589">
        <v>-1.1733309999999999E-3</v>
      </c>
      <c r="AA589">
        <v>0.99882280000000001</v>
      </c>
      <c r="AB589">
        <v>23</v>
      </c>
      <c r="AC589">
        <v>37.067</v>
      </c>
      <c r="AD589">
        <v>-1.121138009869</v>
      </c>
      <c r="AE589">
        <v>-1.59710000000001</v>
      </c>
      <c r="AF589">
        <v>1.8100800028383599</v>
      </c>
      <c r="AG589">
        <v>-1.121138009869</v>
      </c>
      <c r="AH589">
        <v>37.023321920781001</v>
      </c>
      <c r="AI589">
        <v>91.732429329062299</v>
      </c>
      <c r="AJ589">
        <v>87.201022855392196</v>
      </c>
      <c r="AK589">
        <v>37.084494146524797</v>
      </c>
      <c r="AL589">
        <v>95.111444467632793</v>
      </c>
      <c r="AM589">
        <v>88.904030918713104</v>
      </c>
      <c r="AN589">
        <v>1.00000002288492</v>
      </c>
    </row>
    <row r="590" spans="1:40" x14ac:dyDescent="0.25">
      <c r="A590" t="str">
        <f>"20190303154109065"</f>
        <v>20190303154109065</v>
      </c>
      <c r="B590" t="str">
        <f>"1551598869059760"</f>
        <v>1551598869059760</v>
      </c>
      <c r="C590" t="s">
        <v>40</v>
      </c>
      <c r="D590">
        <v>6.1315549999999996</v>
      </c>
      <c r="E590">
        <v>0.54483349999999997</v>
      </c>
      <c r="F590" t="s">
        <v>41</v>
      </c>
      <c r="G590">
        <v>-347.63069999999999</v>
      </c>
      <c r="H590" s="1">
        <v>-1.8273700000000001E-6</v>
      </c>
      <c r="I590">
        <v>366.10860000000002</v>
      </c>
      <c r="J590">
        <v>-381.7747</v>
      </c>
      <c r="K590">
        <v>1.1211340000000001</v>
      </c>
      <c r="L590">
        <v>367.61489999999998</v>
      </c>
      <c r="M590">
        <v>0.99987579999999998</v>
      </c>
      <c r="N590">
        <v>-1.4665360000000001E-2</v>
      </c>
      <c r="O590">
        <v>5.7977509999999899E-3</v>
      </c>
      <c r="P590">
        <v>0.99448530000000002</v>
      </c>
      <c r="Q590">
        <v>-0.1039561</v>
      </c>
      <c r="R590">
        <v>-1.387532E-2</v>
      </c>
      <c r="S590">
        <v>3.0045470000000001</v>
      </c>
      <c r="T590">
        <v>-9.7982879999999994E-2</v>
      </c>
      <c r="U590">
        <v>-0.1315308</v>
      </c>
      <c r="V590">
        <v>1.9638949999999999E-2</v>
      </c>
      <c r="W590">
        <v>-8.9362410000000003E-2</v>
      </c>
      <c r="X590">
        <v>0.99580559999999996</v>
      </c>
      <c r="Y590">
        <v>4.9488409999999997E-2</v>
      </c>
      <c r="Z590">
        <v>-1.273525E-3</v>
      </c>
      <c r="AA590">
        <v>0.99877389999999999</v>
      </c>
      <c r="AB590">
        <v>23</v>
      </c>
      <c r="AC590">
        <v>34.143999999999998</v>
      </c>
      <c r="AD590">
        <v>-1.1211358273700001</v>
      </c>
      <c r="AE590">
        <v>-1.50629999999995</v>
      </c>
      <c r="AF590">
        <v>1.70242241223395</v>
      </c>
      <c r="AG590">
        <v>-1.1211358273700001</v>
      </c>
      <c r="AH590">
        <v>34.097999859655999</v>
      </c>
      <c r="AI590">
        <v>91.8808549330695</v>
      </c>
      <c r="AJ590">
        <v>87.141747552101293</v>
      </c>
      <c r="AK590">
        <v>34.158875596866302</v>
      </c>
      <c r="AL590">
        <v>95.126927764151702</v>
      </c>
      <c r="AM590">
        <v>88.870177975187403</v>
      </c>
      <c r="AN590">
        <v>1.0000000608347299</v>
      </c>
    </row>
    <row r="591" spans="1:40" x14ac:dyDescent="0.25">
      <c r="A591" t="str">
        <f>"20190303154109089"</f>
        <v>20190303154109089</v>
      </c>
      <c r="B591" t="str">
        <f>"1551598869080255"</f>
        <v>1551598869080255</v>
      </c>
      <c r="C591" t="s">
        <v>40</v>
      </c>
      <c r="D591">
        <v>6.1206630000000004</v>
      </c>
      <c r="E591">
        <v>0.54337630000000003</v>
      </c>
      <c r="F591" t="s">
        <v>41</v>
      </c>
      <c r="G591">
        <v>-365.26249999999999</v>
      </c>
      <c r="H591" s="1">
        <v>-2.7598479999999999E-6</v>
      </c>
      <c r="I591">
        <v>365.4153</v>
      </c>
      <c r="J591">
        <v>-381.53379999999999</v>
      </c>
      <c r="K591">
        <v>1.1211279999999999</v>
      </c>
      <c r="L591">
        <v>367.61630000000002</v>
      </c>
      <c r="M591">
        <v>0.99987579999999998</v>
      </c>
      <c r="N591">
        <v>-1.465994E-2</v>
      </c>
      <c r="O591">
        <v>5.8050030000000004E-3</v>
      </c>
      <c r="P591">
        <v>0.99441990000000002</v>
      </c>
      <c r="Q591">
        <v>-0.1044943</v>
      </c>
      <c r="R591">
        <v>-1.4503790000000001E-2</v>
      </c>
      <c r="S591">
        <v>2.9898380000000002</v>
      </c>
      <c r="T591">
        <v>-0.2030014</v>
      </c>
      <c r="U591">
        <v>-0.39825440000000001</v>
      </c>
      <c r="V591">
        <v>2.0274199999999999E-2</v>
      </c>
      <c r="W591">
        <v>-8.9906940000000005E-2</v>
      </c>
      <c r="X591">
        <v>0.99574379999999996</v>
      </c>
      <c r="Y591">
        <v>0.13740189999999999</v>
      </c>
      <c r="Z591">
        <v>-5.9591899999999996E-3</v>
      </c>
      <c r="AA591">
        <v>0.99049750000000003</v>
      </c>
      <c r="AB591">
        <v>23</v>
      </c>
      <c r="AC591">
        <v>16.271299999999901</v>
      </c>
      <c r="AD591">
        <v>-1.121130759848</v>
      </c>
      <c r="AE591">
        <v>-2.2010000000000201</v>
      </c>
      <c r="AF591">
        <v>2.2847758525709798</v>
      </c>
      <c r="AG591">
        <v>-1.121130759848</v>
      </c>
      <c r="AH591">
        <v>16.1827997365423</v>
      </c>
      <c r="AI591">
        <v>93.924275594713606</v>
      </c>
      <c r="AJ591">
        <v>81.963784897785004</v>
      </c>
      <c r="AK591">
        <v>16.381701443690201</v>
      </c>
      <c r="AL591">
        <v>95.158253399630695</v>
      </c>
      <c r="AM591">
        <v>88.833569830014696</v>
      </c>
      <c r="AN591">
        <v>1.0000000081421201</v>
      </c>
    </row>
    <row r="592" spans="1:40" x14ac:dyDescent="0.25">
      <c r="A592" t="str">
        <f>"20190303154109111"</f>
        <v>20190303154109111</v>
      </c>
      <c r="B592" t="str">
        <f>"1551598869099775"</f>
        <v>1551598869099775</v>
      </c>
      <c r="C592" t="s">
        <v>40</v>
      </c>
      <c r="D592">
        <v>6.0897399999999999</v>
      </c>
      <c r="E592">
        <v>0.54352539999999905</v>
      </c>
      <c r="F592" t="s">
        <v>41</v>
      </c>
      <c r="G592">
        <v>-367.08920000000001</v>
      </c>
      <c r="H592" s="1">
        <v>-2.0092679999999999E-6</v>
      </c>
      <c r="I592">
        <v>365.73520000000002</v>
      </c>
      <c r="J592">
        <v>-381.30130000000003</v>
      </c>
      <c r="K592">
        <v>1.121132</v>
      </c>
      <c r="L592">
        <v>367.61770000000001</v>
      </c>
      <c r="M592">
        <v>0.99987570000000003</v>
      </c>
      <c r="N592">
        <v>-1.465464E-2</v>
      </c>
      <c r="O592">
        <v>5.8121309999999999E-3</v>
      </c>
      <c r="P592">
        <v>0.99445859999999997</v>
      </c>
      <c r="Q592">
        <v>-0.10407710000000001</v>
      </c>
      <c r="R592">
        <v>-1.4847290000000001E-2</v>
      </c>
      <c r="S592">
        <v>2.9868160000000001</v>
      </c>
      <c r="T592">
        <v>-0.23182330000000001</v>
      </c>
      <c r="U592">
        <v>-0.38894649999999997</v>
      </c>
      <c r="V592">
        <v>2.062489E-2</v>
      </c>
      <c r="W592">
        <v>-8.9494560000000001E-2</v>
      </c>
      <c r="X592">
        <v>0.99577369999999998</v>
      </c>
      <c r="Y592">
        <v>0.13440750000000001</v>
      </c>
      <c r="Z592">
        <v>-6.5410800000000003E-3</v>
      </c>
      <c r="AA592">
        <v>0.99090460000000002</v>
      </c>
      <c r="AB592">
        <v>23</v>
      </c>
      <c r="AC592">
        <v>14.2121</v>
      </c>
      <c r="AD592">
        <v>-1.121134009268</v>
      </c>
      <c r="AE592">
        <v>-1.8824999999999901</v>
      </c>
      <c r="AF592">
        <v>1.9531349041225901</v>
      </c>
      <c r="AG592">
        <v>-1.121134009268</v>
      </c>
      <c r="AH592">
        <v>14.1145969945196</v>
      </c>
      <c r="AI592">
        <v>94.498826115148901</v>
      </c>
      <c r="AJ592">
        <v>82.121616045460001</v>
      </c>
      <c r="AK592">
        <v>14.2931286196599</v>
      </c>
      <c r="AL592">
        <v>95.134530369599503</v>
      </c>
      <c r="AM592">
        <v>88.813435014658197</v>
      </c>
      <c r="AN592">
        <v>0.999999961984397</v>
      </c>
    </row>
    <row r="593" spans="1:40" x14ac:dyDescent="0.25">
      <c r="A593" t="str">
        <f>"20190303154109132"</f>
        <v>20190303154109132</v>
      </c>
      <c r="B593" t="str">
        <f>"1551598869129562"</f>
        <v>1551598869129562</v>
      </c>
      <c r="C593" t="s">
        <v>40</v>
      </c>
      <c r="D593">
        <v>6.2636810000000001</v>
      </c>
      <c r="E593">
        <v>0.54207910000000004</v>
      </c>
      <c r="F593" t="s">
        <v>41</v>
      </c>
      <c r="G593">
        <v>-366.27409999999998</v>
      </c>
      <c r="H593" s="1">
        <v>-2.3091820000000002E-6</v>
      </c>
      <c r="I593">
        <v>365.6506</v>
      </c>
      <c r="J593">
        <v>-381.08330000000001</v>
      </c>
      <c r="K593">
        <v>1.1211340000000001</v>
      </c>
      <c r="L593">
        <v>367.6189</v>
      </c>
      <c r="M593">
        <v>0.99987570000000003</v>
      </c>
      <c r="N593">
        <v>-1.464975E-2</v>
      </c>
      <c r="O593">
        <v>5.8173410000000002E-3</v>
      </c>
      <c r="P593">
        <v>0.99448300000000001</v>
      </c>
      <c r="Q593">
        <v>-0.1038237</v>
      </c>
      <c r="R593">
        <v>-1.4973429999999999E-2</v>
      </c>
      <c r="S593">
        <v>2.9875790000000002</v>
      </c>
      <c r="T593">
        <v>-0.2228917</v>
      </c>
      <c r="U593">
        <v>-0.39105220000000002</v>
      </c>
      <c r="V593">
        <v>2.0756210000000001E-2</v>
      </c>
      <c r="W593">
        <v>-8.9245779999999997E-2</v>
      </c>
      <c r="X593">
        <v>0.99579329999999999</v>
      </c>
      <c r="Y593">
        <v>0.135099</v>
      </c>
      <c r="Z593">
        <v>-6.3536360000000002E-3</v>
      </c>
      <c r="AA593">
        <v>0.99081180000000002</v>
      </c>
      <c r="AB593">
        <v>23</v>
      </c>
      <c r="AC593">
        <v>14.809200000000001</v>
      </c>
      <c r="AD593">
        <v>-1.1211363091819999</v>
      </c>
      <c r="AE593">
        <v>-1.9682999999999899</v>
      </c>
      <c r="AF593">
        <v>2.0429207452043201</v>
      </c>
      <c r="AG593">
        <v>-1.1211363091819999</v>
      </c>
      <c r="AH593">
        <v>14.714627737267101</v>
      </c>
      <c r="AI593">
        <v>94.315821942988805</v>
      </c>
      <c r="AJ593">
        <v>82.095807648946703</v>
      </c>
      <c r="AK593">
        <v>14.8980113183372</v>
      </c>
      <c r="AL593">
        <v>95.120219053224403</v>
      </c>
      <c r="AM593">
        <v>88.805905756519195</v>
      </c>
      <c r="AN593">
        <v>0.99999996291312998</v>
      </c>
    </row>
    <row r="594" spans="1:40" x14ac:dyDescent="0.25">
      <c r="A594" t="str">
        <f>"20190303154109145"</f>
        <v>20190303154109145</v>
      </c>
      <c r="B594" t="str">
        <f>"1551598869140299"</f>
        <v>1551598869140299</v>
      </c>
      <c r="C594" t="s">
        <v>40</v>
      </c>
      <c r="D594">
        <v>6.301914</v>
      </c>
      <c r="E594">
        <v>0.54164029999999996</v>
      </c>
      <c r="F594" t="s">
        <v>41</v>
      </c>
      <c r="G594">
        <v>-366.90370000000001</v>
      </c>
      <c r="H594" s="1">
        <v>-2.0510790000000002E-6</v>
      </c>
      <c r="I594">
        <v>365.81529999999998</v>
      </c>
      <c r="J594">
        <v>-380.95920000000001</v>
      </c>
      <c r="K594">
        <v>1.1211249999999999</v>
      </c>
      <c r="L594">
        <v>367.61970000000002</v>
      </c>
      <c r="M594">
        <v>0.99987590000000004</v>
      </c>
      <c r="N594">
        <v>-1.4646960000000001E-2</v>
      </c>
      <c r="O594">
        <v>5.8193769999999997E-3</v>
      </c>
      <c r="P594">
        <v>0.99450749999999999</v>
      </c>
      <c r="Q594">
        <v>-0.10358059999999999</v>
      </c>
      <c r="R594">
        <v>-1.50360999999999E-2</v>
      </c>
      <c r="S594">
        <v>2.9862669999999998</v>
      </c>
      <c r="T594">
        <v>-0.23611399999999999</v>
      </c>
      <c r="U594">
        <v>-0.37982179999999999</v>
      </c>
      <c r="V594">
        <v>2.0820999999999999E-2</v>
      </c>
      <c r="W594">
        <v>-8.9005180000000003E-2</v>
      </c>
      <c r="X594">
        <v>0.99581350000000002</v>
      </c>
      <c r="Y594">
        <v>0.13145270000000001</v>
      </c>
      <c r="Z594">
        <v>-6.5091259999999996E-3</v>
      </c>
      <c r="AA594">
        <v>0.99130110000000005</v>
      </c>
      <c r="AB594">
        <v>23</v>
      </c>
      <c r="AC594">
        <v>14.055499999999901</v>
      </c>
      <c r="AD594">
        <v>-1.1211270510789999</v>
      </c>
      <c r="AE594">
        <v>-1.80440000000004</v>
      </c>
      <c r="AF594">
        <v>1.8744399883755101</v>
      </c>
      <c r="AG594">
        <v>-1.1211270510789999</v>
      </c>
      <c r="AH594">
        <v>13.9573983668946</v>
      </c>
      <c r="AI594">
        <v>94.551730047280003</v>
      </c>
      <c r="AJ594">
        <v>82.351100754911201</v>
      </c>
      <c r="AK594">
        <v>14.1272580604615</v>
      </c>
      <c r="AL594">
        <v>95.106378513889396</v>
      </c>
      <c r="AM594">
        <v>88.802203795523198</v>
      </c>
      <c r="AN594">
        <v>0.99999998144504099</v>
      </c>
    </row>
    <row r="595" spans="1:40" x14ac:dyDescent="0.25">
      <c r="A595" t="str">
        <f>"20190303154109158"</f>
        <v>20190303154109158</v>
      </c>
      <c r="B595" t="str">
        <f>"1551598869150058"</f>
        <v>1551598869150058</v>
      </c>
      <c r="C595" t="s">
        <v>40</v>
      </c>
      <c r="D595">
        <v>6.2719040000000001</v>
      </c>
      <c r="E595">
        <v>0.54128959999999904</v>
      </c>
      <c r="F595" t="s">
        <v>41</v>
      </c>
      <c r="G595">
        <v>-367.43639999999999</v>
      </c>
      <c r="H595" s="1">
        <v>-1.8441090000000001E-6</v>
      </c>
      <c r="I595">
        <v>365.9119</v>
      </c>
      <c r="J595">
        <v>-380.81920000000002</v>
      </c>
      <c r="K595">
        <v>1.1211249999999999</v>
      </c>
      <c r="L595">
        <v>367.62049999999999</v>
      </c>
      <c r="M595">
        <v>0.99987579999999998</v>
      </c>
      <c r="N595">
        <v>-1.464377E-2</v>
      </c>
      <c r="O595">
        <v>5.8215910000000001E-3</v>
      </c>
      <c r="P595">
        <v>0.9945195</v>
      </c>
      <c r="Q595">
        <v>-0.1034761</v>
      </c>
      <c r="R595">
        <v>-1.4957949999999999E-2</v>
      </c>
      <c r="S595">
        <v>2.9850460000000001</v>
      </c>
      <c r="T595">
        <v>-0.2474778</v>
      </c>
      <c r="U595">
        <v>-0.37695309999999999</v>
      </c>
      <c r="V595">
        <v>2.074492E-2</v>
      </c>
      <c r="W595">
        <v>-8.8903699999999905E-2</v>
      </c>
      <c r="X595">
        <v>0.99582420000000005</v>
      </c>
      <c r="Y595">
        <v>0.13052639999999999</v>
      </c>
      <c r="Z595">
        <v>-6.7367809999999998E-3</v>
      </c>
      <c r="AA595">
        <v>0.99142189999999997</v>
      </c>
      <c r="AB595">
        <v>23</v>
      </c>
      <c r="AC595">
        <v>13.3828</v>
      </c>
      <c r="AD595">
        <v>-1.1211268441090001</v>
      </c>
      <c r="AE595">
        <v>-1.7085999999999899</v>
      </c>
      <c r="AF595">
        <v>1.77423663707256</v>
      </c>
      <c r="AG595">
        <v>-1.1211268441090001</v>
      </c>
      <c r="AH595">
        <v>13.280914300688099</v>
      </c>
      <c r="AI595">
        <v>94.782970253697002</v>
      </c>
      <c r="AJ595">
        <v>82.390741518080404</v>
      </c>
      <c r="AK595">
        <v>13.4457251833858</v>
      </c>
      <c r="AL595">
        <v>95.100540756030696</v>
      </c>
      <c r="AM595">
        <v>88.8065920979721</v>
      </c>
      <c r="AN595">
        <v>1.0000000284425601</v>
      </c>
    </row>
    <row r="596" spans="1:40" x14ac:dyDescent="0.25">
      <c r="A596" t="str">
        <f>"20190303154109179"</f>
        <v>20190303154109179</v>
      </c>
      <c r="B596" t="str">
        <f>"1551598869169578"</f>
        <v>1551598869169578</v>
      </c>
      <c r="C596" t="s">
        <v>40</v>
      </c>
      <c r="D596">
        <v>6.2401999999999997</v>
      </c>
      <c r="E596">
        <v>0.5407978</v>
      </c>
      <c r="F596" t="s">
        <v>42</v>
      </c>
      <c r="G596">
        <v>-379.90679999999998</v>
      </c>
      <c r="H596">
        <v>1.0447959999999901</v>
      </c>
      <c r="I596">
        <v>367.50599999999997</v>
      </c>
      <c r="J596">
        <v>-380.61</v>
      </c>
      <c r="K596">
        <v>1.121132</v>
      </c>
      <c r="L596">
        <v>367.62169999999998</v>
      </c>
      <c r="M596">
        <v>0.99987599999999999</v>
      </c>
      <c r="N596">
        <v>-1.463882E-2</v>
      </c>
      <c r="O596">
        <v>5.8236310000000001E-3</v>
      </c>
      <c r="P596">
        <v>0.99452370000000001</v>
      </c>
      <c r="Q596">
        <v>-0.103521</v>
      </c>
      <c r="R596">
        <v>-1.4363860000000001E-2</v>
      </c>
      <c r="S596">
        <v>2.9848940000000002</v>
      </c>
      <c r="T596">
        <v>-0.24996879999999999</v>
      </c>
      <c r="U596">
        <v>-0.37380980000000003</v>
      </c>
      <c r="V596">
        <v>2.0152590000000001E-2</v>
      </c>
      <c r="W596">
        <v>-8.8953459999999998E-2</v>
      </c>
      <c r="X596">
        <v>0.99583189999999999</v>
      </c>
      <c r="Y596">
        <v>0.1295009</v>
      </c>
      <c r="Z596">
        <v>-6.7458140000000002E-3</v>
      </c>
      <c r="AA596">
        <v>0.99155629999999995</v>
      </c>
      <c r="AB596">
        <v>23</v>
      </c>
      <c r="AC596">
        <v>0.70320000000003802</v>
      </c>
      <c r="AD596">
        <v>-7.6336000000000098E-2</v>
      </c>
      <c r="AE596">
        <v>-0.11570000000000299</v>
      </c>
      <c r="AF596">
        <v>0.118434777615362</v>
      </c>
      <c r="AG596">
        <v>-7.6336000000000098E-2</v>
      </c>
      <c r="AH596">
        <v>0.69454525794916</v>
      </c>
      <c r="AI596">
        <v>96.183533343370399</v>
      </c>
      <c r="AJ596">
        <v>80.322926456132805</v>
      </c>
      <c r="AK596">
        <v>0.70869393731318597</v>
      </c>
      <c r="AL596">
        <v>95.103403234186302</v>
      </c>
      <c r="AM596">
        <v>88.840667016057097</v>
      </c>
      <c r="AN596">
        <v>1.0000000089936401</v>
      </c>
    </row>
    <row r="597" spans="1:40" x14ac:dyDescent="0.25">
      <c r="A597" t="str">
        <f>"20190303154109200"</f>
        <v>20190303154109200</v>
      </c>
      <c r="B597" t="str">
        <f>"1551598869190073"</f>
        <v>1551598869190073</v>
      </c>
      <c r="C597" t="s">
        <v>40</v>
      </c>
      <c r="D597">
        <v>6.2387230000000002</v>
      </c>
      <c r="E597">
        <v>0.54037619999999997</v>
      </c>
      <c r="F597" t="s">
        <v>42</v>
      </c>
      <c r="G597">
        <v>-379.70389999999998</v>
      </c>
      <c r="H597">
        <v>1.04386</v>
      </c>
      <c r="I597">
        <v>367.50990000000002</v>
      </c>
      <c r="J597">
        <v>-380.38869999999997</v>
      </c>
      <c r="K597">
        <v>1.12113</v>
      </c>
      <c r="L597">
        <v>367.62299999999999</v>
      </c>
      <c r="M597">
        <v>0.99987599999999999</v>
      </c>
      <c r="N597">
        <v>-1.46334E-2</v>
      </c>
      <c r="O597">
        <v>5.8247849999999999E-3</v>
      </c>
      <c r="P597">
        <v>0.99454019999999999</v>
      </c>
      <c r="Q597">
        <v>-0.1034978</v>
      </c>
      <c r="R597">
        <v>-1.333664E-2</v>
      </c>
      <c r="S597">
        <v>2.9847109999999999</v>
      </c>
      <c r="T597">
        <v>-0.25456250000000002</v>
      </c>
      <c r="U597">
        <v>-0.3681335</v>
      </c>
      <c r="V597">
        <v>1.9126580000000001E-2</v>
      </c>
      <c r="W597">
        <v>-8.8935330000000007E-2</v>
      </c>
      <c r="X597">
        <v>0.99585369999999995</v>
      </c>
      <c r="Y597">
        <v>0.12764130000000001</v>
      </c>
      <c r="Z597">
        <v>-6.7616580000000003E-3</v>
      </c>
      <c r="AA597">
        <v>0.99179729999999999</v>
      </c>
      <c r="AB597">
        <v>23</v>
      </c>
      <c r="AC597">
        <v>0.68479999999999497</v>
      </c>
      <c r="AD597">
        <v>-7.7269999999999894E-2</v>
      </c>
      <c r="AE597">
        <v>-0.113100000000031</v>
      </c>
      <c r="AF597">
        <v>0.115653921710131</v>
      </c>
      <c r="AG597">
        <v>-7.7269999999999894E-2</v>
      </c>
      <c r="AH597">
        <v>0.67575431957030496</v>
      </c>
      <c r="AI597">
        <v>96.430527497802501</v>
      </c>
      <c r="AJ597">
        <v>80.288045271868597</v>
      </c>
      <c r="AK597">
        <v>0.689920562764192</v>
      </c>
      <c r="AL597">
        <v>95.102360602461502</v>
      </c>
      <c r="AM597">
        <v>88.899700234727007</v>
      </c>
      <c r="AN597">
        <v>0.99999995539419595</v>
      </c>
    </row>
    <row r="598" spans="1:40" x14ac:dyDescent="0.25">
      <c r="A598" t="str">
        <f>"20190303154109215"</f>
        <v>20190303154109215</v>
      </c>
      <c r="B598" t="str">
        <f>"1551598869209595"</f>
        <v>1551598869209595</v>
      </c>
      <c r="C598" t="s">
        <v>40</v>
      </c>
      <c r="D598">
        <v>6.2760439999999997</v>
      </c>
      <c r="E598">
        <v>0.54010619999999998</v>
      </c>
      <c r="F598" t="s">
        <v>42</v>
      </c>
      <c r="G598">
        <v>-379.50080000000003</v>
      </c>
      <c r="H598">
        <v>1.043847</v>
      </c>
      <c r="I598">
        <v>367.51530000000002</v>
      </c>
      <c r="J598">
        <v>-380.23579999999998</v>
      </c>
      <c r="K598">
        <v>1.121132</v>
      </c>
      <c r="L598">
        <v>367.62389999999999</v>
      </c>
      <c r="M598">
        <v>0.99987610000000005</v>
      </c>
      <c r="N598">
        <v>-1.4629619999999999E-2</v>
      </c>
      <c r="O598">
        <v>5.8249819999999898E-3</v>
      </c>
      <c r="P598">
        <v>0.99454739999999997</v>
      </c>
      <c r="Q598">
        <v>-0.1034704</v>
      </c>
      <c r="R598">
        <v>-1.3027220000000001E-2</v>
      </c>
      <c r="S598">
        <v>2.9846189999999999</v>
      </c>
      <c r="T598">
        <v>-0.25987640000000001</v>
      </c>
      <c r="U598">
        <v>-0.36166379999999998</v>
      </c>
      <c r="V598">
        <v>1.8817110000000001E-2</v>
      </c>
      <c r="W598">
        <v>-8.8911619999999997E-2</v>
      </c>
      <c r="X598">
        <v>0.99586180000000002</v>
      </c>
      <c r="Y598">
        <v>0.12551409999999999</v>
      </c>
      <c r="Z598">
        <v>-6.7774719999999997E-3</v>
      </c>
      <c r="AA598">
        <v>0.99206870000000003</v>
      </c>
      <c r="AB598">
        <v>23</v>
      </c>
      <c r="AC598">
        <v>0.73499999999995602</v>
      </c>
      <c r="AD598">
        <v>-7.7285000000000006E-2</v>
      </c>
      <c r="AE598">
        <v>-0.108599999999967</v>
      </c>
      <c r="AF598">
        <v>0.111671663897292</v>
      </c>
      <c r="AG598">
        <v>-7.7285000000000006E-2</v>
      </c>
      <c r="AH598">
        <v>0.72649403570867799</v>
      </c>
      <c r="AI598">
        <v>96.002358316300203</v>
      </c>
      <c r="AJ598">
        <v>81.261284003052893</v>
      </c>
      <c r="AK598">
        <v>0.73907855851923598</v>
      </c>
      <c r="AL598">
        <v>95.100996272157104</v>
      </c>
      <c r="AM598">
        <v>88.917507727808299</v>
      </c>
      <c r="AN598">
        <v>1.0000000422494999</v>
      </c>
    </row>
    <row r="599" spans="1:40" x14ac:dyDescent="0.25">
      <c r="A599" t="str">
        <f>"20190303154109233"</f>
        <v>20190303154109233</v>
      </c>
      <c r="B599" t="str">
        <f>"1551598869230090"</f>
        <v>1551598869230090</v>
      </c>
      <c r="C599" t="s">
        <v>40</v>
      </c>
      <c r="D599">
        <v>6.2312969999999996</v>
      </c>
      <c r="E599">
        <v>0.53982249999999998</v>
      </c>
      <c r="F599" t="s">
        <v>41</v>
      </c>
      <c r="G599">
        <v>-367.53649999999999</v>
      </c>
      <c r="H599" s="1">
        <v>-1.760841E-6</v>
      </c>
      <c r="I599">
        <v>366.09679999999997</v>
      </c>
      <c r="J599">
        <v>-380.0573</v>
      </c>
      <c r="K599">
        <v>1.1211310000000001</v>
      </c>
      <c r="L599">
        <v>367.62490000000003</v>
      </c>
      <c r="M599">
        <v>0.99987610000000005</v>
      </c>
      <c r="N599">
        <v>-1.462519E-2</v>
      </c>
      <c r="O599">
        <v>5.8247129999999996E-3</v>
      </c>
      <c r="P599">
        <v>0.9945465</v>
      </c>
      <c r="Q599">
        <v>-0.1035341</v>
      </c>
      <c r="R599">
        <v>-1.2578509999999999E-2</v>
      </c>
      <c r="S599">
        <v>2.984283</v>
      </c>
      <c r="T599">
        <v>-0.26345970000000002</v>
      </c>
      <c r="U599">
        <v>-0.35882570000000003</v>
      </c>
      <c r="V599">
        <v>1.8368019999999999E-2</v>
      </c>
      <c r="W599">
        <v>-8.8979649999999993E-2</v>
      </c>
      <c r="X599">
        <v>0.99586410000000003</v>
      </c>
      <c r="Y599">
        <v>0.12458660000000001</v>
      </c>
      <c r="Z599">
        <v>-6.8122429999999999E-3</v>
      </c>
      <c r="AA599">
        <v>0.9921854</v>
      </c>
      <c r="AB599">
        <v>23</v>
      </c>
      <c r="AC599">
        <v>12.520799999999999</v>
      </c>
      <c r="AD599">
        <v>-1.12113276084099</v>
      </c>
      <c r="AE599">
        <v>-1.52810000000005</v>
      </c>
      <c r="AF599">
        <v>1.5884630299224201</v>
      </c>
      <c r="AG599">
        <v>-1.12113276084099</v>
      </c>
      <c r="AH599">
        <v>12.4136178839392</v>
      </c>
      <c r="AI599">
        <v>95.119136860994203</v>
      </c>
      <c r="AJ599">
        <v>82.707983725984207</v>
      </c>
      <c r="AK599">
        <v>12.5649537378105</v>
      </c>
      <c r="AL599">
        <v>95.104909656847994</v>
      </c>
      <c r="AM599">
        <v>88.943339048214696</v>
      </c>
      <c r="AN599">
        <v>1.0000000339708199</v>
      </c>
    </row>
    <row r="600" spans="1:40" x14ac:dyDescent="0.25">
      <c r="A600" t="str">
        <f>"20190303154109254"</f>
        <v>20190303154109254</v>
      </c>
      <c r="B600" t="str">
        <f>"1551598869249610"</f>
        <v>1551598869249610</v>
      </c>
      <c r="C600" t="s">
        <v>40</v>
      </c>
      <c r="D600">
        <v>6.2497669999999896</v>
      </c>
      <c r="E600">
        <v>0.53950310000000001</v>
      </c>
      <c r="F600" t="s">
        <v>41</v>
      </c>
      <c r="G600">
        <v>-367.5181</v>
      </c>
      <c r="H600" s="1">
        <v>-1.7574549999999999E-6</v>
      </c>
      <c r="I600">
        <v>366.13310000000001</v>
      </c>
      <c r="J600">
        <v>-379.83909999999997</v>
      </c>
      <c r="K600">
        <v>1.121135</v>
      </c>
      <c r="L600">
        <v>367.62619999999998</v>
      </c>
      <c r="M600">
        <v>0.99987619999999999</v>
      </c>
      <c r="N600">
        <v>-1.4619790000000001E-2</v>
      </c>
      <c r="O600">
        <v>5.8238589999999998E-3</v>
      </c>
      <c r="P600">
        <v>0.99454299999999995</v>
      </c>
      <c r="Q600">
        <v>-0.10353329999999999</v>
      </c>
      <c r="R600">
        <v>-1.285274E-2</v>
      </c>
      <c r="S600">
        <v>2.9842219999999999</v>
      </c>
      <c r="T600">
        <v>-0.2668179</v>
      </c>
      <c r="U600">
        <v>-0.35501100000000002</v>
      </c>
      <c r="V600">
        <v>1.864151E-2</v>
      </c>
      <c r="W600">
        <v>-8.898433E-2</v>
      </c>
      <c r="X600">
        <v>0.99585860000000004</v>
      </c>
      <c r="Y600">
        <v>0.1233296</v>
      </c>
      <c r="Z600">
        <v>-6.8232329999999997E-3</v>
      </c>
      <c r="AA600">
        <v>0.99234230000000001</v>
      </c>
      <c r="AB600">
        <v>23</v>
      </c>
      <c r="AC600">
        <v>12.3209999999999</v>
      </c>
      <c r="AD600">
        <v>-1.121136757455</v>
      </c>
      <c r="AE600">
        <v>-1.4930999999999699</v>
      </c>
      <c r="AF600">
        <v>1.5521722737355199</v>
      </c>
      <c r="AG600">
        <v>-1.121136757455</v>
      </c>
      <c r="AH600">
        <v>12.2124401133521</v>
      </c>
      <c r="AI600">
        <v>95.203585524368705</v>
      </c>
      <c r="AJ600">
        <v>82.756677657688897</v>
      </c>
      <c r="AK600">
        <v>12.3616293391478</v>
      </c>
      <c r="AL600">
        <v>95.105178868647897</v>
      </c>
      <c r="AM600">
        <v>88.927603657322095</v>
      </c>
      <c r="AN600">
        <v>1.0000000340372901</v>
      </c>
    </row>
    <row r="601" spans="1:40" x14ac:dyDescent="0.25">
      <c r="A601" t="str">
        <f>"20190303154109268"</f>
        <v>20190303154109268</v>
      </c>
      <c r="B601" t="str">
        <f>"1551598869260347"</f>
        <v>1551598869260347</v>
      </c>
      <c r="C601" t="s">
        <v>40</v>
      </c>
      <c r="D601">
        <v>6.2731709999999996</v>
      </c>
      <c r="E601">
        <v>0.53945669999999901</v>
      </c>
      <c r="F601" t="s">
        <v>41</v>
      </c>
      <c r="G601">
        <v>-367.42020000000002</v>
      </c>
      <c r="H601" s="1">
        <v>-1.784966E-6</v>
      </c>
      <c r="I601">
        <v>366.1549</v>
      </c>
      <c r="J601">
        <v>-379.7063</v>
      </c>
      <c r="K601">
        <v>1.1211359999999999</v>
      </c>
      <c r="L601">
        <v>367.62700000000001</v>
      </c>
      <c r="M601">
        <v>0.99987630000000005</v>
      </c>
      <c r="N601">
        <v>-1.4616509999999999E-2</v>
      </c>
      <c r="O601">
        <v>5.8230510000000001E-3</v>
      </c>
      <c r="P601">
        <v>0.99454609999999999</v>
      </c>
      <c r="Q601">
        <v>-0.1034626</v>
      </c>
      <c r="R601">
        <v>-1.319348E-2</v>
      </c>
      <c r="S601">
        <v>2.9838870000000002</v>
      </c>
      <c r="T601">
        <v>-0.26937230000000001</v>
      </c>
      <c r="U601">
        <v>-0.353485099999999</v>
      </c>
      <c r="V601">
        <v>1.8981390000000001E-2</v>
      </c>
      <c r="W601">
        <v>-8.8916880000000004E-2</v>
      </c>
      <c r="X601">
        <v>0.99585820000000003</v>
      </c>
      <c r="Y601">
        <v>0.1228332</v>
      </c>
      <c r="Z601">
        <v>-6.855145E-3</v>
      </c>
      <c r="AA601">
        <v>0.99240360000000005</v>
      </c>
      <c r="AB601">
        <v>23</v>
      </c>
      <c r="AC601">
        <v>12.2860999999999</v>
      </c>
      <c r="AD601">
        <v>-1.121137784966</v>
      </c>
      <c r="AE601">
        <v>-1.47209999999995</v>
      </c>
      <c r="AF601">
        <v>1.5310565559792599</v>
      </c>
      <c r="AG601">
        <v>-1.121137784966</v>
      </c>
      <c r="AH601">
        <v>12.177352657467001</v>
      </c>
      <c r="AI601">
        <v>95.219384372316199</v>
      </c>
      <c r="AJ601">
        <v>82.833814148910506</v>
      </c>
      <c r="AK601">
        <v>12.324325614604801</v>
      </c>
      <c r="AL601">
        <v>95.101298910997301</v>
      </c>
      <c r="AM601">
        <v>88.9080555207684</v>
      </c>
      <c r="AN601">
        <v>1.0000000296112499</v>
      </c>
    </row>
    <row r="602" spans="1:40" x14ac:dyDescent="0.25">
      <c r="A602" t="str">
        <f>"20190303154109280"</f>
        <v>20190303154109280</v>
      </c>
      <c r="B602" t="str">
        <f>"1551598869270106"</f>
        <v>1551598869270106</v>
      </c>
      <c r="C602" t="s">
        <v>40</v>
      </c>
      <c r="D602">
        <v>6.2391769999999998</v>
      </c>
      <c r="E602">
        <v>0.53940669999999902</v>
      </c>
      <c r="F602" t="s">
        <v>42</v>
      </c>
      <c r="G602">
        <v>-378.89080000000001</v>
      </c>
      <c r="H602">
        <v>1.0466390000000001</v>
      </c>
      <c r="I602">
        <v>367.5301</v>
      </c>
      <c r="J602">
        <v>-379.57929999999999</v>
      </c>
      <c r="K602">
        <v>1.1211370000000001</v>
      </c>
      <c r="L602">
        <v>367.6277</v>
      </c>
      <c r="M602">
        <v>0.99987630000000005</v>
      </c>
      <c r="N602">
        <v>-1.4613360000000001E-2</v>
      </c>
      <c r="O602">
        <v>5.82242E-3</v>
      </c>
      <c r="P602">
        <v>0.99454679999999995</v>
      </c>
      <c r="Q602">
        <v>-0.103405399999999</v>
      </c>
      <c r="R602">
        <v>-1.3581609999999999E-2</v>
      </c>
      <c r="S602">
        <v>2.9833980000000002</v>
      </c>
      <c r="T602">
        <v>-0.27261190000000002</v>
      </c>
      <c r="U602">
        <v>-0.35403440000000003</v>
      </c>
      <c r="V602">
        <v>1.9368759999999999E-2</v>
      </c>
      <c r="W602">
        <v>-8.8862930000000007E-2</v>
      </c>
      <c r="X602">
        <v>0.9958555</v>
      </c>
      <c r="Y602">
        <v>0.1230173</v>
      </c>
      <c r="Z602">
        <v>-6.9379300000000001E-3</v>
      </c>
      <c r="AA602">
        <v>0.99238029999999999</v>
      </c>
      <c r="AB602">
        <v>23</v>
      </c>
      <c r="AC602">
        <v>0.68849999999997602</v>
      </c>
      <c r="AD602">
        <v>-7.4498000000000106E-2</v>
      </c>
      <c r="AE602">
        <v>-9.7599999999999895E-2</v>
      </c>
      <c r="AF602">
        <v>0.10045455988243999</v>
      </c>
      <c r="AG602">
        <v>-7.4498000000000106E-2</v>
      </c>
      <c r="AH602">
        <v>0.68011410822837304</v>
      </c>
      <c r="AI602">
        <v>96.1845459816372</v>
      </c>
      <c r="AJ602">
        <v>81.598017494059704</v>
      </c>
      <c r="AK602">
        <v>0.69151736841271705</v>
      </c>
      <c r="AL602">
        <v>95.098195808068795</v>
      </c>
      <c r="AM602">
        <v>88.885773786382302</v>
      </c>
      <c r="AN602">
        <v>0.99999997303618504</v>
      </c>
    </row>
    <row r="603" spans="1:40" x14ac:dyDescent="0.25">
      <c r="A603" t="str">
        <f>"20190303154109298"</f>
        <v>20190303154109298</v>
      </c>
      <c r="B603" t="str">
        <f>"1551598869289626"</f>
        <v>1551598869289626</v>
      </c>
      <c r="C603" t="s">
        <v>40</v>
      </c>
      <c r="D603">
        <v>6.233301</v>
      </c>
      <c r="E603">
        <v>0.53932669999999905</v>
      </c>
      <c r="F603" t="s">
        <v>42</v>
      </c>
      <c r="G603">
        <v>-378.69369999999998</v>
      </c>
      <c r="H603">
        <v>1.0399259999999999</v>
      </c>
      <c r="I603">
        <v>367.52229999999997</v>
      </c>
      <c r="J603">
        <v>-379.40890000000002</v>
      </c>
      <c r="K603">
        <v>1.121138</v>
      </c>
      <c r="L603">
        <v>367.62869999999998</v>
      </c>
      <c r="M603">
        <v>0.9998764</v>
      </c>
      <c r="N603">
        <v>-1.460913E-2</v>
      </c>
      <c r="O603">
        <v>5.8216199999999996E-3</v>
      </c>
      <c r="P603">
        <v>0.99455450000000001</v>
      </c>
      <c r="Q603">
        <v>-0.10326349999999999</v>
      </c>
      <c r="R603">
        <v>-1.4071200000000001E-2</v>
      </c>
      <c r="S603">
        <v>2.9831539999999999</v>
      </c>
      <c r="T603">
        <v>-0.2736074</v>
      </c>
      <c r="U603">
        <v>-0.35485840000000002</v>
      </c>
      <c r="V603">
        <v>1.9857980000000001E-2</v>
      </c>
      <c r="W603">
        <v>-8.8725159999999997E-2</v>
      </c>
      <c r="X603">
        <v>0.99585820000000003</v>
      </c>
      <c r="Y603">
        <v>0.12329080000000001</v>
      </c>
      <c r="Z603">
        <v>-6.9747940000000003E-3</v>
      </c>
      <c r="AA603">
        <v>0.99234599999999995</v>
      </c>
      <c r="AB603">
        <v>23</v>
      </c>
      <c r="AC603">
        <v>0.71520000000003803</v>
      </c>
      <c r="AD603">
        <v>-8.1211999999999798E-2</v>
      </c>
      <c r="AE603">
        <v>-0.106400000000007</v>
      </c>
      <c r="AF603">
        <v>0.109184924054987</v>
      </c>
      <c r="AG603">
        <v>-8.1211999999999798E-2</v>
      </c>
      <c r="AH603">
        <v>0.70566659185602398</v>
      </c>
      <c r="AI603">
        <v>96.488493609237494</v>
      </c>
      <c r="AJ603">
        <v>81.204601943656797</v>
      </c>
      <c r="AK603">
        <v>0.71866687376460403</v>
      </c>
      <c r="AL603">
        <v>95.090270605004804</v>
      </c>
      <c r="AM603">
        <v>88.857640901014904</v>
      </c>
      <c r="AN603">
        <v>1.00000002394697</v>
      </c>
    </row>
    <row r="604" spans="1:40" x14ac:dyDescent="0.25">
      <c r="A604" t="str">
        <f>"20190303154109312"</f>
        <v>20190303154109312</v>
      </c>
      <c r="B604" t="str">
        <f>"1551598869300363"</f>
        <v>1551598869300363</v>
      </c>
      <c r="C604" t="s">
        <v>40</v>
      </c>
      <c r="D604">
        <v>6.2473559999999999</v>
      </c>
      <c r="E604">
        <v>0.53930069999999997</v>
      </c>
      <c r="F604" t="s">
        <v>42</v>
      </c>
      <c r="G604">
        <v>-378.49380000000002</v>
      </c>
      <c r="H604">
        <v>1.0367409999999999</v>
      </c>
      <c r="I604">
        <v>367.51960000000003</v>
      </c>
      <c r="J604">
        <v>-379.2561</v>
      </c>
      <c r="K604">
        <v>1.1211359999999999</v>
      </c>
      <c r="L604">
        <v>367.62959999999998</v>
      </c>
      <c r="M604">
        <v>0.9998764</v>
      </c>
      <c r="N604">
        <v>-1.460524E-2</v>
      </c>
      <c r="O604">
        <v>5.8211139999999996E-3</v>
      </c>
      <c r="P604">
        <v>0.99452629999999997</v>
      </c>
      <c r="Q604">
        <v>-0.103405399999999</v>
      </c>
      <c r="R604">
        <v>-1.5001759999999999E-2</v>
      </c>
      <c r="S604">
        <v>2.9828190000000001</v>
      </c>
      <c r="T604">
        <v>-0.27509919999999999</v>
      </c>
      <c r="U604">
        <v>-0.35583500000000001</v>
      </c>
      <c r="V604">
        <v>2.0787739999999999E-2</v>
      </c>
      <c r="W604">
        <v>-8.8871420000000007E-2</v>
      </c>
      <c r="X604">
        <v>0.99582619999999999</v>
      </c>
      <c r="Y604">
        <v>0.1236159</v>
      </c>
      <c r="Z604">
        <v>-7.025852E-3</v>
      </c>
      <c r="AA604">
        <v>0.99230529999999995</v>
      </c>
      <c r="AB604">
        <v>23</v>
      </c>
      <c r="AC604">
        <v>0.76229999999998199</v>
      </c>
      <c r="AD604">
        <v>-8.4395000000000206E-2</v>
      </c>
      <c r="AE604">
        <v>-0.10999999999995599</v>
      </c>
      <c r="AF604">
        <v>0.113078322883909</v>
      </c>
      <c r="AG604">
        <v>-8.4395000000000206E-2</v>
      </c>
      <c r="AH604">
        <v>0.75261016641895195</v>
      </c>
      <c r="AI604">
        <v>96.327775040037395</v>
      </c>
      <c r="AJ604">
        <v>81.455327005852595</v>
      </c>
      <c r="AK604">
        <v>0.76572272117810403</v>
      </c>
      <c r="AL604">
        <v>95.098683839089404</v>
      </c>
      <c r="AM604">
        <v>88.804131876779394</v>
      </c>
      <c r="AN604">
        <v>1.0000000400167799</v>
      </c>
    </row>
    <row r="605" spans="1:40" x14ac:dyDescent="0.25">
      <c r="A605" t="str">
        <f>"20190303154109333"</f>
        <v>20190303154109333</v>
      </c>
      <c r="B605" t="str">
        <f>"1551598869329642"</f>
        <v>1551598869329642</v>
      </c>
      <c r="C605" t="s">
        <v>40</v>
      </c>
      <c r="D605">
        <v>6.2471860000000001</v>
      </c>
      <c r="E605">
        <v>0.53911919999999902</v>
      </c>
      <c r="F605" t="s">
        <v>42</v>
      </c>
      <c r="G605">
        <v>-378.48450000000003</v>
      </c>
      <c r="H605">
        <v>1.0496239999999999</v>
      </c>
      <c r="I605">
        <v>367.5369</v>
      </c>
      <c r="J605">
        <v>-379.0421</v>
      </c>
      <c r="K605">
        <v>1.121135</v>
      </c>
      <c r="L605">
        <v>367.63080000000002</v>
      </c>
      <c r="M605">
        <v>0.99987649999999995</v>
      </c>
      <c r="N605">
        <v>-1.459996E-2</v>
      </c>
      <c r="O605">
        <v>5.8206789999999996E-3</v>
      </c>
      <c r="P605">
        <v>0.99451860000000003</v>
      </c>
      <c r="Q605">
        <v>-0.1033992</v>
      </c>
      <c r="R605">
        <v>-1.55379E-2</v>
      </c>
      <c r="S605">
        <v>2.982361</v>
      </c>
      <c r="T605">
        <v>-0.2764395</v>
      </c>
      <c r="U605">
        <v>-0.3582458</v>
      </c>
      <c r="V605">
        <v>2.1323519999999999E-2</v>
      </c>
      <c r="W605">
        <v>-8.8870649999999995E-2</v>
      </c>
      <c r="X605">
        <v>0.99581489999999995</v>
      </c>
      <c r="Y605">
        <v>0.1244145</v>
      </c>
      <c r="Z605">
        <v>-7.0990019999999897E-3</v>
      </c>
      <c r="AA605">
        <v>0.992205</v>
      </c>
      <c r="AB605">
        <v>23</v>
      </c>
      <c r="AC605">
        <v>0.557599999999979</v>
      </c>
      <c r="AD605">
        <v>-7.1511000000000102E-2</v>
      </c>
      <c r="AE605">
        <v>-9.3900000000019204E-2</v>
      </c>
      <c r="AF605">
        <v>9.5615102883963202E-2</v>
      </c>
      <c r="AG605">
        <v>-7.1511000000000102E-2</v>
      </c>
      <c r="AH605">
        <v>0.54827485489135697</v>
      </c>
      <c r="AI605">
        <v>97.321809831896701</v>
      </c>
      <c r="AJ605">
        <v>80.1075227258507</v>
      </c>
      <c r="AK605">
        <v>0.56112510862253295</v>
      </c>
      <c r="AL605">
        <v>95.098639750654698</v>
      </c>
      <c r="AM605">
        <v>88.773305140520094</v>
      </c>
      <c r="AN605">
        <v>0.999999999999311</v>
      </c>
    </row>
    <row r="606" spans="1:40" x14ac:dyDescent="0.25">
      <c r="A606" t="str">
        <f>"20190303154109347"</f>
        <v>20190303154109347</v>
      </c>
      <c r="B606" t="str">
        <f>"1551598869340379"</f>
        <v>1551598869340379</v>
      </c>
      <c r="C606" t="s">
        <v>40</v>
      </c>
      <c r="D606">
        <v>6.2631690000000004</v>
      </c>
      <c r="E606">
        <v>0.53904030000000003</v>
      </c>
      <c r="F606" t="s">
        <v>42</v>
      </c>
      <c r="G606">
        <v>-378.28320000000002</v>
      </c>
      <c r="H606">
        <v>1.049623</v>
      </c>
      <c r="I606">
        <v>367.53919999999999</v>
      </c>
      <c r="J606">
        <v>-378.90109999999999</v>
      </c>
      <c r="K606">
        <v>1.121132</v>
      </c>
      <c r="L606">
        <v>367.63170000000002</v>
      </c>
      <c r="M606">
        <v>0.99987649999999995</v>
      </c>
      <c r="N606">
        <v>-1.459648E-2</v>
      </c>
      <c r="O606">
        <v>5.8200450000000003E-3</v>
      </c>
      <c r="P606">
        <v>0.99455990000000005</v>
      </c>
      <c r="Q606">
        <v>-0.10298</v>
      </c>
      <c r="R606">
        <v>-1.56799E-2</v>
      </c>
      <c r="S606">
        <v>2.9817200000000001</v>
      </c>
      <c r="T606">
        <v>-0.28116039999999998</v>
      </c>
      <c r="U606">
        <v>-0.35852050000000002</v>
      </c>
      <c r="V606">
        <v>2.1464859999999999E-2</v>
      </c>
      <c r="W606">
        <v>-8.8454439999999995E-2</v>
      </c>
      <c r="X606">
        <v>0.99584890000000004</v>
      </c>
      <c r="Y606">
        <v>0.1245083</v>
      </c>
      <c r="Z606">
        <v>-7.2118479999999999E-3</v>
      </c>
      <c r="AA606">
        <v>0.99219239999999997</v>
      </c>
      <c r="AB606">
        <v>23</v>
      </c>
      <c r="AC606">
        <v>0.61789999999996303</v>
      </c>
      <c r="AD606">
        <v>-7.1509000000000003E-2</v>
      </c>
      <c r="AE606">
        <v>-9.2500000000029503E-2</v>
      </c>
      <c r="AF606">
        <v>9.4852487353162804E-2</v>
      </c>
      <c r="AG606">
        <v>-7.1509000000000003E-2</v>
      </c>
      <c r="AH606">
        <v>0.60936860339989996</v>
      </c>
      <c r="AI606">
        <v>96.614082028544402</v>
      </c>
      <c r="AJ606">
        <v>81.152510633730103</v>
      </c>
      <c r="AK606">
        <v>0.62083864751449402</v>
      </c>
      <c r="AL606">
        <v>95.074698488587501</v>
      </c>
      <c r="AM606">
        <v>88.765218818681504</v>
      </c>
      <c r="AN606">
        <v>0.99999997990087097</v>
      </c>
    </row>
    <row r="607" spans="1:40" x14ac:dyDescent="0.25">
      <c r="A607" t="str">
        <f>"20190303154109361"</f>
        <v>20190303154109361</v>
      </c>
      <c r="B607" t="str">
        <f>"1551598869350138"</f>
        <v>1551598869350138</v>
      </c>
      <c r="C607" t="s">
        <v>40</v>
      </c>
      <c r="D607">
        <v>6.2599130000000001</v>
      </c>
      <c r="E607">
        <v>0.53898089999999999</v>
      </c>
      <c r="F607" t="s">
        <v>42</v>
      </c>
      <c r="G607">
        <v>-378.08690000000001</v>
      </c>
      <c r="H607">
        <v>1.044136</v>
      </c>
      <c r="I607">
        <v>367.53379999999999</v>
      </c>
      <c r="J607">
        <v>-378.75889999999998</v>
      </c>
      <c r="K607">
        <v>1.1211340000000001</v>
      </c>
      <c r="L607">
        <v>367.63249999999999</v>
      </c>
      <c r="M607">
        <v>0.99987669999999995</v>
      </c>
      <c r="N607">
        <v>-1.459296E-2</v>
      </c>
      <c r="O607">
        <v>5.8183899999999997E-3</v>
      </c>
      <c r="P607">
        <v>0.9945195</v>
      </c>
      <c r="Q607">
        <v>-0.1033318</v>
      </c>
      <c r="R607">
        <v>-1.5928939999999999E-2</v>
      </c>
      <c r="S607">
        <v>2.9815670000000001</v>
      </c>
      <c r="T607">
        <v>-0.28193570000000001</v>
      </c>
      <c r="U607">
        <v>-0.35815429999999998</v>
      </c>
      <c r="V607">
        <v>2.1711999999999999E-2</v>
      </c>
      <c r="W607">
        <v>-8.881029E-2</v>
      </c>
      <c r="X607">
        <v>0.99581189999999997</v>
      </c>
      <c r="Y607">
        <v>0.12438970000000001</v>
      </c>
      <c r="Z607">
        <v>-7.2229719999999898E-3</v>
      </c>
      <c r="AA607">
        <v>0.99220719999999996</v>
      </c>
      <c r="AB607">
        <v>23</v>
      </c>
      <c r="AC607">
        <v>0.67199999999996796</v>
      </c>
      <c r="AD607">
        <v>-7.6998000000000094E-2</v>
      </c>
      <c r="AE607">
        <v>-9.8700000000008004E-2</v>
      </c>
      <c r="AF607">
        <v>0.101306766778335</v>
      </c>
      <c r="AG607">
        <v>-7.6998000000000094E-2</v>
      </c>
      <c r="AH607">
        <v>0.66289514001305505</v>
      </c>
      <c r="AI607">
        <v>96.550074753888495</v>
      </c>
      <c r="AJ607">
        <v>81.311016970983204</v>
      </c>
      <c r="AK607">
        <v>0.67499757010822503</v>
      </c>
      <c r="AL607">
        <v>95.095167600391093</v>
      </c>
      <c r="AM607">
        <v>88.7509600016473</v>
      </c>
      <c r="AN607">
        <v>1.0000000093677399</v>
      </c>
    </row>
    <row r="608" spans="1:40" x14ac:dyDescent="0.25">
      <c r="A608" t="str">
        <f>"20190303154109379"</f>
        <v>20190303154109379</v>
      </c>
      <c r="B608" t="str">
        <f>"1551598869369658"</f>
        <v>1551598869369658</v>
      </c>
      <c r="C608" t="s">
        <v>40</v>
      </c>
      <c r="D608">
        <v>6.2714379999999998</v>
      </c>
      <c r="E608">
        <v>0.53888760000000002</v>
      </c>
      <c r="F608" t="s">
        <v>42</v>
      </c>
      <c r="G608">
        <v>-377.89030000000002</v>
      </c>
      <c r="H608">
        <v>1.0382819999999999</v>
      </c>
      <c r="I608">
        <v>367.52780000000001</v>
      </c>
      <c r="J608">
        <v>-378.58850000000001</v>
      </c>
      <c r="K608">
        <v>1.1211370000000001</v>
      </c>
      <c r="L608">
        <v>367.63339999999999</v>
      </c>
      <c r="M608">
        <v>0.99987669999999995</v>
      </c>
      <c r="N608">
        <v>-1.4588749999999999E-2</v>
      </c>
      <c r="O608">
        <v>5.8139790000000004E-3</v>
      </c>
      <c r="P608">
        <v>0.99452969999999896</v>
      </c>
      <c r="Q608">
        <v>-0.1031649</v>
      </c>
      <c r="R608">
        <v>-1.6373510000000001E-2</v>
      </c>
      <c r="S608">
        <v>2.9812319999999999</v>
      </c>
      <c r="T608">
        <v>-0.28452899999999998</v>
      </c>
      <c r="U608">
        <v>-0.3585815</v>
      </c>
      <c r="V608">
        <v>2.215172E-2</v>
      </c>
      <c r="W608">
        <v>-8.8647660000000003E-2</v>
      </c>
      <c r="X608">
        <v>0.9958167</v>
      </c>
      <c r="Y608">
        <v>0.1245267</v>
      </c>
      <c r="Z608">
        <v>-7.289149E-3</v>
      </c>
      <c r="AA608">
        <v>0.99218949999999995</v>
      </c>
      <c r="AB608">
        <v>22</v>
      </c>
      <c r="AC608">
        <v>0.69819999999998505</v>
      </c>
      <c r="AD608">
        <v>-8.2855000000000095E-2</v>
      </c>
      <c r="AE608">
        <v>-0.105599999999981</v>
      </c>
      <c r="AF608">
        <v>0.108168753786046</v>
      </c>
      <c r="AG608">
        <v>-8.2855000000000095E-2</v>
      </c>
      <c r="AH608">
        <v>0.68810074955198297</v>
      </c>
      <c r="AI608">
        <v>96.783481693301496</v>
      </c>
      <c r="AJ608">
        <v>81.066270367901197</v>
      </c>
      <c r="AK608">
        <v>0.70146138301023198</v>
      </c>
      <c r="AL608">
        <v>95.0858127219187</v>
      </c>
      <c r="AM608">
        <v>88.725678349275697</v>
      </c>
      <c r="AN608">
        <v>1.00000000316066</v>
      </c>
    </row>
    <row r="609" spans="1:40" x14ac:dyDescent="0.25">
      <c r="A609" t="str">
        <f>"20190303154109392"</f>
        <v>20190303154109392</v>
      </c>
      <c r="B609" t="str">
        <f>"1551598869390154"</f>
        <v>1551598869390154</v>
      </c>
      <c r="C609" t="s">
        <v>40</v>
      </c>
      <c r="D609">
        <v>6.2538049999999998</v>
      </c>
      <c r="E609">
        <v>0.53878099999999995</v>
      </c>
      <c r="F609" t="s">
        <v>42</v>
      </c>
      <c r="G609">
        <v>-377.69200000000001</v>
      </c>
      <c r="H609">
        <v>1.0342709999999999</v>
      </c>
      <c r="I609">
        <v>367.52519999999998</v>
      </c>
      <c r="J609">
        <v>-378.44499999999999</v>
      </c>
      <c r="K609">
        <v>1.1211370000000001</v>
      </c>
      <c r="L609">
        <v>367.63420000000002</v>
      </c>
      <c r="M609">
        <v>0.99987669999999995</v>
      </c>
      <c r="N609">
        <v>-1.4585259999999999E-2</v>
      </c>
      <c r="O609">
        <v>5.8074019999999997E-3</v>
      </c>
      <c r="P609">
        <v>0.99454500000000001</v>
      </c>
      <c r="Q609">
        <v>-0.1030037</v>
      </c>
      <c r="R609">
        <v>-1.6437170000000001E-2</v>
      </c>
      <c r="S609">
        <v>2.9806210000000002</v>
      </c>
      <c r="T609">
        <v>-0.28886620000000002</v>
      </c>
      <c r="U609">
        <v>-0.35919190000000001</v>
      </c>
      <c r="V609">
        <v>2.2208539999999999E-2</v>
      </c>
      <c r="W609">
        <v>-8.8489880000000007E-2</v>
      </c>
      <c r="X609">
        <v>0.99582950000000003</v>
      </c>
      <c r="Y609">
        <v>0.1247241</v>
      </c>
      <c r="Z609">
        <v>-7.3987230000000003E-3</v>
      </c>
      <c r="AA609">
        <v>0.99216389999999999</v>
      </c>
      <c r="AB609">
        <v>22</v>
      </c>
      <c r="AC609">
        <v>0.75300000000004197</v>
      </c>
      <c r="AD609">
        <v>-8.6866000000000096E-2</v>
      </c>
      <c r="AE609">
        <v>-0.109000000000037</v>
      </c>
      <c r="AF609">
        <v>0.111912841807358</v>
      </c>
      <c r="AG609">
        <v>-8.6866000000000096E-2</v>
      </c>
      <c r="AH609">
        <v>0.74267364003075298</v>
      </c>
      <c r="AI609">
        <v>96.597409331415903</v>
      </c>
      <c r="AJ609">
        <v>81.430623122618002</v>
      </c>
      <c r="AK609">
        <v>0.756065024792132</v>
      </c>
      <c r="AL609">
        <v>95.076736761482493</v>
      </c>
      <c r="AM609">
        <v>88.722427164190606</v>
      </c>
      <c r="AN609">
        <v>1.0000000355907901</v>
      </c>
    </row>
    <row r="610" spans="1:40" x14ac:dyDescent="0.25">
      <c r="A610" t="str">
        <f>"20190303154109412"</f>
        <v>20190303154109412</v>
      </c>
      <c r="B610" t="str">
        <f>"1551598869399914"</f>
        <v>1551598869399914</v>
      </c>
      <c r="C610" t="s">
        <v>40</v>
      </c>
      <c r="D610">
        <v>6.2197529999999999</v>
      </c>
      <c r="E610">
        <v>0.53871409999999997</v>
      </c>
      <c r="F610" t="s">
        <v>42</v>
      </c>
      <c r="G610">
        <v>-377.68389999999999</v>
      </c>
      <c r="H610">
        <v>1.0469250000000001</v>
      </c>
      <c r="I610">
        <v>367.54250000000002</v>
      </c>
      <c r="J610">
        <v>-378.2552</v>
      </c>
      <c r="K610">
        <v>1.1211340000000001</v>
      </c>
      <c r="L610">
        <v>367.6354</v>
      </c>
      <c r="M610">
        <v>0.99987700000000002</v>
      </c>
      <c r="N610">
        <v>-1.458067E-2</v>
      </c>
      <c r="O610">
        <v>5.7920810000000001E-3</v>
      </c>
      <c r="P610">
        <v>0.99449529999999997</v>
      </c>
      <c r="Q610">
        <v>-0.10343570000000001</v>
      </c>
      <c r="R610">
        <v>-1.6751510000000001E-2</v>
      </c>
      <c r="S610">
        <v>2.9804080000000002</v>
      </c>
      <c r="T610">
        <v>-0.29074070000000002</v>
      </c>
      <c r="U610">
        <v>-0.35830689999999998</v>
      </c>
      <c r="V610">
        <v>2.2505979999999998E-2</v>
      </c>
      <c r="W610">
        <v>-8.892738E-2</v>
      </c>
      <c r="X610">
        <v>0.9957838</v>
      </c>
      <c r="Y610">
        <v>0.12442019999999999</v>
      </c>
      <c r="Z610">
        <v>-7.4232509999999996E-3</v>
      </c>
      <c r="AA610">
        <v>0.99220189999999997</v>
      </c>
      <c r="AB610">
        <v>22</v>
      </c>
      <c r="AC610">
        <v>0.57130000000000702</v>
      </c>
      <c r="AD610">
        <v>-7.42089999999999E-2</v>
      </c>
      <c r="AE610">
        <v>-9.2899999999985994E-2</v>
      </c>
      <c r="AF610">
        <v>9.4651916617257997E-2</v>
      </c>
      <c r="AG610">
        <v>-7.42089999999999E-2</v>
      </c>
      <c r="AH610">
        <v>0.56152195219408596</v>
      </c>
      <c r="AI610">
        <v>97.424854705076399</v>
      </c>
      <c r="AJ610">
        <v>80.4319859448009</v>
      </c>
      <c r="AK610">
        <v>0.57425853393413095</v>
      </c>
      <c r="AL610">
        <v>95.1019031263274</v>
      </c>
      <c r="AM610">
        <v>88.705262960598105</v>
      </c>
      <c r="AN610">
        <v>0.99999998719593197</v>
      </c>
    </row>
    <row r="611" spans="1:40" x14ac:dyDescent="0.25">
      <c r="A611" t="str">
        <f>"20190303154109426"</f>
        <v>20190303154109426</v>
      </c>
      <c r="B611" t="str">
        <f>"1551598869419434"</f>
        <v>1551598869419434</v>
      </c>
      <c r="C611" t="s">
        <v>40</v>
      </c>
      <c r="D611">
        <v>6.1990449999999999</v>
      </c>
      <c r="E611">
        <v>0.53862180000000004</v>
      </c>
      <c r="F611" t="s">
        <v>42</v>
      </c>
      <c r="G611">
        <v>-377.48540000000003</v>
      </c>
      <c r="H611">
        <v>1.045409</v>
      </c>
      <c r="I611">
        <v>367.54250000000002</v>
      </c>
      <c r="J611">
        <v>-378.11660000000001</v>
      </c>
      <c r="K611">
        <v>1.121129</v>
      </c>
      <c r="L611">
        <v>367.63619999999997</v>
      </c>
      <c r="M611">
        <v>0.99987720000000002</v>
      </c>
      <c r="N611">
        <v>-1.457729E-2</v>
      </c>
      <c r="O611">
        <v>5.773345E-3</v>
      </c>
      <c r="P611">
        <v>0.99447180000000002</v>
      </c>
      <c r="Q611">
        <v>-0.1036371</v>
      </c>
      <c r="R611">
        <v>-1.6901300000000001E-2</v>
      </c>
      <c r="S611">
        <v>2.9800719999999998</v>
      </c>
      <c r="T611">
        <v>-0.2933077</v>
      </c>
      <c r="U611">
        <v>-0.35900880000000002</v>
      </c>
      <c r="V611">
        <v>2.263577E-2</v>
      </c>
      <c r="W611">
        <v>-8.9132879999999998E-2</v>
      </c>
      <c r="X611">
        <v>0.99576249999999999</v>
      </c>
      <c r="Y611">
        <v>0.12463249999999999</v>
      </c>
      <c r="Z611">
        <v>-7.492093E-3</v>
      </c>
      <c r="AA611">
        <v>0.99217469999999996</v>
      </c>
      <c r="AB611">
        <v>22</v>
      </c>
      <c r="AC611">
        <v>0.631199999999978</v>
      </c>
      <c r="AD611">
        <v>-7.5719999999999996E-2</v>
      </c>
      <c r="AE611">
        <v>-9.3699999999955694E-2</v>
      </c>
      <c r="AF611">
        <v>9.5991345719773094E-2</v>
      </c>
      <c r="AG611">
        <v>-7.5719999999999996E-2</v>
      </c>
      <c r="AH611">
        <v>0.62189185586264395</v>
      </c>
      <c r="AI611">
        <v>96.861551730608795</v>
      </c>
      <c r="AJ611">
        <v>81.225428721162999</v>
      </c>
      <c r="AK611">
        <v>0.633795974459744</v>
      </c>
      <c r="AL611">
        <v>95.113724274143905</v>
      </c>
      <c r="AM611">
        <v>88.697771044672905</v>
      </c>
      <c r="AN611">
        <v>1.0000000023934099</v>
      </c>
    </row>
    <row r="612" spans="1:40" x14ac:dyDescent="0.25">
      <c r="A612" t="str">
        <f>"20190303154109438"</f>
        <v>20190303154109438</v>
      </c>
      <c r="B612" t="str">
        <f>"1551598869430170"</f>
        <v>1551598869430170</v>
      </c>
      <c r="C612" t="s">
        <v>40</v>
      </c>
      <c r="D612">
        <v>6.2426079999999997</v>
      </c>
      <c r="E612">
        <v>0.5385759</v>
      </c>
      <c r="F612" t="s">
        <v>42</v>
      </c>
      <c r="G612">
        <v>-377.29039999999998</v>
      </c>
      <c r="H612">
        <v>1.03932</v>
      </c>
      <c r="I612">
        <v>367.53660000000002</v>
      </c>
      <c r="J612">
        <v>-377.99400000000003</v>
      </c>
      <c r="K612">
        <v>1.121122</v>
      </c>
      <c r="L612">
        <v>367.63679999999999</v>
      </c>
      <c r="M612">
        <v>0.99987729999999997</v>
      </c>
      <c r="N612">
        <v>-1.457427E-2</v>
      </c>
      <c r="O612">
        <v>5.7523959999999999E-3</v>
      </c>
      <c r="P612">
        <v>0.99449410000000005</v>
      </c>
      <c r="Q612">
        <v>-0.1034688</v>
      </c>
      <c r="R612">
        <v>-1.659919E-2</v>
      </c>
      <c r="S612">
        <v>2.9797669999999998</v>
      </c>
      <c r="T612">
        <v>-0.29510710000000001</v>
      </c>
      <c r="U612">
        <v>-0.35879519999999998</v>
      </c>
      <c r="V612">
        <v>2.2311959999999999E-2</v>
      </c>
      <c r="W612">
        <v>-8.8967589999999999E-2</v>
      </c>
      <c r="X612">
        <v>0.99578460000000002</v>
      </c>
      <c r="Y612">
        <v>0.124546</v>
      </c>
      <c r="Z612">
        <v>-7.526675E-3</v>
      </c>
      <c r="AA612">
        <v>0.99218530000000005</v>
      </c>
      <c r="AB612">
        <v>22</v>
      </c>
      <c r="AC612">
        <v>0.70360000000005096</v>
      </c>
      <c r="AD612">
        <v>-8.1801999999999903E-2</v>
      </c>
      <c r="AE612">
        <v>-0.10019999999997201</v>
      </c>
      <c r="AF612">
        <v>0.10288314209028999</v>
      </c>
      <c r="AG612">
        <v>-8.1801999999999903E-2</v>
      </c>
      <c r="AH612">
        <v>0.69382004641377704</v>
      </c>
      <c r="AI612">
        <v>96.652106598646995</v>
      </c>
      <c r="AJ612">
        <v>81.565355545327407</v>
      </c>
      <c r="AK612">
        <v>0.70616058013456595</v>
      </c>
      <c r="AL612">
        <v>95.104216027694704</v>
      </c>
      <c r="AM612">
        <v>88.7164219358759</v>
      </c>
      <c r="AN612">
        <v>1.0000000126133</v>
      </c>
    </row>
    <row r="613" spans="1:40" x14ac:dyDescent="0.25">
      <c r="A613" t="str">
        <f>"20190303154109456"</f>
        <v>20190303154109456</v>
      </c>
      <c r="B613" t="str">
        <f>"1551598869449690"</f>
        <v>1551598869449690</v>
      </c>
      <c r="C613" t="s">
        <v>40</v>
      </c>
      <c r="D613">
        <v>6.1195909999999998</v>
      </c>
      <c r="E613">
        <v>0.53838379999999997</v>
      </c>
      <c r="F613" t="s">
        <v>42</v>
      </c>
      <c r="G613">
        <v>-377.09469999999999</v>
      </c>
      <c r="H613">
        <v>1.0321739999999999</v>
      </c>
      <c r="I613">
        <v>367.52859999999998</v>
      </c>
      <c r="J613">
        <v>-377.80619999999999</v>
      </c>
      <c r="K613">
        <v>1.121111</v>
      </c>
      <c r="L613">
        <v>367.6379</v>
      </c>
      <c r="M613">
        <v>0.99987769999999998</v>
      </c>
      <c r="N613">
        <v>-1.456965E-2</v>
      </c>
      <c r="O613">
        <v>5.7051230000000003E-3</v>
      </c>
      <c r="P613">
        <v>0.99452439999999998</v>
      </c>
      <c r="Q613">
        <v>-0.1032144</v>
      </c>
      <c r="R613">
        <v>-1.637657E-2</v>
      </c>
      <c r="S613">
        <v>2.9799500000000001</v>
      </c>
      <c r="T613">
        <v>-0.2949233</v>
      </c>
      <c r="U613">
        <v>-0.35708620000000002</v>
      </c>
      <c r="V613">
        <v>2.2039690000000001E-2</v>
      </c>
      <c r="W613">
        <v>-8.8717999999999894E-2</v>
      </c>
      <c r="X613">
        <v>0.9958129</v>
      </c>
      <c r="Y613">
        <v>0.1239353</v>
      </c>
      <c r="Z613">
        <v>-7.4835619999999896E-3</v>
      </c>
      <c r="AA613">
        <v>0.99226210000000004</v>
      </c>
      <c r="AB613">
        <v>22</v>
      </c>
      <c r="AC613">
        <v>0.71150000000000002</v>
      </c>
      <c r="AD613">
        <v>-8.8937000000000002E-2</v>
      </c>
      <c r="AE613">
        <v>-0.10930000000001799</v>
      </c>
      <c r="AF613">
        <v>0.111653500508829</v>
      </c>
      <c r="AG613">
        <v>-8.8937000000000002E-2</v>
      </c>
      <c r="AH613">
        <v>0.70017686417750402</v>
      </c>
      <c r="AI613">
        <v>97.149607211431601</v>
      </c>
      <c r="AJ613">
        <v>80.939629888337393</v>
      </c>
      <c r="AK613">
        <v>0.71457955139670704</v>
      </c>
      <c r="AL613">
        <v>95.089858958982504</v>
      </c>
      <c r="AM613">
        <v>88.732116151680799</v>
      </c>
      <c r="AN613">
        <v>0.99999998163285198</v>
      </c>
    </row>
    <row r="614" spans="1:40" x14ac:dyDescent="0.25">
      <c r="A614" t="str">
        <f>"20190303154109478"</f>
        <v>20190303154109478</v>
      </c>
      <c r="B614" t="str">
        <f>"1551598869470186"</f>
        <v>1551598869470186</v>
      </c>
      <c r="C614" t="s">
        <v>40</v>
      </c>
      <c r="D614">
        <v>6.1216980000000003</v>
      </c>
      <c r="E614">
        <v>0.51696560000000003</v>
      </c>
      <c r="F614" t="s">
        <v>42</v>
      </c>
      <c r="G614">
        <v>-376.89620000000002</v>
      </c>
      <c r="H614">
        <v>1.0317769999999999</v>
      </c>
      <c r="I614">
        <v>367.52910000000003</v>
      </c>
      <c r="J614">
        <v>-377.59480000000002</v>
      </c>
      <c r="K614">
        <v>1.121089</v>
      </c>
      <c r="L614">
        <v>367.63900000000001</v>
      </c>
      <c r="M614">
        <v>0.99987809999999999</v>
      </c>
      <c r="N614">
        <v>-1.4564509999999999E-2</v>
      </c>
      <c r="O614">
        <v>5.6297710000000004E-3</v>
      </c>
      <c r="P614">
        <v>0.99457260000000003</v>
      </c>
      <c r="Q614">
        <v>-0.10279199999999999</v>
      </c>
      <c r="R614">
        <v>-1.610371E-2</v>
      </c>
      <c r="S614">
        <v>2.980286</v>
      </c>
      <c r="T614">
        <v>-0.2926743</v>
      </c>
      <c r="U614">
        <v>-0.3553772</v>
      </c>
      <c r="V614">
        <v>2.1688619999999999E-2</v>
      </c>
      <c r="W614">
        <v>-8.8300790000000004E-2</v>
      </c>
      <c r="X614">
        <v>0.99585769999999996</v>
      </c>
      <c r="Y614">
        <v>0.1233003</v>
      </c>
      <c r="Z614">
        <v>-7.3902400000000002E-3</v>
      </c>
      <c r="AA614">
        <v>0.9923419</v>
      </c>
      <c r="AB614">
        <v>22</v>
      </c>
      <c r="AC614">
        <v>0.698599999999999</v>
      </c>
      <c r="AD614">
        <v>-8.9312000000000002E-2</v>
      </c>
      <c r="AE614">
        <v>-0.109899999999981</v>
      </c>
      <c r="AF614">
        <v>0.112044584814738</v>
      </c>
      <c r="AG614">
        <v>-8.9312000000000002E-2</v>
      </c>
      <c r="AH614">
        <v>0.68701268188490705</v>
      </c>
      <c r="AI614">
        <v>97.311409657585799</v>
      </c>
      <c r="AJ614">
        <v>80.737207477184199</v>
      </c>
      <c r="AK614">
        <v>0.70179558804611997</v>
      </c>
      <c r="AL614">
        <v>95.065860346379694</v>
      </c>
      <c r="AM614">
        <v>88.7523619363497</v>
      </c>
      <c r="AN614">
        <v>0.99999999220070901</v>
      </c>
    </row>
    <row r="615" spans="1:40" x14ac:dyDescent="0.25">
      <c r="A615" t="str">
        <f>"20190303154109492"</f>
        <v>20190303154109492</v>
      </c>
      <c r="B615" t="str">
        <f>"1551598869479946"</f>
        <v>1551598869479946</v>
      </c>
      <c r="C615" t="s">
        <v>40</v>
      </c>
      <c r="D615">
        <v>5.9560389999999996</v>
      </c>
      <c r="E615">
        <v>0.51704079999999997</v>
      </c>
      <c r="F615" t="s">
        <v>41</v>
      </c>
      <c r="G615">
        <v>-350.74700000000001</v>
      </c>
      <c r="H615" s="1">
        <v>-4.5922200000000004E-6</v>
      </c>
      <c r="I615">
        <v>366.00599999999997</v>
      </c>
      <c r="J615">
        <v>-377.45299999999997</v>
      </c>
      <c r="K615">
        <v>1.121076</v>
      </c>
      <c r="L615">
        <v>367.6397</v>
      </c>
      <c r="M615">
        <v>0.9998785</v>
      </c>
      <c r="N615">
        <v>-1.456111E-2</v>
      </c>
      <c r="O615">
        <v>5.5668269999999999E-3</v>
      </c>
      <c r="P615">
        <v>0.99459439999999999</v>
      </c>
      <c r="Q615">
        <v>-0.1025215</v>
      </c>
      <c r="R615">
        <v>-1.6470539999999999E-2</v>
      </c>
      <c r="S615">
        <v>3.0004879999999998</v>
      </c>
      <c r="T615">
        <v>-0.12529209999999999</v>
      </c>
      <c r="U615">
        <v>-0.18249509999999999</v>
      </c>
      <c r="V615">
        <v>2.1990659999999999E-2</v>
      </c>
      <c r="W615">
        <v>-8.8034050000000003E-2</v>
      </c>
      <c r="X615">
        <v>0.9958747</v>
      </c>
      <c r="Y615">
        <v>6.6186179999999997E-2</v>
      </c>
      <c r="Z615">
        <v>-2.0138109999999999E-3</v>
      </c>
      <c r="AA615">
        <v>0.99780519999999995</v>
      </c>
      <c r="AB615">
        <v>22</v>
      </c>
      <c r="AC615">
        <v>26.706</v>
      </c>
      <c r="AD615">
        <v>-1.12108059222</v>
      </c>
      <c r="AE615">
        <v>-1.6337000000000299</v>
      </c>
      <c r="AF615">
        <v>1.77923444029938</v>
      </c>
      <c r="AG615">
        <v>-1.12108059222</v>
      </c>
      <c r="AH615">
        <v>26.649703510553099</v>
      </c>
      <c r="AI615">
        <v>92.403512975903098</v>
      </c>
      <c r="AJ615">
        <v>86.180386711952806</v>
      </c>
      <c r="AK615">
        <v>26.732549337618099</v>
      </c>
      <c r="AL615">
        <v>95.050517477460801</v>
      </c>
      <c r="AM615">
        <v>88.735014276865002</v>
      </c>
      <c r="AN615">
        <v>1.00000000059336</v>
      </c>
    </row>
    <row r="616" spans="1:40" x14ac:dyDescent="0.25">
      <c r="A616" t="str">
        <f>"20190303154109514"</f>
        <v>20190303154109514</v>
      </c>
      <c r="B616" t="str">
        <f>"1551598869510202"</f>
        <v>1551598869510202</v>
      </c>
      <c r="C616" t="s">
        <v>40</v>
      </c>
      <c r="D616">
        <v>5.9347510000000003</v>
      </c>
      <c r="E616">
        <v>0.51636720000000003</v>
      </c>
      <c r="F616" t="s">
        <v>41</v>
      </c>
      <c r="G616">
        <v>-349.23919999999998</v>
      </c>
      <c r="H616" s="1">
        <v>-1.263405E-6</v>
      </c>
      <c r="I616">
        <v>365.90679999999998</v>
      </c>
      <c r="J616">
        <v>-377.24770000000001</v>
      </c>
      <c r="K616">
        <v>1.121051</v>
      </c>
      <c r="L616">
        <v>367.64069999999998</v>
      </c>
      <c r="M616">
        <v>0.99987919999999997</v>
      </c>
      <c r="N616">
        <v>-1.455622E-2</v>
      </c>
      <c r="O616">
        <v>5.4554470000000004E-3</v>
      </c>
      <c r="P616">
        <v>0.99457079999999998</v>
      </c>
      <c r="Q616">
        <v>-0.1027377</v>
      </c>
      <c r="R616">
        <v>-1.6556520000000002E-2</v>
      </c>
      <c r="S616">
        <v>3.0009769999999998</v>
      </c>
      <c r="T616">
        <v>-0.1192439</v>
      </c>
      <c r="U616">
        <v>-0.1843262</v>
      </c>
      <c r="V616">
        <v>2.1961700000000001E-2</v>
      </c>
      <c r="W616">
        <v>-8.8256370000000001E-2</v>
      </c>
      <c r="X616">
        <v>0.99585570000000001</v>
      </c>
      <c r="Y616">
        <v>6.667795E-2</v>
      </c>
      <c r="Z616">
        <v>-1.946164E-3</v>
      </c>
      <c r="AA616">
        <v>0.99777260000000001</v>
      </c>
      <c r="AB616">
        <v>22</v>
      </c>
      <c r="AC616">
        <v>28.008500000000002</v>
      </c>
      <c r="AD616">
        <v>-1.121052263405</v>
      </c>
      <c r="AE616">
        <v>-1.7339</v>
      </c>
      <c r="AF616">
        <v>1.8836830599282599</v>
      </c>
      <c r="AG616">
        <v>-1.121052263405</v>
      </c>
      <c r="AH616">
        <v>27.954010580047601</v>
      </c>
      <c r="AI616">
        <v>92.291337050879406</v>
      </c>
      <c r="AJ616">
        <v>86.144947573546901</v>
      </c>
      <c r="AK616">
        <v>28.039823957310499</v>
      </c>
      <c r="AL616">
        <v>95.063305054027396</v>
      </c>
      <c r="AM616">
        <v>88.736655529919304</v>
      </c>
      <c r="AN616">
        <v>1.0000000391674699</v>
      </c>
    </row>
    <row r="617" spans="1:40" x14ac:dyDescent="0.25">
      <c r="A617" t="str">
        <f>"20190303154109535"</f>
        <v>20190303154109535</v>
      </c>
      <c r="B617" t="str">
        <f>"1551598869529722"</f>
        <v>1551598869529722</v>
      </c>
      <c r="C617" t="s">
        <v>40</v>
      </c>
      <c r="D617">
        <v>5.9479230000000003</v>
      </c>
      <c r="E617">
        <v>0.51643939999999999</v>
      </c>
      <c r="F617" t="s">
        <v>41</v>
      </c>
      <c r="G617">
        <v>-347.46249999999998</v>
      </c>
      <c r="H617" s="1">
        <v>-1.9570250000000001E-6</v>
      </c>
      <c r="I617">
        <v>365.86410000000001</v>
      </c>
      <c r="J617">
        <v>-377.03370000000001</v>
      </c>
      <c r="K617">
        <v>1.121027</v>
      </c>
      <c r="L617">
        <v>367.64179999999999</v>
      </c>
      <c r="M617">
        <v>0.99988010000000005</v>
      </c>
      <c r="N617">
        <v>-1.455116E-2</v>
      </c>
      <c r="O617">
        <v>5.3061769999999996E-3</v>
      </c>
      <c r="P617">
        <v>0.99456369999999905</v>
      </c>
      <c r="Q617">
        <v>-0.1027304</v>
      </c>
      <c r="R617">
        <v>-1.701921E-2</v>
      </c>
      <c r="S617">
        <v>3.0017399999999999</v>
      </c>
      <c r="T617">
        <v>-0.1129793</v>
      </c>
      <c r="U617">
        <v>-0.1790466</v>
      </c>
      <c r="V617">
        <v>2.2271490000000001E-2</v>
      </c>
      <c r="W617">
        <v>-8.8255390000000003E-2</v>
      </c>
      <c r="X617">
        <v>0.99584890000000004</v>
      </c>
      <c r="Y617">
        <v>6.4773430000000007E-2</v>
      </c>
      <c r="Z617">
        <v>-1.811741E-3</v>
      </c>
      <c r="AA617">
        <v>0.99789830000000002</v>
      </c>
      <c r="AB617">
        <v>22</v>
      </c>
      <c r="AC617">
        <v>29.571200000000001</v>
      </c>
      <c r="AD617">
        <v>-1.1210289570250001</v>
      </c>
      <c r="AE617">
        <v>-1.7776999999999801</v>
      </c>
      <c r="AF617">
        <v>1.9318352964733601</v>
      </c>
      <c r="AG617">
        <v>-1.1210289570250001</v>
      </c>
      <c r="AH617">
        <v>29.519079857250599</v>
      </c>
      <c r="AI617">
        <v>92.170205496813907</v>
      </c>
      <c r="AJ617">
        <v>86.2556964257994</v>
      </c>
      <c r="AK617">
        <v>29.6034587363356</v>
      </c>
      <c r="AL617">
        <v>95.063248718652602</v>
      </c>
      <c r="AM617">
        <v>88.718832045855393</v>
      </c>
      <c r="AN617">
        <v>1.0000000323810401</v>
      </c>
    </row>
    <row r="618" spans="1:40" x14ac:dyDescent="0.25">
      <c r="A618" t="str">
        <f>"20190303154109549"</f>
        <v>20190303154109549</v>
      </c>
      <c r="B618" t="str">
        <f>"1551598869539482"</f>
        <v>1551598869539482</v>
      </c>
      <c r="C618" t="s">
        <v>40</v>
      </c>
      <c r="D618">
        <v>5.922231</v>
      </c>
      <c r="E618">
        <v>0.51651950000000002</v>
      </c>
      <c r="F618" t="s">
        <v>41</v>
      </c>
      <c r="G618">
        <v>-347.19450000000001</v>
      </c>
      <c r="H618" s="1">
        <v>-2.065065E-6</v>
      </c>
      <c r="I618">
        <v>365.8449</v>
      </c>
      <c r="J618">
        <v>-376.89429999999999</v>
      </c>
      <c r="K618">
        <v>1.121016</v>
      </c>
      <c r="L618">
        <v>367.64229999999998</v>
      </c>
      <c r="M618">
        <v>0.99988089999999996</v>
      </c>
      <c r="N618">
        <v>-1.4547879999999999E-2</v>
      </c>
      <c r="O618">
        <v>5.1853580000000002E-3</v>
      </c>
      <c r="P618">
        <v>0.99453150000000001</v>
      </c>
      <c r="Q618">
        <v>-0.10302310000000001</v>
      </c>
      <c r="R618">
        <v>-1.713551E-2</v>
      </c>
      <c r="S618">
        <v>3.0016780000000001</v>
      </c>
      <c r="T618">
        <v>-0.11277</v>
      </c>
      <c r="U618">
        <v>-0.18075559999999999</v>
      </c>
      <c r="V618">
        <v>2.226421E-2</v>
      </c>
      <c r="W618">
        <v>-8.8552530000000004E-2</v>
      </c>
      <c r="X618">
        <v>0.99582269999999995</v>
      </c>
      <c r="Y618">
        <v>6.5219990000000005E-2</v>
      </c>
      <c r="Z618">
        <v>-1.8178949999999999E-3</v>
      </c>
      <c r="AA618">
        <v>0.99786929999999996</v>
      </c>
      <c r="AB618">
        <v>22</v>
      </c>
      <c r="AC618">
        <v>29.6997999999999</v>
      </c>
      <c r="AD618">
        <v>-1.1210180650649999</v>
      </c>
      <c r="AE618">
        <v>-1.7973999999999799</v>
      </c>
      <c r="AF618">
        <v>1.9486301499780301</v>
      </c>
      <c r="AG618">
        <v>-1.1210180650649999</v>
      </c>
      <c r="AH618">
        <v>29.647994632705299</v>
      </c>
      <c r="AI618">
        <v>92.160717304089999</v>
      </c>
      <c r="AJ618">
        <v>86.239613085076101</v>
      </c>
      <c r="AK618">
        <v>29.733103213498001</v>
      </c>
      <c r="AL618">
        <v>95.080340427309196</v>
      </c>
      <c r="AM618">
        <v>88.719217003337604</v>
      </c>
      <c r="AN618">
        <v>1.0000000477258</v>
      </c>
    </row>
    <row r="619" spans="1:40" x14ac:dyDescent="0.25">
      <c r="A619" t="str">
        <f>"20190303154109562"</f>
        <v>20190303154109562</v>
      </c>
      <c r="B619" t="str">
        <f>"1551598869550219"</f>
        <v>1551598869550219</v>
      </c>
      <c r="C619" t="s">
        <v>40</v>
      </c>
      <c r="D619">
        <v>5.9612920000000003</v>
      </c>
      <c r="E619">
        <v>0.51606770000000002</v>
      </c>
      <c r="F619" t="s">
        <v>41</v>
      </c>
      <c r="G619">
        <v>-347.39749999999998</v>
      </c>
      <c r="H619" s="1">
        <v>-1.9847479999999999E-6</v>
      </c>
      <c r="I619">
        <v>365.8537</v>
      </c>
      <c r="J619">
        <v>-376.75869999999998</v>
      </c>
      <c r="K619">
        <v>1.1210009999999999</v>
      </c>
      <c r="L619">
        <v>367.6429</v>
      </c>
      <c r="M619">
        <v>0.99988149999999998</v>
      </c>
      <c r="N619">
        <v>-1.4544690000000001E-2</v>
      </c>
      <c r="O619">
        <v>5.0560090000000002E-3</v>
      </c>
      <c r="P619">
        <v>0.99451219999999996</v>
      </c>
      <c r="Q619">
        <v>-0.10313509999999999</v>
      </c>
      <c r="R619">
        <v>-1.7576720000000001E-2</v>
      </c>
      <c r="S619">
        <v>3.0015559999999999</v>
      </c>
      <c r="T619">
        <v>-0.1140733</v>
      </c>
      <c r="U619">
        <v>-0.1820068</v>
      </c>
      <c r="V619">
        <v>2.257321E-2</v>
      </c>
      <c r="W619">
        <v>-8.8668919999999998E-2</v>
      </c>
      <c r="X619">
        <v>0.9958053</v>
      </c>
      <c r="Y619">
        <v>6.5506200000000001E-2</v>
      </c>
      <c r="Z619">
        <v>-1.838723E-3</v>
      </c>
      <c r="AA619">
        <v>0.99785049999999997</v>
      </c>
      <c r="AB619">
        <v>22</v>
      </c>
      <c r="AC619">
        <v>29.3612</v>
      </c>
      <c r="AD619">
        <v>-1.1210029847480001</v>
      </c>
      <c r="AE619">
        <v>-1.7891999999999899</v>
      </c>
      <c r="AF619">
        <v>1.9348333552841701</v>
      </c>
      <c r="AG619">
        <v>-1.1210029847480001</v>
      </c>
      <c r="AH619">
        <v>29.309211710445901</v>
      </c>
      <c r="AI619">
        <v>92.185598026641998</v>
      </c>
      <c r="AJ619">
        <v>86.223127054041598</v>
      </c>
      <c r="AK619">
        <v>29.394389241694999</v>
      </c>
      <c r="AL619">
        <v>95.087035859213401</v>
      </c>
      <c r="AM619">
        <v>88.701424664667002</v>
      </c>
      <c r="AN619">
        <v>0.99999996134587898</v>
      </c>
    </row>
    <row r="620" spans="1:40" x14ac:dyDescent="0.25">
      <c r="A620" t="str">
        <f>"20190303154109579"</f>
        <v>20190303154109579</v>
      </c>
      <c r="B620" t="str">
        <f>"1551598869569742"</f>
        <v>1551598869569742</v>
      </c>
      <c r="C620" t="s">
        <v>40</v>
      </c>
      <c r="D620">
        <v>5.9269699999999998</v>
      </c>
      <c r="E620">
        <v>0.51529360000000002</v>
      </c>
      <c r="F620" t="s">
        <v>41</v>
      </c>
      <c r="G620">
        <v>-348.06529999999998</v>
      </c>
      <c r="H620" s="1">
        <v>-1.7086579999999999E-6</v>
      </c>
      <c r="I620">
        <v>365.92759999999998</v>
      </c>
      <c r="J620">
        <v>-376.5926</v>
      </c>
      <c r="K620">
        <v>1.1209819999999999</v>
      </c>
      <c r="L620">
        <v>367.64359999999999</v>
      </c>
      <c r="M620">
        <v>0.99988250000000001</v>
      </c>
      <c r="N620">
        <v>-1.454078E-2</v>
      </c>
      <c r="O620">
        <v>4.8794499999999996E-3</v>
      </c>
      <c r="P620">
        <v>0.9945176</v>
      </c>
      <c r="Q620">
        <v>-0.10298640000000001</v>
      </c>
      <c r="R620">
        <v>-1.8131459999999999E-2</v>
      </c>
      <c r="S620">
        <v>3.0011899999999998</v>
      </c>
      <c r="T620">
        <v>-0.1172513</v>
      </c>
      <c r="U620">
        <v>-0.17941279999999901</v>
      </c>
      <c r="V620">
        <v>2.294852E-2</v>
      </c>
      <c r="W620">
        <v>-8.8525290000000006E-2</v>
      </c>
      <c r="X620">
        <v>0.99580959999999996</v>
      </c>
      <c r="Y620">
        <v>6.44758E-2</v>
      </c>
      <c r="Z620">
        <v>-1.846852E-3</v>
      </c>
      <c r="AA620">
        <v>0.99791750000000001</v>
      </c>
      <c r="AB620">
        <v>22</v>
      </c>
      <c r="AC620">
        <v>28.5273</v>
      </c>
      <c r="AD620">
        <v>-1.1209837086579999</v>
      </c>
      <c r="AE620">
        <v>-1.716</v>
      </c>
      <c r="AF620">
        <v>1.85234190015121</v>
      </c>
      <c r="AG620">
        <v>-1.1209837086579999</v>
      </c>
      <c r="AH620">
        <v>28.474776732339301</v>
      </c>
      <c r="AI620">
        <v>92.249683201470205</v>
      </c>
      <c r="AJ620">
        <v>86.278037740235305</v>
      </c>
      <c r="AK620">
        <v>28.5569726152249</v>
      </c>
      <c r="AL620">
        <v>95.078773471703499</v>
      </c>
      <c r="AM620">
        <v>88.679847378632601</v>
      </c>
      <c r="AN620">
        <v>1.00000006049596</v>
      </c>
    </row>
    <row r="621" spans="1:40" x14ac:dyDescent="0.25">
      <c r="A621" t="str">
        <f>"20190303154109592"</f>
        <v>20190303154109592</v>
      </c>
      <c r="B621" t="str">
        <f>"1551598869579499"</f>
        <v>1551598869579499</v>
      </c>
      <c r="C621" t="s">
        <v>40</v>
      </c>
      <c r="D621">
        <v>5.924417</v>
      </c>
      <c r="E621">
        <v>0.51498429999999995</v>
      </c>
      <c r="F621" t="s">
        <v>41</v>
      </c>
      <c r="G621">
        <v>-348.83659999999998</v>
      </c>
      <c r="H621" s="1">
        <v>-1.3874480000000001E-6</v>
      </c>
      <c r="I621">
        <v>366.02159999999998</v>
      </c>
      <c r="J621">
        <v>-376.46870000000001</v>
      </c>
      <c r="K621">
        <v>1.1209690000000001</v>
      </c>
      <c r="L621">
        <v>367.64400000000001</v>
      </c>
      <c r="M621">
        <v>0.99988310000000002</v>
      </c>
      <c r="N621">
        <v>-1.453787E-2</v>
      </c>
      <c r="O621">
        <v>4.7345690000000001E-3</v>
      </c>
      <c r="P621">
        <v>0.99454620000000005</v>
      </c>
      <c r="Q621">
        <v>-0.10263849999999999</v>
      </c>
      <c r="R621">
        <v>-1.8528650000000001E-2</v>
      </c>
      <c r="S621">
        <v>3.0007630000000001</v>
      </c>
      <c r="T621">
        <v>-0.1211922</v>
      </c>
      <c r="U621">
        <v>-0.17535400000000001</v>
      </c>
      <c r="V621">
        <v>2.3198839999999998E-2</v>
      </c>
      <c r="W621">
        <v>-8.8180709999999995E-2</v>
      </c>
      <c r="X621">
        <v>0.99583429999999995</v>
      </c>
      <c r="Y621">
        <v>6.2992039999999999E-2</v>
      </c>
      <c r="Z621">
        <v>-1.8512120000000001E-3</v>
      </c>
      <c r="AA621">
        <v>0.99801229999999996</v>
      </c>
      <c r="AB621">
        <v>22</v>
      </c>
      <c r="AC621">
        <v>27.632100000000001</v>
      </c>
      <c r="AD621">
        <v>-1.1209703874479999</v>
      </c>
      <c r="AE621">
        <v>-1.62240000000002</v>
      </c>
      <c r="AF621">
        <v>1.7503510033184</v>
      </c>
      <c r="AG621">
        <v>-1.1209703874479999</v>
      </c>
      <c r="AH621">
        <v>27.578876399966401</v>
      </c>
      <c r="AI621">
        <v>92.322893186914698</v>
      </c>
      <c r="AJ621">
        <v>86.368474449810506</v>
      </c>
      <c r="AK621">
        <v>27.657091798108102</v>
      </c>
      <c r="AL621">
        <v>95.058953345203406</v>
      </c>
      <c r="AM621">
        <v>88.665485564038306</v>
      </c>
      <c r="AN621">
        <v>0.99999998842496896</v>
      </c>
    </row>
    <row r="622" spans="1:40" x14ac:dyDescent="0.25">
      <c r="A622" t="str">
        <f>"20190303154109605"</f>
        <v>20190303154109605</v>
      </c>
      <c r="B622" t="str">
        <f>"1551598869599995"</f>
        <v>1551598869599995</v>
      </c>
      <c r="C622" t="s">
        <v>40</v>
      </c>
      <c r="D622">
        <v>5.9225059999999896</v>
      </c>
      <c r="E622">
        <v>0.51466069999999997</v>
      </c>
      <c r="F622" t="s">
        <v>41</v>
      </c>
      <c r="G622">
        <v>-348.82420000000002</v>
      </c>
      <c r="H622" s="1">
        <v>-1.3870250000000001E-6</v>
      </c>
      <c r="I622">
        <v>366.0412</v>
      </c>
      <c r="J622">
        <v>-376.34440000000001</v>
      </c>
      <c r="K622">
        <v>1.120957</v>
      </c>
      <c r="L622">
        <v>367.64440000000002</v>
      </c>
      <c r="M622">
        <v>0.99988390000000005</v>
      </c>
      <c r="N622">
        <v>-1.453496E-2</v>
      </c>
      <c r="O622">
        <v>4.577312E-3</v>
      </c>
      <c r="P622">
        <v>0.99456299999999997</v>
      </c>
      <c r="Q622">
        <v>-0.1024312</v>
      </c>
      <c r="R622">
        <v>-1.8771719999999999E-2</v>
      </c>
      <c r="S622">
        <v>3.0006409999999999</v>
      </c>
      <c r="T622">
        <v>-0.1216743</v>
      </c>
      <c r="U622">
        <v>-0.17398069999999999</v>
      </c>
      <c r="V622">
        <v>2.328297E-2</v>
      </c>
      <c r="W622">
        <v>-8.7976810000000003E-2</v>
      </c>
      <c r="X622">
        <v>0.99585040000000002</v>
      </c>
      <c r="Y622">
        <v>6.2382470000000002E-2</v>
      </c>
      <c r="Z622">
        <v>-1.8361499999999999E-3</v>
      </c>
      <c r="AA622">
        <v>0.99805060000000001</v>
      </c>
      <c r="AB622">
        <v>22</v>
      </c>
      <c r="AC622">
        <v>27.5201999999999</v>
      </c>
      <c r="AD622">
        <v>-1.1209583870249999</v>
      </c>
      <c r="AE622">
        <v>-1.60320000000001</v>
      </c>
      <c r="AF622">
        <v>1.72631059351316</v>
      </c>
      <c r="AG622">
        <v>-1.1209583870249999</v>
      </c>
      <c r="AH622">
        <v>27.467155549831801</v>
      </c>
      <c r="AI622">
        <v>92.332396490120203</v>
      </c>
      <c r="AJ622">
        <v>86.403690843422694</v>
      </c>
      <c r="AK622">
        <v>27.544170526072801</v>
      </c>
      <c r="AL622">
        <v>95.047225007095903</v>
      </c>
      <c r="AM622">
        <v>88.660669386760404</v>
      </c>
      <c r="AN622">
        <v>1.0000000174849699</v>
      </c>
    </row>
    <row r="623" spans="1:40" x14ac:dyDescent="0.25">
      <c r="A623" t="str">
        <f>"20190303154109618"</f>
        <v>20190303154109618</v>
      </c>
      <c r="B623" t="str">
        <f>"1551598869609755"</f>
        <v>1551598869609755</v>
      </c>
      <c r="C623" t="s">
        <v>40</v>
      </c>
      <c r="D623">
        <v>5.8804559999999997</v>
      </c>
      <c r="E623">
        <v>0.51449909999999999</v>
      </c>
      <c r="F623" t="s">
        <v>41</v>
      </c>
      <c r="G623">
        <v>-349.26710000000003</v>
      </c>
      <c r="H623" s="1">
        <v>-1.2040259999999999E-6</v>
      </c>
      <c r="I623">
        <v>366.08980000000003</v>
      </c>
      <c r="J623">
        <v>-376.21429999999998</v>
      </c>
      <c r="K623">
        <v>1.1209480000000001</v>
      </c>
      <c r="L623">
        <v>367.64490000000001</v>
      </c>
      <c r="M623">
        <v>0.99988480000000002</v>
      </c>
      <c r="N623">
        <v>-1.45319E-2</v>
      </c>
      <c r="O623">
        <v>4.4048610000000004E-3</v>
      </c>
      <c r="P623">
        <v>0.99459169999999997</v>
      </c>
      <c r="Q623">
        <v>-0.10210950000000001</v>
      </c>
      <c r="R623">
        <v>-1.9004460000000001E-2</v>
      </c>
      <c r="S623">
        <v>3.0003660000000001</v>
      </c>
      <c r="T623">
        <v>-0.1242101</v>
      </c>
      <c r="U623">
        <v>-0.1722717</v>
      </c>
      <c r="V623">
        <v>2.3341890000000001E-2</v>
      </c>
      <c r="W623">
        <v>-8.7658470000000002E-2</v>
      </c>
      <c r="X623">
        <v>0.99587709999999996</v>
      </c>
      <c r="Y623">
        <v>6.1647269999999997E-2</v>
      </c>
      <c r="Z623">
        <v>-1.8412179999999999E-3</v>
      </c>
      <c r="AA623">
        <v>0.99809630000000005</v>
      </c>
      <c r="AB623">
        <v>22</v>
      </c>
      <c r="AC623">
        <v>26.947199999999899</v>
      </c>
      <c r="AD623">
        <v>-1.1209492040260001</v>
      </c>
      <c r="AE623">
        <v>-1.5550999999999799</v>
      </c>
      <c r="AF623">
        <v>1.6709143640106201</v>
      </c>
      <c r="AG623">
        <v>-1.1209492040260001</v>
      </c>
      <c r="AH623">
        <v>26.8937056035026</v>
      </c>
      <c r="AI623">
        <v>92.382160194067197</v>
      </c>
      <c r="AJ623">
        <v>86.444765159835498</v>
      </c>
      <c r="AK623">
        <v>26.96886877527</v>
      </c>
      <c r="AL623">
        <v>95.028914691751893</v>
      </c>
      <c r="AM623">
        <v>88.657317295086102</v>
      </c>
      <c r="AN623">
        <v>1.0000000247479599</v>
      </c>
    </row>
    <row r="624" spans="1:40" x14ac:dyDescent="0.25">
      <c r="A624" t="str">
        <f>"20190303154109634"</f>
        <v>20190303154109634</v>
      </c>
      <c r="B624" t="str">
        <f>"1551598869630251"</f>
        <v>1551598869630251</v>
      </c>
      <c r="C624" t="s">
        <v>40</v>
      </c>
      <c r="D624">
        <v>5.9016390000000003</v>
      </c>
      <c r="E624">
        <v>0.5141616</v>
      </c>
      <c r="F624" t="s">
        <v>41</v>
      </c>
      <c r="G624">
        <v>-349.30970000000002</v>
      </c>
      <c r="H624" s="1">
        <v>-1.1829539999999999E-6</v>
      </c>
      <c r="I624">
        <v>366.10739999999998</v>
      </c>
      <c r="J624">
        <v>-376.05680000000001</v>
      </c>
      <c r="K624">
        <v>1.1209389999999999</v>
      </c>
      <c r="L624">
        <v>367.64530000000002</v>
      </c>
      <c r="M624">
        <v>0.99988589999999999</v>
      </c>
      <c r="N624">
        <v>-1.45282E-2</v>
      </c>
      <c r="O624">
        <v>4.1787530000000003E-3</v>
      </c>
      <c r="P624">
        <v>0.99467620000000001</v>
      </c>
      <c r="Q624">
        <v>-0.10122639999999999</v>
      </c>
      <c r="R624">
        <v>-1.9307419999999999E-2</v>
      </c>
      <c r="S624">
        <v>3.0002140000000002</v>
      </c>
      <c r="T624">
        <v>-0.12500059999999999</v>
      </c>
      <c r="U624">
        <v>-0.17144779999999901</v>
      </c>
      <c r="V624">
        <v>2.3417919999999998E-2</v>
      </c>
      <c r="W624">
        <v>-8.6778690000000006E-2</v>
      </c>
      <c r="X624">
        <v>0.99595239999999996</v>
      </c>
      <c r="Y624">
        <v>6.1151079999999997E-2</v>
      </c>
      <c r="Z624">
        <v>-1.8304059999999999E-3</v>
      </c>
      <c r="AA624">
        <v>0.99812690000000004</v>
      </c>
      <c r="AB624">
        <v>22</v>
      </c>
      <c r="AC624">
        <v>26.7470999999999</v>
      </c>
      <c r="AD624">
        <v>-1.120940182954</v>
      </c>
      <c r="AE624">
        <v>-1.53790000000003</v>
      </c>
      <c r="AF624">
        <v>1.6467850691428001</v>
      </c>
      <c r="AG624">
        <v>-1.120940182954</v>
      </c>
      <c r="AH624">
        <v>26.693710184017</v>
      </c>
      <c r="AI624">
        <v>92.400032623900302</v>
      </c>
      <c r="AJ624">
        <v>86.469789843906099</v>
      </c>
      <c r="AK624">
        <v>26.767939243542902</v>
      </c>
      <c r="AL624">
        <v>94.978313998309702</v>
      </c>
      <c r="AM624">
        <v>88.653047279915796</v>
      </c>
      <c r="AN624">
        <v>1.00000006154049</v>
      </c>
    </row>
    <row r="625" spans="1:40" x14ac:dyDescent="0.25">
      <c r="A625" t="str">
        <f>"20190303154109647"</f>
        <v>20190303154109647</v>
      </c>
      <c r="B625" t="str">
        <f>"1551598869640011"</f>
        <v>1551598869640011</v>
      </c>
      <c r="C625" t="s">
        <v>40</v>
      </c>
      <c r="D625">
        <v>5.8982799999999997</v>
      </c>
      <c r="E625">
        <v>0.51402250000000005</v>
      </c>
      <c r="F625" t="s">
        <v>41</v>
      </c>
      <c r="G625">
        <v>-349.04899999999998</v>
      </c>
      <c r="H625" s="1">
        <v>-1.2808910000000001E-6</v>
      </c>
      <c r="I625">
        <v>366.11559999999997</v>
      </c>
      <c r="J625">
        <v>-375.92489999999998</v>
      </c>
      <c r="K625">
        <v>1.1209290000000001</v>
      </c>
      <c r="L625">
        <v>367.6456</v>
      </c>
      <c r="M625">
        <v>0.99988659999999996</v>
      </c>
      <c r="N625">
        <v>-1.4525100000000001E-2</v>
      </c>
      <c r="O625">
        <v>3.9748680000000003E-3</v>
      </c>
      <c r="P625">
        <v>0.99467300000000003</v>
      </c>
      <c r="Q625">
        <v>-0.101202399999999</v>
      </c>
      <c r="R625">
        <v>-1.958768E-2</v>
      </c>
      <c r="S625">
        <v>3.000092</v>
      </c>
      <c r="T625">
        <v>-0.12451660000000001</v>
      </c>
      <c r="U625">
        <v>-0.16992189999999999</v>
      </c>
      <c r="V625">
        <v>2.3493279999999998E-2</v>
      </c>
      <c r="W625">
        <v>-8.6758390000000005E-2</v>
      </c>
      <c r="X625">
        <v>0.99595230000000001</v>
      </c>
      <c r="Y625">
        <v>6.0445220000000001E-2</v>
      </c>
      <c r="Z625">
        <v>-1.7995419999999999E-3</v>
      </c>
      <c r="AA625">
        <v>0.99816990000000005</v>
      </c>
      <c r="AB625">
        <v>22</v>
      </c>
      <c r="AC625">
        <v>26.875899999999898</v>
      </c>
      <c r="AD625">
        <v>-1.120930280891</v>
      </c>
      <c r="AE625">
        <v>-1.53000000000002</v>
      </c>
      <c r="AF625">
        <v>1.63399414211244</v>
      </c>
      <c r="AG625">
        <v>-1.120930280891</v>
      </c>
      <c r="AH625">
        <v>26.823096677531201</v>
      </c>
      <c r="AI625">
        <v>92.388560802684793</v>
      </c>
      <c r="AJ625">
        <v>86.5139961531344</v>
      </c>
      <c r="AK625">
        <v>26.896188148569799</v>
      </c>
      <c r="AL625">
        <v>94.977146956752307</v>
      </c>
      <c r="AM625">
        <v>88.648714189808501</v>
      </c>
      <c r="AN625">
        <v>0.99999996815791903</v>
      </c>
    </row>
    <row r="626" spans="1:40" x14ac:dyDescent="0.25">
      <c r="A626" t="str">
        <f>"20190303154109660"</f>
        <v>20190303154109660</v>
      </c>
      <c r="B626" t="str">
        <f>"1551598869649771"</f>
        <v>1551598869649771</v>
      </c>
      <c r="C626" t="s">
        <v>40</v>
      </c>
      <c r="D626">
        <v>5.9238460000000002</v>
      </c>
      <c r="E626">
        <v>0.51391019999999998</v>
      </c>
      <c r="F626" t="s">
        <v>41</v>
      </c>
      <c r="G626">
        <v>-349.19279999999998</v>
      </c>
      <c r="H626" s="1">
        <v>-1.220706E-6</v>
      </c>
      <c r="I626">
        <v>366.13420000000002</v>
      </c>
      <c r="J626">
        <v>-375.79840000000002</v>
      </c>
      <c r="K626">
        <v>1.1209180000000001</v>
      </c>
      <c r="L626">
        <v>367.64589999999998</v>
      </c>
      <c r="M626">
        <v>0.99988739999999998</v>
      </c>
      <c r="N626">
        <v>-1.4522119999999999E-2</v>
      </c>
      <c r="O626">
        <v>3.7714749999999998E-3</v>
      </c>
      <c r="P626">
        <v>0.99467090000000002</v>
      </c>
      <c r="Q626">
        <v>-0.1011157</v>
      </c>
      <c r="R626">
        <v>-2.0137450000000001E-2</v>
      </c>
      <c r="S626">
        <v>2.9999389999999999</v>
      </c>
      <c r="T626">
        <v>-0.1257933</v>
      </c>
      <c r="U626">
        <v>-0.16961670000000001</v>
      </c>
      <c r="V626">
        <v>2.3838560000000002E-2</v>
      </c>
      <c r="W626">
        <v>-8.6675420000000003E-2</v>
      </c>
      <c r="X626">
        <v>0.99595140000000004</v>
      </c>
      <c r="Y626">
        <v>6.0142939999999999E-2</v>
      </c>
      <c r="Z626">
        <v>-1.7999699999999999E-3</v>
      </c>
      <c r="AA626">
        <v>0.99818810000000002</v>
      </c>
      <c r="AB626">
        <v>22</v>
      </c>
      <c r="AC626">
        <v>26.605599999999999</v>
      </c>
      <c r="AD626">
        <v>-1.1209192207059999</v>
      </c>
      <c r="AE626">
        <v>-1.5116999999999601</v>
      </c>
      <c r="AF626">
        <v>1.6091950308499701</v>
      </c>
      <c r="AG626">
        <v>-1.1209192207059999</v>
      </c>
      <c r="AH626">
        <v>26.552728923558899</v>
      </c>
      <c r="AI626">
        <v>92.412875221185899</v>
      </c>
      <c r="AJ626">
        <v>86.531902461089899</v>
      </c>
      <c r="AK626">
        <v>26.6250517714926</v>
      </c>
      <c r="AL626">
        <v>94.972374751006001</v>
      </c>
      <c r="AM626">
        <v>88.628860672588402</v>
      </c>
      <c r="AN626">
        <v>1.0000000482685001</v>
      </c>
    </row>
    <row r="627" spans="1:40" x14ac:dyDescent="0.25">
      <c r="A627" t="str">
        <f>"20190303154109674"</f>
        <v>20190303154109674</v>
      </c>
      <c r="B627" t="str">
        <f>"1551598869670267"</f>
        <v>1551598869670267</v>
      </c>
      <c r="C627" t="s">
        <v>40</v>
      </c>
      <c r="D627">
        <v>5.900239</v>
      </c>
      <c r="E627">
        <v>0.51375039999999905</v>
      </c>
      <c r="F627" t="s">
        <v>41</v>
      </c>
      <c r="G627">
        <v>-349.13490000000002</v>
      </c>
      <c r="H627" s="1">
        <v>-1.2438160000000001E-6</v>
      </c>
      <c r="I627">
        <v>366.13099999999997</v>
      </c>
      <c r="J627">
        <v>-375.66640000000001</v>
      </c>
      <c r="K627">
        <v>1.1209089999999999</v>
      </c>
      <c r="L627">
        <v>367.64620000000002</v>
      </c>
      <c r="M627">
        <v>0.99988840000000001</v>
      </c>
      <c r="N627">
        <v>-1.4519000000000001E-2</v>
      </c>
      <c r="O627">
        <v>3.5490119999999998E-3</v>
      </c>
      <c r="P627">
        <v>0.99464549999999996</v>
      </c>
      <c r="Q627">
        <v>-0.1013324</v>
      </c>
      <c r="R627">
        <v>-2.030272E-2</v>
      </c>
      <c r="S627">
        <v>2.9997859999999998</v>
      </c>
      <c r="T627">
        <v>-0.1261091</v>
      </c>
      <c r="U627">
        <v>-0.1704407</v>
      </c>
      <c r="V627">
        <v>2.3780430000000002E-2</v>
      </c>
      <c r="W627">
        <v>-8.6895970000000003E-2</v>
      </c>
      <c r="X627">
        <v>0.99593350000000003</v>
      </c>
      <c r="Y627">
        <v>6.0196720000000002E-2</v>
      </c>
      <c r="Z627">
        <v>-1.798914E-3</v>
      </c>
      <c r="AA627">
        <v>0.99818490000000004</v>
      </c>
      <c r="AB627">
        <v>22</v>
      </c>
      <c r="AC627">
        <v>26.531499999999902</v>
      </c>
      <c r="AD627">
        <v>-1.1209102438159999</v>
      </c>
      <c r="AE627">
        <v>-1.5152000000000401</v>
      </c>
      <c r="AF627">
        <v>1.6065028311534699</v>
      </c>
      <c r="AG627">
        <v>-1.1209102438159999</v>
      </c>
      <c r="AH627">
        <v>26.478845944880099</v>
      </c>
      <c r="AI627">
        <v>92.419570591253304</v>
      </c>
      <c r="AJ627">
        <v>86.528053337984105</v>
      </c>
      <c r="AK627">
        <v>26.5512066334826</v>
      </c>
      <c r="AL627">
        <v>94.985059546929605</v>
      </c>
      <c r="AM627">
        <v>88.632178331028896</v>
      </c>
      <c r="AN627">
        <v>0.99999997743773705</v>
      </c>
    </row>
    <row r="628" spans="1:40" x14ac:dyDescent="0.25">
      <c r="A628" t="str">
        <f>"20190303154109691"</f>
        <v>20190303154109691</v>
      </c>
      <c r="B628" t="str">
        <f>"1551598869680026"</f>
        <v>1551598869680026</v>
      </c>
      <c r="C628" t="s">
        <v>40</v>
      </c>
      <c r="D628">
        <v>5.8926610000000004</v>
      </c>
      <c r="E628">
        <v>0.51365309999999997</v>
      </c>
      <c r="F628" t="s">
        <v>41</v>
      </c>
      <c r="G628">
        <v>-349.55930000000001</v>
      </c>
      <c r="H628" s="1">
        <v>-1.0699830000000001E-6</v>
      </c>
      <c r="I628">
        <v>366.17180000000002</v>
      </c>
      <c r="J628">
        <v>-375.50319999999999</v>
      </c>
      <c r="K628">
        <v>1.12090499999999</v>
      </c>
      <c r="L628">
        <v>367.64640000000003</v>
      </c>
      <c r="M628">
        <v>0.99988940000000004</v>
      </c>
      <c r="N628">
        <v>-1.4515109999999999E-2</v>
      </c>
      <c r="O628">
        <v>3.2596029999999998E-3</v>
      </c>
      <c r="P628">
        <v>0.99465919999999997</v>
      </c>
      <c r="Q628">
        <v>-0.1011519</v>
      </c>
      <c r="R628">
        <v>-2.0534739999999999E-2</v>
      </c>
      <c r="S628">
        <v>2.999603</v>
      </c>
      <c r="T628">
        <v>-0.12878809999999999</v>
      </c>
      <c r="U628">
        <v>-0.1694031</v>
      </c>
      <c r="V628">
        <v>2.3722360000000001E-2</v>
      </c>
      <c r="W628">
        <v>-8.6719619999999997E-2</v>
      </c>
      <c r="X628">
        <v>0.99595029999999996</v>
      </c>
      <c r="Y628">
        <v>5.9565199999999902E-2</v>
      </c>
      <c r="Z628">
        <v>-1.802559E-3</v>
      </c>
      <c r="AA628">
        <v>0.99822279999999997</v>
      </c>
      <c r="AB628">
        <v>22</v>
      </c>
      <c r="AC628">
        <v>25.9438999999999</v>
      </c>
      <c r="AD628">
        <v>-1.12090606998299</v>
      </c>
      <c r="AE628">
        <v>-1.4745999999999999</v>
      </c>
      <c r="AF628">
        <v>1.55627218912659</v>
      </c>
      <c r="AG628">
        <v>-1.12090606998299</v>
      </c>
      <c r="AH628">
        <v>25.890781070116901</v>
      </c>
      <c r="AI628">
        <v>92.474533831669405</v>
      </c>
      <c r="AJ628">
        <v>86.560139718660594</v>
      </c>
      <c r="AK628">
        <v>25.9617210131589</v>
      </c>
      <c r="AL628">
        <v>94.974916929635995</v>
      </c>
      <c r="AM628">
        <v>88.635540190973302</v>
      </c>
      <c r="AN628">
        <v>1.0000000214635001</v>
      </c>
    </row>
    <row r="629" spans="1:40" x14ac:dyDescent="0.25">
      <c r="A629" t="str">
        <f>"20190303154109726"</f>
        <v>20190303154109726</v>
      </c>
      <c r="B629" t="str">
        <f>"1551598869720043"</f>
        <v>1551598869720043</v>
      </c>
      <c r="C629" t="s">
        <v>40</v>
      </c>
      <c r="D629">
        <v>5.8691659999999999</v>
      </c>
      <c r="E629">
        <v>0.51254979999999895</v>
      </c>
      <c r="F629" t="s">
        <v>41</v>
      </c>
      <c r="G629">
        <v>-349.3759</v>
      </c>
      <c r="H629" s="1">
        <v>-1.1404609999999999E-6</v>
      </c>
      <c r="I629">
        <v>366.17160000000001</v>
      </c>
      <c r="J629">
        <v>-375.17140000000001</v>
      </c>
      <c r="K629">
        <v>1.1208880000000001</v>
      </c>
      <c r="L629">
        <v>367.64679999999998</v>
      </c>
      <c r="M629">
        <v>0.99989130000000004</v>
      </c>
      <c r="N629">
        <v>-1.450719E-2</v>
      </c>
      <c r="O629">
        <v>2.639363E-3</v>
      </c>
      <c r="P629">
        <v>0.99470899999999995</v>
      </c>
      <c r="Q629">
        <v>-0.1007599</v>
      </c>
      <c r="R629">
        <v>-2.0042480000000001E-2</v>
      </c>
      <c r="S629">
        <v>2.9995419999999999</v>
      </c>
      <c r="T629">
        <v>-0.12868540000000001</v>
      </c>
      <c r="U629">
        <v>-0.1693115</v>
      </c>
      <c r="V629">
        <v>2.2609839999999999E-2</v>
      </c>
      <c r="W629">
        <v>-8.6334859999999999E-2</v>
      </c>
      <c r="X629">
        <v>0.99600960000000005</v>
      </c>
      <c r="Y629">
        <v>5.8917909999999997E-2</v>
      </c>
      <c r="Z629">
        <v>-1.7650890000000001E-3</v>
      </c>
      <c r="AA629">
        <v>0.99826130000000002</v>
      </c>
      <c r="AB629">
        <v>22</v>
      </c>
      <c r="AC629">
        <v>25.795500000000001</v>
      </c>
      <c r="AD629">
        <v>-1.120889140461</v>
      </c>
      <c r="AE629">
        <v>-1.4751999999999701</v>
      </c>
      <c r="AF629">
        <v>1.5403867069692001</v>
      </c>
      <c r="AG629">
        <v>-1.120889140461</v>
      </c>
      <c r="AH629">
        <v>25.743067707290901</v>
      </c>
      <c r="AI629">
        <v>92.488717756125396</v>
      </c>
      <c r="AJ629">
        <v>86.575678179514895</v>
      </c>
      <c r="AK629">
        <v>25.813460028721</v>
      </c>
      <c r="AL629">
        <v>94.952788830701707</v>
      </c>
      <c r="AM629">
        <v>88.699584866053598</v>
      </c>
      <c r="AN629">
        <v>1.0000000181041</v>
      </c>
    </row>
    <row r="630" spans="1:40" x14ac:dyDescent="0.25">
      <c r="A630" t="str">
        <f>"20190303154109746"</f>
        <v>20190303154109746</v>
      </c>
      <c r="B630" t="str">
        <f>"1551598869739566"</f>
        <v>1551598869739566</v>
      </c>
      <c r="C630" t="s">
        <v>40</v>
      </c>
      <c r="D630">
        <v>5.9892320000000003</v>
      </c>
      <c r="E630">
        <v>0.51224040000000004</v>
      </c>
      <c r="F630" t="s">
        <v>41</v>
      </c>
      <c r="G630">
        <v>-351.20679999999999</v>
      </c>
      <c r="H630" s="1">
        <v>-4.3295779999999998E-6</v>
      </c>
      <c r="I630">
        <v>366.37479999999999</v>
      </c>
      <c r="J630">
        <v>-374.9665</v>
      </c>
      <c r="K630">
        <v>1.1208720000000001</v>
      </c>
      <c r="L630">
        <v>367.64690000000002</v>
      </c>
      <c r="M630">
        <v>0.99989240000000001</v>
      </c>
      <c r="N630">
        <v>-1.4502289999999999E-2</v>
      </c>
      <c r="O630">
        <v>2.23821E-3</v>
      </c>
      <c r="P630">
        <v>0.99469719999999995</v>
      </c>
      <c r="Q630">
        <v>-0.1009866</v>
      </c>
      <c r="R630">
        <v>-1.947778E-2</v>
      </c>
      <c r="S630">
        <v>2.998535</v>
      </c>
      <c r="T630">
        <v>-0.14024900000000001</v>
      </c>
      <c r="U630">
        <v>-0.15914919999999999</v>
      </c>
      <c r="V630">
        <v>2.1644610000000002E-2</v>
      </c>
      <c r="W630">
        <v>-8.6566169999999998E-2</v>
      </c>
      <c r="X630">
        <v>0.99601099999999998</v>
      </c>
      <c r="Y630">
        <v>5.5156200000000002E-2</v>
      </c>
      <c r="Z630">
        <v>-1.76095299999999E-3</v>
      </c>
      <c r="AA630">
        <v>0.99847620000000004</v>
      </c>
      <c r="AB630">
        <v>22</v>
      </c>
      <c r="AC630">
        <v>23.759699999999999</v>
      </c>
      <c r="AD630">
        <v>-1.12087632957799</v>
      </c>
      <c r="AE630">
        <v>-1.27210000000002</v>
      </c>
      <c r="AF630">
        <v>1.3223470891432001</v>
      </c>
      <c r="AG630">
        <v>-1.12087632957799</v>
      </c>
      <c r="AH630">
        <v>23.704189350254602</v>
      </c>
      <c r="AI630">
        <v>92.703075238976496</v>
      </c>
      <c r="AJ630">
        <v>86.807042886010095</v>
      </c>
      <c r="AK630">
        <v>23.7674895250445</v>
      </c>
      <c r="AL630">
        <v>94.966091554937904</v>
      </c>
      <c r="AM630">
        <v>88.755084393285003</v>
      </c>
      <c r="AN630">
        <v>1.0000000515257499</v>
      </c>
    </row>
    <row r="631" spans="1:40" x14ac:dyDescent="0.25">
      <c r="A631" t="str">
        <f>"20190303154109768"</f>
        <v>20190303154109768</v>
      </c>
      <c r="B631" t="str">
        <f>"1551598869760058"</f>
        <v>1551598869760058</v>
      </c>
      <c r="C631" t="s">
        <v>40</v>
      </c>
      <c r="D631">
        <v>5.97593</v>
      </c>
      <c r="E631">
        <v>0.51189050000000003</v>
      </c>
      <c r="F631" t="s">
        <v>41</v>
      </c>
      <c r="G631">
        <v>-351.71480000000003</v>
      </c>
      <c r="H631" s="1">
        <v>-4.0996219999999999E-6</v>
      </c>
      <c r="I631">
        <v>366.44240000000002</v>
      </c>
      <c r="J631">
        <v>-374.74720000000002</v>
      </c>
      <c r="K631">
        <v>1.120868</v>
      </c>
      <c r="L631">
        <v>367.64679999999998</v>
      </c>
      <c r="M631">
        <v>0.99989329999999998</v>
      </c>
      <c r="N631">
        <v>-1.4497029999999999E-2</v>
      </c>
      <c r="O631">
        <v>1.80016299999999E-3</v>
      </c>
      <c r="P631">
        <v>0.9946178</v>
      </c>
      <c r="Q631">
        <v>-0.101685</v>
      </c>
      <c r="R631">
        <v>-1.9892449999999999E-2</v>
      </c>
      <c r="S631">
        <v>2.998291</v>
      </c>
      <c r="T631">
        <v>-0.14453589999999999</v>
      </c>
      <c r="U631">
        <v>-0.155304</v>
      </c>
      <c r="V631">
        <v>2.1621910000000001E-2</v>
      </c>
      <c r="W631">
        <v>-8.7271000000000001E-2</v>
      </c>
      <c r="X631">
        <v>0.99594990000000005</v>
      </c>
      <c r="Y631">
        <v>5.3444419999999999E-2</v>
      </c>
      <c r="Z631">
        <v>-1.735131E-3</v>
      </c>
      <c r="AA631">
        <v>0.99856929999999999</v>
      </c>
      <c r="AB631">
        <v>22</v>
      </c>
      <c r="AC631">
        <v>23.032399999999999</v>
      </c>
      <c r="AD631">
        <v>-1.1208720996220001</v>
      </c>
      <c r="AE631">
        <v>-1.2043999999999599</v>
      </c>
      <c r="AF631">
        <v>1.24292889845967</v>
      </c>
      <c r="AG631">
        <v>-1.1208720996220001</v>
      </c>
      <c r="AH631">
        <v>22.975929192620502</v>
      </c>
      <c r="AI631">
        <v>92.788867514239996</v>
      </c>
      <c r="AJ631">
        <v>86.903488352366793</v>
      </c>
      <c r="AK631">
        <v>23.036808563137601</v>
      </c>
      <c r="AL631">
        <v>95.006629169197097</v>
      </c>
      <c r="AM631">
        <v>88.756313331041099</v>
      </c>
      <c r="AN631">
        <v>0.99999996887152798</v>
      </c>
    </row>
    <row r="632" spans="1:40" x14ac:dyDescent="0.25">
      <c r="A632" t="str">
        <f>"20190303154109791"</f>
        <v>20190303154109791</v>
      </c>
      <c r="B632" t="str">
        <f>"1551598869779582"</f>
        <v>1551598869779582</v>
      </c>
      <c r="C632" t="s">
        <v>40</v>
      </c>
      <c r="D632">
        <v>5.863632</v>
      </c>
      <c r="E632">
        <v>0.51186500000000001</v>
      </c>
      <c r="F632" t="s">
        <v>41</v>
      </c>
      <c r="G632">
        <v>-352.26940000000002</v>
      </c>
      <c r="H632" s="1">
        <v>-3.8524410000000002E-6</v>
      </c>
      <c r="I632">
        <v>366.49470000000002</v>
      </c>
      <c r="J632">
        <v>-374.53449999999998</v>
      </c>
      <c r="K632">
        <v>1.1208640000000001</v>
      </c>
      <c r="L632">
        <v>367.64670000000001</v>
      </c>
      <c r="M632">
        <v>0.99989410000000001</v>
      </c>
      <c r="N632">
        <v>-1.449196E-2</v>
      </c>
      <c r="O632">
        <v>1.368689E-3</v>
      </c>
      <c r="P632">
        <v>0.99449140000000003</v>
      </c>
      <c r="Q632">
        <v>-0.10268149999999999</v>
      </c>
      <c r="R632">
        <v>-2.1055540000000001E-2</v>
      </c>
      <c r="S632">
        <v>2.9978940000000001</v>
      </c>
      <c r="T632">
        <v>-0.1494914</v>
      </c>
      <c r="U632">
        <v>-0.15365599999999999</v>
      </c>
      <c r="V632">
        <v>2.2355159999999999E-2</v>
      </c>
      <c r="W632">
        <v>-8.8274690000000003E-2</v>
      </c>
      <c r="X632">
        <v>0.99584530000000004</v>
      </c>
      <c r="Y632">
        <v>5.246961E-2</v>
      </c>
      <c r="Z632">
        <v>-1.73566E-3</v>
      </c>
      <c r="AA632">
        <v>0.99862099999999998</v>
      </c>
      <c r="AB632">
        <v>22</v>
      </c>
      <c r="AC632">
        <v>22.265099999999901</v>
      </c>
      <c r="AD632">
        <v>-1.1208678524409901</v>
      </c>
      <c r="AE632">
        <v>-1.1519999999999799</v>
      </c>
      <c r="AF632">
        <v>1.17949489380004</v>
      </c>
      <c r="AG632">
        <v>-1.1208678524409901</v>
      </c>
      <c r="AH632">
        <v>22.207372170312802</v>
      </c>
      <c r="AI632">
        <v>92.885365437853494</v>
      </c>
      <c r="AJ632">
        <v>86.959719539520904</v>
      </c>
      <c r="AK632">
        <v>22.266902156741899</v>
      </c>
      <c r="AL632">
        <v>95.064358934038395</v>
      </c>
      <c r="AM632">
        <v>88.714015893226502</v>
      </c>
      <c r="AN632">
        <v>1.00000001780265</v>
      </c>
    </row>
    <row r="633" spans="1:40" x14ac:dyDescent="0.25">
      <c r="A633" t="str">
        <f>"20190303154109813"</f>
        <v>20190303154109813</v>
      </c>
      <c r="B633" t="str">
        <f>"1551598869800074"</f>
        <v>1551598869800074</v>
      </c>
      <c r="C633" t="s">
        <v>40</v>
      </c>
      <c r="D633">
        <v>5.8782489999999896</v>
      </c>
      <c r="E633">
        <v>0.51186259999999995</v>
      </c>
      <c r="F633" t="s">
        <v>41</v>
      </c>
      <c r="G633">
        <v>-352.59379999999999</v>
      </c>
      <c r="H633" s="1">
        <v>-3.7133909999999998E-6</v>
      </c>
      <c r="I633">
        <v>366.49419999999998</v>
      </c>
      <c r="J633">
        <v>-374.32389999999998</v>
      </c>
      <c r="K633">
        <v>1.12087</v>
      </c>
      <c r="L633">
        <v>367.64640000000003</v>
      </c>
      <c r="M633">
        <v>0.99989459999999997</v>
      </c>
      <c r="N633">
        <v>-1.4487E-2</v>
      </c>
      <c r="O633">
        <v>9.3935120000000001E-4</v>
      </c>
      <c r="P633">
        <v>0.99436190000000002</v>
      </c>
      <c r="Q633">
        <v>-0.1033838</v>
      </c>
      <c r="R633">
        <v>-2.3587919999999998E-2</v>
      </c>
      <c r="S633">
        <v>2.9974980000000002</v>
      </c>
      <c r="T633">
        <v>-0.15312979999999901</v>
      </c>
      <c r="U633">
        <v>-0.1574402</v>
      </c>
      <c r="V633">
        <v>2.4460329999999999E-2</v>
      </c>
      <c r="W633">
        <v>-8.8984939999999998E-2</v>
      </c>
      <c r="X633">
        <v>0.99573259999999997</v>
      </c>
      <c r="Y633">
        <v>5.330004E-2</v>
      </c>
      <c r="Z633">
        <v>-1.780635E-3</v>
      </c>
      <c r="AA633">
        <v>0.99857689999999999</v>
      </c>
      <c r="AB633">
        <v>22</v>
      </c>
      <c r="AC633">
        <v>21.7301</v>
      </c>
      <c r="AD633">
        <v>-1.1208737133910001</v>
      </c>
      <c r="AE633">
        <v>-1.1522000000000501</v>
      </c>
      <c r="AF633">
        <v>1.1695108788875499</v>
      </c>
      <c r="AG633">
        <v>-1.1208737133910001</v>
      </c>
      <c r="AH633">
        <v>21.671509044199901</v>
      </c>
      <c r="AI633">
        <v>92.956466804528304</v>
      </c>
      <c r="AJ633">
        <v>86.911008713915507</v>
      </c>
      <c r="AK633">
        <v>21.731967647455299</v>
      </c>
      <c r="AL633">
        <v>95.105214035262406</v>
      </c>
      <c r="AM633">
        <v>88.592803056293803</v>
      </c>
      <c r="AN633">
        <v>1.00000001899663</v>
      </c>
    </row>
    <row r="634" spans="1:40" x14ac:dyDescent="0.25">
      <c r="A634" t="str">
        <f>"20190303154109836"</f>
        <v>20190303154109836</v>
      </c>
      <c r="B634" t="str">
        <f>"1551598869830331"</f>
        <v>1551598869830331</v>
      </c>
      <c r="C634" t="s">
        <v>40</v>
      </c>
      <c r="D634">
        <v>5.8072549999999996</v>
      </c>
      <c r="E634">
        <v>0.51175800000000005</v>
      </c>
      <c r="F634" t="s">
        <v>41</v>
      </c>
      <c r="G634">
        <v>-352.75110000000001</v>
      </c>
      <c r="H634" s="1">
        <v>-3.6517710000000002E-6</v>
      </c>
      <c r="I634">
        <v>366.46100000000001</v>
      </c>
      <c r="J634">
        <v>-374.11</v>
      </c>
      <c r="K634">
        <v>1.120879</v>
      </c>
      <c r="L634">
        <v>367.64609999999999</v>
      </c>
      <c r="M634">
        <v>0.99989499999999998</v>
      </c>
      <c r="N634">
        <v>-1.4482109999999999E-2</v>
      </c>
      <c r="O634">
        <v>5.0384140000000002E-4</v>
      </c>
      <c r="P634">
        <v>0.99429160000000005</v>
      </c>
      <c r="Q634">
        <v>-0.1035426</v>
      </c>
      <c r="R634">
        <v>-2.5748940000000001E-2</v>
      </c>
      <c r="S634">
        <v>2.996918</v>
      </c>
      <c r="T634">
        <v>-0.15571270000000001</v>
      </c>
      <c r="U634">
        <v>-0.16467290000000001</v>
      </c>
      <c r="V634">
        <v>2.6189270000000001E-2</v>
      </c>
      <c r="W634">
        <v>-8.9150350000000003E-2</v>
      </c>
      <c r="X634">
        <v>0.99567380000000005</v>
      </c>
      <c r="Y634">
        <v>5.5272290000000002E-2</v>
      </c>
      <c r="Z634">
        <v>-1.853611E-3</v>
      </c>
      <c r="AA634">
        <v>0.99846959999999996</v>
      </c>
      <c r="AB634">
        <v>22</v>
      </c>
      <c r="AC634">
        <v>21.358899999999998</v>
      </c>
      <c r="AD634">
        <v>-1.120882651771</v>
      </c>
      <c r="AE634">
        <v>-1.1850999999999701</v>
      </c>
      <c r="AF634">
        <v>1.1925881793458699</v>
      </c>
      <c r="AG634">
        <v>-1.120882651771</v>
      </c>
      <c r="AH634">
        <v>21.2998206416468</v>
      </c>
      <c r="AI634">
        <v>93.007654801270704</v>
      </c>
      <c r="AJ634">
        <v>86.795325144486696</v>
      </c>
      <c r="AK634">
        <v>21.362607608877699</v>
      </c>
      <c r="AL634">
        <v>95.114729298885706</v>
      </c>
      <c r="AM634">
        <v>88.4932929496931</v>
      </c>
      <c r="AN634">
        <v>0.99999998938734702</v>
      </c>
    </row>
    <row r="635" spans="1:40" x14ac:dyDescent="0.25">
      <c r="A635" t="str">
        <f>"20190303154109858"</f>
        <v>20190303154109858</v>
      </c>
      <c r="B635" t="str">
        <f>"1551598869849850"</f>
        <v>1551598869849850</v>
      </c>
      <c r="C635" t="s">
        <v>40</v>
      </c>
      <c r="D635">
        <v>6.0513440000000003</v>
      </c>
      <c r="E635">
        <v>0.511737</v>
      </c>
      <c r="F635" t="s">
        <v>41</v>
      </c>
      <c r="G635">
        <v>-352.6551</v>
      </c>
      <c r="H635" s="1">
        <v>-3.6990850000000001E-6</v>
      </c>
      <c r="I635">
        <v>366.42660000000001</v>
      </c>
      <c r="J635">
        <v>-373.89109999999999</v>
      </c>
      <c r="K635">
        <v>1.120886</v>
      </c>
      <c r="L635">
        <v>367.64569999999998</v>
      </c>
      <c r="M635">
        <v>0.99989530000000004</v>
      </c>
      <c r="N635">
        <v>-1.447702E-2</v>
      </c>
      <c r="O635" s="1">
        <v>6.1668769999999898E-5</v>
      </c>
      <c r="P635">
        <v>0.9943438</v>
      </c>
      <c r="Q635">
        <v>-0.1027444</v>
      </c>
      <c r="R635">
        <v>-2.6921569999999999E-2</v>
      </c>
      <c r="S635">
        <v>2.996521</v>
      </c>
      <c r="T635">
        <v>-0.15654849999999901</v>
      </c>
      <c r="U635">
        <v>-0.17031859999999999</v>
      </c>
      <c r="V635">
        <v>2.69235E-2</v>
      </c>
      <c r="W635">
        <v>-8.8356569999999995E-2</v>
      </c>
      <c r="X635">
        <v>0.99572499999999997</v>
      </c>
      <c r="Y635">
        <v>5.6710179999999999E-2</v>
      </c>
      <c r="Z635">
        <v>-1.8926979999999999E-3</v>
      </c>
      <c r="AA635">
        <v>0.99838890000000002</v>
      </c>
      <c r="AB635">
        <v>21</v>
      </c>
      <c r="AC635">
        <v>21.235999999999901</v>
      </c>
      <c r="AD635">
        <v>-1.1208896990849999</v>
      </c>
      <c r="AE635">
        <v>-1.2190999999999601</v>
      </c>
      <c r="AF635">
        <v>1.2170302302054301</v>
      </c>
      <c r="AG635">
        <v>-1.1208896990849999</v>
      </c>
      <c r="AH635">
        <v>21.177119223417499</v>
      </c>
      <c r="AI635">
        <v>93.024815584659294</v>
      </c>
      <c r="AJ635">
        <v>86.710880254073103</v>
      </c>
      <c r="AK635">
        <v>21.2416556534934</v>
      </c>
      <c r="AL635">
        <v>95.069068719895796</v>
      </c>
      <c r="AM635">
        <v>88.451151526991694</v>
      </c>
      <c r="AN635">
        <v>1.0000000169697001</v>
      </c>
    </row>
    <row r="636" spans="1:40" x14ac:dyDescent="0.25">
      <c r="A636" t="str">
        <f>"20190303154109880"</f>
        <v>20190303154109880</v>
      </c>
      <c r="B636" t="str">
        <f>"1551598869870350"</f>
        <v>1551598869870350</v>
      </c>
      <c r="C636" t="s">
        <v>40</v>
      </c>
      <c r="D636">
        <v>6.093242</v>
      </c>
      <c r="E636">
        <v>0.53875660000000003</v>
      </c>
      <c r="F636" t="s">
        <v>41</v>
      </c>
      <c r="G636">
        <v>-352.34199999999998</v>
      </c>
      <c r="H636" s="1">
        <v>-3.8389389999999998E-6</v>
      </c>
      <c r="I636">
        <v>366.39519999999999</v>
      </c>
      <c r="J636">
        <v>-373.68009999999998</v>
      </c>
      <c r="K636">
        <v>1.120892</v>
      </c>
      <c r="L636">
        <v>367.64519999999999</v>
      </c>
      <c r="M636">
        <v>0.99989519999999998</v>
      </c>
      <c r="N636">
        <v>-1.447213E-2</v>
      </c>
      <c r="O636">
        <v>-3.5797040000000002E-4</v>
      </c>
      <c r="P636">
        <v>0.99430370000000001</v>
      </c>
      <c r="Q636">
        <v>-0.10302070000000001</v>
      </c>
      <c r="R636">
        <v>-2.733211E-2</v>
      </c>
      <c r="S636">
        <v>2.996216</v>
      </c>
      <c r="T636">
        <v>-0.15584919999999999</v>
      </c>
      <c r="U636">
        <v>-0.1738586</v>
      </c>
      <c r="V636">
        <v>2.6917819999999999E-2</v>
      </c>
      <c r="W636">
        <v>-8.8637800000000003E-2</v>
      </c>
      <c r="X636">
        <v>0.99570009999999998</v>
      </c>
      <c r="Y636">
        <v>5.74724E-2</v>
      </c>
      <c r="Z636">
        <v>-1.8956470000000001E-3</v>
      </c>
      <c r="AA636">
        <v>0.99834529999999999</v>
      </c>
      <c r="AB636">
        <v>21</v>
      </c>
      <c r="AC636">
        <v>21.338100000000001</v>
      </c>
      <c r="AD636">
        <v>-1.120895838939</v>
      </c>
      <c r="AE636">
        <v>-1.25</v>
      </c>
      <c r="AF636">
        <v>1.238953600861</v>
      </c>
      <c r="AG636">
        <v>-1.120895838939</v>
      </c>
      <c r="AH636">
        <v>21.280026270467999</v>
      </c>
      <c r="AI636">
        <v>93.010101131894203</v>
      </c>
      <c r="AJ636">
        <v>86.667919233365794</v>
      </c>
      <c r="AK636">
        <v>21.345513148637199</v>
      </c>
      <c r="AL636">
        <v>95.085245778630096</v>
      </c>
      <c r="AM636">
        <v>88.451439419667196</v>
      </c>
      <c r="AN636">
        <v>0.99999995888119997</v>
      </c>
    </row>
    <row r="637" spans="1:40" x14ac:dyDescent="0.25">
      <c r="A637" t="str">
        <f>"20190303154109902"</f>
        <v>20190303154109902</v>
      </c>
      <c r="B637" t="str">
        <f>"1551598869900603"</f>
        <v>1551598869900603</v>
      </c>
      <c r="C637" t="s">
        <v>40</v>
      </c>
      <c r="D637">
        <v>6.0576619999999997</v>
      </c>
      <c r="E637">
        <v>0.54453859999999998</v>
      </c>
      <c r="F637" t="s">
        <v>42</v>
      </c>
      <c r="G637">
        <v>-372.79930000000002</v>
      </c>
      <c r="H637">
        <v>1.0472870000000001</v>
      </c>
      <c r="I637">
        <v>367.52910000000003</v>
      </c>
      <c r="J637">
        <v>-373.46859999999998</v>
      </c>
      <c r="K637">
        <v>1.1208940000000001</v>
      </c>
      <c r="L637">
        <v>367.64460000000003</v>
      </c>
      <c r="M637">
        <v>0.99989510000000004</v>
      </c>
      <c r="N637">
        <v>-1.446718E-2</v>
      </c>
      <c r="O637">
        <v>-7.7240190000000002E-4</v>
      </c>
      <c r="P637">
        <v>0.99435090000000004</v>
      </c>
      <c r="Q637">
        <v>-0.10272829999999999</v>
      </c>
      <c r="R637">
        <v>-2.6707580000000002E-2</v>
      </c>
      <c r="S637">
        <v>2.980591</v>
      </c>
      <c r="T637">
        <v>-0.24936369999999999</v>
      </c>
      <c r="U637">
        <v>-0.39093020000000001</v>
      </c>
      <c r="V637">
        <v>2.5882860000000001E-2</v>
      </c>
      <c r="W637">
        <v>-8.8348430000000006E-2</v>
      </c>
      <c r="X637">
        <v>0.99575329999999995</v>
      </c>
      <c r="Y637">
        <v>0.12876070000000001</v>
      </c>
      <c r="Z637">
        <v>-6.2381980000000004E-3</v>
      </c>
      <c r="AA637">
        <v>0.99165610000000004</v>
      </c>
      <c r="AB637">
        <v>21</v>
      </c>
      <c r="AC637">
        <v>0.66929999999996403</v>
      </c>
      <c r="AD637">
        <v>-7.3606999999999895E-2</v>
      </c>
      <c r="AE637">
        <v>-0.11549999999999699</v>
      </c>
      <c r="AF637">
        <v>0.113648147889659</v>
      </c>
      <c r="AG637">
        <v>-7.3606999999999895E-2</v>
      </c>
      <c r="AH637">
        <v>0.66161832945273102</v>
      </c>
      <c r="AI637">
        <v>96.257319891156598</v>
      </c>
      <c r="AJ637">
        <v>80.253253100442095</v>
      </c>
      <c r="AK637">
        <v>0.67533155252481203</v>
      </c>
      <c r="AL637">
        <v>95.068600582373094</v>
      </c>
      <c r="AM637">
        <v>88.5110320155202</v>
      </c>
      <c r="AN637">
        <v>1.0000000009930601</v>
      </c>
    </row>
    <row r="638" spans="1:40" x14ac:dyDescent="0.25">
      <c r="A638" t="str">
        <f>"20190303154109927"</f>
        <v>20190303154109927</v>
      </c>
      <c r="B638" t="str">
        <f>"1551598869920124"</f>
        <v>1551598869920124</v>
      </c>
      <c r="C638" t="s">
        <v>40</v>
      </c>
      <c r="D638">
        <v>6.0415710000000002</v>
      </c>
      <c r="E638">
        <v>0.54550369999999904</v>
      </c>
      <c r="F638" t="s">
        <v>42</v>
      </c>
      <c r="G638">
        <v>-372.61619999999999</v>
      </c>
      <c r="H638">
        <v>1.037433</v>
      </c>
      <c r="I638">
        <v>367.51949999999999</v>
      </c>
      <c r="J638">
        <v>-373.23140000000001</v>
      </c>
      <c r="K638">
        <v>1.1209009999999999</v>
      </c>
      <c r="L638">
        <v>367.64389999999997</v>
      </c>
      <c r="M638">
        <v>0.99989470000000003</v>
      </c>
      <c r="N638">
        <v>-1.446154E-2</v>
      </c>
      <c r="O638">
        <v>-1.225402E-3</v>
      </c>
      <c r="P638">
        <v>0.99439540000000004</v>
      </c>
      <c r="Q638">
        <v>-0.1027568</v>
      </c>
      <c r="R638">
        <v>-2.4875189999999998E-2</v>
      </c>
      <c r="S638">
        <v>2.9752809999999998</v>
      </c>
      <c r="T638">
        <v>-0.29143629999999998</v>
      </c>
      <c r="U638">
        <v>-0.4352722</v>
      </c>
      <c r="V638">
        <v>2.3602049999999999E-2</v>
      </c>
      <c r="W638">
        <v>-8.8379760000000002E-2</v>
      </c>
      <c r="X638">
        <v>0.9958072</v>
      </c>
      <c r="Y638">
        <v>0.14277679999999901</v>
      </c>
      <c r="Z638">
        <v>-7.8784790000000007E-3</v>
      </c>
      <c r="AA638">
        <v>0.98972360000000004</v>
      </c>
      <c r="AB638">
        <v>21</v>
      </c>
      <c r="AC638">
        <v>0.61520000000001496</v>
      </c>
      <c r="AD638">
        <v>-8.3467999999999806E-2</v>
      </c>
      <c r="AE638">
        <v>-0.12439999999998</v>
      </c>
      <c r="AF638">
        <v>0.12149729165541701</v>
      </c>
      <c r="AG638">
        <v>-8.3467999999999806E-2</v>
      </c>
      <c r="AH638">
        <v>0.60465865937756602</v>
      </c>
      <c r="AI638">
        <v>97.707378952430801</v>
      </c>
      <c r="AJ638">
        <v>78.638547116583794</v>
      </c>
      <c r="AK638">
        <v>0.62236692815723904</v>
      </c>
      <c r="AL638">
        <v>95.070402667122494</v>
      </c>
      <c r="AM638">
        <v>88.642262561477907</v>
      </c>
      <c r="AN638">
        <v>1.0000000091568499</v>
      </c>
    </row>
    <row r="639" spans="1:40" x14ac:dyDescent="0.25">
      <c r="A639" t="str">
        <f>"20190303154109948"</f>
        <v>20190303154109948</v>
      </c>
      <c r="B639" t="str">
        <f>"1551598869939643"</f>
        <v>1551598869939643</v>
      </c>
      <c r="C639" t="s">
        <v>40</v>
      </c>
      <c r="D639">
        <v>6.0412759999999999</v>
      </c>
      <c r="E639">
        <v>0.54602709999999999</v>
      </c>
      <c r="F639" t="s">
        <v>42</v>
      </c>
      <c r="G639">
        <v>-372.42559999999997</v>
      </c>
      <c r="H639">
        <v>1.039134</v>
      </c>
      <c r="I639">
        <v>367.52510000000001</v>
      </c>
      <c r="J639">
        <v>-373.03500000000003</v>
      </c>
      <c r="K639">
        <v>1.120914</v>
      </c>
      <c r="L639">
        <v>367.64319999999998</v>
      </c>
      <c r="M639">
        <v>0.99989430000000001</v>
      </c>
      <c r="N639">
        <v>-1.445685E-2</v>
      </c>
      <c r="O639">
        <v>-1.587562E-3</v>
      </c>
      <c r="P639">
        <v>0.99443740000000003</v>
      </c>
      <c r="Q639">
        <v>-0.1027323</v>
      </c>
      <c r="R639">
        <v>-2.3253320000000001E-2</v>
      </c>
      <c r="S639">
        <v>2.9747620000000001</v>
      </c>
      <c r="T639">
        <v>-0.30193779999999998</v>
      </c>
      <c r="U639">
        <v>-0.43743900000000002</v>
      </c>
      <c r="V639">
        <v>2.1621720000000001E-2</v>
      </c>
      <c r="W639">
        <v>-8.8357459999999999E-2</v>
      </c>
      <c r="X639">
        <v>0.99585409999999996</v>
      </c>
      <c r="Y639">
        <v>0.143095899999999</v>
      </c>
      <c r="Z639">
        <v>-8.1108840000000005E-3</v>
      </c>
      <c r="AA639">
        <v>0.98967559999999999</v>
      </c>
      <c r="AB639">
        <v>21</v>
      </c>
      <c r="AC639">
        <v>0.60940000000005001</v>
      </c>
      <c r="AD639">
        <v>-8.1779999999999894E-2</v>
      </c>
      <c r="AE639">
        <v>-0.11809999999996899</v>
      </c>
      <c r="AF639">
        <v>0.115133899035926</v>
      </c>
      <c r="AG639">
        <v>-8.1779999999999894E-2</v>
      </c>
      <c r="AH639">
        <v>0.59918659991251499</v>
      </c>
      <c r="AI639">
        <v>97.634032409608096</v>
      </c>
      <c r="AJ639">
        <v>79.123168204227298</v>
      </c>
      <c r="AK639">
        <v>0.61560406481921104</v>
      </c>
      <c r="AL639">
        <v>95.069120182575006</v>
      </c>
      <c r="AM639">
        <v>88.756204653788799</v>
      </c>
      <c r="AN639">
        <v>0.99999996400010904</v>
      </c>
    </row>
    <row r="640" spans="1:40" x14ac:dyDescent="0.25">
      <c r="A640" t="str">
        <f>"20190303154109969"</f>
        <v>20190303154109969</v>
      </c>
      <c r="B640" t="str">
        <f>"1551598869960139"</f>
        <v>1551598869960139</v>
      </c>
      <c r="C640" t="s">
        <v>40</v>
      </c>
      <c r="D640">
        <v>6.036778</v>
      </c>
      <c r="E640">
        <v>0.5465293</v>
      </c>
      <c r="F640" t="s">
        <v>42</v>
      </c>
      <c r="G640">
        <v>-372.23700000000002</v>
      </c>
      <c r="H640">
        <v>1.038225</v>
      </c>
      <c r="I640">
        <v>367.5258</v>
      </c>
      <c r="J640">
        <v>-372.8288</v>
      </c>
      <c r="K640">
        <v>1.1209279999999999</v>
      </c>
      <c r="L640">
        <v>367.64240000000001</v>
      </c>
      <c r="M640">
        <v>0.99989380000000005</v>
      </c>
      <c r="N640">
        <v>-1.445189E-2</v>
      </c>
      <c r="O640">
        <v>-1.9520379999999999E-3</v>
      </c>
      <c r="P640">
        <v>0.99445950000000005</v>
      </c>
      <c r="Q640">
        <v>-0.1026928</v>
      </c>
      <c r="R640">
        <v>-2.2464970000000001E-2</v>
      </c>
      <c r="S640">
        <v>2.9746700000000001</v>
      </c>
      <c r="T640">
        <v>-0.30816399999999999</v>
      </c>
      <c r="U640">
        <v>-0.43667600000000001</v>
      </c>
      <c r="V640">
        <v>2.0474019999999999E-2</v>
      </c>
      <c r="W640">
        <v>-8.8321179999999999E-2</v>
      </c>
      <c r="X640">
        <v>0.99588160000000003</v>
      </c>
      <c r="Y640">
        <v>0.14246449999999999</v>
      </c>
      <c r="Z640">
        <v>-8.1862089999999998E-3</v>
      </c>
      <c r="AA640">
        <v>0.98976609999999998</v>
      </c>
      <c r="AB640">
        <v>21</v>
      </c>
      <c r="AC640">
        <v>0.59180000000003397</v>
      </c>
      <c r="AD640">
        <v>-8.2703000000000096E-2</v>
      </c>
      <c r="AE640">
        <v>-0.11660000000000501</v>
      </c>
      <c r="AF640">
        <v>0.11331416067317</v>
      </c>
      <c r="AG640">
        <v>-8.2703000000000096E-2</v>
      </c>
      <c r="AH640">
        <v>0.58110191920115295</v>
      </c>
      <c r="AI640">
        <v>97.952186325951203</v>
      </c>
      <c r="AJ640">
        <v>78.965858776479706</v>
      </c>
      <c r="AK640">
        <v>0.59779538783544395</v>
      </c>
      <c r="AL640">
        <v>95.067033207091001</v>
      </c>
      <c r="AM640">
        <v>88.822239805344594</v>
      </c>
      <c r="AN640">
        <v>0.99999998877505603</v>
      </c>
    </row>
    <row r="641" spans="1:40" x14ac:dyDescent="0.25">
      <c r="A641" t="str">
        <f>"20190303154109992"</f>
        <v>20190303154109992</v>
      </c>
      <c r="B641" t="str">
        <f>"1551598869989418"</f>
        <v>1551598869989418</v>
      </c>
      <c r="C641" t="s">
        <v>40</v>
      </c>
      <c r="D641">
        <v>6.0370410000000003</v>
      </c>
      <c r="E641">
        <v>0.5471686</v>
      </c>
      <c r="F641" t="s">
        <v>42</v>
      </c>
      <c r="G641">
        <v>-372.04680000000002</v>
      </c>
      <c r="H641">
        <v>1.0394559999999999</v>
      </c>
      <c r="I641">
        <v>367.52679999999998</v>
      </c>
      <c r="J641">
        <v>-372.62</v>
      </c>
      <c r="K641">
        <v>1.1209469999999999</v>
      </c>
      <c r="L641">
        <v>367.64159999999998</v>
      </c>
      <c r="M641">
        <v>0.99989309999999998</v>
      </c>
      <c r="N641">
        <v>-1.4446830000000001E-2</v>
      </c>
      <c r="O641">
        <v>-2.2986949999999999E-3</v>
      </c>
      <c r="P641">
        <v>0.99442730000000001</v>
      </c>
      <c r="Q641">
        <v>-0.1028757</v>
      </c>
      <c r="R641">
        <v>-2.3049030000000002E-2</v>
      </c>
      <c r="S641">
        <v>2.9748230000000002</v>
      </c>
      <c r="T641">
        <v>-0.31012009999999901</v>
      </c>
      <c r="U641">
        <v>-0.438446</v>
      </c>
      <c r="V641">
        <v>2.0716680000000001E-2</v>
      </c>
      <c r="W641">
        <v>-8.8508719999999999E-2</v>
      </c>
      <c r="X641">
        <v>0.99585990000000002</v>
      </c>
      <c r="Y641">
        <v>0.14268069999999999</v>
      </c>
      <c r="Z641">
        <v>-8.2120819999999903E-3</v>
      </c>
      <c r="AA641">
        <v>0.98973469999999997</v>
      </c>
      <c r="AB641">
        <v>21</v>
      </c>
      <c r="AC641">
        <v>0.57319999999998505</v>
      </c>
      <c r="AD641">
        <v>-8.1490999999999897E-2</v>
      </c>
      <c r="AE641">
        <v>-0.114800000000002</v>
      </c>
      <c r="AF641">
        <v>0.111318754252157</v>
      </c>
      <c r="AG641">
        <v>-8.1490999999999897E-2</v>
      </c>
      <c r="AH641">
        <v>0.56253106193532398</v>
      </c>
      <c r="AI641">
        <v>98.088095840081806</v>
      </c>
      <c r="AJ641">
        <v>78.806409607823198</v>
      </c>
      <c r="AK641">
        <v>0.57920103916631205</v>
      </c>
      <c r="AL641">
        <v>95.077820864274898</v>
      </c>
      <c r="AM641">
        <v>88.808258923083798</v>
      </c>
      <c r="AN641">
        <v>0.99999995738713399</v>
      </c>
    </row>
    <row r="642" spans="1:40" x14ac:dyDescent="0.25">
      <c r="A642" t="str">
        <f>"20190303154110014"</f>
        <v>20190303154110014</v>
      </c>
      <c r="B642" t="str">
        <f>"1551598870009915"</f>
        <v>1551598870009915</v>
      </c>
      <c r="C642" t="s">
        <v>40</v>
      </c>
      <c r="D642">
        <v>6.040324</v>
      </c>
      <c r="E642">
        <v>0.54731099999999999</v>
      </c>
      <c r="F642" t="s">
        <v>42</v>
      </c>
      <c r="G642">
        <v>-371.85719999999998</v>
      </c>
      <c r="H642">
        <v>1.040537</v>
      </c>
      <c r="I642">
        <v>367.52730000000003</v>
      </c>
      <c r="J642">
        <v>-372.41239999999999</v>
      </c>
      <c r="K642">
        <v>1.1209629999999999</v>
      </c>
      <c r="L642">
        <v>367.64069999999998</v>
      </c>
      <c r="M642">
        <v>0.99989249999999996</v>
      </c>
      <c r="N642">
        <v>-1.444174E-2</v>
      </c>
      <c r="O642">
        <v>-2.6170439999999998E-3</v>
      </c>
      <c r="P642">
        <v>0.99435070000000003</v>
      </c>
      <c r="Q642">
        <v>-0.10324469999999999</v>
      </c>
      <c r="R642">
        <v>-2.4642569999999999E-2</v>
      </c>
      <c r="S642">
        <v>2.9740600000000001</v>
      </c>
      <c r="T642">
        <v>-0.31365510000000002</v>
      </c>
      <c r="U642">
        <v>-0.4451599</v>
      </c>
      <c r="V642">
        <v>2.1998029999999998E-2</v>
      </c>
      <c r="W642">
        <v>-8.8883329999999997E-2</v>
      </c>
      <c r="X642">
        <v>0.99579910000000005</v>
      </c>
      <c r="Y642">
        <v>0.144559299999999</v>
      </c>
      <c r="Z642">
        <v>-8.3767210000000002E-3</v>
      </c>
      <c r="AA642">
        <v>0.98946060000000002</v>
      </c>
      <c r="AB642">
        <v>21</v>
      </c>
      <c r="AC642">
        <v>0.55520000000001302</v>
      </c>
      <c r="AD642">
        <v>-8.0425999999999803E-2</v>
      </c>
      <c r="AE642">
        <v>-0.113399999999955</v>
      </c>
      <c r="AF642">
        <v>0.109735966422491</v>
      </c>
      <c r="AG642">
        <v>-8.0425999999999803E-2</v>
      </c>
      <c r="AH642">
        <v>0.54452602052341903</v>
      </c>
      <c r="AI642">
        <v>98.238503843464301</v>
      </c>
      <c r="AJ642">
        <v>78.606040356991599</v>
      </c>
      <c r="AK642">
        <v>0.56126545486939505</v>
      </c>
      <c r="AL642">
        <v>95.099369129143994</v>
      </c>
      <c r="AM642">
        <v>88.734494427190896</v>
      </c>
      <c r="AN642">
        <v>1.0000000036182899</v>
      </c>
    </row>
    <row r="643" spans="1:40" x14ac:dyDescent="0.25">
      <c r="A643" t="str">
        <f>"20190303154110038"</f>
        <v>20190303154110038</v>
      </c>
      <c r="B643" t="str">
        <f>"1551598870029442"</f>
        <v>1551598870029442</v>
      </c>
      <c r="C643" t="s">
        <v>40</v>
      </c>
      <c r="D643">
        <v>6.0790709999999999</v>
      </c>
      <c r="E643">
        <v>0.54734090000000002</v>
      </c>
      <c r="F643" t="s">
        <v>42</v>
      </c>
      <c r="G643">
        <v>-371.6678</v>
      </c>
      <c r="H643">
        <v>1.041582</v>
      </c>
      <c r="I643">
        <v>367.52730000000003</v>
      </c>
      <c r="J643">
        <v>-372.19510000000002</v>
      </c>
      <c r="K643">
        <v>1.120986</v>
      </c>
      <c r="L643">
        <v>367.63979999999998</v>
      </c>
      <c r="M643">
        <v>0.99989150000000004</v>
      </c>
      <c r="N643">
        <v>-1.443637E-2</v>
      </c>
      <c r="O643">
        <v>-2.9155330000000001E-3</v>
      </c>
      <c r="P643">
        <v>0.99426490000000001</v>
      </c>
      <c r="Q643">
        <v>-0.10333779999999999</v>
      </c>
      <c r="R643">
        <v>-2.7544079999999999E-2</v>
      </c>
      <c r="S643">
        <v>2.9729000000000001</v>
      </c>
      <c r="T643">
        <v>-0.31712249999999997</v>
      </c>
      <c r="U643">
        <v>-0.4510498</v>
      </c>
      <c r="V643">
        <v>2.460791E-2</v>
      </c>
      <c r="W643">
        <v>-8.8982569999999997E-2</v>
      </c>
      <c r="X643">
        <v>0.99572910000000003</v>
      </c>
      <c r="Y643">
        <v>0.14620929999999999</v>
      </c>
      <c r="Z643">
        <v>-8.5303669999999901E-3</v>
      </c>
      <c r="AA643">
        <v>0.98921689999999995</v>
      </c>
      <c r="AB643">
        <v>21</v>
      </c>
      <c r="AC643">
        <v>0.52730000000002497</v>
      </c>
      <c r="AD643">
        <v>-7.9404000000000002E-2</v>
      </c>
      <c r="AE643">
        <v>-0.112499999999954</v>
      </c>
      <c r="AF643">
        <v>0.108606447077609</v>
      </c>
      <c r="AG643">
        <v>-7.9404000000000002E-2</v>
      </c>
      <c r="AH643">
        <v>0.516425100231936</v>
      </c>
      <c r="AI643">
        <v>98.556856944564302</v>
      </c>
      <c r="AJ643">
        <v>78.123520246935001</v>
      </c>
      <c r="AK643">
        <v>0.53366210256339797</v>
      </c>
      <c r="AL643">
        <v>95.105078088391593</v>
      </c>
      <c r="AM643">
        <v>88.584311284780796</v>
      </c>
      <c r="AN643">
        <v>0.99999994379258905</v>
      </c>
    </row>
    <row r="644" spans="1:40" x14ac:dyDescent="0.25">
      <c r="A644" t="str">
        <f>"20190303154110058"</f>
        <v>20190303154110058</v>
      </c>
      <c r="B644" t="str">
        <f>"1551598870049934"</f>
        <v>1551598870049934</v>
      </c>
      <c r="C644" t="s">
        <v>40</v>
      </c>
      <c r="D644">
        <v>6.0896569999999999</v>
      </c>
      <c r="E644">
        <v>0.5474424</v>
      </c>
      <c r="F644" t="s">
        <v>42</v>
      </c>
      <c r="G644">
        <v>-371.3005</v>
      </c>
      <c r="H644">
        <v>1.0254000000000001</v>
      </c>
      <c r="I644">
        <v>367.5009</v>
      </c>
      <c r="J644">
        <v>-371.98880000000003</v>
      </c>
      <c r="K644">
        <v>1.1210089999999999</v>
      </c>
      <c r="L644">
        <v>367.6388</v>
      </c>
      <c r="M644">
        <v>0.99989090000000003</v>
      </c>
      <c r="N644">
        <v>-1.443125E-2</v>
      </c>
      <c r="O644">
        <v>-3.1612150000000002E-3</v>
      </c>
      <c r="P644">
        <v>0.9941953</v>
      </c>
      <c r="Q644">
        <v>-0.1034511</v>
      </c>
      <c r="R644">
        <v>-2.9557380000000001E-2</v>
      </c>
      <c r="S644">
        <v>2.971527</v>
      </c>
      <c r="T644">
        <v>-0.31777169999999999</v>
      </c>
      <c r="U644">
        <v>-0.46005249999999998</v>
      </c>
      <c r="V644">
        <v>2.6382180000000002E-2</v>
      </c>
      <c r="W644">
        <v>-8.9100990000000005E-2</v>
      </c>
      <c r="X644">
        <v>0.99567309999999998</v>
      </c>
      <c r="Y644">
        <v>0.14894160000000001</v>
      </c>
      <c r="Z644">
        <v>-8.6892269999999903E-3</v>
      </c>
      <c r="AA644">
        <v>0.98880780000000001</v>
      </c>
      <c r="AB644">
        <v>21</v>
      </c>
      <c r="AC644">
        <v>0.688300000000026</v>
      </c>
      <c r="AD644">
        <v>-9.5608999999999805E-2</v>
      </c>
      <c r="AE644">
        <v>-0.13790000000000099</v>
      </c>
      <c r="AF644">
        <v>0.13325137025734199</v>
      </c>
      <c r="AG644">
        <v>-9.5608999999999805E-2</v>
      </c>
      <c r="AH644">
        <v>0.676189043418855</v>
      </c>
      <c r="AI644">
        <v>97.898002660006895</v>
      </c>
      <c r="AJ644">
        <v>78.852002455086705</v>
      </c>
      <c r="AK644">
        <v>0.69579352612406897</v>
      </c>
      <c r="AL644">
        <v>95.111890009761197</v>
      </c>
      <c r="AM644">
        <v>88.482198660872399</v>
      </c>
      <c r="AN644">
        <v>0.99999996395207003</v>
      </c>
    </row>
    <row r="645" spans="1:40" x14ac:dyDescent="0.25">
      <c r="A645" t="str">
        <f>"20190303154110082"</f>
        <v>20190303154110082</v>
      </c>
      <c r="B645" t="str">
        <f>"1551598870069454"</f>
        <v>1551598870069454</v>
      </c>
      <c r="C645" t="s">
        <v>40</v>
      </c>
      <c r="D645">
        <v>6.0558009999999998</v>
      </c>
      <c r="E645">
        <v>0.54766110000000001</v>
      </c>
      <c r="F645" t="s">
        <v>42</v>
      </c>
      <c r="G645">
        <v>-371.11250000000001</v>
      </c>
      <c r="H645">
        <v>1.0264249999999999</v>
      </c>
      <c r="I645">
        <v>367.50099999999998</v>
      </c>
      <c r="J645">
        <v>-371.77809999999999</v>
      </c>
      <c r="K645">
        <v>1.12103</v>
      </c>
      <c r="L645">
        <v>367.6379</v>
      </c>
      <c r="M645">
        <v>0.99989030000000001</v>
      </c>
      <c r="N645">
        <v>-1.4426019999999999E-2</v>
      </c>
      <c r="O645">
        <v>-3.3803290000000001E-3</v>
      </c>
      <c r="P645">
        <v>0.99415019999999998</v>
      </c>
      <c r="Q645">
        <v>-0.1035122</v>
      </c>
      <c r="R645">
        <v>-3.083959E-2</v>
      </c>
      <c r="S645">
        <v>2.9703059999999999</v>
      </c>
      <c r="T645">
        <v>-0.32065189999999999</v>
      </c>
      <c r="U645">
        <v>-0.46698000000000001</v>
      </c>
      <c r="V645">
        <v>2.7451690000000001E-2</v>
      </c>
      <c r="W645">
        <v>-8.9166599999999999E-2</v>
      </c>
      <c r="X645">
        <v>0.99563840000000003</v>
      </c>
      <c r="Y645">
        <v>0.1510088</v>
      </c>
      <c r="Z645">
        <v>-8.8642510000000001E-3</v>
      </c>
      <c r="AA645">
        <v>0.9884927</v>
      </c>
      <c r="AB645">
        <v>21</v>
      </c>
      <c r="AC645">
        <v>0.66559999999998298</v>
      </c>
      <c r="AD645">
        <v>-9.4604999999999995E-2</v>
      </c>
      <c r="AE645">
        <v>-0.136900000000025</v>
      </c>
      <c r="AF645">
        <v>0.13208884007553001</v>
      </c>
      <c r="AG645">
        <v>-9.4604999999999995E-2</v>
      </c>
      <c r="AH645">
        <v>0.65339466519656797</v>
      </c>
      <c r="AI645">
        <v>98.077422161760893</v>
      </c>
      <c r="AJ645">
        <v>78.571238268214202</v>
      </c>
      <c r="AK645">
        <v>0.67329202891823603</v>
      </c>
      <c r="AL645">
        <v>95.115663763639503</v>
      </c>
      <c r="AM645">
        <v>88.420643891887494</v>
      </c>
      <c r="AN645">
        <v>1.0000000506969799</v>
      </c>
    </row>
    <row r="646" spans="1:40" x14ac:dyDescent="0.25">
      <c r="A646" t="str">
        <f>"20190303154110104"</f>
        <v>20190303154110104</v>
      </c>
      <c r="B646" t="str">
        <f>"1551598870099710"</f>
        <v>1551598870099710</v>
      </c>
      <c r="C646" t="s">
        <v>40</v>
      </c>
      <c r="D646">
        <v>6.0835999999999997</v>
      </c>
      <c r="E646">
        <v>0.54760509999999996</v>
      </c>
      <c r="F646" t="s">
        <v>42</v>
      </c>
      <c r="G646">
        <v>-370.92419999999998</v>
      </c>
      <c r="H646">
        <v>1.029077</v>
      </c>
      <c r="I646">
        <v>367.50150000000002</v>
      </c>
      <c r="J646">
        <v>-371.57229999999998</v>
      </c>
      <c r="K646">
        <v>1.121051</v>
      </c>
      <c r="L646">
        <v>367.63690000000003</v>
      </c>
      <c r="M646">
        <v>0.99988980000000005</v>
      </c>
      <c r="N646">
        <v>-1.44209E-2</v>
      </c>
      <c r="O646">
        <v>-3.5608520000000002E-3</v>
      </c>
      <c r="P646">
        <v>0.99419809999999997</v>
      </c>
      <c r="Q646">
        <v>-0.1028748</v>
      </c>
      <c r="R646">
        <v>-3.141708E-2</v>
      </c>
      <c r="S646">
        <v>2.9696349999999998</v>
      </c>
      <c r="T646">
        <v>-0.32001580000000002</v>
      </c>
      <c r="U646">
        <v>-0.47268680000000002</v>
      </c>
      <c r="V646">
        <v>2.7854509999999999E-2</v>
      </c>
      <c r="W646">
        <v>-8.8532159999999999E-2</v>
      </c>
      <c r="X646">
        <v>0.99568380000000001</v>
      </c>
      <c r="Y646">
        <v>0.15271089999999901</v>
      </c>
      <c r="Z646">
        <v>-8.9359149999999991E-3</v>
      </c>
      <c r="AA646">
        <v>0.98823050000000001</v>
      </c>
      <c r="AB646">
        <v>21</v>
      </c>
      <c r="AC646">
        <v>0.64809999999999901</v>
      </c>
      <c r="AD646">
        <v>-9.1974E-2</v>
      </c>
      <c r="AE646">
        <v>-0.13540000000000399</v>
      </c>
      <c r="AF646">
        <v>0.13057146022486699</v>
      </c>
      <c r="AG646">
        <v>-9.1974E-2</v>
      </c>
      <c r="AH646">
        <v>0.63629933437451303</v>
      </c>
      <c r="AI646">
        <v>98.059204997389401</v>
      </c>
      <c r="AJ646">
        <v>78.403632081181001</v>
      </c>
      <c r="AK646">
        <v>0.65603732045265795</v>
      </c>
      <c r="AL646">
        <v>95.079168834542699</v>
      </c>
      <c r="AM646">
        <v>88.397553799970396</v>
      </c>
      <c r="AN646">
        <v>1.0000000233320201</v>
      </c>
    </row>
    <row r="647" spans="1:40" x14ac:dyDescent="0.25">
      <c r="A647" t="str">
        <f>"20190303154110128"</f>
        <v>20190303154110128</v>
      </c>
      <c r="B647" t="str">
        <f>"1551598870120207"</f>
        <v>1551598870120207</v>
      </c>
      <c r="C647" t="s">
        <v>40</v>
      </c>
      <c r="D647">
        <v>6.0577230000000002</v>
      </c>
      <c r="E647">
        <v>0.54765889999999995</v>
      </c>
      <c r="F647" t="s">
        <v>42</v>
      </c>
      <c r="G647">
        <v>-370.7364</v>
      </c>
      <c r="H647">
        <v>1.03147099999999</v>
      </c>
      <c r="I647">
        <v>367.5034</v>
      </c>
      <c r="J647">
        <v>-371.34640000000002</v>
      </c>
      <c r="K647">
        <v>1.1210739999999999</v>
      </c>
      <c r="L647">
        <v>367.63589999999999</v>
      </c>
      <c r="M647">
        <v>0.99988909999999998</v>
      </c>
      <c r="N647">
        <v>-1.4415280000000001E-2</v>
      </c>
      <c r="O647">
        <v>-3.7172669999999998E-3</v>
      </c>
      <c r="P647">
        <v>0.99419080000000004</v>
      </c>
      <c r="Q647">
        <v>-0.10306559999999999</v>
      </c>
      <c r="R647">
        <v>-3.1019970000000001E-2</v>
      </c>
      <c r="S647">
        <v>2.9696039999999999</v>
      </c>
      <c r="T647">
        <v>-0.31833519999999998</v>
      </c>
      <c r="U647">
        <v>-0.47375489999999998</v>
      </c>
      <c r="V647">
        <v>2.7306879999999999E-2</v>
      </c>
      <c r="W647">
        <v>-8.8726959999999994E-2</v>
      </c>
      <c r="X647">
        <v>0.99568159999999994</v>
      </c>
      <c r="Y647">
        <v>0.15291350000000001</v>
      </c>
      <c r="Z647">
        <v>-8.8925840000000003E-3</v>
      </c>
      <c r="AA647">
        <v>0.98819959999999996</v>
      </c>
      <c r="AB647">
        <v>21</v>
      </c>
      <c r="AC647">
        <v>0.61000000000001298</v>
      </c>
      <c r="AD647">
        <v>-8.9603000000000099E-2</v>
      </c>
      <c r="AE647">
        <v>-0.13249999999999301</v>
      </c>
      <c r="AF647">
        <v>0.12760212927092199</v>
      </c>
      <c r="AG647">
        <v>-8.9603000000000099E-2</v>
      </c>
      <c r="AH647">
        <v>0.59816347536922498</v>
      </c>
      <c r="AI647">
        <v>98.334573601476293</v>
      </c>
      <c r="AJ647">
        <v>77.957981777871893</v>
      </c>
      <c r="AK647">
        <v>0.61815090735941103</v>
      </c>
      <c r="AL647">
        <v>95.090374299360505</v>
      </c>
      <c r="AM647">
        <v>88.429039072111195</v>
      </c>
      <c r="AN647">
        <v>0.99999999385236804</v>
      </c>
    </row>
    <row r="648" spans="1:40" x14ac:dyDescent="0.25">
      <c r="A648" t="str">
        <f>"20190303154110148"</f>
        <v>20190303154110148</v>
      </c>
      <c r="B648" t="str">
        <f>"1551598870139726"</f>
        <v>1551598870139726</v>
      </c>
      <c r="C648" t="s">
        <v>40</v>
      </c>
      <c r="D648">
        <v>6.0607530000000001</v>
      </c>
      <c r="E648">
        <v>0.54772799999999999</v>
      </c>
      <c r="F648" t="s">
        <v>42</v>
      </c>
      <c r="G648">
        <v>-370.54809999999998</v>
      </c>
      <c r="H648">
        <v>1.0354080000000001</v>
      </c>
      <c r="I648">
        <v>367.50850000000003</v>
      </c>
      <c r="J648">
        <v>-371.15320000000003</v>
      </c>
      <c r="K648">
        <v>1.121094</v>
      </c>
      <c r="L648">
        <v>367.63499999999999</v>
      </c>
      <c r="M648">
        <v>0.99988900000000003</v>
      </c>
      <c r="N648">
        <v>-1.4410569999999999E-2</v>
      </c>
      <c r="O648">
        <v>-3.8162880000000001E-3</v>
      </c>
      <c r="P648">
        <v>0.99426119999999996</v>
      </c>
      <c r="Q648">
        <v>-0.1025934</v>
      </c>
      <c r="R648">
        <v>-3.032344E-2</v>
      </c>
      <c r="S648">
        <v>2.9697269999999998</v>
      </c>
      <c r="T648">
        <v>-0.318862799999999</v>
      </c>
      <c r="U648">
        <v>-0.47293089999999999</v>
      </c>
      <c r="V648">
        <v>2.6516060000000001E-2</v>
      </c>
      <c r="W648">
        <v>-8.8257009999999997E-2</v>
      </c>
      <c r="X648">
        <v>0.99574479999999999</v>
      </c>
      <c r="Y648">
        <v>0.15254189999999901</v>
      </c>
      <c r="Z648">
        <v>-8.8731829999999998E-3</v>
      </c>
      <c r="AA648">
        <v>0.98825719999999995</v>
      </c>
      <c r="AB648">
        <v>21</v>
      </c>
      <c r="AC648">
        <v>0.60510000000004904</v>
      </c>
      <c r="AD648">
        <v>-8.5686000000000095E-2</v>
      </c>
      <c r="AE648">
        <v>-0.126499999999964</v>
      </c>
      <c r="AF648">
        <v>0.121848566238003</v>
      </c>
      <c r="AG648">
        <v>-8.5686000000000095E-2</v>
      </c>
      <c r="AH648">
        <v>0.59416294326966201</v>
      </c>
      <c r="AI648">
        <v>98.041125518945407</v>
      </c>
      <c r="AJ648">
        <v>78.410694375060103</v>
      </c>
      <c r="AK648">
        <v>0.61255103203335204</v>
      </c>
      <c r="AL648">
        <v>95.063341791732398</v>
      </c>
      <c r="AM648">
        <v>88.474609793500306</v>
      </c>
      <c r="AN648">
        <v>1.0000000539895499</v>
      </c>
    </row>
    <row r="649" spans="1:40" x14ac:dyDescent="0.25">
      <c r="A649" t="str">
        <f>"20190303154110171"</f>
        <v>20190303154110171</v>
      </c>
      <c r="B649" t="str">
        <f>"1551598870160223"</f>
        <v>1551598870160223</v>
      </c>
      <c r="C649" t="s">
        <v>40</v>
      </c>
      <c r="D649">
        <v>6.0638940000000003</v>
      </c>
      <c r="E649">
        <v>0.54777399999999998</v>
      </c>
      <c r="F649" t="s">
        <v>42</v>
      </c>
      <c r="G649">
        <v>-370.36149999999998</v>
      </c>
      <c r="H649">
        <v>1.036411</v>
      </c>
      <c r="I649">
        <v>367.50940000000003</v>
      </c>
      <c r="J649">
        <v>-370.9393</v>
      </c>
      <c r="K649">
        <v>1.1211199999999999</v>
      </c>
      <c r="L649">
        <v>367.63409999999999</v>
      </c>
      <c r="M649">
        <v>0.99988880000000002</v>
      </c>
      <c r="N649">
        <v>-1.44054E-2</v>
      </c>
      <c r="O649">
        <v>-3.8902289999999998E-3</v>
      </c>
      <c r="P649">
        <v>0.99425540000000001</v>
      </c>
      <c r="Q649">
        <v>-0.1028218</v>
      </c>
      <c r="R649">
        <v>-2.9733349999999999E-2</v>
      </c>
      <c r="S649">
        <v>2.9701840000000002</v>
      </c>
      <c r="T649">
        <v>-0.31771120000000003</v>
      </c>
      <c r="U649">
        <v>-0.47134399999999999</v>
      </c>
      <c r="V649">
        <v>2.5857439999999999E-2</v>
      </c>
      <c r="W649">
        <v>-8.8489100000000001E-2</v>
      </c>
      <c r="X649">
        <v>0.99574149999999995</v>
      </c>
      <c r="Y649">
        <v>0.15194089999999999</v>
      </c>
      <c r="Z649">
        <v>-8.8011600000000006E-3</v>
      </c>
      <c r="AA649">
        <v>0.98835039999999996</v>
      </c>
      <c r="AB649">
        <v>21</v>
      </c>
      <c r="AC649">
        <v>0.57780000000002396</v>
      </c>
      <c r="AD649">
        <v>-8.4709000000000104E-2</v>
      </c>
      <c r="AE649">
        <v>-0.12469999999996099</v>
      </c>
      <c r="AF649">
        <v>0.119986903061857</v>
      </c>
      <c r="AG649">
        <v>-8.4709000000000104E-2</v>
      </c>
      <c r="AH649">
        <v>0.56664374500415304</v>
      </c>
      <c r="AI649">
        <v>98.320502187337993</v>
      </c>
      <c r="AJ649">
        <v>78.044213465547699</v>
      </c>
      <c r="AK649">
        <v>0.58536963137807796</v>
      </c>
      <c r="AL649">
        <v>95.076691915987098</v>
      </c>
      <c r="AM649">
        <v>88.512476079420196</v>
      </c>
      <c r="AN649">
        <v>1.0000000314222</v>
      </c>
    </row>
    <row r="650" spans="1:40" x14ac:dyDescent="0.25">
      <c r="A650" t="str">
        <f>"20190303154110194"</f>
        <v>20190303154110194</v>
      </c>
      <c r="B650" t="str">
        <f>"1551598870189503"</f>
        <v>1551598870189503</v>
      </c>
      <c r="C650" t="s">
        <v>40</v>
      </c>
      <c r="D650">
        <v>6.1264349999999999</v>
      </c>
      <c r="E650">
        <v>0.54771300000000001</v>
      </c>
      <c r="F650" t="s">
        <v>42</v>
      </c>
      <c r="G650">
        <v>-370.17419999999998</v>
      </c>
      <c r="H650">
        <v>1.039096</v>
      </c>
      <c r="I650">
        <v>367.5129</v>
      </c>
      <c r="J650">
        <v>-370.73399999999998</v>
      </c>
      <c r="K650">
        <v>1.121148</v>
      </c>
      <c r="L650">
        <v>367.63330000000002</v>
      </c>
      <c r="M650">
        <v>0.99988860000000002</v>
      </c>
      <c r="N650">
        <v>-1.440028E-2</v>
      </c>
      <c r="O650">
        <v>-3.9283240000000004E-3</v>
      </c>
      <c r="P650">
        <v>0.9942839</v>
      </c>
      <c r="Q650">
        <v>-0.10267419999999999</v>
      </c>
      <c r="R650">
        <v>-2.9285579999999999E-2</v>
      </c>
      <c r="S650">
        <v>2.9703369999999998</v>
      </c>
      <c r="T650">
        <v>-0.3186233</v>
      </c>
      <c r="U650">
        <v>-0.46997070000000002</v>
      </c>
      <c r="V650">
        <v>2.5376070000000001E-2</v>
      </c>
      <c r="W650">
        <v>-8.8344859999999997E-2</v>
      </c>
      <c r="X650">
        <v>0.99576659999999995</v>
      </c>
      <c r="Y650">
        <v>0.1514479</v>
      </c>
      <c r="Z650">
        <v>-8.7891340000000005E-3</v>
      </c>
      <c r="AA650">
        <v>0.98842609999999997</v>
      </c>
      <c r="AB650">
        <v>21</v>
      </c>
      <c r="AC650">
        <v>0.55980000000005203</v>
      </c>
      <c r="AD650">
        <v>-8.2052E-2</v>
      </c>
      <c r="AE650">
        <v>-0.12040000000001699</v>
      </c>
      <c r="AF650">
        <v>0.11582148754039399</v>
      </c>
      <c r="AG650">
        <v>-8.2052E-2</v>
      </c>
      <c r="AH650">
        <v>0.54899561804122798</v>
      </c>
      <c r="AI650">
        <v>98.319924287603598</v>
      </c>
      <c r="AJ650">
        <v>78.087013581450705</v>
      </c>
      <c r="AK650">
        <v>0.56704791359155804</v>
      </c>
      <c r="AL650">
        <v>95.068395541161095</v>
      </c>
      <c r="AM650">
        <v>88.540192964054896</v>
      </c>
      <c r="AN650">
        <v>0.99999994044631002</v>
      </c>
    </row>
    <row r="651" spans="1:40" x14ac:dyDescent="0.25">
      <c r="A651" t="str">
        <f>"20190303154110216"</f>
        <v>20190303154110216</v>
      </c>
      <c r="B651" t="str">
        <f>"1551598870210000"</f>
        <v>1551598870210000</v>
      </c>
      <c r="C651" t="s">
        <v>40</v>
      </c>
      <c r="D651">
        <v>6.0086399999999998</v>
      </c>
      <c r="E651">
        <v>0.51659079999999902</v>
      </c>
      <c r="F651" t="s">
        <v>42</v>
      </c>
      <c r="G651">
        <v>-369.9873</v>
      </c>
      <c r="H651">
        <v>1.0414840000000001</v>
      </c>
      <c r="I651">
        <v>367.51549999999997</v>
      </c>
      <c r="J651">
        <v>-370.53</v>
      </c>
      <c r="K651">
        <v>1.1211679999999999</v>
      </c>
      <c r="L651">
        <v>367.63240000000002</v>
      </c>
      <c r="M651">
        <v>0.99988869999999996</v>
      </c>
      <c r="N651">
        <v>-1.4395069999999999E-2</v>
      </c>
      <c r="O651">
        <v>-3.940257E-3</v>
      </c>
      <c r="P651">
        <v>0.99426049999999999</v>
      </c>
      <c r="Q651">
        <v>-0.1030341</v>
      </c>
      <c r="R651">
        <v>-2.8816560000000001E-2</v>
      </c>
      <c r="S651">
        <v>2.9707029999999999</v>
      </c>
      <c r="T651">
        <v>-0.31697360000000002</v>
      </c>
      <c r="U651">
        <v>-0.46817019999999998</v>
      </c>
      <c r="V651">
        <v>2.489918E-2</v>
      </c>
      <c r="W651">
        <v>-8.8709200000000002E-2</v>
      </c>
      <c r="X651">
        <v>0.99574629999999997</v>
      </c>
      <c r="Y651">
        <v>0.15084589999999901</v>
      </c>
      <c r="Z651">
        <v>-8.7114740000000003E-3</v>
      </c>
      <c r="AA651">
        <v>0.98851889999999998</v>
      </c>
      <c r="AB651">
        <v>21</v>
      </c>
      <c r="AC651">
        <v>0.54269999999996799</v>
      </c>
      <c r="AD651">
        <v>-7.9683999999999797E-2</v>
      </c>
      <c r="AE651">
        <v>-0.116900000000043</v>
      </c>
      <c r="AF651">
        <v>0.112443840735846</v>
      </c>
      <c r="AG651">
        <v>-7.9683999999999797E-2</v>
      </c>
      <c r="AH651">
        <v>0.53219183296400396</v>
      </c>
      <c r="AI651">
        <v>98.334197680949202</v>
      </c>
      <c r="AJ651">
        <v>78.069755804719904</v>
      </c>
      <c r="AK651">
        <v>0.54974658184386604</v>
      </c>
      <c r="AL651">
        <v>95.089352704060602</v>
      </c>
      <c r="AM651">
        <v>88.567586246729505</v>
      </c>
      <c r="AN651">
        <v>0.99999999264650097</v>
      </c>
    </row>
    <row r="652" spans="1:40" x14ac:dyDescent="0.25">
      <c r="A652" t="str">
        <f>"20190303154110239"</f>
        <v>20190303154110239</v>
      </c>
      <c r="B652" t="str">
        <f>"1551598870229522"</f>
        <v>1551598870229522</v>
      </c>
      <c r="C652" t="s">
        <v>40</v>
      </c>
      <c r="D652">
        <v>5.9893830000000001</v>
      </c>
      <c r="E652">
        <v>0.51328039999999997</v>
      </c>
      <c r="F652" t="s">
        <v>42</v>
      </c>
      <c r="G652">
        <v>-369.62180000000001</v>
      </c>
      <c r="H652">
        <v>1.037015</v>
      </c>
      <c r="I652">
        <v>367.56549999999999</v>
      </c>
      <c r="J652">
        <v>-370.32170000000002</v>
      </c>
      <c r="K652">
        <v>1.1211789999999999</v>
      </c>
      <c r="L652">
        <v>367.63170000000002</v>
      </c>
      <c r="M652">
        <v>0.99988869999999996</v>
      </c>
      <c r="N652">
        <v>-1.438973E-2</v>
      </c>
      <c r="O652">
        <v>-3.9316849999999999E-3</v>
      </c>
      <c r="P652">
        <v>0.99426349999999997</v>
      </c>
      <c r="Q652">
        <v>-0.10301730000000001</v>
      </c>
      <c r="R652">
        <v>-2.8760620000000001E-2</v>
      </c>
      <c r="S652">
        <v>2.9823</v>
      </c>
      <c r="T652">
        <v>-0.27640879999999901</v>
      </c>
      <c r="U652">
        <v>-0.2188416</v>
      </c>
      <c r="V652">
        <v>2.4854270000000001E-2</v>
      </c>
      <c r="W652">
        <v>-8.8697010000000007E-2</v>
      </c>
      <c r="X652">
        <v>0.99574850000000004</v>
      </c>
      <c r="Y652">
        <v>6.8933330000000001E-2</v>
      </c>
      <c r="Z652">
        <v>-3.3745530000000002E-3</v>
      </c>
      <c r="AA652">
        <v>0.99761560000000005</v>
      </c>
      <c r="AB652">
        <v>21</v>
      </c>
      <c r="AC652">
        <v>0.69990000000001296</v>
      </c>
      <c r="AD652">
        <v>-8.41640000000001E-2</v>
      </c>
      <c r="AE652">
        <v>-6.6200000000037507E-2</v>
      </c>
      <c r="AF652">
        <v>6.2550924846036596E-2</v>
      </c>
      <c r="AG652">
        <v>-8.41640000000001E-2</v>
      </c>
      <c r="AH652">
        <v>0.69026192565073996</v>
      </c>
      <c r="AI652">
        <v>96.923696304692299</v>
      </c>
      <c r="AJ652">
        <v>84.822049732741903</v>
      </c>
      <c r="AK652">
        <v>0.69818172641380605</v>
      </c>
      <c r="AL652">
        <v>95.088651544555503</v>
      </c>
      <c r="AM652">
        <v>88.570171938226807</v>
      </c>
      <c r="AN652">
        <v>0.99999998478621099</v>
      </c>
    </row>
    <row r="653" spans="1:40" x14ac:dyDescent="0.25">
      <c r="A653" t="str">
        <f>"20190303154110250"</f>
        <v>20190303154110250</v>
      </c>
      <c r="B653" t="str">
        <f>"1551598870240255"</f>
        <v>1551598870240255</v>
      </c>
      <c r="C653" t="s">
        <v>40</v>
      </c>
      <c r="D653">
        <v>5.9862140000000004</v>
      </c>
      <c r="E653">
        <v>0.51230339999999996</v>
      </c>
      <c r="F653" t="s">
        <v>42</v>
      </c>
      <c r="G653">
        <v>-369.43720000000002</v>
      </c>
      <c r="H653">
        <v>1.0378270000000001</v>
      </c>
      <c r="I653">
        <v>367.57420000000002</v>
      </c>
      <c r="J653">
        <v>-370.21179999999998</v>
      </c>
      <c r="K653">
        <v>1.1211770000000001</v>
      </c>
      <c r="L653">
        <v>367.63119999999998</v>
      </c>
      <c r="M653">
        <v>0.99988900000000003</v>
      </c>
      <c r="N653">
        <v>-1.4386919999999999E-2</v>
      </c>
      <c r="O653">
        <v>-3.9223219999999998E-3</v>
      </c>
      <c r="P653">
        <v>0.99429979999999996</v>
      </c>
      <c r="Q653">
        <v>-0.1026807</v>
      </c>
      <c r="R653">
        <v>-2.872711E-2</v>
      </c>
      <c r="S653">
        <v>2.9825740000000001</v>
      </c>
      <c r="T653">
        <v>-0.28137210000000001</v>
      </c>
      <c r="U653">
        <v>-0.1923523</v>
      </c>
      <c r="V653">
        <v>2.4830149999999999E-2</v>
      </c>
      <c r="W653">
        <v>-8.8362599999999999E-2</v>
      </c>
      <c r="X653">
        <v>0.99577890000000002</v>
      </c>
      <c r="Y653">
        <v>6.014887E-2</v>
      </c>
      <c r="Z653">
        <v>-2.9496869999999999E-3</v>
      </c>
      <c r="AA653">
        <v>0.99818499999999999</v>
      </c>
      <c r="AB653">
        <v>21</v>
      </c>
      <c r="AC653">
        <v>0.77459999999996398</v>
      </c>
      <c r="AD653">
        <v>-8.3349999999999994E-2</v>
      </c>
      <c r="AE653">
        <v>-5.69999999999595E-2</v>
      </c>
      <c r="AF653">
        <v>5.33466636915787E-2</v>
      </c>
      <c r="AG653">
        <v>-8.3349999999999994E-2</v>
      </c>
      <c r="AH653">
        <v>0.76599623567894903</v>
      </c>
      <c r="AI653">
        <v>96.195178385141503</v>
      </c>
      <c r="AJ653">
        <v>86.016153548342004</v>
      </c>
      <c r="AK653">
        <v>0.77236217029405496</v>
      </c>
      <c r="AL653">
        <v>95.0694153943017</v>
      </c>
      <c r="AM653">
        <v>88.571602540296695</v>
      </c>
      <c r="AN653">
        <v>1.00000005155649</v>
      </c>
    </row>
    <row r="654" spans="1:40" x14ac:dyDescent="0.25">
      <c r="A654" t="str">
        <f>"20190303154110262"</f>
        <v>20190303154110262</v>
      </c>
      <c r="B654" t="str">
        <f>"1551598870259775"</f>
        <v>1551598870259775</v>
      </c>
      <c r="C654" t="s">
        <v>40</v>
      </c>
      <c r="D654">
        <v>5.9778060000000002</v>
      </c>
      <c r="E654">
        <v>0.51117829999999997</v>
      </c>
      <c r="F654" t="s">
        <v>42</v>
      </c>
      <c r="G654">
        <v>-369.42869999999999</v>
      </c>
      <c r="H654">
        <v>1.049221</v>
      </c>
      <c r="I654">
        <v>367.58240000000001</v>
      </c>
      <c r="J654">
        <v>-370.10129999999998</v>
      </c>
      <c r="K654">
        <v>1.121176</v>
      </c>
      <c r="L654">
        <v>367.63080000000002</v>
      </c>
      <c r="M654">
        <v>0.99988900000000003</v>
      </c>
      <c r="N654">
        <v>-1.438409E-2</v>
      </c>
      <c r="O654">
        <v>-3.9106039999999998E-3</v>
      </c>
      <c r="P654">
        <v>0.99434140000000004</v>
      </c>
      <c r="Q654">
        <v>-0.1023372</v>
      </c>
      <c r="R654">
        <v>-2.8507069999999999E-2</v>
      </c>
      <c r="S654">
        <v>2.9835210000000001</v>
      </c>
      <c r="T654">
        <v>-0.27450180000000002</v>
      </c>
      <c r="U654">
        <v>-0.18435670000000001</v>
      </c>
      <c r="V654">
        <v>2.4621750000000001E-2</v>
      </c>
      <c r="W654">
        <v>-8.8021370000000002E-2</v>
      </c>
      <c r="X654">
        <v>0.99581430000000004</v>
      </c>
      <c r="Y654">
        <v>5.7501669999999998E-2</v>
      </c>
      <c r="Z654">
        <v>-2.7495639999999999E-3</v>
      </c>
      <c r="AA654">
        <v>0.99834160000000005</v>
      </c>
      <c r="AB654">
        <v>21</v>
      </c>
      <c r="AC654">
        <v>0.67259999999998799</v>
      </c>
      <c r="AD654">
        <v>-7.1954999999999894E-2</v>
      </c>
      <c r="AE654">
        <v>-4.8400000000015098E-2</v>
      </c>
      <c r="AF654">
        <v>4.5253832693403197E-2</v>
      </c>
      <c r="AG654">
        <v>-7.1954999999999894E-2</v>
      </c>
      <c r="AH654">
        <v>0.665210170414683</v>
      </c>
      <c r="AI654">
        <v>96.159486715559694</v>
      </c>
      <c r="AJ654">
        <v>86.108200234704398</v>
      </c>
      <c r="AK654">
        <v>0.67061911859234502</v>
      </c>
      <c r="AL654">
        <v>95.049787854580003</v>
      </c>
      <c r="AM654">
        <v>88.583636538713293</v>
      </c>
      <c r="AN654">
        <v>1.0000000561171101</v>
      </c>
    </row>
    <row r="655" spans="1:40" x14ac:dyDescent="0.25">
      <c r="A655" t="str">
        <f>"20190303154110283"</f>
        <v>20190303154110283</v>
      </c>
      <c r="B655" t="str">
        <f>"1551598870280271"</f>
        <v>1551598870280271</v>
      </c>
      <c r="C655" t="s">
        <v>40</v>
      </c>
      <c r="D655">
        <v>5.8650320000000002</v>
      </c>
      <c r="E655">
        <v>0.51095599999999997</v>
      </c>
      <c r="F655" t="s">
        <v>42</v>
      </c>
      <c r="G655">
        <v>-369.25060000000002</v>
      </c>
      <c r="H655">
        <v>1.0430549999999901</v>
      </c>
      <c r="I655">
        <v>367.58100000000002</v>
      </c>
      <c r="J655">
        <v>-369.91239999999999</v>
      </c>
      <c r="K655">
        <v>1.121181</v>
      </c>
      <c r="L655">
        <v>367.63</v>
      </c>
      <c r="M655">
        <v>0.99988920000000003</v>
      </c>
      <c r="N655">
        <v>-1.437924E-2</v>
      </c>
      <c r="O655">
        <v>-3.888192E-3</v>
      </c>
      <c r="P655">
        <v>0.99436950000000002</v>
      </c>
      <c r="Q655">
        <v>-0.1021249</v>
      </c>
      <c r="R655">
        <v>-2.8282379999999999E-2</v>
      </c>
      <c r="S655">
        <v>2.9838870000000002</v>
      </c>
      <c r="T655">
        <v>-0.2740303</v>
      </c>
      <c r="U655">
        <v>-0.17471310000000001</v>
      </c>
      <c r="V655">
        <v>2.4419119999999999E-2</v>
      </c>
      <c r="W655">
        <v>-8.7813660000000002E-2</v>
      </c>
      <c r="X655">
        <v>0.99583759999999999</v>
      </c>
      <c r="Y655">
        <v>5.4317600000000001E-2</v>
      </c>
      <c r="Z655">
        <v>-2.5783970000000001E-3</v>
      </c>
      <c r="AA655">
        <v>0.99852039999999997</v>
      </c>
      <c r="AB655">
        <v>21</v>
      </c>
      <c r="AC655">
        <v>0.66179999999997097</v>
      </c>
      <c r="AD655">
        <v>-7.8126000000000098E-2</v>
      </c>
      <c r="AE655">
        <v>-4.9000000000035002E-2</v>
      </c>
      <c r="AF655">
        <v>4.5791488171054197E-2</v>
      </c>
      <c r="AG655">
        <v>-7.8126000000000098E-2</v>
      </c>
      <c r="AH655">
        <v>0.65293584407604299</v>
      </c>
      <c r="AI655">
        <v>96.806635245535006</v>
      </c>
      <c r="AJ655">
        <v>85.988319165641499</v>
      </c>
      <c r="AK655">
        <v>0.65918567091845603</v>
      </c>
      <c r="AL655">
        <v>95.037840823817405</v>
      </c>
      <c r="AM655">
        <v>88.595320970933898</v>
      </c>
      <c r="AN655">
        <v>1.0000000289389599</v>
      </c>
    </row>
    <row r="656" spans="1:40" x14ac:dyDescent="0.25">
      <c r="A656" t="str">
        <f>"20190303154110304"</f>
        <v>20190303154110304</v>
      </c>
      <c r="B656" t="str">
        <f>"1551598870299791"</f>
        <v>1551598870299791</v>
      </c>
      <c r="C656" t="s">
        <v>40</v>
      </c>
      <c r="D656">
        <v>5.9815670000000001</v>
      </c>
      <c r="E656">
        <v>0.51036289999999995</v>
      </c>
      <c r="F656" t="s">
        <v>42</v>
      </c>
      <c r="G656">
        <v>-369.06319999999999</v>
      </c>
      <c r="H656">
        <v>1.0475509999999999</v>
      </c>
      <c r="I656">
        <v>367.58069999999998</v>
      </c>
      <c r="J656">
        <v>-369.71559999999999</v>
      </c>
      <c r="K656">
        <v>1.121178</v>
      </c>
      <c r="L656">
        <v>367.6293</v>
      </c>
      <c r="M656">
        <v>0.99988929999999998</v>
      </c>
      <c r="N656">
        <v>-1.437416E-2</v>
      </c>
      <c r="O656">
        <v>-3.8648760000000002E-3</v>
      </c>
      <c r="P656">
        <v>0.99437600000000004</v>
      </c>
      <c r="Q656">
        <v>-0.1020151</v>
      </c>
      <c r="R656">
        <v>-2.8451319999999999E-2</v>
      </c>
      <c r="S656">
        <v>2.9855040000000002</v>
      </c>
      <c r="T656">
        <v>-0.25908789999999998</v>
      </c>
      <c r="U656">
        <v>-0.1721191</v>
      </c>
      <c r="V656">
        <v>2.4610070000000001E-2</v>
      </c>
      <c r="W656">
        <v>-8.7709049999999997E-2</v>
      </c>
      <c r="X656">
        <v>0.99584209999999995</v>
      </c>
      <c r="Y656">
        <v>5.3473130000000001E-2</v>
      </c>
      <c r="Z656">
        <v>-2.4204230000000001E-3</v>
      </c>
      <c r="AA656">
        <v>0.99856630000000002</v>
      </c>
      <c r="AB656">
        <v>21</v>
      </c>
      <c r="AC656">
        <v>0.65239999999999998</v>
      </c>
      <c r="AD656">
        <v>-7.3626999999999804E-2</v>
      </c>
      <c r="AE656">
        <v>-4.8600000000021702E-2</v>
      </c>
      <c r="AF656">
        <v>4.5501603680239699E-2</v>
      </c>
      <c r="AG656">
        <v>-7.3626999999999804E-2</v>
      </c>
      <c r="AH656">
        <v>0.64442068219990101</v>
      </c>
      <c r="AI656">
        <v>96.501903298825596</v>
      </c>
      <c r="AJ656">
        <v>85.961131760189005</v>
      </c>
      <c r="AK656">
        <v>0.65020715676887098</v>
      </c>
      <c r="AL656">
        <v>95.031823989044298</v>
      </c>
      <c r="AM656">
        <v>88.584347660407204</v>
      </c>
      <c r="AN656">
        <v>1.0000000105648501</v>
      </c>
    </row>
    <row r="657" spans="1:40" x14ac:dyDescent="0.25">
      <c r="A657" t="str">
        <f>"20190303154110328"</f>
        <v>20190303154110328</v>
      </c>
      <c r="B657" t="str">
        <f>"1551598870319310"</f>
        <v>1551598870319310</v>
      </c>
      <c r="C657" t="s">
        <v>40</v>
      </c>
      <c r="D657">
        <v>6.0082309999999897</v>
      </c>
      <c r="E657">
        <v>0.50997700000000001</v>
      </c>
      <c r="F657" t="s">
        <v>42</v>
      </c>
      <c r="G657">
        <v>-368.87860000000001</v>
      </c>
      <c r="H657">
        <v>1.0491250000000001</v>
      </c>
      <c r="I657">
        <v>367.5822</v>
      </c>
      <c r="J657">
        <v>-369.50060000000002</v>
      </c>
      <c r="K657">
        <v>1.121176</v>
      </c>
      <c r="L657">
        <v>367.62849999999997</v>
      </c>
      <c r="M657">
        <v>0.99988940000000004</v>
      </c>
      <c r="N657">
        <v>-1.436873E-2</v>
      </c>
      <c r="O657">
        <v>-3.844091E-3</v>
      </c>
      <c r="P657">
        <v>0.99434520000000004</v>
      </c>
      <c r="Q657">
        <v>-0.1021493</v>
      </c>
      <c r="R657">
        <v>-2.90412E-2</v>
      </c>
      <c r="S657">
        <v>2.9858090000000002</v>
      </c>
      <c r="T657">
        <v>-0.2572199</v>
      </c>
      <c r="U657">
        <v>-0.16769410000000001</v>
      </c>
      <c r="V657">
        <v>2.5219330000000002E-2</v>
      </c>
      <c r="W657">
        <v>-8.7849479999999994E-2</v>
      </c>
      <c r="X657">
        <v>0.99581439999999999</v>
      </c>
      <c r="Y657">
        <v>5.2022020000000002E-2</v>
      </c>
      <c r="Z657">
        <v>-2.334586E-3</v>
      </c>
      <c r="AA657">
        <v>0.99864319999999895</v>
      </c>
      <c r="AB657">
        <v>21</v>
      </c>
      <c r="AC657">
        <v>0.62200000000001399</v>
      </c>
      <c r="AD657">
        <v>-7.2050999999999796E-2</v>
      </c>
      <c r="AE657">
        <v>-4.62999999999738E-2</v>
      </c>
      <c r="AF657">
        <v>4.3330170691172801E-2</v>
      </c>
      <c r="AG657">
        <v>-7.2050999999999796E-2</v>
      </c>
      <c r="AH657">
        <v>0.61398019714638796</v>
      </c>
      <c r="AI657">
        <v>96.676632062092494</v>
      </c>
      <c r="AJ657">
        <v>85.963181533445095</v>
      </c>
      <c r="AK657">
        <v>0.61971003927727597</v>
      </c>
      <c r="AL657">
        <v>95.039901608255406</v>
      </c>
      <c r="AM657">
        <v>88.549275476880695</v>
      </c>
      <c r="AN657">
        <v>0.99999993249463703</v>
      </c>
    </row>
    <row r="658" spans="1:40" x14ac:dyDescent="0.25">
      <c r="A658" t="str">
        <f>"20190303154110350"</f>
        <v>20190303154110350</v>
      </c>
      <c r="B658" t="str">
        <f>"1551598870339807"</f>
        <v>1551598870339807</v>
      </c>
      <c r="C658" t="s">
        <v>40</v>
      </c>
      <c r="D658">
        <v>6.0011060000000001</v>
      </c>
      <c r="E658">
        <v>0.50954370000000004</v>
      </c>
      <c r="F658" t="s">
        <v>42</v>
      </c>
      <c r="G658">
        <v>-368.69139999999999</v>
      </c>
      <c r="H658">
        <v>1.051334</v>
      </c>
      <c r="I658">
        <v>367.5829</v>
      </c>
      <c r="J658">
        <v>-369.29849999999999</v>
      </c>
      <c r="K658">
        <v>1.121173</v>
      </c>
      <c r="L658">
        <v>367.6277</v>
      </c>
      <c r="M658">
        <v>0.99988960000000005</v>
      </c>
      <c r="N658">
        <v>-1.436364E-2</v>
      </c>
      <c r="O658">
        <v>-3.8317529999999998E-3</v>
      </c>
      <c r="P658">
        <v>0.99439319999999998</v>
      </c>
      <c r="Q658">
        <v>-0.10149759999999999</v>
      </c>
      <c r="R658">
        <v>-2.9678670000000001E-2</v>
      </c>
      <c r="S658">
        <v>2.9856569999999998</v>
      </c>
      <c r="T658">
        <v>-0.25804709999999997</v>
      </c>
      <c r="U658">
        <v>-0.1667786</v>
      </c>
      <c r="V658">
        <v>2.5867589999999999E-2</v>
      </c>
      <c r="W658">
        <v>-8.7202539999999995E-2</v>
      </c>
      <c r="X658">
        <v>0.99585469999999998</v>
      </c>
      <c r="Y658">
        <v>5.1731880000000001E-2</v>
      </c>
      <c r="Z658">
        <v>-2.3269409999999999E-3</v>
      </c>
      <c r="AA658">
        <v>0.9986583</v>
      </c>
      <c r="AB658">
        <v>20</v>
      </c>
      <c r="AC658">
        <v>0.60710000000000197</v>
      </c>
      <c r="AD658">
        <v>-6.9838999999999901E-2</v>
      </c>
      <c r="AE658">
        <v>-4.4800000000009201E-2</v>
      </c>
      <c r="AF658">
        <v>4.1921410592582399E-2</v>
      </c>
      <c r="AG658">
        <v>-6.9838999999999901E-2</v>
      </c>
      <c r="AH658">
        <v>0.59937829348214899</v>
      </c>
      <c r="AI658">
        <v>96.630029745756701</v>
      </c>
      <c r="AJ658">
        <v>85.9991631335253</v>
      </c>
      <c r="AK658">
        <v>0.60488778238996099</v>
      </c>
      <c r="AL658">
        <v>95.0026915358998</v>
      </c>
      <c r="AM658">
        <v>88.512061512783106</v>
      </c>
      <c r="AN658">
        <v>0.99999999935347395</v>
      </c>
    </row>
    <row r="659" spans="1:40" x14ac:dyDescent="0.25">
      <c r="A659" t="str">
        <f>"20190303154110374"</f>
        <v>20190303154110374</v>
      </c>
      <c r="B659" t="str">
        <f>"1551598870370063"</f>
        <v>1551598870370063</v>
      </c>
      <c r="C659" t="s">
        <v>40</v>
      </c>
      <c r="D659">
        <v>5.9984950000000001</v>
      </c>
      <c r="E659">
        <v>0.50935200000000003</v>
      </c>
      <c r="F659" t="s">
        <v>41</v>
      </c>
      <c r="G659">
        <v>-356.2516</v>
      </c>
      <c r="H659" s="1">
        <v>-2.071394E-6</v>
      </c>
      <c r="I659">
        <v>366.90460000000002</v>
      </c>
      <c r="J659">
        <v>-369.06979999999999</v>
      </c>
      <c r="K659">
        <v>1.121178</v>
      </c>
      <c r="L659">
        <v>367.6268</v>
      </c>
      <c r="M659">
        <v>0.99988960000000005</v>
      </c>
      <c r="N659">
        <v>-1.43579E-2</v>
      </c>
      <c r="O659">
        <v>-3.825363E-3</v>
      </c>
      <c r="P659">
        <v>0.99444500000000002</v>
      </c>
      <c r="Q659">
        <v>-0.1008631</v>
      </c>
      <c r="R659">
        <v>-3.0093390000000001E-2</v>
      </c>
      <c r="S659">
        <v>2.9858090000000002</v>
      </c>
      <c r="T659">
        <v>-0.25658009999999998</v>
      </c>
      <c r="U659">
        <v>-0.16546629999999901</v>
      </c>
      <c r="V659">
        <v>2.6287499999999998E-2</v>
      </c>
      <c r="W659">
        <v>-8.6573399999999995E-2</v>
      </c>
      <c r="X659">
        <v>0.99589859999999997</v>
      </c>
      <c r="Y659">
        <v>5.1301939999999997E-2</v>
      </c>
      <c r="Z659">
        <v>-2.2948629999999999E-3</v>
      </c>
      <c r="AA659">
        <v>0.99868049999999997</v>
      </c>
      <c r="AB659">
        <v>20</v>
      </c>
      <c r="AC659">
        <v>12.8181999999999</v>
      </c>
      <c r="AD659">
        <v>-1.1211800713940001</v>
      </c>
      <c r="AE659">
        <v>-0.72219999999998596</v>
      </c>
      <c r="AF659">
        <v>0.66806048772538695</v>
      </c>
      <c r="AG659">
        <v>-1.1211800713940001</v>
      </c>
      <c r="AH659">
        <v>12.7238319814823</v>
      </c>
      <c r="AI659">
        <v>95.028808354881093</v>
      </c>
      <c r="AJ659">
        <v>86.994464305697704</v>
      </c>
      <c r="AK659">
        <v>12.790592240422001</v>
      </c>
      <c r="AL659">
        <v>94.966507601751502</v>
      </c>
      <c r="AM659">
        <v>88.487985472854504</v>
      </c>
      <c r="AN659">
        <v>1.00000000386288</v>
      </c>
    </row>
    <row r="660" spans="1:40" x14ac:dyDescent="0.25">
      <c r="A660" t="str">
        <f>"20190303154110394"</f>
        <v>20190303154110394</v>
      </c>
      <c r="B660" t="str">
        <f>"1551598870389583"</f>
        <v>1551598870389583</v>
      </c>
      <c r="C660" t="s">
        <v>40</v>
      </c>
      <c r="D660">
        <v>5.9150729999999996</v>
      </c>
      <c r="E660">
        <v>0.50935489999999894</v>
      </c>
      <c r="F660" t="s">
        <v>41</v>
      </c>
      <c r="G660">
        <v>-355.95069999999998</v>
      </c>
      <c r="H660" s="1">
        <v>-2.2009209999999999E-6</v>
      </c>
      <c r="I660">
        <v>366.90210000000002</v>
      </c>
      <c r="J660">
        <v>-368.90039999999999</v>
      </c>
      <c r="K660">
        <v>1.121181</v>
      </c>
      <c r="L660">
        <v>367.62619999999998</v>
      </c>
      <c r="M660">
        <v>0.99988980000000005</v>
      </c>
      <c r="N660">
        <v>-1.4353629999999999E-2</v>
      </c>
      <c r="O660">
        <v>-3.8253829999999999E-3</v>
      </c>
      <c r="P660">
        <v>0.99451869999999998</v>
      </c>
      <c r="Q660">
        <v>-0.10012020000000001</v>
      </c>
      <c r="R660">
        <v>-3.0143389999999999E-2</v>
      </c>
      <c r="S660">
        <v>2.9859010000000001</v>
      </c>
      <c r="T660">
        <v>-0.25517689999999998</v>
      </c>
      <c r="U660">
        <v>-0.16491700000000001</v>
      </c>
      <c r="V660">
        <v>2.633667E-2</v>
      </c>
      <c r="W660">
        <v>-8.5833919999999994E-2</v>
      </c>
      <c r="X660">
        <v>0.99596130000000005</v>
      </c>
      <c r="Y660">
        <v>5.1119959999999999E-2</v>
      </c>
      <c r="Z660">
        <v>-2.2754210000000001E-3</v>
      </c>
      <c r="AA660">
        <v>0.99868990000000002</v>
      </c>
      <c r="AB660">
        <v>20</v>
      </c>
      <c r="AC660">
        <v>12.9497</v>
      </c>
      <c r="AD660">
        <v>-1.1211832009210001</v>
      </c>
      <c r="AE660">
        <v>-0.72409999999996399</v>
      </c>
      <c r="AF660">
        <v>0.66954869988867305</v>
      </c>
      <c r="AG660">
        <v>-1.1211832009210001</v>
      </c>
      <c r="AH660">
        <v>12.856304074525699</v>
      </c>
      <c r="AI660">
        <v>94.977376511092203</v>
      </c>
      <c r="AJ660">
        <v>87.018763100567796</v>
      </c>
      <c r="AK660">
        <v>12.922457262</v>
      </c>
      <c r="AL660">
        <v>94.923980247293301</v>
      </c>
      <c r="AM660">
        <v>88.485253931730099</v>
      </c>
      <c r="AN660">
        <v>0.99999999655347205</v>
      </c>
    </row>
    <row r="661" spans="1:40" x14ac:dyDescent="0.25">
      <c r="A661" t="str">
        <f>"20190303154110408"</f>
        <v>20190303154110408</v>
      </c>
      <c r="B661" t="str">
        <f>"1551598870400319"</f>
        <v>1551598870400319</v>
      </c>
      <c r="C661" t="s">
        <v>40</v>
      </c>
      <c r="D661">
        <v>6.0339859999999996</v>
      </c>
      <c r="E661">
        <v>0.50921729999999998</v>
      </c>
      <c r="F661" t="s">
        <v>41</v>
      </c>
      <c r="G661">
        <v>-355.36950000000002</v>
      </c>
      <c r="H661" s="1">
        <v>-2.4546479999999998E-6</v>
      </c>
      <c r="I661">
        <v>366.87740000000002</v>
      </c>
      <c r="J661">
        <v>-368.77289999999999</v>
      </c>
      <c r="K661">
        <v>1.1211819999999999</v>
      </c>
      <c r="L661">
        <v>367.62560000000002</v>
      </c>
      <c r="M661">
        <v>0.9998899</v>
      </c>
      <c r="N661">
        <v>-1.4350409999999999E-2</v>
      </c>
      <c r="O661">
        <v>-3.8269419999999998E-3</v>
      </c>
      <c r="P661">
        <v>0.99452379999999996</v>
      </c>
      <c r="Q661">
        <v>-0.100050899999999</v>
      </c>
      <c r="R661">
        <v>-3.0207649999999999E-2</v>
      </c>
      <c r="S661">
        <v>2.9865719999999998</v>
      </c>
      <c r="T661">
        <v>-0.24746750000000001</v>
      </c>
      <c r="U661">
        <v>-0.1652527</v>
      </c>
      <c r="V661">
        <v>2.6399010000000001E-2</v>
      </c>
      <c r="W661">
        <v>-8.5767889999999999E-2</v>
      </c>
      <c r="X661">
        <v>0.9959654</v>
      </c>
      <c r="Y661">
        <v>5.1228900000000001E-2</v>
      </c>
      <c r="Z661">
        <v>-2.2242820000000002E-3</v>
      </c>
      <c r="AA661">
        <v>0.99868449999999998</v>
      </c>
      <c r="AB661">
        <v>20</v>
      </c>
      <c r="AC661">
        <v>13.4033999999999</v>
      </c>
      <c r="AD661">
        <v>-1.1211844546480001</v>
      </c>
      <c r="AE661">
        <v>-0.74819999999999698</v>
      </c>
      <c r="AF661">
        <v>0.69206772091794799</v>
      </c>
      <c r="AG661">
        <v>-1.1211844546480001</v>
      </c>
      <c r="AH661">
        <v>13.313299026711601</v>
      </c>
      <c r="AI661">
        <v>94.807366188494697</v>
      </c>
      <c r="AJ661">
        <v>87.024261214444493</v>
      </c>
      <c r="AK661">
        <v>13.378338584679399</v>
      </c>
      <c r="AL661">
        <v>94.920182699120801</v>
      </c>
      <c r="AM661">
        <v>88.4816763882054</v>
      </c>
      <c r="AN661">
        <v>1.0000000583405899</v>
      </c>
    </row>
    <row r="662" spans="1:40" x14ac:dyDescent="0.25">
      <c r="A662" t="str">
        <f>"20190303154110421"</f>
        <v>20190303154110421</v>
      </c>
      <c r="B662" t="str">
        <f>"1551598870410079"</f>
        <v>1551598870410079</v>
      </c>
      <c r="C662" t="s">
        <v>40</v>
      </c>
      <c r="D662">
        <v>5.9220969999999999</v>
      </c>
      <c r="E662">
        <v>0.50938079999999997</v>
      </c>
      <c r="F662" t="s">
        <v>41</v>
      </c>
      <c r="G662">
        <v>-355.24959999999999</v>
      </c>
      <c r="H662" s="1">
        <v>-2.505263E-6</v>
      </c>
      <c r="I662">
        <v>366.88189999999997</v>
      </c>
      <c r="J662">
        <v>-368.65230000000003</v>
      </c>
      <c r="K662">
        <v>1.121175</v>
      </c>
      <c r="L662">
        <v>367.62520000000001</v>
      </c>
      <c r="M662">
        <v>0.9998899</v>
      </c>
      <c r="N662">
        <v>-1.43474E-2</v>
      </c>
      <c r="O662">
        <v>-3.828616E-3</v>
      </c>
      <c r="P662">
        <v>0.99453809999999998</v>
      </c>
      <c r="Q662">
        <v>-9.9927769999999999E-2</v>
      </c>
      <c r="R662">
        <v>-3.0150239999999998E-2</v>
      </c>
      <c r="S662">
        <v>2.9866329999999999</v>
      </c>
      <c r="T662">
        <v>-0.2476131</v>
      </c>
      <c r="U662">
        <v>-0.16424559999999999</v>
      </c>
      <c r="V662">
        <v>2.6339209999999998E-2</v>
      </c>
      <c r="W662">
        <v>-8.5647630000000002E-2</v>
      </c>
      <c r="X662">
        <v>0.99597729999999995</v>
      </c>
      <c r="Y662">
        <v>5.0891539999999999E-2</v>
      </c>
      <c r="Z662">
        <v>-2.208734E-3</v>
      </c>
      <c r="AA662">
        <v>0.99870179999999997</v>
      </c>
      <c r="AB662">
        <v>20</v>
      </c>
      <c r="AC662">
        <v>13.402699999999999</v>
      </c>
      <c r="AD662">
        <v>-1.121177505263</v>
      </c>
      <c r="AE662">
        <v>-0.74330000000003305</v>
      </c>
      <c r="AF662">
        <v>0.68718144295576</v>
      </c>
      <c r="AG662">
        <v>-1.121177505263</v>
      </c>
      <c r="AH662">
        <v>13.312574206693901</v>
      </c>
      <c r="AI662">
        <v>94.807687082624199</v>
      </c>
      <c r="AJ662">
        <v>87.045073179825806</v>
      </c>
      <c r="AK662">
        <v>13.3773648130931</v>
      </c>
      <c r="AL662">
        <v>94.913267018759001</v>
      </c>
      <c r="AM662">
        <v>88.485132237255101</v>
      </c>
      <c r="AN662">
        <v>1.00000002631166</v>
      </c>
    </row>
    <row r="663" spans="1:40" x14ac:dyDescent="0.25">
      <c r="A663" t="str">
        <f>"20190303154110439"</f>
        <v>20190303154110439</v>
      </c>
      <c r="B663" t="str">
        <f>"1551598870429601"</f>
        <v>1551598870429601</v>
      </c>
      <c r="C663" t="s">
        <v>40</v>
      </c>
      <c r="D663">
        <v>5.9373019999999999</v>
      </c>
      <c r="E663">
        <v>0.50939699999999999</v>
      </c>
      <c r="F663" t="s">
        <v>42</v>
      </c>
      <c r="G663">
        <v>-367.7867</v>
      </c>
      <c r="H663">
        <v>1.0508489999999999</v>
      </c>
      <c r="I663">
        <v>367.57709999999997</v>
      </c>
      <c r="J663">
        <v>-368.4907</v>
      </c>
      <c r="K663">
        <v>1.1211739999999999</v>
      </c>
      <c r="L663">
        <v>367.62459999999999</v>
      </c>
      <c r="M663">
        <v>0.99988980000000005</v>
      </c>
      <c r="N663">
        <v>-1.4343430000000001E-2</v>
      </c>
      <c r="O663">
        <v>-3.8313599999999998E-3</v>
      </c>
      <c r="P663">
        <v>0.99455110000000002</v>
      </c>
      <c r="Q663">
        <v>-9.9875439999999996E-2</v>
      </c>
      <c r="R663">
        <v>-2.988381E-2</v>
      </c>
      <c r="S663">
        <v>2.9870610000000002</v>
      </c>
      <c r="T663">
        <v>-0.2428873</v>
      </c>
      <c r="U663">
        <v>-0.16528319999999999</v>
      </c>
      <c r="V663">
        <v>2.6070030000000001E-2</v>
      </c>
      <c r="W663">
        <v>-8.5599209999999995E-2</v>
      </c>
      <c r="X663">
        <v>0.99598850000000005</v>
      </c>
      <c r="Y663">
        <v>5.1232300000000001E-2</v>
      </c>
      <c r="Z663">
        <v>-2.1904120000000001E-3</v>
      </c>
      <c r="AA663">
        <v>0.99868429999999997</v>
      </c>
      <c r="AB663">
        <v>20</v>
      </c>
      <c r="AC663">
        <v>0.70400000000000695</v>
      </c>
      <c r="AD663">
        <v>-7.0324999999999901E-2</v>
      </c>
      <c r="AE663">
        <v>-4.7500000000013601E-2</v>
      </c>
      <c r="AF663">
        <v>4.4361432836593703E-2</v>
      </c>
      <c r="AG663">
        <v>-7.0324999999999901E-2</v>
      </c>
      <c r="AH663">
        <v>0.69725071189452703</v>
      </c>
      <c r="AI663">
        <v>95.747855663541898</v>
      </c>
      <c r="AJ663">
        <v>86.3595568089236</v>
      </c>
      <c r="AK663">
        <v>0.702190926732709</v>
      </c>
      <c r="AL663">
        <v>94.910482751085794</v>
      </c>
      <c r="AM663">
        <v>88.500623548387097</v>
      </c>
      <c r="AN663">
        <v>0.99999998167453696</v>
      </c>
    </row>
    <row r="664" spans="1:40" x14ac:dyDescent="0.25">
      <c r="A664" t="str">
        <f>"20190303154110461"</f>
        <v>20190303154110461</v>
      </c>
      <c r="B664" t="str">
        <f>"1551598870450095"</f>
        <v>1551598870450095</v>
      </c>
      <c r="C664" t="s">
        <v>40</v>
      </c>
      <c r="D664">
        <v>5.935505</v>
      </c>
      <c r="E664">
        <v>0.50943159999999998</v>
      </c>
      <c r="F664" t="s">
        <v>42</v>
      </c>
      <c r="G664">
        <v>-367.6069</v>
      </c>
      <c r="H664">
        <v>1.0500419999999999</v>
      </c>
      <c r="I664">
        <v>367.57530000000003</v>
      </c>
      <c r="J664">
        <v>-368.2894</v>
      </c>
      <c r="K664">
        <v>1.121178</v>
      </c>
      <c r="L664">
        <v>367.62380000000002</v>
      </c>
      <c r="M664">
        <v>0.99988999999999995</v>
      </c>
      <c r="N664">
        <v>-1.4338500000000001E-2</v>
      </c>
      <c r="O664">
        <v>-3.8349289999999999E-3</v>
      </c>
      <c r="P664">
        <v>0.99460289999999996</v>
      </c>
      <c r="Q664">
        <v>-9.9430889999999994E-2</v>
      </c>
      <c r="R664">
        <v>-2.9645250000000001E-2</v>
      </c>
      <c r="S664">
        <v>2.9873050000000001</v>
      </c>
      <c r="T664">
        <v>-0.24079329999999999</v>
      </c>
      <c r="U664">
        <v>-0.164856</v>
      </c>
      <c r="V664">
        <v>2.58274E-2</v>
      </c>
      <c r="W664">
        <v>-8.5158949999999997E-2</v>
      </c>
      <c r="X664">
        <v>0.99603260000000005</v>
      </c>
      <c r="Y664">
        <v>5.1085409999999998E-2</v>
      </c>
      <c r="Z664">
        <v>-2.1677369999999999E-3</v>
      </c>
      <c r="AA664">
        <v>0.99869189999999997</v>
      </c>
      <c r="AB664">
        <v>20</v>
      </c>
      <c r="AC664">
        <v>0.68250000000000399</v>
      </c>
      <c r="AD664">
        <v>-7.1136000000000005E-2</v>
      </c>
      <c r="AE664">
        <v>-4.8499999999990002E-2</v>
      </c>
      <c r="AF664">
        <v>4.53913994121459E-2</v>
      </c>
      <c r="AG664">
        <v>-7.1136000000000005E-2</v>
      </c>
      <c r="AH664">
        <v>0.675380794833078</v>
      </c>
      <c r="AI664">
        <v>95.999202854033896</v>
      </c>
      <c r="AJ664">
        <v>86.155013033724501</v>
      </c>
      <c r="AK664">
        <v>0.68063200605463203</v>
      </c>
      <c r="AL664">
        <v>94.885165073082902</v>
      </c>
      <c r="AM664">
        <v>88.514637485702295</v>
      </c>
      <c r="AN664">
        <v>1.0000000208093101</v>
      </c>
    </row>
    <row r="665" spans="1:40" x14ac:dyDescent="0.25">
      <c r="A665" t="str">
        <f>"20190303154110474"</f>
        <v>20190303154110474</v>
      </c>
      <c r="B665" t="str">
        <f>"1551598870469615"</f>
        <v>1551598870469615</v>
      </c>
      <c r="C665" t="s">
        <v>40</v>
      </c>
      <c r="D665">
        <v>6.0569470000000001</v>
      </c>
      <c r="E665">
        <v>0.50940779999999997</v>
      </c>
      <c r="F665" t="s">
        <v>42</v>
      </c>
      <c r="G665">
        <v>-367.41500000000002</v>
      </c>
      <c r="H665">
        <v>1.051857</v>
      </c>
      <c r="I665">
        <v>367.57560000000001</v>
      </c>
      <c r="J665">
        <v>-368.17430000000002</v>
      </c>
      <c r="K665">
        <v>1.1211799999999901</v>
      </c>
      <c r="L665">
        <v>367.6234</v>
      </c>
      <c r="M665">
        <v>0.99988999999999995</v>
      </c>
      <c r="N665">
        <v>-1.433564E-2</v>
      </c>
      <c r="O665">
        <v>-3.8367079999999999E-3</v>
      </c>
      <c r="P665">
        <v>0.99462300000000003</v>
      </c>
      <c r="Q665">
        <v>-9.9222950000000004E-2</v>
      </c>
      <c r="R665">
        <v>-2.9665810000000001E-2</v>
      </c>
      <c r="S665">
        <v>2.9877009999999999</v>
      </c>
      <c r="T665">
        <v>-0.23701749999999999</v>
      </c>
      <c r="U665">
        <v>-0.16418460000000001</v>
      </c>
      <c r="V665">
        <v>2.584579E-2</v>
      </c>
      <c r="W665">
        <v>-8.4953650000000006E-2</v>
      </c>
      <c r="X665">
        <v>0.99604959999999998</v>
      </c>
      <c r="Y665">
        <v>5.0858769999999998E-2</v>
      </c>
      <c r="Z665">
        <v>-2.1294170000000002E-3</v>
      </c>
      <c r="AA665">
        <v>0.99870360000000002</v>
      </c>
      <c r="AB665">
        <v>20</v>
      </c>
      <c r="AC665">
        <v>0.75929999999999598</v>
      </c>
      <c r="AD665">
        <v>-6.9322999999999801E-2</v>
      </c>
      <c r="AE665">
        <v>-4.7799999999995103E-2</v>
      </c>
      <c r="AF665">
        <v>4.4516537042446097E-2</v>
      </c>
      <c r="AG665">
        <v>-6.9322999999999801E-2</v>
      </c>
      <c r="AH665">
        <v>0.753224161599227</v>
      </c>
      <c r="AI665">
        <v>95.249296025755299</v>
      </c>
      <c r="AJ665">
        <v>86.617678641954797</v>
      </c>
      <c r="AK665">
        <v>0.75771633083635503</v>
      </c>
      <c r="AL665">
        <v>94.873359732889497</v>
      </c>
      <c r="AM665">
        <v>88.513605688625702</v>
      </c>
      <c r="AN665">
        <v>0.999999966584602</v>
      </c>
    </row>
    <row r="666" spans="1:40" x14ac:dyDescent="0.25">
      <c r="A666" t="str">
        <f>"20190303154110488"</f>
        <v>20190303154110488</v>
      </c>
      <c r="B666" t="str">
        <f>"1551598870480351"</f>
        <v>1551598870480351</v>
      </c>
      <c r="C666" t="s">
        <v>40</v>
      </c>
      <c r="D666">
        <v>6.0235240000000001</v>
      </c>
      <c r="E666">
        <v>0.50930629999999999</v>
      </c>
      <c r="F666" t="s">
        <v>41</v>
      </c>
      <c r="G666">
        <v>-353.80509999999998</v>
      </c>
      <c r="H666" s="1">
        <v>-3.133335E-6</v>
      </c>
      <c r="I666">
        <v>366.8347</v>
      </c>
      <c r="J666">
        <v>-368.05520000000001</v>
      </c>
      <c r="K666">
        <v>1.1211799999999901</v>
      </c>
      <c r="L666">
        <v>367.62290000000002</v>
      </c>
      <c r="M666">
        <v>0.99988999999999995</v>
      </c>
      <c r="N666">
        <v>-1.433269E-2</v>
      </c>
      <c r="O666">
        <v>-3.8384830000000002E-3</v>
      </c>
      <c r="P666">
        <v>0.99468690000000004</v>
      </c>
      <c r="Q666">
        <v>-9.8677360000000006E-2</v>
      </c>
      <c r="R666">
        <v>-2.9336040000000001E-2</v>
      </c>
      <c r="S666">
        <v>2.9880979999999999</v>
      </c>
      <c r="T666">
        <v>-0.23315069999999999</v>
      </c>
      <c r="U666">
        <v>-0.16400149999999999</v>
      </c>
      <c r="V666">
        <v>2.551428E-2</v>
      </c>
      <c r="W666">
        <v>-8.4410199999999894E-2</v>
      </c>
      <c r="X666">
        <v>0.9961044</v>
      </c>
      <c r="Y666">
        <v>5.0794310000000002E-2</v>
      </c>
      <c r="Z666">
        <v>-2.098211E-3</v>
      </c>
      <c r="AA666">
        <v>0.99870689999999995</v>
      </c>
      <c r="AB666">
        <v>20</v>
      </c>
      <c r="AC666">
        <v>14.2501</v>
      </c>
      <c r="AD666">
        <v>-1.12118313333499</v>
      </c>
      <c r="AE666">
        <v>-0.788200000000017</v>
      </c>
      <c r="AF666">
        <v>0.72899084514358004</v>
      </c>
      <c r="AG666">
        <v>-1.12118313333499</v>
      </c>
      <c r="AH666">
        <v>14.1655978339356</v>
      </c>
      <c r="AI666">
        <v>94.519474309681002</v>
      </c>
      <c r="AJ666">
        <v>87.054039963123202</v>
      </c>
      <c r="AK666">
        <v>14.2285853570753</v>
      </c>
      <c r="AL666">
        <v>94.842109842777901</v>
      </c>
      <c r="AM666">
        <v>88.532743166420403</v>
      </c>
      <c r="AN666">
        <v>1.0000000180236499</v>
      </c>
    </row>
    <row r="667" spans="1:40" x14ac:dyDescent="0.25">
      <c r="A667" t="str">
        <f>"20190303154110500"</f>
        <v>20190303154110500</v>
      </c>
      <c r="B667" t="str">
        <f>"1551598870490111"</f>
        <v>1551598870490111</v>
      </c>
      <c r="C667" t="s">
        <v>40</v>
      </c>
      <c r="D667">
        <v>6.0050910000000002</v>
      </c>
      <c r="E667">
        <v>0.5092236</v>
      </c>
      <c r="F667" t="s">
        <v>41</v>
      </c>
      <c r="G667">
        <v>-353.65159999999997</v>
      </c>
      <c r="H667" s="1">
        <v>-3.1982850000000002E-6</v>
      </c>
      <c r="I667">
        <v>366.83980000000003</v>
      </c>
      <c r="J667">
        <v>-367.94029999999998</v>
      </c>
      <c r="K667">
        <v>1.1211799999999901</v>
      </c>
      <c r="L667">
        <v>367.62240000000003</v>
      </c>
      <c r="M667">
        <v>0.9998901</v>
      </c>
      <c r="N667">
        <v>-1.432983E-2</v>
      </c>
      <c r="O667">
        <v>-3.840137E-3</v>
      </c>
      <c r="P667">
        <v>0.99471189999999998</v>
      </c>
      <c r="Q667">
        <v>-9.8409099999999999E-2</v>
      </c>
      <c r="R667">
        <v>-2.9397949999999999E-2</v>
      </c>
      <c r="S667">
        <v>2.9880979999999999</v>
      </c>
      <c r="T667">
        <v>-0.2325922</v>
      </c>
      <c r="U667">
        <v>-0.16244510000000001</v>
      </c>
      <c r="V667">
        <v>2.5574039999999999E-2</v>
      </c>
      <c r="W667">
        <v>-8.4144440000000001E-2</v>
      </c>
      <c r="X667">
        <v>0.99612529999999999</v>
      </c>
      <c r="Y667">
        <v>5.0276630000000003E-2</v>
      </c>
      <c r="Z667">
        <v>-2.0702089999999999E-3</v>
      </c>
      <c r="AA667">
        <v>0.99873319999999999</v>
      </c>
      <c r="AB667">
        <v>20</v>
      </c>
      <c r="AC667">
        <v>14.2887</v>
      </c>
      <c r="AD667">
        <v>-1.12118319828499</v>
      </c>
      <c r="AE667">
        <v>-0.78260000000000196</v>
      </c>
      <c r="AF667">
        <v>0.72327814658231804</v>
      </c>
      <c r="AG667">
        <v>-1.12118319828499</v>
      </c>
      <c r="AH667">
        <v>14.2044055524168</v>
      </c>
      <c r="AI667">
        <v>94.507302295869096</v>
      </c>
      <c r="AJ667">
        <v>87.085057508903205</v>
      </c>
      <c r="AK667">
        <v>14.2669309993064</v>
      </c>
      <c r="AL667">
        <v>94.826828803637298</v>
      </c>
      <c r="AM667">
        <v>88.529338882427894</v>
      </c>
      <c r="AN667">
        <v>0.99999996580246198</v>
      </c>
    </row>
    <row r="668" spans="1:40" x14ac:dyDescent="0.25">
      <c r="A668" t="str">
        <f>"20190303154110519"</f>
        <v>20190303154110519</v>
      </c>
      <c r="B668" t="str">
        <f>"1551598870509630"</f>
        <v>1551598870509630</v>
      </c>
      <c r="C668" t="s">
        <v>40</v>
      </c>
      <c r="D668">
        <v>6.0127610000000002</v>
      </c>
      <c r="E668">
        <v>0.50921430000000001</v>
      </c>
      <c r="F668" t="s">
        <v>41</v>
      </c>
      <c r="G668">
        <v>-353.57819999999998</v>
      </c>
      <c r="H668" s="1">
        <v>-3.2290189999999998E-6</v>
      </c>
      <c r="I668">
        <v>366.84410000000003</v>
      </c>
      <c r="J668">
        <v>-367.77659999999997</v>
      </c>
      <c r="K668">
        <v>1.1211770000000001</v>
      </c>
      <c r="L668">
        <v>367.62180000000001</v>
      </c>
      <c r="M668">
        <v>0.9998901</v>
      </c>
      <c r="N668">
        <v>-1.4325799999999901E-2</v>
      </c>
      <c r="O668">
        <v>-3.841779E-3</v>
      </c>
      <c r="P668">
        <v>0.99475849999999999</v>
      </c>
      <c r="Q668">
        <v>-9.7968769999999997E-2</v>
      </c>
      <c r="R668">
        <v>-2.929037E-2</v>
      </c>
      <c r="S668">
        <v>2.9880680000000002</v>
      </c>
      <c r="T668">
        <v>-0.2332622</v>
      </c>
      <c r="U668">
        <v>-0.1619263</v>
      </c>
      <c r="V668">
        <v>2.5464839999999999E-2</v>
      </c>
      <c r="W668">
        <v>-8.3707530000000002E-2</v>
      </c>
      <c r="X668">
        <v>0.99616490000000002</v>
      </c>
      <c r="Y668">
        <v>5.0102380000000002E-2</v>
      </c>
      <c r="Z668">
        <v>-2.066727E-3</v>
      </c>
      <c r="AA668">
        <v>0.99874189999999996</v>
      </c>
      <c r="AB668">
        <v>20</v>
      </c>
      <c r="AC668">
        <v>14.1983999999999</v>
      </c>
      <c r="AD668">
        <v>-1.1211802290189901</v>
      </c>
      <c r="AE668">
        <v>-0.77769999999998096</v>
      </c>
      <c r="AF668">
        <v>0.718673658928073</v>
      </c>
      <c r="AG668">
        <v>-1.1211802290189901</v>
      </c>
      <c r="AH668">
        <v>14.1135413554185</v>
      </c>
      <c r="AI668">
        <v>94.536187647667603</v>
      </c>
      <c r="AJ668">
        <v>87.084967407153599</v>
      </c>
      <c r="AK668">
        <v>14.1762331571221</v>
      </c>
      <c r="AL668">
        <v>94.801707109853297</v>
      </c>
      <c r="AM668">
        <v>88.535673986542605</v>
      </c>
      <c r="AN668">
        <v>0.999999958323467</v>
      </c>
    </row>
    <row r="669" spans="1:40" x14ac:dyDescent="0.25">
      <c r="A669" t="str">
        <f>"20190303154110541"</f>
        <v>20190303154110541</v>
      </c>
      <c r="B669" t="str">
        <f>"1551598870530127"</f>
        <v>1551598870530127</v>
      </c>
      <c r="C669" t="s">
        <v>40</v>
      </c>
      <c r="D669">
        <v>6.0394800000000002</v>
      </c>
      <c r="E669">
        <v>0.5091251</v>
      </c>
      <c r="F669" t="s">
        <v>42</v>
      </c>
      <c r="G669">
        <v>-366.8877</v>
      </c>
      <c r="H669">
        <v>1.0508959999999901</v>
      </c>
      <c r="I669">
        <v>367.57330000000002</v>
      </c>
      <c r="J669">
        <v>-367.57190000000003</v>
      </c>
      <c r="K669">
        <v>1.121181</v>
      </c>
      <c r="L669">
        <v>367.62099999999998</v>
      </c>
      <c r="M669">
        <v>0.9998901</v>
      </c>
      <c r="N669">
        <v>-1.432079E-2</v>
      </c>
      <c r="O669">
        <v>-3.8430529999999999E-3</v>
      </c>
      <c r="P669">
        <v>0.99481310000000001</v>
      </c>
      <c r="Q669">
        <v>-9.7357269999999996E-2</v>
      </c>
      <c r="R669">
        <v>-2.9468520000000002E-2</v>
      </c>
      <c r="S669">
        <v>2.9877319999999998</v>
      </c>
      <c r="T669">
        <v>-0.23647370000000001</v>
      </c>
      <c r="U669">
        <v>-0.16162109999999999</v>
      </c>
      <c r="V669">
        <v>2.5641500000000001E-2</v>
      </c>
      <c r="W669">
        <v>-8.3100309999999997E-2</v>
      </c>
      <c r="X669">
        <v>0.99621119999999996</v>
      </c>
      <c r="Y669">
        <v>5.0001450000000003E-2</v>
      </c>
      <c r="Z669">
        <v>-2.0846689999999999E-3</v>
      </c>
      <c r="AA669">
        <v>0.99874700000000005</v>
      </c>
      <c r="AB669">
        <v>20</v>
      </c>
      <c r="AC669">
        <v>0.684200000000032</v>
      </c>
      <c r="AD669">
        <v>-7.0285000000000097E-2</v>
      </c>
      <c r="AE669">
        <v>-4.7699999999963397E-2</v>
      </c>
      <c r="AF669">
        <v>4.4601575533298701E-2</v>
      </c>
      <c r="AG669">
        <v>-7.0285000000000097E-2</v>
      </c>
      <c r="AH669">
        <v>0.67726593630160403</v>
      </c>
      <c r="AI669">
        <v>95.912091501396006</v>
      </c>
      <c r="AJ669">
        <v>86.232207803610905</v>
      </c>
      <c r="AK669">
        <v>0.68236238923283399</v>
      </c>
      <c r="AL669">
        <v>94.7667943547698</v>
      </c>
      <c r="AM669">
        <v>88.525588325598306</v>
      </c>
      <c r="AN669">
        <v>0.99999995152489096</v>
      </c>
    </row>
    <row r="670" spans="1:40" x14ac:dyDescent="0.25">
      <c r="A670" t="str">
        <f>"20190303154110563"</f>
        <v>20190303154110563</v>
      </c>
      <c r="B670" t="str">
        <f>"1551598870560382"</f>
        <v>1551598870560382</v>
      </c>
      <c r="C670" t="s">
        <v>40</v>
      </c>
      <c r="D670">
        <v>6.0375220000000001</v>
      </c>
      <c r="E670">
        <v>0.50916519999999998</v>
      </c>
      <c r="F670" t="s">
        <v>42</v>
      </c>
      <c r="G670">
        <v>-366.69799999999998</v>
      </c>
      <c r="H670">
        <v>1.051787</v>
      </c>
      <c r="I670">
        <v>367.57369999999997</v>
      </c>
      <c r="J670">
        <v>-367.37920000000003</v>
      </c>
      <c r="K670">
        <v>1.121181</v>
      </c>
      <c r="L670">
        <v>367.62020000000001</v>
      </c>
      <c r="M670">
        <v>0.99989019999999995</v>
      </c>
      <c r="N670">
        <v>-1.431609E-2</v>
      </c>
      <c r="O670">
        <v>-3.8438499999999998E-3</v>
      </c>
      <c r="P670">
        <v>0.99486759999999996</v>
      </c>
      <c r="Q670">
        <v>-9.6727709999999995E-2</v>
      </c>
      <c r="R670">
        <v>-2.9708660000000001E-2</v>
      </c>
      <c r="S670">
        <v>2.9876710000000002</v>
      </c>
      <c r="T670">
        <v>-0.23738719999999999</v>
      </c>
      <c r="U670">
        <v>-0.16140750000000001</v>
      </c>
      <c r="V670">
        <v>2.5880650000000002E-2</v>
      </c>
      <c r="W670">
        <v>-8.2474699999999998E-2</v>
      </c>
      <c r="X670">
        <v>0.99625710000000001</v>
      </c>
      <c r="Y670">
        <v>4.9929590000000003E-2</v>
      </c>
      <c r="Z670">
        <v>-2.087593E-3</v>
      </c>
      <c r="AA670">
        <v>0.99875060000000004</v>
      </c>
      <c r="AB670">
        <v>20</v>
      </c>
      <c r="AC670">
        <v>0.68119999999998904</v>
      </c>
      <c r="AD670">
        <v>-6.93939999999999E-2</v>
      </c>
      <c r="AE670">
        <v>-4.6500000000037199E-2</v>
      </c>
      <c r="AF670">
        <v>4.34323272093836E-2</v>
      </c>
      <c r="AG670">
        <v>-6.93939999999999E-2</v>
      </c>
      <c r="AH670">
        <v>0.67440749119422305</v>
      </c>
      <c r="AI670">
        <v>95.8627849655022</v>
      </c>
      <c r="AJ670">
        <v>86.315199171116603</v>
      </c>
      <c r="AK670">
        <v>0.679358048794381</v>
      </c>
      <c r="AL670">
        <v>94.730825617191798</v>
      </c>
      <c r="AM670">
        <v>88.511911650814099</v>
      </c>
      <c r="AN670">
        <v>1.0000000467424599</v>
      </c>
    </row>
    <row r="671" spans="1:40" x14ac:dyDescent="0.25">
      <c r="A671" t="str">
        <f>"20190303154110575"</f>
        <v>20190303154110575</v>
      </c>
      <c r="B671" t="str">
        <f>"1551598870570144"</f>
        <v>1551598870570144</v>
      </c>
      <c r="C671" t="s">
        <v>40</v>
      </c>
      <c r="D671">
        <v>6.0345319999999996</v>
      </c>
      <c r="E671">
        <v>0.50911260000000003</v>
      </c>
      <c r="F671" t="s">
        <v>41</v>
      </c>
      <c r="G671">
        <v>-353.1225</v>
      </c>
      <c r="H671" s="1">
        <v>-3.424187E-6</v>
      </c>
      <c r="I671">
        <v>366.84589999999997</v>
      </c>
      <c r="J671">
        <v>-367.26100000000002</v>
      </c>
      <c r="K671">
        <v>1.1211819999999999</v>
      </c>
      <c r="L671">
        <v>367.6198</v>
      </c>
      <c r="M671">
        <v>0.99989019999999995</v>
      </c>
      <c r="N671">
        <v>-1.431322E-2</v>
      </c>
      <c r="O671">
        <v>-3.8440660000000001E-3</v>
      </c>
      <c r="P671">
        <v>0.99484649999999997</v>
      </c>
      <c r="Q671">
        <v>-9.6878539999999999E-2</v>
      </c>
      <c r="R671">
        <v>-2.991742E-2</v>
      </c>
      <c r="S671">
        <v>2.9877929999999999</v>
      </c>
      <c r="T671">
        <v>-0.2349657</v>
      </c>
      <c r="U671">
        <v>-0.16226199999999999</v>
      </c>
      <c r="V671">
        <v>2.6089379999999999E-2</v>
      </c>
      <c r="W671">
        <v>-8.2628670000000001E-2</v>
      </c>
      <c r="X671">
        <v>0.99623879999999998</v>
      </c>
      <c r="Y671">
        <v>5.021424E-2</v>
      </c>
      <c r="Z671">
        <v>-2.0835900000000002E-3</v>
      </c>
      <c r="AA671">
        <v>0.99873630000000002</v>
      </c>
      <c r="AB671">
        <v>20</v>
      </c>
      <c r="AC671">
        <v>14.138499999999899</v>
      </c>
      <c r="AD671">
        <v>-1.1211854241869901</v>
      </c>
      <c r="AE671">
        <v>-0.77390000000002501</v>
      </c>
      <c r="AF671">
        <v>0.71505617693135803</v>
      </c>
      <c r="AG671">
        <v>-1.1211854241869901</v>
      </c>
      <c r="AH671">
        <v>14.0532605725019</v>
      </c>
      <c r="AI671">
        <v>94.555593677871997</v>
      </c>
      <c r="AJ671">
        <v>87.0871955805261</v>
      </c>
      <c r="AK671">
        <v>14.1160367954399</v>
      </c>
      <c r="AL671">
        <v>94.739678122703793</v>
      </c>
      <c r="AM671">
        <v>88.499887990397099</v>
      </c>
      <c r="AN671">
        <v>0.99999994974009498</v>
      </c>
    </row>
    <row r="672" spans="1:40" x14ac:dyDescent="0.25">
      <c r="A672" t="str">
        <f>"20190303154110589"</f>
        <v>20190303154110589</v>
      </c>
      <c r="B672" t="str">
        <f>"1551598870579903"</f>
        <v>1551598870579903</v>
      </c>
      <c r="C672" t="s">
        <v>40</v>
      </c>
      <c r="D672">
        <v>6.0212570000000003</v>
      </c>
      <c r="E672">
        <v>0.50905739999999999</v>
      </c>
      <c r="F672" t="s">
        <v>42</v>
      </c>
      <c r="G672">
        <v>-366.35390000000001</v>
      </c>
      <c r="H672">
        <v>1.0495429999999999</v>
      </c>
      <c r="I672">
        <v>367.57029999999997</v>
      </c>
      <c r="J672">
        <v>-367.14319999999998</v>
      </c>
      <c r="K672">
        <v>1.121183</v>
      </c>
      <c r="L672">
        <v>367.61939999999998</v>
      </c>
      <c r="M672">
        <v>0.99989019999999995</v>
      </c>
      <c r="N672">
        <v>-1.431034E-2</v>
      </c>
      <c r="O672">
        <v>-3.8438040000000001E-3</v>
      </c>
      <c r="P672">
        <v>0.99481949999999997</v>
      </c>
      <c r="Q672">
        <v>-9.7133220000000006E-2</v>
      </c>
      <c r="R672">
        <v>-2.9994549999999998E-2</v>
      </c>
      <c r="S672">
        <v>2.9876710000000002</v>
      </c>
      <c r="T672">
        <v>-0.2360746</v>
      </c>
      <c r="U672">
        <v>-0.162384</v>
      </c>
      <c r="V672">
        <v>2.616665E-2</v>
      </c>
      <c r="W672">
        <v>-8.2886539999999995E-2</v>
      </c>
      <c r="X672">
        <v>0.99621539999999997</v>
      </c>
      <c r="Y672">
        <v>5.0255719999999997E-2</v>
      </c>
      <c r="Z672">
        <v>-2.093377E-3</v>
      </c>
      <c r="AA672">
        <v>0.99873420000000002</v>
      </c>
      <c r="AB672">
        <v>20</v>
      </c>
      <c r="AC672">
        <v>0.78929999999996803</v>
      </c>
      <c r="AD672">
        <v>-7.1639999999999898E-2</v>
      </c>
      <c r="AE672">
        <v>-4.91000000000099E-2</v>
      </c>
      <c r="AF672">
        <v>4.5690460433361703E-2</v>
      </c>
      <c r="AG672">
        <v>-7.1639999999999898E-2</v>
      </c>
      <c r="AH672">
        <v>0.78305688562126097</v>
      </c>
      <c r="AI672">
        <v>95.218475283282103</v>
      </c>
      <c r="AJ672">
        <v>86.660644039697601</v>
      </c>
      <c r="AK672">
        <v>0.78765347323139601</v>
      </c>
      <c r="AL672">
        <v>94.754503614465307</v>
      </c>
      <c r="AM672">
        <v>88.495411761474699</v>
      </c>
      <c r="AN672">
        <v>0.99999999764127601</v>
      </c>
    </row>
    <row r="673" spans="1:40" x14ac:dyDescent="0.25">
      <c r="A673" t="str">
        <f>"20190303154110606"</f>
        <v>20190303154110606</v>
      </c>
      <c r="B673" t="str">
        <f>"1551598870600399"</f>
        <v>1551598870600399</v>
      </c>
      <c r="C673" t="s">
        <v>40</v>
      </c>
      <c r="D673">
        <v>6.039644</v>
      </c>
      <c r="E673">
        <v>0.50913489999999995</v>
      </c>
      <c r="F673" t="s">
        <v>41</v>
      </c>
      <c r="G673">
        <v>-353.07279999999997</v>
      </c>
      <c r="H673" s="1">
        <v>-3.4440599999999999E-6</v>
      </c>
      <c r="I673">
        <v>366.85410000000002</v>
      </c>
      <c r="J673">
        <v>-366.99489999999997</v>
      </c>
      <c r="K673">
        <v>1.121184</v>
      </c>
      <c r="L673">
        <v>367.61880000000002</v>
      </c>
      <c r="M673">
        <v>0.99989019999999995</v>
      </c>
      <c r="N673">
        <v>-1.430673E-2</v>
      </c>
      <c r="O673">
        <v>-3.843656E-3</v>
      </c>
      <c r="P673">
        <v>0.99480040000000003</v>
      </c>
      <c r="Q673">
        <v>-9.7252920000000007E-2</v>
      </c>
      <c r="R673">
        <v>-3.0232599999999901E-2</v>
      </c>
      <c r="S673">
        <v>2.9874879999999999</v>
      </c>
      <c r="T673">
        <v>-0.23805209999999999</v>
      </c>
      <c r="U673">
        <v>-0.1624756</v>
      </c>
      <c r="V673">
        <v>2.6405069999999999E-2</v>
      </c>
      <c r="W673">
        <v>-8.301008E-2</v>
      </c>
      <c r="X673">
        <v>0.99619880000000005</v>
      </c>
      <c r="Y673">
        <v>5.0286890000000001E-2</v>
      </c>
      <c r="Z673">
        <v>-2.1088669999999999E-3</v>
      </c>
      <c r="AA673">
        <v>0.99873259999999997</v>
      </c>
      <c r="AB673">
        <v>20</v>
      </c>
      <c r="AC673">
        <v>13.9221</v>
      </c>
      <c r="AD673">
        <v>-1.12118744406</v>
      </c>
      <c r="AE673">
        <v>-0.76470000000000404</v>
      </c>
      <c r="AF673">
        <v>0.70660814658539595</v>
      </c>
      <c r="AG673">
        <v>-1.12118744406</v>
      </c>
      <c r="AH673">
        <v>13.835475884684399</v>
      </c>
      <c r="AI673">
        <v>94.626958176797103</v>
      </c>
      <c r="AJ673">
        <v>87.076318923040404</v>
      </c>
      <c r="AK673">
        <v>13.8988038806662</v>
      </c>
      <c r="AL673">
        <v>94.761606519909407</v>
      </c>
      <c r="AM673">
        <v>88.481683658033901</v>
      </c>
      <c r="AN673">
        <v>0.99999997511237504</v>
      </c>
    </row>
    <row r="674" spans="1:40" x14ac:dyDescent="0.25">
      <c r="A674" t="str">
        <f>"20190303154110619"</f>
        <v>20190303154110619</v>
      </c>
      <c r="B674" t="str">
        <f>"1551598870610159"</f>
        <v>1551598870610159</v>
      </c>
      <c r="C674" t="s">
        <v>40</v>
      </c>
      <c r="D674">
        <v>5.9183089999999998</v>
      </c>
      <c r="E674">
        <v>0.50925200000000004</v>
      </c>
      <c r="F674" t="s">
        <v>41</v>
      </c>
      <c r="G674">
        <v>-352.82909999999998</v>
      </c>
      <c r="H674" s="1">
        <v>-3.5505710000000002E-6</v>
      </c>
      <c r="I674">
        <v>366.84300000000002</v>
      </c>
      <c r="J674">
        <v>-366.87920000000003</v>
      </c>
      <c r="K674">
        <v>1.121186</v>
      </c>
      <c r="L674">
        <v>367.61840000000001</v>
      </c>
      <c r="M674">
        <v>0.99989050000000002</v>
      </c>
      <c r="N674">
        <v>-1.4303919999999999E-2</v>
      </c>
      <c r="O674">
        <v>-3.8437530000000001E-3</v>
      </c>
      <c r="P674">
        <v>0.99482139999999997</v>
      </c>
      <c r="Q674">
        <v>-9.7018789999999994E-2</v>
      </c>
      <c r="R674">
        <v>-3.0303839999999999E-2</v>
      </c>
      <c r="S674">
        <v>2.9876100000000001</v>
      </c>
      <c r="T674">
        <v>-0.23645930000000001</v>
      </c>
      <c r="U674">
        <v>-0.16360469999999999</v>
      </c>
      <c r="V674">
        <v>2.647615E-2</v>
      </c>
      <c r="W674">
        <v>-8.277843E-2</v>
      </c>
      <c r="X674">
        <v>0.9962162</v>
      </c>
      <c r="Y674">
        <v>5.0661739999999997E-2</v>
      </c>
      <c r="Z674">
        <v>-2.1148819999999998E-3</v>
      </c>
      <c r="AA674">
        <v>0.99871359999999998</v>
      </c>
      <c r="AB674">
        <v>20</v>
      </c>
      <c r="AC674">
        <v>14.0501</v>
      </c>
      <c r="AD674">
        <v>-1.1211895505709999</v>
      </c>
      <c r="AE674">
        <v>-0.77539999999998999</v>
      </c>
      <c r="AF674">
        <v>0.71683275143117597</v>
      </c>
      <c r="AG674">
        <v>-1.1211895505709999</v>
      </c>
      <c r="AH674">
        <v>13.9643229248965</v>
      </c>
      <c r="AI674">
        <v>94.584396385527896</v>
      </c>
      <c r="AJ674">
        <v>87.061406221061503</v>
      </c>
      <c r="AK674">
        <v>14.0275881730475</v>
      </c>
      <c r="AL674">
        <v>94.748288062780702</v>
      </c>
      <c r="AM674">
        <v>88.477624989995206</v>
      </c>
      <c r="AN674">
        <v>0.99999998606726304</v>
      </c>
    </row>
    <row r="675" spans="1:40" x14ac:dyDescent="0.25">
      <c r="A675" t="str">
        <f>"20190303154110632"</f>
        <v>20190303154110632</v>
      </c>
      <c r="B675" t="str">
        <f>"1551598870619919"</f>
        <v>1551598870619919</v>
      </c>
      <c r="C675" t="s">
        <v>40</v>
      </c>
      <c r="D675">
        <v>5.930199</v>
      </c>
      <c r="E675">
        <v>0.50939239999999997</v>
      </c>
      <c r="F675" t="s">
        <v>42</v>
      </c>
      <c r="G675">
        <v>-365.9923</v>
      </c>
      <c r="H675">
        <v>1.051758</v>
      </c>
      <c r="I675">
        <v>367.5693</v>
      </c>
      <c r="J675">
        <v>-366.75850000000003</v>
      </c>
      <c r="K675">
        <v>1.1211899999999999</v>
      </c>
      <c r="L675">
        <v>367.61790000000002</v>
      </c>
      <c r="M675">
        <v>0.99989050000000002</v>
      </c>
      <c r="N675">
        <v>-1.430098E-2</v>
      </c>
      <c r="O675">
        <v>-3.8433730000000002E-3</v>
      </c>
      <c r="P675">
        <v>0.9947954</v>
      </c>
      <c r="Q675">
        <v>-9.7393229999999997E-2</v>
      </c>
      <c r="R675">
        <v>-2.9949429999999999E-2</v>
      </c>
      <c r="S675">
        <v>2.987762</v>
      </c>
      <c r="T675">
        <v>-0.2341337</v>
      </c>
      <c r="U675">
        <v>-0.16473389999999999</v>
      </c>
      <c r="V675">
        <v>2.6122200000000002E-2</v>
      </c>
      <c r="W675">
        <v>-8.3156179999999996E-2</v>
      </c>
      <c r="X675">
        <v>0.99619409999999997</v>
      </c>
      <c r="Y675">
        <v>5.1037480000000003E-2</v>
      </c>
      <c r="Z675">
        <v>-2.1154569999999998E-3</v>
      </c>
      <c r="AA675">
        <v>0.99869450000000004</v>
      </c>
      <c r="AB675">
        <v>20</v>
      </c>
      <c r="AC675">
        <v>0.76620000000002597</v>
      </c>
      <c r="AD675">
        <v>-6.9431999999999897E-2</v>
      </c>
      <c r="AE675">
        <v>-4.8600000000021702E-2</v>
      </c>
      <c r="AF675">
        <v>4.5284176221685797E-2</v>
      </c>
      <c r="AG675">
        <v>-6.9431999999999897E-2</v>
      </c>
      <c r="AH675">
        <v>0.76016389474220702</v>
      </c>
      <c r="AI675">
        <v>95.209627680637496</v>
      </c>
      <c r="AJ675">
        <v>86.590827971669896</v>
      </c>
      <c r="AK675">
        <v>0.76467025972618996</v>
      </c>
      <c r="AL675">
        <v>94.770006345653201</v>
      </c>
      <c r="AM675">
        <v>88.497934373751605</v>
      </c>
      <c r="AN675">
        <v>1.00000000223992</v>
      </c>
    </row>
    <row r="676" spans="1:40" x14ac:dyDescent="0.25">
      <c r="A676" t="str">
        <f>"20190303154110646"</f>
        <v>20190303154110646</v>
      </c>
      <c r="B676" t="str">
        <f>"1551598870640416"</f>
        <v>1551598870640416</v>
      </c>
      <c r="C676" t="s">
        <v>40</v>
      </c>
      <c r="D676">
        <v>6.0328200000000001</v>
      </c>
      <c r="E676">
        <v>0.50940850000000004</v>
      </c>
      <c r="F676" t="s">
        <v>41</v>
      </c>
      <c r="G676">
        <v>-352.42239999999998</v>
      </c>
      <c r="H676" s="1">
        <v>-3.7278480000000002E-6</v>
      </c>
      <c r="I676">
        <v>366.8272</v>
      </c>
      <c r="J676">
        <v>-366.63830000000002</v>
      </c>
      <c r="K676">
        <v>1.1211899999999999</v>
      </c>
      <c r="L676">
        <v>367.61750000000001</v>
      </c>
      <c r="M676">
        <v>0.99989039999999996</v>
      </c>
      <c r="N676">
        <v>-1.429807E-2</v>
      </c>
      <c r="O676">
        <v>-3.8431120000000001E-3</v>
      </c>
      <c r="P676">
        <v>0.99484059999999996</v>
      </c>
      <c r="Q676">
        <v>-9.6926269999999995E-2</v>
      </c>
      <c r="R676">
        <v>-2.995861E-2</v>
      </c>
      <c r="S676">
        <v>2.9878849999999999</v>
      </c>
      <c r="T676">
        <v>-0.23367360000000001</v>
      </c>
      <c r="U676">
        <v>-0.16479489999999999</v>
      </c>
      <c r="V676">
        <v>2.6131649999999999E-2</v>
      </c>
      <c r="W676">
        <v>-8.2691509999999996E-2</v>
      </c>
      <c r="X676">
        <v>0.99623249999999997</v>
      </c>
      <c r="Y676">
        <v>5.1056410000000003E-2</v>
      </c>
      <c r="Z676">
        <v>-2.1128700000000002E-3</v>
      </c>
      <c r="AA676">
        <v>0.99869350000000001</v>
      </c>
      <c r="AB676">
        <v>20</v>
      </c>
      <c r="AC676">
        <v>14.2159</v>
      </c>
      <c r="AD676">
        <v>-1.121193727848</v>
      </c>
      <c r="AE676">
        <v>-0.790300000000002</v>
      </c>
      <c r="AF676">
        <v>0.73112148549474698</v>
      </c>
      <c r="AG676">
        <v>-1.121193727848</v>
      </c>
      <c r="AH676">
        <v>14.1312027655708</v>
      </c>
      <c r="AI676">
        <v>94.530407424917399</v>
      </c>
      <c r="AJ676">
        <v>87.0382664227524</v>
      </c>
      <c r="AK676">
        <v>14.1944533393714</v>
      </c>
      <c r="AL676">
        <v>94.743290850020898</v>
      </c>
      <c r="AM676">
        <v>88.497449125503806</v>
      </c>
      <c r="AN676">
        <v>0.99999997150702502</v>
      </c>
    </row>
    <row r="677" spans="1:40" x14ac:dyDescent="0.25">
      <c r="A677" t="str">
        <f>"20190303154110662"</f>
        <v>20190303154110662</v>
      </c>
      <c r="B677" t="str">
        <f>"1551598870659935"</f>
        <v>1551598870659935</v>
      </c>
      <c r="C677" t="s">
        <v>40</v>
      </c>
      <c r="D677">
        <v>5.9255170000000001</v>
      </c>
      <c r="E677">
        <v>0.50942739999999997</v>
      </c>
      <c r="F677" t="s">
        <v>41</v>
      </c>
      <c r="G677">
        <v>-352.11520000000002</v>
      </c>
      <c r="H677" s="1">
        <v>-3.8616119999999999E-6</v>
      </c>
      <c r="I677">
        <v>366.8159</v>
      </c>
      <c r="J677">
        <v>-366.4957</v>
      </c>
      <c r="K677">
        <v>1.121192</v>
      </c>
      <c r="L677">
        <v>367.61689999999999</v>
      </c>
      <c r="M677">
        <v>0.99989059999999996</v>
      </c>
      <c r="N677">
        <v>-1.4294619999999999E-2</v>
      </c>
      <c r="O677">
        <v>-3.8428479999999998E-3</v>
      </c>
      <c r="P677">
        <v>0.99490650000000003</v>
      </c>
      <c r="Q677">
        <v>-9.6509590000000006E-2</v>
      </c>
      <c r="R677">
        <v>-2.9105530000000001E-2</v>
      </c>
      <c r="S677">
        <v>2.988159</v>
      </c>
      <c r="T677">
        <v>-0.23068620000000001</v>
      </c>
      <c r="U677">
        <v>-0.16491700000000001</v>
      </c>
      <c r="V677">
        <v>2.5278510000000001E-2</v>
      </c>
      <c r="W677">
        <v>-8.2277399999999903E-2</v>
      </c>
      <c r="X677">
        <v>0.99628879999999997</v>
      </c>
      <c r="Y677">
        <v>5.1096269999999999E-2</v>
      </c>
      <c r="Z677">
        <v>-2.0928710000000001E-3</v>
      </c>
      <c r="AA677">
        <v>0.99869160000000001</v>
      </c>
      <c r="AB677">
        <v>20</v>
      </c>
      <c r="AC677">
        <v>14.3804999999999</v>
      </c>
      <c r="AD677">
        <v>-1.1211958616119999</v>
      </c>
      <c r="AE677">
        <v>-0.80099999999998694</v>
      </c>
      <c r="AF677">
        <v>0.74123451993033296</v>
      </c>
      <c r="AG677">
        <v>-1.1211958616119999</v>
      </c>
      <c r="AH677">
        <v>14.2968340065649</v>
      </c>
      <c r="AI677">
        <v>94.478120231451598</v>
      </c>
      <c r="AJ677">
        <v>87.032096904229206</v>
      </c>
      <c r="AK677">
        <v>14.3598736549073</v>
      </c>
      <c r="AL677">
        <v>94.719482956465697</v>
      </c>
      <c r="AM677">
        <v>88.546564758824303</v>
      </c>
      <c r="AN677">
        <v>0.99999997331200896</v>
      </c>
    </row>
    <row r="678" spans="1:40" x14ac:dyDescent="0.25">
      <c r="A678" t="str">
        <f>"20190303154110676"</f>
        <v>20190303154110676</v>
      </c>
      <c r="B678" t="str">
        <f>"1551598870669695"</f>
        <v>1551598870669695</v>
      </c>
      <c r="C678" t="s">
        <v>40</v>
      </c>
      <c r="D678">
        <v>6.0333129999999997</v>
      </c>
      <c r="E678">
        <v>0.50938149999999904</v>
      </c>
      <c r="F678" t="s">
        <v>41</v>
      </c>
      <c r="G678">
        <v>-351.83769999999998</v>
      </c>
      <c r="H678" s="1">
        <v>-3.9798530000000004E-6</v>
      </c>
      <c r="I678">
        <v>366.82049999999998</v>
      </c>
      <c r="J678">
        <v>-366.37490000000003</v>
      </c>
      <c r="K678">
        <v>1.121194</v>
      </c>
      <c r="L678">
        <v>367.61649999999997</v>
      </c>
      <c r="M678">
        <v>0.99989050000000002</v>
      </c>
      <c r="N678">
        <v>-1.4291699999999999E-2</v>
      </c>
      <c r="O678">
        <v>-3.8424679999999999E-3</v>
      </c>
      <c r="P678">
        <v>0.9949441</v>
      </c>
      <c r="Q678">
        <v>-9.6314670000000005E-2</v>
      </c>
      <c r="R678">
        <v>-2.8455689999999999E-2</v>
      </c>
      <c r="S678">
        <v>2.988464</v>
      </c>
      <c r="T678">
        <v>-0.2285864</v>
      </c>
      <c r="U678">
        <v>-0.16235350000000001</v>
      </c>
      <c r="V678">
        <v>2.462895E-2</v>
      </c>
      <c r="W678">
        <v>-8.2084850000000001E-2</v>
      </c>
      <c r="X678">
        <v>0.99632100000000001</v>
      </c>
      <c r="Y678">
        <v>5.0242719999999998E-2</v>
      </c>
      <c r="Z678">
        <v>-2.0388009999999998E-3</v>
      </c>
      <c r="AA678">
        <v>0.99873500000000004</v>
      </c>
      <c r="AB678">
        <v>20</v>
      </c>
      <c r="AC678">
        <v>14.5372</v>
      </c>
      <c r="AD678">
        <v>-1.1211979798530001</v>
      </c>
      <c r="AE678">
        <v>-0.79599999999999205</v>
      </c>
      <c r="AF678">
        <v>0.73576611441240303</v>
      </c>
      <c r="AG678">
        <v>-1.1211979798530001</v>
      </c>
      <c r="AH678">
        <v>14.454427304817401</v>
      </c>
      <c r="AI678">
        <v>94.429713332674893</v>
      </c>
      <c r="AJ678">
        <v>87.086018088360902</v>
      </c>
      <c r="AK678">
        <v>14.5165045860013</v>
      </c>
      <c r="AL678">
        <v>94.708412982421905</v>
      </c>
      <c r="AM678">
        <v>88.583942766822901</v>
      </c>
      <c r="AN678">
        <v>1.0000000214093101</v>
      </c>
    </row>
    <row r="679" spans="1:40" x14ac:dyDescent="0.25">
      <c r="A679" t="str">
        <f>"20190303154110707"</f>
        <v>20190303154110707</v>
      </c>
      <c r="B679" t="str">
        <f>"1551598870699951"</f>
        <v>1551598870699951</v>
      </c>
      <c r="C679" t="s">
        <v>40</v>
      </c>
      <c r="D679">
        <v>6.041048</v>
      </c>
      <c r="E679">
        <v>0.50955450000000002</v>
      </c>
      <c r="F679" t="s">
        <v>42</v>
      </c>
      <c r="G679">
        <v>-365.4658</v>
      </c>
      <c r="H679">
        <v>1.0516449999999999</v>
      </c>
      <c r="I679">
        <v>367.56729999999999</v>
      </c>
      <c r="J679">
        <v>-366.09829999999999</v>
      </c>
      <c r="K679">
        <v>1.1211899999999999</v>
      </c>
      <c r="L679">
        <v>367.61540000000002</v>
      </c>
      <c r="M679">
        <v>0.99989059999999996</v>
      </c>
      <c r="N679">
        <v>-1.4284949999999999E-2</v>
      </c>
      <c r="O679">
        <v>-3.8421810000000001E-3</v>
      </c>
      <c r="P679">
        <v>0.99495809999999996</v>
      </c>
      <c r="Q679">
        <v>-9.6526559999999997E-2</v>
      </c>
      <c r="R679">
        <v>-2.722757E-2</v>
      </c>
      <c r="S679">
        <v>2.988464</v>
      </c>
      <c r="T679">
        <v>-0.22891900000000001</v>
      </c>
      <c r="U679">
        <v>-0.16021729999999901</v>
      </c>
      <c r="V679">
        <v>2.340093E-2</v>
      </c>
      <c r="W679">
        <v>-8.2303249999999994E-2</v>
      </c>
      <c r="X679">
        <v>0.99633260000000001</v>
      </c>
      <c r="Y679">
        <v>4.9533180000000003E-2</v>
      </c>
      <c r="Z679">
        <v>-2.0088079999999999E-3</v>
      </c>
      <c r="AA679">
        <v>0.99877050000000001</v>
      </c>
      <c r="AB679">
        <v>20</v>
      </c>
      <c r="AC679">
        <v>0.63249999999999296</v>
      </c>
      <c r="AD679">
        <v>-6.9544999999999704E-2</v>
      </c>
      <c r="AE679">
        <v>-4.8100000000033498E-2</v>
      </c>
      <c r="AF679">
        <v>4.5126791043622001E-2</v>
      </c>
      <c r="AG679">
        <v>-6.9544999999999704E-2</v>
      </c>
      <c r="AH679">
        <v>0.62516563416837501</v>
      </c>
      <c r="AI679">
        <v>96.331290095188905</v>
      </c>
      <c r="AJ679">
        <v>85.871337433183101</v>
      </c>
      <c r="AK679">
        <v>0.63063856878567204</v>
      </c>
      <c r="AL679">
        <v>94.720968781242505</v>
      </c>
      <c r="AM679">
        <v>88.6545375865377</v>
      </c>
      <c r="AN679">
        <v>1.00000003915409</v>
      </c>
    </row>
    <row r="680" spans="1:40" x14ac:dyDescent="0.25">
      <c r="A680" t="str">
        <f>"20190303154110732"</f>
        <v>20190303154110732</v>
      </c>
      <c r="B680" t="str">
        <f>"1551598870720447"</f>
        <v>1551598870720447</v>
      </c>
      <c r="C680" t="s">
        <v>40</v>
      </c>
      <c r="D680">
        <v>6.0204950000000004</v>
      </c>
      <c r="E680">
        <v>0.50961409999999996</v>
      </c>
      <c r="F680" t="s">
        <v>41</v>
      </c>
      <c r="G680">
        <v>-351.37139999999999</v>
      </c>
      <c r="H680" s="1">
        <v>-4.176993E-6</v>
      </c>
      <c r="I680">
        <v>366.83690000000001</v>
      </c>
      <c r="J680">
        <v>-365.88200000000001</v>
      </c>
      <c r="K680">
        <v>1.121192</v>
      </c>
      <c r="L680">
        <v>367.6146</v>
      </c>
      <c r="M680">
        <v>0.99989070000000002</v>
      </c>
      <c r="N680">
        <v>-1.4279679999999999E-2</v>
      </c>
      <c r="O680">
        <v>-3.841906E-3</v>
      </c>
      <c r="P680">
        <v>0.99494059999999995</v>
      </c>
      <c r="Q680">
        <v>-9.6716960000000005E-2</v>
      </c>
      <c r="R680">
        <v>-2.719628E-2</v>
      </c>
      <c r="S680">
        <v>2.9887700000000001</v>
      </c>
      <c r="T680">
        <v>-0.22754089999999999</v>
      </c>
      <c r="U680">
        <v>-0.1579895</v>
      </c>
      <c r="V680">
        <v>2.3369910000000001E-2</v>
      </c>
      <c r="W680">
        <v>-8.2499139999999999E-2</v>
      </c>
      <c r="X680">
        <v>0.99631709999999996</v>
      </c>
      <c r="Y680">
        <v>4.879E-2</v>
      </c>
      <c r="Z680">
        <v>-1.9653819999999999E-3</v>
      </c>
      <c r="AA680">
        <v>0.99880709999999995</v>
      </c>
      <c r="AB680">
        <v>20</v>
      </c>
      <c r="AC680">
        <v>14.510599999999901</v>
      </c>
      <c r="AD680">
        <v>-1.1211961769929999</v>
      </c>
      <c r="AE680">
        <v>-0.77769999999998096</v>
      </c>
      <c r="AF680">
        <v>0.71766783195767403</v>
      </c>
      <c r="AG680">
        <v>-1.1211961769929999</v>
      </c>
      <c r="AH680">
        <v>14.427591437293</v>
      </c>
      <c r="AI680">
        <v>94.438170097886697</v>
      </c>
      <c r="AJ680">
        <v>87.152298503743395</v>
      </c>
      <c r="AK680">
        <v>14.4888758247761</v>
      </c>
      <c r="AL680">
        <v>94.732230877829394</v>
      </c>
      <c r="AM680">
        <v>88.656299565173597</v>
      </c>
      <c r="AN680">
        <v>1.00000001227327</v>
      </c>
    </row>
    <row r="681" spans="1:40" x14ac:dyDescent="0.25">
      <c r="A681" t="str">
        <f>"20190303154110753"</f>
        <v>20190303154110753</v>
      </c>
      <c r="B681" t="str">
        <f>"1551598870739705"</f>
        <v>1551598870739705</v>
      </c>
      <c r="C681" t="s">
        <v>40</v>
      </c>
      <c r="D681">
        <v>5.9112339999999897</v>
      </c>
      <c r="E681">
        <v>0.50982539999999998</v>
      </c>
      <c r="F681" t="s">
        <v>41</v>
      </c>
      <c r="G681">
        <v>-351.15839999999997</v>
      </c>
      <c r="H681" s="1">
        <v>-4.268773E-6</v>
      </c>
      <c r="I681">
        <v>366.83460000000002</v>
      </c>
      <c r="J681">
        <v>-365.70229999999998</v>
      </c>
      <c r="K681">
        <v>1.1211819999999999</v>
      </c>
      <c r="L681">
        <v>367.6139</v>
      </c>
      <c r="M681">
        <v>0.99989099999999997</v>
      </c>
      <c r="N681">
        <v>-1.425884E-2</v>
      </c>
      <c r="O681">
        <v>-3.8419970000000002E-3</v>
      </c>
      <c r="P681">
        <v>0.99488569999999998</v>
      </c>
      <c r="Q681">
        <v>-9.7074880000000002E-2</v>
      </c>
      <c r="R681">
        <v>-2.7909360000000001E-2</v>
      </c>
      <c r="S681">
        <v>2.9887999999999999</v>
      </c>
      <c r="T681">
        <v>-0.22759399999999999</v>
      </c>
      <c r="U681">
        <v>-0.1583252</v>
      </c>
      <c r="V681">
        <v>2.4083340000000002E-2</v>
      </c>
      <c r="W681">
        <v>-8.2878579999999993E-2</v>
      </c>
      <c r="X681">
        <v>0.99626859999999995</v>
      </c>
      <c r="Y681">
        <v>4.8900850000000003E-2</v>
      </c>
      <c r="Z681">
        <v>-1.970135E-3</v>
      </c>
      <c r="AA681">
        <v>0.99880170000000001</v>
      </c>
      <c r="AB681">
        <v>20</v>
      </c>
      <c r="AC681">
        <v>14.543900000000001</v>
      </c>
      <c r="AD681">
        <v>-1.1211862687730001</v>
      </c>
      <c r="AE681">
        <v>-0.77929999999997701</v>
      </c>
      <c r="AF681">
        <v>0.71914939630010799</v>
      </c>
      <c r="AG681">
        <v>-1.1211862687730001</v>
      </c>
      <c r="AH681">
        <v>14.461093132895</v>
      </c>
      <c r="AI681">
        <v>94.427893047028704</v>
      </c>
      <c r="AJ681">
        <v>87.153029287870893</v>
      </c>
      <c r="AK681">
        <v>14.522308669827501</v>
      </c>
      <c r="AL681">
        <v>94.754045978892904</v>
      </c>
      <c r="AM681">
        <v>88.615227809317602</v>
      </c>
      <c r="AN681">
        <v>0.99999999481716595</v>
      </c>
    </row>
    <row r="682" spans="1:40" x14ac:dyDescent="0.25">
      <c r="A682" t="str">
        <f>"20190303154110773"</f>
        <v>20190303154110773</v>
      </c>
      <c r="B682" t="str">
        <f>"1551598870769960"</f>
        <v>1551598870769960</v>
      </c>
      <c r="C682" t="s">
        <v>40</v>
      </c>
      <c r="D682">
        <v>5.9225000000000003</v>
      </c>
      <c r="E682">
        <v>0.5098684</v>
      </c>
      <c r="F682" t="s">
        <v>41</v>
      </c>
      <c r="G682">
        <v>-350.89550000000003</v>
      </c>
      <c r="H682" s="1">
        <v>-4.3859020000000003E-6</v>
      </c>
      <c r="I682">
        <v>366.81</v>
      </c>
      <c r="J682">
        <v>-365.52359999999999</v>
      </c>
      <c r="K682">
        <v>1.121162</v>
      </c>
      <c r="L682">
        <v>367.61329999999998</v>
      </c>
      <c r="M682">
        <v>0.99989209999999995</v>
      </c>
      <c r="N682">
        <v>-1.418702E-2</v>
      </c>
      <c r="O682">
        <v>-3.842084E-3</v>
      </c>
      <c r="P682">
        <v>0.99492820000000004</v>
      </c>
      <c r="Q682">
        <v>-9.6613119999999997E-2</v>
      </c>
      <c r="R682">
        <v>-2.7999909999999999E-2</v>
      </c>
      <c r="S682">
        <v>2.9887999999999999</v>
      </c>
      <c r="T682">
        <v>-0.22631319999999999</v>
      </c>
      <c r="U682">
        <v>-0.16226199999999999</v>
      </c>
      <c r="V682">
        <v>2.4173650000000001E-2</v>
      </c>
      <c r="W682">
        <v>-8.2487820000000003E-2</v>
      </c>
      <c r="X682">
        <v>0.99629880000000004</v>
      </c>
      <c r="Y682">
        <v>5.020989E-2</v>
      </c>
      <c r="Z682">
        <v>-2.0180189999999998E-3</v>
      </c>
      <c r="AA682">
        <v>0.99873659999999997</v>
      </c>
      <c r="AB682">
        <v>20</v>
      </c>
      <c r="AC682">
        <v>14.6280999999999</v>
      </c>
      <c r="AD682">
        <v>-1.121166385902</v>
      </c>
      <c r="AE682">
        <v>-0.80329999999997803</v>
      </c>
      <c r="AF682">
        <v>0.74273601269980805</v>
      </c>
      <c r="AG682">
        <v>-1.121166385902</v>
      </c>
      <c r="AH682">
        <v>14.545887061850401</v>
      </c>
      <c r="AI682">
        <v>94.401811541099306</v>
      </c>
      <c r="AJ682">
        <v>87.076925491450396</v>
      </c>
      <c r="AK682">
        <v>14.607925974125999</v>
      </c>
      <c r="AL682">
        <v>94.731580355623294</v>
      </c>
      <c r="AM682">
        <v>88.610079208397195</v>
      </c>
      <c r="AN682">
        <v>0.99999995234205596</v>
      </c>
    </row>
    <row r="683" spans="1:40" x14ac:dyDescent="0.25">
      <c r="A683" t="str">
        <f>"20190303154110797"</f>
        <v>20190303154110797</v>
      </c>
      <c r="B683" t="str">
        <f>"1551598870790457"</f>
        <v>1551598870790457</v>
      </c>
      <c r="C683" t="s">
        <v>40</v>
      </c>
      <c r="D683">
        <v>5.9372089999999904</v>
      </c>
      <c r="E683">
        <v>0.50936250000000005</v>
      </c>
      <c r="F683" t="s">
        <v>41</v>
      </c>
      <c r="G683">
        <v>-350.666</v>
      </c>
      <c r="H683" s="1">
        <v>-4.4852489999999997E-6</v>
      </c>
      <c r="I683">
        <v>366.80509999999998</v>
      </c>
      <c r="J683">
        <v>-365.32040000000001</v>
      </c>
      <c r="K683">
        <v>1.121127</v>
      </c>
      <c r="L683">
        <v>367.61250000000001</v>
      </c>
      <c r="M683">
        <v>0.99989419999999996</v>
      </c>
      <c r="N683">
        <v>-1.403624E-2</v>
      </c>
      <c r="O683">
        <v>-3.8422159999999999E-3</v>
      </c>
      <c r="P683">
        <v>0.99499579999999999</v>
      </c>
      <c r="Q683">
        <v>-9.5939410000000003E-2</v>
      </c>
      <c r="R683">
        <v>-2.7916719999999999E-2</v>
      </c>
      <c r="S683">
        <v>2.9888309999999998</v>
      </c>
      <c r="T683">
        <v>-0.22553790000000001</v>
      </c>
      <c r="U683">
        <v>-0.16256709999999999</v>
      </c>
      <c r="V683">
        <v>2.4089949999999999E-2</v>
      </c>
      <c r="W683">
        <v>-8.1963480000000005E-2</v>
      </c>
      <c r="X683">
        <v>0.99634409999999896</v>
      </c>
      <c r="Y683">
        <v>5.0311880000000003E-2</v>
      </c>
      <c r="Z683">
        <v>-2.012682E-3</v>
      </c>
      <c r="AA683">
        <v>0.99873160000000005</v>
      </c>
      <c r="AB683">
        <v>20</v>
      </c>
      <c r="AC683">
        <v>14.654400000000001</v>
      </c>
      <c r="AD683">
        <v>-1.121131485249</v>
      </c>
      <c r="AE683">
        <v>-0.80740000000002898</v>
      </c>
      <c r="AF683">
        <v>0.74672578321354399</v>
      </c>
      <c r="AG683">
        <v>-1.121131485249</v>
      </c>
      <c r="AH683">
        <v>14.572360715384001</v>
      </c>
      <c r="AI683">
        <v>94.393669440022606</v>
      </c>
      <c r="AJ683">
        <v>87.066580503471698</v>
      </c>
      <c r="AK683">
        <v>14.634487760827099</v>
      </c>
      <c r="AL683">
        <v>94.701435810600302</v>
      </c>
      <c r="AM683">
        <v>88.614952809649097</v>
      </c>
      <c r="AN683">
        <v>0.99999995167475997</v>
      </c>
    </row>
    <row r="684" spans="1:40" x14ac:dyDescent="0.25">
      <c r="A684" t="str">
        <f>"20190303154110820"</f>
        <v>20190303154110820</v>
      </c>
      <c r="B684" t="str">
        <f>"1551598870809995"</f>
        <v>1551598870809995</v>
      </c>
      <c r="C684" t="s">
        <v>40</v>
      </c>
      <c r="D684">
        <v>6.0264179999999996</v>
      </c>
      <c r="E684">
        <v>0.4783173</v>
      </c>
      <c r="F684" t="s">
        <v>41</v>
      </c>
      <c r="G684">
        <v>-350.21679999999998</v>
      </c>
      <c r="H684" s="1">
        <v>-4.6765129999999998E-6</v>
      </c>
      <c r="I684">
        <v>366.81319999999999</v>
      </c>
      <c r="J684">
        <v>-365.11430000000001</v>
      </c>
      <c r="K684">
        <v>1.1210869999999999</v>
      </c>
      <c r="L684">
        <v>367.61160000000001</v>
      </c>
      <c r="M684">
        <v>0.99989689999999998</v>
      </c>
      <c r="N684">
        <v>-1.3843350000000001E-2</v>
      </c>
      <c r="O684">
        <v>-3.8424230000000002E-3</v>
      </c>
      <c r="P684">
        <v>0.9949616</v>
      </c>
      <c r="Q684">
        <v>-9.6295919999999993E-2</v>
      </c>
      <c r="R684">
        <v>-2.7909139999999999E-2</v>
      </c>
      <c r="S684">
        <v>2.989258</v>
      </c>
      <c r="T684">
        <v>-0.221889</v>
      </c>
      <c r="U684">
        <v>-0.1581726</v>
      </c>
      <c r="V684">
        <v>2.4082360000000001E-2</v>
      </c>
      <c r="W684">
        <v>-8.2512639999999998E-2</v>
      </c>
      <c r="X684">
        <v>0.99629900000000005</v>
      </c>
      <c r="Y684">
        <v>4.8849780000000002E-2</v>
      </c>
      <c r="Z684">
        <v>-1.916683E-3</v>
      </c>
      <c r="AA684">
        <v>0.99880429999999998</v>
      </c>
      <c r="AB684">
        <v>20</v>
      </c>
      <c r="AC684">
        <v>14.897500000000001</v>
      </c>
      <c r="AD684">
        <v>-1.1210916765129999</v>
      </c>
      <c r="AE684">
        <v>-0.79840000000001499</v>
      </c>
      <c r="AF684">
        <v>0.73698445332062901</v>
      </c>
      <c r="AG684">
        <v>-1.1210916765129999</v>
      </c>
      <c r="AH684">
        <v>14.816789203272499</v>
      </c>
      <c r="AI684">
        <v>94.321638113110495</v>
      </c>
      <c r="AJ684">
        <v>87.152464909460704</v>
      </c>
      <c r="AK684">
        <v>14.8774068616072</v>
      </c>
      <c r="AL684">
        <v>94.733007091324296</v>
      </c>
      <c r="AM684">
        <v>88.615326371856</v>
      </c>
      <c r="AN684">
        <v>0.99999999661196903</v>
      </c>
    </row>
    <row r="685" spans="1:40" x14ac:dyDescent="0.25">
      <c r="A685" t="str">
        <f>"20190303154110843"</f>
        <v>20190303154110843</v>
      </c>
      <c r="B685" t="str">
        <f>"1551598870840215"</f>
        <v>1551598870840215</v>
      </c>
      <c r="C685" t="s">
        <v>40</v>
      </c>
      <c r="D685">
        <v>5.758731</v>
      </c>
      <c r="E685">
        <v>0.4754892</v>
      </c>
      <c r="F685" t="s">
        <v>41</v>
      </c>
      <c r="G685">
        <v>-352.27210000000002</v>
      </c>
      <c r="H685" s="1">
        <v>-3.5853670000000002E-6</v>
      </c>
      <c r="I685">
        <v>367.99380000000002</v>
      </c>
      <c r="J685">
        <v>-364.91879999999998</v>
      </c>
      <c r="K685">
        <v>1.1210560000000001</v>
      </c>
      <c r="L685">
        <v>367.61090000000002</v>
      </c>
      <c r="M685">
        <v>0.99989930000000005</v>
      </c>
      <c r="N685">
        <v>-1.366477E-2</v>
      </c>
      <c r="O685">
        <v>-3.8421499999999999E-3</v>
      </c>
      <c r="P685">
        <v>0.99491050000000003</v>
      </c>
      <c r="Q685">
        <v>-9.6791219999999997E-2</v>
      </c>
      <c r="R685">
        <v>-2.801124E-2</v>
      </c>
      <c r="S685">
        <v>2.9924010000000001</v>
      </c>
      <c r="T685">
        <v>-0.26122699999999999</v>
      </c>
      <c r="U685">
        <v>8.9050290000000004E-2</v>
      </c>
      <c r="V685">
        <v>2.4184850000000001E-2</v>
      </c>
      <c r="W685">
        <v>-8.3186510000000005E-2</v>
      </c>
      <c r="X685">
        <v>0.99624049999999997</v>
      </c>
      <c r="Y685">
        <v>-3.3428840000000001E-2</v>
      </c>
      <c r="Z685">
        <v>1.9672800000000001E-3</v>
      </c>
      <c r="AA685">
        <v>0.99943919999999997</v>
      </c>
      <c r="AB685">
        <v>20</v>
      </c>
      <c r="AC685">
        <v>12.6466999999999</v>
      </c>
      <c r="AD685">
        <v>-1.121059585367</v>
      </c>
      <c r="AE685">
        <v>0.38290000000000601</v>
      </c>
      <c r="AF685">
        <v>-0.428131123361641</v>
      </c>
      <c r="AG685">
        <v>-1.121059585367</v>
      </c>
      <c r="AH685">
        <v>12.5466362219255</v>
      </c>
      <c r="AI685">
        <v>95.102944959806507</v>
      </c>
      <c r="AJ685">
        <v>91.954355874956605</v>
      </c>
      <c r="AK685">
        <v>12.6038942925616</v>
      </c>
      <c r="AL685">
        <v>94.771750092543101</v>
      </c>
      <c r="AM685">
        <v>88.609354146988807</v>
      </c>
      <c r="AN685">
        <v>1.0000000181278701</v>
      </c>
    </row>
    <row r="686" spans="1:40" x14ac:dyDescent="0.25">
      <c r="A686" t="str">
        <f>"20190303154110863"</f>
        <v>20190303154110863</v>
      </c>
      <c r="B686" t="str">
        <f>"1551598870859735"</f>
        <v>1551598870859735</v>
      </c>
      <c r="C686" t="s">
        <v>40</v>
      </c>
      <c r="D686">
        <v>5.9890720000000002</v>
      </c>
      <c r="E686">
        <v>0.4760047</v>
      </c>
      <c r="F686" t="s">
        <v>41</v>
      </c>
      <c r="G686">
        <v>-352.80259999999998</v>
      </c>
      <c r="H686" s="1">
        <v>-3.3456530000000002E-6</v>
      </c>
      <c r="I686">
        <v>368.06209999999999</v>
      </c>
      <c r="J686">
        <v>-364.7371</v>
      </c>
      <c r="K686">
        <v>1.1210340000000001</v>
      </c>
      <c r="L686">
        <v>367.61020000000002</v>
      </c>
      <c r="M686">
        <v>0.99990140000000005</v>
      </c>
      <c r="N686">
        <v>-1.3512649999999999E-2</v>
      </c>
      <c r="O686">
        <v>-3.8419510000000001E-3</v>
      </c>
      <c r="P686">
        <v>0.99486549999999996</v>
      </c>
      <c r="Q686">
        <v>-9.7205219999999995E-2</v>
      </c>
      <c r="R686">
        <v>-2.8175370000000002E-2</v>
      </c>
      <c r="S686">
        <v>2.9915769999999999</v>
      </c>
      <c r="T686">
        <v>-0.27679569999999998</v>
      </c>
      <c r="U686">
        <v>0.111419699999999</v>
      </c>
      <c r="V686">
        <v>2.43494E-2</v>
      </c>
      <c r="W686">
        <v>-8.375262E-2</v>
      </c>
      <c r="X686">
        <v>0.99618910000000005</v>
      </c>
      <c r="Y686">
        <v>-4.0846250000000001E-2</v>
      </c>
      <c r="Z686">
        <v>2.464525E-3</v>
      </c>
      <c r="AA686">
        <v>0.99916240000000001</v>
      </c>
      <c r="AB686">
        <v>20</v>
      </c>
      <c r="AC686">
        <v>11.9345</v>
      </c>
      <c r="AD686">
        <v>-1.1210373456530001</v>
      </c>
      <c r="AE686">
        <v>0.451899999999966</v>
      </c>
      <c r="AF686">
        <v>-0.49340537402777201</v>
      </c>
      <c r="AG686">
        <v>-1.1210373456530001</v>
      </c>
      <c r="AH686">
        <v>11.828458790659299</v>
      </c>
      <c r="AI686">
        <v>95.409336603985807</v>
      </c>
      <c r="AJ686">
        <v>92.388617689691401</v>
      </c>
      <c r="AK686">
        <v>11.8917034505488</v>
      </c>
      <c r="AL686">
        <v>94.804299196700796</v>
      </c>
      <c r="AM686">
        <v>88.599823948071304</v>
      </c>
      <c r="AN686">
        <v>1.00000005879801</v>
      </c>
    </row>
    <row r="687" spans="1:40" x14ac:dyDescent="0.25">
      <c r="A687" t="str">
        <f>"20190303154110886"</f>
        <v>20190303154110886</v>
      </c>
      <c r="B687" t="str">
        <f>"1551598870880232"</f>
        <v>1551598870880232</v>
      </c>
      <c r="C687" t="s">
        <v>40</v>
      </c>
      <c r="D687">
        <v>6.0147120000000003</v>
      </c>
      <c r="E687">
        <v>0.47649209999999897</v>
      </c>
      <c r="F687" t="s">
        <v>41</v>
      </c>
      <c r="G687">
        <v>-352.46570000000003</v>
      </c>
      <c r="H687" s="1">
        <v>-3.4924900000000002E-6</v>
      </c>
      <c r="I687">
        <v>368.04930000000002</v>
      </c>
      <c r="J687">
        <v>-364.53699999999998</v>
      </c>
      <c r="K687">
        <v>1.121014</v>
      </c>
      <c r="L687">
        <v>367.60950000000003</v>
      </c>
      <c r="M687">
        <v>0.99990330000000005</v>
      </c>
      <c r="N687">
        <v>-1.3359060000000001E-2</v>
      </c>
      <c r="O687">
        <v>-3.8416349999999999E-3</v>
      </c>
      <c r="P687">
        <v>0.9948785</v>
      </c>
      <c r="Q687">
        <v>-9.7073850000000003E-2</v>
      </c>
      <c r="R687">
        <v>-2.8174769999999998E-2</v>
      </c>
      <c r="S687">
        <v>2.9917910000000001</v>
      </c>
      <c r="T687">
        <v>-0.273308</v>
      </c>
      <c r="U687">
        <v>0.1070557</v>
      </c>
      <c r="V687">
        <v>2.4348930000000001E-2</v>
      </c>
      <c r="W687">
        <v>-8.3774130000000002E-2</v>
      </c>
      <c r="X687">
        <v>0.9961873</v>
      </c>
      <c r="Y687">
        <v>-3.9399919999999998E-2</v>
      </c>
      <c r="Z687">
        <v>2.3581219999999998E-3</v>
      </c>
      <c r="AA687">
        <v>0.99922069999999996</v>
      </c>
      <c r="AB687">
        <v>20</v>
      </c>
      <c r="AC687">
        <v>12.0712999999999</v>
      </c>
      <c r="AD687">
        <v>-1.12101749249</v>
      </c>
      <c r="AE687">
        <v>0.43979999999999098</v>
      </c>
      <c r="AF687">
        <v>-0.48202289439345197</v>
      </c>
      <c r="AG687">
        <v>-1.12101749249</v>
      </c>
      <c r="AH687">
        <v>11.966457397347099</v>
      </c>
      <c r="AI687">
        <v>95.347536678788302</v>
      </c>
      <c r="AJ687">
        <v>92.306693931981101</v>
      </c>
      <c r="AK687">
        <v>12.028513163800101</v>
      </c>
      <c r="AL687">
        <v>94.805535988933698</v>
      </c>
      <c r="AM687">
        <v>88.599848435056998</v>
      </c>
      <c r="AN687">
        <v>1.0000000559653399</v>
      </c>
    </row>
    <row r="688" spans="1:40" x14ac:dyDescent="0.25">
      <c r="A688" t="str">
        <f>"20190303154110908"</f>
        <v>20190303154110908</v>
      </c>
      <c r="B688" t="str">
        <f>"1551598870899754"</f>
        <v>1551598870899754</v>
      </c>
      <c r="C688" t="s">
        <v>40</v>
      </c>
      <c r="D688">
        <v>6.0136099999999999</v>
      </c>
      <c r="E688">
        <v>0.47671530000000001</v>
      </c>
      <c r="F688" t="s">
        <v>41</v>
      </c>
      <c r="G688">
        <v>-352.17840000000001</v>
      </c>
      <c r="H688" s="1">
        <v>-3.6181679999999999E-6</v>
      </c>
      <c r="I688">
        <v>368.03559999999999</v>
      </c>
      <c r="J688">
        <v>-364.34129999999999</v>
      </c>
      <c r="K688">
        <v>1.1209979999999999</v>
      </c>
      <c r="L688">
        <v>367.6087</v>
      </c>
      <c r="M688">
        <v>0.99990520000000005</v>
      </c>
      <c r="N688">
        <v>-1.3220630000000001E-2</v>
      </c>
      <c r="O688">
        <v>-3.8417880000000001E-3</v>
      </c>
      <c r="P688">
        <v>0.99482360000000003</v>
      </c>
      <c r="Q688">
        <v>-9.7576709999999997E-2</v>
      </c>
      <c r="R688">
        <v>-2.8370240000000001E-2</v>
      </c>
      <c r="S688">
        <v>2.9918520000000002</v>
      </c>
      <c r="T688">
        <v>-0.27138030000000002</v>
      </c>
      <c r="U688">
        <v>0.1031799</v>
      </c>
      <c r="V688">
        <v>2.454456E-2</v>
      </c>
      <c r="W688">
        <v>-8.4415589999999999E-2</v>
      </c>
      <c r="X688">
        <v>0.99612829999999997</v>
      </c>
      <c r="Y688">
        <v>-3.8115389999999999E-2</v>
      </c>
      <c r="Z688">
        <v>2.2742119999999998E-3</v>
      </c>
      <c r="AA688">
        <v>0.99927069999999996</v>
      </c>
      <c r="AB688">
        <v>20</v>
      </c>
      <c r="AC688">
        <v>12.162899999999899</v>
      </c>
      <c r="AD688">
        <v>-1.121001618168</v>
      </c>
      <c r="AE688">
        <v>0.42689999999998901</v>
      </c>
      <c r="AF688">
        <v>-0.46964373383389302</v>
      </c>
      <c r="AG688">
        <v>-1.121001618168</v>
      </c>
      <c r="AH688">
        <v>12.058861963166899</v>
      </c>
      <c r="AI688">
        <v>95.306998393966296</v>
      </c>
      <c r="AJ688">
        <v>92.230310903780904</v>
      </c>
      <c r="AK688">
        <v>12.119957166235301</v>
      </c>
      <c r="AL688">
        <v>94.8424198186556</v>
      </c>
      <c r="AM688">
        <v>88.588519972241997</v>
      </c>
      <c r="AN688">
        <v>1.0000000086607601</v>
      </c>
    </row>
    <row r="689" spans="1:40" x14ac:dyDescent="0.25">
      <c r="A689" t="str">
        <f>"20190303154110931"</f>
        <v>20190303154110931</v>
      </c>
      <c r="B689" t="str">
        <f>"1551598870920247"</f>
        <v>1551598870920247</v>
      </c>
      <c r="C689" t="s">
        <v>40</v>
      </c>
      <c r="D689">
        <v>6.015053</v>
      </c>
      <c r="E689">
        <v>0.47660200000000003</v>
      </c>
      <c r="F689" t="s">
        <v>41</v>
      </c>
      <c r="G689">
        <v>-351.96370000000002</v>
      </c>
      <c r="H689" s="1">
        <v>-3.7121570000000001E-6</v>
      </c>
      <c r="I689">
        <v>368.0249</v>
      </c>
      <c r="J689">
        <v>-364.13760000000002</v>
      </c>
      <c r="K689">
        <v>1.120989</v>
      </c>
      <c r="L689">
        <v>367.60789999999997</v>
      </c>
      <c r="M689">
        <v>0.99990710000000005</v>
      </c>
      <c r="N689">
        <v>-1.3090549999999999E-2</v>
      </c>
      <c r="O689">
        <v>-3.841887E-3</v>
      </c>
      <c r="P689">
        <v>0.9948207</v>
      </c>
      <c r="Q689">
        <v>-9.7628380000000001E-2</v>
      </c>
      <c r="R689">
        <v>-2.8298279999999999E-2</v>
      </c>
      <c r="S689">
        <v>2.9919129999999998</v>
      </c>
      <c r="T689">
        <v>-0.27096530000000002</v>
      </c>
      <c r="U689">
        <v>0.1006165</v>
      </c>
      <c r="V689">
        <v>2.4472580000000001E-2</v>
      </c>
      <c r="W689">
        <v>-8.4596850000000001E-2</v>
      </c>
      <c r="X689">
        <v>0.99611470000000002</v>
      </c>
      <c r="Y689">
        <v>-3.72643E-2</v>
      </c>
      <c r="Z689">
        <v>2.2250220000000001E-3</v>
      </c>
      <c r="AA689">
        <v>0.99930300000000005</v>
      </c>
      <c r="AB689">
        <v>20</v>
      </c>
      <c r="AC689">
        <v>12.1739</v>
      </c>
      <c r="AD689">
        <v>-1.120992712157</v>
      </c>
      <c r="AE689">
        <v>0.41700000000003001</v>
      </c>
      <c r="AF689">
        <v>-0.45987693020473203</v>
      </c>
      <c r="AG689">
        <v>-1.120992712157</v>
      </c>
      <c r="AH689">
        <v>12.0699861125685</v>
      </c>
      <c r="AI689">
        <v>95.302264646447995</v>
      </c>
      <c r="AJ689">
        <v>92.181963423184797</v>
      </c>
      <c r="AK689">
        <v>12.1306502797352</v>
      </c>
      <c r="AL689">
        <v>94.852842503882101</v>
      </c>
      <c r="AM689">
        <v>88.592638440466104</v>
      </c>
      <c r="AN689">
        <v>1.0000000148789301</v>
      </c>
    </row>
    <row r="690" spans="1:40" x14ac:dyDescent="0.25">
      <c r="A690" t="str">
        <f>"20190303154110954"</f>
        <v>20190303154110954</v>
      </c>
      <c r="B690" t="str">
        <f>"1551598870949527"</f>
        <v>1551598870949527</v>
      </c>
      <c r="C690" t="s">
        <v>40</v>
      </c>
      <c r="D690">
        <v>6.0150399999999999</v>
      </c>
      <c r="E690">
        <v>0.47665010000000002</v>
      </c>
      <c r="F690" t="s">
        <v>41</v>
      </c>
      <c r="G690">
        <v>-351.6891</v>
      </c>
      <c r="H690" s="1">
        <v>-3.8288420000000004E-6</v>
      </c>
      <c r="I690">
        <v>368.03109999999998</v>
      </c>
      <c r="J690">
        <v>-363.94529999999997</v>
      </c>
      <c r="K690">
        <v>1.1209769999999999</v>
      </c>
      <c r="L690">
        <v>367.6071</v>
      </c>
      <c r="M690">
        <v>0.99990840000000003</v>
      </c>
      <c r="N690">
        <v>-1.2982830000000001E-2</v>
      </c>
      <c r="O690">
        <v>-3.841662E-3</v>
      </c>
      <c r="P690">
        <v>0.99474960000000001</v>
      </c>
      <c r="Q690">
        <v>-9.8087069999999998E-2</v>
      </c>
      <c r="R690">
        <v>-2.9199070000000001E-2</v>
      </c>
      <c r="S690">
        <v>2.9920960000000001</v>
      </c>
      <c r="T690">
        <v>-0.26943899999999998</v>
      </c>
      <c r="U690">
        <v>0.1017151</v>
      </c>
      <c r="V690">
        <v>2.5373610000000001E-2</v>
      </c>
      <c r="W690">
        <v>-8.5163760000000005E-2</v>
      </c>
      <c r="X690">
        <v>0.99604389999999998</v>
      </c>
      <c r="Y690">
        <v>-3.7628990000000001E-2</v>
      </c>
      <c r="Z690">
        <v>2.2306280000000001E-3</v>
      </c>
      <c r="AA690">
        <v>0.99928930000000005</v>
      </c>
      <c r="AB690">
        <v>20</v>
      </c>
      <c r="AC690">
        <v>12.2561999999999</v>
      </c>
      <c r="AD690">
        <v>-1.120980828842</v>
      </c>
      <c r="AE690">
        <v>0.42399999999997801</v>
      </c>
      <c r="AF690">
        <v>-0.46718154361299102</v>
      </c>
      <c r="AG690">
        <v>-1.120980828842</v>
      </c>
      <c r="AH690">
        <v>12.1529383494527</v>
      </c>
      <c r="AI690">
        <v>95.266153443999102</v>
      </c>
      <c r="AJ690">
        <v>92.201472281738106</v>
      </c>
      <c r="AK690">
        <v>12.2134666306877</v>
      </c>
      <c r="AL690">
        <v>94.885441437469893</v>
      </c>
      <c r="AM690">
        <v>88.540740616223303</v>
      </c>
      <c r="AN690">
        <v>1.0000000684144801</v>
      </c>
    </row>
    <row r="691" spans="1:40" x14ac:dyDescent="0.25">
      <c r="A691" t="str">
        <f>"20190303154110974"</f>
        <v>20190303154110974</v>
      </c>
      <c r="B691" t="str">
        <f>"1551598870970023"</f>
        <v>1551598870970023</v>
      </c>
      <c r="C691" t="s">
        <v>40</v>
      </c>
      <c r="D691">
        <v>6.0327500000000001</v>
      </c>
      <c r="E691">
        <v>0.47678470000000001</v>
      </c>
      <c r="F691" t="s">
        <v>41</v>
      </c>
      <c r="G691">
        <v>-351.61739999999998</v>
      </c>
      <c r="H691" s="1">
        <v>-3.862858E-6</v>
      </c>
      <c r="I691">
        <v>368.01280000000003</v>
      </c>
      <c r="J691">
        <v>-363.76170000000002</v>
      </c>
      <c r="K691">
        <v>1.1209629999999999</v>
      </c>
      <c r="L691">
        <v>367.60649999999998</v>
      </c>
      <c r="M691">
        <v>0.99990959999999995</v>
      </c>
      <c r="N691">
        <v>-1.289293E-2</v>
      </c>
      <c r="O691">
        <v>-3.8416779999999998E-3</v>
      </c>
      <c r="P691">
        <v>0.99467269999999997</v>
      </c>
      <c r="Q691">
        <v>-9.8663210000000001E-2</v>
      </c>
      <c r="R691">
        <v>-2.986844E-2</v>
      </c>
      <c r="S691">
        <v>2.9919129999999998</v>
      </c>
      <c r="T691">
        <v>-0.2720534</v>
      </c>
      <c r="U691">
        <v>9.8449709999999996E-2</v>
      </c>
      <c r="V691">
        <v>2.6043420000000001E-2</v>
      </c>
      <c r="W691">
        <v>-8.5830370000000003E-2</v>
      </c>
      <c r="X691">
        <v>0.99596929999999995</v>
      </c>
      <c r="Y691">
        <v>-3.6543430000000002E-2</v>
      </c>
      <c r="Z691">
        <v>2.19286E-3</v>
      </c>
      <c r="AA691">
        <v>0.99932969999999999</v>
      </c>
      <c r="AB691">
        <v>20</v>
      </c>
      <c r="AC691">
        <v>12.144299999999999</v>
      </c>
      <c r="AD691">
        <v>-1.1209668628579901</v>
      </c>
      <c r="AE691">
        <v>0.40630000000004401</v>
      </c>
      <c r="AF691">
        <v>-0.449133021413612</v>
      </c>
      <c r="AG691">
        <v>-1.1209668628579901</v>
      </c>
      <c r="AH691">
        <v>12.0401814807927</v>
      </c>
      <c r="AI691">
        <v>95.315351861558199</v>
      </c>
      <c r="AJ691">
        <v>92.136305048503203</v>
      </c>
      <c r="AK691">
        <v>12.1005891290042</v>
      </c>
      <c r="AL691">
        <v>94.9237761788292</v>
      </c>
      <c r="AM691">
        <v>88.5021244209195</v>
      </c>
      <c r="AN691">
        <v>0.999999979341061</v>
      </c>
    </row>
    <row r="692" spans="1:40" x14ac:dyDescent="0.25">
      <c r="A692" t="str">
        <f>"20190303154110998"</f>
        <v>20190303154110998</v>
      </c>
      <c r="B692" t="str">
        <f>"1551598870989546"</f>
        <v>1551598870989546</v>
      </c>
      <c r="C692" t="s">
        <v>40</v>
      </c>
      <c r="D692">
        <v>5.7571940000000001</v>
      </c>
      <c r="E692">
        <v>0.47705259999999999</v>
      </c>
      <c r="F692" t="s">
        <v>41</v>
      </c>
      <c r="G692">
        <v>-351.52910000000003</v>
      </c>
      <c r="H692" s="1">
        <v>-3.9035799999999996E-6</v>
      </c>
      <c r="I692">
        <v>367.99689999999998</v>
      </c>
      <c r="J692">
        <v>-363.55810000000002</v>
      </c>
      <c r="K692">
        <v>1.1209610000000001</v>
      </c>
      <c r="L692">
        <v>367.60570000000001</v>
      </c>
      <c r="M692">
        <v>0.99991079999999999</v>
      </c>
      <c r="N692">
        <v>-1.280543E-2</v>
      </c>
      <c r="O692">
        <v>-3.8417130000000001E-3</v>
      </c>
      <c r="P692">
        <v>0.99467629999999996</v>
      </c>
      <c r="Q692">
        <v>-9.8501240000000004E-2</v>
      </c>
      <c r="R692">
        <v>-3.0278349999999999E-2</v>
      </c>
      <c r="S692">
        <v>2.9917600000000002</v>
      </c>
      <c r="T692">
        <v>-0.27415390000000001</v>
      </c>
      <c r="U692">
        <v>9.5489500000000005E-2</v>
      </c>
      <c r="V692">
        <v>2.64532E-2</v>
      </c>
      <c r="W692">
        <v>-8.5755509999999993E-2</v>
      </c>
      <c r="X692">
        <v>0.99596490000000004</v>
      </c>
      <c r="Y692">
        <v>-3.5559439999999998E-2</v>
      </c>
      <c r="Z692">
        <v>2.1558630000000001E-3</v>
      </c>
      <c r="AA692">
        <v>0.99936519999999995</v>
      </c>
      <c r="AB692">
        <v>20</v>
      </c>
      <c r="AC692">
        <v>12.0289999999999</v>
      </c>
      <c r="AD692">
        <v>-1.12096490358</v>
      </c>
      <c r="AE692">
        <v>0.39119999999996902</v>
      </c>
      <c r="AF692">
        <v>-0.433650968676142</v>
      </c>
      <c r="AG692">
        <v>-1.12096490358</v>
      </c>
      <c r="AH692">
        <v>11.9239686440122</v>
      </c>
      <c r="AI692">
        <v>95.367029217434407</v>
      </c>
      <c r="AJ692">
        <v>92.082815337123407</v>
      </c>
      <c r="AK692">
        <v>11.984391670046399</v>
      </c>
      <c r="AL692">
        <v>94.919471384053693</v>
      </c>
      <c r="AM692">
        <v>88.478560382021996</v>
      </c>
      <c r="AN692">
        <v>0.99999993065880199</v>
      </c>
    </row>
    <row r="693" spans="1:40" x14ac:dyDescent="0.25">
      <c r="A693" t="str">
        <f>"20190303154111019"</f>
        <v>20190303154111019</v>
      </c>
      <c r="B693" t="str">
        <f>"1551598871010039"</f>
        <v>1551598871010039</v>
      </c>
      <c r="C693" t="s">
        <v>40</v>
      </c>
      <c r="D693">
        <v>5.9771609999999997</v>
      </c>
      <c r="E693">
        <v>0.47705360000000002</v>
      </c>
      <c r="F693" t="s">
        <v>41</v>
      </c>
      <c r="G693">
        <v>-351.29860000000002</v>
      </c>
      <c r="H693" s="1">
        <v>-4.0049779999999996E-6</v>
      </c>
      <c r="I693">
        <v>367.98270000000002</v>
      </c>
      <c r="J693">
        <v>-363.37119999999999</v>
      </c>
      <c r="K693">
        <v>1.1209610000000001</v>
      </c>
      <c r="L693">
        <v>367.60500000000002</v>
      </c>
      <c r="M693">
        <v>0.99991149999999995</v>
      </c>
      <c r="N693">
        <v>-1.273444E-2</v>
      </c>
      <c r="O693">
        <v>-3.8416190000000001E-3</v>
      </c>
      <c r="P693">
        <v>0.99475270000000005</v>
      </c>
      <c r="Q693">
        <v>-9.7816710000000001E-2</v>
      </c>
      <c r="R693">
        <v>-2.998313E-2</v>
      </c>
      <c r="S693">
        <v>2.9917600000000002</v>
      </c>
      <c r="T693">
        <v>-0.2735533</v>
      </c>
      <c r="U693">
        <v>9.2010499999999995E-2</v>
      </c>
      <c r="V693">
        <v>2.6157920000000001E-2</v>
      </c>
      <c r="W693">
        <v>-8.5140800000000003E-2</v>
      </c>
      <c r="X693">
        <v>0.99602550000000001</v>
      </c>
      <c r="Y693">
        <v>-3.4404669999999998E-2</v>
      </c>
      <c r="Z693">
        <v>2.0905329999999999E-3</v>
      </c>
      <c r="AA693">
        <v>0.99940580000000001</v>
      </c>
      <c r="AB693">
        <v>20</v>
      </c>
      <c r="AC693">
        <v>12.0725999999999</v>
      </c>
      <c r="AD693">
        <v>-1.120965004978</v>
      </c>
      <c r="AE693">
        <v>0.37770000000000398</v>
      </c>
      <c r="AF693">
        <v>-0.420457874518811</v>
      </c>
      <c r="AG693">
        <v>-1.120965004978</v>
      </c>
      <c r="AH693">
        <v>11.9679788518627</v>
      </c>
      <c r="AI693">
        <v>95.347642619471301</v>
      </c>
      <c r="AJ693">
        <v>92.012082247294202</v>
      </c>
      <c r="AK693">
        <v>12.0277123828791</v>
      </c>
      <c r="AL693">
        <v>94.884121492305695</v>
      </c>
      <c r="AM693">
        <v>88.495626873796198</v>
      </c>
      <c r="AN693">
        <v>0.999999994626808</v>
      </c>
    </row>
    <row r="694" spans="1:40" x14ac:dyDescent="0.25">
      <c r="A694" t="str">
        <f>"20190303154111042"</f>
        <v>20190303154111042</v>
      </c>
      <c r="B694" t="str">
        <f>"1551598871039826"</f>
        <v>1551598871039826</v>
      </c>
      <c r="C694" t="s">
        <v>40</v>
      </c>
      <c r="D694">
        <v>6.0266029999999997</v>
      </c>
      <c r="E694">
        <v>0.47706789999999999</v>
      </c>
      <c r="F694" t="s">
        <v>41</v>
      </c>
      <c r="G694">
        <v>-350.96980000000002</v>
      </c>
      <c r="H694" s="1">
        <v>-4.1446720000000004E-6</v>
      </c>
      <c r="I694">
        <v>367.99020000000002</v>
      </c>
      <c r="J694">
        <v>-363.17009999999999</v>
      </c>
      <c r="K694">
        <v>1.120965</v>
      </c>
      <c r="L694">
        <v>367.60419999999999</v>
      </c>
      <c r="M694">
        <v>0.99991240000000003</v>
      </c>
      <c r="N694">
        <v>-1.266719E-2</v>
      </c>
      <c r="O694">
        <v>-3.84155E-3</v>
      </c>
      <c r="P694">
        <v>0.99481790000000003</v>
      </c>
      <c r="Q694">
        <v>-9.7519579999999995E-2</v>
      </c>
      <c r="R694">
        <v>-2.8764580000000001E-2</v>
      </c>
      <c r="S694">
        <v>2.9920040000000001</v>
      </c>
      <c r="T694">
        <v>-0.2704452</v>
      </c>
      <c r="U694">
        <v>9.2956540000000004E-2</v>
      </c>
      <c r="V694">
        <v>2.4939030000000001E-2</v>
      </c>
      <c r="W694">
        <v>-8.4909849999999995E-2</v>
      </c>
      <c r="X694">
        <v>0.99607650000000003</v>
      </c>
      <c r="Y694">
        <v>-3.4720210000000001E-2</v>
      </c>
      <c r="Z694">
        <v>2.0839600000000002E-3</v>
      </c>
      <c r="AA694">
        <v>0.99939489999999997</v>
      </c>
      <c r="AB694">
        <v>20</v>
      </c>
      <c r="AC694">
        <v>12.200299999999899</v>
      </c>
      <c r="AD694">
        <v>-1.120969144672</v>
      </c>
      <c r="AE694">
        <v>0.38600000000002399</v>
      </c>
      <c r="AF694">
        <v>-0.42924887071622703</v>
      </c>
      <c r="AG694">
        <v>-1.120969144672</v>
      </c>
      <c r="AH694">
        <v>12.096708489055899</v>
      </c>
      <c r="AI694">
        <v>95.291013238325206</v>
      </c>
      <c r="AJ694">
        <v>92.032274625788403</v>
      </c>
      <c r="AK694">
        <v>12.156117089166001</v>
      </c>
      <c r="AL694">
        <v>94.870840836647403</v>
      </c>
      <c r="AM694">
        <v>88.565770098420998</v>
      </c>
      <c r="AN694">
        <v>1.0000000158483</v>
      </c>
    </row>
    <row r="695" spans="1:40" x14ac:dyDescent="0.25">
      <c r="A695" t="str">
        <f>"20190303154111064"</f>
        <v>20190303154111064</v>
      </c>
      <c r="B695" t="str">
        <f>"1551598871060322"</f>
        <v>1551598871060322</v>
      </c>
      <c r="C695" t="s">
        <v>40</v>
      </c>
      <c r="D695">
        <v>6.0336589999999903</v>
      </c>
      <c r="E695">
        <v>0.47696339999999998</v>
      </c>
      <c r="F695" t="s">
        <v>41</v>
      </c>
      <c r="G695">
        <v>-350.69240000000002</v>
      </c>
      <c r="H695" s="1">
        <v>-4.2607039999999998E-6</v>
      </c>
      <c r="I695">
        <v>368.00700000000001</v>
      </c>
      <c r="J695">
        <v>-362.98070000000001</v>
      </c>
      <c r="K695">
        <v>1.1209610000000001</v>
      </c>
      <c r="L695">
        <v>367.6035</v>
      </c>
      <c r="M695">
        <v>0.99991319999999995</v>
      </c>
      <c r="N695">
        <v>-1.261168E-2</v>
      </c>
      <c r="O695">
        <v>-3.8415580000000001E-3</v>
      </c>
      <c r="P695">
        <v>0.99484519999999999</v>
      </c>
      <c r="Q695">
        <v>-9.7641160000000005E-2</v>
      </c>
      <c r="R695">
        <v>-2.738003E-2</v>
      </c>
      <c r="S695">
        <v>2.992035</v>
      </c>
      <c r="T695">
        <v>-0.26879619999999999</v>
      </c>
      <c r="U695">
        <v>9.6588129999999994E-2</v>
      </c>
      <c r="V695">
        <v>2.355455E-2</v>
      </c>
      <c r="W695">
        <v>-8.5086419999999996E-2</v>
      </c>
      <c r="X695">
        <v>0.99609510000000001</v>
      </c>
      <c r="Y695">
        <v>-3.59282E-2</v>
      </c>
      <c r="Z695">
        <v>2.1333139999999999E-3</v>
      </c>
      <c r="AA695">
        <v>0.99935209999999997</v>
      </c>
      <c r="AB695">
        <v>20</v>
      </c>
      <c r="AC695">
        <v>12.2882999999999</v>
      </c>
      <c r="AD695">
        <v>-1.1209652607039999</v>
      </c>
      <c r="AE695">
        <v>0.40349999999995101</v>
      </c>
      <c r="AF695">
        <v>-0.44699136426563102</v>
      </c>
      <c r="AG695">
        <v>-1.1209652607039999</v>
      </c>
      <c r="AH695">
        <v>12.185368009010499</v>
      </c>
      <c r="AI695">
        <v>95.252488909343498</v>
      </c>
      <c r="AJ695">
        <v>92.1008180060726</v>
      </c>
      <c r="AK695">
        <v>12.2449809273207</v>
      </c>
      <c r="AL695">
        <v>94.880994462304699</v>
      </c>
      <c r="AM695">
        <v>88.645385528188996</v>
      </c>
      <c r="AN695">
        <v>0.99999998196906403</v>
      </c>
    </row>
    <row r="696" spans="1:40" x14ac:dyDescent="0.25">
      <c r="A696" t="str">
        <f>"20190303154111086"</f>
        <v>20190303154111086</v>
      </c>
      <c r="B696" t="str">
        <f>"1551598871079845"</f>
        <v>1551598871079845</v>
      </c>
      <c r="C696" t="s">
        <v>40</v>
      </c>
      <c r="D696">
        <v>8.3438429999999997</v>
      </c>
      <c r="E696">
        <v>0.47715689999999999</v>
      </c>
      <c r="F696" t="s">
        <v>41</v>
      </c>
      <c r="G696">
        <v>-350.46019999999999</v>
      </c>
      <c r="H696" s="1">
        <v>-4.356678E-6</v>
      </c>
      <c r="I696">
        <v>368.02769999999998</v>
      </c>
      <c r="J696">
        <v>-362.7835</v>
      </c>
      <c r="K696">
        <v>1.1209530000000001</v>
      </c>
      <c r="L696">
        <v>367.60270000000003</v>
      </c>
      <c r="M696">
        <v>0.99991379999999996</v>
      </c>
      <c r="N696">
        <v>-1.256171E-2</v>
      </c>
      <c r="O696">
        <v>-3.841602E-3</v>
      </c>
      <c r="P696">
        <v>0.99482890000000002</v>
      </c>
      <c r="Q696">
        <v>-9.8015459999999999E-2</v>
      </c>
      <c r="R696">
        <v>-2.6622159999999999E-2</v>
      </c>
      <c r="S696">
        <v>2.9920650000000002</v>
      </c>
      <c r="T696">
        <v>-0.26787670000000002</v>
      </c>
      <c r="U696">
        <v>0.10137939999999999</v>
      </c>
      <c r="V696">
        <v>2.279666E-2</v>
      </c>
      <c r="W696">
        <v>-8.5510660000000002E-2</v>
      </c>
      <c r="X696">
        <v>0.99607639999999997</v>
      </c>
      <c r="Y696">
        <v>-3.7520379999999999E-2</v>
      </c>
      <c r="Z696">
        <v>2.2070190000000002E-3</v>
      </c>
      <c r="AA696">
        <v>0.9992934</v>
      </c>
      <c r="AB696">
        <v>20</v>
      </c>
      <c r="AC696">
        <v>12.3233</v>
      </c>
      <c r="AD696">
        <v>-1.120957356678</v>
      </c>
      <c r="AE696">
        <v>0.42499999999995403</v>
      </c>
      <c r="AF696">
        <v>-0.46847021441887199</v>
      </c>
      <c r="AG696">
        <v>-1.120957356678</v>
      </c>
      <c r="AH696">
        <v>12.220581267675</v>
      </c>
      <c r="AI696">
        <v>95.237079334334297</v>
      </c>
      <c r="AJ696">
        <v>92.195331710394001</v>
      </c>
      <c r="AK696">
        <v>12.2808231099197</v>
      </c>
      <c r="AL696">
        <v>94.905390558634807</v>
      </c>
      <c r="AM696">
        <v>88.688931464681403</v>
      </c>
      <c r="AN696">
        <v>0.99999997765887505</v>
      </c>
    </row>
    <row r="697" spans="1:40" x14ac:dyDescent="0.25">
      <c r="A697" t="str">
        <f>"20190303154111109"</f>
        <v>20190303154111109</v>
      </c>
      <c r="B697" t="str">
        <f>"1551598871100341"</f>
        <v>1551598871100341</v>
      </c>
      <c r="C697" t="s">
        <v>40</v>
      </c>
      <c r="D697">
        <v>5.9953289999999999</v>
      </c>
      <c r="E697">
        <v>0.47736109999999998</v>
      </c>
      <c r="F697" t="s">
        <v>41</v>
      </c>
      <c r="G697">
        <v>-350.291</v>
      </c>
      <c r="H697" s="1">
        <v>-4.4290069999999901E-6</v>
      </c>
      <c r="I697">
        <v>368.0292</v>
      </c>
      <c r="J697">
        <v>-362.5874</v>
      </c>
      <c r="K697">
        <v>1.1209559999999901</v>
      </c>
      <c r="L697">
        <v>367.60199999999998</v>
      </c>
      <c r="M697">
        <v>0.99991430000000003</v>
      </c>
      <c r="N697">
        <v>-1.2518659999999999E-2</v>
      </c>
      <c r="O697">
        <v>-3.841452E-3</v>
      </c>
      <c r="P697">
        <v>0.99481470000000005</v>
      </c>
      <c r="Q697">
        <v>-9.8189230000000002E-2</v>
      </c>
      <c r="R697">
        <v>-2.651276E-2</v>
      </c>
      <c r="S697">
        <v>2.9918520000000002</v>
      </c>
      <c r="T697">
        <v>-0.26845649999999999</v>
      </c>
      <c r="U697">
        <v>0.10214230000000001</v>
      </c>
      <c r="V697">
        <v>2.2687229999999999E-2</v>
      </c>
      <c r="W697">
        <v>-8.5727499999999998E-2</v>
      </c>
      <c r="X697">
        <v>0.99606030000000001</v>
      </c>
      <c r="Y697">
        <v>-3.7775290000000003E-2</v>
      </c>
      <c r="Z697">
        <v>2.223863E-3</v>
      </c>
      <c r="AA697">
        <v>0.99928380000000006</v>
      </c>
      <c r="AB697">
        <v>20</v>
      </c>
      <c r="AC697">
        <v>12.2964</v>
      </c>
      <c r="AD697">
        <v>-1.1209604290070001</v>
      </c>
      <c r="AE697">
        <v>0.427200000000027</v>
      </c>
      <c r="AF697">
        <v>-0.470530967151646</v>
      </c>
      <c r="AG697">
        <v>-1.1209604290070001</v>
      </c>
      <c r="AH697">
        <v>12.193457093470601</v>
      </c>
      <c r="AI697">
        <v>95.248627485314799</v>
      </c>
      <c r="AJ697">
        <v>92.209879327375901</v>
      </c>
      <c r="AK697">
        <v>12.2539115210106</v>
      </c>
      <c r="AL697">
        <v>94.917860166963607</v>
      </c>
      <c r="AM697">
        <v>88.695201676991402</v>
      </c>
      <c r="AN697">
        <v>1.0000000179487001</v>
      </c>
    </row>
    <row r="698" spans="1:40" x14ac:dyDescent="0.25">
      <c r="A698" t="str">
        <f>"20190303154111133"</f>
        <v>20190303154111133</v>
      </c>
      <c r="B698" t="str">
        <f>"1551598871129618"</f>
        <v>1551598871129618</v>
      </c>
      <c r="C698" t="s">
        <v>40</v>
      </c>
      <c r="D698">
        <v>6.0111939999999997</v>
      </c>
      <c r="E698">
        <v>0.47753780000000001</v>
      </c>
      <c r="F698" t="s">
        <v>41</v>
      </c>
      <c r="G698">
        <v>-350.07780000000002</v>
      </c>
      <c r="H698" s="1">
        <v>-4.5214569999999997E-6</v>
      </c>
      <c r="I698">
        <v>368.02350000000001</v>
      </c>
      <c r="J698">
        <v>-362.38639999999998</v>
      </c>
      <c r="K698">
        <v>1.1209559999999901</v>
      </c>
      <c r="L698">
        <v>367.60120000000001</v>
      </c>
      <c r="M698">
        <v>0.99991490000000005</v>
      </c>
      <c r="N698">
        <v>-1.248031E-2</v>
      </c>
      <c r="O698">
        <v>-3.8415709999999998E-3</v>
      </c>
      <c r="P698">
        <v>0.99481770000000003</v>
      </c>
      <c r="Q698">
        <v>-9.8130430000000005E-2</v>
      </c>
      <c r="R698">
        <v>-2.6621200000000001E-2</v>
      </c>
      <c r="S698">
        <v>2.9918520000000002</v>
      </c>
      <c r="T698">
        <v>-0.26809110000000003</v>
      </c>
      <c r="U698">
        <v>0.10083010000000001</v>
      </c>
      <c r="V698">
        <v>2.2795630000000001E-2</v>
      </c>
      <c r="W698">
        <v>-8.5706850000000001E-2</v>
      </c>
      <c r="X698">
        <v>0.99605960000000004</v>
      </c>
      <c r="Y698">
        <v>-3.7340119999999997E-2</v>
      </c>
      <c r="Z698">
        <v>2.1983699999999998E-3</v>
      </c>
      <c r="AA698">
        <v>0.99930019999999997</v>
      </c>
      <c r="AB698">
        <v>20</v>
      </c>
      <c r="AC698">
        <v>12.308599999999901</v>
      </c>
      <c r="AD698">
        <v>-1.12096052145699</v>
      </c>
      <c r="AE698">
        <v>0.422300000000007</v>
      </c>
      <c r="AF698">
        <v>-0.46572672992001901</v>
      </c>
      <c r="AG698">
        <v>-1.12096052145699</v>
      </c>
      <c r="AH698">
        <v>12.205771266269901</v>
      </c>
      <c r="AI698">
        <v>95.243448618550801</v>
      </c>
      <c r="AJ698">
        <v>92.185133320053197</v>
      </c>
      <c r="AK698">
        <v>12.265981659945799</v>
      </c>
      <c r="AL698">
        <v>94.916672648952499</v>
      </c>
      <c r="AM698">
        <v>88.688968576411298</v>
      </c>
      <c r="AN698">
        <v>1.00000001581808</v>
      </c>
    </row>
    <row r="699" spans="1:40" x14ac:dyDescent="0.25">
      <c r="A699" t="str">
        <f>"20190303154111155"</f>
        <v>20190303154111155</v>
      </c>
      <c r="B699" t="str">
        <f>"1551598871149646"</f>
        <v>1551598871149646</v>
      </c>
      <c r="C699" t="s">
        <v>40</v>
      </c>
      <c r="D699">
        <v>6.0831229999999996</v>
      </c>
      <c r="E699">
        <v>0.4775954</v>
      </c>
      <c r="F699" t="s">
        <v>41</v>
      </c>
      <c r="G699">
        <v>-349.92329999999998</v>
      </c>
      <c r="H699" s="1">
        <v>-4.4003699999999998E-7</v>
      </c>
      <c r="I699">
        <v>368.01389999999998</v>
      </c>
      <c r="J699">
        <v>-362.19040000000001</v>
      </c>
      <c r="K699">
        <v>1.1209480000000001</v>
      </c>
      <c r="L699">
        <v>367.60039999999998</v>
      </c>
      <c r="M699">
        <v>0.9999152</v>
      </c>
      <c r="N699">
        <v>-1.244783E-2</v>
      </c>
      <c r="O699">
        <v>-3.8414870000000002E-3</v>
      </c>
      <c r="P699">
        <v>0.99484470000000003</v>
      </c>
      <c r="Q699">
        <v>-9.7759170000000006E-2</v>
      </c>
      <c r="R699">
        <v>-2.6969980000000001E-2</v>
      </c>
      <c r="S699">
        <v>2.9916689999999999</v>
      </c>
      <c r="T699">
        <v>-0.26907740000000002</v>
      </c>
      <c r="U699">
        <v>9.9060060000000005E-2</v>
      </c>
      <c r="V699">
        <v>2.314455E-2</v>
      </c>
      <c r="W699">
        <v>-8.5367639999999995E-2</v>
      </c>
      <c r="X699">
        <v>0.99608070000000004</v>
      </c>
      <c r="Y699">
        <v>-3.6752960000000001E-2</v>
      </c>
      <c r="Z699">
        <v>2.1753900000000001E-3</v>
      </c>
      <c r="AA699">
        <v>0.99932200000000004</v>
      </c>
      <c r="AB699">
        <v>20</v>
      </c>
      <c r="AC699">
        <v>12.267099999999999</v>
      </c>
      <c r="AD699">
        <v>-1.120948440037</v>
      </c>
      <c r="AE699">
        <v>0.41349999999999898</v>
      </c>
      <c r="AF699">
        <v>-0.45681442237648701</v>
      </c>
      <c r="AG699">
        <v>-1.120948440037</v>
      </c>
      <c r="AH699">
        <v>12.163966816488401</v>
      </c>
      <c r="AI699">
        <v>95.261430633077495</v>
      </c>
      <c r="AJ699">
        <v>92.150716500536802</v>
      </c>
      <c r="AK699">
        <v>12.2240457105798</v>
      </c>
      <c r="AL699">
        <v>94.897165772826895</v>
      </c>
      <c r="AM699">
        <v>88.668936701018694</v>
      </c>
      <c r="AN699">
        <v>1.0000000325331799</v>
      </c>
    </row>
    <row r="700" spans="1:40" x14ac:dyDescent="0.25">
      <c r="A700" t="str">
        <f>"20190303154111177"</f>
        <v>20190303154111177</v>
      </c>
      <c r="B700" t="str">
        <f>"1551598871170142"</f>
        <v>1551598871170142</v>
      </c>
      <c r="C700" t="s">
        <v>40</v>
      </c>
      <c r="D700">
        <v>5.9209069999999997</v>
      </c>
      <c r="E700">
        <v>0.47780309999999998</v>
      </c>
      <c r="F700" t="s">
        <v>41</v>
      </c>
      <c r="G700">
        <v>-349.73110000000003</v>
      </c>
      <c r="H700" s="1">
        <v>-5.1576239999999998E-7</v>
      </c>
      <c r="I700">
        <v>368.00670000000002</v>
      </c>
      <c r="J700">
        <v>-361.9941</v>
      </c>
      <c r="K700">
        <v>1.120954</v>
      </c>
      <c r="L700">
        <v>367.59969999999998</v>
      </c>
      <c r="M700">
        <v>0.99991549999999996</v>
      </c>
      <c r="N700">
        <v>-1.241981E-2</v>
      </c>
      <c r="O700">
        <v>-3.8416710000000001E-3</v>
      </c>
      <c r="P700">
        <v>0.99488659999999995</v>
      </c>
      <c r="Q700">
        <v>-9.7298430000000005E-2</v>
      </c>
      <c r="R700">
        <v>-2.7090929999999999E-2</v>
      </c>
      <c r="S700">
        <v>2.99173</v>
      </c>
      <c r="T700">
        <v>-0.26916289999999998</v>
      </c>
      <c r="U700">
        <v>9.7564700000000004E-2</v>
      </c>
      <c r="V700">
        <v>2.3265020000000001E-2</v>
      </c>
      <c r="W700">
        <v>-8.4934309999999999E-2</v>
      </c>
      <c r="X700">
        <v>0.99611490000000003</v>
      </c>
      <c r="Y700">
        <v>-3.6255719999999998E-2</v>
      </c>
      <c r="Z700">
        <v>2.1501879999999999E-3</v>
      </c>
      <c r="AA700">
        <v>0.99934020000000001</v>
      </c>
      <c r="AB700">
        <v>19</v>
      </c>
      <c r="AC700">
        <v>12.2629999999999</v>
      </c>
      <c r="AD700">
        <v>-1.1209545157623999</v>
      </c>
      <c r="AE700">
        <v>0.407000000000039</v>
      </c>
      <c r="AF700">
        <v>-0.45035217662875099</v>
      </c>
      <c r="AG700">
        <v>-1.1209545157623999</v>
      </c>
      <c r="AH700">
        <v>12.1598535948331</v>
      </c>
      <c r="AI700">
        <v>95.263329864708794</v>
      </c>
      <c r="AJ700">
        <v>92.121036302119194</v>
      </c>
      <c r="AK700">
        <v>12.2197133991423</v>
      </c>
      <c r="AL700">
        <v>94.872247468885703</v>
      </c>
      <c r="AM700">
        <v>88.662056799060096</v>
      </c>
      <c r="AN700">
        <v>0.99999999608639301</v>
      </c>
    </row>
    <row r="701" spans="1:40" x14ac:dyDescent="0.25">
      <c r="A701" t="str">
        <f>"20190303154111200"</f>
        <v>20190303154111200</v>
      </c>
      <c r="B701" t="str">
        <f>"1551598871189662"</f>
        <v>1551598871189662</v>
      </c>
      <c r="C701" t="s">
        <v>40</v>
      </c>
      <c r="D701">
        <v>5.9938849999999997</v>
      </c>
      <c r="E701">
        <v>0.47787809999999997</v>
      </c>
      <c r="F701" t="s">
        <v>41</v>
      </c>
      <c r="G701">
        <v>-349.48860000000002</v>
      </c>
      <c r="H701" s="1">
        <v>-6.1070230000000001E-7</v>
      </c>
      <c r="I701">
        <v>367.99979999999999</v>
      </c>
      <c r="J701">
        <v>-361.80149999999998</v>
      </c>
      <c r="K701">
        <v>1.120951</v>
      </c>
      <c r="L701">
        <v>367.59890000000001</v>
      </c>
      <c r="M701">
        <v>0.99991580000000002</v>
      </c>
      <c r="N701">
        <v>-1.2396020000000001E-2</v>
      </c>
      <c r="O701">
        <v>-3.8417619999999999E-3</v>
      </c>
      <c r="P701">
        <v>0.99491850000000004</v>
      </c>
      <c r="Q701">
        <v>-9.6850950000000005E-2</v>
      </c>
      <c r="R701">
        <v>-2.7514340000000002E-2</v>
      </c>
      <c r="S701">
        <v>2.9917910000000001</v>
      </c>
      <c r="T701">
        <v>-0.26817540000000001</v>
      </c>
      <c r="U701">
        <v>9.5733639999999995E-2</v>
      </c>
      <c r="V701">
        <v>2.3688500000000001E-2</v>
      </c>
      <c r="W701">
        <v>-8.4510189999999999E-2</v>
      </c>
      <c r="X701">
        <v>0.99614100000000005</v>
      </c>
      <c r="Y701">
        <v>-3.5648199999999998E-2</v>
      </c>
      <c r="Z701">
        <v>2.1116770000000002E-3</v>
      </c>
      <c r="AA701">
        <v>0.99936219999999998</v>
      </c>
      <c r="AB701">
        <v>19</v>
      </c>
      <c r="AC701">
        <v>12.3128999999999</v>
      </c>
      <c r="AD701">
        <v>-1.1209516107023001</v>
      </c>
      <c r="AE701">
        <v>0.400899999999978</v>
      </c>
      <c r="AF701">
        <v>-0.44452356887368</v>
      </c>
      <c r="AG701">
        <v>-1.1209516107023001</v>
      </c>
      <c r="AH701">
        <v>12.210177294826901</v>
      </c>
      <c r="AI701">
        <v>95.241865289273093</v>
      </c>
      <c r="AJ701">
        <v>92.084988645321602</v>
      </c>
      <c r="AK701">
        <v>12.2695787738588</v>
      </c>
      <c r="AL701">
        <v>94.847859457056103</v>
      </c>
      <c r="AM701">
        <v>88.637747751150499</v>
      </c>
      <c r="AN701">
        <v>1.00000000456354</v>
      </c>
    </row>
    <row r="702" spans="1:40" x14ac:dyDescent="0.25">
      <c r="A702" t="str">
        <f>"20190303154111221"</f>
        <v>20190303154111221</v>
      </c>
      <c r="B702" t="str">
        <f>"1551598871210158"</f>
        <v>1551598871210158</v>
      </c>
      <c r="C702" t="s">
        <v>40</v>
      </c>
      <c r="D702">
        <v>5.9429949999999998</v>
      </c>
      <c r="E702">
        <v>0.4778577</v>
      </c>
      <c r="F702" t="s">
        <v>41</v>
      </c>
      <c r="G702">
        <v>-349.30130000000003</v>
      </c>
      <c r="H702" s="1">
        <v>-6.8493150000000002E-7</v>
      </c>
      <c r="I702">
        <v>367.99130000000002</v>
      </c>
      <c r="J702">
        <v>-361.61160000000001</v>
      </c>
      <c r="K702">
        <v>1.1209439999999999</v>
      </c>
      <c r="L702">
        <v>367.59820000000002</v>
      </c>
      <c r="M702">
        <v>0.99991609999999997</v>
      </c>
      <c r="N702">
        <v>-1.2375550000000001E-2</v>
      </c>
      <c r="O702">
        <v>-3.8416359999999998E-3</v>
      </c>
      <c r="P702">
        <v>0.99489649999999996</v>
      </c>
      <c r="Q702">
        <v>-9.7076209999999996E-2</v>
      </c>
      <c r="R702">
        <v>-2.7518589999999999E-2</v>
      </c>
      <c r="S702">
        <v>2.9917600000000002</v>
      </c>
      <c r="T702">
        <v>-0.26828580000000002</v>
      </c>
      <c r="U702">
        <v>9.3902589999999994E-2</v>
      </c>
      <c r="V702">
        <v>2.369278E-2</v>
      </c>
      <c r="W702">
        <v>-8.4756090000000006E-2</v>
      </c>
      <c r="X702">
        <v>0.99612000000000001</v>
      </c>
      <c r="Y702">
        <v>-3.504003E-2</v>
      </c>
      <c r="Z702">
        <v>2.0812309999999998E-3</v>
      </c>
      <c r="AA702">
        <v>0.99938369999999999</v>
      </c>
      <c r="AB702">
        <v>19</v>
      </c>
      <c r="AC702">
        <v>12.3102999999999</v>
      </c>
      <c r="AD702">
        <v>-1.1209446849314999</v>
      </c>
      <c r="AE702">
        <v>0.393100000000003</v>
      </c>
      <c r="AF702">
        <v>-0.43677459879396702</v>
      </c>
      <c r="AG702">
        <v>-1.1209446849314999</v>
      </c>
      <c r="AH702">
        <v>12.2075832837694</v>
      </c>
      <c r="AI702">
        <v>95.243058562654895</v>
      </c>
      <c r="AJ702">
        <v>92.049109158438</v>
      </c>
      <c r="AK702">
        <v>12.2667183332379</v>
      </c>
      <c r="AL702">
        <v>94.861999249653195</v>
      </c>
      <c r="AM702">
        <v>88.637473001295604</v>
      </c>
      <c r="AN702">
        <v>0.99999999850810795</v>
      </c>
    </row>
    <row r="703" spans="1:40" x14ac:dyDescent="0.25">
      <c r="A703" t="str">
        <f>"20190303154111243"</f>
        <v>20190303154111243</v>
      </c>
      <c r="B703" t="str">
        <f>"1551598871240414"</f>
        <v>1551598871240414</v>
      </c>
      <c r="C703" t="s">
        <v>40</v>
      </c>
      <c r="D703">
        <v>6.0086019999999998</v>
      </c>
      <c r="E703">
        <v>0.47786980000000001</v>
      </c>
      <c r="F703" t="s">
        <v>41</v>
      </c>
      <c r="G703">
        <v>-349.1678</v>
      </c>
      <c r="H703" s="1">
        <v>-7.368437E-7</v>
      </c>
      <c r="I703">
        <v>367.98880000000003</v>
      </c>
      <c r="J703">
        <v>-361.4239</v>
      </c>
      <c r="K703">
        <v>1.1209389999999999</v>
      </c>
      <c r="L703">
        <v>367.59750000000003</v>
      </c>
      <c r="M703">
        <v>0.99991620000000003</v>
      </c>
      <c r="N703">
        <v>-1.235794E-2</v>
      </c>
      <c r="O703">
        <v>-3.8416460000000002E-3</v>
      </c>
      <c r="P703">
        <v>0.99485520000000005</v>
      </c>
      <c r="Q703">
        <v>-9.7458110000000001E-2</v>
      </c>
      <c r="R703">
        <v>-2.766207E-2</v>
      </c>
      <c r="S703">
        <v>2.9916990000000001</v>
      </c>
      <c r="T703">
        <v>-0.26949509999999899</v>
      </c>
      <c r="U703">
        <v>9.3902589999999994E-2</v>
      </c>
      <c r="V703">
        <v>2.3836400000000001E-2</v>
      </c>
      <c r="W703">
        <v>-8.5156010000000004E-2</v>
      </c>
      <c r="X703">
        <v>0.99608249999999998</v>
      </c>
      <c r="Y703">
        <v>-3.5039220000000003E-2</v>
      </c>
      <c r="Z703">
        <v>2.089573E-3</v>
      </c>
      <c r="AA703">
        <v>0.99938369999999999</v>
      </c>
      <c r="AB703">
        <v>19</v>
      </c>
      <c r="AC703">
        <v>12.2561</v>
      </c>
      <c r="AD703">
        <v>-1.1209397368437</v>
      </c>
      <c r="AE703">
        <v>0.39130000000000098</v>
      </c>
      <c r="AF703">
        <v>-0.43475136634499401</v>
      </c>
      <c r="AG703">
        <v>-1.1209397368437</v>
      </c>
      <c r="AH703">
        <v>12.1529516785486</v>
      </c>
      <c r="AI703">
        <v>95.266473575500996</v>
      </c>
      <c r="AJ703">
        <v>92.048786291758802</v>
      </c>
      <c r="AK703">
        <v>12.2122786221619</v>
      </c>
      <c r="AL703">
        <v>94.884995947691195</v>
      </c>
      <c r="AM703">
        <v>88.629165241542196</v>
      </c>
      <c r="AN703">
        <v>1.00000003340516</v>
      </c>
    </row>
    <row r="704" spans="1:40" x14ac:dyDescent="0.25">
      <c r="A704" t="str">
        <f>"20190303154111256"</f>
        <v>20190303154111256</v>
      </c>
      <c r="B704" t="str">
        <f>"1551598871250174"</f>
        <v>1551598871250174</v>
      </c>
      <c r="C704" t="s">
        <v>40</v>
      </c>
      <c r="D704">
        <v>5.9839070000000003</v>
      </c>
      <c r="E704">
        <v>0.47788979999999998</v>
      </c>
      <c r="F704" t="s">
        <v>41</v>
      </c>
      <c r="G704">
        <v>-349.03989999999999</v>
      </c>
      <c r="H704" s="1">
        <v>-7.8697509999999898E-7</v>
      </c>
      <c r="I704">
        <v>367.98489999999998</v>
      </c>
      <c r="J704">
        <v>-361.31040000000002</v>
      </c>
      <c r="K704">
        <v>1.1209370000000001</v>
      </c>
      <c r="L704">
        <v>367.59699999999998</v>
      </c>
      <c r="M704">
        <v>0.99991640000000004</v>
      </c>
      <c r="N704">
        <v>-1.2348120000000001E-2</v>
      </c>
      <c r="O704">
        <v>-3.8415860000000001E-3</v>
      </c>
      <c r="P704">
        <v>0.99485060000000003</v>
      </c>
      <c r="Q704">
        <v>-9.7471539999999995E-2</v>
      </c>
      <c r="R704">
        <v>-2.7777909999999999E-2</v>
      </c>
      <c r="S704">
        <v>2.9915769999999999</v>
      </c>
      <c r="T704">
        <v>-0.270785099999999</v>
      </c>
      <c r="U704">
        <v>9.3597410000000006E-2</v>
      </c>
      <c r="V704">
        <v>2.395239E-2</v>
      </c>
      <c r="W704">
        <v>-8.5179279999999996E-2</v>
      </c>
      <c r="X704">
        <v>0.99607769999999995</v>
      </c>
      <c r="Y704">
        <v>-3.493748E-2</v>
      </c>
      <c r="Z704">
        <v>2.0934479999999999E-3</v>
      </c>
      <c r="AA704">
        <v>0.99938729999999998</v>
      </c>
      <c r="AB704">
        <v>19</v>
      </c>
      <c r="AC704">
        <v>12.2705</v>
      </c>
      <c r="AD704">
        <v>-1.1209377869751</v>
      </c>
      <c r="AE704">
        <v>0.38790000000000102</v>
      </c>
      <c r="AF704">
        <v>-0.43144202152773797</v>
      </c>
      <c r="AG704">
        <v>-1.1209377869751</v>
      </c>
      <c r="AH704">
        <v>12.167480086916999</v>
      </c>
      <c r="AI704">
        <v>95.2602699677998</v>
      </c>
      <c r="AJ704">
        <v>92.030778303105294</v>
      </c>
      <c r="AK704">
        <v>12.226619132275699</v>
      </c>
      <c r="AL704">
        <v>94.886334218647306</v>
      </c>
      <c r="AM704">
        <v>88.622490568591203</v>
      </c>
      <c r="AN704">
        <v>1.0000000055826599</v>
      </c>
    </row>
    <row r="705" spans="1:40" x14ac:dyDescent="0.25">
      <c r="A705" t="str">
        <f>"20190303154111276"</f>
        <v>20190303154111276</v>
      </c>
      <c r="B705" t="str">
        <f>"1551598871269697"</f>
        <v>1551598871269697</v>
      </c>
      <c r="C705" t="s">
        <v>40</v>
      </c>
      <c r="D705">
        <v>5.9813869999999998</v>
      </c>
      <c r="E705">
        <v>0.47792899999999999</v>
      </c>
      <c r="F705" t="s">
        <v>41</v>
      </c>
      <c r="G705">
        <v>-348.93810000000002</v>
      </c>
      <c r="H705" s="1">
        <v>-8.2699149999999996E-7</v>
      </c>
      <c r="I705">
        <v>367.98140000000001</v>
      </c>
      <c r="J705">
        <v>-361.12939999999998</v>
      </c>
      <c r="K705">
        <v>1.12094</v>
      </c>
      <c r="L705">
        <v>367.59629999999999</v>
      </c>
      <c r="M705">
        <v>0.99991660000000004</v>
      </c>
      <c r="N705">
        <v>-1.2334599999999999E-2</v>
      </c>
      <c r="O705">
        <v>-3.841503E-3</v>
      </c>
      <c r="P705">
        <v>0.99488650000000001</v>
      </c>
      <c r="Q705">
        <v>-9.7199629999999995E-2</v>
      </c>
      <c r="R705">
        <v>-2.7442999999999999E-2</v>
      </c>
      <c r="S705">
        <v>2.9915769999999999</v>
      </c>
      <c r="T705">
        <v>-0.27103919999999998</v>
      </c>
      <c r="U705">
        <v>9.2956540000000004E-2</v>
      </c>
      <c r="V705">
        <v>2.3617240000000001E-2</v>
      </c>
      <c r="W705">
        <v>-8.4920410000000002E-2</v>
      </c>
      <c r="X705">
        <v>0.99610779999999999</v>
      </c>
      <c r="Y705">
        <v>-3.4724209999999998E-2</v>
      </c>
      <c r="Z705">
        <v>2.0841039999999998E-3</v>
      </c>
      <c r="AA705">
        <v>0.99939480000000003</v>
      </c>
      <c r="AB705">
        <v>19</v>
      </c>
      <c r="AC705">
        <v>12.191299999999901</v>
      </c>
      <c r="AD705">
        <v>-1.1209408269915</v>
      </c>
      <c r="AE705">
        <v>0.38510000000002198</v>
      </c>
      <c r="AF705">
        <v>-0.42831623238486399</v>
      </c>
      <c r="AG705">
        <v>-1.1209408269915</v>
      </c>
      <c r="AH705">
        <v>12.087642760328601</v>
      </c>
      <c r="AI705">
        <v>95.294835373827198</v>
      </c>
      <c r="AJ705">
        <v>92.029382374458507</v>
      </c>
      <c r="AK705">
        <v>12.147060164248201</v>
      </c>
      <c r="AL705">
        <v>94.871448152441403</v>
      </c>
      <c r="AM705">
        <v>88.641798905770401</v>
      </c>
      <c r="AN705">
        <v>0.99999999964031205</v>
      </c>
    </row>
    <row r="706" spans="1:40" x14ac:dyDescent="0.25">
      <c r="A706" t="str">
        <f>"20190303154111290"</f>
        <v>20190303154111290</v>
      </c>
      <c r="B706" t="str">
        <f>"1551598871279454"</f>
        <v>1551598871279454</v>
      </c>
      <c r="C706" t="s">
        <v>40</v>
      </c>
      <c r="D706">
        <v>5.9269249999999998</v>
      </c>
      <c r="E706">
        <v>0.47791899999999998</v>
      </c>
      <c r="F706" t="s">
        <v>41</v>
      </c>
      <c r="G706">
        <v>-348.73840000000001</v>
      </c>
      <c r="H706" s="1">
        <v>-9.0290029999999999E-7</v>
      </c>
      <c r="I706">
        <v>367.98439999999999</v>
      </c>
      <c r="J706">
        <v>-361.0061</v>
      </c>
      <c r="K706">
        <v>1.12094</v>
      </c>
      <c r="L706">
        <v>367.59589999999997</v>
      </c>
      <c r="M706">
        <v>0.99991669999999999</v>
      </c>
      <c r="N706">
        <v>-1.2326449999999999E-2</v>
      </c>
      <c r="O706">
        <v>-3.8415720000000001E-3</v>
      </c>
      <c r="P706">
        <v>0.99488169999999998</v>
      </c>
      <c r="Q706">
        <v>-9.723184E-2</v>
      </c>
      <c r="R706">
        <v>-2.750725E-2</v>
      </c>
      <c r="S706">
        <v>2.9915470000000002</v>
      </c>
      <c r="T706">
        <v>-0.27062940000000002</v>
      </c>
      <c r="U706">
        <v>9.3688960000000002E-2</v>
      </c>
      <c r="V706">
        <v>2.3681480000000001E-2</v>
      </c>
      <c r="W706">
        <v>-8.4960770000000005E-2</v>
      </c>
      <c r="X706">
        <v>0.99610279999999995</v>
      </c>
      <c r="Y706">
        <v>-3.4968409999999998E-2</v>
      </c>
      <c r="Z706">
        <v>2.0936539999999999E-3</v>
      </c>
      <c r="AA706">
        <v>0.99938629999999995</v>
      </c>
      <c r="AB706">
        <v>19</v>
      </c>
      <c r="AC706">
        <v>12.2676999999999</v>
      </c>
      <c r="AD706">
        <v>-1.1209409029002999</v>
      </c>
      <c r="AE706">
        <v>0.388500000000021</v>
      </c>
      <c r="AF706">
        <v>-0.43202456577584603</v>
      </c>
      <c r="AG706">
        <v>-1.1209409029002999</v>
      </c>
      <c r="AH706">
        <v>12.164654858838601</v>
      </c>
      <c r="AI706">
        <v>95.261488940507405</v>
      </c>
      <c r="AJ706">
        <v>92.0339898980464</v>
      </c>
      <c r="AK706">
        <v>12.2238284333467</v>
      </c>
      <c r="AL706">
        <v>94.873769159257193</v>
      </c>
      <c r="AM706">
        <v>88.638099091063197</v>
      </c>
      <c r="AN706">
        <v>0.99999996655091095</v>
      </c>
    </row>
    <row r="707" spans="1:40" x14ac:dyDescent="0.25">
      <c r="A707" t="str">
        <f>"20190303154111303"</f>
        <v>20190303154111303</v>
      </c>
      <c r="B707" t="str">
        <f>"1551598871299953"</f>
        <v>1551598871299953</v>
      </c>
      <c r="C707" t="s">
        <v>40</v>
      </c>
      <c r="D707">
        <v>5.9467840000000001</v>
      </c>
      <c r="E707">
        <v>0.47793720000000001</v>
      </c>
      <c r="F707" t="s">
        <v>41</v>
      </c>
      <c r="G707">
        <v>-348.67039999999997</v>
      </c>
      <c r="H707" s="1">
        <v>-9.2975229999999995E-7</v>
      </c>
      <c r="I707">
        <v>367.98169999999999</v>
      </c>
      <c r="J707">
        <v>-360.89330000000001</v>
      </c>
      <c r="K707">
        <v>1.1209389999999999</v>
      </c>
      <c r="L707">
        <v>367.59539999999998</v>
      </c>
      <c r="M707">
        <v>0.99991669999999999</v>
      </c>
      <c r="N707">
        <v>-1.2319470000000001E-2</v>
      </c>
      <c r="O707">
        <v>-3.8415279999999999E-3</v>
      </c>
      <c r="P707">
        <v>0.99490319999999999</v>
      </c>
      <c r="Q707">
        <v>-9.7075330000000001E-2</v>
      </c>
      <c r="R707">
        <v>-2.7275440000000001E-2</v>
      </c>
      <c r="S707">
        <v>2.9914550000000002</v>
      </c>
      <c r="T707">
        <v>-0.27183160000000001</v>
      </c>
      <c r="U707">
        <v>9.356689E-2</v>
      </c>
      <c r="V707">
        <v>2.3449609999999999E-2</v>
      </c>
      <c r="W707">
        <v>-8.4811010000000006E-2</v>
      </c>
      <c r="X707">
        <v>0.99612109999999998</v>
      </c>
      <c r="Y707">
        <v>-3.4927300000000001E-2</v>
      </c>
      <c r="Z707">
        <v>2.1000179999999999E-3</v>
      </c>
      <c r="AA707">
        <v>0.99938760000000004</v>
      </c>
      <c r="AB707">
        <v>19</v>
      </c>
      <c r="AC707">
        <v>12.222899999999999</v>
      </c>
      <c r="AD707">
        <v>-1.1209399297522999</v>
      </c>
      <c r="AE707">
        <v>0.38630000000000497</v>
      </c>
      <c r="AF707">
        <v>-0.429645446608518</v>
      </c>
      <c r="AG707">
        <v>-1.1209399297522999</v>
      </c>
      <c r="AH707">
        <v>12.1194977046747</v>
      </c>
      <c r="AI707">
        <v>95.280989915716503</v>
      </c>
      <c r="AJ707">
        <v>92.030328869612603</v>
      </c>
      <c r="AK707">
        <v>12.178806433699499</v>
      </c>
      <c r="AL707">
        <v>94.865157206088995</v>
      </c>
      <c r="AM707">
        <v>88.651453546265202</v>
      </c>
      <c r="AN707">
        <v>1.00000001874579</v>
      </c>
    </row>
    <row r="708" spans="1:40" x14ac:dyDescent="0.25">
      <c r="A708" t="str">
        <f>"20190303154111337"</f>
        <v>20190303154111337</v>
      </c>
      <c r="B708" t="str">
        <f>"1551598871330207"</f>
        <v>1551598871330207</v>
      </c>
      <c r="C708" t="s">
        <v>40</v>
      </c>
      <c r="D708">
        <v>6.0177740000000002</v>
      </c>
      <c r="E708">
        <v>0.4779813</v>
      </c>
      <c r="F708" t="s">
        <v>41</v>
      </c>
      <c r="G708">
        <v>-348.56169999999997</v>
      </c>
      <c r="H708" s="1">
        <v>-9.7103329999999999E-7</v>
      </c>
      <c r="I708">
        <v>367.98340000000002</v>
      </c>
      <c r="J708">
        <v>-360.61160000000001</v>
      </c>
      <c r="K708">
        <v>1.120941</v>
      </c>
      <c r="L708">
        <v>367.59429999999998</v>
      </c>
      <c r="M708">
        <v>0.99991699999999994</v>
      </c>
      <c r="N708">
        <v>-1.23039E-2</v>
      </c>
      <c r="O708">
        <v>-3.8417899999999999E-3</v>
      </c>
      <c r="P708">
        <v>0.99489689999999997</v>
      </c>
      <c r="Q708">
        <v>-9.7179500000000002E-2</v>
      </c>
      <c r="R708">
        <v>-2.7139489999999999E-2</v>
      </c>
      <c r="S708">
        <v>2.9914550000000002</v>
      </c>
      <c r="T708">
        <v>-0.271922</v>
      </c>
      <c r="U708">
        <v>9.4116210000000006E-2</v>
      </c>
      <c r="V708">
        <v>2.331331E-2</v>
      </c>
      <c r="W708">
        <v>-8.4930740000000005E-2</v>
      </c>
      <c r="X708">
        <v>0.9961141</v>
      </c>
      <c r="Y708">
        <v>-3.5109960000000003E-2</v>
      </c>
      <c r="Z708">
        <v>2.1098689999999999E-3</v>
      </c>
      <c r="AA708">
        <v>0.99938119999999997</v>
      </c>
      <c r="AB708">
        <v>19</v>
      </c>
      <c r="AC708">
        <v>12.049899999999999</v>
      </c>
      <c r="AD708">
        <v>-1.1209419710333</v>
      </c>
      <c r="AE708">
        <v>0.38910000000004102</v>
      </c>
      <c r="AF708">
        <v>-0.431662250791991</v>
      </c>
      <c r="AG708">
        <v>-1.1209419710333</v>
      </c>
      <c r="AH708">
        <v>11.945055436513099</v>
      </c>
      <c r="AI708">
        <v>95.357545416198903</v>
      </c>
      <c r="AJ708">
        <v>92.069615133510894</v>
      </c>
      <c r="AK708">
        <v>12.005298521176099</v>
      </c>
      <c r="AL708">
        <v>94.872042061371999</v>
      </c>
      <c r="AM708">
        <v>88.659279635706994</v>
      </c>
      <c r="AN708">
        <v>1.0000000206194499</v>
      </c>
    </row>
    <row r="709" spans="1:40" x14ac:dyDescent="0.25">
      <c r="A709" t="str">
        <f>"20190303154111355"</f>
        <v>20190303154111355</v>
      </c>
      <c r="B709" t="str">
        <f>"1551598871349726"</f>
        <v>1551598871349726</v>
      </c>
      <c r="C709" t="s">
        <v>40</v>
      </c>
      <c r="D709">
        <v>5.9709079999999997</v>
      </c>
      <c r="E709">
        <v>0.4780084</v>
      </c>
      <c r="F709" t="s">
        <v>41</v>
      </c>
      <c r="G709">
        <v>-348.30180000000001</v>
      </c>
      <c r="H709" s="1">
        <v>-1.073171E-6</v>
      </c>
      <c r="I709">
        <v>367.9819</v>
      </c>
      <c r="J709">
        <v>-360.4425</v>
      </c>
      <c r="K709">
        <v>1.12093</v>
      </c>
      <c r="L709">
        <v>367.59370000000001</v>
      </c>
      <c r="M709">
        <v>0.99991719999999895</v>
      </c>
      <c r="N709">
        <v>-1.229591E-2</v>
      </c>
      <c r="O709">
        <v>-3.8417410000000001E-3</v>
      </c>
      <c r="P709">
        <v>0.99484379999999994</v>
      </c>
      <c r="Q709">
        <v>-9.7582820000000001E-2</v>
      </c>
      <c r="R709">
        <v>-2.76367E-2</v>
      </c>
      <c r="S709">
        <v>2.9913639999999999</v>
      </c>
      <c r="T709">
        <v>-0.272395</v>
      </c>
      <c r="U709">
        <v>9.4177250000000004E-2</v>
      </c>
      <c r="V709">
        <v>2.3810899999999999E-2</v>
      </c>
      <c r="W709">
        <v>-8.5342650000000006E-2</v>
      </c>
      <c r="X709">
        <v>0.99606709999999998</v>
      </c>
      <c r="Y709">
        <v>-3.5130559999999998E-2</v>
      </c>
      <c r="Z709">
        <v>2.1142410000000002E-3</v>
      </c>
      <c r="AA709">
        <v>0.9993805</v>
      </c>
      <c r="AB709">
        <v>19</v>
      </c>
      <c r="AC709">
        <v>12.140699999999899</v>
      </c>
      <c r="AD709">
        <v>-1.120931073171</v>
      </c>
      <c r="AE709">
        <v>0.388199999999983</v>
      </c>
      <c r="AF709">
        <v>-0.43117030826635999</v>
      </c>
      <c r="AG709">
        <v>-1.120931073171</v>
      </c>
      <c r="AH709">
        <v>12.036617230808</v>
      </c>
      <c r="AI709">
        <v>95.317033953199498</v>
      </c>
      <c r="AJ709">
        <v>92.051546533235694</v>
      </c>
      <c r="AK709">
        <v>12.096385768754001</v>
      </c>
      <c r="AL709">
        <v>94.895728879887898</v>
      </c>
      <c r="AM709">
        <v>88.630610027998799</v>
      </c>
      <c r="AN709">
        <v>0.99999999728512101</v>
      </c>
    </row>
    <row r="710" spans="1:40" x14ac:dyDescent="0.25">
      <c r="A710" t="str">
        <f>"20190303154111378"</f>
        <v>20190303154111378</v>
      </c>
      <c r="B710" t="str">
        <f>"1551598871370236"</f>
        <v>1551598871370236</v>
      </c>
      <c r="C710" t="s">
        <v>40</v>
      </c>
      <c r="D710">
        <v>5.945754</v>
      </c>
      <c r="E710">
        <v>0.50287219999999999</v>
      </c>
      <c r="F710" t="s">
        <v>41</v>
      </c>
      <c r="G710">
        <v>-348.20119999999997</v>
      </c>
      <c r="H710" s="1">
        <v>-1.122412E-6</v>
      </c>
      <c r="I710">
        <v>367.97239999999999</v>
      </c>
      <c r="J710">
        <v>-360.25569999999999</v>
      </c>
      <c r="K710">
        <v>1.1209309999999999</v>
      </c>
      <c r="L710">
        <v>367.59300000000002</v>
      </c>
      <c r="M710">
        <v>0.9999171</v>
      </c>
      <c r="N710">
        <v>-1.2288179999999999E-2</v>
      </c>
      <c r="O710">
        <v>-3.8416940000000001E-3</v>
      </c>
      <c r="P710">
        <v>0.9948032</v>
      </c>
      <c r="Q710">
        <v>-9.7869129999999999E-2</v>
      </c>
      <c r="R710">
        <v>-2.807747E-2</v>
      </c>
      <c r="S710">
        <v>2.991241</v>
      </c>
      <c r="T710">
        <v>-0.27390540000000002</v>
      </c>
      <c r="U710">
        <v>9.2529299999999995E-2</v>
      </c>
      <c r="V710">
        <v>2.4251869999999998E-2</v>
      </c>
      <c r="W710">
        <v>-8.5637119999999997E-2</v>
      </c>
      <c r="X710">
        <v>0.99603120000000001</v>
      </c>
      <c r="Y710">
        <v>-3.4582450000000001E-2</v>
      </c>
      <c r="Z710">
        <v>2.0965570000000002E-3</v>
      </c>
      <c r="AA710">
        <v>0.9993997</v>
      </c>
      <c r="AB710">
        <v>19</v>
      </c>
      <c r="AC710">
        <v>12.054500000000001</v>
      </c>
      <c r="AD710">
        <v>-1.1209321224119999</v>
      </c>
      <c r="AE710">
        <v>0.37939999999997498</v>
      </c>
      <c r="AF710">
        <v>-0.42206446196819603</v>
      </c>
      <c r="AG710">
        <v>-1.1209321224119999</v>
      </c>
      <c r="AH710">
        <v>11.9497275888977</v>
      </c>
      <c r="AI710">
        <v>95.355571383939605</v>
      </c>
      <c r="AJ710">
        <v>92.022846443614398</v>
      </c>
      <c r="AK710">
        <v>12.0096051842671</v>
      </c>
      <c r="AL710">
        <v>94.912662697664501</v>
      </c>
      <c r="AM710">
        <v>88.605209053849293</v>
      </c>
      <c r="AN710">
        <v>1.00000001044691</v>
      </c>
    </row>
    <row r="711" spans="1:40" x14ac:dyDescent="0.25">
      <c r="A711" t="str">
        <f>"20190303154111390"</f>
        <v>20190303154111390</v>
      </c>
      <c r="B711" t="str">
        <f>"1551598871379982"</f>
        <v>1551598871379982</v>
      </c>
      <c r="C711" t="s">
        <v>40</v>
      </c>
      <c r="D711">
        <v>6.036848</v>
      </c>
      <c r="E711">
        <v>0.50608690000000001</v>
      </c>
      <c r="F711" t="s">
        <v>41</v>
      </c>
      <c r="G711">
        <v>-342.0831</v>
      </c>
      <c r="H711" s="1">
        <v>-4.1968859999999996E-6</v>
      </c>
      <c r="I711">
        <v>366.94400000000002</v>
      </c>
      <c r="J711">
        <v>-360.13569999999999</v>
      </c>
      <c r="K711">
        <v>1.12093</v>
      </c>
      <c r="L711">
        <v>367.59249999999997</v>
      </c>
      <c r="M711">
        <v>0.99991730000000001</v>
      </c>
      <c r="N711">
        <v>-1.2283759999999999E-2</v>
      </c>
      <c r="O711">
        <v>-3.841667E-3</v>
      </c>
      <c r="P711">
        <v>0.99479379999999995</v>
      </c>
      <c r="Q711">
        <v>-9.7872280000000006E-2</v>
      </c>
      <c r="R711">
        <v>-2.8393290000000002E-2</v>
      </c>
      <c r="S711">
        <v>2.9944760000000001</v>
      </c>
      <c r="T711">
        <v>-0.1847076</v>
      </c>
      <c r="U711">
        <v>-0.1069336</v>
      </c>
      <c r="V711">
        <v>2.456798E-2</v>
      </c>
      <c r="W711">
        <v>-8.5644799999999993E-2</v>
      </c>
      <c r="X711">
        <v>0.99602279999999999</v>
      </c>
      <c r="Y711">
        <v>3.1780059999999999E-2</v>
      </c>
      <c r="Z711">
        <v>-9.848627E-4</v>
      </c>
      <c r="AA711">
        <v>0.99949440000000001</v>
      </c>
      <c r="AB711">
        <v>19</v>
      </c>
      <c r="AC711">
        <v>18.052599999999899</v>
      </c>
      <c r="AD711">
        <v>-1.120934196886</v>
      </c>
      <c r="AE711">
        <v>-0.648499999999955</v>
      </c>
      <c r="AF711">
        <v>0.57691647726891304</v>
      </c>
      <c r="AG711">
        <v>-1.120934196886</v>
      </c>
      <c r="AH711">
        <v>17.985703761088701</v>
      </c>
      <c r="AI711">
        <v>93.564439337989398</v>
      </c>
      <c r="AJ711">
        <v>88.162788065129902</v>
      </c>
      <c r="AK711">
        <v>18.029832663592099</v>
      </c>
      <c r="AL711">
        <v>94.913104315817293</v>
      </c>
      <c r="AM711">
        <v>88.587024120028701</v>
      </c>
      <c r="AN711">
        <v>1.00000001776408</v>
      </c>
    </row>
    <row r="712" spans="1:40" x14ac:dyDescent="0.25">
      <c r="A712" t="str">
        <f>"20190303154111410"</f>
        <v>20190303154111410</v>
      </c>
      <c r="B712" t="str">
        <f>"1551598871400478"</f>
        <v>1551598871400478</v>
      </c>
      <c r="C712" t="s">
        <v>40</v>
      </c>
      <c r="D712">
        <v>6.0493449999999998</v>
      </c>
      <c r="E712">
        <v>0.50885550000000002</v>
      </c>
      <c r="F712" t="s">
        <v>41</v>
      </c>
      <c r="G712">
        <v>-344.42660000000001</v>
      </c>
      <c r="H712" s="1">
        <v>-3.0984339999999999E-6</v>
      </c>
      <c r="I712">
        <v>366.89139999999998</v>
      </c>
      <c r="J712">
        <v>-359.96749999999997</v>
      </c>
      <c r="K712">
        <v>1.1209279999999999</v>
      </c>
      <c r="L712">
        <v>367.59179999999998</v>
      </c>
      <c r="M712">
        <v>0.99991730000000001</v>
      </c>
      <c r="N712">
        <v>-1.227808E-2</v>
      </c>
      <c r="O712">
        <v>-3.8416320000000002E-3</v>
      </c>
      <c r="P712">
        <v>0.99478979999999995</v>
      </c>
      <c r="Q712">
        <v>-9.7828120000000005E-2</v>
      </c>
      <c r="R712">
        <v>-2.8689920000000001E-2</v>
      </c>
      <c r="S712">
        <v>2.9909059999999998</v>
      </c>
      <c r="T712">
        <v>-0.21341760000000001</v>
      </c>
      <c r="U712">
        <v>-0.13348389999999999</v>
      </c>
      <c r="V712">
        <v>2.4864500000000001E-2</v>
      </c>
      <c r="W712">
        <v>-8.5606349999999998E-2</v>
      </c>
      <c r="X712">
        <v>0.99601870000000003</v>
      </c>
      <c r="Y712">
        <v>4.0632870000000001E-2</v>
      </c>
      <c r="Z712">
        <v>-1.470549E-3</v>
      </c>
      <c r="AA712">
        <v>0.99917299999999998</v>
      </c>
      <c r="AB712">
        <v>19</v>
      </c>
      <c r="AC712">
        <v>15.540899999999899</v>
      </c>
      <c r="AD712">
        <v>-1.120931098434</v>
      </c>
      <c r="AE712">
        <v>-0.70040000000000102</v>
      </c>
      <c r="AF712">
        <v>0.63737872390290795</v>
      </c>
      <c r="AG712">
        <v>-1.120931098434</v>
      </c>
      <c r="AH712">
        <v>15.463193209669001</v>
      </c>
      <c r="AI712">
        <v>94.142628993130998</v>
      </c>
      <c r="AJ712">
        <v>87.639656360533607</v>
      </c>
      <c r="AK712">
        <v>15.5168644514501</v>
      </c>
      <c r="AL712">
        <v>94.910893404472901</v>
      </c>
      <c r="AM712">
        <v>88.569971548720403</v>
      </c>
      <c r="AN712">
        <v>0.99999997063513002</v>
      </c>
    </row>
    <row r="713" spans="1:40" x14ac:dyDescent="0.25">
      <c r="A713" t="str">
        <f>"20190303154111423"</f>
        <v>20190303154111423</v>
      </c>
      <c r="B713" t="str">
        <f>"1551598871419998"</f>
        <v>1551598871419998</v>
      </c>
      <c r="C713" t="s">
        <v>40</v>
      </c>
      <c r="D713">
        <v>6.0257529999999999</v>
      </c>
      <c r="E713">
        <v>0.50955740000000005</v>
      </c>
      <c r="F713" t="s">
        <v>41</v>
      </c>
      <c r="G713">
        <v>-344.41250000000002</v>
      </c>
      <c r="H713" s="1">
        <v>-3.125325E-6</v>
      </c>
      <c r="I713">
        <v>366.7774</v>
      </c>
      <c r="J713">
        <v>-359.8537</v>
      </c>
      <c r="K713">
        <v>1.1209260000000001</v>
      </c>
      <c r="L713">
        <v>367.59140000000002</v>
      </c>
      <c r="M713">
        <v>0.99991739999999996</v>
      </c>
      <c r="N713">
        <v>-1.227459E-2</v>
      </c>
      <c r="O713">
        <v>-3.841611E-3</v>
      </c>
      <c r="P713">
        <v>0.99481149999999996</v>
      </c>
      <c r="Q713">
        <v>-9.7555349999999999E-2</v>
      </c>
      <c r="R713">
        <v>-2.8868230000000002E-2</v>
      </c>
      <c r="S713">
        <v>2.9900509999999998</v>
      </c>
      <c r="T713">
        <v>-0.21546969999999999</v>
      </c>
      <c r="U713">
        <v>-0.15655520000000001</v>
      </c>
      <c r="V713">
        <v>2.504255E-2</v>
      </c>
      <c r="W713">
        <v>-8.5336789999999996E-2</v>
      </c>
      <c r="X713">
        <v>0.99603739999999996</v>
      </c>
      <c r="Y713">
        <v>4.8310579999999999E-2</v>
      </c>
      <c r="Z713">
        <v>-1.8051969999999999E-3</v>
      </c>
      <c r="AA713">
        <v>0.99883069999999896</v>
      </c>
      <c r="AB713">
        <v>19</v>
      </c>
      <c r="AC713">
        <v>15.441199999999901</v>
      </c>
      <c r="AD713">
        <v>-1.120929125325</v>
      </c>
      <c r="AE713">
        <v>-0.81400000000002104</v>
      </c>
      <c r="AF713">
        <v>0.75072523758480803</v>
      </c>
      <c r="AG713">
        <v>-1.120929125325</v>
      </c>
      <c r="AH713">
        <v>15.3634752623369</v>
      </c>
      <c r="AI713">
        <v>94.167987722058001</v>
      </c>
      <c r="AJ713">
        <v>87.202507811736496</v>
      </c>
      <c r="AK713">
        <v>15.422595197397399</v>
      </c>
      <c r="AL713">
        <v>94.895391885826598</v>
      </c>
      <c r="AM713">
        <v>88.559762710982696</v>
      </c>
      <c r="AN713">
        <v>0.99999999961838304</v>
      </c>
    </row>
    <row r="714" spans="1:40" x14ac:dyDescent="0.25">
      <c r="A714" t="str">
        <f>"20190303154111437"</f>
        <v>20190303154111437</v>
      </c>
      <c r="B714" t="str">
        <f>"1551598871429758"</f>
        <v>1551598871429758</v>
      </c>
      <c r="C714" t="s">
        <v>40</v>
      </c>
      <c r="D714">
        <v>6.0359170000000004</v>
      </c>
      <c r="E714">
        <v>0.50992009999999999</v>
      </c>
      <c r="F714" t="s">
        <v>41</v>
      </c>
      <c r="G714">
        <v>-345.32729999999998</v>
      </c>
      <c r="H714" s="1">
        <v>-2.6887819999999999E-6</v>
      </c>
      <c r="I714">
        <v>366.80040000000002</v>
      </c>
      <c r="J714">
        <v>-359.73219999999998</v>
      </c>
      <c r="K714">
        <v>1.1209260000000001</v>
      </c>
      <c r="L714">
        <v>367.59089999999998</v>
      </c>
      <c r="M714">
        <v>0.99991730000000001</v>
      </c>
      <c r="N714">
        <v>-1.227109E-2</v>
      </c>
      <c r="O714">
        <v>-3.8415889999999999E-3</v>
      </c>
      <c r="P714">
        <v>0.99480659999999999</v>
      </c>
      <c r="Q714">
        <v>-9.7613749999999999E-2</v>
      </c>
      <c r="R714">
        <v>-2.8831349999999999E-2</v>
      </c>
      <c r="S714">
        <v>2.9882810000000002</v>
      </c>
      <c r="T714">
        <v>-0.2305912</v>
      </c>
      <c r="U714">
        <v>-0.16271969999999999</v>
      </c>
      <c r="V714">
        <v>2.5005909999999999E-2</v>
      </c>
      <c r="W714">
        <v>-8.5398760000000004E-2</v>
      </c>
      <c r="X714">
        <v>0.99603299999999995</v>
      </c>
      <c r="Y714">
        <v>5.0370350000000001E-2</v>
      </c>
      <c r="Z714">
        <v>-2.0002029999999999E-3</v>
      </c>
      <c r="AA714">
        <v>0.99872859999999997</v>
      </c>
      <c r="AB714">
        <v>19</v>
      </c>
      <c r="AC714">
        <v>14.4048999999999</v>
      </c>
      <c r="AD714">
        <v>-1.120928688782</v>
      </c>
      <c r="AE714">
        <v>-0.79049999999995102</v>
      </c>
      <c r="AF714">
        <v>0.73074072538736901</v>
      </c>
      <c r="AG714">
        <v>-1.120928688782</v>
      </c>
      <c r="AH714">
        <v>14.3213709107829</v>
      </c>
      <c r="AI714">
        <v>94.469605606884897</v>
      </c>
      <c r="AJ714">
        <v>87.079044900742304</v>
      </c>
      <c r="AK714">
        <v>14.383745266699201</v>
      </c>
      <c r="AL714">
        <v>94.898955559469201</v>
      </c>
      <c r="AM714">
        <v>88.561862700352094</v>
      </c>
      <c r="AN714">
        <v>0.99999999041673204</v>
      </c>
    </row>
    <row r="715" spans="1:40" x14ac:dyDescent="0.25">
      <c r="A715" t="str">
        <f>"20190303154111456"</f>
        <v>20190303154111456</v>
      </c>
      <c r="B715" t="str">
        <f>"1551598871450254"</f>
        <v>1551598871450254</v>
      </c>
      <c r="C715" t="s">
        <v>40</v>
      </c>
      <c r="D715">
        <v>5.8535789999999999</v>
      </c>
      <c r="E715">
        <v>0.51044639999999997</v>
      </c>
      <c r="F715" t="s">
        <v>42</v>
      </c>
      <c r="G715">
        <v>-358.84030000000001</v>
      </c>
      <c r="H715">
        <v>1.050454</v>
      </c>
      <c r="I715">
        <v>367.54109999999997</v>
      </c>
      <c r="J715">
        <v>-359.57440000000003</v>
      </c>
      <c r="K715">
        <v>1.1209260000000001</v>
      </c>
      <c r="L715">
        <v>367.59039999999999</v>
      </c>
      <c r="M715">
        <v>0.99991739999999996</v>
      </c>
      <c r="N715">
        <v>-1.226698E-2</v>
      </c>
      <c r="O715">
        <v>-3.841564E-3</v>
      </c>
      <c r="P715">
        <v>0.99485420000000002</v>
      </c>
      <c r="Q715">
        <v>-9.7207950000000001E-2</v>
      </c>
      <c r="R715">
        <v>-2.8564249999999999E-2</v>
      </c>
      <c r="S715">
        <v>2.9876399999999999</v>
      </c>
      <c r="T715">
        <v>-0.2363546</v>
      </c>
      <c r="U715">
        <v>-0.16552729999999999</v>
      </c>
      <c r="V715">
        <v>2.4738509999999998E-2</v>
      </c>
      <c r="W715">
        <v>-8.4996500000000003E-2</v>
      </c>
      <c r="X715">
        <v>0.99607409999999996</v>
      </c>
      <c r="Y715">
        <v>5.1306640000000001E-2</v>
      </c>
      <c r="Z715">
        <v>-2.0840860000000002E-3</v>
      </c>
      <c r="AA715">
        <v>0.99868080000000004</v>
      </c>
      <c r="AB715">
        <v>19</v>
      </c>
      <c r="AC715">
        <v>0.73410000000001197</v>
      </c>
      <c r="AD715">
        <v>-7.0472000000000007E-2</v>
      </c>
      <c r="AE715">
        <v>-4.9300000000016497E-2</v>
      </c>
      <c r="AF715">
        <v>4.6056797380623703E-2</v>
      </c>
      <c r="AG715">
        <v>-7.0472000000000007E-2</v>
      </c>
      <c r="AH715">
        <v>0.72760875371214895</v>
      </c>
      <c r="AI715">
        <v>95.5211031555624</v>
      </c>
      <c r="AJ715">
        <v>86.378075263159801</v>
      </c>
      <c r="AK715">
        <v>0.73246298872196003</v>
      </c>
      <c r="AL715">
        <v>94.875823577732405</v>
      </c>
      <c r="AM715">
        <v>88.577293708096093</v>
      </c>
      <c r="AN715">
        <v>1.00000000579004</v>
      </c>
    </row>
    <row r="716" spans="1:40" x14ac:dyDescent="0.25">
      <c r="A716" t="str">
        <f>"20190303154111478"</f>
        <v>20190303154111478</v>
      </c>
      <c r="B716" t="str">
        <f>"1551598871469777"</f>
        <v>1551598871469777</v>
      </c>
      <c r="C716" t="s">
        <v>40</v>
      </c>
      <c r="D716">
        <v>6.044333</v>
      </c>
      <c r="E716">
        <v>0.51110859999999902</v>
      </c>
      <c r="F716" t="s">
        <v>42</v>
      </c>
      <c r="G716">
        <v>-358.66849999999999</v>
      </c>
      <c r="H716">
        <v>1.0487070000000001</v>
      </c>
      <c r="I716">
        <v>367.53890000000001</v>
      </c>
      <c r="J716">
        <v>-359.37920000000003</v>
      </c>
      <c r="K716">
        <v>1.1209199999999999</v>
      </c>
      <c r="L716">
        <v>367.58960000000002</v>
      </c>
      <c r="M716">
        <v>0.99991759999999996</v>
      </c>
      <c r="N716">
        <v>-1.2257870000000001E-2</v>
      </c>
      <c r="O716">
        <v>-3.841746E-3</v>
      </c>
      <c r="P716">
        <v>0.99488750000000004</v>
      </c>
      <c r="Q716">
        <v>-9.7012479999999998E-2</v>
      </c>
      <c r="R716">
        <v>-2.806347E-2</v>
      </c>
      <c r="S716">
        <v>2.9873660000000002</v>
      </c>
      <c r="T716">
        <v>-0.23835310000000001</v>
      </c>
      <c r="U716">
        <v>-0.16882320000000001</v>
      </c>
      <c r="V716">
        <v>2.423751E-2</v>
      </c>
      <c r="W716">
        <v>-8.4809700000000002E-2</v>
      </c>
      <c r="X716">
        <v>0.9961023</v>
      </c>
      <c r="Y716">
        <v>5.2403129999999999E-2</v>
      </c>
      <c r="Z716">
        <v>-2.1488140000000002E-3</v>
      </c>
      <c r="AA716">
        <v>0.9986237</v>
      </c>
      <c r="AB716">
        <v>19</v>
      </c>
      <c r="AC716">
        <v>0.71070000000003097</v>
      </c>
      <c r="AD716">
        <v>-7.2212999999999999E-2</v>
      </c>
      <c r="AE716">
        <v>-5.0700000000006101E-2</v>
      </c>
      <c r="AF716">
        <v>4.74813651110675E-2</v>
      </c>
      <c r="AG716">
        <v>-7.2212999999999999E-2</v>
      </c>
      <c r="AH716">
        <v>0.70366155817528897</v>
      </c>
      <c r="AI716">
        <v>95.846242755392595</v>
      </c>
      <c r="AJ716">
        <v>86.139672469993798</v>
      </c>
      <c r="AK716">
        <v>0.70894907141168195</v>
      </c>
      <c r="AL716">
        <v>94.865082129156505</v>
      </c>
      <c r="AM716">
        <v>88.606134070013695</v>
      </c>
      <c r="AN716">
        <v>0.99999996708518901</v>
      </c>
    </row>
    <row r="717" spans="1:40" x14ac:dyDescent="0.25">
      <c r="A717" t="str">
        <f>"20190303154111491"</f>
        <v>20190303154111491</v>
      </c>
      <c r="B717" t="str">
        <f>"1551598871479534"</f>
        <v>1551598871479534</v>
      </c>
      <c r="C717" t="s">
        <v>40</v>
      </c>
      <c r="D717">
        <v>6.0221460000000002</v>
      </c>
      <c r="E717">
        <v>0.51126459999999996</v>
      </c>
      <c r="F717" t="s">
        <v>42</v>
      </c>
      <c r="G717">
        <v>-358.49380000000002</v>
      </c>
      <c r="H717">
        <v>1.0502149999999999</v>
      </c>
      <c r="I717">
        <v>367.53820000000002</v>
      </c>
      <c r="J717">
        <v>-359.26330000000002</v>
      </c>
      <c r="K717">
        <v>1.1209180000000001</v>
      </c>
      <c r="L717">
        <v>367.58920000000001</v>
      </c>
      <c r="M717">
        <v>0.99991759999999996</v>
      </c>
      <c r="N717">
        <v>-1.224981E-2</v>
      </c>
      <c r="O717">
        <v>-3.8416969999999998E-3</v>
      </c>
      <c r="P717">
        <v>0.99489640000000001</v>
      </c>
      <c r="Q717">
        <v>-9.6992789999999995E-2</v>
      </c>
      <c r="R717">
        <v>-2.7812799999999999E-2</v>
      </c>
      <c r="S717">
        <v>2.9872740000000002</v>
      </c>
      <c r="T717">
        <v>-0.23874190000000001</v>
      </c>
      <c r="U717">
        <v>-0.17269899999999999</v>
      </c>
      <c r="V717">
        <v>2.3987049999999999E-2</v>
      </c>
      <c r="W717">
        <v>-8.4797929999999994E-2</v>
      </c>
      <c r="X717">
        <v>0.99610940000000003</v>
      </c>
      <c r="Y717">
        <v>5.3691009999999997E-2</v>
      </c>
      <c r="Z717">
        <v>-2.210718E-3</v>
      </c>
      <c r="AA717">
        <v>0.99855510000000003</v>
      </c>
      <c r="AB717">
        <v>19</v>
      </c>
      <c r="AC717">
        <v>0.76949999999999297</v>
      </c>
      <c r="AD717">
        <v>-7.0703000000000099E-2</v>
      </c>
      <c r="AE717">
        <v>-5.0999999999987701E-2</v>
      </c>
      <c r="AF717">
        <v>4.7642762679470603E-2</v>
      </c>
      <c r="AG717">
        <v>-7.0703000000000099E-2</v>
      </c>
      <c r="AH717">
        <v>0.76327468408881305</v>
      </c>
      <c r="AI717">
        <v>95.282049292192596</v>
      </c>
      <c r="AJ717">
        <v>86.428294517234903</v>
      </c>
      <c r="AK717">
        <v>0.76802147783483898</v>
      </c>
      <c r="AL717">
        <v>94.864405148813802</v>
      </c>
      <c r="AM717">
        <v>88.6205419149086</v>
      </c>
      <c r="AN717">
        <v>1.00000000213417</v>
      </c>
    </row>
    <row r="718" spans="1:40" x14ac:dyDescent="0.25">
      <c r="A718" t="str">
        <f>"20190303154111503"</f>
        <v>20190303154111503</v>
      </c>
      <c r="B718" t="str">
        <f>"1551598871500030"</f>
        <v>1551598871500030</v>
      </c>
      <c r="C718" t="s">
        <v>40</v>
      </c>
      <c r="D718">
        <v>6.0470050000000004</v>
      </c>
      <c r="E718">
        <v>0.51134760000000001</v>
      </c>
      <c r="F718" t="s">
        <v>41</v>
      </c>
      <c r="G718">
        <v>-345.43889999999999</v>
      </c>
      <c r="H718" s="1">
        <v>-2.6384E-6</v>
      </c>
      <c r="I718">
        <v>366.78699999999998</v>
      </c>
      <c r="J718">
        <v>-359.15679999999998</v>
      </c>
      <c r="K718">
        <v>1.120919</v>
      </c>
      <c r="L718">
        <v>367.58870000000002</v>
      </c>
      <c r="M718">
        <v>0.99991790000000003</v>
      </c>
      <c r="N718">
        <v>-1.2239969999999999E-2</v>
      </c>
      <c r="O718">
        <v>-3.841756E-3</v>
      </c>
      <c r="P718">
        <v>0.99489269999999996</v>
      </c>
      <c r="Q718">
        <v>-9.7144519999999998E-2</v>
      </c>
      <c r="R718">
        <v>-2.742197E-2</v>
      </c>
      <c r="S718">
        <v>2.9869080000000001</v>
      </c>
      <c r="T718">
        <v>-0.24218790000000001</v>
      </c>
      <c r="U718">
        <v>-0.173309299999999</v>
      </c>
      <c r="V718">
        <v>2.359588E-2</v>
      </c>
      <c r="W718">
        <v>-8.4959499999999993E-2</v>
      </c>
      <c r="X718">
        <v>0.99610500000000002</v>
      </c>
      <c r="Y718">
        <v>5.3895560000000002E-2</v>
      </c>
      <c r="Z718">
        <v>-2.2465559999999998E-3</v>
      </c>
      <c r="AA718">
        <v>0.99854399999999999</v>
      </c>
      <c r="AB718">
        <v>19</v>
      </c>
      <c r="AC718">
        <v>13.717899999999901</v>
      </c>
      <c r="AD718">
        <v>-1.1209216384</v>
      </c>
      <c r="AE718">
        <v>-0.80170000000003905</v>
      </c>
      <c r="AF718">
        <v>0.74403835606271795</v>
      </c>
      <c r="AG718">
        <v>-1.1209216384</v>
      </c>
      <c r="AH718">
        <v>13.6301812578051</v>
      </c>
      <c r="AI718">
        <v>94.6943649282602</v>
      </c>
      <c r="AJ718">
        <v>86.875464155877097</v>
      </c>
      <c r="AK718">
        <v>13.696419222386099</v>
      </c>
      <c r="AL718">
        <v>94.873695836151597</v>
      </c>
      <c r="AM718">
        <v>88.643023023053104</v>
      </c>
      <c r="AN718">
        <v>1.00000002660911</v>
      </c>
    </row>
    <row r="719" spans="1:40" x14ac:dyDescent="0.25">
      <c r="A719" t="str">
        <f>"20190303154111522"</f>
        <v>20190303154111522</v>
      </c>
      <c r="B719" t="str">
        <f>"1551598871519550"</f>
        <v>1551598871519550</v>
      </c>
      <c r="C719" t="s">
        <v>40</v>
      </c>
      <c r="D719">
        <v>6.0319629999999904</v>
      </c>
      <c r="E719">
        <v>0.51140429999999903</v>
      </c>
      <c r="F719" t="s">
        <v>42</v>
      </c>
      <c r="G719">
        <v>-358.31889999999999</v>
      </c>
      <c r="H719">
        <v>1.051704</v>
      </c>
      <c r="I719">
        <v>367.5403</v>
      </c>
      <c r="J719">
        <v>-358.99579999999997</v>
      </c>
      <c r="K719">
        <v>1.120916</v>
      </c>
      <c r="L719">
        <v>367.5881</v>
      </c>
      <c r="M719">
        <v>0.99991819999999998</v>
      </c>
      <c r="N719">
        <v>-1.2219239999999999E-2</v>
      </c>
      <c r="O719">
        <v>-3.8417479999999999E-3</v>
      </c>
      <c r="P719">
        <v>0.99492970000000003</v>
      </c>
      <c r="Q719">
        <v>-9.6942169999999994E-2</v>
      </c>
      <c r="R719">
        <v>-2.6789859999999999E-2</v>
      </c>
      <c r="S719">
        <v>2.986542</v>
      </c>
      <c r="T719">
        <v>-0.2467656</v>
      </c>
      <c r="U719">
        <v>-0.17263789999999901</v>
      </c>
      <c r="V719">
        <v>2.296372E-2</v>
      </c>
      <c r="W719">
        <v>-8.4777350000000001E-2</v>
      </c>
      <c r="X719">
        <v>0.99613529999999995</v>
      </c>
      <c r="Y719">
        <v>5.367297E-2</v>
      </c>
      <c r="Z719">
        <v>-2.2708490000000001E-3</v>
      </c>
      <c r="AA719">
        <v>0.998556</v>
      </c>
      <c r="AB719">
        <v>19</v>
      </c>
      <c r="AC719">
        <v>0.67689999999998895</v>
      </c>
      <c r="AD719">
        <v>-6.9211999999999801E-2</v>
      </c>
      <c r="AE719">
        <v>-4.7799999999995103E-2</v>
      </c>
      <c r="AF719">
        <v>4.4733616110244803E-2</v>
      </c>
      <c r="AG719">
        <v>-6.9211999999999801E-2</v>
      </c>
      <c r="AH719">
        <v>0.67010760587664497</v>
      </c>
      <c r="AI719">
        <v>95.883876034055007</v>
      </c>
      <c r="AJ719">
        <v>86.180836845937506</v>
      </c>
      <c r="AK719">
        <v>0.67515598257589904</v>
      </c>
      <c r="AL719">
        <v>94.863221586353802</v>
      </c>
      <c r="AM719">
        <v>88.679405057235698</v>
      </c>
      <c r="AN719">
        <v>1.00000003370767</v>
      </c>
    </row>
    <row r="720" spans="1:40" x14ac:dyDescent="0.25">
      <c r="A720" t="str">
        <f>"20190303154111538"</f>
        <v>20190303154111538</v>
      </c>
      <c r="B720" t="str">
        <f>"1551598871530286"</f>
        <v>1551598871530286</v>
      </c>
      <c r="C720" t="s">
        <v>40</v>
      </c>
      <c r="D720">
        <v>6.0721220000000002</v>
      </c>
      <c r="E720">
        <v>0.51146720000000001</v>
      </c>
      <c r="F720" t="s">
        <v>42</v>
      </c>
      <c r="G720">
        <v>-358.14729999999997</v>
      </c>
      <c r="H720">
        <v>1.049779</v>
      </c>
      <c r="I720">
        <v>367.53919999999999</v>
      </c>
      <c r="J720">
        <v>-358.86849999999998</v>
      </c>
      <c r="K720">
        <v>1.1209089999999999</v>
      </c>
      <c r="L720">
        <v>367.58760000000001</v>
      </c>
      <c r="M720">
        <v>0.99991830000000004</v>
      </c>
      <c r="N720">
        <v>-1.2196490000000001E-2</v>
      </c>
      <c r="O720">
        <v>-3.8416090000000002E-3</v>
      </c>
      <c r="P720">
        <v>0.99494530000000003</v>
      </c>
      <c r="Q720">
        <v>-9.686583E-2</v>
      </c>
      <c r="R720">
        <v>-2.6481910000000001E-2</v>
      </c>
      <c r="S720">
        <v>2.9862669999999998</v>
      </c>
      <c r="T720">
        <v>-0.25053249999999999</v>
      </c>
      <c r="U720">
        <v>-0.17126459999999999</v>
      </c>
      <c r="V720">
        <v>2.2655870000000002E-2</v>
      </c>
      <c r="W720">
        <v>-8.4723489999999999E-2</v>
      </c>
      <c r="X720">
        <v>0.99614689999999995</v>
      </c>
      <c r="Y720">
        <v>5.3216880000000001E-2</v>
      </c>
      <c r="Z720">
        <v>-2.2773310000000001E-3</v>
      </c>
      <c r="AA720">
        <v>0.99858040000000003</v>
      </c>
      <c r="AB720">
        <v>19</v>
      </c>
      <c r="AC720">
        <v>0.72120000000001006</v>
      </c>
      <c r="AD720">
        <v>-7.1129999999999902E-2</v>
      </c>
      <c r="AE720">
        <v>-4.8400000000015098E-2</v>
      </c>
      <c r="AF720">
        <v>4.5191248692463402E-2</v>
      </c>
      <c r="AG720">
        <v>-7.1129999999999902E-2</v>
      </c>
      <c r="AH720">
        <v>0.71446196955994901</v>
      </c>
      <c r="AI720">
        <v>95.674220648762699</v>
      </c>
      <c r="AJ720">
        <v>86.380740864580105</v>
      </c>
      <c r="AK720">
        <v>0.71941478425583205</v>
      </c>
      <c r="AL720">
        <v>94.860124646139994</v>
      </c>
      <c r="AM720">
        <v>88.697117882215807</v>
      </c>
      <c r="AN720">
        <v>1.0000000022914199</v>
      </c>
    </row>
    <row r="721" spans="1:40" x14ac:dyDescent="0.25">
      <c r="A721" t="str">
        <f>"20190303154111556"</f>
        <v>20190303154111556</v>
      </c>
      <c r="B721" t="str">
        <f>"1551598871549806"</f>
        <v>1551598871549806</v>
      </c>
      <c r="C721" t="s">
        <v>40</v>
      </c>
      <c r="D721">
        <v>6.0614489999999996</v>
      </c>
      <c r="E721">
        <v>0.5114495</v>
      </c>
      <c r="F721" t="s">
        <v>42</v>
      </c>
      <c r="G721">
        <v>-357.97730000000001</v>
      </c>
      <c r="H721">
        <v>1.0461149999999999</v>
      </c>
      <c r="I721">
        <v>367.53649999999999</v>
      </c>
      <c r="J721">
        <v>-358.70150000000001</v>
      </c>
      <c r="K721">
        <v>1.1209</v>
      </c>
      <c r="L721">
        <v>367.58699999999999</v>
      </c>
      <c r="M721">
        <v>0.9999188</v>
      </c>
      <c r="N721">
        <v>-1.2156800000000001E-2</v>
      </c>
      <c r="O721">
        <v>-3.841606E-3</v>
      </c>
      <c r="P721">
        <v>0.99494530000000003</v>
      </c>
      <c r="Q721">
        <v>-9.6948999999999994E-2</v>
      </c>
      <c r="R721">
        <v>-2.6168529999999999E-2</v>
      </c>
      <c r="S721">
        <v>2.9862980000000001</v>
      </c>
      <c r="T721">
        <v>-0.25071939999999998</v>
      </c>
      <c r="U721">
        <v>-0.17089840000000001</v>
      </c>
      <c r="V721">
        <v>2.2342629999999999E-2</v>
      </c>
      <c r="W721">
        <v>-8.4846210000000005E-2</v>
      </c>
      <c r="X721">
        <v>0.99614349999999996</v>
      </c>
      <c r="Y721">
        <v>5.3094559999999999E-2</v>
      </c>
      <c r="Z721">
        <v>-2.2716559999999999E-3</v>
      </c>
      <c r="AA721">
        <v>0.99858690000000006</v>
      </c>
      <c r="AB721">
        <v>19</v>
      </c>
      <c r="AC721">
        <v>0.72419999999999596</v>
      </c>
      <c r="AD721">
        <v>-7.4785000000000101E-2</v>
      </c>
      <c r="AE721">
        <v>-5.0499999999999497E-2</v>
      </c>
      <c r="AF721">
        <v>4.7216262589763698E-2</v>
      </c>
      <c r="AG721">
        <v>-7.4785000000000101E-2</v>
      </c>
      <c r="AH721">
        <v>0.71678203886682201</v>
      </c>
      <c r="AI721">
        <v>95.943579543672996</v>
      </c>
      <c r="AJ721">
        <v>86.231225601139798</v>
      </c>
      <c r="AK721">
        <v>0.72221787773498303</v>
      </c>
      <c r="AL721">
        <v>94.867181538753798</v>
      </c>
      <c r="AM721">
        <v>88.715121061990004</v>
      </c>
      <c r="AN721">
        <v>0.99999997252946504</v>
      </c>
    </row>
    <row r="722" spans="1:40" x14ac:dyDescent="0.25">
      <c r="A722" t="str">
        <f>"20190303154111580"</f>
        <v>20190303154111580</v>
      </c>
      <c r="B722" t="str">
        <f>"1551598871570302"</f>
        <v>1551598871570302</v>
      </c>
      <c r="C722" t="s">
        <v>40</v>
      </c>
      <c r="D722">
        <v>6.0614720000000002</v>
      </c>
      <c r="E722">
        <v>0.51155649999999997</v>
      </c>
      <c r="F722" t="s">
        <v>42</v>
      </c>
      <c r="G722">
        <v>-357.80489999999998</v>
      </c>
      <c r="H722">
        <v>1.0449569999999999</v>
      </c>
      <c r="I722">
        <v>367.53559999999999</v>
      </c>
      <c r="J722">
        <v>-358.50130000000001</v>
      </c>
      <c r="K722">
        <v>1.1208899999999999</v>
      </c>
      <c r="L722">
        <v>367.58620000000002</v>
      </c>
      <c r="M722">
        <v>0.99991949999999996</v>
      </c>
      <c r="N722">
        <v>-1.209883E-2</v>
      </c>
      <c r="O722">
        <v>-3.8416119999999999E-3</v>
      </c>
      <c r="P722">
        <v>0.99494879999999997</v>
      </c>
      <c r="Q722">
        <v>-9.6849530000000003E-2</v>
      </c>
      <c r="R722">
        <v>-2.6409470000000001E-2</v>
      </c>
      <c r="S722">
        <v>2.9861149999999999</v>
      </c>
      <c r="T722">
        <v>-0.25321630000000001</v>
      </c>
      <c r="U722">
        <v>-0.1696472</v>
      </c>
      <c r="V722">
        <v>2.2583519999999999E-2</v>
      </c>
      <c r="W722">
        <v>-8.480443E-2</v>
      </c>
      <c r="X722">
        <v>0.99614170000000002</v>
      </c>
      <c r="Y722">
        <v>5.2679030000000002E-2</v>
      </c>
      <c r="Z722">
        <v>-2.2688109999999999E-3</v>
      </c>
      <c r="AA722">
        <v>0.99860890000000002</v>
      </c>
      <c r="AB722">
        <v>19</v>
      </c>
      <c r="AC722">
        <v>0.69640000000003899</v>
      </c>
      <c r="AD722">
        <v>-7.5933E-2</v>
      </c>
      <c r="AE722">
        <v>-5.0600000000031203E-2</v>
      </c>
      <c r="AF722">
        <v>4.7363981464059797E-2</v>
      </c>
      <c r="AG722">
        <v>-7.5933E-2</v>
      </c>
      <c r="AH722">
        <v>0.688447327122507</v>
      </c>
      <c r="AI722">
        <v>96.279331721347106</v>
      </c>
      <c r="AJ722">
        <v>86.064351380714399</v>
      </c>
      <c r="AK722">
        <v>0.69423979247177403</v>
      </c>
      <c r="AL722">
        <v>94.864778700892899</v>
      </c>
      <c r="AM722">
        <v>88.701270344323603</v>
      </c>
      <c r="AN722">
        <v>1.0000000466010499</v>
      </c>
    </row>
    <row r="723" spans="1:40" x14ac:dyDescent="0.25">
      <c r="A723" t="str">
        <f>"20190303154111600"</f>
        <v>20190303154111600</v>
      </c>
      <c r="B723" t="str">
        <f>"1551598871589822"</f>
        <v>1551598871589822</v>
      </c>
      <c r="C723" t="s">
        <v>40</v>
      </c>
      <c r="D723">
        <v>6.0515439999999998</v>
      </c>
      <c r="E723">
        <v>0.51166219999999996</v>
      </c>
      <c r="F723" t="s">
        <v>42</v>
      </c>
      <c r="G723">
        <v>-357.63</v>
      </c>
      <c r="H723">
        <v>1.0465409999999999</v>
      </c>
      <c r="I723">
        <v>367.536</v>
      </c>
      <c r="J723">
        <v>-358.31900000000002</v>
      </c>
      <c r="K723">
        <v>1.120881</v>
      </c>
      <c r="L723">
        <v>367.58550000000002</v>
      </c>
      <c r="M723">
        <v>0.99992020000000004</v>
      </c>
      <c r="N723">
        <v>-1.2037859999999999E-2</v>
      </c>
      <c r="O723">
        <v>-3.841602E-3</v>
      </c>
      <c r="P723">
        <v>0.99493120000000002</v>
      </c>
      <c r="Q723">
        <v>-9.6932019999999994E-2</v>
      </c>
      <c r="R723">
        <v>-2.6767099999999999E-2</v>
      </c>
      <c r="S723">
        <v>2.98584</v>
      </c>
      <c r="T723">
        <v>-0.25494729999999999</v>
      </c>
      <c r="U723">
        <v>-0.17126459999999999</v>
      </c>
      <c r="V723">
        <v>2.294121E-2</v>
      </c>
      <c r="W723">
        <v>-8.4947899999999896E-2</v>
      </c>
      <c r="X723">
        <v>0.99612120000000004</v>
      </c>
      <c r="Y723">
        <v>5.3218719999999997E-2</v>
      </c>
      <c r="Z723">
        <v>-2.3063239999999998E-3</v>
      </c>
      <c r="AA723">
        <v>0.99858020000000003</v>
      </c>
      <c r="AB723">
        <v>19</v>
      </c>
      <c r="AC723">
        <v>0.68900000000002104</v>
      </c>
      <c r="AD723">
        <v>-7.4340000000000003E-2</v>
      </c>
      <c r="AE723">
        <v>-4.9500000000023102E-2</v>
      </c>
      <c r="AF723">
        <v>4.63161611369204E-2</v>
      </c>
      <c r="AG723">
        <v>-7.4340000000000003E-2</v>
      </c>
      <c r="AH723">
        <v>0.68129456559831802</v>
      </c>
      <c r="AI723">
        <v>96.213010270492006</v>
      </c>
      <c r="AJ723">
        <v>86.110869193797498</v>
      </c>
      <c r="AK723">
        <v>0.68690167236385602</v>
      </c>
      <c r="AL723">
        <v>94.873029192542205</v>
      </c>
      <c r="AM723">
        <v>88.680680433981905</v>
      </c>
      <c r="AN723">
        <v>0.99999994496005495</v>
      </c>
    </row>
    <row r="724" spans="1:40" x14ac:dyDescent="0.25">
      <c r="A724" t="str">
        <f>"20190303154111613"</f>
        <v>20190303154111613</v>
      </c>
      <c r="B724" t="str">
        <f>"1551598871610318"</f>
        <v>1551598871610318</v>
      </c>
      <c r="C724" t="s">
        <v>40</v>
      </c>
      <c r="D724">
        <v>6.0517659999999998</v>
      </c>
      <c r="E724">
        <v>0.51171140000000004</v>
      </c>
      <c r="F724" t="s">
        <v>42</v>
      </c>
      <c r="G724">
        <v>-357.4563</v>
      </c>
      <c r="H724">
        <v>1.046643</v>
      </c>
      <c r="I724">
        <v>367.5351</v>
      </c>
      <c r="J724">
        <v>-358.20490000000001</v>
      </c>
      <c r="K724">
        <v>1.1208739999999999</v>
      </c>
      <c r="L724">
        <v>367.58510000000001</v>
      </c>
      <c r="M724">
        <v>0.9999207</v>
      </c>
      <c r="N724">
        <v>-1.199589E-2</v>
      </c>
      <c r="O724">
        <v>-3.8413499999999999E-3</v>
      </c>
      <c r="P724">
        <v>0.99492990000000003</v>
      </c>
      <c r="Q724">
        <v>-9.6932190000000001E-2</v>
      </c>
      <c r="R724">
        <v>-2.680184E-2</v>
      </c>
      <c r="S724">
        <v>2.9855649999999998</v>
      </c>
      <c r="T724">
        <v>-0.25718160000000001</v>
      </c>
      <c r="U724">
        <v>-0.1731567</v>
      </c>
      <c r="V724">
        <v>2.2976429999999999E-2</v>
      </c>
      <c r="W724">
        <v>-8.4989910000000002E-2</v>
      </c>
      <c r="X724">
        <v>0.99611689999999997</v>
      </c>
      <c r="Y724">
        <v>5.3848960000000001E-2</v>
      </c>
      <c r="Z724">
        <v>-2.3530140000000001E-3</v>
      </c>
      <c r="AA724">
        <v>0.9985463</v>
      </c>
      <c r="AB724">
        <v>19</v>
      </c>
      <c r="AC724">
        <v>0.74860000000001004</v>
      </c>
      <c r="AD724">
        <v>-7.4230999999999894E-2</v>
      </c>
      <c r="AE724">
        <v>-5.0000000000011299E-2</v>
      </c>
      <c r="AF724">
        <v>4.6666967151426701E-2</v>
      </c>
      <c r="AG724">
        <v>-7.4230999999999894E-2</v>
      </c>
      <c r="AH724">
        <v>0.74152775000133797</v>
      </c>
      <c r="AI724">
        <v>95.705364887546494</v>
      </c>
      <c r="AJ724">
        <v>86.3989228715498</v>
      </c>
      <c r="AK724">
        <v>0.74669367963453304</v>
      </c>
      <c r="AL724">
        <v>94.875444461105005</v>
      </c>
      <c r="AM724">
        <v>88.678649992571906</v>
      </c>
      <c r="AN724">
        <v>1.0000000398014799</v>
      </c>
    </row>
    <row r="725" spans="1:40" x14ac:dyDescent="0.25">
      <c r="A725" t="str">
        <f>"20190303154111633"</f>
        <v>20190303154111633</v>
      </c>
      <c r="B725" t="str">
        <f>"1551598871629838"</f>
        <v>1551598871629838</v>
      </c>
      <c r="C725" t="s">
        <v>40</v>
      </c>
      <c r="D725">
        <v>6.0431460000000001</v>
      </c>
      <c r="E725">
        <v>0.5117564</v>
      </c>
      <c r="F725" t="s">
        <v>41</v>
      </c>
      <c r="G725">
        <v>-345.30070000000001</v>
      </c>
      <c r="H725" s="1">
        <v>-2.6952839999999998E-6</v>
      </c>
      <c r="I725">
        <v>366.8349</v>
      </c>
      <c r="J725">
        <v>-358.03579999999999</v>
      </c>
      <c r="K725">
        <v>1.1208610000000001</v>
      </c>
      <c r="L725">
        <v>367.58440000000002</v>
      </c>
      <c r="M725">
        <v>0.99992150000000002</v>
      </c>
      <c r="N725">
        <v>-1.192697E-2</v>
      </c>
      <c r="O725">
        <v>-3.8411769999999999E-3</v>
      </c>
      <c r="P725">
        <v>0.9949344</v>
      </c>
      <c r="Q725">
        <v>-9.6758479999999994E-2</v>
      </c>
      <c r="R725">
        <v>-2.7265790000000002E-2</v>
      </c>
      <c r="S725">
        <v>2.9853519999999998</v>
      </c>
      <c r="T725">
        <v>-0.25931169999999998</v>
      </c>
      <c r="U725">
        <v>-0.1735535</v>
      </c>
      <c r="V725">
        <v>2.3440249999999999E-2</v>
      </c>
      <c r="W725">
        <v>-8.4884799999999996E-2</v>
      </c>
      <c r="X725">
        <v>0.99611499999999997</v>
      </c>
      <c r="Y725">
        <v>5.398178E-2</v>
      </c>
      <c r="Z725">
        <v>-2.373956E-3</v>
      </c>
      <c r="AA725">
        <v>0.99853910000000001</v>
      </c>
      <c r="AB725">
        <v>19</v>
      </c>
      <c r="AC725">
        <v>12.7350999999999</v>
      </c>
      <c r="AD725">
        <v>-1.1208636952840001</v>
      </c>
      <c r="AE725">
        <v>-0.74950000000001105</v>
      </c>
      <c r="AF725">
        <v>0.69520644688910205</v>
      </c>
      <c r="AG725">
        <v>-1.1208636952840001</v>
      </c>
      <c r="AH725">
        <v>12.640306100437501</v>
      </c>
      <c r="AI725">
        <v>95.059772179266304</v>
      </c>
      <c r="AJ725">
        <v>86.851950847863506</v>
      </c>
      <c r="AK725">
        <v>12.708933304567999</v>
      </c>
      <c r="AL725">
        <v>94.869400532814296</v>
      </c>
      <c r="AM725">
        <v>88.651983373124907</v>
      </c>
      <c r="AN725">
        <v>0.999999983908051</v>
      </c>
    </row>
    <row r="726" spans="1:40" x14ac:dyDescent="0.25">
      <c r="A726" t="str">
        <f>"20190303154111657"</f>
        <v>20190303154111657</v>
      </c>
      <c r="B726" t="str">
        <f>"1551598871650334"</f>
        <v>1551598871650334</v>
      </c>
      <c r="C726" t="s">
        <v>40</v>
      </c>
      <c r="D726">
        <v>6.0527319999999998</v>
      </c>
      <c r="E726">
        <v>0.51174960000000003</v>
      </c>
      <c r="F726" t="s">
        <v>41</v>
      </c>
      <c r="G726">
        <v>-345.1977</v>
      </c>
      <c r="H726" s="1">
        <v>-2.7447670000000001E-6</v>
      </c>
      <c r="I726">
        <v>366.83030000000002</v>
      </c>
      <c r="J726">
        <v>-357.83120000000002</v>
      </c>
      <c r="K726">
        <v>1.1208419999999999</v>
      </c>
      <c r="L726">
        <v>367.58359999999999</v>
      </c>
      <c r="M726">
        <v>0.99992270000000005</v>
      </c>
      <c r="N726">
        <v>-1.1834870000000001E-2</v>
      </c>
      <c r="O726">
        <v>-3.8412260000000001E-3</v>
      </c>
      <c r="P726">
        <v>0.99487760000000003</v>
      </c>
      <c r="Q726">
        <v>-9.7272339999999999E-2</v>
      </c>
      <c r="R726">
        <v>-2.7510070000000001E-2</v>
      </c>
      <c r="S726">
        <v>2.9851070000000002</v>
      </c>
      <c r="T726">
        <v>-0.26062200000000002</v>
      </c>
      <c r="U726">
        <v>-0.17535400000000001</v>
      </c>
      <c r="V726">
        <v>2.368468E-2</v>
      </c>
      <c r="W726">
        <v>-8.5491049999999999E-2</v>
      </c>
      <c r="X726">
        <v>0.99605739999999998</v>
      </c>
      <c r="Y726">
        <v>5.4582270000000002E-2</v>
      </c>
      <c r="Z726">
        <v>-2.4110450000000001E-3</v>
      </c>
      <c r="AA726">
        <v>0.99850640000000002</v>
      </c>
      <c r="AB726">
        <v>19</v>
      </c>
      <c r="AC726">
        <v>12.6335</v>
      </c>
      <c r="AD726">
        <v>-1.120844744767</v>
      </c>
      <c r="AE726">
        <v>-0.753299999999967</v>
      </c>
      <c r="AF726">
        <v>0.69927822813421103</v>
      </c>
      <c r="AG726">
        <v>-1.120844744767</v>
      </c>
      <c r="AH726">
        <v>12.5379608292257</v>
      </c>
      <c r="AI726">
        <v>95.100554694029697</v>
      </c>
      <c r="AJ726">
        <v>86.807756371902897</v>
      </c>
      <c r="AK726">
        <v>12.6073686682595</v>
      </c>
      <c r="AL726">
        <v>94.904262680695595</v>
      </c>
      <c r="AM726">
        <v>88.637853071191898</v>
      </c>
      <c r="AN726">
        <v>1.0000000138957801</v>
      </c>
    </row>
    <row r="727" spans="1:40" x14ac:dyDescent="0.25">
      <c r="A727" t="str">
        <f>"20190303154111669"</f>
        <v>20190303154111669</v>
      </c>
      <c r="B727" t="str">
        <f>"1551598871660094"</f>
        <v>1551598871660094</v>
      </c>
      <c r="C727" t="s">
        <v>40</v>
      </c>
      <c r="D727">
        <v>6.0698509999999999</v>
      </c>
      <c r="E727">
        <v>0.5117469</v>
      </c>
      <c r="F727" t="s">
        <v>42</v>
      </c>
      <c r="G727">
        <v>-356.93810000000002</v>
      </c>
      <c r="H727">
        <v>1.0418620000000001</v>
      </c>
      <c r="I727">
        <v>367.5308</v>
      </c>
      <c r="J727">
        <v>-357.71519999999998</v>
      </c>
      <c r="K727">
        <v>1.120833</v>
      </c>
      <c r="L727">
        <v>367.58319999999998</v>
      </c>
      <c r="M727">
        <v>0.99992329999999996</v>
      </c>
      <c r="N727">
        <v>-1.1777849999999999E-2</v>
      </c>
      <c r="O727">
        <v>-3.8410089999999998E-3</v>
      </c>
      <c r="P727">
        <v>0.99489130000000003</v>
      </c>
      <c r="Q727">
        <v>-9.7069489999999994E-2</v>
      </c>
      <c r="R727">
        <v>-2.773169E-2</v>
      </c>
      <c r="S727">
        <v>2.984772</v>
      </c>
      <c r="T727">
        <v>-0.26407150000000001</v>
      </c>
      <c r="U727">
        <v>-0.176178</v>
      </c>
      <c r="V727">
        <v>2.3906569999999999E-2</v>
      </c>
      <c r="W727">
        <v>-8.5344820000000002E-2</v>
      </c>
      <c r="X727">
        <v>0.99606459999999997</v>
      </c>
      <c r="Y727">
        <v>5.4857120000000002E-2</v>
      </c>
      <c r="Z727">
        <v>-2.4501810000000001E-3</v>
      </c>
      <c r="AA727">
        <v>0.99849120000000002</v>
      </c>
      <c r="AB727">
        <v>19</v>
      </c>
      <c r="AC727">
        <v>0.77709999999996104</v>
      </c>
      <c r="AD727">
        <v>-7.8970999999999902E-2</v>
      </c>
      <c r="AE727">
        <v>-5.2399999999977298E-2</v>
      </c>
      <c r="AF727">
        <v>4.8911724830355802E-2</v>
      </c>
      <c r="AG727">
        <v>-7.8970999999999902E-2</v>
      </c>
      <c r="AH727">
        <v>0.76938593158207902</v>
      </c>
      <c r="AI727">
        <v>95.848682803427195</v>
      </c>
      <c r="AJ727">
        <v>86.3624637366825</v>
      </c>
      <c r="AK727">
        <v>0.77497321720386203</v>
      </c>
      <c r="AL727">
        <v>94.895853776959299</v>
      </c>
      <c r="AM727">
        <v>88.625106603608302</v>
      </c>
      <c r="AN727">
        <v>0.99999997488157799</v>
      </c>
    </row>
    <row r="728" spans="1:40" x14ac:dyDescent="0.25">
      <c r="A728" t="str">
        <f>"20190303154111684"</f>
        <v>20190303154111684</v>
      </c>
      <c r="B728" t="str">
        <f>"1551598871679615"</f>
        <v>1551598871679615</v>
      </c>
      <c r="C728" t="s">
        <v>40</v>
      </c>
      <c r="D728">
        <v>6.0787139999999997</v>
      </c>
      <c r="E728">
        <v>0.51172070000000003</v>
      </c>
      <c r="F728" t="s">
        <v>42</v>
      </c>
      <c r="G728">
        <v>-356.93029999999999</v>
      </c>
      <c r="H728">
        <v>1.051366</v>
      </c>
      <c r="I728">
        <v>367.53660000000002</v>
      </c>
      <c r="J728">
        <v>-357.59829999999999</v>
      </c>
      <c r="K728">
        <v>1.120824</v>
      </c>
      <c r="L728">
        <v>367.58269999999999</v>
      </c>
      <c r="M728">
        <v>0.99992400000000004</v>
      </c>
      <c r="N728">
        <v>-1.1719729999999999E-2</v>
      </c>
      <c r="O728">
        <v>-3.8410250000000001E-3</v>
      </c>
      <c r="P728">
        <v>0.99490730000000005</v>
      </c>
      <c r="Q728">
        <v>-9.6838569999999999E-2</v>
      </c>
      <c r="R728">
        <v>-2.796117E-2</v>
      </c>
      <c r="S728">
        <v>2.98468</v>
      </c>
      <c r="T728">
        <v>-0.2642988</v>
      </c>
      <c r="U728">
        <v>-0.17687990000000001</v>
      </c>
      <c r="V728">
        <v>2.4136149999999999E-2</v>
      </c>
      <c r="W728">
        <v>-8.5171629999999998E-2</v>
      </c>
      <c r="X728">
        <v>0.99607389999999996</v>
      </c>
      <c r="Y728">
        <v>5.5091639999999997E-2</v>
      </c>
      <c r="Z728">
        <v>-2.461927E-3</v>
      </c>
      <c r="AA728">
        <v>0.99847830000000004</v>
      </c>
      <c r="AB728">
        <v>19</v>
      </c>
      <c r="AC728">
        <v>0.66800000000000603</v>
      </c>
      <c r="AD728">
        <v>-6.9458000000000006E-2</v>
      </c>
      <c r="AE728">
        <v>-4.6099999999967098E-2</v>
      </c>
      <c r="AF728">
        <v>4.3070226529747901E-2</v>
      </c>
      <c r="AG728">
        <v>-6.9458000000000006E-2</v>
      </c>
      <c r="AH728">
        <v>0.66105890138176304</v>
      </c>
      <c r="AI728">
        <v>95.985508028733094</v>
      </c>
      <c r="AJ728">
        <v>86.272254652473805</v>
      </c>
      <c r="AK728">
        <v>0.66609183246260195</v>
      </c>
      <c r="AL728">
        <v>94.885894396939307</v>
      </c>
      <c r="AM728">
        <v>88.611921299064406</v>
      </c>
      <c r="AN728">
        <v>0.99999998727744399</v>
      </c>
    </row>
    <row r="729" spans="1:40" x14ac:dyDescent="0.25">
      <c r="A729" t="str">
        <f>"20190303154111698"</f>
        <v>20190303154111698</v>
      </c>
      <c r="B729" t="str">
        <f>"1551598871690351"</f>
        <v>1551598871690351</v>
      </c>
      <c r="C729" t="s">
        <v>40</v>
      </c>
      <c r="D729">
        <v>6.0835819999999998</v>
      </c>
      <c r="E729">
        <v>0.51175459999999995</v>
      </c>
      <c r="F729" t="s">
        <v>42</v>
      </c>
      <c r="G729">
        <v>-356.76089999999999</v>
      </c>
      <c r="H729">
        <v>1.046394</v>
      </c>
      <c r="I729">
        <v>367.5326</v>
      </c>
      <c r="J729">
        <v>-357.4742</v>
      </c>
      <c r="K729">
        <v>1.120816</v>
      </c>
      <c r="L729">
        <v>367.5822</v>
      </c>
      <c r="M729">
        <v>0.9999247</v>
      </c>
      <c r="N729">
        <v>-1.165676E-2</v>
      </c>
      <c r="O729">
        <v>-3.8410150000000001E-3</v>
      </c>
      <c r="P729">
        <v>0.99489229999999995</v>
      </c>
      <c r="Q729">
        <v>-9.6955719999999995E-2</v>
      </c>
      <c r="R729">
        <v>-2.809451E-2</v>
      </c>
      <c r="S729">
        <v>2.9845579999999998</v>
      </c>
      <c r="T729">
        <v>-0.26560909999999999</v>
      </c>
      <c r="U729">
        <v>-0.177124</v>
      </c>
      <c r="V729">
        <v>2.4269269999999999E-2</v>
      </c>
      <c r="W729">
        <v>-8.5351659999999996E-2</v>
      </c>
      <c r="X729">
        <v>0.99605520000000003</v>
      </c>
      <c r="Y729">
        <v>5.5173100000000003E-2</v>
      </c>
      <c r="Z729">
        <v>-2.4744609999999998E-3</v>
      </c>
      <c r="AA729">
        <v>0.99847379999999997</v>
      </c>
      <c r="AB729">
        <v>19</v>
      </c>
      <c r="AC729">
        <v>0.71330000000000304</v>
      </c>
      <c r="AD729">
        <v>-7.4421999999999905E-2</v>
      </c>
      <c r="AE729">
        <v>-4.9599999999998E-2</v>
      </c>
      <c r="AF729">
        <v>4.6357444850863697E-2</v>
      </c>
      <c r="AG729">
        <v>-7.4421999999999905E-2</v>
      </c>
      <c r="AH729">
        <v>0.70583865715166905</v>
      </c>
      <c r="AI729">
        <v>96.006051663313102</v>
      </c>
      <c r="AJ729">
        <v>86.2423752628101</v>
      </c>
      <c r="AK729">
        <v>0.71126356346067099</v>
      </c>
      <c r="AL729">
        <v>94.896247323883003</v>
      </c>
      <c r="AM729">
        <v>88.604242346663298</v>
      </c>
      <c r="AN729">
        <v>0.99999993238906204</v>
      </c>
    </row>
    <row r="730" spans="1:40" x14ac:dyDescent="0.25">
      <c r="A730" t="str">
        <f>"20190303154111712"</f>
        <v>20190303154111712</v>
      </c>
      <c r="B730" t="str">
        <f>"1551598871709871"</f>
        <v>1551598871709871</v>
      </c>
      <c r="C730" t="s">
        <v>40</v>
      </c>
      <c r="D730">
        <v>6.0708380000000002</v>
      </c>
      <c r="E730">
        <v>0.51176179999999905</v>
      </c>
      <c r="F730" t="s">
        <v>42</v>
      </c>
      <c r="G730">
        <v>-356.58969999999999</v>
      </c>
      <c r="H730">
        <v>1.0418050000000001</v>
      </c>
      <c r="I730">
        <v>367.5292</v>
      </c>
      <c r="J730">
        <v>-357.3424</v>
      </c>
      <c r="K730">
        <v>1.1208070000000001</v>
      </c>
      <c r="L730">
        <v>367.58170000000001</v>
      </c>
      <c r="M730">
        <v>0.99992559999999997</v>
      </c>
      <c r="N730">
        <v>-1.158529E-2</v>
      </c>
      <c r="O730">
        <v>-3.8409569999999999E-3</v>
      </c>
      <c r="P730">
        <v>0.99484470000000003</v>
      </c>
      <c r="Q730">
        <v>-9.7325869999999995E-2</v>
      </c>
      <c r="R730">
        <v>-2.8492549999999998E-2</v>
      </c>
      <c r="S730">
        <v>2.9844059999999999</v>
      </c>
      <c r="T730">
        <v>-0.26681569999999999</v>
      </c>
      <c r="U730">
        <v>-0.177948</v>
      </c>
      <c r="V730">
        <v>2.4667749999999999E-2</v>
      </c>
      <c r="W730">
        <v>-8.5793560000000005E-2</v>
      </c>
      <c r="X730">
        <v>0.99600750000000005</v>
      </c>
      <c r="Y730">
        <v>5.5447829999999997E-2</v>
      </c>
      <c r="Z730">
        <v>-2.4956869999999999E-3</v>
      </c>
      <c r="AA730">
        <v>0.99845839999999997</v>
      </c>
      <c r="AB730">
        <v>19</v>
      </c>
      <c r="AC730">
        <v>0.75270000000000403</v>
      </c>
      <c r="AD730">
        <v>-7.9002000000000003E-2</v>
      </c>
      <c r="AE730">
        <v>-5.2500000000008998E-2</v>
      </c>
      <c r="AF730">
        <v>4.9070377902399202E-2</v>
      </c>
      <c r="AG730">
        <v>-7.9002000000000003E-2</v>
      </c>
      <c r="AH730">
        <v>0.74473170641395303</v>
      </c>
      <c r="AI730">
        <v>96.042351228186703</v>
      </c>
      <c r="AJ730">
        <v>86.230229819663094</v>
      </c>
      <c r="AK730">
        <v>0.75051617739374699</v>
      </c>
      <c r="AL730">
        <v>94.921659277729802</v>
      </c>
      <c r="AM730">
        <v>88.581266613560501</v>
      </c>
      <c r="AN730">
        <v>0.99999998644189303</v>
      </c>
    </row>
    <row r="731" spans="1:40" x14ac:dyDescent="0.25">
      <c r="A731" t="str">
        <f>"20190303154111725"</f>
        <v>20190303154111725</v>
      </c>
      <c r="B731" t="str">
        <f>"1551598871719630"</f>
        <v>1551598871719630</v>
      </c>
      <c r="C731" t="s">
        <v>40</v>
      </c>
      <c r="D731">
        <v>6.0621869999999998</v>
      </c>
      <c r="E731">
        <v>0.51178009999999996</v>
      </c>
      <c r="F731" t="s">
        <v>42</v>
      </c>
      <c r="G731">
        <v>-356.58109999999999</v>
      </c>
      <c r="H731">
        <v>1.05223</v>
      </c>
      <c r="I731">
        <v>367.53570000000002</v>
      </c>
      <c r="J731">
        <v>-357.23630000000003</v>
      </c>
      <c r="K731">
        <v>1.120798</v>
      </c>
      <c r="L731">
        <v>367.5813</v>
      </c>
      <c r="M731">
        <v>0.99992630000000005</v>
      </c>
      <c r="N731">
        <v>-1.152102E-2</v>
      </c>
      <c r="O731">
        <v>-3.8405850000000001E-3</v>
      </c>
      <c r="P731">
        <v>0.99484499999999998</v>
      </c>
      <c r="Q731">
        <v>-9.7337090000000001E-2</v>
      </c>
      <c r="R731">
        <v>-2.8445000000000002E-2</v>
      </c>
      <c r="S731">
        <v>2.9841000000000002</v>
      </c>
      <c r="T731">
        <v>-0.2690533</v>
      </c>
      <c r="U731">
        <v>-0.1792908</v>
      </c>
      <c r="V731">
        <v>2.4620380000000001E-2</v>
      </c>
      <c r="W731">
        <v>-8.5868780000000006E-2</v>
      </c>
      <c r="X731">
        <v>0.99600219999999995</v>
      </c>
      <c r="Y731">
        <v>5.5896330000000001E-2</v>
      </c>
      <c r="Z731">
        <v>-2.5344209999999998E-3</v>
      </c>
      <c r="AA731">
        <v>0.99843340000000003</v>
      </c>
      <c r="AB731">
        <v>19</v>
      </c>
      <c r="AC731">
        <v>0.65520000000003598</v>
      </c>
      <c r="AD731">
        <v>-6.8567999999999907E-2</v>
      </c>
      <c r="AE731">
        <v>-4.55999999999789E-2</v>
      </c>
      <c r="AF731">
        <v>4.2618634265416899E-2</v>
      </c>
      <c r="AG731">
        <v>-6.8567999999999907E-2</v>
      </c>
      <c r="AH731">
        <v>0.64830427851098105</v>
      </c>
      <c r="AI731">
        <v>96.024543602741204</v>
      </c>
      <c r="AJ731">
        <v>86.238865791625599</v>
      </c>
      <c r="AK731">
        <v>0.65331183683314198</v>
      </c>
      <c r="AL731">
        <v>94.925984980255606</v>
      </c>
      <c r="AM731">
        <v>88.583982394975493</v>
      </c>
      <c r="AN731">
        <v>0.99999999644743598</v>
      </c>
    </row>
    <row r="732" spans="1:40" x14ac:dyDescent="0.25">
      <c r="A732" t="str">
        <f>"20190303154111740"</f>
        <v>20190303154111740</v>
      </c>
      <c r="B732" t="str">
        <f>"1551598871730367"</f>
        <v>1551598871730367</v>
      </c>
      <c r="C732" t="s">
        <v>40</v>
      </c>
      <c r="D732">
        <v>6.0898479999999999</v>
      </c>
      <c r="E732">
        <v>0.51179110000000005</v>
      </c>
      <c r="F732" t="s">
        <v>42</v>
      </c>
      <c r="G732">
        <v>-356.41199999999998</v>
      </c>
      <c r="H732">
        <v>1.0462959999999999</v>
      </c>
      <c r="I732">
        <v>367.53140000000002</v>
      </c>
      <c r="J732">
        <v>-357.1096</v>
      </c>
      <c r="K732">
        <v>1.1207819999999999</v>
      </c>
      <c r="L732">
        <v>367.58080000000001</v>
      </c>
      <c r="M732">
        <v>0.99992729999999996</v>
      </c>
      <c r="N732">
        <v>-1.143596E-2</v>
      </c>
      <c r="O732">
        <v>-3.8403360000000002E-3</v>
      </c>
      <c r="P732">
        <v>0.99485919999999906</v>
      </c>
      <c r="Q732">
        <v>-9.7183839999999994E-2</v>
      </c>
      <c r="R732">
        <v>-2.8472979999999998E-2</v>
      </c>
      <c r="S732">
        <v>2.9840089999999999</v>
      </c>
      <c r="T732">
        <v>-0.2699937</v>
      </c>
      <c r="U732">
        <v>-0.17901610000000001</v>
      </c>
      <c r="V732">
        <v>2.4648509999999998E-2</v>
      </c>
      <c r="W732">
        <v>-8.5800080000000001E-2</v>
      </c>
      <c r="X732">
        <v>0.99600739999999999</v>
      </c>
      <c r="Y732">
        <v>5.5805899999999999E-2</v>
      </c>
      <c r="Z732">
        <v>-2.534751E-3</v>
      </c>
      <c r="AA732">
        <v>0.99843839999999995</v>
      </c>
      <c r="AB732">
        <v>20</v>
      </c>
      <c r="AC732">
        <v>0.69760000000002198</v>
      </c>
      <c r="AD732">
        <v>-7.4485999999999997E-2</v>
      </c>
      <c r="AE732">
        <v>-4.9399999999991402E-2</v>
      </c>
      <c r="AF732">
        <v>4.61963930902888E-2</v>
      </c>
      <c r="AG732">
        <v>-7.4485999999999997E-2</v>
      </c>
      <c r="AH732">
        <v>0.68995774008903799</v>
      </c>
      <c r="AI732">
        <v>96.147976596624801</v>
      </c>
      <c r="AJ732">
        <v>86.1694557598546</v>
      </c>
      <c r="AK732">
        <v>0.69550266285566797</v>
      </c>
      <c r="AL732">
        <v>94.922034300968093</v>
      </c>
      <c r="AM732">
        <v>88.582372582998701</v>
      </c>
      <c r="AN732">
        <v>0.99999997181399203</v>
      </c>
    </row>
    <row r="733" spans="1:40" x14ac:dyDescent="0.25">
      <c r="A733" t="str">
        <f>"20190303154111759"</f>
        <v>20190303154111759</v>
      </c>
      <c r="B733" t="str">
        <f>"1551598871749886"</f>
        <v>1551598871749886</v>
      </c>
      <c r="C733" t="s">
        <v>40</v>
      </c>
      <c r="D733">
        <v>6.0313889999999999</v>
      </c>
      <c r="E733">
        <v>0.51194830000000002</v>
      </c>
      <c r="F733" t="s">
        <v>42</v>
      </c>
      <c r="G733">
        <v>-356.24</v>
      </c>
      <c r="H733">
        <v>1.0421910000000001</v>
      </c>
      <c r="I733">
        <v>367.52820000000003</v>
      </c>
      <c r="J733">
        <v>-356.9393</v>
      </c>
      <c r="K733">
        <v>1.1207579999999999</v>
      </c>
      <c r="L733">
        <v>367.58019999999999</v>
      </c>
      <c r="M733">
        <v>0.99992879999999995</v>
      </c>
      <c r="N733">
        <v>-1.1293310000000001E-2</v>
      </c>
      <c r="O733">
        <v>-3.8401210000000002E-3</v>
      </c>
      <c r="P733">
        <v>0.99490579999999995</v>
      </c>
      <c r="Q733">
        <v>-9.6743019999999999E-2</v>
      </c>
      <c r="R733">
        <v>-2.8342079999999999E-2</v>
      </c>
      <c r="S733">
        <v>2.983978</v>
      </c>
      <c r="T733">
        <v>-0.26988089999999998</v>
      </c>
      <c r="U733">
        <v>-0.1794434</v>
      </c>
      <c r="V733">
        <v>2.4517899999999999E-2</v>
      </c>
      <c r="W733">
        <v>-8.5500880000000001E-2</v>
      </c>
      <c r="X733">
        <v>0.99603640000000004</v>
      </c>
      <c r="Y733">
        <v>5.5949100000000002E-2</v>
      </c>
      <c r="Z733">
        <v>-2.5366049999999999E-3</v>
      </c>
      <c r="AA733">
        <v>0.99843040000000005</v>
      </c>
      <c r="AB733">
        <v>20</v>
      </c>
      <c r="AC733">
        <v>0.69929999999999304</v>
      </c>
      <c r="AD733">
        <v>-7.8566999999999804E-2</v>
      </c>
      <c r="AE733">
        <v>-5.1999999999963999E-2</v>
      </c>
      <c r="AF733">
        <v>4.87026684699376E-2</v>
      </c>
      <c r="AG733">
        <v>-7.8566999999999804E-2</v>
      </c>
      <c r="AH733">
        <v>0.69082242916719705</v>
      </c>
      <c r="AI733">
        <v>96.472423164016604</v>
      </c>
      <c r="AJ733">
        <v>85.967345668683706</v>
      </c>
      <c r="AK733">
        <v>0.69697944879713603</v>
      </c>
      <c r="AL733">
        <v>94.9048279428293</v>
      </c>
      <c r="AM733">
        <v>88.589922448051396</v>
      </c>
      <c r="AN733">
        <v>1.00000001901307</v>
      </c>
    </row>
    <row r="734" spans="1:40" x14ac:dyDescent="0.25">
      <c r="A734" t="str">
        <f>"20190303154111780"</f>
        <v>20190303154111780</v>
      </c>
      <c r="B734" t="str">
        <f>"1551598871770382"</f>
        <v>1551598871770382</v>
      </c>
      <c r="C734" t="s">
        <v>40</v>
      </c>
      <c r="D734">
        <v>6.0525339999999996</v>
      </c>
      <c r="E734">
        <v>0.50621159999999998</v>
      </c>
      <c r="F734" t="s">
        <v>42</v>
      </c>
      <c r="G734">
        <v>-356.06439999999998</v>
      </c>
      <c r="H734">
        <v>1.042735</v>
      </c>
      <c r="I734">
        <v>367.52679999999998</v>
      </c>
      <c r="J734">
        <v>-356.75560000000002</v>
      </c>
      <c r="K734">
        <v>1.120719</v>
      </c>
      <c r="L734">
        <v>367.5795</v>
      </c>
      <c r="M734">
        <v>0.99993109999999996</v>
      </c>
      <c r="N734">
        <v>-1.1101649999999999E-2</v>
      </c>
      <c r="O734">
        <v>-3.8400019999999999E-3</v>
      </c>
      <c r="P734">
        <v>0.9949424</v>
      </c>
      <c r="Q734">
        <v>-9.650019E-2</v>
      </c>
      <c r="R734">
        <v>-2.788761E-2</v>
      </c>
      <c r="S734">
        <v>2.9843139999999999</v>
      </c>
      <c r="T734">
        <v>-0.26662219999999998</v>
      </c>
      <c r="U734">
        <v>-0.18020630000000001</v>
      </c>
      <c r="V734">
        <v>2.4063270000000001E-2</v>
      </c>
      <c r="W734">
        <v>-8.5448549999999998E-2</v>
      </c>
      <c r="X734">
        <v>0.99605200000000005</v>
      </c>
      <c r="Y734">
        <v>5.6201760000000003E-2</v>
      </c>
      <c r="Z734">
        <v>-2.5167169999999999E-3</v>
      </c>
      <c r="AA734">
        <v>0.99841619999999998</v>
      </c>
      <c r="AB734">
        <v>20</v>
      </c>
      <c r="AC734">
        <v>0.69120000000003701</v>
      </c>
      <c r="AD734">
        <v>-7.7983999999999998E-2</v>
      </c>
      <c r="AE734">
        <v>-5.27000000000157E-2</v>
      </c>
      <c r="AF734">
        <v>4.94197964981987E-2</v>
      </c>
      <c r="AG734">
        <v>-7.7983999999999998E-2</v>
      </c>
      <c r="AH734">
        <v>0.68275652088413996</v>
      </c>
      <c r="AI734">
        <v>96.499190655556603</v>
      </c>
      <c r="AJ734">
        <v>85.859993872542802</v>
      </c>
      <c r="AK734">
        <v>0.68897045462903395</v>
      </c>
      <c r="AL734">
        <v>94.901818532791197</v>
      </c>
      <c r="AM734">
        <v>88.616080606315606</v>
      </c>
      <c r="AN734">
        <v>1.00000004118209</v>
      </c>
    </row>
    <row r="735" spans="1:40" x14ac:dyDescent="0.25">
      <c r="A735" t="str">
        <f>"20190303154111802"</f>
        <v>20190303154111802</v>
      </c>
      <c r="B735" t="str">
        <f>"1551598871799663"</f>
        <v>1551598871799663</v>
      </c>
      <c r="C735" t="s">
        <v>40</v>
      </c>
      <c r="D735">
        <v>6.0604329999999997</v>
      </c>
      <c r="E735">
        <v>0.48996659999999997</v>
      </c>
      <c r="F735" t="s">
        <v>41</v>
      </c>
      <c r="G735">
        <v>-338.01979999999998</v>
      </c>
      <c r="H735" s="1">
        <v>-1.4229880000000001E-6</v>
      </c>
      <c r="I735">
        <v>366.74860000000001</v>
      </c>
      <c r="J735">
        <v>-356.5573</v>
      </c>
      <c r="K735">
        <v>1.1206739999999999</v>
      </c>
      <c r="L735">
        <v>367.57870000000003</v>
      </c>
      <c r="M735">
        <v>0.99993370000000004</v>
      </c>
      <c r="N735">
        <v>-1.086318E-2</v>
      </c>
      <c r="O735">
        <v>-3.8397660000000001E-3</v>
      </c>
      <c r="P735">
        <v>0.99497270000000004</v>
      </c>
      <c r="Q735">
        <v>-9.6404139999999999E-2</v>
      </c>
      <c r="R735">
        <v>-2.712235E-2</v>
      </c>
      <c r="S735">
        <v>2.9942319999999998</v>
      </c>
      <c r="T735">
        <v>-0.1791053</v>
      </c>
      <c r="U735">
        <v>-0.13278199999999901</v>
      </c>
      <c r="V735">
        <v>2.329821E-2</v>
      </c>
      <c r="W735">
        <v>-8.5589730000000003E-2</v>
      </c>
      <c r="X735">
        <v>0.996058</v>
      </c>
      <c r="Y735">
        <v>4.0385249999999998E-2</v>
      </c>
      <c r="Z735">
        <v>-1.2381930000000001E-3</v>
      </c>
      <c r="AA735">
        <v>0.99918340000000005</v>
      </c>
      <c r="AB735">
        <v>20</v>
      </c>
      <c r="AC735">
        <v>18.537500000000001</v>
      </c>
      <c r="AD735">
        <v>-1.120675422988</v>
      </c>
      <c r="AE735">
        <v>-0.83010000000001505</v>
      </c>
      <c r="AF735">
        <v>0.75615200870186206</v>
      </c>
      <c r="AG735">
        <v>-1.120675422988</v>
      </c>
      <c r="AH735">
        <v>18.473171239511501</v>
      </c>
      <c r="AI735">
        <v>93.468697856723495</v>
      </c>
      <c r="AJ735">
        <v>87.656052316160199</v>
      </c>
      <c r="AK735">
        <v>18.5225736577903</v>
      </c>
      <c r="AL735">
        <v>94.909937624544497</v>
      </c>
      <c r="AM735">
        <v>88.660072266179895</v>
      </c>
      <c r="AN735">
        <v>0.99999997391733797</v>
      </c>
    </row>
    <row r="736" spans="1:40" x14ac:dyDescent="0.25">
      <c r="A736" t="str">
        <f>"20190303154111818"</f>
        <v>20190303154111818</v>
      </c>
      <c r="B736" t="str">
        <f>"1551598871810398"</f>
        <v>1551598871810398</v>
      </c>
      <c r="C736" t="s">
        <v>40</v>
      </c>
      <c r="D736">
        <v>6.0367689999999996</v>
      </c>
      <c r="E736">
        <v>0.49093540000000002</v>
      </c>
      <c r="F736" t="s">
        <v>42</v>
      </c>
      <c r="G736">
        <v>-355.7131</v>
      </c>
      <c r="H736">
        <v>1.0360959999999999</v>
      </c>
      <c r="I736">
        <v>367.57819999999998</v>
      </c>
      <c r="J736">
        <v>-356.42790000000002</v>
      </c>
      <c r="K736">
        <v>1.120641</v>
      </c>
      <c r="L736">
        <v>367.57819999999998</v>
      </c>
      <c r="M736">
        <v>0.99993560000000004</v>
      </c>
      <c r="N736">
        <v>-1.069759E-2</v>
      </c>
      <c r="O736">
        <v>-3.8397079999999998E-3</v>
      </c>
      <c r="P736">
        <v>0.9949846</v>
      </c>
      <c r="Q736">
        <v>-9.6354049999999997E-2</v>
      </c>
      <c r="R736">
        <v>-2.6872030000000002E-2</v>
      </c>
      <c r="S736">
        <v>2.9861149999999999</v>
      </c>
      <c r="T736">
        <v>-0.29936220000000002</v>
      </c>
      <c r="U736">
        <v>-1.190186E-3</v>
      </c>
      <c r="V736">
        <v>2.304778E-2</v>
      </c>
      <c r="W736">
        <v>-8.5704459999999996E-2</v>
      </c>
      <c r="X736">
        <v>0.99605399999999999</v>
      </c>
      <c r="Y736">
        <v>-3.407088E-3</v>
      </c>
      <c r="Z736">
        <v>5.3161829999999997E-4</v>
      </c>
      <c r="AA736">
        <v>0.99999400000000005</v>
      </c>
      <c r="AB736">
        <v>20</v>
      </c>
      <c r="AC736">
        <v>0.71480000000002497</v>
      </c>
      <c r="AD736">
        <v>-8.4544999999999995E-2</v>
      </c>
      <c r="AE736">
        <v>0</v>
      </c>
      <c r="AF736">
        <v>-2.7069110757963399E-3</v>
      </c>
      <c r="AG736">
        <v>-8.4544999999999995E-2</v>
      </c>
      <c r="AH736">
        <v>0.70493296644512005</v>
      </c>
      <c r="AI736">
        <v>96.838961113652601</v>
      </c>
      <c r="AJ736">
        <v>90.220012150440397</v>
      </c>
      <c r="AK736">
        <v>0.70998990948723295</v>
      </c>
      <c r="AL736">
        <v>94.916535221337597</v>
      </c>
      <c r="AM736">
        <v>88.674464520265104</v>
      </c>
      <c r="AN736">
        <v>1.0000000127714099</v>
      </c>
    </row>
    <row r="737" spans="1:40" x14ac:dyDescent="0.25">
      <c r="A737" t="str">
        <f>"20190303154111834"</f>
        <v>20190303154111834</v>
      </c>
      <c r="B737" t="str">
        <f>"1551598871829919"</f>
        <v>1551598871829919</v>
      </c>
      <c r="C737" t="s">
        <v>40</v>
      </c>
      <c r="D737">
        <v>6.0698429999999997</v>
      </c>
      <c r="E737">
        <v>0.49192580000000002</v>
      </c>
      <c r="F737" t="s">
        <v>42</v>
      </c>
      <c r="G737">
        <v>-355.53930000000003</v>
      </c>
      <c r="H737">
        <v>1.0327809999999999</v>
      </c>
      <c r="I737">
        <v>367.57560000000001</v>
      </c>
      <c r="J737">
        <v>-356.26769999999999</v>
      </c>
      <c r="K737">
        <v>1.1206039999999999</v>
      </c>
      <c r="L737">
        <v>367.57760000000002</v>
      </c>
      <c r="M737">
        <v>0.99993779999999999</v>
      </c>
      <c r="N737">
        <v>-1.048281E-2</v>
      </c>
      <c r="O737">
        <v>-3.8394050000000002E-3</v>
      </c>
      <c r="P737">
        <v>0.99494340000000003</v>
      </c>
      <c r="Q737">
        <v>-9.6893199999999999E-2</v>
      </c>
      <c r="R737">
        <v>-2.6447209999999999E-2</v>
      </c>
      <c r="S737">
        <v>2.9862669999999998</v>
      </c>
      <c r="T737">
        <v>-0.29538109999999901</v>
      </c>
      <c r="U737">
        <v>-8.3007810000000001E-3</v>
      </c>
      <c r="V737">
        <v>2.2623520000000001E-2</v>
      </c>
      <c r="W737">
        <v>-8.6457950000000006E-2</v>
      </c>
      <c r="X737">
        <v>0.99599859999999896</v>
      </c>
      <c r="Y737">
        <v>-1.039393E-3</v>
      </c>
      <c r="Z737">
        <v>3.9542229999999998E-4</v>
      </c>
      <c r="AA737">
        <v>0.99999939999999998</v>
      </c>
      <c r="AB737">
        <v>20</v>
      </c>
      <c r="AC737">
        <v>0.72839999999996496</v>
      </c>
      <c r="AD737">
        <v>-8.7823000000000206E-2</v>
      </c>
      <c r="AE737">
        <v>-2.0000000000095402E-3</v>
      </c>
      <c r="AF737">
        <v>-7.85373747956076E-4</v>
      </c>
      <c r="AG737">
        <v>-8.7823000000000206E-2</v>
      </c>
      <c r="AH737">
        <v>0.71796528232674295</v>
      </c>
      <c r="AI737">
        <v>96.9738892341705</v>
      </c>
      <c r="AJ737">
        <v>90.062675151929497</v>
      </c>
      <c r="AK737">
        <v>0.72331711079404404</v>
      </c>
      <c r="AL737">
        <v>94.959867897859297</v>
      </c>
      <c r="AM737">
        <v>88.698783959335003</v>
      </c>
      <c r="AN737">
        <v>1.00000000598867</v>
      </c>
    </row>
    <row r="738" spans="1:40" x14ac:dyDescent="0.25">
      <c r="A738" t="str">
        <f>"20190303154111847"</f>
        <v>20190303154111847</v>
      </c>
      <c r="B738" t="str">
        <f>"1551598871839679"</f>
        <v>1551598871839679</v>
      </c>
      <c r="C738" t="s">
        <v>40</v>
      </c>
      <c r="D738">
        <v>6.0592269999999999</v>
      </c>
      <c r="E738">
        <v>0.4915428</v>
      </c>
      <c r="F738" t="s">
        <v>41</v>
      </c>
      <c r="G738">
        <v>-344.77960000000002</v>
      </c>
      <c r="H738" s="1">
        <v>-2.8200009999999999E-6</v>
      </c>
      <c r="I738">
        <v>367.52030000000002</v>
      </c>
      <c r="J738">
        <v>-356.15649999999999</v>
      </c>
      <c r="K738">
        <v>1.1205830000000001</v>
      </c>
      <c r="L738">
        <v>367.5772</v>
      </c>
      <c r="M738">
        <v>0.99993940000000003</v>
      </c>
      <c r="N738">
        <v>-1.033309E-2</v>
      </c>
      <c r="O738">
        <v>-3.8394599999999998E-3</v>
      </c>
      <c r="P738">
        <v>0.99496589999999996</v>
      </c>
      <c r="Q738">
        <v>-9.6677020000000002E-2</v>
      </c>
      <c r="R738">
        <v>-2.6398040000000001E-2</v>
      </c>
      <c r="S738">
        <v>2.9865110000000001</v>
      </c>
      <c r="T738">
        <v>-0.29132000000000002</v>
      </c>
      <c r="U738">
        <v>-1.4892580000000001E-2</v>
      </c>
      <c r="V738">
        <v>2.2574259999999999E-2</v>
      </c>
      <c r="W738">
        <v>-8.6390690000000006E-2</v>
      </c>
      <c r="X738">
        <v>0.99600549999999999</v>
      </c>
      <c r="Y738">
        <v>1.1553970000000001E-3</v>
      </c>
      <c r="Z738">
        <v>2.7183669999999999E-4</v>
      </c>
      <c r="AA738">
        <v>0.99999930000000004</v>
      </c>
      <c r="AB738">
        <v>20</v>
      </c>
      <c r="AC738">
        <v>11.3768999999999</v>
      </c>
      <c r="AD738">
        <v>-1.1205858200009999</v>
      </c>
      <c r="AE738">
        <v>-5.6899999999984602E-2</v>
      </c>
      <c r="AF738">
        <v>1.3089120917457901E-2</v>
      </c>
      <c r="AG738">
        <v>-1.1205858200009999</v>
      </c>
      <c r="AH738">
        <v>11.267722659731101</v>
      </c>
      <c r="AI738">
        <v>95.679441349601802</v>
      </c>
      <c r="AJ738">
        <v>89.933442535690602</v>
      </c>
      <c r="AK738">
        <v>11.3233147903646</v>
      </c>
      <c r="AL738">
        <v>94.955999977452294</v>
      </c>
      <c r="AM738">
        <v>88.701625221900798</v>
      </c>
      <c r="AN738">
        <v>0.99999995228173499</v>
      </c>
    </row>
    <row r="739" spans="1:40" x14ac:dyDescent="0.25">
      <c r="A739" t="str">
        <f>"20190303154111861"</f>
        <v>20190303154111861</v>
      </c>
      <c r="B739" t="str">
        <f>"1551598871850414"</f>
        <v>1551598871850414</v>
      </c>
      <c r="C739" t="s">
        <v>40</v>
      </c>
      <c r="D739">
        <v>6.0687129999999998</v>
      </c>
      <c r="E739">
        <v>0.49188219999999999</v>
      </c>
      <c r="F739" t="s">
        <v>42</v>
      </c>
      <c r="G739">
        <v>-355.35469999999998</v>
      </c>
      <c r="H739">
        <v>1.0413220000000001</v>
      </c>
      <c r="I739">
        <v>367.57380000000001</v>
      </c>
      <c r="J739">
        <v>-356.04129999999998</v>
      </c>
      <c r="K739">
        <v>1.1205620000000001</v>
      </c>
      <c r="L739">
        <v>367.57679999999999</v>
      </c>
      <c r="M739">
        <v>0.99994079999999996</v>
      </c>
      <c r="N739">
        <v>-1.0180349999999999E-2</v>
      </c>
      <c r="O739">
        <v>-3.839154E-3</v>
      </c>
      <c r="P739">
        <v>0.99496989999999996</v>
      </c>
      <c r="Q739">
        <v>-9.6619730000000001E-2</v>
      </c>
      <c r="R739">
        <v>-2.6445880000000001E-2</v>
      </c>
      <c r="S739">
        <v>2.9861759999999999</v>
      </c>
      <c r="T739">
        <v>-0.2954271</v>
      </c>
      <c r="U739">
        <v>-1.171875E-2</v>
      </c>
      <c r="V739">
        <v>2.2622349999999999E-2</v>
      </c>
      <c r="W739">
        <v>-8.6485519999999996E-2</v>
      </c>
      <c r="X739">
        <v>0.9959962</v>
      </c>
      <c r="Y739" s="1">
        <v>9.949797E-5</v>
      </c>
      <c r="Z739">
        <v>3.3446879999999998E-4</v>
      </c>
      <c r="AA739">
        <v>0.99999990000000005</v>
      </c>
      <c r="AB739">
        <v>20</v>
      </c>
      <c r="AC739">
        <v>0.68659999999999799</v>
      </c>
      <c r="AD739">
        <v>-7.9240000000000199E-2</v>
      </c>
      <c r="AE739">
        <v>-2.9999999999858998E-3</v>
      </c>
      <c r="AF739">
        <v>3.5909531717532098E-4</v>
      </c>
      <c r="AG739">
        <v>-7.9240000000000199E-2</v>
      </c>
      <c r="AH739">
        <v>0.67758171707018799</v>
      </c>
      <c r="AI739">
        <v>96.670173984873301</v>
      </c>
      <c r="AJ739">
        <v>89.969635183960094</v>
      </c>
      <c r="AK739">
        <v>0.68219945020296702</v>
      </c>
      <c r="AL739">
        <v>94.961453644932007</v>
      </c>
      <c r="AM739">
        <v>88.698848095774295</v>
      </c>
      <c r="AN739">
        <v>0.99999997315181599</v>
      </c>
    </row>
    <row r="740" spans="1:40" x14ac:dyDescent="0.25">
      <c r="A740" t="str">
        <f>"20190303154111873"</f>
        <v>20190303154111873</v>
      </c>
      <c r="B740" t="str">
        <f>"1551598871869934"</f>
        <v>1551598871869934</v>
      </c>
      <c r="C740" t="s">
        <v>40</v>
      </c>
      <c r="D740">
        <v>6.0772459999999997</v>
      </c>
      <c r="E740">
        <v>0.4924538</v>
      </c>
      <c r="F740" t="s">
        <v>42</v>
      </c>
      <c r="G740">
        <v>-355.18119999999999</v>
      </c>
      <c r="H740">
        <v>1.036294</v>
      </c>
      <c r="I740">
        <v>367.57249999999999</v>
      </c>
      <c r="J740">
        <v>-355.91989999999998</v>
      </c>
      <c r="K740">
        <v>1.1205430000000001</v>
      </c>
      <c r="L740">
        <v>367.5763</v>
      </c>
      <c r="M740">
        <v>0.99994240000000001</v>
      </c>
      <c r="N740">
        <v>-1.002346E-2</v>
      </c>
      <c r="O740">
        <v>-3.8390759999999999E-3</v>
      </c>
      <c r="P740">
        <v>0.99497279999999999</v>
      </c>
      <c r="Q740">
        <v>-9.6534919999999996E-2</v>
      </c>
      <c r="R740">
        <v>-2.6649989999999998E-2</v>
      </c>
      <c r="S740">
        <v>2.9863590000000002</v>
      </c>
      <c r="T740">
        <v>-0.29261710000000002</v>
      </c>
      <c r="U740">
        <v>-1.4556879999999999E-2</v>
      </c>
      <c r="V740">
        <v>2.2826550000000001E-2</v>
      </c>
      <c r="W740">
        <v>-8.6556930000000004E-2</v>
      </c>
      <c r="X740">
        <v>0.99598540000000002</v>
      </c>
      <c r="Y740">
        <v>1.044442E-3</v>
      </c>
      <c r="Z740">
        <v>2.8057320000000001E-4</v>
      </c>
      <c r="AA740">
        <v>0.99999939999999998</v>
      </c>
      <c r="AB740">
        <v>20</v>
      </c>
      <c r="AC740">
        <v>0.73869999999999403</v>
      </c>
      <c r="AD740">
        <v>-8.4249000000000004E-2</v>
      </c>
      <c r="AE740">
        <v>-3.8000000000124601E-3</v>
      </c>
      <c r="AF740">
        <v>9.5152744523826897E-4</v>
      </c>
      <c r="AG740">
        <v>-8.4249000000000004E-2</v>
      </c>
      <c r="AH740">
        <v>0.72922402589929003</v>
      </c>
      <c r="AI740">
        <v>96.590294993781299</v>
      </c>
      <c r="AJ740">
        <v>89.925237685779507</v>
      </c>
      <c r="AK740">
        <v>0.73407525455790101</v>
      </c>
      <c r="AL740">
        <v>94.965560228275507</v>
      </c>
      <c r="AM740">
        <v>88.687093146026299</v>
      </c>
      <c r="AN740">
        <v>1.00000003526454</v>
      </c>
    </row>
    <row r="741" spans="1:40" x14ac:dyDescent="0.25">
      <c r="A741" t="str">
        <f>"20190303154111890"</f>
        <v>20190303154111890</v>
      </c>
      <c r="B741" t="str">
        <f>"1551598871879694"</f>
        <v>1551598871879694</v>
      </c>
      <c r="C741" t="s">
        <v>40</v>
      </c>
      <c r="D741">
        <v>6.1257769999999896</v>
      </c>
      <c r="E741">
        <v>0.49261549999999998</v>
      </c>
      <c r="F741" t="s">
        <v>41</v>
      </c>
      <c r="G741">
        <v>-344.24059999999997</v>
      </c>
      <c r="H741" s="1">
        <v>-3.078538E-6</v>
      </c>
      <c r="I741">
        <v>367.4991</v>
      </c>
      <c r="J741">
        <v>-355.77670000000001</v>
      </c>
      <c r="K741">
        <v>1.120528</v>
      </c>
      <c r="L741">
        <v>367.57580000000002</v>
      </c>
      <c r="M741">
        <v>0.99994419999999995</v>
      </c>
      <c r="N741">
        <v>-9.8511669999999992E-3</v>
      </c>
      <c r="O741">
        <v>-3.8388160000000001E-3</v>
      </c>
      <c r="P741">
        <v>0.99500379999999999</v>
      </c>
      <c r="Q741">
        <v>-9.6203999999999998E-2</v>
      </c>
      <c r="R741">
        <v>-2.6693149999999999E-2</v>
      </c>
      <c r="S741">
        <v>2.986847</v>
      </c>
      <c r="T741">
        <v>-0.28656789999999999</v>
      </c>
      <c r="U741">
        <v>-1.9744870000000001E-2</v>
      </c>
      <c r="V741">
        <v>2.2869779999999999E-2</v>
      </c>
      <c r="W741">
        <v>-8.6397310000000005E-2</v>
      </c>
      <c r="X741">
        <v>0.99599819999999994</v>
      </c>
      <c r="Y741">
        <v>2.7716490000000002E-3</v>
      </c>
      <c r="Z741">
        <v>1.833778E-4</v>
      </c>
      <c r="AA741">
        <v>0.99999610000000005</v>
      </c>
      <c r="AB741">
        <v>20</v>
      </c>
      <c r="AC741">
        <v>11.536099999999999</v>
      </c>
      <c r="AD741">
        <v>-1.120531078538</v>
      </c>
      <c r="AE741">
        <v>-7.6700000000016602E-2</v>
      </c>
      <c r="AF741">
        <v>3.2109394362198E-2</v>
      </c>
      <c r="AG741">
        <v>-1.120531078538</v>
      </c>
      <c r="AH741">
        <v>11.428489418602799</v>
      </c>
      <c r="AI741">
        <v>95.599768951925697</v>
      </c>
      <c r="AJ741">
        <v>89.839022650196299</v>
      </c>
      <c r="AK741">
        <v>11.483335373587799</v>
      </c>
      <c r="AL741">
        <v>94.956380619897004</v>
      </c>
      <c r="AM741">
        <v>88.6846244724276</v>
      </c>
      <c r="AN741">
        <v>0.99999996820786097</v>
      </c>
    </row>
    <row r="742" spans="1:40" x14ac:dyDescent="0.25">
      <c r="A742" t="str">
        <f>"20190303154111905"</f>
        <v>20190303154111905</v>
      </c>
      <c r="B742" t="str">
        <f>"1551598871900190"</f>
        <v>1551598871900190</v>
      </c>
      <c r="C742" t="s">
        <v>40</v>
      </c>
      <c r="D742">
        <v>6.1396220000000001</v>
      </c>
      <c r="E742">
        <v>0.49161650000000001</v>
      </c>
      <c r="F742" t="s">
        <v>41</v>
      </c>
      <c r="G742">
        <v>-343.97710000000001</v>
      </c>
      <c r="H742" s="1">
        <v>-3.2042479999999998E-6</v>
      </c>
      <c r="I742">
        <v>367.49259999999998</v>
      </c>
      <c r="J742">
        <v>-355.654</v>
      </c>
      <c r="K742">
        <v>1.120517</v>
      </c>
      <c r="L742">
        <v>367.57530000000003</v>
      </c>
      <c r="M742">
        <v>0.99994550000000004</v>
      </c>
      <c r="N742">
        <v>-9.7132929999999996E-3</v>
      </c>
      <c r="O742">
        <v>-3.8383810000000001E-3</v>
      </c>
      <c r="P742">
        <v>0.99503450000000004</v>
      </c>
      <c r="Q742">
        <v>-9.579551E-2</v>
      </c>
      <c r="R742">
        <v>-2.70122E-2</v>
      </c>
      <c r="S742">
        <v>2.9870909999999999</v>
      </c>
      <c r="T742">
        <v>-0.28366629999999998</v>
      </c>
      <c r="U742">
        <v>-2.105713E-2</v>
      </c>
      <c r="V742">
        <v>2.318916E-2</v>
      </c>
      <c r="W742">
        <v>-8.6125899999999894E-2</v>
      </c>
      <c r="X742">
        <v>0.99601439999999997</v>
      </c>
      <c r="Y742">
        <v>3.2086789999999999E-3</v>
      </c>
      <c r="Z742">
        <v>1.5884159999999999E-4</v>
      </c>
      <c r="AA742">
        <v>0.99999479999999996</v>
      </c>
      <c r="AB742">
        <v>20</v>
      </c>
      <c r="AC742">
        <v>11.6768999999999</v>
      </c>
      <c r="AD742">
        <v>-1.120520204248</v>
      </c>
      <c r="AE742">
        <v>-8.2700000000045196E-2</v>
      </c>
      <c r="AF742">
        <v>3.7531301038091901E-2</v>
      </c>
      <c r="AG742">
        <v>-1.120520204248</v>
      </c>
      <c r="AH742">
        <v>11.5705901228228</v>
      </c>
      <c r="AI742">
        <v>95.5313656578506</v>
      </c>
      <c r="AJ742">
        <v>89.8141514318107</v>
      </c>
      <c r="AK742">
        <v>11.6247808545818</v>
      </c>
      <c r="AL742">
        <v>94.940771402953501</v>
      </c>
      <c r="AM742">
        <v>88.666283325303198</v>
      </c>
      <c r="AN742">
        <v>1.00000004639983</v>
      </c>
    </row>
    <row r="743" spans="1:40" x14ac:dyDescent="0.25">
      <c r="A743" t="str">
        <f>"20190303154111924"</f>
        <v>20190303154111924</v>
      </c>
      <c r="B743" t="str">
        <f>"1551598871919710"</f>
        <v>1551598871919710</v>
      </c>
      <c r="C743" t="s">
        <v>40</v>
      </c>
      <c r="D743">
        <v>6.1298180000000002</v>
      </c>
      <c r="E743">
        <v>0.49079070000000002</v>
      </c>
      <c r="F743" t="s">
        <v>42</v>
      </c>
      <c r="G743">
        <v>-354.81990000000002</v>
      </c>
      <c r="H743">
        <v>1.0402709999999999</v>
      </c>
      <c r="I743">
        <v>367.57100000000003</v>
      </c>
      <c r="J743">
        <v>-355.47070000000002</v>
      </c>
      <c r="K743">
        <v>1.120509</v>
      </c>
      <c r="L743">
        <v>367.57459999999998</v>
      </c>
      <c r="M743">
        <v>0.99994729999999998</v>
      </c>
      <c r="N743">
        <v>-9.5244709999999996E-3</v>
      </c>
      <c r="O743">
        <v>-3.8378319999999998E-3</v>
      </c>
      <c r="P743">
        <v>0.99510030000000005</v>
      </c>
      <c r="Q743">
        <v>-9.5176510000000006E-2</v>
      </c>
      <c r="R743">
        <v>-2.6778719999999999E-2</v>
      </c>
      <c r="S743">
        <v>2.9868769999999998</v>
      </c>
      <c r="T743">
        <v>-0.28758410000000001</v>
      </c>
      <c r="U743">
        <v>-1.434326E-2</v>
      </c>
      <c r="V743">
        <v>2.2955900000000001E-2</v>
      </c>
      <c r="W743">
        <v>-8.5694389999999995E-2</v>
      </c>
      <c r="X743">
        <v>0.99605699999999997</v>
      </c>
      <c r="Y743">
        <v>9.7350010000000001E-4</v>
      </c>
      <c r="Z743">
        <v>2.8077689999999998E-4</v>
      </c>
      <c r="AA743">
        <v>0.99999950000000004</v>
      </c>
      <c r="AB743">
        <v>20</v>
      </c>
      <c r="AC743">
        <v>0.65080000000000304</v>
      </c>
      <c r="AD743">
        <v>-8.0238000000000004E-2</v>
      </c>
      <c r="AE743">
        <v>-3.6000000000058199E-3</v>
      </c>
      <c r="AF743">
        <v>1.08569628669806E-3</v>
      </c>
      <c r="AG743">
        <v>-8.0238000000000004E-2</v>
      </c>
      <c r="AH743">
        <v>0.64106465625581399</v>
      </c>
      <c r="AI743">
        <v>97.134238919022494</v>
      </c>
      <c r="AJ743">
        <v>89.902964927202703</v>
      </c>
      <c r="AK743">
        <v>0.64606749560770504</v>
      </c>
      <c r="AL743">
        <v>94.915956064386805</v>
      </c>
      <c r="AM743">
        <v>88.679750869868698</v>
      </c>
      <c r="AN743">
        <v>1.00000002453564</v>
      </c>
    </row>
    <row r="744" spans="1:40" x14ac:dyDescent="0.25">
      <c r="A744" t="str">
        <f>"20190303154111940"</f>
        <v>20190303154111940</v>
      </c>
      <c r="B744" t="str">
        <f>"1551598871930447"</f>
        <v>1551598871930447</v>
      </c>
      <c r="C744" t="s">
        <v>40</v>
      </c>
      <c r="D744">
        <v>6.0947380000000004</v>
      </c>
      <c r="E744">
        <v>0.49101060000000002</v>
      </c>
      <c r="F744" t="s">
        <v>42</v>
      </c>
      <c r="G744">
        <v>-354.6404</v>
      </c>
      <c r="H744">
        <v>1.0396840000000001</v>
      </c>
      <c r="I744">
        <v>367.57220000000001</v>
      </c>
      <c r="J744">
        <v>-355.34059999999999</v>
      </c>
      <c r="K744">
        <v>1.1205000000000001</v>
      </c>
      <c r="L744">
        <v>367.57409999999999</v>
      </c>
      <c r="M744">
        <v>0.99994839999999996</v>
      </c>
      <c r="N744">
        <v>-9.4020419999999993E-3</v>
      </c>
      <c r="O744">
        <v>-3.8373719999999999E-3</v>
      </c>
      <c r="P744">
        <v>0.99514590000000003</v>
      </c>
      <c r="Q744">
        <v>-9.4679680000000002E-2</v>
      </c>
      <c r="R744">
        <v>-2.6844320000000001E-2</v>
      </c>
      <c r="S744">
        <v>2.986755</v>
      </c>
      <c r="T744">
        <v>-0.29103580000000001</v>
      </c>
      <c r="U744">
        <v>-6.8664549999999996E-3</v>
      </c>
      <c r="V744">
        <v>2.302189E-2</v>
      </c>
      <c r="W744">
        <v>-8.5319099999999995E-2</v>
      </c>
      <c r="X744">
        <v>0.99608770000000002</v>
      </c>
      <c r="Y744">
        <v>-1.5158750000000001E-3</v>
      </c>
      <c r="Z744">
        <v>4.1785889999999999E-4</v>
      </c>
      <c r="AA744">
        <v>0.99999870000000002</v>
      </c>
      <c r="AB744">
        <v>20</v>
      </c>
      <c r="AC744">
        <v>0.70019999999999505</v>
      </c>
      <c r="AD744">
        <v>-8.0815999999999999E-2</v>
      </c>
      <c r="AE744">
        <v>-1.8999999999778001E-3</v>
      </c>
      <c r="AF744">
        <v>-7.76713876741853E-4</v>
      </c>
      <c r="AG744">
        <v>-8.0815999999999999E-2</v>
      </c>
      <c r="AH744">
        <v>0.690997140798293</v>
      </c>
      <c r="AI744">
        <v>96.670753895815096</v>
      </c>
      <c r="AJ744">
        <v>90.064403172829998</v>
      </c>
      <c r="AK744">
        <v>0.69570746562895402</v>
      </c>
      <c r="AL744">
        <v>94.894374458622494</v>
      </c>
      <c r="AM744">
        <v>88.675997768269795</v>
      </c>
      <c r="AN744">
        <v>1.00000003116763</v>
      </c>
    </row>
    <row r="745" spans="1:40" x14ac:dyDescent="0.25">
      <c r="A745" t="str">
        <f>"20190303154111956"</f>
        <v>20190303154111956</v>
      </c>
      <c r="B745" t="str">
        <f>"1551598871949967"</f>
        <v>1551598871949967</v>
      </c>
      <c r="C745" t="s">
        <v>40</v>
      </c>
      <c r="D745">
        <v>6.0770379999999999</v>
      </c>
      <c r="E745">
        <v>0.49129669999999998</v>
      </c>
      <c r="F745" t="s">
        <v>42</v>
      </c>
      <c r="G745">
        <v>-354.46319999999997</v>
      </c>
      <c r="H745">
        <v>1.036106</v>
      </c>
      <c r="I745">
        <v>367.57119999999998</v>
      </c>
      <c r="J745">
        <v>-355.18369999999999</v>
      </c>
      <c r="K745">
        <v>1.1204959999999999</v>
      </c>
      <c r="L745">
        <v>367.57350000000002</v>
      </c>
      <c r="M745">
        <v>0.9999498</v>
      </c>
      <c r="N745">
        <v>-9.2676800000000004E-3</v>
      </c>
      <c r="O745">
        <v>-3.8371019999999998E-3</v>
      </c>
      <c r="P745">
        <v>0.99514939999999996</v>
      </c>
      <c r="Q745">
        <v>-9.4679219999999994E-2</v>
      </c>
      <c r="R745">
        <v>-2.6719920000000001E-2</v>
      </c>
      <c r="S745">
        <v>2.9870000000000001</v>
      </c>
      <c r="T745">
        <v>-0.28750249999999999</v>
      </c>
      <c r="U745">
        <v>-9.1247559999999995E-3</v>
      </c>
      <c r="V745">
        <v>2.2897790000000001E-2</v>
      </c>
      <c r="W745">
        <v>-8.5452449999999999E-2</v>
      </c>
      <c r="X745">
        <v>0.9960791</v>
      </c>
      <c r="Y745">
        <v>-7.6410699999999998E-4</v>
      </c>
      <c r="Z745">
        <v>3.7322270000000001E-4</v>
      </c>
      <c r="AA745">
        <v>0.99999959999999999</v>
      </c>
      <c r="AB745">
        <v>20</v>
      </c>
      <c r="AC745">
        <v>0.72050000000001502</v>
      </c>
      <c r="AD745">
        <v>-8.4389999999999896E-2</v>
      </c>
      <c r="AE745">
        <v>-2.3000000000479299E-3</v>
      </c>
      <c r="AF745">
        <v>-4.5847769170663999E-4</v>
      </c>
      <c r="AG745">
        <v>-8.4389999999999896E-2</v>
      </c>
      <c r="AH745">
        <v>0.71075299001956305</v>
      </c>
      <c r="AI745">
        <v>96.771211219563995</v>
      </c>
      <c r="AJ745">
        <v>90.036959159456302</v>
      </c>
      <c r="AK745">
        <v>0.71574555194115097</v>
      </c>
      <c r="AL745">
        <v>94.902043000504307</v>
      </c>
      <c r="AM745">
        <v>88.683120945556198</v>
      </c>
      <c r="AN745">
        <v>1.00000000172734</v>
      </c>
    </row>
    <row r="746" spans="1:40" x14ac:dyDescent="0.25">
      <c r="A746" t="str">
        <f>"20190303154111971"</f>
        <v>20190303154111971</v>
      </c>
      <c r="B746" t="str">
        <f>"1551598871959726"</f>
        <v>1551598871959726</v>
      </c>
      <c r="C746" t="s">
        <v>40</v>
      </c>
      <c r="D746">
        <v>6.1443110000000001</v>
      </c>
      <c r="E746">
        <v>0.49099500000000001</v>
      </c>
      <c r="F746" t="s">
        <v>42</v>
      </c>
      <c r="G746">
        <v>-354.28370000000001</v>
      </c>
      <c r="H746">
        <v>1.0345120000000001</v>
      </c>
      <c r="I746">
        <v>367.56979999999999</v>
      </c>
      <c r="J746">
        <v>-355.04770000000002</v>
      </c>
      <c r="K746">
        <v>1.1204889999999901</v>
      </c>
      <c r="L746">
        <v>367.5729</v>
      </c>
      <c r="M746">
        <v>0.99995069999999997</v>
      </c>
      <c r="N746">
        <v>-9.1617490000000003E-3</v>
      </c>
      <c r="O746">
        <v>-3.8367319999999998E-3</v>
      </c>
      <c r="P746">
        <v>0.99519179999999996</v>
      </c>
      <c r="Q746">
        <v>-9.4266909999999995E-2</v>
      </c>
      <c r="R746">
        <v>-2.6591239999999999E-2</v>
      </c>
      <c r="S746">
        <v>2.9871829999999999</v>
      </c>
      <c r="T746">
        <v>-0.28574300000000002</v>
      </c>
      <c r="U746">
        <v>-1.077271E-2</v>
      </c>
      <c r="V746">
        <v>2.2769250000000001E-2</v>
      </c>
      <c r="W746">
        <v>-8.5145280000000004E-2</v>
      </c>
      <c r="X746">
        <v>0.9961084</v>
      </c>
      <c r="Y746">
        <v>-2.1521330000000001E-4</v>
      </c>
      <c r="Z746">
        <v>3.4234819999999998E-4</v>
      </c>
      <c r="AA746">
        <v>0.99999990000000005</v>
      </c>
      <c r="AB746">
        <v>20</v>
      </c>
      <c r="AC746">
        <v>0.76400000000001</v>
      </c>
      <c r="AD746">
        <v>-8.5976999999999706E-2</v>
      </c>
      <c r="AE746">
        <v>-3.1000000000176399E-3</v>
      </c>
      <c r="AF746">
        <v>1.66482657199049E-4</v>
      </c>
      <c r="AG746">
        <v>-8.5976999999999706E-2</v>
      </c>
      <c r="AH746">
        <v>0.754451896113573</v>
      </c>
      <c r="AI746">
        <v>96.501354125278397</v>
      </c>
      <c r="AJ746">
        <v>89.987356710859899</v>
      </c>
      <c r="AK746">
        <v>0.75933506161301401</v>
      </c>
      <c r="AL746">
        <v>94.884378836864201</v>
      </c>
      <c r="AM746">
        <v>88.690549356607306</v>
      </c>
      <c r="AN746">
        <v>1.0000000510011899</v>
      </c>
    </row>
    <row r="747" spans="1:40" x14ac:dyDescent="0.25">
      <c r="A747" t="str">
        <f>"20190303154111992"</f>
        <v>20190303154111992</v>
      </c>
      <c r="B747" t="str">
        <f>"1551598871989983"</f>
        <v>1551598871989983</v>
      </c>
      <c r="C747" t="s">
        <v>40</v>
      </c>
      <c r="D747">
        <v>6.5834770000000002</v>
      </c>
      <c r="E747">
        <v>0.490784</v>
      </c>
      <c r="F747" t="s">
        <v>41</v>
      </c>
      <c r="G747">
        <v>-343.36349999999999</v>
      </c>
      <c r="H747" s="1">
        <v>-3.4855969999999998E-6</v>
      </c>
      <c r="I747">
        <v>367.5419</v>
      </c>
      <c r="J747">
        <v>-354.85399999999998</v>
      </c>
      <c r="K747">
        <v>1.1204769999999999</v>
      </c>
      <c r="L747">
        <v>367.57220000000001</v>
      </c>
      <c r="M747">
        <v>0.99995199999999995</v>
      </c>
      <c r="N747">
        <v>-9.0214260000000008E-3</v>
      </c>
      <c r="O747">
        <v>-3.8364509999999998E-3</v>
      </c>
      <c r="P747">
        <v>0.99517239999999996</v>
      </c>
      <c r="Q747">
        <v>-9.451234E-2</v>
      </c>
      <c r="R747">
        <v>-2.645053E-2</v>
      </c>
      <c r="S747">
        <v>2.9871219999999998</v>
      </c>
      <c r="T747">
        <v>-0.28645880000000001</v>
      </c>
      <c r="U747">
        <v>-7.9345700000000002E-3</v>
      </c>
      <c r="V747">
        <v>2.2628809999999999E-2</v>
      </c>
      <c r="W747">
        <v>-8.5530629999999996E-2</v>
      </c>
      <c r="X747">
        <v>0.99607860000000004</v>
      </c>
      <c r="Y747">
        <v>-1.1600930000000001E-3</v>
      </c>
      <c r="Z747">
        <v>3.9326870000000002E-4</v>
      </c>
      <c r="AA747">
        <v>0.99999919999999998</v>
      </c>
      <c r="AB747">
        <v>20</v>
      </c>
      <c r="AC747">
        <v>11.490500000000001</v>
      </c>
      <c r="AD747">
        <v>-1.1204804855970001</v>
      </c>
      <c r="AE747">
        <v>-3.0300000000010999E-2</v>
      </c>
      <c r="AF747">
        <v>-1.36549124035138E-2</v>
      </c>
      <c r="AG747">
        <v>-1.1204804855970001</v>
      </c>
      <c r="AH747">
        <v>11.382299174683601</v>
      </c>
      <c r="AI747">
        <v>95.622113738801403</v>
      </c>
      <c r="AJ747">
        <v>90.068735539543397</v>
      </c>
      <c r="AK747">
        <v>11.4373247517608</v>
      </c>
      <c r="AL747">
        <v>94.906538535321303</v>
      </c>
      <c r="AM747">
        <v>88.6985842995241</v>
      </c>
      <c r="AN747">
        <v>1.0000000645440801</v>
      </c>
    </row>
    <row r="748" spans="1:40" x14ac:dyDescent="0.25">
      <c r="A748" t="str">
        <f>"20190303154112006"</f>
        <v>20190303154112006</v>
      </c>
      <c r="B748" t="str">
        <f>"1551598871999743"</f>
        <v>1551598871999743</v>
      </c>
      <c r="C748" t="s">
        <v>40</v>
      </c>
      <c r="D748">
        <v>6.0898839999999996</v>
      </c>
      <c r="E748">
        <v>0.49100779999999999</v>
      </c>
      <c r="F748" t="s">
        <v>41</v>
      </c>
      <c r="G748">
        <v>-343.24360000000001</v>
      </c>
      <c r="H748" s="1">
        <v>-3.5409310000000001E-6</v>
      </c>
      <c r="I748">
        <v>367.54930000000002</v>
      </c>
      <c r="J748">
        <v>-354.73009999999999</v>
      </c>
      <c r="K748">
        <v>1.1204730000000001</v>
      </c>
      <c r="L748">
        <v>367.57170000000002</v>
      </c>
      <c r="M748">
        <v>0.99995259999999997</v>
      </c>
      <c r="N748">
        <v>-8.9399679999999995E-3</v>
      </c>
      <c r="O748">
        <v>-3.8363220000000001E-3</v>
      </c>
      <c r="P748">
        <v>0.99517420000000001</v>
      </c>
      <c r="Q748">
        <v>-9.4438809999999998E-2</v>
      </c>
      <c r="R748">
        <v>-2.6637250000000001E-2</v>
      </c>
      <c r="S748">
        <v>2.9870299999999999</v>
      </c>
      <c r="T748">
        <v>-0.28826790000000002</v>
      </c>
      <c r="U748">
        <v>-5.8898930000000002E-3</v>
      </c>
      <c r="V748">
        <v>2.2815829999999999E-2</v>
      </c>
      <c r="W748">
        <v>-8.553827E-2</v>
      </c>
      <c r="X748">
        <v>0.9960736</v>
      </c>
      <c r="Y748">
        <v>-1.8406430000000001E-3</v>
      </c>
      <c r="Z748">
        <v>4.320053E-4</v>
      </c>
      <c r="AA748">
        <v>0.99999819999999995</v>
      </c>
      <c r="AB748">
        <v>20</v>
      </c>
      <c r="AC748">
        <v>11.4864999999999</v>
      </c>
      <c r="AD748">
        <v>-1.120476540931</v>
      </c>
      <c r="AE748">
        <v>-2.24000000000046E-2</v>
      </c>
      <c r="AF748">
        <v>-2.1463606554003801E-2</v>
      </c>
      <c r="AG748">
        <v>-1.120476540931</v>
      </c>
      <c r="AH748">
        <v>11.37823262036</v>
      </c>
      <c r="AI748">
        <v>95.624084595676294</v>
      </c>
      <c r="AJ748">
        <v>90.108081162604805</v>
      </c>
      <c r="AK748">
        <v>11.4332893748128</v>
      </c>
      <c r="AL748">
        <v>94.906978265750595</v>
      </c>
      <c r="AM748">
        <v>88.687825668575201</v>
      </c>
      <c r="AN748">
        <v>0.99999998717506999</v>
      </c>
    </row>
    <row r="749" spans="1:40" x14ac:dyDescent="0.25">
      <c r="A749" t="str">
        <f>"20190303154112020"</f>
        <v>20190303154112020</v>
      </c>
      <c r="B749" t="str">
        <f>"1551598872009502"</f>
        <v>1551598872009502</v>
      </c>
      <c r="C749" t="s">
        <v>40</v>
      </c>
      <c r="D749">
        <v>6.0837159999999999</v>
      </c>
      <c r="E749">
        <v>0.49124220000000002</v>
      </c>
      <c r="F749" t="s">
        <v>42</v>
      </c>
      <c r="G749">
        <v>-353.91320000000002</v>
      </c>
      <c r="H749">
        <v>1.042262</v>
      </c>
      <c r="I749">
        <v>367.56900000000002</v>
      </c>
      <c r="J749">
        <v>-354.60899999999998</v>
      </c>
      <c r="K749">
        <v>1.12046</v>
      </c>
      <c r="L749">
        <v>367.57119999999998</v>
      </c>
      <c r="M749">
        <v>0.99995350000000005</v>
      </c>
      <c r="N749">
        <v>-8.8629219999999901E-3</v>
      </c>
      <c r="O749">
        <v>-3.8362169999999998E-3</v>
      </c>
      <c r="P749">
        <v>0.99521280000000001</v>
      </c>
      <c r="Q749">
        <v>-9.4089210000000006E-2</v>
      </c>
      <c r="R749">
        <v>-2.6441909999999999E-2</v>
      </c>
      <c r="S749">
        <v>2.987152</v>
      </c>
      <c r="T749">
        <v>-0.28632400000000002</v>
      </c>
      <c r="U749">
        <v>-8.1481929999999998E-3</v>
      </c>
      <c r="V749">
        <v>2.2620379999999999E-2</v>
      </c>
      <c r="W749">
        <v>-8.5265049999999995E-2</v>
      </c>
      <c r="X749">
        <v>0.99610149999999997</v>
      </c>
      <c r="Y749">
        <v>-1.0887029999999999E-3</v>
      </c>
      <c r="Z749">
        <v>3.8983000000000003E-4</v>
      </c>
      <c r="AA749">
        <v>0.99999930000000004</v>
      </c>
      <c r="AB749">
        <v>20</v>
      </c>
      <c r="AC749">
        <v>0.69580000000001896</v>
      </c>
      <c r="AD749">
        <v>-7.8197999999999906E-2</v>
      </c>
      <c r="AE749">
        <v>-2.1999999999593399E-3</v>
      </c>
      <c r="AF749">
        <v>-4.63506178208277E-4</v>
      </c>
      <c r="AG749">
        <v>-7.8197999999999906E-2</v>
      </c>
      <c r="AH749">
        <v>0.68712464072972801</v>
      </c>
      <c r="AI749">
        <v>96.4925929322537</v>
      </c>
      <c r="AJ749">
        <v>90.038649383513999</v>
      </c>
      <c r="AK749">
        <v>0.69156013038631403</v>
      </c>
      <c r="AL749">
        <v>94.891266427291001</v>
      </c>
      <c r="AM749">
        <v>88.699098852052202</v>
      </c>
      <c r="AN749">
        <v>1.0000000043225401</v>
      </c>
    </row>
    <row r="750" spans="1:40" x14ac:dyDescent="0.25">
      <c r="A750" t="str">
        <f>"20190303154112036"</f>
        <v>20190303154112036</v>
      </c>
      <c r="B750" t="str">
        <f>"1551598872029999"</f>
        <v>1551598872029999</v>
      </c>
      <c r="C750" t="s">
        <v>40</v>
      </c>
      <c r="D750">
        <v>6.1039830000000004</v>
      </c>
      <c r="E750">
        <v>0.49156270000000002</v>
      </c>
      <c r="F750" t="s">
        <v>42</v>
      </c>
      <c r="G750">
        <v>-353.73450000000003</v>
      </c>
      <c r="H750">
        <v>1.0376019999999999</v>
      </c>
      <c r="I750">
        <v>367.56819999999999</v>
      </c>
      <c r="J750">
        <v>-354.45620000000002</v>
      </c>
      <c r="K750">
        <v>1.1204529999999999</v>
      </c>
      <c r="L750">
        <v>367.57060000000001</v>
      </c>
      <c r="M750">
        <v>0.99995429999999996</v>
      </c>
      <c r="N750">
        <v>-8.7672700000000006E-3</v>
      </c>
      <c r="O750">
        <v>-3.8361519999999998E-3</v>
      </c>
      <c r="P750">
        <v>0.99523989999999996</v>
      </c>
      <c r="Q750">
        <v>-9.3766840000000004E-2</v>
      </c>
      <c r="R750">
        <v>-2.6564850000000001E-2</v>
      </c>
      <c r="S750">
        <v>2.9874269999999998</v>
      </c>
      <c r="T750">
        <v>-0.28321279999999999</v>
      </c>
      <c r="U750">
        <v>-9.6435549999999998E-3</v>
      </c>
      <c r="V750">
        <v>2.274348E-2</v>
      </c>
      <c r="W750">
        <v>-8.5037740000000001E-2</v>
      </c>
      <c r="X750">
        <v>0.99611810000000001</v>
      </c>
      <c r="Y750">
        <v>-5.9121070000000002E-4</v>
      </c>
      <c r="Z750">
        <v>3.5985180000000001E-4</v>
      </c>
      <c r="AA750">
        <v>0.99999979999999999</v>
      </c>
      <c r="AB750">
        <v>20</v>
      </c>
      <c r="AC750">
        <v>0.72169999999999801</v>
      </c>
      <c r="AD750">
        <v>-8.2850999999999994E-2</v>
      </c>
      <c r="AE750">
        <v>-2.4000000000228201E-3</v>
      </c>
      <c r="AF750">
        <v>-3.6387920690942601E-4</v>
      </c>
      <c r="AG750">
        <v>-8.2850999999999994E-2</v>
      </c>
      <c r="AH750">
        <v>0.71231639027307103</v>
      </c>
      <c r="AI750">
        <v>96.634379788692499</v>
      </c>
      <c r="AJ750">
        <v>90.029268933411601</v>
      </c>
      <c r="AK750">
        <v>0.71711858186825395</v>
      </c>
      <c r="AL750">
        <v>94.878195186624694</v>
      </c>
      <c r="AM750">
        <v>88.6920435963995</v>
      </c>
      <c r="AN750">
        <v>0.99999997612721303</v>
      </c>
    </row>
    <row r="751" spans="1:40" x14ac:dyDescent="0.25">
      <c r="A751" t="str">
        <f>"20190303154112058"</f>
        <v>20190303154112058</v>
      </c>
      <c r="B751" t="str">
        <f>"1551598872049522"</f>
        <v>1551598872049522</v>
      </c>
      <c r="C751" t="s">
        <v>40</v>
      </c>
      <c r="D751">
        <v>6.0648650000000002</v>
      </c>
      <c r="E751">
        <v>0.49188169999999998</v>
      </c>
      <c r="F751" t="s">
        <v>42</v>
      </c>
      <c r="G751">
        <v>-353.55259999999998</v>
      </c>
      <c r="H751">
        <v>1.0360879999999999</v>
      </c>
      <c r="I751">
        <v>367.56659999999999</v>
      </c>
      <c r="J751">
        <v>-354.2527</v>
      </c>
      <c r="K751">
        <v>1.120441</v>
      </c>
      <c r="L751">
        <v>367.56990000000002</v>
      </c>
      <c r="M751">
        <v>0.99995540000000005</v>
      </c>
      <c r="N751">
        <v>-8.6310339999999992E-3</v>
      </c>
      <c r="O751">
        <v>-3.8359169999999999E-3</v>
      </c>
      <c r="P751">
        <v>0.99526349999999997</v>
      </c>
      <c r="Q751">
        <v>-9.3543050000000003E-2</v>
      </c>
      <c r="R751">
        <v>-2.646281E-2</v>
      </c>
      <c r="S751">
        <v>2.9877319999999998</v>
      </c>
      <c r="T751">
        <v>-0.27917619999999999</v>
      </c>
      <c r="U751">
        <v>-1.260376E-2</v>
      </c>
      <c r="V751">
        <v>2.2641479999999999E-2</v>
      </c>
      <c r="W751">
        <v>-8.4949460000000004E-2</v>
      </c>
      <c r="X751">
        <v>0.99612800000000001</v>
      </c>
      <c r="Y751">
        <v>3.9429820000000003E-4</v>
      </c>
      <c r="Z751">
        <v>3.0451879999999999E-4</v>
      </c>
      <c r="AA751">
        <v>0.99999990000000005</v>
      </c>
      <c r="AB751">
        <v>20</v>
      </c>
      <c r="AC751">
        <v>0.70010000000002004</v>
      </c>
      <c r="AD751">
        <v>-8.4353000000000095E-2</v>
      </c>
      <c r="AE751">
        <v>-3.30000000002428E-3</v>
      </c>
      <c r="AF751">
        <v>6.0555941593296795E-4</v>
      </c>
      <c r="AG751">
        <v>-8.4353000000000095E-2</v>
      </c>
      <c r="AH751">
        <v>0.69008960658651497</v>
      </c>
      <c r="AI751">
        <v>96.968966989893303</v>
      </c>
      <c r="AJ751">
        <v>89.949722485977603</v>
      </c>
      <c r="AK751">
        <v>0.69522619371679095</v>
      </c>
      <c r="AL751">
        <v>94.873118532255603</v>
      </c>
      <c r="AM751">
        <v>88.6979204339749</v>
      </c>
      <c r="AN751">
        <v>1.0000000198774399</v>
      </c>
    </row>
    <row r="752" spans="1:40" x14ac:dyDescent="0.25">
      <c r="A752" t="str">
        <f>"20190303154112080"</f>
        <v>20190303154112080</v>
      </c>
      <c r="B752" t="str">
        <f>"1551598872070014"</f>
        <v>1551598872070014</v>
      </c>
      <c r="C752" t="s">
        <v>40</v>
      </c>
      <c r="D752">
        <v>6.0435019999999904</v>
      </c>
      <c r="E752">
        <v>0.4921295</v>
      </c>
      <c r="F752" t="s">
        <v>42</v>
      </c>
      <c r="G752">
        <v>-353.36630000000002</v>
      </c>
      <c r="H752">
        <v>1.038578</v>
      </c>
      <c r="I752">
        <v>367.56540000000001</v>
      </c>
      <c r="J752">
        <v>-354.04419999999999</v>
      </c>
      <c r="K752">
        <v>1.1204209999999999</v>
      </c>
      <c r="L752">
        <v>367.56909999999999</v>
      </c>
      <c r="M752">
        <v>0.99995679999999998</v>
      </c>
      <c r="N752">
        <v>-8.4733949999999999E-3</v>
      </c>
      <c r="O752">
        <v>-3.835719E-3</v>
      </c>
      <c r="P752">
        <v>0.99525169999999996</v>
      </c>
      <c r="Q752">
        <v>-9.35806E-2</v>
      </c>
      <c r="R752">
        <v>-2.677672E-2</v>
      </c>
      <c r="S752">
        <v>2.987946</v>
      </c>
      <c r="T752">
        <v>-0.2761015</v>
      </c>
      <c r="U752">
        <v>-1.467896E-2</v>
      </c>
      <c r="V752">
        <v>2.2955550000000002E-2</v>
      </c>
      <c r="W752">
        <v>-8.5144139999999993E-2</v>
      </c>
      <c r="X752">
        <v>0.9961042</v>
      </c>
      <c r="Y752">
        <v>1.085251E-3</v>
      </c>
      <c r="Z752">
        <v>2.6660049999999998E-4</v>
      </c>
      <c r="AA752">
        <v>0.99999939999999998</v>
      </c>
      <c r="AB752">
        <v>21</v>
      </c>
      <c r="AC752">
        <v>0.67789999999996498</v>
      </c>
      <c r="AD752">
        <v>-8.1842999999999805E-2</v>
      </c>
      <c r="AE752">
        <v>-3.69999999998071E-3</v>
      </c>
      <c r="AF752">
        <v>1.0838482022166899E-3</v>
      </c>
      <c r="AG752">
        <v>-8.1842999999999805E-2</v>
      </c>
      <c r="AH752">
        <v>0.66817039072996898</v>
      </c>
      <c r="AI752">
        <v>96.983263243332601</v>
      </c>
      <c r="AJ752">
        <v>89.907059824837106</v>
      </c>
      <c r="AK752">
        <v>0.67316500386173095</v>
      </c>
      <c r="AL752">
        <v>94.884313386626204</v>
      </c>
      <c r="AM752">
        <v>88.679833528472798</v>
      </c>
      <c r="AN752">
        <v>1.0000000295548901</v>
      </c>
    </row>
    <row r="753" spans="1:40" x14ac:dyDescent="0.25">
      <c r="A753" t="str">
        <f>"20190303154112092"</f>
        <v>20190303154112092</v>
      </c>
      <c r="B753" t="str">
        <f>"1551598872089535"</f>
        <v>1551598872089535</v>
      </c>
      <c r="C753" t="s">
        <v>40</v>
      </c>
      <c r="D753">
        <v>6.0903119999999999</v>
      </c>
      <c r="E753">
        <v>0.49235309999999999</v>
      </c>
      <c r="F753" t="s">
        <v>42</v>
      </c>
      <c r="G753">
        <v>-353.17930000000001</v>
      </c>
      <c r="H753">
        <v>1.041121</v>
      </c>
      <c r="I753">
        <v>367.56360000000001</v>
      </c>
      <c r="J753">
        <v>-353.93439999999998</v>
      </c>
      <c r="K753">
        <v>1.1204080000000001</v>
      </c>
      <c r="L753">
        <v>367.56869999999998</v>
      </c>
      <c r="M753">
        <v>0.9999576</v>
      </c>
      <c r="N753">
        <v>-8.3837180000000001E-3</v>
      </c>
      <c r="O753">
        <v>-3.8356979999999998E-3</v>
      </c>
      <c r="P753">
        <v>0.99525370000000002</v>
      </c>
      <c r="Q753">
        <v>-9.3540100000000001E-2</v>
      </c>
      <c r="R753">
        <v>-2.6842290000000001E-2</v>
      </c>
      <c r="S753">
        <v>2.9880680000000002</v>
      </c>
      <c r="T753">
        <v>-0.27438069999999998</v>
      </c>
      <c r="U753">
        <v>-1.7395020000000001E-2</v>
      </c>
      <c r="V753">
        <v>2.3021199999999999E-2</v>
      </c>
      <c r="W753">
        <v>-8.5192959999999998E-2</v>
      </c>
      <c r="X753">
        <v>0.9960985</v>
      </c>
      <c r="Y753">
        <v>1.9897719999999999E-3</v>
      </c>
      <c r="Z753">
        <v>2.1985080000000001E-4</v>
      </c>
      <c r="AA753">
        <v>0.99999800000000005</v>
      </c>
      <c r="AB753">
        <v>21</v>
      </c>
      <c r="AC753">
        <v>0.75509999999997002</v>
      </c>
      <c r="AD753">
        <v>-7.9287000000000094E-2</v>
      </c>
      <c r="AE753">
        <v>-5.0999999999703496E-3</v>
      </c>
      <c r="AF753">
        <v>2.1794966555395102E-3</v>
      </c>
      <c r="AG753">
        <v>-7.9287000000000094E-2</v>
      </c>
      <c r="AH753">
        <v>0.74687972271207004</v>
      </c>
      <c r="AI753">
        <v>96.059664876085407</v>
      </c>
      <c r="AJ753">
        <v>89.832803593980898</v>
      </c>
      <c r="AK753">
        <v>0.75107955555528905</v>
      </c>
      <c r="AL753">
        <v>94.887120819186904</v>
      </c>
      <c r="AM753">
        <v>88.676051786136796</v>
      </c>
      <c r="AN753">
        <v>1.0000000188926199</v>
      </c>
    </row>
    <row r="754" spans="1:40" x14ac:dyDescent="0.25">
      <c r="A754" t="str">
        <f>"20190303154112105"</f>
        <v>20190303154112105</v>
      </c>
      <c r="B754" t="str">
        <f>"1551598872100270"</f>
        <v>1551598872100270</v>
      </c>
      <c r="C754" t="s">
        <v>40</v>
      </c>
      <c r="D754">
        <v>6.1001709999999996</v>
      </c>
      <c r="E754">
        <v>0.49247649999999998</v>
      </c>
      <c r="F754" t="s">
        <v>41</v>
      </c>
      <c r="G754">
        <v>-341.65159999999997</v>
      </c>
      <c r="H754" s="1">
        <v>-4.3044790000000001E-6</v>
      </c>
      <c r="I754">
        <v>367.48719999999997</v>
      </c>
      <c r="J754">
        <v>-353.82619999999997</v>
      </c>
      <c r="K754">
        <v>1.1203920000000001</v>
      </c>
      <c r="L754">
        <v>367.56830000000002</v>
      </c>
      <c r="M754">
        <v>0.99995849999999997</v>
      </c>
      <c r="N754">
        <v>-8.2886309999999994E-3</v>
      </c>
      <c r="O754">
        <v>-3.8356589999999999E-3</v>
      </c>
      <c r="P754">
        <v>0.99524900000000005</v>
      </c>
      <c r="Q754">
        <v>-9.3553650000000002E-2</v>
      </c>
      <c r="R754">
        <v>-2.696935E-2</v>
      </c>
      <c r="S754">
        <v>2.9881289999999998</v>
      </c>
      <c r="T754">
        <v>-0.2725708</v>
      </c>
      <c r="U754">
        <v>-1.9805909999999999E-2</v>
      </c>
      <c r="V754">
        <v>2.3148450000000001E-2</v>
      </c>
      <c r="W754">
        <v>-8.5301269999999998E-2</v>
      </c>
      <c r="X754">
        <v>0.99608620000000003</v>
      </c>
      <c r="Y754">
        <v>2.7928060000000001E-3</v>
      </c>
      <c r="Z754">
        <v>1.7870509999999901E-4</v>
      </c>
      <c r="AA754">
        <v>0.99999610000000005</v>
      </c>
      <c r="AB754">
        <v>21</v>
      </c>
      <c r="AC754">
        <v>12.1745999999999</v>
      </c>
      <c r="AD754">
        <v>-1.120396304479</v>
      </c>
      <c r="AE754">
        <v>-8.1100000000048994E-2</v>
      </c>
      <c r="AF754">
        <v>3.4111317706269802E-2</v>
      </c>
      <c r="AG754">
        <v>-1.120396304479</v>
      </c>
      <c r="AH754">
        <v>12.072582926273499</v>
      </c>
      <c r="AI754">
        <v>95.302127679565004</v>
      </c>
      <c r="AJ754">
        <v>89.838110092177899</v>
      </c>
      <c r="AK754">
        <v>12.124508648717899</v>
      </c>
      <c r="AL754">
        <v>94.893349595934097</v>
      </c>
      <c r="AM754">
        <v>88.668719837527703</v>
      </c>
      <c r="AN754">
        <v>0.99999993761572503</v>
      </c>
    </row>
    <row r="755" spans="1:40" x14ac:dyDescent="0.25">
      <c r="A755" t="str">
        <f>"20190303154112118"</f>
        <v>20190303154112118</v>
      </c>
      <c r="B755" t="str">
        <f>"1551598872110030"</f>
        <v>1551598872110030</v>
      </c>
      <c r="C755" t="s">
        <v>40</v>
      </c>
      <c r="D755">
        <v>6.1092199999999997</v>
      </c>
      <c r="E755">
        <v>0.4925697</v>
      </c>
      <c r="F755" t="s">
        <v>42</v>
      </c>
      <c r="G755">
        <v>-352.99079999999998</v>
      </c>
      <c r="H755">
        <v>1.0444059999999999</v>
      </c>
      <c r="I755">
        <v>367.56229999999999</v>
      </c>
      <c r="J755">
        <v>-353.70139999999998</v>
      </c>
      <c r="K755">
        <v>1.120371</v>
      </c>
      <c r="L755">
        <v>367.56779999999998</v>
      </c>
      <c r="M755">
        <v>0.9999593</v>
      </c>
      <c r="N755">
        <v>-8.1753490000000002E-3</v>
      </c>
      <c r="O755">
        <v>-3.835312E-3</v>
      </c>
      <c r="P755">
        <v>0.99526780000000004</v>
      </c>
      <c r="Q755">
        <v>-9.3269619999999998E-2</v>
      </c>
      <c r="R755">
        <v>-2.7258029999999999E-2</v>
      </c>
      <c r="S755">
        <v>2.988159</v>
      </c>
      <c r="T755">
        <v>-0.27185029999999999</v>
      </c>
      <c r="U755">
        <v>-2.114868E-2</v>
      </c>
      <c r="V755">
        <v>2.3437309999999999E-2</v>
      </c>
      <c r="W755">
        <v>-8.5129919999999998E-2</v>
      </c>
      <c r="X755">
        <v>0.99609420000000004</v>
      </c>
      <c r="Y755">
        <v>3.240452E-3</v>
      </c>
      <c r="Z755">
        <v>1.5652719999999999E-4</v>
      </c>
      <c r="AA755">
        <v>0.99999479999999996</v>
      </c>
      <c r="AB755">
        <v>21</v>
      </c>
      <c r="AC755">
        <v>0.71059999999999901</v>
      </c>
      <c r="AD755">
        <v>-7.5965000000000005E-2</v>
      </c>
      <c r="AE755">
        <v>-5.4999999999836204E-3</v>
      </c>
      <c r="AF755">
        <v>2.74314866774202E-3</v>
      </c>
      <c r="AG755">
        <v>-7.5965000000000005E-2</v>
      </c>
      <c r="AH755">
        <v>0.70258706504397495</v>
      </c>
      <c r="AI755">
        <v>96.170905610269102</v>
      </c>
      <c r="AJ755">
        <v>89.776298126696005</v>
      </c>
      <c r="AK755">
        <v>0.70668719392438395</v>
      </c>
      <c r="AL755">
        <v>94.883495654754597</v>
      </c>
      <c r="AM755">
        <v>88.652124251341306</v>
      </c>
      <c r="AN755">
        <v>1.00000003302644</v>
      </c>
    </row>
    <row r="756" spans="1:40" x14ac:dyDescent="0.25">
      <c r="A756" t="str">
        <f>"20190303154112130"</f>
        <v>20190303154112130</v>
      </c>
      <c r="B756" t="str">
        <f>"1551598872119790"</f>
        <v>1551598872119790</v>
      </c>
      <c r="C756" t="s">
        <v>40</v>
      </c>
      <c r="D756">
        <v>6.0839749999999997</v>
      </c>
      <c r="E756">
        <v>0.4926662</v>
      </c>
      <c r="F756" t="s">
        <v>42</v>
      </c>
      <c r="G756">
        <v>-352.80860000000001</v>
      </c>
      <c r="H756">
        <v>1.0396190000000001</v>
      </c>
      <c r="I756">
        <v>367.5607</v>
      </c>
      <c r="J756">
        <v>-353.58080000000001</v>
      </c>
      <c r="K756">
        <v>1.1203540000000001</v>
      </c>
      <c r="L756">
        <v>367.56729999999999</v>
      </c>
      <c r="M756">
        <v>0.99996010000000002</v>
      </c>
      <c r="N756">
        <v>-8.0602739999999992E-3</v>
      </c>
      <c r="O756">
        <v>-3.835083E-3</v>
      </c>
      <c r="P756">
        <v>0.99524950000000001</v>
      </c>
      <c r="Q756">
        <v>-9.3458470000000002E-2</v>
      </c>
      <c r="R756">
        <v>-2.727628E-2</v>
      </c>
      <c r="S756">
        <v>2.9882810000000002</v>
      </c>
      <c r="T756">
        <v>-0.27056649999999999</v>
      </c>
      <c r="U756">
        <v>-2.2521969999999999E-2</v>
      </c>
      <c r="V756">
        <v>2.345583E-2</v>
      </c>
      <c r="W756">
        <v>-8.5433540000000002E-2</v>
      </c>
      <c r="X756">
        <v>0.99606779999999995</v>
      </c>
      <c r="Y756">
        <v>3.6979360000000002E-3</v>
      </c>
      <c r="Z756">
        <v>1.3366499999999999E-4</v>
      </c>
      <c r="AA756">
        <v>0.99999309999999997</v>
      </c>
      <c r="AB756">
        <v>21</v>
      </c>
      <c r="AC756">
        <v>0.772199999999997</v>
      </c>
      <c r="AD756">
        <v>-8.0735000000000001E-2</v>
      </c>
      <c r="AE756">
        <v>-6.5999999999917201E-3</v>
      </c>
      <c r="AF756">
        <v>3.59906509398316E-3</v>
      </c>
      <c r="AG756">
        <v>-8.0735000000000001E-2</v>
      </c>
      <c r="AH756">
        <v>0.76387029605032297</v>
      </c>
      <c r="AI756">
        <v>96.033241504863199</v>
      </c>
      <c r="AJ756">
        <v>89.730046167200697</v>
      </c>
      <c r="AK756">
        <v>0.76813340161885801</v>
      </c>
      <c r="AL756">
        <v>94.900955254881296</v>
      </c>
      <c r="AM756">
        <v>88.6510238232391</v>
      </c>
      <c r="AN756">
        <v>1.0000000639573701</v>
      </c>
    </row>
    <row r="757" spans="1:40" x14ac:dyDescent="0.25">
      <c r="A757" t="str">
        <f>"20190303154112150"</f>
        <v>20190303154112150</v>
      </c>
      <c r="B757" t="str">
        <f>"1551598872140287"</f>
        <v>1551598872140287</v>
      </c>
      <c r="C757" t="s">
        <v>40</v>
      </c>
      <c r="D757">
        <v>6.0841849999999997</v>
      </c>
      <c r="E757">
        <v>0.49281360000000002</v>
      </c>
      <c r="F757" t="s">
        <v>41</v>
      </c>
      <c r="G757">
        <v>-341.20249999999999</v>
      </c>
      <c r="H757" s="1">
        <v>-4.5198399999999997E-6</v>
      </c>
      <c r="I757">
        <v>367.47</v>
      </c>
      <c r="J757">
        <v>-353.41059999999999</v>
      </c>
      <c r="K757">
        <v>1.1203259999999999</v>
      </c>
      <c r="L757">
        <v>367.56670000000003</v>
      </c>
      <c r="M757">
        <v>0.99996160000000001</v>
      </c>
      <c r="N757">
        <v>-7.8977960000000003E-3</v>
      </c>
      <c r="O757">
        <v>-3.8347920000000001E-3</v>
      </c>
      <c r="P757">
        <v>0.99528779999999994</v>
      </c>
      <c r="Q757">
        <v>-9.3062069999999997E-2</v>
      </c>
      <c r="R757">
        <v>-2.7239349999999999E-2</v>
      </c>
      <c r="S757">
        <v>2.9882810000000002</v>
      </c>
      <c r="T757">
        <v>-0.27047009999999899</v>
      </c>
      <c r="U757">
        <v>-2.3498539999999998E-2</v>
      </c>
      <c r="V757">
        <v>2.341907E-2</v>
      </c>
      <c r="W757">
        <v>-8.5198700000000002E-2</v>
      </c>
      <c r="X757">
        <v>0.99608869999999905</v>
      </c>
      <c r="Y757">
        <v>4.0236389999999999E-3</v>
      </c>
      <c r="Z757">
        <v>1.185018E-4</v>
      </c>
      <c r="AA757">
        <v>0.99999190000000004</v>
      </c>
      <c r="AB757">
        <v>21</v>
      </c>
      <c r="AC757">
        <v>12.2081</v>
      </c>
      <c r="AD757">
        <v>-1.12033051984</v>
      </c>
      <c r="AE757">
        <v>-9.6699999999998398E-2</v>
      </c>
      <c r="AF757">
        <v>4.9465755026144101E-2</v>
      </c>
      <c r="AG757">
        <v>-1.12033051984</v>
      </c>
      <c r="AH757">
        <v>12.1064315703291</v>
      </c>
      <c r="AI757">
        <v>95.287055888606105</v>
      </c>
      <c r="AJ757">
        <v>89.765896068940094</v>
      </c>
      <c r="AK757">
        <v>12.1582594437554</v>
      </c>
      <c r="AL757">
        <v>94.887451064101796</v>
      </c>
      <c r="AM757">
        <v>88.653165410247794</v>
      </c>
      <c r="AN757">
        <v>0.99999998479452201</v>
      </c>
    </row>
    <row r="758" spans="1:40" x14ac:dyDescent="0.25">
      <c r="A758" t="str">
        <f>"20190303154112173"</f>
        <v>20190303154112173</v>
      </c>
      <c r="B758" t="str">
        <f>"1551598872169567"</f>
        <v>1551598872169567</v>
      </c>
      <c r="C758" t="s">
        <v>40</v>
      </c>
      <c r="D758">
        <v>6.037102</v>
      </c>
      <c r="E758">
        <v>0.49295030000000001</v>
      </c>
      <c r="F758" t="s">
        <v>41</v>
      </c>
      <c r="G758">
        <v>-340.93459999999999</v>
      </c>
      <c r="H758" s="1">
        <v>-4.6474240000000004E-6</v>
      </c>
      <c r="I758">
        <v>367.46480000000003</v>
      </c>
      <c r="J758">
        <v>-353.19150000000002</v>
      </c>
      <c r="K758">
        <v>1.120293</v>
      </c>
      <c r="L758">
        <v>367.56580000000002</v>
      </c>
      <c r="M758">
        <v>0.99996320000000005</v>
      </c>
      <c r="N758">
        <v>-7.69579599999999E-3</v>
      </c>
      <c r="O758">
        <v>-3.8344799999999999E-3</v>
      </c>
      <c r="P758">
        <v>0.99528689999999997</v>
      </c>
      <c r="Q758">
        <v>-9.3051750000000003E-2</v>
      </c>
      <c r="R758">
        <v>-2.730604E-2</v>
      </c>
      <c r="S758">
        <v>2.9884339999999998</v>
      </c>
      <c r="T758">
        <v>-0.26835870000000001</v>
      </c>
      <c r="U758">
        <v>-2.4414060000000001E-2</v>
      </c>
      <c r="V758">
        <v>2.3486219999999999E-2</v>
      </c>
      <c r="W758">
        <v>-8.5389599999999996E-2</v>
      </c>
      <c r="X758">
        <v>0.99607080000000003</v>
      </c>
      <c r="Y758">
        <v>4.3287009999999999E-3</v>
      </c>
      <c r="Z758">
        <v>1.03522E-4</v>
      </c>
      <c r="AA758">
        <v>0.99999059999999995</v>
      </c>
      <c r="AB758">
        <v>21</v>
      </c>
      <c r="AC758">
        <v>12.2569</v>
      </c>
      <c r="AD758">
        <v>-1.1202976474240001</v>
      </c>
      <c r="AE758">
        <v>-0.10099999999999899</v>
      </c>
      <c r="AF758">
        <v>5.3551683644466698E-2</v>
      </c>
      <c r="AG758">
        <v>-1.1202976474240001</v>
      </c>
      <c r="AH758">
        <v>12.155653155312599</v>
      </c>
      <c r="AI758">
        <v>95.265606993607193</v>
      </c>
      <c r="AJ758">
        <v>89.747585294717695</v>
      </c>
      <c r="AK758">
        <v>12.2072862763968</v>
      </c>
      <c r="AL758">
        <v>94.898428697755406</v>
      </c>
      <c r="AM758">
        <v>88.649280767382294</v>
      </c>
      <c r="AN758">
        <v>1.0000000124653401</v>
      </c>
    </row>
    <row r="759" spans="1:40" x14ac:dyDescent="0.25">
      <c r="A759" t="str">
        <f>"20190303154112192"</f>
        <v>20190303154112192</v>
      </c>
      <c r="B759" t="str">
        <f>"1551598872190062"</f>
        <v>1551598872190062</v>
      </c>
      <c r="C759" t="s">
        <v>40</v>
      </c>
      <c r="D759">
        <v>6.0540129999999897</v>
      </c>
      <c r="E759">
        <v>0.49277589999999999</v>
      </c>
      <c r="F759" t="s">
        <v>41</v>
      </c>
      <c r="G759">
        <v>-340.70319999999998</v>
      </c>
      <c r="H759" s="1">
        <v>-4.7580320000000001E-6</v>
      </c>
      <c r="I759">
        <v>367.45780000000002</v>
      </c>
      <c r="J759">
        <v>-352.99610000000001</v>
      </c>
      <c r="K759">
        <v>1.120266</v>
      </c>
      <c r="L759">
        <v>367.56509999999997</v>
      </c>
      <c r="M759">
        <v>0.99996439999999998</v>
      </c>
      <c r="N759">
        <v>-7.5301300000000003E-3</v>
      </c>
      <c r="O759">
        <v>-3.8339680000000001E-3</v>
      </c>
      <c r="P759">
        <v>0.99529749999999995</v>
      </c>
      <c r="Q759">
        <v>-9.2986449999999998E-2</v>
      </c>
      <c r="R759">
        <v>-2.714432E-2</v>
      </c>
      <c r="S759">
        <v>2.9884339999999998</v>
      </c>
      <c r="T759">
        <v>-0.26808549999999998</v>
      </c>
      <c r="U759">
        <v>-2.5848389999999999E-2</v>
      </c>
      <c r="V759">
        <v>2.332482E-2</v>
      </c>
      <c r="W759">
        <v>-8.5489250000000003E-2</v>
      </c>
      <c r="X759">
        <v>0.99606600000000001</v>
      </c>
      <c r="Y759">
        <v>4.8071449999999996E-3</v>
      </c>
      <c r="Z759" s="1">
        <v>8.1099419999999898E-5</v>
      </c>
      <c r="AA759">
        <v>0.9999884</v>
      </c>
      <c r="AB759">
        <v>21</v>
      </c>
      <c r="AC759">
        <v>12.292899999999999</v>
      </c>
      <c r="AD759">
        <v>-1.1202707580319999</v>
      </c>
      <c r="AE759">
        <v>-0.107299999999952</v>
      </c>
      <c r="AF759">
        <v>5.9671761067703603E-2</v>
      </c>
      <c r="AG759">
        <v>-1.1202707580319999</v>
      </c>
      <c r="AH759">
        <v>12.191974948508699</v>
      </c>
      <c r="AI759">
        <v>95.249870545224596</v>
      </c>
      <c r="AJ759">
        <v>89.719576788805497</v>
      </c>
      <c r="AK759">
        <v>12.243480732023601</v>
      </c>
      <c r="AL759">
        <v>94.9041593963249</v>
      </c>
      <c r="AM759">
        <v>88.658553199624194</v>
      </c>
      <c r="AN759">
        <v>0.99999996772479605</v>
      </c>
    </row>
    <row r="760" spans="1:40" x14ac:dyDescent="0.25">
      <c r="A760" t="str">
        <f>"20190303154112215"</f>
        <v>20190303154112215</v>
      </c>
      <c r="B760" t="str">
        <f>"1551598872209583"</f>
        <v>1551598872209583</v>
      </c>
      <c r="C760" t="s">
        <v>40</v>
      </c>
      <c r="D760">
        <v>6.1227080000000003</v>
      </c>
      <c r="E760">
        <v>0.49244500000000002</v>
      </c>
      <c r="F760" t="s">
        <v>41</v>
      </c>
      <c r="G760">
        <v>-340.60109999999997</v>
      </c>
      <c r="H760" s="1">
        <v>-4.804849E-6</v>
      </c>
      <c r="I760">
        <v>367.46609999999998</v>
      </c>
      <c r="J760">
        <v>-352.78640000000001</v>
      </c>
      <c r="K760">
        <v>1.12025</v>
      </c>
      <c r="L760">
        <v>367.5643</v>
      </c>
      <c r="M760">
        <v>0.99996549999999995</v>
      </c>
      <c r="N760">
        <v>-7.3699919999999997E-3</v>
      </c>
      <c r="O760">
        <v>-3.833609E-3</v>
      </c>
      <c r="P760">
        <v>0.99531979999999998</v>
      </c>
      <c r="Q760">
        <v>-9.2874810000000002E-2</v>
      </c>
      <c r="R760">
        <v>-2.6705019999999999E-2</v>
      </c>
      <c r="S760">
        <v>2.988251</v>
      </c>
      <c r="T760">
        <v>-0.27008070000000001</v>
      </c>
      <c r="U760">
        <v>-2.3864750000000001E-2</v>
      </c>
      <c r="V760">
        <v>2.2885679999999999E-2</v>
      </c>
      <c r="W760">
        <v>-8.5536959999999995E-2</v>
      </c>
      <c r="X760">
        <v>0.99607210000000002</v>
      </c>
      <c r="Y760">
        <v>4.1471820000000001E-3</v>
      </c>
      <c r="Z760">
        <v>1.152266E-4</v>
      </c>
      <c r="AA760">
        <v>0.99999139999999997</v>
      </c>
      <c r="AB760">
        <v>21</v>
      </c>
      <c r="AC760">
        <v>12.1853</v>
      </c>
      <c r="AD760">
        <v>-1.120254804849</v>
      </c>
      <c r="AE760">
        <v>-9.8200000000019799E-2</v>
      </c>
      <c r="AF760">
        <v>5.10528617838873E-2</v>
      </c>
      <c r="AG760">
        <v>-1.120254804849</v>
      </c>
      <c r="AH760">
        <v>12.0834637239969</v>
      </c>
      <c r="AI760">
        <v>95.296689240107099</v>
      </c>
      <c r="AJ760">
        <v>89.757925692989105</v>
      </c>
      <c r="AK760">
        <v>12.1353892723568</v>
      </c>
      <c r="AL760">
        <v>94.906902981554396</v>
      </c>
      <c r="AM760">
        <v>88.683807914604401</v>
      </c>
      <c r="AN760">
        <v>0.99999997713675604</v>
      </c>
    </row>
    <row r="761" spans="1:40" x14ac:dyDescent="0.25">
      <c r="A761" t="str">
        <f>"20190303154112230"</f>
        <v>20190303154112230</v>
      </c>
      <c r="B761" t="str">
        <f>"1551598872220319"</f>
        <v>1551598872220319</v>
      </c>
      <c r="C761" t="s">
        <v>40</v>
      </c>
      <c r="D761">
        <v>6.0577949999999996</v>
      </c>
      <c r="E761">
        <v>0.49245339999999999</v>
      </c>
      <c r="F761" t="s">
        <v>41</v>
      </c>
      <c r="G761">
        <v>-340.52969999999999</v>
      </c>
      <c r="H761" s="1">
        <v>-4.8356979999999997E-6</v>
      </c>
      <c r="I761">
        <v>367.48239999999998</v>
      </c>
      <c r="J761">
        <v>-352.65120000000002</v>
      </c>
      <c r="K761">
        <v>1.120241</v>
      </c>
      <c r="L761">
        <v>367.56380000000001</v>
      </c>
      <c r="M761">
        <v>0.99996620000000003</v>
      </c>
      <c r="N761">
        <v>-7.27883E-3</v>
      </c>
      <c r="O761">
        <v>-3.8332739999999998E-3</v>
      </c>
      <c r="P761">
        <v>0.99534339999999999</v>
      </c>
      <c r="Q761">
        <v>-9.2639379999999993E-2</v>
      </c>
      <c r="R761">
        <v>-2.663575E-2</v>
      </c>
      <c r="S761">
        <v>2.9880979999999999</v>
      </c>
      <c r="T761">
        <v>-0.27310959999999901</v>
      </c>
      <c r="U761">
        <v>-1.9958500000000001E-2</v>
      </c>
      <c r="V761">
        <v>2.281683E-2</v>
      </c>
      <c r="W761">
        <v>-8.5392170000000003E-2</v>
      </c>
      <c r="X761">
        <v>0.99608609999999997</v>
      </c>
      <c r="Y761">
        <v>2.8465629999999999E-3</v>
      </c>
      <c r="Z761">
        <v>1.8157709999999999E-4</v>
      </c>
      <c r="AA761">
        <v>0.99999590000000005</v>
      </c>
      <c r="AB761">
        <v>21</v>
      </c>
      <c r="AC761">
        <v>12.121499999999999</v>
      </c>
      <c r="AD761">
        <v>-1.1202458356980001</v>
      </c>
      <c r="AE761">
        <v>-8.1400000000030504E-2</v>
      </c>
      <c r="AF761">
        <v>3.4637314447984499E-2</v>
      </c>
      <c r="AG761">
        <v>-1.1202458356980001</v>
      </c>
      <c r="AH761">
        <v>12.0190714802189</v>
      </c>
      <c r="AI761">
        <v>95.324886475039605</v>
      </c>
      <c r="AJ761">
        <v>89.8348818841134</v>
      </c>
      <c r="AK761">
        <v>12.0712149232198</v>
      </c>
      <c r="AL761">
        <v>94.898576674033606</v>
      </c>
      <c r="AM761">
        <v>88.687784638699895</v>
      </c>
      <c r="AN761">
        <v>0.99999997452088296</v>
      </c>
    </row>
    <row r="762" spans="1:40" x14ac:dyDescent="0.25">
      <c r="A762" t="str">
        <f>"20190303154112248"</f>
        <v>20190303154112248</v>
      </c>
      <c r="B762" t="str">
        <f>"1551598872239852"</f>
        <v>1551598872239852</v>
      </c>
      <c r="C762" t="s">
        <v>40</v>
      </c>
      <c r="D762">
        <v>6.0680259999999997</v>
      </c>
      <c r="E762">
        <v>0.4924771</v>
      </c>
      <c r="F762" t="s">
        <v>41</v>
      </c>
      <c r="G762">
        <v>-340.38869999999997</v>
      </c>
      <c r="H762" s="1">
        <v>-4.9022500000000004E-6</v>
      </c>
      <c r="I762">
        <v>367.48289999999997</v>
      </c>
      <c r="J762">
        <v>-352.46969999999999</v>
      </c>
      <c r="K762">
        <v>1.120233</v>
      </c>
      <c r="L762">
        <v>367.56310000000002</v>
      </c>
      <c r="M762">
        <v>0.99996700000000005</v>
      </c>
      <c r="N762">
        <v>-7.1686299999999996E-3</v>
      </c>
      <c r="O762">
        <v>-3.8328759999999998E-3</v>
      </c>
      <c r="P762">
        <v>0.99539040000000001</v>
      </c>
      <c r="Q762">
        <v>-9.2282429999999999E-2</v>
      </c>
      <c r="R762">
        <v>-2.6119460000000001E-2</v>
      </c>
      <c r="S762">
        <v>2.9880979999999999</v>
      </c>
      <c r="T762">
        <v>-0.2729782</v>
      </c>
      <c r="U762">
        <v>-1.971436E-2</v>
      </c>
      <c r="V762">
        <v>2.2300819999999999E-2</v>
      </c>
      <c r="W762">
        <v>-8.5144629999999999E-2</v>
      </c>
      <c r="X762">
        <v>0.99611899999999998</v>
      </c>
      <c r="Y762">
        <v>2.7656740000000001E-3</v>
      </c>
      <c r="Z762">
        <v>1.8599489999999999E-4</v>
      </c>
      <c r="AA762">
        <v>0.9999962</v>
      </c>
      <c r="AB762">
        <v>21</v>
      </c>
      <c r="AC762">
        <v>12.081</v>
      </c>
      <c r="AD762">
        <v>-1.12023790225</v>
      </c>
      <c r="AE762">
        <v>-8.0200000000047497E-2</v>
      </c>
      <c r="AF762">
        <v>3.3604319228387802E-2</v>
      </c>
      <c r="AG762">
        <v>-1.12023790225</v>
      </c>
      <c r="AH762">
        <v>11.9782302675788</v>
      </c>
      <c r="AI762">
        <v>95.342900954707702</v>
      </c>
      <c r="AJ762">
        <v>89.839260009957101</v>
      </c>
      <c r="AK762">
        <v>12.0305470595085</v>
      </c>
      <c r="AL762">
        <v>94.884341716539097</v>
      </c>
      <c r="AM762">
        <v>88.717493133245199</v>
      </c>
      <c r="AN762">
        <v>0.99999999837575404</v>
      </c>
    </row>
    <row r="763" spans="1:40" x14ac:dyDescent="0.25">
      <c r="A763" t="str">
        <f>"20190303154112261"</f>
        <v>20190303154112261</v>
      </c>
      <c r="B763" t="str">
        <f>"1551598872249609"</f>
        <v>1551598872249609</v>
      </c>
      <c r="C763" t="s">
        <v>40</v>
      </c>
      <c r="D763">
        <v>6.0672620000000004</v>
      </c>
      <c r="E763">
        <v>0.49249300000000001</v>
      </c>
      <c r="F763" t="s">
        <v>42</v>
      </c>
      <c r="G763">
        <v>-351.6583</v>
      </c>
      <c r="H763">
        <v>1.0462419999999999</v>
      </c>
      <c r="I763">
        <v>367.55779999999999</v>
      </c>
      <c r="J763">
        <v>-352.34359999999998</v>
      </c>
      <c r="K763">
        <v>1.1202289999999999</v>
      </c>
      <c r="L763">
        <v>367.56259999999997</v>
      </c>
      <c r="M763">
        <v>0.99996750000000001</v>
      </c>
      <c r="N763">
        <v>-7.1023630000000004E-3</v>
      </c>
      <c r="O763">
        <v>-3.8324000000000001E-3</v>
      </c>
      <c r="P763">
        <v>0.99540720000000005</v>
      </c>
      <c r="Q763">
        <v>-9.2231740000000006E-2</v>
      </c>
      <c r="R763">
        <v>-2.5645649999999999E-2</v>
      </c>
      <c r="S763">
        <v>2.9880979999999999</v>
      </c>
      <c r="T763">
        <v>-0.27268779999999998</v>
      </c>
      <c r="U763">
        <v>-1.8402100000000001E-2</v>
      </c>
      <c r="V763">
        <v>2.1827389999999999E-2</v>
      </c>
      <c r="W763">
        <v>-8.5159849999999995E-2</v>
      </c>
      <c r="X763">
        <v>0.99612820000000002</v>
      </c>
      <c r="Y763">
        <v>2.3289869999999998E-3</v>
      </c>
      <c r="Z763">
        <v>2.0750240000000001E-4</v>
      </c>
      <c r="AA763">
        <v>0.99999729999999998</v>
      </c>
      <c r="AB763">
        <v>21</v>
      </c>
      <c r="AC763">
        <v>0.68529999999998303</v>
      </c>
      <c r="AD763">
        <v>-7.3986999999999997E-2</v>
      </c>
      <c r="AE763">
        <v>-4.7999999999888097E-3</v>
      </c>
      <c r="AF763">
        <v>2.1485131273594198E-3</v>
      </c>
      <c r="AG763">
        <v>-7.3986999999999997E-2</v>
      </c>
      <c r="AH763">
        <v>0.67741777193680097</v>
      </c>
      <c r="AI763">
        <v>96.233059673613994</v>
      </c>
      <c r="AJ763">
        <v>89.818280052924607</v>
      </c>
      <c r="AK763">
        <v>0.68144957994959399</v>
      </c>
      <c r="AL763">
        <v>94.885216865919801</v>
      </c>
      <c r="AM763">
        <v>88.744722594067497</v>
      </c>
      <c r="AN763">
        <v>1.00000001292073</v>
      </c>
    </row>
    <row r="764" spans="1:40" x14ac:dyDescent="0.25">
      <c r="A764" t="str">
        <f>"20190303154112282"</f>
        <v>20190303154112282</v>
      </c>
      <c r="B764" t="str">
        <f>"1551598872270105"</f>
        <v>1551598872270105</v>
      </c>
      <c r="C764" t="s">
        <v>40</v>
      </c>
      <c r="D764">
        <v>6.0751179999999998</v>
      </c>
      <c r="E764">
        <v>0.4925098</v>
      </c>
      <c r="F764" t="s">
        <v>42</v>
      </c>
      <c r="G764">
        <v>-351.47730000000001</v>
      </c>
      <c r="H764">
        <v>1.0411319999999999</v>
      </c>
      <c r="I764">
        <v>367.5575</v>
      </c>
      <c r="J764">
        <v>-352.14319999999998</v>
      </c>
      <c r="K764">
        <v>1.1202259999999999</v>
      </c>
      <c r="L764">
        <v>367.56180000000001</v>
      </c>
      <c r="M764">
        <v>0.99996810000000003</v>
      </c>
      <c r="N764">
        <v>-7.0161169999999997E-3</v>
      </c>
      <c r="O764">
        <v>-3.831976E-3</v>
      </c>
      <c r="P764">
        <v>0.99544279999999996</v>
      </c>
      <c r="Q764">
        <v>-9.1952729999999996E-2</v>
      </c>
      <c r="R764">
        <v>-2.5268220000000001E-2</v>
      </c>
      <c r="S764">
        <v>2.9880680000000002</v>
      </c>
      <c r="T764">
        <v>-0.27296859999999901</v>
      </c>
      <c r="U764">
        <v>-1.7181399999999999E-2</v>
      </c>
      <c r="V764">
        <v>2.1450170000000001E-2</v>
      </c>
      <c r="W764">
        <v>-8.49665E-2</v>
      </c>
      <c r="X764">
        <v>0.99615290000000001</v>
      </c>
      <c r="Y764">
        <v>1.922834E-3</v>
      </c>
      <c r="Z764">
        <v>2.2809039999999999E-4</v>
      </c>
      <c r="AA764">
        <v>0.99999819999999995</v>
      </c>
      <c r="AB764">
        <v>21</v>
      </c>
      <c r="AC764">
        <v>0.66589999999996496</v>
      </c>
      <c r="AD764">
        <v>-7.9093999999999998E-2</v>
      </c>
      <c r="AE764">
        <v>-4.3000000000006297E-3</v>
      </c>
      <c r="AF764">
        <v>1.7238733506745299E-3</v>
      </c>
      <c r="AG764">
        <v>-7.9093999999999998E-2</v>
      </c>
      <c r="AH764">
        <v>0.65664790940959405</v>
      </c>
      <c r="AI764">
        <v>96.868231017008199</v>
      </c>
      <c r="AJ764">
        <v>89.849583865135301</v>
      </c>
      <c r="AK764">
        <v>0.66139648434756604</v>
      </c>
      <c r="AL764">
        <v>94.874098452781396</v>
      </c>
      <c r="AM764">
        <v>88.766440058885706</v>
      </c>
      <c r="AN764">
        <v>1.0000000080468401</v>
      </c>
    </row>
    <row r="765" spans="1:40" x14ac:dyDescent="0.25">
      <c r="A765" t="str">
        <f>"20190303154112304"</f>
        <v>20190303154112304</v>
      </c>
      <c r="B765" t="str">
        <f>"1551598872300362"</f>
        <v>1551598872300362</v>
      </c>
      <c r="C765" t="s">
        <v>40</v>
      </c>
      <c r="D765">
        <v>6.0842470000000004</v>
      </c>
      <c r="E765">
        <v>0.49260209999999999</v>
      </c>
      <c r="F765" t="s">
        <v>42</v>
      </c>
      <c r="G765">
        <v>-351.28339999999997</v>
      </c>
      <c r="H765">
        <v>1.041836</v>
      </c>
      <c r="I765">
        <v>367.55680000000001</v>
      </c>
      <c r="J765">
        <v>-351.93389999999999</v>
      </c>
      <c r="K765">
        <v>1.1202209999999999</v>
      </c>
      <c r="L765">
        <v>367.56110000000001</v>
      </c>
      <c r="M765">
        <v>0.99996859999999999</v>
      </c>
      <c r="N765">
        <v>-6.946916E-3</v>
      </c>
      <c r="O765">
        <v>-3.831615E-3</v>
      </c>
      <c r="P765">
        <v>0.99546959999999995</v>
      </c>
      <c r="Q765">
        <v>-9.1729729999999995E-2</v>
      </c>
      <c r="R765">
        <v>-2.5020420000000002E-2</v>
      </c>
      <c r="S765">
        <v>2.9881289999999998</v>
      </c>
      <c r="T765">
        <v>-0.27278980000000003</v>
      </c>
      <c r="U765">
        <v>-1.5899659999999999E-2</v>
      </c>
      <c r="V765">
        <v>2.1202780000000001E-2</v>
      </c>
      <c r="W765">
        <v>-8.481226E-2</v>
      </c>
      <c r="X765">
        <v>0.99617140000000004</v>
      </c>
      <c r="Y765">
        <v>1.496079E-3</v>
      </c>
      <c r="Z765">
        <v>2.4914030000000001E-4</v>
      </c>
      <c r="AA765">
        <v>0.99999890000000002</v>
      </c>
      <c r="AB765">
        <v>22</v>
      </c>
      <c r="AC765">
        <v>0.65050000000002195</v>
      </c>
      <c r="AD765">
        <v>-7.8384999999999899E-2</v>
      </c>
      <c r="AE765">
        <v>-4.3000000000006297E-3</v>
      </c>
      <c r="AF765">
        <v>1.78157528485264E-3</v>
      </c>
      <c r="AG765">
        <v>-7.8384999999999899E-2</v>
      </c>
      <c r="AH765">
        <v>0.64120175738827401</v>
      </c>
      <c r="AI765">
        <v>96.969629637562306</v>
      </c>
      <c r="AJ765">
        <v>89.840804425668793</v>
      </c>
      <c r="AK765">
        <v>0.64597761254807196</v>
      </c>
      <c r="AL765">
        <v>94.865228845789701</v>
      </c>
      <c r="AM765">
        <v>88.780685321472603</v>
      </c>
      <c r="AN765">
        <v>1.00000006775199</v>
      </c>
    </row>
    <row r="766" spans="1:40" x14ac:dyDescent="0.25">
      <c r="A766" t="str">
        <f>"20190303154112326"</f>
        <v>20190303154112326</v>
      </c>
      <c r="B766" t="str">
        <f>"1551598872319888"</f>
        <v>1551598872319888</v>
      </c>
      <c r="C766" t="s">
        <v>40</v>
      </c>
      <c r="D766">
        <v>6.101483</v>
      </c>
      <c r="E766">
        <v>0.4926973</v>
      </c>
      <c r="F766" t="s">
        <v>42</v>
      </c>
      <c r="G766">
        <v>-351.0883</v>
      </c>
      <c r="H766">
        <v>1.0430280000000001</v>
      </c>
      <c r="I766">
        <v>367.55630000000002</v>
      </c>
      <c r="J766">
        <v>-351.71879999999999</v>
      </c>
      <c r="K766">
        <v>1.1202110000000001</v>
      </c>
      <c r="L766">
        <v>367.56020000000001</v>
      </c>
      <c r="M766">
        <v>0.999969</v>
      </c>
      <c r="N766">
        <v>-6.8934549999999997E-3</v>
      </c>
      <c r="O766">
        <v>-3.8311909999999999E-3</v>
      </c>
      <c r="P766">
        <v>0.99546889999999999</v>
      </c>
      <c r="Q766">
        <v>-9.1738310000000003E-2</v>
      </c>
      <c r="R766">
        <v>-2.5022599999999999E-2</v>
      </c>
      <c r="S766">
        <v>2.9880979999999999</v>
      </c>
      <c r="T766">
        <v>-0.27291510000000002</v>
      </c>
      <c r="U766">
        <v>-1.6021730000000001E-2</v>
      </c>
      <c r="V766">
        <v>2.1205249999999998E-2</v>
      </c>
      <c r="W766">
        <v>-8.4874089999999999E-2</v>
      </c>
      <c r="X766">
        <v>0.996166</v>
      </c>
      <c r="Y766">
        <v>1.537252E-3</v>
      </c>
      <c r="Z766">
        <v>2.4746190000000002E-4</v>
      </c>
      <c r="AA766">
        <v>0.99999879999999997</v>
      </c>
      <c r="AB766">
        <v>22</v>
      </c>
      <c r="AC766">
        <v>0.63049999999998296</v>
      </c>
      <c r="AD766">
        <v>-7.7183000000000002E-2</v>
      </c>
      <c r="AE766">
        <v>-3.8999999999873498E-3</v>
      </c>
      <c r="AF766">
        <v>1.4624337376565001E-3</v>
      </c>
      <c r="AG766">
        <v>-7.7183000000000002E-2</v>
      </c>
      <c r="AH766">
        <v>0.62120161338444901</v>
      </c>
      <c r="AI766">
        <v>97.082564170701403</v>
      </c>
      <c r="AJ766">
        <v>89.865114442102794</v>
      </c>
      <c r="AK766">
        <v>0.62597987082084305</v>
      </c>
      <c r="AL766">
        <v>94.868784659034304</v>
      </c>
      <c r="AM766">
        <v>88.780536712911299</v>
      </c>
      <c r="AN766">
        <v>0.99999998666844503</v>
      </c>
    </row>
    <row r="767" spans="1:40" x14ac:dyDescent="0.25">
      <c r="A767" t="str">
        <f>"20190303154112349"</f>
        <v>20190303154112349</v>
      </c>
      <c r="B767" t="str">
        <f>"1551598872340381"</f>
        <v>1551598872340381</v>
      </c>
      <c r="C767" t="s">
        <v>40</v>
      </c>
      <c r="D767">
        <v>6.0853869999999999</v>
      </c>
      <c r="E767">
        <v>0.49285580000000001</v>
      </c>
      <c r="F767" t="s">
        <v>42</v>
      </c>
      <c r="G767">
        <v>-350.8922</v>
      </c>
      <c r="H767">
        <v>1.0445879999999901</v>
      </c>
      <c r="I767">
        <v>367.55520000000001</v>
      </c>
      <c r="J767">
        <v>-351.4923</v>
      </c>
      <c r="K767">
        <v>1.120207</v>
      </c>
      <c r="L767">
        <v>367.55939999999998</v>
      </c>
      <c r="M767">
        <v>0.9999692</v>
      </c>
      <c r="N767">
        <v>-6.8565129999999998E-3</v>
      </c>
      <c r="O767">
        <v>-3.8307060000000001E-3</v>
      </c>
      <c r="P767">
        <v>0.99542439999999999</v>
      </c>
      <c r="Q767">
        <v>-9.2106419999999994E-2</v>
      </c>
      <c r="R767">
        <v>-2.5432650000000001E-2</v>
      </c>
      <c r="S767">
        <v>2.9879760000000002</v>
      </c>
      <c r="T767">
        <v>-0.27363310000000002</v>
      </c>
      <c r="U767">
        <v>-1.6937259999999999E-2</v>
      </c>
      <c r="V767">
        <v>2.1615860000000001E-2</v>
      </c>
      <c r="W767">
        <v>-8.5279289999999994E-2</v>
      </c>
      <c r="X767">
        <v>0.99612259999999997</v>
      </c>
      <c r="Y767">
        <v>1.843031E-3</v>
      </c>
      <c r="Z767">
        <v>2.3331059999999999E-4</v>
      </c>
      <c r="AA767">
        <v>0.99999830000000001</v>
      </c>
      <c r="AB767">
        <v>22</v>
      </c>
      <c r="AC767">
        <v>0.60009999999999697</v>
      </c>
      <c r="AD767">
        <v>-7.5619000000000103E-2</v>
      </c>
      <c r="AE767">
        <v>-4.1999999999688901E-3</v>
      </c>
      <c r="AF767">
        <v>1.87139473736644E-3</v>
      </c>
      <c r="AG767">
        <v>-7.5619000000000103E-2</v>
      </c>
      <c r="AH767">
        <v>0.59073209510807101</v>
      </c>
      <c r="AI767">
        <v>97.294665085182999</v>
      </c>
      <c r="AJ767">
        <v>89.818491897669801</v>
      </c>
      <c r="AK767">
        <v>0.59555532360145502</v>
      </c>
      <c r="AL767">
        <v>94.892085232405805</v>
      </c>
      <c r="AM767">
        <v>88.756876708996003</v>
      </c>
      <c r="AN767">
        <v>1.0000000184686</v>
      </c>
    </row>
    <row r="768" spans="1:40" x14ac:dyDescent="0.25">
      <c r="A768" t="str">
        <f>"20190303154112372"</f>
        <v>20190303154112372</v>
      </c>
      <c r="B768" t="str">
        <f>"1551598872359897"</f>
        <v>1551598872359897</v>
      </c>
      <c r="C768" t="s">
        <v>40</v>
      </c>
      <c r="D768">
        <v>6.0842530000000004</v>
      </c>
      <c r="E768">
        <v>0.49295030000000001</v>
      </c>
      <c r="F768" t="s">
        <v>42</v>
      </c>
      <c r="G768">
        <v>-350.69040000000001</v>
      </c>
      <c r="H768">
        <v>1.046389</v>
      </c>
      <c r="I768">
        <v>367.55369999999999</v>
      </c>
      <c r="J768">
        <v>-351.26510000000002</v>
      </c>
      <c r="K768">
        <v>1.1202049999999999</v>
      </c>
      <c r="L768">
        <v>367.55849999999998</v>
      </c>
      <c r="M768">
        <v>0.99996940000000001</v>
      </c>
      <c r="N768">
        <v>-6.8410390000000001E-3</v>
      </c>
      <c r="O768">
        <v>-3.8302950000000001E-3</v>
      </c>
      <c r="P768">
        <v>0.99537889999999996</v>
      </c>
      <c r="Q768">
        <v>-9.2412670000000002E-2</v>
      </c>
      <c r="R768">
        <v>-2.6094260000000001E-2</v>
      </c>
      <c r="S768">
        <v>2.9878230000000001</v>
      </c>
      <c r="T768">
        <v>-0.27535120000000002</v>
      </c>
      <c r="U768">
        <v>-1.9500730000000001E-2</v>
      </c>
      <c r="V768">
        <v>2.2278200000000001E-2</v>
      </c>
      <c r="W768">
        <v>-8.5601289999999997E-2</v>
      </c>
      <c r="X768">
        <v>0.99608039999999998</v>
      </c>
      <c r="Y768">
        <v>2.697872E-3</v>
      </c>
      <c r="Z768">
        <v>1.9278749999999999E-4</v>
      </c>
      <c r="AA768">
        <v>0.99999640000000001</v>
      </c>
      <c r="AB768">
        <v>22</v>
      </c>
      <c r="AC768">
        <v>0.57470000000000698</v>
      </c>
      <c r="AD768">
        <v>-7.3815999999999798E-2</v>
      </c>
      <c r="AE768">
        <v>-4.7999999999888097E-3</v>
      </c>
      <c r="AF768">
        <v>2.5564705607385701E-3</v>
      </c>
      <c r="AG768">
        <v>-7.3815999999999798E-2</v>
      </c>
      <c r="AH768">
        <v>0.56538733259252105</v>
      </c>
      <c r="AI768">
        <v>97.438290415526794</v>
      </c>
      <c r="AJ768">
        <v>89.7409316287861</v>
      </c>
      <c r="AK768">
        <v>0.570191347929635</v>
      </c>
      <c r="AL768">
        <v>94.910602121772797</v>
      </c>
      <c r="AM768">
        <v>88.718743929519505</v>
      </c>
      <c r="AN768">
        <v>1.0000000311545301</v>
      </c>
    </row>
    <row r="769" spans="1:40" x14ac:dyDescent="0.25">
      <c r="A769" t="str">
        <f>"20190303154112394"</f>
        <v>20190303154112394</v>
      </c>
      <c r="B769" t="str">
        <f>"1551598872390154"</f>
        <v>1551598872390154</v>
      </c>
      <c r="C769" t="s">
        <v>40</v>
      </c>
      <c r="D769">
        <v>6.037909</v>
      </c>
      <c r="E769">
        <v>0.50960810000000001</v>
      </c>
      <c r="F769" t="s">
        <v>41</v>
      </c>
      <c r="G769">
        <v>-339.17809999999997</v>
      </c>
      <c r="H769" s="1">
        <v>-8.3707709999999898E-7</v>
      </c>
      <c r="I769">
        <v>367.46929999999998</v>
      </c>
      <c r="J769">
        <v>-351.05650000000003</v>
      </c>
      <c r="K769">
        <v>1.1202000000000001</v>
      </c>
      <c r="L769">
        <v>367.55770000000001</v>
      </c>
      <c r="M769">
        <v>0.99996929999999995</v>
      </c>
      <c r="N769">
        <v>-6.8467320000000003E-3</v>
      </c>
      <c r="O769">
        <v>-3.829837E-3</v>
      </c>
      <c r="P769">
        <v>0.99536519999999995</v>
      </c>
      <c r="Q769">
        <v>-9.2475500000000002E-2</v>
      </c>
      <c r="R769">
        <v>-2.639474E-2</v>
      </c>
      <c r="S769">
        <v>2.9876399999999999</v>
      </c>
      <c r="T769">
        <v>-0.27688780000000002</v>
      </c>
      <c r="U769">
        <v>-2.2033690000000002E-2</v>
      </c>
      <c r="V769">
        <v>2.257909E-2</v>
      </c>
      <c r="W769">
        <v>-8.5658529999999997E-2</v>
      </c>
      <c r="X769">
        <v>0.99606870000000003</v>
      </c>
      <c r="Y769">
        <v>3.5426400000000001E-3</v>
      </c>
      <c r="Z769">
        <v>1.520405E-4</v>
      </c>
      <c r="AA769">
        <v>0.99999369999999999</v>
      </c>
      <c r="AB769">
        <v>22</v>
      </c>
      <c r="AC769">
        <v>11.878399999999999</v>
      </c>
      <c r="AD769">
        <v>-1.1202008370770999</v>
      </c>
      <c r="AE769">
        <v>-8.8400000000035506E-2</v>
      </c>
      <c r="AF769">
        <v>4.2527750463103399E-2</v>
      </c>
      <c r="AG769">
        <v>-1.1202008370770999</v>
      </c>
      <c r="AH769">
        <v>11.7739448993278</v>
      </c>
      <c r="AI769">
        <v>95.434860497231099</v>
      </c>
      <c r="AJ769">
        <v>89.793047271934597</v>
      </c>
      <c r="AK769">
        <v>11.827190580072401</v>
      </c>
      <c r="AL769">
        <v>94.913893842465995</v>
      </c>
      <c r="AM769">
        <v>88.701429886661998</v>
      </c>
      <c r="AN769">
        <v>1.00000002709333</v>
      </c>
    </row>
    <row r="770" spans="1:40" x14ac:dyDescent="0.25">
      <c r="A770" t="str">
        <f>"20190303154112416"</f>
        <v>20190303154112416</v>
      </c>
      <c r="B770" t="str">
        <f>"1551598872409673"</f>
        <v>1551598872409673</v>
      </c>
      <c r="C770" t="s">
        <v>40</v>
      </c>
      <c r="D770">
        <v>6.0779459999999998</v>
      </c>
      <c r="E770">
        <v>0.51165119999999997</v>
      </c>
      <c r="F770" t="s">
        <v>41</v>
      </c>
      <c r="G770">
        <v>-337.13330000000002</v>
      </c>
      <c r="H770" s="1">
        <v>-1.7059989999999901E-6</v>
      </c>
      <c r="I770">
        <v>366.8322</v>
      </c>
      <c r="J770">
        <v>-350.8331</v>
      </c>
      <c r="K770">
        <v>1.1202080000000001</v>
      </c>
      <c r="L770">
        <v>367.55680000000001</v>
      </c>
      <c r="M770">
        <v>0.9999692</v>
      </c>
      <c r="N770">
        <v>-6.8715759999999999E-3</v>
      </c>
      <c r="O770">
        <v>-3.8294459999999998E-3</v>
      </c>
      <c r="P770">
        <v>0.99530719999999995</v>
      </c>
      <c r="Q770">
        <v>-9.3069180000000001E-2</v>
      </c>
      <c r="R770">
        <v>-2.6492749999999999E-2</v>
      </c>
      <c r="S770">
        <v>2.987457</v>
      </c>
      <c r="T770">
        <v>-0.2403566</v>
      </c>
      <c r="U770">
        <v>-0.15563959999999999</v>
      </c>
      <c r="V770">
        <v>2.2677760000000002E-2</v>
      </c>
      <c r="W770">
        <v>-8.6227849999999995E-2</v>
      </c>
      <c r="X770">
        <v>0.99601729999999999</v>
      </c>
      <c r="Y770">
        <v>4.8044610000000001E-2</v>
      </c>
      <c r="Z770">
        <v>-1.8126469999999999E-3</v>
      </c>
      <c r="AA770">
        <v>0.99884360000000005</v>
      </c>
      <c r="AB770">
        <v>22</v>
      </c>
      <c r="AC770">
        <v>13.6997999999999</v>
      </c>
      <c r="AD770">
        <v>-1.1202097059989999</v>
      </c>
      <c r="AE770">
        <v>-0.72460000000000901</v>
      </c>
      <c r="AF770">
        <v>0.66767912271823204</v>
      </c>
      <c r="AG770">
        <v>-1.1202097059989999</v>
      </c>
      <c r="AH770">
        <v>13.6117195500309</v>
      </c>
      <c r="AI770">
        <v>94.699069386404304</v>
      </c>
      <c r="AJ770">
        <v>87.191790631397595</v>
      </c>
      <c r="AK770">
        <v>13.6740474734082</v>
      </c>
      <c r="AL770">
        <v>94.946634786805603</v>
      </c>
      <c r="AM770">
        <v>88.695689844064106</v>
      </c>
      <c r="AN770">
        <v>0.99999999240676496</v>
      </c>
    </row>
    <row r="771" spans="1:40" x14ac:dyDescent="0.25">
      <c r="A771" t="str">
        <f>"20190303154112442"</f>
        <v>20190303154112442</v>
      </c>
      <c r="B771" t="str">
        <f>"1551598872439929"</f>
        <v>1551598872439929</v>
      </c>
      <c r="C771" t="s">
        <v>40</v>
      </c>
      <c r="D771">
        <v>6.0667390000000001</v>
      </c>
      <c r="E771">
        <v>0.51313620000000004</v>
      </c>
      <c r="F771" t="s">
        <v>42</v>
      </c>
      <c r="G771">
        <v>-349.90789999999998</v>
      </c>
      <c r="H771">
        <v>1.049269</v>
      </c>
      <c r="I771">
        <v>367.5034</v>
      </c>
      <c r="J771">
        <v>-350.56369999999998</v>
      </c>
      <c r="K771">
        <v>1.120217</v>
      </c>
      <c r="L771">
        <v>367.55579999999998</v>
      </c>
      <c r="M771">
        <v>0.99996879999999999</v>
      </c>
      <c r="N771">
        <v>-6.9249759999999898E-3</v>
      </c>
      <c r="O771">
        <v>-3.829154E-3</v>
      </c>
      <c r="P771">
        <v>0.99527169999999998</v>
      </c>
      <c r="Q771">
        <v>-9.3399159999999995E-2</v>
      </c>
      <c r="R771">
        <v>-2.666319E-2</v>
      </c>
      <c r="S771">
        <v>2.9881289999999998</v>
      </c>
      <c r="T771">
        <v>-0.22929869999999999</v>
      </c>
      <c r="U771">
        <v>-0.1721191</v>
      </c>
      <c r="V771">
        <v>2.2848810000000001E-2</v>
      </c>
      <c r="W771">
        <v>-8.6504890000000001E-2</v>
      </c>
      <c r="X771">
        <v>0.99598940000000002</v>
      </c>
      <c r="Y771">
        <v>5.3520560000000002E-2</v>
      </c>
      <c r="Z771">
        <v>-1.9678590000000002E-3</v>
      </c>
      <c r="AA771">
        <v>0.99856480000000003</v>
      </c>
      <c r="AB771">
        <v>22</v>
      </c>
      <c r="AC771">
        <v>0.65579999999999905</v>
      </c>
      <c r="AD771">
        <v>-7.0947999999999997E-2</v>
      </c>
      <c r="AE771">
        <v>-5.2399999999977298E-2</v>
      </c>
      <c r="AF771">
        <v>4.9314872801978403E-2</v>
      </c>
      <c r="AG771">
        <v>-7.0947999999999997E-2</v>
      </c>
      <c r="AH771">
        <v>0.64845442568348</v>
      </c>
      <c r="AI771">
        <v>96.226111633469202</v>
      </c>
      <c r="AJ771">
        <v>85.651034898054704</v>
      </c>
      <c r="AK771">
        <v>0.65418553757475195</v>
      </c>
      <c r="AL771">
        <v>94.962567383644796</v>
      </c>
      <c r="AM771">
        <v>88.685818550083994</v>
      </c>
      <c r="AN771">
        <v>1.0000000245123399</v>
      </c>
    </row>
    <row r="772" spans="1:40" x14ac:dyDescent="0.25">
      <c r="A772" t="str">
        <f>"20190303154112460"</f>
        <v>20190303154112460</v>
      </c>
      <c r="B772" t="str">
        <f>"1551598872449689"</f>
        <v>1551598872449689</v>
      </c>
      <c r="C772" t="s">
        <v>40</v>
      </c>
      <c r="D772">
        <v>6.053693</v>
      </c>
      <c r="E772">
        <v>0.51353990000000005</v>
      </c>
      <c r="F772" t="s">
        <v>42</v>
      </c>
      <c r="G772">
        <v>-349.70240000000001</v>
      </c>
      <c r="H772">
        <v>1.05644</v>
      </c>
      <c r="I772">
        <v>367.50220000000002</v>
      </c>
      <c r="J772">
        <v>-350.39080000000001</v>
      </c>
      <c r="K772">
        <v>1.1202319999999999</v>
      </c>
      <c r="L772">
        <v>367.55509999999998</v>
      </c>
      <c r="M772">
        <v>0.99996830000000003</v>
      </c>
      <c r="N772">
        <v>-6.9658899999999998E-3</v>
      </c>
      <c r="O772">
        <v>-3.8287E-3</v>
      </c>
      <c r="P772">
        <v>0.99524979999999996</v>
      </c>
      <c r="Q772">
        <v>-9.3594750000000004E-2</v>
      </c>
      <c r="R772">
        <v>-2.6791079999999998E-2</v>
      </c>
      <c r="S772">
        <v>2.9884949999999999</v>
      </c>
      <c r="T772">
        <v>-0.22161520000000001</v>
      </c>
      <c r="U772">
        <v>-0.18429570000000001</v>
      </c>
      <c r="V772">
        <v>2.2977029999999999E-2</v>
      </c>
      <c r="W772">
        <v>-8.6659899999999998E-2</v>
      </c>
      <c r="X772">
        <v>0.99597290000000005</v>
      </c>
      <c r="Y772">
        <v>5.7565730000000002E-2</v>
      </c>
      <c r="Z772">
        <v>-2.0738330000000002E-3</v>
      </c>
      <c r="AA772">
        <v>0.99833959999999999</v>
      </c>
      <c r="AB772">
        <v>22</v>
      </c>
      <c r="AC772">
        <v>0.68840000000000101</v>
      </c>
      <c r="AD772">
        <v>-6.3791999999999793E-2</v>
      </c>
      <c r="AE772">
        <v>-5.2899999999965502E-2</v>
      </c>
      <c r="AF772">
        <v>4.9838411771773901E-2</v>
      </c>
      <c r="AG772">
        <v>-6.3791999999999793E-2</v>
      </c>
      <c r="AH772">
        <v>0.68276885515478603</v>
      </c>
      <c r="AI772">
        <v>95.323642765395604</v>
      </c>
      <c r="AJ772">
        <v>85.825124177058797</v>
      </c>
      <c r="AK772">
        <v>0.68755115891205498</v>
      </c>
      <c r="AL772">
        <v>94.971482652480503</v>
      </c>
      <c r="AM772">
        <v>88.678424518455103</v>
      </c>
      <c r="AN772">
        <v>0.99999994985501905</v>
      </c>
    </row>
    <row r="773" spans="1:40" x14ac:dyDescent="0.25">
      <c r="A773" t="str">
        <f>"20190303154112482"</f>
        <v>20190303154112482</v>
      </c>
      <c r="B773" t="str">
        <f>"1551598872470185"</f>
        <v>1551598872470185</v>
      </c>
      <c r="C773" t="s">
        <v>40</v>
      </c>
      <c r="D773">
        <v>6.0762010000000002</v>
      </c>
      <c r="E773">
        <v>0.51396299999999995</v>
      </c>
      <c r="F773" t="s">
        <v>42</v>
      </c>
      <c r="G773">
        <v>-349.50409999999999</v>
      </c>
      <c r="H773">
        <v>1.055032</v>
      </c>
      <c r="I773">
        <v>367.4991</v>
      </c>
      <c r="J773">
        <v>-350.17340000000002</v>
      </c>
      <c r="K773">
        <v>1.120234</v>
      </c>
      <c r="L773">
        <v>367.55430000000001</v>
      </c>
      <c r="M773">
        <v>0.99996810000000003</v>
      </c>
      <c r="N773">
        <v>-7.0214910000000004E-3</v>
      </c>
      <c r="O773">
        <v>-3.8282989999999999E-3</v>
      </c>
      <c r="P773">
        <v>0.9952645</v>
      </c>
      <c r="Q773">
        <v>-9.3362730000000005E-2</v>
      </c>
      <c r="R773">
        <v>-2.7064919999999999E-2</v>
      </c>
      <c r="S773">
        <v>2.9885860000000002</v>
      </c>
      <c r="T773">
        <v>-0.21988070000000001</v>
      </c>
      <c r="U773">
        <v>-0.18792719999999999</v>
      </c>
      <c r="V773">
        <v>2.3251109999999998E-2</v>
      </c>
      <c r="W773">
        <v>-8.6372379999999999E-2</v>
      </c>
      <c r="X773">
        <v>0.99599159999999998</v>
      </c>
      <c r="Y773">
        <v>5.8771419999999998E-2</v>
      </c>
      <c r="Z773">
        <v>-2.1096380000000001E-3</v>
      </c>
      <c r="AA773">
        <v>0.99826930000000003</v>
      </c>
      <c r="AB773">
        <v>22</v>
      </c>
      <c r="AC773">
        <v>0.66930000000002099</v>
      </c>
      <c r="AD773">
        <v>-6.5201999999999899E-2</v>
      </c>
      <c r="AE773">
        <v>-5.5200000000013398E-2</v>
      </c>
      <c r="AF773">
        <v>5.2145716644504701E-2</v>
      </c>
      <c r="AG773">
        <v>-6.5201999999999899E-2</v>
      </c>
      <c r="AH773">
        <v>0.66325446093867002</v>
      </c>
      <c r="AI773">
        <v>95.597325771051104</v>
      </c>
      <c r="AJ773">
        <v>85.504596782389697</v>
      </c>
      <c r="AK773">
        <v>0.66848856125098699</v>
      </c>
      <c r="AL773">
        <v>94.954946546186406</v>
      </c>
      <c r="AM773">
        <v>88.662690982634203</v>
      </c>
      <c r="AN773">
        <v>1.0000000347068201</v>
      </c>
    </row>
    <row r="774" spans="1:40" x14ac:dyDescent="0.25">
      <c r="A774" t="str">
        <f>"20190303154112505"</f>
        <v>20190303154112505</v>
      </c>
      <c r="B774" t="str">
        <f>"1551598872500442"</f>
        <v>1551598872500442</v>
      </c>
      <c r="C774" t="s">
        <v>40</v>
      </c>
      <c r="D774">
        <v>6.0675660000000002</v>
      </c>
      <c r="E774">
        <v>0.51426970000000005</v>
      </c>
      <c r="F774" t="s">
        <v>42</v>
      </c>
      <c r="G774">
        <v>-349.3023</v>
      </c>
      <c r="H774">
        <v>1.05662099999999</v>
      </c>
      <c r="I774">
        <v>367.49779999999998</v>
      </c>
      <c r="J774">
        <v>-349.9434</v>
      </c>
      <c r="K774">
        <v>1.1202399999999999</v>
      </c>
      <c r="L774">
        <v>367.55340000000001</v>
      </c>
      <c r="M774">
        <v>0.99996759999999996</v>
      </c>
      <c r="N774">
        <v>-7.0858639999999999E-3</v>
      </c>
      <c r="O774">
        <v>-3.8278119999999999E-3</v>
      </c>
      <c r="P774">
        <v>0.99524780000000002</v>
      </c>
      <c r="Q774">
        <v>-9.3472689999999997E-2</v>
      </c>
      <c r="R774">
        <v>-2.7296520000000001E-2</v>
      </c>
      <c r="S774">
        <v>2.9885250000000001</v>
      </c>
      <c r="T774">
        <v>-0.218528</v>
      </c>
      <c r="U774">
        <v>-0.19232179999999999</v>
      </c>
      <c r="V774">
        <v>2.348306E-2</v>
      </c>
      <c r="W774">
        <v>-8.6418350000000005E-2</v>
      </c>
      <c r="X774">
        <v>0.99598209999999998</v>
      </c>
      <c r="Y774">
        <v>6.0232639999999997E-2</v>
      </c>
      <c r="Z774">
        <v>-2.1587469999999999E-3</v>
      </c>
      <c r="AA774">
        <v>0.99818209999999996</v>
      </c>
      <c r="AB774">
        <v>22</v>
      </c>
      <c r="AC774">
        <v>0.64109999999999401</v>
      </c>
      <c r="AD774">
        <v>-6.3618999999999995E-2</v>
      </c>
      <c r="AE774">
        <v>-5.5600000000026698E-2</v>
      </c>
      <c r="AF774">
        <v>5.26311096904334E-2</v>
      </c>
      <c r="AG774">
        <v>-6.3618999999999995E-2</v>
      </c>
      <c r="AH774">
        <v>0.63510072433007803</v>
      </c>
      <c r="AI774">
        <v>95.700909928995699</v>
      </c>
      <c r="AJ774">
        <v>85.262695265032804</v>
      </c>
      <c r="AK774">
        <v>0.640445423836283</v>
      </c>
      <c r="AL774">
        <v>94.957590667642805</v>
      </c>
      <c r="AM774">
        <v>88.649342203877893</v>
      </c>
      <c r="AN774">
        <v>0.99999996442204697</v>
      </c>
    </row>
    <row r="775" spans="1:40" x14ac:dyDescent="0.25">
      <c r="A775" t="str">
        <f>"20190303154112526"</f>
        <v>20190303154112526</v>
      </c>
      <c r="B775" t="str">
        <f>"1551598872519961"</f>
        <v>1551598872519961</v>
      </c>
      <c r="C775" t="s">
        <v>40</v>
      </c>
      <c r="D775">
        <v>6.0733819999999996</v>
      </c>
      <c r="E775">
        <v>0.51445379999999996</v>
      </c>
      <c r="F775" t="s">
        <v>41</v>
      </c>
      <c r="G775">
        <v>-334.6893</v>
      </c>
      <c r="H775" s="1">
        <v>-2.8034460000000001E-6</v>
      </c>
      <c r="I775">
        <v>366.55599999999998</v>
      </c>
      <c r="J775">
        <v>-349.72340000000003</v>
      </c>
      <c r="K775">
        <v>1.1202449999999999</v>
      </c>
      <c r="L775">
        <v>367.55259999999998</v>
      </c>
      <c r="M775">
        <v>0.99996700000000005</v>
      </c>
      <c r="N775">
        <v>-7.1534099999999998E-3</v>
      </c>
      <c r="O775">
        <v>-3.827338E-3</v>
      </c>
      <c r="P775">
        <v>0.99523070000000002</v>
      </c>
      <c r="Q775">
        <v>-9.3652730000000003E-2</v>
      </c>
      <c r="R775">
        <v>-2.729241E-2</v>
      </c>
      <c r="S775">
        <v>2.9883730000000002</v>
      </c>
      <c r="T775">
        <v>-0.2194613</v>
      </c>
      <c r="U775">
        <v>-0.19537350000000001</v>
      </c>
      <c r="V775">
        <v>2.3479799999999999E-2</v>
      </c>
      <c r="W775">
        <v>-8.6531230000000001E-2</v>
      </c>
      <c r="X775">
        <v>0.99597239999999998</v>
      </c>
      <c r="Y775">
        <v>6.1246910000000002E-2</v>
      </c>
      <c r="Z775">
        <v>-2.2100779999999999E-3</v>
      </c>
      <c r="AA775">
        <v>0.99812020000000001</v>
      </c>
      <c r="AB775">
        <v>22</v>
      </c>
      <c r="AC775">
        <v>15.0341</v>
      </c>
      <c r="AD775">
        <v>-1.1202478034459999</v>
      </c>
      <c r="AE775">
        <v>-0.99660000000000004</v>
      </c>
      <c r="AF775">
        <v>0.93388809447356402</v>
      </c>
      <c r="AG775">
        <v>-1.1202478034459999</v>
      </c>
      <c r="AH775">
        <v>14.9551321289646</v>
      </c>
      <c r="AI775">
        <v>94.275571549857503</v>
      </c>
      <c r="AJ775">
        <v>86.4267478985781</v>
      </c>
      <c r="AK775">
        <v>15.0260799648117</v>
      </c>
      <c r="AL775">
        <v>94.964082415574893</v>
      </c>
      <c r="AM775">
        <v>88.649516489779998</v>
      </c>
      <c r="AN775">
        <v>0.99999998816755598</v>
      </c>
    </row>
    <row r="776" spans="1:40" x14ac:dyDescent="0.25">
      <c r="A776" t="str">
        <f>"20190303154112550"</f>
        <v>20190303154112550</v>
      </c>
      <c r="B776" t="str">
        <f>"1551598872540457"</f>
        <v>1551598872540457</v>
      </c>
      <c r="C776" t="s">
        <v>40</v>
      </c>
      <c r="D776">
        <v>6.0673309999999896</v>
      </c>
      <c r="E776">
        <v>0.51449820000000002</v>
      </c>
      <c r="F776" t="s">
        <v>41</v>
      </c>
      <c r="G776">
        <v>-334.57979999999998</v>
      </c>
      <c r="H776" s="1">
        <v>-2.8507640000000002E-6</v>
      </c>
      <c r="I776">
        <v>366.55399999999997</v>
      </c>
      <c r="J776">
        <v>-349.49970000000002</v>
      </c>
      <c r="K776">
        <v>1.1202570000000001</v>
      </c>
      <c r="L776">
        <v>367.55169999999998</v>
      </c>
      <c r="M776">
        <v>0.99996660000000004</v>
      </c>
      <c r="N776">
        <v>-7.2288029999999998E-3</v>
      </c>
      <c r="O776">
        <v>-3.8270140000000001E-3</v>
      </c>
      <c r="P776">
        <v>0.99523620000000002</v>
      </c>
      <c r="Q776">
        <v>-9.3797420000000006E-2</v>
      </c>
      <c r="R776">
        <v>-2.659425E-2</v>
      </c>
      <c r="S776">
        <v>2.9881899999999999</v>
      </c>
      <c r="T776">
        <v>-0.221051</v>
      </c>
      <c r="U776">
        <v>-0.19702149999999999</v>
      </c>
      <c r="V776">
        <v>2.2781860000000001E-2</v>
      </c>
      <c r="W776">
        <v>-8.6600780000000002E-2</v>
      </c>
      <c r="X776">
        <v>0.99598260000000005</v>
      </c>
      <c r="Y776">
        <v>6.1795080000000002E-2</v>
      </c>
      <c r="Z776">
        <v>-2.249189E-3</v>
      </c>
      <c r="AA776">
        <v>0.99808629999999998</v>
      </c>
      <c r="AB776">
        <v>22</v>
      </c>
      <c r="AC776">
        <v>14.9199</v>
      </c>
      <c r="AD776">
        <v>-1.120259850764</v>
      </c>
      <c r="AE776">
        <v>-0.99769999999995196</v>
      </c>
      <c r="AF776">
        <v>0.93534278569130702</v>
      </c>
      <c r="AG776">
        <v>-1.120259850764</v>
      </c>
      <c r="AH776">
        <v>14.840315535786701</v>
      </c>
      <c r="AI776">
        <v>94.308416995380398</v>
      </c>
      <c r="AJ776">
        <v>86.393580697517706</v>
      </c>
      <c r="AK776">
        <v>14.911901738600999</v>
      </c>
      <c r="AL776">
        <v>94.968082174551299</v>
      </c>
      <c r="AM776">
        <v>88.689658985938195</v>
      </c>
      <c r="AN776">
        <v>1.00000002387221</v>
      </c>
    </row>
    <row r="777" spans="1:40" x14ac:dyDescent="0.25">
      <c r="A777" t="str">
        <f>"20190303154112572"</f>
        <v>20190303154112572</v>
      </c>
      <c r="B777" t="str">
        <f>"1551598872569645"</f>
        <v>1551598872569645</v>
      </c>
      <c r="C777" t="s">
        <v>40</v>
      </c>
      <c r="D777">
        <v>6.0631399999999998</v>
      </c>
      <c r="E777">
        <v>0.51451440000000004</v>
      </c>
      <c r="F777" t="s">
        <v>41</v>
      </c>
      <c r="G777">
        <v>-334.3888</v>
      </c>
      <c r="H777" s="1">
        <v>-2.9304770000000001E-6</v>
      </c>
      <c r="I777">
        <v>366.5668</v>
      </c>
      <c r="J777">
        <v>-349.26249999999999</v>
      </c>
      <c r="K777">
        <v>1.1202650000000001</v>
      </c>
      <c r="L777">
        <v>367.55090000000001</v>
      </c>
      <c r="M777">
        <v>0.99996600000000002</v>
      </c>
      <c r="N777">
        <v>-7.3218409999999999E-3</v>
      </c>
      <c r="O777">
        <v>-3.8266379999999998E-3</v>
      </c>
      <c r="P777">
        <v>0.99517670000000003</v>
      </c>
      <c r="Q777">
        <v>-9.4636129999999999E-2</v>
      </c>
      <c r="R777">
        <v>-2.583481E-2</v>
      </c>
      <c r="S777">
        <v>2.9882810000000002</v>
      </c>
      <c r="T777">
        <v>-0.2215366</v>
      </c>
      <c r="U777">
        <v>-0.1947632</v>
      </c>
      <c r="V777">
        <v>2.2023069999999999E-2</v>
      </c>
      <c r="W777">
        <v>-8.7347220000000003E-2</v>
      </c>
      <c r="X777">
        <v>0.99593449999999994</v>
      </c>
      <c r="Y777">
        <v>6.1043670000000001E-2</v>
      </c>
      <c r="Z777">
        <v>-2.2262699999999998E-3</v>
      </c>
      <c r="AA777">
        <v>0.99813260000000004</v>
      </c>
      <c r="AB777">
        <v>23</v>
      </c>
      <c r="AC777">
        <v>14.8736999999999</v>
      </c>
      <c r="AD777">
        <v>-1.120267930477</v>
      </c>
      <c r="AE777">
        <v>-0.98410000000001197</v>
      </c>
      <c r="AF777">
        <v>0.92196756908009303</v>
      </c>
      <c r="AG777">
        <v>-1.120267930477</v>
      </c>
      <c r="AH777">
        <v>14.7937989109091</v>
      </c>
      <c r="AI777">
        <v>94.3221336479657</v>
      </c>
      <c r="AJ777">
        <v>86.433869326599407</v>
      </c>
      <c r="AK777">
        <v>14.864774154049799</v>
      </c>
      <c r="AL777">
        <v>95.0110126350949</v>
      </c>
      <c r="AM777">
        <v>88.733226580583107</v>
      </c>
      <c r="AN777">
        <v>1.0000000403721001</v>
      </c>
    </row>
    <row r="778" spans="1:40" x14ac:dyDescent="0.25">
      <c r="A778" t="str">
        <f>"20190303154112594"</f>
        <v>20190303154112594</v>
      </c>
      <c r="B778" t="str">
        <f>"1551598872590141"</f>
        <v>1551598872590141</v>
      </c>
      <c r="C778" t="s">
        <v>40</v>
      </c>
      <c r="D778">
        <v>6.0211680000000003</v>
      </c>
      <c r="E778">
        <v>0.51455839999999997</v>
      </c>
      <c r="F778" t="s">
        <v>41</v>
      </c>
      <c r="G778">
        <v>-334.2516</v>
      </c>
      <c r="H778" s="1">
        <v>-2.9866829999999999E-6</v>
      </c>
      <c r="I778">
        <v>366.58150000000001</v>
      </c>
      <c r="J778">
        <v>-349.0444</v>
      </c>
      <c r="K778">
        <v>1.1202749999999999</v>
      </c>
      <c r="L778">
        <v>367.55</v>
      </c>
      <c r="M778">
        <v>0.99996529999999995</v>
      </c>
      <c r="N778">
        <v>-7.4254899999999999E-3</v>
      </c>
      <c r="O778">
        <v>-3.8261860000000001E-3</v>
      </c>
      <c r="P778">
        <v>0.99515410000000004</v>
      </c>
      <c r="Q778">
        <v>-9.4997090000000006E-2</v>
      </c>
      <c r="R778">
        <v>-2.538435E-2</v>
      </c>
      <c r="S778">
        <v>2.9883120000000001</v>
      </c>
      <c r="T778">
        <v>-0.22301789999999999</v>
      </c>
      <c r="U778">
        <v>-0.19296260000000001</v>
      </c>
      <c r="V778">
        <v>2.1572999999999998E-2</v>
      </c>
      <c r="W778">
        <v>-8.7605100000000005E-2</v>
      </c>
      <c r="X778">
        <v>0.99592170000000002</v>
      </c>
      <c r="Y778">
        <v>6.0443900000000002E-2</v>
      </c>
      <c r="Z778">
        <v>-2.2184930000000002E-3</v>
      </c>
      <c r="AA778">
        <v>0.99816910000000003</v>
      </c>
      <c r="AB778">
        <v>23</v>
      </c>
      <c r="AC778">
        <v>14.7928</v>
      </c>
      <c r="AD778">
        <v>-1.1202779866829999</v>
      </c>
      <c r="AE778">
        <v>-0.96850000000000602</v>
      </c>
      <c r="AF778">
        <v>0.90671334214838395</v>
      </c>
      <c r="AG778">
        <v>-1.1202779866829999</v>
      </c>
      <c r="AH778">
        <v>14.7123787430893</v>
      </c>
      <c r="AI778">
        <v>94.346185305376096</v>
      </c>
      <c r="AJ778">
        <v>86.473362640168503</v>
      </c>
      <c r="AK778">
        <v>14.7828021745669</v>
      </c>
      <c r="AL778">
        <v>95.025844928923902</v>
      </c>
      <c r="AM778">
        <v>88.759090616011605</v>
      </c>
      <c r="AN778">
        <v>1.0000000402029401</v>
      </c>
    </row>
    <row r="779" spans="1:40" x14ac:dyDescent="0.25">
      <c r="A779" t="str">
        <f>"20190303154112617"</f>
        <v>20190303154112617</v>
      </c>
      <c r="B779" t="str">
        <f>"1551598872609664"</f>
        <v>1551598872609664</v>
      </c>
      <c r="C779" t="s">
        <v>40</v>
      </c>
      <c r="D779">
        <v>6.0185500000000003</v>
      </c>
      <c r="E779">
        <v>0.51473139999999995</v>
      </c>
      <c r="F779" t="s">
        <v>41</v>
      </c>
      <c r="G779">
        <v>-334.08049999999997</v>
      </c>
      <c r="H779" s="1">
        <v>-3.0588010000000001E-6</v>
      </c>
      <c r="I779">
        <v>366.58870000000002</v>
      </c>
      <c r="J779">
        <v>-348.81560000000002</v>
      </c>
      <c r="K779">
        <v>1.1202920000000001</v>
      </c>
      <c r="L779">
        <v>367.54919999999998</v>
      </c>
      <c r="M779">
        <v>0.99996419999999997</v>
      </c>
      <c r="N779">
        <v>-7.5509840000000002E-3</v>
      </c>
      <c r="O779">
        <v>-3.825822E-3</v>
      </c>
      <c r="P779">
        <v>0.99515379999999998</v>
      </c>
      <c r="Q779">
        <v>-9.5033989999999999E-2</v>
      </c>
      <c r="R779">
        <v>-2.5245630000000002E-2</v>
      </c>
      <c r="S779">
        <v>2.9883120000000001</v>
      </c>
      <c r="T779">
        <v>-0.223721</v>
      </c>
      <c r="U779">
        <v>-0.1919556</v>
      </c>
      <c r="V779">
        <v>2.143478E-2</v>
      </c>
      <c r="W779">
        <v>-8.7517020000000001E-2</v>
      </c>
      <c r="X779">
        <v>0.99593240000000005</v>
      </c>
      <c r="Y779">
        <v>6.0108920000000003E-2</v>
      </c>
      <c r="Z779">
        <v>-2.2152220000000002E-3</v>
      </c>
      <c r="AA779">
        <v>0.9981894</v>
      </c>
      <c r="AB779">
        <v>23</v>
      </c>
      <c r="AC779">
        <v>14.735099999999999</v>
      </c>
      <c r="AD779">
        <v>-1.1202950588009899</v>
      </c>
      <c r="AE779">
        <v>-0.96049999999996705</v>
      </c>
      <c r="AF779">
        <v>0.898943219741836</v>
      </c>
      <c r="AG779">
        <v>-1.1202950588009899</v>
      </c>
      <c r="AH779">
        <v>14.6543173976203</v>
      </c>
      <c r="AI779">
        <v>94.363481196880301</v>
      </c>
      <c r="AJ779">
        <v>86.489690275828295</v>
      </c>
      <c r="AK779">
        <v>14.7245433994162</v>
      </c>
      <c r="AL779">
        <v>95.020779000956395</v>
      </c>
      <c r="AM779">
        <v>88.767052005638504</v>
      </c>
      <c r="AN779">
        <v>1.00000001197654</v>
      </c>
    </row>
    <row r="780" spans="1:40" x14ac:dyDescent="0.25">
      <c r="A780" t="str">
        <f>"20190303154112638"</f>
        <v>20190303154112638</v>
      </c>
      <c r="B780" t="str">
        <f>"1551598872630157"</f>
        <v>1551598872630157</v>
      </c>
      <c r="C780" t="s">
        <v>40</v>
      </c>
      <c r="D780">
        <v>5.9915180000000001</v>
      </c>
      <c r="E780">
        <v>0.51513059999999999</v>
      </c>
      <c r="F780" t="s">
        <v>42</v>
      </c>
      <c r="G780">
        <v>-347.88909999999998</v>
      </c>
      <c r="H780">
        <v>1.0509109999999999</v>
      </c>
      <c r="I780">
        <v>367.48930000000001</v>
      </c>
      <c r="J780">
        <v>-348.5899</v>
      </c>
      <c r="K780">
        <v>1.120309</v>
      </c>
      <c r="L780">
        <v>367.54820000000001</v>
      </c>
      <c r="M780">
        <v>0.9999633</v>
      </c>
      <c r="N780">
        <v>-7.681116E-3</v>
      </c>
      <c r="O780">
        <v>-3.8256029999999999E-3</v>
      </c>
      <c r="P780">
        <v>0.9951913</v>
      </c>
      <c r="Q780">
        <v>-9.4581540000000006E-2</v>
      </c>
      <c r="R780">
        <v>-2.5479209999999999E-2</v>
      </c>
      <c r="S780">
        <v>2.9883730000000002</v>
      </c>
      <c r="T780">
        <v>-0.22394159999999999</v>
      </c>
      <c r="U780">
        <v>-0.19271849999999999</v>
      </c>
      <c r="V780">
        <v>2.1668280000000002E-2</v>
      </c>
      <c r="W780">
        <v>-8.6934700000000004E-2</v>
      </c>
      <c r="X780">
        <v>0.99597840000000004</v>
      </c>
      <c r="Y780">
        <v>6.0360200000000003E-2</v>
      </c>
      <c r="Z780">
        <v>-2.2318870000000001E-3</v>
      </c>
      <c r="AA780">
        <v>0.99817420000000001</v>
      </c>
      <c r="AB780">
        <v>23</v>
      </c>
      <c r="AC780">
        <v>0.70080000000001497</v>
      </c>
      <c r="AD780">
        <v>-6.9397999999999793E-2</v>
      </c>
      <c r="AE780">
        <v>-5.8899999999994103E-2</v>
      </c>
      <c r="AF780">
        <v>5.5676357529478603E-2</v>
      </c>
      <c r="AG780">
        <v>-6.9397999999999793E-2</v>
      </c>
      <c r="AH780">
        <v>0.69425983173197603</v>
      </c>
      <c r="AI780">
        <v>95.690158873428999</v>
      </c>
      <c r="AJ780">
        <v>85.4149616790842</v>
      </c>
      <c r="AK780">
        <v>0.69993760661094795</v>
      </c>
      <c r="AL780">
        <v>94.987286604999994</v>
      </c>
      <c r="AM780">
        <v>88.753682634293597</v>
      </c>
      <c r="AN780">
        <v>1.0000000648444001</v>
      </c>
    </row>
    <row r="781" spans="1:40" x14ac:dyDescent="0.25">
      <c r="A781" t="str">
        <f>"20190303154112661"</f>
        <v>20190303154112661</v>
      </c>
      <c r="B781" t="str">
        <f>"1551598872649677"</f>
        <v>1551598872649677</v>
      </c>
      <c r="C781" t="s">
        <v>40</v>
      </c>
      <c r="D781">
        <v>5.9787730000000003</v>
      </c>
      <c r="E781">
        <v>0.51543919999999999</v>
      </c>
      <c r="F781" t="s">
        <v>42</v>
      </c>
      <c r="G781">
        <v>-347.6823</v>
      </c>
      <c r="H781">
        <v>1.0533980000000001</v>
      </c>
      <c r="I781">
        <v>367.48820000000001</v>
      </c>
      <c r="J781">
        <v>-348.36259999999999</v>
      </c>
      <c r="K781">
        <v>1.1203289999999999</v>
      </c>
      <c r="L781">
        <v>367.54730000000001</v>
      </c>
      <c r="M781">
        <v>0.99996229999999997</v>
      </c>
      <c r="N781">
        <v>-7.8091749999999998E-3</v>
      </c>
      <c r="O781">
        <v>-3.8255030000000001E-3</v>
      </c>
      <c r="P781">
        <v>0.99517389999999994</v>
      </c>
      <c r="Q781">
        <v>-9.4842389999999999E-2</v>
      </c>
      <c r="R781">
        <v>-2.517894E-2</v>
      </c>
      <c r="S781">
        <v>2.9884949999999999</v>
      </c>
      <c r="T781">
        <v>-0.22058559999999999</v>
      </c>
      <c r="U781">
        <v>-0.19668579999999999</v>
      </c>
      <c r="V781">
        <v>2.1368390000000001E-2</v>
      </c>
      <c r="W781">
        <v>-8.7068129999999994E-2</v>
      </c>
      <c r="X781">
        <v>0.9959732</v>
      </c>
      <c r="Y781">
        <v>6.1677870000000003E-2</v>
      </c>
      <c r="Z781">
        <v>-2.260321E-3</v>
      </c>
      <c r="AA781">
        <v>0.99809349999999997</v>
      </c>
      <c r="AB781">
        <v>23</v>
      </c>
      <c r="AC781">
        <v>0.68029999999998803</v>
      </c>
      <c r="AD781">
        <v>-6.6931000000000004E-2</v>
      </c>
      <c r="AE781">
        <v>-5.9100000000000798E-2</v>
      </c>
      <c r="AF781">
        <v>5.5959396119645802E-2</v>
      </c>
      <c r="AG781">
        <v>-6.6931000000000004E-2</v>
      </c>
      <c r="AH781">
        <v>0.67404555155171897</v>
      </c>
      <c r="AI781">
        <v>95.651419548999002</v>
      </c>
      <c r="AJ781">
        <v>85.254176288346201</v>
      </c>
      <c r="AK781">
        <v>0.67966802068490495</v>
      </c>
      <c r="AL781">
        <v>94.994960797237795</v>
      </c>
      <c r="AM781">
        <v>88.770919981170806</v>
      </c>
      <c r="AN781">
        <v>1.0000000412355601</v>
      </c>
    </row>
    <row r="782" spans="1:40" x14ac:dyDescent="0.25">
      <c r="A782" t="str">
        <f>"20190303154112682"</f>
        <v>20190303154112682</v>
      </c>
      <c r="B782" t="str">
        <f>"1551598872679933"</f>
        <v>1551598872679933</v>
      </c>
      <c r="C782" t="s">
        <v>40</v>
      </c>
      <c r="D782">
        <v>5.9146580000000002</v>
      </c>
      <c r="E782">
        <v>0.51564480000000001</v>
      </c>
      <c r="F782" t="s">
        <v>42</v>
      </c>
      <c r="G782">
        <v>-347.47559999999999</v>
      </c>
      <c r="H782">
        <v>1.0551900000000001</v>
      </c>
      <c r="I782">
        <v>367.48829999999998</v>
      </c>
      <c r="J782">
        <v>-348.13929999999999</v>
      </c>
      <c r="K782">
        <v>1.120344</v>
      </c>
      <c r="L782">
        <v>367.54649999999998</v>
      </c>
      <c r="M782">
        <v>0.99996130000000005</v>
      </c>
      <c r="N782">
        <v>-7.9331939999999993E-3</v>
      </c>
      <c r="O782">
        <v>-3.8252770000000002E-3</v>
      </c>
      <c r="P782">
        <v>0.99525750000000002</v>
      </c>
      <c r="Q782">
        <v>-9.4042440000000005E-2</v>
      </c>
      <c r="R782">
        <v>-2.4879459999999999E-2</v>
      </c>
      <c r="S782">
        <v>2.9885860000000002</v>
      </c>
      <c r="T782">
        <v>-0.21966350000000001</v>
      </c>
      <c r="U782">
        <v>-0.1982727</v>
      </c>
      <c r="V782">
        <v>2.106864E-2</v>
      </c>
      <c r="W782">
        <v>-8.6144020000000002E-2</v>
      </c>
      <c r="X782">
        <v>0.9960599</v>
      </c>
      <c r="Y782">
        <v>6.220328E-2</v>
      </c>
      <c r="Z782">
        <v>-2.2776099999999998E-3</v>
      </c>
      <c r="AA782">
        <v>0.99806090000000003</v>
      </c>
      <c r="AB782">
        <v>23</v>
      </c>
      <c r="AC782">
        <v>0.66370000000000495</v>
      </c>
      <c r="AD782">
        <v>-6.5153999999999906E-2</v>
      </c>
      <c r="AE782">
        <v>-5.8199999999999301E-2</v>
      </c>
      <c r="AF782">
        <v>5.5133396087710701E-2</v>
      </c>
      <c r="AG782">
        <v>-6.5153999999999906E-2</v>
      </c>
      <c r="AH782">
        <v>0.65762862435880798</v>
      </c>
      <c r="AI782">
        <v>95.638414297937402</v>
      </c>
      <c r="AJ782">
        <v>85.207719144239704</v>
      </c>
      <c r="AK782">
        <v>0.66314413414899598</v>
      </c>
      <c r="AL782">
        <v>94.9418136948766</v>
      </c>
      <c r="AM782">
        <v>88.788261456537299</v>
      </c>
      <c r="AN782">
        <v>1.0000000020806099</v>
      </c>
    </row>
    <row r="783" spans="1:40" x14ac:dyDescent="0.25">
      <c r="A783" t="str">
        <f>"20190303154112706"</f>
        <v>20190303154112706</v>
      </c>
      <c r="B783" t="str">
        <f>"1551598872700429"</f>
        <v>1551598872700429</v>
      </c>
      <c r="C783" t="s">
        <v>40</v>
      </c>
      <c r="D783">
        <v>5.914161</v>
      </c>
      <c r="E783">
        <v>0.515594</v>
      </c>
      <c r="F783" t="s">
        <v>41</v>
      </c>
      <c r="G783">
        <v>-332.48849999999999</v>
      </c>
      <c r="H783" s="1">
        <v>-3.7566479999999998E-6</v>
      </c>
      <c r="I783">
        <v>366.50490000000002</v>
      </c>
      <c r="J783">
        <v>-347.89940000000001</v>
      </c>
      <c r="K783">
        <v>1.120363</v>
      </c>
      <c r="L783">
        <v>367.54559999999998</v>
      </c>
      <c r="M783">
        <v>0.99996010000000002</v>
      </c>
      <c r="N783">
        <v>-8.0749789999999995E-3</v>
      </c>
      <c r="O783">
        <v>-3.8250110000000001E-3</v>
      </c>
      <c r="P783">
        <v>0.99525509999999995</v>
      </c>
      <c r="Q783">
        <v>-9.4018489999999996E-2</v>
      </c>
      <c r="R783">
        <v>-2.5054219999999999E-2</v>
      </c>
      <c r="S783">
        <v>2.9890750000000001</v>
      </c>
      <c r="T783">
        <v>-0.21396979999999999</v>
      </c>
      <c r="U783">
        <v>-0.1989136</v>
      </c>
      <c r="V783">
        <v>2.1243890000000001E-2</v>
      </c>
      <c r="W783">
        <v>-8.5978860000000004E-2</v>
      </c>
      <c r="X783">
        <v>0.99607040000000002</v>
      </c>
      <c r="Y783">
        <v>6.2413450000000002E-2</v>
      </c>
      <c r="Z783">
        <v>-2.2388949999999999E-3</v>
      </c>
      <c r="AA783">
        <v>0.99804789999999999</v>
      </c>
      <c r="AB783">
        <v>23</v>
      </c>
      <c r="AC783">
        <v>15.4109</v>
      </c>
      <c r="AD783">
        <v>-1.120366756648</v>
      </c>
      <c r="AE783">
        <v>-1.04069999999995</v>
      </c>
      <c r="AF783">
        <v>0.97660544448039799</v>
      </c>
      <c r="AG783">
        <v>-1.120366756648</v>
      </c>
      <c r="AH783">
        <v>15.3340916840346</v>
      </c>
      <c r="AI783">
        <v>94.170401451469701</v>
      </c>
      <c r="AJ783">
        <v>86.355839062147894</v>
      </c>
      <c r="AK783">
        <v>15.405951695301701</v>
      </c>
      <c r="AL783">
        <v>94.932315719279202</v>
      </c>
      <c r="AM783">
        <v>88.778198073346999</v>
      </c>
      <c r="AN783">
        <v>0.99999995449269397</v>
      </c>
    </row>
    <row r="784" spans="1:40" x14ac:dyDescent="0.25">
      <c r="A784" t="str">
        <f>"20190303154112728"</f>
        <v>20190303154112728</v>
      </c>
      <c r="B784" t="str">
        <f>"1551598872719949"</f>
        <v>1551598872719949</v>
      </c>
      <c r="C784" t="s">
        <v>40</v>
      </c>
      <c r="D784">
        <v>5.9681319999999998</v>
      </c>
      <c r="E784">
        <v>0.51567529999999995</v>
      </c>
      <c r="F784" t="s">
        <v>41</v>
      </c>
      <c r="G784">
        <v>-331.9939</v>
      </c>
      <c r="H784" s="1">
        <v>-3.972296E-6</v>
      </c>
      <c r="I784">
        <v>366.48540000000003</v>
      </c>
      <c r="J784">
        <v>-347.67349999999999</v>
      </c>
      <c r="K784">
        <v>1.1203799999999999</v>
      </c>
      <c r="L784">
        <v>367.54469999999998</v>
      </c>
      <c r="M784">
        <v>0.99995889999999998</v>
      </c>
      <c r="N784">
        <v>-8.2281539999999997E-3</v>
      </c>
      <c r="O784">
        <v>-3.824802E-3</v>
      </c>
      <c r="P784">
        <v>0.99523189999999995</v>
      </c>
      <c r="Q784">
        <v>-9.4147439999999999E-2</v>
      </c>
      <c r="R784">
        <v>-2.5490450000000001E-2</v>
      </c>
      <c r="S784">
        <v>2.9893800000000001</v>
      </c>
      <c r="T784">
        <v>-0.21056800000000001</v>
      </c>
      <c r="U784">
        <v>-0.19924929999999999</v>
      </c>
      <c r="V784">
        <v>2.1680310000000001E-2</v>
      </c>
      <c r="W784">
        <v>-8.5955400000000001E-2</v>
      </c>
      <c r="X784">
        <v>0.99606309999999998</v>
      </c>
      <c r="Y784">
        <v>6.2522889999999998E-2</v>
      </c>
      <c r="Z784">
        <v>-2.217358E-3</v>
      </c>
      <c r="AA784">
        <v>0.99804110000000001</v>
      </c>
      <c r="AB784">
        <v>23</v>
      </c>
      <c r="AC784">
        <v>15.679599999999899</v>
      </c>
      <c r="AD784">
        <v>-1.1203839722959901</v>
      </c>
      <c r="AE784">
        <v>-1.0592999999999499</v>
      </c>
      <c r="AF784">
        <v>0.994265404144555</v>
      </c>
      <c r="AG784">
        <v>-1.1203839722959901</v>
      </c>
      <c r="AH784">
        <v>15.604226976733599</v>
      </c>
      <c r="AI784">
        <v>94.098508197387403</v>
      </c>
      <c r="AJ784">
        <v>86.354173511093506</v>
      </c>
      <c r="AK784">
        <v>15.6759600497282</v>
      </c>
      <c r="AL784">
        <v>94.930966178016007</v>
      </c>
      <c r="AM784">
        <v>88.7530969161527</v>
      </c>
      <c r="AN784">
        <v>1.00000003290623</v>
      </c>
    </row>
    <row r="785" spans="1:40" x14ac:dyDescent="0.25">
      <c r="A785" t="str">
        <f>"20190303154112751"</f>
        <v>20190303154112751</v>
      </c>
      <c r="B785" t="str">
        <f>"1551598872740448"</f>
        <v>1551598872740448</v>
      </c>
      <c r="C785" t="s">
        <v>40</v>
      </c>
      <c r="D785">
        <v>5.9632509999999996</v>
      </c>
      <c r="E785">
        <v>0.51586739999999998</v>
      </c>
      <c r="F785" t="s">
        <v>41</v>
      </c>
      <c r="G785">
        <v>-331.75869999999998</v>
      </c>
      <c r="H785" s="1">
        <v>-4.0750160000000004E-6</v>
      </c>
      <c r="I785">
        <v>366.4751</v>
      </c>
      <c r="J785">
        <v>-347.43779999999998</v>
      </c>
      <c r="K785">
        <v>1.120404</v>
      </c>
      <c r="L785">
        <v>367.54379999999998</v>
      </c>
      <c r="M785">
        <v>0.9999574</v>
      </c>
      <c r="N785">
        <v>-8.4173489999999993E-3</v>
      </c>
      <c r="O785">
        <v>-3.8245169999999999E-3</v>
      </c>
      <c r="P785">
        <v>0.99522200000000005</v>
      </c>
      <c r="Q785">
        <v>-9.4174949999999993E-2</v>
      </c>
      <c r="R785">
        <v>-2.5775869999999999E-2</v>
      </c>
      <c r="S785">
        <v>2.9893489999999998</v>
      </c>
      <c r="T785">
        <v>-0.21044660000000001</v>
      </c>
      <c r="U785">
        <v>-0.2008972</v>
      </c>
      <c r="V785">
        <v>2.1966079999999999E-2</v>
      </c>
      <c r="W785">
        <v>-8.5794590000000004E-2</v>
      </c>
      <c r="X785">
        <v>0.99607069999999998</v>
      </c>
      <c r="Y785">
        <v>6.3069780000000006E-2</v>
      </c>
      <c r="Z785">
        <v>-2.24442E-3</v>
      </c>
      <c r="AA785">
        <v>0.99800659999999997</v>
      </c>
      <c r="AB785">
        <v>23</v>
      </c>
      <c r="AC785">
        <v>15.6791</v>
      </c>
      <c r="AD785">
        <v>-1.1204080750159999</v>
      </c>
      <c r="AE785">
        <v>-1.06869999999997</v>
      </c>
      <c r="AF785">
        <v>1.00362393182464</v>
      </c>
      <c r="AG785">
        <v>-1.1204080750159999</v>
      </c>
      <c r="AH785">
        <v>15.603762987506</v>
      </c>
      <c r="AI785">
        <v>94.098560839592807</v>
      </c>
      <c r="AJ785">
        <v>86.319841886975794</v>
      </c>
      <c r="AK785">
        <v>15.6760962813244</v>
      </c>
      <c r="AL785">
        <v>94.921718296508303</v>
      </c>
      <c r="AM785">
        <v>88.736676309074994</v>
      </c>
      <c r="AN785">
        <v>1.00000002987116</v>
      </c>
    </row>
    <row r="786" spans="1:40" x14ac:dyDescent="0.25">
      <c r="A786" t="str">
        <f>"20190303154112774"</f>
        <v>20190303154112774</v>
      </c>
      <c r="B786" t="str">
        <f>"1551598872769725"</f>
        <v>1551598872769725</v>
      </c>
      <c r="C786" t="s">
        <v>40</v>
      </c>
      <c r="D786">
        <v>5.9618659999999997</v>
      </c>
      <c r="E786">
        <v>0.51589490000000005</v>
      </c>
      <c r="F786" t="s">
        <v>41</v>
      </c>
      <c r="G786">
        <v>-331.46839999999997</v>
      </c>
      <c r="H786" s="1">
        <v>-4.2027329999999999E-6</v>
      </c>
      <c r="I786">
        <v>366.45710000000003</v>
      </c>
      <c r="J786">
        <v>-347.19929999999999</v>
      </c>
      <c r="K786">
        <v>1.1204350000000001</v>
      </c>
      <c r="L786">
        <v>367.54289999999997</v>
      </c>
      <c r="M786">
        <v>0.99995540000000005</v>
      </c>
      <c r="N786">
        <v>-8.6494980000000003E-3</v>
      </c>
      <c r="O786">
        <v>-3.8243159999999999E-3</v>
      </c>
      <c r="P786">
        <v>0.99521420000000005</v>
      </c>
      <c r="Q786">
        <v>-9.4126340000000003E-2</v>
      </c>
      <c r="R786">
        <v>-2.6253510000000001E-2</v>
      </c>
      <c r="S786">
        <v>2.989258</v>
      </c>
      <c r="T786">
        <v>-0.20972450000000001</v>
      </c>
      <c r="U786">
        <v>-0.20339969999999999</v>
      </c>
      <c r="V786">
        <v>2.244378E-2</v>
      </c>
      <c r="W786">
        <v>-8.551475E-2</v>
      </c>
      <c r="X786">
        <v>0.99608410000000003</v>
      </c>
      <c r="Y786">
        <v>6.3901879999999994E-2</v>
      </c>
      <c r="Z786">
        <v>-2.278736E-3</v>
      </c>
      <c r="AA786">
        <v>0.9979536</v>
      </c>
      <c r="AB786">
        <v>23</v>
      </c>
      <c r="AC786">
        <v>15.7309</v>
      </c>
      <c r="AD786">
        <v>-1.1204392027329999</v>
      </c>
      <c r="AE786">
        <v>-1.0857999999999399</v>
      </c>
      <c r="AF786">
        <v>1.0204774935572101</v>
      </c>
      <c r="AG786">
        <v>-1.1204392027329999</v>
      </c>
      <c r="AH786">
        <v>15.655890974679201</v>
      </c>
      <c r="AI786">
        <v>94.084847246603999</v>
      </c>
      <c r="AJ786">
        <v>86.270639652532907</v>
      </c>
      <c r="AK786">
        <v>15.729071191043699</v>
      </c>
      <c r="AL786">
        <v>94.905625576268605</v>
      </c>
      <c r="AM786">
        <v>88.709229153135595</v>
      </c>
      <c r="AN786">
        <v>1.0000000150005299</v>
      </c>
    </row>
    <row r="787" spans="1:40" x14ac:dyDescent="0.25">
      <c r="A787" t="str">
        <f>"20190303154112795"</f>
        <v>20190303154112795</v>
      </c>
      <c r="B787" t="str">
        <f>"1551598872790222"</f>
        <v>1551598872790222</v>
      </c>
      <c r="C787" t="s">
        <v>40</v>
      </c>
      <c r="D787">
        <v>5.9754550000000002</v>
      </c>
      <c r="E787">
        <v>0.50854829999999995</v>
      </c>
      <c r="F787" t="s">
        <v>41</v>
      </c>
      <c r="G787">
        <v>-331.17829999999998</v>
      </c>
      <c r="H787" s="1">
        <v>-4.3295639999999999E-6</v>
      </c>
      <c r="I787">
        <v>366.44369999999998</v>
      </c>
      <c r="J787">
        <v>-346.98270000000002</v>
      </c>
      <c r="K787">
        <v>1.120474</v>
      </c>
      <c r="L787">
        <v>367.5421</v>
      </c>
      <c r="M787">
        <v>0.99995319999999999</v>
      </c>
      <c r="N787">
        <v>-8.9025800000000002E-3</v>
      </c>
      <c r="O787">
        <v>-3.8241159999999998E-3</v>
      </c>
      <c r="P787">
        <v>0.99514009999999997</v>
      </c>
      <c r="Q787">
        <v>-9.4809470000000007E-2</v>
      </c>
      <c r="R787">
        <v>-2.660011E-2</v>
      </c>
      <c r="S787">
        <v>2.989258</v>
      </c>
      <c r="T787">
        <v>-0.20905489999999999</v>
      </c>
      <c r="U787">
        <v>-0.20507810000000001</v>
      </c>
      <c r="V787">
        <v>2.2790910000000001E-2</v>
      </c>
      <c r="W787">
        <v>-8.5946430000000004E-2</v>
      </c>
      <c r="X787">
        <v>0.99603900000000001</v>
      </c>
      <c r="Y787">
        <v>6.4458680000000004E-2</v>
      </c>
      <c r="Z787">
        <v>-2.3034259999999999E-3</v>
      </c>
      <c r="AA787">
        <v>0.99791770000000002</v>
      </c>
      <c r="AB787">
        <v>23</v>
      </c>
      <c r="AC787">
        <v>15.804399999999999</v>
      </c>
      <c r="AD787">
        <v>-1.120478329564</v>
      </c>
      <c r="AE787">
        <v>-1.09840000000002</v>
      </c>
      <c r="AF787">
        <v>1.0327855561462</v>
      </c>
      <c r="AG787">
        <v>-1.120478329564</v>
      </c>
      <c r="AH787">
        <v>15.729801902898901</v>
      </c>
      <c r="AI787">
        <v>94.0657337589533</v>
      </c>
      <c r="AJ787">
        <v>86.243472068766707</v>
      </c>
      <c r="AK787">
        <v>15.8034422072044</v>
      </c>
      <c r="AL787">
        <v>94.930450725980805</v>
      </c>
      <c r="AM787">
        <v>88.689212840654093</v>
      </c>
      <c r="AN787">
        <v>0.99999995196468505</v>
      </c>
    </row>
    <row r="788" spans="1:40" x14ac:dyDescent="0.25">
      <c r="A788" t="str">
        <f>"20190303154112820"</f>
        <v>20190303154112820</v>
      </c>
      <c r="B788" t="str">
        <f>"1551598872809745"</f>
        <v>1551598872809745</v>
      </c>
      <c r="C788" t="s">
        <v>40</v>
      </c>
      <c r="D788">
        <v>5.9327949999999996</v>
      </c>
      <c r="E788">
        <v>0.50864319999999996</v>
      </c>
      <c r="F788" t="s">
        <v>41</v>
      </c>
      <c r="G788">
        <v>-324.40010000000001</v>
      </c>
      <c r="H788" s="1">
        <v>-2.9494870000000002E-6</v>
      </c>
      <c r="I788">
        <v>366.43200000000002</v>
      </c>
      <c r="J788">
        <v>-346.73469999999998</v>
      </c>
      <c r="K788">
        <v>1.1205320000000001</v>
      </c>
      <c r="L788">
        <v>367.54109999999997</v>
      </c>
      <c r="M788">
        <v>0.99995009999999995</v>
      </c>
      <c r="N788">
        <v>-9.2496560000000002E-3</v>
      </c>
      <c r="O788">
        <v>-3.8237850000000001E-3</v>
      </c>
      <c r="P788">
        <v>0.9950774</v>
      </c>
      <c r="Q788">
        <v>-9.548943E-2</v>
      </c>
      <c r="R788">
        <v>-2.6513169999999999E-2</v>
      </c>
      <c r="S788">
        <v>2.996521</v>
      </c>
      <c r="T788">
        <v>-0.1486777</v>
      </c>
      <c r="U788">
        <v>-0.14727779999999999</v>
      </c>
      <c r="V788">
        <v>2.2704579999999999E-2</v>
      </c>
      <c r="W788">
        <v>-8.628123E-2</v>
      </c>
      <c r="X788">
        <v>0.99601209999999996</v>
      </c>
      <c r="Y788">
        <v>4.5207909999999997E-2</v>
      </c>
      <c r="Z788">
        <v>-1.1753759999999999E-3</v>
      </c>
      <c r="AA788">
        <v>0.99897689999999995</v>
      </c>
      <c r="AB788">
        <v>23</v>
      </c>
      <c r="AC788">
        <v>22.334599999999899</v>
      </c>
      <c r="AD788">
        <v>-1.1205349494869901</v>
      </c>
      <c r="AE788">
        <v>-1.10910000000001</v>
      </c>
      <c r="AF788">
        <v>1.02112163798433</v>
      </c>
      <c r="AG788">
        <v>-1.1205349494869901</v>
      </c>
      <c r="AH788">
        <v>22.282728733420502</v>
      </c>
      <c r="AI788">
        <v>92.875803586541295</v>
      </c>
      <c r="AJ788">
        <v>87.376216423934295</v>
      </c>
      <c r="AK788">
        <v>22.334240255262401</v>
      </c>
      <c r="AL788">
        <v>94.949704510046004</v>
      </c>
      <c r="AM788">
        <v>88.694141011750503</v>
      </c>
      <c r="AN788">
        <v>1.0000000259748401</v>
      </c>
    </row>
    <row r="789" spans="1:40" x14ac:dyDescent="0.25">
      <c r="A789" t="str">
        <f>"20190303154112839"</f>
        <v>20190303154112839</v>
      </c>
      <c r="B789" t="str">
        <f>"1551598872830237"</f>
        <v>1551598872830237</v>
      </c>
      <c r="C789" t="s">
        <v>40</v>
      </c>
      <c r="D789">
        <v>5.9239850000000001</v>
      </c>
      <c r="E789">
        <v>0.50851009999999996</v>
      </c>
      <c r="F789" t="s">
        <v>41</v>
      </c>
      <c r="G789">
        <v>-324.02289999999999</v>
      </c>
      <c r="H789" s="1">
        <v>-3.1130679999999999E-6</v>
      </c>
      <c r="I789">
        <v>366.42230000000001</v>
      </c>
      <c r="J789">
        <v>-346.51799999999997</v>
      </c>
      <c r="K789">
        <v>1.120587</v>
      </c>
      <c r="L789">
        <v>367.5403</v>
      </c>
      <c r="M789">
        <v>0.99994680000000002</v>
      </c>
      <c r="N789">
        <v>-9.5932369999999993E-3</v>
      </c>
      <c r="O789">
        <v>-3.823735E-3</v>
      </c>
      <c r="P789">
        <v>0.99505659999999896</v>
      </c>
      <c r="Q789">
        <v>-9.5691440000000003E-2</v>
      </c>
      <c r="R789">
        <v>-2.6565080000000001E-2</v>
      </c>
      <c r="S789">
        <v>2.9967039999999998</v>
      </c>
      <c r="T789">
        <v>-0.14784800000000001</v>
      </c>
      <c r="U789">
        <v>-0.14761350000000001</v>
      </c>
      <c r="V789">
        <v>2.2756760000000001E-2</v>
      </c>
      <c r="W789">
        <v>-8.6141179999999998E-2</v>
      </c>
      <c r="X789">
        <v>0.99602299999999999</v>
      </c>
      <c r="Y789">
        <v>4.5316639999999998E-2</v>
      </c>
      <c r="Z789">
        <v>-1.182422E-3</v>
      </c>
      <c r="AA789">
        <v>0.99897199999999997</v>
      </c>
      <c r="AB789">
        <v>23</v>
      </c>
      <c r="AC789">
        <v>22.495100000000001</v>
      </c>
      <c r="AD789">
        <v>-1.1205901130679901</v>
      </c>
      <c r="AE789">
        <v>-1.1179999999999899</v>
      </c>
      <c r="AF789">
        <v>1.0294243351705199</v>
      </c>
      <c r="AG789">
        <v>-1.1205901130679901</v>
      </c>
      <c r="AH789">
        <v>22.443653528907198</v>
      </c>
      <c r="AI789">
        <v>92.855352766484799</v>
      </c>
      <c r="AJ789">
        <v>87.373851803271293</v>
      </c>
      <c r="AK789">
        <v>22.495177714100699</v>
      </c>
      <c r="AL789">
        <v>94.941650403946596</v>
      </c>
      <c r="AM789">
        <v>88.691155228726402</v>
      </c>
      <c r="AN789">
        <v>0.99999999477324497</v>
      </c>
    </row>
    <row r="790" spans="1:40" x14ac:dyDescent="0.25">
      <c r="A790" t="str">
        <f>"20190303154112862"</f>
        <v>20190303154112862</v>
      </c>
      <c r="B790" t="str">
        <f>"1551598872849757"</f>
        <v>1551598872849757</v>
      </c>
      <c r="C790" t="s">
        <v>40</v>
      </c>
      <c r="D790">
        <v>5.9466809999999999</v>
      </c>
      <c r="E790">
        <v>0.50859430000000005</v>
      </c>
      <c r="F790" t="s">
        <v>41</v>
      </c>
      <c r="G790">
        <v>-323.89600000000002</v>
      </c>
      <c r="H790" s="1">
        <v>-3.1658420000000001E-6</v>
      </c>
      <c r="I790">
        <v>366.4316</v>
      </c>
      <c r="J790">
        <v>-346.29140000000001</v>
      </c>
      <c r="K790">
        <v>1.1206419999999999</v>
      </c>
      <c r="L790">
        <v>367.5394</v>
      </c>
      <c r="M790">
        <v>0.99994300000000003</v>
      </c>
      <c r="N790">
        <v>-9.9705609999999993E-3</v>
      </c>
      <c r="O790">
        <v>-3.8235539999999998E-3</v>
      </c>
      <c r="P790">
        <v>0.99499190000000004</v>
      </c>
      <c r="Q790">
        <v>-9.6221420000000002E-2</v>
      </c>
      <c r="R790">
        <v>-2.7065659999999998E-2</v>
      </c>
      <c r="S790">
        <v>2.9966740000000001</v>
      </c>
      <c r="T790">
        <v>-0.1484412</v>
      </c>
      <c r="U790">
        <v>-0.1468506</v>
      </c>
      <c r="V790">
        <v>2.3257429999999999E-2</v>
      </c>
      <c r="W790">
        <v>-8.6295949999999996E-2</v>
      </c>
      <c r="X790">
        <v>0.99599800000000005</v>
      </c>
      <c r="Y790">
        <v>4.5063020000000002E-2</v>
      </c>
      <c r="Z790">
        <v>-1.188628E-3</v>
      </c>
      <c r="AA790">
        <v>0.99898339999999997</v>
      </c>
      <c r="AB790">
        <v>23</v>
      </c>
      <c r="AC790">
        <v>22.395399999999999</v>
      </c>
      <c r="AD790">
        <v>-1.120645165842</v>
      </c>
      <c r="AE790">
        <v>-1.1077999999999899</v>
      </c>
      <c r="AF790">
        <v>1.01961084345056</v>
      </c>
      <c r="AG790">
        <v>-1.120645165842</v>
      </c>
      <c r="AH790">
        <v>22.3436622748718</v>
      </c>
      <c r="AI790">
        <v>92.868280866046803</v>
      </c>
      <c r="AJ790">
        <v>87.387227865012306</v>
      </c>
      <c r="AK790">
        <v>22.394970321778398</v>
      </c>
      <c r="AL790">
        <v>94.950551401112804</v>
      </c>
      <c r="AM790">
        <v>88.662336206446895</v>
      </c>
      <c r="AN790">
        <v>0.99999995752030202</v>
      </c>
    </row>
    <row r="791" spans="1:40" x14ac:dyDescent="0.25">
      <c r="A791" t="str">
        <f>"20190303154112876"</f>
        <v>20190303154112876</v>
      </c>
      <c r="B791" t="str">
        <f>"1551598872870254"</f>
        <v>1551598872870254</v>
      </c>
      <c r="C791" t="s">
        <v>40</v>
      </c>
      <c r="D791">
        <v>5.9524939999999997</v>
      </c>
      <c r="E791">
        <v>0.50838629999999996</v>
      </c>
      <c r="F791" t="s">
        <v>41</v>
      </c>
      <c r="G791">
        <v>-323.5521</v>
      </c>
      <c r="H791" s="1">
        <v>-3.317684E-6</v>
      </c>
      <c r="I791">
        <v>366.4074</v>
      </c>
      <c r="J791">
        <v>-346.14350000000002</v>
      </c>
      <c r="K791">
        <v>1.1206799999999999</v>
      </c>
      <c r="L791">
        <v>367.53879999999998</v>
      </c>
      <c r="M791">
        <v>0.99994059999999996</v>
      </c>
      <c r="N791">
        <v>-1.0220720000000001E-2</v>
      </c>
      <c r="O791">
        <v>-3.8238640000000002E-3</v>
      </c>
      <c r="P791">
        <v>0.99496459999999998</v>
      </c>
      <c r="Q791">
        <v>-9.6510499999999999E-2</v>
      </c>
      <c r="R791">
        <v>-2.7041570000000001E-2</v>
      </c>
      <c r="S791">
        <v>2.9967649999999999</v>
      </c>
      <c r="T791">
        <v>-0.14768680000000001</v>
      </c>
      <c r="U791">
        <v>-0.14916989999999999</v>
      </c>
      <c r="V791">
        <v>2.3233469999999999E-2</v>
      </c>
      <c r="W791">
        <v>-8.6336109999999994E-2</v>
      </c>
      <c r="X791">
        <v>0.99599510000000002</v>
      </c>
      <c r="Y791">
        <v>4.5831620000000003E-2</v>
      </c>
      <c r="Z791">
        <v>-1.213324E-3</v>
      </c>
      <c r="AA791">
        <v>0.99894850000000002</v>
      </c>
      <c r="AB791">
        <v>23</v>
      </c>
      <c r="AC791">
        <v>22.5914</v>
      </c>
      <c r="AD791">
        <v>-1.1206833176840001</v>
      </c>
      <c r="AE791">
        <v>-1.13139999999998</v>
      </c>
      <c r="AF791">
        <v>1.04244194410236</v>
      </c>
      <c r="AG791">
        <v>-1.1206833176840001</v>
      </c>
      <c r="AH791">
        <v>22.5402327183306</v>
      </c>
      <c r="AI791">
        <v>92.8433248012131</v>
      </c>
      <c r="AJ791">
        <v>87.352068378939293</v>
      </c>
      <c r="AK791">
        <v>22.5921381746364</v>
      </c>
      <c r="AL791">
        <v>94.952860914888802</v>
      </c>
      <c r="AM791">
        <v>88.663709889604206</v>
      </c>
      <c r="AN791">
        <v>0.99999997862109102</v>
      </c>
    </row>
    <row r="792" spans="1:40" x14ac:dyDescent="0.25">
      <c r="A792" t="str">
        <f>"20190303154112896"</f>
        <v>20190303154112896</v>
      </c>
      <c r="B792" t="str">
        <f>"1551598872889773"</f>
        <v>1551598872889773</v>
      </c>
      <c r="C792" t="s">
        <v>40</v>
      </c>
      <c r="D792">
        <v>5.9135039999999996</v>
      </c>
      <c r="E792">
        <v>0.50841320000000001</v>
      </c>
      <c r="F792" t="s">
        <v>41</v>
      </c>
      <c r="G792">
        <v>-323.33069999999998</v>
      </c>
      <c r="H792" s="1">
        <v>-3.4109319999999999E-6</v>
      </c>
      <c r="I792">
        <v>366.41699999999997</v>
      </c>
      <c r="J792">
        <v>-345.94319999999999</v>
      </c>
      <c r="K792">
        <v>1.12073</v>
      </c>
      <c r="L792">
        <v>367.53800000000001</v>
      </c>
      <c r="M792">
        <v>0.99993699999999996</v>
      </c>
      <c r="N792">
        <v>-1.055944E-2</v>
      </c>
      <c r="O792">
        <v>-3.823716E-3</v>
      </c>
      <c r="P792">
        <v>0.99492340000000001</v>
      </c>
      <c r="Q792">
        <v>-9.6765699999999996E-2</v>
      </c>
      <c r="R792">
        <v>-2.7638739999999998E-2</v>
      </c>
      <c r="S792">
        <v>2.9968870000000001</v>
      </c>
      <c r="T792">
        <v>-0.14722249999999901</v>
      </c>
      <c r="U792">
        <v>-0.14736939999999901</v>
      </c>
      <c r="V792">
        <v>2.3830500000000001E-2</v>
      </c>
      <c r="W792">
        <v>-8.6254330000000004E-2</v>
      </c>
      <c r="X792">
        <v>0.99598810000000004</v>
      </c>
      <c r="Y792">
        <v>4.5231830000000001E-2</v>
      </c>
      <c r="Z792">
        <v>-1.201534E-3</v>
      </c>
      <c r="AA792">
        <v>0.99897579999999997</v>
      </c>
      <c r="AB792">
        <v>23</v>
      </c>
      <c r="AC792">
        <v>22.612500000000001</v>
      </c>
      <c r="AD792">
        <v>-1.120733410932</v>
      </c>
      <c r="AE792">
        <v>-1.12100000000003</v>
      </c>
      <c r="AF792">
        <v>1.0319943855831899</v>
      </c>
      <c r="AG792">
        <v>-1.120733410932</v>
      </c>
      <c r="AH792">
        <v>22.561336430421299</v>
      </c>
      <c r="AI792">
        <v>92.840862212116207</v>
      </c>
      <c r="AJ792">
        <v>87.381017916782696</v>
      </c>
      <c r="AK792">
        <v>22.612716716858898</v>
      </c>
      <c r="AL792">
        <v>94.948157621301306</v>
      </c>
      <c r="AM792">
        <v>88.629374575593104</v>
      </c>
      <c r="AN792">
        <v>0.99999999875780399</v>
      </c>
    </row>
    <row r="793" spans="1:40" x14ac:dyDescent="0.25">
      <c r="A793" t="str">
        <f>"20190303154112909"</f>
        <v>20190303154112909</v>
      </c>
      <c r="B793" t="str">
        <f>"1551598872900509"</f>
        <v>1551598872900509</v>
      </c>
      <c r="C793" t="s">
        <v>40</v>
      </c>
      <c r="D793">
        <v>5.9017689999999998</v>
      </c>
      <c r="E793">
        <v>0.50824650000000005</v>
      </c>
      <c r="F793" t="s">
        <v>41</v>
      </c>
      <c r="G793">
        <v>-322.96890000000002</v>
      </c>
      <c r="H793" s="1">
        <v>-3.5701989999999999E-6</v>
      </c>
      <c r="I793">
        <v>366.39420000000001</v>
      </c>
      <c r="J793">
        <v>-345.80919999999998</v>
      </c>
      <c r="K793">
        <v>1.1207560000000001</v>
      </c>
      <c r="L793">
        <v>367.53750000000002</v>
      </c>
      <c r="M793">
        <v>0.99993469999999995</v>
      </c>
      <c r="N793">
        <v>-1.078139E-2</v>
      </c>
      <c r="O793">
        <v>-3.8237089999999998E-3</v>
      </c>
      <c r="P793">
        <v>0.99494689999999997</v>
      </c>
      <c r="Q793">
        <v>-9.6631110000000006E-2</v>
      </c>
      <c r="R793">
        <v>-2.7266789999999999E-2</v>
      </c>
      <c r="S793">
        <v>2.9969480000000002</v>
      </c>
      <c r="T793">
        <v>-0.14619660000000001</v>
      </c>
      <c r="U793">
        <v>-0.14920039999999901</v>
      </c>
      <c r="V793">
        <v>2.3458639999999999E-2</v>
      </c>
      <c r="W793">
        <v>-8.5898440000000006E-2</v>
      </c>
      <c r="X793">
        <v>0.99602769999999996</v>
      </c>
      <c r="Y793">
        <v>4.5839310000000001E-2</v>
      </c>
      <c r="Z793">
        <v>-1.2190390000000001E-3</v>
      </c>
      <c r="AA793">
        <v>0.99894810000000001</v>
      </c>
      <c r="AB793">
        <v>23</v>
      </c>
      <c r="AC793">
        <v>22.8402999999999</v>
      </c>
      <c r="AD793">
        <v>-1.1207595701990001</v>
      </c>
      <c r="AE793">
        <v>-1.14330000000001</v>
      </c>
      <c r="AF793">
        <v>1.0534218208144801</v>
      </c>
      <c r="AG793">
        <v>-1.1207595701990001</v>
      </c>
      <c r="AH793">
        <v>22.789768739292999</v>
      </c>
      <c r="AI793">
        <v>92.812436367165603</v>
      </c>
      <c r="AJ793">
        <v>87.353474975982095</v>
      </c>
      <c r="AK793">
        <v>22.841614626317799</v>
      </c>
      <c r="AL793">
        <v>94.927690586263793</v>
      </c>
      <c r="AM793">
        <v>88.650807979997296</v>
      </c>
      <c r="AN793">
        <v>1.00000001447618</v>
      </c>
    </row>
    <row r="794" spans="1:40" x14ac:dyDescent="0.25">
      <c r="A794" t="str">
        <f>"20190303154112921"</f>
        <v>20190303154112921</v>
      </c>
      <c r="B794" t="str">
        <f>"1551598872910270"</f>
        <v>1551598872910270</v>
      </c>
      <c r="C794" t="s">
        <v>40</v>
      </c>
      <c r="D794">
        <v>5.938396</v>
      </c>
      <c r="E794">
        <v>0.50817009999999996</v>
      </c>
      <c r="F794" t="s">
        <v>41</v>
      </c>
      <c r="G794">
        <v>-322.608</v>
      </c>
      <c r="H794" s="1">
        <v>-3.7239219999999998E-6</v>
      </c>
      <c r="I794">
        <v>366.40039999999999</v>
      </c>
      <c r="J794">
        <v>-345.6798</v>
      </c>
      <c r="K794">
        <v>1.1207819999999999</v>
      </c>
      <c r="L794">
        <v>367.53699999999998</v>
      </c>
      <c r="M794">
        <v>0.99993220000000005</v>
      </c>
      <c r="N794">
        <v>-1.099049E-2</v>
      </c>
      <c r="O794">
        <v>-3.8234160000000001E-3</v>
      </c>
      <c r="P794">
        <v>0.99492389999999997</v>
      </c>
      <c r="Q794">
        <v>-9.6819760000000005E-2</v>
      </c>
      <c r="R794">
        <v>-2.7424919999999998E-2</v>
      </c>
      <c r="S794">
        <v>2.9971619999999999</v>
      </c>
      <c r="T794">
        <v>-0.14478089999999999</v>
      </c>
      <c r="U794">
        <v>-0.14688109999999999</v>
      </c>
      <c r="V794">
        <v>2.3617240000000001E-2</v>
      </c>
      <c r="W794">
        <v>-8.5879059999999993E-2</v>
      </c>
      <c r="X794">
        <v>0.99602559999999996</v>
      </c>
      <c r="Y794">
        <v>4.5066839999999997E-2</v>
      </c>
      <c r="Z794">
        <v>-1.192708E-3</v>
      </c>
      <c r="AA794">
        <v>0.99898330000000002</v>
      </c>
      <c r="AB794">
        <v>23</v>
      </c>
      <c r="AC794">
        <v>23.0718</v>
      </c>
      <c r="AD794">
        <v>-1.1207857239219901</v>
      </c>
      <c r="AE794">
        <v>-1.1365999999999801</v>
      </c>
      <c r="AF794">
        <v>1.04591106031382</v>
      </c>
      <c r="AG794">
        <v>-1.1207857239219901</v>
      </c>
      <c r="AH794">
        <v>23.0217811493584</v>
      </c>
      <c r="AI794">
        <v>92.784303153264602</v>
      </c>
      <c r="AJ794">
        <v>87.398762909680897</v>
      </c>
      <c r="AK794">
        <v>23.072765284507799</v>
      </c>
      <c r="AL794">
        <v>94.926576189560507</v>
      </c>
      <c r="AM794">
        <v>88.641686858143004</v>
      </c>
      <c r="AN794">
        <v>0.99999999141353002</v>
      </c>
    </row>
    <row r="795" spans="1:40" x14ac:dyDescent="0.25">
      <c r="A795" t="str">
        <f>"20190303154112935"</f>
        <v>20190303154112935</v>
      </c>
      <c r="B795" t="str">
        <f>"1551598872929790"</f>
        <v>1551598872929790</v>
      </c>
      <c r="C795" t="s">
        <v>40</v>
      </c>
      <c r="D795">
        <v>6.0328369999999998</v>
      </c>
      <c r="E795">
        <v>0.50837579999999905</v>
      </c>
      <c r="F795" t="s">
        <v>41</v>
      </c>
      <c r="G795">
        <v>-322.47160000000002</v>
      </c>
      <c r="H795" s="1">
        <v>-3.7822029999999998E-6</v>
      </c>
      <c r="I795">
        <v>366.40170000000001</v>
      </c>
      <c r="J795">
        <v>-345.53480000000002</v>
      </c>
      <c r="K795">
        <v>1.120806</v>
      </c>
      <c r="L795">
        <v>367.53649999999999</v>
      </c>
      <c r="M795">
        <v>0.99992979999999998</v>
      </c>
      <c r="N795">
        <v>-1.121861E-2</v>
      </c>
      <c r="O795">
        <v>-3.823491E-3</v>
      </c>
      <c r="P795">
        <v>0.9949112</v>
      </c>
      <c r="Q795">
        <v>-9.6899819999999998E-2</v>
      </c>
      <c r="R795">
        <v>-2.7610800000000001E-2</v>
      </c>
      <c r="S795">
        <v>2.9971619999999999</v>
      </c>
      <c r="T795">
        <v>-0.14474049999999999</v>
      </c>
      <c r="U795">
        <v>-0.1466064</v>
      </c>
      <c r="V795">
        <v>2.3803089999999999E-2</v>
      </c>
      <c r="W795">
        <v>-8.5732009999999997E-2</v>
      </c>
      <c r="X795">
        <v>0.99603379999999997</v>
      </c>
      <c r="Y795">
        <v>4.4975300000000003E-2</v>
      </c>
      <c r="Z795">
        <v>-1.1957529999999999E-3</v>
      </c>
      <c r="AA795">
        <v>0.99898739999999997</v>
      </c>
      <c r="AB795">
        <v>23</v>
      </c>
      <c r="AC795">
        <v>23.063199999999899</v>
      </c>
      <c r="AD795">
        <v>-1.1208097822030001</v>
      </c>
      <c r="AE795">
        <v>-1.13479999999998</v>
      </c>
      <c r="AF795">
        <v>1.0441442208314999</v>
      </c>
      <c r="AG795">
        <v>-1.1208097822030001</v>
      </c>
      <c r="AH795">
        <v>23.013151676589999</v>
      </c>
      <c r="AI795">
        <v>92.785412789703699</v>
      </c>
      <c r="AJ795">
        <v>87.402178681359501</v>
      </c>
      <c r="AK795">
        <v>23.064076001685301</v>
      </c>
      <c r="AL795">
        <v>94.918119872177996</v>
      </c>
      <c r="AM795">
        <v>88.631013268550404</v>
      </c>
      <c r="AN795">
        <v>0.99999994768731204</v>
      </c>
    </row>
    <row r="796" spans="1:40" x14ac:dyDescent="0.25">
      <c r="A796" t="str">
        <f>"20190303154112951"</f>
        <v>20190303154112951</v>
      </c>
      <c r="B796" t="str">
        <f>"1551598872940525"</f>
        <v>1551598872940525</v>
      </c>
      <c r="C796" t="s">
        <v>40</v>
      </c>
      <c r="D796">
        <v>5.92089</v>
      </c>
      <c r="E796">
        <v>0.50837310000000002</v>
      </c>
      <c r="F796" t="s">
        <v>41</v>
      </c>
      <c r="G796">
        <v>-322.14319999999998</v>
      </c>
      <c r="H796" s="1">
        <v>-3.9280759999999999E-6</v>
      </c>
      <c r="I796">
        <v>366.37369999999999</v>
      </c>
      <c r="J796">
        <v>-345.37099999999998</v>
      </c>
      <c r="K796">
        <v>1.120833</v>
      </c>
      <c r="L796">
        <v>367.53579999999999</v>
      </c>
      <c r="M796">
        <v>0.99992720000000002</v>
      </c>
      <c r="N796">
        <v>-1.1456910000000001E-2</v>
      </c>
      <c r="O796">
        <v>-3.8234110000000001E-3</v>
      </c>
      <c r="P796">
        <v>0.99493730000000002</v>
      </c>
      <c r="Q796">
        <v>-9.6678230000000004E-2</v>
      </c>
      <c r="R796">
        <v>-2.7448090000000001E-2</v>
      </c>
      <c r="S796">
        <v>2.9972840000000001</v>
      </c>
      <c r="T796">
        <v>-0.14361450000000001</v>
      </c>
      <c r="U796">
        <v>-0.1489868</v>
      </c>
      <c r="V796">
        <v>2.3640149999999999E-2</v>
      </c>
      <c r="W796">
        <v>-8.5272769999999998E-2</v>
      </c>
      <c r="X796">
        <v>0.9960772</v>
      </c>
      <c r="Y796">
        <v>4.5764270000000003E-2</v>
      </c>
      <c r="Z796">
        <v>-1.218392E-3</v>
      </c>
      <c r="AA796">
        <v>0.99895149999999999</v>
      </c>
      <c r="AB796">
        <v>23</v>
      </c>
      <c r="AC796">
        <v>23.227799999999998</v>
      </c>
      <c r="AD796">
        <v>-1.120836928076</v>
      </c>
      <c r="AE796">
        <v>-1.1620999999999999</v>
      </c>
      <c r="AF796">
        <v>1.07078919811494</v>
      </c>
      <c r="AG796">
        <v>-1.120836928076</v>
      </c>
      <c r="AH796">
        <v>23.178238835661201</v>
      </c>
      <c r="AI796">
        <v>92.765567196758795</v>
      </c>
      <c r="AJ796">
        <v>87.354927989252801</v>
      </c>
      <c r="AK796">
        <v>23.230015506862902</v>
      </c>
      <c r="AL796">
        <v>94.891710167210405</v>
      </c>
      <c r="AM796">
        <v>88.640440122079099</v>
      </c>
      <c r="AN796">
        <v>1.0000000451776601</v>
      </c>
    </row>
    <row r="797" spans="1:40" x14ac:dyDescent="0.25">
      <c r="A797" t="str">
        <f>"20190303154112965"</f>
        <v>20190303154112965</v>
      </c>
      <c r="B797" t="str">
        <f>"1551598872960046"</f>
        <v>1551598872960046</v>
      </c>
      <c r="C797" t="s">
        <v>40</v>
      </c>
      <c r="D797">
        <v>5.9155360000000003</v>
      </c>
      <c r="E797">
        <v>0.50834670000000004</v>
      </c>
      <c r="F797" t="s">
        <v>41</v>
      </c>
      <c r="G797">
        <v>-321.75040000000001</v>
      </c>
      <c r="H797" s="1">
        <v>-4.0979670000000001E-6</v>
      </c>
      <c r="I797">
        <v>366.36579999999998</v>
      </c>
      <c r="J797">
        <v>-345.23610000000002</v>
      </c>
      <c r="K797">
        <v>1.120852</v>
      </c>
      <c r="L797">
        <v>367.53530000000001</v>
      </c>
      <c r="M797">
        <v>0.99992499999999995</v>
      </c>
      <c r="N797">
        <v>-1.1640599999999999E-2</v>
      </c>
      <c r="O797">
        <v>-3.8232790000000002E-3</v>
      </c>
      <c r="P797">
        <v>0.99491620000000003</v>
      </c>
      <c r="Q797">
        <v>-9.7017519999999996E-2</v>
      </c>
      <c r="R797">
        <v>-2.701317E-2</v>
      </c>
      <c r="S797">
        <v>2.9973450000000001</v>
      </c>
      <c r="T797">
        <v>-0.14222860000000001</v>
      </c>
      <c r="U797">
        <v>-0.14846799999999999</v>
      </c>
      <c r="V797">
        <v>2.320531E-2</v>
      </c>
      <c r="W797">
        <v>-8.54293E-2</v>
      </c>
      <c r="X797">
        <v>0.99607400000000001</v>
      </c>
      <c r="Y797">
        <v>4.5591979999999997E-2</v>
      </c>
      <c r="Z797">
        <v>-1.20941E-3</v>
      </c>
      <c r="AA797">
        <v>0.99895940000000005</v>
      </c>
      <c r="AB797">
        <v>23</v>
      </c>
      <c r="AC797">
        <v>23.485700000000001</v>
      </c>
      <c r="AD797">
        <v>-1.1208560979669999</v>
      </c>
      <c r="AE797">
        <v>-1.16950000000002</v>
      </c>
      <c r="AF797">
        <v>1.07724543788734</v>
      </c>
      <c r="AG797">
        <v>-1.1208560979669999</v>
      </c>
      <c r="AH797">
        <v>23.436750576681099</v>
      </c>
      <c r="AI797">
        <v>92.735185158977799</v>
      </c>
      <c r="AJ797">
        <v>87.368312394066393</v>
      </c>
      <c r="AK797">
        <v>23.488253526377001</v>
      </c>
      <c r="AL797">
        <v>94.900711583460804</v>
      </c>
      <c r="AM797">
        <v>88.665434628876994</v>
      </c>
      <c r="AN797">
        <v>1.00000003259334</v>
      </c>
    </row>
    <row r="798" spans="1:40" x14ac:dyDescent="0.25">
      <c r="A798" t="str">
        <f>"20190303154112986"</f>
        <v>20190303154112986</v>
      </c>
      <c r="B798" t="str">
        <f>"1551598872980541"</f>
        <v>1551598872980541</v>
      </c>
      <c r="C798" t="s">
        <v>40</v>
      </c>
      <c r="D798">
        <v>5.9103430000000001</v>
      </c>
      <c r="E798">
        <v>0.50823869999999904</v>
      </c>
      <c r="F798" t="s">
        <v>41</v>
      </c>
      <c r="G798">
        <v>-321.71429999999998</v>
      </c>
      <c r="H798" s="1">
        <v>-4.1104889999999998E-6</v>
      </c>
      <c r="I798">
        <v>366.38260000000002</v>
      </c>
      <c r="J798">
        <v>-345.0206</v>
      </c>
      <c r="K798">
        <v>1.120873</v>
      </c>
      <c r="L798">
        <v>367.53449999999998</v>
      </c>
      <c r="M798">
        <v>0.99992179999999997</v>
      </c>
      <c r="N798">
        <v>-1.191132E-2</v>
      </c>
      <c r="O798">
        <v>-3.8234430000000002E-3</v>
      </c>
      <c r="P798">
        <v>0.99489150000000004</v>
      </c>
      <c r="Q798">
        <v>-9.7417290000000004E-2</v>
      </c>
      <c r="R798">
        <v>-2.6475800000000001E-2</v>
      </c>
      <c r="S798">
        <v>2.9973450000000001</v>
      </c>
      <c r="T798">
        <v>-0.14282829999999999</v>
      </c>
      <c r="U798">
        <v>-0.14688109999999999</v>
      </c>
      <c r="V798">
        <v>2.2668170000000001E-2</v>
      </c>
      <c r="W798">
        <v>-8.5559670000000004E-2</v>
      </c>
      <c r="X798">
        <v>0.99607520000000005</v>
      </c>
      <c r="Y798">
        <v>4.5064159999999999E-2</v>
      </c>
      <c r="Z798">
        <v>-1.2047080000000001E-3</v>
      </c>
      <c r="AA798">
        <v>0.99898339999999997</v>
      </c>
      <c r="AB798">
        <v>23</v>
      </c>
      <c r="AC798">
        <v>23.3063</v>
      </c>
      <c r="AD798">
        <v>-1.1208771104889901</v>
      </c>
      <c r="AE798">
        <v>-1.15189999999995</v>
      </c>
      <c r="AF798">
        <v>1.0603284242698701</v>
      </c>
      <c r="AG798">
        <v>-1.1208771104889901</v>
      </c>
      <c r="AH798">
        <v>23.256872872587198</v>
      </c>
      <c r="AI798">
        <v>92.756405995082503</v>
      </c>
      <c r="AJ798">
        <v>87.389575873514005</v>
      </c>
      <c r="AK798">
        <v>23.307998577222701</v>
      </c>
      <c r="AL798">
        <v>94.9082085803973</v>
      </c>
      <c r="AM798">
        <v>88.696316980905195</v>
      </c>
      <c r="AN798">
        <v>1.00000005355834</v>
      </c>
    </row>
    <row r="799" spans="1:40" x14ac:dyDescent="0.25">
      <c r="A799" t="str">
        <f>"20190303154113008"</f>
        <v>20190303154113008</v>
      </c>
      <c r="B799" t="str">
        <f>"1551598873000061"</f>
        <v>1551598873000061</v>
      </c>
      <c r="C799" t="s">
        <v>40</v>
      </c>
      <c r="D799">
        <v>5.9000170000000001</v>
      </c>
      <c r="E799">
        <v>0.50827789999999995</v>
      </c>
      <c r="F799" t="s">
        <v>41</v>
      </c>
      <c r="G799">
        <v>-321.53429999999997</v>
      </c>
      <c r="H799" s="1">
        <v>-4.1839680000000001E-6</v>
      </c>
      <c r="I799">
        <v>366.40359999999998</v>
      </c>
      <c r="J799">
        <v>-344.79140000000001</v>
      </c>
      <c r="K799">
        <v>1.120884</v>
      </c>
      <c r="L799">
        <v>367.53359999999998</v>
      </c>
      <c r="M799">
        <v>0.99991859999999999</v>
      </c>
      <c r="N799">
        <v>-1.216773E-2</v>
      </c>
      <c r="O799">
        <v>-3.8234359999999999E-3</v>
      </c>
      <c r="P799">
        <v>0.99488940000000003</v>
      </c>
      <c r="Q799">
        <v>-9.7624359999999993E-2</v>
      </c>
      <c r="R799">
        <v>-2.5777129999999999E-2</v>
      </c>
      <c r="S799">
        <v>2.9975589999999999</v>
      </c>
      <c r="T799">
        <v>-0.14305699999999999</v>
      </c>
      <c r="U799">
        <v>-0.14431759999999999</v>
      </c>
      <c r="V799">
        <v>2.1969559999999999E-2</v>
      </c>
      <c r="W799">
        <v>-8.5511359999999995E-2</v>
      </c>
      <c r="X799">
        <v>0.99609490000000001</v>
      </c>
      <c r="Y799">
        <v>4.4209079999999998E-2</v>
      </c>
      <c r="Z799">
        <v>-1.187259E-3</v>
      </c>
      <c r="AA799">
        <v>0.99902159999999995</v>
      </c>
      <c r="AB799">
        <v>23</v>
      </c>
      <c r="AC799">
        <v>23.257100000000001</v>
      </c>
      <c r="AD799">
        <v>-1.1208881839680001</v>
      </c>
      <c r="AE799">
        <v>-1.1299999999999899</v>
      </c>
      <c r="AF799">
        <v>1.03865619939707</v>
      </c>
      <c r="AG799">
        <v>-1.1208881839680001</v>
      </c>
      <c r="AH799">
        <v>23.2074712237625</v>
      </c>
      <c r="AI799">
        <v>92.762395759771906</v>
      </c>
      <c r="AJ799">
        <v>87.437423069391201</v>
      </c>
      <c r="AK799">
        <v>23.2577281268672</v>
      </c>
      <c r="AL799">
        <v>94.905430939149198</v>
      </c>
      <c r="AM799">
        <v>88.736506917729102</v>
      </c>
      <c r="AN799">
        <v>0.99999995203082503</v>
      </c>
    </row>
    <row r="800" spans="1:40" x14ac:dyDescent="0.25">
      <c r="A800" t="str">
        <f>"20190303154113029"</f>
        <v>20190303154113029</v>
      </c>
      <c r="B800" t="str">
        <f>"1551598873019582"</f>
        <v>1551598873019582</v>
      </c>
      <c r="C800" t="s">
        <v>40</v>
      </c>
      <c r="D800">
        <v>5.919537</v>
      </c>
      <c r="E800">
        <v>0.50830569999999997</v>
      </c>
      <c r="F800" t="s">
        <v>41</v>
      </c>
      <c r="G800">
        <v>-321.28590000000003</v>
      </c>
      <c r="H800" s="1">
        <v>-4.2883969999999996E-6</v>
      </c>
      <c r="I800">
        <v>366.41579999999999</v>
      </c>
      <c r="J800">
        <v>-344.5795</v>
      </c>
      <c r="K800">
        <v>1.1208929999999999</v>
      </c>
      <c r="L800">
        <v>367.53280000000001</v>
      </c>
      <c r="M800">
        <v>0.99991609999999997</v>
      </c>
      <c r="N800">
        <v>-1.2377559999999999E-2</v>
      </c>
      <c r="O800">
        <v>-3.8235309999999998E-3</v>
      </c>
      <c r="P800">
        <v>0.99485089999999998</v>
      </c>
      <c r="Q800">
        <v>-9.8059339999999995E-2</v>
      </c>
      <c r="R800">
        <v>-2.5610129999999998E-2</v>
      </c>
      <c r="S800">
        <v>2.997681</v>
      </c>
      <c r="T800">
        <v>-0.1429472</v>
      </c>
      <c r="U800">
        <v>-0.1425476</v>
      </c>
      <c r="V800">
        <v>2.180259E-2</v>
      </c>
      <c r="W800">
        <v>-8.5737740000000007E-2</v>
      </c>
      <c r="X800">
        <v>0.9960791</v>
      </c>
      <c r="Y800">
        <v>4.3619150000000002E-2</v>
      </c>
      <c r="Z800">
        <v>-1.174303E-3</v>
      </c>
      <c r="AA800">
        <v>0.99904749999999998</v>
      </c>
      <c r="AB800">
        <v>23</v>
      </c>
      <c r="AC800">
        <v>23.293599999999898</v>
      </c>
      <c r="AD800">
        <v>-1.1208972883970001</v>
      </c>
      <c r="AE800">
        <v>-1.11700000000001</v>
      </c>
      <c r="AF800">
        <v>1.0255519184103199</v>
      </c>
      <c r="AG800">
        <v>-1.1208972883970001</v>
      </c>
      <c r="AH800">
        <v>23.244001224431599</v>
      </c>
      <c r="AI800">
        <v>92.758160934353498</v>
      </c>
      <c r="AJ800">
        <v>87.473683134260796</v>
      </c>
      <c r="AK800">
        <v>23.293599129157101</v>
      </c>
      <c r="AL800">
        <v>94.918449412309002</v>
      </c>
      <c r="AM800">
        <v>88.746086581838895</v>
      </c>
      <c r="AN800">
        <v>0.99999994322391095</v>
      </c>
    </row>
    <row r="801" spans="1:40" x14ac:dyDescent="0.25">
      <c r="A801" t="str">
        <f>"20190303154113052"</f>
        <v>20190303154113052</v>
      </c>
      <c r="B801" t="str">
        <f>"1551598873040077"</f>
        <v>1551598873040077</v>
      </c>
      <c r="C801" t="s">
        <v>40</v>
      </c>
      <c r="D801">
        <v>5.8906539999999996</v>
      </c>
      <c r="E801">
        <v>0.50812009999999996</v>
      </c>
      <c r="F801" t="s">
        <v>41</v>
      </c>
      <c r="G801">
        <v>-321.19540000000001</v>
      </c>
      <c r="H801" s="1">
        <v>-4.3258259999999996E-6</v>
      </c>
      <c r="I801">
        <v>366.42360000000002</v>
      </c>
      <c r="J801">
        <v>-344.35019999999997</v>
      </c>
      <c r="K801">
        <v>1.1209009999999999</v>
      </c>
      <c r="L801">
        <v>367.53199999999998</v>
      </c>
      <c r="M801">
        <v>0.99991379999999996</v>
      </c>
      <c r="N801">
        <v>-1.257803E-2</v>
      </c>
      <c r="O801">
        <v>-3.8237089999999998E-3</v>
      </c>
      <c r="P801">
        <v>0.99479720000000005</v>
      </c>
      <c r="Q801">
        <v>-9.8676910000000007E-2</v>
      </c>
      <c r="R801">
        <v>-2.5331159999999998E-2</v>
      </c>
      <c r="S801">
        <v>2.9977109999999998</v>
      </c>
      <c r="T801">
        <v>-0.14369179999999901</v>
      </c>
      <c r="U801">
        <v>-0.14218140000000001</v>
      </c>
      <c r="V801">
        <v>2.152345E-2</v>
      </c>
      <c r="W801">
        <v>-8.615623E-2</v>
      </c>
      <c r="X801">
        <v>0.99604910000000002</v>
      </c>
      <c r="Y801">
        <v>4.3496100000000003E-2</v>
      </c>
      <c r="Z801">
        <v>-1.1801730000000001E-3</v>
      </c>
      <c r="AA801">
        <v>0.99905290000000002</v>
      </c>
      <c r="AB801">
        <v>23</v>
      </c>
      <c r="AC801">
        <v>23.154799999999899</v>
      </c>
      <c r="AD801">
        <v>-1.120905325826</v>
      </c>
      <c r="AE801">
        <v>-1.1083999999999601</v>
      </c>
      <c r="AF801">
        <v>1.0174687570379199</v>
      </c>
      <c r="AG801">
        <v>-1.120905325826</v>
      </c>
      <c r="AH801">
        <v>23.1048479539939</v>
      </c>
      <c r="AI801">
        <v>92.774776709411597</v>
      </c>
      <c r="AJ801">
        <v>87.478493459634507</v>
      </c>
      <c r="AK801">
        <v>23.154387713739901</v>
      </c>
      <c r="AL801">
        <v>94.942515985286207</v>
      </c>
      <c r="AM801">
        <v>88.762098218975893</v>
      </c>
      <c r="AN801">
        <v>0.99999998223926201</v>
      </c>
    </row>
    <row r="802" spans="1:40" x14ac:dyDescent="0.25">
      <c r="A802" t="str">
        <f>"20190303154113064"</f>
        <v>20190303154113064</v>
      </c>
      <c r="B802" t="str">
        <f>"1551598873059597"</f>
        <v>1551598873059597</v>
      </c>
      <c r="C802" t="s">
        <v>40</v>
      </c>
      <c r="D802">
        <v>5.9134760000000002</v>
      </c>
      <c r="E802">
        <v>0.50802519999999995</v>
      </c>
      <c r="F802" t="s">
        <v>41</v>
      </c>
      <c r="G802">
        <v>-321.21080000000001</v>
      </c>
      <c r="H802" s="1">
        <v>-4.3140170000000004E-6</v>
      </c>
      <c r="I802">
        <v>366.45269999999999</v>
      </c>
      <c r="J802">
        <v>-344.22410000000002</v>
      </c>
      <c r="K802">
        <v>1.1209039999999999</v>
      </c>
      <c r="L802">
        <v>367.53149999999999</v>
      </c>
      <c r="M802">
        <v>0.99991240000000003</v>
      </c>
      <c r="N802">
        <v>-1.2675830000000001E-2</v>
      </c>
      <c r="O802">
        <v>-3.8234919999999999E-3</v>
      </c>
      <c r="P802">
        <v>0.99478829999999996</v>
      </c>
      <c r="Q802">
        <v>-9.872243E-2</v>
      </c>
      <c r="R802">
        <v>-2.5496649999999999E-2</v>
      </c>
      <c r="S802">
        <v>2.997681</v>
      </c>
      <c r="T802">
        <v>-0.1452117</v>
      </c>
      <c r="U802">
        <v>-0.13980100000000001</v>
      </c>
      <c r="V802">
        <v>2.1689340000000001E-2</v>
      </c>
      <c r="W802">
        <v>-8.6104459999999994E-2</v>
      </c>
      <c r="X802">
        <v>0.99604999999999999</v>
      </c>
      <c r="Y802">
        <v>4.2705140000000003E-2</v>
      </c>
      <c r="Z802">
        <v>-1.1676200000000001E-3</v>
      </c>
      <c r="AA802">
        <v>0.99908699999999995</v>
      </c>
      <c r="AB802">
        <v>23</v>
      </c>
      <c r="AC802">
        <v>23.013300000000001</v>
      </c>
      <c r="AD802">
        <v>-1.120908314017</v>
      </c>
      <c r="AE802">
        <v>-1.0788</v>
      </c>
      <c r="AF802">
        <v>0.988454042595314</v>
      </c>
      <c r="AG802">
        <v>-1.120908314017</v>
      </c>
      <c r="AH802">
        <v>22.962899828670199</v>
      </c>
      <c r="AI802">
        <v>92.792029818308706</v>
      </c>
      <c r="AJ802">
        <v>87.535184826818707</v>
      </c>
      <c r="AK802">
        <v>23.011480729937801</v>
      </c>
      <c r="AL802">
        <v>94.939538611080394</v>
      </c>
      <c r="AM802">
        <v>88.752561335553096</v>
      </c>
      <c r="AN802">
        <v>1.0000000040007599</v>
      </c>
    </row>
    <row r="803" spans="1:40" x14ac:dyDescent="0.25">
      <c r="A803" t="str">
        <f>"20190303154113077"</f>
        <v>20190303154113077</v>
      </c>
      <c r="B803" t="str">
        <f>"1551598873070333"</f>
        <v>1551598873070333</v>
      </c>
      <c r="C803" t="s">
        <v>40</v>
      </c>
      <c r="D803">
        <v>5.9028989999999997</v>
      </c>
      <c r="E803">
        <v>0.50799689999999997</v>
      </c>
      <c r="F803" t="s">
        <v>41</v>
      </c>
      <c r="G803">
        <v>-320.99970000000002</v>
      </c>
      <c r="H803" s="1">
        <v>-4.4051310000000002E-6</v>
      </c>
      <c r="I803">
        <v>366.44970000000001</v>
      </c>
      <c r="J803">
        <v>-344.09440000000001</v>
      </c>
      <c r="K803">
        <v>1.1209089999999999</v>
      </c>
      <c r="L803">
        <v>367.53100000000001</v>
      </c>
      <c r="M803">
        <v>0.9999112</v>
      </c>
      <c r="N803">
        <v>-1.277118E-2</v>
      </c>
      <c r="O803">
        <v>-3.8236210000000001E-3</v>
      </c>
      <c r="P803">
        <v>0.99477499999999996</v>
      </c>
      <c r="Q803">
        <v>-9.8808869999999993E-2</v>
      </c>
      <c r="R803">
        <v>-2.5691370000000002E-2</v>
      </c>
      <c r="S803">
        <v>2.9977719999999999</v>
      </c>
      <c r="T803">
        <v>-0.14468499999999901</v>
      </c>
      <c r="U803">
        <v>-0.13961789999999999</v>
      </c>
      <c r="V803">
        <v>2.1883670000000001E-2</v>
      </c>
      <c r="W803">
        <v>-8.6096039999999999E-2</v>
      </c>
      <c r="X803">
        <v>0.99604649999999995</v>
      </c>
      <c r="Y803">
        <v>4.2643060000000003E-2</v>
      </c>
      <c r="Z803">
        <v>-1.1650269999999999E-3</v>
      </c>
      <c r="AA803">
        <v>0.99908969999999997</v>
      </c>
      <c r="AB803">
        <v>23</v>
      </c>
      <c r="AC803">
        <v>23.0946999999999</v>
      </c>
      <c r="AD803">
        <v>-1.1209134051309999</v>
      </c>
      <c r="AE803">
        <v>-1.0812999999999899</v>
      </c>
      <c r="AF803">
        <v>0.99065094871952197</v>
      </c>
      <c r="AG803">
        <v>-1.1209134051309999</v>
      </c>
      <c r="AH803">
        <v>23.0444988461606</v>
      </c>
      <c r="AI803">
        <v>92.782178415272995</v>
      </c>
      <c r="AJ803">
        <v>87.538449726837499</v>
      </c>
      <c r="AK803">
        <v>23.093002473361899</v>
      </c>
      <c r="AL803">
        <v>94.939054270334495</v>
      </c>
      <c r="AM803">
        <v>88.741383816176807</v>
      </c>
      <c r="AN803">
        <v>1.0000000266392901</v>
      </c>
    </row>
    <row r="804" spans="1:40" x14ac:dyDescent="0.25">
      <c r="A804" t="str">
        <f>"20190303154113098"</f>
        <v>20190303154113098</v>
      </c>
      <c r="B804" t="str">
        <f>"1551598873089857"</f>
        <v>1551598873089857</v>
      </c>
      <c r="C804" t="s">
        <v>40</v>
      </c>
      <c r="D804">
        <v>5.9200080000000002</v>
      </c>
      <c r="E804">
        <v>0.50800999999999996</v>
      </c>
      <c r="F804" t="s">
        <v>41</v>
      </c>
      <c r="G804">
        <v>-320.86130000000003</v>
      </c>
      <c r="H804" s="1">
        <v>-4.4650810000000004E-6</v>
      </c>
      <c r="I804">
        <v>366.44650000000001</v>
      </c>
      <c r="J804">
        <v>-343.88420000000002</v>
      </c>
      <c r="K804">
        <v>1.1209209999999901</v>
      </c>
      <c r="L804">
        <v>367.53019999999998</v>
      </c>
      <c r="M804">
        <v>0.99990939999999995</v>
      </c>
      <c r="N804">
        <v>-1.2907729999999999E-2</v>
      </c>
      <c r="O804">
        <v>-3.8235439999999999E-3</v>
      </c>
      <c r="P804">
        <v>0.99475449999999999</v>
      </c>
      <c r="Q804">
        <v>-9.8900260000000004E-2</v>
      </c>
      <c r="R804">
        <v>-2.6122260000000001E-2</v>
      </c>
      <c r="S804">
        <v>2.9977420000000001</v>
      </c>
      <c r="T804">
        <v>-0.1446296</v>
      </c>
      <c r="U804">
        <v>-0.13992309999999999</v>
      </c>
      <c r="V804">
        <v>2.231493E-2</v>
      </c>
      <c r="W804">
        <v>-8.6051669999999997E-2</v>
      </c>
      <c r="X804">
        <v>0.99604079999999995</v>
      </c>
      <c r="Y804">
        <v>4.2744820000000003E-2</v>
      </c>
      <c r="Z804">
        <v>-1.171261E-3</v>
      </c>
      <c r="AA804">
        <v>0.99908529999999995</v>
      </c>
      <c r="AB804">
        <v>23</v>
      </c>
      <c r="AC804">
        <v>23.0229</v>
      </c>
      <c r="AD804">
        <v>-1.1209254650810001</v>
      </c>
      <c r="AE804">
        <v>-1.0836999999999599</v>
      </c>
      <c r="AF804">
        <v>0.99330628173062396</v>
      </c>
      <c r="AG804">
        <v>-1.1209254650810001</v>
      </c>
      <c r="AH804">
        <v>22.972540399936399</v>
      </c>
      <c r="AI804">
        <v>92.790879436841806</v>
      </c>
      <c r="AJ804">
        <v>87.524138438228505</v>
      </c>
      <c r="AK804">
        <v>23.021310642409201</v>
      </c>
      <c r="AL804">
        <v>94.936502418503494</v>
      </c>
      <c r="AM804">
        <v>88.716581226153906</v>
      </c>
      <c r="AN804">
        <v>1.00000006063766</v>
      </c>
    </row>
    <row r="805" spans="1:40" x14ac:dyDescent="0.25">
      <c r="A805" t="str">
        <f>"20190303154113109"</f>
        <v>20190303154113109</v>
      </c>
      <c r="B805" t="str">
        <f>"1551598873100591"</f>
        <v>1551598873100591</v>
      </c>
      <c r="C805" t="s">
        <v>40</v>
      </c>
      <c r="D805">
        <v>5.9156250000000004</v>
      </c>
      <c r="E805">
        <v>0.50799539999999999</v>
      </c>
      <c r="F805" t="s">
        <v>41</v>
      </c>
      <c r="G805">
        <v>-320.51510000000002</v>
      </c>
      <c r="H805" s="1">
        <v>-4.6170790000000003E-6</v>
      </c>
      <c r="I805">
        <v>366.42680000000001</v>
      </c>
      <c r="J805">
        <v>-343.76639999999998</v>
      </c>
      <c r="K805">
        <v>1.1209199999999999</v>
      </c>
      <c r="L805">
        <v>367.52980000000002</v>
      </c>
      <c r="M805">
        <v>0.99990860000000004</v>
      </c>
      <c r="N805">
        <v>-1.297592E-2</v>
      </c>
      <c r="O805">
        <v>-3.823389E-3</v>
      </c>
      <c r="P805">
        <v>0.99472099999999997</v>
      </c>
      <c r="Q805">
        <v>-9.9136740000000001E-2</v>
      </c>
      <c r="R805">
        <v>-2.6502979999999999E-2</v>
      </c>
      <c r="S805">
        <v>2.9978030000000002</v>
      </c>
      <c r="T805">
        <v>-0.143792899999999</v>
      </c>
      <c r="U805">
        <v>-0.14154050000000001</v>
      </c>
      <c r="V805">
        <v>2.2695670000000001E-2</v>
      </c>
      <c r="W805">
        <v>-8.6220640000000001E-2</v>
      </c>
      <c r="X805">
        <v>0.9960175</v>
      </c>
      <c r="Y805">
        <v>4.3281630000000001E-2</v>
      </c>
      <c r="Z805">
        <v>-1.18442E-3</v>
      </c>
      <c r="AA805">
        <v>0.99906220000000001</v>
      </c>
      <c r="AB805">
        <v>23</v>
      </c>
      <c r="AC805">
        <v>23.251299999999901</v>
      </c>
      <c r="AD805">
        <v>-1.1209246170789999</v>
      </c>
      <c r="AE805">
        <v>-1.103</v>
      </c>
      <c r="AF805">
        <v>1.0117395724777101</v>
      </c>
      <c r="AG805">
        <v>-1.1209246170789999</v>
      </c>
      <c r="AH805">
        <v>23.201545502098799</v>
      </c>
      <c r="AI805">
        <v>92.763329605944307</v>
      </c>
      <c r="AJ805">
        <v>87.503110023414905</v>
      </c>
      <c r="AK805">
        <v>23.250630155882899</v>
      </c>
      <c r="AL805">
        <v>94.946220220087397</v>
      </c>
      <c r="AM805">
        <v>88.694660369654201</v>
      </c>
      <c r="AN805">
        <v>0.99999997625250303</v>
      </c>
    </row>
    <row r="806" spans="1:40" x14ac:dyDescent="0.25">
      <c r="A806" t="str">
        <f>"20190303154113122"</f>
        <v>20190303154113122</v>
      </c>
      <c r="B806" t="str">
        <f>"1551598873110350"</f>
        <v>1551598873110350</v>
      </c>
      <c r="C806" t="s">
        <v>40</v>
      </c>
      <c r="D806">
        <v>5.8893709999999997</v>
      </c>
      <c r="E806">
        <v>0.50799929999999904</v>
      </c>
      <c r="F806" t="s">
        <v>41</v>
      </c>
      <c r="G806">
        <v>-320.4323</v>
      </c>
      <c r="H806" s="1">
        <v>-4.6538170000000001E-6</v>
      </c>
      <c r="I806">
        <v>366.42009999999999</v>
      </c>
      <c r="J806">
        <v>-343.64359999999999</v>
      </c>
      <c r="K806">
        <v>1.120924</v>
      </c>
      <c r="L806">
        <v>367.52929999999998</v>
      </c>
      <c r="M806">
        <v>0.99990760000000001</v>
      </c>
      <c r="N806">
        <v>-1.3042679999999999E-2</v>
      </c>
      <c r="O806">
        <v>-3.8232269999999998E-3</v>
      </c>
      <c r="P806">
        <v>0.99471330000000002</v>
      </c>
      <c r="Q806">
        <v>-9.9182930000000002E-2</v>
      </c>
      <c r="R806">
        <v>-2.6612750000000001E-2</v>
      </c>
      <c r="S806">
        <v>2.9977719999999999</v>
      </c>
      <c r="T806">
        <v>-0.144006299999999</v>
      </c>
      <c r="U806">
        <v>-0.1425476</v>
      </c>
      <c r="V806">
        <v>2.2805740000000001E-2</v>
      </c>
      <c r="W806">
        <v>-8.620042E-2</v>
      </c>
      <c r="X806">
        <v>0.99601669999999998</v>
      </c>
      <c r="Y806">
        <v>4.3616420000000003E-2</v>
      </c>
      <c r="Z806">
        <v>-1.1976160000000001E-3</v>
      </c>
      <c r="AA806">
        <v>0.99904760000000004</v>
      </c>
      <c r="AB806">
        <v>23</v>
      </c>
      <c r="AC806">
        <v>23.211299999999898</v>
      </c>
      <c r="AD806">
        <v>-1.120928653817</v>
      </c>
      <c r="AE806">
        <v>-1.10919999999998</v>
      </c>
      <c r="AF806">
        <v>1.01807337819775</v>
      </c>
      <c r="AG806">
        <v>-1.120928653817</v>
      </c>
      <c r="AH806">
        <v>23.161478376578799</v>
      </c>
      <c r="AI806">
        <v>92.768070288063697</v>
      </c>
      <c r="AJ806">
        <v>87.483157880266106</v>
      </c>
      <c r="AK806">
        <v>23.210924907014601</v>
      </c>
      <c r="AL806">
        <v>94.945057547614894</v>
      </c>
      <c r="AM806">
        <v>88.688330855625395</v>
      </c>
      <c r="AN806">
        <v>0.99999994043200502</v>
      </c>
    </row>
    <row r="807" spans="1:40" x14ac:dyDescent="0.25">
      <c r="A807" t="str">
        <f>"20190303154113140"</f>
        <v>20190303154113140</v>
      </c>
      <c r="B807" t="str">
        <f>"1551598873129870"</f>
        <v>1551598873129870</v>
      </c>
      <c r="C807" t="s">
        <v>40</v>
      </c>
      <c r="D807">
        <v>5.8829330000000004</v>
      </c>
      <c r="E807">
        <v>0.50790519999999995</v>
      </c>
      <c r="F807" t="s">
        <v>41</v>
      </c>
      <c r="G807">
        <v>-320.26609999999999</v>
      </c>
      <c r="H807" s="1">
        <v>-4.7258450000000003E-6</v>
      </c>
      <c r="I807">
        <v>366.41590000000002</v>
      </c>
      <c r="J807">
        <v>-343.45589999999999</v>
      </c>
      <c r="K807">
        <v>1.120933</v>
      </c>
      <c r="L807">
        <v>367.52859999999998</v>
      </c>
      <c r="M807">
        <v>0.99990650000000003</v>
      </c>
      <c r="N807">
        <v>-1.313517E-2</v>
      </c>
      <c r="O807">
        <v>-3.8232349999999999E-3</v>
      </c>
      <c r="P807">
        <v>0.99470440000000004</v>
      </c>
      <c r="Q807">
        <v>-9.9125560000000001E-2</v>
      </c>
      <c r="R807">
        <v>-2.7158390000000001E-2</v>
      </c>
      <c r="S807">
        <v>2.9978030000000002</v>
      </c>
      <c r="T807">
        <v>-0.14374129999999999</v>
      </c>
      <c r="U807">
        <v>-0.1427612</v>
      </c>
      <c r="V807">
        <v>2.3351460000000001E-2</v>
      </c>
      <c r="W807">
        <v>-8.6051030000000001E-2</v>
      </c>
      <c r="X807">
        <v>0.99601700000000004</v>
      </c>
      <c r="Y807">
        <v>4.368694E-2</v>
      </c>
      <c r="Z807">
        <v>-1.2005449999999999E-3</v>
      </c>
      <c r="AA807">
        <v>0.9990445</v>
      </c>
      <c r="AB807">
        <v>23</v>
      </c>
      <c r="AC807">
        <v>23.189799999999899</v>
      </c>
      <c r="AD807">
        <v>-1.120937725845</v>
      </c>
      <c r="AE807">
        <v>-1.1126999999999601</v>
      </c>
      <c r="AF807">
        <v>1.02164256681808</v>
      </c>
      <c r="AG807">
        <v>-1.120937725845</v>
      </c>
      <c r="AH807">
        <v>23.139942287567301</v>
      </c>
      <c r="AI807">
        <v>92.770641140620896</v>
      </c>
      <c r="AJ807">
        <v>87.471998123888795</v>
      </c>
      <c r="AK807">
        <v>23.189592148019798</v>
      </c>
      <c r="AL807">
        <v>94.936466074245303</v>
      </c>
      <c r="AM807">
        <v>88.656955607538094</v>
      </c>
      <c r="AN807">
        <v>0.99999996736859498</v>
      </c>
    </row>
    <row r="808" spans="1:40" x14ac:dyDescent="0.25">
      <c r="A808" t="str">
        <f>"20190303154113165"</f>
        <v>20190303154113165</v>
      </c>
      <c r="B808" t="str">
        <f>"1551598873160126"</f>
        <v>1551598873160126</v>
      </c>
      <c r="C808" t="s">
        <v>40</v>
      </c>
      <c r="D808">
        <v>5.8694550000000003</v>
      </c>
      <c r="E808">
        <v>0.50785400000000003</v>
      </c>
      <c r="F808" t="s">
        <v>43</v>
      </c>
      <c r="G808">
        <v>-318.87040000000002</v>
      </c>
      <c r="H808">
        <v>-0.05</v>
      </c>
      <c r="I808">
        <v>366.35120000000001</v>
      </c>
      <c r="J808">
        <v>-343.2158</v>
      </c>
      <c r="K808">
        <v>1.1209389999999999</v>
      </c>
      <c r="L808">
        <v>367.52760000000001</v>
      </c>
      <c r="M808">
        <v>0.99990509999999999</v>
      </c>
      <c r="N808">
        <v>-1.3237169999999999E-2</v>
      </c>
      <c r="O808">
        <v>-3.8233099999999999E-3</v>
      </c>
      <c r="P808">
        <v>0.9946758</v>
      </c>
      <c r="Q808">
        <v>-9.9324140000000005E-2</v>
      </c>
      <c r="R808">
        <v>-2.747631E-2</v>
      </c>
      <c r="S808">
        <v>2.9978030000000002</v>
      </c>
      <c r="T808">
        <v>-0.1427764</v>
      </c>
      <c r="U808">
        <v>-0.14355470000000001</v>
      </c>
      <c r="V808">
        <v>2.3669510000000001E-2</v>
      </c>
      <c r="W808">
        <v>-8.6148370000000002E-2</v>
      </c>
      <c r="X808">
        <v>0.99600109999999997</v>
      </c>
      <c r="Y808">
        <v>4.3950910000000003E-2</v>
      </c>
      <c r="Z808">
        <v>-1.205399E-3</v>
      </c>
      <c r="AA808">
        <v>0.99903299999999995</v>
      </c>
      <c r="AB808">
        <v>23</v>
      </c>
      <c r="AC808">
        <v>24.345399999999898</v>
      </c>
      <c r="AD808">
        <v>-1.170939</v>
      </c>
      <c r="AE808">
        <v>-1.1763999999999999</v>
      </c>
      <c r="AF808">
        <v>1.0808088088821901</v>
      </c>
      <c r="AG808">
        <v>-1.170939</v>
      </c>
      <c r="AH808">
        <v>24.2936522203814</v>
      </c>
      <c r="AI808">
        <v>92.756762830923094</v>
      </c>
      <c r="AJ808">
        <v>87.452627769388101</v>
      </c>
      <c r="AK808">
        <v>24.345857635908501</v>
      </c>
      <c r="AL808">
        <v>94.942063924932299</v>
      </c>
      <c r="AM808">
        <v>88.638648277232093</v>
      </c>
      <c r="AN808">
        <v>0.99999998927925304</v>
      </c>
    </row>
    <row r="809" spans="1:40" x14ac:dyDescent="0.25">
      <c r="A809" t="str">
        <f>"20190303154113188"</f>
        <v>20190303154113188</v>
      </c>
      <c r="B809" t="str">
        <f>"1551598873179645"</f>
        <v>1551598873179645</v>
      </c>
      <c r="C809" t="s">
        <v>40</v>
      </c>
      <c r="D809">
        <v>5.9678149999999999</v>
      </c>
      <c r="E809">
        <v>0.50790290000000005</v>
      </c>
      <c r="F809" t="s">
        <v>43</v>
      </c>
      <c r="G809">
        <v>-318.57549999999998</v>
      </c>
      <c r="H809">
        <v>-0.05</v>
      </c>
      <c r="I809">
        <v>366.34269999999998</v>
      </c>
      <c r="J809">
        <v>-342.97629999999998</v>
      </c>
      <c r="K809">
        <v>1.120946</v>
      </c>
      <c r="L809">
        <v>367.52670000000001</v>
      </c>
      <c r="M809">
        <v>0.99990389999999996</v>
      </c>
      <c r="N809">
        <v>-1.3324280000000001E-2</v>
      </c>
      <c r="O809">
        <v>-3.823173E-3</v>
      </c>
      <c r="P809">
        <v>0.99468789999999996</v>
      </c>
      <c r="Q809">
        <v>-9.9203719999999995E-2</v>
      </c>
      <c r="R809">
        <v>-2.7474749999999999E-2</v>
      </c>
      <c r="S809">
        <v>2.9978639999999999</v>
      </c>
      <c r="T809">
        <v>-0.14246229999999999</v>
      </c>
      <c r="U809">
        <v>-0.14416499999999999</v>
      </c>
      <c r="V809">
        <v>2.3667899999999999E-2</v>
      </c>
      <c r="W809">
        <v>-8.5941050000000005E-2</v>
      </c>
      <c r="X809">
        <v>0.99601910000000005</v>
      </c>
      <c r="Y809">
        <v>4.4152829999999997E-2</v>
      </c>
      <c r="Z809">
        <v>-1.2118750000000001E-3</v>
      </c>
      <c r="AA809">
        <v>0.99902400000000002</v>
      </c>
      <c r="AB809">
        <v>23</v>
      </c>
      <c r="AC809">
        <v>24.4008</v>
      </c>
      <c r="AD809">
        <v>-1.1709459999999901</v>
      </c>
      <c r="AE809">
        <v>-1.1840000000000199</v>
      </c>
      <c r="AF809">
        <v>1.08819451958951</v>
      </c>
      <c r="AG809">
        <v>-1.1709459999999901</v>
      </c>
      <c r="AH809">
        <v>24.349207821907498</v>
      </c>
      <c r="AI809">
        <v>92.750474372527506</v>
      </c>
      <c r="AJ809">
        <v>87.441087466686497</v>
      </c>
      <c r="AK809">
        <v>24.401622966553301</v>
      </c>
      <c r="AL809">
        <v>94.930140892009902</v>
      </c>
      <c r="AM809">
        <v>88.638765432870301</v>
      </c>
      <c r="AN809">
        <v>1.0000000405651599</v>
      </c>
    </row>
    <row r="810" spans="1:40" x14ac:dyDescent="0.25">
      <c r="A810" t="str">
        <f>"20190303154113210"</f>
        <v>20190303154113210</v>
      </c>
      <c r="B810" t="str">
        <f>"1551598873200141"</f>
        <v>1551598873200141</v>
      </c>
      <c r="C810" t="s">
        <v>40</v>
      </c>
      <c r="D810">
        <v>5.9177489999999997</v>
      </c>
      <c r="E810">
        <v>0.50789119999999999</v>
      </c>
      <c r="F810" t="s">
        <v>43</v>
      </c>
      <c r="G810">
        <v>-318.1379</v>
      </c>
      <c r="H810">
        <v>-0.05</v>
      </c>
      <c r="I810">
        <v>366.32799999999997</v>
      </c>
      <c r="J810">
        <v>-342.75749999999999</v>
      </c>
      <c r="K810">
        <v>1.120951</v>
      </c>
      <c r="L810">
        <v>367.52589999999998</v>
      </c>
      <c r="M810">
        <v>0.99990319999999999</v>
      </c>
      <c r="N810">
        <v>-1.339253E-2</v>
      </c>
      <c r="O810">
        <v>-3.8231509999999999E-3</v>
      </c>
      <c r="P810">
        <v>0.99463460000000004</v>
      </c>
      <c r="Q810">
        <v>-9.9802810000000006E-2</v>
      </c>
      <c r="R810">
        <v>-2.7239309999999999E-2</v>
      </c>
      <c r="S810">
        <v>2.997925</v>
      </c>
      <c r="T810">
        <v>-0.14132979999999901</v>
      </c>
      <c r="U810">
        <v>-0.1446838</v>
      </c>
      <c r="V810">
        <v>2.3432720000000001E-2</v>
      </c>
      <c r="W810">
        <v>-8.6472779999999999E-2</v>
      </c>
      <c r="X810">
        <v>0.99597860000000005</v>
      </c>
      <c r="Y810">
        <v>4.4324889999999999E-2</v>
      </c>
      <c r="Z810">
        <v>-1.2119469999999999E-3</v>
      </c>
      <c r="AA810">
        <v>0.99901649999999997</v>
      </c>
      <c r="AB810">
        <v>22</v>
      </c>
      <c r="AC810">
        <v>24.619599999999899</v>
      </c>
      <c r="AD810">
        <v>-1.1709510000000001</v>
      </c>
      <c r="AE810">
        <v>-1.19789999999994</v>
      </c>
      <c r="AF810">
        <v>1.10127304456925</v>
      </c>
      <c r="AG810">
        <v>-1.1709510000000001</v>
      </c>
      <c r="AH810">
        <v>24.568554472817699</v>
      </c>
      <c r="AI810">
        <v>92.725950912607402</v>
      </c>
      <c r="AJ810">
        <v>87.433463628822395</v>
      </c>
      <c r="AK810">
        <v>24.6210844084274</v>
      </c>
      <c r="AL810">
        <v>94.960720804056905</v>
      </c>
      <c r="AM810">
        <v>88.652231768873605</v>
      </c>
      <c r="AN810">
        <v>1.00000000285274</v>
      </c>
    </row>
    <row r="811" spans="1:40" x14ac:dyDescent="0.25">
      <c r="A811" t="str">
        <f>"20190303154113232"</f>
        <v>20190303154113232</v>
      </c>
      <c r="B811" t="str">
        <f>"1551598873219662"</f>
        <v>1551598873219662</v>
      </c>
      <c r="C811" t="s">
        <v>40</v>
      </c>
      <c r="D811">
        <v>5.9039830000000002</v>
      </c>
      <c r="E811">
        <v>0.50784030000000002</v>
      </c>
      <c r="F811" t="s">
        <v>43</v>
      </c>
      <c r="G811">
        <v>-318.11309999999997</v>
      </c>
      <c r="H811">
        <v>-0.05</v>
      </c>
      <c r="I811">
        <v>366.34429999999998</v>
      </c>
      <c r="J811">
        <v>-342.53910000000002</v>
      </c>
      <c r="K811">
        <v>1.1209579999999999</v>
      </c>
      <c r="L811">
        <v>367.52510000000001</v>
      </c>
      <c r="M811">
        <v>0.99990219999999996</v>
      </c>
      <c r="N811">
        <v>-1.3451100000000001E-2</v>
      </c>
      <c r="O811">
        <v>-3.8227090000000001E-3</v>
      </c>
      <c r="P811">
        <v>0.99462490000000003</v>
      </c>
      <c r="Q811">
        <v>-9.9916619999999998E-2</v>
      </c>
      <c r="R811">
        <v>-2.717259E-2</v>
      </c>
      <c r="S811">
        <v>2.997986</v>
      </c>
      <c r="T811">
        <v>-0.14244570000000001</v>
      </c>
      <c r="U811">
        <v>-0.1437378</v>
      </c>
      <c r="V811">
        <v>2.3366459999999999E-2</v>
      </c>
      <c r="W811">
        <v>-8.652841E-2</v>
      </c>
      <c r="X811">
        <v>0.99597530000000001</v>
      </c>
      <c r="Y811">
        <v>4.4009380000000001E-2</v>
      </c>
      <c r="Z811">
        <v>-1.210675E-3</v>
      </c>
      <c r="AA811">
        <v>0.99903039999999999</v>
      </c>
      <c r="AB811">
        <v>22</v>
      </c>
      <c r="AC811">
        <v>24.425999999999998</v>
      </c>
      <c r="AD811">
        <v>-1.1709579999999999</v>
      </c>
      <c r="AE811">
        <v>-1.18080000000003</v>
      </c>
      <c r="AF811">
        <v>1.0849219327375099</v>
      </c>
      <c r="AG811">
        <v>-1.1709579999999999</v>
      </c>
      <c r="AH811">
        <v>24.3744502756374</v>
      </c>
      <c r="AI811">
        <v>92.747680480464396</v>
      </c>
      <c r="AJ811">
        <v>87.451411434987904</v>
      </c>
      <c r="AK811">
        <v>24.426666257952999</v>
      </c>
      <c r="AL811">
        <v>94.963920285260997</v>
      </c>
      <c r="AM811">
        <v>88.656036961615598</v>
      </c>
      <c r="AN811">
        <v>0.99999997770007398</v>
      </c>
    </row>
    <row r="812" spans="1:40" x14ac:dyDescent="0.25">
      <c r="A812" t="str">
        <f>"20190303154113253"</f>
        <v>20190303154113253</v>
      </c>
      <c r="B812" t="str">
        <f>"1551598873249919"</f>
        <v>1551598873249919</v>
      </c>
      <c r="C812" t="s">
        <v>40</v>
      </c>
      <c r="D812">
        <v>5.9323360000000003</v>
      </c>
      <c r="E812">
        <v>0.50781709999999902</v>
      </c>
      <c r="F812" t="s">
        <v>43</v>
      </c>
      <c r="G812">
        <v>-317.82310000000001</v>
      </c>
      <c r="H812">
        <v>-0.05</v>
      </c>
      <c r="I812">
        <v>366.34309999999999</v>
      </c>
      <c r="J812">
        <v>-342.32490000000001</v>
      </c>
      <c r="K812">
        <v>1.120962</v>
      </c>
      <c r="L812">
        <v>367.52429999999998</v>
      </c>
      <c r="M812">
        <v>0.9999017</v>
      </c>
      <c r="N812">
        <v>-1.350032E-2</v>
      </c>
      <c r="O812">
        <v>-3.822682E-3</v>
      </c>
      <c r="P812">
        <v>0.99459089999999994</v>
      </c>
      <c r="Q812">
        <v>-0.100281</v>
      </c>
      <c r="R812">
        <v>-2.707182E-2</v>
      </c>
      <c r="S812">
        <v>2.9980470000000001</v>
      </c>
      <c r="T812">
        <v>-0.14203679999999999</v>
      </c>
      <c r="U812">
        <v>-0.14337159999999999</v>
      </c>
      <c r="V812">
        <v>2.3265910000000001E-2</v>
      </c>
      <c r="W812">
        <v>-8.6844119999999997E-2</v>
      </c>
      <c r="X812">
        <v>0.99595020000000001</v>
      </c>
      <c r="Y812">
        <v>4.3887099999999998E-2</v>
      </c>
      <c r="Z812">
        <v>-1.205738E-3</v>
      </c>
      <c r="AA812">
        <v>0.99903580000000003</v>
      </c>
      <c r="AB812">
        <v>22</v>
      </c>
      <c r="AC812">
        <v>24.501799999999999</v>
      </c>
      <c r="AD812">
        <v>-1.1709620000000001</v>
      </c>
      <c r="AE812">
        <v>-1.18119999999998</v>
      </c>
      <c r="AF812">
        <v>1.08504778880953</v>
      </c>
      <c r="AG812">
        <v>-1.1709620000000001</v>
      </c>
      <c r="AH812">
        <v>24.450422261740201</v>
      </c>
      <c r="AI812">
        <v>92.739181448112603</v>
      </c>
      <c r="AJ812">
        <v>87.459025633771503</v>
      </c>
      <c r="AK812">
        <v>24.502482108693499</v>
      </c>
      <c r="AL812">
        <v>94.982077363226196</v>
      </c>
      <c r="AM812">
        <v>88.661784451547703</v>
      </c>
      <c r="AN812">
        <v>1.0000000023133699</v>
      </c>
    </row>
    <row r="813" spans="1:40" x14ac:dyDescent="0.25">
      <c r="A813" t="str">
        <f>"20190303154113266"</f>
        <v>20190303154113266</v>
      </c>
      <c r="B813" t="str">
        <f>"1551598873259677"</f>
        <v>1551598873259677</v>
      </c>
      <c r="C813" t="s">
        <v>40</v>
      </c>
      <c r="D813">
        <v>5.9720750000000002</v>
      </c>
      <c r="E813">
        <v>0.50781709999999902</v>
      </c>
      <c r="F813" t="s">
        <v>43</v>
      </c>
      <c r="G813">
        <v>-317.68040000000002</v>
      </c>
      <c r="H813">
        <v>-0.05</v>
      </c>
      <c r="I813">
        <v>366.34890000000001</v>
      </c>
      <c r="J813">
        <v>-342.19099999999997</v>
      </c>
      <c r="K813">
        <v>1.120967</v>
      </c>
      <c r="L813">
        <v>367.52370000000002</v>
      </c>
      <c r="M813">
        <v>0.99990120000000005</v>
      </c>
      <c r="N813">
        <v>-1.352707E-2</v>
      </c>
      <c r="O813">
        <v>-3.8223850000000002E-3</v>
      </c>
      <c r="P813">
        <v>0.99458820000000003</v>
      </c>
      <c r="Q813">
        <v>-0.1003641</v>
      </c>
      <c r="R813">
        <v>-2.6862919999999998E-2</v>
      </c>
      <c r="S813">
        <v>2.9980470000000001</v>
      </c>
      <c r="T813">
        <v>-0.1424491</v>
      </c>
      <c r="U813">
        <v>-0.14297489999999999</v>
      </c>
      <c r="V813">
        <v>2.305724E-2</v>
      </c>
      <c r="W813">
        <v>-8.6900649999999996E-2</v>
      </c>
      <c r="X813">
        <v>0.99595009999999995</v>
      </c>
      <c r="Y813">
        <v>4.3755349999999998E-2</v>
      </c>
      <c r="Z813">
        <v>-1.2049090000000001E-3</v>
      </c>
      <c r="AA813">
        <v>0.99904159999999997</v>
      </c>
      <c r="AB813">
        <v>22</v>
      </c>
      <c r="AC813">
        <v>24.510599999999901</v>
      </c>
      <c r="AD813">
        <v>-1.1709670000000001</v>
      </c>
      <c r="AE813">
        <v>-1.1748000000000001</v>
      </c>
      <c r="AF813">
        <v>1.07863771204245</v>
      </c>
      <c r="AG813">
        <v>-1.1709670000000001</v>
      </c>
      <c r="AH813">
        <v>24.459215424611799</v>
      </c>
      <c r="AI813">
        <v>92.738243438967203</v>
      </c>
      <c r="AJ813">
        <v>87.474924229371993</v>
      </c>
      <c r="AK813">
        <v>24.510973914075699</v>
      </c>
      <c r="AL813">
        <v>94.985328694127901</v>
      </c>
      <c r="AM813">
        <v>88.673782355730907</v>
      </c>
      <c r="AN813">
        <v>0.99999998048842398</v>
      </c>
    </row>
    <row r="814" spans="1:40" x14ac:dyDescent="0.25">
      <c r="A814" t="str">
        <f>"20190303154113280"</f>
        <v>20190303154113280</v>
      </c>
      <c r="B814" t="str">
        <f>"1551598873270414"</f>
        <v>1551598873270414</v>
      </c>
      <c r="C814" t="s">
        <v>40</v>
      </c>
      <c r="D814">
        <v>6.0562769999999997</v>
      </c>
      <c r="E814">
        <v>0.50835450000000004</v>
      </c>
      <c r="F814" t="s">
        <v>43</v>
      </c>
      <c r="G814">
        <v>-317.58999999999997</v>
      </c>
      <c r="H814">
        <v>-0.05</v>
      </c>
      <c r="I814">
        <v>366.3578</v>
      </c>
      <c r="J814">
        <v>-342.06049999999999</v>
      </c>
      <c r="K814">
        <v>1.1209720000000001</v>
      </c>
      <c r="L814">
        <v>367.52330000000001</v>
      </c>
      <c r="M814">
        <v>0.99990089999999998</v>
      </c>
      <c r="N814">
        <v>-1.35514E-2</v>
      </c>
      <c r="O814">
        <v>-3.8221919999999999E-3</v>
      </c>
      <c r="P814">
        <v>0.9945754</v>
      </c>
      <c r="Q814">
        <v>-0.1003891</v>
      </c>
      <c r="R814">
        <v>-2.7238479999999999E-2</v>
      </c>
      <c r="S814">
        <v>2.9980470000000001</v>
      </c>
      <c r="T814">
        <v>-0.1427023</v>
      </c>
      <c r="U814">
        <v>-0.14208979999999999</v>
      </c>
      <c r="V814">
        <v>2.343305E-2</v>
      </c>
      <c r="W814">
        <v>-8.6901610000000004E-2</v>
      </c>
      <c r="X814">
        <v>0.99594130000000003</v>
      </c>
      <c r="Y814">
        <v>4.34615E-2</v>
      </c>
      <c r="Z814">
        <v>-1.1980889999999901E-3</v>
      </c>
      <c r="AA814">
        <v>0.99905440000000001</v>
      </c>
      <c r="AB814">
        <v>22</v>
      </c>
      <c r="AC814">
        <v>24.470500000000001</v>
      </c>
      <c r="AD814">
        <v>-1.1709719999999999</v>
      </c>
      <c r="AE814">
        <v>-1.1655</v>
      </c>
      <c r="AF814">
        <v>1.06950847649165</v>
      </c>
      <c r="AG814">
        <v>-1.1709719999999999</v>
      </c>
      <c r="AH814">
        <v>24.418987095440599</v>
      </c>
      <c r="AI814">
        <v>92.742795469878402</v>
      </c>
      <c r="AJ814">
        <v>87.492148894008395</v>
      </c>
      <c r="AK814">
        <v>24.470430208179199</v>
      </c>
      <c r="AL814">
        <v>94.985383632755898</v>
      </c>
      <c r="AM814">
        <v>88.652162336711797</v>
      </c>
      <c r="AN814">
        <v>1.0000000353492899</v>
      </c>
    </row>
    <row r="815" spans="1:40" x14ac:dyDescent="0.25">
      <c r="A815" t="str">
        <f>"20190303154113292"</f>
        <v>20190303154113292</v>
      </c>
      <c r="B815" t="str">
        <f>"1551598873289934"</f>
        <v>1551598873289934</v>
      </c>
      <c r="C815" t="s">
        <v>40</v>
      </c>
      <c r="D815">
        <v>6.0512100000000002</v>
      </c>
      <c r="E815">
        <v>0.50898080000000001</v>
      </c>
      <c r="F815" t="s">
        <v>43</v>
      </c>
      <c r="G815">
        <v>-317.45859999999999</v>
      </c>
      <c r="H815">
        <v>-0.05</v>
      </c>
      <c r="I815">
        <v>366.31290000000001</v>
      </c>
      <c r="J815">
        <v>-341.93189999999998</v>
      </c>
      <c r="K815">
        <v>1.1209750000000001</v>
      </c>
      <c r="L815">
        <v>367.52280000000002</v>
      </c>
      <c r="M815">
        <v>0.99990069999999998</v>
      </c>
      <c r="N815">
        <v>-1.357307E-2</v>
      </c>
      <c r="O815">
        <v>-3.8223390000000001E-3</v>
      </c>
      <c r="P815">
        <v>0.99459089999999994</v>
      </c>
      <c r="Q815">
        <v>-0.1002668</v>
      </c>
      <c r="R815">
        <v>-2.7120140000000001E-2</v>
      </c>
      <c r="S815">
        <v>2.9978940000000001</v>
      </c>
      <c r="T815">
        <v>-0.1426907</v>
      </c>
      <c r="U815">
        <v>-0.1474915</v>
      </c>
      <c r="V815">
        <v>2.3314700000000001E-2</v>
      </c>
      <c r="W815">
        <v>-8.6757589999999996E-2</v>
      </c>
      <c r="X815">
        <v>0.99595659999999997</v>
      </c>
      <c r="Y815">
        <v>4.5256959999999999E-2</v>
      </c>
      <c r="Z815">
        <v>-1.2534670000000001E-3</v>
      </c>
      <c r="AA815">
        <v>0.99897460000000005</v>
      </c>
      <c r="AB815">
        <v>22</v>
      </c>
      <c r="AC815">
        <v>24.473299999999899</v>
      </c>
      <c r="AD815">
        <v>-1.1709750000000001</v>
      </c>
      <c r="AE815">
        <v>-1.2099</v>
      </c>
      <c r="AF815">
        <v>1.11379366951709</v>
      </c>
      <c r="AG815">
        <v>-1.1709750000000001</v>
      </c>
      <c r="AH815">
        <v>24.421972391302301</v>
      </c>
      <c r="AI815">
        <v>92.742246863541197</v>
      </c>
      <c r="AJ815">
        <v>87.388765876593993</v>
      </c>
      <c r="AK815">
        <v>24.475384660315601</v>
      </c>
      <c r="AL815">
        <v>94.977100778424898</v>
      </c>
      <c r="AM815">
        <v>88.658987771702698</v>
      </c>
      <c r="AN815">
        <v>1.0000000018711199</v>
      </c>
    </row>
    <row r="816" spans="1:40" x14ac:dyDescent="0.25">
      <c r="A816" t="str">
        <f>"20190303154113309"</f>
        <v>20190303154113309</v>
      </c>
      <c r="B816" t="str">
        <f>"1551598873299697"</f>
        <v>1551598873299697</v>
      </c>
      <c r="C816" t="s">
        <v>40</v>
      </c>
      <c r="D816">
        <v>6.0610689999999998</v>
      </c>
      <c r="E816">
        <v>0.50927509999999998</v>
      </c>
      <c r="F816" t="s">
        <v>43</v>
      </c>
      <c r="G816">
        <v>-317.6114</v>
      </c>
      <c r="H816">
        <v>-0.05</v>
      </c>
      <c r="I816">
        <v>366.2885</v>
      </c>
      <c r="J816">
        <v>-341.7647</v>
      </c>
      <c r="K816">
        <v>1.120973</v>
      </c>
      <c r="L816">
        <v>367.52210000000002</v>
      </c>
      <c r="M816">
        <v>0.99990029999999996</v>
      </c>
      <c r="N816">
        <v>-1.360051E-2</v>
      </c>
      <c r="O816">
        <v>-3.822167E-3</v>
      </c>
      <c r="P816">
        <v>0.99456549999999999</v>
      </c>
      <c r="Q816">
        <v>-0.1004922</v>
      </c>
      <c r="R816">
        <v>-2.7219730000000001E-2</v>
      </c>
      <c r="S816">
        <v>2.99762</v>
      </c>
      <c r="T816">
        <v>-0.1443287</v>
      </c>
      <c r="U816">
        <v>-0.15213009999999999</v>
      </c>
      <c r="V816">
        <v>2.3414379999999999E-2</v>
      </c>
      <c r="W816">
        <v>-8.6955900000000003E-2</v>
      </c>
      <c r="X816">
        <v>0.99593699999999996</v>
      </c>
      <c r="Y816">
        <v>4.6799979999999998E-2</v>
      </c>
      <c r="Z816">
        <v>-1.312122E-3</v>
      </c>
      <c r="AA816">
        <v>0.9989034</v>
      </c>
      <c r="AB816">
        <v>22</v>
      </c>
      <c r="AC816">
        <v>24.153300000000002</v>
      </c>
      <c r="AD816">
        <v>-1.170973</v>
      </c>
      <c r="AE816">
        <v>-1.23360000000002</v>
      </c>
      <c r="AF816">
        <v>1.13859532496309</v>
      </c>
      <c r="AG816">
        <v>-1.170973</v>
      </c>
      <c r="AH816">
        <v>24.101338722588299</v>
      </c>
      <c r="AI816">
        <v>92.778456757686797</v>
      </c>
      <c r="AJ816">
        <v>87.295244034548304</v>
      </c>
      <c r="AK816">
        <v>24.156616180700698</v>
      </c>
      <c r="AL816">
        <v>94.988506042777999</v>
      </c>
      <c r="AM816">
        <v>88.653230001884097</v>
      </c>
      <c r="AN816">
        <v>1.0000000348522899</v>
      </c>
    </row>
    <row r="817" spans="1:40" x14ac:dyDescent="0.25">
      <c r="A817" t="str">
        <f>"20190303154113322"</f>
        <v>20190303154113322</v>
      </c>
      <c r="B817" t="str">
        <f>"1551598873310430"</f>
        <v>1551598873310430</v>
      </c>
      <c r="C817" t="s">
        <v>40</v>
      </c>
      <c r="D817">
        <v>6.0547060000000004</v>
      </c>
      <c r="E817">
        <v>0.50956840000000003</v>
      </c>
      <c r="F817" t="s">
        <v>43</v>
      </c>
      <c r="G817">
        <v>-317.71719999999999</v>
      </c>
      <c r="H817">
        <v>-0.05</v>
      </c>
      <c r="I817">
        <v>366.27980000000002</v>
      </c>
      <c r="J817">
        <v>-341.64210000000003</v>
      </c>
      <c r="K817">
        <v>1.1209769999999999</v>
      </c>
      <c r="L817">
        <v>367.52170000000001</v>
      </c>
      <c r="M817">
        <v>0.99990000000000001</v>
      </c>
      <c r="N817">
        <v>-1.36217E-2</v>
      </c>
      <c r="O817">
        <v>-3.8219529999999999E-3</v>
      </c>
      <c r="P817">
        <v>0.99457220000000002</v>
      </c>
      <c r="Q817">
        <v>-0.1004712</v>
      </c>
      <c r="R817">
        <v>-2.7057299999999999E-2</v>
      </c>
      <c r="S817">
        <v>2.9973749999999999</v>
      </c>
      <c r="T817">
        <v>-0.145954799999999</v>
      </c>
      <c r="U817">
        <v>-0.15484619999999999</v>
      </c>
      <c r="V817">
        <v>2.325197E-2</v>
      </c>
      <c r="W817">
        <v>-8.6913710000000005E-2</v>
      </c>
      <c r="X817">
        <v>0.99594439999999995</v>
      </c>
      <c r="Y817">
        <v>4.770435E-2</v>
      </c>
      <c r="Z817">
        <v>-1.3515279999999901E-3</v>
      </c>
      <c r="AA817">
        <v>0.99886059999999999</v>
      </c>
      <c r="AB817">
        <v>22</v>
      </c>
      <c r="AC817">
        <v>23.924900000000001</v>
      </c>
      <c r="AD817">
        <v>-1.1709769999999999</v>
      </c>
      <c r="AE817">
        <v>-1.24189999999998</v>
      </c>
      <c r="AF817">
        <v>1.1477006769003599</v>
      </c>
      <c r="AG817">
        <v>-1.1709769999999999</v>
      </c>
      <c r="AH817">
        <v>23.872439357099999</v>
      </c>
      <c r="AI817">
        <v>92.804953917707493</v>
      </c>
      <c r="AJ817">
        <v>87.247545139122707</v>
      </c>
      <c r="AK817">
        <v>23.928680800175801</v>
      </c>
      <c r="AL817">
        <v>94.986079983902897</v>
      </c>
      <c r="AM817">
        <v>88.662578179559901</v>
      </c>
      <c r="AN817">
        <v>0.99999994749310095</v>
      </c>
    </row>
    <row r="818" spans="1:40" x14ac:dyDescent="0.25">
      <c r="A818" t="str">
        <f>"20190303154113342"</f>
        <v>20190303154113342</v>
      </c>
      <c r="B818" t="str">
        <f>"1551598873339711"</f>
        <v>1551598873339711</v>
      </c>
      <c r="C818" t="s">
        <v>40</v>
      </c>
      <c r="D818">
        <v>6.0623440000000004</v>
      </c>
      <c r="E818">
        <v>0.51048539999999998</v>
      </c>
      <c r="F818" t="s">
        <v>43</v>
      </c>
      <c r="G818">
        <v>-317.72329999999999</v>
      </c>
      <c r="H818">
        <v>-0.05</v>
      </c>
      <c r="I818">
        <v>366.27010000000001</v>
      </c>
      <c r="J818">
        <v>-341.43290000000002</v>
      </c>
      <c r="K818">
        <v>1.120987</v>
      </c>
      <c r="L818">
        <v>367.52080000000001</v>
      </c>
      <c r="M818">
        <v>0.99989939999999999</v>
      </c>
      <c r="N818">
        <v>-1.36612E-2</v>
      </c>
      <c r="O818">
        <v>-3.8218639999999999E-3</v>
      </c>
      <c r="P818">
        <v>0.99457980000000001</v>
      </c>
      <c r="Q818">
        <v>-0.10050539999999999</v>
      </c>
      <c r="R818">
        <v>-2.664654E-2</v>
      </c>
      <c r="S818">
        <v>2.9973139999999998</v>
      </c>
      <c r="T818">
        <v>-0.14673789999999901</v>
      </c>
      <c r="U818">
        <v>-0.15682979999999899</v>
      </c>
      <c r="V818">
        <v>2.284135E-2</v>
      </c>
      <c r="W818">
        <v>-8.6908479999999996E-2</v>
      </c>
      <c r="X818">
        <v>0.99595440000000002</v>
      </c>
      <c r="Y818">
        <v>4.8363030000000001E-2</v>
      </c>
      <c r="Z818">
        <v>-1.3784649999999999E-3</v>
      </c>
      <c r="AA818">
        <v>0.99882890000000002</v>
      </c>
      <c r="AB818">
        <v>22</v>
      </c>
      <c r="AC818">
        <v>23.709599999999998</v>
      </c>
      <c r="AD818">
        <v>-1.170987</v>
      </c>
      <c r="AE818">
        <v>-1.2506999999999899</v>
      </c>
      <c r="AF818">
        <v>1.15725255138143</v>
      </c>
      <c r="AG818">
        <v>-1.170987</v>
      </c>
      <c r="AH818">
        <v>23.6566629522532</v>
      </c>
      <c r="AI818">
        <v>92.830405927337097</v>
      </c>
      <c r="AJ818">
        <v>87.199399073033007</v>
      </c>
      <c r="AK818">
        <v>23.7138808729899</v>
      </c>
      <c r="AL818">
        <v>94.985778981192198</v>
      </c>
      <c r="AM818">
        <v>88.686201320143894</v>
      </c>
      <c r="AN818">
        <v>0.99999998902254605</v>
      </c>
    </row>
    <row r="819" spans="1:40" x14ac:dyDescent="0.25">
      <c r="A819" t="str">
        <f>"20190303154113365"</f>
        <v>20190303154113365</v>
      </c>
      <c r="B819" t="str">
        <f>"1551598873360205"</f>
        <v>1551598873360205</v>
      </c>
      <c r="C819" t="s">
        <v>40</v>
      </c>
      <c r="D819">
        <v>6.0711449999999996</v>
      </c>
      <c r="E819">
        <v>0.51100059999999903</v>
      </c>
      <c r="F819" t="s">
        <v>43</v>
      </c>
      <c r="G819">
        <v>-317.86630000000002</v>
      </c>
      <c r="H819">
        <v>-0.05</v>
      </c>
      <c r="I819">
        <v>366.24200000000002</v>
      </c>
      <c r="J819">
        <v>-341.21550000000002</v>
      </c>
      <c r="K819">
        <v>1.120997</v>
      </c>
      <c r="L819">
        <v>367.52</v>
      </c>
      <c r="M819">
        <v>0.99989879999999998</v>
      </c>
      <c r="N819">
        <v>-1.3704849999999999E-2</v>
      </c>
      <c r="O819">
        <v>-3.821685E-3</v>
      </c>
      <c r="P819">
        <v>0.99457649999999997</v>
      </c>
      <c r="Q819">
        <v>-0.10076690000000001</v>
      </c>
      <c r="R819">
        <v>-2.576123E-2</v>
      </c>
      <c r="S819">
        <v>2.9969480000000002</v>
      </c>
      <c r="T819">
        <v>-0.1489134</v>
      </c>
      <c r="U819">
        <v>-0.1626282</v>
      </c>
      <c r="V819">
        <v>2.1956369999999999E-2</v>
      </c>
      <c r="W819">
        <v>-8.7126560000000006E-2</v>
      </c>
      <c r="X819">
        <v>0.99595529999999999</v>
      </c>
      <c r="Y819">
        <v>5.0291530000000001E-2</v>
      </c>
      <c r="Z819">
        <v>-1.45561E-3</v>
      </c>
      <c r="AA819">
        <v>0.99873350000000005</v>
      </c>
      <c r="AB819">
        <v>22</v>
      </c>
      <c r="AC819">
        <v>23.3492</v>
      </c>
      <c r="AD819">
        <v>-1.1709969999999901</v>
      </c>
      <c r="AE819">
        <v>-1.27800000000002</v>
      </c>
      <c r="AF819">
        <v>1.1857754783641601</v>
      </c>
      <c r="AG819">
        <v>-1.1709969999999901</v>
      </c>
      <c r="AH819">
        <v>23.2954968735128</v>
      </c>
      <c r="AI819">
        <v>92.8739558911453</v>
      </c>
      <c r="AJ819">
        <v>87.086074394784205</v>
      </c>
      <c r="AK819">
        <v>23.355030979275998</v>
      </c>
      <c r="AL819">
        <v>94.998321368387295</v>
      </c>
      <c r="AM819">
        <v>88.737088306828795</v>
      </c>
      <c r="AN819">
        <v>1.0000000396195401</v>
      </c>
    </row>
    <row r="820" spans="1:40" x14ac:dyDescent="0.25">
      <c r="A820" t="str">
        <f>"20190303154113388"</f>
        <v>20190303154113388</v>
      </c>
      <c r="B820" t="str">
        <f>"1551598873379725"</f>
        <v>1551598873379725</v>
      </c>
      <c r="C820" t="s">
        <v>40</v>
      </c>
      <c r="D820">
        <v>6.0631830000000004</v>
      </c>
      <c r="E820">
        <v>0.51148199999999999</v>
      </c>
      <c r="F820" t="s">
        <v>43</v>
      </c>
      <c r="G820">
        <v>-317.93770000000001</v>
      </c>
      <c r="H820">
        <v>-0.05</v>
      </c>
      <c r="I820">
        <v>366.24579999999997</v>
      </c>
      <c r="J820">
        <v>-340.98289999999997</v>
      </c>
      <c r="K820">
        <v>1.121011</v>
      </c>
      <c r="L820">
        <v>367.51909999999998</v>
      </c>
      <c r="M820">
        <v>0.99989830000000002</v>
      </c>
      <c r="N820">
        <v>-1.374976E-2</v>
      </c>
      <c r="O820">
        <v>-3.8216349999999999E-3</v>
      </c>
      <c r="P820">
        <v>0.99460579999999998</v>
      </c>
      <c r="Q820">
        <v>-0.1006384</v>
      </c>
      <c r="R820">
        <v>-2.5130389999999999E-2</v>
      </c>
      <c r="S820">
        <v>2.996826</v>
      </c>
      <c r="T820">
        <v>-0.1507568</v>
      </c>
      <c r="U820">
        <v>-0.16403199999999901</v>
      </c>
      <c r="V820">
        <v>2.1325420000000001E-2</v>
      </c>
      <c r="W820">
        <v>-8.6952870000000002E-2</v>
      </c>
      <c r="X820">
        <v>0.99598410000000004</v>
      </c>
      <c r="Y820">
        <v>5.0757740000000003E-2</v>
      </c>
      <c r="Z820">
        <v>-1.4849570000000001E-3</v>
      </c>
      <c r="AA820">
        <v>0.99870990000000004</v>
      </c>
      <c r="AB820">
        <v>22</v>
      </c>
      <c r="AC820">
        <v>23.045199999999902</v>
      </c>
      <c r="AD820">
        <v>-1.171011</v>
      </c>
      <c r="AE820">
        <v>-1.2733000000000001</v>
      </c>
      <c r="AF820">
        <v>1.18216893921458</v>
      </c>
      <c r="AG820">
        <v>-1.171011</v>
      </c>
      <c r="AH820">
        <v>22.990716221898101</v>
      </c>
      <c r="AI820">
        <v>92.911947798989999</v>
      </c>
      <c r="AJ820">
        <v>87.056477485960798</v>
      </c>
      <c r="AK820">
        <v>23.050852968140099</v>
      </c>
      <c r="AL820">
        <v>94.988332194365199</v>
      </c>
      <c r="AM820">
        <v>88.773404219676607</v>
      </c>
      <c r="AN820">
        <v>0.99999995129610997</v>
      </c>
    </row>
    <row r="821" spans="1:40" x14ac:dyDescent="0.25">
      <c r="A821" t="str">
        <f>"20190303154113410"</f>
        <v>20190303154113410</v>
      </c>
      <c r="B821" t="str">
        <f>"1551598873400221"</f>
        <v>1551598873400221</v>
      </c>
      <c r="C821" t="s">
        <v>40</v>
      </c>
      <c r="D821">
        <v>6.1001969999999996</v>
      </c>
      <c r="E821">
        <v>0.51201220000000003</v>
      </c>
      <c r="F821" t="s">
        <v>43</v>
      </c>
      <c r="G821">
        <v>-317.82299999999998</v>
      </c>
      <c r="H821">
        <v>-0.05</v>
      </c>
      <c r="I821">
        <v>366.23610000000002</v>
      </c>
      <c r="J821">
        <v>-340.76209999999998</v>
      </c>
      <c r="K821">
        <v>1.1210199999999999</v>
      </c>
      <c r="L821">
        <v>367.51830000000001</v>
      </c>
      <c r="M821">
        <v>0.9998977</v>
      </c>
      <c r="N821">
        <v>-1.378799E-2</v>
      </c>
      <c r="O821">
        <v>-3.82154E-3</v>
      </c>
      <c r="P821">
        <v>0.99463440000000003</v>
      </c>
      <c r="Q821">
        <v>-0.1002463</v>
      </c>
      <c r="R821">
        <v>-2.555408E-2</v>
      </c>
      <c r="S821">
        <v>2.9967350000000001</v>
      </c>
      <c r="T821">
        <v>-0.15152099999999999</v>
      </c>
      <c r="U821">
        <v>-0.16601560000000001</v>
      </c>
      <c r="V821">
        <v>2.1749109999999999E-2</v>
      </c>
      <c r="W821">
        <v>-8.6522310000000005E-2</v>
      </c>
      <c r="X821">
        <v>0.99601249999999997</v>
      </c>
      <c r="Y821">
        <v>5.1416740000000002E-2</v>
      </c>
      <c r="Z821">
        <v>-1.512769E-3</v>
      </c>
      <c r="AA821">
        <v>0.99867609999999996</v>
      </c>
      <c r="AB821">
        <v>22</v>
      </c>
      <c r="AC821">
        <v>22.9391</v>
      </c>
      <c r="AD821">
        <v>-1.1710199999999999</v>
      </c>
      <c r="AE821">
        <v>-1.28219999999998</v>
      </c>
      <c r="AF821">
        <v>1.1914244266588701</v>
      </c>
      <c r="AG821">
        <v>-1.1710199999999999</v>
      </c>
      <c r="AH821">
        <v>22.8843817543436</v>
      </c>
      <c r="AI821">
        <v>92.925380482997994</v>
      </c>
      <c r="AJ821">
        <v>87.019713479480998</v>
      </c>
      <c r="AK821">
        <v>22.945276382806401</v>
      </c>
      <c r="AL821">
        <v>94.963569269569007</v>
      </c>
      <c r="AM821">
        <v>88.749077739445895</v>
      </c>
      <c r="AN821">
        <v>1.00000001703488</v>
      </c>
    </row>
    <row r="822" spans="1:40" x14ac:dyDescent="0.25">
      <c r="A822" t="str">
        <f>"20190303154113431"</f>
        <v>20190303154113431</v>
      </c>
      <c r="B822" t="str">
        <f>"1551598873419742"</f>
        <v>1551598873419742</v>
      </c>
      <c r="C822" t="s">
        <v>40</v>
      </c>
      <c r="D822">
        <v>6.0933099999999998</v>
      </c>
      <c r="E822">
        <v>0.5125092</v>
      </c>
      <c r="F822" t="s">
        <v>43</v>
      </c>
      <c r="G822">
        <v>-317.58870000000002</v>
      </c>
      <c r="H822">
        <v>-0.05</v>
      </c>
      <c r="I822">
        <v>366.1902</v>
      </c>
      <c r="J822">
        <v>-340.55610000000001</v>
      </c>
      <c r="K822">
        <v>1.1210290000000001</v>
      </c>
      <c r="L822">
        <v>367.51749999999998</v>
      </c>
      <c r="M822">
        <v>0.99989720000000004</v>
      </c>
      <c r="N822">
        <v>-1.382215E-2</v>
      </c>
      <c r="O822">
        <v>-3.8215369999999999E-3</v>
      </c>
      <c r="P822">
        <v>0.99468290000000004</v>
      </c>
      <c r="Q822">
        <v>-9.969343E-2</v>
      </c>
      <c r="R822">
        <v>-2.5837229999999999E-2</v>
      </c>
      <c r="S822">
        <v>2.9964900000000001</v>
      </c>
      <c r="T822">
        <v>-0.1514219</v>
      </c>
      <c r="U822">
        <v>-0.1717224</v>
      </c>
      <c r="V822">
        <v>2.203196E-2</v>
      </c>
      <c r="W822">
        <v>-8.5934800000000006E-2</v>
      </c>
      <c r="X822">
        <v>0.99605719999999998</v>
      </c>
      <c r="Y822">
        <v>5.3314050000000002E-2</v>
      </c>
      <c r="Z822">
        <v>-1.5741079999999901E-3</v>
      </c>
      <c r="AA822">
        <v>0.99857660000000004</v>
      </c>
      <c r="AB822">
        <v>22</v>
      </c>
      <c r="AC822">
        <v>22.967400000000001</v>
      </c>
      <c r="AD822">
        <v>-1.1710290000000001</v>
      </c>
      <c r="AE822">
        <v>-1.3272999999999699</v>
      </c>
      <c r="AF822">
        <v>1.2363079087575499</v>
      </c>
      <c r="AG822">
        <v>-1.1710290000000001</v>
      </c>
      <c r="AH822">
        <v>22.9129381650108</v>
      </c>
      <c r="AI822">
        <v>92.921471316395895</v>
      </c>
      <c r="AJ822">
        <v>86.911500260207902</v>
      </c>
      <c r="AK822">
        <v>22.976128949797101</v>
      </c>
      <c r="AL822">
        <v>94.929781311348705</v>
      </c>
      <c r="AM822">
        <v>88.732871452349301</v>
      </c>
      <c r="AN822">
        <v>1.00000007139215</v>
      </c>
    </row>
    <row r="823" spans="1:40" x14ac:dyDescent="0.25">
      <c r="A823" t="str">
        <f>"20190303154113453"</f>
        <v>20190303154113453</v>
      </c>
      <c r="B823" t="str">
        <f>"1551598873449998"</f>
        <v>1551598873449998</v>
      </c>
      <c r="C823" t="s">
        <v>40</v>
      </c>
      <c r="D823">
        <v>6.0996370000000004</v>
      </c>
      <c r="E823">
        <v>0.51320580000000005</v>
      </c>
      <c r="F823" t="s">
        <v>43</v>
      </c>
      <c r="G823">
        <v>-317.33019999999999</v>
      </c>
      <c r="H823">
        <v>-0.05</v>
      </c>
      <c r="I823">
        <v>366.1506</v>
      </c>
      <c r="J823">
        <v>-340.33670000000001</v>
      </c>
      <c r="K823">
        <v>1.121046</v>
      </c>
      <c r="L823">
        <v>367.51659999999998</v>
      </c>
      <c r="M823">
        <v>0.99989669999999997</v>
      </c>
      <c r="N823">
        <v>-1.385978E-2</v>
      </c>
      <c r="O823">
        <v>-3.821559E-3</v>
      </c>
      <c r="P823">
        <v>0.99468710000000005</v>
      </c>
      <c r="Q823">
        <v>-9.9500329999999998E-2</v>
      </c>
      <c r="R823">
        <v>-2.6405560000000002E-2</v>
      </c>
      <c r="S823">
        <v>2.9963069999999998</v>
      </c>
      <c r="T823">
        <v>-0.1510707</v>
      </c>
      <c r="U823">
        <v>-0.1763306</v>
      </c>
      <c r="V823">
        <v>2.2600450000000001E-2</v>
      </c>
      <c r="W823">
        <v>-8.5704219999999998E-2</v>
      </c>
      <c r="X823">
        <v>0.99606419999999996</v>
      </c>
      <c r="Y823">
        <v>5.4845860000000003E-2</v>
      </c>
      <c r="Z823">
        <v>-1.6218109999999999E-3</v>
      </c>
      <c r="AA823">
        <v>0.99849350000000003</v>
      </c>
      <c r="AB823">
        <v>22</v>
      </c>
      <c r="AC823">
        <v>23.006499999999999</v>
      </c>
      <c r="AD823">
        <v>-1.17104599999999</v>
      </c>
      <c r="AE823">
        <v>-1.3659999999999799</v>
      </c>
      <c r="AF823">
        <v>1.2747697161114999</v>
      </c>
      <c r="AG823">
        <v>-1.17104599999999</v>
      </c>
      <c r="AH823">
        <v>22.952295049741199</v>
      </c>
      <c r="AI823">
        <v>92.916261121061197</v>
      </c>
      <c r="AJ823">
        <v>86.821060275053796</v>
      </c>
      <c r="AK823">
        <v>23.017476721257001</v>
      </c>
      <c r="AL823">
        <v>94.916521767912002</v>
      </c>
      <c r="AM823">
        <v>88.700195979980407</v>
      </c>
      <c r="AN823">
        <v>0.99999994209382304</v>
      </c>
    </row>
    <row r="824" spans="1:40" x14ac:dyDescent="0.25">
      <c r="A824" t="str">
        <f>"20190303154113477"</f>
        <v>20190303154113477</v>
      </c>
      <c r="B824" t="str">
        <f>"1551598873470493"</f>
        <v>1551598873470493</v>
      </c>
      <c r="C824" t="s">
        <v>40</v>
      </c>
      <c r="D824">
        <v>6.0952989999999998</v>
      </c>
      <c r="E824">
        <v>0.51366350000000005</v>
      </c>
      <c r="F824" t="s">
        <v>43</v>
      </c>
      <c r="G824">
        <v>-317.25189999999998</v>
      </c>
      <c r="H824">
        <v>-0.05</v>
      </c>
      <c r="I824">
        <v>366.10270000000003</v>
      </c>
      <c r="J824">
        <v>-340.10899999999998</v>
      </c>
      <c r="K824">
        <v>1.1210599999999999</v>
      </c>
      <c r="L824">
        <v>367.51569999999998</v>
      </c>
      <c r="M824">
        <v>0.99989609999999995</v>
      </c>
      <c r="N824">
        <v>-1.389868E-2</v>
      </c>
      <c r="O824">
        <v>-3.8217099999999999E-3</v>
      </c>
      <c r="P824">
        <v>0.99473599999999995</v>
      </c>
      <c r="Q824">
        <v>-9.9033850000000007E-2</v>
      </c>
      <c r="R824">
        <v>-2.6322689999999999E-2</v>
      </c>
      <c r="S824">
        <v>2.9959410000000002</v>
      </c>
      <c r="T824">
        <v>-0.15197840000000001</v>
      </c>
      <c r="U824">
        <v>-0.1835022</v>
      </c>
      <c r="V824">
        <v>2.251713E-2</v>
      </c>
      <c r="W824">
        <v>-8.5198330000000003E-2</v>
      </c>
      <c r="X824">
        <v>0.99610949999999998</v>
      </c>
      <c r="Y824">
        <v>5.7229410000000001E-2</v>
      </c>
      <c r="Z824">
        <v>-1.7071949999999999E-3</v>
      </c>
      <c r="AA824">
        <v>0.99835960000000001</v>
      </c>
      <c r="AB824">
        <v>22</v>
      </c>
      <c r="AC824">
        <v>22.857099999999999</v>
      </c>
      <c r="AD824">
        <v>-1.17106</v>
      </c>
      <c r="AE824">
        <v>-1.4129999999999501</v>
      </c>
      <c r="AF824">
        <v>1.3221706534418001</v>
      </c>
      <c r="AG824">
        <v>-1.17106</v>
      </c>
      <c r="AH824">
        <v>22.8027062412636</v>
      </c>
      <c r="AI824">
        <v>92.934988850786695</v>
      </c>
      <c r="AJ824">
        <v>86.681531063915401</v>
      </c>
      <c r="AK824">
        <v>22.871006289312799</v>
      </c>
      <c r="AL824">
        <v>94.887429926981497</v>
      </c>
      <c r="AM824">
        <v>88.705045143737607</v>
      </c>
      <c r="AN824">
        <v>0.99999995628423699</v>
      </c>
    </row>
    <row r="825" spans="1:40" x14ac:dyDescent="0.25">
      <c r="A825" t="str">
        <f>"20190303154113498"</f>
        <v>20190303154113498</v>
      </c>
      <c r="B825" t="str">
        <f>"1551598873490014"</f>
        <v>1551598873490014</v>
      </c>
      <c r="C825" t="s">
        <v>40</v>
      </c>
      <c r="D825">
        <v>6.0926689999999999</v>
      </c>
      <c r="E825">
        <v>0.51410059999999902</v>
      </c>
      <c r="F825" t="s">
        <v>43</v>
      </c>
      <c r="G825">
        <v>-316.959</v>
      </c>
      <c r="H825">
        <v>-0.05</v>
      </c>
      <c r="I825">
        <v>366.07130000000001</v>
      </c>
      <c r="J825">
        <v>-339.89089999999999</v>
      </c>
      <c r="K825">
        <v>1.1210709999999999</v>
      </c>
      <c r="L825">
        <v>367.51490000000001</v>
      </c>
      <c r="M825">
        <v>0.9998958</v>
      </c>
      <c r="N825">
        <v>-1.3932679999999999E-2</v>
      </c>
      <c r="O825">
        <v>-3.821708E-3</v>
      </c>
      <c r="P825">
        <v>0.99475800000000003</v>
      </c>
      <c r="Q825">
        <v>-9.8874539999999997E-2</v>
      </c>
      <c r="R825">
        <v>-2.6093760000000001E-2</v>
      </c>
      <c r="S825">
        <v>2.995819</v>
      </c>
      <c r="T825">
        <v>-0.15154529999999999</v>
      </c>
      <c r="U825">
        <v>-0.18692020000000001</v>
      </c>
      <c r="V825">
        <v>2.228811E-2</v>
      </c>
      <c r="W825">
        <v>-8.5004839999999998E-2</v>
      </c>
      <c r="X825">
        <v>0.99613119999999999</v>
      </c>
      <c r="Y825">
        <v>5.836512E-2</v>
      </c>
      <c r="Z825">
        <v>-1.741348E-3</v>
      </c>
      <c r="AA825">
        <v>0.99829380000000001</v>
      </c>
      <c r="AB825">
        <v>22</v>
      </c>
      <c r="AC825">
        <v>22.931899999999899</v>
      </c>
      <c r="AD825">
        <v>-1.171071</v>
      </c>
      <c r="AE825">
        <v>-1.4436</v>
      </c>
      <c r="AF825">
        <v>1.3524288968354301</v>
      </c>
      <c r="AG825">
        <v>-1.171071</v>
      </c>
      <c r="AH825">
        <v>22.877823108762399</v>
      </c>
      <c r="AI825">
        <v>92.925203406794694</v>
      </c>
      <c r="AJ825">
        <v>86.616881241186505</v>
      </c>
      <c r="AK825">
        <v>22.947663528208199</v>
      </c>
      <c r="AL825">
        <v>94.876303310000907</v>
      </c>
      <c r="AM825">
        <v>88.718239527013097</v>
      </c>
      <c r="AN825">
        <v>0.99999997514211802</v>
      </c>
    </row>
    <row r="826" spans="1:40" x14ac:dyDescent="0.25">
      <c r="A826" t="str">
        <f>"20190303154113521"</f>
        <v>20190303154113521</v>
      </c>
      <c r="B826" t="str">
        <f>"1551598873510513"</f>
        <v>1551598873510513</v>
      </c>
      <c r="C826" t="s">
        <v>40</v>
      </c>
      <c r="D826">
        <v>6.1003689999999997</v>
      </c>
      <c r="E826">
        <v>0.51430759999999998</v>
      </c>
      <c r="F826" t="s">
        <v>43</v>
      </c>
      <c r="G826">
        <v>-316.81150000000002</v>
      </c>
      <c r="H826">
        <v>-0.05</v>
      </c>
      <c r="I826">
        <v>366.05220000000003</v>
      </c>
      <c r="J826">
        <v>-339.67259999999999</v>
      </c>
      <c r="K826">
        <v>1.121075</v>
      </c>
      <c r="L826">
        <v>367.51409999999998</v>
      </c>
      <c r="M826">
        <v>0.99989530000000004</v>
      </c>
      <c r="N826">
        <v>-1.396353E-2</v>
      </c>
      <c r="O826">
        <v>-3.8218039999999998E-3</v>
      </c>
      <c r="P826">
        <v>0.99479039999999996</v>
      </c>
      <c r="Q826">
        <v>-9.8511769999999999E-2</v>
      </c>
      <c r="R826">
        <v>-2.6224830000000001E-2</v>
      </c>
      <c r="S826">
        <v>2.9957579999999999</v>
      </c>
      <c r="T826">
        <v>-0.1520079</v>
      </c>
      <c r="U826">
        <v>-0.18984989999999999</v>
      </c>
      <c r="V826">
        <v>2.2419129999999999E-2</v>
      </c>
      <c r="W826">
        <v>-8.4610950000000004E-2</v>
      </c>
      <c r="X826">
        <v>0.99616179999999999</v>
      </c>
      <c r="Y826">
        <v>5.9336569999999998E-2</v>
      </c>
      <c r="Z826">
        <v>-1.7776700000000001E-3</v>
      </c>
      <c r="AA826">
        <v>0.99823649999999997</v>
      </c>
      <c r="AB826">
        <v>22</v>
      </c>
      <c r="AC826">
        <v>22.861099999999901</v>
      </c>
      <c r="AD826">
        <v>-1.1710750000000001</v>
      </c>
      <c r="AE826">
        <v>-1.46189999999995</v>
      </c>
      <c r="AF826">
        <v>1.37092741089554</v>
      </c>
      <c r="AG826">
        <v>-1.1710750000000001</v>
      </c>
      <c r="AH826">
        <v>22.806917466090699</v>
      </c>
      <c r="AI826">
        <v>92.934118763314501</v>
      </c>
      <c r="AJ826">
        <v>86.5600807344412</v>
      </c>
      <c r="AK826">
        <v>22.8780755949149</v>
      </c>
      <c r="AL826">
        <v>94.853653446031799</v>
      </c>
      <c r="AM826">
        <v>88.710746862569593</v>
      </c>
      <c r="AN826">
        <v>0.99999998101454901</v>
      </c>
    </row>
    <row r="827" spans="1:40" x14ac:dyDescent="0.25">
      <c r="A827" t="str">
        <f>"20190303154113541"</f>
        <v>20190303154113541</v>
      </c>
      <c r="B827" t="str">
        <f>"1551598873539790"</f>
        <v>1551598873539790</v>
      </c>
      <c r="C827" t="s">
        <v>40</v>
      </c>
      <c r="D827">
        <v>6.0828629999999997</v>
      </c>
      <c r="E827">
        <v>0.51491030000000004</v>
      </c>
      <c r="F827" t="s">
        <v>43</v>
      </c>
      <c r="G827">
        <v>-316.50229999999999</v>
      </c>
      <c r="H827">
        <v>-0.05</v>
      </c>
      <c r="I827">
        <v>366.03199999999998</v>
      </c>
      <c r="J827">
        <v>-339.4708</v>
      </c>
      <c r="K827">
        <v>1.1210800000000001</v>
      </c>
      <c r="L827">
        <v>367.51330000000002</v>
      </c>
      <c r="M827">
        <v>0.99989499999999998</v>
      </c>
      <c r="N827">
        <v>-1.3993749999999999E-2</v>
      </c>
      <c r="O827">
        <v>-3.8217770000000002E-3</v>
      </c>
      <c r="P827">
        <v>0.99478639999999996</v>
      </c>
      <c r="Q827">
        <v>-9.8589389999999999E-2</v>
      </c>
      <c r="R827">
        <v>-2.60863E-2</v>
      </c>
      <c r="S827">
        <v>2.9956670000000001</v>
      </c>
      <c r="T827">
        <v>-0.15140689999999901</v>
      </c>
      <c r="U827">
        <v>-0.19161990000000001</v>
      </c>
      <c r="V827">
        <v>2.2280390000000001E-2</v>
      </c>
      <c r="W827">
        <v>-8.4658529999999996E-2</v>
      </c>
      <c r="X827">
        <v>0.99616090000000002</v>
      </c>
      <c r="Y827">
        <v>5.9925579999999999E-2</v>
      </c>
      <c r="Z827">
        <v>-1.792524E-3</v>
      </c>
      <c r="AA827">
        <v>0.99820129999999996</v>
      </c>
      <c r="AB827">
        <v>22</v>
      </c>
      <c r="AC827">
        <v>22.968499999999999</v>
      </c>
      <c r="AD827">
        <v>-1.1710799999999999</v>
      </c>
      <c r="AE827">
        <v>-1.48130000000003</v>
      </c>
      <c r="AF827">
        <v>1.3899018843685</v>
      </c>
      <c r="AG827">
        <v>-1.1710799999999999</v>
      </c>
      <c r="AH827">
        <v>22.914671556418298</v>
      </c>
      <c r="AI827">
        <v>92.920262076221803</v>
      </c>
      <c r="AJ827">
        <v>86.528945897009905</v>
      </c>
      <c r="AK827">
        <v>22.986635859844601</v>
      </c>
      <c r="AL827">
        <v>94.856389251793203</v>
      </c>
      <c r="AM827">
        <v>88.7187215352576</v>
      </c>
      <c r="AN827">
        <v>1.0000000105845599</v>
      </c>
    </row>
    <row r="828" spans="1:40" x14ac:dyDescent="0.25">
      <c r="A828" t="str">
        <f>"20190303154113566"</f>
        <v>20190303154113566</v>
      </c>
      <c r="B828" t="str">
        <f>"1551598873560286"</f>
        <v>1551598873560286</v>
      </c>
      <c r="C828" t="s">
        <v>40</v>
      </c>
      <c r="D828">
        <v>6.1023860000000001</v>
      </c>
      <c r="E828">
        <v>0.51527690000000004</v>
      </c>
      <c r="F828" t="s">
        <v>43</v>
      </c>
      <c r="G828">
        <v>-316.50959999999998</v>
      </c>
      <c r="H828">
        <v>-0.05</v>
      </c>
      <c r="I828">
        <v>366.00580000000002</v>
      </c>
      <c r="J828">
        <v>-339.2364</v>
      </c>
      <c r="K828">
        <v>1.121086</v>
      </c>
      <c r="L828">
        <v>367.51240000000001</v>
      </c>
      <c r="M828">
        <v>0.99989419999999996</v>
      </c>
      <c r="N828">
        <v>-1.4036359999999999E-2</v>
      </c>
      <c r="O828">
        <v>-3.8218369999999998E-3</v>
      </c>
      <c r="P828">
        <v>0.99475659999999999</v>
      </c>
      <c r="Q828">
        <v>-9.9006300000000005E-2</v>
      </c>
      <c r="R828">
        <v>-2.5635330000000001E-2</v>
      </c>
      <c r="S828">
        <v>2.9953919999999998</v>
      </c>
      <c r="T828">
        <v>-0.15277279999999999</v>
      </c>
      <c r="U828">
        <v>-0.19665530000000001</v>
      </c>
      <c r="V828">
        <v>2.182978E-2</v>
      </c>
      <c r="W828">
        <v>-8.5033349999999994E-2</v>
      </c>
      <c r="X828">
        <v>0.99613890000000005</v>
      </c>
      <c r="Y828">
        <v>6.159792E-2</v>
      </c>
      <c r="Z828">
        <v>-1.8602549999999999E-3</v>
      </c>
      <c r="AA828">
        <v>0.99809930000000002</v>
      </c>
      <c r="AB828">
        <v>22</v>
      </c>
      <c r="AC828">
        <v>22.726800000000001</v>
      </c>
      <c r="AD828">
        <v>-1.1710860000000001</v>
      </c>
      <c r="AE828">
        <v>-1.5065999999999899</v>
      </c>
      <c r="AF828">
        <v>1.4159790238246199</v>
      </c>
      <c r="AG828">
        <v>-1.1710860000000001</v>
      </c>
      <c r="AH828">
        <v>22.672455509079398</v>
      </c>
      <c r="AI828">
        <v>92.951095408546607</v>
      </c>
      <c r="AJ828">
        <v>86.426307377057597</v>
      </c>
      <c r="AK828">
        <v>22.7467948912917</v>
      </c>
      <c r="AL828">
        <v>94.877942827525303</v>
      </c>
      <c r="AM828">
        <v>88.744598671572007</v>
      </c>
      <c r="AN828">
        <v>0.99999995900013905</v>
      </c>
    </row>
    <row r="829" spans="1:40" x14ac:dyDescent="0.25">
      <c r="A829" t="str">
        <f>"20190303154113589"</f>
        <v>20190303154113589</v>
      </c>
      <c r="B829" t="str">
        <f>"1551598873579805"</f>
        <v>1551598873579805</v>
      </c>
      <c r="C829" t="s">
        <v>40</v>
      </c>
      <c r="D829">
        <v>6.0668670000000002</v>
      </c>
      <c r="E829">
        <v>0.515652</v>
      </c>
      <c r="F829" t="s">
        <v>43</v>
      </c>
      <c r="G829">
        <v>-316.57330000000002</v>
      </c>
      <c r="H829">
        <v>-0.05</v>
      </c>
      <c r="I829">
        <v>366.0154</v>
      </c>
      <c r="J829">
        <v>-339.0104</v>
      </c>
      <c r="K829">
        <v>1.1210880000000001</v>
      </c>
      <c r="L829">
        <v>367.51159999999999</v>
      </c>
      <c r="M829">
        <v>0.99989349999999999</v>
      </c>
      <c r="N829">
        <v>-1.4083119999999999E-2</v>
      </c>
      <c r="O829">
        <v>-3.821807E-3</v>
      </c>
      <c r="P829">
        <v>0.99470069999999999</v>
      </c>
      <c r="Q829">
        <v>-9.9547919999999998E-2</v>
      </c>
      <c r="R829">
        <v>-2.5708089999999999E-2</v>
      </c>
      <c r="S829">
        <v>2.9952700000000001</v>
      </c>
      <c r="T829">
        <v>-0.1547769</v>
      </c>
      <c r="U829">
        <v>-0.19784550000000001</v>
      </c>
      <c r="V829">
        <v>2.190274E-2</v>
      </c>
      <c r="W829">
        <v>-8.5529140000000003E-2</v>
      </c>
      <c r="X829">
        <v>0.99609490000000001</v>
      </c>
      <c r="Y829">
        <v>6.1992440000000003E-2</v>
      </c>
      <c r="Z829">
        <v>-1.8928840000000001E-3</v>
      </c>
      <c r="AA829">
        <v>0.99807480000000004</v>
      </c>
      <c r="AB829">
        <v>22</v>
      </c>
      <c r="AC829">
        <v>22.437099999999901</v>
      </c>
      <c r="AD829">
        <v>-1.1710879999999999</v>
      </c>
      <c r="AE829">
        <v>-1.49619999999998</v>
      </c>
      <c r="AF829">
        <v>1.4066153026906301</v>
      </c>
      <c r="AG829">
        <v>-1.1710879999999999</v>
      </c>
      <c r="AH829">
        <v>22.3819509572944</v>
      </c>
      <c r="AI829">
        <v>92.989261916834707</v>
      </c>
      <c r="AJ829">
        <v>86.403920856104605</v>
      </c>
      <c r="AK829">
        <v>22.4566636517592</v>
      </c>
      <c r="AL829">
        <v>94.906453134610004</v>
      </c>
      <c r="AM829">
        <v>88.740348567914097</v>
      </c>
      <c r="AN829">
        <v>1.00000000680732</v>
      </c>
    </row>
    <row r="830" spans="1:40" x14ac:dyDescent="0.25">
      <c r="A830" t="str">
        <f>"20190303154113612"</f>
        <v>20190303154113612</v>
      </c>
      <c r="B830" t="str">
        <f>"1551598873600302"</f>
        <v>1551598873600302</v>
      </c>
      <c r="C830" t="s">
        <v>40</v>
      </c>
      <c r="D830">
        <v>6.0901899999999998</v>
      </c>
      <c r="E830">
        <v>0.51602119999999996</v>
      </c>
      <c r="F830" t="s">
        <v>43</v>
      </c>
      <c r="G830">
        <v>-316.68029999999999</v>
      </c>
      <c r="H830">
        <v>-0.05</v>
      </c>
      <c r="I830">
        <v>366.01240000000001</v>
      </c>
      <c r="J830">
        <v>-338.79140000000001</v>
      </c>
      <c r="K830">
        <v>1.1211009999999999</v>
      </c>
      <c r="L830">
        <v>367.51069999999999</v>
      </c>
      <c r="M830">
        <v>0.99989289999999997</v>
      </c>
      <c r="N830">
        <v>-1.4128089999999999E-2</v>
      </c>
      <c r="O830">
        <v>-3.8218850000000001E-3</v>
      </c>
      <c r="P830">
        <v>0.99473560000000005</v>
      </c>
      <c r="Q830">
        <v>-9.9373890000000006E-2</v>
      </c>
      <c r="R830">
        <v>-2.502219E-2</v>
      </c>
      <c r="S830">
        <v>2.9950559999999999</v>
      </c>
      <c r="T830">
        <v>-0.15707370000000001</v>
      </c>
      <c r="U830">
        <v>-0.20108029999999999</v>
      </c>
      <c r="V830">
        <v>2.121642E-2</v>
      </c>
      <c r="W830">
        <v>-8.5309830000000003E-2</v>
      </c>
      <c r="X830">
        <v>0.99612860000000003</v>
      </c>
      <c r="Y830">
        <v>6.3065590000000005E-2</v>
      </c>
      <c r="Z830">
        <v>-1.9509810000000001E-3</v>
      </c>
      <c r="AA830">
        <v>0.99800750000000005</v>
      </c>
      <c r="AB830">
        <v>22</v>
      </c>
      <c r="AC830">
        <v>22.1111</v>
      </c>
      <c r="AD830">
        <v>-1.1711009999999999</v>
      </c>
      <c r="AE830">
        <v>-1.49829999999997</v>
      </c>
      <c r="AF830">
        <v>1.4098377016360399</v>
      </c>
      <c r="AG830">
        <v>-1.1711009999999999</v>
      </c>
      <c r="AH830">
        <v>22.055078671027299</v>
      </c>
      <c r="AI830">
        <v>93.033310454942395</v>
      </c>
      <c r="AJ830">
        <v>86.342430002771096</v>
      </c>
      <c r="AK830">
        <v>22.1311006297102</v>
      </c>
      <c r="AL830">
        <v>94.893841312137695</v>
      </c>
      <c r="AM830">
        <v>88.779848751570398</v>
      </c>
      <c r="AN830">
        <v>1.0000000456550999</v>
      </c>
    </row>
    <row r="831" spans="1:40" x14ac:dyDescent="0.25">
      <c r="A831" t="str">
        <f>"20190303154113632"</f>
        <v>20190303154113632</v>
      </c>
      <c r="B831" t="str">
        <f>"1551598873619822"</f>
        <v>1551598873619822</v>
      </c>
      <c r="C831" t="s">
        <v>40</v>
      </c>
      <c r="D831">
        <v>6.0705770000000001</v>
      </c>
      <c r="E831">
        <v>0.51636309999999996</v>
      </c>
      <c r="F831" t="s">
        <v>43</v>
      </c>
      <c r="G831">
        <v>-316.46809999999999</v>
      </c>
      <c r="H831">
        <v>-0.05</v>
      </c>
      <c r="I831">
        <v>366.00540000000001</v>
      </c>
      <c r="J831">
        <v>-338.59179999999998</v>
      </c>
      <c r="K831">
        <v>1.1211089999999999</v>
      </c>
      <c r="L831">
        <v>367.51</v>
      </c>
      <c r="M831">
        <v>0.99989240000000001</v>
      </c>
      <c r="N831">
        <v>-1.4165860000000001E-2</v>
      </c>
      <c r="O831">
        <v>-3.8220319999999999E-3</v>
      </c>
      <c r="P831">
        <v>0.9947492</v>
      </c>
      <c r="Q831">
        <v>-9.9202490000000004E-2</v>
      </c>
      <c r="R831">
        <v>-2.515821E-2</v>
      </c>
      <c r="S831">
        <v>2.995117</v>
      </c>
      <c r="T831">
        <v>-0.15712690000000001</v>
      </c>
      <c r="U831">
        <v>-0.20196529999999999</v>
      </c>
      <c r="V831">
        <v>2.1352320000000001E-2</v>
      </c>
      <c r="W831">
        <v>-8.5100640000000005E-2</v>
      </c>
      <c r="X831">
        <v>0.99614349999999996</v>
      </c>
      <c r="Y831">
        <v>6.3356999999999997E-2</v>
      </c>
      <c r="Z831">
        <v>-1.9624619999999999E-3</v>
      </c>
      <c r="AA831">
        <v>0.99798900000000001</v>
      </c>
      <c r="AB831">
        <v>22</v>
      </c>
      <c r="AC831">
        <v>22.1236999999999</v>
      </c>
      <c r="AD831">
        <v>-1.171109</v>
      </c>
      <c r="AE831">
        <v>-1.50459999999998</v>
      </c>
      <c r="AF831">
        <v>1.4160733671985699</v>
      </c>
      <c r="AG831">
        <v>-1.171109</v>
      </c>
      <c r="AH831">
        <v>22.0677388957325</v>
      </c>
      <c r="AI831">
        <v>93.031546707566804</v>
      </c>
      <c r="AJ831">
        <v>86.328398726741995</v>
      </c>
      <c r="AK831">
        <v>22.1441156978868</v>
      </c>
      <c r="AL831">
        <v>94.881812298587903</v>
      </c>
      <c r="AM831">
        <v>88.772053922361806</v>
      </c>
      <c r="AN831">
        <v>0.99999995654502005</v>
      </c>
    </row>
    <row r="832" spans="1:40" x14ac:dyDescent="0.25">
      <c r="A832" t="str">
        <f>"20190303154113655"</f>
        <v>20190303154113655</v>
      </c>
      <c r="B832" t="str">
        <f>"1551598873650078"</f>
        <v>1551598873650078</v>
      </c>
      <c r="C832" t="s">
        <v>40</v>
      </c>
      <c r="D832">
        <v>6.0842109999999998</v>
      </c>
      <c r="E832">
        <v>0.51684609999999997</v>
      </c>
      <c r="F832" t="s">
        <v>43</v>
      </c>
      <c r="G832">
        <v>-316.26330000000002</v>
      </c>
      <c r="H832">
        <v>-0.05</v>
      </c>
      <c r="I832">
        <v>365.97809999999998</v>
      </c>
      <c r="J832">
        <v>-338.37150000000003</v>
      </c>
      <c r="K832">
        <v>1.1211169999999999</v>
      </c>
      <c r="L832">
        <v>367.50909999999999</v>
      </c>
      <c r="M832">
        <v>0.99989189999999994</v>
      </c>
      <c r="N832">
        <v>-1.420333E-2</v>
      </c>
      <c r="O832">
        <v>-3.8221779999999999E-3</v>
      </c>
      <c r="P832">
        <v>0.99472430000000001</v>
      </c>
      <c r="Q832">
        <v>-9.9493709999999999E-2</v>
      </c>
      <c r="R832">
        <v>-2.4997019999999998E-2</v>
      </c>
      <c r="S832">
        <v>2.9949650000000001</v>
      </c>
      <c r="T832">
        <v>-0.15708279999999999</v>
      </c>
      <c r="U832">
        <v>-0.20547489999999999</v>
      </c>
      <c r="V832">
        <v>2.1191129999999999E-2</v>
      </c>
      <c r="W832">
        <v>-8.5354849999999996E-2</v>
      </c>
      <c r="X832">
        <v>0.99612520000000004</v>
      </c>
      <c r="Y832">
        <v>6.4522250000000003E-2</v>
      </c>
      <c r="Z832">
        <v>-2.0022059999999999E-3</v>
      </c>
      <c r="AA832">
        <v>0.99791430000000003</v>
      </c>
      <c r="AB832">
        <v>22</v>
      </c>
      <c r="AC832">
        <v>22.1082</v>
      </c>
      <c r="AD832">
        <v>-1.171117</v>
      </c>
      <c r="AE832">
        <v>-1.5309999999999999</v>
      </c>
      <c r="AF832">
        <v>1.4424505651350199</v>
      </c>
      <c r="AG832">
        <v>-1.171117</v>
      </c>
      <c r="AH832">
        <v>22.052306509485302</v>
      </c>
      <c r="AI832">
        <v>93.033442489068094</v>
      </c>
      <c r="AJ832">
        <v>86.257590420411205</v>
      </c>
      <c r="AK832">
        <v>22.130440597711502</v>
      </c>
      <c r="AL832">
        <v>94.896430610513804</v>
      </c>
      <c r="AM832">
        <v>88.781298576098294</v>
      </c>
      <c r="AN832">
        <v>0.99999996424211901</v>
      </c>
    </row>
    <row r="833" spans="1:40" x14ac:dyDescent="0.25">
      <c r="A833" t="str">
        <f>"20190303154113678"</f>
        <v>20190303154113678</v>
      </c>
      <c r="B833" t="str">
        <f>"1551598873670578"</f>
        <v>1551598873670578</v>
      </c>
      <c r="C833" t="s">
        <v>40</v>
      </c>
      <c r="D833">
        <v>6.0695350000000001</v>
      </c>
      <c r="E833">
        <v>0.51718679999999995</v>
      </c>
      <c r="F833" t="s">
        <v>43</v>
      </c>
      <c r="G833">
        <v>-316.3109</v>
      </c>
      <c r="H833">
        <v>-0.05</v>
      </c>
      <c r="I833">
        <v>365.97280000000001</v>
      </c>
      <c r="J833">
        <v>-338.15379999999999</v>
      </c>
      <c r="K833">
        <v>1.121119</v>
      </c>
      <c r="L833">
        <v>367.50830000000002</v>
      </c>
      <c r="M833">
        <v>0.99989150000000004</v>
      </c>
      <c r="N833">
        <v>-1.423574E-2</v>
      </c>
      <c r="O833">
        <v>-3.8224079999999998E-3</v>
      </c>
      <c r="P833">
        <v>0.99466750000000004</v>
      </c>
      <c r="Q833">
        <v>-0.1000737</v>
      </c>
      <c r="R833">
        <v>-2.4941399999999999E-2</v>
      </c>
      <c r="S833">
        <v>2.9947810000000001</v>
      </c>
      <c r="T833">
        <v>-0.15898199999999901</v>
      </c>
      <c r="U833">
        <v>-0.2085571</v>
      </c>
      <c r="V833">
        <v>2.1135549999999999E-2</v>
      </c>
      <c r="W833">
        <v>-8.5903259999999995E-2</v>
      </c>
      <c r="X833">
        <v>0.9960793</v>
      </c>
      <c r="Y833">
        <v>6.5544110000000003E-2</v>
      </c>
      <c r="Z833">
        <v>-2.055767E-3</v>
      </c>
      <c r="AA833">
        <v>0.99784759999999995</v>
      </c>
      <c r="AB833">
        <v>22</v>
      </c>
      <c r="AC833">
        <v>21.842899999999901</v>
      </c>
      <c r="AD833">
        <v>-1.171119</v>
      </c>
      <c r="AE833">
        <v>-1.5355000000000101</v>
      </c>
      <c r="AF833">
        <v>1.4478463035142299</v>
      </c>
      <c r="AG833">
        <v>-1.171119</v>
      </c>
      <c r="AH833">
        <v>21.786290809747101</v>
      </c>
      <c r="AI833">
        <v>93.070205821629401</v>
      </c>
      <c r="AJ833">
        <v>86.197898872503004</v>
      </c>
      <c r="AK833">
        <v>21.865732228252298</v>
      </c>
      <c r="AL833">
        <v>94.927967716009306</v>
      </c>
      <c r="AM833">
        <v>88.784438025942706</v>
      </c>
      <c r="AN833">
        <v>1.0000000267204501</v>
      </c>
    </row>
    <row r="834" spans="1:40" x14ac:dyDescent="0.25">
      <c r="A834" t="str">
        <f>"20190303154113699"</f>
        <v>20190303154113699</v>
      </c>
      <c r="B834" t="str">
        <f>"1551598873690094"</f>
        <v>1551598873690094</v>
      </c>
      <c r="C834" t="s">
        <v>40</v>
      </c>
      <c r="D834">
        <v>6.0790699999999998</v>
      </c>
      <c r="E834">
        <v>0.51749120000000004</v>
      </c>
      <c r="F834" t="s">
        <v>43</v>
      </c>
      <c r="G834">
        <v>-316.39030000000002</v>
      </c>
      <c r="H834">
        <v>-0.05</v>
      </c>
      <c r="I834">
        <v>365.9742</v>
      </c>
      <c r="J834">
        <v>-337.94510000000002</v>
      </c>
      <c r="K834">
        <v>1.1211230000000001</v>
      </c>
      <c r="L834">
        <v>367.50749999999999</v>
      </c>
      <c r="M834">
        <v>0.99989110000000003</v>
      </c>
      <c r="N834">
        <v>-1.4263100000000001E-2</v>
      </c>
      <c r="O834">
        <v>-3.822364E-3</v>
      </c>
      <c r="P834">
        <v>0.99458369999999996</v>
      </c>
      <c r="Q834">
        <v>-0.1007325</v>
      </c>
      <c r="R834">
        <v>-2.5621310000000001E-2</v>
      </c>
      <c r="S834">
        <v>2.9945979999999999</v>
      </c>
      <c r="T834">
        <v>-0.16114249999999999</v>
      </c>
      <c r="U834">
        <v>-0.2110901</v>
      </c>
      <c r="V834">
        <v>2.181572E-2</v>
      </c>
      <c r="W834">
        <v>-8.6535929999999997E-2</v>
      </c>
      <c r="X834">
        <v>0.99600979999999995</v>
      </c>
      <c r="Y834">
        <v>6.6383940000000002E-2</v>
      </c>
      <c r="Z834">
        <v>-2.1062110000000002E-3</v>
      </c>
      <c r="AA834">
        <v>0.99779189999999995</v>
      </c>
      <c r="AB834">
        <v>22</v>
      </c>
      <c r="AC834">
        <v>21.5548</v>
      </c>
      <c r="AD834">
        <v>-1.1711229999999999</v>
      </c>
      <c r="AE834">
        <v>-1.5332999999999899</v>
      </c>
      <c r="AF834">
        <v>1.44664114321823</v>
      </c>
      <c r="AG834">
        <v>-1.1711229999999999</v>
      </c>
      <c r="AH834">
        <v>21.497363120703302</v>
      </c>
      <c r="AI834">
        <v>93.1112268367377</v>
      </c>
      <c r="AJ834">
        <v>86.1501485461351</v>
      </c>
      <c r="AK834">
        <v>21.577787672088999</v>
      </c>
      <c r="AL834">
        <v>94.964352873500999</v>
      </c>
      <c r="AM834">
        <v>88.745244419925996</v>
      </c>
      <c r="AN834">
        <v>0.99999995725806001</v>
      </c>
    </row>
    <row r="835" spans="1:40" x14ac:dyDescent="0.25">
      <c r="A835" t="str">
        <f>"20190303154113722"</f>
        <v>20190303154113722</v>
      </c>
      <c r="B835" t="str">
        <f>"1551598873720350"</f>
        <v>1551598873720350</v>
      </c>
      <c r="C835" t="s">
        <v>40</v>
      </c>
      <c r="D835">
        <v>6.0770239999999998</v>
      </c>
      <c r="E835">
        <v>0.51793990000000001</v>
      </c>
      <c r="F835" t="s">
        <v>43</v>
      </c>
      <c r="G835">
        <v>-316.48790000000002</v>
      </c>
      <c r="H835">
        <v>-0.05</v>
      </c>
      <c r="I835">
        <v>365.96069999999997</v>
      </c>
      <c r="J835">
        <v>-337.72359999999998</v>
      </c>
      <c r="K835">
        <v>1.121124</v>
      </c>
      <c r="L835">
        <v>367.50670000000002</v>
      </c>
      <c r="M835">
        <v>0.99989070000000002</v>
      </c>
      <c r="N835">
        <v>-1.4288189999999999E-2</v>
      </c>
      <c r="O835">
        <v>-3.8224230000000001E-3</v>
      </c>
      <c r="P835">
        <v>0.99458020000000003</v>
      </c>
      <c r="Q835">
        <v>-0.1006365</v>
      </c>
      <c r="R835">
        <v>-2.6128829999999999E-2</v>
      </c>
      <c r="S835">
        <v>2.9942319999999998</v>
      </c>
      <c r="T835">
        <v>-0.16342309999999999</v>
      </c>
      <c r="U835">
        <v>-0.21585080000000001</v>
      </c>
      <c r="V835">
        <v>2.2323260000000001E-2</v>
      </c>
      <c r="W835">
        <v>-8.6415030000000004E-2</v>
      </c>
      <c r="X835">
        <v>0.99600909999999998</v>
      </c>
      <c r="Y835">
        <v>6.7964819999999995E-2</v>
      </c>
      <c r="Z835">
        <v>-2.1839419999999999E-3</v>
      </c>
      <c r="AA835">
        <v>0.9976853</v>
      </c>
      <c r="AB835">
        <v>22</v>
      </c>
      <c r="AC835">
        <v>21.235699999999898</v>
      </c>
      <c r="AD835">
        <v>-1.1711240000000001</v>
      </c>
      <c r="AE835">
        <v>-1.54600000000004</v>
      </c>
      <c r="AF835">
        <v>1.4603903907706</v>
      </c>
      <c r="AG835">
        <v>-1.1711240000000001</v>
      </c>
      <c r="AH835">
        <v>21.177385713277101</v>
      </c>
      <c r="AI835">
        <v>93.157787768958201</v>
      </c>
      <c r="AJ835">
        <v>86.055134119463304</v>
      </c>
      <c r="AK835">
        <v>21.259960892855499</v>
      </c>
      <c r="AL835">
        <v>94.957399523171603</v>
      </c>
      <c r="AM835">
        <v>88.716061446694894</v>
      </c>
      <c r="AN835">
        <v>1.00000000631486</v>
      </c>
    </row>
    <row r="836" spans="1:40" x14ac:dyDescent="0.25">
      <c r="A836" t="str">
        <f>"20190303154113744"</f>
        <v>20190303154113744</v>
      </c>
      <c r="B836" t="str">
        <f>"1551598873739870"</f>
        <v>1551598873739870</v>
      </c>
      <c r="C836" t="s">
        <v>40</v>
      </c>
      <c r="D836">
        <v>6.0913000000000004</v>
      </c>
      <c r="E836">
        <v>0.51823279999999905</v>
      </c>
      <c r="F836" t="s">
        <v>43</v>
      </c>
      <c r="G836">
        <v>-316.26609999999999</v>
      </c>
      <c r="H836">
        <v>-0.05</v>
      </c>
      <c r="I836">
        <v>365.92340000000002</v>
      </c>
      <c r="J836">
        <v>-337.51429999999999</v>
      </c>
      <c r="K836">
        <v>1.1211310000000001</v>
      </c>
      <c r="L836">
        <v>367.5059</v>
      </c>
      <c r="M836">
        <v>0.99989030000000001</v>
      </c>
      <c r="N836">
        <v>-1.4308339999999999E-2</v>
      </c>
      <c r="O836">
        <v>-3.8223290000000002E-3</v>
      </c>
      <c r="P836">
        <v>0.9945872</v>
      </c>
      <c r="Q836">
        <v>-0.1004</v>
      </c>
      <c r="R836">
        <v>-2.6754750000000001E-2</v>
      </c>
      <c r="S836">
        <v>2.9940190000000002</v>
      </c>
      <c r="T836">
        <v>-0.16341020000000001</v>
      </c>
      <c r="U836">
        <v>-0.22091669999999999</v>
      </c>
      <c r="V836">
        <v>2.2949310000000001E-2</v>
      </c>
      <c r="W836">
        <v>-8.6158380000000007E-2</v>
      </c>
      <c r="X836">
        <v>0.99601709999999999</v>
      </c>
      <c r="Y836">
        <v>6.9645890000000002E-2</v>
      </c>
      <c r="Z836">
        <v>-2.2424569999999998E-3</v>
      </c>
      <c r="AA836">
        <v>0.99756929999999999</v>
      </c>
      <c r="AB836">
        <v>21</v>
      </c>
      <c r="AC836">
        <v>21.248200000000001</v>
      </c>
      <c r="AD836">
        <v>-1.1711309999999999</v>
      </c>
      <c r="AE836">
        <v>-1.58249999999998</v>
      </c>
      <c r="AF836">
        <v>1.49674071338383</v>
      </c>
      <c r="AG836">
        <v>-1.1711309999999999</v>
      </c>
      <c r="AH836">
        <v>21.190076968545799</v>
      </c>
      <c r="AI836">
        <v>93.155552924370497</v>
      </c>
      <c r="AJ836">
        <v>85.959678065847996</v>
      </c>
      <c r="AK836">
        <v>21.275129670936401</v>
      </c>
      <c r="AL836">
        <v>94.942639541083906</v>
      </c>
      <c r="AM836">
        <v>88.680076887853701</v>
      </c>
      <c r="AN836">
        <v>1.00000000038305</v>
      </c>
    </row>
    <row r="837" spans="1:40" x14ac:dyDescent="0.25">
      <c r="A837" t="str">
        <f>"20190303154113767"</f>
        <v>20190303154113767</v>
      </c>
      <c r="B837" t="str">
        <f>"1551598873760369"</f>
        <v>1551598873760369</v>
      </c>
      <c r="C837" t="s">
        <v>40</v>
      </c>
      <c r="D837">
        <v>6.0826339999999997</v>
      </c>
      <c r="E837">
        <v>0.5185147</v>
      </c>
      <c r="F837" t="s">
        <v>43</v>
      </c>
      <c r="G837">
        <v>-315.97949999999997</v>
      </c>
      <c r="H837">
        <v>-0.05</v>
      </c>
      <c r="I837">
        <v>365.88630000000001</v>
      </c>
      <c r="J837">
        <v>-337.29840000000002</v>
      </c>
      <c r="K837">
        <v>1.1211329999999999</v>
      </c>
      <c r="L837">
        <v>367.505</v>
      </c>
      <c r="M837">
        <v>0.9998901</v>
      </c>
      <c r="N837">
        <v>-1.4325900000000001E-2</v>
      </c>
      <c r="O837">
        <v>-3.8224539999999999E-3</v>
      </c>
      <c r="P837">
        <v>0.99458829999999998</v>
      </c>
      <c r="Q837">
        <v>-0.1003394</v>
      </c>
      <c r="R837">
        <v>-2.6948380000000001E-2</v>
      </c>
      <c r="S837">
        <v>2.9937740000000002</v>
      </c>
      <c r="T837">
        <v>-0.16281119999999999</v>
      </c>
      <c r="U837">
        <v>-0.22515869999999999</v>
      </c>
      <c r="V837">
        <v>2.314279E-2</v>
      </c>
      <c r="W837">
        <v>-8.6080240000000002E-2</v>
      </c>
      <c r="X837">
        <v>0.9960194</v>
      </c>
      <c r="Y837">
        <v>7.1055510000000002E-2</v>
      </c>
      <c r="Z837">
        <v>-2.2853890000000001E-3</v>
      </c>
      <c r="AA837">
        <v>0.99746970000000001</v>
      </c>
      <c r="AB837">
        <v>21</v>
      </c>
      <c r="AC837">
        <v>21.318899999999999</v>
      </c>
      <c r="AD837">
        <v>-1.171133</v>
      </c>
      <c r="AE837">
        <v>-1.61869999999998</v>
      </c>
      <c r="AF837">
        <v>1.53259083484272</v>
      </c>
      <c r="AG837">
        <v>-1.171133</v>
      </c>
      <c r="AH837">
        <v>21.261139288412298</v>
      </c>
      <c r="AI837">
        <v>93.1447093832099</v>
      </c>
      <c r="AJ837">
        <v>85.877014605193693</v>
      </c>
      <c r="AK837">
        <v>21.348452660837101</v>
      </c>
      <c r="AL837">
        <v>94.938145652562497</v>
      </c>
      <c r="AM837">
        <v>88.668955999169299</v>
      </c>
      <c r="AN837">
        <v>1.0000000208119</v>
      </c>
    </row>
    <row r="838" spans="1:40" x14ac:dyDescent="0.25">
      <c r="A838" t="str">
        <f>"20190303154113790"</f>
        <v>20190303154113790</v>
      </c>
      <c r="B838" t="str">
        <f>"1551598873779889"</f>
        <v>1551598873779889</v>
      </c>
      <c r="C838" t="s">
        <v>40</v>
      </c>
      <c r="D838">
        <v>6.1330429999999998</v>
      </c>
      <c r="E838">
        <v>0.5186482</v>
      </c>
      <c r="F838" t="s">
        <v>43</v>
      </c>
      <c r="G838">
        <v>-315.74900000000002</v>
      </c>
      <c r="H838">
        <v>-0.05</v>
      </c>
      <c r="I838">
        <v>365.86630000000002</v>
      </c>
      <c r="J838">
        <v>-337.0779</v>
      </c>
      <c r="K838">
        <v>1.1211340000000001</v>
      </c>
      <c r="L838">
        <v>367.50420000000003</v>
      </c>
      <c r="M838">
        <v>0.9998899</v>
      </c>
      <c r="N838">
        <v>-1.434099E-2</v>
      </c>
      <c r="O838">
        <v>-3.8225609999999999E-3</v>
      </c>
      <c r="P838">
        <v>0.99455979999999999</v>
      </c>
      <c r="Q838">
        <v>-0.1005733</v>
      </c>
      <c r="R838">
        <v>-2.7128639999999999E-2</v>
      </c>
      <c r="S838">
        <v>2.993744</v>
      </c>
      <c r="T838">
        <v>-0.16269900000000001</v>
      </c>
      <c r="U838">
        <v>-0.22766110000000001</v>
      </c>
      <c r="V838">
        <v>2.332292E-2</v>
      </c>
      <c r="W838">
        <v>-8.6299490000000006E-2</v>
      </c>
      <c r="X838">
        <v>0.9959962</v>
      </c>
      <c r="Y838">
        <v>7.1883779999999994E-2</v>
      </c>
      <c r="Z838">
        <v>-2.3131850000000002E-3</v>
      </c>
      <c r="AA838">
        <v>0.99741040000000003</v>
      </c>
      <c r="AB838">
        <v>21</v>
      </c>
      <c r="AC838">
        <v>21.328899999999901</v>
      </c>
      <c r="AD838">
        <v>-1.1711339999999999</v>
      </c>
      <c r="AE838">
        <v>-1.6378999999999999</v>
      </c>
      <c r="AF838">
        <v>1.55169780453115</v>
      </c>
      <c r="AG838">
        <v>-1.1711339999999999</v>
      </c>
      <c r="AH838">
        <v>21.2712505373098</v>
      </c>
      <c r="AI838">
        <v>93.143024724810701</v>
      </c>
      <c r="AJ838">
        <v>85.8277706854104</v>
      </c>
      <c r="AK838">
        <v>21.3599021613757</v>
      </c>
      <c r="AL838">
        <v>94.950754799219595</v>
      </c>
      <c r="AM838">
        <v>88.658568464286304</v>
      </c>
      <c r="AN838">
        <v>0.99999999549301299</v>
      </c>
    </row>
    <row r="839" spans="1:40" x14ac:dyDescent="0.25">
      <c r="A839" t="str">
        <f>"20190303154113816"</f>
        <v>20190303154113816</v>
      </c>
      <c r="B839" t="str">
        <f>"1551598873810145"</f>
        <v>1551598873810145</v>
      </c>
      <c r="C839" t="s">
        <v>40</v>
      </c>
      <c r="D839">
        <v>6.1240050000000004</v>
      </c>
      <c r="E839">
        <v>0.56035100000000004</v>
      </c>
      <c r="F839" t="s">
        <v>43</v>
      </c>
      <c r="G839">
        <v>-315.63569999999999</v>
      </c>
      <c r="H839">
        <v>-0.05</v>
      </c>
      <c r="I839">
        <v>365.86079999999998</v>
      </c>
      <c r="J839">
        <v>-336.84649999999999</v>
      </c>
      <c r="K839">
        <v>1.1211370000000001</v>
      </c>
      <c r="L839">
        <v>367.50330000000002</v>
      </c>
      <c r="M839">
        <v>0.99988980000000005</v>
      </c>
      <c r="N839">
        <v>-1.435408E-2</v>
      </c>
      <c r="O839">
        <v>-3.8226549999999999E-3</v>
      </c>
      <c r="P839">
        <v>0.99456040000000001</v>
      </c>
      <c r="Q839">
        <v>-0.10070469999999999</v>
      </c>
      <c r="R839">
        <v>-2.661674E-2</v>
      </c>
      <c r="S839">
        <v>2.9936219999999998</v>
      </c>
      <c r="T839">
        <v>-0.16350619999999999</v>
      </c>
      <c r="U839">
        <v>-0.2294312</v>
      </c>
      <c r="V839">
        <v>2.2811040000000001E-2</v>
      </c>
      <c r="W839">
        <v>-8.6417830000000001E-2</v>
      </c>
      <c r="X839">
        <v>0.99599780000000004</v>
      </c>
      <c r="Y839">
        <v>7.2470759999999995E-2</v>
      </c>
      <c r="Z839">
        <v>-2.3425960000000002E-3</v>
      </c>
      <c r="AA839">
        <v>0.99736780000000003</v>
      </c>
      <c r="AB839">
        <v>21</v>
      </c>
      <c r="AC839">
        <v>21.210799999999999</v>
      </c>
      <c r="AD839">
        <v>-1.1711370000000001</v>
      </c>
      <c r="AE839">
        <v>-1.64250000000004</v>
      </c>
      <c r="AF839">
        <v>1.5566806644072999</v>
      </c>
      <c r="AG839">
        <v>-1.1711370000000001</v>
      </c>
      <c r="AH839">
        <v>21.152822117725599</v>
      </c>
      <c r="AI839">
        <v>93.160446067215503</v>
      </c>
      <c r="AJ839">
        <v>85.791070386136596</v>
      </c>
      <c r="AK839">
        <v>21.242332736963</v>
      </c>
      <c r="AL839">
        <v>94.957560578942605</v>
      </c>
      <c r="AM839">
        <v>88.6880012461083</v>
      </c>
      <c r="AN839">
        <v>1.0000000012463099</v>
      </c>
    </row>
    <row r="840" spans="1:40" x14ac:dyDescent="0.25">
      <c r="A840" t="str">
        <f>"20190303154113833"</f>
        <v>20190303154113833</v>
      </c>
      <c r="B840" t="str">
        <f>"1551598873829665"</f>
        <v>1551598873829665</v>
      </c>
      <c r="C840" t="s">
        <v>40</v>
      </c>
      <c r="D840">
        <v>6.1944150000000002</v>
      </c>
      <c r="E840">
        <v>0.56561640000000002</v>
      </c>
      <c r="F840" t="s">
        <v>43</v>
      </c>
      <c r="G840">
        <v>-308.8562</v>
      </c>
      <c r="H840">
        <v>-0.05</v>
      </c>
      <c r="I840">
        <v>362.2577</v>
      </c>
      <c r="J840">
        <v>-336.66829999999999</v>
      </c>
      <c r="K840">
        <v>1.1211390000000001</v>
      </c>
      <c r="L840">
        <v>367.50259999999997</v>
      </c>
      <c r="M840">
        <v>0.99988960000000005</v>
      </c>
      <c r="N840">
        <v>-1.436223E-2</v>
      </c>
      <c r="O840">
        <v>-3.8225939999999999E-3</v>
      </c>
      <c r="P840">
        <v>0.99456719999999998</v>
      </c>
      <c r="Q840">
        <v>-0.1007974</v>
      </c>
      <c r="R840">
        <v>-2.599686E-2</v>
      </c>
      <c r="S840">
        <v>2.9887700000000001</v>
      </c>
      <c r="T840">
        <v>-0.12505269999999999</v>
      </c>
      <c r="U840">
        <v>-0.56011959999999905</v>
      </c>
      <c r="V840">
        <v>2.219115E-2</v>
      </c>
      <c r="W840">
        <v>-8.6502369999999995E-2</v>
      </c>
      <c r="X840">
        <v>0.99600449999999996</v>
      </c>
      <c r="Y840">
        <v>0.18023749999999999</v>
      </c>
      <c r="Z840">
        <v>-4.938741E-3</v>
      </c>
      <c r="AA840">
        <v>0.98361069999999995</v>
      </c>
      <c r="AB840">
        <v>21</v>
      </c>
      <c r="AC840">
        <v>27.812099999999901</v>
      </c>
      <c r="AD840">
        <v>-1.1711389999999999</v>
      </c>
      <c r="AE840">
        <v>-5.2448999999999701</v>
      </c>
      <c r="AF840">
        <v>5.1297528170335998</v>
      </c>
      <c r="AG840">
        <v>-1.1711389999999999</v>
      </c>
      <c r="AH840">
        <v>27.7843735717009</v>
      </c>
      <c r="AI840">
        <v>92.373577074085105</v>
      </c>
      <c r="AJ840">
        <v>79.539432817957007</v>
      </c>
      <c r="AK840">
        <v>28.278213262032899</v>
      </c>
      <c r="AL840">
        <v>94.962422399928798</v>
      </c>
      <c r="AM840">
        <v>88.723651435791993</v>
      </c>
      <c r="AN840">
        <v>1.0000000355870899</v>
      </c>
    </row>
    <row r="841" spans="1:40" x14ac:dyDescent="0.25">
      <c r="A841" t="str">
        <f>"20190303154113846"</f>
        <v>20190303154113846</v>
      </c>
      <c r="B841" t="str">
        <f>"1551598873840401"</f>
        <v>1551598873840401</v>
      </c>
      <c r="C841" t="s">
        <v>40</v>
      </c>
      <c r="D841">
        <v>6.1861300000000004</v>
      </c>
      <c r="E841">
        <v>0.5671503</v>
      </c>
      <c r="F841" t="s">
        <v>43</v>
      </c>
      <c r="G841">
        <v>-312.48540000000003</v>
      </c>
      <c r="H841">
        <v>-0.05</v>
      </c>
      <c r="I841">
        <v>362.64120000000003</v>
      </c>
      <c r="J841">
        <v>-336.54509999999999</v>
      </c>
      <c r="K841">
        <v>1.1211340000000001</v>
      </c>
      <c r="L841">
        <v>367.50209999999998</v>
      </c>
      <c r="M841">
        <v>0.99988949999999999</v>
      </c>
      <c r="N841">
        <v>-1.436696E-2</v>
      </c>
      <c r="O841">
        <v>-3.8226279999999998E-3</v>
      </c>
      <c r="P841">
        <v>0.99458539999999995</v>
      </c>
      <c r="Q841">
        <v>-0.1006862</v>
      </c>
      <c r="R841">
        <v>-2.573402E-2</v>
      </c>
      <c r="S841">
        <v>2.9860530000000001</v>
      </c>
      <c r="T841">
        <v>-0.14460970000000001</v>
      </c>
      <c r="U841">
        <v>-0.60028079999999995</v>
      </c>
      <c r="V841">
        <v>2.1928130000000001E-2</v>
      </c>
      <c r="W841">
        <v>-8.6386180000000007E-2</v>
      </c>
      <c r="X841">
        <v>0.99602040000000003</v>
      </c>
      <c r="Y841">
        <v>0.19305369999999999</v>
      </c>
      <c r="Z841">
        <v>-5.8985319999999997E-3</v>
      </c>
      <c r="AA841">
        <v>0.98117049999999995</v>
      </c>
      <c r="AB841">
        <v>21</v>
      </c>
      <c r="AC841">
        <v>24.0596999999999</v>
      </c>
      <c r="AD841">
        <v>-1.1711339999999999</v>
      </c>
      <c r="AE841">
        <v>-4.8608999999999503</v>
      </c>
      <c r="AF841">
        <v>4.7580522398174496</v>
      </c>
      <c r="AG841">
        <v>-1.1711339999999999</v>
      </c>
      <c r="AH841">
        <v>24.023419418663298</v>
      </c>
      <c r="AI841">
        <v>92.737842078640199</v>
      </c>
      <c r="AJ841">
        <v>78.797046108091095</v>
      </c>
      <c r="AK841">
        <v>24.518060619221</v>
      </c>
      <c r="AL841">
        <v>94.955740237083603</v>
      </c>
      <c r="AM841">
        <v>88.738794533791307</v>
      </c>
      <c r="AN841">
        <v>1.00000002609822</v>
      </c>
    </row>
    <row r="842" spans="1:40" x14ac:dyDescent="0.25">
      <c r="A842" t="str">
        <f>"20190303154113858"</f>
        <v>20190303154113858</v>
      </c>
      <c r="B842" t="str">
        <f>"1551598873850161"</f>
        <v>1551598873850161</v>
      </c>
      <c r="C842" t="s">
        <v>40</v>
      </c>
      <c r="D842">
        <v>6.1768340000000004</v>
      </c>
      <c r="E842">
        <v>0.56808570000000003</v>
      </c>
      <c r="F842" t="s">
        <v>43</v>
      </c>
      <c r="G842">
        <v>-313.34690000000001</v>
      </c>
      <c r="H842">
        <v>-0.05</v>
      </c>
      <c r="I842">
        <v>362.74849999999998</v>
      </c>
      <c r="J842">
        <v>-336.42849999999999</v>
      </c>
      <c r="K842">
        <v>1.1211340000000001</v>
      </c>
      <c r="L842">
        <v>367.50170000000003</v>
      </c>
      <c r="M842">
        <v>0.99988949999999999</v>
      </c>
      <c r="N842">
        <v>-1.437105E-2</v>
      </c>
      <c r="O842">
        <v>-3.8226570000000001E-3</v>
      </c>
      <c r="P842">
        <v>0.99460599999999999</v>
      </c>
      <c r="Q842">
        <v>-0.10055119999999999</v>
      </c>
      <c r="R842">
        <v>-2.5471830000000001E-2</v>
      </c>
      <c r="S842">
        <v>2.9852910000000001</v>
      </c>
      <c r="T842">
        <v>-0.15070919999999999</v>
      </c>
      <c r="U842">
        <v>-0.61172490000000002</v>
      </c>
      <c r="V842">
        <v>2.1665899999999998E-2</v>
      </c>
      <c r="W842">
        <v>-8.624677E-2</v>
      </c>
      <c r="X842">
        <v>0.99603819999999998</v>
      </c>
      <c r="Y842">
        <v>0.19668630000000001</v>
      </c>
      <c r="Z842">
        <v>-6.2031789999999996E-3</v>
      </c>
      <c r="AA842">
        <v>0.98044679999999995</v>
      </c>
      <c r="AB842">
        <v>21</v>
      </c>
      <c r="AC842">
        <v>23.081599999999899</v>
      </c>
      <c r="AD842">
        <v>-1.1711339999999999</v>
      </c>
      <c r="AE842">
        <v>-4.7532000000000396</v>
      </c>
      <c r="AF842">
        <v>4.65343054828202</v>
      </c>
      <c r="AG842">
        <v>-1.1711339999999999</v>
      </c>
      <c r="AH842">
        <v>23.042694544284998</v>
      </c>
      <c r="AI842">
        <v>92.852048726641002</v>
      </c>
      <c r="AJ842">
        <v>78.582777757162205</v>
      </c>
      <c r="AK842">
        <v>23.5370291790375</v>
      </c>
      <c r="AL842">
        <v>94.947722808047004</v>
      </c>
      <c r="AM842">
        <v>88.753894278516299</v>
      </c>
      <c r="AN842">
        <v>1.00000000620874</v>
      </c>
    </row>
    <row r="843" spans="1:40" x14ac:dyDescent="0.25">
      <c r="A843" t="str">
        <f>"20190303154113870"</f>
        <v>20190303154113870</v>
      </c>
      <c r="B843" t="str">
        <f>"1551598873859921"</f>
        <v>1551598873859921</v>
      </c>
      <c r="C843" t="s">
        <v>40</v>
      </c>
      <c r="D843">
        <v>6.1588760000000002</v>
      </c>
      <c r="E843">
        <v>0.5689265</v>
      </c>
      <c r="F843" t="s">
        <v>43</v>
      </c>
      <c r="G843">
        <v>-313.82089999999999</v>
      </c>
      <c r="H843">
        <v>-0.05</v>
      </c>
      <c r="I843">
        <v>362.81849999999997</v>
      </c>
      <c r="J843">
        <v>-336.30709999999999</v>
      </c>
      <c r="K843">
        <v>1.121132</v>
      </c>
      <c r="L843">
        <v>367.50119999999998</v>
      </c>
      <c r="M843">
        <v>0.99988940000000004</v>
      </c>
      <c r="N843">
        <v>-1.4374609999999999E-2</v>
      </c>
      <c r="O843">
        <v>-3.8226829999999999E-3</v>
      </c>
      <c r="P843">
        <v>0.99460649999999995</v>
      </c>
      <c r="Q843">
        <v>-0.1005612</v>
      </c>
      <c r="R843">
        <v>-2.5405549999999999E-2</v>
      </c>
      <c r="S843">
        <v>2.984772</v>
      </c>
      <c r="T843">
        <v>-0.154618899999999</v>
      </c>
      <c r="U843">
        <v>-0.61828609999999995</v>
      </c>
      <c r="V843">
        <v>2.1599650000000001E-2</v>
      </c>
      <c r="W843">
        <v>-8.6253319999999994E-2</v>
      </c>
      <c r="X843">
        <v>0.99603909999999996</v>
      </c>
      <c r="Y843">
        <v>0.1987691</v>
      </c>
      <c r="Z843">
        <v>-6.3944309999999999E-3</v>
      </c>
      <c r="AA843">
        <v>0.98002549999999999</v>
      </c>
      <c r="AB843">
        <v>21</v>
      </c>
      <c r="AC843">
        <v>22.4862</v>
      </c>
      <c r="AD843">
        <v>-1.1711320000000001</v>
      </c>
      <c r="AE843">
        <v>-4.6827000000000103</v>
      </c>
      <c r="AF843">
        <v>4.5847797065208002</v>
      </c>
      <c r="AG843">
        <v>-1.1711320000000001</v>
      </c>
      <c r="AH843">
        <v>22.445583637272101</v>
      </c>
      <c r="AI843">
        <v>92.926466556828203</v>
      </c>
      <c r="AJ843">
        <v>78.455458856627601</v>
      </c>
      <c r="AK843">
        <v>22.938962050112998</v>
      </c>
      <c r="AL843">
        <v>94.948099359241198</v>
      </c>
      <c r="AM843">
        <v>88.757704547463405</v>
      </c>
      <c r="AN843">
        <v>1.00000003440997</v>
      </c>
    </row>
    <row r="844" spans="1:40" x14ac:dyDescent="0.25">
      <c r="A844" t="str">
        <f>"20190303154113884"</f>
        <v>20190303154113884</v>
      </c>
      <c r="B844" t="str">
        <f>"1551598873880417"</f>
        <v>1551598873880417</v>
      </c>
      <c r="C844" t="s">
        <v>40</v>
      </c>
      <c r="D844">
        <v>6.1626479999999999</v>
      </c>
      <c r="E844">
        <v>0.57026060000000001</v>
      </c>
      <c r="F844" t="s">
        <v>43</v>
      </c>
      <c r="G844">
        <v>-314.29360000000003</v>
      </c>
      <c r="H844">
        <v>-0.05</v>
      </c>
      <c r="I844">
        <v>362.89080000000001</v>
      </c>
      <c r="J844">
        <v>-336.19029999999998</v>
      </c>
      <c r="K844">
        <v>1.12113</v>
      </c>
      <c r="L844">
        <v>367.50080000000003</v>
      </c>
      <c r="M844">
        <v>0.99988940000000004</v>
      </c>
      <c r="N844">
        <v>-1.4377559999999999E-2</v>
      </c>
      <c r="O844">
        <v>-3.8227040000000001E-3</v>
      </c>
      <c r="P844">
        <v>0.99459140000000001</v>
      </c>
      <c r="Q844">
        <v>-0.100725</v>
      </c>
      <c r="R844">
        <v>-2.5350620000000001E-2</v>
      </c>
      <c r="S844">
        <v>2.9842219999999999</v>
      </c>
      <c r="T844">
        <v>-0.1587626</v>
      </c>
      <c r="U844">
        <v>-0.625</v>
      </c>
      <c r="V844">
        <v>2.154472E-2</v>
      </c>
      <c r="W844">
        <v>-8.6414370000000004E-2</v>
      </c>
      <c r="X844">
        <v>0.99602630000000003</v>
      </c>
      <c r="Y844">
        <v>0.2008983</v>
      </c>
      <c r="Z844">
        <v>-6.5973580000000002E-3</v>
      </c>
      <c r="AA844">
        <v>0.97958990000000001</v>
      </c>
      <c r="AB844">
        <v>21</v>
      </c>
      <c r="AC844">
        <v>21.8966999999999</v>
      </c>
      <c r="AD844">
        <v>-1.17113</v>
      </c>
      <c r="AE844">
        <v>-4.6100000000000101</v>
      </c>
      <c r="AF844">
        <v>4.51388879710208</v>
      </c>
      <c r="AG844">
        <v>-1.17113</v>
      </c>
      <c r="AH844">
        <v>21.854302036172601</v>
      </c>
      <c r="AI844">
        <v>93.004146199365707</v>
      </c>
      <c r="AJ844">
        <v>78.329967932238205</v>
      </c>
      <c r="AK844">
        <v>22.346302938914999</v>
      </c>
      <c r="AL844">
        <v>94.957361575997297</v>
      </c>
      <c r="AM844">
        <v>88.760846919453996</v>
      </c>
      <c r="AN844">
        <v>1.0000000042970301</v>
      </c>
    </row>
    <row r="845" spans="1:40" x14ac:dyDescent="0.25">
      <c r="A845" t="str">
        <f>"20190303154113901"</f>
        <v>20190303154113901</v>
      </c>
      <c r="B845" t="str">
        <f>"1551598873890177"</f>
        <v>1551598873890177</v>
      </c>
      <c r="C845" t="s">
        <v>40</v>
      </c>
      <c r="D845">
        <v>6.1974080000000002</v>
      </c>
      <c r="E845">
        <v>0.57078309999999999</v>
      </c>
      <c r="F845" t="s">
        <v>43</v>
      </c>
      <c r="G845">
        <v>-315.05919999999998</v>
      </c>
      <c r="H845">
        <v>-0.05</v>
      </c>
      <c r="I845">
        <v>362.99919999999997</v>
      </c>
      <c r="J845">
        <v>-336.02370000000002</v>
      </c>
      <c r="K845">
        <v>1.121132</v>
      </c>
      <c r="L845">
        <v>367.50009999999997</v>
      </c>
      <c r="M845">
        <v>0.99988940000000004</v>
      </c>
      <c r="N845">
        <v>-1.4381079999999999E-2</v>
      </c>
      <c r="O845">
        <v>-3.822729E-3</v>
      </c>
      <c r="P845">
        <v>0.99455519999999997</v>
      </c>
      <c r="Q845">
        <v>-0.1010765</v>
      </c>
      <c r="R845">
        <v>-2.5370239999999999E-2</v>
      </c>
      <c r="S845">
        <v>2.9833069999999999</v>
      </c>
      <c r="T845">
        <v>-0.16534090000000001</v>
      </c>
      <c r="U845">
        <v>-0.6355286</v>
      </c>
      <c r="V845">
        <v>2.156456E-2</v>
      </c>
      <c r="W845">
        <v>-8.6762759999999994E-2</v>
      </c>
      <c r="X845">
        <v>0.99599559999999998</v>
      </c>
      <c r="Y845">
        <v>0.20423479999999999</v>
      </c>
      <c r="Z845">
        <v>-6.9239180000000003E-3</v>
      </c>
      <c r="AA845">
        <v>0.97889749999999998</v>
      </c>
      <c r="AB845">
        <v>21</v>
      </c>
      <c r="AC845">
        <v>20.964500000000001</v>
      </c>
      <c r="AD845">
        <v>-1.1711320000000001</v>
      </c>
      <c r="AE845">
        <v>-4.5008999999999997</v>
      </c>
      <c r="AF845">
        <v>4.4075688616349202</v>
      </c>
      <c r="AG845">
        <v>-1.1711320000000001</v>
      </c>
      <c r="AH845">
        <v>20.919149680996</v>
      </c>
      <c r="AI845">
        <v>93.135585876502503</v>
      </c>
      <c r="AJ845">
        <v>78.102064958105004</v>
      </c>
      <c r="AK845">
        <v>21.4104889436788</v>
      </c>
      <c r="AL845">
        <v>94.977398023379905</v>
      </c>
      <c r="AM845">
        <v>88.759667952136297</v>
      </c>
      <c r="AN845">
        <v>1.0000000209950799</v>
      </c>
    </row>
    <row r="846" spans="1:40" x14ac:dyDescent="0.25">
      <c r="A846" t="str">
        <f>"20190303154113913"</f>
        <v>20190303154113913</v>
      </c>
      <c r="B846" t="str">
        <f>"1551598873909698"</f>
        <v>1551598873909698</v>
      </c>
      <c r="C846" t="s">
        <v>40</v>
      </c>
      <c r="D846">
        <v>6.1863650000000003</v>
      </c>
      <c r="E846">
        <v>0.57203470000000001</v>
      </c>
      <c r="F846" t="s">
        <v>43</v>
      </c>
      <c r="G846">
        <v>-315.28300000000002</v>
      </c>
      <c r="H846">
        <v>-0.05</v>
      </c>
      <c r="I846">
        <v>363.05239999999998</v>
      </c>
      <c r="J846">
        <v>-335.90929999999997</v>
      </c>
      <c r="K846">
        <v>1.1211340000000001</v>
      </c>
      <c r="L846">
        <v>367.49970000000002</v>
      </c>
      <c r="M846">
        <v>0.99988929999999998</v>
      </c>
      <c r="N846">
        <v>-1.438306E-2</v>
      </c>
      <c r="O846">
        <v>-3.8225049999999999E-3</v>
      </c>
      <c r="P846">
        <v>0.99452689999999999</v>
      </c>
      <c r="Q846">
        <v>-0.10137500000000001</v>
      </c>
      <c r="R846">
        <v>-2.5295539999999998E-2</v>
      </c>
      <c r="S846">
        <v>2.9830019999999999</v>
      </c>
      <c r="T846">
        <v>-0.1684358</v>
      </c>
      <c r="U846">
        <v>-0.639679</v>
      </c>
      <c r="V846">
        <v>2.1489790000000002E-2</v>
      </c>
      <c r="W846">
        <v>-8.7059700000000004E-2</v>
      </c>
      <c r="X846">
        <v>0.9959713</v>
      </c>
      <c r="Y846">
        <v>0.20554259999999999</v>
      </c>
      <c r="Z846">
        <v>-7.0707590000000002E-3</v>
      </c>
      <c r="AA846">
        <v>0.97862260000000001</v>
      </c>
      <c r="AB846">
        <v>21</v>
      </c>
      <c r="AC846">
        <v>20.626299999999901</v>
      </c>
      <c r="AD846">
        <v>-1.1711339999999999</v>
      </c>
      <c r="AE846">
        <v>-4.4473000000000402</v>
      </c>
      <c r="AF846">
        <v>4.3549991873152099</v>
      </c>
      <c r="AG846">
        <v>-1.1711339999999999</v>
      </c>
      <c r="AH846">
        <v>20.5797527962022</v>
      </c>
      <c r="AI846">
        <v>93.186605324757906</v>
      </c>
      <c r="AJ846">
        <v>78.051585941037601</v>
      </c>
      <c r="AK846">
        <v>21.0680753254839</v>
      </c>
      <c r="AL846">
        <v>94.994476076950505</v>
      </c>
      <c r="AM846">
        <v>88.763937025280995</v>
      </c>
      <c r="AN846">
        <v>1.0000000164310101</v>
      </c>
    </row>
    <row r="847" spans="1:40" x14ac:dyDescent="0.25">
      <c r="A847" t="str">
        <f>"20190303154113926"</f>
        <v>20190303154113926</v>
      </c>
      <c r="B847" t="str">
        <f>"1551598873920433"</f>
        <v>1551598873920433</v>
      </c>
      <c r="C847" t="s">
        <v>40</v>
      </c>
      <c r="D847">
        <v>6.1587759999999996</v>
      </c>
      <c r="E847">
        <v>0.57259490000000002</v>
      </c>
      <c r="F847" t="s">
        <v>43</v>
      </c>
      <c r="G847">
        <v>-315.29520000000002</v>
      </c>
      <c r="H847">
        <v>-0.05</v>
      </c>
      <c r="I847">
        <v>363.01170000000002</v>
      </c>
      <c r="J847">
        <v>-335.79500000000002</v>
      </c>
      <c r="K847">
        <v>1.121135</v>
      </c>
      <c r="L847">
        <v>367.49919999999997</v>
      </c>
      <c r="M847">
        <v>0.99988940000000004</v>
      </c>
      <c r="N847">
        <v>-1.4384569999999999E-2</v>
      </c>
      <c r="O847">
        <v>-3.8227550000000002E-3</v>
      </c>
      <c r="P847">
        <v>0.99449140000000003</v>
      </c>
      <c r="Q847">
        <v>-0.10164869999999999</v>
      </c>
      <c r="R847">
        <v>-2.5594950000000002E-2</v>
      </c>
      <c r="S847">
        <v>2.982758</v>
      </c>
      <c r="T847">
        <v>-0.1694571</v>
      </c>
      <c r="U847">
        <v>-0.6493835</v>
      </c>
      <c r="V847">
        <v>2.1789099999999999E-2</v>
      </c>
      <c r="W847">
        <v>-8.7332409999999999E-2</v>
      </c>
      <c r="X847">
        <v>0.99594090000000002</v>
      </c>
      <c r="Y847">
        <v>0.20858979999999999</v>
      </c>
      <c r="Z847">
        <v>-7.21107E-3</v>
      </c>
      <c r="AA847">
        <v>0.97797659999999997</v>
      </c>
      <c r="AB847">
        <v>21</v>
      </c>
      <c r="AC847">
        <v>20.4998</v>
      </c>
      <c r="AD847">
        <v>-1.171135</v>
      </c>
      <c r="AE847">
        <v>-4.4874999999999501</v>
      </c>
      <c r="AF847">
        <v>4.3954039563626903</v>
      </c>
      <c r="AG847">
        <v>-1.171135</v>
      </c>
      <c r="AH847">
        <v>20.45310558485</v>
      </c>
      <c r="AI847">
        <v>93.204154908962806</v>
      </c>
      <c r="AJ847">
        <v>77.871511848267502</v>
      </c>
      <c r="AK847">
        <v>20.9528198864224</v>
      </c>
      <c r="AL847">
        <v>95.010161054896201</v>
      </c>
      <c r="AM847">
        <v>88.746688338996094</v>
      </c>
      <c r="AN847">
        <v>0.99999999550401397</v>
      </c>
    </row>
    <row r="848" spans="1:40" x14ac:dyDescent="0.25">
      <c r="A848" t="str">
        <f>"20190303154113939"</f>
        <v>20190303154113939</v>
      </c>
      <c r="B848" t="str">
        <f>"1551598873930194"</f>
        <v>1551598873930194</v>
      </c>
      <c r="C848" t="s">
        <v>40</v>
      </c>
      <c r="D848">
        <v>6.1929629999999998</v>
      </c>
      <c r="E848">
        <v>0.57312099999999999</v>
      </c>
      <c r="F848" t="s">
        <v>43</v>
      </c>
      <c r="G848">
        <v>-315.20960000000002</v>
      </c>
      <c r="H848">
        <v>-0.05</v>
      </c>
      <c r="I848">
        <v>362.9794</v>
      </c>
      <c r="J848">
        <v>-335.66370000000001</v>
      </c>
      <c r="K848">
        <v>1.1211340000000001</v>
      </c>
      <c r="L848">
        <v>367.49869999999999</v>
      </c>
      <c r="M848">
        <v>0.99988940000000004</v>
      </c>
      <c r="N848">
        <v>-1.4386029999999999E-2</v>
      </c>
      <c r="O848">
        <v>-3.8227650000000001E-3</v>
      </c>
      <c r="P848">
        <v>0.99450119999999997</v>
      </c>
      <c r="Q848">
        <v>-0.1014487</v>
      </c>
      <c r="R848">
        <v>-2.599622E-2</v>
      </c>
      <c r="S848">
        <v>2.9824519999999999</v>
      </c>
      <c r="T848">
        <v>-0.16967689999999999</v>
      </c>
      <c r="U848">
        <v>-0.65484619999999905</v>
      </c>
      <c r="V848">
        <v>2.219074E-2</v>
      </c>
      <c r="W848">
        <v>-8.7130810000000003E-2</v>
      </c>
      <c r="X848">
        <v>0.99594970000000005</v>
      </c>
      <c r="Y848">
        <v>0.21031549999999999</v>
      </c>
      <c r="Z848">
        <v>-7.2793349999999996E-3</v>
      </c>
      <c r="AA848">
        <v>0.97760650000000004</v>
      </c>
      <c r="AB848">
        <v>21</v>
      </c>
      <c r="AC848">
        <v>20.454099999999901</v>
      </c>
      <c r="AD848">
        <v>-1.1711339999999999</v>
      </c>
      <c r="AE848">
        <v>-4.5192999999999799</v>
      </c>
      <c r="AF848">
        <v>4.4272293288265399</v>
      </c>
      <c r="AG848">
        <v>-1.1711339999999999</v>
      </c>
      <c r="AH848">
        <v>20.407440261778302</v>
      </c>
      <c r="AI848">
        <v>93.209958410740398</v>
      </c>
      <c r="AJ848">
        <v>77.759814334697197</v>
      </c>
      <c r="AK848">
        <v>20.914959536514299</v>
      </c>
      <c r="AL848">
        <v>94.998565973686894</v>
      </c>
      <c r="AM848">
        <v>88.723604805777299</v>
      </c>
      <c r="AN848">
        <v>1.0000000059615399</v>
      </c>
    </row>
    <row r="849" spans="1:40" x14ac:dyDescent="0.25">
      <c r="A849" t="str">
        <f>"20190303154113957"</f>
        <v>20190303154113957</v>
      </c>
      <c r="B849" t="str">
        <f>"1551598873949716"</f>
        <v>1551598873949716</v>
      </c>
      <c r="C849" t="s">
        <v>40</v>
      </c>
      <c r="D849">
        <v>6.1367779999999996</v>
      </c>
      <c r="E849">
        <v>0.57386789999999999</v>
      </c>
      <c r="F849" t="s">
        <v>43</v>
      </c>
      <c r="G849">
        <v>-315.10559999999998</v>
      </c>
      <c r="H849">
        <v>-0.05</v>
      </c>
      <c r="I849">
        <v>362.94709999999998</v>
      </c>
      <c r="J849">
        <v>-335.49849999999998</v>
      </c>
      <c r="K849">
        <v>1.1211370000000001</v>
      </c>
      <c r="L849">
        <v>367.49799999999999</v>
      </c>
      <c r="M849">
        <v>0.99988929999999998</v>
      </c>
      <c r="N849">
        <v>-1.438731E-2</v>
      </c>
      <c r="O849">
        <v>-3.8227740000000001E-3</v>
      </c>
      <c r="P849">
        <v>0.99451239999999996</v>
      </c>
      <c r="Q849">
        <v>-0.1012744</v>
      </c>
      <c r="R849">
        <v>-2.6247880000000001E-2</v>
      </c>
      <c r="S849">
        <v>2.981995</v>
      </c>
      <c r="T849">
        <v>-0.16987539999999901</v>
      </c>
      <c r="U849">
        <v>-0.66021730000000001</v>
      </c>
      <c r="V849">
        <v>2.2442170000000001E-2</v>
      </c>
      <c r="W849">
        <v>-8.6955069999999995E-2</v>
      </c>
      <c r="X849">
        <v>0.99595940000000005</v>
      </c>
      <c r="Y849">
        <v>0.21202170000000001</v>
      </c>
      <c r="Z849">
        <v>-7.3465839999999998E-3</v>
      </c>
      <c r="AA849">
        <v>0.97723729999999998</v>
      </c>
      <c r="AB849">
        <v>21</v>
      </c>
      <c r="AC849">
        <v>20.392900000000001</v>
      </c>
      <c r="AD849">
        <v>-1.1711370000000001</v>
      </c>
      <c r="AE849">
        <v>-4.5509000000000697</v>
      </c>
      <c r="AF849">
        <v>4.4588931848513997</v>
      </c>
      <c r="AG849">
        <v>-1.1711370000000001</v>
      </c>
      <c r="AH849">
        <v>20.346230161635901</v>
      </c>
      <c r="AI849">
        <v>93.218126405601097</v>
      </c>
      <c r="AJ849">
        <v>77.638997570768197</v>
      </c>
      <c r="AK849">
        <v>20.8619838964789</v>
      </c>
      <c r="AL849">
        <v>94.988458576684593</v>
      </c>
      <c r="AM849">
        <v>88.709160169126605</v>
      </c>
      <c r="AN849">
        <v>0.99999998082068597</v>
      </c>
    </row>
    <row r="850" spans="1:40" x14ac:dyDescent="0.25">
      <c r="A850" t="str">
        <f>"20190303154113970"</f>
        <v>20190303154113970</v>
      </c>
      <c r="B850" t="str">
        <f>"1551598873960449"</f>
        <v>1551598873960449</v>
      </c>
      <c r="C850" t="s">
        <v>40</v>
      </c>
      <c r="D850">
        <v>6.1699409999999997</v>
      </c>
      <c r="E850">
        <v>0.57418539999999996</v>
      </c>
      <c r="F850" t="s">
        <v>43</v>
      </c>
      <c r="G850">
        <v>-315.06560000000002</v>
      </c>
      <c r="H850">
        <v>-0.05</v>
      </c>
      <c r="I850">
        <v>362.92599999999999</v>
      </c>
      <c r="J850">
        <v>-335.36799999999999</v>
      </c>
      <c r="K850">
        <v>1.1211390000000001</v>
      </c>
      <c r="L850">
        <v>367.49759999999998</v>
      </c>
      <c r="M850">
        <v>0.99988929999999998</v>
      </c>
      <c r="N850">
        <v>-1.4387870000000001E-2</v>
      </c>
      <c r="O850">
        <v>-3.8227780000000002E-3</v>
      </c>
      <c r="P850">
        <v>0.99450280000000002</v>
      </c>
      <c r="Q850">
        <v>-0.1011782</v>
      </c>
      <c r="R850">
        <v>-2.6969150000000001E-2</v>
      </c>
      <c r="S850">
        <v>2.9815369999999999</v>
      </c>
      <c r="T850">
        <v>-0.1708906</v>
      </c>
      <c r="U850">
        <v>-0.66714479999999998</v>
      </c>
      <c r="V850">
        <v>2.3163409999999999E-2</v>
      </c>
      <c r="W850">
        <v>-8.6858480000000002E-2</v>
      </c>
      <c r="X850">
        <v>0.99595140000000004</v>
      </c>
      <c r="Y850">
        <v>0.2142076</v>
      </c>
      <c r="Z850">
        <v>-7.4585110000000001E-3</v>
      </c>
      <c r="AA850">
        <v>0.97675970000000001</v>
      </c>
      <c r="AB850">
        <v>21</v>
      </c>
      <c r="AC850">
        <v>20.302399999999999</v>
      </c>
      <c r="AD850">
        <v>-1.1711389999999999</v>
      </c>
      <c r="AE850">
        <v>-4.5715999999999797</v>
      </c>
      <c r="AF850">
        <v>4.4797598021694096</v>
      </c>
      <c r="AG850">
        <v>-1.1711389999999999</v>
      </c>
      <c r="AH850">
        <v>20.255581146368701</v>
      </c>
      <c r="AI850">
        <v>93.231141649137697</v>
      </c>
      <c r="AJ850">
        <v>77.529106461004801</v>
      </c>
      <c r="AK850">
        <v>20.7780745503423</v>
      </c>
      <c r="AL850">
        <v>94.982902937580604</v>
      </c>
      <c r="AM850">
        <v>88.6676795520887</v>
      </c>
      <c r="AN850">
        <v>1.0000000651363401</v>
      </c>
    </row>
    <row r="851" spans="1:40" x14ac:dyDescent="0.25">
      <c r="A851" t="str">
        <f>"20190303154113982"</f>
        <v>20190303154113982</v>
      </c>
      <c r="B851" t="str">
        <f>"1551598873970210"</f>
        <v>1551598873970210</v>
      </c>
      <c r="C851" t="s">
        <v>40</v>
      </c>
      <c r="D851">
        <v>6.1746650000000001</v>
      </c>
      <c r="E851">
        <v>0.57442530000000003</v>
      </c>
      <c r="F851" t="s">
        <v>43</v>
      </c>
      <c r="G851">
        <v>-314.93549999999999</v>
      </c>
      <c r="H851">
        <v>-0.05</v>
      </c>
      <c r="I851">
        <v>362.89150000000001</v>
      </c>
      <c r="J851">
        <v>-335.2654</v>
      </c>
      <c r="K851">
        <v>1.1211390000000001</v>
      </c>
      <c r="L851">
        <v>367.49720000000002</v>
      </c>
      <c r="M851">
        <v>0.99988929999999998</v>
      </c>
      <c r="N851">
        <v>-1.4388099999999999E-2</v>
      </c>
      <c r="O851">
        <v>-3.82278E-3</v>
      </c>
      <c r="P851">
        <v>0.99449739999999998</v>
      </c>
      <c r="Q851">
        <v>-0.1011175</v>
      </c>
      <c r="R851">
        <v>-2.7393029999999999E-2</v>
      </c>
      <c r="S851">
        <v>2.980988</v>
      </c>
      <c r="T851">
        <v>-0.17086219999999999</v>
      </c>
      <c r="U851">
        <v>-0.67199709999999901</v>
      </c>
      <c r="V851">
        <v>2.3587360000000002E-2</v>
      </c>
      <c r="W851">
        <v>-8.6797650000000004E-2</v>
      </c>
      <c r="X851">
        <v>0.99594669999999996</v>
      </c>
      <c r="Y851">
        <v>0.21575630000000001</v>
      </c>
      <c r="Z851">
        <v>-7.512945E-3</v>
      </c>
      <c r="AA851">
        <v>0.97641840000000002</v>
      </c>
      <c r="AB851">
        <v>21</v>
      </c>
      <c r="AC851">
        <v>20.329899999999999</v>
      </c>
      <c r="AD851">
        <v>-1.1711389999999999</v>
      </c>
      <c r="AE851">
        <v>-4.6057000000000103</v>
      </c>
      <c r="AF851">
        <v>4.5136939619061804</v>
      </c>
      <c r="AG851">
        <v>-1.1711389999999999</v>
      </c>
      <c r="AH851">
        <v>20.2833348817367</v>
      </c>
      <c r="AI851">
        <v>93.225796963865307</v>
      </c>
      <c r="AJ851">
        <v>77.454271924435403</v>
      </c>
      <c r="AK851">
        <v>20.812464382281799</v>
      </c>
      <c r="AL851">
        <v>94.979404685904996</v>
      </c>
      <c r="AM851">
        <v>88.643297291915303</v>
      </c>
      <c r="AN851">
        <v>1.00000001241909</v>
      </c>
    </row>
    <row r="852" spans="1:40" x14ac:dyDescent="0.25">
      <c r="A852" t="str">
        <f>"20190303154113996"</f>
        <v>20190303154113996</v>
      </c>
      <c r="B852" t="str">
        <f>"1551598873989731"</f>
        <v>1551598873989731</v>
      </c>
      <c r="C852" t="s">
        <v>40</v>
      </c>
      <c r="D852">
        <v>6.1329039999999999</v>
      </c>
      <c r="E852">
        <v>0.57495490000000005</v>
      </c>
      <c r="F852" t="s">
        <v>43</v>
      </c>
      <c r="G852">
        <v>-315.00889999999998</v>
      </c>
      <c r="H852">
        <v>-0.05</v>
      </c>
      <c r="I852">
        <v>362.90839999999997</v>
      </c>
      <c r="J852">
        <v>-335.13319999999999</v>
      </c>
      <c r="K852">
        <v>1.121138</v>
      </c>
      <c r="L852">
        <v>367.49669999999998</v>
      </c>
      <c r="M852">
        <v>0.99988920000000003</v>
      </c>
      <c r="N852">
        <v>-1.43882E-2</v>
      </c>
      <c r="O852">
        <v>-3.82278E-3</v>
      </c>
      <c r="P852">
        <v>0.99453009999999997</v>
      </c>
      <c r="Q852">
        <v>-0.10079630000000001</v>
      </c>
      <c r="R852">
        <v>-2.738322E-2</v>
      </c>
      <c r="S852">
        <v>2.9804689999999998</v>
      </c>
      <c r="T852">
        <v>-0.172318</v>
      </c>
      <c r="U852">
        <v>-0.67517090000000002</v>
      </c>
      <c r="V852">
        <v>2.357741E-2</v>
      </c>
      <c r="W852">
        <v>-8.6475899999999994E-2</v>
      </c>
      <c r="X852">
        <v>0.9959749</v>
      </c>
      <c r="Y852">
        <v>0.2167734</v>
      </c>
      <c r="Z852">
        <v>-7.5999689999999998E-3</v>
      </c>
      <c r="AA852">
        <v>0.97619239999999996</v>
      </c>
      <c r="AB852">
        <v>21</v>
      </c>
      <c r="AC852">
        <v>20.124300000000002</v>
      </c>
      <c r="AD852">
        <v>-1.171138</v>
      </c>
      <c r="AE852">
        <v>-4.5883000000000003</v>
      </c>
      <c r="AF852">
        <v>4.4968508750986604</v>
      </c>
      <c r="AG852">
        <v>-1.171138</v>
      </c>
      <c r="AH852">
        <v>20.077060070843999</v>
      </c>
      <c r="AI852">
        <v>93.257864686771995</v>
      </c>
      <c r="AJ852">
        <v>77.375278855752896</v>
      </c>
      <c r="AK852">
        <v>20.607803694139701</v>
      </c>
      <c r="AL852">
        <v>94.960900310485599</v>
      </c>
      <c r="AM852">
        <v>88.643907767430207</v>
      </c>
      <c r="AN852">
        <v>0.99999998848656302</v>
      </c>
    </row>
    <row r="853" spans="1:40" x14ac:dyDescent="0.25">
      <c r="A853" t="str">
        <f>"20190303154114013"</f>
        <v>20190303154114013</v>
      </c>
      <c r="B853" t="str">
        <f>"1551598874010225"</f>
        <v>1551598874010225</v>
      </c>
      <c r="C853" t="s">
        <v>40</v>
      </c>
      <c r="D853">
        <v>6.1518169999999897</v>
      </c>
      <c r="E853">
        <v>0.57542119999999997</v>
      </c>
      <c r="F853" t="s">
        <v>43</v>
      </c>
      <c r="G853">
        <v>-314.7079</v>
      </c>
      <c r="H853">
        <v>-0.05</v>
      </c>
      <c r="I853">
        <v>362.84109999999998</v>
      </c>
      <c r="J853">
        <v>-334.97590000000002</v>
      </c>
      <c r="K853">
        <v>1.121138</v>
      </c>
      <c r="L853">
        <v>367.49610000000001</v>
      </c>
      <c r="M853">
        <v>0.99988920000000003</v>
      </c>
      <c r="N853">
        <v>-1.4387840000000001E-2</v>
      </c>
      <c r="O853">
        <v>-3.8227780000000002E-3</v>
      </c>
      <c r="P853">
        <v>0.99453800000000003</v>
      </c>
      <c r="Q853">
        <v>-0.100595</v>
      </c>
      <c r="R853">
        <v>-2.7840730000000001E-2</v>
      </c>
      <c r="S853">
        <v>2.9804689999999998</v>
      </c>
      <c r="T853">
        <v>-0.1708925</v>
      </c>
      <c r="U853">
        <v>-0.67935179999999995</v>
      </c>
      <c r="V853">
        <v>2.403485E-2</v>
      </c>
      <c r="W853">
        <v>-8.6274779999999995E-2</v>
      </c>
      <c r="X853">
        <v>0.99598140000000002</v>
      </c>
      <c r="Y853">
        <v>0.2180792</v>
      </c>
      <c r="Z853">
        <v>-7.5964169999999899E-3</v>
      </c>
      <c r="AA853">
        <v>0.97590149999999998</v>
      </c>
      <c r="AB853">
        <v>21</v>
      </c>
      <c r="AC853">
        <v>20.268000000000001</v>
      </c>
      <c r="AD853">
        <v>-1.171138</v>
      </c>
      <c r="AE853">
        <v>-4.6550000000000296</v>
      </c>
      <c r="AF853">
        <v>4.5630061672248701</v>
      </c>
      <c r="AG853">
        <v>-1.171138</v>
      </c>
      <c r="AH853">
        <v>20.221515526994001</v>
      </c>
      <c r="AI853">
        <v>93.233486866508699</v>
      </c>
      <c r="AJ853">
        <v>77.284116603375097</v>
      </c>
      <c r="AK853">
        <v>20.7630026659353</v>
      </c>
      <c r="AL853">
        <v>94.949333795143303</v>
      </c>
      <c r="AM853">
        <v>88.617616509012095</v>
      </c>
      <c r="AN853">
        <v>0.99999998041226501</v>
      </c>
    </row>
    <row r="854" spans="1:40" x14ac:dyDescent="0.25">
      <c r="A854" t="str">
        <f>"20190303154114035"</f>
        <v>20190303154114035</v>
      </c>
      <c r="B854" t="str">
        <f>"1551598874029746"</f>
        <v>1551598874029746</v>
      </c>
      <c r="C854" t="s">
        <v>40</v>
      </c>
      <c r="D854">
        <v>6.1029090000000004</v>
      </c>
      <c r="E854">
        <v>0.57582869999999997</v>
      </c>
      <c r="F854" t="s">
        <v>43</v>
      </c>
      <c r="G854">
        <v>-314.47710000000001</v>
      </c>
      <c r="H854">
        <v>-0.05</v>
      </c>
      <c r="I854">
        <v>362.79079999999999</v>
      </c>
      <c r="J854">
        <v>-334.76990000000001</v>
      </c>
      <c r="K854">
        <v>1.1211420000000001</v>
      </c>
      <c r="L854">
        <v>367.49529999999999</v>
      </c>
      <c r="M854">
        <v>0.99988940000000004</v>
      </c>
      <c r="N854">
        <v>-1.4386879999999999E-2</v>
      </c>
      <c r="O854">
        <v>-3.8228899999999998E-3</v>
      </c>
      <c r="P854">
        <v>0.99453000000000003</v>
      </c>
      <c r="Q854">
        <v>-0.1007361</v>
      </c>
      <c r="R854">
        <v>-2.7618009999999998E-2</v>
      </c>
      <c r="S854">
        <v>2.9801030000000002</v>
      </c>
      <c r="T854">
        <v>-0.17025940000000001</v>
      </c>
      <c r="U854">
        <v>-0.68405150000000003</v>
      </c>
      <c r="V854">
        <v>2.3812099999999999E-2</v>
      </c>
      <c r="W854">
        <v>-8.6416999999999994E-2</v>
      </c>
      <c r="X854">
        <v>0.99597440000000004</v>
      </c>
      <c r="Y854">
        <v>0.21956729999999999</v>
      </c>
      <c r="Z854">
        <v>-7.6270080000000002E-3</v>
      </c>
      <c r="AA854">
        <v>0.97556750000000003</v>
      </c>
      <c r="AB854">
        <v>21</v>
      </c>
      <c r="AC854">
        <v>20.2928</v>
      </c>
      <c r="AD854">
        <v>-1.1711419999999999</v>
      </c>
      <c r="AE854">
        <v>-4.7044999999999897</v>
      </c>
      <c r="AF854">
        <v>4.6123018166857896</v>
      </c>
      <c r="AG854">
        <v>-1.1711419999999999</v>
      </c>
      <c r="AH854">
        <v>20.246642392188701</v>
      </c>
      <c r="AI854">
        <v>93.227996431560996</v>
      </c>
      <c r="AJ854">
        <v>77.166696623342801</v>
      </c>
      <c r="AK854">
        <v>20.798351612316299</v>
      </c>
      <c r="AL854">
        <v>94.9575130512291</v>
      </c>
      <c r="AM854">
        <v>88.630413627603303</v>
      </c>
      <c r="AN854">
        <v>0.99999995972538402</v>
      </c>
    </row>
    <row r="855" spans="1:40" x14ac:dyDescent="0.25">
      <c r="A855" t="str">
        <f>"20190303154114046"</f>
        <v>20190303154114046</v>
      </c>
      <c r="B855" t="str">
        <f>"1551598874040481"</f>
        <v>1551598874040481</v>
      </c>
      <c r="C855" t="s">
        <v>40</v>
      </c>
      <c r="D855">
        <v>6.1436380000000002</v>
      </c>
      <c r="E855">
        <v>0.57606820000000003</v>
      </c>
      <c r="F855" t="s">
        <v>43</v>
      </c>
      <c r="G855">
        <v>-314.39589999999998</v>
      </c>
      <c r="H855">
        <v>-0.05</v>
      </c>
      <c r="I855">
        <v>362.79989999999998</v>
      </c>
      <c r="J855">
        <v>-334.66520000000003</v>
      </c>
      <c r="K855">
        <v>1.121143</v>
      </c>
      <c r="L855">
        <v>367.49489999999997</v>
      </c>
      <c r="M855">
        <v>0.99988929999999998</v>
      </c>
      <c r="N855">
        <v>-1.4386120000000001E-2</v>
      </c>
      <c r="O855">
        <v>-3.8228849999999998E-3</v>
      </c>
      <c r="P855">
        <v>0.99451880000000004</v>
      </c>
      <c r="Q855">
        <v>-0.1008849</v>
      </c>
      <c r="R855">
        <v>-2.7481749999999999E-2</v>
      </c>
      <c r="S855">
        <v>2.9801030000000002</v>
      </c>
      <c r="T855">
        <v>-0.17130319999999999</v>
      </c>
      <c r="U855">
        <v>-0.68679809999999997</v>
      </c>
      <c r="V855">
        <v>2.3675689999999999E-2</v>
      </c>
      <c r="W855">
        <v>-8.6566649999999995E-2</v>
      </c>
      <c r="X855">
        <v>0.99596470000000004</v>
      </c>
      <c r="Y855">
        <v>0.2204149</v>
      </c>
      <c r="Z855">
        <v>-7.6932369999999899E-3</v>
      </c>
      <c r="AA855">
        <v>0.97537589999999996</v>
      </c>
      <c r="AB855">
        <v>21</v>
      </c>
      <c r="AC855">
        <v>20.269300000000001</v>
      </c>
      <c r="AD855">
        <v>-1.171143</v>
      </c>
      <c r="AE855">
        <v>-4.6949999999999896</v>
      </c>
      <c r="AF855">
        <v>4.6028865246606898</v>
      </c>
      <c r="AG855">
        <v>-1.171143</v>
      </c>
      <c r="AH855">
        <v>20.223026817588298</v>
      </c>
      <c r="AI855">
        <v>93.231900030438794</v>
      </c>
      <c r="AJ855">
        <v>77.177566460158303</v>
      </c>
      <c r="AK855">
        <v>20.773274993371899</v>
      </c>
      <c r="AL855">
        <v>94.966119400050502</v>
      </c>
      <c r="AM855">
        <v>88.638243220160206</v>
      </c>
      <c r="AN855">
        <v>1.0000000034176399</v>
      </c>
    </row>
    <row r="856" spans="1:40" x14ac:dyDescent="0.25">
      <c r="A856" t="str">
        <f>"20190303154114068"</f>
        <v>20190303154114068</v>
      </c>
      <c r="B856" t="str">
        <f>"1551598874060001"</f>
        <v>1551598874060001</v>
      </c>
      <c r="C856" t="s">
        <v>40</v>
      </c>
      <c r="D856">
        <v>6.0800039999999997</v>
      </c>
      <c r="E856">
        <v>0.57641719999999996</v>
      </c>
      <c r="F856" t="s">
        <v>43</v>
      </c>
      <c r="G856">
        <v>-314.33730000000003</v>
      </c>
      <c r="H856">
        <v>-0.05</v>
      </c>
      <c r="I856">
        <v>362.8021</v>
      </c>
      <c r="J856">
        <v>-334.46350000000001</v>
      </c>
      <c r="K856">
        <v>1.1211439999999999</v>
      </c>
      <c r="L856">
        <v>367.4941</v>
      </c>
      <c r="M856">
        <v>0.99988929999999998</v>
      </c>
      <c r="N856">
        <v>-1.438441E-2</v>
      </c>
      <c r="O856">
        <v>-3.8228730000000001E-3</v>
      </c>
      <c r="P856">
        <v>0.99449520000000002</v>
      </c>
      <c r="Q856">
        <v>-0.1011435</v>
      </c>
      <c r="R856">
        <v>-2.7386210000000001E-2</v>
      </c>
      <c r="S856">
        <v>2.9801329999999999</v>
      </c>
      <c r="T856">
        <v>-0.17169379999999901</v>
      </c>
      <c r="U856">
        <v>-0.6879883</v>
      </c>
      <c r="V856">
        <v>2.3580199999999999E-2</v>
      </c>
      <c r="W856">
        <v>-8.6827340000000003E-2</v>
      </c>
      <c r="X856">
        <v>0.9959443</v>
      </c>
      <c r="Y856">
        <v>0.22078010000000001</v>
      </c>
      <c r="Z856">
        <v>-7.7195579999999996E-3</v>
      </c>
      <c r="AA856">
        <v>0.97529299999999997</v>
      </c>
      <c r="AB856">
        <v>21</v>
      </c>
      <c r="AC856">
        <v>20.126199999999901</v>
      </c>
      <c r="AD856">
        <v>-1.171144</v>
      </c>
      <c r="AE856">
        <v>-4.6920000000000002</v>
      </c>
      <c r="AF856">
        <v>4.6002440028182496</v>
      </c>
      <c r="AG856">
        <v>-1.171144</v>
      </c>
      <c r="AH856">
        <v>20.079505653041998</v>
      </c>
      <c r="AI856">
        <v>93.2538999170024</v>
      </c>
      <c r="AJ856">
        <v>77.096141185999301</v>
      </c>
      <c r="AK856">
        <v>20.6329922799566</v>
      </c>
      <c r="AL856">
        <v>94.981112152621506</v>
      </c>
      <c r="AM856">
        <v>88.643705701307795</v>
      </c>
      <c r="AN856">
        <v>1.0000000307529999</v>
      </c>
    </row>
    <row r="857" spans="1:40" x14ac:dyDescent="0.25">
      <c r="A857" t="str">
        <f>"20190303154114080"</f>
        <v>20190303154114080</v>
      </c>
      <c r="B857" t="str">
        <f>"1551598874069762"</f>
        <v>1551598874069762</v>
      </c>
      <c r="C857" t="s">
        <v>40</v>
      </c>
      <c r="D857">
        <v>6.1406549999999998</v>
      </c>
      <c r="E857">
        <v>0.57661070000000003</v>
      </c>
      <c r="F857" t="s">
        <v>43</v>
      </c>
      <c r="G857">
        <v>-314.22210000000001</v>
      </c>
      <c r="H857">
        <v>-0.05</v>
      </c>
      <c r="I857">
        <v>362.80149999999998</v>
      </c>
      <c r="J857">
        <v>-334.35070000000002</v>
      </c>
      <c r="K857">
        <v>1.1211450000000001</v>
      </c>
      <c r="L857">
        <v>367.49369999999999</v>
      </c>
      <c r="M857">
        <v>0.99988940000000004</v>
      </c>
      <c r="N857">
        <v>-1.438327E-2</v>
      </c>
      <c r="O857">
        <v>-3.823103E-3</v>
      </c>
      <c r="P857">
        <v>0.99446749999999995</v>
      </c>
      <c r="Q857">
        <v>-0.10147870000000001</v>
      </c>
      <c r="R857">
        <v>-2.7143589999999999E-2</v>
      </c>
      <c r="S857">
        <v>2.9800110000000002</v>
      </c>
      <c r="T857">
        <v>-0.1724203</v>
      </c>
      <c r="U857">
        <v>-0.6908569</v>
      </c>
      <c r="V857">
        <v>2.3337799999999999E-2</v>
      </c>
      <c r="W857">
        <v>-8.7164000000000005E-2</v>
      </c>
      <c r="X857">
        <v>0.99592060000000004</v>
      </c>
      <c r="Y857">
        <v>0.2216747</v>
      </c>
      <c r="Z857">
        <v>-7.7768069999999898E-3</v>
      </c>
      <c r="AA857">
        <v>0.97508969999999995</v>
      </c>
      <c r="AB857">
        <v>21</v>
      </c>
      <c r="AC857">
        <v>20.128599999999999</v>
      </c>
      <c r="AD857">
        <v>-1.1711450000000001</v>
      </c>
      <c r="AE857">
        <v>-4.6922000000000104</v>
      </c>
      <c r="AF857">
        <v>4.6004329733309302</v>
      </c>
      <c r="AG857">
        <v>-1.1711450000000001</v>
      </c>
      <c r="AH857">
        <v>20.0819144832703</v>
      </c>
      <c r="AI857">
        <v>93.253525991621501</v>
      </c>
      <c r="AJ857">
        <v>77.097124935385096</v>
      </c>
      <c r="AK857">
        <v>20.6353786848344</v>
      </c>
      <c r="AL857">
        <v>95.000474769417195</v>
      </c>
      <c r="AM857">
        <v>88.657611090016104</v>
      </c>
      <c r="AN857">
        <v>1.00000002865459</v>
      </c>
    </row>
    <row r="858" spans="1:40" x14ac:dyDescent="0.25">
      <c r="A858" t="str">
        <f>"20190303154114092"</f>
        <v>20190303154114092</v>
      </c>
      <c r="B858" t="str">
        <f>"1551598874080498"</f>
        <v>1551598874080498</v>
      </c>
      <c r="C858" t="s">
        <v>40</v>
      </c>
      <c r="D858">
        <v>6.1142719999999997</v>
      </c>
      <c r="E858">
        <v>0.57682819999999901</v>
      </c>
      <c r="F858" t="s">
        <v>43</v>
      </c>
      <c r="G858">
        <v>-314.29640000000001</v>
      </c>
      <c r="H858">
        <v>-0.05</v>
      </c>
      <c r="I858">
        <v>362.83879999999999</v>
      </c>
      <c r="J858">
        <v>-334.23820000000001</v>
      </c>
      <c r="K858">
        <v>1.1211450000000001</v>
      </c>
      <c r="L858">
        <v>367.49329999999998</v>
      </c>
      <c r="M858">
        <v>0.99988940000000004</v>
      </c>
      <c r="N858">
        <v>-1.4382000000000001E-2</v>
      </c>
      <c r="O858">
        <v>-3.823094E-3</v>
      </c>
      <c r="P858">
        <v>0.99443859999999995</v>
      </c>
      <c r="Q858">
        <v>-0.1017272</v>
      </c>
      <c r="R858">
        <v>-2.727125E-2</v>
      </c>
      <c r="S858">
        <v>2.9800420000000001</v>
      </c>
      <c r="T858">
        <v>-0.17403089999999999</v>
      </c>
      <c r="U858">
        <v>-0.69171139999999998</v>
      </c>
      <c r="V858">
        <v>2.346554E-2</v>
      </c>
      <c r="W858">
        <v>-8.7414130000000007E-2</v>
      </c>
      <c r="X858">
        <v>0.99589559999999999</v>
      </c>
      <c r="Y858">
        <v>0.22192999999999999</v>
      </c>
      <c r="Z858">
        <v>-7.84263199999999E-3</v>
      </c>
      <c r="AA858">
        <v>0.97503110000000004</v>
      </c>
      <c r="AB858">
        <v>21</v>
      </c>
      <c r="AC858">
        <v>19.941800000000001</v>
      </c>
      <c r="AD858">
        <v>-1.1711450000000001</v>
      </c>
      <c r="AE858">
        <v>-4.6544999999999801</v>
      </c>
      <c r="AF858">
        <v>4.5632930621367196</v>
      </c>
      <c r="AG858">
        <v>-1.1711450000000001</v>
      </c>
      <c r="AH858">
        <v>19.8943799295281</v>
      </c>
      <c r="AI858">
        <v>93.283919750177702</v>
      </c>
      <c r="AJ858">
        <v>77.081197016478896</v>
      </c>
      <c r="AK858">
        <v>20.444597745183898</v>
      </c>
      <c r="AL858">
        <v>95.014861450407693</v>
      </c>
      <c r="AM858">
        <v>88.650232333358701</v>
      </c>
      <c r="AN858">
        <v>0.99999995389525298</v>
      </c>
    </row>
    <row r="859" spans="1:40" x14ac:dyDescent="0.25">
      <c r="A859" t="str">
        <f>"20190303154114104"</f>
        <v>20190303154114104</v>
      </c>
      <c r="B859" t="str">
        <f>"1551598874100018"</f>
        <v>1551598874100018</v>
      </c>
      <c r="C859" t="s">
        <v>40</v>
      </c>
      <c r="D859">
        <v>6.1081399999999997</v>
      </c>
      <c r="E859">
        <v>0.57727989999999996</v>
      </c>
      <c r="F859" t="s">
        <v>43</v>
      </c>
      <c r="G859">
        <v>-314.25900000000001</v>
      </c>
      <c r="H859">
        <v>-0.05</v>
      </c>
      <c r="I859">
        <v>362.84</v>
      </c>
      <c r="J859">
        <v>-334.12639999999999</v>
      </c>
      <c r="K859">
        <v>1.1211450000000001</v>
      </c>
      <c r="L859">
        <v>367.49290000000002</v>
      </c>
      <c r="M859">
        <v>0.99988929999999998</v>
      </c>
      <c r="N859">
        <v>-1.43806E-2</v>
      </c>
      <c r="O859">
        <v>-3.823084E-3</v>
      </c>
      <c r="P859">
        <v>0.99442240000000004</v>
      </c>
      <c r="Q859">
        <v>-0.1019687</v>
      </c>
      <c r="R859">
        <v>-2.6954849999999999E-2</v>
      </c>
      <c r="S859">
        <v>2.979889</v>
      </c>
      <c r="T859">
        <v>-0.17467629999999901</v>
      </c>
      <c r="U859">
        <v>-0.69403079999999995</v>
      </c>
      <c r="V859">
        <v>2.3149179999999998E-2</v>
      </c>
      <c r="W859">
        <v>-8.7657280000000004E-2</v>
      </c>
      <c r="X859">
        <v>0.99588169999999998</v>
      </c>
      <c r="Y859">
        <v>0.22265650000000001</v>
      </c>
      <c r="Z859">
        <v>-7.8915249999999999E-3</v>
      </c>
      <c r="AA859">
        <v>0.97486499999999998</v>
      </c>
      <c r="AB859">
        <v>21</v>
      </c>
      <c r="AC859">
        <v>19.8673999999999</v>
      </c>
      <c r="AD859">
        <v>-1.1711450000000001</v>
      </c>
      <c r="AE859">
        <v>-4.6529000000000398</v>
      </c>
      <c r="AF859">
        <v>4.5618756940015501</v>
      </c>
      <c r="AG859">
        <v>-1.1711450000000001</v>
      </c>
      <c r="AH859">
        <v>19.819754932027202</v>
      </c>
      <c r="AI859">
        <v>93.295688536627694</v>
      </c>
      <c r="AJ859">
        <v>77.038087320564102</v>
      </c>
      <c r="AK859">
        <v>20.371670918806998</v>
      </c>
      <c r="AL859">
        <v>95.028846260999998</v>
      </c>
      <c r="AM859">
        <v>88.668404587112207</v>
      </c>
      <c r="AN859">
        <v>1.0000000218332801</v>
      </c>
    </row>
    <row r="860" spans="1:40" x14ac:dyDescent="0.25">
      <c r="A860" t="str">
        <f>"20190303154114118"</f>
        <v>20190303154114118</v>
      </c>
      <c r="B860" t="str">
        <f>"1551598874109777"</f>
        <v>1551598874109777</v>
      </c>
      <c r="C860" t="s">
        <v>40</v>
      </c>
      <c r="D860">
        <v>6.0828579999999999</v>
      </c>
      <c r="E860">
        <v>0.57746719999999996</v>
      </c>
      <c r="F860" t="s">
        <v>43</v>
      </c>
      <c r="G860">
        <v>-314.08269999999999</v>
      </c>
      <c r="H860">
        <v>-0.05</v>
      </c>
      <c r="I860">
        <v>362.80889999999999</v>
      </c>
      <c r="J860">
        <v>-334.00420000000003</v>
      </c>
      <c r="K860">
        <v>1.1211420000000001</v>
      </c>
      <c r="L860">
        <v>367.49239999999998</v>
      </c>
      <c r="M860">
        <v>0.99988929999999998</v>
      </c>
      <c r="N860">
        <v>-1.4378989999999999E-2</v>
      </c>
      <c r="O860">
        <v>-3.8230719999999998E-3</v>
      </c>
      <c r="P860">
        <v>0.9944037</v>
      </c>
      <c r="Q860">
        <v>-0.10211099999999999</v>
      </c>
      <c r="R860">
        <v>-2.7108710000000001E-2</v>
      </c>
      <c r="S860">
        <v>2.9800719999999998</v>
      </c>
      <c r="T860">
        <v>-0.174124799999999</v>
      </c>
      <c r="U860">
        <v>-0.69641109999999995</v>
      </c>
      <c r="V860">
        <v>2.3302980000000001E-2</v>
      </c>
      <c r="W860">
        <v>-8.7801459999999998E-2</v>
      </c>
      <c r="X860">
        <v>0.99586540000000001</v>
      </c>
      <c r="Y860">
        <v>0.2233829</v>
      </c>
      <c r="Z860">
        <v>-7.8971739999999999E-3</v>
      </c>
      <c r="AA860">
        <v>0.97469879999999998</v>
      </c>
      <c r="AB860">
        <v>21</v>
      </c>
      <c r="AC860">
        <v>19.921500000000002</v>
      </c>
      <c r="AD860">
        <v>-1.1711419999999999</v>
      </c>
      <c r="AE860">
        <v>-4.68349999999998</v>
      </c>
      <c r="AF860">
        <v>4.5922569291602899</v>
      </c>
      <c r="AG860">
        <v>-1.1711419999999999</v>
      </c>
      <c r="AH860">
        <v>19.874173711806701</v>
      </c>
      <c r="AI860">
        <v>93.286030688598302</v>
      </c>
      <c r="AJ860">
        <v>76.989209971886098</v>
      </c>
      <c r="AK860">
        <v>20.431426235450498</v>
      </c>
      <c r="AL860">
        <v>95.037139200117906</v>
      </c>
      <c r="AM860">
        <v>88.659538933758</v>
      </c>
      <c r="AN860">
        <v>1.00000001008608</v>
      </c>
    </row>
    <row r="861" spans="1:40" x14ac:dyDescent="0.25">
      <c r="A861" t="str">
        <f>"20190303154114129"</f>
        <v>20190303154114129</v>
      </c>
      <c r="B861" t="str">
        <f>"1551598874120514"</f>
        <v>1551598874120514</v>
      </c>
      <c r="C861" t="s">
        <v>40</v>
      </c>
      <c r="D861">
        <v>6.1186889999999998</v>
      </c>
      <c r="E861">
        <v>0.5776637</v>
      </c>
      <c r="F861" t="s">
        <v>43</v>
      </c>
      <c r="G861">
        <v>-313.84230000000002</v>
      </c>
      <c r="H861">
        <v>-0.05</v>
      </c>
      <c r="I861">
        <v>362.76620000000003</v>
      </c>
      <c r="J861">
        <v>-333.89370000000002</v>
      </c>
      <c r="K861">
        <v>1.1211420000000001</v>
      </c>
      <c r="L861">
        <v>367.49200000000002</v>
      </c>
      <c r="M861">
        <v>0.99988940000000004</v>
      </c>
      <c r="N861">
        <v>-1.437741E-2</v>
      </c>
      <c r="O861">
        <v>-3.8231799999999998E-3</v>
      </c>
      <c r="P861">
        <v>0.99440070000000003</v>
      </c>
      <c r="Q861">
        <v>-0.1022101</v>
      </c>
      <c r="R861">
        <v>-2.683967E-2</v>
      </c>
      <c r="S861">
        <v>2.9800420000000001</v>
      </c>
      <c r="T861">
        <v>-0.17310110000000001</v>
      </c>
      <c r="U861">
        <v>-0.69854740000000004</v>
      </c>
      <c r="V861">
        <v>2.3033890000000001E-2</v>
      </c>
      <c r="W861">
        <v>-8.79022E-2</v>
      </c>
      <c r="X861">
        <v>0.99586280000000005</v>
      </c>
      <c r="Y861">
        <v>0.22405079999999999</v>
      </c>
      <c r="Z861">
        <v>-7.8841710000000006E-3</v>
      </c>
      <c r="AA861">
        <v>0.97454560000000001</v>
      </c>
      <c r="AB861">
        <v>21</v>
      </c>
      <c r="AC861">
        <v>20.051400000000001</v>
      </c>
      <c r="AD861">
        <v>-1.1711419999999999</v>
      </c>
      <c r="AE861">
        <v>-4.7257999999999303</v>
      </c>
      <c r="AF861">
        <v>4.6341206104830803</v>
      </c>
      <c r="AG861">
        <v>-1.1711419999999999</v>
      </c>
      <c r="AH861">
        <v>20.0046706474748</v>
      </c>
      <c r="AI861">
        <v>93.264222627605903</v>
      </c>
      <c r="AJ861">
        <v>76.957374598602897</v>
      </c>
      <c r="AK861">
        <v>20.567778079574101</v>
      </c>
      <c r="AL861">
        <v>95.042933446303707</v>
      </c>
      <c r="AM861">
        <v>88.675008832853294</v>
      </c>
      <c r="AN861">
        <v>1.0000000366385999</v>
      </c>
    </row>
    <row r="862" spans="1:40" x14ac:dyDescent="0.25">
      <c r="A862" t="str">
        <f>"20190303154114147"</f>
        <v>20190303154114147</v>
      </c>
      <c r="B862" t="str">
        <f>"1551598874140033"</f>
        <v>1551598874140033</v>
      </c>
      <c r="C862" t="s">
        <v>40</v>
      </c>
      <c r="D862">
        <v>6.0702769999999999</v>
      </c>
      <c r="E862">
        <v>0.57806119999999905</v>
      </c>
      <c r="F862" t="s">
        <v>43</v>
      </c>
      <c r="G862">
        <v>-313.74430000000001</v>
      </c>
      <c r="H862">
        <v>-0.05</v>
      </c>
      <c r="I862">
        <v>362.76560000000001</v>
      </c>
      <c r="J862">
        <v>-333.7312</v>
      </c>
      <c r="K862">
        <v>1.121143</v>
      </c>
      <c r="L862">
        <v>367.4914</v>
      </c>
      <c r="M862">
        <v>0.99988949999999999</v>
      </c>
      <c r="N862">
        <v>-1.4374939999999999E-2</v>
      </c>
      <c r="O862">
        <v>-3.8231620000000002E-3</v>
      </c>
      <c r="P862">
        <v>0.99445910000000004</v>
      </c>
      <c r="Q862">
        <v>-0.1016619</v>
      </c>
      <c r="R862">
        <v>-2.6767510000000001E-2</v>
      </c>
      <c r="S862">
        <v>2.9802550000000001</v>
      </c>
      <c r="T862">
        <v>-0.17322079999999901</v>
      </c>
      <c r="U862">
        <v>-0.69906619999999997</v>
      </c>
      <c r="V862">
        <v>2.2961619999999999E-2</v>
      </c>
      <c r="W862">
        <v>-8.7355639999999998E-2</v>
      </c>
      <c r="X862">
        <v>0.99591260000000004</v>
      </c>
      <c r="Y862">
        <v>0.22419539999999999</v>
      </c>
      <c r="Z862">
        <v>-7.8928309999999995E-3</v>
      </c>
      <c r="AA862">
        <v>0.9745123</v>
      </c>
      <c r="AB862">
        <v>21</v>
      </c>
      <c r="AC862">
        <v>19.986899999999899</v>
      </c>
      <c r="AD862">
        <v>-1.171143</v>
      </c>
      <c r="AE862">
        <v>-4.7257999999999898</v>
      </c>
      <c r="AF862">
        <v>4.6342753763570803</v>
      </c>
      <c r="AG862">
        <v>-1.171143</v>
      </c>
      <c r="AH862">
        <v>19.9399854315431</v>
      </c>
      <c r="AI862">
        <v>93.2742453291403</v>
      </c>
      <c r="AJ862">
        <v>76.916095786221405</v>
      </c>
      <c r="AK862">
        <v>20.5049043694553</v>
      </c>
      <c r="AL862">
        <v>95.011496741008202</v>
      </c>
      <c r="AM862">
        <v>88.679230609090098</v>
      </c>
      <c r="AN862">
        <v>1.0000000753357901</v>
      </c>
    </row>
    <row r="863" spans="1:40" x14ac:dyDescent="0.25">
      <c r="A863" t="str">
        <f>"20190303154114160"</f>
        <v>20190303154114160</v>
      </c>
      <c r="B863" t="str">
        <f>"1551598874149794"</f>
        <v>1551598874149794</v>
      </c>
      <c r="C863" t="s">
        <v>40</v>
      </c>
      <c r="D863">
        <v>6.1005019999999996</v>
      </c>
      <c r="E863">
        <v>0.57827130000000004</v>
      </c>
      <c r="F863" t="s">
        <v>43</v>
      </c>
      <c r="G863">
        <v>-313.26179999999999</v>
      </c>
      <c r="H863">
        <v>-0.05</v>
      </c>
      <c r="I863">
        <v>362.66950000000003</v>
      </c>
      <c r="J863">
        <v>-333.60820000000001</v>
      </c>
      <c r="K863">
        <v>1.121143</v>
      </c>
      <c r="L863">
        <v>367.49090000000001</v>
      </c>
      <c r="M863">
        <v>0.99988940000000004</v>
      </c>
      <c r="N863">
        <v>-1.4372960000000001E-2</v>
      </c>
      <c r="O863">
        <v>-3.8231480000000002E-3</v>
      </c>
      <c r="P863">
        <v>0.99449319999999997</v>
      </c>
      <c r="Q863">
        <v>-0.1013727</v>
      </c>
      <c r="R863">
        <v>-2.659079E-2</v>
      </c>
      <c r="S863">
        <v>2.9804080000000002</v>
      </c>
      <c r="T863">
        <v>-0.17052249999999999</v>
      </c>
      <c r="U863">
        <v>-0.70208740000000003</v>
      </c>
      <c r="V863">
        <v>2.2784720000000001E-2</v>
      </c>
      <c r="W863">
        <v>-8.7067950000000005E-2</v>
      </c>
      <c r="X863">
        <v>0.99594179999999999</v>
      </c>
      <c r="Y863">
        <v>0.225131</v>
      </c>
      <c r="Z863">
        <v>-7.8284449999999998E-3</v>
      </c>
      <c r="AA863">
        <v>0.97429699999999997</v>
      </c>
      <c r="AB863">
        <v>21</v>
      </c>
      <c r="AC863">
        <v>20.346399999999999</v>
      </c>
      <c r="AD863">
        <v>-1.171143</v>
      </c>
      <c r="AE863">
        <v>-4.8213999999999801</v>
      </c>
      <c r="AF863">
        <v>4.7287352627486001</v>
      </c>
      <c r="AG863">
        <v>-1.171143</v>
      </c>
      <c r="AH863">
        <v>20.301001357217601</v>
      </c>
      <c r="AI863">
        <v>93.215773927121703</v>
      </c>
      <c r="AJ863">
        <v>76.887834120282903</v>
      </c>
      <c r="AK863">
        <v>20.877336257706901</v>
      </c>
      <c r="AL863">
        <v>94.994950550096604</v>
      </c>
      <c r="AM863">
        <v>88.6894408773165</v>
      </c>
      <c r="AN863">
        <v>1.0000000201849599</v>
      </c>
    </row>
    <row r="864" spans="1:40" x14ac:dyDescent="0.25">
      <c r="A864" t="str">
        <f>"20190303154114180"</f>
        <v>20190303154114180</v>
      </c>
      <c r="B864" t="str">
        <f>"1551598874169684"</f>
        <v>1551598874169684</v>
      </c>
      <c r="C864" t="s">
        <v>40</v>
      </c>
      <c r="D864">
        <v>6.1091379999999997</v>
      </c>
      <c r="E864">
        <v>0.57854890000000003</v>
      </c>
      <c r="F864" t="s">
        <v>43</v>
      </c>
      <c r="G864">
        <v>-313.06689999999998</v>
      </c>
      <c r="H864">
        <v>-0.05</v>
      </c>
      <c r="I864">
        <v>362.64420000000001</v>
      </c>
      <c r="J864">
        <v>-333.4246</v>
      </c>
      <c r="K864">
        <v>1.1211420000000001</v>
      </c>
      <c r="L864">
        <v>367.49020000000002</v>
      </c>
      <c r="M864">
        <v>0.99988960000000005</v>
      </c>
      <c r="N864">
        <v>-1.436981E-2</v>
      </c>
      <c r="O864">
        <v>-3.8233640000000001E-3</v>
      </c>
      <c r="P864">
        <v>0.99449969999999999</v>
      </c>
      <c r="Q864">
        <v>-0.101441</v>
      </c>
      <c r="R864">
        <v>-2.6083309999999998E-2</v>
      </c>
      <c r="S864">
        <v>2.9805299999999999</v>
      </c>
      <c r="T864">
        <v>-0.16993239999999901</v>
      </c>
      <c r="U864">
        <v>-0.70324709999999901</v>
      </c>
      <c r="V864">
        <v>2.227703E-2</v>
      </c>
      <c r="W864">
        <v>-8.7139300000000003E-2</v>
      </c>
      <c r="X864">
        <v>0.99594700000000003</v>
      </c>
      <c r="Y864">
        <v>0.22548309999999999</v>
      </c>
      <c r="Z864">
        <v>-7.8188800000000003E-3</v>
      </c>
      <c r="AA864">
        <v>0.97421570000000002</v>
      </c>
      <c r="AB864">
        <v>21</v>
      </c>
      <c r="AC864">
        <v>20.357700000000001</v>
      </c>
      <c r="AD864">
        <v>-1.1711419999999999</v>
      </c>
      <c r="AE864">
        <v>-4.8460000000000001</v>
      </c>
      <c r="AF864">
        <v>4.75323442075603</v>
      </c>
      <c r="AG864">
        <v>-1.1711419999999999</v>
      </c>
      <c r="AH864">
        <v>20.312462047880398</v>
      </c>
      <c r="AI864">
        <v>93.2131975639806</v>
      </c>
      <c r="AJ864">
        <v>76.829441730119896</v>
      </c>
      <c r="AK864">
        <v>20.8940404299744</v>
      </c>
      <c r="AL864">
        <v>94.999054426063097</v>
      </c>
      <c r="AM864">
        <v>88.718639646826304</v>
      </c>
      <c r="AN864">
        <v>0.99999997523955497</v>
      </c>
    </row>
    <row r="865" spans="1:40" x14ac:dyDescent="0.25">
      <c r="A865" t="str">
        <f>"20190303154114196"</f>
        <v>20190303154114196</v>
      </c>
      <c r="B865" t="str">
        <f>"1551598874190181"</f>
        <v>1551598874190181</v>
      </c>
      <c r="C865" t="s">
        <v>40</v>
      </c>
      <c r="D865">
        <v>6.0755359999999996</v>
      </c>
      <c r="E865">
        <v>0.57885109999999995</v>
      </c>
      <c r="F865" t="s">
        <v>43</v>
      </c>
      <c r="G865">
        <v>-312.96339999999998</v>
      </c>
      <c r="H865">
        <v>-0.05</v>
      </c>
      <c r="I865">
        <v>362.65910000000002</v>
      </c>
      <c r="J865">
        <v>-333.28820000000002</v>
      </c>
      <c r="K865">
        <v>1.1211409999999999</v>
      </c>
      <c r="L865">
        <v>367.48970000000003</v>
      </c>
      <c r="M865">
        <v>0.99988949999999999</v>
      </c>
      <c r="N865">
        <v>-1.4367359999999999E-2</v>
      </c>
      <c r="O865">
        <v>-3.823346E-3</v>
      </c>
      <c r="P865">
        <v>0.99448740000000002</v>
      </c>
      <c r="Q865">
        <v>-0.1016055</v>
      </c>
      <c r="R865">
        <v>-2.590582E-2</v>
      </c>
      <c r="S865">
        <v>2.9807739999999998</v>
      </c>
      <c r="T865">
        <v>-0.17061089999999901</v>
      </c>
      <c r="U865">
        <v>-0.70379639999999999</v>
      </c>
      <c r="V865">
        <v>2.209968E-2</v>
      </c>
      <c r="W865">
        <v>-8.7306419999999996E-2</v>
      </c>
      <c r="X865">
        <v>0.9959363</v>
      </c>
      <c r="Y865">
        <v>0.2256321</v>
      </c>
      <c r="Z865">
        <v>-7.847705E-3</v>
      </c>
      <c r="AA865">
        <v>0.97418099999999996</v>
      </c>
      <c r="AB865">
        <v>21</v>
      </c>
      <c r="AC865">
        <v>20.3248</v>
      </c>
      <c r="AD865">
        <v>-1.171141</v>
      </c>
      <c r="AE865">
        <v>-4.8305999999999996</v>
      </c>
      <c r="AF865">
        <v>4.7379579884882501</v>
      </c>
      <c r="AG865">
        <v>-1.171141</v>
      </c>
      <c r="AH865">
        <v>20.279390531115101</v>
      </c>
      <c r="AI865">
        <v>93.218688536903898</v>
      </c>
      <c r="AJ865">
        <v>76.849633667947401</v>
      </c>
      <c r="AK865">
        <v>20.8584155068414</v>
      </c>
      <c r="AL865">
        <v>95.008666404945799</v>
      </c>
      <c r="AM865">
        <v>88.728823691111302</v>
      </c>
      <c r="AN865">
        <v>0.99999996024350302</v>
      </c>
    </row>
    <row r="866" spans="1:40" x14ac:dyDescent="0.25">
      <c r="A866" t="str">
        <f>"20190303154114215"</f>
        <v>20190303154114215</v>
      </c>
      <c r="B866" t="str">
        <f>"1551598874209699"</f>
        <v>1551598874209699</v>
      </c>
      <c r="C866" t="s">
        <v>40</v>
      </c>
      <c r="D866">
        <v>6.1152810000000004</v>
      </c>
      <c r="E866">
        <v>0.57913879999999995</v>
      </c>
      <c r="F866" t="s">
        <v>43</v>
      </c>
      <c r="G866">
        <v>-312.94940000000003</v>
      </c>
      <c r="H866">
        <v>-0.05</v>
      </c>
      <c r="I866">
        <v>362.67540000000002</v>
      </c>
      <c r="J866">
        <v>-333.11489999999998</v>
      </c>
      <c r="K866">
        <v>1.1211390000000001</v>
      </c>
      <c r="L866">
        <v>367.48899999999998</v>
      </c>
      <c r="M866">
        <v>0.99988960000000005</v>
      </c>
      <c r="N866">
        <v>-1.4364089999999999E-2</v>
      </c>
      <c r="O866">
        <v>-3.823323E-3</v>
      </c>
      <c r="P866">
        <v>0.99450190000000005</v>
      </c>
      <c r="Q866">
        <v>-0.1015316</v>
      </c>
      <c r="R866">
        <v>-2.563756E-2</v>
      </c>
      <c r="S866">
        <v>2.9807429999999999</v>
      </c>
      <c r="T866">
        <v>-0.1716365</v>
      </c>
      <c r="U866">
        <v>-0.70556640000000004</v>
      </c>
      <c r="V866">
        <v>2.1831369999999999E-2</v>
      </c>
      <c r="W866">
        <v>-8.723554E-2</v>
      </c>
      <c r="X866">
        <v>0.99594850000000001</v>
      </c>
      <c r="Y866">
        <v>0.2261764</v>
      </c>
      <c r="Z866">
        <v>-7.9034039999999993E-3</v>
      </c>
      <c r="AA866">
        <v>0.97405430000000004</v>
      </c>
      <c r="AB866">
        <v>21</v>
      </c>
      <c r="AC866">
        <v>20.165499999999899</v>
      </c>
      <c r="AD866">
        <v>-1.1711389999999999</v>
      </c>
      <c r="AE866">
        <v>-4.8136000000000001</v>
      </c>
      <c r="AF866">
        <v>4.72139149576918</v>
      </c>
      <c r="AG866">
        <v>-1.1711389999999999</v>
      </c>
      <c r="AH866">
        <v>20.1195561323843</v>
      </c>
      <c r="AI866">
        <v>93.243456629520594</v>
      </c>
      <c r="AJ866">
        <v>76.793542951696793</v>
      </c>
      <c r="AK866">
        <v>20.699266730437699</v>
      </c>
      <c r="AL866">
        <v>95.004589368771093</v>
      </c>
      <c r="AM866">
        <v>88.744267320667902</v>
      </c>
      <c r="AN866">
        <v>1.0000000314037001</v>
      </c>
    </row>
    <row r="867" spans="1:40" x14ac:dyDescent="0.25">
      <c r="A867" t="str">
        <f>"20190303154114237"</f>
        <v>20190303154114237</v>
      </c>
      <c r="B867" t="str">
        <f>"1551598874230195"</f>
        <v>1551598874230195</v>
      </c>
      <c r="C867" t="s">
        <v>40</v>
      </c>
      <c r="D867">
        <v>6.1214060000000003</v>
      </c>
      <c r="E867">
        <v>0.57935789999999998</v>
      </c>
      <c r="F867" t="s">
        <v>43</v>
      </c>
      <c r="G867">
        <v>-312.87700000000001</v>
      </c>
      <c r="H867">
        <v>-0.05</v>
      </c>
      <c r="I867">
        <v>362.68680000000001</v>
      </c>
      <c r="J867">
        <v>-332.91289999999998</v>
      </c>
      <c r="K867">
        <v>1.12114</v>
      </c>
      <c r="L867">
        <v>367.48829999999998</v>
      </c>
      <c r="M867">
        <v>0.99988960000000005</v>
      </c>
      <c r="N867">
        <v>-1.436013E-2</v>
      </c>
      <c r="O867">
        <v>-3.823295E-3</v>
      </c>
      <c r="P867">
        <v>0.99452850000000004</v>
      </c>
      <c r="Q867">
        <v>-0.10120030000000001</v>
      </c>
      <c r="R867">
        <v>-2.5914690000000001E-2</v>
      </c>
      <c r="S867">
        <v>2.9807739999999998</v>
      </c>
      <c r="T867">
        <v>-0.17249289999999901</v>
      </c>
      <c r="U867">
        <v>-0.70730590000000004</v>
      </c>
      <c r="V867">
        <v>2.210838E-2</v>
      </c>
      <c r="W867">
        <v>-8.6907860000000003E-2</v>
      </c>
      <c r="X867">
        <v>0.99597100000000005</v>
      </c>
      <c r="Y867">
        <v>0.2267074</v>
      </c>
      <c r="Z867">
        <v>-7.9524799999999996E-3</v>
      </c>
      <c r="AA867">
        <v>0.97393039999999997</v>
      </c>
      <c r="AB867">
        <v>21</v>
      </c>
      <c r="AC867">
        <v>20.035899999999899</v>
      </c>
      <c r="AD867">
        <v>-1.1711400000000001</v>
      </c>
      <c r="AE867">
        <v>-4.8014999999999697</v>
      </c>
      <c r="AF867">
        <v>4.7096366072951001</v>
      </c>
      <c r="AG867">
        <v>-1.1711400000000001</v>
      </c>
      <c r="AH867">
        <v>19.989525112190702</v>
      </c>
      <c r="AI867">
        <v>93.263831408418795</v>
      </c>
      <c r="AJ867">
        <v>76.742591083851906</v>
      </c>
      <c r="AK867">
        <v>20.5702056402769</v>
      </c>
      <c r="AL867">
        <v>94.985743294418597</v>
      </c>
      <c r="AM867">
        <v>88.728367721474896</v>
      </c>
      <c r="AN867">
        <v>0.99999999471850198</v>
      </c>
    </row>
    <row r="868" spans="1:40" x14ac:dyDescent="0.25">
      <c r="A868" t="str">
        <f>"20190303154114249"</f>
        <v>20190303154114249</v>
      </c>
      <c r="B868" t="str">
        <f>"1551598874239956"</f>
        <v>1551598874239956</v>
      </c>
      <c r="C868" t="s">
        <v>40</v>
      </c>
      <c r="D868">
        <v>6.0632229999999998</v>
      </c>
      <c r="E868">
        <v>0.57944490000000004</v>
      </c>
      <c r="F868" t="s">
        <v>43</v>
      </c>
      <c r="G868">
        <v>-312.72519999999997</v>
      </c>
      <c r="H868">
        <v>-0.05</v>
      </c>
      <c r="I868">
        <v>362.67959999999999</v>
      </c>
      <c r="J868">
        <v>-332.78969999999998</v>
      </c>
      <c r="K868">
        <v>1.1211409999999999</v>
      </c>
      <c r="L868">
        <v>367.48779999999999</v>
      </c>
      <c r="M868">
        <v>0.99988960000000005</v>
      </c>
      <c r="N868">
        <v>-1.435762E-2</v>
      </c>
      <c r="O868">
        <v>-3.823276E-3</v>
      </c>
      <c r="P868">
        <v>0.99453060000000004</v>
      </c>
      <c r="Q868">
        <v>-0.10123020000000001</v>
      </c>
      <c r="R868">
        <v>-2.5715269999999998E-2</v>
      </c>
      <c r="S868">
        <v>2.9804080000000002</v>
      </c>
      <c r="T868">
        <v>-0.172901</v>
      </c>
      <c r="U868">
        <v>-0.70993039999999996</v>
      </c>
      <c r="V868">
        <v>2.190918E-2</v>
      </c>
      <c r="W868">
        <v>-8.6940149999999994E-2</v>
      </c>
      <c r="X868">
        <v>0.99597259999999999</v>
      </c>
      <c r="Y868">
        <v>0.22754240000000001</v>
      </c>
      <c r="Z868">
        <v>-7.9971769999999994E-3</v>
      </c>
      <c r="AA868">
        <v>0.97373529999999997</v>
      </c>
      <c r="AB868">
        <v>20</v>
      </c>
      <c r="AC868">
        <v>20.064499999999999</v>
      </c>
      <c r="AD868">
        <v>-1.171141</v>
      </c>
      <c r="AE868">
        <v>-4.8081999999999896</v>
      </c>
      <c r="AF868">
        <v>4.7162495480281503</v>
      </c>
      <c r="AG868">
        <v>-1.171141</v>
      </c>
      <c r="AH868">
        <v>20.0182415728768</v>
      </c>
      <c r="AI868">
        <v>93.259167812934606</v>
      </c>
      <c r="AJ868">
        <v>76.743005445809601</v>
      </c>
      <c r="AK868">
        <v>20.5996256449288</v>
      </c>
      <c r="AL868">
        <v>94.987600323497901</v>
      </c>
      <c r="AM868">
        <v>88.739823641695097</v>
      </c>
      <c r="AN868">
        <v>1.00000001090052</v>
      </c>
    </row>
    <row r="869" spans="1:40" x14ac:dyDescent="0.25">
      <c r="A869" t="str">
        <f>"20190303154114262"</f>
        <v>20190303154114262</v>
      </c>
      <c r="B869" t="str">
        <f>"1551598874250692"</f>
        <v>1551598874250692</v>
      </c>
      <c r="C869" t="s">
        <v>40</v>
      </c>
      <c r="D869">
        <v>6.0676670000000001</v>
      </c>
      <c r="E869">
        <v>0.5795342</v>
      </c>
      <c r="F869" t="s">
        <v>43</v>
      </c>
      <c r="G869">
        <v>-312.62520000000001</v>
      </c>
      <c r="H869">
        <v>-0.05</v>
      </c>
      <c r="I869">
        <v>362.6848</v>
      </c>
      <c r="J869">
        <v>-332.6823</v>
      </c>
      <c r="K869">
        <v>1.121143</v>
      </c>
      <c r="L869">
        <v>367.48739999999998</v>
      </c>
      <c r="M869">
        <v>0.99988969999999999</v>
      </c>
      <c r="N869">
        <v>-1.4355400000000001E-2</v>
      </c>
      <c r="O869">
        <v>-3.8232610000000001E-3</v>
      </c>
      <c r="P869">
        <v>0.99453689999999995</v>
      </c>
      <c r="Q869">
        <v>-0.1011039</v>
      </c>
      <c r="R869">
        <v>-2.5966010000000001E-2</v>
      </c>
      <c r="S869">
        <v>2.9805299999999999</v>
      </c>
      <c r="T869">
        <v>-0.17310739999999999</v>
      </c>
      <c r="U869">
        <v>-0.70993039999999996</v>
      </c>
      <c r="V869">
        <v>2.21598E-2</v>
      </c>
      <c r="W869">
        <v>-8.6816069999999995E-2</v>
      </c>
      <c r="X869">
        <v>0.99597789999999997</v>
      </c>
      <c r="Y869">
        <v>0.2275326</v>
      </c>
      <c r="Z869">
        <v>-8.003797E-3</v>
      </c>
      <c r="AA869">
        <v>0.97373759999999998</v>
      </c>
      <c r="AB869">
        <v>20</v>
      </c>
      <c r="AC869">
        <v>20.057099999999899</v>
      </c>
      <c r="AD869">
        <v>-1.171143</v>
      </c>
      <c r="AE869">
        <v>-4.8025999999999804</v>
      </c>
      <c r="AF869">
        <v>4.7106835597857</v>
      </c>
      <c r="AG869">
        <v>-1.171143</v>
      </c>
      <c r="AH869">
        <v>20.010790766671601</v>
      </c>
      <c r="AI869">
        <v>93.260522504117205</v>
      </c>
      <c r="AJ869">
        <v>76.753342789852098</v>
      </c>
      <c r="AK869">
        <v>20.591111253023598</v>
      </c>
      <c r="AL869">
        <v>94.980463975313</v>
      </c>
      <c r="AM869">
        <v>88.725419941944807</v>
      </c>
      <c r="AN869">
        <v>1.0000000320173399</v>
      </c>
    </row>
    <row r="870" spans="1:40" x14ac:dyDescent="0.25">
      <c r="A870" t="str">
        <f>"20190303154114274"</f>
        <v>20190303154114274</v>
      </c>
      <c r="B870" t="str">
        <f>"1551598874270212"</f>
        <v>1551598874270212</v>
      </c>
      <c r="C870" t="s">
        <v>40</v>
      </c>
      <c r="D870">
        <v>6.2352169999999996</v>
      </c>
      <c r="E870">
        <v>0.57963199999999904</v>
      </c>
      <c r="F870" t="s">
        <v>43</v>
      </c>
      <c r="G870">
        <v>-312.5059</v>
      </c>
      <c r="H870">
        <v>-0.05</v>
      </c>
      <c r="I870">
        <v>362.67200000000003</v>
      </c>
      <c r="J870">
        <v>-332.57190000000003</v>
      </c>
      <c r="K870">
        <v>1.1211439999999999</v>
      </c>
      <c r="L870">
        <v>367.48689999999999</v>
      </c>
      <c r="M870">
        <v>0.99988980000000005</v>
      </c>
      <c r="N870">
        <v>-1.4353090000000001E-2</v>
      </c>
      <c r="O870">
        <v>-3.8232439999999999E-3</v>
      </c>
      <c r="P870">
        <v>0.99457519999999999</v>
      </c>
      <c r="Q870">
        <v>-0.1007257</v>
      </c>
      <c r="R870">
        <v>-2.5975419999999999E-2</v>
      </c>
      <c r="S870">
        <v>2.9803470000000001</v>
      </c>
      <c r="T870">
        <v>-0.17299489999999901</v>
      </c>
      <c r="U870">
        <v>-0.71130369999999998</v>
      </c>
      <c r="V870">
        <v>2.2169049999999999E-2</v>
      </c>
      <c r="W870">
        <v>-8.6439650000000007E-2</v>
      </c>
      <c r="X870">
        <v>0.99601039999999996</v>
      </c>
      <c r="Y870">
        <v>0.22797020000000001</v>
      </c>
      <c r="Z870">
        <v>-8.0152709999999992E-3</v>
      </c>
      <c r="AA870">
        <v>0.97363509999999998</v>
      </c>
      <c r="AB870">
        <v>20</v>
      </c>
      <c r="AC870">
        <v>20.065999999999999</v>
      </c>
      <c r="AD870">
        <v>-1.171144</v>
      </c>
      <c r="AE870">
        <v>-4.8149000000000202</v>
      </c>
      <c r="AF870">
        <v>4.7229272838002903</v>
      </c>
      <c r="AG870">
        <v>-1.171144</v>
      </c>
      <c r="AH870">
        <v>20.019780620533499</v>
      </c>
      <c r="AI870">
        <v>93.258697034945797</v>
      </c>
      <c r="AJ870">
        <v>76.725883429725002</v>
      </c>
      <c r="AK870">
        <v>20.602651200539501</v>
      </c>
      <c r="AL870">
        <v>94.958815482806699</v>
      </c>
      <c r="AM870">
        <v>88.724929672515003</v>
      </c>
      <c r="AN870">
        <v>0.99999999838909204</v>
      </c>
    </row>
    <row r="871" spans="1:40" x14ac:dyDescent="0.25">
      <c r="A871" t="str">
        <f>"20190303154114285"</f>
        <v>20190303154114285</v>
      </c>
      <c r="B871" t="str">
        <f>"1551598874279971"</f>
        <v>1551598874279971</v>
      </c>
      <c r="C871" t="s">
        <v>40</v>
      </c>
      <c r="D871">
        <v>6.3053869999999996</v>
      </c>
      <c r="E871">
        <v>0.59243020000000002</v>
      </c>
      <c r="F871" t="s">
        <v>43</v>
      </c>
      <c r="G871">
        <v>-312.32659999999998</v>
      </c>
      <c r="H871">
        <v>-0.05</v>
      </c>
      <c r="I871">
        <v>362.64920000000001</v>
      </c>
      <c r="J871">
        <v>-332.4667</v>
      </c>
      <c r="K871">
        <v>1.121148</v>
      </c>
      <c r="L871">
        <v>367.48649999999998</v>
      </c>
      <c r="M871">
        <v>0.9998899</v>
      </c>
      <c r="N871">
        <v>-1.435086E-2</v>
      </c>
      <c r="O871">
        <v>-3.8233469999999999E-3</v>
      </c>
      <c r="P871">
        <v>0.99455850000000001</v>
      </c>
      <c r="Q871">
        <v>-0.10085040000000001</v>
      </c>
      <c r="R871">
        <v>-2.61354E-2</v>
      </c>
      <c r="S871">
        <v>2.9803160000000002</v>
      </c>
      <c r="T871">
        <v>-0.17240440000000001</v>
      </c>
      <c r="U871">
        <v>-0.71215819999999996</v>
      </c>
      <c r="V871">
        <v>2.2329069999999999E-2</v>
      </c>
      <c r="W871">
        <v>-8.6566779999999996E-2</v>
      </c>
      <c r="X871">
        <v>0.99599579999999999</v>
      </c>
      <c r="Y871">
        <v>0.22823869999999999</v>
      </c>
      <c r="Z871">
        <v>-8.0030359999999998E-3</v>
      </c>
      <c r="AA871">
        <v>0.97357229999999995</v>
      </c>
      <c r="AB871">
        <v>20</v>
      </c>
      <c r="AC871">
        <v>20.1401</v>
      </c>
      <c r="AD871">
        <v>-1.1711479999999901</v>
      </c>
      <c r="AE871">
        <v>-4.8372999999999697</v>
      </c>
      <c r="AF871">
        <v>4.7450840874169504</v>
      </c>
      <c r="AG871">
        <v>-1.1711479999999901</v>
      </c>
      <c r="AH871">
        <v>20.0942081227494</v>
      </c>
      <c r="AI871">
        <v>93.246498240456205</v>
      </c>
      <c r="AJ871">
        <v>76.713463678589605</v>
      </c>
      <c r="AK871">
        <v>20.6800534504853</v>
      </c>
      <c r="AL871">
        <v>94.966126822926398</v>
      </c>
      <c r="AM871">
        <v>88.715710248465101</v>
      </c>
      <c r="AN871">
        <v>1.0000000141921299</v>
      </c>
    </row>
    <row r="872" spans="1:40" x14ac:dyDescent="0.25">
      <c r="A872" t="str">
        <f>"20190303154114303"</f>
        <v>20190303154114303</v>
      </c>
      <c r="B872" t="str">
        <f>"1551598874289732"</f>
        <v>1551598874289732</v>
      </c>
      <c r="C872" t="s">
        <v>40</v>
      </c>
      <c r="D872">
        <v>6.2732700000000001</v>
      </c>
      <c r="E872">
        <v>0.59658769999999905</v>
      </c>
      <c r="F872" t="s">
        <v>41</v>
      </c>
      <c r="G872">
        <v>-320.29759999999999</v>
      </c>
      <c r="H872" s="1">
        <v>-5.1154290000000004E-6</v>
      </c>
      <c r="I872">
        <v>364.14339999999999</v>
      </c>
      <c r="J872">
        <v>-332.31259999999997</v>
      </c>
      <c r="K872">
        <v>1.1211530000000001</v>
      </c>
      <c r="L872">
        <v>367.48590000000002</v>
      </c>
      <c r="M872">
        <v>0.9998899</v>
      </c>
      <c r="N872">
        <v>-1.4347499999999999E-2</v>
      </c>
      <c r="O872">
        <v>-3.823323E-3</v>
      </c>
      <c r="P872">
        <v>0.99464269999999999</v>
      </c>
      <c r="Q872">
        <v>-0.10008060000000001</v>
      </c>
      <c r="R872">
        <v>-2.58777E-2</v>
      </c>
      <c r="S872">
        <v>2.967285</v>
      </c>
      <c r="T872">
        <v>-0.27337709999999998</v>
      </c>
      <c r="U872">
        <v>-0.81515499999999996</v>
      </c>
      <c r="V872">
        <v>2.207112E-2</v>
      </c>
      <c r="W872">
        <v>-8.5799210000000001E-2</v>
      </c>
      <c r="X872">
        <v>0.99606790000000001</v>
      </c>
      <c r="Y872">
        <v>0.26002839999999999</v>
      </c>
      <c r="Z872">
        <v>-1.334924E-2</v>
      </c>
      <c r="AA872">
        <v>0.9655087</v>
      </c>
      <c r="AB872">
        <v>20</v>
      </c>
      <c r="AC872">
        <v>12.014999999999899</v>
      </c>
      <c r="AD872">
        <v>-1.121158115429</v>
      </c>
      <c r="AE872">
        <v>-3.3425000000000198</v>
      </c>
      <c r="AF872">
        <v>3.2701050147466502</v>
      </c>
      <c r="AG872">
        <v>-1.121158115429</v>
      </c>
      <c r="AH872">
        <v>11.9312658567457</v>
      </c>
      <c r="AI872">
        <v>95.178332547968694</v>
      </c>
      <c r="AJ872">
        <v>74.672839250082106</v>
      </c>
      <c r="AK872">
        <v>12.4219840312089</v>
      </c>
      <c r="AL872">
        <v>94.921984376318093</v>
      </c>
      <c r="AM872">
        <v>88.730633603170901</v>
      </c>
      <c r="AN872">
        <v>0.99999995009254194</v>
      </c>
    </row>
    <row r="873" spans="1:40" x14ac:dyDescent="0.25">
      <c r="A873" t="str">
        <f>"20190303154114317"</f>
        <v>20190303154114317</v>
      </c>
      <c r="B873" t="str">
        <f>"1551598874310228"</f>
        <v>1551598874310228</v>
      </c>
      <c r="C873" t="s">
        <v>40</v>
      </c>
      <c r="D873">
        <v>6.2407550000000001</v>
      </c>
      <c r="E873">
        <v>0.59885759999999999</v>
      </c>
      <c r="F873" t="s">
        <v>41</v>
      </c>
      <c r="G873">
        <v>-320.4128</v>
      </c>
      <c r="H873" s="1">
        <v>-5.0764319999999901E-6</v>
      </c>
      <c r="I873">
        <v>364.0847</v>
      </c>
      <c r="J873">
        <v>-332.18740000000003</v>
      </c>
      <c r="K873">
        <v>1.121154</v>
      </c>
      <c r="L873">
        <v>367.48540000000003</v>
      </c>
      <c r="M873">
        <v>0.99988999999999995</v>
      </c>
      <c r="N873">
        <v>-1.43447E-2</v>
      </c>
      <c r="O873">
        <v>-3.8234219999999999E-3</v>
      </c>
      <c r="P873">
        <v>0.99465729999999997</v>
      </c>
      <c r="Q873">
        <v>-9.9966689999999997E-2</v>
      </c>
      <c r="R873">
        <v>-2.5772E-2</v>
      </c>
      <c r="S873">
        <v>2.9660030000000002</v>
      </c>
      <c r="T873">
        <v>-0.27944419999999998</v>
      </c>
      <c r="U873">
        <v>-0.84771730000000001</v>
      </c>
      <c r="V873">
        <v>2.196509E-2</v>
      </c>
      <c r="W873">
        <v>-8.5687879999999994E-2</v>
      </c>
      <c r="X873">
        <v>0.99607990000000002</v>
      </c>
      <c r="Y873">
        <v>0.26985559999999997</v>
      </c>
      <c r="Z873">
        <v>-1.411635E-2</v>
      </c>
      <c r="AA873">
        <v>0.96279729999999997</v>
      </c>
      <c r="AB873">
        <v>20</v>
      </c>
      <c r="AC873">
        <v>11.7746</v>
      </c>
      <c r="AD873">
        <v>-1.1211590764319901</v>
      </c>
      <c r="AE873">
        <v>-3.40070000000002</v>
      </c>
      <c r="AF873">
        <v>3.3278025552984398</v>
      </c>
      <c r="AG873">
        <v>-1.1211590764319901</v>
      </c>
      <c r="AH873">
        <v>11.6896924473228</v>
      </c>
      <c r="AI873">
        <v>95.270335231852499</v>
      </c>
      <c r="AJ873">
        <v>74.109493348604502</v>
      </c>
      <c r="AK873">
        <v>12.2057436084293</v>
      </c>
      <c r="AL873">
        <v>94.915581701517596</v>
      </c>
      <c r="AM873">
        <v>88.736744891989602</v>
      </c>
      <c r="AN873">
        <v>1.0000000225707999</v>
      </c>
    </row>
    <row r="874" spans="1:40" x14ac:dyDescent="0.25">
      <c r="A874" t="str">
        <f>"20190303154114337"</f>
        <v>20190303154114337</v>
      </c>
      <c r="B874" t="str">
        <f>"1551598874329751"</f>
        <v>1551598874329751</v>
      </c>
      <c r="C874" t="s">
        <v>40</v>
      </c>
      <c r="D874">
        <v>6.1972680000000002</v>
      </c>
      <c r="E874">
        <v>0.60080299999999998</v>
      </c>
      <c r="F874" t="s">
        <v>41</v>
      </c>
      <c r="G874">
        <v>-320.72300000000001</v>
      </c>
      <c r="H874" s="1">
        <v>-4.9337940000000004E-6</v>
      </c>
      <c r="I874">
        <v>364.13850000000002</v>
      </c>
      <c r="J874">
        <v>-332.01049999999998</v>
      </c>
      <c r="K874">
        <v>1.1211549999999999</v>
      </c>
      <c r="L874">
        <v>367.48480000000001</v>
      </c>
      <c r="M874">
        <v>0.99988999999999995</v>
      </c>
      <c r="N874">
        <v>-1.4340830000000001E-2</v>
      </c>
      <c r="O874">
        <v>-3.8233939999999999E-3</v>
      </c>
      <c r="P874">
        <v>0.99470219999999998</v>
      </c>
      <c r="Q874">
        <v>-9.9546969999999999E-2</v>
      </c>
      <c r="R874">
        <v>-2.565949E-2</v>
      </c>
      <c r="S874">
        <v>2.964569</v>
      </c>
      <c r="T874">
        <v>-0.28991749999999999</v>
      </c>
      <c r="U874">
        <v>-0.865448</v>
      </c>
      <c r="V874">
        <v>2.1852420000000001E-2</v>
      </c>
      <c r="W874">
        <v>-8.5271399999999997E-2</v>
      </c>
      <c r="X874">
        <v>0.99611810000000001</v>
      </c>
      <c r="Y874">
        <v>0.27517340000000001</v>
      </c>
      <c r="Z874">
        <v>-1.4857399999999899E-2</v>
      </c>
      <c r="AA874">
        <v>0.96127980000000002</v>
      </c>
      <c r="AB874">
        <v>20</v>
      </c>
      <c r="AC874">
        <v>11.2874999999999</v>
      </c>
      <c r="AD874">
        <v>-1.1211599337939999</v>
      </c>
      <c r="AE874">
        <v>-3.3462999999999798</v>
      </c>
      <c r="AF874">
        <v>3.27342812201011</v>
      </c>
      <c r="AG874">
        <v>-1.1211599337939999</v>
      </c>
      <c r="AH874">
        <v>11.1986534471868</v>
      </c>
      <c r="AI874">
        <v>95.488953131995999</v>
      </c>
      <c r="AJ874">
        <v>73.706067668004707</v>
      </c>
      <c r="AK874">
        <v>11.7210140473126</v>
      </c>
      <c r="AL874">
        <v>94.891631584352595</v>
      </c>
      <c r="AM874">
        <v>88.743270860031004</v>
      </c>
      <c r="AN874">
        <v>1.00000000453271</v>
      </c>
    </row>
    <row r="875" spans="1:40" x14ac:dyDescent="0.25">
      <c r="A875" t="str">
        <f>"20190303154114349"</f>
        <v>20190303154114349</v>
      </c>
      <c r="B875" t="str">
        <f>"1551598874340484"</f>
        <v>1551598874340484</v>
      </c>
      <c r="C875" t="s">
        <v>40</v>
      </c>
      <c r="D875">
        <v>6.1876089999999904</v>
      </c>
      <c r="E875">
        <v>0.60171529999999995</v>
      </c>
      <c r="F875" t="s">
        <v>41</v>
      </c>
      <c r="G875">
        <v>-320.61450000000002</v>
      </c>
      <c r="H875" s="1">
        <v>-4.9873830000000001E-6</v>
      </c>
      <c r="I875">
        <v>364.09890000000001</v>
      </c>
      <c r="J875">
        <v>-331.89210000000003</v>
      </c>
      <c r="K875">
        <v>1.121156</v>
      </c>
      <c r="L875">
        <v>367.48430000000002</v>
      </c>
      <c r="M875">
        <v>0.99988999999999995</v>
      </c>
      <c r="N875">
        <v>-1.4338210000000001E-2</v>
      </c>
      <c r="O875">
        <v>-3.823375E-3</v>
      </c>
      <c r="P875">
        <v>0.99470329999999996</v>
      </c>
      <c r="Q875">
        <v>-9.959643E-2</v>
      </c>
      <c r="R875">
        <v>-2.5420479999999999E-2</v>
      </c>
      <c r="S875">
        <v>2.9640499999999999</v>
      </c>
      <c r="T875">
        <v>-0.29160520000000001</v>
      </c>
      <c r="U875">
        <v>-0.88061520000000004</v>
      </c>
      <c r="V875">
        <v>2.161356E-2</v>
      </c>
      <c r="W875">
        <v>-8.5323479999999993E-2</v>
      </c>
      <c r="X875">
        <v>0.99611879999999997</v>
      </c>
      <c r="Y875">
        <v>0.27970529999999999</v>
      </c>
      <c r="Z875">
        <v>-1.517659E-2</v>
      </c>
      <c r="AA875">
        <v>0.95996590000000004</v>
      </c>
      <c r="AB875">
        <v>20</v>
      </c>
      <c r="AC875">
        <v>11.2776</v>
      </c>
      <c r="AD875">
        <v>-1.121160987383</v>
      </c>
      <c r="AE875">
        <v>-3.3854000000000002</v>
      </c>
      <c r="AF875">
        <v>3.3122226518184998</v>
      </c>
      <c r="AG875">
        <v>-1.121160987383</v>
      </c>
      <c r="AH875">
        <v>11.1890192867265</v>
      </c>
      <c r="AI875">
        <v>95.488160891911704</v>
      </c>
      <c r="AJ875">
        <v>73.5099612323028</v>
      </c>
      <c r="AK875">
        <v>11.722711864308</v>
      </c>
      <c r="AL875">
        <v>94.894626716299697</v>
      </c>
      <c r="AM875">
        <v>88.757004199700901</v>
      </c>
      <c r="AN875">
        <v>0.99999995296430999</v>
      </c>
    </row>
    <row r="876" spans="1:40" x14ac:dyDescent="0.25">
      <c r="A876" t="str">
        <f>"20190303154114361"</f>
        <v>20190303154114361</v>
      </c>
      <c r="B876" t="str">
        <f>"1551598874350244"</f>
        <v>1551598874350244</v>
      </c>
      <c r="C876" t="s">
        <v>40</v>
      </c>
      <c r="D876">
        <v>6.1691630000000002</v>
      </c>
      <c r="E876">
        <v>0.6023963</v>
      </c>
      <c r="F876" t="s">
        <v>41</v>
      </c>
      <c r="G876">
        <v>-320.53440000000001</v>
      </c>
      <c r="H876" s="1">
        <v>-5.0242839999999999E-6</v>
      </c>
      <c r="I876">
        <v>364.08449999999999</v>
      </c>
      <c r="J876">
        <v>-331.78140000000002</v>
      </c>
      <c r="K876">
        <v>1.121156</v>
      </c>
      <c r="L876">
        <v>367.48390000000001</v>
      </c>
      <c r="M876">
        <v>0.99988999999999995</v>
      </c>
      <c r="N876">
        <v>-1.433575E-2</v>
      </c>
      <c r="O876">
        <v>-3.8233579999999998E-3</v>
      </c>
      <c r="P876">
        <v>0.99467329999999998</v>
      </c>
      <c r="Q876">
        <v>-9.9854739999999997E-2</v>
      </c>
      <c r="R876">
        <v>-2.5582259999999999E-2</v>
      </c>
      <c r="S876">
        <v>2.9639890000000002</v>
      </c>
      <c r="T876">
        <v>-0.29258489999999998</v>
      </c>
      <c r="U876">
        <v>-0.88720699999999997</v>
      </c>
      <c r="V876">
        <v>2.1775349999999999E-2</v>
      </c>
      <c r="W876">
        <v>-8.5584610000000005E-2</v>
      </c>
      <c r="X876">
        <v>0.99609289999999995</v>
      </c>
      <c r="Y876">
        <v>0.28165259999999998</v>
      </c>
      <c r="Z876">
        <v>-1.5324900000000001E-2</v>
      </c>
      <c r="AA876">
        <v>0.95939399999999997</v>
      </c>
      <c r="AB876">
        <v>20</v>
      </c>
      <c r="AC876">
        <v>11.247</v>
      </c>
      <c r="AD876">
        <v>-1.121161024284</v>
      </c>
      <c r="AE876">
        <v>-3.3994000000000102</v>
      </c>
      <c r="AF876">
        <v>3.3260842631341401</v>
      </c>
      <c r="AG876">
        <v>-1.121161024284</v>
      </c>
      <c r="AH876">
        <v>11.1583158637381</v>
      </c>
      <c r="AI876">
        <v>95.500099929035201</v>
      </c>
      <c r="AJ876">
        <v>73.401670174160898</v>
      </c>
      <c r="AK876">
        <v>11.697343778943599</v>
      </c>
      <c r="AL876">
        <v>94.909643167791302</v>
      </c>
      <c r="AM876">
        <v>88.747670057710593</v>
      </c>
      <c r="AN876">
        <v>0.99999997838344201</v>
      </c>
    </row>
    <row r="877" spans="1:40" x14ac:dyDescent="0.25">
      <c r="A877" t="str">
        <f>"20190303154114373"</f>
        <v>20190303154114373</v>
      </c>
      <c r="B877" t="str">
        <f>"1551598874369764"</f>
        <v>1551598874369764</v>
      </c>
      <c r="C877" t="s">
        <v>40</v>
      </c>
      <c r="D877">
        <v>6.146496</v>
      </c>
      <c r="E877">
        <v>0.60375319999999899</v>
      </c>
      <c r="F877" t="s">
        <v>41</v>
      </c>
      <c r="G877">
        <v>-320.37560000000002</v>
      </c>
      <c r="H877" s="1">
        <v>-5.0989310000000002E-6</v>
      </c>
      <c r="I877">
        <v>364.0478</v>
      </c>
      <c r="J877">
        <v>-331.67070000000001</v>
      </c>
      <c r="K877">
        <v>1.1211549999999999</v>
      </c>
      <c r="L877">
        <v>367.48349999999999</v>
      </c>
      <c r="M877">
        <v>0.99988999999999995</v>
      </c>
      <c r="N877">
        <v>-1.433328E-2</v>
      </c>
      <c r="O877">
        <v>-3.8233400000000002E-3</v>
      </c>
      <c r="P877">
        <v>0.99466160000000003</v>
      </c>
      <c r="Q877">
        <v>-9.9977789999999997E-2</v>
      </c>
      <c r="R877">
        <v>-2.555777E-2</v>
      </c>
      <c r="S877">
        <v>2.963867</v>
      </c>
      <c r="T877">
        <v>-0.29133809999999999</v>
      </c>
      <c r="U877">
        <v>-0.8928528</v>
      </c>
      <c r="V877">
        <v>2.1750849999999999E-2</v>
      </c>
      <c r="W877">
        <v>-8.5710270000000005E-2</v>
      </c>
      <c r="X877">
        <v>0.99608269999999999</v>
      </c>
      <c r="Y877">
        <v>0.28334290000000001</v>
      </c>
      <c r="Z877">
        <v>-1.535951E-2</v>
      </c>
      <c r="AA877">
        <v>0.95889570000000002</v>
      </c>
      <c r="AB877">
        <v>20</v>
      </c>
      <c r="AC877">
        <v>11.2950999999999</v>
      </c>
      <c r="AD877">
        <v>-1.121160098931</v>
      </c>
      <c r="AE877">
        <v>-3.43569999999999</v>
      </c>
      <c r="AF877">
        <v>3.3621644477387602</v>
      </c>
      <c r="AG877">
        <v>-1.121160098931</v>
      </c>
      <c r="AH877">
        <v>11.2070858129222</v>
      </c>
      <c r="AI877">
        <v>95.473435187865306</v>
      </c>
      <c r="AJ877">
        <v>73.300574232277796</v>
      </c>
      <c r="AK877">
        <v>11.7541448927294</v>
      </c>
      <c r="AL877">
        <v>94.916869167828906</v>
      </c>
      <c r="AM877">
        <v>88.749065832499895</v>
      </c>
      <c r="AN877">
        <v>1.0000000475492401</v>
      </c>
    </row>
    <row r="878" spans="1:40" x14ac:dyDescent="0.25">
      <c r="A878" t="str">
        <f>"20190303154114385"</f>
        <v>20190303154114385</v>
      </c>
      <c r="B878" t="str">
        <f>"1551598874380500"</f>
        <v>1551598874380500</v>
      </c>
      <c r="C878" t="s">
        <v>40</v>
      </c>
      <c r="D878">
        <v>6.1755279999999999</v>
      </c>
      <c r="E878">
        <v>0.60423230000000006</v>
      </c>
      <c r="F878" t="s">
        <v>41</v>
      </c>
      <c r="G878">
        <v>-320.23250000000002</v>
      </c>
      <c r="H878" s="1">
        <v>-5.1695079999999996E-6</v>
      </c>
      <c r="I878">
        <v>363.99590000000001</v>
      </c>
      <c r="J878">
        <v>-331.5686</v>
      </c>
      <c r="K878">
        <v>1.1211580000000001</v>
      </c>
      <c r="L878">
        <v>367.48309999999998</v>
      </c>
      <c r="M878">
        <v>0.9998901</v>
      </c>
      <c r="N878">
        <v>-1.433098E-2</v>
      </c>
      <c r="O878">
        <v>-3.823323E-3</v>
      </c>
      <c r="P878">
        <v>0.99466529999999997</v>
      </c>
      <c r="Q878">
        <v>-9.995996E-2</v>
      </c>
      <c r="R878">
        <v>-2.547665E-2</v>
      </c>
      <c r="S878">
        <v>2.9636840000000002</v>
      </c>
      <c r="T878">
        <v>-0.29049520000000001</v>
      </c>
      <c r="U878">
        <v>-0.90362549999999997</v>
      </c>
      <c r="V878">
        <v>2.1669709999999998E-2</v>
      </c>
      <c r="W878">
        <v>-8.5694699999999999E-2</v>
      </c>
      <c r="X878">
        <v>0.99608580000000002</v>
      </c>
      <c r="Y878">
        <v>0.28654279999999999</v>
      </c>
      <c r="Z878">
        <v>-1.5492560000000001E-2</v>
      </c>
      <c r="AA878">
        <v>0.95794219999999997</v>
      </c>
      <c r="AB878">
        <v>20</v>
      </c>
      <c r="AC878">
        <v>11.336099999999901</v>
      </c>
      <c r="AD878">
        <v>-1.121163169508</v>
      </c>
      <c r="AE878">
        <v>-3.4871999999999699</v>
      </c>
      <c r="AF878">
        <v>3.41332699723141</v>
      </c>
      <c r="AG878">
        <v>-1.121163169508</v>
      </c>
      <c r="AH878">
        <v>11.248831625289601</v>
      </c>
      <c r="AI878">
        <v>95.448113657221199</v>
      </c>
      <c r="AJ878">
        <v>73.1201901769752</v>
      </c>
      <c r="AK878">
        <v>11.8086417922132</v>
      </c>
      <c r="AL878">
        <v>94.915973818154399</v>
      </c>
      <c r="AM878">
        <v>88.753734756373404</v>
      </c>
      <c r="AN878">
        <v>1.0000000394505999</v>
      </c>
    </row>
    <row r="879" spans="1:40" x14ac:dyDescent="0.25">
      <c r="A879" t="str">
        <f>"20190303154114404"</f>
        <v>20190303154114404</v>
      </c>
      <c r="B879" t="str">
        <f>"1551598874400020"</f>
        <v>1551598874400020</v>
      </c>
      <c r="C879" t="s">
        <v>40</v>
      </c>
      <c r="D879">
        <v>6.1480790000000001</v>
      </c>
      <c r="E879">
        <v>0.60498580000000002</v>
      </c>
      <c r="F879" t="s">
        <v>41</v>
      </c>
      <c r="G879">
        <v>-320.2285</v>
      </c>
      <c r="H879" s="1">
        <v>-5.1688079999999998E-6</v>
      </c>
      <c r="I879">
        <v>364.00970000000001</v>
      </c>
      <c r="J879">
        <v>-331.39479999999998</v>
      </c>
      <c r="K879">
        <v>1.1211599999999999</v>
      </c>
      <c r="L879">
        <v>367.48239999999998</v>
      </c>
      <c r="M879">
        <v>0.99988999999999995</v>
      </c>
      <c r="N879">
        <v>-1.4327049999999999E-2</v>
      </c>
      <c r="O879">
        <v>-3.823295E-3</v>
      </c>
      <c r="P879">
        <v>0.99468369999999995</v>
      </c>
      <c r="Q879">
        <v>-9.9758630000000001E-2</v>
      </c>
      <c r="R879">
        <v>-2.5548660000000001E-2</v>
      </c>
      <c r="S879">
        <v>2.9633479999999999</v>
      </c>
      <c r="T879">
        <v>-0.2929754</v>
      </c>
      <c r="U879">
        <v>-0.90762330000000002</v>
      </c>
      <c r="V879">
        <v>2.1741819999999999E-2</v>
      </c>
      <c r="W879">
        <v>-8.5497039999999996E-2</v>
      </c>
      <c r="X879">
        <v>0.99610120000000002</v>
      </c>
      <c r="Y879">
        <v>0.28772619999999999</v>
      </c>
      <c r="Z879">
        <v>-1.5670400000000001E-2</v>
      </c>
      <c r="AA879">
        <v>0.95758449999999995</v>
      </c>
      <c r="AB879">
        <v>20</v>
      </c>
      <c r="AC879">
        <v>11.1662999999999</v>
      </c>
      <c r="AD879">
        <v>-1.121165168808</v>
      </c>
      <c r="AE879">
        <v>-3.4726999999999699</v>
      </c>
      <c r="AF879">
        <v>3.3987359203110499</v>
      </c>
      <c r="AG879">
        <v>-1.121165168808</v>
      </c>
      <c r="AH879">
        <v>11.077667486831899</v>
      </c>
      <c r="AI879">
        <v>95.5266144899567</v>
      </c>
      <c r="AJ879">
        <v>72.943478197210993</v>
      </c>
      <c r="AK879">
        <v>11.641440380836601</v>
      </c>
      <c r="AL879">
        <v>94.904607085986598</v>
      </c>
      <c r="AM879">
        <v>88.749608216491694</v>
      </c>
      <c r="AN879">
        <v>1.0000000256135499</v>
      </c>
    </row>
    <row r="880" spans="1:40" x14ac:dyDescent="0.25">
      <c r="A880" t="str">
        <f>"20190303154114427"</f>
        <v>20190303154114427</v>
      </c>
      <c r="B880" t="str">
        <f>"1551598874420516"</f>
        <v>1551598874420516</v>
      </c>
      <c r="C880" t="s">
        <v>40</v>
      </c>
      <c r="D880">
        <v>6.1455469999999996</v>
      </c>
      <c r="E880">
        <v>0.60562780000000005</v>
      </c>
      <c r="F880" t="s">
        <v>41</v>
      </c>
      <c r="G880">
        <v>-320.16239999999999</v>
      </c>
      <c r="H880" s="1">
        <v>-5.1955770000000003E-6</v>
      </c>
      <c r="I880">
        <v>364.01859999999999</v>
      </c>
      <c r="J880">
        <v>-331.19630000000001</v>
      </c>
      <c r="K880">
        <v>1.1211530000000001</v>
      </c>
      <c r="L880">
        <v>367.48169999999999</v>
      </c>
      <c r="M880">
        <v>0.99989030000000001</v>
      </c>
      <c r="N880">
        <v>-1.432261E-2</v>
      </c>
      <c r="O880">
        <v>-3.8235019999999999E-3</v>
      </c>
      <c r="P880">
        <v>0.99472890000000003</v>
      </c>
      <c r="Q880">
        <v>-9.9209930000000002E-2</v>
      </c>
      <c r="R880">
        <v>-2.591889E-2</v>
      </c>
      <c r="S880">
        <v>2.9629210000000001</v>
      </c>
      <c r="T880">
        <v>-0.29574109999999998</v>
      </c>
      <c r="U880">
        <v>-0.91366579999999997</v>
      </c>
      <c r="V880">
        <v>2.211188E-2</v>
      </c>
      <c r="W880">
        <v>-8.4952180000000002E-2</v>
      </c>
      <c r="X880">
        <v>0.99613960000000001</v>
      </c>
      <c r="Y880">
        <v>0.28951379999999999</v>
      </c>
      <c r="Z880">
        <v>-1.5895289999999999E-2</v>
      </c>
      <c r="AA880">
        <v>0.9570419</v>
      </c>
      <c r="AB880">
        <v>20</v>
      </c>
      <c r="AC880">
        <v>11.033899999999999</v>
      </c>
      <c r="AD880">
        <v>-1.121158195577</v>
      </c>
      <c r="AE880">
        <v>-3.4630999999999901</v>
      </c>
      <c r="AF880">
        <v>3.3890294103185501</v>
      </c>
      <c r="AG880">
        <v>-1.121158195577</v>
      </c>
      <c r="AH880">
        <v>10.9441995063015</v>
      </c>
      <c r="AI880">
        <v>95.589089224113494</v>
      </c>
      <c r="AJ880">
        <v>72.794106005260502</v>
      </c>
      <c r="AK880">
        <v>11.511647096625399</v>
      </c>
      <c r="AL880">
        <v>94.873275257118706</v>
      </c>
      <c r="AM880">
        <v>88.728381665644093</v>
      </c>
      <c r="AN880">
        <v>0.99999995540602205</v>
      </c>
    </row>
    <row r="881" spans="1:40" x14ac:dyDescent="0.25">
      <c r="A881" t="str">
        <f>"20190303154114448"</f>
        <v>20190303154114448</v>
      </c>
      <c r="B881" t="str">
        <f>"1551598874440036"</f>
        <v>1551598874440036</v>
      </c>
      <c r="C881" t="s">
        <v>40</v>
      </c>
      <c r="D881">
        <v>6.1310589999999996</v>
      </c>
      <c r="E881">
        <v>0.60632849999999905</v>
      </c>
      <c r="F881" t="s">
        <v>41</v>
      </c>
      <c r="G881">
        <v>-319.96640000000002</v>
      </c>
      <c r="H881" s="1">
        <v>-5.2838269999999998E-6</v>
      </c>
      <c r="I881">
        <v>363.99509999999998</v>
      </c>
      <c r="J881">
        <v>-331.0043</v>
      </c>
      <c r="K881">
        <v>1.1211549999999999</v>
      </c>
      <c r="L881">
        <v>367.48090000000002</v>
      </c>
      <c r="M881">
        <v>0.99989030000000001</v>
      </c>
      <c r="N881">
        <v>-1.4318330000000001E-2</v>
      </c>
      <c r="O881">
        <v>-3.8234710000000002E-3</v>
      </c>
      <c r="P881">
        <v>0.99473520000000004</v>
      </c>
      <c r="Q881">
        <v>-9.9157200000000001E-2</v>
      </c>
      <c r="R881">
        <v>-2.5876900000000001E-2</v>
      </c>
      <c r="S881">
        <v>2.9624329999999999</v>
      </c>
      <c r="T881">
        <v>-0.29575659999999998</v>
      </c>
      <c r="U881">
        <v>-0.91970830000000003</v>
      </c>
      <c r="V881">
        <v>2.206994E-2</v>
      </c>
      <c r="W881">
        <v>-8.4903610000000004E-2</v>
      </c>
      <c r="X881">
        <v>0.99614469999999999</v>
      </c>
      <c r="Y881">
        <v>0.29133019999999998</v>
      </c>
      <c r="Z881">
        <v>-1.5995809999999999E-2</v>
      </c>
      <c r="AA881">
        <v>0.95648880000000003</v>
      </c>
      <c r="AB881">
        <v>20</v>
      </c>
      <c r="AC881">
        <v>11.037899999999899</v>
      </c>
      <c r="AD881">
        <v>-1.1211602838269901</v>
      </c>
      <c r="AE881">
        <v>-3.48580000000003</v>
      </c>
      <c r="AF881">
        <v>3.4115612771339401</v>
      </c>
      <c r="AG881">
        <v>-1.1211602838269901</v>
      </c>
      <c r="AH881">
        <v>10.948434932655999</v>
      </c>
      <c r="AI881">
        <v>95.583903599077999</v>
      </c>
      <c r="AJ881">
        <v>72.692827750590695</v>
      </c>
      <c r="AK881">
        <v>11.5223252082326</v>
      </c>
      <c r="AL881">
        <v>94.870482169324006</v>
      </c>
      <c r="AM881">
        <v>88.730799273172707</v>
      </c>
      <c r="AN881">
        <v>0.99999998429036197</v>
      </c>
    </row>
    <row r="882" spans="1:40" x14ac:dyDescent="0.25">
      <c r="A882" t="str">
        <f>"20190303154114460"</f>
        <v>20190303154114460</v>
      </c>
      <c r="B882" t="str">
        <f>"1551598874449796"</f>
        <v>1551598874449796</v>
      </c>
      <c r="C882" t="s">
        <v>40</v>
      </c>
      <c r="D882">
        <v>6.0980059999999998</v>
      </c>
      <c r="E882">
        <v>0.60675570000000001</v>
      </c>
      <c r="F882" t="s">
        <v>43</v>
      </c>
      <c r="G882">
        <v>-319.39609999999999</v>
      </c>
      <c r="H882">
        <v>-0.05</v>
      </c>
      <c r="I882">
        <v>363.85410000000002</v>
      </c>
      <c r="J882">
        <v>-330.89929999999998</v>
      </c>
      <c r="K882">
        <v>1.1211530000000001</v>
      </c>
      <c r="L882">
        <v>367.48050000000001</v>
      </c>
      <c r="M882">
        <v>0.99989030000000001</v>
      </c>
      <c r="N882">
        <v>-1.4315939999999999E-2</v>
      </c>
      <c r="O882">
        <v>-3.823454E-3</v>
      </c>
      <c r="P882">
        <v>0.99474130000000005</v>
      </c>
      <c r="Q882">
        <v>-9.9050639999999995E-2</v>
      </c>
      <c r="R882">
        <v>-2.6056869999999999E-2</v>
      </c>
      <c r="S882">
        <v>2.9619749999999998</v>
      </c>
      <c r="T882">
        <v>-0.29883530000000003</v>
      </c>
      <c r="U882">
        <v>-0.92544559999999998</v>
      </c>
      <c r="V882">
        <v>2.2249700000000001E-2</v>
      </c>
      <c r="W882">
        <v>-8.4799360000000004E-2</v>
      </c>
      <c r="X882">
        <v>0.99614959999999997</v>
      </c>
      <c r="Y882">
        <v>0.29302250000000002</v>
      </c>
      <c r="Z882">
        <v>-1.623289E-2</v>
      </c>
      <c r="AA882">
        <v>0.95596769999999998</v>
      </c>
      <c r="AB882">
        <v>20</v>
      </c>
      <c r="AC882">
        <v>11.5031999999999</v>
      </c>
      <c r="AD882">
        <v>-1.1711530000000001</v>
      </c>
      <c r="AE882">
        <v>-3.6263999999999799</v>
      </c>
      <c r="AF882">
        <v>3.5489261220894202</v>
      </c>
      <c r="AG882">
        <v>-1.1711530000000001</v>
      </c>
      <c r="AH882">
        <v>11.4094095400737</v>
      </c>
      <c r="AI882">
        <v>95.598008217957798</v>
      </c>
      <c r="AJ882">
        <v>72.721560009826206</v>
      </c>
      <c r="AK882">
        <v>12.0058778114132</v>
      </c>
      <c r="AL882">
        <v>94.864487373281804</v>
      </c>
      <c r="AM882">
        <v>88.7204713285022</v>
      </c>
      <c r="AN882">
        <v>1.00000000309332</v>
      </c>
    </row>
    <row r="883" spans="1:40" x14ac:dyDescent="0.25">
      <c r="A883" t="str">
        <f>"20190303154114482"</f>
        <v>20190303154114482</v>
      </c>
      <c r="B883" t="str">
        <f>"1551598874470292"</f>
        <v>1551598874470292</v>
      </c>
      <c r="C883" t="s">
        <v>40</v>
      </c>
      <c r="D883">
        <v>6.0812569999999999</v>
      </c>
      <c r="E883">
        <v>0.60748930000000001</v>
      </c>
      <c r="F883" t="s">
        <v>43</v>
      </c>
      <c r="G883">
        <v>-319.3519</v>
      </c>
      <c r="H883">
        <v>-0.05</v>
      </c>
      <c r="I883">
        <v>363.85750000000002</v>
      </c>
      <c r="J883">
        <v>-330.7079</v>
      </c>
      <c r="K883">
        <v>1.1211580000000001</v>
      </c>
      <c r="L883">
        <v>367.47980000000001</v>
      </c>
      <c r="M883">
        <v>0.99989030000000001</v>
      </c>
      <c r="N883">
        <v>-1.431135E-2</v>
      </c>
      <c r="O883">
        <v>-3.8235410000000002E-3</v>
      </c>
      <c r="P883">
        <v>0.99468120000000004</v>
      </c>
      <c r="Q883">
        <v>-9.9586670000000002E-2</v>
      </c>
      <c r="R883">
        <v>-2.6307480000000001E-2</v>
      </c>
      <c r="S883">
        <v>2.9616090000000002</v>
      </c>
      <c r="T883">
        <v>-0.30037049999999998</v>
      </c>
      <c r="U883">
        <v>-0.9291992</v>
      </c>
      <c r="V883">
        <v>2.2500320000000001E-2</v>
      </c>
      <c r="W883">
        <v>-8.5340760000000002E-2</v>
      </c>
      <c r="X883">
        <v>0.99609769999999997</v>
      </c>
      <c r="Y883">
        <v>0.29413879999999998</v>
      </c>
      <c r="Z883">
        <v>-1.6366740000000001E-2</v>
      </c>
      <c r="AA883">
        <v>0.95562259999999999</v>
      </c>
      <c r="AB883">
        <v>20</v>
      </c>
      <c r="AC883">
        <v>11.3559999999999</v>
      </c>
      <c r="AD883">
        <v>-1.1711579999999999</v>
      </c>
      <c r="AE883">
        <v>-3.6222999999999899</v>
      </c>
      <c r="AF883">
        <v>3.5446297630588899</v>
      </c>
      <c r="AG883">
        <v>-1.1711579999999999</v>
      </c>
      <c r="AH883">
        <v>11.2610563272561</v>
      </c>
      <c r="AI883">
        <v>95.665338254758595</v>
      </c>
      <c r="AJ883">
        <v>72.527621829307904</v>
      </c>
      <c r="AK883">
        <v>11.8637009749808</v>
      </c>
      <c r="AL883">
        <v>94.895620333990095</v>
      </c>
      <c r="AM883">
        <v>88.705996230403898</v>
      </c>
      <c r="AN883">
        <v>0.99999996883138398</v>
      </c>
    </row>
    <row r="884" spans="1:40" x14ac:dyDescent="0.25">
      <c r="A884" t="str">
        <f>"20190303154114492"</f>
        <v>20190303154114492</v>
      </c>
      <c r="B884" t="str">
        <f>"1551598874489812"</f>
        <v>1551598874489812</v>
      </c>
      <c r="C884" t="s">
        <v>40</v>
      </c>
      <c r="D884">
        <v>6.0959510000000003</v>
      </c>
      <c r="E884">
        <v>0.60815140000000001</v>
      </c>
      <c r="F884" t="s">
        <v>43</v>
      </c>
      <c r="G884">
        <v>-319.2441</v>
      </c>
      <c r="H884">
        <v>-0.05</v>
      </c>
      <c r="I884">
        <v>363.85610000000003</v>
      </c>
      <c r="J884">
        <v>-330.60340000000002</v>
      </c>
      <c r="K884">
        <v>1.121159</v>
      </c>
      <c r="L884">
        <v>367.4794</v>
      </c>
      <c r="M884">
        <v>0.99989030000000001</v>
      </c>
      <c r="N884">
        <v>-1.4308710000000001E-2</v>
      </c>
      <c r="O884">
        <v>-3.8235220000000002E-3</v>
      </c>
      <c r="P884">
        <v>0.99464390000000003</v>
      </c>
      <c r="Q884">
        <v>-9.9925150000000004E-2</v>
      </c>
      <c r="R884">
        <v>-2.6431690000000001E-2</v>
      </c>
      <c r="S884">
        <v>2.9609679999999998</v>
      </c>
      <c r="T884">
        <v>-0.30249769999999998</v>
      </c>
      <c r="U884">
        <v>-0.93597410000000003</v>
      </c>
      <c r="V884">
        <v>2.262465E-2</v>
      </c>
      <c r="W884">
        <v>-8.5682369999999994E-2</v>
      </c>
      <c r="X884">
        <v>0.9960656</v>
      </c>
      <c r="Y884">
        <v>0.29615530000000001</v>
      </c>
      <c r="Z884">
        <v>-1.6580149999999998E-2</v>
      </c>
      <c r="AA884">
        <v>0.95499590000000001</v>
      </c>
      <c r="AB884">
        <v>20</v>
      </c>
      <c r="AC884">
        <v>11.359299999999999</v>
      </c>
      <c r="AD884">
        <v>-1.1711590000000001</v>
      </c>
      <c r="AE884">
        <v>-3.6232999999999702</v>
      </c>
      <c r="AF884">
        <v>3.5456274559520198</v>
      </c>
      <c r="AG884">
        <v>-1.1711590000000001</v>
      </c>
      <c r="AH884">
        <v>11.264390567397401</v>
      </c>
      <c r="AI884">
        <v>95.663684446702106</v>
      </c>
      <c r="AJ884">
        <v>72.527861657910705</v>
      </c>
      <c r="AK884">
        <v>11.8671640384109</v>
      </c>
      <c r="AL884">
        <v>94.915264891428194</v>
      </c>
      <c r="AM884">
        <v>88.698806488631703</v>
      </c>
      <c r="AN884">
        <v>1.0000000114098899</v>
      </c>
    </row>
    <row r="885" spans="1:40" x14ac:dyDescent="0.25">
      <c r="A885" t="str">
        <f>"20190303154114505"</f>
        <v>20190303154114505</v>
      </c>
      <c r="B885" t="str">
        <f>"1551598874500548"</f>
        <v>1551598874500548</v>
      </c>
      <c r="C885" t="s">
        <v>40</v>
      </c>
      <c r="D885">
        <v>6.0792659999999996</v>
      </c>
      <c r="E885">
        <v>0.60841940000000005</v>
      </c>
      <c r="F885" t="s">
        <v>43</v>
      </c>
      <c r="G885">
        <v>-319.26080000000002</v>
      </c>
      <c r="H885">
        <v>-0.05</v>
      </c>
      <c r="I885">
        <v>363.87279999999998</v>
      </c>
      <c r="J885">
        <v>-330.49430000000001</v>
      </c>
      <c r="K885">
        <v>1.121159</v>
      </c>
      <c r="L885">
        <v>367.47899999999998</v>
      </c>
      <c r="M885">
        <v>0.99989039999999996</v>
      </c>
      <c r="N885">
        <v>-1.4306009999999999E-2</v>
      </c>
      <c r="O885">
        <v>-3.8235019999999999E-3</v>
      </c>
      <c r="P885">
        <v>0.99462989999999996</v>
      </c>
      <c r="Q885">
        <v>-0.10007000000000001</v>
      </c>
      <c r="R885">
        <v>-2.6408000000000001E-2</v>
      </c>
      <c r="S885">
        <v>2.9604189999999999</v>
      </c>
      <c r="T885">
        <v>-0.30567250000000001</v>
      </c>
      <c r="U885">
        <v>-0.94131469999999995</v>
      </c>
      <c r="V885">
        <v>2.2601090000000001E-2</v>
      </c>
      <c r="W885">
        <v>-8.5830139999999999E-2</v>
      </c>
      <c r="X885">
        <v>0.99605339999999998</v>
      </c>
      <c r="Y885">
        <v>0.29773159999999999</v>
      </c>
      <c r="Z885">
        <v>-1.6819799999999999E-2</v>
      </c>
      <c r="AA885">
        <v>0.9545015</v>
      </c>
      <c r="AB885">
        <v>20</v>
      </c>
      <c r="AC885">
        <v>11.2334999999999</v>
      </c>
      <c r="AD885">
        <v>-1.1711590000000001</v>
      </c>
      <c r="AE885">
        <v>-3.60620000000005</v>
      </c>
      <c r="AF885">
        <v>3.5284492501485101</v>
      </c>
      <c r="AG885">
        <v>-1.1711590000000001</v>
      </c>
      <c r="AH885">
        <v>11.137461129175399</v>
      </c>
      <c r="AI885">
        <v>95.724464558299999</v>
      </c>
      <c r="AJ885">
        <v>72.421323465133</v>
      </c>
      <c r="AK885">
        <v>11.741576040636399</v>
      </c>
      <c r="AL885">
        <v>94.923762855317094</v>
      </c>
      <c r="AM885">
        <v>88.700145095663501</v>
      </c>
      <c r="AN885">
        <v>0.99999999892658298</v>
      </c>
    </row>
    <row r="886" spans="1:40" x14ac:dyDescent="0.25">
      <c r="A886" t="str">
        <f>"20190303154114518"</f>
        <v>20190303154114518</v>
      </c>
      <c r="B886" t="str">
        <f>"1551598874510308"</f>
        <v>1551598874510308</v>
      </c>
      <c r="C886" t="s">
        <v>40</v>
      </c>
      <c r="D886">
        <v>6.091367</v>
      </c>
      <c r="E886">
        <v>0.60878339999999997</v>
      </c>
      <c r="F886" t="s">
        <v>43</v>
      </c>
      <c r="G886">
        <v>-319.20999999999998</v>
      </c>
      <c r="H886">
        <v>-0.05</v>
      </c>
      <c r="I886">
        <v>363.88209999999998</v>
      </c>
      <c r="J886">
        <v>-330.38650000000001</v>
      </c>
      <c r="K886">
        <v>1.1211610000000001</v>
      </c>
      <c r="L886">
        <v>367.47859999999997</v>
      </c>
      <c r="M886">
        <v>0.99989039999999996</v>
      </c>
      <c r="N886">
        <v>-1.4303339999999999E-2</v>
      </c>
      <c r="O886">
        <v>-3.8237219999999999E-3</v>
      </c>
      <c r="P886">
        <v>0.99461999999999995</v>
      </c>
      <c r="Q886">
        <v>-0.1001539</v>
      </c>
      <c r="R886">
        <v>-2.6466799999999999E-2</v>
      </c>
      <c r="S886">
        <v>2.9602360000000001</v>
      </c>
      <c r="T886">
        <v>-0.3072337</v>
      </c>
      <c r="U886">
        <v>-0.943573</v>
      </c>
      <c r="V886">
        <v>2.2659769999999999E-2</v>
      </c>
      <c r="W886">
        <v>-8.5916759999999995E-2</v>
      </c>
      <c r="X886">
        <v>0.99604459999999995</v>
      </c>
      <c r="Y886">
        <v>0.2983904</v>
      </c>
      <c r="Z886">
        <v>-1.6931080000000001E-2</v>
      </c>
      <c r="AA886">
        <v>0.95429370000000002</v>
      </c>
      <c r="AB886">
        <v>20</v>
      </c>
      <c r="AC886">
        <v>11.176500000000001</v>
      </c>
      <c r="AD886">
        <v>-1.1711609999999999</v>
      </c>
      <c r="AE886">
        <v>-3.59649999999999</v>
      </c>
      <c r="AF886">
        <v>3.5187216877452201</v>
      </c>
      <c r="AG886">
        <v>-1.1711609999999999</v>
      </c>
      <c r="AH886">
        <v>11.079924770374401</v>
      </c>
      <c r="AI886">
        <v>95.752738077367496</v>
      </c>
      <c r="AJ886">
        <v>72.381384633053599</v>
      </c>
      <c r="AK886">
        <v>11.6840811928404</v>
      </c>
      <c r="AL886">
        <v>94.928744211292297</v>
      </c>
      <c r="AM886">
        <v>88.696759889348101</v>
      </c>
      <c r="AN886">
        <v>1.00000000000725</v>
      </c>
    </row>
    <row r="887" spans="1:40" x14ac:dyDescent="0.25">
      <c r="A887" t="str">
        <f>"20190303154114529"</f>
        <v>20190303154114529</v>
      </c>
      <c r="B887" t="str">
        <f>"1551598874520068"</f>
        <v>1551598874520068</v>
      </c>
      <c r="C887" t="s">
        <v>40</v>
      </c>
      <c r="D887">
        <v>6.0373299999999999</v>
      </c>
      <c r="E887">
        <v>0.60904709999999995</v>
      </c>
      <c r="F887" t="s">
        <v>43</v>
      </c>
      <c r="G887">
        <v>-319.15390000000002</v>
      </c>
      <c r="H887">
        <v>-0.05</v>
      </c>
      <c r="I887">
        <v>363.88600000000002</v>
      </c>
      <c r="J887">
        <v>-330.2756</v>
      </c>
      <c r="K887">
        <v>1.1211599999999999</v>
      </c>
      <c r="L887">
        <v>367.47820000000002</v>
      </c>
      <c r="M887">
        <v>0.99989039999999996</v>
      </c>
      <c r="N887">
        <v>-1.43006E-2</v>
      </c>
      <c r="O887">
        <v>-3.823702E-3</v>
      </c>
      <c r="P887">
        <v>0.99465570000000003</v>
      </c>
      <c r="Q887">
        <v>-9.9820980000000004E-2</v>
      </c>
      <c r="R887">
        <v>-2.63825E-2</v>
      </c>
      <c r="S887">
        <v>2.9599609999999998</v>
      </c>
      <c r="T887">
        <v>-0.30862030000000001</v>
      </c>
      <c r="U887">
        <v>-0.94671629999999996</v>
      </c>
      <c r="V887">
        <v>2.257547E-2</v>
      </c>
      <c r="W887">
        <v>-8.5586120000000002E-2</v>
      </c>
      <c r="X887">
        <v>0.99607500000000004</v>
      </c>
      <c r="Y887">
        <v>0.29931659999999999</v>
      </c>
      <c r="Z887">
        <v>-1.7049769999999999E-2</v>
      </c>
      <c r="AA887">
        <v>0.95400149999999995</v>
      </c>
      <c r="AB887">
        <v>20</v>
      </c>
      <c r="AC887">
        <v>11.121699999999899</v>
      </c>
      <c r="AD887">
        <v>-1.17116</v>
      </c>
      <c r="AE887">
        <v>-3.59220000000004</v>
      </c>
      <c r="AF887">
        <v>3.5143542917858599</v>
      </c>
      <c r="AG887">
        <v>-1.17116</v>
      </c>
      <c r="AH887">
        <v>11.024652676018601</v>
      </c>
      <c r="AI887">
        <v>95.779395691819005</v>
      </c>
      <c r="AJ887">
        <v>72.319157282658196</v>
      </c>
      <c r="AK887">
        <v>11.6303597734824</v>
      </c>
      <c r="AL887">
        <v>94.909729794741494</v>
      </c>
      <c r="AM887">
        <v>88.701646218171206</v>
      </c>
      <c r="AN887">
        <v>1.0000000207036801</v>
      </c>
    </row>
    <row r="888" spans="1:40" x14ac:dyDescent="0.25">
      <c r="A888" t="str">
        <f>"20190303154114542"</f>
        <v>20190303154114542</v>
      </c>
      <c r="B888" t="str">
        <f>"1551598874529830"</f>
        <v>1551598874529830</v>
      </c>
      <c r="C888" t="s">
        <v>40</v>
      </c>
      <c r="D888">
        <v>6.1976509999999996</v>
      </c>
      <c r="E888">
        <v>0.60904709999999995</v>
      </c>
      <c r="F888" t="s">
        <v>43</v>
      </c>
      <c r="G888">
        <v>-319.02350000000001</v>
      </c>
      <c r="H888">
        <v>-0.05</v>
      </c>
      <c r="I888">
        <v>363.87139999999999</v>
      </c>
      <c r="J888">
        <v>-330.16849999999999</v>
      </c>
      <c r="K888">
        <v>1.1211629999999999</v>
      </c>
      <c r="L888">
        <v>367.4778</v>
      </c>
      <c r="M888">
        <v>0.99989039999999996</v>
      </c>
      <c r="N888">
        <v>-1.429801E-2</v>
      </c>
      <c r="O888">
        <v>-3.8236839999999999E-3</v>
      </c>
      <c r="P888">
        <v>0.99464209999999997</v>
      </c>
      <c r="Q888">
        <v>-9.9923059999999994E-2</v>
      </c>
      <c r="R888">
        <v>-2.6510639999999999E-2</v>
      </c>
      <c r="S888">
        <v>2.9600520000000001</v>
      </c>
      <c r="T888">
        <v>-0.30809249999999999</v>
      </c>
      <c r="U888">
        <v>-0.94882200000000005</v>
      </c>
      <c r="V888">
        <v>2.270341E-2</v>
      </c>
      <c r="W888">
        <v>-8.569098E-2</v>
      </c>
      <c r="X888">
        <v>0.99606309999999998</v>
      </c>
      <c r="Y888">
        <v>0.29992600000000003</v>
      </c>
      <c r="Z888">
        <v>-1.7057719999999998E-2</v>
      </c>
      <c r="AA888">
        <v>0.95380989999999999</v>
      </c>
      <c r="AB888">
        <v>20</v>
      </c>
      <c r="AC888">
        <v>11.1449999999999</v>
      </c>
      <c r="AD888">
        <v>-1.171163</v>
      </c>
      <c r="AE888">
        <v>-3.6063999999999998</v>
      </c>
      <c r="AF888">
        <v>3.52848358645292</v>
      </c>
      <c r="AG888">
        <v>-1.171163</v>
      </c>
      <c r="AH888">
        <v>11.048271121872</v>
      </c>
      <c r="AI888">
        <v>95.7661478970237</v>
      </c>
      <c r="AJ888">
        <v>72.288090772366104</v>
      </c>
      <c r="AK888">
        <v>11.6570199440006</v>
      </c>
      <c r="AL888">
        <v>94.915759868385905</v>
      </c>
      <c r="AM888">
        <v>88.694275116708795</v>
      </c>
      <c r="AN888">
        <v>1.0000000440302901</v>
      </c>
    </row>
    <row r="889" spans="1:40" x14ac:dyDescent="0.25">
      <c r="A889" t="str">
        <f>"20190303154114552"</f>
        <v>20190303154114552</v>
      </c>
      <c r="B889" t="str">
        <f>"1551598874540564"</f>
        <v>1551598874540564</v>
      </c>
      <c r="C889" t="s">
        <v>40</v>
      </c>
      <c r="D889">
        <v>6.0206400000000002</v>
      </c>
      <c r="E889">
        <v>0.58322980000000002</v>
      </c>
      <c r="F889" t="s">
        <v>43</v>
      </c>
      <c r="G889">
        <v>-318.92250000000001</v>
      </c>
      <c r="H889">
        <v>-0.05</v>
      </c>
      <c r="I889">
        <v>363.87270000000001</v>
      </c>
      <c r="J889">
        <v>-330.07650000000001</v>
      </c>
      <c r="K889">
        <v>1.121157</v>
      </c>
      <c r="L889">
        <v>367.47739999999999</v>
      </c>
      <c r="M889">
        <v>0.99989050000000002</v>
      </c>
      <c r="N889">
        <v>-1.4295820000000001E-2</v>
      </c>
      <c r="O889">
        <v>-3.8236680000000001E-3</v>
      </c>
      <c r="P889">
        <v>0.99468389999999995</v>
      </c>
      <c r="Q889">
        <v>-9.9505410000000002E-2</v>
      </c>
      <c r="R889">
        <v>-2.6505020000000001E-2</v>
      </c>
      <c r="S889">
        <v>2.9598689999999999</v>
      </c>
      <c r="T889">
        <v>-0.30824170000000001</v>
      </c>
      <c r="U889">
        <v>-0.94882200000000005</v>
      </c>
      <c r="V889">
        <v>2.2697809999999999E-2</v>
      </c>
      <c r="W889">
        <v>-8.5274939999999994E-2</v>
      </c>
      <c r="X889">
        <v>0.99609890000000001</v>
      </c>
      <c r="Y889">
        <v>0.29994150000000003</v>
      </c>
      <c r="Z889">
        <v>-1.7066290000000001E-2</v>
      </c>
      <c r="AA889">
        <v>0.95380500000000001</v>
      </c>
      <c r="AB889">
        <v>20</v>
      </c>
      <c r="AC889">
        <v>11.1539999999999</v>
      </c>
      <c r="AD889">
        <v>-1.171157</v>
      </c>
      <c r="AE889">
        <v>-3.6046999999999798</v>
      </c>
      <c r="AF889">
        <v>3.5268147534479501</v>
      </c>
      <c r="AG889">
        <v>-1.171157</v>
      </c>
      <c r="AH889">
        <v>11.0573266831376</v>
      </c>
      <c r="AI889">
        <v>95.762111857936802</v>
      </c>
      <c r="AJ889">
        <v>72.3095391783813</v>
      </c>
      <c r="AK889">
        <v>11.6650977021804</v>
      </c>
      <c r="AL889">
        <v>94.891835114915907</v>
      </c>
      <c r="AM889">
        <v>88.6946439742389</v>
      </c>
      <c r="AN889">
        <v>1.000000012276</v>
      </c>
    </row>
    <row r="890" spans="1:40" x14ac:dyDescent="0.25">
      <c r="A890" t="str">
        <f>"20190303154114570"</f>
        <v>20190303154114570</v>
      </c>
      <c r="B890" t="str">
        <f>"1551598874560084"</f>
        <v>1551598874560084</v>
      </c>
      <c r="C890" t="s">
        <v>40</v>
      </c>
      <c r="D890">
        <v>5.9714470000000004</v>
      </c>
      <c r="E890">
        <v>0.57217439999999997</v>
      </c>
      <c r="F890" t="s">
        <v>43</v>
      </c>
      <c r="G890">
        <v>-317.55900000000003</v>
      </c>
      <c r="H890">
        <v>-0.05</v>
      </c>
      <c r="I890">
        <v>364.34399999999999</v>
      </c>
      <c r="J890">
        <v>-329.91559999999998</v>
      </c>
      <c r="K890">
        <v>1.1211610000000001</v>
      </c>
      <c r="L890">
        <v>367.47680000000003</v>
      </c>
      <c r="M890">
        <v>0.99989070000000002</v>
      </c>
      <c r="N890">
        <v>-1.429187E-2</v>
      </c>
      <c r="O890">
        <v>-3.8237589999999999E-3</v>
      </c>
      <c r="P890">
        <v>0.99470749999999997</v>
      </c>
      <c r="Q890">
        <v>-9.9282170000000003E-2</v>
      </c>
      <c r="R890">
        <v>-2.6461660000000001E-2</v>
      </c>
      <c r="S890">
        <v>2.9684140000000001</v>
      </c>
      <c r="T890">
        <v>-0.27772960000000002</v>
      </c>
      <c r="U890">
        <v>-0.74307250000000002</v>
      </c>
      <c r="V890">
        <v>2.2654440000000001E-2</v>
      </c>
      <c r="W890">
        <v>-8.5055329999999998E-2</v>
      </c>
      <c r="X890">
        <v>0.99611870000000002</v>
      </c>
      <c r="Y890">
        <v>0.23799799999999999</v>
      </c>
      <c r="Z890">
        <v>-1.2374639999999999E-2</v>
      </c>
      <c r="AA890">
        <v>0.97118680000000002</v>
      </c>
      <c r="AB890">
        <v>20</v>
      </c>
      <c r="AC890">
        <v>12.356599999999901</v>
      </c>
      <c r="AD890">
        <v>-1.1711609999999999</v>
      </c>
      <c r="AE890">
        <v>-3.1328000000000298</v>
      </c>
      <c r="AF890">
        <v>3.0596975421055399</v>
      </c>
      <c r="AG890">
        <v>-1.1711609999999999</v>
      </c>
      <c r="AH890">
        <v>12.2649647259879</v>
      </c>
      <c r="AI890">
        <v>95.293280296219393</v>
      </c>
      <c r="AJ890">
        <v>75.992530597996506</v>
      </c>
      <c r="AK890">
        <v>12.694988257844701</v>
      </c>
      <c r="AL890">
        <v>94.879206329367406</v>
      </c>
      <c r="AM890">
        <v>88.697163220180897</v>
      </c>
      <c r="AN890">
        <v>1.0000000486514</v>
      </c>
    </row>
    <row r="891" spans="1:40" x14ac:dyDescent="0.25">
      <c r="A891" t="str">
        <f>"20190303154114582"</f>
        <v>20190303154114582</v>
      </c>
      <c r="B891" t="str">
        <f>"1551598874569846"</f>
        <v>1551598874569846</v>
      </c>
      <c r="C891" t="s">
        <v>40</v>
      </c>
      <c r="D891">
        <v>5.7782439999999999</v>
      </c>
      <c r="E891">
        <v>0.51937659999999997</v>
      </c>
      <c r="F891" t="s">
        <v>43</v>
      </c>
      <c r="G891">
        <v>-315.89019999999999</v>
      </c>
      <c r="H891">
        <v>-0.05</v>
      </c>
      <c r="I891">
        <v>364.39109999999999</v>
      </c>
      <c r="J891">
        <v>-329.8159</v>
      </c>
      <c r="K891">
        <v>1.1211629999999999</v>
      </c>
      <c r="L891">
        <v>367.47640000000001</v>
      </c>
      <c r="M891">
        <v>0.99989070000000002</v>
      </c>
      <c r="N891">
        <v>-1.4289390000000001E-2</v>
      </c>
      <c r="O891">
        <v>-3.8237420000000002E-3</v>
      </c>
      <c r="P891">
        <v>0.99472099999999997</v>
      </c>
      <c r="Q891">
        <v>-9.924297E-2</v>
      </c>
      <c r="R891">
        <v>-2.6100700000000001E-2</v>
      </c>
      <c r="S891">
        <v>2.9737550000000001</v>
      </c>
      <c r="T891">
        <v>-0.2483168</v>
      </c>
      <c r="U891">
        <v>-0.65426640000000003</v>
      </c>
      <c r="V891">
        <v>2.229333E-2</v>
      </c>
      <c r="W891">
        <v>-8.5018399999999994E-2</v>
      </c>
      <c r="X891">
        <v>0.99612990000000001</v>
      </c>
      <c r="Y891">
        <v>0.21032410000000001</v>
      </c>
      <c r="Z891">
        <v>-9.9254500000000006E-3</v>
      </c>
      <c r="AA891">
        <v>0.97758129999999999</v>
      </c>
      <c r="AB891">
        <v>20</v>
      </c>
      <c r="AC891">
        <v>13.925700000000001</v>
      </c>
      <c r="AD891">
        <v>-1.171163</v>
      </c>
      <c r="AE891">
        <v>-3.0853000000000099</v>
      </c>
      <c r="AF891">
        <v>3.0117186879877398</v>
      </c>
      <c r="AG891">
        <v>-1.171163</v>
      </c>
      <c r="AH891">
        <v>13.8440599810884</v>
      </c>
      <c r="AI891">
        <v>94.725515811253501</v>
      </c>
      <c r="AJ891">
        <v>77.726767790583395</v>
      </c>
      <c r="AK891">
        <v>14.2161903823815</v>
      </c>
      <c r="AL891">
        <v>94.877083189930005</v>
      </c>
      <c r="AM891">
        <v>88.7179377591292</v>
      </c>
      <c r="AN891">
        <v>0.999999949287528</v>
      </c>
    </row>
    <row r="892" spans="1:40" x14ac:dyDescent="0.25">
      <c r="A892" t="str">
        <f>"20190303154114595"</f>
        <v>20190303154114595</v>
      </c>
      <c r="B892" t="str">
        <f>"1551598874590342"</f>
        <v>1551598874590342</v>
      </c>
      <c r="C892" t="s">
        <v>40</v>
      </c>
      <c r="D892">
        <v>5.7668509999999999</v>
      </c>
      <c r="E892">
        <v>0.51813050000000005</v>
      </c>
      <c r="F892" t="s">
        <v>43</v>
      </c>
      <c r="G892">
        <v>-306.3777</v>
      </c>
      <c r="H892">
        <v>-0.05</v>
      </c>
      <c r="I892">
        <v>365.66250000000002</v>
      </c>
      <c r="J892">
        <v>-329.70389999999998</v>
      </c>
      <c r="K892">
        <v>1.121164</v>
      </c>
      <c r="L892">
        <v>367.476</v>
      </c>
      <c r="M892">
        <v>0.99989070000000002</v>
      </c>
      <c r="N892">
        <v>-1.428659E-2</v>
      </c>
      <c r="O892">
        <v>-3.8236030000000001E-3</v>
      </c>
      <c r="P892">
        <v>0.99472240000000001</v>
      </c>
      <c r="Q892">
        <v>-9.9311990000000003E-2</v>
      </c>
      <c r="R892">
        <v>-2.5779239999999998E-2</v>
      </c>
      <c r="S892">
        <v>2.9948730000000001</v>
      </c>
      <c r="T892">
        <v>-0.14964810000000001</v>
      </c>
      <c r="U892">
        <v>-0.23178099999999999</v>
      </c>
      <c r="V892">
        <v>2.1972080000000001E-2</v>
      </c>
      <c r="W892">
        <v>-8.5090199999999894E-2</v>
      </c>
      <c r="X892">
        <v>0.99613090000000004</v>
      </c>
      <c r="Y892">
        <v>7.3234170000000001E-2</v>
      </c>
      <c r="Z892">
        <v>-2.2140570000000002E-3</v>
      </c>
      <c r="AA892">
        <v>0.99731230000000004</v>
      </c>
      <c r="AB892">
        <v>20</v>
      </c>
      <c r="AC892">
        <v>23.326199999999901</v>
      </c>
      <c r="AD892">
        <v>-1.1711639999999901</v>
      </c>
      <c r="AE892">
        <v>-1.8134999999999699</v>
      </c>
      <c r="AF892">
        <v>1.7199777542506201</v>
      </c>
      <c r="AG892">
        <v>-1.1711639999999901</v>
      </c>
      <c r="AH892">
        <v>23.274644816155899</v>
      </c>
      <c r="AI892">
        <v>92.872833712285797</v>
      </c>
      <c r="AJ892">
        <v>85.773569899857605</v>
      </c>
      <c r="AK892">
        <v>23.367478253081298</v>
      </c>
      <c r="AL892">
        <v>94.881212023317701</v>
      </c>
      <c r="AM892">
        <v>88.736407689653802</v>
      </c>
      <c r="AN892">
        <v>0.99999994218518595</v>
      </c>
    </row>
    <row r="893" spans="1:40" x14ac:dyDescent="0.25">
      <c r="A893" t="str">
        <f>"20190303154114616"</f>
        <v>20190303154114616</v>
      </c>
      <c r="B893" t="str">
        <f>"1551598874609860"</f>
        <v>1551598874609860</v>
      </c>
      <c r="C893" t="s">
        <v>40</v>
      </c>
      <c r="D893">
        <v>5.7369909999999997</v>
      </c>
      <c r="E893">
        <v>0.51674149999999996</v>
      </c>
      <c r="F893" t="s">
        <v>43</v>
      </c>
      <c r="G893">
        <v>-300.22739999999999</v>
      </c>
      <c r="H893">
        <v>-0.05</v>
      </c>
      <c r="I893">
        <v>365.3066</v>
      </c>
      <c r="J893">
        <v>-329.5163</v>
      </c>
      <c r="K893">
        <v>1.1211690000000001</v>
      </c>
      <c r="L893">
        <v>367.4753</v>
      </c>
      <c r="M893">
        <v>0.99989070000000002</v>
      </c>
      <c r="N893">
        <v>-1.428189E-2</v>
      </c>
      <c r="O893">
        <v>-3.823688E-3</v>
      </c>
      <c r="P893">
        <v>0.99475539999999996</v>
      </c>
      <c r="Q893">
        <v>-9.9172029999999994E-2</v>
      </c>
      <c r="R893">
        <v>-2.5038029999999999E-2</v>
      </c>
      <c r="S893">
        <v>2.9983520000000001</v>
      </c>
      <c r="T893">
        <v>-0.1191306</v>
      </c>
      <c r="U893">
        <v>-0.2206726</v>
      </c>
      <c r="V893">
        <v>2.1230490000000001E-2</v>
      </c>
      <c r="W893">
        <v>-8.4954470000000004E-2</v>
      </c>
      <c r="X893">
        <v>0.99615860000000001</v>
      </c>
      <c r="Y893">
        <v>6.9512110000000002E-2</v>
      </c>
      <c r="Z893">
        <v>-1.7787390000000001E-3</v>
      </c>
      <c r="AA893">
        <v>0.99757949999999995</v>
      </c>
      <c r="AB893">
        <v>20</v>
      </c>
      <c r="AC893">
        <v>29.288900000000002</v>
      </c>
      <c r="AD893">
        <v>-1.1711689999999999</v>
      </c>
      <c r="AE893">
        <v>-2.1686999999999999</v>
      </c>
      <c r="AF893">
        <v>2.0534157125097199</v>
      </c>
      <c r="AG893">
        <v>-1.1711689999999999</v>
      </c>
      <c r="AH893">
        <v>29.250464320121999</v>
      </c>
      <c r="AI893">
        <v>92.2872368430032</v>
      </c>
      <c r="AJ893">
        <v>85.984359386584202</v>
      </c>
      <c r="AK893">
        <v>29.345831319928099</v>
      </c>
      <c r="AL893">
        <v>94.873406839818898</v>
      </c>
      <c r="AM893">
        <v>88.779076593013698</v>
      </c>
      <c r="AN893">
        <v>0.99999997601628998</v>
      </c>
    </row>
    <row r="894" spans="1:40" x14ac:dyDescent="0.25">
      <c r="A894" t="str">
        <f>"20190303154114632"</f>
        <v>20190303154114632</v>
      </c>
      <c r="B894" t="str">
        <f>"1551598874620597"</f>
        <v>1551598874620597</v>
      </c>
      <c r="C894" t="s">
        <v>40</v>
      </c>
      <c r="D894">
        <v>5.7176900000000002</v>
      </c>
      <c r="E894">
        <v>0.51660360000000005</v>
      </c>
      <c r="F894" t="s">
        <v>43</v>
      </c>
      <c r="G894">
        <v>-296.36849999999998</v>
      </c>
      <c r="H894">
        <v>-0.05</v>
      </c>
      <c r="I894">
        <v>365.18470000000002</v>
      </c>
      <c r="J894">
        <v>-329.37639999999999</v>
      </c>
      <c r="K894">
        <v>1.1211709999999999</v>
      </c>
      <c r="L894">
        <v>367.47480000000002</v>
      </c>
      <c r="M894">
        <v>0.99989079999999997</v>
      </c>
      <c r="N894">
        <v>-1.427836E-2</v>
      </c>
      <c r="O894">
        <v>-3.8236630000000001E-3</v>
      </c>
      <c r="P894">
        <v>0.99476180000000003</v>
      </c>
      <c r="Q894">
        <v>-9.9283759999999999E-2</v>
      </c>
      <c r="R894">
        <v>-2.4326589999999999E-2</v>
      </c>
      <c r="S894">
        <v>3</v>
      </c>
      <c r="T894">
        <v>-0.1059952</v>
      </c>
      <c r="U894">
        <v>-0.20730589999999999</v>
      </c>
      <c r="V894">
        <v>2.0519160000000002E-2</v>
      </c>
      <c r="W894">
        <v>-8.5069640000000002E-2</v>
      </c>
      <c r="X894">
        <v>0.99616369999999999</v>
      </c>
      <c r="Y894">
        <v>6.5066139999999995E-2</v>
      </c>
      <c r="Z894">
        <v>-1.532659E-3</v>
      </c>
      <c r="AA894">
        <v>0.99787979999999998</v>
      </c>
      <c r="AB894">
        <v>20</v>
      </c>
      <c r="AC894">
        <v>33.007899999999999</v>
      </c>
      <c r="AD894">
        <v>-1.171171</v>
      </c>
      <c r="AE894">
        <v>-2.29009999999999</v>
      </c>
      <c r="AF894">
        <v>2.1611515837559101</v>
      </c>
      <c r="AG894">
        <v>-1.171171</v>
      </c>
      <c r="AH894">
        <v>32.9751013380355</v>
      </c>
      <c r="AI894">
        <v>92.029758391203401</v>
      </c>
      <c r="AJ894">
        <v>86.250260805497504</v>
      </c>
      <c r="AK894">
        <v>33.066592293928899</v>
      </c>
      <c r="AL894">
        <v>94.880029460266499</v>
      </c>
      <c r="AM894">
        <v>88.819978044135894</v>
      </c>
      <c r="AN894">
        <v>0.99999999838726195</v>
      </c>
    </row>
    <row r="895" spans="1:40" x14ac:dyDescent="0.25">
      <c r="A895" t="str">
        <f>"20190303154114645"</f>
        <v>20190303154114645</v>
      </c>
      <c r="B895" t="str">
        <f>"1551598874640118"</f>
        <v>1551598874640118</v>
      </c>
      <c r="C895" t="s">
        <v>40</v>
      </c>
      <c r="D895">
        <v>5.6773369999999996</v>
      </c>
      <c r="E895">
        <v>0.51625350000000003</v>
      </c>
      <c r="F895" t="s">
        <v>43</v>
      </c>
      <c r="G895">
        <v>-295.85090000000002</v>
      </c>
      <c r="H895">
        <v>-0.05</v>
      </c>
      <c r="I895">
        <v>365.19479999999999</v>
      </c>
      <c r="J895">
        <v>-329.25819999999999</v>
      </c>
      <c r="K895">
        <v>1.12117</v>
      </c>
      <c r="L895">
        <v>367.47430000000003</v>
      </c>
      <c r="M895">
        <v>0.99989070000000002</v>
      </c>
      <c r="N895">
        <v>-1.4275390000000001E-2</v>
      </c>
      <c r="O895">
        <v>-3.8236419999999999E-3</v>
      </c>
      <c r="P895">
        <v>0.99480080000000004</v>
      </c>
      <c r="Q895">
        <v>-9.8985809999999994E-2</v>
      </c>
      <c r="R895">
        <v>-2.393634E-2</v>
      </c>
      <c r="S895">
        <v>3.0003359999999999</v>
      </c>
      <c r="T895">
        <v>-0.104813</v>
      </c>
      <c r="U895">
        <v>-0.20404050000000001</v>
      </c>
      <c r="V895">
        <v>2.0128879999999998E-2</v>
      </c>
      <c r="W895">
        <v>-8.4774139999999998E-2</v>
      </c>
      <c r="X895">
        <v>0.99619690000000005</v>
      </c>
      <c r="Y895">
        <v>6.397949E-2</v>
      </c>
      <c r="Z895">
        <v>-1.494446E-3</v>
      </c>
      <c r="AA895">
        <v>0.99795009999999995</v>
      </c>
      <c r="AB895">
        <v>20</v>
      </c>
      <c r="AC895">
        <v>33.4072999999999</v>
      </c>
      <c r="AD895">
        <v>-1.17117</v>
      </c>
      <c r="AE895">
        <v>-2.27950000000004</v>
      </c>
      <c r="AF895">
        <v>2.1491037085780098</v>
      </c>
      <c r="AG895">
        <v>-1.17117</v>
      </c>
      <c r="AH895">
        <v>33.374944406121799</v>
      </c>
      <c r="AI895">
        <v>92.005608053883293</v>
      </c>
      <c r="AJ895">
        <v>86.315655135158394</v>
      </c>
      <c r="AK895">
        <v>33.464566335615999</v>
      </c>
      <c r="AL895">
        <v>94.863036946899896</v>
      </c>
      <c r="AM895">
        <v>88.842454784106096</v>
      </c>
      <c r="AN895">
        <v>1.0000000450962001</v>
      </c>
    </row>
    <row r="896" spans="1:40" x14ac:dyDescent="0.25">
      <c r="A896" t="str">
        <f>"20190303154114660"</f>
        <v>20190303154114660</v>
      </c>
      <c r="B896" t="str">
        <f>"1551598874649876"</f>
        <v>1551598874649876</v>
      </c>
      <c r="C896" t="s">
        <v>40</v>
      </c>
      <c r="D896">
        <v>5.7205750000000002</v>
      </c>
      <c r="E896">
        <v>0.51608770000000004</v>
      </c>
      <c r="F896" t="s">
        <v>43</v>
      </c>
      <c r="G896">
        <v>-295.52100000000002</v>
      </c>
      <c r="H896">
        <v>-0.05</v>
      </c>
      <c r="I896">
        <v>365.2244</v>
      </c>
      <c r="J896">
        <v>-329.12699999999899</v>
      </c>
      <c r="K896">
        <v>1.121173</v>
      </c>
      <c r="L896">
        <v>367.47379999999998</v>
      </c>
      <c r="M896">
        <v>0.99989099999999997</v>
      </c>
      <c r="N896">
        <v>-1.4272099999999999E-2</v>
      </c>
      <c r="O896">
        <v>-3.8239760000000002E-3</v>
      </c>
      <c r="P896">
        <v>0.99482859999999995</v>
      </c>
      <c r="Q896">
        <v>-9.8937849999999994E-2</v>
      </c>
      <c r="R896">
        <v>-2.2964600000000002E-2</v>
      </c>
      <c r="S896">
        <v>3.0005190000000002</v>
      </c>
      <c r="T896">
        <v>-0.1041614</v>
      </c>
      <c r="U896">
        <v>-0.2001038</v>
      </c>
      <c r="V896">
        <v>1.9156570000000001E-2</v>
      </c>
      <c r="W896">
        <v>-8.4729059999999995E-2</v>
      </c>
      <c r="X896">
        <v>0.99621990000000005</v>
      </c>
      <c r="Y896">
        <v>6.2673229999999996E-2</v>
      </c>
      <c r="Z896">
        <v>-1.456204E-3</v>
      </c>
      <c r="AA896">
        <v>0.99803299999999995</v>
      </c>
      <c r="AB896">
        <v>20</v>
      </c>
      <c r="AC896">
        <v>33.605999999999902</v>
      </c>
      <c r="AD896">
        <v>-1.171173</v>
      </c>
      <c r="AE896">
        <v>-2.2493999999999801</v>
      </c>
      <c r="AF896">
        <v>2.1183006778759701</v>
      </c>
      <c r="AG896">
        <v>-1.171173</v>
      </c>
      <c r="AH896">
        <v>33.573762279866202</v>
      </c>
      <c r="AI896">
        <v>91.993910182160306</v>
      </c>
      <c r="AJ896">
        <v>86.389769490925005</v>
      </c>
      <c r="AK896">
        <v>33.6609025069558</v>
      </c>
      <c r="AL896">
        <v>94.860444759042593</v>
      </c>
      <c r="AM896">
        <v>88.898380410140703</v>
      </c>
      <c r="AN896">
        <v>1.00000003846932</v>
      </c>
    </row>
    <row r="897" spans="1:40" x14ac:dyDescent="0.25">
      <c r="A897" t="str">
        <f>"20190303154114673"</f>
        <v>20190303154114673</v>
      </c>
      <c r="B897" t="str">
        <f>"1551598874670373"</f>
        <v>1551598874670373</v>
      </c>
      <c r="C897" t="s">
        <v>40</v>
      </c>
      <c r="D897">
        <v>5.7151300000000003</v>
      </c>
      <c r="E897">
        <v>0.51618679999999995</v>
      </c>
      <c r="F897" t="s">
        <v>43</v>
      </c>
      <c r="G897">
        <v>-296.46010000000001</v>
      </c>
      <c r="H897">
        <v>-0.05</v>
      </c>
      <c r="I897">
        <v>365.33859999999999</v>
      </c>
      <c r="J897">
        <v>-329.01569999999998</v>
      </c>
      <c r="K897">
        <v>1.121173</v>
      </c>
      <c r="L897">
        <v>367.47340000000003</v>
      </c>
      <c r="M897">
        <v>0.99989099999999997</v>
      </c>
      <c r="N897">
        <v>-1.426932E-2</v>
      </c>
      <c r="O897">
        <v>-3.8239559999999999E-3</v>
      </c>
      <c r="P897">
        <v>0.99481470000000005</v>
      </c>
      <c r="Q897">
        <v>-9.9086930000000004E-2</v>
      </c>
      <c r="R897">
        <v>-2.2933450000000001E-2</v>
      </c>
      <c r="S897">
        <v>3.0003660000000001</v>
      </c>
      <c r="T897">
        <v>-0.107569</v>
      </c>
      <c r="U897">
        <v>-0.196106</v>
      </c>
      <c r="V897">
        <v>1.9125429999999999E-2</v>
      </c>
      <c r="W897">
        <v>-8.4881090000000006E-2</v>
      </c>
      <c r="X897">
        <v>0.99620750000000002</v>
      </c>
      <c r="Y897">
        <v>6.1350769999999999E-2</v>
      </c>
      <c r="Z897">
        <v>-1.45425E-3</v>
      </c>
      <c r="AA897">
        <v>0.99811519999999998</v>
      </c>
      <c r="AB897">
        <v>20</v>
      </c>
      <c r="AC897">
        <v>32.555599999999899</v>
      </c>
      <c r="AD897">
        <v>-1.171173</v>
      </c>
      <c r="AE897">
        <v>-2.1348000000000402</v>
      </c>
      <c r="AF897">
        <v>2.00769337800129</v>
      </c>
      <c r="AG897">
        <v>-1.171173</v>
      </c>
      <c r="AH897">
        <v>32.521617899994602</v>
      </c>
      <c r="AI897">
        <v>92.058536726472596</v>
      </c>
      <c r="AJ897">
        <v>86.467378794026502</v>
      </c>
      <c r="AK897">
        <v>32.604571914522197</v>
      </c>
      <c r="AL897">
        <v>94.869187203445307</v>
      </c>
      <c r="AM897">
        <v>88.900157023372202</v>
      </c>
      <c r="AN897">
        <v>0.99999998228426101</v>
      </c>
    </row>
    <row r="898" spans="1:40" x14ac:dyDescent="0.25">
      <c r="A898" t="str">
        <f>"20190303154114685"</f>
        <v>20190303154114685</v>
      </c>
      <c r="B898" t="str">
        <f>"1551598874680132"</f>
        <v>1551598874680132</v>
      </c>
      <c r="C898" t="s">
        <v>40</v>
      </c>
      <c r="D898">
        <v>5.7074780000000001</v>
      </c>
      <c r="E898">
        <v>0.51628770000000002</v>
      </c>
      <c r="F898" t="s">
        <v>43</v>
      </c>
      <c r="G898">
        <v>-296.72500000000002</v>
      </c>
      <c r="H898">
        <v>-0.05</v>
      </c>
      <c r="I898">
        <v>365.35750000000002</v>
      </c>
      <c r="J898">
        <v>-328.90449999999998</v>
      </c>
      <c r="K898">
        <v>1.1211629999999999</v>
      </c>
      <c r="L898">
        <v>367.47289999999998</v>
      </c>
      <c r="M898">
        <v>0.99989099999999997</v>
      </c>
      <c r="N898">
        <v>-1.4266549999999999E-2</v>
      </c>
      <c r="O898">
        <v>-3.8240549999999998E-3</v>
      </c>
      <c r="P898">
        <v>0.99482969999999904</v>
      </c>
      <c r="Q898">
        <v>-9.8959870000000005E-2</v>
      </c>
      <c r="R898">
        <v>-2.2835640000000001E-2</v>
      </c>
      <c r="S898">
        <v>3.0002749999999998</v>
      </c>
      <c r="T898">
        <v>-0.10881879999999999</v>
      </c>
      <c r="U898">
        <v>-0.1965942</v>
      </c>
      <c r="V898">
        <v>1.9027519999999999E-2</v>
      </c>
      <c r="W898">
        <v>-8.4756570000000003E-2</v>
      </c>
      <c r="X898">
        <v>0.99621999999999999</v>
      </c>
      <c r="Y898">
        <v>6.1513199999999997E-2</v>
      </c>
      <c r="Z898">
        <v>-1.4694459999999999E-3</v>
      </c>
      <c r="AA898">
        <v>0.99810520000000003</v>
      </c>
      <c r="AB898">
        <v>20</v>
      </c>
      <c r="AC898">
        <v>32.179499999999898</v>
      </c>
      <c r="AD898">
        <v>-1.171163</v>
      </c>
      <c r="AE898">
        <v>-2.1153999999999602</v>
      </c>
      <c r="AF898">
        <v>1.98969168414456</v>
      </c>
      <c r="AG898">
        <v>-1.171163</v>
      </c>
      <c r="AH898">
        <v>32.144959734505498</v>
      </c>
      <c r="AI898">
        <v>92.082597789033898</v>
      </c>
      <c r="AJ898">
        <v>86.458055002490696</v>
      </c>
      <c r="AK898">
        <v>32.227766477115701</v>
      </c>
      <c r="AL898">
        <v>94.862026816684306</v>
      </c>
      <c r="AM898">
        <v>88.905799871514603</v>
      </c>
      <c r="AN898">
        <v>1.00000000553775</v>
      </c>
    </row>
    <row r="899" spans="1:40" x14ac:dyDescent="0.25">
      <c r="A899" t="str">
        <f>"20190303154114698"</f>
        <v>20190303154114698</v>
      </c>
      <c r="B899" t="str">
        <f>"1551598874689893"</f>
        <v>1551598874689893</v>
      </c>
      <c r="C899" t="s">
        <v>40</v>
      </c>
      <c r="D899">
        <v>5.6923909999999998</v>
      </c>
      <c r="E899">
        <v>0.51640819999999998</v>
      </c>
      <c r="F899" t="s">
        <v>43</v>
      </c>
      <c r="G899">
        <v>-296.55799999999999</v>
      </c>
      <c r="H899">
        <v>-0.05</v>
      </c>
      <c r="I899">
        <v>365.34690000000001</v>
      </c>
      <c r="J899">
        <v>-328.79239999999999</v>
      </c>
      <c r="K899">
        <v>1.121164</v>
      </c>
      <c r="L899">
        <v>367.47250000000003</v>
      </c>
      <c r="M899">
        <v>0.99989099999999997</v>
      </c>
      <c r="N899">
        <v>-1.426376E-2</v>
      </c>
      <c r="O899">
        <v>-3.8240359999999998E-3</v>
      </c>
      <c r="P899">
        <v>0.99480310000000005</v>
      </c>
      <c r="Q899">
        <v>-9.9237549999999994E-2</v>
      </c>
      <c r="R899">
        <v>-2.2781929999999999E-2</v>
      </c>
      <c r="S899">
        <v>3.0003359999999999</v>
      </c>
      <c r="T899">
        <v>-0.1086326</v>
      </c>
      <c r="U899">
        <v>-0.19720460000000001</v>
      </c>
      <c r="V899">
        <v>1.897389E-2</v>
      </c>
      <c r="W899">
        <v>-8.5037399999999902E-2</v>
      </c>
      <c r="X899">
        <v>0.99619709999999995</v>
      </c>
      <c r="Y899">
        <v>6.1714039999999998E-2</v>
      </c>
      <c r="Z899">
        <v>-1.47272299999999E-3</v>
      </c>
      <c r="AA899">
        <v>0.9980928</v>
      </c>
      <c r="AB899">
        <v>20</v>
      </c>
      <c r="AC899">
        <v>32.234399999999901</v>
      </c>
      <c r="AD899">
        <v>-1.1711639999999901</v>
      </c>
      <c r="AE899">
        <v>-2.1256000000000199</v>
      </c>
      <c r="AF899">
        <v>1.99967813120976</v>
      </c>
      <c r="AG899">
        <v>-1.1711639999999901</v>
      </c>
      <c r="AH899">
        <v>32.199971347755103</v>
      </c>
      <c r="AI899">
        <v>92.079018479290696</v>
      </c>
      <c r="AJ899">
        <v>86.446389134161095</v>
      </c>
      <c r="AK899">
        <v>32.283254057476697</v>
      </c>
      <c r="AL899">
        <v>94.878175445276298</v>
      </c>
      <c r="AM899">
        <v>88.908858105804995</v>
      </c>
      <c r="AN899">
        <v>1.0000000149744499</v>
      </c>
    </row>
    <row r="900" spans="1:40" x14ac:dyDescent="0.25">
      <c r="A900" t="str">
        <f>"20190303154114711"</f>
        <v>20190303154114711</v>
      </c>
      <c r="B900" t="str">
        <f>"1551598874699653"</f>
        <v>1551598874699653</v>
      </c>
      <c r="C900" t="s">
        <v>40</v>
      </c>
      <c r="D900">
        <v>5.6991880000000004</v>
      </c>
      <c r="E900">
        <v>0.51645989999999997</v>
      </c>
      <c r="F900" t="s">
        <v>43</v>
      </c>
      <c r="G900">
        <v>-296.60359999999997</v>
      </c>
      <c r="H900">
        <v>-0.05</v>
      </c>
      <c r="I900">
        <v>365.34629999999999</v>
      </c>
      <c r="J900">
        <v>-328.68369999999999</v>
      </c>
      <c r="K900">
        <v>1.121162</v>
      </c>
      <c r="L900">
        <v>367.47210000000001</v>
      </c>
      <c r="M900">
        <v>0.99989099999999997</v>
      </c>
      <c r="N900">
        <v>-1.4261050000000001E-2</v>
      </c>
      <c r="O900">
        <v>-3.8240169999999999E-3</v>
      </c>
      <c r="P900">
        <v>0.99475749999999996</v>
      </c>
      <c r="Q900">
        <v>-9.962609E-2</v>
      </c>
      <c r="R900">
        <v>-2.3068379999999999E-2</v>
      </c>
      <c r="S900">
        <v>3.0002439999999999</v>
      </c>
      <c r="T900">
        <v>-0.1091616</v>
      </c>
      <c r="U900">
        <v>-0.1981812</v>
      </c>
      <c r="V900">
        <v>1.9260599999999999E-2</v>
      </c>
      <c r="W900">
        <v>-8.5429270000000002E-2</v>
      </c>
      <c r="X900">
        <v>0.99615810000000005</v>
      </c>
      <c r="Y900">
        <v>6.203877E-2</v>
      </c>
      <c r="Z900">
        <v>-1.4856299999999999E-3</v>
      </c>
      <c r="AA900">
        <v>0.99807259999999998</v>
      </c>
      <c r="AB900">
        <v>20</v>
      </c>
      <c r="AC900">
        <v>32.080100000000002</v>
      </c>
      <c r="AD900">
        <v>-1.171162</v>
      </c>
      <c r="AE900">
        <v>-2.1258000000000199</v>
      </c>
      <c r="AF900">
        <v>2.0004426118126402</v>
      </c>
      <c r="AG900">
        <v>-1.171162</v>
      </c>
      <c r="AH900">
        <v>32.0454720792331</v>
      </c>
      <c r="AI900">
        <v>92.088987678346697</v>
      </c>
      <c r="AJ900">
        <v>86.427938953086596</v>
      </c>
      <c r="AK900">
        <v>32.129202788962999</v>
      </c>
      <c r="AL900">
        <v>94.900709794675905</v>
      </c>
      <c r="AM900">
        <v>88.892330840458797</v>
      </c>
      <c r="AN900">
        <v>1.0000000455403499</v>
      </c>
    </row>
    <row r="901" spans="1:40" x14ac:dyDescent="0.25">
      <c r="A901" t="str">
        <f>"20190303154114728"</f>
        <v>20190303154114728</v>
      </c>
      <c r="B901" t="str">
        <f>"1551598874720148"</f>
        <v>1551598874720148</v>
      </c>
      <c r="C901" t="s">
        <v>40</v>
      </c>
      <c r="D901">
        <v>5.6566679999999998</v>
      </c>
      <c r="E901">
        <v>0.51650229999999997</v>
      </c>
      <c r="F901" t="s">
        <v>43</v>
      </c>
      <c r="G901">
        <v>-296.92669999999998</v>
      </c>
      <c r="H901">
        <v>-0.05</v>
      </c>
      <c r="I901">
        <v>365.36160000000001</v>
      </c>
      <c r="J901">
        <v>-328.5444</v>
      </c>
      <c r="K901">
        <v>1.121157</v>
      </c>
      <c r="L901">
        <v>367.47160000000002</v>
      </c>
      <c r="M901">
        <v>0.99989099999999997</v>
      </c>
      <c r="N901">
        <v>-1.425765E-2</v>
      </c>
      <c r="O901">
        <v>-3.823992E-3</v>
      </c>
      <c r="P901">
        <v>0.99471229999999999</v>
      </c>
      <c r="Q901">
        <v>-9.9905949999999993E-2</v>
      </c>
      <c r="R901">
        <v>-2.379945E-2</v>
      </c>
      <c r="S901">
        <v>3.0000610000000001</v>
      </c>
      <c r="T901">
        <v>-0.110638899999999</v>
      </c>
      <c r="U901">
        <v>-0.1993713</v>
      </c>
      <c r="V901">
        <v>1.9991769999999999E-2</v>
      </c>
      <c r="W901">
        <v>-8.5713109999999995E-2</v>
      </c>
      <c r="X901">
        <v>0.99611930000000004</v>
      </c>
      <c r="Y901">
        <v>6.2435360000000002E-2</v>
      </c>
      <c r="Z901">
        <v>-1.5090660000000001E-3</v>
      </c>
      <c r="AA901">
        <v>0.99804789999999999</v>
      </c>
      <c r="AB901">
        <v>20</v>
      </c>
      <c r="AC901">
        <v>31.617699999999999</v>
      </c>
      <c r="AD901">
        <v>-1.171157</v>
      </c>
      <c r="AE901">
        <v>-2.1100000000000101</v>
      </c>
      <c r="AF901">
        <v>1.9863531513242201</v>
      </c>
      <c r="AG901">
        <v>-1.171157</v>
      </c>
      <c r="AH901">
        <v>31.582397747850202</v>
      </c>
      <c r="AI901">
        <v>92.119518500488596</v>
      </c>
      <c r="AJ901">
        <v>86.4011617210043</v>
      </c>
      <c r="AK901">
        <v>31.6664657810725</v>
      </c>
      <c r="AL901">
        <v>94.917032555827603</v>
      </c>
      <c r="AM901">
        <v>88.850247865264393</v>
      </c>
      <c r="AN901">
        <v>1.0000000339630399</v>
      </c>
    </row>
    <row r="902" spans="1:40" x14ac:dyDescent="0.25">
      <c r="A902" t="str">
        <f>"20190303154114739"</f>
        <v>20190303154114739</v>
      </c>
      <c r="B902" t="str">
        <f>"1551598874730223"</f>
        <v>1551598874730223</v>
      </c>
      <c r="C902" t="s">
        <v>40</v>
      </c>
      <c r="D902">
        <v>5.6554739999999999</v>
      </c>
      <c r="E902">
        <v>0.5165689</v>
      </c>
      <c r="F902" t="s">
        <v>43</v>
      </c>
      <c r="G902">
        <v>-297.33960000000002</v>
      </c>
      <c r="H902">
        <v>-0.05</v>
      </c>
      <c r="I902">
        <v>365.36649999999997</v>
      </c>
      <c r="J902">
        <v>-328.44209999999998</v>
      </c>
      <c r="K902">
        <v>1.121156</v>
      </c>
      <c r="L902">
        <v>367.47120000000001</v>
      </c>
      <c r="M902">
        <v>0.99989119999999998</v>
      </c>
      <c r="N902">
        <v>-1.4255179999999999E-2</v>
      </c>
      <c r="O902">
        <v>-3.8238539999999998E-3</v>
      </c>
      <c r="P902">
        <v>0.99467320000000004</v>
      </c>
      <c r="Q902">
        <v>-0.1002103</v>
      </c>
      <c r="R902">
        <v>-2.4152730000000001E-2</v>
      </c>
      <c r="S902">
        <v>2.9997560000000001</v>
      </c>
      <c r="T902">
        <v>-0.1125847</v>
      </c>
      <c r="U902">
        <v>-0.20236209999999999</v>
      </c>
      <c r="V902">
        <v>2.034538E-2</v>
      </c>
      <c r="W902">
        <v>-8.602042E-2</v>
      </c>
      <c r="X902">
        <v>0.99608560000000002</v>
      </c>
      <c r="Y902">
        <v>6.343008E-2</v>
      </c>
      <c r="Z902">
        <v>-1.5525420000000001E-3</v>
      </c>
      <c r="AA902">
        <v>0.99798509999999996</v>
      </c>
      <c r="AB902">
        <v>19</v>
      </c>
      <c r="AC902">
        <v>31.1024999999999</v>
      </c>
      <c r="AD902">
        <v>-1.1711559999999901</v>
      </c>
      <c r="AE902">
        <v>-2.10470000000003</v>
      </c>
      <c r="AF902">
        <v>1.9829423645873101</v>
      </c>
      <c r="AG902">
        <v>-1.1711559999999901</v>
      </c>
      <c r="AH902">
        <v>31.066473761485899</v>
      </c>
      <c r="AI902">
        <v>92.154555832441204</v>
      </c>
      <c r="AJ902">
        <v>86.347821387177405</v>
      </c>
      <c r="AK902">
        <v>31.151716786891601</v>
      </c>
      <c r="AL902">
        <v>94.934705636677705</v>
      </c>
      <c r="AM902">
        <v>88.829877333058505</v>
      </c>
      <c r="AN902">
        <v>0.99999998483583996</v>
      </c>
    </row>
    <row r="903" spans="1:40" x14ac:dyDescent="0.25">
      <c r="A903" t="str">
        <f>"20190303154114750"</f>
        <v>20190303154114750</v>
      </c>
      <c r="B903" t="str">
        <f>"1551598874739982"</f>
        <v>1551598874739982</v>
      </c>
      <c r="C903" t="s">
        <v>40</v>
      </c>
      <c r="D903">
        <v>5.7121909999999998</v>
      </c>
      <c r="E903">
        <v>0.51656170000000001</v>
      </c>
      <c r="F903" t="s">
        <v>43</v>
      </c>
      <c r="G903">
        <v>-297.6696</v>
      </c>
      <c r="H903">
        <v>-0.05</v>
      </c>
      <c r="I903">
        <v>365.3836</v>
      </c>
      <c r="J903">
        <v>-328.33819999999997</v>
      </c>
      <c r="K903">
        <v>1.1211580000000001</v>
      </c>
      <c r="L903">
        <v>367.4708</v>
      </c>
      <c r="M903">
        <v>0.99989119999999998</v>
      </c>
      <c r="N903">
        <v>-1.425267E-2</v>
      </c>
      <c r="O903">
        <v>-3.823356E-3</v>
      </c>
      <c r="P903">
        <v>0.99464520000000001</v>
      </c>
      <c r="Q903">
        <v>-0.1003322</v>
      </c>
      <c r="R903">
        <v>-2.4791549999999999E-2</v>
      </c>
      <c r="S903">
        <v>2.9996339999999999</v>
      </c>
      <c r="T903">
        <v>-0.1141615</v>
      </c>
      <c r="U903">
        <v>-0.20349120000000001</v>
      </c>
      <c r="V903">
        <v>2.0984840000000001E-2</v>
      </c>
      <c r="W903">
        <v>-8.6145260000000001E-2</v>
      </c>
      <c r="X903">
        <v>0.99606159999999999</v>
      </c>
      <c r="Y903">
        <v>6.3805440000000005E-2</v>
      </c>
      <c r="Z903">
        <v>-1.576944E-3</v>
      </c>
      <c r="AA903">
        <v>0.99796110000000005</v>
      </c>
      <c r="AB903">
        <v>19</v>
      </c>
      <c r="AC903">
        <v>30.668599999999898</v>
      </c>
      <c r="AD903">
        <v>-1.1711579999999999</v>
      </c>
      <c r="AE903">
        <v>-2.08719999999999</v>
      </c>
      <c r="AF903">
        <v>1.96706054963499</v>
      </c>
      <c r="AG903">
        <v>-1.1711579999999999</v>
      </c>
      <c r="AH903">
        <v>30.631892561132901</v>
      </c>
      <c r="AI903">
        <v>92.185043403748097</v>
      </c>
      <c r="AJ903">
        <v>86.325733719983901</v>
      </c>
      <c r="AK903">
        <v>30.7173205235041</v>
      </c>
      <c r="AL903">
        <v>94.941884818070804</v>
      </c>
      <c r="AM903">
        <v>88.7930817477597</v>
      </c>
      <c r="AN903">
        <v>1.0000000401624201</v>
      </c>
    </row>
    <row r="904" spans="1:40" x14ac:dyDescent="0.25">
      <c r="A904" t="str">
        <f>"20190303154114764"</f>
        <v>20190303154114764</v>
      </c>
      <c r="B904" t="str">
        <f>"1551598874760479"</f>
        <v>1551598874760479</v>
      </c>
      <c r="C904" t="s">
        <v>40</v>
      </c>
      <c r="D904">
        <v>5.5865669999999996</v>
      </c>
      <c r="E904">
        <v>0.51677209999999996</v>
      </c>
      <c r="F904" t="s">
        <v>43</v>
      </c>
      <c r="G904">
        <v>-298.07319999999999</v>
      </c>
      <c r="H904">
        <v>-0.05</v>
      </c>
      <c r="I904">
        <v>365.39589999999998</v>
      </c>
      <c r="J904">
        <v>-328.23469999999998</v>
      </c>
      <c r="K904">
        <v>1.1211549999999999</v>
      </c>
      <c r="L904">
        <v>367.47030000000001</v>
      </c>
      <c r="M904">
        <v>0.99989119999999998</v>
      </c>
      <c r="N904">
        <v>-1.425017E-2</v>
      </c>
      <c r="O904">
        <v>-3.8226169999999999E-3</v>
      </c>
      <c r="P904">
        <v>0.99465309999999996</v>
      </c>
      <c r="Q904">
        <v>-0.100207</v>
      </c>
      <c r="R904">
        <v>-2.4978279999999999E-2</v>
      </c>
      <c r="S904">
        <v>2.9993289999999999</v>
      </c>
      <c r="T904">
        <v>-0.1160645</v>
      </c>
      <c r="U904">
        <v>-0.20562739999999999</v>
      </c>
      <c r="V904">
        <v>2.117225E-2</v>
      </c>
      <c r="W904">
        <v>-8.6022329999999994E-2</v>
      </c>
      <c r="X904">
        <v>0.99606819999999896</v>
      </c>
      <c r="Y904">
        <v>6.4518010000000001E-2</v>
      </c>
      <c r="Z904">
        <v>-1.6135979999999999E-3</v>
      </c>
      <c r="AA904">
        <v>0.99791529999999995</v>
      </c>
      <c r="AB904">
        <v>19</v>
      </c>
      <c r="AC904">
        <v>30.161499999999901</v>
      </c>
      <c r="AD904">
        <v>-1.1711549999999999</v>
      </c>
      <c r="AE904">
        <v>-2.0744000000000198</v>
      </c>
      <c r="AF904">
        <v>1.95614183154566</v>
      </c>
      <c r="AG904">
        <v>-1.1711549999999999</v>
      </c>
      <c r="AH904">
        <v>30.124005064944999</v>
      </c>
      <c r="AI904">
        <v>92.221737899262394</v>
      </c>
      <c r="AJ904">
        <v>86.284639667351897</v>
      </c>
      <c r="AK904">
        <v>30.210160146082998</v>
      </c>
      <c r="AL904">
        <v>94.934815491612696</v>
      </c>
      <c r="AM904">
        <v>88.782314380367893</v>
      </c>
      <c r="AN904">
        <v>0.999999982239965</v>
      </c>
    </row>
    <row r="905" spans="1:40" x14ac:dyDescent="0.25">
      <c r="A905" t="str">
        <f>"20190303154114777"</f>
        <v>20190303154114777</v>
      </c>
      <c r="B905" t="str">
        <f>"1551598874770238"</f>
        <v>1551598874770238</v>
      </c>
      <c r="C905" t="s">
        <v>40</v>
      </c>
      <c r="D905">
        <v>5.622598</v>
      </c>
      <c r="E905">
        <v>0.51684770000000002</v>
      </c>
      <c r="F905" t="s">
        <v>43</v>
      </c>
      <c r="G905">
        <v>-298.3734</v>
      </c>
      <c r="H905">
        <v>-0.05</v>
      </c>
      <c r="I905">
        <v>365.40219999999999</v>
      </c>
      <c r="J905">
        <v>-328.11500000000001</v>
      </c>
      <c r="K905">
        <v>1.121156</v>
      </c>
      <c r="L905">
        <v>367.4699</v>
      </c>
      <c r="M905">
        <v>0.99989139999999999</v>
      </c>
      <c r="N905">
        <v>-1.4247269999999999E-2</v>
      </c>
      <c r="O905">
        <v>-3.8213959999999999E-3</v>
      </c>
      <c r="P905">
        <v>0.9946007</v>
      </c>
      <c r="Q905">
        <v>-0.1006271</v>
      </c>
      <c r="R905">
        <v>-2.5377819999999999E-2</v>
      </c>
      <c r="S905">
        <v>2.9990230000000002</v>
      </c>
      <c r="T905">
        <v>-0.1176209</v>
      </c>
      <c r="U905">
        <v>-0.20770259999999999</v>
      </c>
      <c r="V905">
        <v>2.157338E-2</v>
      </c>
      <c r="W905">
        <v>-8.6445980000000006E-2</v>
      </c>
      <c r="X905">
        <v>0.99602290000000004</v>
      </c>
      <c r="Y905">
        <v>6.5211179999999994E-2</v>
      </c>
      <c r="Z905">
        <v>-1.646865E-3</v>
      </c>
      <c r="AA905">
        <v>0.99787009999999998</v>
      </c>
      <c r="AB905">
        <v>19</v>
      </c>
      <c r="AC905">
        <v>29.741599999999998</v>
      </c>
      <c r="AD905">
        <v>-1.1711559999999901</v>
      </c>
      <c r="AE905">
        <v>-2.0676999999999999</v>
      </c>
      <c r="AF905">
        <v>1.9510082649926099</v>
      </c>
      <c r="AG905">
        <v>-1.1711559999999901</v>
      </c>
      <c r="AH905">
        <v>29.7034483616162</v>
      </c>
      <c r="AI905">
        <v>92.253054855583997</v>
      </c>
      <c r="AJ905">
        <v>86.242045782400794</v>
      </c>
      <c r="AK905">
        <v>29.7904831145385</v>
      </c>
      <c r="AL905">
        <v>94.959179680087104</v>
      </c>
      <c r="AM905">
        <v>88.759194808979501</v>
      </c>
      <c r="AN905">
        <v>0.99999996775359701</v>
      </c>
    </row>
    <row r="906" spans="1:40" x14ac:dyDescent="0.25">
      <c r="A906" t="str">
        <f>"20190303154114789"</f>
        <v>20190303154114789</v>
      </c>
      <c r="B906" t="str">
        <f>"1551598874779998"</f>
        <v>1551598874779998</v>
      </c>
      <c r="C906" t="s">
        <v>40</v>
      </c>
      <c r="D906">
        <v>5.6348799999999999</v>
      </c>
      <c r="E906">
        <v>0.51687479999999997</v>
      </c>
      <c r="F906" t="s">
        <v>43</v>
      </c>
      <c r="G906">
        <v>-298.56659999999999</v>
      </c>
      <c r="H906">
        <v>-0.05</v>
      </c>
      <c r="I906">
        <v>365.40620000000001</v>
      </c>
      <c r="J906">
        <v>-328.00439999999998</v>
      </c>
      <c r="K906">
        <v>1.1211610000000001</v>
      </c>
      <c r="L906">
        <v>367.46949999999998</v>
      </c>
      <c r="M906">
        <v>0.99989130000000004</v>
      </c>
      <c r="N906">
        <v>-1.424457E-2</v>
      </c>
      <c r="O906">
        <v>-3.8194589999999999E-3</v>
      </c>
      <c r="P906">
        <v>0.99458899999999995</v>
      </c>
      <c r="Q906">
        <v>-0.1006925</v>
      </c>
      <c r="R906">
        <v>-2.557912E-2</v>
      </c>
      <c r="S906">
        <v>2.9989319999999999</v>
      </c>
      <c r="T906">
        <v>-0.1188632</v>
      </c>
      <c r="U906">
        <v>-0.20944209999999999</v>
      </c>
      <c r="V906">
        <v>2.1776670000000001E-2</v>
      </c>
      <c r="W906">
        <v>-8.6514220000000003E-2</v>
      </c>
      <c r="X906">
        <v>0.99601260000000003</v>
      </c>
      <c r="Y906">
        <v>6.5789399999999901E-2</v>
      </c>
      <c r="Z906">
        <v>-1.674301E-3</v>
      </c>
      <c r="AA906">
        <v>0.9978321</v>
      </c>
      <c r="AB906">
        <v>19</v>
      </c>
      <c r="AC906">
        <v>29.4377999999999</v>
      </c>
      <c r="AD906">
        <v>-1.1711609999999999</v>
      </c>
      <c r="AE906">
        <v>-2.0632999999999599</v>
      </c>
      <c r="AF906">
        <v>1.94776924106195</v>
      </c>
      <c r="AG906">
        <v>-1.1711609999999999</v>
      </c>
      <c r="AH906">
        <v>29.399161587582</v>
      </c>
      <c r="AI906">
        <v>92.276274611957902</v>
      </c>
      <c r="AJ906">
        <v>86.209548316655798</v>
      </c>
      <c r="AK906">
        <v>29.4868805599559</v>
      </c>
      <c r="AL906">
        <v>94.963104004808699</v>
      </c>
      <c r="AM906">
        <v>88.747493228260794</v>
      </c>
      <c r="AN906">
        <v>1.00000001648862</v>
      </c>
    </row>
    <row r="907" spans="1:40" x14ac:dyDescent="0.25">
      <c r="A907" t="str">
        <f>"20190303154114806"</f>
        <v>20190303154114806</v>
      </c>
      <c r="B907" t="str">
        <f>"1551598874800495"</f>
        <v>1551598874800495</v>
      </c>
      <c r="C907" t="s">
        <v>40</v>
      </c>
      <c r="D907">
        <v>5.6655410000000002</v>
      </c>
      <c r="E907">
        <v>0.51705190000000001</v>
      </c>
      <c r="F907" t="s">
        <v>43</v>
      </c>
      <c r="G907">
        <v>-298.65249999999997</v>
      </c>
      <c r="H907">
        <v>-0.05</v>
      </c>
      <c r="I907">
        <v>365.40960000000001</v>
      </c>
      <c r="J907">
        <v>-327.86709999999999</v>
      </c>
      <c r="K907">
        <v>1.121162</v>
      </c>
      <c r="L907">
        <v>367.46890000000002</v>
      </c>
      <c r="M907">
        <v>0.99989130000000004</v>
      </c>
      <c r="N907">
        <v>-1.4241230000000001E-2</v>
      </c>
      <c r="O907">
        <v>-3.8165640000000002E-3</v>
      </c>
      <c r="P907">
        <v>0.99461379999999999</v>
      </c>
      <c r="Q907">
        <v>-0.1004734</v>
      </c>
      <c r="R907">
        <v>-2.5470909999999999E-2</v>
      </c>
      <c r="S907">
        <v>2.9988100000000002</v>
      </c>
      <c r="T907">
        <v>-0.1196545</v>
      </c>
      <c r="U907">
        <v>-0.2104492</v>
      </c>
      <c r="V907">
        <v>2.1671360000000001E-2</v>
      </c>
      <c r="W907">
        <v>-8.6298100000000003E-2</v>
      </c>
      <c r="X907">
        <v>0.99603359999999996</v>
      </c>
      <c r="Y907">
        <v>6.6127430000000001E-2</v>
      </c>
      <c r="Z907">
        <v>-1.691091E-3</v>
      </c>
      <c r="AA907">
        <v>0.99780979999999997</v>
      </c>
      <c r="AB907">
        <v>19</v>
      </c>
      <c r="AC907">
        <v>29.214600000000001</v>
      </c>
      <c r="AD907">
        <v>-1.171162</v>
      </c>
      <c r="AE907">
        <v>-2.0592999999999999</v>
      </c>
      <c r="AF907">
        <v>1.9446645438133301</v>
      </c>
      <c r="AG907">
        <v>-1.171162</v>
      </c>
      <c r="AH907">
        <v>29.1755921064827</v>
      </c>
      <c r="AI907">
        <v>92.293640032329407</v>
      </c>
      <c r="AJ907">
        <v>86.186658205483496</v>
      </c>
      <c r="AK907">
        <v>29.2637747972142</v>
      </c>
      <c r="AL907">
        <v>94.950674980827898</v>
      </c>
      <c r="AM907">
        <v>88.753574593268993</v>
      </c>
      <c r="AN907">
        <v>0.99999997111840899</v>
      </c>
    </row>
    <row r="908" spans="1:40" x14ac:dyDescent="0.25">
      <c r="A908" t="str">
        <f>"20190303154114821"</f>
        <v>20190303154114821</v>
      </c>
      <c r="B908" t="str">
        <f>"1551598874810254"</f>
        <v>1551598874810254</v>
      </c>
      <c r="C908" t="s">
        <v>40</v>
      </c>
      <c r="D908">
        <v>5.6270290000000003</v>
      </c>
      <c r="E908">
        <v>0.51700690000000005</v>
      </c>
      <c r="F908" t="s">
        <v>43</v>
      </c>
      <c r="G908">
        <v>-298.56900000000002</v>
      </c>
      <c r="H908">
        <v>-0.05</v>
      </c>
      <c r="I908">
        <v>365.40179999999998</v>
      </c>
      <c r="J908">
        <v>-327.7296</v>
      </c>
      <c r="K908">
        <v>1.121162</v>
      </c>
      <c r="L908">
        <v>367.46839999999997</v>
      </c>
      <c r="M908">
        <v>0.99989150000000004</v>
      </c>
      <c r="N908">
        <v>-1.42379E-2</v>
      </c>
      <c r="O908">
        <v>-3.8131929999999999E-3</v>
      </c>
      <c r="P908">
        <v>0.99466169999999998</v>
      </c>
      <c r="Q908">
        <v>-0.1000021</v>
      </c>
      <c r="R908">
        <v>-2.5453130000000001E-2</v>
      </c>
      <c r="S908">
        <v>2.9987490000000001</v>
      </c>
      <c r="T908">
        <v>-0.1198719</v>
      </c>
      <c r="U908">
        <v>-0.2115784</v>
      </c>
      <c r="V908">
        <v>2.1657079999999999E-2</v>
      </c>
      <c r="W908">
        <v>-8.5829499999999906E-2</v>
      </c>
      <c r="X908">
        <v>0.99607440000000003</v>
      </c>
      <c r="Y908">
        <v>6.6505430000000004E-2</v>
      </c>
      <c r="Z908">
        <v>-1.7034229999999999E-3</v>
      </c>
      <c r="AA908">
        <v>0.99778460000000002</v>
      </c>
      <c r="AB908">
        <v>19</v>
      </c>
      <c r="AC908">
        <v>29.160599999999899</v>
      </c>
      <c r="AD908">
        <v>-1.171162</v>
      </c>
      <c r="AE908">
        <v>-2.06659999999999</v>
      </c>
      <c r="AF908">
        <v>1.95224543585878</v>
      </c>
      <c r="AG908">
        <v>-1.171162</v>
      </c>
      <c r="AH908">
        <v>29.1215300923017</v>
      </c>
      <c r="AI908">
        <v>92.297834782115501</v>
      </c>
      <c r="AJ908">
        <v>86.164751240843103</v>
      </c>
      <c r="AK908">
        <v>29.210381674824301</v>
      </c>
      <c r="AL908">
        <v>94.923726186760007</v>
      </c>
      <c r="AM908">
        <v>88.754446651612596</v>
      </c>
      <c r="AN908">
        <v>0.99999997125986695</v>
      </c>
    </row>
    <row r="909" spans="1:40" x14ac:dyDescent="0.25">
      <c r="A909" t="str">
        <f>"20190303154114843"</f>
        <v>20190303154114843</v>
      </c>
      <c r="B909" t="str">
        <f>"1551598874829774"</f>
        <v>1551598874829774</v>
      </c>
      <c r="C909" t="s">
        <v>40</v>
      </c>
      <c r="D909">
        <v>5.631189</v>
      </c>
      <c r="E909">
        <v>0.51707630000000004</v>
      </c>
      <c r="F909" t="s">
        <v>43</v>
      </c>
      <c r="G909">
        <v>-298.1601</v>
      </c>
      <c r="H909">
        <v>-0.05</v>
      </c>
      <c r="I909">
        <v>365.38569999999999</v>
      </c>
      <c r="J909">
        <v>-327.55630000000002</v>
      </c>
      <c r="K909">
        <v>1.121164</v>
      </c>
      <c r="L909">
        <v>367.46780000000001</v>
      </c>
      <c r="M909">
        <v>0.99989150000000004</v>
      </c>
      <c r="N909">
        <v>-1.423373E-2</v>
      </c>
      <c r="O909">
        <v>-3.8083829999999998E-3</v>
      </c>
      <c r="P909">
        <v>0.99466900000000003</v>
      </c>
      <c r="Q909">
        <v>-9.9967509999999996E-2</v>
      </c>
      <c r="R909">
        <v>-2.530261E-2</v>
      </c>
      <c r="S909">
        <v>2.9987490000000001</v>
      </c>
      <c r="T909">
        <v>-0.1187718</v>
      </c>
      <c r="U909">
        <v>-0.21121219999999999</v>
      </c>
      <c r="V909">
        <v>2.1511499999999999E-2</v>
      </c>
      <c r="W909">
        <v>-8.5798899999999997E-2</v>
      </c>
      <c r="X909">
        <v>0.99608019999999997</v>
      </c>
      <c r="Y909">
        <v>6.639022E-2</v>
      </c>
      <c r="Z909">
        <v>-1.6895160000000001E-3</v>
      </c>
      <c r="AA909">
        <v>0.99779229999999997</v>
      </c>
      <c r="AB909">
        <v>19</v>
      </c>
      <c r="AC909">
        <v>29.3962</v>
      </c>
      <c r="AD909">
        <v>-1.1711639999999901</v>
      </c>
      <c r="AE909">
        <v>-2.08210000000002</v>
      </c>
      <c r="AF909">
        <v>1.96701495855043</v>
      </c>
      <c r="AG909">
        <v>-1.1711639999999901</v>
      </c>
      <c r="AH909">
        <v>29.3575510212194</v>
      </c>
      <c r="AI909">
        <v>92.2793901699457</v>
      </c>
      <c r="AJ909">
        <v>86.166796789996496</v>
      </c>
      <c r="AK909">
        <v>29.446673410175801</v>
      </c>
      <c r="AL909">
        <v>94.921966399579006</v>
      </c>
      <c r="AM909">
        <v>88.762823915531797</v>
      </c>
      <c r="AN909">
        <v>0.99999998035274895</v>
      </c>
    </row>
    <row r="910" spans="1:40" x14ac:dyDescent="0.25">
      <c r="A910" t="str">
        <f>"20190303154114862"</f>
        <v>20190303154114862</v>
      </c>
      <c r="B910" t="str">
        <f>"1551598874850270"</f>
        <v>1551598874850270</v>
      </c>
      <c r="C910" t="s">
        <v>40</v>
      </c>
      <c r="D910">
        <v>5.628476</v>
      </c>
      <c r="E910">
        <v>0.51715119999999903</v>
      </c>
      <c r="F910" t="s">
        <v>43</v>
      </c>
      <c r="G910">
        <v>-297.99439999999998</v>
      </c>
      <c r="H910">
        <v>-0.05</v>
      </c>
      <c r="I910">
        <v>365.38319999999999</v>
      </c>
      <c r="J910">
        <v>-327.38010000000003</v>
      </c>
      <c r="K910">
        <v>1.1211679999999999</v>
      </c>
      <c r="L910">
        <v>367.46710000000002</v>
      </c>
      <c r="M910">
        <v>0.99989159999999999</v>
      </c>
      <c r="N910">
        <v>-1.4229489999999999E-2</v>
      </c>
      <c r="O910">
        <v>-3.8029790000000002E-3</v>
      </c>
      <c r="P910">
        <v>0.99461129999999998</v>
      </c>
      <c r="Q910">
        <v>-0.10059849999999999</v>
      </c>
      <c r="R910">
        <v>-2.5069259999999999E-2</v>
      </c>
      <c r="S910">
        <v>2.9987789999999999</v>
      </c>
      <c r="T910">
        <v>-0.1188036</v>
      </c>
      <c r="U910">
        <v>-0.21145630000000001</v>
      </c>
      <c r="V910">
        <v>2.128383E-2</v>
      </c>
      <c r="W910">
        <v>-8.6434780000000003E-2</v>
      </c>
      <c r="X910">
        <v>0.99603019999999998</v>
      </c>
      <c r="Y910">
        <v>6.6475610000000004E-2</v>
      </c>
      <c r="Z910">
        <v>-1.692091E-3</v>
      </c>
      <c r="AA910">
        <v>0.99778659999999997</v>
      </c>
      <c r="AB910">
        <v>19</v>
      </c>
      <c r="AC910">
        <v>29.3857</v>
      </c>
      <c r="AD910">
        <v>-1.171168</v>
      </c>
      <c r="AE910">
        <v>-2.0839000000000198</v>
      </c>
      <c r="AF910">
        <v>1.96900845127963</v>
      </c>
      <c r="AG910">
        <v>-1.171168</v>
      </c>
      <c r="AH910">
        <v>29.347031030002199</v>
      </c>
      <c r="AI910">
        <v>92.280200197819696</v>
      </c>
      <c r="AJ910">
        <v>86.1615522270029</v>
      </c>
      <c r="AK910">
        <v>29.436318707361199</v>
      </c>
      <c r="AL910">
        <v>94.958535068204995</v>
      </c>
      <c r="AM910">
        <v>88.775852308639102</v>
      </c>
      <c r="AN910">
        <v>1.0000000659625701</v>
      </c>
    </row>
    <row r="911" spans="1:40" x14ac:dyDescent="0.25">
      <c r="A911" t="str">
        <f>"20190303154114875"</f>
        <v>20190303154114875</v>
      </c>
      <c r="B911" t="str">
        <f>"1551598874870766"</f>
        <v>1551598874870766</v>
      </c>
      <c r="C911" t="s">
        <v>40</v>
      </c>
      <c r="D911">
        <v>5.599431</v>
      </c>
      <c r="E911">
        <v>0.51713869999999995</v>
      </c>
      <c r="F911" t="s">
        <v>43</v>
      </c>
      <c r="G911">
        <v>-298.52539999999999</v>
      </c>
      <c r="H911">
        <v>-0.05</v>
      </c>
      <c r="I911">
        <v>365.43560000000002</v>
      </c>
      <c r="J911">
        <v>-327.26639999999998</v>
      </c>
      <c r="K911">
        <v>1.121167</v>
      </c>
      <c r="L911">
        <v>367.4667</v>
      </c>
      <c r="M911">
        <v>0.99989170000000005</v>
      </c>
      <c r="N911">
        <v>-1.422675E-2</v>
      </c>
      <c r="O911">
        <v>-3.799378E-3</v>
      </c>
      <c r="P911">
        <v>0.99460689999999996</v>
      </c>
      <c r="Q911">
        <v>-0.1006283</v>
      </c>
      <c r="R911">
        <v>-2.51299E-2</v>
      </c>
      <c r="S911">
        <v>2.9986269999999999</v>
      </c>
      <c r="T911">
        <v>-0.12170980000000001</v>
      </c>
      <c r="U911">
        <v>-0.21112059999999999</v>
      </c>
      <c r="V911">
        <v>2.1348039999999999E-2</v>
      </c>
      <c r="W911">
        <v>-8.6467420000000003E-2</v>
      </c>
      <c r="X911">
        <v>0.99602590000000002</v>
      </c>
      <c r="Y911">
        <v>6.6368800000000006E-2</v>
      </c>
      <c r="Z911">
        <v>-1.7176890000000001E-3</v>
      </c>
      <c r="AA911">
        <v>0.99779370000000001</v>
      </c>
      <c r="AB911">
        <v>19</v>
      </c>
      <c r="AC911">
        <v>28.7409999999999</v>
      </c>
      <c r="AD911">
        <v>-1.1711670000000001</v>
      </c>
      <c r="AE911">
        <v>-2.0310999999999799</v>
      </c>
      <c r="AF911">
        <v>1.9187062320011701</v>
      </c>
      <c r="AG911">
        <v>-1.1711670000000001</v>
      </c>
      <c r="AH911">
        <v>28.701089424068002</v>
      </c>
      <c r="AI911">
        <v>92.331497654325105</v>
      </c>
      <c r="AJ911">
        <v>86.175391221168994</v>
      </c>
      <c r="AK911">
        <v>28.788984002131102</v>
      </c>
      <c r="AL911">
        <v>94.960412690031603</v>
      </c>
      <c r="AM911">
        <v>88.772155075431101</v>
      </c>
      <c r="AN911">
        <v>0.99999997350205305</v>
      </c>
    </row>
    <row r="912" spans="1:40" x14ac:dyDescent="0.25">
      <c r="A912" t="str">
        <f>"20190303154114887"</f>
        <v>20190303154114887</v>
      </c>
      <c r="B912" t="str">
        <f>"1551598874880526"</f>
        <v>1551598874880526</v>
      </c>
      <c r="C912" t="s">
        <v>40</v>
      </c>
      <c r="D912">
        <v>5.6515029999999999</v>
      </c>
      <c r="E912">
        <v>0.5170863</v>
      </c>
      <c r="F912" t="s">
        <v>43</v>
      </c>
      <c r="G912">
        <v>-298.56290000000001</v>
      </c>
      <c r="H912">
        <v>-0.05</v>
      </c>
      <c r="I912">
        <v>365.44279999999998</v>
      </c>
      <c r="J912">
        <v>-327.16910000000001</v>
      </c>
      <c r="K912">
        <v>1.1211719999999901</v>
      </c>
      <c r="L912">
        <v>367.46629999999999</v>
      </c>
      <c r="M912">
        <v>0.99989159999999999</v>
      </c>
      <c r="N912">
        <v>-1.42244E-2</v>
      </c>
      <c r="O912">
        <v>-3.7959040000000001E-3</v>
      </c>
      <c r="P912">
        <v>0.99453769999999997</v>
      </c>
      <c r="Q912">
        <v>-0.1012858</v>
      </c>
      <c r="R912">
        <v>-2.5213280000000001E-2</v>
      </c>
      <c r="S912">
        <v>2.998535</v>
      </c>
      <c r="T912">
        <v>-0.12234680000000001</v>
      </c>
      <c r="U912">
        <v>-0.2114258</v>
      </c>
      <c r="V912">
        <v>2.1435240000000001E-2</v>
      </c>
      <c r="W912">
        <v>-8.712818E-2</v>
      </c>
      <c r="X912">
        <v>0.99596649999999998</v>
      </c>
      <c r="Y912">
        <v>6.6474690000000003E-2</v>
      </c>
      <c r="Z912">
        <v>-1.726867E-3</v>
      </c>
      <c r="AA912">
        <v>0.99778659999999997</v>
      </c>
      <c r="AB912">
        <v>19</v>
      </c>
      <c r="AC912">
        <v>28.606200000000001</v>
      </c>
      <c r="AD912">
        <v>-1.1711720000000001</v>
      </c>
      <c r="AE912">
        <v>-2.0235000000000101</v>
      </c>
      <c r="AF912">
        <v>1.91169963852507</v>
      </c>
      <c r="AG912">
        <v>-1.1711720000000001</v>
      </c>
      <c r="AH912">
        <v>28.566032193435898</v>
      </c>
      <c r="AI912">
        <v>92.342507441981297</v>
      </c>
      <c r="AJ912">
        <v>86.171353370391103</v>
      </c>
      <c r="AK912">
        <v>28.6538729430759</v>
      </c>
      <c r="AL912">
        <v>94.998414594116596</v>
      </c>
      <c r="AM912">
        <v>88.767067755859799</v>
      </c>
      <c r="AN912">
        <v>1.0000000291930999</v>
      </c>
    </row>
    <row r="913" spans="1:40" x14ac:dyDescent="0.25">
      <c r="A913" t="str">
        <f>"20190303154114906"</f>
        <v>20190303154114906</v>
      </c>
      <c r="B913" t="str">
        <f>"1551598874900046"</f>
        <v>1551598874900046</v>
      </c>
      <c r="C913" t="s">
        <v>40</v>
      </c>
      <c r="D913">
        <v>5.6234570000000001</v>
      </c>
      <c r="E913">
        <v>0.51709910000000003</v>
      </c>
      <c r="F913" t="s">
        <v>43</v>
      </c>
      <c r="G913">
        <v>-298.92399999999998</v>
      </c>
      <c r="H913">
        <v>-0.05</v>
      </c>
      <c r="I913">
        <v>365.47469999999998</v>
      </c>
      <c r="J913">
        <v>-327.00560000000002</v>
      </c>
      <c r="K913">
        <v>1.1211690000000001</v>
      </c>
      <c r="L913">
        <v>367.46570000000003</v>
      </c>
      <c r="M913">
        <v>0.9998918</v>
      </c>
      <c r="N913">
        <v>-1.4220440000000001E-2</v>
      </c>
      <c r="O913">
        <v>-3.790037E-3</v>
      </c>
      <c r="P913">
        <v>0.99452289999999999</v>
      </c>
      <c r="Q913">
        <v>-0.1013602</v>
      </c>
      <c r="R913">
        <v>-2.550504E-2</v>
      </c>
      <c r="S913">
        <v>2.9984130000000002</v>
      </c>
      <c r="T913">
        <v>-0.12432799999999999</v>
      </c>
      <c r="U913">
        <v>-0.2114258</v>
      </c>
      <c r="V913">
        <v>2.1732700000000001E-2</v>
      </c>
      <c r="W913">
        <v>-8.7206759999999994E-2</v>
      </c>
      <c r="X913">
        <v>0.99595310000000004</v>
      </c>
      <c r="Y913">
        <v>6.648134E-2</v>
      </c>
      <c r="Z913">
        <v>-1.746526E-3</v>
      </c>
      <c r="AA913">
        <v>0.99778619999999996</v>
      </c>
      <c r="AB913">
        <v>19</v>
      </c>
      <c r="AC913">
        <v>28.081599999999899</v>
      </c>
      <c r="AD913">
        <v>-1.1711689999999999</v>
      </c>
      <c r="AE913">
        <v>-1.9910000000000401</v>
      </c>
      <c r="AF913">
        <v>1.8812887257786399</v>
      </c>
      <c r="AG913">
        <v>-1.1711689999999999</v>
      </c>
      <c r="AH913">
        <v>28.040415900060399</v>
      </c>
      <c r="AI913">
        <v>92.386334215152999</v>
      </c>
      <c r="AJ913">
        <v>86.1616615547116</v>
      </c>
      <c r="AK913">
        <v>28.127847552641899</v>
      </c>
      <c r="AL913">
        <v>95.002934479616997</v>
      </c>
      <c r="AM913">
        <v>88.749946751002298</v>
      </c>
      <c r="AN913">
        <v>0.99999995331929703</v>
      </c>
    </row>
    <row r="914" spans="1:40" x14ac:dyDescent="0.25">
      <c r="A914" t="str">
        <f>"20190303154114918"</f>
        <v>20190303154114918</v>
      </c>
      <c r="B914" t="str">
        <f>"1551598874909806"</f>
        <v>1551598874909806</v>
      </c>
      <c r="C914" t="s">
        <v>40</v>
      </c>
      <c r="D914">
        <v>5.6241459999999996</v>
      </c>
      <c r="E914">
        <v>0.51710049999999996</v>
      </c>
      <c r="F914" t="s">
        <v>43</v>
      </c>
      <c r="G914">
        <v>-298.8349</v>
      </c>
      <c r="H914">
        <v>-0.05</v>
      </c>
      <c r="I914">
        <v>365.46839999999997</v>
      </c>
      <c r="J914">
        <v>-326.8999</v>
      </c>
      <c r="K914">
        <v>1.1211690000000001</v>
      </c>
      <c r="L914">
        <v>367.46530000000001</v>
      </c>
      <c r="M914">
        <v>0.99989189999999994</v>
      </c>
      <c r="N914">
        <v>-1.4217870000000001E-2</v>
      </c>
      <c r="O914">
        <v>-3.7863250000000001E-3</v>
      </c>
      <c r="P914">
        <v>0.99456080000000002</v>
      </c>
      <c r="Q914">
        <v>-0.1009176</v>
      </c>
      <c r="R914">
        <v>-2.5782289999999999E-2</v>
      </c>
      <c r="S914">
        <v>2.9983520000000001</v>
      </c>
      <c r="T914">
        <v>-0.1246538</v>
      </c>
      <c r="U914">
        <v>-0.21258540000000001</v>
      </c>
      <c r="V914">
        <v>2.2013649999999999E-2</v>
      </c>
      <c r="W914">
        <v>-8.6766220000000005E-2</v>
      </c>
      <c r="X914">
        <v>0.99598540000000002</v>
      </c>
      <c r="Y914">
        <v>6.6869670000000006E-2</v>
      </c>
      <c r="Z914">
        <v>-1.7605629999999999E-3</v>
      </c>
      <c r="AA914">
        <v>0.99776019999999999</v>
      </c>
      <c r="AB914">
        <v>19</v>
      </c>
      <c r="AC914">
        <v>28.065000000000001</v>
      </c>
      <c r="AD914">
        <v>-1.1711689999999999</v>
      </c>
      <c r="AE914">
        <v>-1.9969000000000301</v>
      </c>
      <c r="AF914">
        <v>1.88734160514312</v>
      </c>
      <c r="AG914">
        <v>-1.1711689999999999</v>
      </c>
      <c r="AH914">
        <v>28.0238044520903</v>
      </c>
      <c r="AI914">
        <v>92.387706288531504</v>
      </c>
      <c r="AJ914">
        <v>86.147073488180396</v>
      </c>
      <c r="AK914">
        <v>28.111693494524001</v>
      </c>
      <c r="AL914">
        <v>94.977597384627501</v>
      </c>
      <c r="AM914">
        <v>88.733832935207104</v>
      </c>
      <c r="AN914">
        <v>0.99999994736628395</v>
      </c>
    </row>
    <row r="915" spans="1:40" x14ac:dyDescent="0.25">
      <c r="A915" t="str">
        <f>"20190303154114930"</f>
        <v>20190303154114930</v>
      </c>
      <c r="B915" t="str">
        <f>"1551598874920542"</f>
        <v>1551598874920542</v>
      </c>
      <c r="C915" t="s">
        <v>40</v>
      </c>
      <c r="D915">
        <v>5.6402070000000002</v>
      </c>
      <c r="E915">
        <v>0.51709059999999996</v>
      </c>
      <c r="F915" t="s">
        <v>43</v>
      </c>
      <c r="G915">
        <v>-298.46469999999999</v>
      </c>
      <c r="H915">
        <v>-0.05</v>
      </c>
      <c r="I915">
        <v>365.44310000000002</v>
      </c>
      <c r="J915">
        <v>-326.79340000000002</v>
      </c>
      <c r="K915">
        <v>1.1211679999999999</v>
      </c>
      <c r="L915">
        <v>367.4649</v>
      </c>
      <c r="M915">
        <v>0.9998918</v>
      </c>
      <c r="N915">
        <v>-1.421528E-2</v>
      </c>
      <c r="O915">
        <v>-3.7822559999999999E-3</v>
      </c>
      <c r="P915">
        <v>0.99455700000000002</v>
      </c>
      <c r="Q915">
        <v>-0.10092470000000001</v>
      </c>
      <c r="R915">
        <v>-2.5902120000000001E-2</v>
      </c>
      <c r="S915">
        <v>2.998383</v>
      </c>
      <c r="T915">
        <v>-0.12349549999999999</v>
      </c>
      <c r="U915">
        <v>-0.21322630000000001</v>
      </c>
      <c r="V915">
        <v>2.2137359999999998E-2</v>
      </c>
      <c r="W915">
        <v>-8.6775930000000001E-2</v>
      </c>
      <c r="X915">
        <v>0.99598189999999998</v>
      </c>
      <c r="Y915">
        <v>6.7086170000000001E-2</v>
      </c>
      <c r="Z915">
        <v>-1.7551209999999999E-3</v>
      </c>
      <c r="AA915">
        <v>0.99774560000000001</v>
      </c>
      <c r="AB915">
        <v>19</v>
      </c>
      <c r="AC915">
        <v>28.328700000000001</v>
      </c>
      <c r="AD915">
        <v>-1.171168</v>
      </c>
      <c r="AE915">
        <v>-2.0217999999999798</v>
      </c>
      <c r="AF915">
        <v>1.9113779991950901</v>
      </c>
      <c r="AG915">
        <v>-1.171168</v>
      </c>
      <c r="AH915">
        <v>28.288041036786002</v>
      </c>
      <c r="AI915">
        <v>92.365391326711901</v>
      </c>
      <c r="AJ915">
        <v>86.134490692318195</v>
      </c>
      <c r="AK915">
        <v>28.376720494780901</v>
      </c>
      <c r="AL915">
        <v>94.978155395975605</v>
      </c>
      <c r="AM915">
        <v>88.726715325349502</v>
      </c>
      <c r="AN915">
        <v>1.00000003493137</v>
      </c>
    </row>
    <row r="916" spans="1:40" x14ac:dyDescent="0.25">
      <c r="A916" t="str">
        <f>"20190303154114944"</f>
        <v>20190303154114944</v>
      </c>
      <c r="B916" t="str">
        <f>"1551598874940063"</f>
        <v>1551598874940063</v>
      </c>
      <c r="C916" t="s">
        <v>40</v>
      </c>
      <c r="D916">
        <v>5.6301489999999896</v>
      </c>
      <c r="E916">
        <v>0.51707209999999904</v>
      </c>
      <c r="F916" t="s">
        <v>43</v>
      </c>
      <c r="G916">
        <v>-298.45510000000002</v>
      </c>
      <c r="H916">
        <v>-0.05</v>
      </c>
      <c r="I916">
        <v>365.44869999999997</v>
      </c>
      <c r="J916">
        <v>-326.6825</v>
      </c>
      <c r="K916">
        <v>1.1211679999999999</v>
      </c>
      <c r="L916">
        <v>367.46449999999999</v>
      </c>
      <c r="M916">
        <v>0.99989189999999994</v>
      </c>
      <c r="N916">
        <v>-1.4212580000000001E-2</v>
      </c>
      <c r="O916">
        <v>-3.778544E-3</v>
      </c>
      <c r="P916">
        <v>0.99456420000000001</v>
      </c>
      <c r="Q916">
        <v>-0.1008646</v>
      </c>
      <c r="R916">
        <v>-2.5853870000000001E-2</v>
      </c>
      <c r="S916">
        <v>2.998291</v>
      </c>
      <c r="T916">
        <v>-0.1239138</v>
      </c>
      <c r="U916">
        <v>-0.2133179</v>
      </c>
      <c r="V916">
        <v>2.209297E-2</v>
      </c>
      <c r="W916">
        <v>-8.6718400000000001E-2</v>
      </c>
      <c r="X916">
        <v>0.99598779999999998</v>
      </c>
      <c r="Y916">
        <v>6.712187E-2</v>
      </c>
      <c r="Z916">
        <v>-1.760291E-3</v>
      </c>
      <c r="AA916">
        <v>0.99774320000000005</v>
      </c>
      <c r="AB916">
        <v>19</v>
      </c>
      <c r="AC916">
        <v>28.2273999999999</v>
      </c>
      <c r="AD916">
        <v>-1.171168</v>
      </c>
      <c r="AE916">
        <v>-2.0158000000000098</v>
      </c>
      <c r="AF916">
        <v>1.90585216529304</v>
      </c>
      <c r="AG916">
        <v>-1.171168</v>
      </c>
      <c r="AH916">
        <v>28.1865402380405</v>
      </c>
      <c r="AI916">
        <v>92.373891921324599</v>
      </c>
      <c r="AJ916">
        <v>86.131794565225107</v>
      </c>
      <c r="AK916">
        <v>28.275165031363699</v>
      </c>
      <c r="AL916">
        <v>94.974847175811107</v>
      </c>
      <c r="AM916">
        <v>88.729275212355006</v>
      </c>
      <c r="AN916">
        <v>0.99999993898540795</v>
      </c>
    </row>
    <row r="917" spans="1:40" x14ac:dyDescent="0.25">
      <c r="A917" t="str">
        <f>"20190303154114961"</f>
        <v>20190303154114961</v>
      </c>
      <c r="B917" t="str">
        <f>"1551598874949822"</f>
        <v>1551598874949822</v>
      </c>
      <c r="C917" t="s">
        <v>40</v>
      </c>
      <c r="D917">
        <v>5.6311</v>
      </c>
      <c r="E917">
        <v>0.51704059999999996</v>
      </c>
      <c r="F917" t="s">
        <v>43</v>
      </c>
      <c r="G917">
        <v>-298.5849</v>
      </c>
      <c r="H917">
        <v>-0.05</v>
      </c>
      <c r="I917">
        <v>365.46559999999999</v>
      </c>
      <c r="J917">
        <v>-326.53370000000001</v>
      </c>
      <c r="K917">
        <v>1.1211610000000001</v>
      </c>
      <c r="L917">
        <v>367.46390000000002</v>
      </c>
      <c r="M917">
        <v>0.99989209999999995</v>
      </c>
      <c r="N917">
        <v>-1.420895E-2</v>
      </c>
      <c r="O917">
        <v>-3.7735149999999999E-3</v>
      </c>
      <c r="P917">
        <v>0.99455170000000004</v>
      </c>
      <c r="Q917">
        <v>-0.10081859999999999</v>
      </c>
      <c r="R917">
        <v>-2.6518300000000002E-2</v>
      </c>
      <c r="S917">
        <v>2.9981689999999999</v>
      </c>
      <c r="T917">
        <v>-0.12496980000000001</v>
      </c>
      <c r="U917">
        <v>-0.21328739999999999</v>
      </c>
      <c r="V917">
        <v>2.2762020000000001E-2</v>
      </c>
      <c r="W917">
        <v>-8.6676230000000007E-2</v>
      </c>
      <c r="X917">
        <v>0.99597639999999998</v>
      </c>
      <c r="Y917">
        <v>6.7118549999999999E-2</v>
      </c>
      <c r="Z917">
        <v>-1.7707179999999999E-3</v>
      </c>
      <c r="AA917">
        <v>0.99774339999999995</v>
      </c>
      <c r="AB917">
        <v>19</v>
      </c>
      <c r="AC917">
        <v>27.948799999999999</v>
      </c>
      <c r="AD917">
        <v>-1.1711609999999999</v>
      </c>
      <c r="AE917">
        <v>-1.9983000000000199</v>
      </c>
      <c r="AF917">
        <v>1.8895089556793501</v>
      </c>
      <c r="AG917">
        <v>-1.1711609999999999</v>
      </c>
      <c r="AH917">
        <v>27.9073881972901</v>
      </c>
      <c r="AI917">
        <v>92.397580968127599</v>
      </c>
      <c r="AJ917">
        <v>86.126620199809395</v>
      </c>
      <c r="AK917">
        <v>27.995788579280202</v>
      </c>
      <c r="AL917">
        <v>94.972421906128304</v>
      </c>
      <c r="AM917">
        <v>88.690791576075995</v>
      </c>
      <c r="AN917">
        <v>0.99999993387922403</v>
      </c>
    </row>
    <row r="918" spans="1:40" x14ac:dyDescent="0.25">
      <c r="A918" t="str">
        <f>"20190303154114974"</f>
        <v>20190303154114974</v>
      </c>
      <c r="B918" t="str">
        <f>"1551598874970318"</f>
        <v>1551598874970318</v>
      </c>
      <c r="C918" t="s">
        <v>40</v>
      </c>
      <c r="D918">
        <v>5.585807</v>
      </c>
      <c r="E918">
        <v>0.51694629999999997</v>
      </c>
      <c r="F918" t="s">
        <v>43</v>
      </c>
      <c r="G918">
        <v>-298.54689999999999</v>
      </c>
      <c r="H918">
        <v>-0.05</v>
      </c>
      <c r="I918">
        <v>365.45460000000003</v>
      </c>
      <c r="J918">
        <v>-326.4289</v>
      </c>
      <c r="K918">
        <v>1.1211599999999999</v>
      </c>
      <c r="L918">
        <v>367.46350000000001</v>
      </c>
      <c r="M918">
        <v>0.999892</v>
      </c>
      <c r="N918">
        <v>-1.4206399999999999E-2</v>
      </c>
      <c r="O918">
        <v>-3.769685E-3</v>
      </c>
      <c r="P918">
        <v>0.99449030000000005</v>
      </c>
      <c r="Q918">
        <v>-0.1013858</v>
      </c>
      <c r="R918">
        <v>-2.6649860000000001E-2</v>
      </c>
      <c r="S918">
        <v>2.997986</v>
      </c>
      <c r="T918">
        <v>-0.12545619999999999</v>
      </c>
      <c r="U918">
        <v>-0.2152405</v>
      </c>
      <c r="V918">
        <v>2.289774E-2</v>
      </c>
      <c r="W918">
        <v>-8.7246779999999996E-2</v>
      </c>
      <c r="X918">
        <v>0.99592349999999996</v>
      </c>
      <c r="Y918">
        <v>6.7772100000000002E-2</v>
      </c>
      <c r="Z918">
        <v>-1.793909E-3</v>
      </c>
      <c r="AA918">
        <v>0.99769920000000001</v>
      </c>
      <c r="AB918">
        <v>19</v>
      </c>
      <c r="AC918">
        <v>27.882000000000001</v>
      </c>
      <c r="AD918">
        <v>-1.17116</v>
      </c>
      <c r="AE918">
        <v>-2.0088999999999801</v>
      </c>
      <c r="AF918">
        <v>1.90043304877344</v>
      </c>
      <c r="AG918">
        <v>-1.17116</v>
      </c>
      <c r="AH918">
        <v>27.8405088246394</v>
      </c>
      <c r="AI918">
        <v>92.403241559668203</v>
      </c>
      <c r="AJ918">
        <v>86.094965753796401</v>
      </c>
      <c r="AK918">
        <v>27.929862032120699</v>
      </c>
      <c r="AL918">
        <v>95.005236183992395</v>
      </c>
      <c r="AM918">
        <v>88.682918147917803</v>
      </c>
      <c r="AN918">
        <v>0.999999962484862</v>
      </c>
    </row>
    <row r="919" spans="1:40" x14ac:dyDescent="0.25">
      <c r="A919" t="str">
        <f>"20190303154114987"</f>
        <v>20190303154114987</v>
      </c>
      <c r="B919" t="str">
        <f>"1551598874980078"</f>
        <v>1551598874980078</v>
      </c>
      <c r="C919" t="s">
        <v>40</v>
      </c>
      <c r="D919">
        <v>5.7396140000000004</v>
      </c>
      <c r="E919">
        <v>0.51694629999999997</v>
      </c>
      <c r="F919" t="s">
        <v>43</v>
      </c>
      <c r="G919">
        <v>-299.13729999999998</v>
      </c>
      <c r="H919">
        <v>-0.05</v>
      </c>
      <c r="I919">
        <v>365.50670000000002</v>
      </c>
      <c r="J919">
        <v>-326.31490000000002</v>
      </c>
      <c r="K919">
        <v>1.121157</v>
      </c>
      <c r="L919">
        <v>367.4631</v>
      </c>
      <c r="M919">
        <v>0.99989209999999995</v>
      </c>
      <c r="N919">
        <v>-1.420363E-2</v>
      </c>
      <c r="O919">
        <v>-3.7659719999999998E-3</v>
      </c>
      <c r="P919">
        <v>0.99447220000000003</v>
      </c>
      <c r="Q919">
        <v>-0.101516</v>
      </c>
      <c r="R919">
        <v>-2.6824279999999999E-2</v>
      </c>
      <c r="S919">
        <v>2.9977420000000001</v>
      </c>
      <c r="T919">
        <v>-0.12864149999999999</v>
      </c>
      <c r="U919">
        <v>-0.2149353</v>
      </c>
      <c r="V919">
        <v>2.3076039999999999E-2</v>
      </c>
      <c r="W919">
        <v>-8.7380020000000003E-2</v>
      </c>
      <c r="X919">
        <v>0.99590769999999995</v>
      </c>
      <c r="Y919">
        <v>6.7677230000000005E-2</v>
      </c>
      <c r="Z919">
        <v>-1.8232369999999999E-3</v>
      </c>
      <c r="AA919">
        <v>0.99770559999999997</v>
      </c>
      <c r="AB919">
        <v>19</v>
      </c>
      <c r="AC919">
        <v>27.177600000000002</v>
      </c>
      <c r="AD919">
        <v>-1.171157</v>
      </c>
      <c r="AE919">
        <v>-1.9563999999999699</v>
      </c>
      <c r="AF919">
        <v>1.8506068942493199</v>
      </c>
      <c r="AG919">
        <v>-1.171157</v>
      </c>
      <c r="AH919">
        <v>27.134646901997399</v>
      </c>
      <c r="AI919">
        <v>92.465685461183497</v>
      </c>
      <c r="AJ919">
        <v>86.098418947034702</v>
      </c>
      <c r="AK919">
        <v>27.222884070057098</v>
      </c>
      <c r="AL919">
        <v>95.012899557552402</v>
      </c>
      <c r="AM919">
        <v>88.6726449062825</v>
      </c>
      <c r="AN919">
        <v>0.999999959218285</v>
      </c>
    </row>
    <row r="920" spans="1:40" x14ac:dyDescent="0.25">
      <c r="A920" t="str">
        <f>"20190303154114999"</f>
        <v>20190303154114999</v>
      </c>
      <c r="B920" t="str">
        <f>"1551598874989839"</f>
        <v>1551598874989839</v>
      </c>
      <c r="C920" t="s">
        <v>40</v>
      </c>
      <c r="D920">
        <v>5.6536910000000002</v>
      </c>
      <c r="E920">
        <v>0.51696690000000001</v>
      </c>
      <c r="F920" t="s">
        <v>43</v>
      </c>
      <c r="G920">
        <v>-299.10180000000003</v>
      </c>
      <c r="H920">
        <v>-0.05</v>
      </c>
      <c r="I920">
        <v>365.5077</v>
      </c>
      <c r="J920">
        <v>-326.21809999999999</v>
      </c>
      <c r="K920">
        <v>1.1211519999999999</v>
      </c>
      <c r="L920">
        <v>367.46269999999998</v>
      </c>
      <c r="M920">
        <v>0.99989220000000001</v>
      </c>
      <c r="N920">
        <v>-1.420127E-2</v>
      </c>
      <c r="O920">
        <v>-3.7630960000000001E-3</v>
      </c>
      <c r="P920">
        <v>0.99448780000000003</v>
      </c>
      <c r="Q920">
        <v>-0.1014065</v>
      </c>
      <c r="R920">
        <v>-2.66663E-2</v>
      </c>
      <c r="S920">
        <v>2.997681</v>
      </c>
      <c r="T920">
        <v>-0.1290097</v>
      </c>
      <c r="U920">
        <v>-0.2153931</v>
      </c>
      <c r="V920">
        <v>2.2920759999999998E-2</v>
      </c>
      <c r="W920">
        <v>-8.7272600000000006E-2</v>
      </c>
      <c r="X920">
        <v>0.99592069999999999</v>
      </c>
      <c r="Y920">
        <v>6.7832530000000002E-2</v>
      </c>
      <c r="Z920">
        <v>-1.8313789999999999E-3</v>
      </c>
      <c r="AA920">
        <v>0.997695</v>
      </c>
      <c r="AB920">
        <v>19</v>
      </c>
      <c r="AC920">
        <v>27.116299999999899</v>
      </c>
      <c r="AD920">
        <v>-1.171152</v>
      </c>
      <c r="AE920">
        <v>-1.9549999999999801</v>
      </c>
      <c r="AF920">
        <v>1.84950246477641</v>
      </c>
      <c r="AG920">
        <v>-1.171152</v>
      </c>
      <c r="AH920">
        <v>27.073225045923799</v>
      </c>
      <c r="AI920">
        <v>92.471242866466795</v>
      </c>
      <c r="AJ920">
        <v>86.091921210386104</v>
      </c>
      <c r="AK920">
        <v>27.161586307901</v>
      </c>
      <c r="AL920">
        <v>95.006721266608594</v>
      </c>
      <c r="AM920">
        <v>88.681590795416298</v>
      </c>
      <c r="AN920">
        <v>0.99999995431911204</v>
      </c>
    </row>
    <row r="921" spans="1:40" x14ac:dyDescent="0.25">
      <c r="A921" t="str">
        <f>"20190303154115011"</f>
        <v>20190303154115011</v>
      </c>
      <c r="B921" t="str">
        <f>"1551598875000574"</f>
        <v>1551598875000574</v>
      </c>
      <c r="C921" t="s">
        <v>40</v>
      </c>
      <c r="D921">
        <v>5.6571740000000004</v>
      </c>
      <c r="E921">
        <v>0.51696059999999999</v>
      </c>
      <c r="F921" t="s">
        <v>43</v>
      </c>
      <c r="G921">
        <v>-299.03519999999997</v>
      </c>
      <c r="H921">
        <v>-0.05</v>
      </c>
      <c r="I921">
        <v>365.51510000000002</v>
      </c>
      <c r="J921">
        <v>-326.11149999999998</v>
      </c>
      <c r="K921">
        <v>1.1211530000000001</v>
      </c>
      <c r="L921">
        <v>367.46230000000003</v>
      </c>
      <c r="M921">
        <v>0.99989220000000001</v>
      </c>
      <c r="N921">
        <v>-1.419868E-2</v>
      </c>
      <c r="O921">
        <v>-3.759741E-3</v>
      </c>
      <c r="P921">
        <v>0.99444929999999998</v>
      </c>
      <c r="Q921">
        <v>-0.1017942</v>
      </c>
      <c r="R921">
        <v>-2.6623819999999999E-2</v>
      </c>
      <c r="S921">
        <v>2.997681</v>
      </c>
      <c r="T921">
        <v>-0.1291524</v>
      </c>
      <c r="U921">
        <v>-0.21478269999999999</v>
      </c>
      <c r="V921">
        <v>2.2881840000000001E-2</v>
      </c>
      <c r="W921">
        <v>-8.7663420000000006E-2</v>
      </c>
      <c r="X921">
        <v>0.99588730000000003</v>
      </c>
      <c r="Y921">
        <v>6.7633869999999999E-2</v>
      </c>
      <c r="Z921">
        <v>-1.8271310000000001E-3</v>
      </c>
      <c r="AA921">
        <v>0.99770859999999995</v>
      </c>
      <c r="AB921">
        <v>19</v>
      </c>
      <c r="AC921">
        <v>27.0763</v>
      </c>
      <c r="AD921">
        <v>-1.1711530000000001</v>
      </c>
      <c r="AE921">
        <v>-1.9472</v>
      </c>
      <c r="AF921">
        <v>1.8419477501218799</v>
      </c>
      <c r="AG921">
        <v>-1.1711530000000001</v>
      </c>
      <c r="AH921">
        <v>27.033114491052199</v>
      </c>
      <c r="AI921">
        <v>92.474937039480096</v>
      </c>
      <c r="AJ921">
        <v>86.102078250116406</v>
      </c>
      <c r="AK921">
        <v>27.121092344334599</v>
      </c>
      <c r="AL921">
        <v>95.029199607064498</v>
      </c>
      <c r="AM921">
        <v>88.683784571575401</v>
      </c>
      <c r="AN921">
        <v>0.99999998405458501</v>
      </c>
    </row>
    <row r="922" spans="1:40" x14ac:dyDescent="0.25">
      <c r="A922" t="str">
        <f>"20190303154115030"</f>
        <v>20190303154115030</v>
      </c>
      <c r="B922" t="str">
        <f>"1551598875020094"</f>
        <v>1551598875020094</v>
      </c>
      <c r="C922" t="s">
        <v>40</v>
      </c>
      <c r="D922">
        <v>5.6343120000000004</v>
      </c>
      <c r="E922">
        <v>0.51691089999999995</v>
      </c>
      <c r="F922" t="s">
        <v>43</v>
      </c>
      <c r="G922">
        <v>-299.26010000000002</v>
      </c>
      <c r="H922">
        <v>-0.05</v>
      </c>
      <c r="I922">
        <v>365.53809999999999</v>
      </c>
      <c r="J922">
        <v>-325.9538</v>
      </c>
      <c r="K922">
        <v>1.1211450000000001</v>
      </c>
      <c r="L922">
        <v>367.46170000000001</v>
      </c>
      <c r="M922">
        <v>0.99989240000000001</v>
      </c>
      <c r="N922">
        <v>-1.4193839999999999E-2</v>
      </c>
      <c r="O922">
        <v>-3.75494E-3</v>
      </c>
      <c r="P922">
        <v>0.99446699999999999</v>
      </c>
      <c r="Q922">
        <v>-0.1016674</v>
      </c>
      <c r="R922">
        <v>-2.645337E-2</v>
      </c>
      <c r="S922">
        <v>2.99762</v>
      </c>
      <c r="T922">
        <v>-0.13074469999999999</v>
      </c>
      <c r="U922">
        <v>-0.21481320000000001</v>
      </c>
      <c r="V922">
        <v>2.2715920000000001E-2</v>
      </c>
      <c r="W922">
        <v>-8.7541149999999998E-2</v>
      </c>
      <c r="X922">
        <v>0.99590190000000001</v>
      </c>
      <c r="Y922">
        <v>6.7648459999999994E-2</v>
      </c>
      <c r="Z922">
        <v>-1.843466E-3</v>
      </c>
      <c r="AA922">
        <v>0.99770749999999997</v>
      </c>
      <c r="AB922">
        <v>19</v>
      </c>
      <c r="AC922">
        <v>26.6936999999999</v>
      </c>
      <c r="AD922">
        <v>-1.1711450000000001</v>
      </c>
      <c r="AE922">
        <v>-1.92360000000002</v>
      </c>
      <c r="AF922">
        <v>1.81985820217371</v>
      </c>
      <c r="AG922">
        <v>-1.1711450000000001</v>
      </c>
      <c r="AH922">
        <v>26.649703018060301</v>
      </c>
      <c r="AI922">
        <v>92.510456027196895</v>
      </c>
      <c r="AJ922">
        <v>86.093443657922094</v>
      </c>
      <c r="AK922">
        <v>26.737429484485901</v>
      </c>
      <c r="AL922">
        <v>95.022166783081602</v>
      </c>
      <c r="AM922">
        <v>88.693344495276094</v>
      </c>
      <c r="AN922">
        <v>1.00000003019418</v>
      </c>
    </row>
    <row r="923" spans="1:40" x14ac:dyDescent="0.25">
      <c r="A923" t="str">
        <f>"20190303154115045"</f>
        <v>20190303154115045</v>
      </c>
      <c r="B923" t="str">
        <f>"1551598875040590"</f>
        <v>1551598875040590</v>
      </c>
      <c r="C923" t="s">
        <v>40</v>
      </c>
      <c r="D923">
        <v>5.6759649999999997</v>
      </c>
      <c r="E923">
        <v>0.51690119999999995</v>
      </c>
      <c r="F923" t="s">
        <v>43</v>
      </c>
      <c r="G923">
        <v>-299.27210000000002</v>
      </c>
      <c r="H923">
        <v>-0.05</v>
      </c>
      <c r="I923">
        <v>365.5575</v>
      </c>
      <c r="J923">
        <v>-325.82979999999998</v>
      </c>
      <c r="K923">
        <v>1.121143</v>
      </c>
      <c r="L923">
        <v>367.46120000000002</v>
      </c>
      <c r="M923">
        <v>0.99989249999999996</v>
      </c>
      <c r="N923">
        <v>-1.4185659999999999E-2</v>
      </c>
      <c r="O923">
        <v>-3.7513070000000002E-3</v>
      </c>
      <c r="P923">
        <v>0.99446389999999996</v>
      </c>
      <c r="Q923">
        <v>-0.1016895</v>
      </c>
      <c r="R923">
        <v>-2.64788E-2</v>
      </c>
      <c r="S923">
        <v>2.9975589999999999</v>
      </c>
      <c r="T923">
        <v>-0.13157249999999901</v>
      </c>
      <c r="U923">
        <v>-0.21392820000000001</v>
      </c>
      <c r="V923">
        <v>2.274493E-2</v>
      </c>
      <c r="W923">
        <v>-8.7571510000000005E-2</v>
      </c>
      <c r="X923">
        <v>0.99589850000000002</v>
      </c>
      <c r="Y923">
        <v>6.7359920000000004E-2</v>
      </c>
      <c r="Z923">
        <v>-1.8432139999999999E-3</v>
      </c>
      <c r="AA923">
        <v>0.99772700000000003</v>
      </c>
      <c r="AB923">
        <v>19</v>
      </c>
      <c r="AC923">
        <v>26.557699999999901</v>
      </c>
      <c r="AD923">
        <v>-1.171143</v>
      </c>
      <c r="AE923">
        <v>-1.9037000000000099</v>
      </c>
      <c r="AF923">
        <v>1.8005669540271101</v>
      </c>
      <c r="AG923">
        <v>-1.171143</v>
      </c>
      <c r="AH923">
        <v>26.513359840649599</v>
      </c>
      <c r="AI923">
        <v>92.523409237310204</v>
      </c>
      <c r="AJ923">
        <v>86.114912386376801</v>
      </c>
      <c r="AK923">
        <v>26.600223069030001</v>
      </c>
      <c r="AL923">
        <v>95.023913333801403</v>
      </c>
      <c r="AM923">
        <v>88.691671908935504</v>
      </c>
      <c r="AN923">
        <v>0.99999996175331596</v>
      </c>
    </row>
    <row r="924" spans="1:40" x14ac:dyDescent="0.25">
      <c r="A924" t="str">
        <f>"20190303154115063"</f>
        <v>20190303154115063</v>
      </c>
      <c r="B924" t="str">
        <f>"1551598875050350"</f>
        <v>1551598875050350</v>
      </c>
      <c r="C924" t="s">
        <v>40</v>
      </c>
      <c r="D924">
        <v>5.7145239999999999</v>
      </c>
      <c r="E924">
        <v>0.51689640000000003</v>
      </c>
      <c r="F924" t="s">
        <v>43</v>
      </c>
      <c r="G924">
        <v>-299.35199999999998</v>
      </c>
      <c r="H924">
        <v>-0.05</v>
      </c>
      <c r="I924">
        <v>365.57069999999999</v>
      </c>
      <c r="J924">
        <v>-325.68259999999998</v>
      </c>
      <c r="K924">
        <v>1.1211439999999999</v>
      </c>
      <c r="L924">
        <v>367.46069999999997</v>
      </c>
      <c r="M924">
        <v>0.99989269999999997</v>
      </c>
      <c r="N924">
        <v>-1.4166939999999999E-2</v>
      </c>
      <c r="O924">
        <v>-3.746648E-3</v>
      </c>
      <c r="P924">
        <v>0.99446460000000003</v>
      </c>
      <c r="Q924">
        <v>-0.101755</v>
      </c>
      <c r="R924">
        <v>-2.6194789999999999E-2</v>
      </c>
      <c r="S924">
        <v>2.9974370000000001</v>
      </c>
      <c r="T924">
        <v>-0.1325799</v>
      </c>
      <c r="U924">
        <v>-0.21401980000000001</v>
      </c>
      <c r="V924">
        <v>2.2465639999999999E-2</v>
      </c>
      <c r="W924">
        <v>-8.7655670000000005E-2</v>
      </c>
      <c r="X924">
        <v>0.99589749999999999</v>
      </c>
      <c r="Y924">
        <v>6.7396629999999999E-2</v>
      </c>
      <c r="Z924">
        <v>-1.8538109999999999E-3</v>
      </c>
      <c r="AA924">
        <v>0.99772450000000001</v>
      </c>
      <c r="AB924">
        <v>19</v>
      </c>
      <c r="AC924">
        <v>26.330599999999901</v>
      </c>
      <c r="AD924">
        <v>-1.171144</v>
      </c>
      <c r="AE924">
        <v>-1.8899999999999799</v>
      </c>
      <c r="AF924">
        <v>1.78780660372504</v>
      </c>
      <c r="AG924">
        <v>-1.171144</v>
      </c>
      <c r="AH924">
        <v>26.285761635399101</v>
      </c>
      <c r="AI924">
        <v>92.545214380190004</v>
      </c>
      <c r="AJ924">
        <v>86.109062368195595</v>
      </c>
      <c r="AK924">
        <v>26.372506431397099</v>
      </c>
      <c r="AL924">
        <v>95.028753637415704</v>
      </c>
      <c r="AM924">
        <v>88.707730378752601</v>
      </c>
      <c r="AN924">
        <v>1.0000000259849999</v>
      </c>
    </row>
    <row r="925" spans="1:40" x14ac:dyDescent="0.25">
      <c r="A925" t="str">
        <f>"20190303154115075"</f>
        <v>20190303154115075</v>
      </c>
      <c r="B925" t="str">
        <f>"1551598875069870"</f>
        <v>1551598875069870</v>
      </c>
      <c r="C925" t="s">
        <v>40</v>
      </c>
      <c r="D925">
        <v>5.7112569999999998</v>
      </c>
      <c r="E925">
        <v>0.5169184</v>
      </c>
      <c r="F925" t="s">
        <v>43</v>
      </c>
      <c r="G925">
        <v>-299.3981</v>
      </c>
      <c r="H925">
        <v>-0.05</v>
      </c>
      <c r="I925">
        <v>365.59089999999998</v>
      </c>
      <c r="J925">
        <v>-325.57350000000002</v>
      </c>
      <c r="K925">
        <v>1.121138</v>
      </c>
      <c r="L925">
        <v>367.46030000000002</v>
      </c>
      <c r="M925">
        <v>0.99989309999999998</v>
      </c>
      <c r="N925">
        <v>-1.414586E-2</v>
      </c>
      <c r="O925">
        <v>-3.7432849999999998E-3</v>
      </c>
      <c r="P925">
        <v>0.99451219999999996</v>
      </c>
      <c r="Q925">
        <v>-0.1013362</v>
      </c>
      <c r="R925">
        <v>-2.6011739999999998E-2</v>
      </c>
      <c r="S925">
        <v>2.9973749999999999</v>
      </c>
      <c r="T925">
        <v>-0.1335527</v>
      </c>
      <c r="U925">
        <v>-0.21322630000000001</v>
      </c>
      <c r="V925">
        <v>2.2285780000000002E-2</v>
      </c>
      <c r="W925">
        <v>-8.7257230000000005E-2</v>
      </c>
      <c r="X925">
        <v>0.9959365</v>
      </c>
      <c r="Y925">
        <v>6.7137950000000002E-2</v>
      </c>
      <c r="Z925">
        <v>-1.855268E-3</v>
      </c>
      <c r="AA925">
        <v>0.99774200000000002</v>
      </c>
      <c r="AB925">
        <v>19</v>
      </c>
      <c r="AC925">
        <v>26.1754</v>
      </c>
      <c r="AD925">
        <v>-1.171138</v>
      </c>
      <c r="AE925">
        <v>-1.8694000000000399</v>
      </c>
      <c r="AF925">
        <v>1.7678740864312299</v>
      </c>
      <c r="AG925">
        <v>-1.171138</v>
      </c>
      <c r="AH925">
        <v>26.130171980958899</v>
      </c>
      <c r="AI925">
        <v>92.560398194908203</v>
      </c>
      <c r="AJ925">
        <v>86.129470698896398</v>
      </c>
      <c r="AK925">
        <v>26.216079622151899</v>
      </c>
      <c r="AL925">
        <v>95.005837048362196</v>
      </c>
      <c r="AM925">
        <v>88.718123010409897</v>
      </c>
      <c r="AN925">
        <v>0.99999999610486501</v>
      </c>
    </row>
    <row r="926" spans="1:40" x14ac:dyDescent="0.25">
      <c r="A926" t="str">
        <f>"20190303154115089"</f>
        <v>20190303154115089</v>
      </c>
      <c r="B926" t="str">
        <f>"1551598875080606"</f>
        <v>1551598875080606</v>
      </c>
      <c r="C926" t="s">
        <v>40</v>
      </c>
      <c r="D926">
        <v>5.7188629999999998</v>
      </c>
      <c r="E926">
        <v>0.51689819999999997</v>
      </c>
      <c r="F926" t="s">
        <v>43</v>
      </c>
      <c r="G926">
        <v>-299.07130000000001</v>
      </c>
      <c r="H926">
        <v>-0.05</v>
      </c>
      <c r="I926">
        <v>365.57990000000001</v>
      </c>
      <c r="J926">
        <v>-325.46030000000002</v>
      </c>
      <c r="K926">
        <v>1.1211420000000001</v>
      </c>
      <c r="L926">
        <v>367.4599</v>
      </c>
      <c r="M926">
        <v>0.99989349999999999</v>
      </c>
      <c r="N926">
        <v>-1.4108799999999999E-2</v>
      </c>
      <c r="O926">
        <v>-3.7396859999999999E-3</v>
      </c>
      <c r="P926">
        <v>0.99449010000000004</v>
      </c>
      <c r="Q926">
        <v>-0.10161100000000001</v>
      </c>
      <c r="R926">
        <v>-2.577788E-2</v>
      </c>
      <c r="S926">
        <v>2.9974980000000002</v>
      </c>
      <c r="T926">
        <v>-0.13245960000000001</v>
      </c>
      <c r="U926">
        <v>-0.212677</v>
      </c>
      <c r="V926">
        <v>2.2055419999999999E-2</v>
      </c>
      <c r="W926">
        <v>-8.7569270000000005E-2</v>
      </c>
      <c r="X926">
        <v>0.99591419999999997</v>
      </c>
      <c r="Y926">
        <v>6.6958219999999999E-2</v>
      </c>
      <c r="Z926">
        <v>-1.8378579999999999E-3</v>
      </c>
      <c r="AA926">
        <v>0.99775409999999998</v>
      </c>
      <c r="AB926">
        <v>19</v>
      </c>
      <c r="AC926">
        <v>26.388999999999999</v>
      </c>
      <c r="AD926">
        <v>-1.1711419999999999</v>
      </c>
      <c r="AE926">
        <v>-1.8799999999999899</v>
      </c>
      <c r="AF926">
        <v>1.7778066090197</v>
      </c>
      <c r="AG926">
        <v>-1.1711419999999999</v>
      </c>
      <c r="AH926">
        <v>26.344221753846099</v>
      </c>
      <c r="AI926">
        <v>92.539660142933698</v>
      </c>
      <c r="AJ926">
        <v>86.139320000250095</v>
      </c>
      <c r="AK926">
        <v>26.430100070545699</v>
      </c>
      <c r="AL926">
        <v>95.0237845243675</v>
      </c>
      <c r="AM926">
        <v>88.731340556341905</v>
      </c>
      <c r="AN926">
        <v>0.99999995618067306</v>
      </c>
    </row>
    <row r="927" spans="1:40" x14ac:dyDescent="0.25">
      <c r="A927" t="str">
        <f>"20190303154115106"</f>
        <v>20190303154115106</v>
      </c>
      <c r="B927" t="str">
        <f>"1551598875100126"</f>
        <v>1551598875100126</v>
      </c>
      <c r="C927" t="s">
        <v>40</v>
      </c>
      <c r="D927">
        <v>5.7585930000000003</v>
      </c>
      <c r="E927">
        <v>0.51686759999999998</v>
      </c>
      <c r="F927" t="s">
        <v>43</v>
      </c>
      <c r="G927">
        <v>-299.20339999999999</v>
      </c>
      <c r="H927">
        <v>-0.05</v>
      </c>
      <c r="I927">
        <v>365.60410000000002</v>
      </c>
      <c r="J927">
        <v>-325.30700000000002</v>
      </c>
      <c r="K927">
        <v>1.121132</v>
      </c>
      <c r="L927">
        <v>367.45940000000002</v>
      </c>
      <c r="M927">
        <v>0.99989450000000002</v>
      </c>
      <c r="N927">
        <v>-1.4044879999999999E-2</v>
      </c>
      <c r="O927">
        <v>-3.7349459999999998E-3</v>
      </c>
      <c r="P927">
        <v>0.99454640000000005</v>
      </c>
      <c r="Q927">
        <v>-0.1011408</v>
      </c>
      <c r="R927">
        <v>-2.5459809999999999E-2</v>
      </c>
      <c r="S927">
        <v>2.9974669999999999</v>
      </c>
      <c r="T927">
        <v>-0.13369629999999999</v>
      </c>
      <c r="U927">
        <v>-0.21185300000000001</v>
      </c>
      <c r="V927">
        <v>2.174187E-2</v>
      </c>
      <c r="W927">
        <v>-8.7162020000000007E-2</v>
      </c>
      <c r="X927">
        <v>0.99595679999999998</v>
      </c>
      <c r="Y927">
        <v>6.6689860000000004E-2</v>
      </c>
      <c r="Z927">
        <v>-1.8400199999999999E-3</v>
      </c>
      <c r="AA927">
        <v>0.99777199999999999</v>
      </c>
      <c r="AB927">
        <v>19</v>
      </c>
      <c r="AC927">
        <v>26.1036</v>
      </c>
      <c r="AD927">
        <v>-1.1711320000000001</v>
      </c>
      <c r="AE927">
        <v>-1.8552999999999999</v>
      </c>
      <c r="AF927">
        <v>1.7542685864474401</v>
      </c>
      <c r="AG927">
        <v>-1.1711320000000001</v>
      </c>
      <c r="AH927">
        <v>26.058160545985299</v>
      </c>
      <c r="AI927">
        <v>92.567508968826701</v>
      </c>
      <c r="AJ927">
        <v>86.148586467985297</v>
      </c>
      <c r="AK927">
        <v>26.143388064196401</v>
      </c>
      <c r="AL927">
        <v>95.000361349563406</v>
      </c>
      <c r="AM927">
        <v>88.749424109447503</v>
      </c>
      <c r="AN927">
        <v>0.999999937053906</v>
      </c>
    </row>
    <row r="928" spans="1:40" x14ac:dyDescent="0.25">
      <c r="A928" t="str">
        <f>"20190303154115119"</f>
        <v>20190303154115119</v>
      </c>
      <c r="B928" t="str">
        <f>"1551598875109887"</f>
        <v>1551598875109887</v>
      </c>
      <c r="C928" t="s">
        <v>40</v>
      </c>
      <c r="D928">
        <v>5.7770669999999997</v>
      </c>
      <c r="E928">
        <v>0.51686069999999995</v>
      </c>
      <c r="F928" t="s">
        <v>43</v>
      </c>
      <c r="G928">
        <v>-298.95580000000001</v>
      </c>
      <c r="H928">
        <v>-0.05</v>
      </c>
      <c r="I928">
        <v>365.60980000000001</v>
      </c>
      <c r="J928">
        <v>-325.20490000000001</v>
      </c>
      <c r="K928">
        <v>1.121124</v>
      </c>
      <c r="L928">
        <v>367.459</v>
      </c>
      <c r="M928">
        <v>0.99989519999999998</v>
      </c>
      <c r="N928">
        <v>-1.399333E-2</v>
      </c>
      <c r="O928">
        <v>-3.731963E-3</v>
      </c>
      <c r="P928">
        <v>0.99458959999999996</v>
      </c>
      <c r="Q928">
        <v>-0.1007958</v>
      </c>
      <c r="R928">
        <v>-2.5139689999999999E-2</v>
      </c>
      <c r="S928">
        <v>2.997528</v>
      </c>
      <c r="T928">
        <v>-0.13322010000000001</v>
      </c>
      <c r="U928">
        <v>-0.2103882</v>
      </c>
      <c r="V928">
        <v>2.1424579999999999E-2</v>
      </c>
      <c r="W928">
        <v>-8.6867730000000004E-2</v>
      </c>
      <c r="X928">
        <v>0.99598940000000002</v>
      </c>
      <c r="Y928">
        <v>6.6207440000000006E-2</v>
      </c>
      <c r="Z928">
        <v>-1.8194070000000001E-3</v>
      </c>
      <c r="AA928">
        <v>0.99780420000000003</v>
      </c>
      <c r="AB928">
        <v>19</v>
      </c>
      <c r="AC928">
        <v>26.249099999999999</v>
      </c>
      <c r="AD928">
        <v>-1.1711240000000001</v>
      </c>
      <c r="AE928">
        <v>-1.84919999999999</v>
      </c>
      <c r="AF928">
        <v>1.7477550214973501</v>
      </c>
      <c r="AG928">
        <v>-1.1711240000000001</v>
      </c>
      <c r="AH928">
        <v>26.203915918193999</v>
      </c>
      <c r="AI928">
        <v>92.553335098640801</v>
      </c>
      <c r="AJ928">
        <v>86.184124267037305</v>
      </c>
      <c r="AK928">
        <v>26.288236694124802</v>
      </c>
      <c r="AL928">
        <v>94.983435509403293</v>
      </c>
      <c r="AM928">
        <v>88.767709043626894</v>
      </c>
      <c r="AN928">
        <v>0.99999995002794295</v>
      </c>
    </row>
    <row r="929" spans="1:40" x14ac:dyDescent="0.25">
      <c r="A929" t="str">
        <f>"20190303154115132"</f>
        <v>20190303154115132</v>
      </c>
      <c r="B929" t="str">
        <f>"1551598875120622"</f>
        <v>1551598875120622</v>
      </c>
      <c r="C929" t="s">
        <v>40</v>
      </c>
      <c r="D929">
        <v>5.6862450000000004</v>
      </c>
      <c r="E929">
        <v>0.5168507</v>
      </c>
      <c r="F929" t="s">
        <v>43</v>
      </c>
      <c r="G929">
        <v>-298.83550000000002</v>
      </c>
      <c r="H929">
        <v>-0.05</v>
      </c>
      <c r="I929">
        <v>365.613</v>
      </c>
      <c r="J929">
        <v>-325.09800000000001</v>
      </c>
      <c r="K929">
        <v>1.121113</v>
      </c>
      <c r="L929">
        <v>367.45859999999999</v>
      </c>
      <c r="M929">
        <v>0.99989600000000001</v>
      </c>
      <c r="N929">
        <v>-1.3930100000000001E-2</v>
      </c>
      <c r="O929">
        <v>-3.72866E-3</v>
      </c>
      <c r="P929">
        <v>0.99464520000000001</v>
      </c>
      <c r="Q929">
        <v>-0.1003063</v>
      </c>
      <c r="R929">
        <v>-2.4891630000000001E-2</v>
      </c>
      <c r="S929">
        <v>2.9975589999999999</v>
      </c>
      <c r="T929">
        <v>-0.13312850000000001</v>
      </c>
      <c r="U929">
        <v>-0.20983889999999999</v>
      </c>
      <c r="V929">
        <v>2.117964E-2</v>
      </c>
      <c r="W929">
        <v>-8.6440530000000002E-2</v>
      </c>
      <c r="X929">
        <v>0.99603189999999997</v>
      </c>
      <c r="Y929">
        <v>6.6028509999999999E-2</v>
      </c>
      <c r="Z929">
        <v>-1.811057E-3</v>
      </c>
      <c r="AA929">
        <v>0.99781609999999998</v>
      </c>
      <c r="AB929">
        <v>19</v>
      </c>
      <c r="AC929">
        <v>26.2624999999999</v>
      </c>
      <c r="AD929">
        <v>-1.1711129999999901</v>
      </c>
      <c r="AE929">
        <v>-1.84559999999993</v>
      </c>
      <c r="AF929">
        <v>1.7442024293932601</v>
      </c>
      <c r="AG929">
        <v>-1.1711129999999901</v>
      </c>
      <c r="AH929">
        <v>26.2173227515345</v>
      </c>
      <c r="AI929">
        <v>92.5520358484833</v>
      </c>
      <c r="AJ929">
        <v>86.193799455896695</v>
      </c>
      <c r="AK929">
        <v>26.3013642237736</v>
      </c>
      <c r="AL929">
        <v>94.958865865293305</v>
      </c>
      <c r="AM929">
        <v>88.781845105045093</v>
      </c>
      <c r="AN929">
        <v>1.0000000440974</v>
      </c>
    </row>
    <row r="930" spans="1:40" x14ac:dyDescent="0.25">
      <c r="A930" t="str">
        <f>"20190303154115144"</f>
        <v>20190303154115144</v>
      </c>
      <c r="B930" t="str">
        <f>"1551598875140142"</f>
        <v>1551598875140142</v>
      </c>
      <c r="C930" t="s">
        <v>40</v>
      </c>
      <c r="D930">
        <v>5.6857049999999996</v>
      </c>
      <c r="E930">
        <v>0.51681440000000001</v>
      </c>
      <c r="F930" t="s">
        <v>43</v>
      </c>
      <c r="G930">
        <v>-298.45499999999998</v>
      </c>
      <c r="H930">
        <v>-0.05</v>
      </c>
      <c r="I930">
        <v>365.60359999999997</v>
      </c>
      <c r="J930">
        <v>-325.0009</v>
      </c>
      <c r="K930">
        <v>1.1211040000000001</v>
      </c>
      <c r="L930">
        <v>367.45819999999998</v>
      </c>
      <c r="M930">
        <v>0.99989709999999998</v>
      </c>
      <c r="N930">
        <v>-1.386506E-2</v>
      </c>
      <c r="O930">
        <v>-3.725941E-3</v>
      </c>
      <c r="P930">
        <v>0.99468279999999998</v>
      </c>
      <c r="Q930">
        <v>-9.9894029999999995E-2</v>
      </c>
      <c r="R930">
        <v>-2.5050059999999999E-2</v>
      </c>
      <c r="S930">
        <v>2.9976500000000001</v>
      </c>
      <c r="T930">
        <v>-0.13176389999999999</v>
      </c>
      <c r="U930">
        <v>-0.2087097</v>
      </c>
      <c r="V930">
        <v>2.13408E-2</v>
      </c>
      <c r="W930">
        <v>-8.6092550000000004E-2</v>
      </c>
      <c r="X930">
        <v>0.99605860000000002</v>
      </c>
      <c r="Y930">
        <v>6.5657110000000005E-2</v>
      </c>
      <c r="Z930">
        <v>-1.7846870000000001E-3</v>
      </c>
      <c r="AA930">
        <v>0.99784059999999997</v>
      </c>
      <c r="AB930">
        <v>19</v>
      </c>
      <c r="AC930">
        <v>26.5459</v>
      </c>
      <c r="AD930">
        <v>-1.1711039999999999</v>
      </c>
      <c r="AE930">
        <v>-1.8546</v>
      </c>
      <c r="AF930">
        <v>1.75227539434663</v>
      </c>
      <c r="AG930">
        <v>-1.1711039999999999</v>
      </c>
      <c r="AH930">
        <v>26.501299176417898</v>
      </c>
      <c r="AI930">
        <v>92.524773516381302</v>
      </c>
      <c r="AJ930">
        <v>86.217088961241302</v>
      </c>
      <c r="AK930">
        <v>26.5849734187276</v>
      </c>
      <c r="AL930">
        <v>94.938853468112399</v>
      </c>
      <c r="AM930">
        <v>88.772611644235994</v>
      </c>
      <c r="AN930">
        <v>1.0000000457720499</v>
      </c>
    </row>
    <row r="931" spans="1:40" x14ac:dyDescent="0.25">
      <c r="A931" t="str">
        <f>"20190303154115156"</f>
        <v>20190303154115156</v>
      </c>
      <c r="B931" t="str">
        <f>"1551598875149902"</f>
        <v>1551598875149902</v>
      </c>
      <c r="C931" t="s">
        <v>40</v>
      </c>
      <c r="D931">
        <v>5.7628009999999996</v>
      </c>
      <c r="E931">
        <v>0.51681880000000002</v>
      </c>
      <c r="F931" t="s">
        <v>43</v>
      </c>
      <c r="G931">
        <v>-298.20909999999998</v>
      </c>
      <c r="H931">
        <v>-0.05</v>
      </c>
      <c r="I931">
        <v>365.59089999999998</v>
      </c>
      <c r="J931">
        <v>-324.89859999999999</v>
      </c>
      <c r="K931">
        <v>1.1210910000000001</v>
      </c>
      <c r="L931">
        <v>367.45780000000002</v>
      </c>
      <c r="M931">
        <v>0.99989799999999995</v>
      </c>
      <c r="N931">
        <v>-1.379274E-2</v>
      </c>
      <c r="O931">
        <v>-3.7230549999999999E-3</v>
      </c>
      <c r="P931">
        <v>0.99473420000000001</v>
      </c>
      <c r="Q931">
        <v>-9.9393770000000006E-2</v>
      </c>
      <c r="R931">
        <v>-2.4995590000000002E-2</v>
      </c>
      <c r="S931">
        <v>2.99762</v>
      </c>
      <c r="T931">
        <v>-0.1310297</v>
      </c>
      <c r="U931">
        <v>-0.20892330000000001</v>
      </c>
      <c r="V931">
        <v>2.1289019999999999E-2</v>
      </c>
      <c r="W931">
        <v>-8.5663680000000006E-2</v>
      </c>
      <c r="X931">
        <v>0.9960966</v>
      </c>
      <c r="Y931">
        <v>6.5732269999999995E-2</v>
      </c>
      <c r="Z931">
        <v>-1.7771830000000001E-3</v>
      </c>
      <c r="AA931">
        <v>0.99783569999999999</v>
      </c>
      <c r="AB931">
        <v>19</v>
      </c>
      <c r="AC931">
        <v>26.689499999999999</v>
      </c>
      <c r="AD931">
        <v>-1.1710909999999899</v>
      </c>
      <c r="AE931">
        <v>-1.86690000000004</v>
      </c>
      <c r="AF931">
        <v>1.76413117506352</v>
      </c>
      <c r="AG931">
        <v>-1.1710909999999899</v>
      </c>
      <c r="AH931">
        <v>26.645215734840999</v>
      </c>
      <c r="AI931">
        <v>92.511111825346404</v>
      </c>
      <c r="AJ931">
        <v>86.212079212645605</v>
      </c>
      <c r="AK931">
        <v>26.729218740721301</v>
      </c>
      <c r="AL931">
        <v>94.914190322580495</v>
      </c>
      <c r="AM931">
        <v>88.775635491630894</v>
      </c>
      <c r="AN931">
        <v>0.99999996248763001</v>
      </c>
    </row>
    <row r="932" spans="1:40" x14ac:dyDescent="0.25">
      <c r="A932" t="str">
        <f>"20190303154115169"</f>
        <v>20190303154115169</v>
      </c>
      <c r="B932" t="str">
        <f>"1551598875160638"</f>
        <v>1551598875160638</v>
      </c>
      <c r="C932" t="s">
        <v>40</v>
      </c>
      <c r="D932">
        <v>5.7443730000000004</v>
      </c>
      <c r="E932">
        <v>0.51681589999999999</v>
      </c>
      <c r="F932" t="s">
        <v>43</v>
      </c>
      <c r="G932">
        <v>-297.80430000000001</v>
      </c>
      <c r="H932">
        <v>-0.05</v>
      </c>
      <c r="I932">
        <v>365.57089999999999</v>
      </c>
      <c r="J932">
        <v>-324.78550000000001</v>
      </c>
      <c r="K932">
        <v>1.1210770000000001</v>
      </c>
      <c r="L932">
        <v>367.45749999999998</v>
      </c>
      <c r="M932">
        <v>0.99989939999999999</v>
      </c>
      <c r="N932">
        <v>-1.369921E-2</v>
      </c>
      <c r="O932">
        <v>-3.719431E-3</v>
      </c>
      <c r="P932">
        <v>0.99474110000000004</v>
      </c>
      <c r="Q932">
        <v>-9.930013E-2</v>
      </c>
      <c r="R932">
        <v>-2.5095760000000002E-2</v>
      </c>
      <c r="S932">
        <v>2.9977109999999998</v>
      </c>
      <c r="T932">
        <v>-0.1295694</v>
      </c>
      <c r="U932">
        <v>-0.20877080000000001</v>
      </c>
      <c r="V932">
        <v>2.139278E-2</v>
      </c>
      <c r="W932">
        <v>-8.5663100000000006E-2</v>
      </c>
      <c r="X932">
        <v>0.99609449999999999</v>
      </c>
      <c r="Y932">
        <v>6.5684980000000004E-2</v>
      </c>
      <c r="Z932">
        <v>-1.7583150000000001E-3</v>
      </c>
      <c r="AA932">
        <v>0.99783889999999997</v>
      </c>
      <c r="AB932">
        <v>19</v>
      </c>
      <c r="AC932">
        <v>26.981200000000001</v>
      </c>
      <c r="AD932">
        <v>-1.1710769999999999</v>
      </c>
      <c r="AE932">
        <v>-1.8865999999999801</v>
      </c>
      <c r="AF932">
        <v>1.78288047978695</v>
      </c>
      <c r="AG932">
        <v>-1.1710769999999999</v>
      </c>
      <c r="AH932">
        <v>26.937531461949298</v>
      </c>
      <c r="AI932">
        <v>92.483870533606293</v>
      </c>
      <c r="AJ932">
        <v>86.213359126985395</v>
      </c>
      <c r="AK932">
        <v>27.021855698834699</v>
      </c>
      <c r="AL932">
        <v>94.914156609562994</v>
      </c>
      <c r="AM932">
        <v>88.769667330097406</v>
      </c>
      <c r="AN932">
        <v>1.00000003533399</v>
      </c>
    </row>
    <row r="933" spans="1:40" x14ac:dyDescent="0.25">
      <c r="A933" t="str">
        <f>"20190303154115186"</f>
        <v>20190303154115186</v>
      </c>
      <c r="B933" t="str">
        <f>"1551598875180158"</f>
        <v>1551598875180158</v>
      </c>
      <c r="C933" t="s">
        <v>40</v>
      </c>
      <c r="D933">
        <v>5.7797450000000001</v>
      </c>
      <c r="E933">
        <v>0.51683760000000001</v>
      </c>
      <c r="F933" t="s">
        <v>43</v>
      </c>
      <c r="G933">
        <v>-297.69119999999998</v>
      </c>
      <c r="H933">
        <v>-0.05</v>
      </c>
      <c r="I933">
        <v>365.56830000000002</v>
      </c>
      <c r="J933">
        <v>-324.6463</v>
      </c>
      <c r="K933">
        <v>1.121057</v>
      </c>
      <c r="L933">
        <v>367.45690000000002</v>
      </c>
      <c r="M933">
        <v>0.99990109999999999</v>
      </c>
      <c r="N933">
        <v>-1.3575129999999999E-2</v>
      </c>
      <c r="O933">
        <v>-3.7146530000000001E-3</v>
      </c>
      <c r="P933">
        <v>0.99474770000000001</v>
      </c>
      <c r="Q933">
        <v>-9.9257319999999996E-2</v>
      </c>
      <c r="R933">
        <v>-2.5010850000000001E-2</v>
      </c>
      <c r="S933">
        <v>2.9976500000000001</v>
      </c>
      <c r="T933">
        <v>-0.12956519999999999</v>
      </c>
      <c r="U933">
        <v>-0.2090149</v>
      </c>
      <c r="V933">
        <v>2.131247E-2</v>
      </c>
      <c r="W933">
        <v>-8.5743799999999995E-2</v>
      </c>
      <c r="X933">
        <v>0.99608920000000001</v>
      </c>
      <c r="Y933">
        <v>6.5772120000000003E-2</v>
      </c>
      <c r="Z933">
        <v>-1.7563660000000001E-3</v>
      </c>
      <c r="AA933">
        <v>0.99783310000000003</v>
      </c>
      <c r="AB933">
        <v>19</v>
      </c>
      <c r="AC933">
        <v>26.955100000000002</v>
      </c>
      <c r="AD933">
        <v>-1.171057</v>
      </c>
      <c r="AE933">
        <v>-1.8885999999999901</v>
      </c>
      <c r="AF933">
        <v>1.7850961011556199</v>
      </c>
      <c r="AG933">
        <v>-1.171057</v>
      </c>
      <c r="AH933">
        <v>26.911384520776998</v>
      </c>
      <c r="AI933">
        <v>92.486214392042299</v>
      </c>
      <c r="AJ933">
        <v>86.204994230865097</v>
      </c>
      <c r="AK933">
        <v>26.995935979564202</v>
      </c>
      <c r="AL933">
        <v>94.918797837768906</v>
      </c>
      <c r="AM933">
        <v>88.774278153915304</v>
      </c>
      <c r="AN933">
        <v>0.999999957486289</v>
      </c>
    </row>
    <row r="934" spans="1:40" x14ac:dyDescent="0.25">
      <c r="A934" t="str">
        <f>"20190303154115208"</f>
        <v>20190303154115208</v>
      </c>
      <c r="B934" t="str">
        <f>"1551598875200655"</f>
        <v>1551598875200655</v>
      </c>
      <c r="C934" t="s">
        <v>40</v>
      </c>
      <c r="D934">
        <v>5.7625909999999996</v>
      </c>
      <c r="E934">
        <v>0.51685429999999999</v>
      </c>
      <c r="F934" t="s">
        <v>43</v>
      </c>
      <c r="G934">
        <v>-297.70510000000002</v>
      </c>
      <c r="H934">
        <v>-0.05</v>
      </c>
      <c r="I934">
        <v>365.58</v>
      </c>
      <c r="J934">
        <v>-324.46039999999999</v>
      </c>
      <c r="K934">
        <v>1.12103</v>
      </c>
      <c r="L934">
        <v>367.45620000000002</v>
      </c>
      <c r="M934">
        <v>0.99990330000000005</v>
      </c>
      <c r="N934">
        <v>-1.339854E-2</v>
      </c>
      <c r="O934">
        <v>-3.7082220000000002E-3</v>
      </c>
      <c r="P934">
        <v>0.9947454</v>
      </c>
      <c r="Q934">
        <v>-9.9187730000000002E-2</v>
      </c>
      <c r="R934">
        <v>-2.537083E-2</v>
      </c>
      <c r="S934">
        <v>2.9975890000000001</v>
      </c>
      <c r="T934">
        <v>-0.13029669999999999</v>
      </c>
      <c r="U934">
        <v>-0.20883180000000001</v>
      </c>
      <c r="V934">
        <v>2.167873E-2</v>
      </c>
      <c r="W934">
        <v>-8.5850179999999998E-2</v>
      </c>
      <c r="X934">
        <v>0.99607219999999996</v>
      </c>
      <c r="Y934">
        <v>6.5718849999999995E-2</v>
      </c>
      <c r="Z934">
        <v>-1.7557009999999999E-3</v>
      </c>
      <c r="AA934">
        <v>0.99783659999999996</v>
      </c>
      <c r="AB934">
        <v>19</v>
      </c>
      <c r="AC934">
        <v>26.755299999999899</v>
      </c>
      <c r="AD934">
        <v>-1.17103</v>
      </c>
      <c r="AE934">
        <v>-1.8762000000000401</v>
      </c>
      <c r="AF934">
        <v>1.7735826533439201</v>
      </c>
      <c r="AG934">
        <v>-1.17103</v>
      </c>
      <c r="AH934">
        <v>26.711155141475299</v>
      </c>
      <c r="AI934">
        <v>92.504759024530699</v>
      </c>
      <c r="AJ934">
        <v>86.201217958804804</v>
      </c>
      <c r="AK934">
        <v>26.795572688059998</v>
      </c>
      <c r="AL934">
        <v>94.924915191903196</v>
      </c>
      <c r="AM934">
        <v>88.753199145392301</v>
      </c>
      <c r="AN934">
        <v>1.00000002417664</v>
      </c>
    </row>
    <row r="935" spans="1:40" x14ac:dyDescent="0.25">
      <c r="A935" t="str">
        <f>"20190303154115224"</f>
        <v>20190303154115224</v>
      </c>
      <c r="B935" t="str">
        <f>"1551598875220174"</f>
        <v>1551598875220174</v>
      </c>
      <c r="C935" t="s">
        <v>40</v>
      </c>
      <c r="D935">
        <v>5.798063</v>
      </c>
      <c r="E935">
        <v>0.51690899999999995</v>
      </c>
      <c r="F935" t="s">
        <v>43</v>
      </c>
      <c r="G935">
        <v>-297.65339999999998</v>
      </c>
      <c r="H935">
        <v>-0.05</v>
      </c>
      <c r="I935">
        <v>365.57650000000001</v>
      </c>
      <c r="J935">
        <v>-324.3365</v>
      </c>
      <c r="K935">
        <v>1.1210089999999999</v>
      </c>
      <c r="L935">
        <v>367.45580000000001</v>
      </c>
      <c r="M935">
        <v>0.99990500000000004</v>
      </c>
      <c r="N935">
        <v>-1.3281370000000001E-2</v>
      </c>
      <c r="O935">
        <v>-3.7042260000000001E-3</v>
      </c>
      <c r="P935">
        <v>0.99474779999999996</v>
      </c>
      <c r="Q935">
        <v>-9.919174E-2</v>
      </c>
      <c r="R935">
        <v>-2.5263230000000001E-2</v>
      </c>
      <c r="S935">
        <v>2.9974370000000001</v>
      </c>
      <c r="T935">
        <v>-0.1309391</v>
      </c>
      <c r="U935">
        <v>-0.21017459999999999</v>
      </c>
      <c r="V935">
        <v>2.1575179999999999E-2</v>
      </c>
      <c r="W935">
        <v>-8.5970909999999998E-2</v>
      </c>
      <c r="X935">
        <v>0.99606399999999995</v>
      </c>
      <c r="Y935">
        <v>6.6170140000000002E-2</v>
      </c>
      <c r="Z935">
        <v>-1.7706569999999999E-3</v>
      </c>
      <c r="AA935">
        <v>0.99780679999999999</v>
      </c>
      <c r="AB935">
        <v>19</v>
      </c>
      <c r="AC935">
        <v>26.6831</v>
      </c>
      <c r="AD935">
        <v>-1.171009</v>
      </c>
      <c r="AE935">
        <v>-1.8793</v>
      </c>
      <c r="AF935">
        <v>1.7770325539284799</v>
      </c>
      <c r="AG935">
        <v>-1.171009</v>
      </c>
      <c r="AH935">
        <v>26.6388267204198</v>
      </c>
      <c r="AI935">
        <v>92.5114546574153</v>
      </c>
      <c r="AJ935">
        <v>86.183546652532698</v>
      </c>
      <c r="AK935">
        <v>26.723701012703199</v>
      </c>
      <c r="AL935">
        <v>94.931858354713398</v>
      </c>
      <c r="AM935">
        <v>88.759142500200596</v>
      </c>
      <c r="AN935">
        <v>0.99999998892713005</v>
      </c>
    </row>
    <row r="936" spans="1:40" x14ac:dyDescent="0.25">
      <c r="A936" t="str">
        <f>"20190303154115242"</f>
        <v>20190303154115242</v>
      </c>
      <c r="B936" t="str">
        <f>"1551598875229935"</f>
        <v>1551598875229935</v>
      </c>
      <c r="C936" t="s">
        <v>40</v>
      </c>
      <c r="D936">
        <v>5.775188</v>
      </c>
      <c r="E936">
        <v>0.51689700000000005</v>
      </c>
      <c r="F936" t="s">
        <v>43</v>
      </c>
      <c r="G936">
        <v>-297.62029999999999</v>
      </c>
      <c r="H936">
        <v>-0.05</v>
      </c>
      <c r="I936">
        <v>365.58030000000002</v>
      </c>
      <c r="J936">
        <v>-324.17689999999999</v>
      </c>
      <c r="K936">
        <v>1.1209899999999999</v>
      </c>
      <c r="L936">
        <v>367.45519999999999</v>
      </c>
      <c r="M936">
        <v>0.99990679999999998</v>
      </c>
      <c r="N936">
        <v>-1.313769E-2</v>
      </c>
      <c r="O936">
        <v>-3.6987510000000001E-3</v>
      </c>
      <c r="P936">
        <v>0.99480500000000005</v>
      </c>
      <c r="Q936">
        <v>-9.8611500000000005E-2</v>
      </c>
      <c r="R936">
        <v>-2.5278559999999999E-2</v>
      </c>
      <c r="S936">
        <v>2.9974370000000001</v>
      </c>
      <c r="T936">
        <v>-0.131382</v>
      </c>
      <c r="U936">
        <v>-0.21041869999999999</v>
      </c>
      <c r="V936">
        <v>2.1595719999999999E-2</v>
      </c>
      <c r="W936">
        <v>-8.5533090000000006E-2</v>
      </c>
      <c r="X936">
        <v>0.99610129999999997</v>
      </c>
      <c r="Y936">
        <v>6.6256129999999996E-2</v>
      </c>
      <c r="Z936">
        <v>-1.7723050000000001E-3</v>
      </c>
      <c r="AA936">
        <v>0.9978011</v>
      </c>
      <c r="AB936">
        <v>19</v>
      </c>
      <c r="AC936">
        <v>26.5566</v>
      </c>
      <c r="AD936">
        <v>-1.17099</v>
      </c>
      <c r="AE936">
        <v>-1.87489999999996</v>
      </c>
      <c r="AF936">
        <v>1.77322187705398</v>
      </c>
      <c r="AG936">
        <v>-1.17099</v>
      </c>
      <c r="AH936">
        <v>26.512062171356199</v>
      </c>
      <c r="AI936">
        <v>92.523377163458605</v>
      </c>
      <c r="AJ936">
        <v>86.173551588684902</v>
      </c>
      <c r="AK936">
        <v>26.5970858174955</v>
      </c>
      <c r="AL936">
        <v>94.906680111075502</v>
      </c>
      <c r="AM936">
        <v>88.758008043874597</v>
      </c>
      <c r="AN936">
        <v>1.0000000422344699</v>
      </c>
    </row>
    <row r="937" spans="1:40" x14ac:dyDescent="0.25">
      <c r="A937" t="str">
        <f>"20190303154115264"</f>
        <v>20190303154115264</v>
      </c>
      <c r="B937" t="str">
        <f>"1551598875260190"</f>
        <v>1551598875260190</v>
      </c>
      <c r="C937" t="s">
        <v>40</v>
      </c>
      <c r="D937">
        <v>5.8808369999999996</v>
      </c>
      <c r="E937">
        <v>0.49992720000000002</v>
      </c>
      <c r="F937" t="s">
        <v>43</v>
      </c>
      <c r="G937">
        <v>-297.15679999999998</v>
      </c>
      <c r="H937">
        <v>-0.05</v>
      </c>
      <c r="I937">
        <v>365.56119999999999</v>
      </c>
      <c r="J937">
        <v>-323.99970000000002</v>
      </c>
      <c r="K937">
        <v>1.120978</v>
      </c>
      <c r="L937">
        <v>367.45460000000003</v>
      </c>
      <c r="M937">
        <v>0.99990889999999999</v>
      </c>
      <c r="N937">
        <v>-1.299195E-2</v>
      </c>
      <c r="O937">
        <v>-3.6929129999999999E-3</v>
      </c>
      <c r="P937">
        <v>0.99483540000000004</v>
      </c>
      <c r="Q937">
        <v>-9.8269400000000007E-2</v>
      </c>
      <c r="R937">
        <v>-2.5415739999999999E-2</v>
      </c>
      <c r="S937">
        <v>2.9974370000000001</v>
      </c>
      <c r="T937">
        <v>-0.12990180000000001</v>
      </c>
      <c r="U937">
        <v>-0.21011350000000001</v>
      </c>
      <c r="V937">
        <v>2.1738609999999998E-2</v>
      </c>
      <c r="W937">
        <v>-8.5335800000000003E-2</v>
      </c>
      <c r="X937">
        <v>0.99611510000000003</v>
      </c>
      <c r="Y937">
        <v>6.6162769999999996E-2</v>
      </c>
      <c r="Z937">
        <v>-1.749982E-3</v>
      </c>
      <c r="AA937">
        <v>0.99780729999999995</v>
      </c>
      <c r="AB937">
        <v>19</v>
      </c>
      <c r="AC937">
        <v>26.8429</v>
      </c>
      <c r="AD937">
        <v>-1.1709780000000001</v>
      </c>
      <c r="AE937">
        <v>-1.8934000000000399</v>
      </c>
      <c r="AF937">
        <v>1.79085910609183</v>
      </c>
      <c r="AG937">
        <v>-1.1709780000000001</v>
      </c>
      <c r="AH937">
        <v>26.798963756489801</v>
      </c>
      <c r="AI937">
        <v>92.496381071569601</v>
      </c>
      <c r="AJ937">
        <v>86.176854505659804</v>
      </c>
      <c r="AK937">
        <v>26.884248626956499</v>
      </c>
      <c r="AL937">
        <v>94.895334810231603</v>
      </c>
      <c r="AM937">
        <v>88.749810208024101</v>
      </c>
      <c r="AN937">
        <v>1.00000002918719</v>
      </c>
    </row>
    <row r="938" spans="1:40" x14ac:dyDescent="0.25">
      <c r="A938" t="str">
        <f>"20190303154115275"</f>
        <v>20190303154115275</v>
      </c>
      <c r="B938" t="str">
        <f>"1551598875269951"</f>
        <v>1551598875269951</v>
      </c>
      <c r="C938" t="s">
        <v>40</v>
      </c>
      <c r="D938">
        <v>5.8733279999999999</v>
      </c>
      <c r="E938">
        <v>0.49695539999999999</v>
      </c>
      <c r="F938" t="s">
        <v>43</v>
      </c>
      <c r="G938">
        <v>-307.66460000000001</v>
      </c>
      <c r="H938">
        <v>-0.05</v>
      </c>
      <c r="I938">
        <v>367.04219999999998</v>
      </c>
      <c r="J938">
        <v>-323.89190000000002</v>
      </c>
      <c r="K938">
        <v>1.1209659999999999</v>
      </c>
      <c r="L938">
        <v>367.45420000000001</v>
      </c>
      <c r="M938">
        <v>0.99990990000000002</v>
      </c>
      <c r="N938">
        <v>-1.2908950000000001E-2</v>
      </c>
      <c r="O938">
        <v>-3.6895140000000001E-3</v>
      </c>
      <c r="P938">
        <v>0.9948342</v>
      </c>
      <c r="Q938">
        <v>-9.8284430000000006E-2</v>
      </c>
      <c r="R938">
        <v>-2.5400079999999998E-2</v>
      </c>
      <c r="S938">
        <v>2.9924620000000002</v>
      </c>
      <c r="T938">
        <v>-0.21451319999999999</v>
      </c>
      <c r="U938">
        <v>-7.5531009999999996E-2</v>
      </c>
      <c r="V938">
        <v>2.172644E-2</v>
      </c>
      <c r="W938">
        <v>-8.5433540000000002E-2</v>
      </c>
      <c r="X938">
        <v>0.99610699999999996</v>
      </c>
      <c r="Y938">
        <v>2.1484880000000001E-2</v>
      </c>
      <c r="Z938">
        <v>-6.9134470000000001E-4</v>
      </c>
      <c r="AA938">
        <v>0.99976889999999996</v>
      </c>
      <c r="AB938">
        <v>19</v>
      </c>
      <c r="AC938">
        <v>16.2273</v>
      </c>
      <c r="AD938">
        <v>-1.170966</v>
      </c>
      <c r="AE938">
        <v>-0.41200000000003401</v>
      </c>
      <c r="AF938">
        <v>0.350298492822816</v>
      </c>
      <c r="AG938">
        <v>-1.170966</v>
      </c>
      <c r="AH938">
        <v>16.144696822233801</v>
      </c>
      <c r="AI938">
        <v>94.147394697456505</v>
      </c>
      <c r="AJ938">
        <v>88.757023639920206</v>
      </c>
      <c r="AK938">
        <v>16.190895771669901</v>
      </c>
      <c r="AL938">
        <v>94.900955364228096</v>
      </c>
      <c r="AM938">
        <v>88.750499726881202</v>
      </c>
      <c r="AN938">
        <v>1.0000000417004999</v>
      </c>
    </row>
    <row r="939" spans="1:40" x14ac:dyDescent="0.25">
      <c r="A939" t="str">
        <f>"20190303154115289"</f>
        <v>20190303154115289</v>
      </c>
      <c r="B939" t="str">
        <f>"1551598875280687"</f>
        <v>1551598875280687</v>
      </c>
      <c r="C939" t="s">
        <v>40</v>
      </c>
      <c r="D939">
        <v>5.8494820000000001</v>
      </c>
      <c r="E939">
        <v>0.49500080000000002</v>
      </c>
      <c r="F939" t="s">
        <v>43</v>
      </c>
      <c r="G939">
        <v>-308.40769999999998</v>
      </c>
      <c r="H939">
        <v>-0.05</v>
      </c>
      <c r="I939">
        <v>367.18599999999998</v>
      </c>
      <c r="J939">
        <v>-323.7774</v>
      </c>
      <c r="K939">
        <v>1.1209610000000001</v>
      </c>
      <c r="L939">
        <v>367.4538</v>
      </c>
      <c r="M939">
        <v>0.99991099999999999</v>
      </c>
      <c r="N939">
        <v>-1.2828910000000001E-2</v>
      </c>
      <c r="O939">
        <v>-3.6860180000000001E-3</v>
      </c>
      <c r="P939">
        <v>0.99483250000000001</v>
      </c>
      <c r="Q939">
        <v>-9.8249030000000001E-2</v>
      </c>
      <c r="R939">
        <v>-2.5611350000000001E-2</v>
      </c>
      <c r="S939">
        <v>2.9919129999999998</v>
      </c>
      <c r="T939">
        <v>-0.22625680000000001</v>
      </c>
      <c r="U939">
        <v>-5.181885E-2</v>
      </c>
      <c r="V939">
        <v>2.1941209999999999E-2</v>
      </c>
      <c r="W939">
        <v>-8.5477860000000003E-2</v>
      </c>
      <c r="X939">
        <v>0.9960985</v>
      </c>
      <c r="Y939">
        <v>1.3593010000000001E-2</v>
      </c>
      <c r="Z939">
        <v>-3.6945119999999998E-4</v>
      </c>
      <c r="AA939">
        <v>0.99990760000000001</v>
      </c>
      <c r="AB939">
        <v>19</v>
      </c>
      <c r="AC939">
        <v>15.3697</v>
      </c>
      <c r="AD939">
        <v>-1.1709609999999999</v>
      </c>
      <c r="AE939">
        <v>-0.26780000000002202</v>
      </c>
      <c r="AF939">
        <v>0.20992243711275499</v>
      </c>
      <c r="AG939">
        <v>-1.1709609999999999</v>
      </c>
      <c r="AH939">
        <v>15.2819080456148</v>
      </c>
      <c r="AI939">
        <v>94.381258476229107</v>
      </c>
      <c r="AJ939">
        <v>89.212996623375801</v>
      </c>
      <c r="AK939">
        <v>15.3281417858705</v>
      </c>
      <c r="AL939">
        <v>94.903503988141907</v>
      </c>
      <c r="AM939">
        <v>88.738141388310396</v>
      </c>
      <c r="AN939">
        <v>1.0000000514743399</v>
      </c>
    </row>
    <row r="940" spans="1:40" x14ac:dyDescent="0.25">
      <c r="A940" t="str">
        <f>"20190303154115303"</f>
        <v>20190303154115303</v>
      </c>
      <c r="B940" t="str">
        <f>"1551598875300207"</f>
        <v>1551598875300207</v>
      </c>
      <c r="C940" t="s">
        <v>40</v>
      </c>
      <c r="D940">
        <v>5.8542480000000001</v>
      </c>
      <c r="E940">
        <v>0.49340050000000002</v>
      </c>
      <c r="F940" t="s">
        <v>43</v>
      </c>
      <c r="G940">
        <v>-308.76949999999999</v>
      </c>
      <c r="H940">
        <v>-0.05</v>
      </c>
      <c r="I940">
        <v>367.2688</v>
      </c>
      <c r="J940">
        <v>-323.67149999999998</v>
      </c>
      <c r="K940">
        <v>1.1209579999999999</v>
      </c>
      <c r="L940">
        <v>367.45339999999999</v>
      </c>
      <c r="M940">
        <v>0.99991180000000002</v>
      </c>
      <c r="N940">
        <v>-1.275862E-2</v>
      </c>
      <c r="O940">
        <v>-3.6829440000000001E-3</v>
      </c>
      <c r="P940">
        <v>0.99480460000000004</v>
      </c>
      <c r="Q940">
        <v>-9.8441269999999997E-2</v>
      </c>
      <c r="R940">
        <v>-2.5952900000000001E-2</v>
      </c>
      <c r="S940">
        <v>2.9916079999999998</v>
      </c>
      <c r="T940">
        <v>-0.23341419999999999</v>
      </c>
      <c r="U940">
        <v>-3.6865229999999999E-2</v>
      </c>
      <c r="V940">
        <v>2.2285800000000001E-2</v>
      </c>
      <c r="W940">
        <v>-8.5740479999999994E-2</v>
      </c>
      <c r="X940">
        <v>0.99606819999999896</v>
      </c>
      <c r="Y940">
        <v>8.6162530000000008E-3</v>
      </c>
      <c r="Z940">
        <v>-1.507022E-4</v>
      </c>
      <c r="AA940">
        <v>0.99996289999999999</v>
      </c>
      <c r="AB940">
        <v>19</v>
      </c>
      <c r="AC940">
        <v>14.9019999999999</v>
      </c>
      <c r="AD940">
        <v>-1.1709579999999999</v>
      </c>
      <c r="AE940">
        <v>-0.184599999999988</v>
      </c>
      <c r="AF940">
        <v>0.128915197932195</v>
      </c>
      <c r="AG940">
        <v>-1.1709579999999999</v>
      </c>
      <c r="AH940">
        <v>14.811143214251301</v>
      </c>
      <c r="AI940">
        <v>94.520189013507405</v>
      </c>
      <c r="AJ940">
        <v>89.501313967906</v>
      </c>
      <c r="AK940">
        <v>14.8579179254391</v>
      </c>
      <c r="AL940">
        <v>94.918606836556606</v>
      </c>
      <c r="AM940">
        <v>88.718291293603599</v>
      </c>
      <c r="AN940">
        <v>0.99999997292175402</v>
      </c>
    </row>
    <row r="941" spans="1:40" x14ac:dyDescent="0.25">
      <c r="A941" t="str">
        <f>"20190303154115319"</f>
        <v>20190303154115319</v>
      </c>
      <c r="B941" t="str">
        <f>"1551598875309967"</f>
        <v>1551598875309967</v>
      </c>
      <c r="C941" t="s">
        <v>40</v>
      </c>
      <c r="D941">
        <v>5.8736449999999998</v>
      </c>
      <c r="E941">
        <v>0.49271480000000001</v>
      </c>
      <c r="F941" t="s">
        <v>43</v>
      </c>
      <c r="G941">
        <v>-309.31299999999999</v>
      </c>
      <c r="H941">
        <v>-0.05</v>
      </c>
      <c r="I941">
        <v>367.3329</v>
      </c>
      <c r="J941">
        <v>-323.52780000000001</v>
      </c>
      <c r="K941">
        <v>1.1209549999999999</v>
      </c>
      <c r="L941">
        <v>367.4529</v>
      </c>
      <c r="M941">
        <v>0.99991300000000005</v>
      </c>
      <c r="N941">
        <v>-1.2669140000000001E-2</v>
      </c>
      <c r="O941">
        <v>-3.6789129999999998E-3</v>
      </c>
      <c r="P941">
        <v>0.99476310000000001</v>
      </c>
      <c r="Q941">
        <v>-9.8707459999999997E-2</v>
      </c>
      <c r="R941">
        <v>-2.6520930000000002E-2</v>
      </c>
      <c r="S941">
        <v>2.990875</v>
      </c>
      <c r="T941">
        <v>-0.24391070000000001</v>
      </c>
      <c r="U941">
        <v>-2.5085449999999999E-2</v>
      </c>
      <c r="V941">
        <v>2.285827E-2</v>
      </c>
      <c r="W941">
        <v>-8.6096290000000006E-2</v>
      </c>
      <c r="X941">
        <v>0.99602449999999998</v>
      </c>
      <c r="Y941">
        <v>4.6985799999999999E-3</v>
      </c>
      <c r="Z941" s="1">
        <v>3.1882769999999997E-5</v>
      </c>
      <c r="AA941">
        <v>0.99998900000000002</v>
      </c>
      <c r="AB941">
        <v>19</v>
      </c>
      <c r="AC941">
        <v>14.2148</v>
      </c>
      <c r="AD941">
        <v>-1.170955</v>
      </c>
      <c r="AE941">
        <v>-0.12000000000000401</v>
      </c>
      <c r="AF941">
        <v>6.7243711607100395E-2</v>
      </c>
      <c r="AG941">
        <v>-1.170955</v>
      </c>
      <c r="AH941">
        <v>14.1193415690544</v>
      </c>
      <c r="AI941">
        <v>94.7407906476693</v>
      </c>
      <c r="AJ941">
        <v>89.727129503432906</v>
      </c>
      <c r="AK941">
        <v>14.1679731674084</v>
      </c>
      <c r="AL941">
        <v>94.939069085905501</v>
      </c>
      <c r="AM941">
        <v>88.685320950597799</v>
      </c>
      <c r="AN941">
        <v>0.999999938129701</v>
      </c>
    </row>
    <row r="942" spans="1:40" x14ac:dyDescent="0.25">
      <c r="A942" t="str">
        <f>"20190303154115332"</f>
        <v>20190303154115332</v>
      </c>
      <c r="B942" t="str">
        <f>"1551598875320702"</f>
        <v>1551598875320702</v>
      </c>
      <c r="C942" t="s">
        <v>40</v>
      </c>
      <c r="D942">
        <v>5.8809389999999997</v>
      </c>
      <c r="E942">
        <v>0.49227589999999999</v>
      </c>
      <c r="F942" t="s">
        <v>43</v>
      </c>
      <c r="G942">
        <v>-309.40649999999999</v>
      </c>
      <c r="H942">
        <v>-0.05</v>
      </c>
      <c r="I942">
        <v>367.35059999999999</v>
      </c>
      <c r="J942">
        <v>-323.42160000000001</v>
      </c>
      <c r="K942">
        <v>1.120951</v>
      </c>
      <c r="L942">
        <v>367.45249999999999</v>
      </c>
      <c r="M942">
        <v>0.99991379999999996</v>
      </c>
      <c r="N942">
        <v>-1.260648E-2</v>
      </c>
      <c r="O942">
        <v>-3.675537E-3</v>
      </c>
      <c r="P942">
        <v>0.99472989999999994</v>
      </c>
      <c r="Q942">
        <v>-9.8993029999999996E-2</v>
      </c>
      <c r="R942">
        <v>-2.6699250000000001E-2</v>
      </c>
      <c r="S942">
        <v>2.9906009999999998</v>
      </c>
      <c r="T942">
        <v>-0.24798410000000001</v>
      </c>
      <c r="U942">
        <v>-2.1667479999999999E-2</v>
      </c>
      <c r="V942">
        <v>2.3040080000000001E-2</v>
      </c>
      <c r="W942">
        <v>-8.6444649999999998E-2</v>
      </c>
      <c r="X942">
        <v>0.99599020000000005</v>
      </c>
      <c r="Y942">
        <v>3.5641929999999998E-3</v>
      </c>
      <c r="Z942" s="1">
        <v>8.7952469999999898E-5</v>
      </c>
      <c r="AA942">
        <v>0.99999360000000004</v>
      </c>
      <c r="AB942">
        <v>19</v>
      </c>
      <c r="AC942">
        <v>14.0151</v>
      </c>
      <c r="AD942">
        <v>-1.1709510000000001</v>
      </c>
      <c r="AE942">
        <v>-0.1019</v>
      </c>
      <c r="AF942">
        <v>5.0032964756961999E-2</v>
      </c>
      <c r="AG942">
        <v>-1.1709510000000001</v>
      </c>
      <c r="AH942">
        <v>13.9182291529577</v>
      </c>
      <c r="AI942">
        <v>94.808981042430901</v>
      </c>
      <c r="AJ942">
        <v>89.794035193878699</v>
      </c>
      <c r="AK942">
        <v>13.9674884032958</v>
      </c>
      <c r="AL942">
        <v>94.959103026830505</v>
      </c>
      <c r="AM942">
        <v>88.674822357596199</v>
      </c>
      <c r="AN942">
        <v>1.0000000006480301</v>
      </c>
    </row>
    <row r="943" spans="1:40" x14ac:dyDescent="0.25">
      <c r="A943" t="str">
        <f>"20190303154115352"</f>
        <v>20190303154115352</v>
      </c>
      <c r="B943" t="str">
        <f>"1551598875349983"</f>
        <v>1551598875349983</v>
      </c>
      <c r="C943" t="s">
        <v>40</v>
      </c>
      <c r="D943">
        <v>5.9233019999999996</v>
      </c>
      <c r="E943">
        <v>0.49116979999999999</v>
      </c>
      <c r="F943" t="s">
        <v>43</v>
      </c>
      <c r="G943">
        <v>-309.46030000000002</v>
      </c>
      <c r="H943">
        <v>-0.05</v>
      </c>
      <c r="I943">
        <v>367.36700000000002</v>
      </c>
      <c r="J943">
        <v>-323.24740000000003</v>
      </c>
      <c r="K943">
        <v>1.12094</v>
      </c>
      <c r="L943">
        <v>367.45179999999999</v>
      </c>
      <c r="M943">
        <v>0.99991509999999995</v>
      </c>
      <c r="N943">
        <v>-1.2509030000000001E-2</v>
      </c>
      <c r="O943">
        <v>-3.670277E-3</v>
      </c>
      <c r="P943">
        <v>0.99473400000000001</v>
      </c>
      <c r="Q943">
        <v>-9.8951419999999998E-2</v>
      </c>
      <c r="R943">
        <v>-2.6703299999999999E-2</v>
      </c>
      <c r="S943">
        <v>2.9904480000000002</v>
      </c>
      <c r="T943">
        <v>-0.2508126</v>
      </c>
      <c r="U943">
        <v>-1.8310549999999998E-2</v>
      </c>
      <c r="V943">
        <v>2.3049150000000001E-2</v>
      </c>
      <c r="W943">
        <v>-8.6500060000000004E-2</v>
      </c>
      <c r="X943">
        <v>0.99598520000000001</v>
      </c>
      <c r="Y943">
        <v>2.451791E-3</v>
      </c>
      <c r="Z943">
        <v>1.4343959999999999E-4</v>
      </c>
      <c r="AA943">
        <v>0.99999700000000002</v>
      </c>
      <c r="AB943">
        <v>19</v>
      </c>
      <c r="AC943">
        <v>13.787100000000001</v>
      </c>
      <c r="AD943">
        <v>-1.1709399999999901</v>
      </c>
      <c r="AE943">
        <v>-8.4800000000029699E-2</v>
      </c>
      <c r="AF943">
        <v>3.3948134256088301E-2</v>
      </c>
      <c r="AG943">
        <v>-1.1709399999999901</v>
      </c>
      <c r="AH943">
        <v>13.6885846552355</v>
      </c>
      <c r="AI943">
        <v>94.889241080117301</v>
      </c>
      <c r="AJ943">
        <v>89.857904898392704</v>
      </c>
      <c r="AK943">
        <v>13.738617209274301</v>
      </c>
      <c r="AL943">
        <v>94.962289620506695</v>
      </c>
      <c r="AM943">
        <v>88.674294219034806</v>
      </c>
      <c r="AN943">
        <v>1.0000000211573801</v>
      </c>
    </row>
    <row r="944" spans="1:40" x14ac:dyDescent="0.25">
      <c r="A944" t="str">
        <f>"20190303154115365"</f>
        <v>20190303154115365</v>
      </c>
      <c r="B944" t="str">
        <f>"1551598875360716"</f>
        <v>1551598875360716</v>
      </c>
      <c r="C944" t="s">
        <v>40</v>
      </c>
      <c r="D944">
        <v>5.9607729999999997</v>
      </c>
      <c r="E944">
        <v>0.49078909999999998</v>
      </c>
      <c r="F944" t="s">
        <v>43</v>
      </c>
      <c r="G944">
        <v>-309.7679</v>
      </c>
      <c r="H944">
        <v>-0.05</v>
      </c>
      <c r="I944">
        <v>367.40809999999999</v>
      </c>
      <c r="J944">
        <v>-323.14409999999998</v>
      </c>
      <c r="K944">
        <v>1.120938</v>
      </c>
      <c r="L944">
        <v>367.45150000000001</v>
      </c>
      <c r="M944">
        <v>0.99991580000000002</v>
      </c>
      <c r="N944">
        <v>-1.2455010000000001E-2</v>
      </c>
      <c r="O944">
        <v>-3.667081E-3</v>
      </c>
      <c r="P944">
        <v>0.99475239999999998</v>
      </c>
      <c r="Q944">
        <v>-9.8885639999999997E-2</v>
      </c>
      <c r="R944">
        <v>-2.626417E-2</v>
      </c>
      <c r="S944">
        <v>2.9897770000000001</v>
      </c>
      <c r="T944">
        <v>-0.25971470000000002</v>
      </c>
      <c r="U944">
        <v>-9.7045900000000008E-3</v>
      </c>
      <c r="V944">
        <v>2.2613279999999999E-2</v>
      </c>
      <c r="W944">
        <v>-8.6487880000000003E-2</v>
      </c>
      <c r="X944">
        <v>0.9959962</v>
      </c>
      <c r="Y944">
        <v>-4.0956219999999999E-4</v>
      </c>
      <c r="Z944">
        <v>2.9265969999999999E-4</v>
      </c>
      <c r="AA944">
        <v>0.99999990000000005</v>
      </c>
      <c r="AB944">
        <v>19</v>
      </c>
      <c r="AC944">
        <v>13.3761999999999</v>
      </c>
      <c r="AD944">
        <v>-1.17093799999999</v>
      </c>
      <c r="AE944">
        <v>-4.3400000000019603E-2</v>
      </c>
      <c r="AF944">
        <v>-5.61269138695675E-3</v>
      </c>
      <c r="AG944">
        <v>-1.17093799999999</v>
      </c>
      <c r="AH944">
        <v>13.274546619224299</v>
      </c>
      <c r="AI944">
        <v>95.0409707780655</v>
      </c>
      <c r="AJ944">
        <v>90.024225573817503</v>
      </c>
      <c r="AK944">
        <v>13.326091521826999</v>
      </c>
      <c r="AL944">
        <v>94.961589376690199</v>
      </c>
      <c r="AM944">
        <v>88.699369588597193</v>
      </c>
      <c r="AN944">
        <v>0.99999997211684599</v>
      </c>
    </row>
    <row r="945" spans="1:40" x14ac:dyDescent="0.25">
      <c r="A945" t="str">
        <f>"20190303154115378"</f>
        <v>20190303154115378</v>
      </c>
      <c r="B945" t="str">
        <f>"1551598875370477"</f>
        <v>1551598875370477</v>
      </c>
      <c r="C945" t="s">
        <v>40</v>
      </c>
      <c r="D945">
        <v>5.9069440000000002</v>
      </c>
      <c r="E945">
        <v>0.49085069999999997</v>
      </c>
      <c r="F945" t="s">
        <v>43</v>
      </c>
      <c r="G945">
        <v>-309.86529999999999</v>
      </c>
      <c r="H945">
        <v>-0.05</v>
      </c>
      <c r="I945">
        <v>367.42750000000001</v>
      </c>
      <c r="J945">
        <v>-323.03570000000002</v>
      </c>
      <c r="K945">
        <v>1.1209359999999999</v>
      </c>
      <c r="L945">
        <v>367.45100000000002</v>
      </c>
      <c r="M945">
        <v>0.99991640000000004</v>
      </c>
      <c r="N945">
        <v>-1.23999E-2</v>
      </c>
      <c r="O945">
        <v>-3.6635209999999999E-3</v>
      </c>
      <c r="P945">
        <v>0.99478350000000004</v>
      </c>
      <c r="Q945">
        <v>-9.8596569999999994E-2</v>
      </c>
      <c r="R945">
        <v>-2.616638E-2</v>
      </c>
      <c r="S945">
        <v>2.9895019999999999</v>
      </c>
      <c r="T945">
        <v>-0.26361630000000003</v>
      </c>
      <c r="U945">
        <v>-5.4016109999999997E-3</v>
      </c>
      <c r="V945">
        <v>2.2519000000000001E-2</v>
      </c>
      <c r="W945">
        <v>-8.6253369999999996E-2</v>
      </c>
      <c r="X945">
        <v>0.99601870000000003</v>
      </c>
      <c r="Y945">
        <v>-1.8383130000000001E-3</v>
      </c>
      <c r="Z945">
        <v>3.6938949999999998E-4</v>
      </c>
      <c r="AA945">
        <v>0.99999830000000001</v>
      </c>
      <c r="AB945">
        <v>19</v>
      </c>
      <c r="AC945">
        <v>13.170400000000001</v>
      </c>
      <c r="AD945">
        <v>-1.170936</v>
      </c>
      <c r="AE945">
        <v>-2.3499999999955799E-2</v>
      </c>
      <c r="AF945">
        <v>-2.4559775438558699E-2</v>
      </c>
      <c r="AG945">
        <v>-1.170936</v>
      </c>
      <c r="AH945">
        <v>13.067110488040701</v>
      </c>
      <c r="AI945">
        <v>95.120555178407201</v>
      </c>
      <c r="AJ945">
        <v>90.107687910248899</v>
      </c>
      <c r="AK945">
        <v>13.119492017808</v>
      </c>
      <c r="AL945">
        <v>94.948102405566402</v>
      </c>
      <c r="AM945">
        <v>88.704819615612607</v>
      </c>
      <c r="AN945">
        <v>0.99999999997352296</v>
      </c>
    </row>
    <row r="946" spans="1:40" x14ac:dyDescent="0.25">
      <c r="A946" t="str">
        <f>"20190303154115390"</f>
        <v>20190303154115390</v>
      </c>
      <c r="B946" t="str">
        <f>"1551598875380236"</f>
        <v>1551598875380236</v>
      </c>
      <c r="C946" t="s">
        <v>40</v>
      </c>
      <c r="D946">
        <v>5.9061059999999896</v>
      </c>
      <c r="E946">
        <v>0.49051739999999999</v>
      </c>
      <c r="F946" t="s">
        <v>43</v>
      </c>
      <c r="G946">
        <v>-309.79309999999998</v>
      </c>
      <c r="H946">
        <v>-0.05</v>
      </c>
      <c r="I946">
        <v>367.42579999999998</v>
      </c>
      <c r="J946">
        <v>-322.92509999999999</v>
      </c>
      <c r="K946">
        <v>1.1209340000000001</v>
      </c>
      <c r="L946">
        <v>367.45069999999998</v>
      </c>
      <c r="M946">
        <v>0.9999171</v>
      </c>
      <c r="N946">
        <v>-1.2346029999999999E-2</v>
      </c>
      <c r="O946">
        <v>-3.6597330000000001E-3</v>
      </c>
      <c r="P946">
        <v>0.99480590000000002</v>
      </c>
      <c r="Q946">
        <v>-9.8464670000000004E-2</v>
      </c>
      <c r="R946">
        <v>-2.580294E-2</v>
      </c>
      <c r="S946">
        <v>2.9894099999999999</v>
      </c>
      <c r="T946">
        <v>-0.26432850000000002</v>
      </c>
      <c r="U946">
        <v>-5.7067869999999996E-3</v>
      </c>
      <c r="V946">
        <v>2.2159149999999999E-2</v>
      </c>
      <c r="W946">
        <v>-8.6174860000000006E-2</v>
      </c>
      <c r="X946">
        <v>0.99603350000000002</v>
      </c>
      <c r="Y946">
        <v>-1.7327429999999999E-3</v>
      </c>
      <c r="Z946">
        <v>3.6503620000000002E-4</v>
      </c>
      <c r="AA946">
        <v>0.99999850000000001</v>
      </c>
      <c r="AB946">
        <v>19</v>
      </c>
      <c r="AC946">
        <v>13.132</v>
      </c>
      <c r="AD946">
        <v>-1.1709339999999999</v>
      </c>
      <c r="AE946">
        <v>-2.4900000000002299E-2</v>
      </c>
      <c r="AF946">
        <v>-2.29807317941252E-2</v>
      </c>
      <c r="AG946">
        <v>-1.1709339999999999</v>
      </c>
      <c r="AH946">
        <v>13.028419043234701</v>
      </c>
      <c r="AI946">
        <v>95.135673213413696</v>
      </c>
      <c r="AJ946">
        <v>90.101063496039103</v>
      </c>
      <c r="AK946">
        <v>13.080952461977301</v>
      </c>
      <c r="AL946">
        <v>94.943587630603005</v>
      </c>
      <c r="AM946">
        <v>88.725528439408095</v>
      </c>
      <c r="AN946">
        <v>0.99999993377349305</v>
      </c>
    </row>
    <row r="947" spans="1:40" x14ac:dyDescent="0.25">
      <c r="A947" t="str">
        <f>"20190303154115403"</f>
        <v>20190303154115403</v>
      </c>
      <c r="B947" t="str">
        <f>"1551598875400733"</f>
        <v>1551598875400733</v>
      </c>
      <c r="C947" t="s">
        <v>40</v>
      </c>
      <c r="D947">
        <v>5.9190239999999896</v>
      </c>
      <c r="E947">
        <v>0.49027720000000002</v>
      </c>
      <c r="F947" t="s">
        <v>43</v>
      </c>
      <c r="G947">
        <v>-309.86259999999999</v>
      </c>
      <c r="H947">
        <v>-0.05</v>
      </c>
      <c r="I947">
        <v>367.44240000000002</v>
      </c>
      <c r="J947">
        <v>-322.82499999999999</v>
      </c>
      <c r="K947">
        <v>1.120932</v>
      </c>
      <c r="L947">
        <v>367.45030000000003</v>
      </c>
      <c r="M947">
        <v>0.99991779999999997</v>
      </c>
      <c r="N947">
        <v>-1.229746E-2</v>
      </c>
      <c r="O947">
        <v>-3.6564560000000002E-3</v>
      </c>
      <c r="P947">
        <v>0.99486169999999996</v>
      </c>
      <c r="Q947">
        <v>-9.8033720000000005E-2</v>
      </c>
      <c r="R947">
        <v>-2.5294549999999999E-2</v>
      </c>
      <c r="S947">
        <v>2.9891359999999998</v>
      </c>
      <c r="T947">
        <v>-0.26794899999999999</v>
      </c>
      <c r="U947">
        <v>-1.8920899999999999E-3</v>
      </c>
      <c r="V947">
        <v>2.1653680000000002E-2</v>
      </c>
      <c r="W947">
        <v>-8.5791629999999994E-2</v>
      </c>
      <c r="X947">
        <v>0.99607780000000001</v>
      </c>
      <c r="Y947">
        <v>-2.9991499999999999E-3</v>
      </c>
      <c r="Z947">
        <v>4.3486039999999999E-4</v>
      </c>
      <c r="AA947">
        <v>0.99999539999999998</v>
      </c>
      <c r="AB947">
        <v>19</v>
      </c>
      <c r="AC947">
        <v>12.962400000000001</v>
      </c>
      <c r="AD947">
        <v>-1.1709319999999901</v>
      </c>
      <c r="AE947">
        <v>-7.9000000000064505E-3</v>
      </c>
      <c r="AF947">
        <v>-3.91803640840881E-2</v>
      </c>
      <c r="AG947">
        <v>-1.1709319999999901</v>
      </c>
      <c r="AH947">
        <v>12.8574251049832</v>
      </c>
      <c r="AI947">
        <v>95.203576414650698</v>
      </c>
      <c r="AJ947">
        <v>90.174596587955193</v>
      </c>
      <c r="AK947">
        <v>12.910693133205699</v>
      </c>
      <c r="AL947">
        <v>94.921548049840197</v>
      </c>
      <c r="AM947">
        <v>88.7546463821609</v>
      </c>
      <c r="AN947">
        <v>1.0000000346442099</v>
      </c>
    </row>
    <row r="948" spans="1:40" x14ac:dyDescent="0.25">
      <c r="A948" t="str">
        <f>"20190303154115418"</f>
        <v>20190303154115418</v>
      </c>
      <c r="B948" t="str">
        <f>"1551598875410493"</f>
        <v>1551598875410493</v>
      </c>
      <c r="C948" t="s">
        <v>40</v>
      </c>
      <c r="D948">
        <v>5.9418369999999996</v>
      </c>
      <c r="E948">
        <v>0.490006</v>
      </c>
      <c r="F948" t="s">
        <v>43</v>
      </c>
      <c r="G948">
        <v>-309.93</v>
      </c>
      <c r="H948">
        <v>-0.05</v>
      </c>
      <c r="I948">
        <v>367.45850000000002</v>
      </c>
      <c r="J948">
        <v>-322.70830000000001</v>
      </c>
      <c r="K948">
        <v>1.1209290000000001</v>
      </c>
      <c r="L948">
        <v>367.44990000000001</v>
      </c>
      <c r="M948">
        <v>0.99991859999999999</v>
      </c>
      <c r="N948">
        <v>-1.2240630000000001E-2</v>
      </c>
      <c r="O948">
        <v>-3.6528900000000002E-3</v>
      </c>
      <c r="P948">
        <v>0.99490630000000002</v>
      </c>
      <c r="Q948">
        <v>-9.7736580000000003E-2</v>
      </c>
      <c r="R948">
        <v>-2.468482E-2</v>
      </c>
      <c r="S948">
        <v>2.9887700000000001</v>
      </c>
      <c r="T948">
        <v>-0.271395099999999</v>
      </c>
      <c r="U948">
        <v>1.8920899999999999E-3</v>
      </c>
      <c r="V948">
        <v>2.1047340000000001E-2</v>
      </c>
      <c r="W948">
        <v>-8.5550600000000004E-2</v>
      </c>
      <c r="X948">
        <v>0.99611150000000004</v>
      </c>
      <c r="Y948">
        <v>-4.2550970000000002E-3</v>
      </c>
      <c r="Z948">
        <v>5.0528249999999997E-4</v>
      </c>
      <c r="AA948">
        <v>0.99999079999999996</v>
      </c>
      <c r="AB948">
        <v>19</v>
      </c>
      <c r="AC948">
        <v>12.7783</v>
      </c>
      <c r="AD948">
        <v>-1.1709290000000001</v>
      </c>
      <c r="AE948">
        <v>8.6000000000012698E-3</v>
      </c>
      <c r="AF948">
        <v>-5.4820834678589801E-2</v>
      </c>
      <c r="AG948">
        <v>-1.1709290000000001</v>
      </c>
      <c r="AH948">
        <v>12.671780672659199</v>
      </c>
      <c r="AI948">
        <v>95.279344095551394</v>
      </c>
      <c r="AJ948">
        <v>90.247872255843504</v>
      </c>
      <c r="AK948">
        <v>12.7258832881232</v>
      </c>
      <c r="AL948">
        <v>94.907687219135596</v>
      </c>
      <c r="AM948">
        <v>88.789548824476398</v>
      </c>
      <c r="AN948">
        <v>1.0000000080568401</v>
      </c>
    </row>
    <row r="949" spans="1:40" x14ac:dyDescent="0.25">
      <c r="A949" t="str">
        <f>"20190303154115431"</f>
        <v>20190303154115431</v>
      </c>
      <c r="B949" t="str">
        <f>"1551598875420253"</f>
        <v>1551598875420253</v>
      </c>
      <c r="C949" t="s">
        <v>40</v>
      </c>
      <c r="D949">
        <v>5.9425140000000001</v>
      </c>
      <c r="E949">
        <v>0.48964839999999998</v>
      </c>
      <c r="F949" t="s">
        <v>42</v>
      </c>
      <c r="G949">
        <v>-321.82350000000002</v>
      </c>
      <c r="H949">
        <v>1.039871</v>
      </c>
      <c r="I949">
        <v>367.4513</v>
      </c>
      <c r="J949">
        <v>-322.58280000000002</v>
      </c>
      <c r="K949">
        <v>1.1209260000000001</v>
      </c>
      <c r="L949">
        <v>367.44940000000003</v>
      </c>
      <c r="M949">
        <v>0.99991929999999996</v>
      </c>
      <c r="N949">
        <v>-1.217702E-2</v>
      </c>
      <c r="O949">
        <v>-3.648807E-3</v>
      </c>
      <c r="P949">
        <v>0.9949287</v>
      </c>
      <c r="Q949">
        <v>-9.7630229999999998E-2</v>
      </c>
      <c r="R949">
        <v>-2.4196349999999998E-2</v>
      </c>
      <c r="S949">
        <v>2.988556</v>
      </c>
      <c r="T949">
        <v>-0.27393400000000001</v>
      </c>
      <c r="U949">
        <v>5.493164E-3</v>
      </c>
      <c r="V949">
        <v>2.0562839999999999E-2</v>
      </c>
      <c r="W949">
        <v>-8.5507369999999999E-2</v>
      </c>
      <c r="X949">
        <v>0.99612529999999999</v>
      </c>
      <c r="Y949">
        <v>-5.4497269999999997E-3</v>
      </c>
      <c r="Z949">
        <v>5.7190210000000003E-4</v>
      </c>
      <c r="AA949">
        <v>0.99998500000000001</v>
      </c>
      <c r="AB949">
        <v>19</v>
      </c>
      <c r="AC949">
        <v>0.75929999999999598</v>
      </c>
      <c r="AD949">
        <v>-8.1055000000000099E-2</v>
      </c>
      <c r="AE949">
        <v>1.8999999999778001E-3</v>
      </c>
      <c r="AF949">
        <v>-4.6181064243568598E-3</v>
      </c>
      <c r="AG949">
        <v>-8.1055000000000099E-2</v>
      </c>
      <c r="AH949">
        <v>0.75073309709464198</v>
      </c>
      <c r="AI949">
        <v>96.162113026519293</v>
      </c>
      <c r="AJ949">
        <v>90.3524483881843</v>
      </c>
      <c r="AK949">
        <v>0.75511020586750099</v>
      </c>
      <c r="AL949">
        <v>94.905201365773095</v>
      </c>
      <c r="AM949">
        <v>88.817421221276504</v>
      </c>
      <c r="AN949">
        <v>0.99999997700663601</v>
      </c>
    </row>
    <row r="950" spans="1:40" x14ac:dyDescent="0.25">
      <c r="A950" t="str">
        <f>"20190303154115455"</f>
        <v>20190303154115455</v>
      </c>
      <c r="B950" t="str">
        <f>"1551598875450508"</f>
        <v>1551598875450508</v>
      </c>
      <c r="C950" t="s">
        <v>40</v>
      </c>
      <c r="D950">
        <v>5.9519310000000001</v>
      </c>
      <c r="E950">
        <v>0.48969079999999898</v>
      </c>
      <c r="F950" t="s">
        <v>43</v>
      </c>
      <c r="G950">
        <v>-309.93169999999998</v>
      </c>
      <c r="H950">
        <v>-0.05</v>
      </c>
      <c r="I950">
        <v>367.49099999999999</v>
      </c>
      <c r="J950">
        <v>-322.39440000000002</v>
      </c>
      <c r="K950">
        <v>1.120914</v>
      </c>
      <c r="L950">
        <v>367.44869999999997</v>
      </c>
      <c r="M950">
        <v>0.99992040000000004</v>
      </c>
      <c r="N950">
        <v>-1.208073E-2</v>
      </c>
      <c r="O950">
        <v>-3.642859E-3</v>
      </c>
      <c r="P950">
        <v>0.99492760000000002</v>
      </c>
      <c r="Q950">
        <v>-9.7735509999999998E-2</v>
      </c>
      <c r="R950">
        <v>-2.381103E-2</v>
      </c>
      <c r="S950">
        <v>2.9883730000000002</v>
      </c>
      <c r="T950">
        <v>-0.27659050000000002</v>
      </c>
      <c r="U950">
        <v>9.8266599999999992E-3</v>
      </c>
      <c r="V950">
        <v>2.0183699999999999E-2</v>
      </c>
      <c r="W950">
        <v>-8.5708560000000003E-2</v>
      </c>
      <c r="X950">
        <v>0.9961158</v>
      </c>
      <c r="Y950">
        <v>-6.8863020000000004E-3</v>
      </c>
      <c r="Z950">
        <v>6.5221859999999997E-4</v>
      </c>
      <c r="AA950">
        <v>0.99997610000000003</v>
      </c>
      <c r="AB950">
        <v>19</v>
      </c>
      <c r="AC950">
        <v>12.4627</v>
      </c>
      <c r="AD950">
        <v>-1.170914</v>
      </c>
      <c r="AE950">
        <v>4.2300000000011502E-2</v>
      </c>
      <c r="AF950">
        <v>-8.6935497913743595E-2</v>
      </c>
      <c r="AG950">
        <v>-1.170914</v>
      </c>
      <c r="AH950">
        <v>12.353417668380599</v>
      </c>
      <c r="AI950">
        <v>95.414448988720693</v>
      </c>
      <c r="AJ950">
        <v>90.403204605292203</v>
      </c>
      <c r="AK950">
        <v>12.409090436677999</v>
      </c>
      <c r="AL950">
        <v>94.916771000443404</v>
      </c>
      <c r="AM950">
        <v>88.839208655027406</v>
      </c>
      <c r="AN950">
        <v>1.0000000130063</v>
      </c>
    </row>
    <row r="951" spans="1:40" x14ac:dyDescent="0.25">
      <c r="A951" t="str">
        <f>"20190303154115476"</f>
        <v>20190303154115476</v>
      </c>
      <c r="B951" t="str">
        <f>"1551598875470028"</f>
        <v>1551598875470028</v>
      </c>
      <c r="C951" t="s">
        <v>40</v>
      </c>
      <c r="D951">
        <v>5.9291929999999997</v>
      </c>
      <c r="E951">
        <v>0.48976829999999999</v>
      </c>
      <c r="F951" t="s">
        <v>43</v>
      </c>
      <c r="G951">
        <v>-309.84480000000002</v>
      </c>
      <c r="H951">
        <v>-0.05</v>
      </c>
      <c r="I951">
        <v>367.49380000000002</v>
      </c>
      <c r="J951">
        <v>-322.21690000000001</v>
      </c>
      <c r="K951">
        <v>1.1209</v>
      </c>
      <c r="L951">
        <v>367.44810000000001</v>
      </c>
      <c r="M951">
        <v>0.99992159999999997</v>
      </c>
      <c r="N951">
        <v>-1.199366E-2</v>
      </c>
      <c r="O951">
        <v>-3.6373270000000001E-3</v>
      </c>
      <c r="P951">
        <v>0.99489050000000001</v>
      </c>
      <c r="Q951">
        <v>-9.8142480000000004E-2</v>
      </c>
      <c r="R951">
        <v>-2.3694670000000001E-2</v>
      </c>
      <c r="S951">
        <v>2.9881899999999999</v>
      </c>
      <c r="T951">
        <v>-0.278806099999999</v>
      </c>
      <c r="U951">
        <v>1.074219E-2</v>
      </c>
      <c r="V951">
        <v>2.007273E-2</v>
      </c>
      <c r="W951">
        <v>-8.6202669999999995E-2</v>
      </c>
      <c r="X951">
        <v>0.99607540000000006</v>
      </c>
      <c r="Y951">
        <v>-7.1851650000000003E-3</v>
      </c>
      <c r="Z951">
        <v>6.7275739999999998E-4</v>
      </c>
      <c r="AA951">
        <v>0.99997400000000003</v>
      </c>
      <c r="AB951">
        <v>19</v>
      </c>
      <c r="AC951">
        <v>12.3720999999999</v>
      </c>
      <c r="AD951">
        <v>-1.1709000000000001</v>
      </c>
      <c r="AE951">
        <v>4.5700000000010697E-2</v>
      </c>
      <c r="AF951">
        <v>-8.9899104540184502E-2</v>
      </c>
      <c r="AG951">
        <v>-1.1709000000000001</v>
      </c>
      <c r="AH951">
        <v>12.2620249287734</v>
      </c>
      <c r="AI951">
        <v>95.454485807733903</v>
      </c>
      <c r="AJ951">
        <v>90.420056802812695</v>
      </c>
      <c r="AK951">
        <v>12.3181307028646</v>
      </c>
      <c r="AL951">
        <v>94.945186606613106</v>
      </c>
      <c r="AM951">
        <v>88.845542145715797</v>
      </c>
      <c r="AN951">
        <v>1.0000000086449701</v>
      </c>
    </row>
    <row r="952" spans="1:40" x14ac:dyDescent="0.25">
      <c r="A952" t="str">
        <f>"20190303154115488"</f>
        <v>20190303154115488</v>
      </c>
      <c r="B952" t="str">
        <f>"1551598875479789"</f>
        <v>1551598875479789</v>
      </c>
      <c r="C952" t="s">
        <v>40</v>
      </c>
      <c r="D952">
        <v>5.9833530000000001</v>
      </c>
      <c r="E952">
        <v>0.4895272</v>
      </c>
      <c r="F952" t="s">
        <v>42</v>
      </c>
      <c r="G952">
        <v>-321.322</v>
      </c>
      <c r="H952">
        <v>1.036864</v>
      </c>
      <c r="I952">
        <v>367.45100000000002</v>
      </c>
      <c r="J952">
        <v>-322.10829999999999</v>
      </c>
      <c r="K952">
        <v>1.1208940000000001</v>
      </c>
      <c r="L952">
        <v>367.4477</v>
      </c>
      <c r="M952">
        <v>0.99992230000000004</v>
      </c>
      <c r="N952">
        <v>-1.1943230000000001E-2</v>
      </c>
      <c r="O952">
        <v>-3.6328459999999999E-3</v>
      </c>
      <c r="P952">
        <v>0.99487049999999999</v>
      </c>
      <c r="Q952">
        <v>-9.8356410000000005E-2</v>
      </c>
      <c r="R952">
        <v>-2.3645639999999999E-2</v>
      </c>
      <c r="S952">
        <v>2.987946</v>
      </c>
      <c r="T952">
        <v>-0.28080709999999998</v>
      </c>
      <c r="U952">
        <v>1.0528559999999999E-2</v>
      </c>
      <c r="V952">
        <v>2.002843E-2</v>
      </c>
      <c r="W952">
        <v>-8.6467059999999998E-2</v>
      </c>
      <c r="X952">
        <v>0.99605330000000003</v>
      </c>
      <c r="Y952">
        <v>-7.1091949999999996E-3</v>
      </c>
      <c r="Z952">
        <v>6.7324309999999897E-4</v>
      </c>
      <c r="AA952">
        <v>0.99997449999999999</v>
      </c>
      <c r="AB952">
        <v>19</v>
      </c>
      <c r="AC952">
        <v>0.78629999999998201</v>
      </c>
      <c r="AD952">
        <v>-8.4029999999999994E-2</v>
      </c>
      <c r="AE952">
        <v>3.2999999999674301E-3</v>
      </c>
      <c r="AF952">
        <v>-6.08716971773118E-3</v>
      </c>
      <c r="AG952">
        <v>-8.4029999999999994E-2</v>
      </c>
      <c r="AH952">
        <v>0.77740448554835795</v>
      </c>
      <c r="AI952">
        <v>96.168987345252603</v>
      </c>
      <c r="AJ952">
        <v>90.4486236096959</v>
      </c>
      <c r="AK952">
        <v>0.78195641098841295</v>
      </c>
      <c r="AL952">
        <v>94.960392185144002</v>
      </c>
      <c r="AM952">
        <v>88.848063766104602</v>
      </c>
      <c r="AN952">
        <v>0.99999993345709703</v>
      </c>
    </row>
    <row r="953" spans="1:40" x14ac:dyDescent="0.25">
      <c r="A953" t="str">
        <f>"20190303154115501"</f>
        <v>20190303154115501</v>
      </c>
      <c r="B953" t="str">
        <f>"1551598875490524"</f>
        <v>1551598875490524</v>
      </c>
      <c r="C953" t="s">
        <v>40</v>
      </c>
      <c r="D953">
        <v>5.9819649999999998</v>
      </c>
      <c r="E953">
        <v>0.48927720000000002</v>
      </c>
      <c r="F953" t="s">
        <v>43</v>
      </c>
      <c r="G953">
        <v>-309.7867</v>
      </c>
      <c r="H953">
        <v>-0.05</v>
      </c>
      <c r="I953">
        <v>367.49970000000002</v>
      </c>
      <c r="J953">
        <v>-322.00959999999998</v>
      </c>
      <c r="K953">
        <v>1.1208880000000001</v>
      </c>
      <c r="L953">
        <v>367.44729999999998</v>
      </c>
      <c r="M953">
        <v>0.99992259999999999</v>
      </c>
      <c r="N953">
        <v>-1.189814E-2</v>
      </c>
      <c r="O953">
        <v>-3.6281579999999998E-3</v>
      </c>
      <c r="P953">
        <v>0.99487049999999999</v>
      </c>
      <c r="Q953">
        <v>-9.8352179999999997E-2</v>
      </c>
      <c r="R953">
        <v>-2.3649690000000001E-2</v>
      </c>
      <c r="S953">
        <v>2.9877009999999999</v>
      </c>
      <c r="T953">
        <v>-0.28391460000000002</v>
      </c>
      <c r="U953">
        <v>1.260376E-2</v>
      </c>
      <c r="V953">
        <v>2.00374E-2</v>
      </c>
      <c r="W953">
        <v>-8.6507749999999994E-2</v>
      </c>
      <c r="X953">
        <v>0.99604959999999998</v>
      </c>
      <c r="Y953">
        <v>-7.7948239999999997E-3</v>
      </c>
      <c r="Z953">
        <v>7.1693410000000005E-4</v>
      </c>
      <c r="AA953">
        <v>0.99996940000000001</v>
      </c>
      <c r="AB953">
        <v>19</v>
      </c>
      <c r="AC953">
        <v>12.2228999999999</v>
      </c>
      <c r="AD953">
        <v>-1.1708879999999999</v>
      </c>
      <c r="AE953">
        <v>5.2400000000034197E-2</v>
      </c>
      <c r="AF953">
        <v>-9.5869666031881004E-2</v>
      </c>
      <c r="AG953">
        <v>-1.1708879999999999</v>
      </c>
      <c r="AH953">
        <v>12.1114890630757</v>
      </c>
      <c r="AI953">
        <v>95.521783449641504</v>
      </c>
      <c r="AJ953">
        <v>90.4535208263665</v>
      </c>
      <c r="AK953">
        <v>12.1683333709433</v>
      </c>
      <c r="AL953">
        <v>94.9627322521293</v>
      </c>
      <c r="AM953">
        <v>88.847543715347996</v>
      </c>
      <c r="AN953">
        <v>0.99999994693448901</v>
      </c>
    </row>
    <row r="954" spans="1:40" x14ac:dyDescent="0.25">
      <c r="A954" t="str">
        <f>"20190303154115512"</f>
        <v>20190303154115512</v>
      </c>
      <c r="B954" t="str">
        <f>"1551598875510044"</f>
        <v>1551598875510044</v>
      </c>
      <c r="C954" t="s">
        <v>40</v>
      </c>
      <c r="D954">
        <v>6.0170919999999999</v>
      </c>
      <c r="E954">
        <v>0.48882619999999999</v>
      </c>
      <c r="F954" t="s">
        <v>42</v>
      </c>
      <c r="G954">
        <v>-321.15199999999999</v>
      </c>
      <c r="H954">
        <v>1.0388729999999999</v>
      </c>
      <c r="I954">
        <v>367.4513</v>
      </c>
      <c r="J954">
        <v>-321.90179999999998</v>
      </c>
      <c r="K954">
        <v>1.1208819999999999</v>
      </c>
      <c r="L954">
        <v>367.44690000000003</v>
      </c>
      <c r="M954">
        <v>0.99992320000000001</v>
      </c>
      <c r="N954">
        <v>-1.185025E-2</v>
      </c>
      <c r="O954">
        <v>-3.6226180000000002E-3</v>
      </c>
      <c r="P954">
        <v>0.99485520000000005</v>
      </c>
      <c r="Q954">
        <v>-9.8495180000000002E-2</v>
      </c>
      <c r="R954">
        <v>-2.3702589999999999E-2</v>
      </c>
      <c r="S954">
        <v>2.987549</v>
      </c>
      <c r="T954">
        <v>-0.28586460000000002</v>
      </c>
      <c r="U954">
        <v>1.434326E-2</v>
      </c>
      <c r="V954">
        <v>2.009588E-2</v>
      </c>
      <c r="W954">
        <v>-8.6698570000000003E-2</v>
      </c>
      <c r="X954">
        <v>0.99603189999999997</v>
      </c>
      <c r="Y954">
        <v>-8.36808E-3</v>
      </c>
      <c r="Z954">
        <v>7.5214300000000004E-4</v>
      </c>
      <c r="AA954">
        <v>0.99996470000000004</v>
      </c>
      <c r="AB954">
        <v>19</v>
      </c>
      <c r="AC954">
        <v>0.74979999999999303</v>
      </c>
      <c r="AD954">
        <v>-8.2008999999999999E-2</v>
      </c>
      <c r="AE954">
        <v>4.3999999999755303E-3</v>
      </c>
      <c r="AF954">
        <v>-7.0322781883895499E-3</v>
      </c>
      <c r="AG954">
        <v>-8.2008999999999999E-2</v>
      </c>
      <c r="AH954">
        <v>0.74091602757596797</v>
      </c>
      <c r="AI954">
        <v>96.315846011566194</v>
      </c>
      <c r="AJ954">
        <v>90.543796796340899</v>
      </c>
      <c r="AK954">
        <v>0.74547400285755905</v>
      </c>
      <c r="AL954">
        <v>94.973706320471507</v>
      </c>
      <c r="AM954">
        <v>88.844160600077799</v>
      </c>
      <c r="AN954">
        <v>1.00000001612531</v>
      </c>
    </row>
    <row r="955" spans="1:40" x14ac:dyDescent="0.25">
      <c r="A955" t="str">
        <f>"20190303154115526"</f>
        <v>20190303154115526</v>
      </c>
      <c r="B955" t="str">
        <f>"1551598875519804"</f>
        <v>1551598875519804</v>
      </c>
      <c r="C955" t="s">
        <v>40</v>
      </c>
      <c r="D955">
        <v>5.9341999999999997</v>
      </c>
      <c r="E955">
        <v>0.48886360000000001</v>
      </c>
      <c r="F955" t="s">
        <v>43</v>
      </c>
      <c r="G955">
        <v>-309.84190000000001</v>
      </c>
      <c r="H955">
        <v>-0.05</v>
      </c>
      <c r="I955">
        <v>367.52010000000001</v>
      </c>
      <c r="J955">
        <v>-321.7946</v>
      </c>
      <c r="K955">
        <v>1.1208769999999999</v>
      </c>
      <c r="L955">
        <v>367.44650000000001</v>
      </c>
      <c r="M955">
        <v>0.99992389999999998</v>
      </c>
      <c r="N955">
        <v>-1.1802760000000001E-2</v>
      </c>
      <c r="O955">
        <v>-3.6158779999999999E-3</v>
      </c>
      <c r="P955">
        <v>0.99485369999999995</v>
      </c>
      <c r="Q955">
        <v>-9.8460610000000004E-2</v>
      </c>
      <c r="R955">
        <v>-2.3912349999999999E-2</v>
      </c>
      <c r="S955">
        <v>2.987244</v>
      </c>
      <c r="T955">
        <v>-0.29002810000000001</v>
      </c>
      <c r="U955">
        <v>1.8127440000000002E-2</v>
      </c>
      <c r="V955">
        <v>2.0312790000000001E-2</v>
      </c>
      <c r="W955">
        <v>-8.6711239999999995E-2</v>
      </c>
      <c r="X955">
        <v>0.99602639999999998</v>
      </c>
      <c r="Y955">
        <v>-9.6203169999999998E-3</v>
      </c>
      <c r="Z955">
        <v>8.3048319999999998E-4</v>
      </c>
      <c r="AA955">
        <v>0.99995339999999999</v>
      </c>
      <c r="AB955">
        <v>19</v>
      </c>
      <c r="AC955">
        <v>11.952699999999901</v>
      </c>
      <c r="AD955">
        <v>-1.1708769999999999</v>
      </c>
      <c r="AE955">
        <v>7.3599999999999E-2</v>
      </c>
      <c r="AF955">
        <v>-0.115711702320239</v>
      </c>
      <c r="AG955">
        <v>-1.1708769999999999</v>
      </c>
      <c r="AH955">
        <v>11.838755244265</v>
      </c>
      <c r="AI955">
        <v>95.648032528964094</v>
      </c>
      <c r="AJ955">
        <v>90.559989706902499</v>
      </c>
      <c r="AK955">
        <v>11.897078123673699</v>
      </c>
      <c r="AL955">
        <v>94.974434987645694</v>
      </c>
      <c r="AM955">
        <v>88.831681742979896</v>
      </c>
      <c r="AN955">
        <v>1.0000000190384399</v>
      </c>
    </row>
    <row r="956" spans="1:40" x14ac:dyDescent="0.25">
      <c r="A956" t="str">
        <f>"20190303154115543"</f>
        <v>20190303154115543</v>
      </c>
      <c r="B956" t="str">
        <f>"1551598875530541"</f>
        <v>1551598875530541</v>
      </c>
      <c r="C956" t="s">
        <v>40</v>
      </c>
      <c r="D956">
        <v>5.9389900000000004</v>
      </c>
      <c r="E956">
        <v>0.48891230000000002</v>
      </c>
      <c r="F956" t="s">
        <v>43</v>
      </c>
      <c r="G956">
        <v>-309.72719999999998</v>
      </c>
      <c r="H956">
        <v>-0.05</v>
      </c>
      <c r="I956">
        <v>367.51479999999998</v>
      </c>
      <c r="J956">
        <v>-321.6576</v>
      </c>
      <c r="K956">
        <v>1.120871</v>
      </c>
      <c r="L956">
        <v>367.4461</v>
      </c>
      <c r="M956">
        <v>0.9999247</v>
      </c>
      <c r="N956">
        <v>-1.174116E-2</v>
      </c>
      <c r="O956">
        <v>-3.6045109999999999E-3</v>
      </c>
      <c r="P956">
        <v>0.99482729999999997</v>
      </c>
      <c r="Q956">
        <v>-9.8564509999999994E-2</v>
      </c>
      <c r="R956">
        <v>-2.4575179999999999E-2</v>
      </c>
      <c r="S956">
        <v>2.987244</v>
      </c>
      <c r="T956">
        <v>-0.28984569999999998</v>
      </c>
      <c r="U956">
        <v>1.690674E-2</v>
      </c>
      <c r="V956">
        <v>2.0987349999999998E-2</v>
      </c>
      <c r="W956">
        <v>-8.6876629999999996E-2</v>
      </c>
      <c r="X956">
        <v>0.99599800000000005</v>
      </c>
      <c r="Y956">
        <v>-9.2026710000000008E-3</v>
      </c>
      <c r="Z956">
        <v>8.0625839999999896E-4</v>
      </c>
      <c r="AA956">
        <v>0.99995730000000005</v>
      </c>
      <c r="AB956">
        <v>19</v>
      </c>
      <c r="AC956">
        <v>11.930400000000001</v>
      </c>
      <c r="AD956">
        <v>-1.170871</v>
      </c>
      <c r="AE956">
        <v>6.8699999999978403E-2</v>
      </c>
      <c r="AF956">
        <v>-0.110640140721846</v>
      </c>
      <c r="AG956">
        <v>-1.170871</v>
      </c>
      <c r="AH956">
        <v>11.8162665311085</v>
      </c>
      <c r="AI956">
        <v>95.658705440270694</v>
      </c>
      <c r="AJ956">
        <v>90.536466221567906</v>
      </c>
      <c r="AK956">
        <v>11.8746509369149</v>
      </c>
      <c r="AL956">
        <v>94.983947043108898</v>
      </c>
      <c r="AM956">
        <v>88.792860375948095</v>
      </c>
      <c r="AN956">
        <v>1.00000001685208</v>
      </c>
    </row>
    <row r="957" spans="1:40" x14ac:dyDescent="0.25">
      <c r="A957" t="str">
        <f>"20190303154115554"</f>
        <v>20190303154115554</v>
      </c>
      <c r="B957" t="str">
        <f>"1551598875550061"</f>
        <v>1551598875550061</v>
      </c>
      <c r="C957" t="s">
        <v>40</v>
      </c>
      <c r="D957">
        <v>5.9438599999999999</v>
      </c>
      <c r="E957">
        <v>0.48878199999999999</v>
      </c>
      <c r="F957" t="s">
        <v>42</v>
      </c>
      <c r="G957">
        <v>-320.81509999999997</v>
      </c>
      <c r="H957">
        <v>1.039156</v>
      </c>
      <c r="I957">
        <v>367.45</v>
      </c>
      <c r="J957">
        <v>-321.55470000000003</v>
      </c>
      <c r="K957">
        <v>1.1208670000000001</v>
      </c>
      <c r="L957">
        <v>367.44569999999999</v>
      </c>
      <c r="M957">
        <v>0.99992539999999996</v>
      </c>
      <c r="N957">
        <v>-1.1694039999999999E-2</v>
      </c>
      <c r="O957">
        <v>-3.59371E-3</v>
      </c>
      <c r="P957">
        <v>0.99482839999999995</v>
      </c>
      <c r="Q957">
        <v>-9.8434270000000004E-2</v>
      </c>
      <c r="R957">
        <v>-2.5054900000000001E-2</v>
      </c>
      <c r="S957">
        <v>2.9872130000000001</v>
      </c>
      <c r="T957">
        <v>-0.28982520000000001</v>
      </c>
      <c r="U957">
        <v>1.467896E-2</v>
      </c>
      <c r="V957">
        <v>2.147837E-2</v>
      </c>
      <c r="W957">
        <v>-8.6793179999999998E-2</v>
      </c>
      <c r="X957">
        <v>0.99599479999999996</v>
      </c>
      <c r="Y957">
        <v>-8.450216E-3</v>
      </c>
      <c r="Z957">
        <v>7.6441629999999996E-4</v>
      </c>
      <c r="AA957">
        <v>0.99996399999999996</v>
      </c>
      <c r="AB957">
        <v>19</v>
      </c>
      <c r="AC957">
        <v>0.73960000000005199</v>
      </c>
      <c r="AD957">
        <v>-8.1711000000000006E-2</v>
      </c>
      <c r="AE957">
        <v>4.3000000000006297E-3</v>
      </c>
      <c r="AF957">
        <v>-6.8741593032391598E-3</v>
      </c>
      <c r="AG957">
        <v>-8.1711000000000006E-2</v>
      </c>
      <c r="AH957">
        <v>0.73066173937595802</v>
      </c>
      <c r="AI957">
        <v>96.380680482136796</v>
      </c>
      <c r="AJ957">
        <v>90.5390301347377</v>
      </c>
      <c r="AK957">
        <v>0.735248610318324</v>
      </c>
      <c r="AL957">
        <v>94.979147620404504</v>
      </c>
      <c r="AM957">
        <v>88.764622824009606</v>
      </c>
      <c r="AN957">
        <v>1.0000000090497001</v>
      </c>
    </row>
    <row r="958" spans="1:40" x14ac:dyDescent="0.25">
      <c r="A958" t="str">
        <f>"20190303154115567"</f>
        <v>20190303154115567</v>
      </c>
      <c r="B958" t="str">
        <f>"1551598875559821"</f>
        <v>1551598875559821</v>
      </c>
      <c r="C958" t="s">
        <v>40</v>
      </c>
      <c r="D958">
        <v>5.9911649999999996</v>
      </c>
      <c r="E958">
        <v>0.48882999999999999</v>
      </c>
      <c r="F958" t="s">
        <v>43</v>
      </c>
      <c r="G958">
        <v>-309.50779999999997</v>
      </c>
      <c r="H958">
        <v>-0.05</v>
      </c>
      <c r="I958">
        <v>367.50229999999999</v>
      </c>
      <c r="J958">
        <v>-321.44979999999998</v>
      </c>
      <c r="K958">
        <v>1.120865</v>
      </c>
      <c r="L958">
        <v>367.44529999999997</v>
      </c>
      <c r="M958">
        <v>0.99992590000000003</v>
      </c>
      <c r="N958">
        <v>-1.164568E-2</v>
      </c>
      <c r="O958">
        <v>-3.57896E-3</v>
      </c>
      <c r="P958">
        <v>0.9947954</v>
      </c>
      <c r="Q958">
        <v>-9.8669839999999995E-2</v>
      </c>
      <c r="R958">
        <v>-2.5424720000000001E-2</v>
      </c>
      <c r="S958">
        <v>2.9872130000000001</v>
      </c>
      <c r="T958">
        <v>-0.290332599999999</v>
      </c>
      <c r="U958">
        <v>1.403809E-2</v>
      </c>
      <c r="V958">
        <v>2.186399E-2</v>
      </c>
      <c r="W958">
        <v>-8.7077150000000006E-2</v>
      </c>
      <c r="X958">
        <v>0.9959616</v>
      </c>
      <c r="Y958">
        <v>-8.2220039999999998E-3</v>
      </c>
      <c r="Z958">
        <v>7.5204949999999895E-4</v>
      </c>
      <c r="AA958">
        <v>0.99996589999999996</v>
      </c>
      <c r="AB958">
        <v>19</v>
      </c>
      <c r="AC958">
        <v>11.942</v>
      </c>
      <c r="AD958">
        <v>-1.170865</v>
      </c>
      <c r="AE958">
        <v>5.7000000000016302E-2</v>
      </c>
      <c r="AF958">
        <v>-9.8792793949556798E-2</v>
      </c>
      <c r="AG958">
        <v>-1.170865</v>
      </c>
      <c r="AH958">
        <v>11.8280191847245</v>
      </c>
      <c r="AI958">
        <v>95.653140737865698</v>
      </c>
      <c r="AJ958">
        <v>90.478548303587601</v>
      </c>
      <c r="AK958">
        <v>11.8862408985588</v>
      </c>
      <c r="AL958">
        <v>94.995479850148101</v>
      </c>
      <c r="AM958">
        <v>88.742408168093903</v>
      </c>
      <c r="AN958">
        <v>0.99999998639270105</v>
      </c>
    </row>
    <row r="959" spans="1:40" x14ac:dyDescent="0.25">
      <c r="A959" t="str">
        <f>"20190303154115579"</f>
        <v>20190303154115579</v>
      </c>
      <c r="B959" t="str">
        <f>"1551598875570557"</f>
        <v>1551598875570557</v>
      </c>
      <c r="C959" t="s">
        <v>40</v>
      </c>
      <c r="D959">
        <v>5.9730449999999999</v>
      </c>
      <c r="E959">
        <v>0.4888845</v>
      </c>
      <c r="F959" t="s">
        <v>43</v>
      </c>
      <c r="G959">
        <v>-309.41919999999999</v>
      </c>
      <c r="H959">
        <v>-0.05</v>
      </c>
      <c r="I959">
        <v>367.49549999999999</v>
      </c>
      <c r="J959">
        <v>-321.34339999999997</v>
      </c>
      <c r="K959">
        <v>1.1208610000000001</v>
      </c>
      <c r="L959">
        <v>367.44499999999999</v>
      </c>
      <c r="M959">
        <v>0.99992650000000005</v>
      </c>
      <c r="N959">
        <v>-1.159665E-2</v>
      </c>
      <c r="O959">
        <v>-3.5620560000000001E-3</v>
      </c>
      <c r="P959">
        <v>0.99480159999999995</v>
      </c>
      <c r="Q959">
        <v>-9.8536209999999999E-2</v>
      </c>
      <c r="R959">
        <v>-2.5702139999999998E-2</v>
      </c>
      <c r="S959">
        <v>2.9872130000000001</v>
      </c>
      <c r="T959">
        <v>-0.29072740000000002</v>
      </c>
      <c r="U959">
        <v>1.2451169999999999E-2</v>
      </c>
      <c r="V959">
        <v>2.2158830000000001E-2</v>
      </c>
      <c r="W959">
        <v>-8.6992089999999994E-2</v>
      </c>
      <c r="X959">
        <v>0.99596249999999997</v>
      </c>
      <c r="Y959">
        <v>-7.6766880000000001E-3</v>
      </c>
      <c r="Z959">
        <v>7.2194360000000005E-4</v>
      </c>
      <c r="AA959">
        <v>0.99997029999999998</v>
      </c>
      <c r="AB959">
        <v>19</v>
      </c>
      <c r="AC959">
        <v>11.9241999999999</v>
      </c>
      <c r="AD959">
        <v>-1.1708609999999999</v>
      </c>
      <c r="AE959">
        <v>5.0499999999999497E-2</v>
      </c>
      <c r="AF959">
        <v>-9.2089321580015995E-2</v>
      </c>
      <c r="AG959">
        <v>-1.1708609999999999</v>
      </c>
      <c r="AH959">
        <v>11.810077638600401</v>
      </c>
      <c r="AI959">
        <v>95.661679067276495</v>
      </c>
      <c r="AJ959">
        <v>90.446755956580105</v>
      </c>
      <c r="AK959">
        <v>11.868333065525199</v>
      </c>
      <c r="AL959">
        <v>94.990587791626098</v>
      </c>
      <c r="AM959">
        <v>88.725456014939596</v>
      </c>
      <c r="AN959">
        <v>0.99999996943789204</v>
      </c>
    </row>
    <row r="960" spans="1:40" x14ac:dyDescent="0.25">
      <c r="A960" t="str">
        <f>"20190303154115591"</f>
        <v>20190303154115591</v>
      </c>
      <c r="B960" t="str">
        <f>"1551598875580317"</f>
        <v>1551598875580317</v>
      </c>
      <c r="C960" t="s">
        <v>40</v>
      </c>
      <c r="D960">
        <v>5.942914</v>
      </c>
      <c r="E960">
        <v>0.48894919999999997</v>
      </c>
      <c r="F960" t="s">
        <v>42</v>
      </c>
      <c r="G960">
        <v>-320.47989999999999</v>
      </c>
      <c r="H960">
        <v>1.0369630000000001</v>
      </c>
      <c r="I960">
        <v>367.44810000000001</v>
      </c>
      <c r="J960">
        <v>-321.2414</v>
      </c>
      <c r="K960">
        <v>1.120859</v>
      </c>
      <c r="L960">
        <v>367.44459999999998</v>
      </c>
      <c r="M960">
        <v>0.99992709999999996</v>
      </c>
      <c r="N960">
        <v>-1.1549459999999999E-2</v>
      </c>
      <c r="O960">
        <v>-3.5422990000000001E-3</v>
      </c>
      <c r="P960">
        <v>0.99476249999999999</v>
      </c>
      <c r="Q960">
        <v>-9.8737690000000003E-2</v>
      </c>
      <c r="R960">
        <v>-2.642839E-2</v>
      </c>
      <c r="S960">
        <v>2.9872130000000001</v>
      </c>
      <c r="T960">
        <v>-0.2904177</v>
      </c>
      <c r="U960">
        <v>1.1627200000000001E-2</v>
      </c>
      <c r="V960">
        <v>2.290565E-2</v>
      </c>
      <c r="W960">
        <v>-8.7240750000000006E-2</v>
      </c>
      <c r="X960">
        <v>0.99592389999999997</v>
      </c>
      <c r="Y960">
        <v>-7.3828460000000002E-3</v>
      </c>
      <c r="Z960">
        <v>7.0352759999999903E-4</v>
      </c>
      <c r="AA960">
        <v>0.99997250000000004</v>
      </c>
      <c r="AB960">
        <v>19</v>
      </c>
      <c r="AC960">
        <v>0.76150000000001195</v>
      </c>
      <c r="AD960">
        <v>-8.3896000000000095E-2</v>
      </c>
      <c r="AE960">
        <v>3.5000000000309198E-3</v>
      </c>
      <c r="AF960">
        <v>-6.1232962188578401E-3</v>
      </c>
      <c r="AG960">
        <v>-8.3896000000000095E-2</v>
      </c>
      <c r="AH960">
        <v>0.75235107179745797</v>
      </c>
      <c r="AI960">
        <v>96.3626578793573</v>
      </c>
      <c r="AJ960">
        <v>90.466313263607205</v>
      </c>
      <c r="AK960">
        <v>0.75703908010575505</v>
      </c>
      <c r="AL960">
        <v>95.004889099863604</v>
      </c>
      <c r="AM960">
        <v>88.682463852722293</v>
      </c>
      <c r="AN960">
        <v>1.0000000159268401</v>
      </c>
    </row>
    <row r="961" spans="1:40" x14ac:dyDescent="0.25">
      <c r="A961" t="str">
        <f>"20190303154115603"</f>
        <v>20190303154115603</v>
      </c>
      <c r="B961" t="str">
        <f>"1551598875600813"</f>
        <v>1551598875600813</v>
      </c>
      <c r="C961" t="s">
        <v>40</v>
      </c>
      <c r="D961">
        <v>5.9784509999999997</v>
      </c>
      <c r="E961">
        <v>0.48905340000000003</v>
      </c>
      <c r="F961" t="s">
        <v>43</v>
      </c>
      <c r="G961">
        <v>-309.22370000000001</v>
      </c>
      <c r="H961">
        <v>-0.05</v>
      </c>
      <c r="I961">
        <v>367.48079999999999</v>
      </c>
      <c r="J961">
        <v>-321.14109999999999</v>
      </c>
      <c r="K961">
        <v>1.120803</v>
      </c>
      <c r="L961">
        <v>367.4443</v>
      </c>
      <c r="M961">
        <v>0.99992999999999999</v>
      </c>
      <c r="N961">
        <v>-1.130945E-2</v>
      </c>
      <c r="O961">
        <v>-3.5193099999999999E-3</v>
      </c>
      <c r="P961">
        <v>0.99479589999999996</v>
      </c>
      <c r="Q961">
        <v>-9.828576E-2</v>
      </c>
      <c r="R961">
        <v>-2.6854289999999999E-2</v>
      </c>
      <c r="S961">
        <v>2.987152</v>
      </c>
      <c r="T961">
        <v>-0.2910316</v>
      </c>
      <c r="U961">
        <v>9.0026859999999993E-3</v>
      </c>
      <c r="V961">
        <v>2.3355069999999999E-2</v>
      </c>
      <c r="W961">
        <v>-8.7027320000000005E-2</v>
      </c>
      <c r="X961">
        <v>0.99593209999999999</v>
      </c>
      <c r="Y961">
        <v>-6.4859770000000004E-3</v>
      </c>
      <c r="Z961">
        <v>6.54333E-4</v>
      </c>
      <c r="AA961">
        <v>0.99997879999999995</v>
      </c>
      <c r="AB961">
        <v>19</v>
      </c>
      <c r="AC961">
        <v>11.917399999999899</v>
      </c>
      <c r="AD961">
        <v>-1.170803</v>
      </c>
      <c r="AE961">
        <v>3.6499999999989499E-2</v>
      </c>
      <c r="AF961">
        <v>-7.76936054927133E-2</v>
      </c>
      <c r="AG961">
        <v>-1.170803</v>
      </c>
      <c r="AH961">
        <v>11.803276895226199</v>
      </c>
      <c r="AI961">
        <v>95.664690342056005</v>
      </c>
      <c r="AJ961">
        <v>90.3771369120457</v>
      </c>
      <c r="AK961">
        <v>11.8614569689614</v>
      </c>
      <c r="AL961">
        <v>94.992613949794404</v>
      </c>
      <c r="AM961">
        <v>88.656633590806806</v>
      </c>
      <c r="AN961">
        <v>0.99999998076574803</v>
      </c>
    </row>
    <row r="962" spans="1:40" x14ac:dyDescent="0.25">
      <c r="A962" t="str">
        <f>"20190303154115621"</f>
        <v>20190303154115621</v>
      </c>
      <c r="B962" t="str">
        <f>"1551598875610576"</f>
        <v>1551598875610576</v>
      </c>
      <c r="C962" t="s">
        <v>40</v>
      </c>
      <c r="D962">
        <v>5.8930920000000002</v>
      </c>
      <c r="E962">
        <v>0.48905340000000003</v>
      </c>
      <c r="F962" t="s">
        <v>42</v>
      </c>
      <c r="G962">
        <v>-320.3073</v>
      </c>
      <c r="H962">
        <v>1.040065</v>
      </c>
      <c r="I962">
        <v>367.44589999999999</v>
      </c>
      <c r="J962">
        <v>-320.98950000000002</v>
      </c>
      <c r="K962">
        <v>1.1206510000000001</v>
      </c>
      <c r="L962">
        <v>367.44380000000001</v>
      </c>
      <c r="M962">
        <v>0.99993569999999998</v>
      </c>
      <c r="N962">
        <v>-1.079946E-2</v>
      </c>
      <c r="O962">
        <v>-3.4797309999999998E-3</v>
      </c>
      <c r="P962">
        <v>0.99479700000000004</v>
      </c>
      <c r="Q962">
        <v>-9.8165409999999995E-2</v>
      </c>
      <c r="R962">
        <v>-2.7255459999999999E-2</v>
      </c>
      <c r="S962">
        <v>2.9873050000000001</v>
      </c>
      <c r="T962">
        <v>-0.28949399999999997</v>
      </c>
      <c r="U962">
        <v>6.8664549999999996E-3</v>
      </c>
      <c r="V962">
        <v>2.3796609999999999E-2</v>
      </c>
      <c r="W962">
        <v>-8.7414580000000006E-2</v>
      </c>
      <c r="X962">
        <v>0.99588779999999999</v>
      </c>
      <c r="Y962">
        <v>-5.7356999999999998E-3</v>
      </c>
      <c r="Z962">
        <v>6.0724409999999998E-4</v>
      </c>
      <c r="AA962">
        <v>0.99998339999999997</v>
      </c>
      <c r="AB962">
        <v>19</v>
      </c>
      <c r="AC962">
        <v>0.68220000000002201</v>
      </c>
      <c r="AD962">
        <v>-8.0586000000000005E-2</v>
      </c>
      <c r="AE962">
        <v>2.0999999999844398E-3</v>
      </c>
      <c r="AF962">
        <v>-4.4124280287462601E-3</v>
      </c>
      <c r="AG962">
        <v>-8.0586000000000005E-2</v>
      </c>
      <c r="AH962">
        <v>0.67280045658191201</v>
      </c>
      <c r="AI962">
        <v>96.8300302996862</v>
      </c>
      <c r="AJ962">
        <v>90.375757591213002</v>
      </c>
      <c r="AK962">
        <v>0.67762380956836099</v>
      </c>
      <c r="AL962">
        <v>95.014886855347299</v>
      </c>
      <c r="AM962">
        <v>88.631185244493807</v>
      </c>
      <c r="AN962">
        <v>1.00000004881645</v>
      </c>
    </row>
    <row r="963" spans="1:40" x14ac:dyDescent="0.25">
      <c r="A963" t="str">
        <f>"20190303154115637"</f>
        <v>20190303154115637</v>
      </c>
      <c r="B963" t="str">
        <f>"1551598875630093"</f>
        <v>1551598875630093</v>
      </c>
      <c r="C963" t="s">
        <v>40</v>
      </c>
      <c r="D963">
        <v>5.9323829999999997</v>
      </c>
      <c r="E963">
        <v>0.50993219999999995</v>
      </c>
      <c r="F963" t="s">
        <v>42</v>
      </c>
      <c r="G963">
        <v>-320.13679999999999</v>
      </c>
      <c r="H963">
        <v>1.0381419999999999</v>
      </c>
      <c r="I963">
        <v>367.44529999999997</v>
      </c>
      <c r="J963">
        <v>-320.85789999999997</v>
      </c>
      <c r="K963">
        <v>1.120465</v>
      </c>
      <c r="L963">
        <v>367.4434</v>
      </c>
      <c r="M963">
        <v>0.99994050000000001</v>
      </c>
      <c r="N963">
        <v>-1.036902E-2</v>
      </c>
      <c r="O963">
        <v>-3.441422E-3</v>
      </c>
      <c r="P963">
        <v>0.9948612</v>
      </c>
      <c r="Q963">
        <v>-9.7532350000000004E-2</v>
      </c>
      <c r="R963">
        <v>-2.718547E-2</v>
      </c>
      <c r="S963">
        <v>2.9873050000000001</v>
      </c>
      <c r="T963">
        <v>-0.28913159999999999</v>
      </c>
      <c r="U963">
        <v>5.5541990000000001E-3</v>
      </c>
      <c r="V963">
        <v>2.376522E-2</v>
      </c>
      <c r="W963">
        <v>-8.7209369999999994E-2</v>
      </c>
      <c r="X963">
        <v>0.99590650000000003</v>
      </c>
      <c r="Y963">
        <v>-5.260804E-3</v>
      </c>
      <c r="Z963">
        <v>5.7803680000000004E-4</v>
      </c>
      <c r="AA963">
        <v>0.99998600000000004</v>
      </c>
      <c r="AB963">
        <v>19</v>
      </c>
      <c r="AC963">
        <v>0.72109999999997798</v>
      </c>
      <c r="AD963">
        <v>-8.2323000000000104E-2</v>
      </c>
      <c r="AE963">
        <v>1.8999999999778001E-3</v>
      </c>
      <c r="AF963">
        <v>-4.3253582088683797E-3</v>
      </c>
      <c r="AG963">
        <v>-8.2323000000000104E-2</v>
      </c>
      <c r="AH963">
        <v>0.71181205885821697</v>
      </c>
      <c r="AI963">
        <v>96.596982849607897</v>
      </c>
      <c r="AJ963">
        <v>90.348156113644606</v>
      </c>
      <c r="AK963">
        <v>0.71656973993367101</v>
      </c>
      <c r="AL963">
        <v>95.003084317650703</v>
      </c>
      <c r="AM963">
        <v>88.633015814637702</v>
      </c>
      <c r="AN963">
        <v>1.0000000083198399</v>
      </c>
    </row>
    <row r="964" spans="1:40" x14ac:dyDescent="0.25">
      <c r="A964" t="str">
        <f>"20190303154115657"</f>
        <v>20190303154115657</v>
      </c>
      <c r="B964" t="str">
        <f>"1551598875650588"</f>
        <v>1551598875650588</v>
      </c>
      <c r="C964" t="s">
        <v>40</v>
      </c>
      <c r="D964">
        <v>5.9311160000000003</v>
      </c>
      <c r="E964">
        <v>0.51028300000000004</v>
      </c>
      <c r="F964" t="s">
        <v>43</v>
      </c>
      <c r="G964">
        <v>-300.79590000000002</v>
      </c>
      <c r="H964">
        <v>-0.05</v>
      </c>
      <c r="I964">
        <v>366.36770000000001</v>
      </c>
      <c r="J964">
        <v>-320.67790000000002</v>
      </c>
      <c r="K964">
        <v>1.1201399999999999</v>
      </c>
      <c r="L964">
        <v>367.44279999999998</v>
      </c>
      <c r="M964">
        <v>0.99994240000000001</v>
      </c>
      <c r="N964">
        <v>-1.01945E-2</v>
      </c>
      <c r="O964">
        <v>-3.3837300000000002E-3</v>
      </c>
      <c r="P964">
        <v>0.99484079999999997</v>
      </c>
      <c r="Q964">
        <v>-9.7891519999999996E-2</v>
      </c>
      <c r="R964">
        <v>-2.663109E-2</v>
      </c>
      <c r="S964">
        <v>2.9939580000000001</v>
      </c>
      <c r="T964">
        <v>-0.17467379999999999</v>
      </c>
      <c r="U964">
        <v>-0.16052249999999901</v>
      </c>
      <c r="V964">
        <v>2.326947E-2</v>
      </c>
      <c r="W964">
        <v>-8.7742329999999993E-2</v>
      </c>
      <c r="X964">
        <v>0.99587139999999996</v>
      </c>
      <c r="Y964">
        <v>5.006335E-2</v>
      </c>
      <c r="Z964">
        <v>-1.5510929999999999E-3</v>
      </c>
      <c r="AA964">
        <v>0.99874479999999999</v>
      </c>
      <c r="AB964">
        <v>19</v>
      </c>
      <c r="AC964">
        <v>19.882000000000001</v>
      </c>
      <c r="AD964">
        <v>-1.17014</v>
      </c>
      <c r="AE964">
        <v>-1.07509999999996</v>
      </c>
      <c r="AF964">
        <v>1.00434630086029</v>
      </c>
      <c r="AG964">
        <v>-1.17014</v>
      </c>
      <c r="AH964">
        <v>19.8170814962292</v>
      </c>
      <c r="AI964">
        <v>93.374901053465095</v>
      </c>
      <c r="AJ964">
        <v>87.098684225588002</v>
      </c>
      <c r="AK964">
        <v>19.876988155649801</v>
      </c>
      <c r="AL964">
        <v>95.033738149876299</v>
      </c>
      <c r="AM964">
        <v>88.661473894657604</v>
      </c>
      <c r="AN964">
        <v>1.00000001502293</v>
      </c>
    </row>
    <row r="965" spans="1:40" x14ac:dyDescent="0.25">
      <c r="A965" t="str">
        <f>"20190303154115676"</f>
        <v>20190303154115676</v>
      </c>
      <c r="B965" t="str">
        <f>"1551598875670108"</f>
        <v>1551598875670108</v>
      </c>
      <c r="C965" t="s">
        <v>40</v>
      </c>
      <c r="D965">
        <v>5.9424960000000002</v>
      </c>
      <c r="E965">
        <v>0.51058590000000004</v>
      </c>
      <c r="F965" t="s">
        <v>43</v>
      </c>
      <c r="G965">
        <v>-300.92649999999998</v>
      </c>
      <c r="H965">
        <v>-0.05</v>
      </c>
      <c r="I965">
        <v>366.37689999999998</v>
      </c>
      <c r="J965">
        <v>-320.51</v>
      </c>
      <c r="K965">
        <v>1.11974</v>
      </c>
      <c r="L965">
        <v>367.44229999999999</v>
      </c>
      <c r="M965">
        <v>0.99993960000000004</v>
      </c>
      <c r="N965">
        <v>-1.047912E-2</v>
      </c>
      <c r="O965">
        <v>-3.3274400000000001E-3</v>
      </c>
      <c r="P965">
        <v>0.99484320000000004</v>
      </c>
      <c r="Q965">
        <v>-9.8126649999999996E-2</v>
      </c>
      <c r="R965">
        <v>-2.5661590000000001E-2</v>
      </c>
      <c r="S965">
        <v>2.9937740000000002</v>
      </c>
      <c r="T965">
        <v>-0.17736179999999999</v>
      </c>
      <c r="U965">
        <v>-0.16156010000000001</v>
      </c>
      <c r="V965">
        <v>2.2356839999999999E-2</v>
      </c>
      <c r="W965">
        <v>-8.7693839999999995E-2</v>
      </c>
      <c r="X965">
        <v>0.99589660000000002</v>
      </c>
      <c r="Y965">
        <v>5.0463899999999999E-2</v>
      </c>
      <c r="Z965">
        <v>-1.5953289999999999E-3</v>
      </c>
      <c r="AA965">
        <v>0.99872459999999996</v>
      </c>
      <c r="AB965">
        <v>19</v>
      </c>
      <c r="AC965">
        <v>19.583500000000001</v>
      </c>
      <c r="AD965">
        <v>-1.16974</v>
      </c>
      <c r="AE965">
        <v>-1.0654000000000099</v>
      </c>
      <c r="AF965">
        <v>0.996682155647443</v>
      </c>
      <c r="AG965">
        <v>-1.16974</v>
      </c>
      <c r="AH965">
        <v>19.5175081369925</v>
      </c>
      <c r="AI965">
        <v>93.425344413875493</v>
      </c>
      <c r="AJ965">
        <v>87.076669870174797</v>
      </c>
      <c r="AK965">
        <v>19.577915896860699</v>
      </c>
      <c r="AL965">
        <v>95.030949011542802</v>
      </c>
      <c r="AM965">
        <v>88.713985508952106</v>
      </c>
      <c r="AN965">
        <v>1.0000000378801399</v>
      </c>
    </row>
    <row r="966" spans="1:40" x14ac:dyDescent="0.25">
      <c r="A966" t="str">
        <f>"20190303154115689"</f>
        <v>20190303154115689</v>
      </c>
      <c r="B966" t="str">
        <f>"1551598875679868"</f>
        <v>1551598875679868</v>
      </c>
      <c r="C966" t="s">
        <v>40</v>
      </c>
      <c r="D966">
        <v>5.9079360000000003</v>
      </c>
      <c r="E966">
        <v>0.51059379999999999</v>
      </c>
      <c r="F966" t="s">
        <v>43</v>
      </c>
      <c r="G966">
        <v>-300.5009</v>
      </c>
      <c r="H966">
        <v>-0.05</v>
      </c>
      <c r="I966">
        <v>366.36470000000003</v>
      </c>
      <c r="J966">
        <v>-320.39870000000002</v>
      </c>
      <c r="K966">
        <v>1.119375</v>
      </c>
      <c r="L966">
        <v>367.44200000000001</v>
      </c>
      <c r="M966">
        <v>0.99993529999999997</v>
      </c>
      <c r="N966">
        <v>-1.0890449999999999E-2</v>
      </c>
      <c r="O966">
        <v>-3.2879820000000001E-3</v>
      </c>
      <c r="P966">
        <v>0.99478940000000005</v>
      </c>
      <c r="Q966">
        <v>-9.8756220000000006E-2</v>
      </c>
      <c r="R966">
        <v>-2.5326029999999999E-2</v>
      </c>
      <c r="S966">
        <v>2.99411</v>
      </c>
      <c r="T966">
        <v>-0.17503679999999999</v>
      </c>
      <c r="U966">
        <v>-0.16125490000000001</v>
      </c>
      <c r="V966">
        <v>2.2061150000000002E-2</v>
      </c>
      <c r="W966">
        <v>-8.7914210000000007E-2</v>
      </c>
      <c r="X966">
        <v>0.99588370000000004</v>
      </c>
      <c r="Y966">
        <v>5.0397579999999997E-2</v>
      </c>
      <c r="Z966">
        <v>-1.5895709999999999E-3</v>
      </c>
      <c r="AA966">
        <v>0.99872799999999995</v>
      </c>
      <c r="AB966">
        <v>19</v>
      </c>
      <c r="AC966">
        <v>19.8978</v>
      </c>
      <c r="AD966">
        <v>-1.1693750000000001</v>
      </c>
      <c r="AE966">
        <v>-1.07729999999992</v>
      </c>
      <c r="AF966">
        <v>1.00839407379908</v>
      </c>
      <c r="AG966">
        <v>-1.1693750000000001</v>
      </c>
      <c r="AH966">
        <v>19.832935948110499</v>
      </c>
      <c r="AI966">
        <v>93.369981978936593</v>
      </c>
      <c r="AJ966">
        <v>87.089335916299802</v>
      </c>
      <c r="AK966">
        <v>19.892954652855099</v>
      </c>
      <c r="AL966">
        <v>95.043624563276296</v>
      </c>
      <c r="AM966">
        <v>88.7309722148416</v>
      </c>
      <c r="AN966">
        <v>0.99999997329246704</v>
      </c>
    </row>
    <row r="967" spans="1:40" x14ac:dyDescent="0.25">
      <c r="A967" t="str">
        <f>"20190303154115702"</f>
        <v>20190303154115702</v>
      </c>
      <c r="B967" t="str">
        <f>"1551598875690605"</f>
        <v>1551598875690605</v>
      </c>
      <c r="C967" t="s">
        <v>40</v>
      </c>
      <c r="D967">
        <v>5.9293050000000003</v>
      </c>
      <c r="E967">
        <v>0.51077629999999996</v>
      </c>
      <c r="F967" t="s">
        <v>43</v>
      </c>
      <c r="G967">
        <v>-300.62020000000001</v>
      </c>
      <c r="H967">
        <v>-0.05</v>
      </c>
      <c r="I967">
        <v>366.38220000000001</v>
      </c>
      <c r="J967">
        <v>-320.29140000000001</v>
      </c>
      <c r="K967">
        <v>1.118957</v>
      </c>
      <c r="L967">
        <v>367.44170000000003</v>
      </c>
      <c r="M967">
        <v>0.99992999999999999</v>
      </c>
      <c r="N967">
        <v>-1.137695E-2</v>
      </c>
      <c r="O967">
        <v>-3.250466E-3</v>
      </c>
      <c r="P967">
        <v>0.99474649999999998</v>
      </c>
      <c r="Q967">
        <v>-9.9286869999999999E-2</v>
      </c>
      <c r="R967">
        <v>-2.4929469999999999E-2</v>
      </c>
      <c r="S967">
        <v>2.994049</v>
      </c>
      <c r="T967">
        <v>-0.17701939999999999</v>
      </c>
      <c r="U967">
        <v>-0.16043089999999999</v>
      </c>
      <c r="V967">
        <v>2.1702570000000001E-2</v>
      </c>
      <c r="W967">
        <v>-8.7960709999999998E-2</v>
      </c>
      <c r="X967">
        <v>0.99588750000000004</v>
      </c>
      <c r="Y967">
        <v>5.0159679999999998E-2</v>
      </c>
      <c r="Z967">
        <v>-1.611363E-3</v>
      </c>
      <c r="AA967">
        <v>0.99873990000000001</v>
      </c>
      <c r="AB967">
        <v>19</v>
      </c>
      <c r="AC967">
        <v>19.671199999999999</v>
      </c>
      <c r="AD967">
        <v>-1.168957</v>
      </c>
      <c r="AE967">
        <v>-1.0595000000000101</v>
      </c>
      <c r="AF967">
        <v>0.99205657503216105</v>
      </c>
      <c r="AG967">
        <v>-1.168957</v>
      </c>
      <c r="AH967">
        <v>19.605507372537701</v>
      </c>
      <c r="AI967">
        <v>93.407809103667702</v>
      </c>
      <c r="AJ967">
        <v>87.103251882047701</v>
      </c>
      <c r="AK967">
        <v>19.665364376246501</v>
      </c>
      <c r="AL967">
        <v>95.046299041655502</v>
      </c>
      <c r="AM967">
        <v>88.751597061693502</v>
      </c>
      <c r="AN967">
        <v>1.00000000035227</v>
      </c>
    </row>
    <row r="968" spans="1:40" x14ac:dyDescent="0.25">
      <c r="A968" t="str">
        <f>"20190303154115715"</f>
        <v>20190303154115715</v>
      </c>
      <c r="B968" t="str">
        <f>"1551598875710125"</f>
        <v>1551598875710125</v>
      </c>
      <c r="C968" t="s">
        <v>40</v>
      </c>
      <c r="D968">
        <v>5.939057</v>
      </c>
      <c r="E968">
        <v>0.51105579999999995</v>
      </c>
      <c r="F968" t="s">
        <v>43</v>
      </c>
      <c r="G968">
        <v>-300.6558</v>
      </c>
      <c r="H968">
        <v>-0.05</v>
      </c>
      <c r="I968">
        <v>366.38869999999997</v>
      </c>
      <c r="J968">
        <v>-320.17689999999999</v>
      </c>
      <c r="K968">
        <v>1.118441</v>
      </c>
      <c r="L968">
        <v>367.44130000000001</v>
      </c>
      <c r="M968">
        <v>0.99992309999999995</v>
      </c>
      <c r="N968">
        <v>-1.198603E-2</v>
      </c>
      <c r="O968">
        <v>-3.2105739999999999E-3</v>
      </c>
      <c r="P968">
        <v>0.99465979999999998</v>
      </c>
      <c r="Q968">
        <v>-0.1001679</v>
      </c>
      <c r="R968">
        <v>-2.4873309999999999E-2</v>
      </c>
      <c r="S968">
        <v>2.9940190000000002</v>
      </c>
      <c r="T968">
        <v>-0.17824139999999999</v>
      </c>
      <c r="U968">
        <v>-0.160553</v>
      </c>
      <c r="V968">
        <v>2.1686609999999999E-2</v>
      </c>
      <c r="W968">
        <v>-8.8236010000000004E-2</v>
      </c>
      <c r="X968">
        <v>0.99586350000000001</v>
      </c>
      <c r="Y968">
        <v>5.0238169999999999E-2</v>
      </c>
      <c r="Z968">
        <v>-1.6422400000000001E-3</v>
      </c>
      <c r="AA968">
        <v>0.99873590000000001</v>
      </c>
      <c r="AB968">
        <v>19</v>
      </c>
      <c r="AC968">
        <v>19.521099999999901</v>
      </c>
      <c r="AD968">
        <v>-1.1684410000000001</v>
      </c>
      <c r="AE968">
        <v>-1.0526000000000399</v>
      </c>
      <c r="AF968">
        <v>0.98639248212668096</v>
      </c>
      <c r="AG968">
        <v>-1.1684410000000001</v>
      </c>
      <c r="AH968">
        <v>19.454881004215601</v>
      </c>
      <c r="AI968">
        <v>93.4326009542295</v>
      </c>
      <c r="AJ968">
        <v>87.097500979068698</v>
      </c>
      <c r="AK968">
        <v>19.514881997784801</v>
      </c>
      <c r="AL968">
        <v>95.062134108569296</v>
      </c>
      <c r="AM968">
        <v>88.752484788464798</v>
      </c>
      <c r="AN968">
        <v>1.00000000657313</v>
      </c>
    </row>
    <row r="969" spans="1:40" x14ac:dyDescent="0.25">
      <c r="A969" t="str">
        <f>"20190303154115727"</f>
        <v>20190303154115727</v>
      </c>
      <c r="B969" t="str">
        <f>"1551598875719885"</f>
        <v>1551598875719885</v>
      </c>
      <c r="C969" t="s">
        <v>40</v>
      </c>
      <c r="D969">
        <v>5.9218400000000004</v>
      </c>
      <c r="E969">
        <v>0.51119829999999999</v>
      </c>
      <c r="F969" t="s">
        <v>43</v>
      </c>
      <c r="G969">
        <v>-300.82670000000002</v>
      </c>
      <c r="H969">
        <v>-0.05</v>
      </c>
      <c r="I969">
        <v>366.39120000000003</v>
      </c>
      <c r="J969">
        <v>-320.07319999999999</v>
      </c>
      <c r="K969">
        <v>1.117877</v>
      </c>
      <c r="L969">
        <v>367.44110000000001</v>
      </c>
      <c r="M969">
        <v>0.99991359999999996</v>
      </c>
      <c r="N969">
        <v>-1.276541E-2</v>
      </c>
      <c r="O969">
        <v>-3.175532E-3</v>
      </c>
      <c r="P969">
        <v>0.99454989999999999</v>
      </c>
      <c r="Q969">
        <v>-0.1012889</v>
      </c>
      <c r="R969">
        <v>-2.472709E-2</v>
      </c>
      <c r="S969">
        <v>2.9938349999999998</v>
      </c>
      <c r="T969">
        <v>-0.1807793</v>
      </c>
      <c r="U969">
        <v>-0.1624756</v>
      </c>
      <c r="V969">
        <v>2.1575629999999998E-2</v>
      </c>
      <c r="W969">
        <v>-8.8582049999999996E-2</v>
      </c>
      <c r="X969">
        <v>0.99583520000000003</v>
      </c>
      <c r="Y969">
        <v>5.0910400000000001E-2</v>
      </c>
      <c r="Z969">
        <v>-1.709164E-3</v>
      </c>
      <c r="AA969">
        <v>0.99870179999999997</v>
      </c>
      <c r="AB969">
        <v>19</v>
      </c>
      <c r="AC969">
        <v>19.246499999999902</v>
      </c>
      <c r="AD969">
        <v>-1.1678770000000001</v>
      </c>
      <c r="AE969">
        <v>-1.0498999999999701</v>
      </c>
      <c r="AF969">
        <v>0.98515521904998204</v>
      </c>
      <c r="AG969">
        <v>-1.1678770000000001</v>
      </c>
      <c r="AH969">
        <v>19.1793273206242</v>
      </c>
      <c r="AI969">
        <v>93.480003600371901</v>
      </c>
      <c r="AJ969">
        <v>87.059559400297502</v>
      </c>
      <c r="AK969">
        <v>19.240090019654001</v>
      </c>
      <c r="AL969">
        <v>95.082038630853404</v>
      </c>
      <c r="AM969">
        <v>88.758831615022302</v>
      </c>
      <c r="AN969">
        <v>1.00000001647556</v>
      </c>
    </row>
    <row r="970" spans="1:40" x14ac:dyDescent="0.25">
      <c r="A970" t="str">
        <f>"20190303154115740"</f>
        <v>20190303154115740</v>
      </c>
      <c r="B970" t="str">
        <f>"1551598875730621"</f>
        <v>1551598875730621</v>
      </c>
      <c r="C970" t="s">
        <v>40</v>
      </c>
      <c r="D970">
        <v>5.9421949999999999</v>
      </c>
      <c r="E970">
        <v>0.51126949999999904</v>
      </c>
      <c r="F970" t="s">
        <v>43</v>
      </c>
      <c r="G970">
        <v>-301.08600000000001</v>
      </c>
      <c r="H970">
        <v>-0.05</v>
      </c>
      <c r="I970">
        <v>366.40550000000002</v>
      </c>
      <c r="J970">
        <v>-319.96300000000002</v>
      </c>
      <c r="K970">
        <v>1.11724</v>
      </c>
      <c r="L970">
        <v>367.44080000000002</v>
      </c>
      <c r="M970">
        <v>0.9999017</v>
      </c>
      <c r="N970">
        <v>-1.367636E-2</v>
      </c>
      <c r="O970">
        <v>-3.1381109999999999E-3</v>
      </c>
      <c r="P970">
        <v>0.99447920000000001</v>
      </c>
      <c r="Q970">
        <v>-0.1019859</v>
      </c>
      <c r="R970">
        <v>-2.469905E-2</v>
      </c>
      <c r="S970">
        <v>2.9936219999999998</v>
      </c>
      <c r="T970">
        <v>-0.18413280000000001</v>
      </c>
      <c r="U970">
        <v>-0.163269</v>
      </c>
      <c r="V970">
        <v>2.1584860000000001E-2</v>
      </c>
      <c r="W970">
        <v>-8.8372800000000001E-2</v>
      </c>
      <c r="X970">
        <v>0.99585360000000001</v>
      </c>
      <c r="Y970">
        <v>5.120955E-2</v>
      </c>
      <c r="Z970">
        <v>-1.7732829999999901E-3</v>
      </c>
      <c r="AA970">
        <v>0.99868639999999997</v>
      </c>
      <c r="AB970">
        <v>19</v>
      </c>
      <c r="AC970">
        <v>18.876999999999899</v>
      </c>
      <c r="AD970">
        <v>-1.1672400000000001</v>
      </c>
      <c r="AE970">
        <v>-1.0353000000000001</v>
      </c>
      <c r="AF970">
        <v>0.97234469471677698</v>
      </c>
      <c r="AG970">
        <v>-1.1672400000000001</v>
      </c>
      <c r="AH970">
        <v>18.8084588549698</v>
      </c>
      <c r="AI970">
        <v>93.546458461894602</v>
      </c>
      <c r="AJ970">
        <v>87.040603071321598</v>
      </c>
      <c r="AK970">
        <v>18.869711919423501</v>
      </c>
      <c r="AL970">
        <v>95.070002239970094</v>
      </c>
      <c r="AM970">
        <v>88.758323747734195</v>
      </c>
      <c r="AN970">
        <v>1.0000000252970001</v>
      </c>
    </row>
    <row r="971" spans="1:40" x14ac:dyDescent="0.25">
      <c r="A971" t="str">
        <f>"20190303154115754"</f>
        <v>20190303154115754</v>
      </c>
      <c r="B971" t="str">
        <f>"1551598875750141"</f>
        <v>1551598875750141</v>
      </c>
      <c r="C971" t="s">
        <v>40</v>
      </c>
      <c r="D971">
        <v>5.9197579999999999</v>
      </c>
      <c r="E971">
        <v>0.51138099999999997</v>
      </c>
      <c r="F971" t="s">
        <v>43</v>
      </c>
      <c r="G971">
        <v>-301.17930000000001</v>
      </c>
      <c r="H971">
        <v>-0.05</v>
      </c>
      <c r="I971">
        <v>366.4119</v>
      </c>
      <c r="J971">
        <v>-319.83999999999997</v>
      </c>
      <c r="K971">
        <v>1.116458</v>
      </c>
      <c r="L971">
        <v>367.44040000000001</v>
      </c>
      <c r="M971">
        <v>0.99988500000000002</v>
      </c>
      <c r="N971">
        <v>-1.485157E-2</v>
      </c>
      <c r="O971">
        <v>-3.0962540000000001E-3</v>
      </c>
      <c r="P971">
        <v>0.99431159999999996</v>
      </c>
      <c r="Q971">
        <v>-0.1035798</v>
      </c>
      <c r="R971">
        <v>-2.4817820000000001E-2</v>
      </c>
      <c r="S971">
        <v>2.9935</v>
      </c>
      <c r="T971">
        <v>-0.18601860000000001</v>
      </c>
      <c r="U971">
        <v>-0.163970899999999</v>
      </c>
      <c r="V971">
        <v>2.174566E-2</v>
      </c>
      <c r="W971">
        <v>-8.8798539999999995E-2</v>
      </c>
      <c r="X971">
        <v>0.99581220000000004</v>
      </c>
      <c r="Y971">
        <v>5.1482130000000001E-2</v>
      </c>
      <c r="Z971">
        <v>-1.833744E-3</v>
      </c>
      <c r="AA971">
        <v>0.99867220000000001</v>
      </c>
      <c r="AB971">
        <v>19</v>
      </c>
      <c r="AC971">
        <v>18.660699999999899</v>
      </c>
      <c r="AD971">
        <v>-1.166458</v>
      </c>
      <c r="AE971">
        <v>-1.0285</v>
      </c>
      <c r="AF971">
        <v>0.96694368838118605</v>
      </c>
      <c r="AG971">
        <v>-1.166458</v>
      </c>
      <c r="AH971">
        <v>18.5913723787598</v>
      </c>
      <c r="AI971">
        <v>93.5853066820859</v>
      </c>
      <c r="AJ971">
        <v>87.022709415182007</v>
      </c>
      <c r="AK971">
        <v>18.653008639036699</v>
      </c>
      <c r="AL971">
        <v>95.094491772596697</v>
      </c>
      <c r="AM971">
        <v>88.749024613081602</v>
      </c>
      <c r="AN971">
        <v>0.99999999605190304</v>
      </c>
    </row>
    <row r="972" spans="1:40" x14ac:dyDescent="0.25">
      <c r="A972" t="str">
        <f>"20190303154115765"</f>
        <v>20190303154115765</v>
      </c>
      <c r="B972" t="str">
        <f>"1551598875759901"</f>
        <v>1551598875759901</v>
      </c>
      <c r="C972" t="s">
        <v>40</v>
      </c>
      <c r="D972">
        <v>5.9166720000000002</v>
      </c>
      <c r="E972">
        <v>0.51134089999999999</v>
      </c>
      <c r="F972" t="s">
        <v>43</v>
      </c>
      <c r="G972">
        <v>-301.59589999999997</v>
      </c>
      <c r="H972">
        <v>-0.05</v>
      </c>
      <c r="I972">
        <v>366.43369999999999</v>
      </c>
      <c r="J972">
        <v>-319.74250000000001</v>
      </c>
      <c r="K972">
        <v>1.1157760000000001</v>
      </c>
      <c r="L972">
        <v>367.44009999999997</v>
      </c>
      <c r="M972">
        <v>0.99986989999999998</v>
      </c>
      <c r="N972">
        <v>-1.5848350000000001E-2</v>
      </c>
      <c r="O972">
        <v>-3.0623830000000001E-3</v>
      </c>
      <c r="P972">
        <v>0.9941818</v>
      </c>
      <c r="Q972">
        <v>-0.1048111</v>
      </c>
      <c r="R972">
        <v>-2.485335E-2</v>
      </c>
      <c r="S972">
        <v>2.9931030000000001</v>
      </c>
      <c r="T972">
        <v>-0.1913675</v>
      </c>
      <c r="U972">
        <v>-0.16516110000000001</v>
      </c>
      <c r="V972">
        <v>2.1815029999999999E-2</v>
      </c>
      <c r="W972">
        <v>-8.9038980000000004E-2</v>
      </c>
      <c r="X972">
        <v>0.99578920000000004</v>
      </c>
      <c r="Y972">
        <v>5.190993E-2</v>
      </c>
      <c r="Z972">
        <v>-1.9217360000000001E-3</v>
      </c>
      <c r="AA972">
        <v>0.99864989999999998</v>
      </c>
      <c r="AB972">
        <v>19</v>
      </c>
      <c r="AC972">
        <v>18.146599999999999</v>
      </c>
      <c r="AD972">
        <v>-1.1657759999999999</v>
      </c>
      <c r="AE972">
        <v>-1.00639999999998</v>
      </c>
      <c r="AF972">
        <v>0.94692046560106402</v>
      </c>
      <c r="AG972">
        <v>-1.1657759999999999</v>
      </c>
      <c r="AH972">
        <v>18.0752286302931</v>
      </c>
      <c r="AI972">
        <v>93.6851854692231</v>
      </c>
      <c r="AJ972">
        <v>87.001144745492596</v>
      </c>
      <c r="AK972">
        <v>18.137518630940601</v>
      </c>
      <c r="AL972">
        <v>95.108322822077398</v>
      </c>
      <c r="AM972">
        <v>88.745006221483393</v>
      </c>
      <c r="AN972">
        <v>0.99999998316498995</v>
      </c>
    </row>
    <row r="973" spans="1:40" x14ac:dyDescent="0.25">
      <c r="A973" t="str">
        <f>"20190303154115778"</f>
        <v>20190303154115778</v>
      </c>
      <c r="B973" t="str">
        <f>"1551598875770540"</f>
        <v>1551598875770540</v>
      </c>
      <c r="C973" t="s">
        <v>40</v>
      </c>
      <c r="D973">
        <v>5.9344080000000003</v>
      </c>
      <c r="E973">
        <v>0.5114668</v>
      </c>
      <c r="F973" t="s">
        <v>43</v>
      </c>
      <c r="G973">
        <v>-301.8064</v>
      </c>
      <c r="H973">
        <v>-0.05</v>
      </c>
      <c r="I973">
        <v>366.45310000000001</v>
      </c>
      <c r="J973">
        <v>-319.63619999999997</v>
      </c>
      <c r="K973">
        <v>1.1150089999999999</v>
      </c>
      <c r="L973">
        <v>367.43979999999999</v>
      </c>
      <c r="M973">
        <v>0.99985210000000002</v>
      </c>
      <c r="N973">
        <v>-1.6933130000000001E-2</v>
      </c>
      <c r="O973">
        <v>-3.0247439999999998E-3</v>
      </c>
      <c r="P973">
        <v>0.99405529999999998</v>
      </c>
      <c r="Q973">
        <v>-0.1059398</v>
      </c>
      <c r="R973">
        <v>-2.512884E-2</v>
      </c>
      <c r="S973">
        <v>2.9929199999999998</v>
      </c>
      <c r="T973">
        <v>-0.19452759999999999</v>
      </c>
      <c r="U973">
        <v>-0.1647034</v>
      </c>
      <c r="V973">
        <v>2.2127770000000001E-2</v>
      </c>
      <c r="W973">
        <v>-8.9089360000000006E-2</v>
      </c>
      <c r="X973">
        <v>0.99577780000000005</v>
      </c>
      <c r="Y973">
        <v>5.179301E-2</v>
      </c>
      <c r="Z973">
        <v>-1.9744879999999999E-3</v>
      </c>
      <c r="AA973">
        <v>0.99865590000000004</v>
      </c>
      <c r="AB973">
        <v>19</v>
      </c>
      <c r="AC973">
        <v>17.829799999999899</v>
      </c>
      <c r="AD973">
        <v>-1.165009</v>
      </c>
      <c r="AE973">
        <v>-0.98669999999998403</v>
      </c>
      <c r="AF973">
        <v>0.92880385682519795</v>
      </c>
      <c r="AG973">
        <v>-1.165009</v>
      </c>
      <c r="AH973">
        <v>17.757122776641001</v>
      </c>
      <c r="AI973">
        <v>93.748571130293897</v>
      </c>
      <c r="AJ973">
        <v>87.005816247937005</v>
      </c>
      <c r="AK973">
        <v>17.8195210900641</v>
      </c>
      <c r="AL973">
        <v>95.111220867693007</v>
      </c>
      <c r="AM973">
        <v>88.727005955843495</v>
      </c>
      <c r="AN973">
        <v>0.99999998962161096</v>
      </c>
    </row>
    <row r="974" spans="1:40" x14ac:dyDescent="0.25">
      <c r="A974" t="str">
        <f>"20190303154115790"</f>
        <v>20190303154115790</v>
      </c>
      <c r="B974" t="str">
        <f>"1551598875780301"</f>
        <v>1551598875780301</v>
      </c>
      <c r="C974" t="s">
        <v>40</v>
      </c>
      <c r="D974">
        <v>5.9023379999999896</v>
      </c>
      <c r="E974">
        <v>0.51149809999999996</v>
      </c>
      <c r="F974" t="s">
        <v>43</v>
      </c>
      <c r="G974">
        <v>-301.97820000000002</v>
      </c>
      <c r="H974">
        <v>-0.05</v>
      </c>
      <c r="I974">
        <v>366.45530000000002</v>
      </c>
      <c r="J974">
        <v>-319.53440000000001</v>
      </c>
      <c r="K974">
        <v>1.114214</v>
      </c>
      <c r="L974">
        <v>367.43959999999998</v>
      </c>
      <c r="M974">
        <v>0.99983480000000002</v>
      </c>
      <c r="N974">
        <v>-1.7925969999999999E-2</v>
      </c>
      <c r="O974">
        <v>-2.9877039999999999E-3</v>
      </c>
      <c r="P974">
        <v>0.99391399999999996</v>
      </c>
      <c r="Q974">
        <v>-0.1073025</v>
      </c>
      <c r="R974">
        <v>-2.492426E-2</v>
      </c>
      <c r="S974">
        <v>2.9926759999999999</v>
      </c>
      <c r="T974">
        <v>-0.1974458</v>
      </c>
      <c r="U974">
        <v>-0.16687009999999999</v>
      </c>
      <c r="V974">
        <v>2.1960380000000002E-2</v>
      </c>
      <c r="W974">
        <v>-8.946556E-2</v>
      </c>
      <c r="X974">
        <v>0.99574779999999996</v>
      </c>
      <c r="Y974">
        <v>5.2547679999999999E-2</v>
      </c>
      <c r="Z974">
        <v>-2.0589979999999998E-3</v>
      </c>
      <c r="AA974">
        <v>0.99861630000000001</v>
      </c>
      <c r="AB974">
        <v>19</v>
      </c>
      <c r="AC974">
        <v>17.556199999999901</v>
      </c>
      <c r="AD974">
        <v>-1.1642139999999901</v>
      </c>
      <c r="AE974">
        <v>-0.98429999999996198</v>
      </c>
      <c r="AF974">
        <v>0.927767383026328</v>
      </c>
      <c r="AG974">
        <v>-1.1642139999999901</v>
      </c>
      <c r="AH974">
        <v>17.482425045631601</v>
      </c>
      <c r="AI974">
        <v>93.804557298520393</v>
      </c>
      <c r="AJ974">
        <v>86.962244211945901</v>
      </c>
      <c r="AK974">
        <v>17.545692691681602</v>
      </c>
      <c r="AL974">
        <v>95.132861837500897</v>
      </c>
      <c r="AM974">
        <v>88.736594593782797</v>
      </c>
      <c r="AN974">
        <v>1.0000000129603399</v>
      </c>
    </row>
    <row r="975" spans="1:40" x14ac:dyDescent="0.25">
      <c r="A975" t="str">
        <f>"20190303154115812"</f>
        <v>20190303154115812</v>
      </c>
      <c r="B975" t="str">
        <f>"1551598875800795"</f>
        <v>1551598875800795</v>
      </c>
      <c r="C975" t="s">
        <v>40</v>
      </c>
      <c r="D975">
        <v>5.9103690000000002</v>
      </c>
      <c r="E975">
        <v>0.51155249999999997</v>
      </c>
      <c r="F975" t="s">
        <v>43</v>
      </c>
      <c r="G975">
        <v>-302.20600000000002</v>
      </c>
      <c r="H975">
        <v>-0.05</v>
      </c>
      <c r="I975">
        <v>366.47699999999998</v>
      </c>
      <c r="J975">
        <v>-319.3503</v>
      </c>
      <c r="K975">
        <v>1.112708</v>
      </c>
      <c r="L975">
        <v>367.4391</v>
      </c>
      <c r="M975">
        <v>0.99980469999999999</v>
      </c>
      <c r="N975">
        <v>-1.9550970000000001E-2</v>
      </c>
      <c r="O975">
        <v>-2.9205949999999998E-3</v>
      </c>
      <c r="P975">
        <v>0.99373409999999995</v>
      </c>
      <c r="Q975">
        <v>-0.1090889</v>
      </c>
      <c r="R975">
        <v>-2.434304E-2</v>
      </c>
      <c r="S975">
        <v>2.9924620000000002</v>
      </c>
      <c r="T975">
        <v>-0.2010499</v>
      </c>
      <c r="U975">
        <v>-0.16622919999999999</v>
      </c>
      <c r="V975">
        <v>2.144631E-2</v>
      </c>
      <c r="W975">
        <v>-8.9636770000000004E-2</v>
      </c>
      <c r="X975">
        <v>0.99574359999999995</v>
      </c>
      <c r="Y975">
        <v>5.2398019999999997E-2</v>
      </c>
      <c r="Z975">
        <v>-2.1314350000000001E-3</v>
      </c>
      <c r="AA975">
        <v>0.99862399999999996</v>
      </c>
      <c r="AB975">
        <v>19</v>
      </c>
      <c r="AC975">
        <v>17.144300000000001</v>
      </c>
      <c r="AD975">
        <v>-1.1627080000000001</v>
      </c>
      <c r="AE975">
        <v>-0.96210000000002005</v>
      </c>
      <c r="AF975">
        <v>0.90785229767159503</v>
      </c>
      <c r="AG975">
        <v>-1.1627080000000001</v>
      </c>
      <c r="AH975">
        <v>17.068777501738399</v>
      </c>
      <c r="AI975">
        <v>93.891427474560004</v>
      </c>
      <c r="AJ975">
        <v>86.955427076798699</v>
      </c>
      <c r="AK975">
        <v>17.132403540995199</v>
      </c>
      <c r="AL975">
        <v>95.142711056303099</v>
      </c>
      <c r="AM975">
        <v>88.766155165429595</v>
      </c>
      <c r="AN975">
        <v>1.0000000058448</v>
      </c>
    </row>
    <row r="976" spans="1:40" x14ac:dyDescent="0.25">
      <c r="A976" t="str">
        <f>"20190303154115826"</f>
        <v>20190303154115826</v>
      </c>
      <c r="B976" t="str">
        <f>"1551598875820315"</f>
        <v>1551598875820315</v>
      </c>
      <c r="C976" t="s">
        <v>40</v>
      </c>
      <c r="D976">
        <v>5.9297740000000001</v>
      </c>
      <c r="E976">
        <v>0.51167680000000004</v>
      </c>
      <c r="F976" t="s">
        <v>43</v>
      </c>
      <c r="G976">
        <v>-302.40679999999998</v>
      </c>
      <c r="H976">
        <v>-0.05</v>
      </c>
      <c r="I976">
        <v>366.50459999999998</v>
      </c>
      <c r="J976">
        <v>-319.22910000000002</v>
      </c>
      <c r="K976">
        <v>1.111696</v>
      </c>
      <c r="L976">
        <v>367.43880000000001</v>
      </c>
      <c r="M976">
        <v>0.99978610000000001</v>
      </c>
      <c r="N976">
        <v>-2.048355E-2</v>
      </c>
      <c r="O976">
        <v>-2.8776549999999998E-3</v>
      </c>
      <c r="P976">
        <v>0.99366520000000003</v>
      </c>
      <c r="Q976">
        <v>-0.1097366</v>
      </c>
      <c r="R976">
        <v>-2.4238139999999998E-2</v>
      </c>
      <c r="S976">
        <v>2.9923709999999999</v>
      </c>
      <c r="T976">
        <v>-0.20534430000000001</v>
      </c>
      <c r="U976">
        <v>-0.16503909999999999</v>
      </c>
      <c r="V976">
        <v>2.1384110000000001E-2</v>
      </c>
      <c r="W976">
        <v>-8.9357000000000006E-2</v>
      </c>
      <c r="X976">
        <v>0.99577009999999999</v>
      </c>
      <c r="Y976">
        <v>5.2040160000000002E-2</v>
      </c>
      <c r="Z976">
        <v>-2.1781470000000001E-3</v>
      </c>
      <c r="AA976">
        <v>0.99864260000000005</v>
      </c>
      <c r="AB976">
        <v>19</v>
      </c>
      <c r="AC976">
        <v>16.822299999999998</v>
      </c>
      <c r="AD976">
        <v>-1.1616959999999901</v>
      </c>
      <c r="AE976">
        <v>-0.934200000000032</v>
      </c>
      <c r="AF976">
        <v>0.88158596712307302</v>
      </c>
      <c r="AG976">
        <v>-1.1616959999999901</v>
      </c>
      <c r="AH976">
        <v>16.745308731784501</v>
      </c>
      <c r="AI976">
        <v>93.963031993437397</v>
      </c>
      <c r="AJ976">
        <v>86.986346054026001</v>
      </c>
      <c r="AK976">
        <v>16.8086910833837</v>
      </c>
      <c r="AL976">
        <v>95.126616744310397</v>
      </c>
      <c r="AM976">
        <v>88.769765272536702</v>
      </c>
      <c r="AN976">
        <v>1.00000002283175</v>
      </c>
    </row>
    <row r="977" spans="1:40" x14ac:dyDescent="0.25">
      <c r="A977" t="str">
        <f>"20190303154115840"</f>
        <v>20190303154115840</v>
      </c>
      <c r="B977" t="str">
        <f>"1551598875830075"</f>
        <v>1551598875830075</v>
      </c>
      <c r="C977" t="s">
        <v>40</v>
      </c>
      <c r="D977">
        <v>5.940995</v>
      </c>
      <c r="E977">
        <v>0.51180789999999998</v>
      </c>
      <c r="F977" t="s">
        <v>43</v>
      </c>
      <c r="G977">
        <v>-302.36579999999998</v>
      </c>
      <c r="H977">
        <v>-0.05</v>
      </c>
      <c r="I977">
        <v>366.50510000000003</v>
      </c>
      <c r="J977">
        <v>-319.10610000000003</v>
      </c>
      <c r="K977">
        <v>1.1106750000000001</v>
      </c>
      <c r="L977">
        <v>367.43849999999998</v>
      </c>
      <c r="M977">
        <v>0.99976779999999998</v>
      </c>
      <c r="N977">
        <v>-2.136041E-2</v>
      </c>
      <c r="O977">
        <v>-2.835153E-3</v>
      </c>
      <c r="P977">
        <v>0.9935889</v>
      </c>
      <c r="Q977">
        <v>-0.1104902</v>
      </c>
      <c r="R977">
        <v>-2.3940039999999999E-2</v>
      </c>
      <c r="S977">
        <v>2.9923099999999998</v>
      </c>
      <c r="T977">
        <v>-0.2061374</v>
      </c>
      <c r="U977">
        <v>-0.16567989999999999</v>
      </c>
      <c r="V977">
        <v>2.1128460000000002E-2</v>
      </c>
      <c r="W977">
        <v>-8.9238659999999997E-2</v>
      </c>
      <c r="X977">
        <v>0.99578610000000001</v>
      </c>
      <c r="Y977">
        <v>5.2293329999999999E-2</v>
      </c>
      <c r="Z977">
        <v>-2.2231210000000002E-3</v>
      </c>
      <c r="AA977">
        <v>0.99862930000000005</v>
      </c>
      <c r="AB977">
        <v>19</v>
      </c>
      <c r="AC977">
        <v>16.740300000000001</v>
      </c>
      <c r="AD977">
        <v>-1.1606749999999999</v>
      </c>
      <c r="AE977">
        <v>-0.93339999999994905</v>
      </c>
      <c r="AF977">
        <v>0.88169871194594795</v>
      </c>
      <c r="AG977">
        <v>-1.1606749999999999</v>
      </c>
      <c r="AH977">
        <v>16.663024914360999</v>
      </c>
      <c r="AI977">
        <v>93.978994415520802</v>
      </c>
      <c r="AJ977">
        <v>86.971105350099506</v>
      </c>
      <c r="AK977">
        <v>16.726654129588699</v>
      </c>
      <c r="AL977">
        <v>95.119809520787996</v>
      </c>
      <c r="AM977">
        <v>88.7844879848912</v>
      </c>
      <c r="AN977">
        <v>0.99999995360688698</v>
      </c>
    </row>
    <row r="978" spans="1:40" x14ac:dyDescent="0.25">
      <c r="A978" t="str">
        <f>"20190303154115857"</f>
        <v>20190303154115857</v>
      </c>
      <c r="B978" t="str">
        <f>"1551598875850572"</f>
        <v>1551598875850572</v>
      </c>
      <c r="C978" t="s">
        <v>40</v>
      </c>
      <c r="D978">
        <v>5.9091959999999997</v>
      </c>
      <c r="E978">
        <v>0.51184200000000002</v>
      </c>
      <c r="F978" t="s">
        <v>43</v>
      </c>
      <c r="G978">
        <v>-302.41800000000001</v>
      </c>
      <c r="H978">
        <v>-0.05</v>
      </c>
      <c r="I978">
        <v>366.5129</v>
      </c>
      <c r="J978">
        <v>-318.964</v>
      </c>
      <c r="K978">
        <v>1.1095269999999999</v>
      </c>
      <c r="L978">
        <v>367.43810000000002</v>
      </c>
      <c r="M978">
        <v>0.99974779999999996</v>
      </c>
      <c r="N978">
        <v>-2.2290089999999999E-2</v>
      </c>
      <c r="O978">
        <v>-2.787313E-3</v>
      </c>
      <c r="P978">
        <v>0.99353579999999997</v>
      </c>
      <c r="Q978">
        <v>-0.11100260000000001</v>
      </c>
      <c r="R978">
        <v>-2.377781E-2</v>
      </c>
      <c r="S978">
        <v>2.9922179999999998</v>
      </c>
      <c r="T978">
        <v>-0.20811160000000001</v>
      </c>
      <c r="U978">
        <v>-0.16595460000000001</v>
      </c>
      <c r="V978">
        <v>2.1013819999999999E-2</v>
      </c>
      <c r="W978">
        <v>-8.8826180000000005E-2</v>
      </c>
      <c r="X978">
        <v>0.99582550000000003</v>
      </c>
      <c r="Y978">
        <v>5.2429150000000001E-2</v>
      </c>
      <c r="Z978">
        <v>-2.2739980000000002E-3</v>
      </c>
      <c r="AA978">
        <v>0.99862209999999996</v>
      </c>
      <c r="AB978">
        <v>19</v>
      </c>
      <c r="AC978">
        <v>16.5459999999999</v>
      </c>
      <c r="AD978">
        <v>-1.159527</v>
      </c>
      <c r="AE978">
        <v>-0.92520000000001701</v>
      </c>
      <c r="AF978">
        <v>0.874783341316828</v>
      </c>
      <c r="AG978">
        <v>-1.159527</v>
      </c>
      <c r="AH978">
        <v>16.467892347845201</v>
      </c>
      <c r="AI978">
        <v>94.021975641459605</v>
      </c>
      <c r="AJ978">
        <v>86.959275176200705</v>
      </c>
      <c r="AK978">
        <v>16.531824676610601</v>
      </c>
      <c r="AL978">
        <v>95.096081441947106</v>
      </c>
      <c r="AM978">
        <v>88.791129033407003</v>
      </c>
      <c r="AN978">
        <v>1.00000004866731</v>
      </c>
    </row>
    <row r="979" spans="1:40" x14ac:dyDescent="0.25">
      <c r="A979" t="str">
        <f>"20190303154115879"</f>
        <v>20190303154115879</v>
      </c>
      <c r="B979" t="str">
        <f>"1551598875869739"</f>
        <v>1551598875869739</v>
      </c>
      <c r="C979" t="s">
        <v>40</v>
      </c>
      <c r="D979">
        <v>5.9203219999999996</v>
      </c>
      <c r="E979">
        <v>0.51192839999999995</v>
      </c>
      <c r="F979" t="s">
        <v>43</v>
      </c>
      <c r="G979">
        <v>-302.30590000000001</v>
      </c>
      <c r="H979">
        <v>-0.05</v>
      </c>
      <c r="I979">
        <v>366.51679999999999</v>
      </c>
      <c r="J979">
        <v>-318.77379999999999</v>
      </c>
      <c r="K979">
        <v>1.1080730000000001</v>
      </c>
      <c r="L979">
        <v>367.43770000000001</v>
      </c>
      <c r="M979">
        <v>0.99972220000000001</v>
      </c>
      <c r="N979">
        <v>-2.3410299999999998E-2</v>
      </c>
      <c r="O979">
        <v>-2.7234350000000002E-3</v>
      </c>
      <c r="P979">
        <v>0.99343320000000002</v>
      </c>
      <c r="Q979">
        <v>-0.1118774</v>
      </c>
      <c r="R979">
        <v>-2.395951E-2</v>
      </c>
      <c r="S979">
        <v>2.9922789999999999</v>
      </c>
      <c r="T979">
        <v>-0.20828469999999999</v>
      </c>
      <c r="U979">
        <v>-0.165496799999999</v>
      </c>
      <c r="V979">
        <v>2.1258969999999999E-2</v>
      </c>
      <c r="W979">
        <v>-8.8587299999999994E-2</v>
      </c>
      <c r="X979">
        <v>0.99584150000000005</v>
      </c>
      <c r="Y979">
        <v>5.233728E-2</v>
      </c>
      <c r="Z979">
        <v>-2.3065730000000001E-3</v>
      </c>
      <c r="AA979">
        <v>0.99862680000000004</v>
      </c>
      <c r="AB979">
        <v>19</v>
      </c>
      <c r="AC979">
        <v>16.467899999999901</v>
      </c>
      <c r="AD979">
        <v>-1.1580729999999999</v>
      </c>
      <c r="AE979">
        <v>-0.92090000000001704</v>
      </c>
      <c r="AF979">
        <v>0.87173743993193598</v>
      </c>
      <c r="AG979">
        <v>-1.1580729999999999</v>
      </c>
      <c r="AH979">
        <v>16.389548509486001</v>
      </c>
      <c r="AI979">
        <v>94.036072398540099</v>
      </c>
      <c r="AJ979">
        <v>86.955385590909302</v>
      </c>
      <c r="AK979">
        <v>16.4535211909884</v>
      </c>
      <c r="AL979">
        <v>95.082340840804903</v>
      </c>
      <c r="AM979">
        <v>88.777050086732004</v>
      </c>
      <c r="AN979">
        <v>0.99999997332449997</v>
      </c>
    </row>
    <row r="980" spans="1:40" x14ac:dyDescent="0.25">
      <c r="A980" t="str">
        <f>"20190303154115892"</f>
        <v>20190303154115892</v>
      </c>
      <c r="B980" t="str">
        <f>"1551598875880475"</f>
        <v>1551598875880475</v>
      </c>
      <c r="C980" t="s">
        <v>40</v>
      </c>
      <c r="D980">
        <v>5.939298</v>
      </c>
      <c r="E980">
        <v>0.51200119999999905</v>
      </c>
      <c r="F980" t="s">
        <v>43</v>
      </c>
      <c r="G980">
        <v>-302.31939999999997</v>
      </c>
      <c r="H980">
        <v>-0.05</v>
      </c>
      <c r="I980">
        <v>366.52019999999999</v>
      </c>
      <c r="J980">
        <v>-318.65210000000002</v>
      </c>
      <c r="K980">
        <v>1.1071959999999901</v>
      </c>
      <c r="L980">
        <v>367.43740000000003</v>
      </c>
      <c r="M980">
        <v>0.99970700000000001</v>
      </c>
      <c r="N980">
        <v>-2.406229E-2</v>
      </c>
      <c r="O980">
        <v>-2.6819420000000001E-3</v>
      </c>
      <c r="P980">
        <v>0.99338230000000005</v>
      </c>
      <c r="Q980">
        <v>-0.11228929999999999</v>
      </c>
      <c r="R980">
        <v>-2.4144970000000002E-2</v>
      </c>
      <c r="S980">
        <v>2.992035</v>
      </c>
      <c r="T980">
        <v>-0.21058180000000001</v>
      </c>
      <c r="U980">
        <v>-0.1668396</v>
      </c>
      <c r="V980">
        <v>2.1485529999999999E-2</v>
      </c>
      <c r="W980">
        <v>-8.8350899999999996E-2</v>
      </c>
      <c r="X980">
        <v>0.99585769999999996</v>
      </c>
      <c r="Y980">
        <v>5.282382E-2</v>
      </c>
      <c r="Z980">
        <v>-2.3683950000000001E-3</v>
      </c>
      <c r="AA980">
        <v>0.99860099999999996</v>
      </c>
      <c r="AB980">
        <v>19</v>
      </c>
      <c r="AC980">
        <v>16.332699999999999</v>
      </c>
      <c r="AD980">
        <v>-1.1571959999999999</v>
      </c>
      <c r="AE980">
        <v>-0.91720000000003599</v>
      </c>
      <c r="AF980">
        <v>0.869031897861962</v>
      </c>
      <c r="AG980">
        <v>-1.1571959999999999</v>
      </c>
      <c r="AH980">
        <v>16.2537655157935</v>
      </c>
      <c r="AI980">
        <v>94.066545203671893</v>
      </c>
      <c r="AJ980">
        <v>86.939509489549096</v>
      </c>
      <c r="AK980">
        <v>16.318063992530401</v>
      </c>
      <c r="AL980">
        <v>95.068742490336504</v>
      </c>
      <c r="AM980">
        <v>88.764041049434894</v>
      </c>
      <c r="AN980">
        <v>1.0000000340897299</v>
      </c>
    </row>
    <row r="981" spans="1:40" x14ac:dyDescent="0.25">
      <c r="A981" t="str">
        <f>"20190303154115905"</f>
        <v>20190303154115905</v>
      </c>
      <c r="B981" t="str">
        <f>"1551598875899995"</f>
        <v>1551598875899995</v>
      </c>
      <c r="C981" t="s">
        <v>40</v>
      </c>
      <c r="D981">
        <v>5.8861819999999998</v>
      </c>
      <c r="E981">
        <v>0.51214150000000003</v>
      </c>
      <c r="F981" t="s">
        <v>43</v>
      </c>
      <c r="G981">
        <v>-302.30950000000001</v>
      </c>
      <c r="H981">
        <v>-0.05</v>
      </c>
      <c r="I981">
        <v>366.51909999999998</v>
      </c>
      <c r="J981">
        <v>-318.54300000000001</v>
      </c>
      <c r="K981">
        <v>1.1064229999999999</v>
      </c>
      <c r="L981">
        <v>367.43720000000002</v>
      </c>
      <c r="M981">
        <v>0.99969770000000002</v>
      </c>
      <c r="N981">
        <v>-2.4449329999999998E-2</v>
      </c>
      <c r="O981">
        <v>-2.6436239999999998E-3</v>
      </c>
      <c r="P981">
        <v>0.99333369999999999</v>
      </c>
      <c r="Q981">
        <v>-0.1126766</v>
      </c>
      <c r="R981">
        <v>-2.434439E-2</v>
      </c>
      <c r="S981">
        <v>2.991943</v>
      </c>
      <c r="T981">
        <v>-0.2118553</v>
      </c>
      <c r="U981">
        <v>-0.1681213</v>
      </c>
      <c r="V981">
        <v>2.1722789999999999E-2</v>
      </c>
      <c r="W981">
        <v>-8.8353780000000007E-2</v>
      </c>
      <c r="X981">
        <v>0.99585230000000002</v>
      </c>
      <c r="Y981">
        <v>5.3286050000000001E-2</v>
      </c>
      <c r="Z981">
        <v>-2.4135609999999998E-3</v>
      </c>
      <c r="AA981">
        <v>0.99857629999999997</v>
      </c>
      <c r="AB981">
        <v>19</v>
      </c>
      <c r="AC981">
        <v>16.2334999999999</v>
      </c>
      <c r="AD981">
        <v>-1.156423</v>
      </c>
      <c r="AE981">
        <v>-0.918100000000038</v>
      </c>
      <c r="AF981">
        <v>0.87076392865123098</v>
      </c>
      <c r="AG981">
        <v>-1.156423</v>
      </c>
      <c r="AH981">
        <v>16.1541551974646</v>
      </c>
      <c r="AI981">
        <v>94.088716424805796</v>
      </c>
      <c r="AJ981">
        <v>86.914548565707406</v>
      </c>
      <c r="AK981">
        <v>16.218886340255999</v>
      </c>
      <c r="AL981">
        <v>95.0689081366029</v>
      </c>
      <c r="AM981">
        <v>88.750390155743105</v>
      </c>
      <c r="AN981">
        <v>1.00000003673048</v>
      </c>
    </row>
    <row r="982" spans="1:40" x14ac:dyDescent="0.25">
      <c r="A982" t="str">
        <f>"20190303154115923"</f>
        <v>20190303154115923</v>
      </c>
      <c r="B982" t="str">
        <f>"1551598875920491"</f>
        <v>1551598875920491</v>
      </c>
      <c r="C982" t="s">
        <v>40</v>
      </c>
      <c r="D982">
        <v>5.9142659999999996</v>
      </c>
      <c r="E982">
        <v>0.51224859999999905</v>
      </c>
      <c r="F982" t="s">
        <v>43</v>
      </c>
      <c r="G982">
        <v>-302.24970000000002</v>
      </c>
      <c r="H982">
        <v>-0.05</v>
      </c>
      <c r="I982">
        <v>366.51319999999998</v>
      </c>
      <c r="J982">
        <v>-318.392</v>
      </c>
      <c r="K982">
        <v>1.1053539999999999</v>
      </c>
      <c r="L982">
        <v>367.43689999999998</v>
      </c>
      <c r="M982">
        <v>0.99968889999999999</v>
      </c>
      <c r="N982">
        <v>-2.4810929999999998E-2</v>
      </c>
      <c r="O982">
        <v>-2.5898179999999998E-3</v>
      </c>
      <c r="P982">
        <v>0.99338470000000001</v>
      </c>
      <c r="Q982">
        <v>-0.1121456</v>
      </c>
      <c r="R982">
        <v>-2.470485E-2</v>
      </c>
      <c r="S982">
        <v>2.9918819999999999</v>
      </c>
      <c r="T982">
        <v>-0.21235039999999999</v>
      </c>
      <c r="U982">
        <v>-0.16967769999999999</v>
      </c>
      <c r="V982">
        <v>2.213621E-2</v>
      </c>
      <c r="W982">
        <v>-8.7461490000000003E-2</v>
      </c>
      <c r="X982">
        <v>0.99592190000000003</v>
      </c>
      <c r="Y982">
        <v>5.3855300000000002E-2</v>
      </c>
      <c r="Z982">
        <v>-2.4578769999999998E-3</v>
      </c>
      <c r="AA982">
        <v>0.99854569999999998</v>
      </c>
      <c r="AB982">
        <v>19</v>
      </c>
      <c r="AC982">
        <v>16.142299999999899</v>
      </c>
      <c r="AD982">
        <v>-1.155354</v>
      </c>
      <c r="AE982">
        <v>-0.92369999999999597</v>
      </c>
      <c r="AF982">
        <v>0.87739842808102397</v>
      </c>
      <c r="AG982">
        <v>-1.155354</v>
      </c>
      <c r="AH982">
        <v>16.062623260010099</v>
      </c>
      <c r="AI982">
        <v>94.107988456611807</v>
      </c>
      <c r="AJ982">
        <v>86.873405006425898</v>
      </c>
      <c r="AK982">
        <v>16.128004738960499</v>
      </c>
      <c r="AL982">
        <v>95.017585292920799</v>
      </c>
      <c r="AM982">
        <v>88.726704767976798</v>
      </c>
      <c r="AN982">
        <v>0.99999997746289604</v>
      </c>
    </row>
    <row r="983" spans="1:40" x14ac:dyDescent="0.25">
      <c r="A983" t="str">
        <f>"20190303154115945"</f>
        <v>20190303154115945</v>
      </c>
      <c r="B983" t="str">
        <f>"1551598875940011"</f>
        <v>1551598875940011</v>
      </c>
      <c r="C983" t="s">
        <v>40</v>
      </c>
      <c r="D983">
        <v>5.915311</v>
      </c>
      <c r="E983">
        <v>0.51240770000000002</v>
      </c>
      <c r="F983" t="s">
        <v>43</v>
      </c>
      <c r="G983">
        <v>-301.90370000000001</v>
      </c>
      <c r="H983">
        <v>-0.05</v>
      </c>
      <c r="I983">
        <v>366.49110000000002</v>
      </c>
      <c r="J983">
        <v>-318.19150000000002</v>
      </c>
      <c r="K983">
        <v>1.1039139999999901</v>
      </c>
      <c r="L983">
        <v>367.43639999999999</v>
      </c>
      <c r="M983">
        <v>0.99968199999999996</v>
      </c>
      <c r="N983">
        <v>-2.509577E-2</v>
      </c>
      <c r="O983">
        <v>-2.519369E-3</v>
      </c>
      <c r="P983">
        <v>0.99342750000000002</v>
      </c>
      <c r="Q983">
        <v>-0.11175499999999999</v>
      </c>
      <c r="R983">
        <v>-2.4760000000000001E-2</v>
      </c>
      <c r="S983">
        <v>2.992035</v>
      </c>
      <c r="T983">
        <v>-0.20965529999999999</v>
      </c>
      <c r="U983">
        <v>-0.1716309</v>
      </c>
      <c r="V983">
        <v>2.2260970000000001E-2</v>
      </c>
      <c r="W983">
        <v>-8.6786299999999997E-2</v>
      </c>
      <c r="X983">
        <v>0.99597820000000004</v>
      </c>
      <c r="Y983">
        <v>5.457335E-2</v>
      </c>
      <c r="Z983">
        <v>-2.4816560000000001E-3</v>
      </c>
      <c r="AA983">
        <v>0.99850669999999997</v>
      </c>
      <c r="AB983">
        <v>19</v>
      </c>
      <c r="AC983">
        <v>16.287800000000001</v>
      </c>
      <c r="AD983">
        <v>-1.1539140000000001</v>
      </c>
      <c r="AE983">
        <v>-0.94529999999997405</v>
      </c>
      <c r="AF983">
        <v>0.89974836937604097</v>
      </c>
      <c r="AG983">
        <v>-1.1539140000000001</v>
      </c>
      <c r="AH983">
        <v>16.209049568063101</v>
      </c>
      <c r="AI983">
        <v>94.065749883201505</v>
      </c>
      <c r="AJ983">
        <v>86.822828281507995</v>
      </c>
      <c r="AK983">
        <v>16.274960907710899</v>
      </c>
      <c r="AL983">
        <v>94.978752008671293</v>
      </c>
      <c r="AM983">
        <v>88.719603197585698</v>
      </c>
      <c r="AN983">
        <v>0.99999999376413495</v>
      </c>
    </row>
    <row r="984" spans="1:40" x14ac:dyDescent="0.25">
      <c r="A984" t="str">
        <f>"20190303154115967"</f>
        <v>20190303154115967</v>
      </c>
      <c r="B984" t="str">
        <f>"1551598875960510"</f>
        <v>1551598875960510</v>
      </c>
      <c r="C984" t="s">
        <v>40</v>
      </c>
      <c r="D984">
        <v>5.9030589999999998</v>
      </c>
      <c r="E984">
        <v>0.51252540000000002</v>
      </c>
      <c r="F984" t="s">
        <v>43</v>
      </c>
      <c r="G984">
        <v>-301.56209999999999</v>
      </c>
      <c r="H984">
        <v>-0.05</v>
      </c>
      <c r="I984">
        <v>366.47219999999999</v>
      </c>
      <c r="J984">
        <v>-318.00670000000002</v>
      </c>
      <c r="K984">
        <v>1.102535</v>
      </c>
      <c r="L984">
        <v>367.43599999999998</v>
      </c>
      <c r="M984">
        <v>0.99967629999999996</v>
      </c>
      <c r="N984">
        <v>-2.532562E-2</v>
      </c>
      <c r="O984">
        <v>-2.456696E-3</v>
      </c>
      <c r="P984">
        <v>0.99338280000000001</v>
      </c>
      <c r="Q984">
        <v>-0.1120911</v>
      </c>
      <c r="R984">
        <v>-2.5029309999999999E-2</v>
      </c>
      <c r="S984">
        <v>2.9921570000000002</v>
      </c>
      <c r="T984">
        <v>-0.20762539999999999</v>
      </c>
      <c r="U984">
        <v>-0.17349239999999999</v>
      </c>
      <c r="V984">
        <v>2.2592709999999998E-2</v>
      </c>
      <c r="W984">
        <v>-8.6894429999999995E-2</v>
      </c>
      <c r="X984">
        <v>0.99596130000000005</v>
      </c>
      <c r="Y984">
        <v>5.5252990000000002E-2</v>
      </c>
      <c r="Z984">
        <v>-2.506608E-3</v>
      </c>
      <c r="AA984">
        <v>0.99846919999999995</v>
      </c>
      <c r="AB984">
        <v>19</v>
      </c>
      <c r="AC984">
        <v>16.444600000000001</v>
      </c>
      <c r="AD984">
        <v>-1.1525350000000001</v>
      </c>
      <c r="AE984">
        <v>-0.963799999999992</v>
      </c>
      <c r="AF984">
        <v>0.918886593519053</v>
      </c>
      <c r="AG984">
        <v>-1.1525350000000001</v>
      </c>
      <c r="AH984">
        <v>16.366799752457201</v>
      </c>
      <c r="AI984">
        <v>94.021754127269304</v>
      </c>
      <c r="AJ984">
        <v>86.786597764051393</v>
      </c>
      <c r="AK984">
        <v>16.433040608329499</v>
      </c>
      <c r="AL984">
        <v>94.984970904609199</v>
      </c>
      <c r="AM984">
        <v>88.700506772408801</v>
      </c>
      <c r="AN984">
        <v>0.99999999180392896</v>
      </c>
    </row>
    <row r="985" spans="1:40" x14ac:dyDescent="0.25">
      <c r="A985" t="str">
        <f>"20190303154115979"</f>
        <v>20190303154115979</v>
      </c>
      <c r="B985" t="str">
        <f>"1551598875970326"</f>
        <v>1551598875970326</v>
      </c>
      <c r="C985" t="s">
        <v>40</v>
      </c>
      <c r="D985">
        <v>5.8975119999999999</v>
      </c>
      <c r="E985">
        <v>0.51252540000000002</v>
      </c>
      <c r="F985" t="s">
        <v>43</v>
      </c>
      <c r="G985">
        <v>-301.38959999999997</v>
      </c>
      <c r="H985">
        <v>-0.05</v>
      </c>
      <c r="I985">
        <v>366.46609999999998</v>
      </c>
      <c r="J985">
        <v>-317.9051</v>
      </c>
      <c r="K985">
        <v>1.1017330000000001</v>
      </c>
      <c r="L985">
        <v>367.43579999999997</v>
      </c>
      <c r="M985">
        <v>0.99967410000000001</v>
      </c>
      <c r="N985">
        <v>-2.5417550000000001E-2</v>
      </c>
      <c r="O985">
        <v>-2.423279E-3</v>
      </c>
      <c r="P985">
        <v>0.99342200000000003</v>
      </c>
      <c r="Q985">
        <v>-0.1117283</v>
      </c>
      <c r="R985">
        <v>-2.509596E-2</v>
      </c>
      <c r="S985">
        <v>2.9921880000000001</v>
      </c>
      <c r="T985">
        <v>-0.20753260000000001</v>
      </c>
      <c r="U985">
        <v>-0.1746521</v>
      </c>
      <c r="V985">
        <v>2.2692529999999999E-2</v>
      </c>
      <c r="W985">
        <v>-8.6439160000000001E-2</v>
      </c>
      <c r="X985">
        <v>0.99599870000000001</v>
      </c>
      <c r="Y985">
        <v>5.5669990000000003E-2</v>
      </c>
      <c r="Z985">
        <v>-2.5297850000000001E-3</v>
      </c>
      <c r="AA985">
        <v>0.99844599999999994</v>
      </c>
      <c r="AB985">
        <v>19</v>
      </c>
      <c r="AC985">
        <v>16.515499999999999</v>
      </c>
      <c r="AD985">
        <v>-1.1517329999999999</v>
      </c>
      <c r="AE985">
        <v>-0.96969999999998802</v>
      </c>
      <c r="AF985">
        <v>0.925178705825076</v>
      </c>
      <c r="AG985">
        <v>-1.1517329999999999</v>
      </c>
      <c r="AH985">
        <v>16.438135155361099</v>
      </c>
      <c r="AI985">
        <v>94.001549604206005</v>
      </c>
      <c r="AJ985">
        <v>86.778651076954304</v>
      </c>
      <c r="AK985">
        <v>16.504385233231801</v>
      </c>
      <c r="AL985">
        <v>94.958787071429398</v>
      </c>
      <c r="AM985">
        <v>88.694816276985307</v>
      </c>
      <c r="AN985">
        <v>1.00000004485049</v>
      </c>
    </row>
    <row r="986" spans="1:40" x14ac:dyDescent="0.25">
      <c r="A986" t="str">
        <f>"20190303154115990"</f>
        <v>20190303154115990</v>
      </c>
      <c r="B986" t="str">
        <f>"1551598875980087"</f>
        <v>1551598875980087</v>
      </c>
      <c r="C986" t="s">
        <v>40</v>
      </c>
      <c r="D986">
        <v>6.0204259999999996</v>
      </c>
      <c r="E986">
        <v>0.51263729999999996</v>
      </c>
      <c r="F986" t="s">
        <v>43</v>
      </c>
      <c r="G986">
        <v>-301.21080000000001</v>
      </c>
      <c r="H986">
        <v>-0.05</v>
      </c>
      <c r="I986">
        <v>366.45850000000002</v>
      </c>
      <c r="J986">
        <v>-317.80279999999999</v>
      </c>
      <c r="K986">
        <v>1.1008659999999999</v>
      </c>
      <c r="L986">
        <v>367.43560000000002</v>
      </c>
      <c r="M986">
        <v>0.9996737</v>
      </c>
      <c r="N986">
        <v>-2.5433810000000001E-2</v>
      </c>
      <c r="O986">
        <v>-2.3893759999999999E-3</v>
      </c>
      <c r="P986">
        <v>0.99343099999999995</v>
      </c>
      <c r="Q986">
        <v>-0.11166230000000001</v>
      </c>
      <c r="R986">
        <v>-2.5034500000000001E-2</v>
      </c>
      <c r="S986">
        <v>2.9922490000000002</v>
      </c>
      <c r="T986">
        <v>-0.2064346</v>
      </c>
      <c r="U986">
        <v>-0.17517089999999999</v>
      </c>
      <c r="V986">
        <v>2.2664900000000002E-2</v>
      </c>
      <c r="W986">
        <v>-8.6356680000000005E-2</v>
      </c>
      <c r="X986">
        <v>0.99600639999999996</v>
      </c>
      <c r="Y986">
        <v>5.5876090000000003E-2</v>
      </c>
      <c r="Z986">
        <v>-2.5321380000000002E-3</v>
      </c>
      <c r="AA986">
        <v>0.9984345</v>
      </c>
      <c r="AB986">
        <v>19</v>
      </c>
      <c r="AC986">
        <v>16.591999999999899</v>
      </c>
      <c r="AD986">
        <v>-1.1508659999999999</v>
      </c>
      <c r="AE986">
        <v>-0.97710000000000696</v>
      </c>
      <c r="AF986">
        <v>0.93296669323005399</v>
      </c>
      <c r="AG986">
        <v>-1.1508659999999999</v>
      </c>
      <c r="AH986">
        <v>16.515105402711001</v>
      </c>
      <c r="AI986">
        <v>93.9799248488128</v>
      </c>
      <c r="AJ986">
        <v>86.766699495911894</v>
      </c>
      <c r="AK986">
        <v>16.5814241204815</v>
      </c>
      <c r="AL986">
        <v>94.954043993109906</v>
      </c>
      <c r="AM986">
        <v>88.6964149700174</v>
      </c>
      <c r="AN986">
        <v>0.99999996135679503</v>
      </c>
    </row>
    <row r="987" spans="1:40" x14ac:dyDescent="0.25">
      <c r="A987" t="str">
        <f>"20190303154116002"</f>
        <v>20190303154116002</v>
      </c>
      <c r="B987" t="str">
        <f>"1551598876000582"</f>
        <v>1551598876000582</v>
      </c>
      <c r="C987" t="s">
        <v>40</v>
      </c>
      <c r="D987">
        <v>5.9769909999999999</v>
      </c>
      <c r="E987">
        <v>0.51890559999999997</v>
      </c>
      <c r="F987" t="s">
        <v>43</v>
      </c>
      <c r="G987">
        <v>-301.09350000000001</v>
      </c>
      <c r="H987">
        <v>-0.05</v>
      </c>
      <c r="I987">
        <v>366.4538</v>
      </c>
      <c r="J987">
        <v>-317.69819999999999</v>
      </c>
      <c r="K987">
        <v>1.0999159999999999</v>
      </c>
      <c r="L987">
        <v>367.43540000000002</v>
      </c>
      <c r="M987">
        <v>0.99967620000000001</v>
      </c>
      <c r="N987">
        <v>-2.5340669999999999E-2</v>
      </c>
      <c r="O987">
        <v>-2.3549220000000002E-3</v>
      </c>
      <c r="P987">
        <v>0.99346129999999999</v>
      </c>
      <c r="Q987">
        <v>-0.1113878</v>
      </c>
      <c r="R987">
        <v>-2.505317E-2</v>
      </c>
      <c r="S987">
        <v>2.9922490000000002</v>
      </c>
      <c r="T987">
        <v>-0.20609340000000001</v>
      </c>
      <c r="U987">
        <v>-0.17581179999999999</v>
      </c>
      <c r="V987">
        <v>2.2717910000000001E-2</v>
      </c>
      <c r="W987">
        <v>-8.6174269999999997E-2</v>
      </c>
      <c r="X987">
        <v>0.99602100000000005</v>
      </c>
      <c r="Y987">
        <v>5.6123480000000003E-2</v>
      </c>
      <c r="Z987">
        <v>-2.5395359999999998E-3</v>
      </c>
      <c r="AA987">
        <v>0.99842059999999999</v>
      </c>
      <c r="AB987">
        <v>19</v>
      </c>
      <c r="AC987">
        <v>16.604699999999902</v>
      </c>
      <c r="AD987">
        <v>-1.1499159999999999</v>
      </c>
      <c r="AE987">
        <v>-0.98160000000001402</v>
      </c>
      <c r="AF987">
        <v>0.93799906209317196</v>
      </c>
      <c r="AG987">
        <v>-1.1499159999999999</v>
      </c>
      <c r="AH987">
        <v>16.527975780606901</v>
      </c>
      <c r="AI987">
        <v>93.973505167028904</v>
      </c>
      <c r="AJ987">
        <v>86.7518224689981</v>
      </c>
      <c r="AK987">
        <v>16.594460896693001</v>
      </c>
      <c r="AL987">
        <v>94.9435535186376</v>
      </c>
      <c r="AM987">
        <v>88.693386270908107</v>
      </c>
      <c r="AN987">
        <v>0.9999999703429</v>
      </c>
    </row>
    <row r="988" spans="1:40" x14ac:dyDescent="0.25">
      <c r="A988" t="str">
        <f>"20190303154116014"</f>
        <v>20190303154116014</v>
      </c>
      <c r="B988" t="str">
        <f>"1551598876010344"</f>
        <v>1551598876010344</v>
      </c>
      <c r="C988" t="s">
        <v>40</v>
      </c>
      <c r="D988">
        <v>5.9884589999999998</v>
      </c>
      <c r="E988">
        <v>0.51880479999999995</v>
      </c>
      <c r="F988" t="s">
        <v>43</v>
      </c>
      <c r="G988">
        <v>-300.95319999999998</v>
      </c>
      <c r="H988">
        <v>-0.05</v>
      </c>
      <c r="I988">
        <v>366.1712</v>
      </c>
      <c r="J988">
        <v>-317.59789999999998</v>
      </c>
      <c r="K988">
        <v>1.0989599999999999</v>
      </c>
      <c r="L988">
        <v>367.43520000000001</v>
      </c>
      <c r="M988">
        <v>0.99968029999999997</v>
      </c>
      <c r="N988">
        <v>-2.517927E-2</v>
      </c>
      <c r="O988">
        <v>-2.3215219999999999E-3</v>
      </c>
      <c r="P988">
        <v>0.99352090000000004</v>
      </c>
      <c r="Q988">
        <v>-0.1108398</v>
      </c>
      <c r="R988">
        <v>-2.5124090000000002E-2</v>
      </c>
      <c r="S988">
        <v>2.991028</v>
      </c>
      <c r="T988">
        <v>-0.2054</v>
      </c>
      <c r="U988">
        <v>-0.22579959999999999</v>
      </c>
      <c r="V988">
        <v>2.2821959999999999E-2</v>
      </c>
      <c r="W988">
        <v>-8.5785749999999994E-2</v>
      </c>
      <c r="X988">
        <v>0.99605220000000005</v>
      </c>
      <c r="Y988">
        <v>7.2731149999999994E-2</v>
      </c>
      <c r="Z988">
        <v>-3.3087329999999999E-3</v>
      </c>
      <c r="AA988">
        <v>0.99734610000000001</v>
      </c>
      <c r="AB988">
        <v>19</v>
      </c>
      <c r="AC988">
        <v>16.6447</v>
      </c>
      <c r="AD988">
        <v>-1.14896</v>
      </c>
      <c r="AE988">
        <v>-1.26400000000001</v>
      </c>
      <c r="AF988">
        <v>1.21956545930919</v>
      </c>
      <c r="AG988">
        <v>-1.14896</v>
      </c>
      <c r="AH988">
        <v>16.5690923328496</v>
      </c>
      <c r="AI988">
        <v>93.956076141754707</v>
      </c>
      <c r="AJ988">
        <v>85.790344304502696</v>
      </c>
      <c r="AK988">
        <v>16.6535963000679</v>
      </c>
      <c r="AL988">
        <v>94.921210020970804</v>
      </c>
      <c r="AM988">
        <v>88.687445056391695</v>
      </c>
      <c r="AN988">
        <v>1.00000001094307</v>
      </c>
    </row>
    <row r="989" spans="1:40" x14ac:dyDescent="0.25">
      <c r="A989" t="str">
        <f>"20190303154116026"</f>
        <v>20190303154116026</v>
      </c>
      <c r="B989" t="str">
        <f>"1551598876020102"</f>
        <v>1551598876020102</v>
      </c>
      <c r="C989" t="s">
        <v>40</v>
      </c>
      <c r="D989">
        <v>6.0004759999999999</v>
      </c>
      <c r="E989">
        <v>0.51860899999999999</v>
      </c>
      <c r="F989" t="s">
        <v>43</v>
      </c>
      <c r="G989">
        <v>-300.84899999999999</v>
      </c>
      <c r="H989">
        <v>-0.05</v>
      </c>
      <c r="I989">
        <v>366.173</v>
      </c>
      <c r="J989">
        <v>-317.49489999999997</v>
      </c>
      <c r="K989">
        <v>1.097888</v>
      </c>
      <c r="L989">
        <v>367.435</v>
      </c>
      <c r="M989">
        <v>0.99968860000000004</v>
      </c>
      <c r="N989">
        <v>-2.485072E-2</v>
      </c>
      <c r="O989">
        <v>-2.286901E-3</v>
      </c>
      <c r="P989">
        <v>0.99356339999999999</v>
      </c>
      <c r="Q989">
        <v>-0.1104837</v>
      </c>
      <c r="R989">
        <v>-2.5006069999999998E-2</v>
      </c>
      <c r="S989">
        <v>2.9909970000000001</v>
      </c>
      <c r="T989">
        <v>-0.20518030000000001</v>
      </c>
      <c r="U989">
        <v>-0.22540279999999999</v>
      </c>
      <c r="V989">
        <v>2.2738580000000001E-2</v>
      </c>
      <c r="W989">
        <v>-8.5756029999999997E-2</v>
      </c>
      <c r="X989">
        <v>0.99605670000000002</v>
      </c>
      <c r="Y989">
        <v>7.2636489999999998E-2</v>
      </c>
      <c r="Z989">
        <v>-3.290608E-3</v>
      </c>
      <c r="AA989">
        <v>0.99735309999999999</v>
      </c>
      <c r="AB989">
        <v>19</v>
      </c>
      <c r="AC989">
        <v>16.645899999999902</v>
      </c>
      <c r="AD989">
        <v>-1.147888</v>
      </c>
      <c r="AE989">
        <v>-1.262</v>
      </c>
      <c r="AF989">
        <v>1.2181577271774799</v>
      </c>
      <c r="AG989">
        <v>-1.147888</v>
      </c>
      <c r="AH989">
        <v>16.570395347666398</v>
      </c>
      <c r="AI989">
        <v>93.952113099384206</v>
      </c>
      <c r="AJ989">
        <v>85.795515489776804</v>
      </c>
      <c r="AK989">
        <v>16.654715761212799</v>
      </c>
      <c r="AL989">
        <v>94.919500725818594</v>
      </c>
      <c r="AM989">
        <v>88.692244711888407</v>
      </c>
      <c r="AN989">
        <v>1.0000000446583299</v>
      </c>
    </row>
    <row r="990" spans="1:40" x14ac:dyDescent="0.25">
      <c r="A990" t="str">
        <f>"20190303154116039"</f>
        <v>20190303154116039</v>
      </c>
      <c r="B990" t="str">
        <f>"1551598876029863"</f>
        <v>1551598876029863</v>
      </c>
      <c r="C990" t="s">
        <v>40</v>
      </c>
      <c r="D990">
        <v>5.9961019999999996</v>
      </c>
      <c r="E990">
        <v>0.51856150000000001</v>
      </c>
      <c r="F990" t="s">
        <v>43</v>
      </c>
      <c r="G990">
        <v>-300.70549999999997</v>
      </c>
      <c r="H990">
        <v>-0.05</v>
      </c>
      <c r="I990">
        <v>366.1807</v>
      </c>
      <c r="J990">
        <v>-317.38529999999997</v>
      </c>
      <c r="K990">
        <v>1.0967129999999901</v>
      </c>
      <c r="L990">
        <v>367.4348</v>
      </c>
      <c r="M990">
        <v>0.99969819999999998</v>
      </c>
      <c r="N990">
        <v>-2.446189E-2</v>
      </c>
      <c r="O990">
        <v>-2.2500509999999999E-3</v>
      </c>
      <c r="P990">
        <v>0.99362209999999995</v>
      </c>
      <c r="Q990">
        <v>-0.1099183</v>
      </c>
      <c r="R990">
        <v>-2.5164059999999999E-2</v>
      </c>
      <c r="S990">
        <v>2.9911189999999999</v>
      </c>
      <c r="T990">
        <v>-0.20450170000000001</v>
      </c>
      <c r="U990">
        <v>-0.2234497</v>
      </c>
      <c r="V990">
        <v>2.2933080000000002E-2</v>
      </c>
      <c r="W990">
        <v>-8.5576769999999996E-2</v>
      </c>
      <c r="X990">
        <v>0.99606760000000005</v>
      </c>
      <c r="Y990">
        <v>7.2026800000000002E-2</v>
      </c>
      <c r="Z990">
        <v>-3.2411390000000001E-3</v>
      </c>
      <c r="AA990">
        <v>0.99739739999999999</v>
      </c>
      <c r="AB990">
        <v>19</v>
      </c>
      <c r="AC990">
        <v>16.6798</v>
      </c>
      <c r="AD990">
        <v>-1.1467130000000001</v>
      </c>
      <c r="AE990">
        <v>-1.25409999999999</v>
      </c>
      <c r="AF990">
        <v>1.21086436430936</v>
      </c>
      <c r="AG990">
        <v>-1.1467130000000001</v>
      </c>
      <c r="AH990">
        <v>16.604542314025402</v>
      </c>
      <c r="AI990">
        <v>93.940155763625995</v>
      </c>
      <c r="AJ990">
        <v>85.829163649262298</v>
      </c>
      <c r="AK990">
        <v>16.688078639297601</v>
      </c>
      <c r="AL990">
        <v>94.909192273646696</v>
      </c>
      <c r="AM990">
        <v>88.681076870203299</v>
      </c>
      <c r="AN990">
        <v>0.99999998674583901</v>
      </c>
    </row>
    <row r="991" spans="1:40" x14ac:dyDescent="0.25">
      <c r="A991" t="str">
        <f>"20190303154116058"</f>
        <v>20190303154116058</v>
      </c>
      <c r="B991" t="str">
        <f>"1551598876050358"</f>
        <v>1551598876050358</v>
      </c>
      <c r="C991" t="s">
        <v>40</v>
      </c>
      <c r="D991">
        <v>5.9806970000000002</v>
      </c>
      <c r="E991">
        <v>0.51861670000000004</v>
      </c>
      <c r="F991" t="s">
        <v>43</v>
      </c>
      <c r="G991">
        <v>-300.37740000000002</v>
      </c>
      <c r="H991">
        <v>-0.05</v>
      </c>
      <c r="I991">
        <v>366.16410000000002</v>
      </c>
      <c r="J991">
        <v>-317.21859999999998</v>
      </c>
      <c r="K991">
        <v>1.0948290000000001</v>
      </c>
      <c r="L991">
        <v>367.43439999999998</v>
      </c>
      <c r="M991">
        <v>0.99971480000000001</v>
      </c>
      <c r="N991">
        <v>-2.378661E-2</v>
      </c>
      <c r="O991">
        <v>-2.1952009999999999E-3</v>
      </c>
      <c r="P991">
        <v>0.99371909999999997</v>
      </c>
      <c r="Q991">
        <v>-0.10906979999999999</v>
      </c>
      <c r="R991">
        <v>-2.502851E-2</v>
      </c>
      <c r="S991">
        <v>2.9912719999999999</v>
      </c>
      <c r="T991">
        <v>-0.20167840000000001</v>
      </c>
      <c r="U991">
        <v>-0.22348019999999999</v>
      </c>
      <c r="V991">
        <v>2.2851900000000001E-2</v>
      </c>
      <c r="W991">
        <v>-8.5399020000000006E-2</v>
      </c>
      <c r="X991">
        <v>0.99608470000000005</v>
      </c>
      <c r="Y991">
        <v>7.2094690000000003E-2</v>
      </c>
      <c r="Z991">
        <v>-3.1888260000000001E-3</v>
      </c>
      <c r="AA991">
        <v>0.99739270000000002</v>
      </c>
      <c r="AB991">
        <v>19</v>
      </c>
      <c r="AC991">
        <v>16.841199999999901</v>
      </c>
      <c r="AD991">
        <v>-1.1448290000000001</v>
      </c>
      <c r="AE991">
        <v>-1.27029999999996</v>
      </c>
      <c r="AF991">
        <v>1.2276756756685701</v>
      </c>
      <c r="AG991">
        <v>-1.1448290000000001</v>
      </c>
      <c r="AH991">
        <v>16.766907333379599</v>
      </c>
      <c r="AI991">
        <v>93.895644136596601</v>
      </c>
      <c r="AJ991">
        <v>85.812266805082203</v>
      </c>
      <c r="AK991">
        <v>16.850727062355801</v>
      </c>
      <c r="AL991">
        <v>94.898970632068696</v>
      </c>
      <c r="AM991">
        <v>88.685766593397005</v>
      </c>
      <c r="AN991">
        <v>0.99999996576232897</v>
      </c>
    </row>
    <row r="992" spans="1:40" x14ac:dyDescent="0.25">
      <c r="A992" t="str">
        <f>"20190303154116081"</f>
        <v>20190303154116081</v>
      </c>
      <c r="B992" t="str">
        <f>"1551598876070386"</f>
        <v>1551598876070386</v>
      </c>
      <c r="C992" t="s">
        <v>40</v>
      </c>
      <c r="D992">
        <v>5.9668580000000002</v>
      </c>
      <c r="E992">
        <v>0.518588099999999</v>
      </c>
      <c r="F992" t="s">
        <v>43</v>
      </c>
      <c r="G992">
        <v>-299.99869999999999</v>
      </c>
      <c r="H992">
        <v>-0.05</v>
      </c>
      <c r="I992">
        <v>366.14550000000003</v>
      </c>
      <c r="J992">
        <v>-317.02940000000001</v>
      </c>
      <c r="K992">
        <v>1.0926359999999999</v>
      </c>
      <c r="L992">
        <v>367.4341</v>
      </c>
      <c r="M992">
        <v>0.99973330000000005</v>
      </c>
      <c r="N992">
        <v>-2.2999559999999999E-2</v>
      </c>
      <c r="O992">
        <v>-2.132288E-3</v>
      </c>
      <c r="P992">
        <v>0.99379839999999997</v>
      </c>
      <c r="Q992">
        <v>-0.1082984</v>
      </c>
      <c r="R992">
        <v>-2.5225609999999999E-2</v>
      </c>
      <c r="S992">
        <v>2.9914860000000001</v>
      </c>
      <c r="T992">
        <v>-0.1988828</v>
      </c>
      <c r="U992">
        <v>-0.22390750000000001</v>
      </c>
      <c r="V992">
        <v>2.3111340000000001E-2</v>
      </c>
      <c r="W992">
        <v>-8.5410139999999996E-2</v>
      </c>
      <c r="X992">
        <v>0.99607780000000001</v>
      </c>
      <c r="Y992">
        <v>7.2300390000000006E-2</v>
      </c>
      <c r="Z992">
        <v>-3.1388610000000002E-3</v>
      </c>
      <c r="AA992">
        <v>0.99737799999999999</v>
      </c>
      <c r="AB992">
        <v>19</v>
      </c>
      <c r="AC992">
        <v>17.0307</v>
      </c>
      <c r="AD992">
        <v>-1.142636</v>
      </c>
      <c r="AE992">
        <v>-1.28859999999997</v>
      </c>
      <c r="AF992">
        <v>1.24669314586328</v>
      </c>
      <c r="AG992">
        <v>-1.142636</v>
      </c>
      <c r="AH992">
        <v>16.9575110683509</v>
      </c>
      <c r="AI992">
        <v>93.844549267724901</v>
      </c>
      <c r="AJ992">
        <v>85.795256875606796</v>
      </c>
      <c r="AK992">
        <v>17.041626755145199</v>
      </c>
      <c r="AL992">
        <v>94.8996099055461</v>
      </c>
      <c r="AM992">
        <v>88.670842083165198</v>
      </c>
      <c r="AN992">
        <v>1.00000000485212</v>
      </c>
    </row>
    <row r="993" spans="1:40" x14ac:dyDescent="0.25">
      <c r="A993" t="str">
        <f>"20190303154116101"</f>
        <v>20190303154116101</v>
      </c>
      <c r="B993" t="str">
        <f>"1551598876089905"</f>
        <v>1551598876089905</v>
      </c>
      <c r="C993" t="s">
        <v>40</v>
      </c>
      <c r="D993">
        <v>5.9743240000000002</v>
      </c>
      <c r="E993">
        <v>0.51849250000000002</v>
      </c>
      <c r="F993" t="s">
        <v>43</v>
      </c>
      <c r="G993">
        <v>-299.59629999999999</v>
      </c>
      <c r="H993">
        <v>-0.05</v>
      </c>
      <c r="I993">
        <v>366.12880000000001</v>
      </c>
      <c r="J993">
        <v>-316.84769999999997</v>
      </c>
      <c r="K993">
        <v>1.0905180000000001</v>
      </c>
      <c r="L993">
        <v>367.43380000000002</v>
      </c>
      <c r="M993">
        <v>0.99975190000000003</v>
      </c>
      <c r="N993">
        <v>-2.2178280000000002E-2</v>
      </c>
      <c r="O993">
        <v>-2.0697990000000002E-3</v>
      </c>
      <c r="P993">
        <v>0.99383809999999995</v>
      </c>
      <c r="Q993">
        <v>-0.10785690000000001</v>
      </c>
      <c r="R993">
        <v>-2.5553940000000001E-2</v>
      </c>
      <c r="S993">
        <v>2.9916689999999999</v>
      </c>
      <c r="T993">
        <v>-0.19608519999999999</v>
      </c>
      <c r="U993">
        <v>-0.223999</v>
      </c>
      <c r="V993">
        <v>2.3501660000000001E-2</v>
      </c>
      <c r="W993">
        <v>-8.5786189999999998E-2</v>
      </c>
      <c r="X993">
        <v>0.99603640000000004</v>
      </c>
      <c r="Y993">
        <v>7.2395409999999993E-2</v>
      </c>
      <c r="Z993">
        <v>-3.0823500000000002E-3</v>
      </c>
      <c r="AA993">
        <v>0.99737129999999996</v>
      </c>
      <c r="AB993">
        <v>19</v>
      </c>
      <c r="AC993">
        <v>17.251399999999901</v>
      </c>
      <c r="AD993">
        <v>-1.1405179999999999</v>
      </c>
      <c r="AE993">
        <v>-1.3049999999999999</v>
      </c>
      <c r="AF993">
        <v>1.263789214792</v>
      </c>
      <c r="AG993">
        <v>-1.1405179999999999</v>
      </c>
      <c r="AH993">
        <v>17.1794051857187</v>
      </c>
      <c r="AI993">
        <v>93.788011420314305</v>
      </c>
      <c r="AJ993">
        <v>85.792660450306499</v>
      </c>
      <c r="AK993">
        <v>17.263542713558198</v>
      </c>
      <c r="AL993">
        <v>94.921235110638506</v>
      </c>
      <c r="AM993">
        <v>88.648346461719996</v>
      </c>
      <c r="AN993">
        <v>1.00000005427121</v>
      </c>
    </row>
    <row r="994" spans="1:40" x14ac:dyDescent="0.25">
      <c r="A994" t="str">
        <f>"20190303154116112"</f>
        <v>20190303154116112</v>
      </c>
      <c r="B994" t="str">
        <f>"1551598876110402"</f>
        <v>1551598876110402</v>
      </c>
      <c r="C994" t="s">
        <v>40</v>
      </c>
      <c r="D994">
        <v>6.0007859999999997</v>
      </c>
      <c r="E994">
        <v>0.51841329999999997</v>
      </c>
      <c r="F994" t="s">
        <v>43</v>
      </c>
      <c r="G994">
        <v>-299.2174</v>
      </c>
      <c r="H994">
        <v>-0.05</v>
      </c>
      <c r="I994">
        <v>366.1121</v>
      </c>
      <c r="J994">
        <v>-316.74900000000002</v>
      </c>
      <c r="K994">
        <v>1.089369</v>
      </c>
      <c r="L994">
        <v>367.43360000000001</v>
      </c>
      <c r="M994">
        <v>0.99976279999999995</v>
      </c>
      <c r="N994">
        <v>-2.1691889999999998E-2</v>
      </c>
      <c r="O994">
        <v>-2.0353020000000001E-3</v>
      </c>
      <c r="P994">
        <v>0.99387840000000005</v>
      </c>
      <c r="Q994">
        <v>-0.1074114</v>
      </c>
      <c r="R994">
        <v>-2.5859819999999999E-2</v>
      </c>
      <c r="S994">
        <v>2.9918520000000002</v>
      </c>
      <c r="T994">
        <v>-0.19354560000000001</v>
      </c>
      <c r="U994">
        <v>-0.22430420000000001</v>
      </c>
      <c r="V994">
        <v>2.3841609999999999E-2</v>
      </c>
      <c r="W994">
        <v>-8.5824510000000007E-2</v>
      </c>
      <c r="X994">
        <v>0.99602500000000005</v>
      </c>
      <c r="Y994">
        <v>7.253184E-2</v>
      </c>
      <c r="Z994">
        <v>-3.0420379999999999E-3</v>
      </c>
      <c r="AA994">
        <v>0.99736150000000001</v>
      </c>
      <c r="AB994">
        <v>19</v>
      </c>
      <c r="AC994">
        <v>17.531600000000001</v>
      </c>
      <c r="AD994">
        <v>-1.1393690000000001</v>
      </c>
      <c r="AE994">
        <v>-1.3215000000000101</v>
      </c>
      <c r="AF994">
        <v>1.2804292661757899</v>
      </c>
      <c r="AG994">
        <v>-1.1393690000000001</v>
      </c>
      <c r="AH994">
        <v>17.460922171632799</v>
      </c>
      <c r="AI994">
        <v>93.723430998351304</v>
      </c>
      <c r="AJ994">
        <v>85.805942410921404</v>
      </c>
      <c r="AK994">
        <v>17.544841518453701</v>
      </c>
      <c r="AL994">
        <v>94.923438908543503</v>
      </c>
      <c r="AM994">
        <v>88.628786603427699</v>
      </c>
      <c r="AN994">
        <v>1.0000000347545599</v>
      </c>
    </row>
    <row r="995" spans="1:40" x14ac:dyDescent="0.25">
      <c r="A995" t="str">
        <f>"20190303154116124"</f>
        <v>20190303154116124</v>
      </c>
      <c r="B995" t="str">
        <f>"1551598876120161"</f>
        <v>1551598876120161</v>
      </c>
      <c r="C995" t="s">
        <v>40</v>
      </c>
      <c r="D995">
        <v>5.9709260000000004</v>
      </c>
      <c r="E995">
        <v>0.51836680000000002</v>
      </c>
      <c r="F995" t="s">
        <v>43</v>
      </c>
      <c r="G995">
        <v>-298.92610000000002</v>
      </c>
      <c r="H995">
        <v>-0.05</v>
      </c>
      <c r="I995">
        <v>366.0967</v>
      </c>
      <c r="J995">
        <v>-316.65219999999999</v>
      </c>
      <c r="K995">
        <v>1.088271</v>
      </c>
      <c r="L995">
        <v>367.43349999999998</v>
      </c>
      <c r="M995">
        <v>0.99977369999999999</v>
      </c>
      <c r="N995">
        <v>-2.1181269999999999E-2</v>
      </c>
      <c r="O995">
        <v>-2.0011389999999999E-3</v>
      </c>
      <c r="P995">
        <v>0.99389479999999997</v>
      </c>
      <c r="Q995">
        <v>-0.1071812</v>
      </c>
      <c r="R995">
        <v>-2.618759E-2</v>
      </c>
      <c r="S995">
        <v>2.9919739999999999</v>
      </c>
      <c r="T995">
        <v>-0.1912692</v>
      </c>
      <c r="U995">
        <v>-0.2244263</v>
      </c>
      <c r="V995">
        <v>2.4203140000000001E-2</v>
      </c>
      <c r="W995">
        <v>-8.6102659999999998E-2</v>
      </c>
      <c r="X995">
        <v>0.99599219999999999</v>
      </c>
      <c r="Y995">
        <v>7.2608439999999996E-2</v>
      </c>
      <c r="Z995">
        <v>-3.0010890000000002E-3</v>
      </c>
      <c r="AA995">
        <v>0.99735600000000002</v>
      </c>
      <c r="AB995">
        <v>19</v>
      </c>
      <c r="AC995">
        <v>17.726099999999899</v>
      </c>
      <c r="AD995">
        <v>-1.13827099999999</v>
      </c>
      <c r="AE995">
        <v>-1.33679999999998</v>
      </c>
      <c r="AF995">
        <v>1.29600313930136</v>
      </c>
      <c r="AG995">
        <v>-1.13827099999999</v>
      </c>
      <c r="AH995">
        <v>17.656346173113501</v>
      </c>
      <c r="AI995">
        <v>93.678775600315902</v>
      </c>
      <c r="AJ995">
        <v>85.801929730505805</v>
      </c>
      <c r="AK995">
        <v>17.7404014946488</v>
      </c>
      <c r="AL995">
        <v>94.939435305911005</v>
      </c>
      <c r="AM995">
        <v>88.607956060201005</v>
      </c>
      <c r="AN995">
        <v>0.99999996125288604</v>
      </c>
    </row>
    <row r="996" spans="1:40" x14ac:dyDescent="0.25">
      <c r="A996" t="str">
        <f>"20190303154116134"</f>
        <v>20190303154116134</v>
      </c>
      <c r="B996" t="str">
        <f>"1551598876129921"</f>
        <v>1551598876129921</v>
      </c>
      <c r="C996" t="s">
        <v>40</v>
      </c>
      <c r="D996">
        <v>5.9637789999999997</v>
      </c>
      <c r="E996">
        <v>0.51833070000000003</v>
      </c>
      <c r="F996" t="s">
        <v>43</v>
      </c>
      <c r="G996">
        <v>-298.72890000000001</v>
      </c>
      <c r="H996">
        <v>-0.05</v>
      </c>
      <c r="I996">
        <v>366.08390000000003</v>
      </c>
      <c r="J996">
        <v>-316.55380000000002</v>
      </c>
      <c r="K996">
        <v>1.087162</v>
      </c>
      <c r="L996">
        <v>367.43329999999997</v>
      </c>
      <c r="M996">
        <v>0.99978489999999998</v>
      </c>
      <c r="N996">
        <v>-2.0649420000000002E-2</v>
      </c>
      <c r="O996">
        <v>-1.9661710000000001E-3</v>
      </c>
      <c r="P996">
        <v>0.99397179999999996</v>
      </c>
      <c r="Q996">
        <v>-0.1064657</v>
      </c>
      <c r="R996">
        <v>-2.6175779999999999E-2</v>
      </c>
      <c r="S996">
        <v>2.9920040000000001</v>
      </c>
      <c r="T996">
        <v>-0.19001560000000001</v>
      </c>
      <c r="U996">
        <v>-0.2252808</v>
      </c>
      <c r="V996">
        <v>2.4226129999999998E-2</v>
      </c>
      <c r="W996">
        <v>-8.5915649999999996E-2</v>
      </c>
      <c r="X996">
        <v>0.9960078</v>
      </c>
      <c r="Y996">
        <v>7.2928419999999994E-2</v>
      </c>
      <c r="Z996">
        <v>-2.9812380000000002E-3</v>
      </c>
      <c r="AA996">
        <v>0.99733280000000002</v>
      </c>
      <c r="AB996">
        <v>19</v>
      </c>
      <c r="AC996">
        <v>17.8249</v>
      </c>
      <c r="AD996">
        <v>-1.137162</v>
      </c>
      <c r="AE996">
        <v>-1.34939999999994</v>
      </c>
      <c r="AF996">
        <v>1.3090457082286</v>
      </c>
      <c r="AG996">
        <v>-1.137162</v>
      </c>
      <c r="AH996">
        <v>17.755666129099701</v>
      </c>
      <c r="AI996">
        <v>93.654612740419793</v>
      </c>
      <c r="AJ996">
        <v>85.783467439407701</v>
      </c>
      <c r="AK996">
        <v>17.840135026634101</v>
      </c>
      <c r="AL996">
        <v>94.928680520384404</v>
      </c>
      <c r="AM996">
        <v>88.606656126073901</v>
      </c>
      <c r="AN996">
        <v>0.99999997097526905</v>
      </c>
    </row>
    <row r="997" spans="1:40" x14ac:dyDescent="0.25">
      <c r="A997" t="str">
        <f>"20190303154116147"</f>
        <v>20190303154116147</v>
      </c>
      <c r="B997" t="str">
        <f>"1551598876139682"</f>
        <v>1551598876139682</v>
      </c>
      <c r="C997" t="s">
        <v>40</v>
      </c>
      <c r="D997">
        <v>5.9605839999999999</v>
      </c>
      <c r="E997">
        <v>0.51834480000000005</v>
      </c>
      <c r="F997" t="s">
        <v>43</v>
      </c>
      <c r="G997">
        <v>-298.35930000000002</v>
      </c>
      <c r="H997">
        <v>-0.05</v>
      </c>
      <c r="I997">
        <v>366.0659</v>
      </c>
      <c r="J997">
        <v>-316.45030000000003</v>
      </c>
      <c r="K997">
        <v>1.086055</v>
      </c>
      <c r="L997">
        <v>367.4332</v>
      </c>
      <c r="M997">
        <v>0.99979649999999998</v>
      </c>
      <c r="N997">
        <v>-2.008476E-2</v>
      </c>
      <c r="O997">
        <v>-1.929697E-3</v>
      </c>
      <c r="P997">
        <v>0.99401349999999999</v>
      </c>
      <c r="Q997">
        <v>-0.10604239999999999</v>
      </c>
      <c r="R997">
        <v>-2.631118E-2</v>
      </c>
      <c r="S997">
        <v>2.9922490000000002</v>
      </c>
      <c r="T997">
        <v>-0.18701570000000001</v>
      </c>
      <c r="U997">
        <v>-0.224884</v>
      </c>
      <c r="V997">
        <v>2.439759E-2</v>
      </c>
      <c r="W997">
        <v>-8.6054030000000004E-2</v>
      </c>
      <c r="X997">
        <v>0.99599170000000004</v>
      </c>
      <c r="Y997">
        <v>7.2834049999999997E-2</v>
      </c>
      <c r="Z997">
        <v>-2.9224889999999999E-3</v>
      </c>
      <c r="AA997">
        <v>0.9973398</v>
      </c>
      <c r="AB997">
        <v>19</v>
      </c>
      <c r="AC997">
        <v>18.091000000000001</v>
      </c>
      <c r="AD997">
        <v>-1.136055</v>
      </c>
      <c r="AE997">
        <v>-1.3673</v>
      </c>
      <c r="AF997">
        <v>1.3271763695542</v>
      </c>
      <c r="AG997">
        <v>-1.136055</v>
      </c>
      <c r="AH997">
        <v>18.022936884552202</v>
      </c>
      <c r="AI997">
        <v>93.597087486861497</v>
      </c>
      <c r="AJ997">
        <v>85.788444285756398</v>
      </c>
      <c r="AK997">
        <v>18.107409312860799</v>
      </c>
      <c r="AL997">
        <v>94.936638427834396</v>
      </c>
      <c r="AM997">
        <v>88.596776015245496</v>
      </c>
      <c r="AN997">
        <v>1.0000000024729601</v>
      </c>
    </row>
    <row r="998" spans="1:40" x14ac:dyDescent="0.25">
      <c r="A998" t="str">
        <f>"20190303154116161"</f>
        <v>20190303154116161</v>
      </c>
      <c r="B998" t="str">
        <f>"1551598876150417"</f>
        <v>1551598876150417</v>
      </c>
      <c r="C998" t="s">
        <v>40</v>
      </c>
      <c r="D998">
        <v>5.95397</v>
      </c>
      <c r="E998">
        <v>0.51834480000000005</v>
      </c>
      <c r="F998" t="s">
        <v>43</v>
      </c>
      <c r="G998">
        <v>-298.07839999999999</v>
      </c>
      <c r="H998">
        <v>-0.05</v>
      </c>
      <c r="I998">
        <v>366.04910000000001</v>
      </c>
      <c r="J998">
        <v>-316.32929999999999</v>
      </c>
      <c r="K998">
        <v>1.0848089999999999</v>
      </c>
      <c r="L998">
        <v>367.43299999999999</v>
      </c>
      <c r="M998">
        <v>0.99980930000000001</v>
      </c>
      <c r="N998">
        <v>-1.94416E-2</v>
      </c>
      <c r="O998">
        <v>-1.887613E-3</v>
      </c>
      <c r="P998">
        <v>0.99406499999999998</v>
      </c>
      <c r="Q998">
        <v>-0.1055435</v>
      </c>
      <c r="R998">
        <v>-2.636751E-2</v>
      </c>
      <c r="S998">
        <v>2.9924010000000001</v>
      </c>
      <c r="T998">
        <v>-0.1850406</v>
      </c>
      <c r="U998">
        <v>-0.2254333</v>
      </c>
      <c r="V998">
        <v>2.4495860000000001E-2</v>
      </c>
      <c r="W998">
        <v>-8.6194930000000003E-2</v>
      </c>
      <c r="X998">
        <v>0.99597709999999995</v>
      </c>
      <c r="Y998">
        <v>7.3058629999999999E-2</v>
      </c>
      <c r="Z998">
        <v>-2.8858460000000001E-3</v>
      </c>
      <c r="AA998">
        <v>0.99732350000000003</v>
      </c>
      <c r="AB998">
        <v>19</v>
      </c>
      <c r="AC998">
        <v>18.250900000000001</v>
      </c>
      <c r="AD998">
        <v>-1.134809</v>
      </c>
      <c r="AE998">
        <v>-1.3839000000000301</v>
      </c>
      <c r="AF998">
        <v>1.34427295856213</v>
      </c>
      <c r="AG998">
        <v>-1.134809</v>
      </c>
      <c r="AH998">
        <v>18.183581948704202</v>
      </c>
      <c r="AI998">
        <v>93.561415040452403</v>
      </c>
      <c r="AJ998">
        <v>85.771938095918301</v>
      </c>
      <c r="AK998">
        <v>18.268484166422901</v>
      </c>
      <c r="AL998">
        <v>94.944741531192506</v>
      </c>
      <c r="AM998">
        <v>88.591105659037495</v>
      </c>
      <c r="AN998">
        <v>0.99999999841962695</v>
      </c>
    </row>
    <row r="999" spans="1:40" x14ac:dyDescent="0.25">
      <c r="A999" t="str">
        <f>"20190303154116180"</f>
        <v>20190303154116180</v>
      </c>
      <c r="B999" t="str">
        <f>"1551598876169938"</f>
        <v>1551598876169938</v>
      </c>
      <c r="C999" t="s">
        <v>40</v>
      </c>
      <c r="D999">
        <v>5.9885809999999999</v>
      </c>
      <c r="E999">
        <v>0.51830900000000002</v>
      </c>
      <c r="F999" t="s">
        <v>43</v>
      </c>
      <c r="G999">
        <v>-297.82220000000001</v>
      </c>
      <c r="H999">
        <v>-0.05</v>
      </c>
      <c r="I999">
        <v>366.0369</v>
      </c>
      <c r="J999">
        <v>-316.16840000000002</v>
      </c>
      <c r="K999">
        <v>1.083267</v>
      </c>
      <c r="L999">
        <v>367.43270000000001</v>
      </c>
      <c r="M999">
        <v>0.99982479999999996</v>
      </c>
      <c r="N999">
        <v>-1.8635209999999999E-2</v>
      </c>
      <c r="O999">
        <v>-1.832771E-3</v>
      </c>
      <c r="P999">
        <v>0.99417460000000002</v>
      </c>
      <c r="Q999">
        <v>-0.1045363</v>
      </c>
      <c r="R999">
        <v>-2.6256970000000001E-2</v>
      </c>
      <c r="S999">
        <v>2.9924620000000002</v>
      </c>
      <c r="T999">
        <v>-0.18348929999999999</v>
      </c>
      <c r="U999">
        <v>-0.22573850000000001</v>
      </c>
      <c r="V999">
        <v>2.4439570000000001E-2</v>
      </c>
      <c r="W999">
        <v>-8.5989129999999997E-2</v>
      </c>
      <c r="X999">
        <v>0.99599629999999995</v>
      </c>
      <c r="Y999">
        <v>7.3217050000000006E-2</v>
      </c>
      <c r="Z999">
        <v>-2.8454919999999998E-3</v>
      </c>
      <c r="AA999">
        <v>0.99731190000000003</v>
      </c>
      <c r="AB999">
        <v>19</v>
      </c>
      <c r="AC999">
        <v>18.3462</v>
      </c>
      <c r="AD999">
        <v>-1.133267</v>
      </c>
      <c r="AE999">
        <v>-1.3957999999999999</v>
      </c>
      <c r="AF999">
        <v>1.3570192805313801</v>
      </c>
      <c r="AG999">
        <v>-1.133267</v>
      </c>
      <c r="AH999">
        <v>18.279380890709799</v>
      </c>
      <c r="AI999">
        <v>93.537915617048796</v>
      </c>
      <c r="AJ999">
        <v>85.754281131065198</v>
      </c>
      <c r="AK999">
        <v>18.364682441269402</v>
      </c>
      <c r="AL999">
        <v>94.932905979015004</v>
      </c>
      <c r="AM999">
        <v>88.594368998571099</v>
      </c>
      <c r="AN999">
        <v>1.0000000263368101</v>
      </c>
    </row>
    <row r="1000" spans="1:40" x14ac:dyDescent="0.25">
      <c r="A1000" t="str">
        <f>"20190303154116194"</f>
        <v>20190303154116194</v>
      </c>
      <c r="B1000" t="str">
        <f>"1551598876190434"</f>
        <v>1551598876190434</v>
      </c>
      <c r="C1000" t="s">
        <v>40</v>
      </c>
      <c r="D1000">
        <v>5.9518909999999998</v>
      </c>
      <c r="E1000">
        <v>0.51823739999999996</v>
      </c>
      <c r="F1000" t="s">
        <v>43</v>
      </c>
      <c r="G1000">
        <v>-297.20190000000002</v>
      </c>
      <c r="H1000">
        <v>-0.05</v>
      </c>
      <c r="I1000">
        <v>366.00740000000002</v>
      </c>
      <c r="J1000">
        <v>-316.04669999999999</v>
      </c>
      <c r="K1000">
        <v>1.082179</v>
      </c>
      <c r="L1000">
        <v>367.43259999999998</v>
      </c>
      <c r="M1000">
        <v>0.99983509999999998</v>
      </c>
      <c r="N1000">
        <v>-1.8069950000000001E-2</v>
      </c>
      <c r="O1000">
        <v>-1.7912550000000001E-3</v>
      </c>
      <c r="P1000">
        <v>0.99421979999999999</v>
      </c>
      <c r="Q1000">
        <v>-0.10412390000000001</v>
      </c>
      <c r="R1000">
        <v>-2.6177720000000002E-2</v>
      </c>
      <c r="S1000">
        <v>2.9928279999999998</v>
      </c>
      <c r="T1000">
        <v>-0.1788247</v>
      </c>
      <c r="U1000">
        <v>-0.22491459999999999</v>
      </c>
      <c r="V1000">
        <v>2.440142E-2</v>
      </c>
      <c r="W1000">
        <v>-8.6139110000000005E-2</v>
      </c>
      <c r="X1000">
        <v>0.99598430000000004</v>
      </c>
      <c r="Y1000">
        <v>7.2985930000000004E-2</v>
      </c>
      <c r="Z1000">
        <v>-2.7621859999999998E-3</v>
      </c>
      <c r="AA1000">
        <v>0.99732909999999997</v>
      </c>
      <c r="AB1000">
        <v>19</v>
      </c>
      <c r="AC1000">
        <v>18.8447999999999</v>
      </c>
      <c r="AD1000">
        <v>-1.132179</v>
      </c>
      <c r="AE1000">
        <v>-1.4251999999999601</v>
      </c>
      <c r="AF1000">
        <v>1.3864603885672599</v>
      </c>
      <c r="AG1000">
        <v>-1.132179</v>
      </c>
      <c r="AH1000">
        <v>18.779922435902598</v>
      </c>
      <c r="AI1000">
        <v>93.440655062868998</v>
      </c>
      <c r="AJ1000">
        <v>85.777699512569995</v>
      </c>
      <c r="AK1000">
        <v>18.865036135550401</v>
      </c>
      <c r="AL1000">
        <v>94.941531082105698</v>
      </c>
      <c r="AM1000">
        <v>88.596545398234298</v>
      </c>
      <c r="AN1000">
        <v>1.00000005070804</v>
      </c>
    </row>
    <row r="1001" spans="1:40" x14ac:dyDescent="0.25">
      <c r="A1001" t="str">
        <f>"20190303154116208"</f>
        <v>20190303154116208</v>
      </c>
      <c r="B1001" t="str">
        <f>"1551598876200194"</f>
        <v>1551598876200194</v>
      </c>
      <c r="C1001" t="s">
        <v>40</v>
      </c>
      <c r="D1001">
        <v>5.9563990000000002</v>
      </c>
      <c r="E1001">
        <v>0.51822630000000003</v>
      </c>
      <c r="F1001" t="s">
        <v>43</v>
      </c>
      <c r="G1001">
        <v>-296.75569999999999</v>
      </c>
      <c r="H1001">
        <v>-0.05</v>
      </c>
      <c r="I1001">
        <v>365.98930000000001</v>
      </c>
      <c r="J1001">
        <v>-315.92169999999999</v>
      </c>
      <c r="K1001">
        <v>1.081156</v>
      </c>
      <c r="L1001">
        <v>367.43239999999997</v>
      </c>
      <c r="M1001">
        <v>0.99984479999999998</v>
      </c>
      <c r="N1001">
        <v>-1.753511E-2</v>
      </c>
      <c r="O1001">
        <v>-1.7489739999999999E-3</v>
      </c>
      <c r="P1001">
        <v>0.99427719999999997</v>
      </c>
      <c r="Q1001">
        <v>-0.10361190000000001</v>
      </c>
      <c r="R1001">
        <v>-2.6030500000000002E-2</v>
      </c>
      <c r="S1001">
        <v>2.9931640000000002</v>
      </c>
      <c r="T1001">
        <v>-0.17566780000000001</v>
      </c>
      <c r="U1001">
        <v>-0.223938</v>
      </c>
      <c r="V1001">
        <v>2.4296269999999998E-2</v>
      </c>
      <c r="W1001">
        <v>-8.6159009999999994E-2</v>
      </c>
      <c r="X1001">
        <v>0.99598509999999996</v>
      </c>
      <c r="Y1001">
        <v>7.2703119999999996E-2</v>
      </c>
      <c r="Z1001">
        <v>-2.6959319999999998E-3</v>
      </c>
      <c r="AA1001">
        <v>0.99734999999999996</v>
      </c>
      <c r="AB1001">
        <v>19</v>
      </c>
      <c r="AC1001">
        <v>19.166</v>
      </c>
      <c r="AD1001">
        <v>-1.1311560000000001</v>
      </c>
      <c r="AE1001">
        <v>-1.4430999999999501</v>
      </c>
      <c r="AF1001">
        <v>1.4047064731247401</v>
      </c>
      <c r="AG1001">
        <v>-1.1311560000000001</v>
      </c>
      <c r="AH1001">
        <v>19.102332306648499</v>
      </c>
      <c r="AI1001">
        <v>93.379742013156005</v>
      </c>
      <c r="AJ1001">
        <v>85.794275412353002</v>
      </c>
      <c r="AK1001">
        <v>19.1872826039959</v>
      </c>
      <c r="AL1001">
        <v>94.942675766216894</v>
      </c>
      <c r="AM1001">
        <v>88.602591849138506</v>
      </c>
      <c r="AN1001">
        <v>1.00000000158105</v>
      </c>
    </row>
    <row r="1002" spans="1:40" x14ac:dyDescent="0.25">
      <c r="A1002" t="str">
        <f>"20190303154116224"</f>
        <v>20190303154116224</v>
      </c>
      <c r="B1002" t="str">
        <f>"1551598876220690"</f>
        <v>1551598876220690</v>
      </c>
      <c r="C1002" t="s">
        <v>40</v>
      </c>
      <c r="D1002">
        <v>5.9738170000000004</v>
      </c>
      <c r="E1002">
        <v>0.51816269999999998</v>
      </c>
      <c r="F1002" t="s">
        <v>43</v>
      </c>
      <c r="G1002">
        <v>-296.43360000000001</v>
      </c>
      <c r="H1002">
        <v>-0.05</v>
      </c>
      <c r="I1002">
        <v>365.97579999999999</v>
      </c>
      <c r="J1002">
        <v>-315.78379999999999</v>
      </c>
      <c r="K1002">
        <v>1.0801019999999999</v>
      </c>
      <c r="L1002">
        <v>367.43220000000002</v>
      </c>
      <c r="M1002">
        <v>0.99985440000000003</v>
      </c>
      <c r="N1002">
        <v>-1.6977490000000001E-2</v>
      </c>
      <c r="O1002">
        <v>-1.7017579999999901E-3</v>
      </c>
      <c r="P1002">
        <v>0.99434270000000002</v>
      </c>
      <c r="Q1002">
        <v>-0.1031265</v>
      </c>
      <c r="R1002">
        <v>-2.5449099999999999E-2</v>
      </c>
      <c r="S1002">
        <v>2.993347</v>
      </c>
      <c r="T1002">
        <v>-0.17374410000000001</v>
      </c>
      <c r="U1002">
        <v>-0.22372439999999999</v>
      </c>
      <c r="V1002">
        <v>2.3761560000000001E-2</v>
      </c>
      <c r="W1002">
        <v>-8.6228109999999997E-2</v>
      </c>
      <c r="X1002">
        <v>0.99599199999999999</v>
      </c>
      <c r="Y1002">
        <v>7.2679240000000006E-2</v>
      </c>
      <c r="Z1002">
        <v>-2.6533849999999999E-3</v>
      </c>
      <c r="AA1002">
        <v>0.99735180000000001</v>
      </c>
      <c r="AB1002">
        <v>19</v>
      </c>
      <c r="AC1002">
        <v>19.350199999999901</v>
      </c>
      <c r="AD1002">
        <v>-1.1301019999999999</v>
      </c>
      <c r="AE1002">
        <v>-1.4564000000000299</v>
      </c>
      <c r="AF1002">
        <v>1.4186522129391901</v>
      </c>
      <c r="AG1002">
        <v>-1.1301019999999999</v>
      </c>
      <c r="AH1002">
        <v>19.2872352104256</v>
      </c>
      <c r="AI1002">
        <v>93.344298711259199</v>
      </c>
      <c r="AJ1002">
        <v>85.793244982509606</v>
      </c>
      <c r="AK1002">
        <v>19.372329408049101</v>
      </c>
      <c r="AL1002">
        <v>94.9466497941022</v>
      </c>
      <c r="AM1002">
        <v>88.633343544231096</v>
      </c>
      <c r="AN1002">
        <v>0.99999998137590196</v>
      </c>
    </row>
    <row r="1003" spans="1:40" x14ac:dyDescent="0.25">
      <c r="A1003" t="str">
        <f>"20190303154116238"</f>
        <v>20190303154116238</v>
      </c>
      <c r="B1003" t="str">
        <f>"1551598876230449"</f>
        <v>1551598876230449</v>
      </c>
      <c r="C1003" t="s">
        <v>40</v>
      </c>
      <c r="D1003">
        <v>5.9795699999999998</v>
      </c>
      <c r="E1003">
        <v>0.51808050000000005</v>
      </c>
      <c r="F1003" t="s">
        <v>43</v>
      </c>
      <c r="G1003">
        <v>-296.04059999999998</v>
      </c>
      <c r="H1003">
        <v>-0.05</v>
      </c>
      <c r="I1003">
        <v>365.97399999999999</v>
      </c>
      <c r="J1003">
        <v>-315.6644</v>
      </c>
      <c r="K1003">
        <v>1.0792520000000001</v>
      </c>
      <c r="L1003">
        <v>367.43200000000002</v>
      </c>
      <c r="M1003">
        <v>0.99986209999999998</v>
      </c>
      <c r="N1003">
        <v>-1.6519550000000001E-2</v>
      </c>
      <c r="O1003">
        <v>-1.6611149999999999E-3</v>
      </c>
      <c r="P1003">
        <v>0.99438930000000003</v>
      </c>
      <c r="Q1003">
        <v>-0.10276730000000001</v>
      </c>
      <c r="R1003">
        <v>-2.5079520000000001E-2</v>
      </c>
      <c r="S1003">
        <v>2.993652</v>
      </c>
      <c r="T1003">
        <v>-0.1713567</v>
      </c>
      <c r="U1003">
        <v>-0.22109989999999999</v>
      </c>
      <c r="V1003">
        <v>2.3432359999999999E-2</v>
      </c>
      <c r="W1003">
        <v>-8.6324449999999997E-2</v>
      </c>
      <c r="X1003">
        <v>0.99599150000000003</v>
      </c>
      <c r="Y1003">
        <v>7.1849120000000002E-2</v>
      </c>
      <c r="Z1003">
        <v>-2.5792969999999999E-3</v>
      </c>
      <c r="AA1003">
        <v>0.99741219999999997</v>
      </c>
      <c r="AB1003">
        <v>19</v>
      </c>
      <c r="AC1003">
        <v>19.623799999999999</v>
      </c>
      <c r="AD1003">
        <v>-1.1292519999999999</v>
      </c>
      <c r="AE1003">
        <v>-1.45799999999997</v>
      </c>
      <c r="AF1003">
        <v>1.4207173705365199</v>
      </c>
      <c r="AG1003">
        <v>-1.1292519999999999</v>
      </c>
      <c r="AH1003">
        <v>19.561773337251601</v>
      </c>
      <c r="AI1003">
        <v>93.295214536891095</v>
      </c>
      <c r="AJ1003">
        <v>85.846059733922004</v>
      </c>
      <c r="AK1003">
        <v>19.645778783862301</v>
      </c>
      <c r="AL1003">
        <v>94.952190101788005</v>
      </c>
      <c r="AM1003">
        <v>88.652269916656394</v>
      </c>
      <c r="AN1003">
        <v>1.0000000271176099</v>
      </c>
    </row>
    <row r="1004" spans="1:40" x14ac:dyDescent="0.25">
      <c r="A1004" t="str">
        <f>"20190303154116252"</f>
        <v>20190303154116252</v>
      </c>
      <c r="B1004" t="str">
        <f>"1551598876249970"</f>
        <v>1551598876249970</v>
      </c>
      <c r="C1004" t="s">
        <v>40</v>
      </c>
      <c r="D1004">
        <v>5.961932</v>
      </c>
      <c r="E1004">
        <v>0.51799039999999996</v>
      </c>
      <c r="F1004" t="s">
        <v>43</v>
      </c>
      <c r="G1004">
        <v>-295.7955</v>
      </c>
      <c r="H1004">
        <v>-0.05</v>
      </c>
      <c r="I1004">
        <v>365.97430000000003</v>
      </c>
      <c r="J1004">
        <v>-315.53699999999998</v>
      </c>
      <c r="K1004">
        <v>1.0784339999999999</v>
      </c>
      <c r="L1004">
        <v>367.43189999999998</v>
      </c>
      <c r="M1004">
        <v>0.99986980000000003</v>
      </c>
      <c r="N1004">
        <v>-1.6064620000000002E-2</v>
      </c>
      <c r="O1004">
        <v>-1.61738299999999E-3</v>
      </c>
      <c r="P1004">
        <v>0.99443769999999998</v>
      </c>
      <c r="Q1004">
        <v>-0.10238369999999999</v>
      </c>
      <c r="R1004">
        <v>-2.4728960000000001E-2</v>
      </c>
      <c r="S1004">
        <v>2.993744</v>
      </c>
      <c r="T1004">
        <v>-0.17014969999999999</v>
      </c>
      <c r="U1004">
        <v>-0.219635</v>
      </c>
      <c r="V1004">
        <v>2.3125090000000001E-2</v>
      </c>
      <c r="W1004">
        <v>-8.6393300000000006E-2</v>
      </c>
      <c r="X1004">
        <v>0.99599269999999995</v>
      </c>
      <c r="Y1004">
        <v>7.1408780000000005E-2</v>
      </c>
      <c r="Z1004">
        <v>-2.534096E-3</v>
      </c>
      <c r="AA1004">
        <v>0.99744390000000005</v>
      </c>
      <c r="AB1004">
        <v>19</v>
      </c>
      <c r="AC1004">
        <v>19.741499999999998</v>
      </c>
      <c r="AD1004">
        <v>-1.1284339999999999</v>
      </c>
      <c r="AE1004">
        <v>-1.45759999999995</v>
      </c>
      <c r="AF1004">
        <v>1.4210465670266199</v>
      </c>
      <c r="AG1004">
        <v>-1.1284339999999999</v>
      </c>
      <c r="AH1004">
        <v>19.679880088638001</v>
      </c>
      <c r="AI1004">
        <v>93.273212944547197</v>
      </c>
      <c r="AJ1004">
        <v>85.869949240925493</v>
      </c>
      <c r="AK1004">
        <v>19.763360466812902</v>
      </c>
      <c r="AL1004">
        <v>94.956149767721797</v>
      </c>
      <c r="AM1004">
        <v>88.669937996710999</v>
      </c>
      <c r="AN1004">
        <v>1.0000000152628401</v>
      </c>
    </row>
    <row r="1005" spans="1:40" x14ac:dyDescent="0.25">
      <c r="A1005" t="str">
        <f>"20190303154116270"</f>
        <v>20190303154116270</v>
      </c>
      <c r="B1005" t="str">
        <f>"1551598876259729"</f>
        <v>1551598876259729</v>
      </c>
      <c r="C1005" t="s">
        <v>40</v>
      </c>
      <c r="D1005">
        <v>5.9599640000000003</v>
      </c>
      <c r="E1005">
        <v>0.5179511</v>
      </c>
      <c r="F1005" t="s">
        <v>43</v>
      </c>
      <c r="G1005">
        <v>-295.52910000000003</v>
      </c>
      <c r="H1005">
        <v>-0.05</v>
      </c>
      <c r="I1005">
        <v>365.97680000000003</v>
      </c>
      <c r="J1005">
        <v>-315.3852</v>
      </c>
      <c r="K1005">
        <v>1.0775429999999999</v>
      </c>
      <c r="L1005">
        <v>367.43169999999998</v>
      </c>
      <c r="M1005">
        <v>0.99987769999999998</v>
      </c>
      <c r="N1005">
        <v>-1.556397E-2</v>
      </c>
      <c r="O1005">
        <v>-1.5650550000000001E-3</v>
      </c>
      <c r="P1005">
        <v>0.99450059999999996</v>
      </c>
      <c r="Q1005">
        <v>-0.1019224</v>
      </c>
      <c r="R1005">
        <v>-2.4092470000000001E-2</v>
      </c>
      <c r="S1005">
        <v>2.9939879999999999</v>
      </c>
      <c r="T1005">
        <v>-0.1688595</v>
      </c>
      <c r="U1005">
        <v>-0.21774289999999999</v>
      </c>
      <c r="V1005">
        <v>2.254047E-2</v>
      </c>
      <c r="W1005">
        <v>-8.6429889999999995E-2</v>
      </c>
      <c r="X1005">
        <v>0.99600290000000002</v>
      </c>
      <c r="Y1005">
        <v>7.083217E-2</v>
      </c>
      <c r="Z1005">
        <v>-2.4820039999999999E-3</v>
      </c>
      <c r="AA1005">
        <v>0.99748519999999896</v>
      </c>
      <c r="AB1005">
        <v>19</v>
      </c>
      <c r="AC1005">
        <v>19.856099999999898</v>
      </c>
      <c r="AD1005">
        <v>-1.127543</v>
      </c>
      <c r="AE1005">
        <v>-1.4548999999999499</v>
      </c>
      <c r="AF1005">
        <v>1.4192664133120301</v>
      </c>
      <c r="AG1005">
        <v>-1.127543</v>
      </c>
      <c r="AH1005">
        <v>19.794862938059602</v>
      </c>
      <c r="AI1005">
        <v>93.251795054833096</v>
      </c>
      <c r="AJ1005">
        <v>85.898983488639999</v>
      </c>
      <c r="AK1005">
        <v>19.877682689523201</v>
      </c>
      <c r="AL1005">
        <v>94.958254228240307</v>
      </c>
      <c r="AM1005">
        <v>88.703564631154194</v>
      </c>
      <c r="AN1005">
        <v>0.99999998774082099</v>
      </c>
    </row>
    <row r="1006" spans="1:40" x14ac:dyDescent="0.25">
      <c r="A1006" t="str">
        <f>"20190303154116285"</f>
        <v>20190303154116285</v>
      </c>
      <c r="B1006" t="str">
        <f>"1551598876280226"</f>
        <v>1551598876280226</v>
      </c>
      <c r="C1006" t="s">
        <v>40</v>
      </c>
      <c r="D1006">
        <v>5.9642359999999996</v>
      </c>
      <c r="E1006">
        <v>0.51786200000000004</v>
      </c>
      <c r="F1006" t="s">
        <v>43</v>
      </c>
      <c r="G1006">
        <v>-295.21039999999999</v>
      </c>
      <c r="H1006">
        <v>-0.05</v>
      </c>
      <c r="I1006">
        <v>365.97829999999999</v>
      </c>
      <c r="J1006">
        <v>-315.2595</v>
      </c>
      <c r="K1006">
        <v>1.076878</v>
      </c>
      <c r="L1006">
        <v>367.43150000000003</v>
      </c>
      <c r="M1006">
        <v>0.99988359999999998</v>
      </c>
      <c r="N1006">
        <v>-1.51821E-2</v>
      </c>
      <c r="O1006">
        <v>-1.521849E-3</v>
      </c>
      <c r="P1006">
        <v>0.99454480000000001</v>
      </c>
      <c r="Q1006">
        <v>-0.1015515</v>
      </c>
      <c r="R1006">
        <v>-2.3831970000000001E-2</v>
      </c>
      <c r="S1006">
        <v>2.994202</v>
      </c>
      <c r="T1006">
        <v>-0.16734160000000001</v>
      </c>
      <c r="U1006">
        <v>-0.21569820000000001</v>
      </c>
      <c r="V1006">
        <v>2.2323010000000001E-2</v>
      </c>
      <c r="W1006">
        <v>-8.6438769999999998E-2</v>
      </c>
      <c r="X1006">
        <v>0.99600699999999998</v>
      </c>
      <c r="Y1006">
        <v>7.0196789999999995E-2</v>
      </c>
      <c r="Z1006">
        <v>-2.42984E-3</v>
      </c>
      <c r="AA1006">
        <v>0.99753020000000003</v>
      </c>
      <c r="AB1006">
        <v>19</v>
      </c>
      <c r="AC1006">
        <v>20.049099999999999</v>
      </c>
      <c r="AD1006">
        <v>-1.126878</v>
      </c>
      <c r="AE1006">
        <v>-1.45320000000003</v>
      </c>
      <c r="AF1006">
        <v>1.4182261872233799</v>
      </c>
      <c r="AG1006">
        <v>-1.126878</v>
      </c>
      <c r="AH1006">
        <v>19.9884729136655</v>
      </c>
      <c r="AI1006">
        <v>93.218639362869496</v>
      </c>
      <c r="AJ1006">
        <v>85.941539491792597</v>
      </c>
      <c r="AK1006">
        <v>20.070382880387498</v>
      </c>
      <c r="AL1006">
        <v>94.958765059500905</v>
      </c>
      <c r="AM1006">
        <v>88.716073114669896</v>
      </c>
      <c r="AN1006">
        <v>0.999999960891785</v>
      </c>
    </row>
    <row r="1007" spans="1:40" x14ac:dyDescent="0.25">
      <c r="A1007" t="str">
        <f>"20190303154116302"</f>
        <v>20190303154116302</v>
      </c>
      <c r="B1007" t="str">
        <f>"1551598876289985"</f>
        <v>1551598876289985</v>
      </c>
      <c r="C1007" t="s">
        <v>40</v>
      </c>
      <c r="D1007">
        <v>5.9463339999999896</v>
      </c>
      <c r="E1007">
        <v>0.51784490000000005</v>
      </c>
      <c r="F1007" t="s">
        <v>43</v>
      </c>
      <c r="G1007">
        <v>-294.94040000000001</v>
      </c>
      <c r="H1007">
        <v>-0.05</v>
      </c>
      <c r="I1007">
        <v>365.97919999999999</v>
      </c>
      <c r="J1007">
        <v>-315.10579999999999</v>
      </c>
      <c r="K1007">
        <v>1.076139</v>
      </c>
      <c r="L1007">
        <v>367.4314</v>
      </c>
      <c r="M1007">
        <v>0.99989019999999995</v>
      </c>
      <c r="N1007">
        <v>-1.4752940000000001E-2</v>
      </c>
      <c r="O1007">
        <v>-1.46919E-3</v>
      </c>
      <c r="P1007">
        <v>0.99459200000000003</v>
      </c>
      <c r="Q1007">
        <v>-0.101132</v>
      </c>
      <c r="R1007">
        <v>-2.3652510000000002E-2</v>
      </c>
      <c r="S1007">
        <v>2.994354</v>
      </c>
      <c r="T1007">
        <v>-0.1660635</v>
      </c>
      <c r="U1007">
        <v>-0.21401980000000001</v>
      </c>
      <c r="V1007">
        <v>2.2195610000000001E-2</v>
      </c>
      <c r="W1007">
        <v>-8.6446090000000003E-2</v>
      </c>
      <c r="X1007">
        <v>0.99600920000000004</v>
      </c>
      <c r="Y1007">
        <v>6.9693039999999998E-2</v>
      </c>
      <c r="Z1007">
        <v>-2.3842049999999999E-3</v>
      </c>
      <c r="AA1007">
        <v>0.99756560000000005</v>
      </c>
      <c r="AB1007">
        <v>20</v>
      </c>
      <c r="AC1007">
        <v>20.165399999999899</v>
      </c>
      <c r="AD1007">
        <v>-1.126139</v>
      </c>
      <c r="AE1007">
        <v>-1.4521999999999999</v>
      </c>
      <c r="AF1007">
        <v>1.41816841723826</v>
      </c>
      <c r="AG1007">
        <v>-1.126139</v>
      </c>
      <c r="AH1007">
        <v>20.1051341104993</v>
      </c>
      <c r="AI1007">
        <v>93.198000896690203</v>
      </c>
      <c r="AJ1007">
        <v>85.965174749335901</v>
      </c>
      <c r="AK1007">
        <v>20.186525414447502</v>
      </c>
      <c r="AL1007">
        <v>94.959186099381</v>
      </c>
      <c r="AM1007">
        <v>88.723401020926104</v>
      </c>
      <c r="AN1007">
        <v>0.99999994903209799</v>
      </c>
    </row>
    <row r="1008" spans="1:40" x14ac:dyDescent="0.25">
      <c r="A1008" t="str">
        <f>"20190303154116324"</f>
        <v>20190303154116324</v>
      </c>
      <c r="B1008" t="str">
        <f>"1551598876320241"</f>
        <v>1551598876320241</v>
      </c>
      <c r="C1008" t="s">
        <v>40</v>
      </c>
      <c r="D1008">
        <v>5.9689110000000003</v>
      </c>
      <c r="E1008">
        <v>0.51781560000000004</v>
      </c>
      <c r="F1008" t="s">
        <v>43</v>
      </c>
      <c r="G1008">
        <v>-294.65179999999998</v>
      </c>
      <c r="H1008">
        <v>-0.05</v>
      </c>
      <c r="I1008">
        <v>365.9735</v>
      </c>
      <c r="J1008">
        <v>-314.91379999999998</v>
      </c>
      <c r="K1008">
        <v>1.0753200000000001</v>
      </c>
      <c r="L1008">
        <v>367.43119999999999</v>
      </c>
      <c r="M1008">
        <v>0.99989720000000004</v>
      </c>
      <c r="N1008">
        <v>-1.4275339999999999E-2</v>
      </c>
      <c r="O1008">
        <v>-1.4035219999999999E-3</v>
      </c>
      <c r="P1008">
        <v>0.99462899999999999</v>
      </c>
      <c r="Q1008">
        <v>-0.1007673</v>
      </c>
      <c r="R1008">
        <v>-2.3648869999999999E-2</v>
      </c>
      <c r="S1008">
        <v>2.994507</v>
      </c>
      <c r="T1008">
        <v>-0.1648685</v>
      </c>
      <c r="U1008">
        <v>-0.21343989999999999</v>
      </c>
      <c r="V1008">
        <v>2.2257389999999998E-2</v>
      </c>
      <c r="W1008">
        <v>-8.65567E-2</v>
      </c>
      <c r="X1008">
        <v>0.9959983</v>
      </c>
      <c r="Y1008">
        <v>6.9565600000000005E-2</v>
      </c>
      <c r="Z1008">
        <v>-2.3517130000000001E-3</v>
      </c>
      <c r="AA1008">
        <v>0.99757459999999998</v>
      </c>
      <c r="AB1008">
        <v>20</v>
      </c>
      <c r="AC1008">
        <v>20.262</v>
      </c>
      <c r="AD1008">
        <v>-1.1253200000000001</v>
      </c>
      <c r="AE1008">
        <v>-1.45769999999998</v>
      </c>
      <c r="AF1008">
        <v>1.42488505107608</v>
      </c>
      <c r="AG1008">
        <v>-1.1253200000000001</v>
      </c>
      <c r="AH1008">
        <v>20.202033462479299</v>
      </c>
      <c r="AI1008">
        <v>93.180384650472902</v>
      </c>
      <c r="AJ1008">
        <v>85.965508931977496</v>
      </c>
      <c r="AK1008">
        <v>20.283461206862999</v>
      </c>
      <c r="AL1008">
        <v>94.965547008571207</v>
      </c>
      <c r="AM1008">
        <v>88.719834868565002</v>
      </c>
      <c r="AN1008">
        <v>1.0000000336636901</v>
      </c>
    </row>
    <row r="1009" spans="1:40" x14ac:dyDescent="0.25">
      <c r="A1009" t="str">
        <f>"20190303154116334"</f>
        <v>20190303154116334</v>
      </c>
      <c r="B1009" t="str">
        <f>"1551598876330001"</f>
        <v>1551598876330001</v>
      </c>
      <c r="C1009" t="s">
        <v>40</v>
      </c>
      <c r="D1009">
        <v>5.972099</v>
      </c>
      <c r="E1009">
        <v>0.51780779999999904</v>
      </c>
      <c r="F1009" t="s">
        <v>43</v>
      </c>
      <c r="G1009">
        <v>-294.42320000000001</v>
      </c>
      <c r="H1009">
        <v>-0.05</v>
      </c>
      <c r="I1009">
        <v>365.97230000000002</v>
      </c>
      <c r="J1009">
        <v>-314.81599999999997</v>
      </c>
      <c r="K1009">
        <v>1.074943</v>
      </c>
      <c r="L1009">
        <v>367.43110000000001</v>
      </c>
      <c r="M1009">
        <v>0.99990049999999997</v>
      </c>
      <c r="N1009">
        <v>-1.404881E-2</v>
      </c>
      <c r="O1009">
        <v>-1.370219E-3</v>
      </c>
      <c r="P1009">
        <v>0.99463230000000002</v>
      </c>
      <c r="Q1009">
        <v>-0.1006773</v>
      </c>
      <c r="R1009">
        <v>-2.3895059999999999E-2</v>
      </c>
      <c r="S1009">
        <v>2.994507</v>
      </c>
      <c r="T1009">
        <v>-0.16445489999999999</v>
      </c>
      <c r="U1009">
        <v>-0.21319579999999999</v>
      </c>
      <c r="V1009">
        <v>2.25367E-2</v>
      </c>
      <c r="W1009">
        <v>-8.6692329999999998E-2</v>
      </c>
      <c r="X1009">
        <v>0.99598019999999998</v>
      </c>
      <c r="Y1009">
        <v>6.9519010000000006E-2</v>
      </c>
      <c r="Z1009">
        <v>-2.3386589999999999E-3</v>
      </c>
      <c r="AA1009">
        <v>0.99757790000000002</v>
      </c>
      <c r="AB1009">
        <v>20</v>
      </c>
      <c r="AC1009">
        <v>20.392799999999902</v>
      </c>
      <c r="AD1009">
        <v>-1.124943</v>
      </c>
      <c r="AE1009">
        <v>-1.4587999999999901</v>
      </c>
      <c r="AF1009">
        <v>1.4265343771491099</v>
      </c>
      <c r="AG1009">
        <v>-1.124943</v>
      </c>
      <c r="AH1009">
        <v>20.333220189272001</v>
      </c>
      <c r="AI1009">
        <v>93.158933071578602</v>
      </c>
      <c r="AJ1009">
        <v>85.986828900021095</v>
      </c>
      <c r="AK1009">
        <v>20.4142190726919</v>
      </c>
      <c r="AL1009">
        <v>94.973347469844697</v>
      </c>
      <c r="AM1009">
        <v>88.703751859264997</v>
      </c>
      <c r="AN1009">
        <v>1.0000000108598699</v>
      </c>
    </row>
    <row r="1010" spans="1:40" x14ac:dyDescent="0.25">
      <c r="A1010" t="str">
        <f>"20190303154116347"</f>
        <v>20190303154116347</v>
      </c>
      <c r="B1010" t="str">
        <f>"1551598876339761"</f>
        <v>1551598876339761</v>
      </c>
      <c r="C1010" t="s">
        <v>40</v>
      </c>
      <c r="D1010">
        <v>5.9719480000000003</v>
      </c>
      <c r="E1010">
        <v>0.51781529999999998</v>
      </c>
      <c r="F1010" t="s">
        <v>43</v>
      </c>
      <c r="G1010">
        <v>-294.32859999999999</v>
      </c>
      <c r="H1010">
        <v>-0.05</v>
      </c>
      <c r="I1010">
        <v>365.96890000000002</v>
      </c>
      <c r="J1010">
        <v>-314.70999999999998</v>
      </c>
      <c r="K1010">
        <v>1.074584</v>
      </c>
      <c r="L1010">
        <v>367.43099999999998</v>
      </c>
      <c r="M1010">
        <v>0.99990349999999995</v>
      </c>
      <c r="N1010">
        <v>-1.3828210000000001E-2</v>
      </c>
      <c r="O1010">
        <v>-1.3338829999999999E-3</v>
      </c>
      <c r="P1010">
        <v>0.99462519999999999</v>
      </c>
      <c r="Q1010">
        <v>-0.1007917</v>
      </c>
      <c r="R1010">
        <v>-2.3705219999999999E-2</v>
      </c>
      <c r="S1010">
        <v>2.9944459999999999</v>
      </c>
      <c r="T1010">
        <v>-0.16442229999999999</v>
      </c>
      <c r="U1010">
        <v>-0.2137146</v>
      </c>
      <c r="V1010">
        <v>2.2382820000000001E-2</v>
      </c>
      <c r="W1010">
        <v>-8.7026560000000003E-2</v>
      </c>
      <c r="X1010">
        <v>0.99595449999999996</v>
      </c>
      <c r="Y1010">
        <v>6.9728719999999994E-2</v>
      </c>
      <c r="Z1010">
        <v>-2.339023E-3</v>
      </c>
      <c r="AA1010">
        <v>0.99756319999999998</v>
      </c>
      <c r="AB1010">
        <v>20</v>
      </c>
      <c r="AC1010">
        <v>20.3813999999999</v>
      </c>
      <c r="AD1010">
        <v>-1.124584</v>
      </c>
      <c r="AE1010">
        <v>-1.46209999999996</v>
      </c>
      <c r="AF1010">
        <v>1.4305766069799</v>
      </c>
      <c r="AG1010">
        <v>-1.124584</v>
      </c>
      <c r="AH1010">
        <v>20.321779455884801</v>
      </c>
      <c r="AI1010">
        <v>93.159648683219899</v>
      </c>
      <c r="AJ1010">
        <v>85.973236226546206</v>
      </c>
      <c r="AK1010">
        <v>20.403086993274201</v>
      </c>
      <c r="AL1010">
        <v>94.992570195827398</v>
      </c>
      <c r="AM1010">
        <v>88.712566409435397</v>
      </c>
      <c r="AN1010">
        <v>0.99999998942341695</v>
      </c>
    </row>
    <row r="1011" spans="1:40" x14ac:dyDescent="0.25">
      <c r="A1011" t="str">
        <f>"20190303154116359"</f>
        <v>20190303154116359</v>
      </c>
      <c r="B1011" t="str">
        <f>"1551598876350497"</f>
        <v>1551598876350497</v>
      </c>
      <c r="C1011" t="s">
        <v>40</v>
      </c>
      <c r="D1011">
        <v>6.0046410000000003</v>
      </c>
      <c r="E1011">
        <v>0.51782669999999997</v>
      </c>
      <c r="F1011" t="s">
        <v>43</v>
      </c>
      <c r="G1011">
        <v>-294.2527</v>
      </c>
      <c r="H1011">
        <v>-0.05</v>
      </c>
      <c r="I1011">
        <v>365.9751</v>
      </c>
      <c r="J1011">
        <v>-314.61329999999998</v>
      </c>
      <c r="K1011">
        <v>1.0742700000000001</v>
      </c>
      <c r="L1011">
        <v>367.43090000000001</v>
      </c>
      <c r="M1011">
        <v>0.99990619999999997</v>
      </c>
      <c r="N1011">
        <v>-1.3633330000000001E-2</v>
      </c>
      <c r="O1011">
        <v>-1.3004869999999999E-3</v>
      </c>
      <c r="P1011">
        <v>0.99463429999999997</v>
      </c>
      <c r="Q1011">
        <v>-0.10062939999999999</v>
      </c>
      <c r="R1011">
        <v>-2.40129E-2</v>
      </c>
      <c r="S1011">
        <v>2.9944459999999999</v>
      </c>
      <c r="T1011">
        <v>-0.16461149999999999</v>
      </c>
      <c r="U1011">
        <v>-0.21310419999999999</v>
      </c>
      <c r="V1011">
        <v>2.272364E-2</v>
      </c>
      <c r="W1011">
        <v>-8.7058280000000002E-2</v>
      </c>
      <c r="X1011">
        <v>0.99594400000000005</v>
      </c>
      <c r="Y1011">
        <v>6.9560150000000001E-2</v>
      </c>
      <c r="Z1011">
        <v>-2.3296760000000001E-3</v>
      </c>
      <c r="AA1011">
        <v>0.99757499999999999</v>
      </c>
      <c r="AB1011">
        <v>20</v>
      </c>
      <c r="AC1011">
        <v>20.360599999999899</v>
      </c>
      <c r="AD1011">
        <v>-1.1242700000000001</v>
      </c>
      <c r="AE1011">
        <v>-1.45580000000001</v>
      </c>
      <c r="AF1011">
        <v>1.4249948748336001</v>
      </c>
      <c r="AG1011">
        <v>-1.1242700000000001</v>
      </c>
      <c r="AH1011">
        <v>20.3008932342379</v>
      </c>
      <c r="AI1011">
        <v>93.162056207210895</v>
      </c>
      <c r="AJ1011">
        <v>85.984782948200703</v>
      </c>
      <c r="AK1011">
        <v>20.3818757609335</v>
      </c>
      <c r="AL1011">
        <v>94.994394591604404</v>
      </c>
      <c r="AM1011">
        <v>88.692955816569906</v>
      </c>
      <c r="AN1011">
        <v>0.99999997953370301</v>
      </c>
    </row>
    <row r="1012" spans="1:40" x14ac:dyDescent="0.25">
      <c r="A1012" t="str">
        <f>"20190303154116370"</f>
        <v>20190303154116370</v>
      </c>
      <c r="B1012" t="str">
        <f>"1551598876360257"</f>
        <v>1551598876360257</v>
      </c>
      <c r="C1012" t="s">
        <v>40</v>
      </c>
      <c r="D1012">
        <v>5.972073</v>
      </c>
      <c r="E1012">
        <v>0.51782419999999996</v>
      </c>
      <c r="F1012" t="s">
        <v>43</v>
      </c>
      <c r="G1012">
        <v>-294.1284</v>
      </c>
      <c r="H1012">
        <v>-0.05</v>
      </c>
      <c r="I1012">
        <v>365.96550000000002</v>
      </c>
      <c r="J1012">
        <v>-314.50940000000003</v>
      </c>
      <c r="K1012">
        <v>1.073966</v>
      </c>
      <c r="L1012">
        <v>367.43079999999998</v>
      </c>
      <c r="M1012">
        <v>0.99990889999999999</v>
      </c>
      <c r="N1012">
        <v>-1.3441150000000001E-2</v>
      </c>
      <c r="O1012">
        <v>-1.2653390000000001E-3</v>
      </c>
      <c r="P1012">
        <v>0.99464030000000003</v>
      </c>
      <c r="Q1012">
        <v>-0.1005938</v>
      </c>
      <c r="R1012">
        <v>-2.391136E-2</v>
      </c>
      <c r="S1012">
        <v>2.9943849999999999</v>
      </c>
      <c r="T1012">
        <v>-0.1643404</v>
      </c>
      <c r="U1012">
        <v>-0.2142029</v>
      </c>
      <c r="V1012">
        <v>2.265731E-2</v>
      </c>
      <c r="W1012">
        <v>-8.7214040000000007E-2</v>
      </c>
      <c r="X1012">
        <v>0.99593189999999998</v>
      </c>
      <c r="Y1012">
        <v>6.996078E-2</v>
      </c>
      <c r="Z1012">
        <v>-2.3348470000000001E-3</v>
      </c>
      <c r="AA1012">
        <v>0.99754699999999996</v>
      </c>
      <c r="AB1012">
        <v>20</v>
      </c>
      <c r="AC1012">
        <v>20.381</v>
      </c>
      <c r="AD1012">
        <v>-1.123966</v>
      </c>
      <c r="AE1012">
        <v>-1.4652999999999501</v>
      </c>
      <c r="AF1012">
        <v>1.43516533947189</v>
      </c>
      <c r="AG1012">
        <v>-1.123966</v>
      </c>
      <c r="AH1012">
        <v>20.321352985449401</v>
      </c>
      <c r="AI1012">
        <v>93.1579317381766</v>
      </c>
      <c r="AJ1012">
        <v>85.960278134114901</v>
      </c>
      <c r="AK1012">
        <v>20.402950430758999</v>
      </c>
      <c r="AL1012">
        <v>95.003352974368696</v>
      </c>
      <c r="AM1012">
        <v>88.696753915246404</v>
      </c>
      <c r="AN1012">
        <v>0.99999999595358302</v>
      </c>
    </row>
    <row r="1013" spans="1:40" x14ac:dyDescent="0.25">
      <c r="A1013" t="str">
        <f>"20190303154116381"</f>
        <v>20190303154116381</v>
      </c>
      <c r="B1013" t="str">
        <f>"1551598876370018"</f>
        <v>1551598876370018</v>
      </c>
      <c r="C1013" t="s">
        <v>40</v>
      </c>
      <c r="D1013">
        <v>5.9795319999999998</v>
      </c>
      <c r="E1013">
        <v>0.51782109999999903</v>
      </c>
      <c r="F1013" t="s">
        <v>43</v>
      </c>
      <c r="G1013">
        <v>-294.0403</v>
      </c>
      <c r="H1013">
        <v>-0.05</v>
      </c>
      <c r="I1013">
        <v>365.9699</v>
      </c>
      <c r="J1013">
        <v>-314.40949999999998</v>
      </c>
      <c r="K1013">
        <v>1.073693</v>
      </c>
      <c r="L1013">
        <v>367.4307</v>
      </c>
      <c r="M1013">
        <v>0.9999112</v>
      </c>
      <c r="N1013">
        <v>-1.3267040000000001E-2</v>
      </c>
      <c r="O1013">
        <v>-1.2311620000000001E-3</v>
      </c>
      <c r="P1013">
        <v>0.99463820000000003</v>
      </c>
      <c r="Q1013">
        <v>-0.1005516</v>
      </c>
      <c r="R1013">
        <v>-2.4166590000000002E-2</v>
      </c>
      <c r="S1013">
        <v>2.9943849999999999</v>
      </c>
      <c r="T1013">
        <v>-0.16442229999999999</v>
      </c>
      <c r="U1013">
        <v>-0.2137146</v>
      </c>
      <c r="V1013">
        <v>2.2946640000000001E-2</v>
      </c>
      <c r="W1013">
        <v>-8.7345210000000006E-2</v>
      </c>
      <c r="X1013">
        <v>0.99591379999999996</v>
      </c>
      <c r="Y1013">
        <v>6.983346E-2</v>
      </c>
      <c r="Z1013">
        <v>-2.3265339999999999E-3</v>
      </c>
      <c r="AA1013">
        <v>0.997556</v>
      </c>
      <c r="AB1013">
        <v>20</v>
      </c>
      <c r="AC1013">
        <v>20.3691999999999</v>
      </c>
      <c r="AD1013">
        <v>-1.1236930000000001</v>
      </c>
      <c r="AE1013">
        <v>-1.4608000000000001</v>
      </c>
      <c r="AF1013">
        <v>1.4313850290210099</v>
      </c>
      <c r="AG1013">
        <v>-1.1236930000000001</v>
      </c>
      <c r="AH1013">
        <v>20.309491215025002</v>
      </c>
      <c r="AI1013">
        <v>93.159038537995301</v>
      </c>
      <c r="AJ1013">
        <v>85.968538458557603</v>
      </c>
      <c r="AK1013">
        <v>20.390855363930498</v>
      </c>
      <c r="AL1013">
        <v>95.010897153617805</v>
      </c>
      <c r="AM1013">
        <v>88.680093554694295</v>
      </c>
      <c r="AN1013">
        <v>1.00000001551383</v>
      </c>
    </row>
    <row r="1014" spans="1:40" x14ac:dyDescent="0.25">
      <c r="A1014" t="str">
        <f>"20190303154116394"</f>
        <v>20190303154116394</v>
      </c>
      <c r="B1014" t="str">
        <f>"1551598876390514"</f>
        <v>1551598876390514</v>
      </c>
      <c r="C1014" t="s">
        <v>40</v>
      </c>
      <c r="D1014">
        <v>5.9775320000000001</v>
      </c>
      <c r="E1014">
        <v>0.51780680000000001</v>
      </c>
      <c r="F1014" t="s">
        <v>43</v>
      </c>
      <c r="G1014">
        <v>-293.9511</v>
      </c>
      <c r="H1014">
        <v>-0.05</v>
      </c>
      <c r="I1014">
        <v>365.96469999999999</v>
      </c>
      <c r="J1014">
        <v>-314.29739999999998</v>
      </c>
      <c r="K1014">
        <v>1.07341</v>
      </c>
      <c r="L1014">
        <v>367.43060000000003</v>
      </c>
      <c r="M1014">
        <v>0.99991379999999996</v>
      </c>
      <c r="N1014">
        <v>-1.3082420000000001E-2</v>
      </c>
      <c r="O1014">
        <v>-1.193118E-3</v>
      </c>
      <c r="P1014">
        <v>0.9946507</v>
      </c>
      <c r="Q1014">
        <v>-0.10037989999999999</v>
      </c>
      <c r="R1014">
        <v>-2.437015E-2</v>
      </c>
      <c r="S1014">
        <v>2.9943240000000002</v>
      </c>
      <c r="T1014">
        <v>-0.16446529999999901</v>
      </c>
      <c r="U1014">
        <v>-0.21456910000000001</v>
      </c>
      <c r="V1014">
        <v>2.3187969999999999E-2</v>
      </c>
      <c r="W1014">
        <v>-8.7357320000000002E-2</v>
      </c>
      <c r="X1014">
        <v>0.99590710000000005</v>
      </c>
      <c r="Y1014">
        <v>7.0155750000000003E-2</v>
      </c>
      <c r="Z1014">
        <v>-2.3328849999999998E-3</v>
      </c>
      <c r="AA1014">
        <v>0.99753329999999996</v>
      </c>
      <c r="AB1014">
        <v>20</v>
      </c>
      <c r="AC1014">
        <v>20.3462999999999</v>
      </c>
      <c r="AD1014">
        <v>-1.12341</v>
      </c>
      <c r="AE1014">
        <v>-1.46590000000003</v>
      </c>
      <c r="AF1014">
        <v>1.4372622808048401</v>
      </c>
      <c r="AG1014">
        <v>-1.12341</v>
      </c>
      <c r="AH1014">
        <v>20.2865078391963</v>
      </c>
      <c r="AI1014">
        <v>93.161733402612896</v>
      </c>
      <c r="AJ1014">
        <v>85.947469416031595</v>
      </c>
      <c r="AK1014">
        <v>20.368362064773301</v>
      </c>
      <c r="AL1014">
        <v>95.011593908759806</v>
      </c>
      <c r="AM1014">
        <v>88.666208106372395</v>
      </c>
      <c r="AN1014">
        <v>0.99999996757035603</v>
      </c>
    </row>
    <row r="1015" spans="1:40" x14ac:dyDescent="0.25">
      <c r="A1015" t="str">
        <f>"20190303154116413"</f>
        <v>20190303154116413</v>
      </c>
      <c r="B1015" t="str">
        <f>"1551598876410034"</f>
        <v>1551598876410034</v>
      </c>
      <c r="C1015" t="s">
        <v>40</v>
      </c>
      <c r="D1015">
        <v>6.0127969999999999</v>
      </c>
      <c r="E1015">
        <v>0.51782359999999905</v>
      </c>
      <c r="F1015" t="s">
        <v>43</v>
      </c>
      <c r="G1015">
        <v>-293.8759</v>
      </c>
      <c r="H1015">
        <v>-0.05</v>
      </c>
      <c r="I1015">
        <v>365.96409999999997</v>
      </c>
      <c r="J1015">
        <v>-314.13200000000001</v>
      </c>
      <c r="K1015">
        <v>1.073053</v>
      </c>
      <c r="L1015">
        <v>367.43049999999999</v>
      </c>
      <c r="M1015">
        <v>0.9999171</v>
      </c>
      <c r="N1015">
        <v>-1.2838189999999999E-2</v>
      </c>
      <c r="O1015">
        <v>-1.1367090000000001E-3</v>
      </c>
      <c r="P1015">
        <v>0.99463270000000004</v>
      </c>
      <c r="Q1015">
        <v>-0.1004902</v>
      </c>
      <c r="R1015">
        <v>-2.464908E-2</v>
      </c>
      <c r="S1015">
        <v>2.9942630000000001</v>
      </c>
      <c r="T1015">
        <v>-0.164717899999999</v>
      </c>
      <c r="U1015">
        <v>-0.21502689999999999</v>
      </c>
      <c r="V1015">
        <v>2.352313E-2</v>
      </c>
      <c r="W1015">
        <v>-8.7711049999999999E-2</v>
      </c>
      <c r="X1015">
        <v>0.99586819999999998</v>
      </c>
      <c r="Y1015">
        <v>7.0364880000000005E-2</v>
      </c>
      <c r="Z1015">
        <v>-2.3363450000000001E-3</v>
      </c>
      <c r="AA1015">
        <v>0.99751860000000003</v>
      </c>
      <c r="AB1015">
        <v>20</v>
      </c>
      <c r="AC1015">
        <v>20.2561</v>
      </c>
      <c r="AD1015">
        <v>-1.1230530000000001</v>
      </c>
      <c r="AE1015">
        <v>-1.4664000000000199</v>
      </c>
      <c r="AF1015">
        <v>1.43897168154644</v>
      </c>
      <c r="AG1015">
        <v>-1.1230530000000001</v>
      </c>
      <c r="AH1015">
        <v>20.195997221848</v>
      </c>
      <c r="AI1015">
        <v>93.174776877434297</v>
      </c>
      <c r="AJ1015">
        <v>85.9245433838705</v>
      </c>
      <c r="AK1015">
        <v>20.278318256847498</v>
      </c>
      <c r="AL1015">
        <v>95.031938982122298</v>
      </c>
      <c r="AM1015">
        <v>88.646883699062698</v>
      </c>
      <c r="AN1015">
        <v>1.00000001885416</v>
      </c>
    </row>
    <row r="1016" spans="1:40" x14ac:dyDescent="0.25">
      <c r="A1016" t="str">
        <f>"20190303154116424"</f>
        <v>20190303154116424</v>
      </c>
      <c r="B1016" t="str">
        <f>"1551598876419794"</f>
        <v>1551598876419794</v>
      </c>
      <c r="C1016" t="s">
        <v>40</v>
      </c>
      <c r="D1016">
        <v>5.9939600000000004</v>
      </c>
      <c r="E1016">
        <v>0.51686080000000001</v>
      </c>
      <c r="F1016" t="s">
        <v>43</v>
      </c>
      <c r="G1016">
        <v>-293.7971</v>
      </c>
      <c r="H1016">
        <v>-0.05</v>
      </c>
      <c r="I1016">
        <v>365.96289999999999</v>
      </c>
      <c r="J1016">
        <v>-314.03250000000003</v>
      </c>
      <c r="K1016">
        <v>1.0728610000000001</v>
      </c>
      <c r="L1016">
        <v>367.43040000000002</v>
      </c>
      <c r="M1016">
        <v>0.99991870000000005</v>
      </c>
      <c r="N1016">
        <v>-1.2705320000000001E-2</v>
      </c>
      <c r="O1016">
        <v>-1.102846E-3</v>
      </c>
      <c r="P1016">
        <v>0.99463049999999997</v>
      </c>
      <c r="Q1016">
        <v>-0.1005061</v>
      </c>
      <c r="R1016">
        <v>-2.467652E-2</v>
      </c>
      <c r="S1016">
        <v>2.9941409999999999</v>
      </c>
      <c r="T1016">
        <v>-0.16535999999999901</v>
      </c>
      <c r="U1016">
        <v>-0.21609500000000001</v>
      </c>
      <c r="V1016">
        <v>2.35841E-2</v>
      </c>
      <c r="W1016">
        <v>-8.7859270000000003E-2</v>
      </c>
      <c r="X1016">
        <v>0.99585369999999995</v>
      </c>
      <c r="Y1016">
        <v>7.0754170000000005E-2</v>
      </c>
      <c r="Z1016">
        <v>-2.3534860000000001E-3</v>
      </c>
      <c r="AA1016">
        <v>0.99749100000000002</v>
      </c>
      <c r="AB1016">
        <v>20</v>
      </c>
      <c r="AC1016">
        <v>20.235399999999998</v>
      </c>
      <c r="AD1016">
        <v>-1.1228610000000001</v>
      </c>
      <c r="AE1016">
        <v>-1.46750000000002</v>
      </c>
      <c r="AF1016">
        <v>1.4407676717784801</v>
      </c>
      <c r="AG1016">
        <v>-1.1228610000000001</v>
      </c>
      <c r="AH1016">
        <v>20.1752091159629</v>
      </c>
      <c r="AI1016">
        <v>93.177462630248499</v>
      </c>
      <c r="AJ1016">
        <v>85.9152836881144</v>
      </c>
      <c r="AK1016">
        <v>20.257731639603499</v>
      </c>
      <c r="AL1016">
        <v>95.040464236501506</v>
      </c>
      <c r="AM1016">
        <v>88.643358097372698</v>
      </c>
      <c r="AN1016">
        <v>1.0000000264507101</v>
      </c>
    </row>
    <row r="1017" spans="1:40" x14ac:dyDescent="0.25">
      <c r="A1017" t="str">
        <f>"20190303154116437"</f>
        <v>20190303154116437</v>
      </c>
      <c r="B1017" t="str">
        <f>"1551598876430529"</f>
        <v>1551598876430529</v>
      </c>
      <c r="C1017" t="s">
        <v>40</v>
      </c>
      <c r="D1017">
        <v>6.0521859999999998</v>
      </c>
      <c r="E1017">
        <v>0.51686080000000001</v>
      </c>
      <c r="F1017" t="s">
        <v>43</v>
      </c>
      <c r="G1017">
        <v>-296.82850000000002</v>
      </c>
      <c r="H1017">
        <v>-0.05</v>
      </c>
      <c r="I1017">
        <v>366.23180000000002</v>
      </c>
      <c r="J1017">
        <v>-313.928</v>
      </c>
      <c r="K1017">
        <v>1.072668</v>
      </c>
      <c r="L1017">
        <v>367.43029999999999</v>
      </c>
      <c r="M1017">
        <v>0.99992049999999999</v>
      </c>
      <c r="N1017">
        <v>-1.257049E-2</v>
      </c>
      <c r="O1017">
        <v>-1.0674289999999999E-3</v>
      </c>
      <c r="P1017">
        <v>0.9946374</v>
      </c>
      <c r="Q1017">
        <v>-0.1004689</v>
      </c>
      <c r="R1017">
        <v>-2.455162E-2</v>
      </c>
      <c r="S1017">
        <v>2.9913020000000001</v>
      </c>
      <c r="T1017">
        <v>-0.19523470000000001</v>
      </c>
      <c r="U1017">
        <v>-0.20840449999999999</v>
      </c>
      <c r="V1017">
        <v>2.349439E-2</v>
      </c>
      <c r="W1017">
        <v>-8.7956300000000001E-2</v>
      </c>
      <c r="X1017">
        <v>0.99584720000000004</v>
      </c>
      <c r="Y1017">
        <v>6.8265640000000002E-2</v>
      </c>
      <c r="Z1017">
        <v>-2.5967350000000002E-3</v>
      </c>
      <c r="AA1017">
        <v>0.99766379999999999</v>
      </c>
      <c r="AB1017">
        <v>20</v>
      </c>
      <c r="AC1017">
        <v>17.0994999999999</v>
      </c>
      <c r="AD1017">
        <v>-1.122668</v>
      </c>
      <c r="AE1017">
        <v>-1.1984999999999599</v>
      </c>
      <c r="AF1017">
        <v>1.17520432459994</v>
      </c>
      <c r="AG1017">
        <v>-1.122668</v>
      </c>
      <c r="AH1017">
        <v>17.027729074321499</v>
      </c>
      <c r="AI1017">
        <v>93.763225236804104</v>
      </c>
      <c r="AJ1017">
        <v>86.051872818834397</v>
      </c>
      <c r="AK1017">
        <v>17.105117540411001</v>
      </c>
      <c r="AL1017">
        <v>95.046045530552107</v>
      </c>
      <c r="AM1017">
        <v>88.648507802311698</v>
      </c>
      <c r="AN1017">
        <v>0.99999997140950003</v>
      </c>
    </row>
    <row r="1018" spans="1:40" x14ac:dyDescent="0.25">
      <c r="A1018" t="str">
        <f>"20190303154116449"</f>
        <v>20190303154116449</v>
      </c>
      <c r="B1018" t="str">
        <f>"1551598876440290"</f>
        <v>1551598876440290</v>
      </c>
      <c r="C1018" t="s">
        <v>40</v>
      </c>
      <c r="D1018">
        <v>6.2903880000000001</v>
      </c>
      <c r="E1018">
        <v>0.53221940000000001</v>
      </c>
      <c r="F1018" t="s">
        <v>43</v>
      </c>
      <c r="G1018">
        <v>-296.71190000000001</v>
      </c>
      <c r="H1018">
        <v>-0.05</v>
      </c>
      <c r="I1018">
        <v>366.233</v>
      </c>
      <c r="J1018">
        <v>-313.8143</v>
      </c>
      <c r="K1018">
        <v>1.0724880000000001</v>
      </c>
      <c r="L1018">
        <v>367.43029999999999</v>
      </c>
      <c r="M1018">
        <v>0.99992219999999998</v>
      </c>
      <c r="N1018">
        <v>-1.24388E-2</v>
      </c>
      <c r="O1018">
        <v>-1.028585E-3</v>
      </c>
      <c r="P1018">
        <v>0.99466949999999998</v>
      </c>
      <c r="Q1018">
        <v>-0.10019649999999999</v>
      </c>
      <c r="R1018">
        <v>-2.4357460000000001E-2</v>
      </c>
      <c r="S1018">
        <v>2.991333</v>
      </c>
      <c r="T1018">
        <v>-0.1950654</v>
      </c>
      <c r="U1018">
        <v>-0.20803830000000001</v>
      </c>
      <c r="V1018">
        <v>2.3338919999999999E-2</v>
      </c>
      <c r="W1018">
        <v>-8.7814719999999999E-2</v>
      </c>
      <c r="X1018">
        <v>0.99586339999999995</v>
      </c>
      <c r="Y1018">
        <v>6.8182880000000001E-2</v>
      </c>
      <c r="Z1018">
        <v>-2.5890449999999999E-3</v>
      </c>
      <c r="AA1018">
        <v>0.99766949999999999</v>
      </c>
      <c r="AB1018">
        <v>20</v>
      </c>
      <c r="AC1018">
        <v>17.1023999999999</v>
      </c>
      <c r="AD1018">
        <v>-1.1224879999999999</v>
      </c>
      <c r="AE1018">
        <v>-1.19729999999998</v>
      </c>
      <c r="AF1018">
        <v>1.1746712383276701</v>
      </c>
      <c r="AG1018">
        <v>-1.1224879999999999</v>
      </c>
      <c r="AH1018">
        <v>17.030616940067201</v>
      </c>
      <c r="AI1018">
        <v>93.761998488732402</v>
      </c>
      <c r="AJ1018">
        <v>86.054325138671899</v>
      </c>
      <c r="AK1018">
        <v>17.107943920518402</v>
      </c>
      <c r="AL1018">
        <v>95.037901833742495</v>
      </c>
      <c r="AM1018">
        <v>88.657469612183107</v>
      </c>
      <c r="AN1018">
        <v>1.0000000208474999</v>
      </c>
    </row>
    <row r="1019" spans="1:40" x14ac:dyDescent="0.25">
      <c r="A1019" t="str">
        <f>"20190303154116463"</f>
        <v>20190303154116463</v>
      </c>
      <c r="B1019" t="str">
        <f>"1551598876459810"</f>
        <v>1551598876459810</v>
      </c>
      <c r="C1019" t="s">
        <v>40</v>
      </c>
      <c r="D1019">
        <v>5.9477890000000002</v>
      </c>
      <c r="E1019">
        <v>0.54000769999999998</v>
      </c>
      <c r="F1019" t="s">
        <v>42</v>
      </c>
      <c r="G1019">
        <v>-313.03829999999999</v>
      </c>
      <c r="H1019">
        <v>0.98238219999999998</v>
      </c>
      <c r="I1019">
        <v>367.34390000000002</v>
      </c>
      <c r="J1019">
        <v>-313.69130000000001</v>
      </c>
      <c r="K1019">
        <v>1.0723049999999901</v>
      </c>
      <c r="L1019">
        <v>367.43020000000001</v>
      </c>
      <c r="M1019">
        <v>0.99992389999999998</v>
      </c>
      <c r="N1019">
        <v>-1.2305180000000001E-2</v>
      </c>
      <c r="O1019">
        <v>-9.8663750000000001E-4</v>
      </c>
      <c r="P1019">
        <v>0.9946509</v>
      </c>
      <c r="Q1019">
        <v>-0.1004321</v>
      </c>
      <c r="R1019">
        <v>-2.4150939999999999E-2</v>
      </c>
      <c r="S1019">
        <v>2.9731749999999999</v>
      </c>
      <c r="T1019">
        <v>-0.34545710000000002</v>
      </c>
      <c r="U1019">
        <v>-0.32998660000000002</v>
      </c>
      <c r="V1019">
        <v>2.3174090000000001E-2</v>
      </c>
      <c r="W1019">
        <v>-8.8183600000000001E-2</v>
      </c>
      <c r="X1019">
        <v>0.99583460000000001</v>
      </c>
      <c r="Y1019">
        <v>0.1085361</v>
      </c>
      <c r="Z1019">
        <v>-6.8357549999999998E-3</v>
      </c>
      <c r="AA1019">
        <v>0.99406899999999998</v>
      </c>
      <c r="AB1019">
        <v>20</v>
      </c>
      <c r="AC1019">
        <v>0.65300000000002001</v>
      </c>
      <c r="AD1019">
        <v>-8.9922799999999803E-2</v>
      </c>
      <c r="AE1019">
        <v>-8.6299999999994201E-2</v>
      </c>
      <c r="AF1019">
        <v>8.4088416592892998E-2</v>
      </c>
      <c r="AG1019">
        <v>-8.9922799999999803E-2</v>
      </c>
      <c r="AH1019">
        <v>0.64113551570568605</v>
      </c>
      <c r="AI1019">
        <v>97.917036661606403</v>
      </c>
      <c r="AJ1019">
        <v>82.527995375114699</v>
      </c>
      <c r="AK1019">
        <v>0.65284892683080697</v>
      </c>
      <c r="AL1019">
        <v>95.059119680395497</v>
      </c>
      <c r="AM1019">
        <v>88.666909196442703</v>
      </c>
      <c r="AN1019">
        <v>0.99999996815672298</v>
      </c>
    </row>
    <row r="1020" spans="1:40" x14ac:dyDescent="0.25">
      <c r="A1020" t="str">
        <f>"20190303154116482"</f>
        <v>20190303154116482</v>
      </c>
      <c r="B1020" t="str">
        <f>"1551598876470547"</f>
        <v>1551598876470547</v>
      </c>
      <c r="C1020" t="s">
        <v>40</v>
      </c>
      <c r="D1020">
        <v>6.1134209999999998</v>
      </c>
      <c r="E1020">
        <v>0.53975649999999997</v>
      </c>
      <c r="F1020" t="s">
        <v>42</v>
      </c>
      <c r="G1020">
        <v>-312.91550000000001</v>
      </c>
      <c r="H1020">
        <v>0.87222900000000003</v>
      </c>
      <c r="I1020">
        <v>367.32639999999998</v>
      </c>
      <c r="J1020">
        <v>-313.53449999999998</v>
      </c>
      <c r="K1020">
        <v>1.0721000000000001</v>
      </c>
      <c r="L1020">
        <v>367.43009999999998</v>
      </c>
      <c r="M1020">
        <v>0.99992579999999998</v>
      </c>
      <c r="N1020">
        <v>-1.2149389999999999E-2</v>
      </c>
      <c r="O1020">
        <v>-9.331214E-4</v>
      </c>
      <c r="P1020">
        <v>0.99464339999999996</v>
      </c>
      <c r="Q1020">
        <v>-0.10065549999999999</v>
      </c>
      <c r="R1020">
        <v>-2.352218E-2</v>
      </c>
      <c r="S1020">
        <v>2.9302980000000001</v>
      </c>
      <c r="T1020">
        <v>-0.75577930000000004</v>
      </c>
      <c r="U1020">
        <v>-0.39184570000000002</v>
      </c>
      <c r="V1020">
        <v>2.2598549999999998E-2</v>
      </c>
      <c r="W1020">
        <v>-8.8562269999999998E-2</v>
      </c>
      <c r="X1020">
        <v>0.99581430000000004</v>
      </c>
      <c r="Y1020">
        <v>0.1273474</v>
      </c>
      <c r="Z1020">
        <v>-1.665523E-2</v>
      </c>
      <c r="AA1020">
        <v>0.9917184</v>
      </c>
      <c r="AB1020">
        <v>20</v>
      </c>
      <c r="AC1020">
        <v>0.61899999999997102</v>
      </c>
      <c r="AD1020">
        <v>-0.19987099999999999</v>
      </c>
      <c r="AE1020">
        <v>-0.103700000000003</v>
      </c>
      <c r="AF1020">
        <v>9.3627211416600395E-2</v>
      </c>
      <c r="AG1020">
        <v>-0.19987099999999999</v>
      </c>
      <c r="AH1020">
        <v>0.56209251962475004</v>
      </c>
      <c r="AI1020">
        <v>109.32838387685599</v>
      </c>
      <c r="AJ1020">
        <v>80.543120292691995</v>
      </c>
      <c r="AK1020">
        <v>0.60387289389137899</v>
      </c>
      <c r="AL1020">
        <v>95.080900702742994</v>
      </c>
      <c r="AM1020">
        <v>88.699979168867301</v>
      </c>
      <c r="AN1020">
        <v>1.0000000451070701</v>
      </c>
    </row>
    <row r="1021" spans="1:40" x14ac:dyDescent="0.25">
      <c r="A1021" t="str">
        <f>"20190303154116503"</f>
        <v>20190303154116503</v>
      </c>
      <c r="B1021" t="str">
        <f>"1551598876499825"</f>
        <v>1551598876499825</v>
      </c>
      <c r="C1021" t="s">
        <v>40</v>
      </c>
      <c r="D1021">
        <v>5.9168500000000002</v>
      </c>
      <c r="E1021">
        <v>0.54314259999999903</v>
      </c>
      <c r="F1021" t="s">
        <v>42</v>
      </c>
      <c r="G1021">
        <v>-312.74209999999999</v>
      </c>
      <c r="H1021">
        <v>0.86612549999999899</v>
      </c>
      <c r="I1021">
        <v>367.32479999999998</v>
      </c>
      <c r="J1021">
        <v>-313.33980000000003</v>
      </c>
      <c r="K1021">
        <v>1.071882</v>
      </c>
      <c r="L1021">
        <v>367.43</v>
      </c>
      <c r="M1021">
        <v>0.99992789999999998</v>
      </c>
      <c r="N1021">
        <v>-1.197835E-2</v>
      </c>
      <c r="O1021">
        <v>-8.6677029999999999E-4</v>
      </c>
      <c r="P1021">
        <v>0.99467550000000005</v>
      </c>
      <c r="Q1021">
        <v>-0.1004535</v>
      </c>
      <c r="R1021">
        <v>-2.3019999999999999E-2</v>
      </c>
      <c r="S1021">
        <v>2.9299010000000001</v>
      </c>
      <c r="T1021">
        <v>-0.76178859999999904</v>
      </c>
      <c r="U1021">
        <v>-0.38815309999999997</v>
      </c>
      <c r="V1021">
        <v>2.2162299999999999E-2</v>
      </c>
      <c r="W1021">
        <v>-8.8530300000000006E-2</v>
      </c>
      <c r="X1021">
        <v>0.99582689999999996</v>
      </c>
      <c r="Y1021">
        <v>0.12617610000000001</v>
      </c>
      <c r="Z1021">
        <v>-1.6629290000000001E-2</v>
      </c>
      <c r="AA1021">
        <v>0.99186850000000004</v>
      </c>
      <c r="AB1021">
        <v>20</v>
      </c>
      <c r="AC1021">
        <v>0.59770000000003098</v>
      </c>
      <c r="AD1021">
        <v>-0.20575650000000001</v>
      </c>
      <c r="AE1021">
        <v>-0.105200000000024</v>
      </c>
      <c r="AF1021">
        <v>9.3889685321589797E-2</v>
      </c>
      <c r="AG1021">
        <v>-0.20575650000000001</v>
      </c>
      <c r="AH1021">
        <v>0.53616174325010102</v>
      </c>
      <c r="AI1021">
        <v>110.70690456661499</v>
      </c>
      <c r="AJ1021">
        <v>80.067390256028503</v>
      </c>
      <c r="AK1021">
        <v>0.58191101143304003</v>
      </c>
      <c r="AL1021">
        <v>95.079061972466107</v>
      </c>
      <c r="AM1021">
        <v>88.725082969091602</v>
      </c>
      <c r="AN1021">
        <v>0.99999999816149499</v>
      </c>
    </row>
    <row r="1022" spans="1:40" x14ac:dyDescent="0.25">
      <c r="A1022" t="str">
        <f>"20190303154116516"</f>
        <v>20190303154116516</v>
      </c>
      <c r="B1022" t="str">
        <f>"1551598876510561"</f>
        <v>1551598876510561</v>
      </c>
      <c r="C1022" t="s">
        <v>40</v>
      </c>
      <c r="D1022">
        <v>6.0819960000000002</v>
      </c>
      <c r="E1022">
        <v>0.54245140000000003</v>
      </c>
      <c r="F1022" t="s">
        <v>42</v>
      </c>
      <c r="G1022">
        <v>-312.56349999999998</v>
      </c>
      <c r="H1022">
        <v>0.87045249999999996</v>
      </c>
      <c r="I1022">
        <v>367.32040000000001</v>
      </c>
      <c r="J1022">
        <v>-313.22570000000002</v>
      </c>
      <c r="K1022">
        <v>1.0717680000000001</v>
      </c>
      <c r="L1022">
        <v>367.42989999999998</v>
      </c>
      <c r="M1022">
        <v>0.99992899999999996</v>
      </c>
      <c r="N1022">
        <v>-1.1886300000000001E-2</v>
      </c>
      <c r="O1022">
        <v>-8.2783939999999995E-4</v>
      </c>
      <c r="P1022">
        <v>0.9946374</v>
      </c>
      <c r="Q1022">
        <v>-0.1008612</v>
      </c>
      <c r="R1022">
        <v>-2.2880560000000001E-2</v>
      </c>
      <c r="S1022">
        <v>2.9297490000000002</v>
      </c>
      <c r="T1022">
        <v>-0.76013140000000001</v>
      </c>
      <c r="U1022">
        <v>-0.41284179999999998</v>
      </c>
      <c r="V1022">
        <v>2.2061830000000001E-2</v>
      </c>
      <c r="W1022">
        <v>-8.9030139999999994E-2</v>
      </c>
      <c r="X1022">
        <v>0.99578460000000002</v>
      </c>
      <c r="Y1022">
        <v>0.1341733</v>
      </c>
      <c r="Z1022">
        <v>-1.765624E-2</v>
      </c>
      <c r="AA1022">
        <v>0.99080060000000003</v>
      </c>
      <c r="AB1022">
        <v>20</v>
      </c>
      <c r="AC1022">
        <v>0.66220000000004098</v>
      </c>
      <c r="AD1022">
        <v>-0.20131550000000001</v>
      </c>
      <c r="AE1022">
        <v>-0.109499999999968</v>
      </c>
      <c r="AF1022">
        <v>9.9959172273045502E-2</v>
      </c>
      <c r="AG1022">
        <v>-0.20131550000000001</v>
      </c>
      <c r="AH1022">
        <v>0.60762691785650103</v>
      </c>
      <c r="AI1022">
        <v>108.103613041987</v>
      </c>
      <c r="AJ1022">
        <v>80.658088553247296</v>
      </c>
      <c r="AK1022">
        <v>0.64786591048268105</v>
      </c>
      <c r="AL1022">
        <v>95.107814068565006</v>
      </c>
      <c r="AM1022">
        <v>88.730806856250993</v>
      </c>
      <c r="AN1022">
        <v>1.00000002988426</v>
      </c>
    </row>
    <row r="1023" spans="1:40" x14ac:dyDescent="0.25">
      <c r="A1023" t="str">
        <f>"20190303154116529"</f>
        <v>20190303154116529</v>
      </c>
      <c r="B1023" t="str">
        <f>"1551598876520322"</f>
        <v>1551598876520322</v>
      </c>
      <c r="C1023" t="s">
        <v>40</v>
      </c>
      <c r="D1023">
        <v>6.0962040000000002</v>
      </c>
      <c r="E1023">
        <v>0.54182030000000003</v>
      </c>
      <c r="F1023" t="s">
        <v>42</v>
      </c>
      <c r="G1023">
        <v>-312.39440000000002</v>
      </c>
      <c r="H1023">
        <v>0.85280409999999995</v>
      </c>
      <c r="I1023">
        <v>367.3141</v>
      </c>
      <c r="J1023">
        <v>-313.1121</v>
      </c>
      <c r="K1023">
        <v>1.07167099999999</v>
      </c>
      <c r="L1023">
        <v>367.42989999999998</v>
      </c>
      <c r="M1023">
        <v>0.99993010000000004</v>
      </c>
      <c r="N1023">
        <v>-1.1804469999999999E-2</v>
      </c>
      <c r="O1023">
        <v>-7.8921099999999995E-4</v>
      </c>
      <c r="P1023">
        <v>0.99464669999999999</v>
      </c>
      <c r="Q1023">
        <v>-0.10081329999999999</v>
      </c>
      <c r="R1023">
        <v>-2.2686950000000001E-2</v>
      </c>
      <c r="S1023">
        <v>2.9285890000000001</v>
      </c>
      <c r="T1023">
        <v>-0.77137990000000001</v>
      </c>
      <c r="U1023">
        <v>-0.40713500000000002</v>
      </c>
      <c r="V1023">
        <v>2.1906499999999999E-2</v>
      </c>
      <c r="W1023">
        <v>-8.9063600000000007E-2</v>
      </c>
      <c r="X1023">
        <v>0.99578500000000003</v>
      </c>
      <c r="Y1023">
        <v>0.13230249999999999</v>
      </c>
      <c r="Z1023">
        <v>-1.7657630000000001E-2</v>
      </c>
      <c r="AA1023">
        <v>0.99105209999999999</v>
      </c>
      <c r="AB1023">
        <v>20</v>
      </c>
      <c r="AC1023">
        <v>0.71769999999997902</v>
      </c>
      <c r="AD1023">
        <v>-0.218866899999999</v>
      </c>
      <c r="AE1023">
        <v>-0.115799999999978</v>
      </c>
      <c r="AF1023">
        <v>0.10565692148201999</v>
      </c>
      <c r="AG1023">
        <v>-0.218866899999999</v>
      </c>
      <c r="AH1023">
        <v>0.65813847999733899</v>
      </c>
      <c r="AI1023">
        <v>108.177601903514</v>
      </c>
      <c r="AJ1023">
        <v>80.879611664846095</v>
      </c>
      <c r="AK1023">
        <v>0.70157848016161095</v>
      </c>
      <c r="AL1023">
        <v>95.109739020983497</v>
      </c>
      <c r="AM1023">
        <v>88.739740436557796</v>
      </c>
      <c r="AN1023">
        <v>0.99999999290610497</v>
      </c>
    </row>
    <row r="1024" spans="1:40" x14ac:dyDescent="0.25">
      <c r="A1024" t="str">
        <f>"20190303154116541"</f>
        <v>20190303154116541</v>
      </c>
      <c r="B1024" t="str">
        <f>"1551598876530081"</f>
        <v>1551598876530081</v>
      </c>
      <c r="C1024" t="s">
        <v>40</v>
      </c>
      <c r="D1024">
        <v>6.1035709999999996</v>
      </c>
      <c r="E1024">
        <v>0.54138379999999997</v>
      </c>
      <c r="F1024" t="s">
        <v>42</v>
      </c>
      <c r="G1024">
        <v>-312.38369999999998</v>
      </c>
      <c r="H1024">
        <v>0.87801219999999902</v>
      </c>
      <c r="I1024">
        <v>367.3297</v>
      </c>
      <c r="J1024">
        <v>-313.0027</v>
      </c>
      <c r="K1024">
        <v>1.0715840000000001</v>
      </c>
      <c r="L1024">
        <v>367.4298</v>
      </c>
      <c r="M1024">
        <v>0.99993100000000001</v>
      </c>
      <c r="N1024">
        <v>-1.1729979999999999E-2</v>
      </c>
      <c r="O1024">
        <v>-7.5217869999999996E-4</v>
      </c>
      <c r="P1024">
        <v>0.9946699</v>
      </c>
      <c r="Q1024">
        <v>-0.1005799</v>
      </c>
      <c r="R1024">
        <v>-2.2711459999999999E-2</v>
      </c>
      <c r="S1024">
        <v>2.92807</v>
      </c>
      <c r="T1024">
        <v>-0.77858609999999995</v>
      </c>
      <c r="U1024">
        <v>-0.40164179999999999</v>
      </c>
      <c r="V1024">
        <v>2.1967960000000002E-2</v>
      </c>
      <c r="W1024">
        <v>-8.8904159999999996E-2</v>
      </c>
      <c r="X1024">
        <v>0.99579790000000001</v>
      </c>
      <c r="Y1024">
        <v>0.1305162</v>
      </c>
      <c r="Z1024">
        <v>-1.7575940000000002E-2</v>
      </c>
      <c r="AA1024">
        <v>0.99129040000000002</v>
      </c>
      <c r="AB1024">
        <v>20</v>
      </c>
      <c r="AC1024">
        <v>0.61900000000002797</v>
      </c>
      <c r="AD1024">
        <v>-0.19357179999999999</v>
      </c>
      <c r="AE1024">
        <v>-0.100099999999997</v>
      </c>
      <c r="AF1024">
        <v>9.0965366720404603E-2</v>
      </c>
      <c r="AG1024">
        <v>-0.19357179999999999</v>
      </c>
      <c r="AH1024">
        <v>0.56521069944355296</v>
      </c>
      <c r="AI1024">
        <v>108.68174140983101</v>
      </c>
      <c r="AJ1024">
        <v>80.857181860076494</v>
      </c>
      <c r="AK1024">
        <v>0.60432431232185901</v>
      </c>
      <c r="AL1024">
        <v>95.100567365966199</v>
      </c>
      <c r="AM1024">
        <v>88.736222214282094</v>
      </c>
      <c r="AN1024">
        <v>0.99999999928813799</v>
      </c>
    </row>
    <row r="1025" spans="1:40" x14ac:dyDescent="0.25">
      <c r="A1025" t="str">
        <f>"20190303154116553"</f>
        <v>20190303154116553</v>
      </c>
      <c r="B1025" t="str">
        <f>"1551598876550577"</f>
        <v>1551598876550577</v>
      </c>
      <c r="C1025" t="s">
        <v>40</v>
      </c>
      <c r="D1025">
        <v>6.1106699999999998</v>
      </c>
      <c r="E1025">
        <v>0.54072419999999899</v>
      </c>
      <c r="F1025" t="s">
        <v>42</v>
      </c>
      <c r="G1025">
        <v>-312.2149</v>
      </c>
      <c r="H1025">
        <v>0.86025090000000004</v>
      </c>
      <c r="I1025">
        <v>367.32240000000002</v>
      </c>
      <c r="J1025">
        <v>-312.8922</v>
      </c>
      <c r="K1025">
        <v>1.07151</v>
      </c>
      <c r="L1025">
        <v>367.4298</v>
      </c>
      <c r="M1025">
        <v>0.99993180000000004</v>
      </c>
      <c r="N1025">
        <v>-1.165943E-2</v>
      </c>
      <c r="O1025">
        <v>-7.1445679999999998E-4</v>
      </c>
      <c r="P1025">
        <v>0.99464759999999997</v>
      </c>
      <c r="Q1025">
        <v>-0.10078869999999999</v>
      </c>
      <c r="R1025">
        <v>-2.2758520000000001E-2</v>
      </c>
      <c r="S1025">
        <v>2.9275509999999998</v>
      </c>
      <c r="T1025">
        <v>-0.78533459999999999</v>
      </c>
      <c r="U1025">
        <v>-0.39874270000000001</v>
      </c>
      <c r="V1025">
        <v>2.2052530000000001E-2</v>
      </c>
      <c r="W1025">
        <v>-8.9183470000000001E-2</v>
      </c>
      <c r="X1025">
        <v>0.99577110000000002</v>
      </c>
      <c r="Y1025">
        <v>0.12956790000000001</v>
      </c>
      <c r="Z1025">
        <v>-1.759529E-2</v>
      </c>
      <c r="AA1025">
        <v>0.99141440000000003</v>
      </c>
      <c r="AB1025">
        <v>20</v>
      </c>
      <c r="AC1025">
        <v>0.67730000000000201</v>
      </c>
      <c r="AD1025">
        <v>-0.21125909999999901</v>
      </c>
      <c r="AE1025">
        <v>-0.10739999999998399</v>
      </c>
      <c r="AF1025">
        <v>9.7648797691865505E-2</v>
      </c>
      <c r="AG1025">
        <v>-0.21125909999999901</v>
      </c>
      <c r="AH1025">
        <v>0.61866309603903302</v>
      </c>
      <c r="AI1025">
        <v>108.63930592480099</v>
      </c>
      <c r="AJ1025">
        <v>81.030522355846799</v>
      </c>
      <c r="AK1025">
        <v>0.66099146849568302</v>
      </c>
      <c r="AL1025">
        <v>95.116634241479204</v>
      </c>
      <c r="AM1025">
        <v>88.731324506267399</v>
      </c>
      <c r="AN1025">
        <v>1.00000004449792</v>
      </c>
    </row>
    <row r="1026" spans="1:40" x14ac:dyDescent="0.25">
      <c r="A1026" t="str">
        <f>"20190303154116571"</f>
        <v>20190303154116571</v>
      </c>
      <c r="B1026" t="str">
        <f>"1551598876560338"</f>
        <v>1551598876560338</v>
      </c>
      <c r="C1026" t="s">
        <v>40</v>
      </c>
      <c r="D1026">
        <v>6.1064780000000001</v>
      </c>
      <c r="E1026">
        <v>0.54045959999999904</v>
      </c>
      <c r="F1026" t="s">
        <v>42</v>
      </c>
      <c r="G1026">
        <v>-312.20429999999999</v>
      </c>
      <c r="H1026">
        <v>0.88429069999999899</v>
      </c>
      <c r="I1026">
        <v>367.33710000000002</v>
      </c>
      <c r="J1026">
        <v>-312.74720000000002</v>
      </c>
      <c r="K1026">
        <v>1.0714159999999999</v>
      </c>
      <c r="L1026">
        <v>367.42970000000003</v>
      </c>
      <c r="M1026">
        <v>0.99993270000000001</v>
      </c>
      <c r="N1026">
        <v>-1.1576370000000001E-2</v>
      </c>
      <c r="O1026">
        <v>-6.6498369999999998E-4</v>
      </c>
      <c r="P1026">
        <v>0.99468330000000005</v>
      </c>
      <c r="Q1026">
        <v>-0.1003936</v>
      </c>
      <c r="R1026">
        <v>-2.2935730000000001E-2</v>
      </c>
      <c r="S1026">
        <v>2.9263919999999999</v>
      </c>
      <c r="T1026">
        <v>-0.79638390000000003</v>
      </c>
      <c r="U1026">
        <v>-0.3937988</v>
      </c>
      <c r="V1026">
        <v>2.227908E-2</v>
      </c>
      <c r="W1026">
        <v>-8.8870690000000002E-2</v>
      </c>
      <c r="X1026">
        <v>0.99579399999999996</v>
      </c>
      <c r="Y1026">
        <v>0.12795229999999999</v>
      </c>
      <c r="Z1026">
        <v>-1.7614790000000002E-2</v>
      </c>
      <c r="AA1026">
        <v>0.9916239</v>
      </c>
      <c r="AB1026">
        <v>20</v>
      </c>
      <c r="AC1026">
        <v>0.54290000000003102</v>
      </c>
      <c r="AD1026">
        <v>-0.18712529999999999</v>
      </c>
      <c r="AE1026">
        <v>-9.2600000000004401E-2</v>
      </c>
      <c r="AF1026">
        <v>8.2692583557398003E-2</v>
      </c>
      <c r="AG1026">
        <v>-0.18712529999999999</v>
      </c>
      <c r="AH1026">
        <v>0.48676717387156698</v>
      </c>
      <c r="AI1026">
        <v>110.756443932511</v>
      </c>
      <c r="AJ1026">
        <v>80.358571285126501</v>
      </c>
      <c r="AK1026">
        <v>0.52801157452692304</v>
      </c>
      <c r="AL1026">
        <v>95.098641930473093</v>
      </c>
      <c r="AM1026">
        <v>88.718324942835395</v>
      </c>
      <c r="AN1026">
        <v>1.00000002369136</v>
      </c>
    </row>
    <row r="1027" spans="1:40" x14ac:dyDescent="0.25">
      <c r="A1027" t="str">
        <f>"20190303154116581"</f>
        <v>20190303154116581</v>
      </c>
      <c r="B1027" t="str">
        <f>"1551598876570098"</f>
        <v>1551598876570098</v>
      </c>
      <c r="C1027" t="s">
        <v>40</v>
      </c>
      <c r="D1027">
        <v>6.1107630000000004</v>
      </c>
      <c r="E1027">
        <v>0.54040049999999995</v>
      </c>
      <c r="F1027" t="s">
        <v>42</v>
      </c>
      <c r="G1027">
        <v>-312.03129999999999</v>
      </c>
      <c r="H1027">
        <v>0.87584470000000003</v>
      </c>
      <c r="I1027">
        <v>367.33359999999999</v>
      </c>
      <c r="J1027">
        <v>-312.64319999999998</v>
      </c>
      <c r="K1027">
        <v>1.071358</v>
      </c>
      <c r="L1027">
        <v>367.42970000000003</v>
      </c>
      <c r="M1027">
        <v>0.99993350000000003</v>
      </c>
      <c r="N1027">
        <v>-1.152127E-2</v>
      </c>
      <c r="O1027">
        <v>-6.2950150000000004E-4</v>
      </c>
      <c r="P1027">
        <v>0.9946701</v>
      </c>
      <c r="Q1027">
        <v>-0.10049619999999999</v>
      </c>
      <c r="R1027">
        <v>-2.307503E-2</v>
      </c>
      <c r="S1027">
        <v>2.9262999999999999</v>
      </c>
      <c r="T1027">
        <v>-0.79938229999999999</v>
      </c>
      <c r="U1027">
        <v>-0.39208979999999999</v>
      </c>
      <c r="V1027">
        <v>2.2453540000000001E-2</v>
      </c>
      <c r="W1027">
        <v>-8.9028339999999997E-2</v>
      </c>
      <c r="X1027">
        <v>0.99577599999999999</v>
      </c>
      <c r="Y1027">
        <v>0.12740770000000001</v>
      </c>
      <c r="Z1027">
        <v>-1.7606699999999999E-2</v>
      </c>
      <c r="AA1027">
        <v>0.99169419999999997</v>
      </c>
      <c r="AB1027">
        <v>20</v>
      </c>
      <c r="AC1027">
        <v>0.61189999999999101</v>
      </c>
      <c r="AD1027">
        <v>-0.195513299999999</v>
      </c>
      <c r="AE1027">
        <v>-9.6100000000035296E-2</v>
      </c>
      <c r="AF1027">
        <v>8.7042344135626198E-2</v>
      </c>
      <c r="AG1027">
        <v>-0.195513299999999</v>
      </c>
      <c r="AH1027">
        <v>0.5565125367</v>
      </c>
      <c r="AI1027">
        <v>109.14182993368701</v>
      </c>
      <c r="AJ1027">
        <v>81.110571278604795</v>
      </c>
      <c r="AK1027">
        <v>0.59624493595651096</v>
      </c>
      <c r="AL1027">
        <v>95.107710552677503</v>
      </c>
      <c r="AM1027">
        <v>88.708268621206898</v>
      </c>
      <c r="AN1027">
        <v>1.0000000244788401</v>
      </c>
    </row>
    <row r="1028" spans="1:40" x14ac:dyDescent="0.25">
      <c r="A1028" t="str">
        <f>"20190303154116593"</f>
        <v>20190303154116593</v>
      </c>
      <c r="B1028" t="str">
        <f>"1551598876590594"</f>
        <v>1551598876590594</v>
      </c>
      <c r="C1028" t="s">
        <v>40</v>
      </c>
      <c r="D1028">
        <v>6.1192580000000003</v>
      </c>
      <c r="E1028">
        <v>0.5401667</v>
      </c>
      <c r="F1028" t="s">
        <v>42</v>
      </c>
      <c r="G1028">
        <v>-311.86250000000001</v>
      </c>
      <c r="H1028">
        <v>0.85684179999999999</v>
      </c>
      <c r="I1028">
        <v>367.32490000000001</v>
      </c>
      <c r="J1028">
        <v>-312.5394</v>
      </c>
      <c r="K1028">
        <v>1.0713010000000001</v>
      </c>
      <c r="L1028">
        <v>367.42970000000003</v>
      </c>
      <c r="M1028">
        <v>0.9999342</v>
      </c>
      <c r="N1028">
        <v>-1.1469160000000001E-2</v>
      </c>
      <c r="O1028">
        <v>-5.94157E-4</v>
      </c>
      <c r="P1028">
        <v>0.99468239999999997</v>
      </c>
      <c r="Q1028">
        <v>-0.1003387</v>
      </c>
      <c r="R1028">
        <v>-2.3219440000000001E-2</v>
      </c>
      <c r="S1028">
        <v>2.925751</v>
      </c>
      <c r="T1028">
        <v>-0.80398950000000002</v>
      </c>
      <c r="U1028">
        <v>-0.39187620000000001</v>
      </c>
      <c r="V1028">
        <v>2.263312E-2</v>
      </c>
      <c r="W1028">
        <v>-8.8922570000000006E-2</v>
      </c>
      <c r="X1028">
        <v>0.99578140000000004</v>
      </c>
      <c r="Y1028">
        <v>0.1273435</v>
      </c>
      <c r="Z1028">
        <v>-1.770033E-2</v>
      </c>
      <c r="AA1028">
        <v>0.99170069999999999</v>
      </c>
      <c r="AB1028">
        <v>20</v>
      </c>
      <c r="AC1028">
        <v>0.67689999999998895</v>
      </c>
      <c r="AD1028">
        <v>-0.21445919999999999</v>
      </c>
      <c r="AE1028">
        <v>-0.104800000000011</v>
      </c>
      <c r="AF1028">
        <v>9.5077456562084994E-2</v>
      </c>
      <c r="AG1028">
        <v>-0.21445919999999999</v>
      </c>
      <c r="AH1028">
        <v>0.61652504149736398</v>
      </c>
      <c r="AI1028">
        <v>108.972332258148</v>
      </c>
      <c r="AJ1028">
        <v>81.233189894127193</v>
      </c>
      <c r="AK1028">
        <v>0.65964808648572704</v>
      </c>
      <c r="AL1028">
        <v>95.101626172072898</v>
      </c>
      <c r="AM1028">
        <v>88.697948150874097</v>
      </c>
      <c r="AN1028">
        <v>1.0000000390811401</v>
      </c>
    </row>
    <row r="1029" spans="1:40" x14ac:dyDescent="0.25">
      <c r="A1029" t="str">
        <f>"20190303154116607"</f>
        <v>20190303154116607</v>
      </c>
      <c r="B1029" t="str">
        <f>"1551598876600354"</f>
        <v>1551598876600354</v>
      </c>
      <c r="C1029" t="s">
        <v>40</v>
      </c>
      <c r="D1029">
        <v>6.1183370000000004</v>
      </c>
      <c r="E1029">
        <v>0.54005449999999999</v>
      </c>
      <c r="F1029" t="s">
        <v>42</v>
      </c>
      <c r="G1029">
        <v>-311.8519</v>
      </c>
      <c r="H1029">
        <v>0.88110290000000002</v>
      </c>
      <c r="I1029">
        <v>367.33769999999998</v>
      </c>
      <c r="J1029">
        <v>-312.42959999999999</v>
      </c>
      <c r="K1029">
        <v>1.071251</v>
      </c>
      <c r="L1029">
        <v>367.42970000000003</v>
      </c>
      <c r="M1029">
        <v>0.99993469999999995</v>
      </c>
      <c r="N1029">
        <v>-1.141966E-2</v>
      </c>
      <c r="O1029">
        <v>-5.5656369999999996E-4</v>
      </c>
      <c r="P1029">
        <v>0.99468719999999999</v>
      </c>
      <c r="Q1029">
        <v>-0.10036349999999999</v>
      </c>
      <c r="R1029">
        <v>-2.2910420000000001E-2</v>
      </c>
      <c r="S1029">
        <v>2.9253230000000001</v>
      </c>
      <c r="T1029">
        <v>-0.80925749999999996</v>
      </c>
      <c r="U1029">
        <v>-0.3904724</v>
      </c>
      <c r="V1029">
        <v>2.236146E-2</v>
      </c>
      <c r="W1029">
        <v>-8.8996629999999993E-2</v>
      </c>
      <c r="X1029">
        <v>0.99578089999999997</v>
      </c>
      <c r="Y1029">
        <v>0.12688669999999999</v>
      </c>
      <c r="Z1029">
        <v>-1.7752520000000001E-2</v>
      </c>
      <c r="AA1029">
        <v>0.99175829999999998</v>
      </c>
      <c r="AB1029">
        <v>20</v>
      </c>
      <c r="AC1029">
        <v>0.577699999999992</v>
      </c>
      <c r="AD1029">
        <v>-0.19014809999999999</v>
      </c>
      <c r="AE1029">
        <v>-9.2000000000041299E-2</v>
      </c>
      <c r="AF1029">
        <v>8.2917537713395897E-2</v>
      </c>
      <c r="AG1029">
        <v>-0.19014809999999999</v>
      </c>
      <c r="AH1029">
        <v>0.52254053582970905</v>
      </c>
      <c r="AI1029">
        <v>109.76818126242399</v>
      </c>
      <c r="AJ1029">
        <v>80.983394693906902</v>
      </c>
      <c r="AK1029">
        <v>0.56221012938158799</v>
      </c>
      <c r="AL1029">
        <v>95.105886496401396</v>
      </c>
      <c r="AM1029">
        <v>88.713570442736398</v>
      </c>
      <c r="AN1029">
        <v>1.0000000179247399</v>
      </c>
    </row>
    <row r="1030" spans="1:40" x14ac:dyDescent="0.25">
      <c r="A1030" t="str">
        <f>"20190303154116619"</f>
        <v>20190303154116619</v>
      </c>
      <c r="B1030" t="str">
        <f>"1551598876610114"</f>
        <v>1551598876610114</v>
      </c>
      <c r="C1030" t="s">
        <v>40</v>
      </c>
      <c r="D1030">
        <v>6.122903</v>
      </c>
      <c r="E1030">
        <v>0.53995079999999995</v>
      </c>
      <c r="F1030" t="s">
        <v>42</v>
      </c>
      <c r="G1030">
        <v>-311.6825</v>
      </c>
      <c r="H1030">
        <v>0.86390400000000001</v>
      </c>
      <c r="I1030">
        <v>367.32990000000001</v>
      </c>
      <c r="J1030">
        <v>-312.31810000000002</v>
      </c>
      <c r="K1030">
        <v>1.0712029999999999</v>
      </c>
      <c r="L1030">
        <v>367.42959999999999</v>
      </c>
      <c r="M1030">
        <v>0.99993529999999997</v>
      </c>
      <c r="N1030">
        <v>-1.137174E-2</v>
      </c>
      <c r="O1030">
        <v>-5.1838440000000002E-4</v>
      </c>
      <c r="P1030">
        <v>0.99472079999999996</v>
      </c>
      <c r="Q1030">
        <v>-0.10005550000000001</v>
      </c>
      <c r="R1030">
        <v>-2.2789179999999999E-2</v>
      </c>
      <c r="S1030">
        <v>2.9251399999999999</v>
      </c>
      <c r="T1030">
        <v>-0.8119113</v>
      </c>
      <c r="U1030">
        <v>-0.38894649999999997</v>
      </c>
      <c r="V1030">
        <v>2.22784E-2</v>
      </c>
      <c r="W1030">
        <v>-8.8735980000000006E-2</v>
      </c>
      <c r="X1030">
        <v>0.99580599999999997</v>
      </c>
      <c r="Y1030">
        <v>0.12641060000000001</v>
      </c>
      <c r="Z1030">
        <v>-1.774736E-2</v>
      </c>
      <c r="AA1030">
        <v>0.99181920000000001</v>
      </c>
      <c r="AB1030">
        <v>20</v>
      </c>
      <c r="AC1030">
        <v>0.63560000000001005</v>
      </c>
      <c r="AD1030">
        <v>-0.20729899999999901</v>
      </c>
      <c r="AE1030">
        <v>-9.9699999999984301E-2</v>
      </c>
      <c r="AF1030">
        <v>9.0024382100427403E-2</v>
      </c>
      <c r="AG1030">
        <v>-0.20729899999999901</v>
      </c>
      <c r="AH1030">
        <v>0.57586662035682101</v>
      </c>
      <c r="AI1030">
        <v>109.578326144613</v>
      </c>
      <c r="AJ1030">
        <v>81.114948709333703</v>
      </c>
      <c r="AK1030">
        <v>0.61862721344502003</v>
      </c>
      <c r="AL1030">
        <v>95.090893145745994</v>
      </c>
      <c r="AM1030">
        <v>88.718379488207802</v>
      </c>
      <c r="AN1030">
        <v>0.99999999544455997</v>
      </c>
    </row>
    <row r="1031" spans="1:40" x14ac:dyDescent="0.25">
      <c r="A1031" t="str">
        <f>"20190303154116637"</f>
        <v>20190303154116637</v>
      </c>
      <c r="B1031" t="str">
        <f>"1551598876630614"</f>
        <v>1551598876630614</v>
      </c>
      <c r="C1031" t="s">
        <v>40</v>
      </c>
      <c r="D1031">
        <v>6.1151390000000001</v>
      </c>
      <c r="E1031">
        <v>0.53974350000000004</v>
      </c>
      <c r="F1031" t="s">
        <v>42</v>
      </c>
      <c r="G1031">
        <v>-311.51209999999998</v>
      </c>
      <c r="H1031">
        <v>0.84701319999999902</v>
      </c>
      <c r="I1031">
        <v>367.32260000000002</v>
      </c>
      <c r="J1031">
        <v>-312.15449999999998</v>
      </c>
      <c r="K1031">
        <v>1.071142</v>
      </c>
      <c r="L1031">
        <v>367.42959999999999</v>
      </c>
      <c r="M1031">
        <v>0.99993600000000005</v>
      </c>
      <c r="N1031">
        <v>-1.1308230000000001E-2</v>
      </c>
      <c r="O1031">
        <v>-4.6259460000000002E-4</v>
      </c>
      <c r="P1031">
        <v>0.994699</v>
      </c>
      <c r="Q1031">
        <v>-0.1003522</v>
      </c>
      <c r="R1031">
        <v>-2.24438E-2</v>
      </c>
      <c r="S1031">
        <v>2.9252009999999999</v>
      </c>
      <c r="T1031">
        <v>-0.81366490000000002</v>
      </c>
      <c r="U1031">
        <v>-0.38784790000000002</v>
      </c>
      <c r="V1031">
        <v>2.1988299999999999E-2</v>
      </c>
      <c r="W1031">
        <v>-8.9096170000000002E-2</v>
      </c>
      <c r="X1031">
        <v>0.99578029999999995</v>
      </c>
      <c r="Y1031">
        <v>0.12608849999999999</v>
      </c>
      <c r="Z1031">
        <v>-1.7747619999999999E-2</v>
      </c>
      <c r="AA1031">
        <v>0.99186019999999997</v>
      </c>
      <c r="AB1031">
        <v>20</v>
      </c>
      <c r="AC1031">
        <v>0.64240000000000896</v>
      </c>
      <c r="AD1031">
        <v>-0.22412879999999999</v>
      </c>
      <c r="AE1031">
        <v>-0.10699999999996999</v>
      </c>
      <c r="AF1031">
        <v>9.5403209876039799E-2</v>
      </c>
      <c r="AG1031">
        <v>-0.22412879999999999</v>
      </c>
      <c r="AH1031">
        <v>0.574415467022108</v>
      </c>
      <c r="AI1031">
        <v>111.052367459384</v>
      </c>
      <c r="AJ1031">
        <v>80.569969611812596</v>
      </c>
      <c r="AK1031">
        <v>0.62392998020476498</v>
      </c>
      <c r="AL1031">
        <v>95.111612508636199</v>
      </c>
      <c r="AM1031">
        <v>88.735030120006797</v>
      </c>
      <c r="AN1031">
        <v>1.00000000935682</v>
      </c>
    </row>
    <row r="1032" spans="1:40" x14ac:dyDescent="0.25">
      <c r="A1032" t="str">
        <f>"20190303154116648"</f>
        <v>20190303154116648</v>
      </c>
      <c r="B1032" t="str">
        <f>"1551598876640370"</f>
        <v>1551598876640370</v>
      </c>
      <c r="C1032" t="s">
        <v>40</v>
      </c>
      <c r="D1032">
        <v>6.1203580000000004</v>
      </c>
      <c r="E1032">
        <v>0.53962089999999996</v>
      </c>
      <c r="F1032" t="s">
        <v>42</v>
      </c>
      <c r="G1032">
        <v>-311.33659999999998</v>
      </c>
      <c r="H1032">
        <v>0.84202279999999996</v>
      </c>
      <c r="I1032">
        <v>367.32159999999999</v>
      </c>
      <c r="J1032">
        <v>-312.05380000000002</v>
      </c>
      <c r="K1032">
        <v>1.071102</v>
      </c>
      <c r="L1032">
        <v>367.42959999999999</v>
      </c>
      <c r="M1032">
        <v>0.99993639999999995</v>
      </c>
      <c r="N1032">
        <v>-1.127337E-2</v>
      </c>
      <c r="O1032">
        <v>-4.283054E-4</v>
      </c>
      <c r="P1032">
        <v>0.99471259999999995</v>
      </c>
      <c r="Q1032">
        <v>-0.10024429999999999</v>
      </c>
      <c r="R1032">
        <v>-2.2320179999999998E-2</v>
      </c>
      <c r="S1032">
        <v>2.9246219999999998</v>
      </c>
      <c r="T1032">
        <v>-0.81937119999999997</v>
      </c>
      <c r="U1032">
        <v>-0.38507079999999999</v>
      </c>
      <c r="V1032">
        <v>2.1898919999999999E-2</v>
      </c>
      <c r="W1032">
        <v>-8.9022870000000004E-2</v>
      </c>
      <c r="X1032">
        <v>0.99578880000000003</v>
      </c>
      <c r="Y1032">
        <v>0.12518850000000001</v>
      </c>
      <c r="Z1032">
        <v>-1.7745319999999998E-2</v>
      </c>
      <c r="AA1032">
        <v>0.99197420000000003</v>
      </c>
      <c r="AB1032">
        <v>20</v>
      </c>
      <c r="AC1032">
        <v>0.71720000000004802</v>
      </c>
      <c r="AD1032">
        <v>-0.22907919999999901</v>
      </c>
      <c r="AE1032">
        <v>-0.108000000000004</v>
      </c>
      <c r="AF1032">
        <v>9.7923978476132295E-2</v>
      </c>
      <c r="AG1032">
        <v>-0.22907919999999901</v>
      </c>
      <c r="AH1032">
        <v>0.65218480186620498</v>
      </c>
      <c r="AI1032">
        <v>109.154941113417</v>
      </c>
      <c r="AJ1032">
        <v>81.460964172108106</v>
      </c>
      <c r="AK1032">
        <v>0.69814855240020002</v>
      </c>
      <c r="AL1032">
        <v>95.107396101932807</v>
      </c>
      <c r="AM1032">
        <v>88.740181172022105</v>
      </c>
      <c r="AN1032">
        <v>0.99999998414282099</v>
      </c>
    </row>
    <row r="1033" spans="1:40" x14ac:dyDescent="0.25">
      <c r="A1033" t="str">
        <f>"20190303154116661"</f>
        <v>20190303154116661</v>
      </c>
      <c r="B1033" t="str">
        <f>"1551598876650130"</f>
        <v>1551598876650130</v>
      </c>
      <c r="C1033" t="s">
        <v>40</v>
      </c>
      <c r="D1033">
        <v>6.0146199999999999</v>
      </c>
      <c r="E1033">
        <v>0.53992280000000004</v>
      </c>
      <c r="F1033" t="s">
        <v>42</v>
      </c>
      <c r="G1033">
        <v>-311.32619999999997</v>
      </c>
      <c r="H1033">
        <v>0.86692909999999901</v>
      </c>
      <c r="I1033">
        <v>367.33370000000002</v>
      </c>
      <c r="J1033">
        <v>-311.93990000000002</v>
      </c>
      <c r="K1033">
        <v>1.071067</v>
      </c>
      <c r="L1033">
        <v>367.42959999999999</v>
      </c>
      <c r="M1033">
        <v>0.99993679999999996</v>
      </c>
      <c r="N1033">
        <v>-1.123613E-2</v>
      </c>
      <c r="O1033">
        <v>-3.894735E-4</v>
      </c>
      <c r="P1033">
        <v>0.99472669999999996</v>
      </c>
      <c r="Q1033">
        <v>-0.1001375</v>
      </c>
      <c r="R1033">
        <v>-2.2171030000000001E-2</v>
      </c>
      <c r="S1033">
        <v>2.9246219999999998</v>
      </c>
      <c r="T1033">
        <v>-0.82077369999999905</v>
      </c>
      <c r="U1033">
        <v>-0.38397219999999999</v>
      </c>
      <c r="V1033">
        <v>2.17883E-2</v>
      </c>
      <c r="W1033">
        <v>-8.8953039999999997E-2</v>
      </c>
      <c r="X1033">
        <v>0.9957975</v>
      </c>
      <c r="Y1033">
        <v>0.1248567</v>
      </c>
      <c r="Z1033">
        <v>-1.7734219999999998E-2</v>
      </c>
      <c r="AA1033">
        <v>0.99201629999999996</v>
      </c>
      <c r="AB1033">
        <v>20</v>
      </c>
      <c r="AC1033">
        <v>0.61370000000005098</v>
      </c>
      <c r="AD1033">
        <v>-0.20413790000000001</v>
      </c>
      <c r="AE1033">
        <v>-9.5899999999971897E-2</v>
      </c>
      <c r="AF1033">
        <v>8.6335950885867305E-2</v>
      </c>
      <c r="AG1033">
        <v>-0.20413790000000001</v>
      </c>
      <c r="AH1033">
        <v>0.55391034316688903</v>
      </c>
      <c r="AI1033">
        <v>110.00873286427399</v>
      </c>
      <c r="AJ1033">
        <v>81.140803046541095</v>
      </c>
      <c r="AK1033">
        <v>0.59660945927720399</v>
      </c>
      <c r="AL1033">
        <v>95.103379032324995</v>
      </c>
      <c r="AM1033">
        <v>88.746553921240505</v>
      </c>
      <c r="AN1033">
        <v>1.0000000171741901</v>
      </c>
    </row>
    <row r="1034" spans="1:40" x14ac:dyDescent="0.25">
      <c r="A1034" t="str">
        <f>"20190303154116682"</f>
        <v>20190303154116682</v>
      </c>
      <c r="B1034" t="str">
        <f>"1551598876680386"</f>
        <v>1551598876680386</v>
      </c>
      <c r="C1034" t="s">
        <v>40</v>
      </c>
      <c r="D1034">
        <v>6.0906500000000001</v>
      </c>
      <c r="E1034">
        <v>0.55624130000000005</v>
      </c>
      <c r="F1034" t="s">
        <v>42</v>
      </c>
      <c r="G1034">
        <v>-311.15519999999998</v>
      </c>
      <c r="H1034">
        <v>0.851128199999999</v>
      </c>
      <c r="I1034">
        <v>367.32569999999998</v>
      </c>
      <c r="J1034">
        <v>-311.75670000000002</v>
      </c>
      <c r="K1034">
        <v>1.0710170000000001</v>
      </c>
      <c r="L1034">
        <v>367.42959999999999</v>
      </c>
      <c r="M1034">
        <v>0.99993739999999998</v>
      </c>
      <c r="N1034">
        <v>-1.1182320000000001E-2</v>
      </c>
      <c r="O1034">
        <v>-3.2718519999999998E-4</v>
      </c>
      <c r="P1034">
        <v>0.99472519999999998</v>
      </c>
      <c r="Q1034">
        <v>-0.1001292</v>
      </c>
      <c r="R1034">
        <v>-2.2267350000000002E-2</v>
      </c>
      <c r="S1034">
        <v>2.924744</v>
      </c>
      <c r="T1034">
        <v>-0.81981839999999995</v>
      </c>
      <c r="U1034">
        <v>-0.38601679999999999</v>
      </c>
      <c r="V1034">
        <v>2.1946609999999998E-2</v>
      </c>
      <c r="W1034">
        <v>-8.8998350000000004E-2</v>
      </c>
      <c r="X1034">
        <v>0.99578990000000001</v>
      </c>
      <c r="Y1034">
        <v>0.12557699999999999</v>
      </c>
      <c r="Z1034">
        <v>-1.7829419999999999E-2</v>
      </c>
      <c r="AA1034">
        <v>0.99192360000000002</v>
      </c>
      <c r="AB1034">
        <v>20</v>
      </c>
      <c r="AC1034">
        <v>0.601500000000044</v>
      </c>
      <c r="AD1034">
        <v>-0.2198888</v>
      </c>
      <c r="AE1034">
        <v>-0.10390000000001</v>
      </c>
      <c r="AF1034">
        <v>9.1791602714654197E-2</v>
      </c>
      <c r="AG1034">
        <v>-0.2198888</v>
      </c>
      <c r="AH1034">
        <v>0.53244043782803097</v>
      </c>
      <c r="AI1034">
        <v>112.145304093961</v>
      </c>
      <c r="AJ1034">
        <v>80.218478402671295</v>
      </c>
      <c r="AK1034">
        <v>0.58332632593503797</v>
      </c>
      <c r="AL1034">
        <v>95.105985824060795</v>
      </c>
      <c r="AM1034">
        <v>88.737439904356506</v>
      </c>
      <c r="AN1034">
        <v>0.99999994246761004</v>
      </c>
    </row>
    <row r="1035" spans="1:40" x14ac:dyDescent="0.25">
      <c r="A1035" t="str">
        <f>"20190303154116703"</f>
        <v>20190303154116703</v>
      </c>
      <c r="B1035" t="str">
        <f>"1551598876699907"</f>
        <v>1551598876699907</v>
      </c>
      <c r="C1035" t="s">
        <v>40</v>
      </c>
      <c r="D1035">
        <v>5.900328</v>
      </c>
      <c r="E1035">
        <v>0.55751289999999998</v>
      </c>
      <c r="F1035" t="s">
        <v>42</v>
      </c>
      <c r="G1035">
        <v>-310.97620000000001</v>
      </c>
      <c r="H1035">
        <v>0.84928519999999896</v>
      </c>
      <c r="I1035">
        <v>367.29140000000001</v>
      </c>
      <c r="J1035">
        <v>-311.565</v>
      </c>
      <c r="K1035">
        <v>1.070973</v>
      </c>
      <c r="L1035">
        <v>367.42970000000003</v>
      </c>
      <c r="M1035">
        <v>0.99993810000000005</v>
      </c>
      <c r="N1035">
        <v>-1.113286E-2</v>
      </c>
      <c r="O1035">
        <v>-2.6194240000000001E-4</v>
      </c>
      <c r="P1035">
        <v>0.99474669999999998</v>
      </c>
      <c r="Q1035">
        <v>-9.9892120000000001E-2</v>
      </c>
      <c r="R1035">
        <v>-2.237886E-2</v>
      </c>
      <c r="S1035">
        <v>2.920776</v>
      </c>
      <c r="T1035">
        <v>-0.82979349999999996</v>
      </c>
      <c r="U1035">
        <v>-0.51632690000000003</v>
      </c>
      <c r="V1035">
        <v>2.212306E-2</v>
      </c>
      <c r="W1035">
        <v>-8.881029E-2</v>
      </c>
      <c r="X1035">
        <v>0.99580279999999999</v>
      </c>
      <c r="Y1035">
        <v>0.1671444</v>
      </c>
      <c r="Z1035">
        <v>-2.3999340000000001E-2</v>
      </c>
      <c r="AA1035">
        <v>0.98564030000000002</v>
      </c>
      <c r="AB1035">
        <v>20</v>
      </c>
      <c r="AC1035">
        <v>0.588799999999992</v>
      </c>
      <c r="AD1035">
        <v>-0.22168779999999999</v>
      </c>
      <c r="AE1035">
        <v>-0.13830000000001499</v>
      </c>
      <c r="AF1035">
        <v>0.121784477508505</v>
      </c>
      <c r="AG1035">
        <v>-0.22168779999999999</v>
      </c>
      <c r="AH1035">
        <v>0.51909745989786205</v>
      </c>
      <c r="AI1035">
        <v>112.57631318166401</v>
      </c>
      <c r="AJ1035">
        <v>76.796728829996198</v>
      </c>
      <c r="AK1035">
        <v>0.57744186937151698</v>
      </c>
      <c r="AL1035">
        <v>95.095167868221793</v>
      </c>
      <c r="AM1035">
        <v>88.727308771163294</v>
      </c>
      <c r="AN1035">
        <v>0.99999995694074295</v>
      </c>
    </row>
    <row r="1036" spans="1:40" x14ac:dyDescent="0.25">
      <c r="A1036" t="str">
        <f>"20190303154116716"</f>
        <v>20190303154116716</v>
      </c>
      <c r="B1036" t="str">
        <f>"1551598876710642"</f>
        <v>1551598876710642</v>
      </c>
      <c r="C1036" t="s">
        <v>40</v>
      </c>
      <c r="D1036">
        <v>5.8828769999999997</v>
      </c>
      <c r="E1036">
        <v>0.5588187</v>
      </c>
      <c r="F1036" t="s">
        <v>42</v>
      </c>
      <c r="G1036">
        <v>-310.7955</v>
      </c>
      <c r="H1036">
        <v>0.85543080000000005</v>
      </c>
      <c r="I1036">
        <v>367.29070000000002</v>
      </c>
      <c r="J1036">
        <v>-311.45339999999999</v>
      </c>
      <c r="K1036">
        <v>1.0709580000000001</v>
      </c>
      <c r="L1036">
        <v>367.42970000000003</v>
      </c>
      <c r="M1036">
        <v>0.99993840000000001</v>
      </c>
      <c r="N1036">
        <v>-1.110653E-2</v>
      </c>
      <c r="O1036">
        <v>-2.2400809999999999E-4</v>
      </c>
      <c r="P1036">
        <v>0.99475250000000004</v>
      </c>
      <c r="Q1036">
        <v>-9.9908150000000001E-2</v>
      </c>
      <c r="R1036">
        <v>-2.2053329999999999E-2</v>
      </c>
      <c r="S1036">
        <v>2.9218139999999999</v>
      </c>
      <c r="T1036">
        <v>-0.8184285</v>
      </c>
      <c r="U1036">
        <v>-0.52682499999999999</v>
      </c>
      <c r="V1036">
        <v>2.183512E-2</v>
      </c>
      <c r="W1036">
        <v>-8.8852470000000003E-2</v>
      </c>
      <c r="X1036">
        <v>0.99580539999999995</v>
      </c>
      <c r="Y1036">
        <v>0.1706017</v>
      </c>
      <c r="Z1036">
        <v>-2.4179539999999999E-2</v>
      </c>
      <c r="AA1036">
        <v>0.98504329999999996</v>
      </c>
      <c r="AB1036">
        <v>20</v>
      </c>
      <c r="AC1036">
        <v>0.65789999999998305</v>
      </c>
      <c r="AD1036">
        <v>-0.2155272</v>
      </c>
      <c r="AE1036">
        <v>-0.13900000000001</v>
      </c>
      <c r="AF1036">
        <v>0.125916575021285</v>
      </c>
      <c r="AG1036">
        <v>-0.2155272</v>
      </c>
      <c r="AH1036">
        <v>0.59663575681537395</v>
      </c>
      <c r="AI1036">
        <v>109.466052186144</v>
      </c>
      <c r="AJ1036">
        <v>78.082926235673</v>
      </c>
      <c r="AK1036">
        <v>0.64674661507856701</v>
      </c>
      <c r="AL1036">
        <v>95.097594158850995</v>
      </c>
      <c r="AM1036">
        <v>88.743871265642497</v>
      </c>
      <c r="AN1036">
        <v>0.99999996427983695</v>
      </c>
    </row>
    <row r="1037" spans="1:40" x14ac:dyDescent="0.25">
      <c r="A1037" t="str">
        <f>"20190303154116729"</f>
        <v>20190303154116729</v>
      </c>
      <c r="B1037" t="str">
        <f>"1551598876720402"</f>
        <v>1551598876720402</v>
      </c>
      <c r="C1037" t="s">
        <v>40</v>
      </c>
      <c r="D1037">
        <v>5.8908009999999997</v>
      </c>
      <c r="E1037">
        <v>0.55972980000000006</v>
      </c>
      <c r="F1037" t="s">
        <v>42</v>
      </c>
      <c r="G1037">
        <v>-310.62259999999998</v>
      </c>
      <c r="H1037">
        <v>0.84133179999999996</v>
      </c>
      <c r="I1037">
        <v>367.27670000000001</v>
      </c>
      <c r="J1037">
        <v>-311.33409999999998</v>
      </c>
      <c r="K1037">
        <v>1.07094</v>
      </c>
      <c r="L1037">
        <v>367.42970000000003</v>
      </c>
      <c r="M1037">
        <v>0.99993869999999896</v>
      </c>
      <c r="N1037">
        <v>-1.108166E-2</v>
      </c>
      <c r="O1037">
        <v>-1.8322149999999999E-4</v>
      </c>
      <c r="P1037">
        <v>0.99479030000000002</v>
      </c>
      <c r="Q1037">
        <v>-9.9490289999999995E-2</v>
      </c>
      <c r="R1037">
        <v>-2.223112E-2</v>
      </c>
      <c r="S1037">
        <v>2.9227910000000001</v>
      </c>
      <c r="T1037">
        <v>-0.80785609999999997</v>
      </c>
      <c r="U1037">
        <v>-0.53613279999999996</v>
      </c>
      <c r="V1037">
        <v>2.205354E-2</v>
      </c>
      <c r="W1037">
        <v>-8.8459010000000005E-2</v>
      </c>
      <c r="X1037">
        <v>0.99583569999999999</v>
      </c>
      <c r="Y1037">
        <v>0.1736751</v>
      </c>
      <c r="Z1037">
        <v>-2.431635E-2</v>
      </c>
      <c r="AA1037">
        <v>0.98450269999999995</v>
      </c>
      <c r="AB1037">
        <v>20</v>
      </c>
      <c r="AC1037">
        <v>0.71150000000000002</v>
      </c>
      <c r="AD1037">
        <v>-0.22960820000000001</v>
      </c>
      <c r="AE1037">
        <v>-0.15300000000001901</v>
      </c>
      <c r="AF1037">
        <v>0.13903066330518099</v>
      </c>
      <c r="AG1037">
        <v>-0.22960820000000001</v>
      </c>
      <c r="AH1037">
        <v>0.64711489567499403</v>
      </c>
      <c r="AI1037">
        <v>109.13177479223999</v>
      </c>
      <c r="AJ1037">
        <v>77.874501627687494</v>
      </c>
      <c r="AK1037">
        <v>0.70057629067131399</v>
      </c>
      <c r="AL1037">
        <v>95.0749610130528</v>
      </c>
      <c r="AM1037">
        <v>88.731348696283803</v>
      </c>
      <c r="AN1037">
        <v>1.00000004823559</v>
      </c>
    </row>
    <row r="1038" spans="1:40" x14ac:dyDescent="0.25">
      <c r="A1038" t="str">
        <f>"20190303154116741"</f>
        <v>20190303154116741</v>
      </c>
      <c r="B1038" t="str">
        <f>"1551598876730162"</f>
        <v>1551598876730162</v>
      </c>
      <c r="C1038" t="s">
        <v>40</v>
      </c>
      <c r="D1038">
        <v>5.8858800000000002</v>
      </c>
      <c r="E1038">
        <v>0.560540699999999</v>
      </c>
      <c r="F1038" t="s">
        <v>42</v>
      </c>
      <c r="G1038">
        <v>-310.61</v>
      </c>
      <c r="H1038">
        <v>0.87267640000000002</v>
      </c>
      <c r="I1038">
        <v>367.29419999999999</v>
      </c>
      <c r="J1038">
        <v>-311.22809999999998</v>
      </c>
      <c r="K1038">
        <v>1.070927</v>
      </c>
      <c r="L1038">
        <v>367.42970000000003</v>
      </c>
      <c r="M1038">
        <v>0.99993880000000002</v>
      </c>
      <c r="N1038">
        <v>-1.106095E-2</v>
      </c>
      <c r="O1038">
        <v>-1.471074E-4</v>
      </c>
      <c r="P1038">
        <v>0.9947897</v>
      </c>
      <c r="Q1038">
        <v>-9.9516030000000005E-2</v>
      </c>
      <c r="R1038">
        <v>-2.2140489999999999E-2</v>
      </c>
      <c r="S1038">
        <v>2.923492</v>
      </c>
      <c r="T1038">
        <v>-0.80047419999999903</v>
      </c>
      <c r="U1038">
        <v>-0.54443359999999996</v>
      </c>
      <c r="V1038">
        <v>2.1998940000000002E-2</v>
      </c>
      <c r="W1038">
        <v>-8.8505390000000003E-2</v>
      </c>
      <c r="X1038">
        <v>0.99583270000000002</v>
      </c>
      <c r="Y1038">
        <v>0.1763914</v>
      </c>
      <c r="Z1038">
        <v>-2.448467E-2</v>
      </c>
      <c r="AA1038">
        <v>0.98401550000000004</v>
      </c>
      <c r="AB1038">
        <v>20</v>
      </c>
      <c r="AC1038">
        <v>0.61809999999996901</v>
      </c>
      <c r="AD1038">
        <v>-0.198250599999999</v>
      </c>
      <c r="AE1038">
        <v>-0.13550000000003501</v>
      </c>
      <c r="AF1038">
        <v>0.12330561327238999</v>
      </c>
      <c r="AG1038">
        <v>-0.198250599999999</v>
      </c>
      <c r="AH1038">
        <v>0.56286967381439201</v>
      </c>
      <c r="AI1038">
        <v>108.986044338768</v>
      </c>
      <c r="AJ1038">
        <v>77.643634690684706</v>
      </c>
      <c r="AK1038">
        <v>0.60936839790455199</v>
      </c>
      <c r="AL1038">
        <v>95.077629294606695</v>
      </c>
      <c r="AM1038">
        <v>88.734484780421795</v>
      </c>
      <c r="AN1038">
        <v>0.99999996190473195</v>
      </c>
    </row>
    <row r="1039" spans="1:40" x14ac:dyDescent="0.25">
      <c r="A1039" t="str">
        <f>"20190303154116753"</f>
        <v>20190303154116753</v>
      </c>
      <c r="B1039" t="str">
        <f>"1551598876749682"</f>
        <v>1551598876749682</v>
      </c>
      <c r="C1039" t="s">
        <v>40</v>
      </c>
      <c r="D1039">
        <v>5.8599199999999998</v>
      </c>
      <c r="E1039">
        <v>0.56165419999999999</v>
      </c>
      <c r="F1039" t="s">
        <v>42</v>
      </c>
      <c r="G1039">
        <v>-310.43810000000002</v>
      </c>
      <c r="H1039">
        <v>0.85597109999999998</v>
      </c>
      <c r="I1039">
        <v>367.2808</v>
      </c>
      <c r="J1039">
        <v>-311.11680000000001</v>
      </c>
      <c r="K1039">
        <v>1.07091</v>
      </c>
      <c r="L1039">
        <v>367.42970000000003</v>
      </c>
      <c r="M1039">
        <v>0.99993929999999998</v>
      </c>
      <c r="N1039">
        <v>-1.1040680000000001E-2</v>
      </c>
      <c r="O1039">
        <v>-1.0932700000000001E-4</v>
      </c>
      <c r="P1039">
        <v>0.99485049999999997</v>
      </c>
      <c r="Q1039">
        <v>-9.8979620000000004E-2</v>
      </c>
      <c r="R1039">
        <v>-2.18128E-2</v>
      </c>
      <c r="S1039">
        <v>2.923889</v>
      </c>
      <c r="T1039">
        <v>-0.79568019999999995</v>
      </c>
      <c r="U1039">
        <v>-0.5500488</v>
      </c>
      <c r="V1039">
        <v>2.1708789999999999E-2</v>
      </c>
      <c r="W1039">
        <v>-8.7988559999999993E-2</v>
      </c>
      <c r="X1039">
        <v>0.99588489999999996</v>
      </c>
      <c r="Y1039">
        <v>0.17824100000000001</v>
      </c>
      <c r="Z1039">
        <v>-2.460532E-2</v>
      </c>
      <c r="AA1039">
        <v>0.98367919999999998</v>
      </c>
      <c r="AB1039">
        <v>20</v>
      </c>
      <c r="AC1039">
        <v>0.67869999999999198</v>
      </c>
      <c r="AD1039">
        <v>-0.21493889999999999</v>
      </c>
      <c r="AE1039">
        <v>-0.14890000000002601</v>
      </c>
      <c r="AF1039">
        <v>0.13582860039977901</v>
      </c>
      <c r="AG1039">
        <v>-0.21493889999999999</v>
      </c>
      <c r="AH1039">
        <v>0.61944290093826604</v>
      </c>
      <c r="AI1039">
        <v>108.72330852906801</v>
      </c>
      <c r="AJ1039">
        <v>77.632186447404806</v>
      </c>
      <c r="AK1039">
        <v>0.66959513658821301</v>
      </c>
      <c r="AL1039">
        <v>95.047900961393495</v>
      </c>
      <c r="AM1039">
        <v>88.751236121031198</v>
      </c>
      <c r="AN1039">
        <v>0.99999999615107305</v>
      </c>
    </row>
    <row r="1040" spans="1:40" x14ac:dyDescent="0.25">
      <c r="A1040" t="str">
        <f>"20190303154116765"</f>
        <v>20190303154116765</v>
      </c>
      <c r="B1040" t="str">
        <f>"1551598876760417"</f>
        <v>1551598876760417</v>
      </c>
      <c r="C1040" t="s">
        <v>40</v>
      </c>
      <c r="D1040">
        <v>5.8377850000000002</v>
      </c>
      <c r="E1040">
        <v>0.56235829999999998</v>
      </c>
      <c r="F1040" t="s">
        <v>42</v>
      </c>
      <c r="G1040">
        <v>-310.42660000000001</v>
      </c>
      <c r="H1040">
        <v>0.8843491</v>
      </c>
      <c r="I1040">
        <v>367.29770000000002</v>
      </c>
      <c r="J1040">
        <v>-311.01580000000001</v>
      </c>
      <c r="K1040">
        <v>1.070897</v>
      </c>
      <c r="L1040">
        <v>367.42970000000003</v>
      </c>
      <c r="M1040">
        <v>0.99993920000000003</v>
      </c>
      <c r="N1040">
        <v>-1.102408E-2</v>
      </c>
      <c r="O1040" s="1">
        <v>-7.4904280000000006E-5</v>
      </c>
      <c r="P1040">
        <v>0.9948804</v>
      </c>
      <c r="Q1040">
        <v>-9.8737599999999995E-2</v>
      </c>
      <c r="R1040">
        <v>-2.153648E-2</v>
      </c>
      <c r="S1040">
        <v>2.9246219999999998</v>
      </c>
      <c r="T1040">
        <v>-0.79055869999999995</v>
      </c>
      <c r="U1040">
        <v>-0.55795289999999997</v>
      </c>
      <c r="V1040">
        <v>2.1466550000000001E-2</v>
      </c>
      <c r="W1040">
        <v>-8.7762770000000004E-2</v>
      </c>
      <c r="X1040">
        <v>0.99590999999999996</v>
      </c>
      <c r="Y1040">
        <v>0.18079049999999999</v>
      </c>
      <c r="Z1040">
        <v>-2.4804719999999999E-2</v>
      </c>
      <c r="AA1040">
        <v>0.98320879999999999</v>
      </c>
      <c r="AB1040">
        <v>20</v>
      </c>
      <c r="AC1040">
        <v>0.58920000000000505</v>
      </c>
      <c r="AD1040">
        <v>-0.18654789999999999</v>
      </c>
      <c r="AE1040">
        <v>-0.132000000000005</v>
      </c>
      <c r="AF1040">
        <v>0.120457863896669</v>
      </c>
      <c r="AG1040">
        <v>-0.18654789999999999</v>
      </c>
      <c r="AH1040">
        <v>0.53786896992035005</v>
      </c>
      <c r="AI1040">
        <v>108.698092370468</v>
      </c>
      <c r="AJ1040">
        <v>77.376677227466203</v>
      </c>
      <c r="AK1040">
        <v>0.58190484168129797</v>
      </c>
      <c r="AL1040">
        <v>95.034914278823095</v>
      </c>
      <c r="AM1040">
        <v>88.765197367817805</v>
      </c>
      <c r="AN1040">
        <v>0.999999922333484</v>
      </c>
    </row>
    <row r="1041" spans="1:40" x14ac:dyDescent="0.25">
      <c r="A1041" t="str">
        <f>"20190303154116777"</f>
        <v>20190303154116777</v>
      </c>
      <c r="B1041" t="str">
        <f>"1551598876770179"</f>
        <v>1551598876770179</v>
      </c>
      <c r="C1041" t="s">
        <v>40</v>
      </c>
      <c r="D1041">
        <v>5.8327439999999999</v>
      </c>
      <c r="E1041">
        <v>0.5629248</v>
      </c>
      <c r="F1041" t="s">
        <v>42</v>
      </c>
      <c r="G1041">
        <v>-310.2552</v>
      </c>
      <c r="H1041">
        <v>0.86650729999999998</v>
      </c>
      <c r="I1041">
        <v>367.28309999999999</v>
      </c>
      <c r="J1041">
        <v>-310.90550000000002</v>
      </c>
      <c r="K1041">
        <v>1.070886</v>
      </c>
      <c r="L1041">
        <v>367.4298</v>
      </c>
      <c r="M1041">
        <v>0.99993949999999998</v>
      </c>
      <c r="N1041">
        <v>-1.100667E-2</v>
      </c>
      <c r="O1041" s="1">
        <v>-3.7377669999999997E-5</v>
      </c>
      <c r="P1041">
        <v>0.99489229999999995</v>
      </c>
      <c r="Q1041">
        <v>-9.856144E-2</v>
      </c>
      <c r="R1041">
        <v>-2.1800170000000001E-2</v>
      </c>
      <c r="S1041">
        <v>2.9252319999999998</v>
      </c>
      <c r="T1041">
        <v>-0.78611869999999995</v>
      </c>
      <c r="U1041">
        <v>-0.56253050000000004</v>
      </c>
      <c r="V1041">
        <v>2.1767740000000001E-2</v>
      </c>
      <c r="W1041">
        <v>-8.7603819999999999E-2</v>
      </c>
      <c r="X1041">
        <v>0.99591759999999996</v>
      </c>
      <c r="Y1041">
        <v>0.1822944</v>
      </c>
      <c r="Z1041">
        <v>-2.4880739999999998E-2</v>
      </c>
      <c r="AA1041">
        <v>0.98292919999999995</v>
      </c>
      <c r="AB1041">
        <v>20</v>
      </c>
      <c r="AC1041">
        <v>0.65030000000001498</v>
      </c>
      <c r="AD1041">
        <v>-0.2043787</v>
      </c>
      <c r="AE1041">
        <v>-0.14670000000000899</v>
      </c>
      <c r="AF1041">
        <v>0.13407394166456299</v>
      </c>
      <c r="AG1041">
        <v>-0.2043787</v>
      </c>
      <c r="AH1041">
        <v>0.59443400872362895</v>
      </c>
      <c r="AI1041">
        <v>108.541212241805</v>
      </c>
      <c r="AJ1041">
        <v>77.289685349383205</v>
      </c>
      <c r="AK1041">
        <v>0.64272720929987603</v>
      </c>
      <c r="AL1041">
        <v>95.0257711829057</v>
      </c>
      <c r="AM1041">
        <v>88.747887293657399</v>
      </c>
      <c r="AN1041">
        <v>1.0000000648865199</v>
      </c>
    </row>
    <row r="1042" spans="1:40" x14ac:dyDescent="0.25">
      <c r="A1042" t="str">
        <f>"20190303154116792"</f>
        <v>20190303154116792</v>
      </c>
      <c r="B1042" t="str">
        <f>"1551598876790674"</f>
        <v>1551598876790674</v>
      </c>
      <c r="C1042" t="s">
        <v>40</v>
      </c>
      <c r="D1042">
        <v>5.7887440000000003</v>
      </c>
      <c r="E1042">
        <v>0.56380430000000004</v>
      </c>
      <c r="F1042" t="s">
        <v>42</v>
      </c>
      <c r="G1042">
        <v>-310.08249999999998</v>
      </c>
      <c r="H1042">
        <v>0.85092369999999995</v>
      </c>
      <c r="I1042">
        <v>367.26979999999998</v>
      </c>
      <c r="J1042">
        <v>-310.76949999999999</v>
      </c>
      <c r="K1042">
        <v>1.0708709999999999</v>
      </c>
      <c r="L1042">
        <v>367.4298</v>
      </c>
      <c r="M1042">
        <v>0.99993980000000005</v>
      </c>
      <c r="N1042">
        <v>-1.098756E-2</v>
      </c>
      <c r="O1042" s="1">
        <v>8.7414659999999996E-6</v>
      </c>
      <c r="P1042">
        <v>0.99492290000000005</v>
      </c>
      <c r="Q1042">
        <v>-9.8298910000000003E-2</v>
      </c>
      <c r="R1042">
        <v>-2.1590950000000001E-2</v>
      </c>
      <c r="S1042">
        <v>2.9255680000000002</v>
      </c>
      <c r="T1042">
        <v>-0.78191699999999997</v>
      </c>
      <c r="U1042">
        <v>-0.56802369999999902</v>
      </c>
      <c r="V1042">
        <v>2.1604439999999999E-2</v>
      </c>
      <c r="W1042">
        <v>-8.7360019999999997E-2</v>
      </c>
      <c r="X1042">
        <v>0.99594249999999995</v>
      </c>
      <c r="Y1042">
        <v>0.18410370000000001</v>
      </c>
      <c r="Z1042">
        <v>-2.500635E-2</v>
      </c>
      <c r="AA1042">
        <v>0.98258869999999998</v>
      </c>
      <c r="AB1042">
        <v>20</v>
      </c>
      <c r="AC1042">
        <v>0.68700000000001105</v>
      </c>
      <c r="AD1042">
        <v>-0.21994730000000001</v>
      </c>
      <c r="AE1042">
        <v>-0.16000000000002401</v>
      </c>
      <c r="AF1042">
        <v>0.14582771058299401</v>
      </c>
      <c r="AG1042">
        <v>-0.21994730000000001</v>
      </c>
      <c r="AH1042">
        <v>0.62612295538393903</v>
      </c>
      <c r="AI1042">
        <v>108.88723684464</v>
      </c>
      <c r="AJ1042">
        <v>76.8892072324781</v>
      </c>
      <c r="AK1042">
        <v>0.67946485649361199</v>
      </c>
      <c r="AL1042">
        <v>95.011749067692605</v>
      </c>
      <c r="AM1042">
        <v>88.757308655274301</v>
      </c>
      <c r="AN1042">
        <v>0.99999999411418194</v>
      </c>
    </row>
    <row r="1043" spans="1:40" x14ac:dyDescent="0.25">
      <c r="A1043" t="str">
        <f>"20190303154116805"</f>
        <v>20190303154116805</v>
      </c>
      <c r="B1043" t="str">
        <f>"1551598876800434"</f>
        <v>1551598876800434</v>
      </c>
      <c r="C1043" t="s">
        <v>40</v>
      </c>
      <c r="D1043">
        <v>5.7993180000000004</v>
      </c>
      <c r="E1043">
        <v>0.5641505</v>
      </c>
      <c r="F1043" t="s">
        <v>42</v>
      </c>
      <c r="G1043">
        <v>-310.06880000000001</v>
      </c>
      <c r="H1043">
        <v>0.88500959999999995</v>
      </c>
      <c r="I1043">
        <v>367.2919</v>
      </c>
      <c r="J1043">
        <v>-310.66289999999998</v>
      </c>
      <c r="K1043">
        <v>1.0708610000000001</v>
      </c>
      <c r="L1043">
        <v>367.42989999999998</v>
      </c>
      <c r="M1043">
        <v>0.99993980000000005</v>
      </c>
      <c r="N1043">
        <v>-1.0974050000000001E-2</v>
      </c>
      <c r="O1043" s="1">
        <v>4.5233440000000002E-5</v>
      </c>
      <c r="P1043">
        <v>0.99495270000000002</v>
      </c>
      <c r="Q1043">
        <v>-9.7981440000000003E-2</v>
      </c>
      <c r="R1043">
        <v>-2.1648500000000001E-2</v>
      </c>
      <c r="S1043">
        <v>2.9261780000000002</v>
      </c>
      <c r="T1043">
        <v>-0.77625580000000005</v>
      </c>
      <c r="U1043">
        <v>-0.57501219999999997</v>
      </c>
      <c r="V1043">
        <v>2.1698180000000001E-2</v>
      </c>
      <c r="W1043">
        <v>-8.70557E-2</v>
      </c>
      <c r="X1043">
        <v>0.99596709999999999</v>
      </c>
      <c r="Y1043">
        <v>0.1863776</v>
      </c>
      <c r="Z1043">
        <v>-2.514299E-2</v>
      </c>
      <c r="AA1043">
        <v>0.98215640000000004</v>
      </c>
      <c r="AB1043">
        <v>20</v>
      </c>
      <c r="AC1043">
        <v>0.59409999999996899</v>
      </c>
      <c r="AD1043">
        <v>-0.1858514</v>
      </c>
      <c r="AE1043">
        <v>-0.137999999999976</v>
      </c>
      <c r="AF1043">
        <v>0.126299723504843</v>
      </c>
      <c r="AG1043">
        <v>-0.1858514</v>
      </c>
      <c r="AH1043">
        <v>0.54361788168441505</v>
      </c>
      <c r="AI1043">
        <v>108.41823620925101</v>
      </c>
      <c r="AJ1043">
        <v>76.920410213601897</v>
      </c>
      <c r="AK1043">
        <v>0.58822849669699795</v>
      </c>
      <c r="AL1043">
        <v>94.9942461772455</v>
      </c>
      <c r="AM1043">
        <v>88.751949232513596</v>
      </c>
      <c r="AN1043">
        <v>0.99999998510010601</v>
      </c>
    </row>
    <row r="1044" spans="1:40" x14ac:dyDescent="0.25">
      <c r="A1044" t="str">
        <f>"20190303154116818"</f>
        <v>20190303154116818</v>
      </c>
      <c r="B1044" t="str">
        <f>"1551598876810195"</f>
        <v>1551598876810195</v>
      </c>
      <c r="C1044" t="s">
        <v>40</v>
      </c>
      <c r="D1044">
        <v>5.7856449999999997</v>
      </c>
      <c r="E1044">
        <v>0.56444499999999997</v>
      </c>
      <c r="F1044" t="s">
        <v>42</v>
      </c>
      <c r="G1044">
        <v>-309.89659999999998</v>
      </c>
      <c r="H1044">
        <v>0.86821879999999996</v>
      </c>
      <c r="I1044">
        <v>367.27809999999999</v>
      </c>
      <c r="J1044">
        <v>-310.54270000000002</v>
      </c>
      <c r="K1044">
        <v>1.0708530000000001</v>
      </c>
      <c r="L1044">
        <v>367.42989999999998</v>
      </c>
      <c r="M1044">
        <v>0.99993989999999999</v>
      </c>
      <c r="N1044">
        <v>-1.0959679999999999E-2</v>
      </c>
      <c r="O1044" s="1">
        <v>8.6140610000000001E-5</v>
      </c>
      <c r="P1044">
        <v>0.99497349999999996</v>
      </c>
      <c r="Q1044">
        <v>-9.7809599999999997E-2</v>
      </c>
      <c r="R1044">
        <v>-2.1472600000000001E-2</v>
      </c>
      <c r="S1044">
        <v>2.926453</v>
      </c>
      <c r="T1044">
        <v>-0.77388789999999996</v>
      </c>
      <c r="U1044">
        <v>-0.57766719999999905</v>
      </c>
      <c r="V1044">
        <v>2.156305E-2</v>
      </c>
      <c r="W1044">
        <v>-8.689798E-2</v>
      </c>
      <c r="X1044">
        <v>0.99598379999999997</v>
      </c>
      <c r="Y1044">
        <v>0.18726689999999999</v>
      </c>
      <c r="Z1044">
        <v>-2.5196E-2</v>
      </c>
      <c r="AA1044">
        <v>0.98198589999999997</v>
      </c>
      <c r="AB1044">
        <v>20</v>
      </c>
      <c r="AC1044">
        <v>0.64610000000004597</v>
      </c>
      <c r="AD1044">
        <v>-0.20263419999999999</v>
      </c>
      <c r="AE1044">
        <v>-0.15179999999998001</v>
      </c>
      <c r="AF1044">
        <v>0.138907263708163</v>
      </c>
      <c r="AG1044">
        <v>-0.20263419999999999</v>
      </c>
      <c r="AH1044">
        <v>0.59099652468951402</v>
      </c>
      <c r="AI1044">
        <v>108.457629796376</v>
      </c>
      <c r="AJ1044">
        <v>76.773328336955501</v>
      </c>
      <c r="AK1044">
        <v>0.640025576922995</v>
      </c>
      <c r="AL1044">
        <v>94.985175151133703</v>
      </c>
      <c r="AM1044">
        <v>88.759740086587598</v>
      </c>
      <c r="AN1044">
        <v>0.99999997695791099</v>
      </c>
    </row>
    <row r="1045" spans="1:40" x14ac:dyDescent="0.25">
      <c r="A1045" t="str">
        <f>"20190303154116831"</f>
        <v>20190303154116831</v>
      </c>
      <c r="B1045" t="str">
        <f>"1551598876819954"</f>
        <v>1551598876819954</v>
      </c>
      <c r="C1045" t="s">
        <v>40</v>
      </c>
      <c r="D1045">
        <v>5.7566769999999998</v>
      </c>
      <c r="E1045">
        <v>0.56469579999999997</v>
      </c>
      <c r="F1045" t="s">
        <v>42</v>
      </c>
      <c r="G1045">
        <v>-309.72280000000001</v>
      </c>
      <c r="H1045">
        <v>0.85485290000000003</v>
      </c>
      <c r="I1045">
        <v>367.26740000000001</v>
      </c>
      <c r="J1045">
        <v>-310.41699999999997</v>
      </c>
      <c r="K1045">
        <v>1.070845</v>
      </c>
      <c r="L1045">
        <v>367.43</v>
      </c>
      <c r="M1045">
        <v>0.99994019999999995</v>
      </c>
      <c r="N1045">
        <v>-1.094623E-2</v>
      </c>
      <c r="O1045">
        <v>1.2865169999999999E-4</v>
      </c>
      <c r="P1045">
        <v>0.99496700000000005</v>
      </c>
      <c r="Q1045">
        <v>-9.7867190000000007E-2</v>
      </c>
      <c r="R1045">
        <v>-2.151747E-2</v>
      </c>
      <c r="S1045">
        <v>2.9268190000000001</v>
      </c>
      <c r="T1045">
        <v>-0.77103840000000001</v>
      </c>
      <c r="U1045">
        <v>-0.57922359999999995</v>
      </c>
      <c r="V1045">
        <v>2.1650200000000001E-2</v>
      </c>
      <c r="W1045">
        <v>-8.6969030000000003E-2</v>
      </c>
      <c r="X1045">
        <v>0.99597570000000002</v>
      </c>
      <c r="Y1045">
        <v>0.18781619999999999</v>
      </c>
      <c r="Z1045">
        <v>-2.5188599999999998E-2</v>
      </c>
      <c r="AA1045">
        <v>0.98188109999999995</v>
      </c>
      <c r="AB1045">
        <v>20</v>
      </c>
      <c r="AC1045">
        <v>0.69420000000002302</v>
      </c>
      <c r="AD1045">
        <v>-0.21599209999999999</v>
      </c>
      <c r="AE1045">
        <v>-0.162599999999997</v>
      </c>
      <c r="AF1045">
        <v>0.14901398208432501</v>
      </c>
      <c r="AG1045">
        <v>-0.21599209999999999</v>
      </c>
      <c r="AH1045">
        <v>0.63582779707775405</v>
      </c>
      <c r="AI1045">
        <v>108.30114464606601</v>
      </c>
      <c r="AJ1045">
        <v>76.810086132594506</v>
      </c>
      <c r="AK1045">
        <v>0.687847905903469</v>
      </c>
      <c r="AL1045">
        <v>94.989261525734804</v>
      </c>
      <c r="AM1045">
        <v>88.754718858396998</v>
      </c>
      <c r="AN1045">
        <v>0.99999996916483502</v>
      </c>
    </row>
    <row r="1046" spans="1:40" x14ac:dyDescent="0.25">
      <c r="A1046" t="str">
        <f>"20190303154116849"</f>
        <v>20190303154116849</v>
      </c>
      <c r="B1046" t="str">
        <f>"1551598876840453"</f>
        <v>1551598876840453</v>
      </c>
      <c r="C1046" t="s">
        <v>40</v>
      </c>
      <c r="D1046">
        <v>5.7385299999999999</v>
      </c>
      <c r="E1046">
        <v>0.56520859999999995</v>
      </c>
      <c r="F1046" t="s">
        <v>42</v>
      </c>
      <c r="G1046">
        <v>-309.71080000000001</v>
      </c>
      <c r="H1046">
        <v>0.885237099999999</v>
      </c>
      <c r="I1046">
        <v>367.28960000000001</v>
      </c>
      <c r="J1046">
        <v>-310.27210000000002</v>
      </c>
      <c r="K1046">
        <v>1.070835</v>
      </c>
      <c r="L1046">
        <v>367.43</v>
      </c>
      <c r="M1046">
        <v>0.9999403</v>
      </c>
      <c r="N1046">
        <v>-1.0932239999999999E-2</v>
      </c>
      <c r="O1046">
        <v>1.7813919999999899E-4</v>
      </c>
      <c r="P1046">
        <v>0.99500310000000003</v>
      </c>
      <c r="Q1046">
        <v>-9.7503039999999999E-2</v>
      </c>
      <c r="R1046">
        <v>-2.1501559999999999E-2</v>
      </c>
      <c r="S1046">
        <v>2.9269409999999998</v>
      </c>
      <c r="T1046">
        <v>-0.76928750000000001</v>
      </c>
      <c r="U1046">
        <v>-0.58114619999999995</v>
      </c>
      <c r="V1046">
        <v>2.1683540000000001E-2</v>
      </c>
      <c r="W1046">
        <v>-8.661845E-2</v>
      </c>
      <c r="X1046">
        <v>0.99600549999999999</v>
      </c>
      <c r="Y1046">
        <v>0.18848319999999999</v>
      </c>
      <c r="Z1046">
        <v>-2.523305E-2</v>
      </c>
      <c r="AA1046">
        <v>0.98175219999999996</v>
      </c>
      <c r="AB1046">
        <v>20</v>
      </c>
      <c r="AC1046">
        <v>0.56130000000001701</v>
      </c>
      <c r="AD1046">
        <v>-0.18559790000000001</v>
      </c>
      <c r="AE1046">
        <v>-0.140399999999999</v>
      </c>
      <c r="AF1046">
        <v>0.12739184334603099</v>
      </c>
      <c r="AG1046">
        <v>-0.18559790000000001</v>
      </c>
      <c r="AH1046">
        <v>0.50891001853301598</v>
      </c>
      <c r="AI1046">
        <v>109.48281457521099</v>
      </c>
      <c r="AJ1046">
        <v>75.946344094861104</v>
      </c>
      <c r="AK1046">
        <v>0.55647521885415896</v>
      </c>
      <c r="AL1046">
        <v>94.9690988079752</v>
      </c>
      <c r="AM1046">
        <v>88.752839109694094</v>
      </c>
      <c r="AN1046">
        <v>0.99999994390878999</v>
      </c>
    </row>
    <row r="1047" spans="1:40" x14ac:dyDescent="0.25">
      <c r="A1047" t="str">
        <f>"20190303154116872"</f>
        <v>20190303154116872</v>
      </c>
      <c r="B1047" t="str">
        <f>"1551598876869730"</f>
        <v>1551598876869730</v>
      </c>
      <c r="C1047" t="s">
        <v>40</v>
      </c>
      <c r="D1047">
        <v>5.6984870000000001</v>
      </c>
      <c r="E1047">
        <v>0.56565799999999999</v>
      </c>
      <c r="F1047" t="s">
        <v>42</v>
      </c>
      <c r="G1047">
        <v>-309.53440000000001</v>
      </c>
      <c r="H1047">
        <v>0.8780966</v>
      </c>
      <c r="I1047">
        <v>367.28199999999998</v>
      </c>
      <c r="J1047">
        <v>-310.05689999999998</v>
      </c>
      <c r="K1047">
        <v>1.0708260000000001</v>
      </c>
      <c r="L1047">
        <v>367.43020000000001</v>
      </c>
      <c r="M1047">
        <v>0.99994050000000001</v>
      </c>
      <c r="N1047">
        <v>-1.091399E-2</v>
      </c>
      <c r="O1047">
        <v>2.5137199999999998E-4</v>
      </c>
      <c r="P1047">
        <v>0.99499919999999997</v>
      </c>
      <c r="Q1047">
        <v>-9.7517709999999994E-2</v>
      </c>
      <c r="R1047">
        <v>-2.1614700000000001E-2</v>
      </c>
      <c r="S1047">
        <v>2.9273989999999999</v>
      </c>
      <c r="T1047">
        <v>-0.76493719999999998</v>
      </c>
      <c r="U1047">
        <v>-0.585144</v>
      </c>
      <c r="V1047">
        <v>2.1869550000000001E-2</v>
      </c>
      <c r="W1047">
        <v>-8.6651329999999999E-2</v>
      </c>
      <c r="X1047">
        <v>0.99599859999999896</v>
      </c>
      <c r="Y1047">
        <v>0.18984139999999999</v>
      </c>
      <c r="Z1047">
        <v>-2.52906E-2</v>
      </c>
      <c r="AA1047">
        <v>0.98148899999999994</v>
      </c>
      <c r="AB1047">
        <v>20</v>
      </c>
      <c r="AC1047">
        <v>0.52249999999997898</v>
      </c>
      <c r="AD1047">
        <v>-0.1927294</v>
      </c>
      <c r="AE1047">
        <v>-0.148200000000031</v>
      </c>
      <c r="AF1047">
        <v>0.13174152995546701</v>
      </c>
      <c r="AG1047">
        <v>-0.1927294</v>
      </c>
      <c r="AH1047">
        <v>0.464028955746488</v>
      </c>
      <c r="AI1047">
        <v>111.779111848661</v>
      </c>
      <c r="AJ1047">
        <v>74.150331795711395</v>
      </c>
      <c r="AK1047">
        <v>0.51944520799651595</v>
      </c>
      <c r="AL1047">
        <v>94.970989669670402</v>
      </c>
      <c r="AM1047">
        <v>88.742135180659105</v>
      </c>
      <c r="AN1047">
        <v>0.99999997070496505</v>
      </c>
    </row>
    <row r="1048" spans="1:40" x14ac:dyDescent="0.25">
      <c r="A1048" t="str">
        <f>"20190303154116895"</f>
        <v>20190303154116895</v>
      </c>
      <c r="B1048" t="str">
        <f>"1551598876890226"</f>
        <v>1551598876890226</v>
      </c>
      <c r="C1048" t="s">
        <v>40</v>
      </c>
      <c r="D1048">
        <v>5.6940410000000004</v>
      </c>
      <c r="E1048">
        <v>0.56590169999999995</v>
      </c>
      <c r="F1048" t="s">
        <v>42</v>
      </c>
      <c r="G1048">
        <v>-309.351</v>
      </c>
      <c r="H1048">
        <v>0.88778539999999995</v>
      </c>
      <c r="I1048">
        <v>367.28800000000001</v>
      </c>
      <c r="J1048">
        <v>-309.85550000000001</v>
      </c>
      <c r="K1048">
        <v>1.07081</v>
      </c>
      <c r="L1048">
        <v>367.43029999999999</v>
      </c>
      <c r="M1048">
        <v>0.99994070000000002</v>
      </c>
      <c r="N1048">
        <v>-1.0899549999999999E-2</v>
      </c>
      <c r="O1048">
        <v>3.197559E-4</v>
      </c>
      <c r="P1048">
        <v>0.99497880000000005</v>
      </c>
      <c r="Q1048">
        <v>-9.7691769999999997E-2</v>
      </c>
      <c r="R1048">
        <v>-2.176061E-2</v>
      </c>
      <c r="S1048">
        <v>2.9279480000000002</v>
      </c>
      <c r="T1048">
        <v>-0.75924789999999998</v>
      </c>
      <c r="U1048">
        <v>-0.58898930000000005</v>
      </c>
      <c r="V1048">
        <v>2.2083740000000001E-2</v>
      </c>
      <c r="W1048">
        <v>-8.6840009999999995E-2</v>
      </c>
      <c r="X1048">
        <v>0.99597749999999996</v>
      </c>
      <c r="Y1048">
        <v>0.19116230000000001</v>
      </c>
      <c r="Z1048">
        <v>-2.5298089999999999E-2</v>
      </c>
      <c r="AA1048">
        <v>0.9812324</v>
      </c>
      <c r="AB1048">
        <v>20</v>
      </c>
      <c r="AC1048">
        <v>0.50450000000000705</v>
      </c>
      <c r="AD1048">
        <v>-0.18302460000000001</v>
      </c>
      <c r="AE1048">
        <v>-0.142299999999977</v>
      </c>
      <c r="AF1048">
        <v>0.126980708356075</v>
      </c>
      <c r="AG1048">
        <v>-0.18302460000000001</v>
      </c>
      <c r="AH1048">
        <v>0.449637742752448</v>
      </c>
      <c r="AI1048">
        <v>111.39165938884901</v>
      </c>
      <c r="AJ1048">
        <v>74.229965099187893</v>
      </c>
      <c r="AK1048">
        <v>0.50179298939631201</v>
      </c>
      <c r="AL1048">
        <v>94.981840847736805</v>
      </c>
      <c r="AM1048">
        <v>88.729792790204002</v>
      </c>
      <c r="AN1048">
        <v>1.0000000297077101</v>
      </c>
    </row>
    <row r="1049" spans="1:40" x14ac:dyDescent="0.25">
      <c r="A1049" t="str">
        <f>"20190303154116907"</f>
        <v>20190303154116907</v>
      </c>
      <c r="B1049" t="str">
        <f>"1551598876899986"</f>
        <v>1551598876899986</v>
      </c>
      <c r="C1049" t="s">
        <v>40</v>
      </c>
      <c r="D1049">
        <v>5.8358169999999996</v>
      </c>
      <c r="E1049">
        <v>0.56565699999999997</v>
      </c>
      <c r="F1049" t="s">
        <v>42</v>
      </c>
      <c r="G1049">
        <v>-309.16899999999998</v>
      </c>
      <c r="H1049">
        <v>0.89336510000000002</v>
      </c>
      <c r="I1049">
        <v>367.29129999999998</v>
      </c>
      <c r="J1049">
        <v>-309.74869999999999</v>
      </c>
      <c r="K1049">
        <v>1.0708040000000001</v>
      </c>
      <c r="L1049">
        <v>367.43040000000002</v>
      </c>
      <c r="M1049">
        <v>0.99994079999999996</v>
      </c>
      <c r="N1049">
        <v>-1.089303E-2</v>
      </c>
      <c r="O1049">
        <v>3.5620870000000002E-4</v>
      </c>
      <c r="P1049">
        <v>0.99497720000000001</v>
      </c>
      <c r="Q1049">
        <v>-9.7688810000000001E-2</v>
      </c>
      <c r="R1049">
        <v>-2.186751E-2</v>
      </c>
      <c r="S1049">
        <v>2.9279169999999999</v>
      </c>
      <c r="T1049">
        <v>-0.75693789999999905</v>
      </c>
      <c r="U1049">
        <v>-0.59109500000000004</v>
      </c>
      <c r="V1049">
        <v>2.2226470000000002E-2</v>
      </c>
      <c r="W1049">
        <v>-8.6843530000000002E-2</v>
      </c>
      <c r="X1049">
        <v>0.99597400000000003</v>
      </c>
      <c r="Y1049">
        <v>0.19189129999999999</v>
      </c>
      <c r="Z1049">
        <v>-2.5329299999999999E-2</v>
      </c>
      <c r="AA1049">
        <v>0.98108930000000005</v>
      </c>
      <c r="AB1049">
        <v>20</v>
      </c>
      <c r="AC1049">
        <v>0.57969999999994504</v>
      </c>
      <c r="AD1049">
        <v>-0.17743890000000001</v>
      </c>
      <c r="AE1049">
        <v>-0.139100000000041</v>
      </c>
      <c r="AF1049">
        <v>0.127969798085312</v>
      </c>
      <c r="AG1049">
        <v>-0.17743890000000001</v>
      </c>
      <c r="AH1049">
        <v>0.53247872449604206</v>
      </c>
      <c r="AI1049">
        <v>107.952651319308</v>
      </c>
      <c r="AJ1049">
        <v>76.486472997278</v>
      </c>
      <c r="AK1049">
        <v>0.57566867597267901</v>
      </c>
      <c r="AL1049">
        <v>94.982043383764804</v>
      </c>
      <c r="AM1049">
        <v>88.721581505297806</v>
      </c>
      <c r="AN1049">
        <v>1.00000001167376</v>
      </c>
    </row>
    <row r="1050" spans="1:40" x14ac:dyDescent="0.25">
      <c r="A1050" t="str">
        <f>"20190303154116927"</f>
        <v>20190303154116927</v>
      </c>
      <c r="B1050" t="str">
        <f>"1551598876920023"</f>
        <v>1551598876920023</v>
      </c>
      <c r="C1050" t="s">
        <v>40</v>
      </c>
      <c r="D1050">
        <v>5.6964160000000001</v>
      </c>
      <c r="E1050">
        <v>0.56557539999999995</v>
      </c>
      <c r="F1050" t="s">
        <v>42</v>
      </c>
      <c r="G1050">
        <v>-308.9966</v>
      </c>
      <c r="H1050">
        <v>0.87602950000000002</v>
      </c>
      <c r="I1050">
        <v>367.27879999999999</v>
      </c>
      <c r="J1050">
        <v>-309.56360000000001</v>
      </c>
      <c r="K1050">
        <v>1.0707949999999999</v>
      </c>
      <c r="L1050">
        <v>367.43049999999999</v>
      </c>
      <c r="M1050">
        <v>0.99994079999999996</v>
      </c>
      <c r="N1050">
        <v>-1.088274E-2</v>
      </c>
      <c r="O1050">
        <v>4.1926490000000001E-4</v>
      </c>
      <c r="P1050">
        <v>0.99489530000000004</v>
      </c>
      <c r="Q1050">
        <v>-9.8336199999999999E-2</v>
      </c>
      <c r="R1050">
        <v>-2.26616E-2</v>
      </c>
      <c r="S1050">
        <v>2.9277340000000001</v>
      </c>
      <c r="T1050">
        <v>-0.75828640000000003</v>
      </c>
      <c r="U1050">
        <v>-0.58932499999999999</v>
      </c>
      <c r="V1050">
        <v>2.3083510000000002E-2</v>
      </c>
      <c r="W1050">
        <v>-8.7502029999999995E-2</v>
      </c>
      <c r="X1050">
        <v>0.99589689999999997</v>
      </c>
      <c r="Y1050">
        <v>0.19138669999999999</v>
      </c>
      <c r="Z1050">
        <v>-2.5321739999999999E-2</v>
      </c>
      <c r="AA1050">
        <v>0.98118810000000001</v>
      </c>
      <c r="AB1050">
        <v>20</v>
      </c>
      <c r="AC1050">
        <v>0.56700000000000705</v>
      </c>
      <c r="AD1050">
        <v>-0.19476550000000001</v>
      </c>
      <c r="AE1050">
        <v>-0.151700000000005</v>
      </c>
      <c r="AF1050">
        <v>0.136867091108482</v>
      </c>
      <c r="AG1050">
        <v>-0.19476550000000001</v>
      </c>
      <c r="AH1050">
        <v>0.51070218925857602</v>
      </c>
      <c r="AI1050">
        <v>110.222221855957</v>
      </c>
      <c r="AJ1050">
        <v>74.997398659518595</v>
      </c>
      <c r="AK1050">
        <v>0.56345623320028104</v>
      </c>
      <c r="AL1050">
        <v>95.019916665689294</v>
      </c>
      <c r="AM1050">
        <v>88.672200984793193</v>
      </c>
      <c r="AN1050">
        <v>1.00000004455882</v>
      </c>
    </row>
    <row r="1051" spans="1:40" x14ac:dyDescent="0.25">
      <c r="A1051" t="str">
        <f>"20190303154116940"</f>
        <v>20190303154116940</v>
      </c>
      <c r="B1051" t="str">
        <f>"1551598876929784"</f>
        <v>1551598876929784</v>
      </c>
      <c r="C1051" t="s">
        <v>40</v>
      </c>
      <c r="D1051">
        <v>5.813631</v>
      </c>
      <c r="E1051">
        <v>0.56537459999999995</v>
      </c>
      <c r="F1051" t="s">
        <v>42</v>
      </c>
      <c r="G1051">
        <v>-308.81650000000002</v>
      </c>
      <c r="H1051">
        <v>0.87672719999999904</v>
      </c>
      <c r="I1051">
        <v>367.27929999999998</v>
      </c>
      <c r="J1051">
        <v>-309.45260000000002</v>
      </c>
      <c r="K1051">
        <v>1.0707899999999999</v>
      </c>
      <c r="L1051">
        <v>367.43060000000003</v>
      </c>
      <c r="M1051">
        <v>0.99994090000000002</v>
      </c>
      <c r="N1051">
        <v>-1.087726E-2</v>
      </c>
      <c r="O1051">
        <v>4.57083E-4</v>
      </c>
      <c r="P1051">
        <v>0.99488350000000003</v>
      </c>
      <c r="Q1051">
        <v>-9.8432510000000001E-2</v>
      </c>
      <c r="R1051">
        <v>-2.2762810000000001E-2</v>
      </c>
      <c r="S1051">
        <v>2.926758</v>
      </c>
      <c r="T1051">
        <v>-0.76034119999999905</v>
      </c>
      <c r="U1051">
        <v>-0.59109500000000004</v>
      </c>
      <c r="V1051">
        <v>2.322244E-2</v>
      </c>
      <c r="W1051">
        <v>-8.7603899999999998E-2</v>
      </c>
      <c r="X1051">
        <v>0.99588469999999996</v>
      </c>
      <c r="Y1051">
        <v>0.19199939999999999</v>
      </c>
      <c r="Z1051">
        <v>-2.5481520000000001E-2</v>
      </c>
      <c r="AA1051">
        <v>0.98106420000000005</v>
      </c>
      <c r="AB1051">
        <v>20</v>
      </c>
      <c r="AC1051">
        <v>0.636099999999999</v>
      </c>
      <c r="AD1051">
        <v>-0.19406280000000001</v>
      </c>
      <c r="AE1051">
        <v>-0.15130000000004801</v>
      </c>
      <c r="AF1051">
        <v>0.13931803611854501</v>
      </c>
      <c r="AG1051">
        <v>-0.19406280000000001</v>
      </c>
      <c r="AH1051">
        <v>0.58453802161901203</v>
      </c>
      <c r="AI1051">
        <v>107.89773662994899</v>
      </c>
      <c r="AJ1051">
        <v>76.594301620200298</v>
      </c>
      <c r="AK1051">
        <v>0.63147017684926099</v>
      </c>
      <c r="AL1051">
        <v>95.025775958255196</v>
      </c>
      <c r="AM1051">
        <v>88.664196046195002</v>
      </c>
      <c r="AN1051">
        <v>1.0000000303544201</v>
      </c>
    </row>
    <row r="1052" spans="1:40" x14ac:dyDescent="0.25">
      <c r="A1052" t="str">
        <f>"20190303154116953"</f>
        <v>20190303154116953</v>
      </c>
      <c r="B1052" t="str">
        <f>"1551598876950279"</f>
        <v>1551598876950279</v>
      </c>
      <c r="C1052" t="s">
        <v>40</v>
      </c>
      <c r="D1052">
        <v>5.8081120000000004</v>
      </c>
      <c r="E1052">
        <v>0.56501420000000002</v>
      </c>
      <c r="F1052" t="s">
        <v>42</v>
      </c>
      <c r="G1052">
        <v>-308.64299999999997</v>
      </c>
      <c r="H1052">
        <v>0.86014659999999998</v>
      </c>
      <c r="I1052">
        <v>367.26710000000003</v>
      </c>
      <c r="J1052">
        <v>-309.33049999999997</v>
      </c>
      <c r="K1052">
        <v>1.0707799999999901</v>
      </c>
      <c r="L1052">
        <v>367.4307</v>
      </c>
      <c r="M1052">
        <v>0.99994079999999996</v>
      </c>
      <c r="N1052">
        <v>-1.0871850000000001E-2</v>
      </c>
      <c r="O1052">
        <v>4.9871589999999895E-4</v>
      </c>
      <c r="P1052">
        <v>0.99488220000000005</v>
      </c>
      <c r="Q1052">
        <v>-9.8336320000000005E-2</v>
      </c>
      <c r="R1052">
        <v>-2.3223270000000001E-2</v>
      </c>
      <c r="S1052">
        <v>2.9265750000000001</v>
      </c>
      <c r="T1052">
        <v>-0.76146840000000005</v>
      </c>
      <c r="U1052">
        <v>-0.59002690000000002</v>
      </c>
      <c r="V1052">
        <v>2.372438E-2</v>
      </c>
      <c r="W1052">
        <v>-8.751312E-2</v>
      </c>
      <c r="X1052">
        <v>0.99588080000000001</v>
      </c>
      <c r="Y1052">
        <v>0.19169739999999999</v>
      </c>
      <c r="Z1052">
        <v>-2.5488509999999999E-2</v>
      </c>
      <c r="AA1052">
        <v>0.98112299999999997</v>
      </c>
      <c r="AB1052">
        <v>20</v>
      </c>
      <c r="AC1052">
        <v>0.6875</v>
      </c>
      <c r="AD1052">
        <v>-0.210633399999999</v>
      </c>
      <c r="AE1052">
        <v>-0.16359999999997399</v>
      </c>
      <c r="AF1052">
        <v>0.15056713163632501</v>
      </c>
      <c r="AG1052">
        <v>-0.210633399999999</v>
      </c>
      <c r="AH1052">
        <v>0.63133338141787698</v>
      </c>
      <c r="AI1052">
        <v>107.979850130722</v>
      </c>
      <c r="AJ1052">
        <v>76.586062157590604</v>
      </c>
      <c r="AK1052">
        <v>0.682362608015182</v>
      </c>
      <c r="AL1052">
        <v>95.020554847250494</v>
      </c>
      <c r="AM1052">
        <v>88.635328854497402</v>
      </c>
      <c r="AN1052">
        <v>0.99999998009357904</v>
      </c>
    </row>
    <row r="1053" spans="1:40" x14ac:dyDescent="0.25">
      <c r="A1053" t="str">
        <f>"20190303154116972"</f>
        <v>20190303154116972</v>
      </c>
      <c r="B1053" t="str">
        <f>"1551598876960039"</f>
        <v>1551598876960039</v>
      </c>
      <c r="C1053" t="s">
        <v>40</v>
      </c>
      <c r="D1053">
        <v>5.803706</v>
      </c>
      <c r="E1053">
        <v>0.56484509999999999</v>
      </c>
      <c r="F1053" t="s">
        <v>42</v>
      </c>
      <c r="G1053">
        <v>-308.6318</v>
      </c>
      <c r="H1053">
        <v>0.88862009999999902</v>
      </c>
      <c r="I1053">
        <v>367.29</v>
      </c>
      <c r="J1053">
        <v>-309.16210000000001</v>
      </c>
      <c r="K1053">
        <v>1.070776</v>
      </c>
      <c r="L1053">
        <v>367.43079999999998</v>
      </c>
      <c r="M1053">
        <v>0.99994099999999997</v>
      </c>
      <c r="N1053">
        <v>-1.086553E-2</v>
      </c>
      <c r="O1053">
        <v>5.5591059999999897E-4</v>
      </c>
      <c r="P1053">
        <v>0.99488699999999997</v>
      </c>
      <c r="Q1053">
        <v>-9.8185670000000003E-2</v>
      </c>
      <c r="R1053">
        <v>-2.366571E-2</v>
      </c>
      <c r="S1053">
        <v>2.9262999999999999</v>
      </c>
      <c r="T1053">
        <v>-0.76297890000000002</v>
      </c>
      <c r="U1053">
        <v>-0.58828740000000002</v>
      </c>
      <c r="V1053">
        <v>2.4223620000000001E-2</v>
      </c>
      <c r="W1053">
        <v>-8.7368680000000004E-2</v>
      </c>
      <c r="X1053">
        <v>0.99588149999999998</v>
      </c>
      <c r="Y1053">
        <v>0.19119929999999999</v>
      </c>
      <c r="Z1053">
        <v>-2.5486249999999998E-2</v>
      </c>
      <c r="AA1053">
        <v>0.98122030000000005</v>
      </c>
      <c r="AB1053">
        <v>20</v>
      </c>
      <c r="AC1053">
        <v>0.53030000000001098</v>
      </c>
      <c r="AD1053">
        <v>-0.18215590000000001</v>
      </c>
      <c r="AE1053">
        <v>-0.14079999999995599</v>
      </c>
      <c r="AF1053">
        <v>0.12708729945022301</v>
      </c>
      <c r="AG1053">
        <v>-0.18215590000000001</v>
      </c>
      <c r="AH1053">
        <v>0.47758272375052302</v>
      </c>
      <c r="AI1053">
        <v>110.23314505111099</v>
      </c>
      <c r="AJ1053">
        <v>75.0986149788299</v>
      </c>
      <c r="AK1053">
        <v>0.52670410251993405</v>
      </c>
      <c r="AL1053">
        <v>95.012247043503606</v>
      </c>
      <c r="AM1053">
        <v>88.606623810398602</v>
      </c>
      <c r="AN1053">
        <v>1.0000000160265401</v>
      </c>
    </row>
    <row r="1054" spans="1:40" x14ac:dyDescent="0.25">
      <c r="A1054" t="str">
        <f>"20190303154116983"</f>
        <v>20190303154116983</v>
      </c>
      <c r="B1054" t="str">
        <f>"1551598876980536"</f>
        <v>1551598876980536</v>
      </c>
      <c r="C1054" t="s">
        <v>40</v>
      </c>
      <c r="D1054">
        <v>5.8209540000000004</v>
      </c>
      <c r="E1054">
        <v>0.56465659999999995</v>
      </c>
      <c r="F1054" t="s">
        <v>42</v>
      </c>
      <c r="G1054">
        <v>-308.4529</v>
      </c>
      <c r="H1054">
        <v>0.8858393</v>
      </c>
      <c r="I1054">
        <v>367.28789999999998</v>
      </c>
      <c r="J1054">
        <v>-309.06169999999997</v>
      </c>
      <c r="K1054">
        <v>1.070781</v>
      </c>
      <c r="L1054">
        <v>367.43090000000001</v>
      </c>
      <c r="M1054">
        <v>0.99994090000000002</v>
      </c>
      <c r="N1054">
        <v>-1.0862200000000001E-2</v>
      </c>
      <c r="O1054">
        <v>5.8996259999999996E-4</v>
      </c>
      <c r="P1054">
        <v>0.99489280000000002</v>
      </c>
      <c r="Q1054">
        <v>-9.8115149999999998E-2</v>
      </c>
      <c r="R1054">
        <v>-2.370999E-2</v>
      </c>
      <c r="S1054">
        <v>2.9261469999999998</v>
      </c>
      <c r="T1054">
        <v>-0.76309879999999997</v>
      </c>
      <c r="U1054">
        <v>-0.58856200000000003</v>
      </c>
      <c r="V1054">
        <v>2.4301779999999999E-2</v>
      </c>
      <c r="W1054">
        <v>-8.7301399999999904E-2</v>
      </c>
      <c r="X1054">
        <v>0.99588549999999998</v>
      </c>
      <c r="Y1054">
        <v>0.19132360000000001</v>
      </c>
      <c r="Z1054">
        <v>-2.5515429999999999E-2</v>
      </c>
      <c r="AA1054">
        <v>0.98119529999999999</v>
      </c>
      <c r="AB1054">
        <v>20</v>
      </c>
      <c r="AC1054">
        <v>0.60879999999997303</v>
      </c>
      <c r="AD1054">
        <v>-0.18494169999999999</v>
      </c>
      <c r="AE1054">
        <v>-0.14300000000002899</v>
      </c>
      <c r="AF1054">
        <v>0.131829675048456</v>
      </c>
      <c r="AG1054">
        <v>-0.18494169999999999</v>
      </c>
      <c r="AH1054">
        <v>0.55976030201176996</v>
      </c>
      <c r="AI1054">
        <v>107.82758739816499</v>
      </c>
      <c r="AJ1054">
        <v>76.747709332663803</v>
      </c>
      <c r="AK1054">
        <v>0.60408119597499399</v>
      </c>
      <c r="AL1054">
        <v>95.008377377474005</v>
      </c>
      <c r="AM1054">
        <v>88.602135332232805</v>
      </c>
      <c r="AN1054">
        <v>1.0000000200316801</v>
      </c>
    </row>
    <row r="1055" spans="1:40" x14ac:dyDescent="0.25">
      <c r="A1055" t="str">
        <f>"20190303154116994"</f>
        <v>20190303154116994</v>
      </c>
      <c r="B1055" t="str">
        <f>"1551598876990295"</f>
        <v>1551598876990295</v>
      </c>
      <c r="C1055" t="s">
        <v>40</v>
      </c>
      <c r="D1055">
        <v>5.8167269999999904</v>
      </c>
      <c r="E1055">
        <v>0.56445159999999905</v>
      </c>
      <c r="F1055" t="s">
        <v>42</v>
      </c>
      <c r="G1055">
        <v>-308.2801</v>
      </c>
      <c r="H1055">
        <v>0.86666330000000003</v>
      </c>
      <c r="I1055">
        <v>367.27379999999999</v>
      </c>
      <c r="J1055">
        <v>-308.95949999999999</v>
      </c>
      <c r="K1055">
        <v>1.0707799999999901</v>
      </c>
      <c r="L1055">
        <v>367.43099999999998</v>
      </c>
      <c r="M1055">
        <v>0.99994090000000002</v>
      </c>
      <c r="N1055">
        <v>-1.0858970000000001E-2</v>
      </c>
      <c r="O1055">
        <v>6.2466970000000003E-4</v>
      </c>
      <c r="P1055">
        <v>0.99494859999999896</v>
      </c>
      <c r="Q1055">
        <v>-9.7595630000000003E-2</v>
      </c>
      <c r="R1055">
        <v>-2.350491E-2</v>
      </c>
      <c r="S1055">
        <v>2.926056</v>
      </c>
      <c r="T1055">
        <v>-0.76418540000000001</v>
      </c>
      <c r="U1055">
        <v>-0.58703609999999995</v>
      </c>
      <c r="V1055">
        <v>2.4131440000000001E-2</v>
      </c>
      <c r="W1055">
        <v>-8.678458E-2</v>
      </c>
      <c r="X1055">
        <v>0.99593480000000001</v>
      </c>
      <c r="Y1055">
        <v>0.19086729999999999</v>
      </c>
      <c r="Z1055">
        <v>-2.549862E-2</v>
      </c>
      <c r="AA1055">
        <v>0.98128459999999995</v>
      </c>
      <c r="AB1055">
        <v>20</v>
      </c>
      <c r="AC1055">
        <v>0.67939999999998602</v>
      </c>
      <c r="AD1055">
        <v>-0.20411669999999901</v>
      </c>
      <c r="AE1055">
        <v>-0.15719999999998799</v>
      </c>
      <c r="AF1055">
        <v>0.14518556209279901</v>
      </c>
      <c r="AG1055">
        <v>-0.20411669999999901</v>
      </c>
      <c r="AH1055">
        <v>0.62569498779252297</v>
      </c>
      <c r="AI1055">
        <v>107.629274532914</v>
      </c>
      <c r="AJ1055">
        <v>76.9363352346043</v>
      </c>
      <c r="AK1055">
        <v>0.67397083943430203</v>
      </c>
      <c r="AL1055">
        <v>94.978653016710496</v>
      </c>
      <c r="AM1055">
        <v>88.611998310691106</v>
      </c>
      <c r="AN1055">
        <v>1.00000000778664</v>
      </c>
    </row>
    <row r="1056" spans="1:40" x14ac:dyDescent="0.25">
      <c r="A1056" t="str">
        <f>"20190303154117005"</f>
        <v>20190303154117005</v>
      </c>
      <c r="B1056" t="str">
        <f>"1551598877000055"</f>
        <v>1551598877000055</v>
      </c>
      <c r="C1056" t="s">
        <v>40</v>
      </c>
      <c r="D1056">
        <v>5.8002789999999997</v>
      </c>
      <c r="E1056">
        <v>0.56424890000000005</v>
      </c>
      <c r="F1056" t="s">
        <v>42</v>
      </c>
      <c r="G1056">
        <v>-308.2704</v>
      </c>
      <c r="H1056">
        <v>0.89086480000000001</v>
      </c>
      <c r="I1056">
        <v>367.29300000000001</v>
      </c>
      <c r="J1056">
        <v>-308.85939999999999</v>
      </c>
      <c r="K1056">
        <v>1.0707799999999901</v>
      </c>
      <c r="L1056">
        <v>367.43119999999999</v>
      </c>
      <c r="M1056">
        <v>0.99994090000000002</v>
      </c>
      <c r="N1056">
        <v>-1.0856279999999999E-2</v>
      </c>
      <c r="O1056">
        <v>6.5859879999999999E-4</v>
      </c>
      <c r="P1056">
        <v>0.9949538</v>
      </c>
      <c r="Q1056">
        <v>-9.7586580000000006E-2</v>
      </c>
      <c r="R1056">
        <v>-2.3324419999999998E-2</v>
      </c>
      <c r="S1056">
        <v>2.926453</v>
      </c>
      <c r="T1056">
        <v>-0.76405310000000004</v>
      </c>
      <c r="U1056">
        <v>-0.58505249999999998</v>
      </c>
      <c r="V1056">
        <v>2.3984479999999999E-2</v>
      </c>
      <c r="W1056">
        <v>-8.6778159999999993E-2</v>
      </c>
      <c r="X1056">
        <v>0.99593889999999996</v>
      </c>
      <c r="Y1056">
        <v>0.1902577</v>
      </c>
      <c r="Z1056">
        <v>-2.541991E-2</v>
      </c>
      <c r="AA1056">
        <v>0.98140499999999997</v>
      </c>
      <c r="AB1056">
        <v>20</v>
      </c>
      <c r="AC1056">
        <v>0.58899999999999797</v>
      </c>
      <c r="AD1056">
        <v>-0.179915199999999</v>
      </c>
      <c r="AE1056">
        <v>-0.138199999999983</v>
      </c>
      <c r="AF1056">
        <v>0.12732753066352301</v>
      </c>
      <c r="AG1056">
        <v>-0.179915199999999</v>
      </c>
      <c r="AH1056">
        <v>0.54105953967666398</v>
      </c>
      <c r="AI1056">
        <v>107.935825069361</v>
      </c>
      <c r="AJ1056">
        <v>76.757533128414295</v>
      </c>
      <c r="AK1056">
        <v>0.58423214968968795</v>
      </c>
      <c r="AL1056">
        <v>94.978283831517501</v>
      </c>
      <c r="AM1056">
        <v>88.620453614405207</v>
      </c>
      <c r="AN1056">
        <v>0.99999999843353204</v>
      </c>
    </row>
    <row r="1057" spans="1:40" x14ac:dyDescent="0.25">
      <c r="A1057" t="str">
        <f>"20190303154117028"</f>
        <v>20190303154117028</v>
      </c>
      <c r="B1057" t="str">
        <f>"1551598877020551"</f>
        <v>1551598877020551</v>
      </c>
      <c r="C1057" t="s">
        <v>40</v>
      </c>
      <c r="D1057">
        <v>5.7964370000000001</v>
      </c>
      <c r="E1057">
        <v>0.56388680000000002</v>
      </c>
      <c r="F1057" t="s">
        <v>42</v>
      </c>
      <c r="G1057">
        <v>-308.09780000000001</v>
      </c>
      <c r="H1057">
        <v>0.87169529999999995</v>
      </c>
      <c r="I1057">
        <v>367.27940000000001</v>
      </c>
      <c r="J1057">
        <v>-308.65809999999999</v>
      </c>
      <c r="K1057">
        <v>1.070781</v>
      </c>
      <c r="L1057">
        <v>367.4314</v>
      </c>
      <c r="M1057">
        <v>0.99994090000000002</v>
      </c>
      <c r="N1057">
        <v>-1.085147E-2</v>
      </c>
      <c r="O1057">
        <v>7.2699050000000001E-4</v>
      </c>
      <c r="P1057">
        <v>0.99502069999999998</v>
      </c>
      <c r="Q1057">
        <v>-9.7110769999999999E-2</v>
      </c>
      <c r="R1057">
        <v>-2.2431449999999999E-2</v>
      </c>
      <c r="S1057">
        <v>2.9265140000000001</v>
      </c>
      <c r="T1057">
        <v>-0.76501699999999995</v>
      </c>
      <c r="U1057">
        <v>-0.58285520000000002</v>
      </c>
      <c r="V1057">
        <v>2.3159869999999999E-2</v>
      </c>
      <c r="W1057">
        <v>-8.630649E-2</v>
      </c>
      <c r="X1057">
        <v>0.99599939999999998</v>
      </c>
      <c r="Y1057">
        <v>0.18961539999999999</v>
      </c>
      <c r="Z1057">
        <v>-2.5381709999999998E-2</v>
      </c>
      <c r="AA1057">
        <v>0.98153029999999997</v>
      </c>
      <c r="AB1057">
        <v>20</v>
      </c>
      <c r="AC1057">
        <v>0.56029999999998303</v>
      </c>
      <c r="AD1057">
        <v>-0.19908569999999901</v>
      </c>
      <c r="AE1057">
        <v>-0.15199999999998601</v>
      </c>
      <c r="AF1057">
        <v>0.136370472182825</v>
      </c>
      <c r="AG1057">
        <v>-0.19908569999999901</v>
      </c>
      <c r="AH1057">
        <v>0.50124421133993802</v>
      </c>
      <c r="AI1057">
        <v>110.96944474567201</v>
      </c>
      <c r="AJ1057">
        <v>74.780262523659601</v>
      </c>
      <c r="AK1057">
        <v>0.55630727213443198</v>
      </c>
      <c r="AL1057">
        <v>94.951157362745107</v>
      </c>
      <c r="AM1057">
        <v>88.667947268882997</v>
      </c>
      <c r="AN1057">
        <v>0.99999999729744804</v>
      </c>
    </row>
    <row r="1058" spans="1:40" x14ac:dyDescent="0.25">
      <c r="A1058" t="str">
        <f>"20190303154117050"</f>
        <v>20190303154117050</v>
      </c>
      <c r="B1058" t="str">
        <f>"1551598877040071"</f>
        <v>1551598877040071</v>
      </c>
      <c r="C1058" t="s">
        <v>40</v>
      </c>
      <c r="D1058">
        <v>5.7920930000000004</v>
      </c>
      <c r="E1058">
        <v>0.56382480000000001</v>
      </c>
      <c r="F1058" t="s">
        <v>42</v>
      </c>
      <c r="G1058">
        <v>-307.91550000000001</v>
      </c>
      <c r="H1058">
        <v>0.87636630000000004</v>
      </c>
      <c r="I1058">
        <v>367.28480000000002</v>
      </c>
      <c r="J1058">
        <v>-308.4545</v>
      </c>
      <c r="K1058">
        <v>1.0707789999999999</v>
      </c>
      <c r="L1058">
        <v>367.4316</v>
      </c>
      <c r="M1058">
        <v>0.99994110000000003</v>
      </c>
      <c r="N1058">
        <v>-1.0847570000000001E-2</v>
      </c>
      <c r="O1058">
        <v>7.9597289999999905E-4</v>
      </c>
      <c r="P1058">
        <v>0.99503129999999995</v>
      </c>
      <c r="Q1058">
        <v>-9.7188640000000007E-2</v>
      </c>
      <c r="R1058">
        <v>-2.1621600000000001E-2</v>
      </c>
      <c r="S1058">
        <v>2.927216</v>
      </c>
      <c r="T1058">
        <v>-0.76628350000000001</v>
      </c>
      <c r="U1058">
        <v>-0.57742309999999997</v>
      </c>
      <c r="V1058">
        <v>2.241864E-2</v>
      </c>
      <c r="W1058">
        <v>-8.6388129999999994E-2</v>
      </c>
      <c r="X1058">
        <v>0.99600929999999999</v>
      </c>
      <c r="Y1058">
        <v>0.18792030000000001</v>
      </c>
      <c r="Z1058">
        <v>-2.521002E-2</v>
      </c>
      <c r="AA1058">
        <v>0.98186070000000003</v>
      </c>
      <c r="AB1058">
        <v>20</v>
      </c>
      <c r="AC1058">
        <v>0.53899999999998705</v>
      </c>
      <c r="AD1058">
        <v>-0.19441269999999999</v>
      </c>
      <c r="AE1058">
        <v>-0.146799999999984</v>
      </c>
      <c r="AF1058">
        <v>0.13132381291893999</v>
      </c>
      <c r="AG1058">
        <v>-0.19441269999999999</v>
      </c>
      <c r="AH1058">
        <v>0.48066727989212399</v>
      </c>
      <c r="AI1058">
        <v>111.313959949899</v>
      </c>
      <c r="AJ1058">
        <v>74.719062777029805</v>
      </c>
      <c r="AK1058">
        <v>0.534867531001604</v>
      </c>
      <c r="AL1058">
        <v>94.955852437956096</v>
      </c>
      <c r="AM1058">
        <v>88.710577703493101</v>
      </c>
      <c r="AN1058">
        <v>1.00000001505541</v>
      </c>
    </row>
    <row r="1059" spans="1:40" x14ac:dyDescent="0.25">
      <c r="A1059" t="str">
        <f>"20190303154117073"</f>
        <v>20190303154117073</v>
      </c>
      <c r="B1059" t="str">
        <f>"1551598877070327"</f>
        <v>1551598877070327</v>
      </c>
      <c r="C1059" t="s">
        <v>40</v>
      </c>
      <c r="D1059">
        <v>5.7424540000000004</v>
      </c>
      <c r="E1059">
        <v>0.56379380000000001</v>
      </c>
      <c r="F1059" t="s">
        <v>42</v>
      </c>
      <c r="G1059">
        <v>-307.7328</v>
      </c>
      <c r="H1059">
        <v>0.88172399999999995</v>
      </c>
      <c r="I1059">
        <v>367.28969999999998</v>
      </c>
      <c r="J1059">
        <v>-308.25170000000003</v>
      </c>
      <c r="K1059">
        <v>1.070775</v>
      </c>
      <c r="L1059">
        <v>367.43180000000001</v>
      </c>
      <c r="M1059">
        <v>0.99994090000000002</v>
      </c>
      <c r="N1059">
        <v>-1.084452E-2</v>
      </c>
      <c r="O1059">
        <v>8.6458990000000001E-4</v>
      </c>
      <c r="P1059">
        <v>0.99498399999999998</v>
      </c>
      <c r="Q1059">
        <v>-9.7805799999999998E-2</v>
      </c>
      <c r="R1059">
        <v>-2.0998180000000002E-2</v>
      </c>
      <c r="S1059">
        <v>2.9275820000000001</v>
      </c>
      <c r="T1059">
        <v>-0.76693869999999997</v>
      </c>
      <c r="U1059">
        <v>-0.57437130000000003</v>
      </c>
      <c r="V1059">
        <v>2.1863339999999998E-2</v>
      </c>
      <c r="W1059">
        <v>-8.7008890000000005E-2</v>
      </c>
      <c r="X1059">
        <v>0.99596759999999995</v>
      </c>
      <c r="Y1059">
        <v>0.18699750000000001</v>
      </c>
      <c r="Z1059">
        <v>-2.512296E-2</v>
      </c>
      <c r="AA1059">
        <v>0.98203910000000005</v>
      </c>
      <c r="AB1059">
        <v>20</v>
      </c>
      <c r="AC1059">
        <v>0.51890000000003</v>
      </c>
      <c r="AD1059">
        <v>-0.189051</v>
      </c>
      <c r="AE1059">
        <v>-0.14210000000002701</v>
      </c>
      <c r="AF1059">
        <v>0.12688167932059999</v>
      </c>
      <c r="AG1059">
        <v>-0.189051</v>
      </c>
      <c r="AH1059">
        <v>0.46176030695355302</v>
      </c>
      <c r="AI1059">
        <v>111.543178825544</v>
      </c>
      <c r="AJ1059">
        <v>74.635562597459796</v>
      </c>
      <c r="AK1059">
        <v>0.51484155060179004</v>
      </c>
      <c r="AL1059">
        <v>94.991553839418302</v>
      </c>
      <c r="AM1059">
        <v>88.742453116791097</v>
      </c>
      <c r="AN1059">
        <v>1.00000000641237</v>
      </c>
    </row>
    <row r="1060" spans="1:40" x14ac:dyDescent="0.25">
      <c r="A1060" t="str">
        <f>"20190303154117095"</f>
        <v>20190303154117095</v>
      </c>
      <c r="B1060" t="str">
        <f>"1551598877090823"</f>
        <v>1551598877090823</v>
      </c>
      <c r="C1060" t="s">
        <v>40</v>
      </c>
      <c r="D1060">
        <v>5.6714969999999996</v>
      </c>
      <c r="E1060">
        <v>0.54145369999999904</v>
      </c>
      <c r="F1060" t="s">
        <v>42</v>
      </c>
      <c r="G1060">
        <v>-307.54989999999998</v>
      </c>
      <c r="H1060">
        <v>0.88644529999999999</v>
      </c>
      <c r="I1060">
        <v>367.29450000000003</v>
      </c>
      <c r="J1060">
        <v>-308.05380000000002</v>
      </c>
      <c r="K1060">
        <v>1.070776</v>
      </c>
      <c r="L1060">
        <v>367.43209999999999</v>
      </c>
      <c r="M1060">
        <v>0.99994090000000002</v>
      </c>
      <c r="N1060">
        <v>-1.0842259999999999E-2</v>
      </c>
      <c r="O1060">
        <v>9.3063610000000002E-4</v>
      </c>
      <c r="P1060">
        <v>0.99500100000000002</v>
      </c>
      <c r="Q1060">
        <v>-9.7759860000000004E-2</v>
      </c>
      <c r="R1060">
        <v>-2.0408889999999999E-2</v>
      </c>
      <c r="S1060">
        <v>2.9274900000000001</v>
      </c>
      <c r="T1060">
        <v>-0.76893290000000003</v>
      </c>
      <c r="U1060">
        <v>-0.57244869999999903</v>
      </c>
      <c r="V1060">
        <v>2.1339569999999999E-2</v>
      </c>
      <c r="W1060">
        <v>-8.6965100000000004E-2</v>
      </c>
      <c r="X1060">
        <v>0.99598279999999995</v>
      </c>
      <c r="Y1060">
        <v>0.18643109999999999</v>
      </c>
      <c r="Z1060">
        <v>-2.512613E-2</v>
      </c>
      <c r="AA1060">
        <v>0.98214670000000004</v>
      </c>
      <c r="AB1060">
        <v>20</v>
      </c>
      <c r="AC1060">
        <v>0.50390000000004398</v>
      </c>
      <c r="AD1060">
        <v>-0.18433069999999899</v>
      </c>
      <c r="AE1060">
        <v>-0.137599999999963</v>
      </c>
      <c r="AF1060">
        <v>0.122779249394845</v>
      </c>
      <c r="AG1060">
        <v>-0.18433069999999899</v>
      </c>
      <c r="AH1060">
        <v>0.44798435107193202</v>
      </c>
      <c r="AI1060">
        <v>111.64479667627501</v>
      </c>
      <c r="AJ1060">
        <v>74.673278020021399</v>
      </c>
      <c r="AK1060">
        <v>0.49974246352475599</v>
      </c>
      <c r="AL1060">
        <v>94.9890352332649</v>
      </c>
      <c r="AM1060">
        <v>88.772588987114204</v>
      </c>
      <c r="AN1060">
        <v>1.0000000218808101</v>
      </c>
    </row>
    <row r="1061" spans="1:40" x14ac:dyDescent="0.25">
      <c r="A1061" t="str">
        <f>"20190303154117117"</f>
        <v>20190303154117117</v>
      </c>
      <c r="B1061" t="str">
        <f>"1551598877110343"</f>
        <v>1551598877110343</v>
      </c>
      <c r="C1061" t="s">
        <v>40</v>
      </c>
      <c r="D1061">
        <v>5.6428739999999999</v>
      </c>
      <c r="E1061">
        <v>0.53492729999999999</v>
      </c>
      <c r="F1061" t="s">
        <v>42</v>
      </c>
      <c r="G1061">
        <v>-307.35340000000002</v>
      </c>
      <c r="H1061">
        <v>0.92176999999999998</v>
      </c>
      <c r="I1061">
        <v>367.33870000000002</v>
      </c>
      <c r="J1061">
        <v>-307.85320000000002</v>
      </c>
      <c r="K1061">
        <v>1.07077</v>
      </c>
      <c r="L1061">
        <v>367.4323</v>
      </c>
      <c r="M1061">
        <v>0.99994079999999996</v>
      </c>
      <c r="N1061">
        <v>-1.083565E-2</v>
      </c>
      <c r="O1061">
        <v>9.9706240000000008E-4</v>
      </c>
      <c r="P1061">
        <v>0.99499910000000003</v>
      </c>
      <c r="Q1061">
        <v>-9.7639210000000004E-2</v>
      </c>
      <c r="R1061">
        <v>-2.1061969999999999E-2</v>
      </c>
      <c r="S1061">
        <v>2.945465</v>
      </c>
      <c r="T1061">
        <v>-0.62658119999999995</v>
      </c>
      <c r="U1061">
        <v>-0.39224239999999999</v>
      </c>
      <c r="V1061">
        <v>2.2058589999999999E-2</v>
      </c>
      <c r="W1061">
        <v>-8.6851049999999999E-2</v>
      </c>
      <c r="X1061">
        <v>0.995977</v>
      </c>
      <c r="Y1061">
        <v>0.12996260000000001</v>
      </c>
      <c r="Z1061">
        <v>-1.452575E-2</v>
      </c>
      <c r="AA1061">
        <v>0.99141250000000003</v>
      </c>
      <c r="AB1061">
        <v>20</v>
      </c>
      <c r="AC1061">
        <v>0.49979999999999303</v>
      </c>
      <c r="AD1061">
        <v>-0.14899999999999899</v>
      </c>
      <c r="AE1061">
        <v>-9.3599999999980796E-2</v>
      </c>
      <c r="AF1061">
        <v>8.6657575806167494E-2</v>
      </c>
      <c r="AG1061">
        <v>-0.14899999999999899</v>
      </c>
      <c r="AH1061">
        <v>0.46019258989706802</v>
      </c>
      <c r="AI1061">
        <v>107.650303700785</v>
      </c>
      <c r="AJ1061">
        <v>79.335673108615893</v>
      </c>
      <c r="AK1061">
        <v>0.49141403647105297</v>
      </c>
      <c r="AL1061">
        <v>94.982476263131403</v>
      </c>
      <c r="AM1061">
        <v>88.731238251962907</v>
      </c>
      <c r="AN1061">
        <v>0.99999993540394305</v>
      </c>
    </row>
    <row r="1062" spans="1:40" x14ac:dyDescent="0.25">
      <c r="A1062" t="str">
        <f>"20190303154117139"</f>
        <v>20190303154117139</v>
      </c>
      <c r="B1062" t="str">
        <f>"1551598877130843"</f>
        <v>1551598877130843</v>
      </c>
      <c r="C1062" t="s">
        <v>40</v>
      </c>
      <c r="D1062">
        <v>5.6217360000000003</v>
      </c>
      <c r="E1062">
        <v>0.50877019999999995</v>
      </c>
      <c r="F1062" t="s">
        <v>42</v>
      </c>
      <c r="G1062">
        <v>-306.99549999999999</v>
      </c>
      <c r="H1062">
        <v>0.91159500000000004</v>
      </c>
      <c r="I1062">
        <v>367.33269999999999</v>
      </c>
      <c r="J1062">
        <v>-307.6474</v>
      </c>
      <c r="K1062">
        <v>1.0707599999999999</v>
      </c>
      <c r="L1062">
        <v>367.43259999999998</v>
      </c>
      <c r="M1062">
        <v>0.99994119999999997</v>
      </c>
      <c r="N1062">
        <v>-1.080541E-2</v>
      </c>
      <c r="O1062">
        <v>1.0645710000000001E-3</v>
      </c>
      <c r="P1062">
        <v>0.99494450000000001</v>
      </c>
      <c r="Q1062">
        <v>-9.8132510000000006E-2</v>
      </c>
      <c r="R1062">
        <v>-2.1355409999999998E-2</v>
      </c>
      <c r="S1062">
        <v>2.9540709999999999</v>
      </c>
      <c r="T1062">
        <v>-0.54836509999999905</v>
      </c>
      <c r="U1062">
        <v>-0.34204099999999998</v>
      </c>
      <c r="V1062">
        <v>2.24192E-2</v>
      </c>
      <c r="W1062">
        <v>-8.7375069999999999E-2</v>
      </c>
      <c r="X1062">
        <v>0.99592320000000001</v>
      </c>
      <c r="Y1062">
        <v>0.1140221</v>
      </c>
      <c r="Z1062">
        <v>-1.1266770000000001E-2</v>
      </c>
      <c r="AA1062">
        <v>0.99341429999999997</v>
      </c>
      <c r="AB1062">
        <v>20</v>
      </c>
      <c r="AC1062">
        <v>0.65190000000001103</v>
      </c>
      <c r="AD1062">
        <v>-0.159164999999999</v>
      </c>
      <c r="AE1062">
        <v>-9.9899999999990996E-2</v>
      </c>
      <c r="AF1062">
        <v>9.5057439335804794E-2</v>
      </c>
      <c r="AG1062">
        <v>-0.159164999999999</v>
      </c>
      <c r="AH1062">
        <v>0.61591957125436003</v>
      </c>
      <c r="AI1062">
        <v>104.326786543095</v>
      </c>
      <c r="AJ1062">
        <v>81.226524660251002</v>
      </c>
      <c r="AK1062">
        <v>0.64321561878753797</v>
      </c>
      <c r="AL1062">
        <v>95.012614539806506</v>
      </c>
      <c r="AM1062">
        <v>88.7104340667548</v>
      </c>
      <c r="AN1062">
        <v>1.0000000218421901</v>
      </c>
    </row>
    <row r="1063" spans="1:40" x14ac:dyDescent="0.25">
      <c r="A1063" t="str">
        <f>"20190303154117163"</f>
        <v>20190303154117163</v>
      </c>
      <c r="B1063" t="str">
        <f>"1551598877160120"</f>
        <v>1551598877160120</v>
      </c>
      <c r="C1063" t="s">
        <v>40</v>
      </c>
      <c r="D1063">
        <v>5.5957460000000001</v>
      </c>
      <c r="E1063">
        <v>0.50925209999999999</v>
      </c>
      <c r="F1063" t="s">
        <v>43</v>
      </c>
      <c r="G1063">
        <v>-286.80169999999998</v>
      </c>
      <c r="H1063">
        <v>-0.05</v>
      </c>
      <c r="I1063">
        <v>366.5025</v>
      </c>
      <c r="J1063">
        <v>-307.44209999999998</v>
      </c>
      <c r="K1063">
        <v>1.0707260000000001</v>
      </c>
      <c r="L1063">
        <v>367.43290000000002</v>
      </c>
      <c r="M1063">
        <v>0.99994159999999999</v>
      </c>
      <c r="N1063">
        <v>-1.074485E-2</v>
      </c>
      <c r="O1063">
        <v>1.1319469999999999E-3</v>
      </c>
      <c r="P1063">
        <v>0.99490140000000005</v>
      </c>
      <c r="Q1063">
        <v>-9.8347019999999993E-2</v>
      </c>
      <c r="R1063">
        <v>-2.2339979999999999E-2</v>
      </c>
      <c r="S1063">
        <v>2.996521</v>
      </c>
      <c r="T1063">
        <v>-0.16110629999999901</v>
      </c>
      <c r="U1063">
        <v>-0.1336975</v>
      </c>
      <c r="V1063">
        <v>2.3470830000000002E-2</v>
      </c>
      <c r="W1063">
        <v>-8.7650339999999993E-2</v>
      </c>
      <c r="X1063">
        <v>0.99587479999999995</v>
      </c>
      <c r="Y1063">
        <v>4.5624100000000001E-2</v>
      </c>
      <c r="Z1063">
        <v>-1.5190729999999999E-3</v>
      </c>
      <c r="AA1063">
        <v>0.99895750000000005</v>
      </c>
      <c r="AB1063">
        <v>20</v>
      </c>
      <c r="AC1063">
        <v>20.6404</v>
      </c>
      <c r="AD1063">
        <v>-1.1207260000000001</v>
      </c>
      <c r="AE1063">
        <v>-0.93040000000001999</v>
      </c>
      <c r="AF1063">
        <v>0.95096660078530804</v>
      </c>
      <c r="AG1063">
        <v>-1.1207260000000001</v>
      </c>
      <c r="AH1063">
        <v>20.578785402696099</v>
      </c>
      <c r="AI1063">
        <v>93.113947093396305</v>
      </c>
      <c r="AJ1063">
        <v>87.354186032835798</v>
      </c>
      <c r="AK1063">
        <v>20.631208711394098</v>
      </c>
      <c r="AL1063">
        <v>95.028447002231005</v>
      </c>
      <c r="AM1063">
        <v>88.649899971066702</v>
      </c>
      <c r="AN1063">
        <v>1.0000000396190201</v>
      </c>
    </row>
    <row r="1064" spans="1:40" x14ac:dyDescent="0.25">
      <c r="A1064" t="str">
        <f>"20190303154117184"</f>
        <v>20190303154117184</v>
      </c>
      <c r="B1064" t="str">
        <f>"1551598877180616"</f>
        <v>1551598877180616</v>
      </c>
      <c r="C1064" t="s">
        <v>40</v>
      </c>
      <c r="D1064">
        <v>5.6328909999999999</v>
      </c>
      <c r="E1064">
        <v>0.50914470000000001</v>
      </c>
      <c r="F1064" t="s">
        <v>43</v>
      </c>
      <c r="G1064">
        <v>-286.00880000000001</v>
      </c>
      <c r="H1064">
        <v>-0.05</v>
      </c>
      <c r="I1064">
        <v>366.42770000000002</v>
      </c>
      <c r="J1064">
        <v>-307.24079999999998</v>
      </c>
      <c r="K1064">
        <v>1.0706960000000001</v>
      </c>
      <c r="L1064">
        <v>367.4332</v>
      </c>
      <c r="M1064">
        <v>0.99994280000000002</v>
      </c>
      <c r="N1064">
        <v>-1.063441E-2</v>
      </c>
      <c r="O1064">
        <v>1.1976199999999999E-3</v>
      </c>
      <c r="P1064">
        <v>0.99482539999999997</v>
      </c>
      <c r="Q1064">
        <v>-9.8897819999999997E-2</v>
      </c>
      <c r="R1064">
        <v>-2.3271380000000001E-2</v>
      </c>
      <c r="S1064">
        <v>2.9967649999999999</v>
      </c>
      <c r="T1064">
        <v>-0.15669810000000001</v>
      </c>
      <c r="U1064">
        <v>-0.140533399999999</v>
      </c>
      <c r="V1064">
        <v>2.4467470000000002E-2</v>
      </c>
      <c r="W1064">
        <v>-8.8311879999999995E-2</v>
      </c>
      <c r="X1064">
        <v>0.99579229999999996</v>
      </c>
      <c r="Y1064">
        <v>4.7960160000000002E-2</v>
      </c>
      <c r="Z1064">
        <v>-1.557548E-3</v>
      </c>
      <c r="AA1064">
        <v>0.99884799999999996</v>
      </c>
      <c r="AB1064">
        <v>20</v>
      </c>
      <c r="AC1064">
        <v>21.2319999999999</v>
      </c>
      <c r="AD1064">
        <v>-1.1206959999999999</v>
      </c>
      <c r="AE1064">
        <v>-1.0054999999999801</v>
      </c>
      <c r="AF1064">
        <v>1.0280707036417001</v>
      </c>
      <c r="AG1064">
        <v>-1.1206959999999999</v>
      </c>
      <c r="AH1064">
        <v>21.171925780812199</v>
      </c>
      <c r="AI1064">
        <v>93.026456998020294</v>
      </c>
      <c r="AJ1064">
        <v>87.220003427989198</v>
      </c>
      <c r="AK1064">
        <v>21.2264771020611</v>
      </c>
      <c r="AL1064">
        <v>95.066498336065493</v>
      </c>
      <c r="AM1064">
        <v>88.592476814340003</v>
      </c>
      <c r="AN1064">
        <v>0.99999997498831195</v>
      </c>
    </row>
    <row r="1065" spans="1:40" x14ac:dyDescent="0.25">
      <c r="A1065" t="str">
        <f>"20190303154117207"</f>
        <v>20190303154117207</v>
      </c>
      <c r="B1065" t="str">
        <f>"1551598877200135"</f>
        <v>1551598877200135</v>
      </c>
      <c r="C1065" t="s">
        <v>40</v>
      </c>
      <c r="D1065">
        <v>5.6163449999999999</v>
      </c>
      <c r="E1065">
        <v>0.50896609999999998</v>
      </c>
      <c r="F1065" t="s">
        <v>43</v>
      </c>
      <c r="G1065">
        <v>-285.82929999999999</v>
      </c>
      <c r="H1065">
        <v>-0.05</v>
      </c>
      <c r="I1065">
        <v>366.41289999999998</v>
      </c>
      <c r="J1065">
        <v>-307.02780000000001</v>
      </c>
      <c r="K1065">
        <v>1.0706560000000001</v>
      </c>
      <c r="L1065">
        <v>367.43349999999998</v>
      </c>
      <c r="M1065">
        <v>0.99994490000000003</v>
      </c>
      <c r="N1065">
        <v>-1.04382E-2</v>
      </c>
      <c r="O1065">
        <v>1.267195E-3</v>
      </c>
      <c r="P1065">
        <v>0.99483109999999997</v>
      </c>
      <c r="Q1065">
        <v>-9.8705490000000007E-2</v>
      </c>
      <c r="R1065">
        <v>-2.3850639999999999E-2</v>
      </c>
      <c r="S1065">
        <v>2.9966740000000001</v>
      </c>
      <c r="T1065">
        <v>-0.1568483</v>
      </c>
      <c r="U1065">
        <v>-0.14279169999999999</v>
      </c>
      <c r="V1065">
        <v>2.5115740000000001E-2</v>
      </c>
      <c r="W1065">
        <v>-8.8314879999999998E-2</v>
      </c>
      <c r="X1065">
        <v>0.99577590000000005</v>
      </c>
      <c r="Y1065">
        <v>4.8780810000000001E-2</v>
      </c>
      <c r="Z1065">
        <v>-1.5830009999999999E-3</v>
      </c>
      <c r="AA1065">
        <v>0.99880829999999998</v>
      </c>
      <c r="AB1065">
        <v>20</v>
      </c>
      <c r="AC1065">
        <v>21.198499999999999</v>
      </c>
      <c r="AD1065">
        <v>-1.1206559999999901</v>
      </c>
      <c r="AE1065">
        <v>-1.0206</v>
      </c>
      <c r="AF1065">
        <v>1.0445508224961799</v>
      </c>
      <c r="AG1065">
        <v>-1.1206559999999901</v>
      </c>
      <c r="AH1065">
        <v>21.1382512639873</v>
      </c>
      <c r="AI1065">
        <v>93.031034644915096</v>
      </c>
      <c r="AJ1065">
        <v>87.171019006341695</v>
      </c>
      <c r="AK1065">
        <v>21.193692995572398</v>
      </c>
      <c r="AL1065">
        <v>95.066670868519694</v>
      </c>
      <c r="AM1065">
        <v>88.555176053304706</v>
      </c>
      <c r="AN1065">
        <v>0.99999998072298502</v>
      </c>
    </row>
    <row r="1066" spans="1:40" x14ac:dyDescent="0.25">
      <c r="A1066" t="str">
        <f>"20190303154117229"</f>
        <v>20190303154117229</v>
      </c>
      <c r="B1066" t="str">
        <f>"1551598877220631"</f>
        <v>1551598877220631</v>
      </c>
      <c r="C1066" t="s">
        <v>40</v>
      </c>
      <c r="D1066">
        <v>5.6339759999999997</v>
      </c>
      <c r="E1066">
        <v>0.50906109999999904</v>
      </c>
      <c r="F1066" t="s">
        <v>43</v>
      </c>
      <c r="G1066">
        <v>-285.35629999999998</v>
      </c>
      <c r="H1066">
        <v>-0.05</v>
      </c>
      <c r="I1066">
        <v>366.3972</v>
      </c>
      <c r="J1066">
        <v>-306.83100000000002</v>
      </c>
      <c r="K1066">
        <v>1.0706020000000001</v>
      </c>
      <c r="L1066">
        <v>367.43380000000002</v>
      </c>
      <c r="M1066">
        <v>0.99994729999999998</v>
      </c>
      <c r="N1066">
        <v>-1.018082E-2</v>
      </c>
      <c r="O1066">
        <v>1.331699E-3</v>
      </c>
      <c r="P1066">
        <v>0.99484260000000002</v>
      </c>
      <c r="Q1066">
        <v>-9.8512020000000006E-2</v>
      </c>
      <c r="R1066">
        <v>-2.415635E-2</v>
      </c>
      <c r="S1066">
        <v>2.9967959999999998</v>
      </c>
      <c r="T1066">
        <v>-0.15496770000000001</v>
      </c>
      <c r="U1066">
        <v>-0.14331050000000001</v>
      </c>
      <c r="V1066">
        <v>2.5485899999999999E-2</v>
      </c>
      <c r="W1066">
        <v>-8.8377590000000006E-2</v>
      </c>
      <c r="X1066">
        <v>0.99576100000000001</v>
      </c>
      <c r="Y1066">
        <v>4.9017489999999997E-2</v>
      </c>
      <c r="Z1066">
        <v>-1.57091E-3</v>
      </c>
      <c r="AA1066">
        <v>0.99879669999999998</v>
      </c>
      <c r="AB1066">
        <v>20</v>
      </c>
      <c r="AC1066">
        <v>21.474699999999899</v>
      </c>
      <c r="AD1066">
        <v>-1.1206020000000001</v>
      </c>
      <c r="AE1066">
        <v>-1.0366000000000199</v>
      </c>
      <c r="AF1066">
        <v>1.0623124405539399</v>
      </c>
      <c r="AG1066">
        <v>-1.1206020000000001</v>
      </c>
      <c r="AH1066">
        <v>21.4151224998954</v>
      </c>
      <c r="AI1066">
        <v>92.991746746162505</v>
      </c>
      <c r="AJ1066">
        <v>87.160129807005802</v>
      </c>
      <c r="AK1066">
        <v>21.470717925800301</v>
      </c>
      <c r="AL1066">
        <v>95.070277642697604</v>
      </c>
      <c r="AM1066">
        <v>88.533869292993501</v>
      </c>
      <c r="AN1066">
        <v>1.000000049317</v>
      </c>
    </row>
    <row r="1067" spans="1:40" x14ac:dyDescent="0.25">
      <c r="A1067" t="str">
        <f>"20190303154117250"</f>
        <v>20190303154117250</v>
      </c>
      <c r="B1067" t="str">
        <f>"1551598877240151"</f>
        <v>1551598877240151</v>
      </c>
      <c r="C1067" t="s">
        <v>40</v>
      </c>
      <c r="D1067">
        <v>5.594214</v>
      </c>
      <c r="E1067">
        <v>0.50897570000000003</v>
      </c>
      <c r="F1067" t="s">
        <v>43</v>
      </c>
      <c r="G1067">
        <v>-285.1748</v>
      </c>
      <c r="H1067">
        <v>-0.05</v>
      </c>
      <c r="I1067">
        <v>366.38979999999998</v>
      </c>
      <c r="J1067">
        <v>-306.6275</v>
      </c>
      <c r="K1067">
        <v>1.0705309999999999</v>
      </c>
      <c r="L1067">
        <v>367.43419999999998</v>
      </c>
      <c r="M1067">
        <v>0.99995049999999996</v>
      </c>
      <c r="N1067">
        <v>-9.8550270000000006E-3</v>
      </c>
      <c r="O1067">
        <v>1.3985340000000001E-3</v>
      </c>
      <c r="P1067">
        <v>0.99492860000000005</v>
      </c>
      <c r="Q1067">
        <v>-9.7767960000000001E-2</v>
      </c>
      <c r="R1067">
        <v>-2.3635659999999999E-2</v>
      </c>
      <c r="S1067">
        <v>2.9967039999999998</v>
      </c>
      <c r="T1067">
        <v>-0.15506510000000001</v>
      </c>
      <c r="U1067">
        <v>-0.14447019999999999</v>
      </c>
      <c r="V1067">
        <v>2.5031910000000001E-2</v>
      </c>
      <c r="W1067">
        <v>-8.7957160000000006E-2</v>
      </c>
      <c r="X1067">
        <v>0.99580970000000002</v>
      </c>
      <c r="Y1067">
        <v>4.947083E-2</v>
      </c>
      <c r="Z1067">
        <v>-1.580962E-3</v>
      </c>
      <c r="AA1067">
        <v>0.9987743</v>
      </c>
      <c r="AB1067">
        <v>21</v>
      </c>
      <c r="AC1067">
        <v>21.4527</v>
      </c>
      <c r="AD1067">
        <v>-1.1205309999999999</v>
      </c>
      <c r="AE1067">
        <v>-1.04439999999999</v>
      </c>
      <c r="AF1067">
        <v>1.0714863963178201</v>
      </c>
      <c r="AG1067">
        <v>-1.1205309999999999</v>
      </c>
      <c r="AH1067">
        <v>21.392990941171</v>
      </c>
      <c r="AI1067">
        <v>92.994575380866493</v>
      </c>
      <c r="AJ1067">
        <v>87.132687521439195</v>
      </c>
      <c r="AK1067">
        <v>21.4490963499277</v>
      </c>
      <c r="AL1067">
        <v>95.046094808669494</v>
      </c>
      <c r="AM1067">
        <v>88.560045333359298</v>
      </c>
      <c r="AN1067">
        <v>1.0000000085637999</v>
      </c>
    </row>
    <row r="1068" spans="1:40" x14ac:dyDescent="0.25">
      <c r="A1068" t="str">
        <f>"20190303154117274"</f>
        <v>20190303154117274</v>
      </c>
      <c r="B1068" t="str">
        <f>"1551598877270407"</f>
        <v>1551598877270407</v>
      </c>
      <c r="C1068" t="s">
        <v>40</v>
      </c>
      <c r="D1068">
        <v>5.5958019999999999</v>
      </c>
      <c r="E1068">
        <v>0.50918560000000002</v>
      </c>
      <c r="F1068" t="s">
        <v>43</v>
      </c>
      <c r="G1068">
        <v>-284.78100000000001</v>
      </c>
      <c r="H1068">
        <v>-0.05</v>
      </c>
      <c r="I1068">
        <v>366.39510000000001</v>
      </c>
      <c r="J1068">
        <v>-306.41449999999998</v>
      </c>
      <c r="K1068">
        <v>1.0704610000000001</v>
      </c>
      <c r="L1068">
        <v>367.43459999999999</v>
      </c>
      <c r="M1068">
        <v>0.99995400000000001</v>
      </c>
      <c r="N1068">
        <v>-9.4760639999999993E-3</v>
      </c>
      <c r="O1068">
        <v>1.468429E-3</v>
      </c>
      <c r="P1068">
        <v>0.99495520000000004</v>
      </c>
      <c r="Q1068">
        <v>-9.7715969999999999E-2</v>
      </c>
      <c r="R1068">
        <v>-2.2710069999999999E-2</v>
      </c>
      <c r="S1068">
        <v>2.9967959999999998</v>
      </c>
      <c r="T1068">
        <v>-0.15370889999999901</v>
      </c>
      <c r="U1068">
        <v>-0.1425476</v>
      </c>
      <c r="V1068">
        <v>2.4175930000000002E-2</v>
      </c>
      <c r="W1068">
        <v>-8.8282319999999997E-2</v>
      </c>
      <c r="X1068">
        <v>0.99580199999999996</v>
      </c>
      <c r="Y1068">
        <v>4.8902439999999998E-2</v>
      </c>
      <c r="Z1068">
        <v>-1.5459429999999999E-3</v>
      </c>
      <c r="AA1068">
        <v>0.99880239999999998</v>
      </c>
      <c r="AB1068">
        <v>21</v>
      </c>
      <c r="AC1068">
        <v>21.633499999999898</v>
      </c>
      <c r="AD1068">
        <v>-1.1204609999999999</v>
      </c>
      <c r="AE1068">
        <v>-1.0394999999999699</v>
      </c>
      <c r="AF1068">
        <v>1.0684081608820599</v>
      </c>
      <c r="AG1068">
        <v>-1.1204609999999999</v>
      </c>
      <c r="AH1068">
        <v>21.574210640828699</v>
      </c>
      <c r="AI1068">
        <v>92.969364456532404</v>
      </c>
      <c r="AJ1068">
        <v>87.164887746494799</v>
      </c>
      <c r="AK1068">
        <v>21.629690095459299</v>
      </c>
      <c r="AL1068">
        <v>95.064798242839402</v>
      </c>
      <c r="AM1068">
        <v>88.609254949150099</v>
      </c>
      <c r="AN1068">
        <v>0.99999993340997095</v>
      </c>
    </row>
    <row r="1069" spans="1:40" x14ac:dyDescent="0.25">
      <c r="A1069" t="str">
        <f>"20190303154117297"</f>
        <v>20190303154117297</v>
      </c>
      <c r="B1069" t="str">
        <f>"1551598877289927"</f>
        <v>1551598877289927</v>
      </c>
      <c r="C1069" t="s">
        <v>40</v>
      </c>
      <c r="D1069">
        <v>5.6182650000000001</v>
      </c>
      <c r="E1069">
        <v>0.50923940000000001</v>
      </c>
      <c r="F1069" t="s">
        <v>43</v>
      </c>
      <c r="G1069">
        <v>-284.67840000000001</v>
      </c>
      <c r="H1069">
        <v>-0.05</v>
      </c>
      <c r="I1069">
        <v>366.41090000000003</v>
      </c>
      <c r="J1069">
        <v>-306.20350000000002</v>
      </c>
      <c r="K1069">
        <v>1.0704020000000001</v>
      </c>
      <c r="L1069">
        <v>367.435</v>
      </c>
      <c r="M1069">
        <v>0.99995769999999995</v>
      </c>
      <c r="N1069">
        <v>-9.0889739999999997E-3</v>
      </c>
      <c r="O1069">
        <v>1.5373920000000001E-3</v>
      </c>
      <c r="P1069">
        <v>0.99495350000000005</v>
      </c>
      <c r="Q1069">
        <v>-9.7848829999999998E-2</v>
      </c>
      <c r="R1069">
        <v>-2.2218100000000001E-2</v>
      </c>
      <c r="S1069">
        <v>2.9968569999999999</v>
      </c>
      <c r="T1069">
        <v>-0.1544837</v>
      </c>
      <c r="U1069">
        <v>-0.14114380000000001</v>
      </c>
      <c r="V1069">
        <v>2.375273E-2</v>
      </c>
      <c r="W1069">
        <v>-8.8800710000000005E-2</v>
      </c>
      <c r="X1069">
        <v>0.99576620000000005</v>
      </c>
      <c r="Y1069">
        <v>4.8503829999999998E-2</v>
      </c>
      <c r="Z1069">
        <v>-1.5345510000000001E-3</v>
      </c>
      <c r="AA1069">
        <v>0.99882179999999998</v>
      </c>
      <c r="AB1069">
        <v>21</v>
      </c>
      <c r="AC1069">
        <v>21.525099999999998</v>
      </c>
      <c r="AD1069">
        <v>-1.1204019999999999</v>
      </c>
      <c r="AE1069">
        <v>-1.02409999999997</v>
      </c>
      <c r="AF1069">
        <v>1.05434258596443</v>
      </c>
      <c r="AG1069">
        <v>-1.1204019999999999</v>
      </c>
      <c r="AH1069">
        <v>21.465474944733199</v>
      </c>
      <c r="AI1069">
        <v>92.984281377779993</v>
      </c>
      <c r="AJ1069">
        <v>87.188002138902903</v>
      </c>
      <c r="AK1069">
        <v>21.5205379471135</v>
      </c>
      <c r="AL1069">
        <v>95.094616364533806</v>
      </c>
      <c r="AM1069">
        <v>88.633541542483599</v>
      </c>
      <c r="AN1069">
        <v>1.00000004167069</v>
      </c>
    </row>
    <row r="1070" spans="1:40" x14ac:dyDescent="0.25">
      <c r="A1070" t="str">
        <f>"20190303154117319"</f>
        <v>20190303154117319</v>
      </c>
      <c r="B1070" t="str">
        <f>"1551598877310423"</f>
        <v>1551598877310423</v>
      </c>
      <c r="C1070" t="s">
        <v>40</v>
      </c>
      <c r="D1070">
        <v>5.6775890000000002</v>
      </c>
      <c r="E1070">
        <v>0.50921190000000005</v>
      </c>
      <c r="F1070" t="s">
        <v>43</v>
      </c>
      <c r="G1070">
        <v>-284.88659999999999</v>
      </c>
      <c r="H1070">
        <v>-0.05</v>
      </c>
      <c r="I1070">
        <v>366.4366</v>
      </c>
      <c r="J1070">
        <v>-306.00029999999998</v>
      </c>
      <c r="K1070">
        <v>1.070352</v>
      </c>
      <c r="L1070">
        <v>367.43540000000002</v>
      </c>
      <c r="M1070">
        <v>0.99996059999999998</v>
      </c>
      <c r="N1070">
        <v>-8.7285990000000001E-3</v>
      </c>
      <c r="O1070">
        <v>1.6033639999999999E-3</v>
      </c>
      <c r="P1070">
        <v>0.99494369999999999</v>
      </c>
      <c r="Q1070">
        <v>-9.8017660000000006E-2</v>
      </c>
      <c r="R1070">
        <v>-2.190837E-2</v>
      </c>
      <c r="S1070">
        <v>2.9965820000000001</v>
      </c>
      <c r="T1070">
        <v>-0.15749850000000001</v>
      </c>
      <c r="U1070">
        <v>-0.14035029999999901</v>
      </c>
      <c r="V1070">
        <v>2.350841E-2</v>
      </c>
      <c r="W1070">
        <v>-8.9328480000000002E-2</v>
      </c>
      <c r="X1070">
        <v>0.99572470000000002</v>
      </c>
      <c r="Y1070">
        <v>4.8307990000000002E-2</v>
      </c>
      <c r="Z1070">
        <v>-1.549258E-3</v>
      </c>
      <c r="AA1070">
        <v>0.99883129999999998</v>
      </c>
      <c r="AB1070">
        <v>21</v>
      </c>
      <c r="AC1070">
        <v>21.113699999999898</v>
      </c>
      <c r="AD1070">
        <v>-1.120352</v>
      </c>
      <c r="AE1070">
        <v>-0.99880000000001701</v>
      </c>
      <c r="AF1070">
        <v>1.0297599723787101</v>
      </c>
      <c r="AG1070">
        <v>-1.120352</v>
      </c>
      <c r="AH1070">
        <v>21.0529258231421</v>
      </c>
      <c r="AI1070">
        <v>93.042546892477006</v>
      </c>
      <c r="AJ1070">
        <v>87.199728172694904</v>
      </c>
      <c r="AK1070">
        <v>21.107848775262202</v>
      </c>
      <c r="AL1070">
        <v>95.124976479738393</v>
      </c>
      <c r="AM1070">
        <v>88.647535308638197</v>
      </c>
      <c r="AN1070">
        <v>0.99999995043496304</v>
      </c>
    </row>
    <row r="1071" spans="1:40" x14ac:dyDescent="0.25">
      <c r="A1071" t="str">
        <f>"20190303154117340"</f>
        <v>20190303154117340</v>
      </c>
      <c r="B1071" t="str">
        <f>"1551598877329943"</f>
        <v>1551598877329943</v>
      </c>
      <c r="C1071" t="s">
        <v>40</v>
      </c>
      <c r="D1071">
        <v>5.6483059999999998</v>
      </c>
      <c r="E1071">
        <v>0.50942929999999997</v>
      </c>
      <c r="F1071" t="s">
        <v>43</v>
      </c>
      <c r="G1071">
        <v>-285.06869999999998</v>
      </c>
      <c r="H1071">
        <v>-0.05</v>
      </c>
      <c r="I1071">
        <v>366.46179999999998</v>
      </c>
      <c r="J1071">
        <v>-305.79129999999998</v>
      </c>
      <c r="K1071">
        <v>1.0703119999999999</v>
      </c>
      <c r="L1071">
        <v>367.43579999999997</v>
      </c>
      <c r="M1071">
        <v>0.99996350000000001</v>
      </c>
      <c r="N1071">
        <v>-8.3842819999999998E-3</v>
      </c>
      <c r="O1071">
        <v>1.670515E-3</v>
      </c>
      <c r="P1071">
        <v>0.99505080000000001</v>
      </c>
      <c r="Q1071">
        <v>-9.6956429999999996E-2</v>
      </c>
      <c r="R1071">
        <v>-2.176051E-2</v>
      </c>
      <c r="S1071">
        <v>2.9963679999999999</v>
      </c>
      <c r="T1071">
        <v>-0.16037860000000001</v>
      </c>
      <c r="U1071">
        <v>-0.13937379999999999</v>
      </c>
      <c r="V1071">
        <v>2.3427710000000001E-2</v>
      </c>
      <c r="W1071">
        <v>-8.8609240000000006E-2</v>
      </c>
      <c r="X1071">
        <v>0.99579090000000003</v>
      </c>
      <c r="Y1071">
        <v>4.8051580000000003E-2</v>
      </c>
      <c r="Z1071">
        <v>-1.5613809999999999E-3</v>
      </c>
      <c r="AA1071">
        <v>0.99884360000000005</v>
      </c>
      <c r="AB1071">
        <v>21</v>
      </c>
      <c r="AC1071">
        <v>20.7226</v>
      </c>
      <c r="AD1071">
        <v>-1.120312</v>
      </c>
      <c r="AE1071">
        <v>-0.97399999999998899</v>
      </c>
      <c r="AF1071">
        <v>1.0056844001826799</v>
      </c>
      <c r="AG1071">
        <v>-1.120312</v>
      </c>
      <c r="AH1071">
        <v>20.660691320922101</v>
      </c>
      <c r="AI1071">
        <v>93.100121911345198</v>
      </c>
      <c r="AJ1071">
        <v>87.213257465823702</v>
      </c>
      <c r="AK1071">
        <v>20.715469242779399</v>
      </c>
      <c r="AL1071">
        <v>95.083602809844393</v>
      </c>
      <c r="AM1071">
        <v>88.652265922894102</v>
      </c>
      <c r="AN1071">
        <v>0.99999998576601501</v>
      </c>
    </row>
    <row r="1072" spans="1:40" x14ac:dyDescent="0.25">
      <c r="A1072" t="str">
        <f>"20190303154117363"</f>
        <v>20190303154117363</v>
      </c>
      <c r="B1072" t="str">
        <f>"1551598877360199"</f>
        <v>1551598877360199</v>
      </c>
      <c r="C1072" t="s">
        <v>40</v>
      </c>
      <c r="D1072">
        <v>5.6234500000000001</v>
      </c>
      <c r="E1072">
        <v>0.50972740000000005</v>
      </c>
      <c r="F1072" t="s">
        <v>43</v>
      </c>
      <c r="G1072">
        <v>-284.41669999999999</v>
      </c>
      <c r="H1072">
        <v>-0.05</v>
      </c>
      <c r="I1072">
        <v>366.43439999999998</v>
      </c>
      <c r="J1072">
        <v>-305.58159999999998</v>
      </c>
      <c r="K1072">
        <v>1.070282</v>
      </c>
      <c r="L1072">
        <v>367.43619999999999</v>
      </c>
      <c r="M1072">
        <v>0.99996609999999997</v>
      </c>
      <c r="N1072">
        <v>-8.0722459999999999E-3</v>
      </c>
      <c r="O1072">
        <v>1.7378370000000001E-3</v>
      </c>
      <c r="P1072">
        <v>0.99512730000000005</v>
      </c>
      <c r="Q1072">
        <v>-9.6197959999999999E-2</v>
      </c>
      <c r="R1072">
        <v>-2.1635419999999999E-2</v>
      </c>
      <c r="S1072">
        <v>2.9965519999999999</v>
      </c>
      <c r="T1072">
        <v>-0.15705859999999999</v>
      </c>
      <c r="U1072">
        <v>-0.1403809</v>
      </c>
      <c r="V1072">
        <v>2.3369709999999998E-2</v>
      </c>
      <c r="W1072">
        <v>-8.8160909999999995E-2</v>
      </c>
      <c r="X1072">
        <v>0.9958321</v>
      </c>
      <c r="Y1072">
        <v>4.8453749999999997E-2</v>
      </c>
      <c r="Z1072">
        <v>-1.5410329999999901E-3</v>
      </c>
      <c r="AA1072">
        <v>0.99882420000000005</v>
      </c>
      <c r="AB1072">
        <v>21</v>
      </c>
      <c r="AC1072">
        <v>21.1648999999999</v>
      </c>
      <c r="AD1072">
        <v>-1.120282</v>
      </c>
      <c r="AE1072">
        <v>-1.0018</v>
      </c>
      <c r="AF1072">
        <v>1.03568562658011</v>
      </c>
      <c r="AG1072">
        <v>-1.120282</v>
      </c>
      <c r="AH1072">
        <v>21.104131657643698</v>
      </c>
      <c r="AI1072">
        <v>93.034965168247695</v>
      </c>
      <c r="AJ1072">
        <v>87.190462638081399</v>
      </c>
      <c r="AK1072">
        <v>21.159207203952299</v>
      </c>
      <c r="AL1072">
        <v>95.057814240368401</v>
      </c>
      <c r="AM1072">
        <v>88.655656883780694</v>
      </c>
      <c r="AN1072">
        <v>1.00000003039396</v>
      </c>
    </row>
    <row r="1073" spans="1:40" x14ac:dyDescent="0.25">
      <c r="A1073" t="str">
        <f>"20190303154117385"</f>
        <v>20190303154117385</v>
      </c>
      <c r="B1073" t="str">
        <f>"1551598877380515"</f>
        <v>1551598877380515</v>
      </c>
      <c r="C1073" t="s">
        <v>40</v>
      </c>
      <c r="D1073">
        <v>5.6387799999999997</v>
      </c>
      <c r="E1073">
        <v>0.50979579999999902</v>
      </c>
      <c r="F1073" t="s">
        <v>43</v>
      </c>
      <c r="G1073">
        <v>-283.79579999999999</v>
      </c>
      <c r="H1073">
        <v>-0.05</v>
      </c>
      <c r="I1073">
        <v>366.40280000000001</v>
      </c>
      <c r="J1073">
        <v>-305.36849999999998</v>
      </c>
      <c r="K1073">
        <v>1.0702579999999999</v>
      </c>
      <c r="L1073">
        <v>367.43669999999997</v>
      </c>
      <c r="M1073">
        <v>0.99996810000000003</v>
      </c>
      <c r="N1073">
        <v>-7.7913660000000001E-3</v>
      </c>
      <c r="O1073">
        <v>1.806001E-3</v>
      </c>
      <c r="P1073">
        <v>0.99517920000000004</v>
      </c>
      <c r="Q1073">
        <v>-9.5701590000000003E-2</v>
      </c>
      <c r="R1073">
        <v>-2.1444029999999999E-2</v>
      </c>
      <c r="S1073">
        <v>2.9967039999999998</v>
      </c>
      <c r="T1073">
        <v>-0.15409829999999999</v>
      </c>
      <c r="U1073">
        <v>-0.1421509</v>
      </c>
      <c r="V1073">
        <v>2.3246389999999999E-2</v>
      </c>
      <c r="W1073">
        <v>-8.7943859999999999E-2</v>
      </c>
      <c r="X1073">
        <v>0.99585409999999996</v>
      </c>
      <c r="Y1073">
        <v>4.911012E-2</v>
      </c>
      <c r="Z1073">
        <v>-1.5314180000000001E-3</v>
      </c>
      <c r="AA1073">
        <v>0.99879220000000002</v>
      </c>
      <c r="AB1073">
        <v>21</v>
      </c>
      <c r="AC1073">
        <v>21.572700000000001</v>
      </c>
      <c r="AD1073">
        <v>-1.120258</v>
      </c>
      <c r="AE1073">
        <v>-1.0338999999999501</v>
      </c>
      <c r="AF1073">
        <v>1.0699810421290701</v>
      </c>
      <c r="AG1073">
        <v>-1.120258</v>
      </c>
      <c r="AH1073">
        <v>21.512917337769402</v>
      </c>
      <c r="AI1073">
        <v>92.977239333052694</v>
      </c>
      <c r="AJ1073">
        <v>87.152644587314001</v>
      </c>
      <c r="AK1073">
        <v>21.5686218799157</v>
      </c>
      <c r="AL1073">
        <v>95.045330092280295</v>
      </c>
      <c r="AM1073">
        <v>88.662777818212902</v>
      </c>
      <c r="AN1073">
        <v>0.99999995282326903</v>
      </c>
    </row>
    <row r="1074" spans="1:40" x14ac:dyDescent="0.25">
      <c r="A1074" t="str">
        <f>"20190303154117406"</f>
        <v>20190303154117406</v>
      </c>
      <c r="B1074" t="str">
        <f>"1551598877400035"</f>
        <v>1551598877400035</v>
      </c>
      <c r="C1074" t="s">
        <v>40</v>
      </c>
      <c r="D1074">
        <v>5.6382830000000004</v>
      </c>
      <c r="E1074">
        <v>0.50993739999999999</v>
      </c>
      <c r="F1074" t="s">
        <v>43</v>
      </c>
      <c r="G1074">
        <v>-283.40640000000002</v>
      </c>
      <c r="H1074">
        <v>-0.05</v>
      </c>
      <c r="I1074">
        <v>366.39449999999999</v>
      </c>
      <c r="J1074">
        <v>-305.16129999999998</v>
      </c>
      <c r="K1074">
        <v>1.0702389999999999</v>
      </c>
      <c r="L1074">
        <v>367.43709999999999</v>
      </c>
      <c r="M1074">
        <v>0.99996980000000002</v>
      </c>
      <c r="N1074">
        <v>-7.5519469999999998E-3</v>
      </c>
      <c r="O1074">
        <v>1.870869E-3</v>
      </c>
      <c r="P1074">
        <v>0.99518899999999999</v>
      </c>
      <c r="Q1074">
        <v>-9.5616179999999995E-2</v>
      </c>
      <c r="R1074">
        <v>-2.1371979999999999E-2</v>
      </c>
      <c r="S1074">
        <v>2.9967350000000001</v>
      </c>
      <c r="T1074">
        <v>-0.15285969999999999</v>
      </c>
      <c r="U1074">
        <v>-0.1422119</v>
      </c>
      <c r="V1074">
        <v>2.3238930000000001E-2</v>
      </c>
      <c r="W1074">
        <v>-8.8096830000000001E-2</v>
      </c>
      <c r="X1074">
        <v>0.99584079999999997</v>
      </c>
      <c r="Y1074">
        <v>4.9195959999999997E-2</v>
      </c>
      <c r="Z1074">
        <v>-1.5204039999999999E-3</v>
      </c>
      <c r="AA1074">
        <v>0.99878800000000001</v>
      </c>
      <c r="AB1074">
        <v>21</v>
      </c>
      <c r="AC1074">
        <v>21.7548999999999</v>
      </c>
      <c r="AD1074">
        <v>-1.120239</v>
      </c>
      <c r="AE1074">
        <v>-1.04259999999999</v>
      </c>
      <c r="AF1074">
        <v>1.08044157272646</v>
      </c>
      <c r="AG1074">
        <v>-1.120239</v>
      </c>
      <c r="AH1074">
        <v>21.695515407411701</v>
      </c>
      <c r="AI1074">
        <v>92.952166940422799</v>
      </c>
      <c r="AJ1074">
        <v>87.149012544470907</v>
      </c>
      <c r="AK1074">
        <v>21.751268427437399</v>
      </c>
      <c r="AL1074">
        <v>95.054128543970805</v>
      </c>
      <c r="AM1074">
        <v>88.663188943371793</v>
      </c>
      <c r="AN1074">
        <v>0.99999999913411597</v>
      </c>
    </row>
    <row r="1075" spans="1:40" x14ac:dyDescent="0.25">
      <c r="A1075" t="str">
        <f>"20190303154117430"</f>
        <v>20190303154117430</v>
      </c>
      <c r="B1075" t="str">
        <f>"1551598877420531"</f>
        <v>1551598877420531</v>
      </c>
      <c r="C1075" t="s">
        <v>40</v>
      </c>
      <c r="D1075">
        <v>5.6368900000000002</v>
      </c>
      <c r="E1075">
        <v>0.50997990000000004</v>
      </c>
      <c r="F1075" t="s">
        <v>43</v>
      </c>
      <c r="G1075">
        <v>-283.26710000000003</v>
      </c>
      <c r="H1075">
        <v>-0.05</v>
      </c>
      <c r="I1075">
        <v>366.39159999999998</v>
      </c>
      <c r="J1075">
        <v>-304.93729999999999</v>
      </c>
      <c r="K1075">
        <v>1.0702259999999999</v>
      </c>
      <c r="L1075">
        <v>367.43759999999997</v>
      </c>
      <c r="M1075">
        <v>0.99997139999999995</v>
      </c>
      <c r="N1075">
        <v>-7.3269310000000001E-3</v>
      </c>
      <c r="O1075">
        <v>1.939945E-3</v>
      </c>
      <c r="P1075">
        <v>0.9951835</v>
      </c>
      <c r="Q1075">
        <v>-9.5709059999999999E-2</v>
      </c>
      <c r="R1075">
        <v>-2.1217650000000001E-2</v>
      </c>
      <c r="S1075">
        <v>2.9967039999999998</v>
      </c>
      <c r="T1075">
        <v>-0.15332950000000001</v>
      </c>
      <c r="U1075">
        <v>-0.1430969</v>
      </c>
      <c r="V1075">
        <v>2.3153119999999999E-2</v>
      </c>
      <c r="W1075">
        <v>-8.8413859999999997E-2</v>
      </c>
      <c r="X1075">
        <v>0.99581470000000005</v>
      </c>
      <c r="Y1075">
        <v>4.9558959999999999E-2</v>
      </c>
      <c r="Z1075">
        <v>-1.533059E-3</v>
      </c>
      <c r="AA1075">
        <v>0.99877000000000005</v>
      </c>
      <c r="AB1075">
        <v>21</v>
      </c>
      <c r="AC1075">
        <v>21.670199999999902</v>
      </c>
      <c r="AD1075">
        <v>-1.1202259999999999</v>
      </c>
      <c r="AE1075">
        <v>-1.04599999999999</v>
      </c>
      <c r="AF1075">
        <v>1.0851450568671599</v>
      </c>
      <c r="AG1075">
        <v>-1.1202259999999999</v>
      </c>
      <c r="AH1075">
        <v>21.610514412683301</v>
      </c>
      <c r="AI1075">
        <v>92.963662728541806</v>
      </c>
      <c r="AJ1075">
        <v>87.125378237735504</v>
      </c>
      <c r="AK1075">
        <v>21.666720547104301</v>
      </c>
      <c r="AL1075">
        <v>95.072364192609399</v>
      </c>
      <c r="AM1075">
        <v>88.6680884558169</v>
      </c>
      <c r="AN1075">
        <v>0.999999997170962</v>
      </c>
    </row>
    <row r="1076" spans="1:40" x14ac:dyDescent="0.25">
      <c r="A1076" t="str">
        <f>"20190303154117451"</f>
        <v>20190303154117451</v>
      </c>
      <c r="B1076" t="str">
        <f>"1551598877440051"</f>
        <v>1551598877440051</v>
      </c>
      <c r="C1076" t="s">
        <v>40</v>
      </c>
      <c r="D1076">
        <v>5.6475629999999999</v>
      </c>
      <c r="E1076">
        <v>0.50998129999999997</v>
      </c>
      <c r="F1076" t="s">
        <v>43</v>
      </c>
      <c r="G1076">
        <v>-283.22269999999997</v>
      </c>
      <c r="H1076">
        <v>-0.05</v>
      </c>
      <c r="I1076">
        <v>366.40109999999999</v>
      </c>
      <c r="J1076">
        <v>-304.72410000000002</v>
      </c>
      <c r="K1076">
        <v>1.0702130000000001</v>
      </c>
      <c r="L1076">
        <v>367.43810000000002</v>
      </c>
      <c r="M1076">
        <v>0.99997250000000004</v>
      </c>
      <c r="N1076">
        <v>-7.1423739999999999E-3</v>
      </c>
      <c r="O1076">
        <v>2.004619E-3</v>
      </c>
      <c r="P1076">
        <v>0.9952278</v>
      </c>
      <c r="Q1076">
        <v>-9.5155680000000006E-2</v>
      </c>
      <c r="R1076">
        <v>-2.161598E-2</v>
      </c>
      <c r="S1076">
        <v>2.9965820000000001</v>
      </c>
      <c r="T1076">
        <v>-0.1545899</v>
      </c>
      <c r="U1076">
        <v>-0.14303589999999999</v>
      </c>
      <c r="V1076">
        <v>2.3615839999999999E-2</v>
      </c>
      <c r="W1076">
        <v>-8.8043999999999997E-2</v>
      </c>
      <c r="X1076">
        <v>0.99583659999999996</v>
      </c>
      <c r="Y1076">
        <v>4.9604090000000003E-2</v>
      </c>
      <c r="Z1076">
        <v>-1.5443E-3</v>
      </c>
      <c r="AA1076">
        <v>0.99876779999999998</v>
      </c>
      <c r="AB1076">
        <v>22</v>
      </c>
      <c r="AC1076">
        <v>21.5014</v>
      </c>
      <c r="AD1076">
        <v>-1.1202129999999999</v>
      </c>
      <c r="AE1076">
        <v>-1.0370000000000299</v>
      </c>
      <c r="AF1076">
        <v>1.0771840480918</v>
      </c>
      <c r="AG1076">
        <v>-1.1202129999999999</v>
      </c>
      <c r="AH1076">
        <v>21.441213802556302</v>
      </c>
      <c r="AI1076">
        <v>92.986983340880499</v>
      </c>
      <c r="AJ1076">
        <v>87.123938305606202</v>
      </c>
      <c r="AK1076">
        <v>21.4974615237651</v>
      </c>
      <c r="AL1076">
        <v>95.051089826814405</v>
      </c>
      <c r="AM1076">
        <v>88.641509664439496</v>
      </c>
      <c r="AN1076">
        <v>0.99999999386723204</v>
      </c>
    </row>
    <row r="1077" spans="1:40" x14ac:dyDescent="0.25">
      <c r="A1077" t="str">
        <f>"20190303154117475"</f>
        <v>20190303154117475</v>
      </c>
      <c r="B1077" t="str">
        <f>"1551598877470308"</f>
        <v>1551598877470308</v>
      </c>
      <c r="C1077" t="s">
        <v>40</v>
      </c>
      <c r="D1077">
        <v>5.671233</v>
      </c>
      <c r="E1077">
        <v>0.51004769999999999</v>
      </c>
      <c r="F1077" t="s">
        <v>43</v>
      </c>
      <c r="G1077">
        <v>-282.81849999999997</v>
      </c>
      <c r="H1077">
        <v>-0.05</v>
      </c>
      <c r="I1077">
        <v>366.38380000000001</v>
      </c>
      <c r="J1077">
        <v>-304.49950000000001</v>
      </c>
      <c r="K1077">
        <v>1.070208</v>
      </c>
      <c r="L1077">
        <v>367.43860000000001</v>
      </c>
      <c r="M1077">
        <v>0.99997349999999996</v>
      </c>
      <c r="N1077">
        <v>-6.9751070000000004E-3</v>
      </c>
      <c r="O1077">
        <v>2.0718389999999998E-3</v>
      </c>
      <c r="P1077">
        <v>0.99525450000000004</v>
      </c>
      <c r="Q1077">
        <v>-9.4811290000000006E-2</v>
      </c>
      <c r="R1077">
        <v>-2.189207E-2</v>
      </c>
      <c r="S1077">
        <v>2.9966430000000002</v>
      </c>
      <c r="T1077">
        <v>-0.1532435</v>
      </c>
      <c r="U1077">
        <v>-0.1442261</v>
      </c>
      <c r="V1077">
        <v>2.3958810000000001E-2</v>
      </c>
      <c r="W1077">
        <v>-8.7866020000000003E-2</v>
      </c>
      <c r="X1077">
        <v>0.99584410000000001</v>
      </c>
      <c r="Y1077">
        <v>5.0066739999999998E-2</v>
      </c>
      <c r="Z1077">
        <v>-1.5448219999999999E-3</v>
      </c>
      <c r="AA1077">
        <v>0.99874470000000004</v>
      </c>
      <c r="AB1077">
        <v>22</v>
      </c>
      <c r="AC1077">
        <v>21.681000000000001</v>
      </c>
      <c r="AD1077">
        <v>-1.1202080000000001</v>
      </c>
      <c r="AE1077">
        <v>-1.0548</v>
      </c>
      <c r="AF1077">
        <v>1.09679732544782</v>
      </c>
      <c r="AG1077">
        <v>-1.1202080000000001</v>
      </c>
      <c r="AH1077">
        <v>21.621185405123999</v>
      </c>
      <c r="AI1077">
        <v>92.962078592540493</v>
      </c>
      <c r="AJ1077">
        <v>87.095994712507803</v>
      </c>
      <c r="AK1077">
        <v>21.677949364714401</v>
      </c>
      <c r="AL1077">
        <v>95.040852786103301</v>
      </c>
      <c r="AM1077">
        <v>88.621798403678696</v>
      </c>
      <c r="AN1077">
        <v>0.99999996677603198</v>
      </c>
    </row>
    <row r="1078" spans="1:40" x14ac:dyDescent="0.25">
      <c r="A1078" t="str">
        <f>"20190303154117498"</f>
        <v>20190303154117498</v>
      </c>
      <c r="B1078" t="str">
        <f>"1551598877490631"</f>
        <v>1551598877490631</v>
      </c>
      <c r="C1078" t="s">
        <v>40</v>
      </c>
      <c r="D1078">
        <v>5.6389279999999999</v>
      </c>
      <c r="E1078">
        <v>0.51006940000000001</v>
      </c>
      <c r="F1078" t="s">
        <v>43</v>
      </c>
      <c r="G1078">
        <v>-282.6542</v>
      </c>
      <c r="H1078">
        <v>-0.05</v>
      </c>
      <c r="I1078">
        <v>366.37779999999998</v>
      </c>
      <c r="J1078">
        <v>-304.27850000000001</v>
      </c>
      <c r="K1078">
        <v>1.070203</v>
      </c>
      <c r="L1078">
        <v>367.43920000000003</v>
      </c>
      <c r="M1078">
        <v>0.99997440000000004</v>
      </c>
      <c r="N1078">
        <v>-6.8365199999999996E-3</v>
      </c>
      <c r="O1078">
        <v>2.137342E-3</v>
      </c>
      <c r="P1078">
        <v>0.99528119999999998</v>
      </c>
      <c r="Q1078">
        <v>-9.4493729999999998E-2</v>
      </c>
      <c r="R1078">
        <v>-2.2057569999999999E-2</v>
      </c>
      <c r="S1078">
        <v>2.9964900000000001</v>
      </c>
      <c r="T1078">
        <v>-0.15365719999999999</v>
      </c>
      <c r="U1078">
        <v>-0.14550779999999999</v>
      </c>
      <c r="V1078">
        <v>2.4189530000000001E-2</v>
      </c>
      <c r="W1078">
        <v>-8.7686260000000002E-2</v>
      </c>
      <c r="X1078">
        <v>0.99585440000000003</v>
      </c>
      <c r="Y1078">
        <v>5.055979E-2</v>
      </c>
      <c r="Z1078">
        <v>-1.562646E-3</v>
      </c>
      <c r="AA1078">
        <v>0.99871980000000005</v>
      </c>
      <c r="AB1078">
        <v>22</v>
      </c>
      <c r="AC1078">
        <v>21.624300000000002</v>
      </c>
      <c r="AD1078">
        <v>-1.1202030000000001</v>
      </c>
      <c r="AE1078">
        <v>-1.0614000000000401</v>
      </c>
      <c r="AF1078">
        <v>1.1046598947784401</v>
      </c>
      <c r="AG1078">
        <v>-1.1202030000000001</v>
      </c>
      <c r="AH1078">
        <v>21.5642523566022</v>
      </c>
      <c r="AI1078">
        <v>92.969796590431699</v>
      </c>
      <c r="AJ1078">
        <v>87.067504456369207</v>
      </c>
      <c r="AK1078">
        <v>21.621565806933699</v>
      </c>
      <c r="AL1078">
        <v>95.030513222239307</v>
      </c>
      <c r="AM1078">
        <v>88.608546093562694</v>
      </c>
      <c r="AN1078">
        <v>0.99999999977688403</v>
      </c>
    </row>
    <row r="1079" spans="1:40" x14ac:dyDescent="0.25">
      <c r="A1079" t="str">
        <f>"20190303154117519"</f>
        <v>20190303154117519</v>
      </c>
      <c r="B1079" t="str">
        <f>"1551598877510151"</f>
        <v>1551598877510151</v>
      </c>
      <c r="C1079" t="s">
        <v>40</v>
      </c>
      <c r="D1079">
        <v>5.7029059999999996</v>
      </c>
      <c r="E1079">
        <v>0.51008759999999997</v>
      </c>
      <c r="F1079" t="s">
        <v>43</v>
      </c>
      <c r="G1079">
        <v>-282.44600000000003</v>
      </c>
      <c r="H1079">
        <v>-0.05</v>
      </c>
      <c r="I1079">
        <v>366.3741</v>
      </c>
      <c r="J1079">
        <v>-304.05959999999999</v>
      </c>
      <c r="K1079">
        <v>1.0701989999999999</v>
      </c>
      <c r="L1079">
        <v>367.43970000000002</v>
      </c>
      <c r="M1079">
        <v>0.99997510000000001</v>
      </c>
      <c r="N1079">
        <v>-6.7204259999999998E-3</v>
      </c>
      <c r="O1079">
        <v>2.2013929999999998E-3</v>
      </c>
      <c r="P1079">
        <v>0.99530819999999998</v>
      </c>
      <c r="Q1079">
        <v>-9.4297560000000002E-2</v>
      </c>
      <c r="R1079">
        <v>-2.1675E-2</v>
      </c>
      <c r="S1079">
        <v>2.9963989999999998</v>
      </c>
      <c r="T1079">
        <v>-0.15374199999999999</v>
      </c>
      <c r="U1079">
        <v>-0.14617920000000001</v>
      </c>
      <c r="V1079">
        <v>2.3870809999999999E-2</v>
      </c>
      <c r="W1079">
        <v>-8.7605539999999996E-2</v>
      </c>
      <c r="X1079">
        <v>0.99586920000000001</v>
      </c>
      <c r="Y1079">
        <v>5.0848039999999997E-2</v>
      </c>
      <c r="Z1079">
        <v>-1.5719729999999999E-3</v>
      </c>
      <c r="AA1079">
        <v>0.99870510000000001</v>
      </c>
      <c r="AB1079">
        <v>22</v>
      </c>
      <c r="AC1079">
        <v>21.613600000000002</v>
      </c>
      <c r="AD1079">
        <v>-1.1201989999999999</v>
      </c>
      <c r="AE1079">
        <v>-1.0656000000000101</v>
      </c>
      <c r="AF1079">
        <v>1.1102035328161799</v>
      </c>
      <c r="AG1079">
        <v>-1.1201989999999999</v>
      </c>
      <c r="AH1079">
        <v>21.553445586334998</v>
      </c>
      <c r="AI1079">
        <v>92.971229384882605</v>
      </c>
      <c r="AJ1079">
        <v>87.051338772435599</v>
      </c>
      <c r="AK1079">
        <v>21.611071568225899</v>
      </c>
      <c r="AL1079">
        <v>95.025870414459007</v>
      </c>
      <c r="AM1079">
        <v>88.626893151250599</v>
      </c>
      <c r="AN1079">
        <v>1.0000000048586899</v>
      </c>
    </row>
    <row r="1080" spans="1:40" x14ac:dyDescent="0.25">
      <c r="A1080" t="str">
        <f>"20190303154117541"</f>
        <v>20190303154117541</v>
      </c>
      <c r="B1080" t="str">
        <f>"1551598877530648"</f>
        <v>1551598877530648</v>
      </c>
      <c r="C1080" t="s">
        <v>40</v>
      </c>
      <c r="D1080">
        <v>5.6924440000000001</v>
      </c>
      <c r="E1080">
        <v>0.51007380000000002</v>
      </c>
      <c r="F1080" t="s">
        <v>43</v>
      </c>
      <c r="G1080">
        <v>-282.29500000000002</v>
      </c>
      <c r="H1080">
        <v>-0.05</v>
      </c>
      <c r="I1080">
        <v>366.38490000000002</v>
      </c>
      <c r="J1080">
        <v>-303.8476</v>
      </c>
      <c r="K1080">
        <v>1.070201</v>
      </c>
      <c r="L1080">
        <v>367.4402</v>
      </c>
      <c r="M1080">
        <v>0.99997550000000002</v>
      </c>
      <c r="N1080">
        <v>-6.6248549999999998E-3</v>
      </c>
      <c r="O1080">
        <v>2.262867E-3</v>
      </c>
      <c r="P1080">
        <v>0.99534259999999997</v>
      </c>
      <c r="Q1080">
        <v>-9.4059740000000003E-2</v>
      </c>
      <c r="R1080">
        <v>-2.1121290000000001E-2</v>
      </c>
      <c r="S1080">
        <v>2.9963989999999998</v>
      </c>
      <c r="T1080">
        <v>-0.15422130000000001</v>
      </c>
      <c r="U1080">
        <v>-0.14520259999999999</v>
      </c>
      <c r="V1080">
        <v>2.3378510000000002E-2</v>
      </c>
      <c r="W1080">
        <v>-8.7462689999999996E-2</v>
      </c>
      <c r="X1080">
        <v>0.99589340000000004</v>
      </c>
      <c r="Y1080">
        <v>5.0584700000000003E-2</v>
      </c>
      <c r="Z1080">
        <v>-1.569279E-3</v>
      </c>
      <c r="AA1080">
        <v>0.99871860000000001</v>
      </c>
      <c r="AB1080">
        <v>22</v>
      </c>
      <c r="AC1080">
        <v>21.552599999999899</v>
      </c>
      <c r="AD1080">
        <v>-1.120201</v>
      </c>
      <c r="AE1080">
        <v>-1.0552999999999799</v>
      </c>
      <c r="AF1080">
        <v>1.10110160857374</v>
      </c>
      <c r="AG1080">
        <v>-1.120201</v>
      </c>
      <c r="AH1080">
        <v>21.492236005704999</v>
      </c>
      <c r="AI1080">
        <v>92.979723668782597</v>
      </c>
      <c r="AJ1080">
        <v>87.067156525092003</v>
      </c>
      <c r="AK1080">
        <v>21.5495587787251</v>
      </c>
      <c r="AL1080">
        <v>95.017654347288598</v>
      </c>
      <c r="AM1080">
        <v>88.655233598245005</v>
      </c>
      <c r="AN1080">
        <v>0.99999997051770695</v>
      </c>
    </row>
    <row r="1081" spans="1:40" x14ac:dyDescent="0.25">
      <c r="A1081" t="str">
        <f>"20190303154117553"</f>
        <v>20190303154117553</v>
      </c>
      <c r="B1081" t="str">
        <f>"1551598877540407"</f>
        <v>1551598877540407</v>
      </c>
      <c r="C1081" t="s">
        <v>40</v>
      </c>
      <c r="D1081">
        <v>5.7040899999999999</v>
      </c>
      <c r="E1081">
        <v>0.51007829999999998</v>
      </c>
      <c r="F1081" t="s">
        <v>43</v>
      </c>
      <c r="G1081">
        <v>-282.11849999999998</v>
      </c>
      <c r="H1081">
        <v>-0.05</v>
      </c>
      <c r="I1081">
        <v>366.40089999999998</v>
      </c>
      <c r="J1081">
        <v>-303.7312</v>
      </c>
      <c r="K1081">
        <v>1.0701989999999999</v>
      </c>
      <c r="L1081">
        <v>367.44049999999999</v>
      </c>
      <c r="M1081">
        <v>0.99997579999999997</v>
      </c>
      <c r="N1081">
        <v>-6.5783680000000002E-3</v>
      </c>
      <c r="O1081">
        <v>2.29634E-3</v>
      </c>
      <c r="P1081">
        <v>0.99534509999999998</v>
      </c>
      <c r="Q1081">
        <v>-9.4100519999999993E-2</v>
      </c>
      <c r="R1081">
        <v>-2.0825320000000001E-2</v>
      </c>
      <c r="S1081">
        <v>2.9964599999999999</v>
      </c>
      <c r="T1081">
        <v>-0.15447720000000001</v>
      </c>
      <c r="U1081">
        <v>-0.14331050000000001</v>
      </c>
      <c r="V1081">
        <v>2.311595E-2</v>
      </c>
      <c r="W1081">
        <v>-8.7549760000000004E-2</v>
      </c>
      <c r="X1081">
        <v>0.99589190000000005</v>
      </c>
      <c r="Y1081">
        <v>4.9988629999999999E-2</v>
      </c>
      <c r="Z1081">
        <v>-1.55474E-3</v>
      </c>
      <c r="AA1081">
        <v>0.99874859999999999</v>
      </c>
      <c r="AB1081">
        <v>22</v>
      </c>
      <c r="AC1081">
        <v>21.6127</v>
      </c>
      <c r="AD1081">
        <v>-1.1201989999999999</v>
      </c>
      <c r="AE1081">
        <v>-1.0396000000000001</v>
      </c>
      <c r="AF1081">
        <v>1.08631688056066</v>
      </c>
      <c r="AG1081">
        <v>-1.1201989999999999</v>
      </c>
      <c r="AH1081">
        <v>21.552490512597601</v>
      </c>
      <c r="AI1081">
        <v>92.971527548998097</v>
      </c>
      <c r="AJ1081">
        <v>87.1145448508003</v>
      </c>
      <c r="AK1081">
        <v>21.608905050006602</v>
      </c>
      <c r="AL1081">
        <v>95.022662193167307</v>
      </c>
      <c r="AM1081">
        <v>88.670328982159504</v>
      </c>
      <c r="AN1081">
        <v>0.99999999205303503</v>
      </c>
    </row>
    <row r="1082" spans="1:40" x14ac:dyDescent="0.25">
      <c r="A1082" t="str">
        <f>"20190303154117564"</f>
        <v>20190303154117564</v>
      </c>
      <c r="B1082" t="str">
        <f>"1551598877559927"</f>
        <v>1551598877559927</v>
      </c>
      <c r="C1082" t="s">
        <v>40</v>
      </c>
      <c r="D1082">
        <v>5.6648399999999999</v>
      </c>
      <c r="E1082">
        <v>0.51002060000000005</v>
      </c>
      <c r="F1082" t="s">
        <v>43</v>
      </c>
      <c r="G1082">
        <v>-282.07440000000003</v>
      </c>
      <c r="H1082">
        <v>-0.05</v>
      </c>
      <c r="I1082">
        <v>366.40800000000002</v>
      </c>
      <c r="J1082">
        <v>-303.62</v>
      </c>
      <c r="K1082">
        <v>1.070198</v>
      </c>
      <c r="L1082">
        <v>367.44080000000002</v>
      </c>
      <c r="M1082">
        <v>0.99997599999999998</v>
      </c>
      <c r="N1082">
        <v>-6.5389510000000003E-3</v>
      </c>
      <c r="O1082">
        <v>2.3282979999999999E-3</v>
      </c>
      <c r="P1082">
        <v>0.99533720000000003</v>
      </c>
      <c r="Q1082">
        <v>-9.4183290000000003E-2</v>
      </c>
      <c r="R1082">
        <v>-2.0819979999999998E-2</v>
      </c>
      <c r="S1082">
        <v>2.9963989999999998</v>
      </c>
      <c r="T1082">
        <v>-0.15498899999999999</v>
      </c>
      <c r="U1082">
        <v>-0.142852799999999</v>
      </c>
      <c r="V1082">
        <v>2.3142389999999999E-2</v>
      </c>
      <c r="W1082">
        <v>-8.7671830000000006E-2</v>
      </c>
      <c r="X1082">
        <v>0.99588049999999995</v>
      </c>
      <c r="Y1082">
        <v>4.9868990000000002E-2</v>
      </c>
      <c r="Z1082">
        <v>-1.5564870000000001E-3</v>
      </c>
      <c r="AA1082">
        <v>0.99875460000000005</v>
      </c>
      <c r="AB1082">
        <v>22</v>
      </c>
      <c r="AC1082">
        <v>21.545599999999901</v>
      </c>
      <c r="AD1082">
        <v>-1.120198</v>
      </c>
      <c r="AE1082">
        <v>-1.0327999999999999</v>
      </c>
      <c r="AF1082">
        <v>1.0800499868114199</v>
      </c>
      <c r="AG1082">
        <v>-1.120198</v>
      </c>
      <c r="AH1082">
        <v>21.485192029298101</v>
      </c>
      <c r="AI1082">
        <v>92.980835896150694</v>
      </c>
      <c r="AJ1082">
        <v>87.122191940060006</v>
      </c>
      <c r="AK1082">
        <v>21.541467639625498</v>
      </c>
      <c r="AL1082">
        <v>95.029683523261099</v>
      </c>
      <c r="AM1082">
        <v>88.668793419879705</v>
      </c>
      <c r="AN1082">
        <v>0.99999994513535395</v>
      </c>
    </row>
    <row r="1083" spans="1:40" x14ac:dyDescent="0.25">
      <c r="A1083" t="str">
        <f>"20190303154117578"</f>
        <v>20190303154117578</v>
      </c>
      <c r="B1083" t="str">
        <f>"1551598877570663"</f>
        <v>1551598877570663</v>
      </c>
      <c r="C1083" t="s">
        <v>40</v>
      </c>
      <c r="D1083">
        <v>5.8079839999999896</v>
      </c>
      <c r="E1083">
        <v>0.510071099999999</v>
      </c>
      <c r="F1083" t="s">
        <v>43</v>
      </c>
      <c r="G1083">
        <v>-282.09559999999999</v>
      </c>
      <c r="H1083">
        <v>-0.05</v>
      </c>
      <c r="I1083">
        <v>366.41969999999998</v>
      </c>
      <c r="J1083">
        <v>-303.48680000000002</v>
      </c>
      <c r="K1083">
        <v>1.070192</v>
      </c>
      <c r="L1083">
        <v>367.44110000000001</v>
      </c>
      <c r="M1083">
        <v>0.99997619999999998</v>
      </c>
      <c r="N1083">
        <v>-6.4946049999999996E-3</v>
      </c>
      <c r="O1083">
        <v>2.3664710000000002E-3</v>
      </c>
      <c r="P1083">
        <v>0.99535709999999999</v>
      </c>
      <c r="Q1083">
        <v>-9.4052399999999994E-2</v>
      </c>
      <c r="R1083">
        <v>-2.0458049999999998E-2</v>
      </c>
      <c r="S1083">
        <v>2.9963380000000002</v>
      </c>
      <c r="T1083">
        <v>-0.15593860000000001</v>
      </c>
      <c r="U1083">
        <v>-0.1421509</v>
      </c>
      <c r="V1083">
        <v>2.281855E-2</v>
      </c>
      <c r="W1083">
        <v>-8.7584990000000001E-2</v>
      </c>
      <c r="X1083">
        <v>0.99589570000000005</v>
      </c>
      <c r="Y1083">
        <v>4.9674049999999997E-2</v>
      </c>
      <c r="Z1083">
        <v>-1.5601739999999999E-3</v>
      </c>
      <c r="AA1083">
        <v>0.99876430000000005</v>
      </c>
      <c r="AB1083">
        <v>22</v>
      </c>
      <c r="AC1083">
        <v>21.391200000000001</v>
      </c>
      <c r="AD1083">
        <v>-1.1201920000000001</v>
      </c>
      <c r="AE1083">
        <v>-1.0214000000000201</v>
      </c>
      <c r="AF1083">
        <v>1.06909475009562</v>
      </c>
      <c r="AG1083">
        <v>-1.1201920000000001</v>
      </c>
      <c r="AH1083">
        <v>21.330361787978902</v>
      </c>
      <c r="AI1083">
        <v>93.0024396418343</v>
      </c>
      <c r="AJ1083">
        <v>87.130690871478393</v>
      </c>
      <c r="AK1083">
        <v>21.3864940489931</v>
      </c>
      <c r="AL1083">
        <v>95.024688311242002</v>
      </c>
      <c r="AM1083">
        <v>88.687434948007095</v>
      </c>
      <c r="AN1083">
        <v>1.00000003098794</v>
      </c>
    </row>
    <row r="1084" spans="1:40" x14ac:dyDescent="0.25">
      <c r="A1084" t="str">
        <f>"20190303154117590"</f>
        <v>20190303154117590</v>
      </c>
      <c r="B1084" t="str">
        <f>"1551598877580423"</f>
        <v>1551598877580423</v>
      </c>
      <c r="C1084" t="s">
        <v>40</v>
      </c>
      <c r="D1084">
        <v>5.7101189999999997</v>
      </c>
      <c r="E1084">
        <v>0.51007029999999998</v>
      </c>
      <c r="F1084" t="s">
        <v>43</v>
      </c>
      <c r="G1084">
        <v>-281.94830000000002</v>
      </c>
      <c r="H1084">
        <v>-0.05</v>
      </c>
      <c r="I1084">
        <v>366.42660000000001</v>
      </c>
      <c r="J1084">
        <v>-303.35649999999998</v>
      </c>
      <c r="K1084">
        <v>1.0701889999999901</v>
      </c>
      <c r="L1084">
        <v>367.44150000000002</v>
      </c>
      <c r="M1084">
        <v>0.99997639999999999</v>
      </c>
      <c r="N1084">
        <v>-6.4572539999999999E-3</v>
      </c>
      <c r="O1084">
        <v>2.4040210000000001E-3</v>
      </c>
      <c r="P1084">
        <v>0.99534140000000004</v>
      </c>
      <c r="Q1084">
        <v>-9.4175850000000005E-2</v>
      </c>
      <c r="R1084">
        <v>-2.0661720000000001E-2</v>
      </c>
      <c r="S1084">
        <v>2.9963679999999999</v>
      </c>
      <c r="T1084">
        <v>-0.1558377</v>
      </c>
      <c r="U1084">
        <v>-0.14114380000000001</v>
      </c>
      <c r="V1084">
        <v>2.3059400000000001E-2</v>
      </c>
      <c r="W1084">
        <v>-8.7745729999999994E-2</v>
      </c>
      <c r="X1084">
        <v>0.99587599999999998</v>
      </c>
      <c r="Y1084">
        <v>4.9376690000000001E-2</v>
      </c>
      <c r="Z1084">
        <v>-1.5514379999999901E-3</v>
      </c>
      <c r="AA1084">
        <v>0.99877899999999997</v>
      </c>
      <c r="AB1084">
        <v>22</v>
      </c>
      <c r="AC1084">
        <v>21.408199999999901</v>
      </c>
      <c r="AD1084">
        <v>-1.1201890000000001</v>
      </c>
      <c r="AE1084">
        <v>-1.0149000000000099</v>
      </c>
      <c r="AF1084">
        <v>1.06345874919144</v>
      </c>
      <c r="AG1084">
        <v>-1.1201890000000001</v>
      </c>
      <c r="AH1084">
        <v>21.3473816745839</v>
      </c>
      <c r="AI1084">
        <v>93.000087577228499</v>
      </c>
      <c r="AJ1084">
        <v>87.148063926069796</v>
      </c>
      <c r="AK1084">
        <v>21.403188366860501</v>
      </c>
      <c r="AL1084">
        <v>95.033933643189002</v>
      </c>
      <c r="AM1084">
        <v>88.673559506502698</v>
      </c>
      <c r="AN1084">
        <v>1.00000002821879</v>
      </c>
    </row>
    <row r="1085" spans="1:40" x14ac:dyDescent="0.25">
      <c r="A1085" t="str">
        <f>"20190303154117603"</f>
        <v>20190303154117603</v>
      </c>
      <c r="B1085" t="str">
        <f>"1551598877599943"</f>
        <v>1551598877599943</v>
      </c>
      <c r="C1085" t="s">
        <v>40</v>
      </c>
      <c r="D1085">
        <v>5.7734909999999999</v>
      </c>
      <c r="E1085">
        <v>0.51011720000000005</v>
      </c>
      <c r="F1085" t="s">
        <v>43</v>
      </c>
      <c r="G1085">
        <v>-281.88189999999997</v>
      </c>
      <c r="H1085">
        <v>-0.05</v>
      </c>
      <c r="I1085">
        <v>366.42270000000002</v>
      </c>
      <c r="J1085">
        <v>-303.2269</v>
      </c>
      <c r="K1085">
        <v>1.070184</v>
      </c>
      <c r="L1085">
        <v>367.44189999999998</v>
      </c>
      <c r="M1085">
        <v>0.99997650000000005</v>
      </c>
      <c r="N1085">
        <v>-6.4248990000000004E-3</v>
      </c>
      <c r="O1085">
        <v>2.4409589999999999E-3</v>
      </c>
      <c r="P1085">
        <v>0.99537410000000004</v>
      </c>
      <c r="Q1085">
        <v>-9.3877260000000004E-2</v>
      </c>
      <c r="R1085">
        <v>-2.0438209999999998E-2</v>
      </c>
      <c r="S1085">
        <v>2.9963380000000002</v>
      </c>
      <c r="T1085">
        <v>-0.1562992</v>
      </c>
      <c r="U1085">
        <v>-0.1421509</v>
      </c>
      <c r="V1085">
        <v>2.2872859999999998E-2</v>
      </c>
      <c r="W1085">
        <v>-8.747916E-2</v>
      </c>
      <c r="X1085">
        <v>0.99590369999999995</v>
      </c>
      <c r="Y1085">
        <v>4.9748000000000001E-2</v>
      </c>
      <c r="Z1085">
        <v>-1.567438E-3</v>
      </c>
      <c r="AA1085">
        <v>0.9987606</v>
      </c>
      <c r="AB1085">
        <v>22</v>
      </c>
      <c r="AC1085">
        <v>21.344999999999999</v>
      </c>
      <c r="AD1085">
        <v>-1.1201840000000001</v>
      </c>
      <c r="AE1085">
        <v>-1.0191999999999499</v>
      </c>
      <c r="AF1085">
        <v>1.0683645676392499</v>
      </c>
      <c r="AG1085">
        <v>-1.1201840000000001</v>
      </c>
      <c r="AH1085">
        <v>21.283962808737101</v>
      </c>
      <c r="AI1085">
        <v>93.008940223887294</v>
      </c>
      <c r="AJ1085">
        <v>87.126406957965699</v>
      </c>
      <c r="AK1085">
        <v>21.3401801278</v>
      </c>
      <c r="AL1085">
        <v>95.018601615060902</v>
      </c>
      <c r="AM1085">
        <v>88.684322598574695</v>
      </c>
      <c r="AN1085">
        <v>0.99999997541628705</v>
      </c>
    </row>
    <row r="1086" spans="1:40" x14ac:dyDescent="0.25">
      <c r="A1086" t="str">
        <f>"20190303154117616"</f>
        <v>20190303154117616</v>
      </c>
      <c r="B1086" t="str">
        <f>"1551598877610679"</f>
        <v>1551598877610679</v>
      </c>
      <c r="C1086" t="s">
        <v>40</v>
      </c>
      <c r="D1086">
        <v>5.759614</v>
      </c>
      <c r="E1086">
        <v>0.51012489999999999</v>
      </c>
      <c r="F1086" t="s">
        <v>43</v>
      </c>
      <c r="G1086">
        <v>-281.69310000000002</v>
      </c>
      <c r="H1086">
        <v>-0.05</v>
      </c>
      <c r="I1086">
        <v>366.42200000000003</v>
      </c>
      <c r="J1086">
        <v>-303.09379999999999</v>
      </c>
      <c r="K1086">
        <v>1.070187</v>
      </c>
      <c r="L1086">
        <v>367.44220000000001</v>
      </c>
      <c r="M1086">
        <v>0.99997650000000005</v>
      </c>
      <c r="N1086">
        <v>-6.3955540000000003E-3</v>
      </c>
      <c r="O1086">
        <v>2.4787810000000002E-3</v>
      </c>
      <c r="P1086">
        <v>0.99538870000000002</v>
      </c>
      <c r="Q1086">
        <v>-9.3735639999999995E-2</v>
      </c>
      <c r="R1086">
        <v>-2.0377260000000001E-2</v>
      </c>
      <c r="S1086">
        <v>2.9963679999999999</v>
      </c>
      <c r="T1086">
        <v>-0.15587089999999901</v>
      </c>
      <c r="U1086">
        <v>-0.1419067</v>
      </c>
      <c r="V1086">
        <v>2.284945E-2</v>
      </c>
      <c r="W1086">
        <v>-8.7366719999999995E-2</v>
      </c>
      <c r="X1086">
        <v>0.99591419999999997</v>
      </c>
      <c r="Y1086">
        <v>4.9704569999999997E-2</v>
      </c>
      <c r="Z1086">
        <v>-1.5633279999999999E-3</v>
      </c>
      <c r="AA1086">
        <v>0.9987627</v>
      </c>
      <c r="AB1086">
        <v>22</v>
      </c>
      <c r="AC1086">
        <v>21.400699999999901</v>
      </c>
      <c r="AD1086">
        <v>-1.120187</v>
      </c>
      <c r="AE1086">
        <v>-1.02020000000004</v>
      </c>
      <c r="AF1086">
        <v>1.0703197428683799</v>
      </c>
      <c r="AG1086">
        <v>-1.120187</v>
      </c>
      <c r="AH1086">
        <v>21.339770373387399</v>
      </c>
      <c r="AI1086">
        <v>93.001099642828393</v>
      </c>
      <c r="AJ1086">
        <v>87.128673045713498</v>
      </c>
      <c r="AK1086">
        <v>21.395938933728701</v>
      </c>
      <c r="AL1086">
        <v>95.012134054333004</v>
      </c>
      <c r="AM1086">
        <v>88.6856825526351</v>
      </c>
      <c r="AN1086">
        <v>1.0000000674452401</v>
      </c>
    </row>
    <row r="1087" spans="1:40" x14ac:dyDescent="0.25">
      <c r="A1087" t="str">
        <f>"20190303154117631"</f>
        <v>20190303154117631</v>
      </c>
      <c r="B1087" t="str">
        <f>"1551598877620439"</f>
        <v>1551598877620439</v>
      </c>
      <c r="C1087" t="s">
        <v>40</v>
      </c>
      <c r="D1087">
        <v>5.4203279999999996</v>
      </c>
      <c r="E1087">
        <v>0.51014970000000004</v>
      </c>
      <c r="F1087" t="s">
        <v>43</v>
      </c>
      <c r="G1087">
        <v>-281.53140000000002</v>
      </c>
      <c r="H1087">
        <v>-0.05</v>
      </c>
      <c r="I1087">
        <v>366.423</v>
      </c>
      <c r="J1087">
        <v>-302.94290000000001</v>
      </c>
      <c r="K1087">
        <v>1.070184</v>
      </c>
      <c r="L1087">
        <v>367.4427</v>
      </c>
      <c r="M1087">
        <v>0.99997650000000005</v>
      </c>
      <c r="N1087">
        <v>-6.3705589999999996E-3</v>
      </c>
      <c r="O1087">
        <v>2.5216560000000002E-3</v>
      </c>
      <c r="P1087">
        <v>0.99542920000000001</v>
      </c>
      <c r="Q1087">
        <v>-9.3341430000000003E-2</v>
      </c>
      <c r="R1087">
        <v>-2.0205589999999999E-2</v>
      </c>
      <c r="S1087">
        <v>2.9963380000000002</v>
      </c>
      <c r="T1087">
        <v>-0.1556631</v>
      </c>
      <c r="U1087">
        <v>-0.14163210000000001</v>
      </c>
      <c r="V1087">
        <v>2.2720600000000001E-2</v>
      </c>
      <c r="W1087">
        <v>-8.6997149999999995E-2</v>
      </c>
      <c r="X1087">
        <v>0.99594939999999998</v>
      </c>
      <c r="Y1087">
        <v>4.9656779999999998E-2</v>
      </c>
      <c r="Z1087">
        <v>-1.5614540000000001E-3</v>
      </c>
      <c r="AA1087">
        <v>0.99876509999999996</v>
      </c>
      <c r="AB1087">
        <v>22</v>
      </c>
      <c r="AC1087">
        <v>21.411499999999901</v>
      </c>
      <c r="AD1087">
        <v>-1.1201840000000001</v>
      </c>
      <c r="AE1087">
        <v>-1.0197000000000001</v>
      </c>
      <c r="AF1087">
        <v>1.0707661717156001</v>
      </c>
      <c r="AG1087">
        <v>-1.1201840000000001</v>
      </c>
      <c r="AH1087">
        <v>21.350554995871001</v>
      </c>
      <c r="AI1087">
        <v>92.999579136497402</v>
      </c>
      <c r="AJ1087">
        <v>87.128925969077798</v>
      </c>
      <c r="AK1087">
        <v>21.406717427482</v>
      </c>
      <c r="AL1087">
        <v>94.990878815960201</v>
      </c>
      <c r="AM1087">
        <v>88.693137697442907</v>
      </c>
      <c r="AN1087">
        <v>0.99999996856642004</v>
      </c>
    </row>
    <row r="1088" spans="1:40" x14ac:dyDescent="0.25">
      <c r="A1088" t="str">
        <f>"20190303154117642"</f>
        <v>20190303154117642</v>
      </c>
      <c r="B1088" t="str">
        <f>"1551598877639959"</f>
        <v>1551598877639959</v>
      </c>
      <c r="C1088" t="s">
        <v>40</v>
      </c>
      <c r="D1088">
        <v>5.7745480000000002</v>
      </c>
      <c r="E1088">
        <v>0.51019300000000001</v>
      </c>
      <c r="F1088" t="s">
        <v>43</v>
      </c>
      <c r="G1088">
        <v>-281.2987</v>
      </c>
      <c r="H1088">
        <v>-0.05</v>
      </c>
      <c r="I1088">
        <v>366.4203</v>
      </c>
      <c r="J1088">
        <v>-302.82960000000003</v>
      </c>
      <c r="K1088">
        <v>1.070181</v>
      </c>
      <c r="L1088">
        <v>367.44299999999998</v>
      </c>
      <c r="M1088">
        <v>0.99997670000000005</v>
      </c>
      <c r="N1088">
        <v>-6.3553500000000001E-3</v>
      </c>
      <c r="O1088">
        <v>2.5533539999999999E-3</v>
      </c>
      <c r="P1088">
        <v>0.99542509999999995</v>
      </c>
      <c r="Q1088">
        <v>-9.3313649999999998E-2</v>
      </c>
      <c r="R1088">
        <v>-2.053309E-2</v>
      </c>
      <c r="S1088">
        <v>2.9963679999999999</v>
      </c>
      <c r="T1088">
        <v>-0.15507560000000001</v>
      </c>
      <c r="U1088">
        <v>-0.14154050000000001</v>
      </c>
      <c r="V1088">
        <v>2.307969E-2</v>
      </c>
      <c r="W1088">
        <v>-8.6984530000000004E-2</v>
      </c>
      <c r="X1088">
        <v>0.99594229999999995</v>
      </c>
      <c r="Y1088">
        <v>4.9658050000000002E-2</v>
      </c>
      <c r="Z1088">
        <v>-1.5572239999999901E-3</v>
      </c>
      <c r="AA1088">
        <v>0.99876509999999996</v>
      </c>
      <c r="AB1088">
        <v>22</v>
      </c>
      <c r="AC1088">
        <v>21.530899999999999</v>
      </c>
      <c r="AD1088">
        <v>-1.1201809999999901</v>
      </c>
      <c r="AE1088">
        <v>-1.0227000000000399</v>
      </c>
      <c r="AF1088">
        <v>1.07477116332712</v>
      </c>
      <c r="AG1088">
        <v>-1.1201809999999901</v>
      </c>
      <c r="AH1088">
        <v>21.470234188374398</v>
      </c>
      <c r="AI1088">
        <v>92.982895056940507</v>
      </c>
      <c r="AJ1088">
        <v>87.134242168204807</v>
      </c>
      <c r="AK1088">
        <v>21.526283809100001</v>
      </c>
      <c r="AL1088">
        <v>94.990152720663104</v>
      </c>
      <c r="AM1088">
        <v>88.672481134435799</v>
      </c>
      <c r="AN1088">
        <v>1.00000002273955</v>
      </c>
    </row>
    <row r="1089" spans="1:40" x14ac:dyDescent="0.25">
      <c r="A1089" t="str">
        <f>"20190303154117655"</f>
        <v>20190303154117655</v>
      </c>
      <c r="B1089" t="str">
        <f>"1551598877650696"</f>
        <v>1551598877650696</v>
      </c>
      <c r="C1089" t="s">
        <v>40</v>
      </c>
      <c r="D1089">
        <v>5.8185229999999999</v>
      </c>
      <c r="E1089">
        <v>0.51018859999999999</v>
      </c>
      <c r="F1089" t="s">
        <v>43</v>
      </c>
      <c r="G1089">
        <v>-281.24239999999998</v>
      </c>
      <c r="H1089">
        <v>-0.05</v>
      </c>
      <c r="I1089">
        <v>366.41489999999999</v>
      </c>
      <c r="J1089">
        <v>-302.70190000000002</v>
      </c>
      <c r="K1089">
        <v>1.070179</v>
      </c>
      <c r="L1089">
        <v>367.44330000000002</v>
      </c>
      <c r="M1089">
        <v>0.99997670000000005</v>
      </c>
      <c r="N1089">
        <v>-6.3404500000000001E-3</v>
      </c>
      <c r="O1089">
        <v>2.5894020000000002E-3</v>
      </c>
      <c r="P1089">
        <v>0.99542660000000005</v>
      </c>
      <c r="Q1089">
        <v>-9.3272460000000001E-2</v>
      </c>
      <c r="R1089">
        <v>-2.0651880000000001E-2</v>
      </c>
      <c r="S1089">
        <v>2.9962770000000001</v>
      </c>
      <c r="T1089">
        <v>-0.1554797</v>
      </c>
      <c r="U1089">
        <v>-0.1427002</v>
      </c>
      <c r="V1089">
        <v>2.3234419999999999E-2</v>
      </c>
      <c r="W1089">
        <v>-8.6958179999999996E-2</v>
      </c>
      <c r="X1089">
        <v>0.99594099999999997</v>
      </c>
      <c r="Y1089">
        <v>5.008013E-2</v>
      </c>
      <c r="Z1089">
        <v>-1.574525E-3</v>
      </c>
      <c r="AA1089">
        <v>0.99874399999999997</v>
      </c>
      <c r="AB1089">
        <v>23</v>
      </c>
      <c r="AC1089">
        <v>21.459499999999998</v>
      </c>
      <c r="AD1089">
        <v>-1.120179</v>
      </c>
      <c r="AE1089">
        <v>-1.02840000000003</v>
      </c>
      <c r="AF1089">
        <v>1.08102609527987</v>
      </c>
      <c r="AG1089">
        <v>-1.120179</v>
      </c>
      <c r="AH1089">
        <v>21.3985916406812</v>
      </c>
      <c r="AI1089">
        <v>92.992789421122296</v>
      </c>
      <c r="AJ1089">
        <v>87.107958177539203</v>
      </c>
      <c r="AK1089">
        <v>21.455142568049901</v>
      </c>
      <c r="AL1089">
        <v>94.988637251091802</v>
      </c>
      <c r="AM1089">
        <v>88.663582704897706</v>
      </c>
      <c r="AN1089">
        <v>1.0000000194113201</v>
      </c>
    </row>
    <row r="1090" spans="1:40" x14ac:dyDescent="0.25">
      <c r="A1090" t="str">
        <f>"20190303154117668"</f>
        <v>20190303154117668</v>
      </c>
      <c r="B1090" t="str">
        <f>"1551598877660455"</f>
        <v>1551598877660455</v>
      </c>
      <c r="C1090" t="s">
        <v>40</v>
      </c>
      <c r="D1090">
        <v>5.7758629999999904</v>
      </c>
      <c r="E1090">
        <v>0.51016890000000004</v>
      </c>
      <c r="F1090" t="s">
        <v>43</v>
      </c>
      <c r="G1090">
        <v>-281.1635</v>
      </c>
      <c r="H1090">
        <v>-0.05</v>
      </c>
      <c r="I1090">
        <v>366.41359999999997</v>
      </c>
      <c r="J1090">
        <v>-302.57619999999997</v>
      </c>
      <c r="K1090">
        <v>1.070174</v>
      </c>
      <c r="L1090">
        <v>367.44369999999998</v>
      </c>
      <c r="M1090">
        <v>0.99997650000000005</v>
      </c>
      <c r="N1090">
        <v>-6.3301479999999999E-3</v>
      </c>
      <c r="O1090">
        <v>2.624122E-3</v>
      </c>
      <c r="P1090">
        <v>0.99544029999999994</v>
      </c>
      <c r="Q1090">
        <v>-9.3154269999999997E-2</v>
      </c>
      <c r="R1090">
        <v>-2.0516940000000001E-2</v>
      </c>
      <c r="S1090">
        <v>2.9961850000000001</v>
      </c>
      <c r="T1090">
        <v>-0.15582670000000001</v>
      </c>
      <c r="U1090">
        <v>-0.1432495</v>
      </c>
      <c r="V1090">
        <v>2.313399E-2</v>
      </c>
      <c r="W1090">
        <v>-8.6850170000000004E-2</v>
      </c>
      <c r="X1090">
        <v>0.99595270000000002</v>
      </c>
      <c r="Y1090">
        <v>5.0298259999999997E-2</v>
      </c>
      <c r="Z1090">
        <v>-1.585464E-3</v>
      </c>
      <c r="AA1090">
        <v>0.99873299999999998</v>
      </c>
      <c r="AB1090">
        <v>23</v>
      </c>
      <c r="AC1090">
        <v>21.412699999999901</v>
      </c>
      <c r="AD1090">
        <v>-1.120174</v>
      </c>
      <c r="AE1090">
        <v>-1.0301</v>
      </c>
      <c r="AF1090">
        <v>1.0833292094734699</v>
      </c>
      <c r="AG1090">
        <v>-1.120174</v>
      </c>
      <c r="AH1090">
        <v>21.351624913284901</v>
      </c>
      <c r="AI1090">
        <v>92.999314119211107</v>
      </c>
      <c r="AJ1090">
        <v>87.095443017681006</v>
      </c>
      <c r="AK1090">
        <v>21.408416064809199</v>
      </c>
      <c r="AL1090">
        <v>94.982425543327196</v>
      </c>
      <c r="AM1090">
        <v>88.669372868537295</v>
      </c>
      <c r="AN1090">
        <v>0.99999995707981804</v>
      </c>
    </row>
    <row r="1091" spans="1:40" x14ac:dyDescent="0.25">
      <c r="A1091" t="str">
        <f>"20190303154117681"</f>
        <v>20190303154117681</v>
      </c>
      <c r="B1091" t="str">
        <f>"1551598877670215"</f>
        <v>1551598877670215</v>
      </c>
      <c r="C1091" t="s">
        <v>40</v>
      </c>
      <c r="D1091">
        <v>5.8164629999999997</v>
      </c>
      <c r="E1091">
        <v>0.51015959999999905</v>
      </c>
      <c r="F1091" t="s">
        <v>43</v>
      </c>
      <c r="G1091">
        <v>-281.07799999999997</v>
      </c>
      <c r="H1091">
        <v>-0.05</v>
      </c>
      <c r="I1091">
        <v>366.41980000000001</v>
      </c>
      <c r="J1091">
        <v>-302.44209999999998</v>
      </c>
      <c r="K1091">
        <v>1.0701750000000001</v>
      </c>
      <c r="L1091">
        <v>367.44409999999999</v>
      </c>
      <c r="M1091">
        <v>0.99997639999999999</v>
      </c>
      <c r="N1091">
        <v>-6.3214760000000004E-3</v>
      </c>
      <c r="O1091">
        <v>2.660506E-3</v>
      </c>
      <c r="P1091">
        <v>0.99542580000000003</v>
      </c>
      <c r="Q1091">
        <v>-9.3281520000000007E-2</v>
      </c>
      <c r="R1091">
        <v>-2.063771E-2</v>
      </c>
      <c r="S1091">
        <v>2.996216</v>
      </c>
      <c r="T1091">
        <v>-0.15611949999999999</v>
      </c>
      <c r="U1091">
        <v>-0.1427002</v>
      </c>
      <c r="V1091">
        <v>2.3290709999999999E-2</v>
      </c>
      <c r="W1091">
        <v>-8.6986170000000002E-2</v>
      </c>
      <c r="X1091">
        <v>0.99593719999999997</v>
      </c>
      <c r="Y1091">
        <v>5.0151340000000003E-2</v>
      </c>
      <c r="Z1091">
        <v>-1.5853429999999999E-3</v>
      </c>
      <c r="AA1091">
        <v>0.99874039999999997</v>
      </c>
      <c r="AB1091">
        <v>23</v>
      </c>
      <c r="AC1091">
        <v>21.364100000000001</v>
      </c>
      <c r="AD1091">
        <v>-1.1201749999999999</v>
      </c>
      <c r="AE1091">
        <v>-1.02429999999998</v>
      </c>
      <c r="AF1091">
        <v>1.0781795239104699</v>
      </c>
      <c r="AG1091">
        <v>-1.1201749999999999</v>
      </c>
      <c r="AH1091">
        <v>21.302868157102701</v>
      </c>
      <c r="AI1091">
        <v>93.006187926721694</v>
      </c>
      <c r="AJ1091">
        <v>87.102621597280702</v>
      </c>
      <c r="AK1091">
        <v>21.359528431950601</v>
      </c>
      <c r="AL1091">
        <v>94.9902472638679</v>
      </c>
      <c r="AM1091">
        <v>88.660341037283501</v>
      </c>
      <c r="AN1091">
        <v>0.99999997864370604</v>
      </c>
    </row>
    <row r="1092" spans="1:40" x14ac:dyDescent="0.25">
      <c r="A1092" t="str">
        <f>"20190303154117696"</f>
        <v>20190303154117696</v>
      </c>
      <c r="B1092" t="str">
        <f>"1551598877690711"</f>
        <v>1551598877690711</v>
      </c>
      <c r="C1092" t="s">
        <v>40</v>
      </c>
      <c r="D1092">
        <v>5.8553089999999903</v>
      </c>
      <c r="E1092">
        <v>0.51015159999999904</v>
      </c>
      <c r="F1092" t="s">
        <v>43</v>
      </c>
      <c r="G1092">
        <v>-281.09059999999999</v>
      </c>
      <c r="H1092">
        <v>-0.05</v>
      </c>
      <c r="I1092">
        <v>366.42630000000003</v>
      </c>
      <c r="J1092">
        <v>-302.28590000000003</v>
      </c>
      <c r="K1092">
        <v>1.0701719999999999</v>
      </c>
      <c r="L1092">
        <v>367.44450000000001</v>
      </c>
      <c r="M1092">
        <v>0.99997659999999999</v>
      </c>
      <c r="N1092">
        <v>-6.3154589999999998E-3</v>
      </c>
      <c r="O1092">
        <v>2.7019470000000001E-3</v>
      </c>
      <c r="P1092">
        <v>0.99538899999999997</v>
      </c>
      <c r="Q1092">
        <v>-9.3636960000000005E-2</v>
      </c>
      <c r="R1092">
        <v>-2.0810840000000001E-2</v>
      </c>
      <c r="S1092">
        <v>2.9960939999999998</v>
      </c>
      <c r="T1092">
        <v>-0.157185299999999</v>
      </c>
      <c r="U1092">
        <v>-0.14282230000000001</v>
      </c>
      <c r="V1092">
        <v>2.3505189999999999E-2</v>
      </c>
      <c r="W1092">
        <v>-8.7347839999999996E-2</v>
      </c>
      <c r="X1092">
        <v>0.99590049999999997</v>
      </c>
      <c r="Y1092">
        <v>5.0234069999999999E-2</v>
      </c>
      <c r="Z1092">
        <v>-1.5994469999999999E-3</v>
      </c>
      <c r="AA1092">
        <v>0.99873619999999996</v>
      </c>
      <c r="AB1092">
        <v>23</v>
      </c>
      <c r="AC1092">
        <v>21.1953</v>
      </c>
      <c r="AD1092">
        <v>-1.1201719999999999</v>
      </c>
      <c r="AE1092">
        <v>-1.01819999999997</v>
      </c>
      <c r="AF1092">
        <v>1.07247732586303</v>
      </c>
      <c r="AG1092">
        <v>-1.1201719999999999</v>
      </c>
      <c r="AH1092">
        <v>21.133578645390902</v>
      </c>
      <c r="AI1092">
        <v>93.030195315332904</v>
      </c>
      <c r="AJ1092">
        <v>87.094871761837297</v>
      </c>
      <c r="AK1092">
        <v>21.190402055765599</v>
      </c>
      <c r="AL1092">
        <v>95.011048635727093</v>
      </c>
      <c r="AM1092">
        <v>88.647959110701805</v>
      </c>
      <c r="AN1092">
        <v>0.99999997250492501</v>
      </c>
    </row>
    <row r="1093" spans="1:40" x14ac:dyDescent="0.25">
      <c r="A1093" t="str">
        <f>"20190303154117711"</f>
        <v>20190303154117711</v>
      </c>
      <c r="B1093" t="str">
        <f>"1551598877700471"</f>
        <v>1551598877700471</v>
      </c>
      <c r="C1093" t="s">
        <v>40</v>
      </c>
      <c r="D1093">
        <v>5.8573170000000001</v>
      </c>
      <c r="E1093">
        <v>0.51014740000000003</v>
      </c>
      <c r="F1093" t="s">
        <v>43</v>
      </c>
      <c r="G1093">
        <v>-281.25330000000002</v>
      </c>
      <c r="H1093">
        <v>-0.05</v>
      </c>
      <c r="I1093">
        <v>366.4384</v>
      </c>
      <c r="J1093">
        <v>-302.1361</v>
      </c>
      <c r="K1093">
        <v>1.0701620000000001</v>
      </c>
      <c r="L1093">
        <v>367.44499999999999</v>
      </c>
      <c r="M1093">
        <v>0.99997639999999999</v>
      </c>
      <c r="N1093">
        <v>-6.3155310000000001E-3</v>
      </c>
      <c r="O1093">
        <v>2.7409829999999998E-3</v>
      </c>
      <c r="P1093">
        <v>0.99533530000000003</v>
      </c>
      <c r="Q1093">
        <v>-9.4187919999999994E-2</v>
      </c>
      <c r="R1093">
        <v>-2.088862E-2</v>
      </c>
      <c r="S1093">
        <v>2.9958800000000001</v>
      </c>
      <c r="T1093">
        <v>-0.15955720000000001</v>
      </c>
      <c r="U1093">
        <v>-0.14331050000000001</v>
      </c>
      <c r="V1093">
        <v>2.3621659999999999E-2</v>
      </c>
      <c r="W1093">
        <v>-8.7899110000000003E-2</v>
      </c>
      <c r="X1093">
        <v>0.99584930000000005</v>
      </c>
      <c r="Y1093">
        <v>5.0436149999999999E-2</v>
      </c>
      <c r="Z1093">
        <v>-1.6293620000000001E-3</v>
      </c>
      <c r="AA1093">
        <v>0.998726</v>
      </c>
      <c r="AB1093">
        <v>23</v>
      </c>
      <c r="AC1093">
        <v>20.8827999999999</v>
      </c>
      <c r="AD1093">
        <v>-1.1201620000000001</v>
      </c>
      <c r="AE1093">
        <v>-1.0065999999999899</v>
      </c>
      <c r="AF1093">
        <v>1.0607916202879699</v>
      </c>
      <c r="AG1093">
        <v>-1.1201620000000001</v>
      </c>
      <c r="AH1093">
        <v>20.8201954691102</v>
      </c>
      <c r="AI1093">
        <v>93.075659595250002</v>
      </c>
      <c r="AJ1093">
        <v>87.083294805894596</v>
      </c>
      <c r="AK1093">
        <v>20.877274274671802</v>
      </c>
      <c r="AL1093">
        <v>95.042755736152202</v>
      </c>
      <c r="AM1093">
        <v>88.641192319630093</v>
      </c>
      <c r="AN1093">
        <v>1.0000000323352101</v>
      </c>
    </row>
    <row r="1094" spans="1:40" x14ac:dyDescent="0.25">
      <c r="A1094" t="str">
        <f>"20190303154117725"</f>
        <v>20190303154117725</v>
      </c>
      <c r="B1094" t="str">
        <f>"1551598877719991"</f>
        <v>1551598877719991</v>
      </c>
      <c r="C1094" t="s">
        <v>40</v>
      </c>
      <c r="D1094">
        <v>5.666569</v>
      </c>
      <c r="E1094">
        <v>0.51016359999999905</v>
      </c>
      <c r="F1094" t="s">
        <v>43</v>
      </c>
      <c r="G1094">
        <v>-281.41460000000001</v>
      </c>
      <c r="H1094">
        <v>-0.05</v>
      </c>
      <c r="I1094">
        <v>366.4529</v>
      </c>
      <c r="J1094">
        <v>-301.98509999999999</v>
      </c>
      <c r="K1094">
        <v>1.0701579999999999</v>
      </c>
      <c r="L1094">
        <v>367.44549999999998</v>
      </c>
      <c r="M1094">
        <v>0.99997619999999998</v>
      </c>
      <c r="N1094">
        <v>-6.3186329999999997E-3</v>
      </c>
      <c r="O1094">
        <v>2.7801890000000002E-3</v>
      </c>
      <c r="P1094">
        <v>0.99532880000000001</v>
      </c>
      <c r="Q1094">
        <v>-9.4208399999999998E-2</v>
      </c>
      <c r="R1094">
        <v>-2.110745E-2</v>
      </c>
      <c r="S1094">
        <v>2.9957280000000002</v>
      </c>
      <c r="T1094">
        <v>-0.16194359999999999</v>
      </c>
      <c r="U1094">
        <v>-0.14343259999999999</v>
      </c>
      <c r="V1094">
        <v>2.3879170000000002E-2</v>
      </c>
      <c r="W1094">
        <v>-8.7916560000000005E-2</v>
      </c>
      <c r="X1094">
        <v>0.99584159999999999</v>
      </c>
      <c r="Y1094">
        <v>5.0515770000000002E-2</v>
      </c>
      <c r="Z1094">
        <v>-1.6559910000000001E-3</v>
      </c>
      <c r="AA1094">
        <v>0.99872190000000005</v>
      </c>
      <c r="AB1094">
        <v>23</v>
      </c>
      <c r="AC1094">
        <v>20.5704999999999</v>
      </c>
      <c r="AD1094">
        <v>-1.120158</v>
      </c>
      <c r="AE1094">
        <v>-0.99259999999998105</v>
      </c>
      <c r="AF1094">
        <v>1.0466906382273899</v>
      </c>
      <c r="AG1094">
        <v>-1.120158</v>
      </c>
      <c r="AH1094">
        <v>20.506992668460601</v>
      </c>
      <c r="AI1094">
        <v>93.122516329342801</v>
      </c>
      <c r="AJ1094">
        <v>87.078120596801796</v>
      </c>
      <c r="AK1094">
        <v>20.564218038656701</v>
      </c>
      <c r="AL1094">
        <v>95.043759524442393</v>
      </c>
      <c r="AM1094">
        <v>88.626374393251098</v>
      </c>
      <c r="AN1094">
        <v>1.0000000142863401</v>
      </c>
    </row>
    <row r="1095" spans="1:40" x14ac:dyDescent="0.25">
      <c r="A1095" t="str">
        <f>"20190303154117739"</f>
        <v>20190303154117739</v>
      </c>
      <c r="B1095" t="str">
        <f>"1551598877730727"</f>
        <v>1551598877730727</v>
      </c>
      <c r="C1095" t="s">
        <v>40</v>
      </c>
      <c r="D1095">
        <v>5.8931469999999999</v>
      </c>
      <c r="E1095">
        <v>0.51019159999999997</v>
      </c>
      <c r="F1095" t="s">
        <v>43</v>
      </c>
      <c r="G1095">
        <v>-281.41579999999999</v>
      </c>
      <c r="H1095">
        <v>-0.05</v>
      </c>
      <c r="I1095">
        <v>366.4547</v>
      </c>
      <c r="J1095">
        <v>-301.83969999999999</v>
      </c>
      <c r="K1095">
        <v>1.0701579999999999</v>
      </c>
      <c r="L1095">
        <v>367.44589999999999</v>
      </c>
      <c r="M1095">
        <v>0.99997610000000003</v>
      </c>
      <c r="N1095">
        <v>-6.3238010000000004E-3</v>
      </c>
      <c r="O1095">
        <v>2.8174229999999999E-3</v>
      </c>
      <c r="P1095">
        <v>0.9952877</v>
      </c>
      <c r="Q1095">
        <v>-9.4598669999999996E-2</v>
      </c>
      <c r="R1095">
        <v>-2.1301069999999998E-2</v>
      </c>
      <c r="S1095">
        <v>2.9955750000000001</v>
      </c>
      <c r="T1095">
        <v>-0.1631321</v>
      </c>
      <c r="U1095">
        <v>-0.1442871</v>
      </c>
      <c r="V1095">
        <v>2.4109660000000002E-2</v>
      </c>
      <c r="W1095">
        <v>-8.8301930000000001E-2</v>
      </c>
      <c r="X1095">
        <v>0.99580190000000002</v>
      </c>
      <c r="Y1095">
        <v>5.0837840000000002E-2</v>
      </c>
      <c r="Z1095">
        <v>-1.678838E-3</v>
      </c>
      <c r="AA1095">
        <v>0.99870550000000002</v>
      </c>
      <c r="AB1095">
        <v>23</v>
      </c>
      <c r="AC1095">
        <v>20.4239</v>
      </c>
      <c r="AD1095">
        <v>-1.120158</v>
      </c>
      <c r="AE1095">
        <v>-0.99119999999999198</v>
      </c>
      <c r="AF1095">
        <v>1.04560217293252</v>
      </c>
      <c r="AG1095">
        <v>-1.120158</v>
      </c>
      <c r="AH1095">
        <v>20.359927018696801</v>
      </c>
      <c r="AI1095">
        <v>93.144975530692705</v>
      </c>
      <c r="AJ1095">
        <v>87.060107017847699</v>
      </c>
      <c r="AK1095">
        <v>20.417508811205799</v>
      </c>
      <c r="AL1095">
        <v>95.065926056367999</v>
      </c>
      <c r="AM1095">
        <v>88.613065568238795</v>
      </c>
      <c r="AN1095">
        <v>0.99999996529532398</v>
      </c>
    </row>
    <row r="1096" spans="1:40" x14ac:dyDescent="0.25">
      <c r="A1096" t="str">
        <f>"20190303154117753"</f>
        <v>20190303154117753</v>
      </c>
      <c r="B1096" t="str">
        <f>"1551598877750247"</f>
        <v>1551598877750247</v>
      </c>
      <c r="C1096" t="s">
        <v>40</v>
      </c>
      <c r="D1096">
        <v>5.8770769999999999</v>
      </c>
      <c r="E1096">
        <v>0.51022509999999999</v>
      </c>
      <c r="F1096" t="s">
        <v>43</v>
      </c>
      <c r="G1096">
        <v>-281.43849999999998</v>
      </c>
      <c r="H1096">
        <v>-0.05</v>
      </c>
      <c r="I1096">
        <v>366.45859999999999</v>
      </c>
      <c r="J1096">
        <v>-301.69349999999997</v>
      </c>
      <c r="K1096">
        <v>1.0701499999999999</v>
      </c>
      <c r="L1096">
        <v>367.44630000000001</v>
      </c>
      <c r="M1096">
        <v>0.99997599999999998</v>
      </c>
      <c r="N1096">
        <v>-6.3309359999999997E-3</v>
      </c>
      <c r="O1096">
        <v>2.8545910000000001E-3</v>
      </c>
      <c r="P1096">
        <v>0.99525350000000001</v>
      </c>
      <c r="Q1096">
        <v>-9.4872490000000004E-2</v>
      </c>
      <c r="R1096">
        <v>-2.1674349999999998E-2</v>
      </c>
      <c r="S1096">
        <v>2.9954529999999999</v>
      </c>
      <c r="T1096">
        <v>-0.16447000000000001</v>
      </c>
      <c r="U1096">
        <v>-0.14495849999999999</v>
      </c>
      <c r="V1096">
        <v>2.4519869999999999E-2</v>
      </c>
      <c r="W1096">
        <v>-8.8568880000000003E-2</v>
      </c>
      <c r="X1096">
        <v>0.99576819999999999</v>
      </c>
      <c r="Y1096">
        <v>5.1098369999999997E-2</v>
      </c>
      <c r="Z1096">
        <v>-1.701405E-3</v>
      </c>
      <c r="AA1096">
        <v>0.99869220000000003</v>
      </c>
      <c r="AB1096">
        <v>23</v>
      </c>
      <c r="AC1096">
        <v>20.2549999999999</v>
      </c>
      <c r="AD1096">
        <v>-1.12015</v>
      </c>
      <c r="AE1096">
        <v>-0.98770000000001701</v>
      </c>
      <c r="AF1096">
        <v>1.0423365954865</v>
      </c>
      <c r="AG1096">
        <v>-1.12015</v>
      </c>
      <c r="AH1096">
        <v>20.1904947214319</v>
      </c>
      <c r="AI1096">
        <v>93.171247173918303</v>
      </c>
      <c r="AJ1096">
        <v>87.044722398641497</v>
      </c>
      <c r="AK1096">
        <v>20.248389533416201</v>
      </c>
      <c r="AL1096">
        <v>95.081281206120394</v>
      </c>
      <c r="AM1096">
        <v>88.589429527766598</v>
      </c>
      <c r="AN1096">
        <v>0.99999998933025502</v>
      </c>
    </row>
    <row r="1097" spans="1:40" x14ac:dyDescent="0.25">
      <c r="A1097" t="str">
        <f>"20190303154117765"</f>
        <v>20190303154117765</v>
      </c>
      <c r="B1097" t="str">
        <f>"1551598877760008"</f>
        <v>1551598877760008</v>
      </c>
      <c r="C1097" t="s">
        <v>40</v>
      </c>
      <c r="D1097">
        <v>5.9237109999999999</v>
      </c>
      <c r="E1097">
        <v>0.51026349999999998</v>
      </c>
      <c r="F1097" t="s">
        <v>43</v>
      </c>
      <c r="G1097">
        <v>-281.48750000000001</v>
      </c>
      <c r="H1097">
        <v>-0.05</v>
      </c>
      <c r="I1097">
        <v>366.45650000000001</v>
      </c>
      <c r="J1097">
        <v>-301.57600000000002</v>
      </c>
      <c r="K1097">
        <v>1.070147</v>
      </c>
      <c r="L1097">
        <v>367.44670000000002</v>
      </c>
      <c r="M1097">
        <v>0.99997590000000003</v>
      </c>
      <c r="N1097">
        <v>-6.3377619999999898E-3</v>
      </c>
      <c r="O1097">
        <v>2.8840150000000002E-3</v>
      </c>
      <c r="P1097">
        <v>0.99525850000000005</v>
      </c>
      <c r="Q1097">
        <v>-9.4810640000000002E-2</v>
      </c>
      <c r="R1097">
        <v>-2.1716840000000001E-2</v>
      </c>
      <c r="S1097">
        <v>2.9952700000000001</v>
      </c>
      <c r="T1097">
        <v>-0.16604720000000001</v>
      </c>
      <c r="U1097">
        <v>-0.14672850000000001</v>
      </c>
      <c r="V1097">
        <v>2.4591700000000001E-2</v>
      </c>
      <c r="W1097">
        <v>-8.8500229999999999E-2</v>
      </c>
      <c r="X1097">
        <v>0.99577249999999995</v>
      </c>
      <c r="Y1097">
        <v>5.1716720000000001E-2</v>
      </c>
      <c r="Z1097">
        <v>-1.7370739999999999E-3</v>
      </c>
      <c r="AA1097">
        <v>0.99866029999999995</v>
      </c>
      <c r="AB1097">
        <v>23</v>
      </c>
      <c r="AC1097">
        <v>20.0884999999999</v>
      </c>
      <c r="AD1097">
        <v>-1.120147</v>
      </c>
      <c r="AE1097">
        <v>-0.99020000000001496</v>
      </c>
      <c r="AF1097">
        <v>1.0448916223393401</v>
      </c>
      <c r="AG1097">
        <v>-1.120147</v>
      </c>
      <c r="AH1097">
        <v>20.023453710654099</v>
      </c>
      <c r="AI1097">
        <v>93.197547132371</v>
      </c>
      <c r="AJ1097">
        <v>87.012821699115605</v>
      </c>
      <c r="AK1097">
        <v>20.081962710520902</v>
      </c>
      <c r="AL1097">
        <v>95.077332508187695</v>
      </c>
      <c r="AM1097">
        <v>88.585305100130398</v>
      </c>
      <c r="AN1097">
        <v>0.99999995708759504</v>
      </c>
    </row>
    <row r="1098" spans="1:40" x14ac:dyDescent="0.25">
      <c r="A1098" t="str">
        <f>"20190303154117777"</f>
        <v>20190303154117777</v>
      </c>
      <c r="B1098" t="str">
        <f>"1551598877770743"</f>
        <v>1551598877770743</v>
      </c>
      <c r="C1098" t="s">
        <v>40</v>
      </c>
      <c r="D1098">
        <v>5.9090819999999997</v>
      </c>
      <c r="E1098">
        <v>0.51028519999999999</v>
      </c>
      <c r="F1098" t="s">
        <v>43</v>
      </c>
      <c r="G1098">
        <v>-281.37700000000001</v>
      </c>
      <c r="H1098">
        <v>-0.05</v>
      </c>
      <c r="I1098">
        <v>366.4554</v>
      </c>
      <c r="J1098">
        <v>-301.4513</v>
      </c>
      <c r="K1098">
        <v>1.070147</v>
      </c>
      <c r="L1098">
        <v>367.44709999999998</v>
      </c>
      <c r="M1098">
        <v>0.99997559999999996</v>
      </c>
      <c r="N1098">
        <v>-6.3453479999999998E-3</v>
      </c>
      <c r="O1098">
        <v>2.9152840000000002E-3</v>
      </c>
      <c r="P1098">
        <v>0.99525730000000001</v>
      </c>
      <c r="Q1098">
        <v>-9.4803929999999995E-2</v>
      </c>
      <c r="R1098">
        <v>-2.1803639999999999E-2</v>
      </c>
      <c r="S1098">
        <v>2.9952700000000001</v>
      </c>
      <c r="T1098">
        <v>-0.1661049</v>
      </c>
      <c r="U1098">
        <v>-0.1470032</v>
      </c>
      <c r="V1098">
        <v>2.4709410000000001E-2</v>
      </c>
      <c r="W1098">
        <v>-8.8485930000000004E-2</v>
      </c>
      <c r="X1098">
        <v>0.99577090000000001</v>
      </c>
      <c r="Y1098">
        <v>5.183898E-2</v>
      </c>
      <c r="Z1098">
        <v>-1.743105E-3</v>
      </c>
      <c r="AA1098">
        <v>0.99865389999999998</v>
      </c>
      <c r="AB1098">
        <v>23</v>
      </c>
      <c r="AC1098">
        <v>20.074299999999901</v>
      </c>
      <c r="AD1098">
        <v>-1.120147</v>
      </c>
      <c r="AE1098">
        <v>-0.99169999999998004</v>
      </c>
      <c r="AF1098">
        <v>1.0469673014888701</v>
      </c>
      <c r="AG1098">
        <v>-1.120147</v>
      </c>
      <c r="AH1098">
        <v>20.0091737417426</v>
      </c>
      <c r="AI1098">
        <v>93.199800930154794</v>
      </c>
      <c r="AJ1098">
        <v>87.004766241330103</v>
      </c>
      <c r="AK1098">
        <v>20.0678325600758</v>
      </c>
      <c r="AL1098">
        <v>95.076509732931598</v>
      </c>
      <c r="AM1098">
        <v>88.578534046393997</v>
      </c>
      <c r="AN1098">
        <v>1.00000000001866</v>
      </c>
    </row>
    <row r="1099" spans="1:40" x14ac:dyDescent="0.25">
      <c r="A1099" t="str">
        <f>"20190303154117790"</f>
        <v>20190303154117790</v>
      </c>
      <c r="B1099" t="str">
        <f>"1551598877780503"</f>
        <v>1551598877780503</v>
      </c>
      <c r="C1099" t="s">
        <v>40</v>
      </c>
      <c r="D1099">
        <v>5.9453670000000001</v>
      </c>
      <c r="E1099">
        <v>0.51027840000000002</v>
      </c>
      <c r="F1099" t="s">
        <v>43</v>
      </c>
      <c r="G1099">
        <v>-281.2638</v>
      </c>
      <c r="H1099">
        <v>-0.05</v>
      </c>
      <c r="I1099">
        <v>366.45339999999999</v>
      </c>
      <c r="J1099">
        <v>-301.31630000000001</v>
      </c>
      <c r="K1099">
        <v>1.0701449999999999</v>
      </c>
      <c r="L1099">
        <v>367.44749999999999</v>
      </c>
      <c r="M1099">
        <v>0.99997559999999996</v>
      </c>
      <c r="N1099">
        <v>-6.3545009999999898E-3</v>
      </c>
      <c r="O1099">
        <v>2.9491109999999999E-3</v>
      </c>
      <c r="P1099">
        <v>0.99527690000000002</v>
      </c>
      <c r="Q1099">
        <v>-9.4651689999999997E-2</v>
      </c>
      <c r="R1099">
        <v>-2.1565520000000001E-2</v>
      </c>
      <c r="S1099">
        <v>2.9952390000000002</v>
      </c>
      <c r="T1099">
        <v>-0.1661967</v>
      </c>
      <c r="U1099">
        <v>-0.14743039999999999</v>
      </c>
      <c r="V1099">
        <v>2.4505289999999999E-2</v>
      </c>
      <c r="W1099">
        <v>-8.8324449999999999E-2</v>
      </c>
      <c r="X1099">
        <v>0.99579030000000002</v>
      </c>
      <c r="Y1099">
        <v>5.2014909999999998E-2</v>
      </c>
      <c r="Z1099">
        <v>-1.7513019999999999E-3</v>
      </c>
      <c r="AA1099">
        <v>0.9986448</v>
      </c>
      <c r="AB1099">
        <v>23</v>
      </c>
      <c r="AC1099">
        <v>20.052499999999998</v>
      </c>
      <c r="AD1099">
        <v>-1.1201449999999999</v>
      </c>
      <c r="AE1099">
        <v>-0.99410000000000298</v>
      </c>
      <c r="AF1099">
        <v>1.04996562178526</v>
      </c>
      <c r="AG1099">
        <v>-1.1201449999999999</v>
      </c>
      <c r="AH1099">
        <v>19.987265499195299</v>
      </c>
      <c r="AI1099">
        <v>93.203260599118096</v>
      </c>
      <c r="AJ1099">
        <v>86.992917682068295</v>
      </c>
      <c r="AK1099">
        <v>20.046145134745501</v>
      </c>
      <c r="AL1099">
        <v>95.067221142566694</v>
      </c>
      <c r="AM1099">
        <v>88.590299216479806</v>
      </c>
      <c r="AN1099">
        <v>1.0000000196399299</v>
      </c>
    </row>
    <row r="1100" spans="1:40" x14ac:dyDescent="0.25">
      <c r="A1100" t="str">
        <f>"20190303154117802"</f>
        <v>20190303154117802</v>
      </c>
      <c r="B1100" t="str">
        <f>"1551598877790263"</f>
        <v>1551598877790263</v>
      </c>
      <c r="C1100" t="s">
        <v>40</v>
      </c>
      <c r="D1100">
        <v>5.9222609999999998</v>
      </c>
      <c r="E1100">
        <v>0.51029629999999904</v>
      </c>
      <c r="F1100" t="s">
        <v>43</v>
      </c>
      <c r="G1100">
        <v>-281.11040000000003</v>
      </c>
      <c r="H1100">
        <v>-0.05</v>
      </c>
      <c r="I1100">
        <v>366.45850000000002</v>
      </c>
      <c r="J1100">
        <v>-301.18779999999998</v>
      </c>
      <c r="K1100">
        <v>1.0701400000000001</v>
      </c>
      <c r="L1100">
        <v>367.4479</v>
      </c>
      <c r="M1100">
        <v>0.99997550000000002</v>
      </c>
      <c r="N1100">
        <v>-6.363634E-3</v>
      </c>
      <c r="O1100">
        <v>2.9812689999999999E-3</v>
      </c>
      <c r="P1100">
        <v>0.99530459999999998</v>
      </c>
      <c r="Q1100">
        <v>-9.431378E-2</v>
      </c>
      <c r="R1100">
        <v>-2.17778E-2</v>
      </c>
      <c r="S1100">
        <v>2.9952390000000002</v>
      </c>
      <c r="T1100">
        <v>-0.16604530000000001</v>
      </c>
      <c r="U1100">
        <v>-0.1466064</v>
      </c>
      <c r="V1100">
        <v>2.4749409999999999E-2</v>
      </c>
      <c r="W1100">
        <v>-8.7977250000000007E-2</v>
      </c>
      <c r="X1100">
        <v>0.99581500000000001</v>
      </c>
      <c r="Y1100">
        <v>5.1773489999999998E-2</v>
      </c>
      <c r="Z1100">
        <v>-1.7441869999999999E-3</v>
      </c>
      <c r="AA1100">
        <v>0.99865729999999997</v>
      </c>
      <c r="AB1100">
        <v>23</v>
      </c>
      <c r="AC1100">
        <v>20.077399999999901</v>
      </c>
      <c r="AD1100">
        <v>-1.1201399999999999</v>
      </c>
      <c r="AE1100">
        <v>-0.98939999999998895</v>
      </c>
      <c r="AF1100">
        <v>1.0460049783973999</v>
      </c>
      <c r="AG1100">
        <v>-1.1201399999999999</v>
      </c>
      <c r="AH1100">
        <v>20.0122209990644</v>
      </c>
      <c r="AI1100">
        <v>93.199304091210905</v>
      </c>
      <c r="AJ1100">
        <v>87.007969150343499</v>
      </c>
      <c r="AK1100">
        <v>20.0708203457115</v>
      </c>
      <c r="AL1100">
        <v>95.047250292427705</v>
      </c>
      <c r="AM1100">
        <v>88.576296926286105</v>
      </c>
      <c r="AN1100">
        <v>1.00000002201895</v>
      </c>
    </row>
    <row r="1101" spans="1:40" x14ac:dyDescent="0.25">
      <c r="A1101" t="str">
        <f>"20190303154117822"</f>
        <v>20190303154117822</v>
      </c>
      <c r="B1101" t="str">
        <f>"1551598877809784"</f>
        <v>1551598877809784</v>
      </c>
      <c r="C1101" t="s">
        <v>40</v>
      </c>
      <c r="D1101">
        <v>5.9403550000000003</v>
      </c>
      <c r="E1101">
        <v>0.51032420000000001</v>
      </c>
      <c r="F1101" t="s">
        <v>43</v>
      </c>
      <c r="G1101">
        <v>-280.89909999999998</v>
      </c>
      <c r="H1101">
        <v>-0.05</v>
      </c>
      <c r="I1101">
        <v>366.44909999999999</v>
      </c>
      <c r="J1101">
        <v>-300.97660000000002</v>
      </c>
      <c r="K1101">
        <v>1.0701419999999999</v>
      </c>
      <c r="L1101">
        <v>367.4486</v>
      </c>
      <c r="M1101">
        <v>0.99997510000000001</v>
      </c>
      <c r="N1101">
        <v>-6.3794799999999999E-3</v>
      </c>
      <c r="O1101">
        <v>3.0345670000000002E-3</v>
      </c>
      <c r="P1101">
        <v>0.99531409999999998</v>
      </c>
      <c r="Q1101">
        <v>-9.4296930000000001E-2</v>
      </c>
      <c r="R1101">
        <v>-2.1405560000000001E-2</v>
      </c>
      <c r="S1101">
        <v>2.9952700000000001</v>
      </c>
      <c r="T1101">
        <v>-0.1653694</v>
      </c>
      <c r="U1101">
        <v>-0.14746090000000001</v>
      </c>
      <c r="V1101">
        <v>2.4430489999999999E-2</v>
      </c>
      <c r="W1101">
        <v>-8.7944579999999994E-2</v>
      </c>
      <c r="X1101">
        <v>0.99582579999999998</v>
      </c>
      <c r="Y1101">
        <v>5.2110499999999997E-2</v>
      </c>
      <c r="Z1101">
        <v>-1.7509940000000001E-3</v>
      </c>
      <c r="AA1101">
        <v>0.99863979999999997</v>
      </c>
      <c r="AB1101">
        <v>23</v>
      </c>
      <c r="AC1101">
        <v>20.077500000000001</v>
      </c>
      <c r="AD1101">
        <v>-1.120142</v>
      </c>
      <c r="AE1101">
        <v>-0.99950000000001105</v>
      </c>
      <c r="AF1101">
        <v>1.05714080422123</v>
      </c>
      <c r="AG1101">
        <v>-1.120142</v>
      </c>
      <c r="AH1101">
        <v>20.012237827406899</v>
      </c>
      <c r="AI1101">
        <v>93.199214020737699</v>
      </c>
      <c r="AJ1101">
        <v>86.976177168877399</v>
      </c>
      <c r="AK1101">
        <v>20.071420668224</v>
      </c>
      <c r="AL1101">
        <v>95.0453709586521</v>
      </c>
      <c r="AM1101">
        <v>88.594650542514302</v>
      </c>
      <c r="AN1101">
        <v>1.00000006096932</v>
      </c>
    </row>
    <row r="1102" spans="1:40" x14ac:dyDescent="0.25">
      <c r="A1102" t="str">
        <f>"20190303154117837"</f>
        <v>20190303154117837</v>
      </c>
      <c r="B1102" t="str">
        <f>"1551598877830279"</f>
        <v>1551598877830279</v>
      </c>
      <c r="C1102" t="s">
        <v>40</v>
      </c>
      <c r="D1102">
        <v>5.93642</v>
      </c>
      <c r="E1102">
        <v>0.50811759999999995</v>
      </c>
      <c r="F1102" t="s">
        <v>43</v>
      </c>
      <c r="G1102">
        <v>-280.76319999999998</v>
      </c>
      <c r="H1102">
        <v>-0.05</v>
      </c>
      <c r="I1102">
        <v>366.46069999999997</v>
      </c>
      <c r="J1102">
        <v>-300.82819999999998</v>
      </c>
      <c r="K1102">
        <v>1.070139</v>
      </c>
      <c r="L1102">
        <v>367.44909999999999</v>
      </c>
      <c r="M1102">
        <v>0.99997499999999995</v>
      </c>
      <c r="N1102">
        <v>-6.3910290000000003E-3</v>
      </c>
      <c r="O1102">
        <v>3.071547E-3</v>
      </c>
      <c r="P1102">
        <v>0.99532370000000003</v>
      </c>
      <c r="Q1102">
        <v>-9.4201099999999996E-2</v>
      </c>
      <c r="R1102">
        <v>-2.13771E-2</v>
      </c>
      <c r="S1102">
        <v>2.9952390000000002</v>
      </c>
      <c r="T1102">
        <v>-0.165983299999999</v>
      </c>
      <c r="U1102">
        <v>-0.14639279999999999</v>
      </c>
      <c r="V1102">
        <v>2.4438910000000001E-2</v>
      </c>
      <c r="W1102">
        <v>-8.7837209999999999E-2</v>
      </c>
      <c r="X1102">
        <v>0.99583500000000003</v>
      </c>
      <c r="Y1102">
        <v>5.179247E-2</v>
      </c>
      <c r="Z1102">
        <v>-1.74922799999999E-3</v>
      </c>
      <c r="AA1102">
        <v>0.99865630000000005</v>
      </c>
      <c r="AB1102">
        <v>23</v>
      </c>
      <c r="AC1102">
        <v>20.065000000000001</v>
      </c>
      <c r="AD1102">
        <v>-1.120139</v>
      </c>
      <c r="AE1102">
        <v>-0.98840000000001205</v>
      </c>
      <c r="AF1102">
        <v>1.04677281945569</v>
      </c>
      <c r="AG1102">
        <v>-1.120139</v>
      </c>
      <c r="AH1102">
        <v>19.999691438306801</v>
      </c>
      <c r="AI1102">
        <v>93.2012895421758</v>
      </c>
      <c r="AJ1102">
        <v>87.003904357548507</v>
      </c>
      <c r="AK1102">
        <v>20.058367389754199</v>
      </c>
      <c r="AL1102">
        <v>95.039195562658193</v>
      </c>
      <c r="AM1102">
        <v>88.594179363898903</v>
      </c>
      <c r="AN1102">
        <v>0.99999999150378605</v>
      </c>
    </row>
    <row r="1103" spans="1:40" x14ac:dyDescent="0.25">
      <c r="A1103" t="str">
        <f>"20190303154117848"</f>
        <v>20190303154117848</v>
      </c>
      <c r="B1103" t="str">
        <f>"1551598877840041"</f>
        <v>1551598877840041</v>
      </c>
      <c r="C1103" t="s">
        <v>40</v>
      </c>
      <c r="D1103">
        <v>5.94095</v>
      </c>
      <c r="E1103">
        <v>0.50873400000000002</v>
      </c>
      <c r="F1103" t="s">
        <v>42</v>
      </c>
      <c r="G1103">
        <v>-299.89269999999999</v>
      </c>
      <c r="H1103">
        <v>1.00427</v>
      </c>
      <c r="I1103">
        <v>367.4083</v>
      </c>
      <c r="J1103">
        <v>-300.69549999999998</v>
      </c>
      <c r="K1103">
        <v>1.0701430000000001</v>
      </c>
      <c r="L1103">
        <v>367.44959999999998</v>
      </c>
      <c r="M1103">
        <v>0.99997469999999999</v>
      </c>
      <c r="N1103">
        <v>-6.401665E-3</v>
      </c>
      <c r="O1103">
        <v>3.1048339999999999E-3</v>
      </c>
      <c r="P1103">
        <v>0.99534990000000001</v>
      </c>
      <c r="Q1103">
        <v>-9.4047699999999998E-2</v>
      </c>
      <c r="R1103">
        <v>-2.0826440000000002E-2</v>
      </c>
      <c r="S1103">
        <v>2.991333</v>
      </c>
      <c r="T1103">
        <v>-0.2110119</v>
      </c>
      <c r="U1103">
        <v>-0.12887570000000001</v>
      </c>
      <c r="V1103">
        <v>2.392145E-2</v>
      </c>
      <c r="W1103">
        <v>-8.7673029999999999E-2</v>
      </c>
      <c r="X1103">
        <v>0.99586209999999997</v>
      </c>
      <c r="Y1103">
        <v>4.6014029999999997E-2</v>
      </c>
      <c r="Z1103">
        <v>-1.9665339999999998E-3</v>
      </c>
      <c r="AA1103">
        <v>0.99893889999999996</v>
      </c>
      <c r="AB1103">
        <v>23</v>
      </c>
      <c r="AC1103">
        <v>0.80279999999998997</v>
      </c>
      <c r="AD1103">
        <v>-6.5873000000000001E-2</v>
      </c>
      <c r="AE1103">
        <v>-4.1299999999978299E-2</v>
      </c>
      <c r="AF1103">
        <v>4.35003039556121E-2</v>
      </c>
      <c r="AG1103">
        <v>-6.5873000000000001E-2</v>
      </c>
      <c r="AH1103">
        <v>0.79731385830063695</v>
      </c>
      <c r="AI1103">
        <v>94.715991762800499</v>
      </c>
      <c r="AJ1103">
        <v>86.877120306946694</v>
      </c>
      <c r="AK1103">
        <v>0.80121215493243703</v>
      </c>
      <c r="AL1103">
        <v>95.029751969344204</v>
      </c>
      <c r="AM1103">
        <v>88.623971527906093</v>
      </c>
      <c r="AN1103">
        <v>1.0000000590879401</v>
      </c>
    </row>
    <row r="1104" spans="1:40" x14ac:dyDescent="0.25">
      <c r="A1104" t="str">
        <f>"20190303154117865"</f>
        <v>20190303154117865</v>
      </c>
      <c r="B1104" t="str">
        <f>"1551598877860536"</f>
        <v>1551598877860536</v>
      </c>
      <c r="C1104" t="s">
        <v>40</v>
      </c>
      <c r="D1104">
        <v>5.9844470000000003</v>
      </c>
      <c r="E1104">
        <v>0.50917290000000004</v>
      </c>
      <c r="F1104" t="s">
        <v>43</v>
      </c>
      <c r="G1104">
        <v>-284.78370000000001</v>
      </c>
      <c r="H1104">
        <v>-0.05</v>
      </c>
      <c r="I1104">
        <v>366.74650000000003</v>
      </c>
      <c r="J1104">
        <v>-300.5256</v>
      </c>
      <c r="K1104">
        <v>1.0701419999999999</v>
      </c>
      <c r="L1104">
        <v>367.45010000000002</v>
      </c>
      <c r="M1104">
        <v>0.99997449999999999</v>
      </c>
      <c r="N1104">
        <v>-6.4168999999999997E-3</v>
      </c>
      <c r="O1104">
        <v>3.1474049999999998E-3</v>
      </c>
      <c r="P1104">
        <v>0.99532719999999997</v>
      </c>
      <c r="Q1104">
        <v>-9.4398339999999997E-2</v>
      </c>
      <c r="R1104">
        <v>-2.0321499999999999E-2</v>
      </c>
      <c r="S1104">
        <v>2.9913639999999999</v>
      </c>
      <c r="T1104">
        <v>-0.21058370000000001</v>
      </c>
      <c r="U1104">
        <v>-0.1321716</v>
      </c>
      <c r="V1104">
        <v>2.3458940000000001E-2</v>
      </c>
      <c r="W1104">
        <v>-8.8008649999999994E-2</v>
      </c>
      <c r="X1104">
        <v>0.99584340000000005</v>
      </c>
      <c r="Y1104">
        <v>4.7151980000000003E-2</v>
      </c>
      <c r="Z1104">
        <v>-2.0094179999999998E-3</v>
      </c>
      <c r="AA1104">
        <v>0.99888569999999999</v>
      </c>
      <c r="AB1104">
        <v>23</v>
      </c>
      <c r="AC1104">
        <v>15.7418999999999</v>
      </c>
      <c r="AD1104">
        <v>-1.120142</v>
      </c>
      <c r="AE1104">
        <v>-0.70359999999999401</v>
      </c>
      <c r="AF1104">
        <v>0.74935702860256403</v>
      </c>
      <c r="AG1104">
        <v>-1.120142</v>
      </c>
      <c r="AH1104">
        <v>15.6604722159834</v>
      </c>
      <c r="AI1104">
        <v>94.086551095589201</v>
      </c>
      <c r="AJ1104">
        <v>87.260473960889797</v>
      </c>
      <c r="AK1104">
        <v>15.718353733265699</v>
      </c>
      <c r="AL1104">
        <v>95.049056695261498</v>
      </c>
      <c r="AM1104">
        <v>88.650541127443304</v>
      </c>
      <c r="AN1104">
        <v>0.99999996083215204</v>
      </c>
    </row>
    <row r="1105" spans="1:40" x14ac:dyDescent="0.25">
      <c r="A1105" t="str">
        <f>"20190303154117879"</f>
        <v>20190303154117879</v>
      </c>
      <c r="B1105" t="str">
        <f>"1551598877870296"</f>
        <v>1551598877870296</v>
      </c>
      <c r="C1105" t="s">
        <v>40</v>
      </c>
      <c r="D1105">
        <v>5.9719179999999996</v>
      </c>
      <c r="E1105">
        <v>0.50927259999999996</v>
      </c>
      <c r="F1105" t="s">
        <v>43</v>
      </c>
      <c r="G1105">
        <v>-284.78629999999998</v>
      </c>
      <c r="H1105">
        <v>-0.05</v>
      </c>
      <c r="I1105">
        <v>366.74450000000002</v>
      </c>
      <c r="J1105">
        <v>-300.38600000000002</v>
      </c>
      <c r="K1105">
        <v>1.070141</v>
      </c>
      <c r="L1105">
        <v>367.45060000000001</v>
      </c>
      <c r="M1105">
        <v>0.99997429999999998</v>
      </c>
      <c r="N1105">
        <v>-6.4309069999999996E-3</v>
      </c>
      <c r="O1105">
        <v>3.1825289999999999E-3</v>
      </c>
      <c r="P1105">
        <v>0.99531449999999999</v>
      </c>
      <c r="Q1105">
        <v>-9.45989E-2</v>
      </c>
      <c r="R1105">
        <v>-2.0008919999999999E-2</v>
      </c>
      <c r="S1105">
        <v>2.9911500000000002</v>
      </c>
      <c r="T1105">
        <v>-0.21287600000000001</v>
      </c>
      <c r="U1105">
        <v>-0.1340942</v>
      </c>
      <c r="V1105">
        <v>2.3181190000000001E-2</v>
      </c>
      <c r="W1105">
        <v>-8.8195330000000002E-2</v>
      </c>
      <c r="X1105">
        <v>0.99583350000000004</v>
      </c>
      <c r="Y1105">
        <v>4.7826189999999998E-2</v>
      </c>
      <c r="Z1105">
        <v>-2.058603E-3</v>
      </c>
      <c r="AA1105">
        <v>0.99885360000000001</v>
      </c>
      <c r="AB1105">
        <v>24</v>
      </c>
      <c r="AC1105">
        <v>15.599699999999901</v>
      </c>
      <c r="AD1105">
        <v>-1.1201410000000001</v>
      </c>
      <c r="AE1105">
        <v>-0.70609999999999196</v>
      </c>
      <c r="AF1105">
        <v>0.75187520398790597</v>
      </c>
      <c r="AG1105">
        <v>-1.1201410000000001</v>
      </c>
      <c r="AH1105">
        <v>15.5175289750568</v>
      </c>
      <c r="AI1105">
        <v>94.123943257471495</v>
      </c>
      <c r="AJ1105">
        <v>87.226000951079399</v>
      </c>
      <c r="AK1105">
        <v>15.576062970917301</v>
      </c>
      <c r="AL1105">
        <v>95.059793863171294</v>
      </c>
      <c r="AM1105">
        <v>88.666499443549299</v>
      </c>
      <c r="AN1105">
        <v>1.00000007176293</v>
      </c>
    </row>
    <row r="1106" spans="1:40" x14ac:dyDescent="0.25">
      <c r="A1106" t="str">
        <f>"20190303154117891"</f>
        <v>20190303154117891</v>
      </c>
      <c r="B1106" t="str">
        <f>"1551598877880057"</f>
        <v>1551598877880057</v>
      </c>
      <c r="C1106" t="s">
        <v>40</v>
      </c>
      <c r="D1106">
        <v>5.9828769999999896</v>
      </c>
      <c r="E1106">
        <v>0.50949909999999998</v>
      </c>
      <c r="F1106" t="s">
        <v>42</v>
      </c>
      <c r="G1106">
        <v>-299.46839999999997</v>
      </c>
      <c r="H1106">
        <v>1.0046740000000001</v>
      </c>
      <c r="I1106">
        <v>367.40940000000001</v>
      </c>
      <c r="J1106">
        <v>-300.25009999999997</v>
      </c>
      <c r="K1106">
        <v>1.070141</v>
      </c>
      <c r="L1106">
        <v>367.45100000000002</v>
      </c>
      <c r="M1106">
        <v>0.99997409999999998</v>
      </c>
      <c r="N1106">
        <v>-6.4466319999999999E-3</v>
      </c>
      <c r="O1106">
        <v>3.2168119999999999E-3</v>
      </c>
      <c r="P1106">
        <v>0.99529909999999999</v>
      </c>
      <c r="Q1106">
        <v>-9.4810140000000001E-2</v>
      </c>
      <c r="R1106">
        <v>-1.977901E-2</v>
      </c>
      <c r="S1106">
        <v>2.9910890000000001</v>
      </c>
      <c r="T1106">
        <v>-0.21364530000000001</v>
      </c>
      <c r="U1106">
        <v>-0.1336975</v>
      </c>
      <c r="V1106">
        <v>2.2985479999999999E-2</v>
      </c>
      <c r="W1106">
        <v>-8.8390979999999994E-2</v>
      </c>
      <c r="X1106">
        <v>0.99582059999999994</v>
      </c>
      <c r="Y1106">
        <v>4.7728329999999999E-2</v>
      </c>
      <c r="Z1106">
        <v>-2.064335E-3</v>
      </c>
      <c r="AA1106">
        <v>0.99885820000000003</v>
      </c>
      <c r="AB1106">
        <v>24</v>
      </c>
      <c r="AC1106">
        <v>0.78169999999999995</v>
      </c>
      <c r="AD1106">
        <v>-6.54669999999999E-2</v>
      </c>
      <c r="AE1106">
        <v>-4.1599999999959801E-2</v>
      </c>
      <c r="AF1106">
        <v>4.3808017911342603E-2</v>
      </c>
      <c r="AG1106">
        <v>-6.54669999999999E-2</v>
      </c>
      <c r="AH1106">
        <v>0.77613371888899596</v>
      </c>
      <c r="AI1106">
        <v>94.813868544135801</v>
      </c>
      <c r="AJ1106">
        <v>86.769430326127093</v>
      </c>
      <c r="AK1106">
        <v>0.78012090096265396</v>
      </c>
      <c r="AL1106">
        <v>95.071048187048405</v>
      </c>
      <c r="AM1106">
        <v>88.6777365469747</v>
      </c>
      <c r="AN1106">
        <v>0.999999982510275</v>
      </c>
    </row>
    <row r="1107" spans="1:40" x14ac:dyDescent="0.25">
      <c r="A1107" t="str">
        <f>"20190303154117911"</f>
        <v>20190303154117911</v>
      </c>
      <c r="B1107" t="str">
        <f>"1551598877900551"</f>
        <v>1551598877900551</v>
      </c>
      <c r="C1107" t="s">
        <v>40</v>
      </c>
      <c r="D1107">
        <v>5.9699200000000001</v>
      </c>
      <c r="E1107">
        <v>0.50969399999999998</v>
      </c>
      <c r="F1107" t="s">
        <v>43</v>
      </c>
      <c r="G1107">
        <v>-284.64640000000003</v>
      </c>
      <c r="H1107">
        <v>-0.05</v>
      </c>
      <c r="I1107">
        <v>366.74720000000002</v>
      </c>
      <c r="J1107">
        <v>-300.048</v>
      </c>
      <c r="K1107">
        <v>1.070136</v>
      </c>
      <c r="L1107">
        <v>367.45179999999999</v>
      </c>
      <c r="M1107">
        <v>0.99997369999999997</v>
      </c>
      <c r="N1107">
        <v>-6.4717359999999996E-3</v>
      </c>
      <c r="O1107">
        <v>3.2675769999999998E-3</v>
      </c>
      <c r="P1107">
        <v>0.99531219999999998</v>
      </c>
      <c r="Q1107">
        <v>-9.4674830000000001E-2</v>
      </c>
      <c r="R1107">
        <v>-1.9766430000000001E-2</v>
      </c>
      <c r="S1107">
        <v>2.991028</v>
      </c>
      <c r="T1107">
        <v>-0.21471699999999999</v>
      </c>
      <c r="U1107">
        <v>-0.13491819999999999</v>
      </c>
      <c r="V1107">
        <v>2.3023450000000001E-2</v>
      </c>
      <c r="W1107">
        <v>-8.8230569999999994E-2</v>
      </c>
      <c r="X1107">
        <v>0.995834</v>
      </c>
      <c r="Y1107">
        <v>4.8184009999999999E-2</v>
      </c>
      <c r="Z1107">
        <v>-2.0956550000000001E-3</v>
      </c>
      <c r="AA1107">
        <v>0.99883630000000001</v>
      </c>
      <c r="AB1107">
        <v>24</v>
      </c>
      <c r="AC1107">
        <v>15.401599999999901</v>
      </c>
      <c r="AD1107">
        <v>-1.120136</v>
      </c>
      <c r="AE1107">
        <v>-0.70459999999997003</v>
      </c>
      <c r="AF1107">
        <v>0.750959347558801</v>
      </c>
      <c r="AG1107">
        <v>-1.120136</v>
      </c>
      <c r="AH1107">
        <v>15.3183590513009</v>
      </c>
      <c r="AI1107">
        <v>94.177240343887107</v>
      </c>
      <c r="AJ1107">
        <v>87.193408127154996</v>
      </c>
      <c r="AK1107">
        <v>15.377606075873899</v>
      </c>
      <c r="AL1107">
        <v>95.061821059209095</v>
      </c>
      <c r="AM1107">
        <v>88.675570876414398</v>
      </c>
      <c r="AN1107">
        <v>1.0000000341442099</v>
      </c>
    </row>
    <row r="1108" spans="1:40" x14ac:dyDescent="0.25">
      <c r="A1108" t="str">
        <f>"20190303154117933"</f>
        <v>20190303154117933</v>
      </c>
      <c r="B1108" t="str">
        <f>"1551598877930808"</f>
        <v>1551598877930808</v>
      </c>
      <c r="C1108" t="s">
        <v>40</v>
      </c>
      <c r="D1108">
        <v>5.9735420000000001</v>
      </c>
      <c r="E1108">
        <v>0.50556380000000001</v>
      </c>
      <c r="F1108" t="s">
        <v>43</v>
      </c>
      <c r="G1108">
        <v>-284.39280000000002</v>
      </c>
      <c r="H1108">
        <v>-0.05</v>
      </c>
      <c r="I1108">
        <v>366.73700000000002</v>
      </c>
      <c r="J1108">
        <v>-299.80340000000001</v>
      </c>
      <c r="K1108">
        <v>1.0701350000000001</v>
      </c>
      <c r="L1108">
        <v>367.45260000000002</v>
      </c>
      <c r="M1108">
        <v>0.99997340000000001</v>
      </c>
      <c r="N1108">
        <v>-6.5034949999999998E-3</v>
      </c>
      <c r="O1108">
        <v>3.3292270000000001E-3</v>
      </c>
      <c r="P1108">
        <v>0.99527560000000004</v>
      </c>
      <c r="Q1108">
        <v>-9.502998E-2</v>
      </c>
      <c r="R1108">
        <v>-1.9898720000000002E-2</v>
      </c>
      <c r="S1108">
        <v>2.9910580000000002</v>
      </c>
      <c r="T1108">
        <v>-0.21401120000000001</v>
      </c>
      <c r="U1108">
        <v>-0.1365662</v>
      </c>
      <c r="V1108">
        <v>2.3217209999999999E-2</v>
      </c>
      <c r="W1108">
        <v>-8.8554330000000001E-2</v>
      </c>
      <c r="X1108">
        <v>0.99580069999999998</v>
      </c>
      <c r="Y1108">
        <v>4.8793339999999998E-2</v>
      </c>
      <c r="Z1108">
        <v>-2.117594E-3</v>
      </c>
      <c r="AA1108">
        <v>0.99880670000000005</v>
      </c>
      <c r="AB1108">
        <v>24</v>
      </c>
      <c r="AC1108">
        <v>15.410599999999899</v>
      </c>
      <c r="AD1108">
        <v>-1.1201350000000001</v>
      </c>
      <c r="AE1108">
        <v>-0.71560000000005097</v>
      </c>
      <c r="AF1108">
        <v>0.76288067840038598</v>
      </c>
      <c r="AG1108">
        <v>-1.1201350000000001</v>
      </c>
      <c r="AH1108">
        <v>15.327328186394301</v>
      </c>
      <c r="AI1108">
        <v>94.174647307970204</v>
      </c>
      <c r="AJ1108">
        <v>87.150592595491503</v>
      </c>
      <c r="AK1108">
        <v>15.387127044420501</v>
      </c>
      <c r="AL1108">
        <v>95.080444356473194</v>
      </c>
      <c r="AM1108">
        <v>88.664384163371196</v>
      </c>
      <c r="AN1108">
        <v>0.99999997116121098</v>
      </c>
    </row>
    <row r="1109" spans="1:40" x14ac:dyDescent="0.25">
      <c r="A1109" t="str">
        <f>"20190303154117946"</f>
        <v>20190303154117946</v>
      </c>
      <c r="B1109" t="str">
        <f>"1551598877940568"</f>
        <v>1551598877940568</v>
      </c>
      <c r="C1109" t="s">
        <v>40</v>
      </c>
      <c r="D1109">
        <v>5.9439859999999998</v>
      </c>
      <c r="E1109">
        <v>0.5048935</v>
      </c>
      <c r="F1109" t="s">
        <v>43</v>
      </c>
      <c r="G1109">
        <v>-283.01979999999998</v>
      </c>
      <c r="H1109">
        <v>-0.05</v>
      </c>
      <c r="I1109">
        <v>366.86930000000001</v>
      </c>
      <c r="J1109">
        <v>-299.66829999999999</v>
      </c>
      <c r="K1109">
        <v>1.0701320000000001</v>
      </c>
      <c r="L1109">
        <v>367.45310000000001</v>
      </c>
      <c r="M1109">
        <v>0.99997320000000001</v>
      </c>
      <c r="N1109">
        <v>-6.5210270000000004E-3</v>
      </c>
      <c r="O1109">
        <v>3.363146E-3</v>
      </c>
      <c r="P1109">
        <v>0.99528850000000002</v>
      </c>
      <c r="Q1109">
        <v>-9.4852720000000001E-2</v>
      </c>
      <c r="R1109">
        <v>-2.0101279999999999E-2</v>
      </c>
      <c r="S1109">
        <v>2.9931030000000001</v>
      </c>
      <c r="T1109">
        <v>-0.19975950000000001</v>
      </c>
      <c r="U1109">
        <v>-0.1040344</v>
      </c>
      <c r="V1109">
        <v>2.3453620000000001E-2</v>
      </c>
      <c r="W1109">
        <v>-8.8359489999999999E-2</v>
      </c>
      <c r="X1109">
        <v>0.99581249999999999</v>
      </c>
      <c r="Y1109">
        <v>3.7999270000000002E-2</v>
      </c>
      <c r="Z1109">
        <v>-1.5925710000000001E-3</v>
      </c>
      <c r="AA1109">
        <v>0.99927650000000001</v>
      </c>
      <c r="AB1109">
        <v>24</v>
      </c>
      <c r="AC1109">
        <v>16.648499999999999</v>
      </c>
      <c r="AD1109">
        <v>-1.1201319999999999</v>
      </c>
      <c r="AE1109">
        <v>-0.58379999999999599</v>
      </c>
      <c r="AF1109">
        <v>0.63690961748159802</v>
      </c>
      <c r="AG1109">
        <v>-1.1201319999999999</v>
      </c>
      <c r="AH1109">
        <v>16.571519110847898</v>
      </c>
      <c r="AI1109">
        <v>93.864113247892504</v>
      </c>
      <c r="AJ1109">
        <v>87.798977857927198</v>
      </c>
      <c r="AK1109">
        <v>16.621540097098698</v>
      </c>
      <c r="AL1109">
        <v>95.069236749162002</v>
      </c>
      <c r="AM1109">
        <v>88.650805194885905</v>
      </c>
      <c r="AN1109">
        <v>1.0000000034601999</v>
      </c>
    </row>
    <row r="1110" spans="1:40" x14ac:dyDescent="0.25">
      <c r="A1110" t="str">
        <f>"20190303154117965"</f>
        <v>20190303154117965</v>
      </c>
      <c r="B1110" t="str">
        <f>"1551598877960087"</f>
        <v>1551598877960087</v>
      </c>
      <c r="C1110" t="s">
        <v>40</v>
      </c>
      <c r="D1110">
        <v>6.0089079999999999</v>
      </c>
      <c r="E1110">
        <v>0.50376220000000005</v>
      </c>
      <c r="F1110" t="s">
        <v>43</v>
      </c>
      <c r="G1110">
        <v>-282.62150000000003</v>
      </c>
      <c r="H1110">
        <v>-0.05</v>
      </c>
      <c r="I1110">
        <v>366.88740000000001</v>
      </c>
      <c r="J1110">
        <v>-299.45310000000001</v>
      </c>
      <c r="K1110">
        <v>1.07013</v>
      </c>
      <c r="L1110">
        <v>367.45389999999998</v>
      </c>
      <c r="M1110">
        <v>0.99997259999999999</v>
      </c>
      <c r="N1110">
        <v>-6.5503080000000003E-3</v>
      </c>
      <c r="O1110">
        <v>3.4175910000000002E-3</v>
      </c>
      <c r="P1110">
        <v>0.99526460000000005</v>
      </c>
      <c r="Q1110">
        <v>-9.5014039999999994E-2</v>
      </c>
      <c r="R1110">
        <v>-2.0502610000000001E-2</v>
      </c>
      <c r="S1110">
        <v>2.993439</v>
      </c>
      <c r="T1110">
        <v>-0.1966966</v>
      </c>
      <c r="U1110">
        <v>-9.9334720000000001E-2</v>
      </c>
      <c r="V1110">
        <v>2.3909440000000001E-2</v>
      </c>
      <c r="W1110">
        <v>-8.8491810000000004E-2</v>
      </c>
      <c r="X1110">
        <v>0.99578990000000001</v>
      </c>
      <c r="Y1110">
        <v>3.6489050000000002E-2</v>
      </c>
      <c r="Z1110">
        <v>-1.5188059999999999E-3</v>
      </c>
      <c r="AA1110">
        <v>0.99933289999999997</v>
      </c>
      <c r="AB1110">
        <v>24</v>
      </c>
      <c r="AC1110">
        <v>16.831599999999899</v>
      </c>
      <c r="AD1110">
        <v>-1.1201299999999901</v>
      </c>
      <c r="AE1110">
        <v>-0.56649999999996203</v>
      </c>
      <c r="AF1110">
        <v>0.62127307563765599</v>
      </c>
      <c r="AG1110">
        <v>-1.1201299999999901</v>
      </c>
      <c r="AH1110">
        <v>16.755443053868401</v>
      </c>
      <c r="AI1110">
        <v>93.822011287572295</v>
      </c>
      <c r="AJ1110">
        <v>87.876509420603895</v>
      </c>
      <c r="AK1110">
        <v>16.804331090014799</v>
      </c>
      <c r="AL1110">
        <v>95.076847992863904</v>
      </c>
      <c r="AM1110">
        <v>88.624562430245106</v>
      </c>
      <c r="AN1110">
        <v>0.99999999335009904</v>
      </c>
    </row>
    <row r="1111" spans="1:40" x14ac:dyDescent="0.25">
      <c r="A1111" t="str">
        <f>"20190303154117978"</f>
        <v>20190303154117978</v>
      </c>
      <c r="B1111" t="str">
        <f>"1551598877970824"</f>
        <v>1551598877970824</v>
      </c>
      <c r="C1111" t="s">
        <v>40</v>
      </c>
      <c r="D1111">
        <v>5.9742749999999996</v>
      </c>
      <c r="E1111">
        <v>0.50320419999999999</v>
      </c>
      <c r="F1111" t="s">
        <v>43</v>
      </c>
      <c r="G1111">
        <v>-282.07159999999999</v>
      </c>
      <c r="H1111">
        <v>-0.05</v>
      </c>
      <c r="I1111">
        <v>366.92169999999999</v>
      </c>
      <c r="J1111">
        <v>-299.32170000000002</v>
      </c>
      <c r="K1111">
        <v>1.0701339999999999</v>
      </c>
      <c r="L1111">
        <v>367.45440000000002</v>
      </c>
      <c r="M1111">
        <v>0.99997250000000004</v>
      </c>
      <c r="N1111">
        <v>-6.569386E-3</v>
      </c>
      <c r="O1111">
        <v>3.450552E-3</v>
      </c>
      <c r="P1111">
        <v>0.99527069999999995</v>
      </c>
      <c r="Q1111">
        <v>-9.4927280000000003E-2</v>
      </c>
      <c r="R1111">
        <v>-2.0612060000000001E-2</v>
      </c>
      <c r="S1111">
        <v>2.9939580000000001</v>
      </c>
      <c r="T1111">
        <v>-0.1929418</v>
      </c>
      <c r="U1111">
        <v>-9.1674800000000001E-2</v>
      </c>
      <c r="V1111">
        <v>2.4051610000000001E-2</v>
      </c>
      <c r="W1111">
        <v>-8.838596E-2</v>
      </c>
      <c r="X1111">
        <v>0.99579589999999996</v>
      </c>
      <c r="Y1111">
        <v>3.3971059999999997E-2</v>
      </c>
      <c r="Z1111">
        <v>-1.404406E-3</v>
      </c>
      <c r="AA1111">
        <v>0.99942180000000003</v>
      </c>
      <c r="AB1111">
        <v>24</v>
      </c>
      <c r="AC1111">
        <v>17.2501</v>
      </c>
      <c r="AD1111">
        <v>-1.120134</v>
      </c>
      <c r="AE1111">
        <v>-0.53270000000003304</v>
      </c>
      <c r="AF1111">
        <v>0.58973619816120404</v>
      </c>
      <c r="AG1111">
        <v>-1.120134</v>
      </c>
      <c r="AH1111">
        <v>17.175805598116</v>
      </c>
      <c r="AI1111">
        <v>93.729115237869706</v>
      </c>
      <c r="AJ1111">
        <v>88.0335055533466</v>
      </c>
      <c r="AK1111">
        <v>17.2223920204381</v>
      </c>
      <c r="AL1111">
        <v>95.070759260975606</v>
      </c>
      <c r="AM1111">
        <v>88.616395324646007</v>
      </c>
      <c r="AN1111">
        <v>1.00000001616276</v>
      </c>
    </row>
    <row r="1112" spans="1:40" x14ac:dyDescent="0.25">
      <c r="A1112" t="str">
        <f>"20190303154117991"</f>
        <v>20190303154117991</v>
      </c>
      <c r="B1112" t="str">
        <f>"1551598877980584"</f>
        <v>1551598877980584</v>
      </c>
      <c r="C1112" t="s">
        <v>40</v>
      </c>
      <c r="D1112">
        <v>6.0015559999999999</v>
      </c>
      <c r="E1112">
        <v>0.50276309999999902</v>
      </c>
      <c r="F1112" t="s">
        <v>43</v>
      </c>
      <c r="G1112">
        <v>-281.70740000000001</v>
      </c>
      <c r="H1112">
        <v>-0.05</v>
      </c>
      <c r="I1112">
        <v>366.94130000000001</v>
      </c>
      <c r="J1112">
        <v>-299.1782</v>
      </c>
      <c r="K1112">
        <v>1.070136</v>
      </c>
      <c r="L1112">
        <v>367.45490000000001</v>
      </c>
      <c r="M1112">
        <v>0.99997230000000004</v>
      </c>
      <c r="N1112">
        <v>-6.5918169999999998E-3</v>
      </c>
      <c r="O1112">
        <v>3.4863030000000001E-3</v>
      </c>
      <c r="P1112">
        <v>0.99521579999999998</v>
      </c>
      <c r="Q1112">
        <v>-9.5488069999999994E-2</v>
      </c>
      <c r="R1112">
        <v>-2.0683489999999999E-2</v>
      </c>
      <c r="S1112">
        <v>2.9942929999999999</v>
      </c>
      <c r="T1112">
        <v>-0.19041469999999999</v>
      </c>
      <c r="U1112">
        <v>-8.7219240000000003E-2</v>
      </c>
      <c r="V1112">
        <v>2.4158369999999998E-2</v>
      </c>
      <c r="W1112">
        <v>-8.8924760000000005E-2</v>
      </c>
      <c r="X1112">
        <v>0.99574530000000006</v>
      </c>
      <c r="Y1112">
        <v>3.2522750000000003E-2</v>
      </c>
      <c r="Z1112">
        <v>-1.3386540000000001E-3</v>
      </c>
      <c r="AA1112">
        <v>0.99947010000000003</v>
      </c>
      <c r="AB1112">
        <v>24</v>
      </c>
      <c r="AC1112">
        <v>17.470799999999901</v>
      </c>
      <c r="AD1112">
        <v>-1.120136</v>
      </c>
      <c r="AE1112">
        <v>-0.51359999999999595</v>
      </c>
      <c r="AF1112">
        <v>0.57215676339394805</v>
      </c>
      <c r="AG1112">
        <v>-1.120136</v>
      </c>
      <c r="AH1112">
        <v>17.3974492521305</v>
      </c>
      <c r="AI1112">
        <v>93.681922829623304</v>
      </c>
      <c r="AJ1112">
        <v>88.116370043770502</v>
      </c>
      <c r="AK1112">
        <v>17.442858381035101</v>
      </c>
      <c r="AL1112">
        <v>95.101752496493205</v>
      </c>
      <c r="AM1112">
        <v>88.610185606127104</v>
      </c>
      <c r="AN1112">
        <v>0.99999997112710204</v>
      </c>
    </row>
    <row r="1113" spans="1:40" x14ac:dyDescent="0.25">
      <c r="A1113" t="str">
        <f>"20190303154118004"</f>
        <v>20190303154118004</v>
      </c>
      <c r="B1113" t="str">
        <f>"1551598878000103"</f>
        <v>1551598878000103</v>
      </c>
      <c r="C1113" t="s">
        <v>40</v>
      </c>
      <c r="D1113">
        <v>5.9844169999999997</v>
      </c>
      <c r="E1113">
        <v>0.50192570000000003</v>
      </c>
      <c r="F1113" t="s">
        <v>43</v>
      </c>
      <c r="G1113">
        <v>-281.55099999999999</v>
      </c>
      <c r="H1113">
        <v>-0.05</v>
      </c>
      <c r="I1113">
        <v>366.96</v>
      </c>
      <c r="J1113">
        <v>-299.0444</v>
      </c>
      <c r="K1113">
        <v>1.0701350000000001</v>
      </c>
      <c r="L1113">
        <v>367.4554</v>
      </c>
      <c r="M1113">
        <v>0.99997219999999998</v>
      </c>
      <c r="N1113">
        <v>-6.6134180000000002E-3</v>
      </c>
      <c r="O1113">
        <v>3.5199099999999998E-3</v>
      </c>
      <c r="P1113">
        <v>0.99519000000000002</v>
      </c>
      <c r="Q1113">
        <v>-9.5742740000000007E-2</v>
      </c>
      <c r="R1113">
        <v>-2.0749710000000001E-2</v>
      </c>
      <c r="S1113">
        <v>2.9943849999999999</v>
      </c>
      <c r="T1113">
        <v>-0.1902808</v>
      </c>
      <c r="U1113">
        <v>-8.4075929999999993E-2</v>
      </c>
      <c r="V1113">
        <v>2.4258129999999999E-2</v>
      </c>
      <c r="W1113">
        <v>-8.9158080000000001E-2</v>
      </c>
      <c r="X1113">
        <v>0.99572210000000005</v>
      </c>
      <c r="Y1113">
        <v>3.15094E-2</v>
      </c>
      <c r="Z1113">
        <v>-1.3044269999999999E-3</v>
      </c>
      <c r="AA1113">
        <v>0.99950260000000002</v>
      </c>
      <c r="AB1113">
        <v>24</v>
      </c>
      <c r="AC1113">
        <v>17.493400000000001</v>
      </c>
      <c r="AD1113">
        <v>-1.1201350000000001</v>
      </c>
      <c r="AE1113">
        <v>-0.49540000000001699</v>
      </c>
      <c r="AF1113">
        <v>0.55470095930932595</v>
      </c>
      <c r="AG1113">
        <v>-1.1201350000000001</v>
      </c>
      <c r="AH1113">
        <v>17.420180931787598</v>
      </c>
      <c r="AI1113">
        <v>93.677252078829795</v>
      </c>
      <c r="AJ1113">
        <v>88.176179178614703</v>
      </c>
      <c r="AK1113">
        <v>17.464967771762499</v>
      </c>
      <c r="AL1113">
        <v>95.115173602489605</v>
      </c>
      <c r="AM1113">
        <v>88.604416243914102</v>
      </c>
      <c r="AN1113">
        <v>1.0000000602643899</v>
      </c>
    </row>
    <row r="1114" spans="1:40" x14ac:dyDescent="0.25">
      <c r="A1114" t="str">
        <f>"20190303154118016"</f>
        <v>20190303154118016</v>
      </c>
      <c r="B1114" t="str">
        <f>"1551598878009863"</f>
        <v>1551598878009863</v>
      </c>
      <c r="C1114" t="s">
        <v>40</v>
      </c>
      <c r="D1114">
        <v>5.9900769999999897</v>
      </c>
      <c r="E1114">
        <v>0.50156780000000001</v>
      </c>
      <c r="F1114" t="s">
        <v>43</v>
      </c>
      <c r="G1114">
        <v>-281.20780000000002</v>
      </c>
      <c r="H1114">
        <v>-0.05</v>
      </c>
      <c r="I1114">
        <v>366.99340000000001</v>
      </c>
      <c r="J1114">
        <v>-298.90289999999999</v>
      </c>
      <c r="K1114">
        <v>1.0701339999999999</v>
      </c>
      <c r="L1114">
        <v>367.45589999999999</v>
      </c>
      <c r="M1114">
        <v>0.99997179999999997</v>
      </c>
      <c r="N1114">
        <v>-6.6366139999999999E-3</v>
      </c>
      <c r="O1114">
        <v>3.55536E-3</v>
      </c>
      <c r="P1114">
        <v>0.99516959999999999</v>
      </c>
      <c r="Q1114">
        <v>-9.5946000000000004E-2</v>
      </c>
      <c r="R1114">
        <v>-2.0793880000000001E-2</v>
      </c>
      <c r="S1114">
        <v>2.99472</v>
      </c>
      <c r="T1114">
        <v>-0.18806819999999999</v>
      </c>
      <c r="U1114">
        <v>-7.7575679999999994E-2</v>
      </c>
      <c r="V1114">
        <v>2.4337299999999999E-2</v>
      </c>
      <c r="W1114">
        <v>-8.9338349999999997E-2</v>
      </c>
      <c r="X1114">
        <v>0.99570389999999998</v>
      </c>
      <c r="Y1114">
        <v>2.937998E-2</v>
      </c>
      <c r="Z1114">
        <v>-1.2185339999999901E-3</v>
      </c>
      <c r="AA1114">
        <v>0.9995676</v>
      </c>
      <c r="AB1114">
        <v>24</v>
      </c>
      <c r="AC1114">
        <v>17.695099999999901</v>
      </c>
      <c r="AD1114">
        <v>-1.120134</v>
      </c>
      <c r="AE1114">
        <v>-0.46249999999997699</v>
      </c>
      <c r="AF1114">
        <v>0.52331534063625396</v>
      </c>
      <c r="AG1114">
        <v>-1.120134</v>
      </c>
      <c r="AH1114">
        <v>17.622775145861802</v>
      </c>
      <c r="AI1114">
        <v>93.635327854214694</v>
      </c>
      <c r="AJ1114">
        <v>88.299078811869606</v>
      </c>
      <c r="AK1114">
        <v>17.666090766361101</v>
      </c>
      <c r="AL1114">
        <v>95.125544257787098</v>
      </c>
      <c r="AM1114">
        <v>88.599837777497598</v>
      </c>
      <c r="AN1114">
        <v>0.99999995071361003</v>
      </c>
    </row>
    <row r="1115" spans="1:40" x14ac:dyDescent="0.25">
      <c r="A1115" t="str">
        <f>"20190303154118033"</f>
        <v>20190303154118033</v>
      </c>
      <c r="B1115" t="str">
        <f>"1551598878020600"</f>
        <v>1551598878020600</v>
      </c>
      <c r="C1115" t="s">
        <v>40</v>
      </c>
      <c r="D1115">
        <v>5.9965310000000001</v>
      </c>
      <c r="E1115">
        <v>0.50127709999999903</v>
      </c>
      <c r="F1115" t="s">
        <v>43</v>
      </c>
      <c r="G1115">
        <v>-281.02010000000001</v>
      </c>
      <c r="H1115">
        <v>-0.05</v>
      </c>
      <c r="I1115">
        <v>367.00959999999998</v>
      </c>
      <c r="J1115">
        <v>-298.72480000000002</v>
      </c>
      <c r="K1115">
        <v>1.070133</v>
      </c>
      <c r="L1115">
        <v>367.45659999999998</v>
      </c>
      <c r="M1115">
        <v>0.99997130000000001</v>
      </c>
      <c r="N1115">
        <v>-6.6655689999999997E-3</v>
      </c>
      <c r="O1115">
        <v>3.6005049999999999E-3</v>
      </c>
      <c r="P1115">
        <v>0.99520589999999998</v>
      </c>
      <c r="Q1115">
        <v>-9.5612130000000004E-2</v>
      </c>
      <c r="R1115">
        <v>-2.058745E-2</v>
      </c>
      <c r="S1115">
        <v>2.9948730000000001</v>
      </c>
      <c r="T1115">
        <v>-0.1875918</v>
      </c>
      <c r="U1115">
        <v>-7.473755E-2</v>
      </c>
      <c r="V1115">
        <v>2.4176090000000001E-2</v>
      </c>
      <c r="W1115">
        <v>-8.8975440000000003E-2</v>
      </c>
      <c r="X1115">
        <v>0.99574039999999997</v>
      </c>
      <c r="Y1115">
        <v>2.847935E-2</v>
      </c>
      <c r="Z1115">
        <v>-1.187261E-3</v>
      </c>
      <c r="AA1115">
        <v>0.99959370000000003</v>
      </c>
      <c r="AB1115">
        <v>24</v>
      </c>
      <c r="AC1115">
        <v>17.704699999999999</v>
      </c>
      <c r="AD1115">
        <v>-1.120133</v>
      </c>
      <c r="AE1115">
        <v>-0.44700000000000201</v>
      </c>
      <c r="AF1115">
        <v>0.508709423459062</v>
      </c>
      <c r="AG1115">
        <v>-1.120133</v>
      </c>
      <c r="AH1115">
        <v>17.632441897796198</v>
      </c>
      <c r="AI1115">
        <v>93.633426457469696</v>
      </c>
      <c r="AJ1115">
        <v>88.347431388200505</v>
      </c>
      <c r="AK1115">
        <v>17.675307366333499</v>
      </c>
      <c r="AL1115">
        <v>95.104667510492405</v>
      </c>
      <c r="AM1115">
        <v>88.609159745450697</v>
      </c>
      <c r="AN1115">
        <v>1.00000002822152</v>
      </c>
    </row>
    <row r="1116" spans="1:40" x14ac:dyDescent="0.25">
      <c r="A1116" t="str">
        <f>"20190303154118045"</f>
        <v>20190303154118045</v>
      </c>
      <c r="B1116" t="str">
        <f>"1551598878040120"</f>
        <v>1551598878040120</v>
      </c>
      <c r="C1116" t="s">
        <v>40</v>
      </c>
      <c r="D1116">
        <v>5.9643639999999998</v>
      </c>
      <c r="E1116">
        <v>0.50077209999999905</v>
      </c>
      <c r="F1116" t="s">
        <v>43</v>
      </c>
      <c r="G1116">
        <v>-280.57409999999999</v>
      </c>
      <c r="H1116">
        <v>-0.05</v>
      </c>
      <c r="I1116">
        <v>367.02019999999999</v>
      </c>
      <c r="J1116">
        <v>-298.59019999999998</v>
      </c>
      <c r="K1116">
        <v>1.0701449999999999</v>
      </c>
      <c r="L1116">
        <v>367.4572</v>
      </c>
      <c r="M1116">
        <v>0.99997100000000005</v>
      </c>
      <c r="N1116">
        <v>-6.6884960000000004E-3</v>
      </c>
      <c r="O1116">
        <v>3.6342850000000001E-3</v>
      </c>
      <c r="P1116">
        <v>0.99518530000000005</v>
      </c>
      <c r="Q1116">
        <v>-9.5826010000000003E-2</v>
      </c>
      <c r="R1116">
        <v>-2.058318E-2</v>
      </c>
      <c r="S1116">
        <v>2.9952390000000002</v>
      </c>
      <c r="T1116">
        <v>-0.18484519999999999</v>
      </c>
      <c r="U1116">
        <v>-7.2021479999999999E-2</v>
      </c>
      <c r="V1116">
        <v>2.420549E-2</v>
      </c>
      <c r="W1116">
        <v>-8.9166609999999993E-2</v>
      </c>
      <c r="X1116">
        <v>0.99572249999999995</v>
      </c>
      <c r="Y1116">
        <v>2.7607840000000002E-2</v>
      </c>
      <c r="Z1116">
        <v>-1.143144E-3</v>
      </c>
      <c r="AA1116">
        <v>0.99961820000000001</v>
      </c>
      <c r="AB1116">
        <v>24</v>
      </c>
      <c r="AC1116">
        <v>18.016099999999899</v>
      </c>
      <c r="AD1116">
        <v>-1.1201449999999999</v>
      </c>
      <c r="AE1116">
        <v>-0.43700000000001099</v>
      </c>
      <c r="AF1116">
        <v>0.50054042640622798</v>
      </c>
      <c r="AG1116">
        <v>-1.1201449999999999</v>
      </c>
      <c r="AH1116">
        <v>17.945063551559301</v>
      </c>
      <c r="AI1116">
        <v>93.570428414642805</v>
      </c>
      <c r="AJ1116">
        <v>88.402267020997499</v>
      </c>
      <c r="AK1116">
        <v>17.986955590343701</v>
      </c>
      <c r="AL1116">
        <v>95.115664888500305</v>
      </c>
      <c r="AM1116">
        <v>88.607444017905806</v>
      </c>
      <c r="AN1116">
        <v>0.99999994354563904</v>
      </c>
    </row>
    <row r="1117" spans="1:40" x14ac:dyDescent="0.25">
      <c r="A1117" t="str">
        <f>"20190303154118058"</f>
        <v>20190303154118058</v>
      </c>
      <c r="B1117" t="str">
        <f>"1551598878049879"</f>
        <v>1551598878049879</v>
      </c>
      <c r="C1117" t="s">
        <v>40</v>
      </c>
      <c r="D1117">
        <v>5.9781370000000003</v>
      </c>
      <c r="E1117">
        <v>0.50058340000000001</v>
      </c>
      <c r="F1117" t="s">
        <v>43</v>
      </c>
      <c r="G1117">
        <v>-280.30990000000003</v>
      </c>
      <c r="H1117">
        <v>-0.05</v>
      </c>
      <c r="I1117">
        <v>367.04349999999999</v>
      </c>
      <c r="J1117">
        <v>-298.45030000000003</v>
      </c>
      <c r="K1117">
        <v>1.070147</v>
      </c>
      <c r="L1117">
        <v>367.45769999999999</v>
      </c>
      <c r="M1117">
        <v>0.99997069999999999</v>
      </c>
      <c r="N1117">
        <v>-6.7133050000000001E-3</v>
      </c>
      <c r="O1117">
        <v>3.6694890000000002E-3</v>
      </c>
      <c r="P1117">
        <v>0.99521490000000001</v>
      </c>
      <c r="Q1117">
        <v>-9.5544100000000007E-2</v>
      </c>
      <c r="R1117">
        <v>-2.0467659999999999E-2</v>
      </c>
      <c r="S1117">
        <v>2.995422</v>
      </c>
      <c r="T1117">
        <v>-0.18354770000000001</v>
      </c>
      <c r="U1117">
        <v>-6.7779539999999999E-2</v>
      </c>
      <c r="V1117">
        <v>2.412506E-2</v>
      </c>
      <c r="W1117">
        <v>-8.8859779999999999E-2</v>
      </c>
      <c r="X1117">
        <v>0.99575190000000002</v>
      </c>
      <c r="Y1117">
        <v>2.6230369999999999E-2</v>
      </c>
      <c r="Z1117">
        <v>-1.0909450000000001E-3</v>
      </c>
      <c r="AA1117">
        <v>0.99965530000000002</v>
      </c>
      <c r="AB1117">
        <v>24</v>
      </c>
      <c r="AC1117">
        <v>18.1404</v>
      </c>
      <c r="AD1117">
        <v>-1.120147</v>
      </c>
      <c r="AE1117">
        <v>-0.41419999999999302</v>
      </c>
      <c r="AF1117">
        <v>0.47893951102153898</v>
      </c>
      <c r="AG1117">
        <v>-1.120147</v>
      </c>
      <c r="AH1117">
        <v>18.069894980883699</v>
      </c>
      <c r="AI1117">
        <v>93.545965883910299</v>
      </c>
      <c r="AJ1117">
        <v>88.481740514427301</v>
      </c>
      <c r="AK1117">
        <v>18.110914305384799</v>
      </c>
      <c r="AL1117">
        <v>95.098014662434693</v>
      </c>
      <c r="AM1117">
        <v>88.612110353055499</v>
      </c>
      <c r="AN1117">
        <v>0.99999996268763003</v>
      </c>
    </row>
    <row r="1118" spans="1:40" x14ac:dyDescent="0.25">
      <c r="A1118" t="str">
        <f>"20190303154118071"</f>
        <v>20190303154118071</v>
      </c>
      <c r="B1118" t="str">
        <f>"1551598878060616"</f>
        <v>1551598878060616</v>
      </c>
      <c r="C1118" t="s">
        <v>40</v>
      </c>
      <c r="D1118">
        <v>5.9750740000000002</v>
      </c>
      <c r="E1118">
        <v>0.50033430000000001</v>
      </c>
      <c r="F1118" t="s">
        <v>43</v>
      </c>
      <c r="G1118">
        <v>-280.03019999999998</v>
      </c>
      <c r="H1118">
        <v>-0.05</v>
      </c>
      <c r="I1118">
        <v>367.05009999999999</v>
      </c>
      <c r="J1118">
        <v>-298.31180000000001</v>
      </c>
      <c r="K1118">
        <v>1.0701480000000001</v>
      </c>
      <c r="L1118">
        <v>367.45819999999998</v>
      </c>
      <c r="M1118">
        <v>0.99997040000000004</v>
      </c>
      <c r="N1118">
        <v>-6.7404930000000002E-3</v>
      </c>
      <c r="O1118">
        <v>3.7040879999999999E-3</v>
      </c>
      <c r="P1118">
        <v>0.99521510000000002</v>
      </c>
      <c r="Q1118">
        <v>-9.5554639999999996E-2</v>
      </c>
      <c r="R1118">
        <v>-2.0396379999999999E-2</v>
      </c>
      <c r="S1118">
        <v>2.9955750000000001</v>
      </c>
      <c r="T1118">
        <v>-0.18216379999999999</v>
      </c>
      <c r="U1118">
        <v>-6.6284179999999998E-2</v>
      </c>
      <c r="V1118">
        <v>2.4088399999999999E-2</v>
      </c>
      <c r="W1118">
        <v>-8.8843290000000005E-2</v>
      </c>
      <c r="X1118">
        <v>0.99575429999999998</v>
      </c>
      <c r="Y1118">
        <v>2.5766799999999999E-2</v>
      </c>
      <c r="Z1118">
        <v>-1.069647E-3</v>
      </c>
      <c r="AA1118">
        <v>0.99966739999999998</v>
      </c>
      <c r="AB1118">
        <v>24</v>
      </c>
      <c r="AC1118">
        <v>18.281600000000001</v>
      </c>
      <c r="AD1118">
        <v>-1.1201479999999999</v>
      </c>
      <c r="AE1118">
        <v>-0.40809999999999003</v>
      </c>
      <c r="AF1118">
        <v>0.47403663286109199</v>
      </c>
      <c r="AG1118">
        <v>-1.1201479999999999</v>
      </c>
      <c r="AH1118">
        <v>18.211626085626001</v>
      </c>
      <c r="AI1118">
        <v>93.518486107344799</v>
      </c>
      <c r="AJ1118">
        <v>88.508965271934898</v>
      </c>
      <c r="AK1118">
        <v>18.252198962148402</v>
      </c>
      <c r="AL1118">
        <v>95.097065894345306</v>
      </c>
      <c r="AM1118">
        <v>88.614221880514904</v>
      </c>
      <c r="AN1118">
        <v>1.0000000035805301</v>
      </c>
    </row>
    <row r="1119" spans="1:40" x14ac:dyDescent="0.25">
      <c r="A1119" t="str">
        <f>"20190303154118085"</f>
        <v>20190303154118085</v>
      </c>
      <c r="B1119" t="str">
        <f>"1551598878080136"</f>
        <v>1551598878080136</v>
      </c>
      <c r="C1119" t="s">
        <v>40</v>
      </c>
      <c r="D1119">
        <v>5.9984289999999998</v>
      </c>
      <c r="E1119">
        <v>0.49994070000000002</v>
      </c>
      <c r="F1119" t="s">
        <v>43</v>
      </c>
      <c r="G1119">
        <v>-279.82490000000001</v>
      </c>
      <c r="H1119">
        <v>-0.05</v>
      </c>
      <c r="I1119">
        <v>367.0652</v>
      </c>
      <c r="J1119">
        <v>-298.16609999999997</v>
      </c>
      <c r="K1119">
        <v>1.0701529999999999</v>
      </c>
      <c r="L1119">
        <v>367.4588</v>
      </c>
      <c r="M1119">
        <v>0.99997020000000003</v>
      </c>
      <c r="N1119">
        <v>-6.7711350000000002E-3</v>
      </c>
      <c r="O1119">
        <v>3.7398050000000001E-3</v>
      </c>
      <c r="P1119">
        <v>0.99519539999999995</v>
      </c>
      <c r="Q1119">
        <v>-9.5786570000000001E-2</v>
      </c>
      <c r="R1119">
        <v>-2.0288710000000001E-2</v>
      </c>
      <c r="S1119">
        <v>2.9956969999999998</v>
      </c>
      <c r="T1119">
        <v>-0.18151410000000001</v>
      </c>
      <c r="U1119">
        <v>-6.3690189999999994E-2</v>
      </c>
      <c r="V1119">
        <v>2.4015959999999999E-2</v>
      </c>
      <c r="W1119">
        <v>-8.9044819999999997E-2</v>
      </c>
      <c r="X1119">
        <v>0.99573800000000001</v>
      </c>
      <c r="Y1119">
        <v>2.4938399999999999E-2</v>
      </c>
      <c r="Z1119">
        <v>-1.0403490000000001E-3</v>
      </c>
      <c r="AA1119">
        <v>0.99968840000000003</v>
      </c>
      <c r="AB1119">
        <v>24</v>
      </c>
      <c r="AC1119">
        <v>18.341199999999901</v>
      </c>
      <c r="AD1119">
        <v>-1.120153</v>
      </c>
      <c r="AE1119">
        <v>-0.39359999999999201</v>
      </c>
      <c r="AF1119">
        <v>0.46047458177494399</v>
      </c>
      <c r="AG1119">
        <v>-1.120153</v>
      </c>
      <c r="AH1119">
        <v>18.271479973780298</v>
      </c>
      <c r="AI1119">
        <v>93.507078751279295</v>
      </c>
      <c r="AJ1119">
        <v>88.556347561318901</v>
      </c>
      <c r="AK1119">
        <v>18.3115744821718</v>
      </c>
      <c r="AL1119">
        <v>95.108658905677103</v>
      </c>
      <c r="AM1119">
        <v>88.618365045289394</v>
      </c>
      <c r="AN1119">
        <v>0.99999995547377596</v>
      </c>
    </row>
    <row r="1120" spans="1:40" x14ac:dyDescent="0.25">
      <c r="A1120" t="str">
        <f>"20190303154118102"</f>
        <v>20190303154118102</v>
      </c>
      <c r="B1120" t="str">
        <f>"1551598878089896"</f>
        <v>1551598878089896</v>
      </c>
      <c r="C1120" t="s">
        <v>40</v>
      </c>
      <c r="D1120">
        <v>6.0215889999999996</v>
      </c>
      <c r="E1120">
        <v>0.49973040000000002</v>
      </c>
      <c r="F1120" t="s">
        <v>43</v>
      </c>
      <c r="G1120">
        <v>-279.53190000000001</v>
      </c>
      <c r="H1120">
        <v>-0.05</v>
      </c>
      <c r="I1120">
        <v>367.08150000000001</v>
      </c>
      <c r="J1120">
        <v>-297.97649999999999</v>
      </c>
      <c r="K1120">
        <v>1.0701529999999999</v>
      </c>
      <c r="L1120">
        <v>367.45960000000002</v>
      </c>
      <c r="M1120">
        <v>0.99996980000000002</v>
      </c>
      <c r="N1120">
        <v>-6.8147109999999898E-3</v>
      </c>
      <c r="O1120">
        <v>3.7854289999999999E-3</v>
      </c>
      <c r="P1120">
        <v>0.99517219999999995</v>
      </c>
      <c r="Q1120">
        <v>-9.5953490000000002E-2</v>
      </c>
      <c r="R1120">
        <v>-2.063425E-2</v>
      </c>
      <c r="S1120">
        <v>2.995911</v>
      </c>
      <c r="T1120">
        <v>-0.18009259999999999</v>
      </c>
      <c r="U1120">
        <v>-6.0668949999999999E-2</v>
      </c>
      <c r="V1120">
        <v>2.4406669999999998E-2</v>
      </c>
      <c r="W1120">
        <v>-8.9168549999999999E-2</v>
      </c>
      <c r="X1120">
        <v>0.99571750000000003</v>
      </c>
      <c r="Y1120">
        <v>2.3977490000000001E-2</v>
      </c>
      <c r="Z1120">
        <v>-1.003297E-3</v>
      </c>
      <c r="AA1120">
        <v>0.99971200000000005</v>
      </c>
      <c r="AB1120">
        <v>24</v>
      </c>
      <c r="AC1120">
        <v>18.444599999999902</v>
      </c>
      <c r="AD1120">
        <v>-1.120153</v>
      </c>
      <c r="AE1120">
        <v>-0.37810000000001698</v>
      </c>
      <c r="AF1120">
        <v>0.44627435863571902</v>
      </c>
      <c r="AG1120">
        <v>-1.120153</v>
      </c>
      <c r="AH1120">
        <v>18.375292978030298</v>
      </c>
      <c r="AI1120">
        <v>93.487392933339294</v>
      </c>
      <c r="AJ1120">
        <v>88.608750798185099</v>
      </c>
      <c r="AK1120">
        <v>18.414811852827501</v>
      </c>
      <c r="AL1120">
        <v>95.115776054536795</v>
      </c>
      <c r="AM1120">
        <v>88.595867581353403</v>
      </c>
      <c r="AN1120">
        <v>1.00000002782792</v>
      </c>
    </row>
    <row r="1121" spans="1:40" x14ac:dyDescent="0.25">
      <c r="A1121" t="str">
        <f>"20190303154118118"</f>
        <v>20190303154118118</v>
      </c>
      <c r="B1121" t="str">
        <f>"1551598878110391"</f>
        <v>1551598878110391</v>
      </c>
      <c r="C1121" t="s">
        <v>40</v>
      </c>
      <c r="D1121">
        <v>6.0302049999999996</v>
      </c>
      <c r="E1121">
        <v>0.49945929999999999</v>
      </c>
      <c r="F1121" t="s">
        <v>43</v>
      </c>
      <c r="G1121">
        <v>-279.27629999999999</v>
      </c>
      <c r="H1121">
        <v>-0.05</v>
      </c>
      <c r="I1121">
        <v>367.08659999999998</v>
      </c>
      <c r="J1121">
        <v>-297.80329999999998</v>
      </c>
      <c r="K1121">
        <v>1.07016</v>
      </c>
      <c r="L1121">
        <v>367.46030000000002</v>
      </c>
      <c r="M1121">
        <v>0.9999692</v>
      </c>
      <c r="N1121">
        <v>-6.8590150000000004E-3</v>
      </c>
      <c r="O1121">
        <v>3.8256789999999998E-3</v>
      </c>
      <c r="P1121">
        <v>0.99511839999999996</v>
      </c>
      <c r="Q1121">
        <v>-9.6442739999999999E-2</v>
      </c>
      <c r="R1121">
        <v>-2.0937859999999999E-2</v>
      </c>
      <c r="S1121">
        <v>2.9960019999999998</v>
      </c>
      <c r="T1121">
        <v>-0.17946239999999999</v>
      </c>
      <c r="U1121">
        <v>-5.9753420000000002E-2</v>
      </c>
      <c r="V1121">
        <v>2.4749859999999999E-2</v>
      </c>
      <c r="W1121">
        <v>-8.9614100000000002E-2</v>
      </c>
      <c r="X1121">
        <v>0.99566900000000003</v>
      </c>
      <c r="Y1121">
        <v>2.3712540000000001E-2</v>
      </c>
      <c r="Z1121">
        <v>-9.9362179999999993E-4</v>
      </c>
      <c r="AA1121">
        <v>0.99971829999999995</v>
      </c>
      <c r="AB1121">
        <v>25</v>
      </c>
      <c r="AC1121">
        <v>18.526999999999902</v>
      </c>
      <c r="AD1121">
        <v>-1.12016</v>
      </c>
      <c r="AE1121">
        <v>-0.373700000000042</v>
      </c>
      <c r="AF1121">
        <v>0.44295869573407198</v>
      </c>
      <c r="AG1121">
        <v>-1.12016</v>
      </c>
      <c r="AH1121">
        <v>18.457988501852402</v>
      </c>
      <c r="AI1121">
        <v>93.471852756111005</v>
      </c>
      <c r="AJ1121">
        <v>88.625267684197297</v>
      </c>
      <c r="AK1121">
        <v>18.497251427340299</v>
      </c>
      <c r="AL1121">
        <v>95.141406942521101</v>
      </c>
      <c r="AM1121">
        <v>88.576062368155405</v>
      </c>
      <c r="AN1121">
        <v>1.0000000000249101</v>
      </c>
    </row>
    <row r="1122" spans="1:40" x14ac:dyDescent="0.25">
      <c r="A1122" t="str">
        <f>"20190303154118134"</f>
        <v>20190303154118134</v>
      </c>
      <c r="B1122" t="str">
        <f>"1551598878129911"</f>
        <v>1551598878129911</v>
      </c>
      <c r="C1122" t="s">
        <v>40</v>
      </c>
      <c r="D1122">
        <v>6.0066509999999997</v>
      </c>
      <c r="E1122">
        <v>0.4991814</v>
      </c>
      <c r="F1122" t="s">
        <v>43</v>
      </c>
      <c r="G1122">
        <v>-279.12810000000002</v>
      </c>
      <c r="H1122">
        <v>-0.05</v>
      </c>
      <c r="I1122">
        <v>367.09559999999999</v>
      </c>
      <c r="J1122">
        <v>-297.60890000000001</v>
      </c>
      <c r="K1122">
        <v>1.0701620000000001</v>
      </c>
      <c r="L1122">
        <v>367.46109999999999</v>
      </c>
      <c r="M1122">
        <v>0.99996859999999999</v>
      </c>
      <c r="N1122">
        <v>-6.9139359999999999E-3</v>
      </c>
      <c r="O1122">
        <v>3.8676689999999998E-3</v>
      </c>
      <c r="P1122">
        <v>0.99510129999999997</v>
      </c>
      <c r="Q1122">
        <v>-9.652753E-2</v>
      </c>
      <c r="R1122">
        <v>-2.1349859999999998E-2</v>
      </c>
      <c r="S1122">
        <v>2.9960629999999999</v>
      </c>
      <c r="T1122">
        <v>-0.1797076</v>
      </c>
      <c r="U1122">
        <v>-5.85021999999999E-2</v>
      </c>
      <c r="V1122">
        <v>2.5203139999999999E-2</v>
      </c>
      <c r="W1122">
        <v>-8.9644470000000004E-2</v>
      </c>
      <c r="X1122">
        <v>0.99565490000000001</v>
      </c>
      <c r="Y1122">
        <v>2.3337299999999998E-2</v>
      </c>
      <c r="Z1122">
        <v>-9.8501300000000008E-4</v>
      </c>
      <c r="AA1122">
        <v>0.99972720000000004</v>
      </c>
      <c r="AB1122">
        <v>25</v>
      </c>
      <c r="AC1122">
        <v>18.480799999999899</v>
      </c>
      <c r="AD1122">
        <v>-1.1201620000000001</v>
      </c>
      <c r="AE1122">
        <v>-0.36549999999999699</v>
      </c>
      <c r="AF1122">
        <v>0.43537771090444999</v>
      </c>
      <c r="AG1122">
        <v>-1.1201620000000001</v>
      </c>
      <c r="AH1122">
        <v>18.411633168466999</v>
      </c>
      <c r="AI1122">
        <v>93.4806076886196</v>
      </c>
      <c r="AJ1122">
        <v>88.645385932747899</v>
      </c>
      <c r="AK1122">
        <v>18.450814415293198</v>
      </c>
      <c r="AL1122">
        <v>95.143154023603799</v>
      </c>
      <c r="AM1122">
        <v>88.5499742457407</v>
      </c>
      <c r="AN1122">
        <v>1.00000000458072</v>
      </c>
    </row>
    <row r="1123" spans="1:40" x14ac:dyDescent="0.25">
      <c r="A1123" t="str">
        <f>"20190303154118157"</f>
        <v>20190303154118157</v>
      </c>
      <c r="B1123" t="str">
        <f>"1551598878150407"</f>
        <v>1551598878150407</v>
      </c>
      <c r="C1123" t="s">
        <v>40</v>
      </c>
      <c r="D1123">
        <v>6.4954749999999999</v>
      </c>
      <c r="E1123">
        <v>0.49903359999999902</v>
      </c>
      <c r="F1123" t="s">
        <v>41</v>
      </c>
      <c r="G1123">
        <v>-279.6422</v>
      </c>
      <c r="H1123" s="1">
        <v>-7.7311380000000004E-7</v>
      </c>
      <c r="I1123">
        <v>367.11590000000001</v>
      </c>
      <c r="J1123">
        <v>-297.36630000000002</v>
      </c>
      <c r="K1123">
        <v>1.070166</v>
      </c>
      <c r="L1123">
        <v>367.46210000000002</v>
      </c>
      <c r="M1123">
        <v>0.99996810000000003</v>
      </c>
      <c r="N1123">
        <v>-6.9884999999999999E-3</v>
      </c>
      <c r="O1123">
        <v>3.9135039999999999E-3</v>
      </c>
      <c r="P1123">
        <v>0.99511150000000004</v>
      </c>
      <c r="Q1123">
        <v>-9.6468899999999996E-2</v>
      </c>
      <c r="R1123">
        <v>-2.1151429999999999E-2</v>
      </c>
      <c r="S1123">
        <v>2.996216</v>
      </c>
      <c r="T1123">
        <v>-0.17846509999999999</v>
      </c>
      <c r="U1123">
        <v>-5.755615E-2</v>
      </c>
      <c r="V1123">
        <v>2.5049180000000001E-2</v>
      </c>
      <c r="W1123">
        <v>-8.9511839999999995E-2</v>
      </c>
      <c r="X1123">
        <v>0.99567070000000002</v>
      </c>
      <c r="Y1123">
        <v>2.306772E-2</v>
      </c>
      <c r="Z1123">
        <v>-9.725685E-4</v>
      </c>
      <c r="AA1123">
        <v>0.99973339999999999</v>
      </c>
      <c r="AB1123">
        <v>25</v>
      </c>
      <c r="AC1123">
        <v>17.7241</v>
      </c>
      <c r="AD1123">
        <v>-1.0701667731138</v>
      </c>
      <c r="AE1123">
        <v>-0.34620000000001</v>
      </c>
      <c r="AF1123">
        <v>0.414053449768986</v>
      </c>
      <c r="AG1123">
        <v>-1.0701667731138</v>
      </c>
      <c r="AH1123">
        <v>17.658258164710599</v>
      </c>
      <c r="AI1123">
        <v>93.467179340973004</v>
      </c>
      <c r="AJ1123">
        <v>88.656766226665198</v>
      </c>
      <c r="AK1123">
        <v>17.6955016485295</v>
      </c>
      <c r="AL1123">
        <v>95.135524302147104</v>
      </c>
      <c r="AM1123">
        <v>88.5588512216232</v>
      </c>
      <c r="AN1123">
        <v>0.99999998687867397</v>
      </c>
    </row>
    <row r="1124" spans="1:40" x14ac:dyDescent="0.25">
      <c r="A1124" t="str">
        <f>"20190303154118171"</f>
        <v>20190303154118171</v>
      </c>
      <c r="B1124" t="str">
        <f>"1551598878160168"</f>
        <v>1551598878160168</v>
      </c>
      <c r="C1124" t="s">
        <v>40</v>
      </c>
      <c r="D1124">
        <v>5.9922420000000001</v>
      </c>
      <c r="E1124">
        <v>0.49902469999999999</v>
      </c>
      <c r="F1124" t="s">
        <v>41</v>
      </c>
      <c r="G1124">
        <v>-279.166</v>
      </c>
      <c r="H1124" s="1">
        <v>-9.329371E-7</v>
      </c>
      <c r="I1124">
        <v>367.12430000000001</v>
      </c>
      <c r="J1124">
        <v>-297.19749999999999</v>
      </c>
      <c r="K1124">
        <v>1.070168</v>
      </c>
      <c r="L1124">
        <v>367.46280000000002</v>
      </c>
      <c r="M1124">
        <v>0.99996739999999995</v>
      </c>
      <c r="N1124">
        <v>-7.0447699999999997E-3</v>
      </c>
      <c r="O1124">
        <v>3.9396730000000003E-3</v>
      </c>
      <c r="P1124">
        <v>0.99509139999999996</v>
      </c>
      <c r="Q1124">
        <v>-9.667125E-2</v>
      </c>
      <c r="R1124">
        <v>-2.1162420000000001E-2</v>
      </c>
      <c r="S1124">
        <v>2.9964900000000001</v>
      </c>
      <c r="T1124">
        <v>-0.17619070000000001</v>
      </c>
      <c r="U1124">
        <v>-5.5603029999999998E-2</v>
      </c>
      <c r="V1124">
        <v>2.5085340000000001E-2</v>
      </c>
      <c r="W1124">
        <v>-8.9658600000000005E-2</v>
      </c>
      <c r="X1124">
        <v>0.9956566</v>
      </c>
      <c r="Y1124">
        <v>2.2443129999999999E-2</v>
      </c>
      <c r="Z1124">
        <v>-9.4202890000000001E-4</v>
      </c>
      <c r="AA1124">
        <v>0.99974770000000002</v>
      </c>
      <c r="AB1124">
        <v>25</v>
      </c>
      <c r="AC1124">
        <v>18.031499999999902</v>
      </c>
      <c r="AD1124">
        <v>-1.0701689329371</v>
      </c>
      <c r="AE1124">
        <v>-0.33850000000001002</v>
      </c>
      <c r="AF1124">
        <v>0.40810035733344802</v>
      </c>
      <c r="AG1124">
        <v>-1.0701689329371</v>
      </c>
      <c r="AH1124">
        <v>17.966762283908</v>
      </c>
      <c r="AI1124">
        <v>93.407850963605497</v>
      </c>
      <c r="AJ1124">
        <v>88.698796828095595</v>
      </c>
      <c r="AK1124">
        <v>18.0032317769099</v>
      </c>
      <c r="AL1124">
        <v>95.143966899617993</v>
      </c>
      <c r="AM1124">
        <v>88.556751286161102</v>
      </c>
      <c r="AN1124">
        <v>1.00000000198021</v>
      </c>
    </row>
    <row r="1125" spans="1:40" x14ac:dyDescent="0.25">
      <c r="A1125" t="str">
        <f>"20190303154118191"</f>
        <v>20190303154118191</v>
      </c>
      <c r="B1125" t="str">
        <f>"1551598878180664"</f>
        <v>1551598878180664</v>
      </c>
      <c r="C1125" t="s">
        <v>40</v>
      </c>
      <c r="D1125">
        <v>6.0248080000000002</v>
      </c>
      <c r="E1125">
        <v>0.49885699999999999</v>
      </c>
      <c r="F1125" t="s">
        <v>41</v>
      </c>
      <c r="G1125">
        <v>-278.88200000000001</v>
      </c>
      <c r="H1125" s="1">
        <v>-1.029719E-6</v>
      </c>
      <c r="I1125">
        <v>367.12380000000002</v>
      </c>
      <c r="J1125">
        <v>-296.98880000000003</v>
      </c>
      <c r="K1125">
        <v>1.0701609999999999</v>
      </c>
      <c r="L1125">
        <v>367.46359999999999</v>
      </c>
      <c r="M1125">
        <v>0.99996689999999999</v>
      </c>
      <c r="N1125">
        <v>-7.1166869999999896E-3</v>
      </c>
      <c r="O1125">
        <v>3.9666060000000001E-3</v>
      </c>
      <c r="P1125">
        <v>0.99505580000000005</v>
      </c>
      <c r="Q1125">
        <v>-9.723967E-2</v>
      </c>
      <c r="R1125">
        <v>-2.0217249999999999E-2</v>
      </c>
      <c r="S1125">
        <v>2.996613</v>
      </c>
      <c r="T1125">
        <v>-0.17509029999999901</v>
      </c>
      <c r="U1125">
        <v>-5.5450439999999997E-2</v>
      </c>
      <c r="V1125">
        <v>2.4165349999999999E-2</v>
      </c>
      <c r="W1125">
        <v>-9.0156E-2</v>
      </c>
      <c r="X1125">
        <v>0.99563440000000003</v>
      </c>
      <c r="Y1125">
        <v>2.2418980000000002E-2</v>
      </c>
      <c r="Z1125">
        <v>-9.3755369999999995E-4</v>
      </c>
      <c r="AA1125">
        <v>0.99974819999999998</v>
      </c>
      <c r="AB1125">
        <v>25</v>
      </c>
      <c r="AC1125">
        <v>18.1068</v>
      </c>
      <c r="AD1125">
        <v>-1.070162029719</v>
      </c>
      <c r="AE1125">
        <v>-0.33979999999996802</v>
      </c>
      <c r="AF1125">
        <v>0.41018933723735401</v>
      </c>
      <c r="AG1125">
        <v>-1.070162029719</v>
      </c>
      <c r="AH1125">
        <v>18.042307588568899</v>
      </c>
      <c r="AI1125">
        <v>93.393591872204993</v>
      </c>
      <c r="AJ1125">
        <v>88.697612832793297</v>
      </c>
      <c r="AK1125">
        <v>18.078671554701302</v>
      </c>
      <c r="AL1125">
        <v>95.172581906353699</v>
      </c>
      <c r="AM1125">
        <v>88.609629418929003</v>
      </c>
      <c r="AN1125">
        <v>0.99999996346998998</v>
      </c>
    </row>
    <row r="1126" spans="1:40" x14ac:dyDescent="0.25">
      <c r="A1126" t="str">
        <f>"20190303154118212"</f>
        <v>20190303154118212</v>
      </c>
      <c r="B1126" t="str">
        <f>"1551598878209943"</f>
        <v>1551598878209943</v>
      </c>
      <c r="C1126" t="s">
        <v>40</v>
      </c>
      <c r="D1126">
        <v>5.985849</v>
      </c>
      <c r="E1126">
        <v>0.49863790000000002</v>
      </c>
      <c r="F1126" t="s">
        <v>41</v>
      </c>
      <c r="G1126">
        <v>-278.69159999999999</v>
      </c>
      <c r="H1126" s="1">
        <v>-1.0870430000000001E-6</v>
      </c>
      <c r="I1126">
        <v>367.15190000000001</v>
      </c>
      <c r="J1126">
        <v>-296.74450000000002</v>
      </c>
      <c r="K1126">
        <v>1.070168</v>
      </c>
      <c r="L1126">
        <v>367.46460000000002</v>
      </c>
      <c r="M1126">
        <v>0.99996600000000002</v>
      </c>
      <c r="N1126">
        <v>-7.208796E-3</v>
      </c>
      <c r="O1126">
        <v>3.98993E-3</v>
      </c>
      <c r="P1126">
        <v>0.99504769999999998</v>
      </c>
      <c r="Q1126">
        <v>-9.7663520000000004E-2</v>
      </c>
      <c r="R1126">
        <v>-1.849543E-2</v>
      </c>
      <c r="S1126">
        <v>2.9967649999999999</v>
      </c>
      <c r="T1126">
        <v>-0.1752737</v>
      </c>
      <c r="U1126">
        <v>-5.1055910000000003E-2</v>
      </c>
      <c r="V1126">
        <v>2.2465079999999998E-2</v>
      </c>
      <c r="W1126">
        <v>-9.0488579999999999E-2</v>
      </c>
      <c r="X1126">
        <v>0.99564410000000003</v>
      </c>
      <c r="Y1126">
        <v>2.097835E-2</v>
      </c>
      <c r="Z1126">
        <v>-8.9302000000000001E-4</v>
      </c>
      <c r="AA1126">
        <v>0.99977950000000004</v>
      </c>
      <c r="AB1126">
        <v>25</v>
      </c>
      <c r="AC1126">
        <v>18.052900000000001</v>
      </c>
      <c r="AD1126">
        <v>-1.0701690870430001</v>
      </c>
      <c r="AE1126">
        <v>-0.31270000000000597</v>
      </c>
      <c r="AF1126">
        <v>0.38338236409216703</v>
      </c>
      <c r="AG1126">
        <v>-1.0701690870430001</v>
      </c>
      <c r="AH1126">
        <v>17.988315307622301</v>
      </c>
      <c r="AI1126">
        <v>93.403882584844197</v>
      </c>
      <c r="AJ1126">
        <v>88.779048177964398</v>
      </c>
      <c r="AK1126">
        <v>18.024198498640601</v>
      </c>
      <c r="AL1126">
        <v>95.191715258599402</v>
      </c>
      <c r="AM1126">
        <v>88.707433806183502</v>
      </c>
      <c r="AN1126">
        <v>1.0000000183973099</v>
      </c>
    </row>
    <row r="1127" spans="1:40" x14ac:dyDescent="0.25">
      <c r="A1127" t="str">
        <f>"20190303154118226"</f>
        <v>20190303154118226</v>
      </c>
      <c r="B1127" t="str">
        <f>"1551598878220680"</f>
        <v>1551598878220680</v>
      </c>
      <c r="C1127" t="s">
        <v>40</v>
      </c>
      <c r="D1127">
        <v>6.022856</v>
      </c>
      <c r="E1127">
        <v>0.49860660000000001</v>
      </c>
      <c r="F1127" t="s">
        <v>41</v>
      </c>
      <c r="G1127">
        <v>-278.43209999999999</v>
      </c>
      <c r="H1127" s="1">
        <v>-1.1643889999999999E-6</v>
      </c>
      <c r="I1127">
        <v>367.19310000000002</v>
      </c>
      <c r="J1127">
        <v>-296.58980000000003</v>
      </c>
      <c r="K1127">
        <v>1.070171</v>
      </c>
      <c r="L1127">
        <v>367.46530000000001</v>
      </c>
      <c r="M1127">
        <v>0.99996549999999995</v>
      </c>
      <c r="N1127">
        <v>-7.274445E-3</v>
      </c>
      <c r="O1127">
        <v>3.999247E-3</v>
      </c>
      <c r="P1127">
        <v>0.99507179999999995</v>
      </c>
      <c r="Q1127">
        <v>-9.7524429999999995E-2</v>
      </c>
      <c r="R1127">
        <v>-1.7921889999999999E-2</v>
      </c>
      <c r="S1127">
        <v>2.996918</v>
      </c>
      <c r="T1127">
        <v>-0.17513790000000001</v>
      </c>
      <c r="U1127">
        <v>-4.4433590000000002E-2</v>
      </c>
      <c r="V1127">
        <v>2.1899930000000001E-2</v>
      </c>
      <c r="W1127">
        <v>-9.0284160000000002E-2</v>
      </c>
      <c r="X1127">
        <v>0.99567519999999998</v>
      </c>
      <c r="Y1127">
        <v>1.878233E-2</v>
      </c>
      <c r="Z1127">
        <v>-8.211348E-4</v>
      </c>
      <c r="AA1127">
        <v>0.99982329999999997</v>
      </c>
      <c r="AB1127">
        <v>25</v>
      </c>
      <c r="AC1127">
        <v>18.157699999999998</v>
      </c>
      <c r="AD1127">
        <v>-1.0701721643889901</v>
      </c>
      <c r="AE1127">
        <v>-0.272199999999998</v>
      </c>
      <c r="AF1127">
        <v>0.34362351648421002</v>
      </c>
      <c r="AG1127">
        <v>-1.0701721643889901</v>
      </c>
      <c r="AH1127">
        <v>18.093629408319899</v>
      </c>
      <c r="AI1127">
        <v>93.384284037926605</v>
      </c>
      <c r="AJ1127">
        <v>88.912003208322005</v>
      </c>
      <c r="AK1127">
        <v>18.128507129604799</v>
      </c>
      <c r="AL1127">
        <v>95.179954967407298</v>
      </c>
      <c r="AM1127">
        <v>88.739979389308701</v>
      </c>
      <c r="AN1127">
        <v>0.99999997018797404</v>
      </c>
    </row>
    <row r="1128" spans="1:40" x14ac:dyDescent="0.25">
      <c r="A1128" t="str">
        <f>"20190303154118246"</f>
        <v>20190303154118246</v>
      </c>
      <c r="B1128" t="str">
        <f>"1551598878240199"</f>
        <v>1551598878240199</v>
      </c>
      <c r="C1128" t="s">
        <v>40</v>
      </c>
      <c r="D1128">
        <v>6.0248470000000003</v>
      </c>
      <c r="E1128">
        <v>0.49852000000000002</v>
      </c>
      <c r="F1128" t="s">
        <v>41</v>
      </c>
      <c r="G1128">
        <v>-278.20139999999998</v>
      </c>
      <c r="H1128" s="1">
        <v>-1.2396190000000001E-6</v>
      </c>
      <c r="I1128">
        <v>367.20530000000002</v>
      </c>
      <c r="J1128">
        <v>-296.3768</v>
      </c>
      <c r="K1128">
        <v>1.0701849999999999</v>
      </c>
      <c r="L1128">
        <v>367.46609999999998</v>
      </c>
      <c r="M1128">
        <v>0.99996490000000005</v>
      </c>
      <c r="N1128">
        <v>-7.3732240000000003E-3</v>
      </c>
      <c r="O1128">
        <v>4.0074170000000001E-3</v>
      </c>
      <c r="P1128">
        <v>0.99509320000000001</v>
      </c>
      <c r="Q1128">
        <v>-9.7412899999999997E-2</v>
      </c>
      <c r="R1128">
        <v>-1.7346899999999998E-2</v>
      </c>
      <c r="S1128">
        <v>2.9970089999999998</v>
      </c>
      <c r="T1128">
        <v>-0.17442009999999999</v>
      </c>
      <c r="U1128">
        <v>-4.2358399999999997E-2</v>
      </c>
      <c r="V1128">
        <v>2.1331880000000001E-2</v>
      </c>
      <c r="W1128">
        <v>-9.0074360000000006E-2</v>
      </c>
      <c r="X1128">
        <v>0.9957066</v>
      </c>
      <c r="Y1128">
        <v>1.8099480000000001E-2</v>
      </c>
      <c r="Z1128">
        <v>-7.9649129999999997E-4</v>
      </c>
      <c r="AA1128">
        <v>0.99983580000000005</v>
      </c>
      <c r="AB1128">
        <v>25</v>
      </c>
      <c r="AC1128">
        <v>18.1754</v>
      </c>
      <c r="AD1128">
        <v>-1.0701862396189901</v>
      </c>
      <c r="AE1128">
        <v>-0.26079999999996001</v>
      </c>
      <c r="AF1128">
        <v>0.33248380849263098</v>
      </c>
      <c r="AG1128">
        <v>-1.0701862396189901</v>
      </c>
      <c r="AH1128">
        <v>18.111429928388802</v>
      </c>
      <c r="AI1128">
        <v>93.381049840745007</v>
      </c>
      <c r="AJ1128">
        <v>88.948300629912296</v>
      </c>
      <c r="AK1128">
        <v>18.146066739690902</v>
      </c>
      <c r="AL1128">
        <v>95.167884791657599</v>
      </c>
      <c r="AM1128">
        <v>88.772690919918006</v>
      </c>
      <c r="AN1128">
        <v>1.0000000363586501</v>
      </c>
    </row>
    <row r="1129" spans="1:40" x14ac:dyDescent="0.25">
      <c r="A1129" t="str">
        <f>"20190303154118268"</f>
        <v>20190303154118268</v>
      </c>
      <c r="B1129" t="str">
        <f>"1551598878260696"</f>
        <v>1551598878260696</v>
      </c>
      <c r="C1129" t="s">
        <v>40</v>
      </c>
      <c r="D1129">
        <v>6.0262140000000004</v>
      </c>
      <c r="E1129">
        <v>0.49833480000000002</v>
      </c>
      <c r="F1129" t="s">
        <v>41</v>
      </c>
      <c r="G1129">
        <v>-277.87650000000002</v>
      </c>
      <c r="H1129" s="1">
        <v>-1.346631E-6</v>
      </c>
      <c r="I1129">
        <v>367.21879999999999</v>
      </c>
      <c r="J1129">
        <v>-296.1277</v>
      </c>
      <c r="K1129">
        <v>1.0702</v>
      </c>
      <c r="L1129">
        <v>367.46710000000002</v>
      </c>
      <c r="M1129">
        <v>0.99996379999999996</v>
      </c>
      <c r="N1129">
        <v>-7.5030769999999899E-3</v>
      </c>
      <c r="O1129">
        <v>4.0115970000000004E-3</v>
      </c>
      <c r="P1129">
        <v>0.99514990000000003</v>
      </c>
      <c r="Q1129">
        <v>-9.6825850000000005E-2</v>
      </c>
      <c r="R1129">
        <v>-1.7366039999999999E-2</v>
      </c>
      <c r="S1129">
        <v>2.997131</v>
      </c>
      <c r="T1129">
        <v>-0.17337429999999901</v>
      </c>
      <c r="U1129">
        <v>-4.006958E-2</v>
      </c>
      <c r="V1129">
        <v>2.135476E-2</v>
      </c>
      <c r="W1129">
        <v>-8.9357880000000001E-2</v>
      </c>
      <c r="X1129">
        <v>0.99577059999999995</v>
      </c>
      <c r="Y1129">
        <v>1.7341530000000001E-2</v>
      </c>
      <c r="Z1129">
        <v>-7.6803539999999995E-4</v>
      </c>
      <c r="AA1129">
        <v>0.99984930000000005</v>
      </c>
      <c r="AB1129">
        <v>25</v>
      </c>
      <c r="AC1129">
        <v>18.251199999999901</v>
      </c>
      <c r="AD1129">
        <v>-1.0702013466310001</v>
      </c>
      <c r="AE1129">
        <v>-0.248300000000028</v>
      </c>
      <c r="AF1129">
        <v>0.32041503222974399</v>
      </c>
      <c r="AG1129">
        <v>-1.0702013466310001</v>
      </c>
      <c r="AH1129">
        <v>18.187533771507901</v>
      </c>
      <c r="AI1129">
        <v>93.3670269474257</v>
      </c>
      <c r="AJ1129">
        <v>88.9907081230118</v>
      </c>
      <c r="AK1129">
        <v>18.221810596232</v>
      </c>
      <c r="AL1129">
        <v>95.126667627585604</v>
      </c>
      <c r="AM1129">
        <v>88.771453886314603</v>
      </c>
      <c r="AN1129">
        <v>0.99999997215855496</v>
      </c>
    </row>
    <row r="1130" spans="1:40" x14ac:dyDescent="0.25">
      <c r="A1130" t="str">
        <f>"20190303154118289"</f>
        <v>20190303154118289</v>
      </c>
      <c r="B1130" t="str">
        <f>"1551598878280216"</f>
        <v>1551598878280216</v>
      </c>
      <c r="C1130" t="s">
        <v>40</v>
      </c>
      <c r="D1130">
        <v>6.0070290000000002</v>
      </c>
      <c r="E1130">
        <v>0.49823669999999998</v>
      </c>
      <c r="F1130" t="s">
        <v>41</v>
      </c>
      <c r="G1130">
        <v>-277.35019999999997</v>
      </c>
      <c r="H1130" s="1">
        <v>-1.543072E-6</v>
      </c>
      <c r="I1130">
        <v>367.226</v>
      </c>
      <c r="J1130">
        <v>-295.87709999999998</v>
      </c>
      <c r="K1130">
        <v>1.0702240000000001</v>
      </c>
      <c r="L1130">
        <v>367.46809999999999</v>
      </c>
      <c r="M1130">
        <v>0.99996260000000003</v>
      </c>
      <c r="N1130">
        <v>-7.652201E-3</v>
      </c>
      <c r="O1130">
        <v>4.0110049999999998E-3</v>
      </c>
      <c r="P1130">
        <v>0.99511859999999996</v>
      </c>
      <c r="Q1130">
        <v>-9.6999970000000005E-2</v>
      </c>
      <c r="R1130">
        <v>-1.8180209999999999E-2</v>
      </c>
      <c r="S1130">
        <v>2.9973139999999998</v>
      </c>
      <c r="T1130">
        <v>-0.17082820000000001</v>
      </c>
      <c r="U1130">
        <v>-3.8482669999999997E-2</v>
      </c>
      <c r="V1130">
        <v>2.2167269999999999E-2</v>
      </c>
      <c r="W1130">
        <v>-8.9383899999999905E-2</v>
      </c>
      <c r="X1130">
        <v>0.99575049999999998</v>
      </c>
      <c r="Y1130">
        <v>1.6812850000000001E-2</v>
      </c>
      <c r="Z1130">
        <v>-7.4083429999999902E-4</v>
      </c>
      <c r="AA1130">
        <v>0.99985840000000004</v>
      </c>
      <c r="AB1130">
        <v>25</v>
      </c>
      <c r="AC1130">
        <v>18.526900000000001</v>
      </c>
      <c r="AD1130">
        <v>-1.070225543072</v>
      </c>
      <c r="AE1130">
        <v>-0.24209999999999299</v>
      </c>
      <c r="AF1130">
        <v>0.315359574121652</v>
      </c>
      <c r="AG1130">
        <v>-1.070225543072</v>
      </c>
      <c r="AH1130">
        <v>18.464177000954098</v>
      </c>
      <c r="AI1130">
        <v>93.316798951349199</v>
      </c>
      <c r="AJ1130">
        <v>89.021509814262799</v>
      </c>
      <c r="AK1130">
        <v>18.497855732397699</v>
      </c>
      <c r="AL1130">
        <v>95.128164496236295</v>
      </c>
      <c r="AM1130">
        <v>88.724699348385201</v>
      </c>
      <c r="AN1130">
        <v>0.99999996384435497</v>
      </c>
    </row>
    <row r="1131" spans="1:40" x14ac:dyDescent="0.25">
      <c r="A1131" t="str">
        <f>"20190303154118314"</f>
        <v>20190303154118314</v>
      </c>
      <c r="B1131" t="str">
        <f>"1551598878310471"</f>
        <v>1551598878310471</v>
      </c>
      <c r="C1131" t="s">
        <v>40</v>
      </c>
      <c r="D1131">
        <v>5.984394</v>
      </c>
      <c r="E1131">
        <v>0.49802489999999999</v>
      </c>
      <c r="F1131" t="s">
        <v>41</v>
      </c>
      <c r="G1131">
        <v>-277.0462</v>
      </c>
      <c r="H1131" s="1">
        <v>-1.6754990000000001E-6</v>
      </c>
      <c r="I1131">
        <v>367.21460000000002</v>
      </c>
      <c r="J1131">
        <v>-295.60890000000001</v>
      </c>
      <c r="K1131">
        <v>1.07024599999999</v>
      </c>
      <c r="L1131">
        <v>367.4692</v>
      </c>
      <c r="M1131">
        <v>0.99996130000000005</v>
      </c>
      <c r="N1131">
        <v>-7.8433369999999902E-3</v>
      </c>
      <c r="O1131">
        <v>4.0072140000000003E-3</v>
      </c>
      <c r="P1131">
        <v>0.9951238</v>
      </c>
      <c r="Q1131">
        <v>-9.6782389999999996E-2</v>
      </c>
      <c r="R1131">
        <v>-1.9022310000000001E-2</v>
      </c>
      <c r="S1131">
        <v>2.9973749999999999</v>
      </c>
      <c r="T1131">
        <v>-0.17035040000000001</v>
      </c>
      <c r="U1131">
        <v>-4.0344240000000003E-2</v>
      </c>
      <c r="V1131">
        <v>2.3005899999999999E-2</v>
      </c>
      <c r="W1131">
        <v>-8.8976029999999998E-2</v>
      </c>
      <c r="X1131">
        <v>0.99576810000000004</v>
      </c>
      <c r="Y1131">
        <v>1.742869E-2</v>
      </c>
      <c r="Z1131">
        <v>-7.5940179999999901E-4</v>
      </c>
      <c r="AA1131">
        <v>0.99984779999999995</v>
      </c>
      <c r="AB1131">
        <v>25</v>
      </c>
      <c r="AC1131">
        <v>18.5627</v>
      </c>
      <c r="AD1131">
        <v>-1.07024767549899</v>
      </c>
      <c r="AE1131">
        <v>-0.25459999999998201</v>
      </c>
      <c r="AF1131">
        <v>0.32789516657366302</v>
      </c>
      <c r="AG1131">
        <v>-1.07024767549899</v>
      </c>
      <c r="AH1131">
        <v>18.500044523741401</v>
      </c>
      <c r="AI1131">
        <v>93.3104139956003</v>
      </c>
      <c r="AJ1131">
        <v>88.984594752837793</v>
      </c>
      <c r="AK1131">
        <v>18.5338768936126</v>
      </c>
      <c r="AL1131">
        <v>95.104701301478698</v>
      </c>
      <c r="AM1131">
        <v>88.676492532050801</v>
      </c>
      <c r="AN1131">
        <v>1.0000000571634799</v>
      </c>
    </row>
    <row r="1132" spans="1:40" x14ac:dyDescent="0.25">
      <c r="A1132" t="str">
        <f>"20190303154118334"</f>
        <v>20190303154118334</v>
      </c>
      <c r="B1132" t="str">
        <f>"1551598878329992"</f>
        <v>1551598878329992</v>
      </c>
      <c r="C1132" t="s">
        <v>40</v>
      </c>
      <c r="D1132">
        <v>6.0414370000000002</v>
      </c>
      <c r="E1132">
        <v>0.49791800000000003</v>
      </c>
      <c r="F1132" t="s">
        <v>41</v>
      </c>
      <c r="G1132">
        <v>-276.52690000000001</v>
      </c>
      <c r="H1132" s="1">
        <v>-1.899785E-6</v>
      </c>
      <c r="I1132">
        <v>367.20609999999999</v>
      </c>
      <c r="J1132">
        <v>-295.37639999999999</v>
      </c>
      <c r="K1132">
        <v>1.070284</v>
      </c>
      <c r="L1132">
        <v>367.4701</v>
      </c>
      <c r="M1132">
        <v>0.99995970000000001</v>
      </c>
      <c r="N1132">
        <v>-8.0523250000000008E-3</v>
      </c>
      <c r="O1132">
        <v>4.0030409999999997E-3</v>
      </c>
      <c r="P1132">
        <v>0.99504700000000001</v>
      </c>
      <c r="Q1132">
        <v>-9.7326480000000007E-2</v>
      </c>
      <c r="R1132">
        <v>-2.022272E-2</v>
      </c>
      <c r="S1132">
        <v>2.997528</v>
      </c>
      <c r="T1132">
        <v>-0.16812070000000001</v>
      </c>
      <c r="U1132">
        <v>-4.1320799999999998E-2</v>
      </c>
      <c r="V1132">
        <v>2.4201940000000002E-2</v>
      </c>
      <c r="W1132">
        <v>-8.9312719999999998E-2</v>
      </c>
      <c r="X1132">
        <v>0.99570950000000003</v>
      </c>
      <c r="Y1132">
        <v>1.7749810000000001E-2</v>
      </c>
      <c r="Z1132">
        <v>-7.6099969999999996E-4</v>
      </c>
      <c r="AA1132">
        <v>0.99984220000000001</v>
      </c>
      <c r="AB1132">
        <v>25</v>
      </c>
      <c r="AC1132">
        <v>18.8494999999999</v>
      </c>
      <c r="AD1132">
        <v>-1.070285899785</v>
      </c>
      <c r="AE1132">
        <v>-0.26400000000001</v>
      </c>
      <c r="AF1132">
        <v>0.33836495532737398</v>
      </c>
      <c r="AG1132">
        <v>-1.070285899785</v>
      </c>
      <c r="AH1132">
        <v>18.787731675695301</v>
      </c>
      <c r="AI1132">
        <v>93.259933012717497</v>
      </c>
      <c r="AJ1132">
        <v>88.968220936235198</v>
      </c>
      <c r="AK1132">
        <v>18.8212343980993</v>
      </c>
      <c r="AL1132">
        <v>95.124069865773393</v>
      </c>
      <c r="AM1132">
        <v>88.607629999664795</v>
      </c>
      <c r="AN1132">
        <v>0.99999995212190396</v>
      </c>
    </row>
    <row r="1133" spans="1:40" x14ac:dyDescent="0.25">
      <c r="A1133" t="str">
        <f>"20190303154118358"</f>
        <v>20190303154118358</v>
      </c>
      <c r="B1133" t="str">
        <f>"1551598878350496"</f>
        <v>1551598878350496</v>
      </c>
      <c r="C1133" t="s">
        <v>40</v>
      </c>
      <c r="D1133">
        <v>6.0479820000000002</v>
      </c>
      <c r="E1133">
        <v>0.49777909999999997</v>
      </c>
      <c r="F1133" t="s">
        <v>41</v>
      </c>
      <c r="G1133">
        <v>-276.34309999999999</v>
      </c>
      <c r="H1133" s="1">
        <v>-1.9815169999999998E-6</v>
      </c>
      <c r="I1133">
        <v>367.18979999999999</v>
      </c>
      <c r="J1133">
        <v>-295.11689999999999</v>
      </c>
      <c r="K1133">
        <v>1.070343</v>
      </c>
      <c r="L1133">
        <v>367.47120000000001</v>
      </c>
      <c r="M1133">
        <v>0.99995719999999999</v>
      </c>
      <c r="N1133">
        <v>-8.3526799999999995E-3</v>
      </c>
      <c r="O1133">
        <v>3.9993009999999898E-3</v>
      </c>
      <c r="P1133">
        <v>0.99498699999999995</v>
      </c>
      <c r="Q1133">
        <v>-9.7738190000000003E-2</v>
      </c>
      <c r="R1133">
        <v>-2.1175449999999998E-2</v>
      </c>
      <c r="S1133">
        <v>2.997528</v>
      </c>
      <c r="T1133">
        <v>-0.16855729999999999</v>
      </c>
      <c r="U1133">
        <v>-4.4128420000000002E-2</v>
      </c>
      <c r="V1133">
        <v>2.5150720000000001E-2</v>
      </c>
      <c r="W1133">
        <v>-8.9425859999999996E-2</v>
      </c>
      <c r="X1133">
        <v>0.99567589999999995</v>
      </c>
      <c r="Y1133">
        <v>1.868042E-2</v>
      </c>
      <c r="Z1133">
        <v>-7.9418839999999995E-4</v>
      </c>
      <c r="AA1133">
        <v>0.99982519999999997</v>
      </c>
      <c r="AB1133">
        <v>25</v>
      </c>
      <c r="AC1133">
        <v>18.773799999999898</v>
      </c>
      <c r="AD1133">
        <v>-1.0703449815170001</v>
      </c>
      <c r="AE1133">
        <v>-0.28140000000001902</v>
      </c>
      <c r="AF1133">
        <v>0.35532772491740999</v>
      </c>
      <c r="AG1133">
        <v>-1.0703449815170001</v>
      </c>
      <c r="AH1133">
        <v>18.711716614290498</v>
      </c>
      <c r="AI1133">
        <v>93.273268644547898</v>
      </c>
      <c r="AJ1133">
        <v>88.912107703630895</v>
      </c>
      <c r="AK1133">
        <v>18.7456724292587</v>
      </c>
      <c r="AL1133">
        <v>95.130578002169102</v>
      </c>
      <c r="AM1133">
        <v>88.553019376330298</v>
      </c>
      <c r="AN1133">
        <v>1.0000000204970301</v>
      </c>
    </row>
    <row r="1134" spans="1:40" x14ac:dyDescent="0.25">
      <c r="A1134" t="str">
        <f>"20190303154118379"</f>
        <v>20190303154118379</v>
      </c>
      <c r="B1134" t="str">
        <f>"1551598878370008"</f>
        <v>1551598878370008</v>
      </c>
      <c r="C1134" t="s">
        <v>40</v>
      </c>
      <c r="D1134">
        <v>6.0157939999999996</v>
      </c>
      <c r="E1134">
        <v>0.49767600000000001</v>
      </c>
      <c r="F1134" t="s">
        <v>41</v>
      </c>
      <c r="G1134">
        <v>-276.16890000000001</v>
      </c>
      <c r="H1134" s="1">
        <v>-2.0577959999999999E-6</v>
      </c>
      <c r="I1134">
        <v>367.18119999999999</v>
      </c>
      <c r="J1134">
        <v>-294.86309999999997</v>
      </c>
      <c r="K1134">
        <v>1.0704119999999999</v>
      </c>
      <c r="L1134">
        <v>367.47219999999999</v>
      </c>
      <c r="M1134">
        <v>0.99995400000000001</v>
      </c>
      <c r="N1134">
        <v>-8.7185549999999994E-3</v>
      </c>
      <c r="O1134">
        <v>3.9970149999999996E-3</v>
      </c>
      <c r="P1134">
        <v>0.99497930000000001</v>
      </c>
      <c r="Q1134">
        <v>-9.7780060000000002E-2</v>
      </c>
      <c r="R1134">
        <v>-2.1343580000000001E-2</v>
      </c>
      <c r="S1134">
        <v>2.9974980000000002</v>
      </c>
      <c r="T1134">
        <v>-0.16932320000000001</v>
      </c>
      <c r="U1134">
        <v>-4.586792E-2</v>
      </c>
      <c r="V1134">
        <v>2.5316600000000002E-2</v>
      </c>
      <c r="W1134">
        <v>-8.9103459999999995E-2</v>
      </c>
      <c r="X1134">
        <v>0.99570060000000005</v>
      </c>
      <c r="Y1134">
        <v>1.9256860000000001E-2</v>
      </c>
      <c r="Z1134">
        <v>-8.1822660000000001E-4</v>
      </c>
      <c r="AA1134">
        <v>0.99981419999999999</v>
      </c>
      <c r="AB1134">
        <v>25</v>
      </c>
      <c r="AC1134">
        <v>18.694199999999899</v>
      </c>
      <c r="AD1134">
        <v>-1.070414057796</v>
      </c>
      <c r="AE1134">
        <v>-0.29099999999999598</v>
      </c>
      <c r="AF1134">
        <v>0.36452666201948303</v>
      </c>
      <c r="AG1134">
        <v>-1.070414057796</v>
      </c>
      <c r="AH1134">
        <v>18.631815811468201</v>
      </c>
      <c r="AI1134">
        <v>93.287450360704995</v>
      </c>
      <c r="AJ1134">
        <v>88.879165874694706</v>
      </c>
      <c r="AK1134">
        <v>18.666098316866499</v>
      </c>
      <c r="AL1134">
        <v>95.112031803954196</v>
      </c>
      <c r="AM1134">
        <v>88.543516119525194</v>
      </c>
      <c r="AN1134">
        <v>1.00000002082994</v>
      </c>
    </row>
    <row r="1135" spans="1:40" x14ac:dyDescent="0.25">
      <c r="A1135" t="str">
        <f>"20190303154118411"</f>
        <v>20190303154118411</v>
      </c>
      <c r="B1135" t="str">
        <f>"1551598878400267"</f>
        <v>1551598878400267</v>
      </c>
      <c r="C1135" t="s">
        <v>40</v>
      </c>
      <c r="D1135">
        <v>6.0541029999999996</v>
      </c>
      <c r="E1135">
        <v>0.49764540000000002</v>
      </c>
      <c r="F1135" t="s">
        <v>41</v>
      </c>
      <c r="G1135">
        <v>-275.88060000000002</v>
      </c>
      <c r="H1135" s="1">
        <v>-2.1806930000000002E-6</v>
      </c>
      <c r="I1135">
        <v>367.1857</v>
      </c>
      <c r="J1135">
        <v>-294.4957</v>
      </c>
      <c r="K1135">
        <v>1.070508</v>
      </c>
      <c r="L1135">
        <v>367.47370000000001</v>
      </c>
      <c r="M1135">
        <v>0.99994870000000002</v>
      </c>
      <c r="N1135">
        <v>-9.3155210000000002E-3</v>
      </c>
      <c r="O1135">
        <v>3.9963280000000004E-3</v>
      </c>
      <c r="P1135">
        <v>0.99499040000000005</v>
      </c>
      <c r="Q1135">
        <v>-9.7776459999999996E-2</v>
      </c>
      <c r="R1135">
        <v>-2.0837419999999999E-2</v>
      </c>
      <c r="S1135">
        <v>2.9975589999999999</v>
      </c>
      <c r="T1135">
        <v>-0.16903000000000001</v>
      </c>
      <c r="U1135">
        <v>-4.5227049999999998E-2</v>
      </c>
      <c r="V1135">
        <v>2.4809830000000001E-2</v>
      </c>
      <c r="W1135">
        <v>-8.8505280000000006E-2</v>
      </c>
      <c r="X1135">
        <v>0.9957667</v>
      </c>
      <c r="Y1135">
        <v>1.90425E-2</v>
      </c>
      <c r="Z1135">
        <v>-8.1318130000000005E-4</v>
      </c>
      <c r="AA1135">
        <v>0.99981830000000005</v>
      </c>
      <c r="AB1135">
        <v>25</v>
      </c>
      <c r="AC1135">
        <v>18.615099999999899</v>
      </c>
      <c r="AD1135">
        <v>-1.070510180693</v>
      </c>
      <c r="AE1135">
        <v>-0.28800000000001003</v>
      </c>
      <c r="AF1135">
        <v>0.36119872360185701</v>
      </c>
      <c r="AG1135">
        <v>-1.070510180693</v>
      </c>
      <c r="AH1135">
        <v>18.552459691253599</v>
      </c>
      <c r="AI1135">
        <v>93.301782998357396</v>
      </c>
      <c r="AJ1135">
        <v>88.884646641166199</v>
      </c>
      <c r="AK1135">
        <v>18.586829131417002</v>
      </c>
      <c r="AL1135">
        <v>95.077622689090802</v>
      </c>
      <c r="AM1135">
        <v>88.572753520875906</v>
      </c>
      <c r="AN1135">
        <v>1.0000000165406899</v>
      </c>
    </row>
    <row r="1136" spans="1:40" x14ac:dyDescent="0.25">
      <c r="A1136" t="str">
        <f>"20190303154118435"</f>
        <v>20190303154118435</v>
      </c>
      <c r="B1136" t="str">
        <f>"1551598878430520"</f>
        <v>1551598878430520</v>
      </c>
      <c r="C1136" t="s">
        <v>40</v>
      </c>
      <c r="D1136">
        <v>6.1565279999999998</v>
      </c>
      <c r="E1136">
        <v>0.51782379999999995</v>
      </c>
      <c r="F1136" t="s">
        <v>41</v>
      </c>
      <c r="G1136">
        <v>-275.45150000000001</v>
      </c>
      <c r="H1136" s="1">
        <v>-2.3629880000000002E-6</v>
      </c>
      <c r="I1136">
        <v>367.19560000000001</v>
      </c>
      <c r="J1136">
        <v>-294.24349999999998</v>
      </c>
      <c r="K1136">
        <v>1.0705800000000001</v>
      </c>
      <c r="L1136">
        <v>367.47460000000001</v>
      </c>
      <c r="M1136">
        <v>0.99994430000000001</v>
      </c>
      <c r="N1136">
        <v>-9.7744530000000007E-3</v>
      </c>
      <c r="O1136">
        <v>3.9966259999999997E-3</v>
      </c>
      <c r="P1136">
        <v>0.99501150000000005</v>
      </c>
      <c r="Q1136">
        <v>-9.7640809999999995E-2</v>
      </c>
      <c r="R1136">
        <v>-2.045893E-2</v>
      </c>
      <c r="S1136">
        <v>2.99762</v>
      </c>
      <c r="T1136">
        <v>-0.16850129999999999</v>
      </c>
      <c r="U1136">
        <v>-4.3762210000000003E-2</v>
      </c>
      <c r="V1136">
        <v>2.4431890000000001E-2</v>
      </c>
      <c r="W1136">
        <v>-8.791235E-2</v>
      </c>
      <c r="X1136">
        <v>0.99582859999999995</v>
      </c>
      <c r="Y1136">
        <v>1.855501E-2</v>
      </c>
      <c r="Z1136">
        <v>-7.9726989999999995E-4</v>
      </c>
      <c r="AA1136">
        <v>0.99982749999999998</v>
      </c>
      <c r="AB1136">
        <v>25</v>
      </c>
      <c r="AC1136">
        <v>18.791999999999899</v>
      </c>
      <c r="AD1136">
        <v>-1.07058236298799</v>
      </c>
      <c r="AE1136">
        <v>-0.27899999999999597</v>
      </c>
      <c r="AF1136">
        <v>0.35296063658951299</v>
      </c>
      <c r="AG1136">
        <v>-1.07058236298799</v>
      </c>
      <c r="AH1136">
        <v>18.729958351245099</v>
      </c>
      <c r="AI1136">
        <v>93.270820227925498</v>
      </c>
      <c r="AJ1136">
        <v>88.920405425445907</v>
      </c>
      <c r="AK1136">
        <v>18.7638500219518</v>
      </c>
      <c r="AL1136">
        <v>95.043517193267604</v>
      </c>
      <c r="AM1136">
        <v>88.594573990746696</v>
      </c>
      <c r="AN1136">
        <v>1.0000000495547201</v>
      </c>
    </row>
    <row r="1137" spans="1:40" x14ac:dyDescent="0.25">
      <c r="A1137" t="str">
        <f>"20190303154118457"</f>
        <v>20190303154118457</v>
      </c>
      <c r="B1137" t="str">
        <f>"1551598878450040"</f>
        <v>1551598878450040</v>
      </c>
      <c r="C1137" t="s">
        <v>40</v>
      </c>
      <c r="D1137">
        <v>6.1571119999999997</v>
      </c>
      <c r="E1137">
        <v>0.51722409999999996</v>
      </c>
      <c r="F1137" t="s">
        <v>41</v>
      </c>
      <c r="G1137">
        <v>-272.90230000000003</v>
      </c>
      <c r="H1137" s="1">
        <v>-3.663986E-6</v>
      </c>
      <c r="I1137">
        <v>366.02640000000002</v>
      </c>
      <c r="J1137">
        <v>-293.99119999999999</v>
      </c>
      <c r="K1137">
        <v>1.070651</v>
      </c>
      <c r="L1137">
        <v>367.47559999999999</v>
      </c>
      <c r="M1137">
        <v>0.99993920000000003</v>
      </c>
      <c r="N1137">
        <v>-1.027574E-2</v>
      </c>
      <c r="O1137">
        <v>3.99666E-3</v>
      </c>
      <c r="P1137">
        <v>0.99497939999999996</v>
      </c>
      <c r="Q1137">
        <v>-9.8144369999999995E-2</v>
      </c>
      <c r="R1137">
        <v>-1.9587489999999999E-2</v>
      </c>
      <c r="S1137">
        <v>2.9960939999999998</v>
      </c>
      <c r="T1137">
        <v>-0.15029870000000001</v>
      </c>
      <c r="U1137">
        <v>-0.20330809999999999</v>
      </c>
      <c r="V1137">
        <v>2.356053E-2</v>
      </c>
      <c r="W1137">
        <v>-8.7916880000000003E-2</v>
      </c>
      <c r="X1137">
        <v>0.99584910000000004</v>
      </c>
      <c r="Y1137">
        <v>7.1577979999999999E-2</v>
      </c>
      <c r="Z1137">
        <v>-2.319776E-3</v>
      </c>
      <c r="AA1137">
        <v>0.99743230000000005</v>
      </c>
      <c r="AB1137">
        <v>25</v>
      </c>
      <c r="AC1137">
        <v>21.088899999999899</v>
      </c>
      <c r="AD1137">
        <v>-1.070654663986</v>
      </c>
      <c r="AE1137">
        <v>-1.4491999999999601</v>
      </c>
      <c r="AF1137">
        <v>1.52955421235898</v>
      </c>
      <c r="AG1137">
        <v>-1.070654663986</v>
      </c>
      <c r="AH1137">
        <v>21.0289927676709</v>
      </c>
      <c r="AI1137">
        <v>92.906932400893396</v>
      </c>
      <c r="AJ1137">
        <v>85.8398890456251</v>
      </c>
      <c r="AK1137">
        <v>21.1117117809242</v>
      </c>
      <c r="AL1137">
        <v>95.043778239434602</v>
      </c>
      <c r="AM1137">
        <v>88.644707164282806</v>
      </c>
      <c r="AN1137">
        <v>0.99999995316681101</v>
      </c>
    </row>
    <row r="1138" spans="1:40" x14ac:dyDescent="0.25">
      <c r="A1138" t="str">
        <f>"20190303154118480"</f>
        <v>20190303154118480</v>
      </c>
      <c r="B1138" t="str">
        <f>"1551598878470539"</f>
        <v>1551598878470539</v>
      </c>
      <c r="C1138" t="s">
        <v>40</v>
      </c>
      <c r="D1138">
        <v>6.1688679999999998</v>
      </c>
      <c r="E1138">
        <v>0.5167484</v>
      </c>
      <c r="F1138" t="s">
        <v>41</v>
      </c>
      <c r="G1138">
        <v>-276.08929999999998</v>
      </c>
      <c r="H1138" s="1">
        <v>-2.247489E-6</v>
      </c>
      <c r="I1138">
        <v>366.30430000000001</v>
      </c>
      <c r="J1138">
        <v>-293.73840000000001</v>
      </c>
      <c r="K1138">
        <v>1.0707260000000001</v>
      </c>
      <c r="L1138">
        <v>367.47669999999999</v>
      </c>
      <c r="M1138">
        <v>0.99993390000000004</v>
      </c>
      <c r="N1138">
        <v>-1.0786499999999999E-2</v>
      </c>
      <c r="O1138">
        <v>3.9964559999999998E-3</v>
      </c>
      <c r="P1138">
        <v>0.99496629999999997</v>
      </c>
      <c r="Q1138">
        <v>-9.8388870000000003E-2</v>
      </c>
      <c r="R1138">
        <v>-1.902765E-2</v>
      </c>
      <c r="S1138">
        <v>2.9936219999999998</v>
      </c>
      <c r="T1138">
        <v>-0.17903759999999999</v>
      </c>
      <c r="U1138">
        <v>-0.1958618</v>
      </c>
      <c r="V1138">
        <v>2.300052E-2</v>
      </c>
      <c r="W1138">
        <v>-8.7652789999999994E-2</v>
      </c>
      <c r="X1138">
        <v>0.99588549999999998</v>
      </c>
      <c r="Y1138">
        <v>6.9124370000000004E-2</v>
      </c>
      <c r="Z1138">
        <v>-2.6321220000000002E-3</v>
      </c>
      <c r="AA1138">
        <v>0.99760450000000001</v>
      </c>
      <c r="AB1138">
        <v>25</v>
      </c>
      <c r="AC1138">
        <v>17.649100000000001</v>
      </c>
      <c r="AD1138">
        <v>-1.0707282474889901</v>
      </c>
      <c r="AE1138">
        <v>-1.1723999999999799</v>
      </c>
      <c r="AF1138">
        <v>1.23839064603283</v>
      </c>
      <c r="AG1138">
        <v>-1.0707282474889901</v>
      </c>
      <c r="AH1138">
        <v>17.5798539563127</v>
      </c>
      <c r="AI1138">
        <v>93.476788112876605</v>
      </c>
      <c r="AJ1138">
        <v>85.9705274356253</v>
      </c>
      <c r="AK1138">
        <v>17.655915028608199</v>
      </c>
      <c r="AL1138">
        <v>95.028588208159704</v>
      </c>
      <c r="AM1138">
        <v>88.6769578580749</v>
      </c>
      <c r="AN1138">
        <v>0.99999998231265197</v>
      </c>
    </row>
    <row r="1139" spans="1:40" x14ac:dyDescent="0.25">
      <c r="A1139" t="str">
        <f>"20190303154118501"</f>
        <v>20190303154118501</v>
      </c>
      <c r="B1139" t="str">
        <f>"1551598878490056"</f>
        <v>1551598878490056</v>
      </c>
      <c r="C1139" t="s">
        <v>40</v>
      </c>
      <c r="D1139">
        <v>6.0304460000000004</v>
      </c>
      <c r="E1139">
        <v>0.51758519999999997</v>
      </c>
      <c r="F1139" t="s">
        <v>41</v>
      </c>
      <c r="G1139">
        <v>-276.9323</v>
      </c>
      <c r="H1139" s="1">
        <v>-1.8844210000000001E-6</v>
      </c>
      <c r="I1139">
        <v>366.4051</v>
      </c>
      <c r="J1139">
        <v>-293.49059999999997</v>
      </c>
      <c r="K1139">
        <v>1.070781</v>
      </c>
      <c r="L1139">
        <v>367.4776</v>
      </c>
      <c r="M1139">
        <v>0.99992859999999995</v>
      </c>
      <c r="N1139">
        <v>-1.126252E-2</v>
      </c>
      <c r="O1139">
        <v>3.9968549999999997E-3</v>
      </c>
      <c r="P1139">
        <v>0.99491370000000001</v>
      </c>
      <c r="Q1139">
        <v>-9.8929390000000006E-2</v>
      </c>
      <c r="R1139">
        <v>-1.8969690000000001E-2</v>
      </c>
      <c r="S1139">
        <v>2.9926759999999999</v>
      </c>
      <c r="T1139">
        <v>-0.190665</v>
      </c>
      <c r="U1139">
        <v>-0.19079589999999999</v>
      </c>
      <c r="V1139">
        <v>2.2942919999999999E-2</v>
      </c>
      <c r="W1139">
        <v>-8.7719749999999999E-2</v>
      </c>
      <c r="X1139">
        <v>0.99588100000000002</v>
      </c>
      <c r="Y1139">
        <v>6.7447720000000003E-2</v>
      </c>
      <c r="Z1139">
        <v>-2.7340860000000002E-3</v>
      </c>
      <c r="AA1139">
        <v>0.99771900000000002</v>
      </c>
      <c r="AB1139">
        <v>25</v>
      </c>
      <c r="AC1139">
        <v>16.5582999999999</v>
      </c>
      <c r="AD1139">
        <v>-1.0707828844209999</v>
      </c>
      <c r="AE1139">
        <v>-1.07249999999999</v>
      </c>
      <c r="AF1139">
        <v>1.1339545054292399</v>
      </c>
      <c r="AG1139">
        <v>-1.0707828844209999</v>
      </c>
      <c r="AH1139">
        <v>16.485229620799402</v>
      </c>
      <c r="AI1139">
        <v>93.707637359532001</v>
      </c>
      <c r="AJ1139">
        <v>86.065045596777907</v>
      </c>
      <c r="AK1139">
        <v>16.558841277590499</v>
      </c>
      <c r="AL1139">
        <v>95.032439231353493</v>
      </c>
      <c r="AM1139">
        <v>88.680264006388498</v>
      </c>
      <c r="AN1139">
        <v>1.00000004913959</v>
      </c>
    </row>
    <row r="1140" spans="1:40" x14ac:dyDescent="0.25">
      <c r="A1140" t="str">
        <f>"20190303154118525"</f>
        <v>20190303154118525</v>
      </c>
      <c r="B1140" t="str">
        <f>"1551598878520312"</f>
        <v>1551598878520312</v>
      </c>
      <c r="C1140" t="s">
        <v>40</v>
      </c>
      <c r="D1140">
        <v>6.04373</v>
      </c>
      <c r="E1140">
        <v>0.5190129</v>
      </c>
      <c r="F1140" t="s">
        <v>41</v>
      </c>
      <c r="G1140">
        <v>-276.32639999999998</v>
      </c>
      <c r="H1140" s="1">
        <v>-2.1379190000000002E-6</v>
      </c>
      <c r="I1140">
        <v>366.3485</v>
      </c>
      <c r="J1140">
        <v>-293.23009999999999</v>
      </c>
      <c r="K1140">
        <v>1.0708329999999999</v>
      </c>
      <c r="L1140">
        <v>367.4787</v>
      </c>
      <c r="M1140">
        <v>0.99992349999999997</v>
      </c>
      <c r="N1140">
        <v>-1.172042E-2</v>
      </c>
      <c r="O1140">
        <v>3.9970659999999996E-3</v>
      </c>
      <c r="P1140">
        <v>0.99481909999999896</v>
      </c>
      <c r="Q1140">
        <v>-9.9717689999999998E-2</v>
      </c>
      <c r="R1140">
        <v>-1.9787269999999999E-2</v>
      </c>
      <c r="S1140">
        <v>2.9930110000000001</v>
      </c>
      <c r="T1140">
        <v>-0.18671740000000001</v>
      </c>
      <c r="U1140">
        <v>-0.19686890000000001</v>
      </c>
      <c r="V1140">
        <v>2.376033E-2</v>
      </c>
      <c r="W1140">
        <v>-8.8053099999999995E-2</v>
      </c>
      <c r="X1140">
        <v>0.99583239999999995</v>
      </c>
      <c r="Y1140">
        <v>6.9457610000000003E-2</v>
      </c>
      <c r="Z1140">
        <v>-2.7721540000000002E-3</v>
      </c>
      <c r="AA1140">
        <v>0.9975811</v>
      </c>
      <c r="AB1140">
        <v>25</v>
      </c>
      <c r="AC1140">
        <v>16.903700000000001</v>
      </c>
      <c r="AD1140">
        <v>-1.070835137919</v>
      </c>
      <c r="AE1140">
        <v>-1.1302000000000001</v>
      </c>
      <c r="AF1140">
        <v>1.1929944867645099</v>
      </c>
      <c r="AG1140">
        <v>-1.070835137919</v>
      </c>
      <c r="AH1140">
        <v>16.8317998200307</v>
      </c>
      <c r="AI1140">
        <v>93.631153167140994</v>
      </c>
      <c r="AJ1140">
        <v>85.945802998454099</v>
      </c>
      <c r="AK1140">
        <v>16.907968799345401</v>
      </c>
      <c r="AL1140">
        <v>95.051613041471597</v>
      </c>
      <c r="AM1140">
        <v>88.633195324592805</v>
      </c>
      <c r="AN1140">
        <v>1.0000000352955301</v>
      </c>
    </row>
    <row r="1141" spans="1:40" x14ac:dyDescent="0.25">
      <c r="A1141" t="str">
        <f>"20190303154118546"</f>
        <v>20190303154118546</v>
      </c>
      <c r="B1141" t="str">
        <f>"1551598878540811"</f>
        <v>1551598878540811</v>
      </c>
      <c r="C1141" t="s">
        <v>40</v>
      </c>
      <c r="D1141">
        <v>6.0213950000000001</v>
      </c>
      <c r="E1141">
        <v>0.51916189999999995</v>
      </c>
      <c r="F1141" t="s">
        <v>41</v>
      </c>
      <c r="G1141">
        <v>-274.8021</v>
      </c>
      <c r="H1141" s="1">
        <v>-2.821484E-6</v>
      </c>
      <c r="I1141">
        <v>366.1814</v>
      </c>
      <c r="J1141">
        <v>-292.98820000000001</v>
      </c>
      <c r="K1141">
        <v>1.07087</v>
      </c>
      <c r="L1141">
        <v>367.4796</v>
      </c>
      <c r="M1141">
        <v>0.9999188</v>
      </c>
      <c r="N1141">
        <v>-1.210404E-2</v>
      </c>
      <c r="O1141">
        <v>3.9974470000000003E-3</v>
      </c>
      <c r="P1141">
        <v>0.99477150000000003</v>
      </c>
      <c r="Q1141">
        <v>-0.1001083</v>
      </c>
      <c r="R1141">
        <v>-2.020456E-2</v>
      </c>
      <c r="S1141">
        <v>2.9939879999999999</v>
      </c>
      <c r="T1141">
        <v>-0.1739773</v>
      </c>
      <c r="U1141">
        <v>-0.21075440000000001</v>
      </c>
      <c r="V1141">
        <v>2.4177669999999998E-2</v>
      </c>
      <c r="W1141">
        <v>-8.8062199999999993E-2</v>
      </c>
      <c r="X1141">
        <v>0.99582150000000003</v>
      </c>
      <c r="Y1141">
        <v>7.4051519999999996E-2</v>
      </c>
      <c r="Z1141">
        <v>-2.7797680000000002E-3</v>
      </c>
      <c r="AA1141">
        <v>0.99725059999999999</v>
      </c>
      <c r="AB1141">
        <v>25</v>
      </c>
      <c r="AC1141">
        <v>18.1861</v>
      </c>
      <c r="AD1141">
        <v>-1.070872821484</v>
      </c>
      <c r="AE1141">
        <v>-1.2982</v>
      </c>
      <c r="AF1141">
        <v>1.3661799229638201</v>
      </c>
      <c r="AG1141">
        <v>-1.070872821484</v>
      </c>
      <c r="AH1141">
        <v>18.118261107279402</v>
      </c>
      <c r="AI1141">
        <v>93.372956808563899</v>
      </c>
      <c r="AJ1141">
        <v>85.687859023280794</v>
      </c>
      <c r="AK1141">
        <v>18.201225281097301</v>
      </c>
      <c r="AL1141">
        <v>95.0521367194482</v>
      </c>
      <c r="AM1141">
        <v>88.609182117774395</v>
      </c>
      <c r="AN1141">
        <v>0.99999998532885903</v>
      </c>
    </row>
    <row r="1142" spans="1:40" x14ac:dyDescent="0.25">
      <c r="A1142" t="str">
        <f>"20190303154118570"</f>
        <v>20190303154118570</v>
      </c>
      <c r="B1142" t="str">
        <f>"1551598878560328"</f>
        <v>1551598878560328</v>
      </c>
      <c r="C1142" t="s">
        <v>40</v>
      </c>
      <c r="D1142">
        <v>6.0363959999999999</v>
      </c>
      <c r="E1142">
        <v>0.51983290000000004</v>
      </c>
      <c r="F1142" t="s">
        <v>41</v>
      </c>
      <c r="G1142">
        <v>-274.88600000000002</v>
      </c>
      <c r="H1142" s="1">
        <v>-2.7838980000000001E-6</v>
      </c>
      <c r="I1142">
        <v>366.19049999999999</v>
      </c>
      <c r="J1142">
        <v>-292.74650000000003</v>
      </c>
      <c r="K1142">
        <v>1.070894</v>
      </c>
      <c r="L1142">
        <v>367.48059999999998</v>
      </c>
      <c r="M1142">
        <v>0.99991459999999999</v>
      </c>
      <c r="N1142">
        <v>-1.244775E-2</v>
      </c>
      <c r="O1142">
        <v>3.9975269999999999E-3</v>
      </c>
      <c r="P1142">
        <v>0.99475400000000003</v>
      </c>
      <c r="Q1142">
        <v>-0.100212</v>
      </c>
      <c r="R1142">
        <v>-2.054535E-2</v>
      </c>
      <c r="S1142">
        <v>2.9935909999999999</v>
      </c>
      <c r="T1142">
        <v>-0.17709059999999999</v>
      </c>
      <c r="U1142">
        <v>-0.2131653</v>
      </c>
      <c r="V1142">
        <v>2.4518720000000001E-2</v>
      </c>
      <c r="W1142">
        <v>-8.7823910000000005E-2</v>
      </c>
      <c r="X1142">
        <v>0.9958342</v>
      </c>
      <c r="Y1142">
        <v>7.4852440000000006E-2</v>
      </c>
      <c r="Z1142">
        <v>-2.8625740000000001E-3</v>
      </c>
      <c r="AA1142">
        <v>0.99719049999999998</v>
      </c>
      <c r="AB1142">
        <v>25</v>
      </c>
      <c r="AC1142">
        <v>17.860499999999998</v>
      </c>
      <c r="AD1142">
        <v>-1.0708967838979999</v>
      </c>
      <c r="AE1142">
        <v>-1.29009999999999</v>
      </c>
      <c r="AF1142">
        <v>1.35664113609207</v>
      </c>
      <c r="AG1142">
        <v>-1.0708967838979999</v>
      </c>
      <c r="AH1142">
        <v>17.791569614417899</v>
      </c>
      <c r="AI1142">
        <v>93.434602098984996</v>
      </c>
      <c r="AJ1142">
        <v>85.639525520026197</v>
      </c>
      <c r="AK1142">
        <v>17.8753250163061</v>
      </c>
      <c r="AL1142">
        <v>95.038430628798807</v>
      </c>
      <c r="AM1142">
        <v>88.589589102791606</v>
      </c>
      <c r="AN1142">
        <v>0.99999998034388204</v>
      </c>
    </row>
    <row r="1143" spans="1:40" x14ac:dyDescent="0.25">
      <c r="A1143" t="str">
        <f>"20190303154118591"</f>
        <v>20190303154118591</v>
      </c>
      <c r="B1143" t="str">
        <f>"1551598878579848"</f>
        <v>1551598878579848</v>
      </c>
      <c r="C1143" t="s">
        <v>40</v>
      </c>
      <c r="D1143">
        <v>6.1196719999999996</v>
      </c>
      <c r="E1143">
        <v>0.51932069999999997</v>
      </c>
      <c r="F1143" t="s">
        <v>41</v>
      </c>
      <c r="G1143">
        <v>-273.99979999999999</v>
      </c>
      <c r="H1143" s="1">
        <v>-3.178961E-6</v>
      </c>
      <c r="I1143">
        <v>366.10640000000001</v>
      </c>
      <c r="J1143">
        <v>-292.49720000000002</v>
      </c>
      <c r="K1143">
        <v>1.0709070000000001</v>
      </c>
      <c r="L1143">
        <v>367.48160000000001</v>
      </c>
      <c r="M1143">
        <v>0.99991070000000004</v>
      </c>
      <c r="N1143">
        <v>-1.2762610000000001E-2</v>
      </c>
      <c r="O1143">
        <v>3.9977340000000002E-3</v>
      </c>
      <c r="P1143">
        <v>0.99471410000000005</v>
      </c>
      <c r="Q1143">
        <v>-0.1005968</v>
      </c>
      <c r="R1143">
        <v>-2.060615E-2</v>
      </c>
      <c r="S1143">
        <v>2.9940190000000002</v>
      </c>
      <c r="T1143">
        <v>-0.1710315</v>
      </c>
      <c r="U1143">
        <v>-0.21945190000000001</v>
      </c>
      <c r="V1143">
        <v>2.4579299999999998E-2</v>
      </c>
      <c r="W1143">
        <v>-8.7895630000000002E-2</v>
      </c>
      <c r="X1143">
        <v>0.9958264</v>
      </c>
      <c r="Y1143">
        <v>7.6930750000000006E-2</v>
      </c>
      <c r="Z1143">
        <v>-2.8616340000000001E-3</v>
      </c>
      <c r="AA1143">
        <v>0.99703229999999998</v>
      </c>
      <c r="AB1143">
        <v>25</v>
      </c>
      <c r="AC1143">
        <v>18.497399999999999</v>
      </c>
      <c r="AD1143">
        <v>-1.070910178961</v>
      </c>
      <c r="AE1143">
        <v>-1.3752</v>
      </c>
      <c r="AF1143">
        <v>1.44432814546431</v>
      </c>
      <c r="AG1143">
        <v>-1.070910178961</v>
      </c>
      <c r="AH1143">
        <v>18.4303179253438</v>
      </c>
      <c r="AI1143">
        <v>93.315341467958504</v>
      </c>
      <c r="AJ1143">
        <v>85.5190615247853</v>
      </c>
      <c r="AK1143">
        <v>18.5178171292523</v>
      </c>
      <c r="AL1143">
        <v>95.042555728771305</v>
      </c>
      <c r="AM1143">
        <v>88.586094651354102</v>
      </c>
      <c r="AN1143">
        <v>1.00000000134927</v>
      </c>
    </row>
    <row r="1144" spans="1:40" x14ac:dyDescent="0.25">
      <c r="A1144" t="str">
        <f>"20190303154118613"</f>
        <v>20190303154118613</v>
      </c>
      <c r="B1144" t="str">
        <f>"1551598878610104"</f>
        <v>1551598878610104</v>
      </c>
      <c r="C1144" t="s">
        <v>40</v>
      </c>
      <c r="D1144">
        <v>6.1119620000000001</v>
      </c>
      <c r="E1144">
        <v>0.51968809999999999</v>
      </c>
      <c r="F1144" t="s">
        <v>41</v>
      </c>
      <c r="G1144">
        <v>-274.78919999999999</v>
      </c>
      <c r="H1144" s="1">
        <v>-2.8225690000000001E-6</v>
      </c>
      <c r="I1144">
        <v>366.20650000000001</v>
      </c>
      <c r="J1144">
        <v>-292.25310000000002</v>
      </c>
      <c r="K1144">
        <v>1.070927</v>
      </c>
      <c r="L1144">
        <v>367.48259999999999</v>
      </c>
      <c r="M1144">
        <v>0.99990710000000005</v>
      </c>
      <c r="N1144">
        <v>-1.30335E-2</v>
      </c>
      <c r="O1144">
        <v>3.9979409999999996E-3</v>
      </c>
      <c r="P1144">
        <v>0.99470530000000001</v>
      </c>
      <c r="Q1144">
        <v>-0.1007507</v>
      </c>
      <c r="R1144">
        <v>-2.0268060000000001E-2</v>
      </c>
      <c r="S1144">
        <v>2.9931640000000002</v>
      </c>
      <c r="T1144">
        <v>-0.18101419999999999</v>
      </c>
      <c r="U1144">
        <v>-0.21551509999999999</v>
      </c>
      <c r="V1144">
        <v>2.424159E-2</v>
      </c>
      <c r="W1144">
        <v>-8.7779780000000002E-2</v>
      </c>
      <c r="X1144">
        <v>0.99584490000000003</v>
      </c>
      <c r="Y1144">
        <v>7.5632149999999995E-2</v>
      </c>
      <c r="Z1144">
        <v>-2.9652580000000001E-3</v>
      </c>
      <c r="AA1144">
        <v>0.9971314</v>
      </c>
      <c r="AB1144">
        <v>25</v>
      </c>
      <c r="AC1144">
        <v>17.463899999999999</v>
      </c>
      <c r="AD1144">
        <v>-1.070929822569</v>
      </c>
      <c r="AE1144">
        <v>-1.27609999999998</v>
      </c>
      <c r="AF1144">
        <v>1.34089976700145</v>
      </c>
      <c r="AG1144">
        <v>-1.070929822569</v>
      </c>
      <c r="AH1144">
        <v>17.393597866169301</v>
      </c>
      <c r="AI1144">
        <v>93.512876248879195</v>
      </c>
      <c r="AJ1144">
        <v>85.591697615934194</v>
      </c>
      <c r="AK1144">
        <v>17.478047648408001</v>
      </c>
      <c r="AL1144">
        <v>95.035892240349796</v>
      </c>
      <c r="AM1144">
        <v>88.605539330956503</v>
      </c>
      <c r="AN1144">
        <v>1.0000000046592901</v>
      </c>
    </row>
    <row r="1145" spans="1:40" x14ac:dyDescent="0.25">
      <c r="A1145" t="str">
        <f>"20190303154118636"</f>
        <v>20190303154118636</v>
      </c>
      <c r="B1145" t="str">
        <f>"1551598878630603"</f>
        <v>1551598878630603</v>
      </c>
      <c r="C1145" t="s">
        <v>40</v>
      </c>
      <c r="D1145">
        <v>6.1220840000000001</v>
      </c>
      <c r="E1145">
        <v>0.5197541</v>
      </c>
      <c r="F1145" t="s">
        <v>41</v>
      </c>
      <c r="G1145">
        <v>-274.3954</v>
      </c>
      <c r="H1145" s="1">
        <v>-2.9954219999999999E-6</v>
      </c>
      <c r="I1145">
        <v>366.18450000000001</v>
      </c>
      <c r="J1145">
        <v>-291.99860000000001</v>
      </c>
      <c r="K1145">
        <v>1.0709390000000001</v>
      </c>
      <c r="L1145">
        <v>367.48360000000002</v>
      </c>
      <c r="M1145">
        <v>0.99990389999999996</v>
      </c>
      <c r="N1145">
        <v>-1.327994E-2</v>
      </c>
      <c r="O1145">
        <v>3.9983350000000004E-3</v>
      </c>
      <c r="P1145">
        <v>0.99467190000000005</v>
      </c>
      <c r="Q1145">
        <v>-0.1012323</v>
      </c>
      <c r="R1145">
        <v>-1.949884E-2</v>
      </c>
      <c r="S1145">
        <v>2.9934080000000001</v>
      </c>
      <c r="T1145">
        <v>-0.17951429999999999</v>
      </c>
      <c r="U1145">
        <v>-0.21759029999999999</v>
      </c>
      <c r="V1145">
        <v>2.3472630000000001E-2</v>
      </c>
      <c r="W1145">
        <v>-8.8016259999999999E-2</v>
      </c>
      <c r="X1145">
        <v>0.99584249999999996</v>
      </c>
      <c r="Y1145">
        <v>7.6315019999999997E-2</v>
      </c>
      <c r="Z1145">
        <v>-2.977483E-3</v>
      </c>
      <c r="AA1145">
        <v>0.9970793</v>
      </c>
      <c r="AB1145">
        <v>25</v>
      </c>
      <c r="AC1145">
        <v>17.603200000000001</v>
      </c>
      <c r="AD1145">
        <v>-1.0709419954220001</v>
      </c>
      <c r="AE1145">
        <v>-1.2991000000000099</v>
      </c>
      <c r="AF1145">
        <v>1.3644564651409901</v>
      </c>
      <c r="AG1145">
        <v>-1.0709419954220001</v>
      </c>
      <c r="AH1145">
        <v>17.533320857899898</v>
      </c>
      <c r="AI1145">
        <v>93.484795756179295</v>
      </c>
      <c r="AJ1145">
        <v>85.550166906926094</v>
      </c>
      <c r="AK1145">
        <v>17.618910253159601</v>
      </c>
      <c r="AL1145">
        <v>95.049493935039905</v>
      </c>
      <c r="AM1145">
        <v>88.649752691520604</v>
      </c>
      <c r="AN1145">
        <v>1.00000005559487</v>
      </c>
    </row>
    <row r="1146" spans="1:40" x14ac:dyDescent="0.25">
      <c r="A1146" t="str">
        <f>"20190303154118658"</f>
        <v>20190303154118658</v>
      </c>
      <c r="B1146" t="str">
        <f>"1551598878650120"</f>
        <v>1551598878650120</v>
      </c>
      <c r="C1146" t="s">
        <v>40</v>
      </c>
      <c r="D1146">
        <v>6.1348209999999996</v>
      </c>
      <c r="E1146">
        <v>0.51955249999999997</v>
      </c>
      <c r="F1146" t="s">
        <v>41</v>
      </c>
      <c r="G1146">
        <v>-274.3879</v>
      </c>
      <c r="H1146" s="1">
        <v>-2.9934789999999999E-6</v>
      </c>
      <c r="I1146">
        <v>366.21359999999999</v>
      </c>
      <c r="J1146">
        <v>-291.75560000000002</v>
      </c>
      <c r="K1146">
        <v>1.0709489999999999</v>
      </c>
      <c r="L1146">
        <v>367.4846</v>
      </c>
      <c r="M1146">
        <v>0.99990120000000005</v>
      </c>
      <c r="N1146">
        <v>-1.3482620000000001E-2</v>
      </c>
      <c r="O1146">
        <v>3.9985189999999999E-3</v>
      </c>
      <c r="P1146">
        <v>0.99465409999999999</v>
      </c>
      <c r="Q1146">
        <v>-0.1015283</v>
      </c>
      <c r="R1146">
        <v>-1.8853100000000001E-2</v>
      </c>
      <c r="S1146">
        <v>2.9933169999999998</v>
      </c>
      <c r="T1146">
        <v>-0.18202840000000001</v>
      </c>
      <c r="U1146">
        <v>-0.21585080000000001</v>
      </c>
      <c r="V1146">
        <v>2.2827009999999998E-2</v>
      </c>
      <c r="W1146">
        <v>-8.8110560000000004E-2</v>
      </c>
      <c r="X1146">
        <v>0.99584910000000004</v>
      </c>
      <c r="Y1146">
        <v>7.573742E-2</v>
      </c>
      <c r="Z1146">
        <v>-2.9984090000000001E-3</v>
      </c>
      <c r="AA1146">
        <v>0.99712330000000005</v>
      </c>
      <c r="AB1146">
        <v>25</v>
      </c>
      <c r="AC1146">
        <v>17.367699999999999</v>
      </c>
      <c r="AD1146">
        <v>-1.0709519934789999</v>
      </c>
      <c r="AE1146">
        <v>-1.2710000000000099</v>
      </c>
      <c r="AF1146">
        <v>1.3353906105170701</v>
      </c>
      <c r="AG1146">
        <v>-1.0709519934789999</v>
      </c>
      <c r="AH1146">
        <v>17.297058944554198</v>
      </c>
      <c r="AI1146">
        <v>93.532475666937799</v>
      </c>
      <c r="AJ1146">
        <v>85.585331923648397</v>
      </c>
      <c r="AK1146">
        <v>17.381555004842799</v>
      </c>
      <c r="AL1146">
        <v>95.054918349763895</v>
      </c>
      <c r="AM1146">
        <v>88.686887061816705</v>
      </c>
      <c r="AN1146">
        <v>0.99999998656993105</v>
      </c>
    </row>
    <row r="1147" spans="1:40" x14ac:dyDescent="0.25">
      <c r="A1147" t="str">
        <f>"20190303154118681"</f>
        <v>20190303154118681</v>
      </c>
      <c r="B1147" t="str">
        <f>"1551598878670616"</f>
        <v>1551598878670616</v>
      </c>
      <c r="C1147" t="s">
        <v>40</v>
      </c>
      <c r="D1147">
        <v>6.0935139999999999</v>
      </c>
      <c r="E1147">
        <v>0.51933269999999998</v>
      </c>
      <c r="F1147" t="s">
        <v>41</v>
      </c>
      <c r="G1147">
        <v>-274.74829999999997</v>
      </c>
      <c r="H1147" s="1">
        <v>-2.82736E-6</v>
      </c>
      <c r="I1147">
        <v>366.27850000000001</v>
      </c>
      <c r="J1147">
        <v>-291.50479999999999</v>
      </c>
      <c r="K1147">
        <v>1.0709610000000001</v>
      </c>
      <c r="L1147">
        <v>367.48559999999998</v>
      </c>
      <c r="M1147">
        <v>0.99989870000000003</v>
      </c>
      <c r="N1147">
        <v>-1.366412E-2</v>
      </c>
      <c r="O1147">
        <v>3.9987690000000001E-3</v>
      </c>
      <c r="P1147">
        <v>0.99464209999999997</v>
      </c>
      <c r="Q1147">
        <v>-0.1017183</v>
      </c>
      <c r="R1147">
        <v>-1.8452489999999998E-2</v>
      </c>
      <c r="S1147">
        <v>2.9928590000000002</v>
      </c>
      <c r="T1147">
        <v>-0.1884595</v>
      </c>
      <c r="U1147">
        <v>-0.2122192</v>
      </c>
      <c r="V1147">
        <v>2.2426620000000001E-2</v>
      </c>
      <c r="W1147">
        <v>-8.8119920000000004E-2</v>
      </c>
      <c r="X1147">
        <v>0.9958574</v>
      </c>
      <c r="Y1147">
        <v>7.4535710000000005E-2</v>
      </c>
      <c r="Z1147">
        <v>-3.0487159999999999E-3</v>
      </c>
      <c r="AA1147">
        <v>0.99721369999999998</v>
      </c>
      <c r="AB1147">
        <v>25</v>
      </c>
      <c r="AC1147">
        <v>16.756499999999999</v>
      </c>
      <c r="AD1147">
        <v>-1.07096382736</v>
      </c>
      <c r="AE1147">
        <v>-1.2070999999999601</v>
      </c>
      <c r="AF1147">
        <v>1.26894520043985</v>
      </c>
      <c r="AG1147">
        <v>-1.07096382736</v>
      </c>
      <c r="AH1147">
        <v>16.6837388344067</v>
      </c>
      <c r="AI1147">
        <v>93.662346638241203</v>
      </c>
      <c r="AJ1147">
        <v>85.650525861723196</v>
      </c>
      <c r="AK1147">
        <v>16.766166137072702</v>
      </c>
      <c r="AL1147">
        <v>95.055456576357699</v>
      </c>
      <c r="AM1147">
        <v>88.709922202263698</v>
      </c>
      <c r="AN1147">
        <v>1.00000001736009</v>
      </c>
    </row>
    <row r="1148" spans="1:40" x14ac:dyDescent="0.25">
      <c r="A1148" t="str">
        <f>"20190303154118703"</f>
        <v>20190303154118703</v>
      </c>
      <c r="B1148" t="str">
        <f>"1551598878699896"</f>
        <v>1551598878699896</v>
      </c>
      <c r="C1148" t="s">
        <v>40</v>
      </c>
      <c r="D1148">
        <v>6.0744089999999904</v>
      </c>
      <c r="E1148">
        <v>0.51918799999999998</v>
      </c>
      <c r="F1148" t="s">
        <v>41</v>
      </c>
      <c r="G1148">
        <v>-274.93</v>
      </c>
      <c r="H1148" s="1">
        <v>-2.740789E-6</v>
      </c>
      <c r="I1148">
        <v>366.327</v>
      </c>
      <c r="J1148">
        <v>-291.26650000000001</v>
      </c>
      <c r="K1148">
        <v>1.07097</v>
      </c>
      <c r="L1148">
        <v>367.48649999999998</v>
      </c>
      <c r="M1148">
        <v>0.99989660000000002</v>
      </c>
      <c r="N1148">
        <v>-1.3813840000000001E-2</v>
      </c>
      <c r="O1148">
        <v>3.9987470000000004E-3</v>
      </c>
      <c r="P1148">
        <v>0.99462439999999996</v>
      </c>
      <c r="Q1148">
        <v>-0.10193530000000001</v>
      </c>
      <c r="R1148">
        <v>-1.820745E-2</v>
      </c>
      <c r="S1148">
        <v>2.9924930000000001</v>
      </c>
      <c r="T1148">
        <v>-0.19335659999999999</v>
      </c>
      <c r="U1148">
        <v>-0.20916750000000001</v>
      </c>
      <c r="V1148">
        <v>2.2181309999999999E-2</v>
      </c>
      <c r="W1148">
        <v>-8.8188030000000001E-2</v>
      </c>
      <c r="X1148">
        <v>0.99585679999999999</v>
      </c>
      <c r="Y1148">
        <v>7.3525590000000002E-2</v>
      </c>
      <c r="Z1148">
        <v>-3.0818239999999999E-3</v>
      </c>
      <c r="AA1148">
        <v>0.99728859999999997</v>
      </c>
      <c r="AB1148">
        <v>25</v>
      </c>
      <c r="AC1148">
        <v>16.336500000000001</v>
      </c>
      <c r="AD1148">
        <v>-1.070972740789</v>
      </c>
      <c r="AE1148">
        <v>-1.15949999999998</v>
      </c>
      <c r="AF1148">
        <v>1.21960722510925</v>
      </c>
      <c r="AG1148">
        <v>-1.070972740789</v>
      </c>
      <c r="AH1148">
        <v>16.2621922315377</v>
      </c>
      <c r="AI1148">
        <v>93.757343141875097</v>
      </c>
      <c r="AJ1148">
        <v>85.711047046774993</v>
      </c>
      <c r="AK1148">
        <v>16.342989951980499</v>
      </c>
      <c r="AL1148">
        <v>95.059374572221301</v>
      </c>
      <c r="AM1148">
        <v>88.724028052663698</v>
      </c>
      <c r="AN1148">
        <v>0.99999995262741703</v>
      </c>
    </row>
    <row r="1149" spans="1:40" x14ac:dyDescent="0.25">
      <c r="A1149" t="str">
        <f>"20190303154118726"</f>
        <v>20190303154118726</v>
      </c>
      <c r="B1149" t="str">
        <f>"1551598878720392"</f>
        <v>1551598878720392</v>
      </c>
      <c r="C1149" t="s">
        <v>40</v>
      </c>
      <c r="D1149">
        <v>6.0525359999999999</v>
      </c>
      <c r="E1149">
        <v>0.51912429999999998</v>
      </c>
      <c r="F1149" t="s">
        <v>41</v>
      </c>
      <c r="G1149">
        <v>-275.18680000000001</v>
      </c>
      <c r="H1149" s="1">
        <v>-2.6225459999999999E-6</v>
      </c>
      <c r="I1149">
        <v>366.3725</v>
      </c>
      <c r="J1149">
        <v>-291.01659999999998</v>
      </c>
      <c r="K1149">
        <v>1.070964</v>
      </c>
      <c r="L1149">
        <v>367.48759999999999</v>
      </c>
      <c r="M1149">
        <v>0.99989479999999997</v>
      </c>
      <c r="N1149">
        <v>-1.3949319999999999E-2</v>
      </c>
      <c r="O1149">
        <v>3.9986350000000004E-3</v>
      </c>
      <c r="P1149">
        <v>0.99458740000000001</v>
      </c>
      <c r="Q1149">
        <v>-0.1022092</v>
      </c>
      <c r="R1149">
        <v>-1.8698590000000001E-2</v>
      </c>
      <c r="S1149">
        <v>2.9920040000000001</v>
      </c>
      <c r="T1149">
        <v>-0.1992785</v>
      </c>
      <c r="U1149">
        <v>-0.2072754</v>
      </c>
      <c r="V1149">
        <v>2.2672379999999999E-2</v>
      </c>
      <c r="W1149">
        <v>-8.8327439999999993E-2</v>
      </c>
      <c r="X1149">
        <v>0.99583350000000004</v>
      </c>
      <c r="Y1149">
        <v>7.2899569999999997E-2</v>
      </c>
      <c r="Z1149">
        <v>-3.141928E-3</v>
      </c>
      <c r="AA1149">
        <v>0.99733439999999995</v>
      </c>
      <c r="AB1149">
        <v>25</v>
      </c>
      <c r="AC1149">
        <v>15.829799999999899</v>
      </c>
      <c r="AD1149">
        <v>-1.0709666225459999</v>
      </c>
      <c r="AE1149">
        <v>-1.11509999999998</v>
      </c>
      <c r="AF1149">
        <v>1.1730520337319501</v>
      </c>
      <c r="AG1149">
        <v>-1.0709666225459999</v>
      </c>
      <c r="AH1149">
        <v>15.7534632169563</v>
      </c>
      <c r="AI1149">
        <v>93.878446244710901</v>
      </c>
      <c r="AJ1149">
        <v>85.741436746041899</v>
      </c>
      <c r="AK1149">
        <v>15.833339000616601</v>
      </c>
      <c r="AL1149">
        <v>95.067392890559404</v>
      </c>
      <c r="AM1149">
        <v>88.695758572609904</v>
      </c>
      <c r="AN1149">
        <v>1.0000000665970299</v>
      </c>
    </row>
    <row r="1150" spans="1:40" x14ac:dyDescent="0.25">
      <c r="A1150" t="str">
        <f>"20190303154118748"</f>
        <v>20190303154118748</v>
      </c>
      <c r="B1150" t="str">
        <f>"1551598878739912"</f>
        <v>1551598878739912</v>
      </c>
      <c r="C1150" t="s">
        <v>40</v>
      </c>
      <c r="D1150">
        <v>6.068676</v>
      </c>
      <c r="E1150">
        <v>0.51901629999999999</v>
      </c>
      <c r="F1150" t="s">
        <v>41</v>
      </c>
      <c r="G1150">
        <v>-275.23439999999999</v>
      </c>
      <c r="H1150" s="1">
        <v>-2.5991759999999998E-6</v>
      </c>
      <c r="I1150">
        <v>366.38920000000002</v>
      </c>
      <c r="J1150">
        <v>-290.77429999999998</v>
      </c>
      <c r="K1150">
        <v>1.070975</v>
      </c>
      <c r="L1150">
        <v>367.48860000000002</v>
      </c>
      <c r="M1150">
        <v>0.99989320000000004</v>
      </c>
      <c r="N1150">
        <v>-1.4062460000000001E-2</v>
      </c>
      <c r="O1150">
        <v>3.998672E-3</v>
      </c>
      <c r="P1150">
        <v>0.99452629999999997</v>
      </c>
      <c r="Q1150">
        <v>-0.1026542</v>
      </c>
      <c r="R1150">
        <v>-1.9493549999999998E-2</v>
      </c>
      <c r="S1150">
        <v>2.9915159999999998</v>
      </c>
      <c r="T1150">
        <v>-0.2030004</v>
      </c>
      <c r="U1150">
        <v>-0.20819090000000001</v>
      </c>
      <c r="V1150">
        <v>2.3466910000000001E-2</v>
      </c>
      <c r="W1150">
        <v>-8.8660660000000002E-2</v>
      </c>
      <c r="X1150">
        <v>0.99578540000000004</v>
      </c>
      <c r="Y1150">
        <v>7.3206469999999996E-2</v>
      </c>
      <c r="Z1150">
        <v>-3.208701E-3</v>
      </c>
      <c r="AA1150">
        <v>0.99731170000000002</v>
      </c>
      <c r="AB1150">
        <v>24</v>
      </c>
      <c r="AC1150">
        <v>15.5398999999999</v>
      </c>
      <c r="AD1150">
        <v>-1.070977599176</v>
      </c>
      <c r="AE1150">
        <v>-1.0993999999999999</v>
      </c>
      <c r="AF1150">
        <v>1.15607268314988</v>
      </c>
      <c r="AG1150">
        <v>-1.070977599176</v>
      </c>
      <c r="AH1150">
        <v>15.462303921737901</v>
      </c>
      <c r="AI1150">
        <v>93.951200722971805</v>
      </c>
      <c r="AJ1150">
        <v>85.724112542743896</v>
      </c>
      <c r="AK1150">
        <v>15.5424045641224</v>
      </c>
      <c r="AL1150">
        <v>95.086560600672399</v>
      </c>
      <c r="AM1150">
        <v>88.650004230986397</v>
      </c>
      <c r="AN1150">
        <v>0.99999998567487103</v>
      </c>
    </row>
    <row r="1151" spans="1:40" x14ac:dyDescent="0.25">
      <c r="A1151" t="str">
        <f>"20190303154118770"</f>
        <v>20190303154118770</v>
      </c>
      <c r="B1151" t="str">
        <f>"1551598878760408"</f>
        <v>1551598878760408</v>
      </c>
      <c r="C1151" t="s">
        <v>40</v>
      </c>
      <c r="D1151">
        <v>6.0590099999999998</v>
      </c>
      <c r="E1151">
        <v>0.51893</v>
      </c>
      <c r="F1151" t="s">
        <v>41</v>
      </c>
      <c r="G1151">
        <v>-275.26010000000002</v>
      </c>
      <c r="H1151" s="1">
        <v>-2.5861629999999999E-6</v>
      </c>
      <c r="I1151">
        <v>366.40039999999999</v>
      </c>
      <c r="J1151">
        <v>-290.5342</v>
      </c>
      <c r="K1151">
        <v>1.0709850000000001</v>
      </c>
      <c r="L1151">
        <v>367.48950000000002</v>
      </c>
      <c r="M1151">
        <v>0.99989170000000005</v>
      </c>
      <c r="N1151">
        <v>-1.415895E-2</v>
      </c>
      <c r="O1151">
        <v>3.9988209999999996E-3</v>
      </c>
      <c r="P1151">
        <v>0.99451460000000003</v>
      </c>
      <c r="Q1151">
        <v>-0.1027067</v>
      </c>
      <c r="R1151">
        <v>-1.9796390000000001E-2</v>
      </c>
      <c r="S1151">
        <v>2.9910580000000002</v>
      </c>
      <c r="T1151">
        <v>-0.20647760000000001</v>
      </c>
      <c r="U1151">
        <v>-0.20977779999999999</v>
      </c>
      <c r="V1151">
        <v>2.3770179999999998E-2</v>
      </c>
      <c r="W1151">
        <v>-8.8617349999999998E-2</v>
      </c>
      <c r="X1151">
        <v>0.9957821</v>
      </c>
      <c r="Y1151">
        <v>7.3735330000000002E-2</v>
      </c>
      <c r="Z1151">
        <v>-3.2812140000000002E-3</v>
      </c>
      <c r="AA1151">
        <v>0.99727239999999995</v>
      </c>
      <c r="AB1151">
        <v>24</v>
      </c>
      <c r="AC1151">
        <v>15.274099999999899</v>
      </c>
      <c r="AD1151">
        <v>-1.070987586163</v>
      </c>
      <c r="AE1151">
        <v>-1.0891000000000299</v>
      </c>
      <c r="AF1151">
        <v>1.1445769423752501</v>
      </c>
      <c r="AG1151">
        <v>-1.070987586163</v>
      </c>
      <c r="AH1151">
        <v>15.195292286680701</v>
      </c>
      <c r="AI1151">
        <v>94.020276208182693</v>
      </c>
      <c r="AJ1151">
        <v>85.692361828994805</v>
      </c>
      <c r="AK1151">
        <v>15.2759280721137</v>
      </c>
      <c r="AL1151">
        <v>95.084069121813897</v>
      </c>
      <c r="AM1151">
        <v>88.632559877989095</v>
      </c>
      <c r="AN1151">
        <v>1.00000002342933</v>
      </c>
    </row>
    <row r="1152" spans="1:40" x14ac:dyDescent="0.25">
      <c r="A1152" t="str">
        <f>"20190303154118781"</f>
        <v>20190303154118781</v>
      </c>
      <c r="B1152" t="str">
        <f>"1551598878770169"</f>
        <v>1551598878770169</v>
      </c>
      <c r="C1152" t="s">
        <v>40</v>
      </c>
      <c r="D1152">
        <v>5.9266449999999997</v>
      </c>
      <c r="E1152">
        <v>0.51911909999999895</v>
      </c>
      <c r="F1152" t="s">
        <v>41</v>
      </c>
      <c r="G1152">
        <v>-275.1703</v>
      </c>
      <c r="H1152" s="1">
        <v>-2.6229989999999999E-6</v>
      </c>
      <c r="I1152">
        <v>366.40989999999999</v>
      </c>
      <c r="J1152">
        <v>-290.41199999999998</v>
      </c>
      <c r="K1152">
        <v>1.070986</v>
      </c>
      <c r="L1152">
        <v>367.49</v>
      </c>
      <c r="M1152">
        <v>0.99989119999999998</v>
      </c>
      <c r="N1152">
        <v>-1.420269E-2</v>
      </c>
      <c r="O1152">
        <v>3.9988659999999898E-3</v>
      </c>
      <c r="P1152">
        <v>0.99450850000000002</v>
      </c>
      <c r="Q1152">
        <v>-0.102741</v>
      </c>
      <c r="R1152">
        <v>-1.993296E-2</v>
      </c>
      <c r="S1152">
        <v>2.990875</v>
      </c>
      <c r="T1152">
        <v>-0.20848630000000001</v>
      </c>
      <c r="U1152">
        <v>-0.210144</v>
      </c>
      <c r="V1152">
        <v>2.390658E-2</v>
      </c>
      <c r="W1152">
        <v>-8.8608099999999995E-2</v>
      </c>
      <c r="X1152">
        <v>0.99577959999999999</v>
      </c>
      <c r="Y1152">
        <v>7.3856759999999994E-2</v>
      </c>
      <c r="Z1152">
        <v>-3.3152360000000001E-3</v>
      </c>
      <c r="AA1152">
        <v>0.99726340000000002</v>
      </c>
      <c r="AB1152">
        <v>24</v>
      </c>
      <c r="AC1152">
        <v>15.2417</v>
      </c>
      <c r="AD1152">
        <v>-1.070988622999</v>
      </c>
      <c r="AE1152">
        <v>-1.0801000000000101</v>
      </c>
      <c r="AF1152">
        <v>1.13546871365681</v>
      </c>
      <c r="AG1152">
        <v>-1.070988622999</v>
      </c>
      <c r="AH1152">
        <v>15.1627671453735</v>
      </c>
      <c r="AI1152">
        <v>94.029007181069503</v>
      </c>
      <c r="AJ1152">
        <v>85.717380488771099</v>
      </c>
      <c r="AK1152">
        <v>15.242893863538599</v>
      </c>
      <c r="AL1152">
        <v>95.083537336152304</v>
      </c>
      <c r="AM1152">
        <v>88.624712674294003</v>
      </c>
      <c r="AN1152">
        <v>0.99999996586453199</v>
      </c>
    </row>
    <row r="1153" spans="1:40" x14ac:dyDescent="0.25">
      <c r="A1153" t="str">
        <f>"20190303154118793"</f>
        <v>20190303154118793</v>
      </c>
      <c r="B1153" t="str">
        <f>"1551598878790664"</f>
        <v>1551598878790664</v>
      </c>
      <c r="C1153" t="s">
        <v>40</v>
      </c>
      <c r="D1153">
        <v>6.0443569999999998</v>
      </c>
      <c r="E1153">
        <v>0.5190574</v>
      </c>
      <c r="F1153" t="s">
        <v>41</v>
      </c>
      <c r="G1153">
        <v>-274.9187</v>
      </c>
      <c r="H1153" s="1">
        <v>-2.7340590000000001E-6</v>
      </c>
      <c r="I1153">
        <v>366.3922</v>
      </c>
      <c r="J1153">
        <v>-290.27589999999998</v>
      </c>
      <c r="K1153">
        <v>1.0709930000000001</v>
      </c>
      <c r="L1153">
        <v>367.4905</v>
      </c>
      <c r="M1153">
        <v>0.99989059999999996</v>
      </c>
      <c r="N1153">
        <v>-1.42481E-2</v>
      </c>
      <c r="O1153">
        <v>3.9987199999999999E-3</v>
      </c>
      <c r="P1153">
        <v>0.9944887</v>
      </c>
      <c r="Q1153">
        <v>-0.1029359</v>
      </c>
      <c r="R1153">
        <v>-1.9919490000000002E-2</v>
      </c>
      <c r="S1153">
        <v>2.9909669999999999</v>
      </c>
      <c r="T1153">
        <v>-0.20675279999999999</v>
      </c>
      <c r="U1153">
        <v>-0.21191409999999999</v>
      </c>
      <c r="V1153">
        <v>2.389291E-2</v>
      </c>
      <c r="W1153">
        <v>-8.8758039999999996E-2</v>
      </c>
      <c r="X1153">
        <v>0.99576659999999995</v>
      </c>
      <c r="Y1153">
        <v>7.4443330000000002E-2</v>
      </c>
      <c r="Z1153">
        <v>-3.3173909999999998E-3</v>
      </c>
      <c r="AA1153">
        <v>0.99721970000000004</v>
      </c>
      <c r="AB1153">
        <v>24</v>
      </c>
      <c r="AC1153">
        <v>15.357199999999899</v>
      </c>
      <c r="AD1153">
        <v>-1.0709957340589999</v>
      </c>
      <c r="AE1153">
        <v>-1.0982999999999901</v>
      </c>
      <c r="AF1153">
        <v>1.1541220464333599</v>
      </c>
      <c r="AG1153">
        <v>-1.0709957340589999</v>
      </c>
      <c r="AH1153">
        <v>15.2787544397079</v>
      </c>
      <c r="AI1153">
        <v>93.998352931498104</v>
      </c>
      <c r="AJ1153">
        <v>85.680211999456205</v>
      </c>
      <c r="AK1153">
        <v>15.3596668840613</v>
      </c>
      <c r="AL1153">
        <v>95.092162119124296</v>
      </c>
      <c r="AM1153">
        <v>88.625480836736799</v>
      </c>
      <c r="AN1153">
        <v>0.999999991244234</v>
      </c>
    </row>
    <row r="1154" spans="1:40" x14ac:dyDescent="0.25">
      <c r="A1154" t="str">
        <f>"20190303154118806"</f>
        <v>20190303154118806</v>
      </c>
      <c r="B1154" t="str">
        <f>"1551598878800425"</f>
        <v>1551598878800425</v>
      </c>
      <c r="C1154" t="s">
        <v>40</v>
      </c>
      <c r="D1154">
        <v>6.0387469999999999</v>
      </c>
      <c r="E1154">
        <v>0.51901920000000001</v>
      </c>
      <c r="F1154" t="s">
        <v>41</v>
      </c>
      <c r="G1154">
        <v>-274.98140000000001</v>
      </c>
      <c r="H1154" s="1">
        <v>-2.7044509999999998E-6</v>
      </c>
      <c r="I1154">
        <v>366.40769999999998</v>
      </c>
      <c r="J1154">
        <v>-290.14440000000002</v>
      </c>
      <c r="K1154">
        <v>1.070999</v>
      </c>
      <c r="L1154">
        <v>367.49110000000002</v>
      </c>
      <c r="M1154">
        <v>0.9998899</v>
      </c>
      <c r="N1154">
        <v>-1.4287029999999999E-2</v>
      </c>
      <c r="O1154">
        <v>3.9989170000000003E-3</v>
      </c>
      <c r="P1154">
        <v>0.99448040000000004</v>
      </c>
      <c r="Q1154">
        <v>-0.1030245</v>
      </c>
      <c r="R1154">
        <v>-1.986566E-2</v>
      </c>
      <c r="S1154">
        <v>2.9906920000000001</v>
      </c>
      <c r="T1154">
        <v>-0.20942160000000001</v>
      </c>
      <c r="U1154">
        <v>-0.211731</v>
      </c>
      <c r="V1154">
        <v>2.3839389999999998E-2</v>
      </c>
      <c r="W1154">
        <v>-8.880797E-2</v>
      </c>
      <c r="X1154">
        <v>0.99576339999999997</v>
      </c>
      <c r="Y1154">
        <v>7.438401E-2</v>
      </c>
      <c r="Z1154">
        <v>-3.353094E-3</v>
      </c>
      <c r="AA1154">
        <v>0.997224</v>
      </c>
      <c r="AB1154">
        <v>24</v>
      </c>
      <c r="AC1154">
        <v>15.163</v>
      </c>
      <c r="AD1154">
        <v>-1.0710017044509901</v>
      </c>
      <c r="AE1154">
        <v>-1.0834000000000401</v>
      </c>
      <c r="AF1154">
        <v>1.1383826067574601</v>
      </c>
      <c r="AG1154">
        <v>-1.0710017044509901</v>
      </c>
      <c r="AH1154">
        <v>15.083676224226901</v>
      </c>
      <c r="AI1154">
        <v>94.049935594390902</v>
      </c>
      <c r="AJ1154">
        <v>85.684002891432499</v>
      </c>
      <c r="AK1154">
        <v>15.1644402484105</v>
      </c>
      <c r="AL1154">
        <v>95.095034396937706</v>
      </c>
      <c r="AM1154">
        <v>88.628554170042406</v>
      </c>
      <c r="AN1154">
        <v>0.99999996041532502</v>
      </c>
    </row>
    <row r="1155" spans="1:40" x14ac:dyDescent="0.25">
      <c r="A1155" t="str">
        <f>"20190303154118820"</f>
        <v>20190303154118820</v>
      </c>
      <c r="B1155" t="str">
        <f>"1551598878810185"</f>
        <v>1551598878810185</v>
      </c>
      <c r="C1155" t="s">
        <v>40</v>
      </c>
      <c r="D1155">
        <v>6.0416069999999999</v>
      </c>
      <c r="E1155">
        <v>0.51899139999999999</v>
      </c>
      <c r="F1155" t="s">
        <v>41</v>
      </c>
      <c r="G1155">
        <v>-274.92070000000001</v>
      </c>
      <c r="H1155" s="1">
        <v>-2.728892E-6</v>
      </c>
      <c r="I1155">
        <v>366.41649999999998</v>
      </c>
      <c r="J1155">
        <v>-289.98899999999998</v>
      </c>
      <c r="K1155">
        <v>1.071007</v>
      </c>
      <c r="L1155">
        <v>367.49169999999998</v>
      </c>
      <c r="M1155">
        <v>0.99988940000000004</v>
      </c>
      <c r="N1155">
        <v>-1.433006E-2</v>
      </c>
      <c r="O1155">
        <v>3.9989650000000002E-3</v>
      </c>
      <c r="P1155">
        <v>0.99453689999999995</v>
      </c>
      <c r="Q1155">
        <v>-0.1025679</v>
      </c>
      <c r="R1155">
        <v>-1.939664E-2</v>
      </c>
      <c r="S1155">
        <v>2.9906920000000001</v>
      </c>
      <c r="T1155">
        <v>-0.210398</v>
      </c>
      <c r="U1155">
        <v>-0.2110901</v>
      </c>
      <c r="V1155">
        <v>2.3370470000000001E-2</v>
      </c>
      <c r="W1155">
        <v>-8.830768E-2</v>
      </c>
      <c r="X1155">
        <v>0.99581900000000001</v>
      </c>
      <c r="Y1155">
        <v>7.4170020000000003E-2</v>
      </c>
      <c r="Z1155">
        <v>-3.3588899999999998E-3</v>
      </c>
      <c r="AA1155">
        <v>0.99723989999999996</v>
      </c>
      <c r="AB1155">
        <v>24</v>
      </c>
      <c r="AC1155">
        <v>15.068300000000001</v>
      </c>
      <c r="AD1155">
        <v>-1.071009728892</v>
      </c>
      <c r="AE1155">
        <v>-1.0751999999999899</v>
      </c>
      <c r="AF1155">
        <v>1.12977653675624</v>
      </c>
      <c r="AG1155">
        <v>-1.071009728892</v>
      </c>
      <c r="AH1155">
        <v>14.9885417114322</v>
      </c>
      <c r="AI1155">
        <v>94.075614209266206</v>
      </c>
      <c r="AJ1155">
        <v>85.689423738808102</v>
      </c>
      <c r="AK1155">
        <v>15.0691685071781</v>
      </c>
      <c r="AL1155">
        <v>95.066256861673395</v>
      </c>
      <c r="AM1155">
        <v>88.655595501888001</v>
      </c>
      <c r="AN1155">
        <v>0.99999995298800004</v>
      </c>
    </row>
    <row r="1156" spans="1:40" x14ac:dyDescent="0.25">
      <c r="A1156" t="str">
        <f>"20190303154118833"</f>
        <v>20190303154118833</v>
      </c>
      <c r="B1156" t="str">
        <f>"1551598878830680"</f>
        <v>1551598878830680</v>
      </c>
      <c r="C1156" t="s">
        <v>40</v>
      </c>
      <c r="D1156">
        <v>6.0329199999999998</v>
      </c>
      <c r="E1156">
        <v>0.5189838</v>
      </c>
      <c r="F1156" t="s">
        <v>41</v>
      </c>
      <c r="G1156">
        <v>-274.72859999999997</v>
      </c>
      <c r="H1156" s="1">
        <v>-2.8100659999999999E-6</v>
      </c>
      <c r="I1156">
        <v>366.42360000000002</v>
      </c>
      <c r="J1156">
        <v>-289.84530000000001</v>
      </c>
      <c r="K1156">
        <v>1.0710150000000001</v>
      </c>
      <c r="L1156">
        <v>367.49220000000003</v>
      </c>
      <c r="M1156">
        <v>0.99988880000000002</v>
      </c>
      <c r="N1156">
        <v>-1.436609E-2</v>
      </c>
      <c r="O1156">
        <v>3.998883E-3</v>
      </c>
      <c r="P1156">
        <v>0.99452810000000003</v>
      </c>
      <c r="Q1156">
        <v>-0.1027719</v>
      </c>
      <c r="R1156">
        <v>-1.8760760000000001E-2</v>
      </c>
      <c r="S1156">
        <v>2.9907530000000002</v>
      </c>
      <c r="T1156">
        <v>-0.20989659999999999</v>
      </c>
      <c r="U1156">
        <v>-0.20932010000000001</v>
      </c>
      <c r="V1156">
        <v>2.273449E-2</v>
      </c>
      <c r="W1156">
        <v>-8.8475960000000006E-2</v>
      </c>
      <c r="X1156">
        <v>0.99581889999999995</v>
      </c>
      <c r="Y1156">
        <v>7.3583839999999998E-2</v>
      </c>
      <c r="Z1156">
        <v>-3.3284709999999999E-3</v>
      </c>
      <c r="AA1156">
        <v>0.99728349999999999</v>
      </c>
      <c r="AB1156">
        <v>24</v>
      </c>
      <c r="AC1156">
        <v>15.1167</v>
      </c>
      <c r="AD1156">
        <v>-1.0710178100659999</v>
      </c>
      <c r="AE1156">
        <v>-1.0686</v>
      </c>
      <c r="AF1156">
        <v>1.12343631371782</v>
      </c>
      <c r="AG1156">
        <v>-1.0710178100659999</v>
      </c>
      <c r="AH1156">
        <v>15.037198269522101</v>
      </c>
      <c r="AI1156">
        <v>94.062702421771803</v>
      </c>
      <c r="AJ1156">
        <v>85.727342464068499</v>
      </c>
      <c r="AK1156">
        <v>15.1170936392343</v>
      </c>
      <c r="AL1156">
        <v>95.0759359034965</v>
      </c>
      <c r="AM1156">
        <v>88.692167731493797</v>
      </c>
      <c r="AN1156">
        <v>1.0000000670653399</v>
      </c>
    </row>
    <row r="1157" spans="1:40" x14ac:dyDescent="0.25">
      <c r="A1157" t="str">
        <f>"20190303154118849"</f>
        <v>20190303154118849</v>
      </c>
      <c r="B1157" t="str">
        <f>"1551598878840440"</f>
        <v>1551598878840440</v>
      </c>
      <c r="C1157" t="s">
        <v>40</v>
      </c>
      <c r="D1157">
        <v>6.0171590000000004</v>
      </c>
      <c r="E1157">
        <v>0.51897729999999997</v>
      </c>
      <c r="F1157" t="s">
        <v>41</v>
      </c>
      <c r="G1157">
        <v>-274.71640000000002</v>
      </c>
      <c r="H1157" s="1">
        <v>-2.8116439999999998E-6</v>
      </c>
      <c r="I1157">
        <v>366.44409999999999</v>
      </c>
      <c r="J1157">
        <v>-289.68459999999999</v>
      </c>
      <c r="K1157">
        <v>1.0710200000000001</v>
      </c>
      <c r="L1157">
        <v>367.49290000000002</v>
      </c>
      <c r="M1157">
        <v>0.99988829999999995</v>
      </c>
      <c r="N1157">
        <v>-1.440172E-2</v>
      </c>
      <c r="O1157">
        <v>3.9989229999999997E-3</v>
      </c>
      <c r="P1157">
        <v>0.99454830000000005</v>
      </c>
      <c r="Q1157">
        <v>-0.1027711</v>
      </c>
      <c r="R1157">
        <v>-1.7663649999999999E-2</v>
      </c>
      <c r="S1157">
        <v>2.990723</v>
      </c>
      <c r="T1157">
        <v>-0.21172079999999999</v>
      </c>
      <c r="U1157">
        <v>-0.2071838</v>
      </c>
      <c r="V1157">
        <v>2.1637509999999999E-2</v>
      </c>
      <c r="W1157">
        <v>-8.8439229999999994E-2</v>
      </c>
      <c r="X1157">
        <v>0.99584649999999997</v>
      </c>
      <c r="Y1157">
        <v>7.2874090000000002E-2</v>
      </c>
      <c r="Z1157">
        <v>-3.3243180000000002E-3</v>
      </c>
      <c r="AA1157">
        <v>0.99733559999999999</v>
      </c>
      <c r="AB1157">
        <v>24</v>
      </c>
      <c r="AC1157">
        <v>14.9681999999999</v>
      </c>
      <c r="AD1157">
        <v>-1.0710228116439999</v>
      </c>
      <c r="AE1157">
        <v>-1.0488000000000199</v>
      </c>
      <c r="AF1157">
        <v>1.1030347046493401</v>
      </c>
      <c r="AG1157">
        <v>-1.0710228116439999</v>
      </c>
      <c r="AH1157">
        <v>14.8880335099617</v>
      </c>
      <c r="AI1157">
        <v>94.103475949525404</v>
      </c>
      <c r="AJ1157">
        <v>85.762773086357996</v>
      </c>
      <c r="AK1157">
        <v>14.967208063512301</v>
      </c>
      <c r="AL1157">
        <v>95.0738236647083</v>
      </c>
      <c r="AM1157">
        <v>88.755287119167093</v>
      </c>
      <c r="AN1157">
        <v>0.99999996540211999</v>
      </c>
    </row>
    <row r="1158" spans="1:40" x14ac:dyDescent="0.25">
      <c r="A1158" t="str">
        <f>"20190303154118860"</f>
        <v>20190303154118860</v>
      </c>
      <c r="B1158" t="str">
        <f>"1551598878850201"</f>
        <v>1551598878850201</v>
      </c>
      <c r="C1158" t="s">
        <v>40</v>
      </c>
      <c r="D1158">
        <v>6.0286410000000004</v>
      </c>
      <c r="E1158">
        <v>0.518926</v>
      </c>
      <c r="F1158" t="s">
        <v>41</v>
      </c>
      <c r="G1158">
        <v>-274.5933</v>
      </c>
      <c r="H1158" s="1">
        <v>-2.8610729999999999E-6</v>
      </c>
      <c r="I1158">
        <v>366.4633</v>
      </c>
      <c r="J1158">
        <v>-289.55360000000002</v>
      </c>
      <c r="K1158">
        <v>1.0710230000000001</v>
      </c>
      <c r="L1158">
        <v>367.49340000000001</v>
      </c>
      <c r="M1158">
        <v>0.99988790000000005</v>
      </c>
      <c r="N1158">
        <v>-1.442863E-2</v>
      </c>
      <c r="O1158">
        <v>3.9989070000000003E-3</v>
      </c>
      <c r="P1158">
        <v>0.99458670000000005</v>
      </c>
      <c r="Q1158">
        <v>-0.10244589999999899</v>
      </c>
      <c r="R1158">
        <v>-1.7389680000000001E-2</v>
      </c>
      <c r="S1158">
        <v>2.9908450000000002</v>
      </c>
      <c r="T1158">
        <v>-0.21225749999999999</v>
      </c>
      <c r="U1158">
        <v>-0.20404050000000001</v>
      </c>
      <c r="V1158">
        <v>2.1363759999999999E-2</v>
      </c>
      <c r="W1158">
        <v>-8.8086639999999994E-2</v>
      </c>
      <c r="X1158">
        <v>0.99588370000000004</v>
      </c>
      <c r="Y1158">
        <v>7.183001E-2</v>
      </c>
      <c r="Z1158">
        <v>-3.2878709999999999E-3</v>
      </c>
      <c r="AA1158">
        <v>0.99741150000000001</v>
      </c>
      <c r="AB1158">
        <v>24</v>
      </c>
      <c r="AC1158">
        <v>14.9603</v>
      </c>
      <c r="AD1158">
        <v>-1.0710258610729999</v>
      </c>
      <c r="AE1158">
        <v>-1.0301</v>
      </c>
      <c r="AF1158">
        <v>1.0843912341741999</v>
      </c>
      <c r="AG1158">
        <v>-1.0710258610729999</v>
      </c>
      <c r="AH1158">
        <v>14.8801552658167</v>
      </c>
      <c r="AI1158">
        <v>94.106015703018898</v>
      </c>
      <c r="AJ1158">
        <v>85.831938490148602</v>
      </c>
      <c r="AK1158">
        <v>14.958008606718201</v>
      </c>
      <c r="AL1158">
        <v>95.053542390832106</v>
      </c>
      <c r="AM1158">
        <v>88.771075811109299</v>
      </c>
      <c r="AN1158">
        <v>1.0000000051567499</v>
      </c>
    </row>
    <row r="1159" spans="1:40" x14ac:dyDescent="0.25">
      <c r="A1159" t="str">
        <f>"20190303154118872"</f>
        <v>20190303154118872</v>
      </c>
      <c r="B1159" t="str">
        <f>"1551598878859960"</f>
        <v>1551598878859960</v>
      </c>
      <c r="C1159" t="s">
        <v>40</v>
      </c>
      <c r="D1159">
        <v>5.947597</v>
      </c>
      <c r="E1159">
        <v>0.51882399999999995</v>
      </c>
      <c r="F1159" t="s">
        <v>41</v>
      </c>
      <c r="G1159">
        <v>-274.45080000000002</v>
      </c>
      <c r="H1159" s="1">
        <v>-2.9212629999999999E-6</v>
      </c>
      <c r="I1159">
        <v>366.46859999999998</v>
      </c>
      <c r="J1159">
        <v>-289.4178</v>
      </c>
      <c r="K1159">
        <v>1.071029</v>
      </c>
      <c r="L1159">
        <v>367.4939</v>
      </c>
      <c r="M1159">
        <v>0.99988759999999999</v>
      </c>
      <c r="N1159">
        <v>-1.4454170000000001E-2</v>
      </c>
      <c r="O1159">
        <v>3.9988999999999997E-3</v>
      </c>
      <c r="P1159">
        <v>0.99457910000000005</v>
      </c>
      <c r="Q1159">
        <v>-0.1025939</v>
      </c>
      <c r="R1159">
        <v>-1.694385E-2</v>
      </c>
      <c r="S1159">
        <v>2.990936</v>
      </c>
      <c r="T1159">
        <v>-0.2121035</v>
      </c>
      <c r="U1159">
        <v>-0.20294190000000001</v>
      </c>
      <c r="V1159">
        <v>2.091792E-2</v>
      </c>
      <c r="W1159">
        <v>-8.8209289999999996E-2</v>
      </c>
      <c r="X1159">
        <v>0.9958823</v>
      </c>
      <c r="Y1159">
        <v>7.1464600000000003E-2</v>
      </c>
      <c r="Z1159">
        <v>-3.2710109999999999E-3</v>
      </c>
      <c r="AA1159">
        <v>0.99743780000000004</v>
      </c>
      <c r="AB1159">
        <v>24</v>
      </c>
      <c r="AC1159">
        <v>14.966999999999899</v>
      </c>
      <c r="AD1159">
        <v>-1.071031921263</v>
      </c>
      <c r="AE1159">
        <v>-1.0253000000000101</v>
      </c>
      <c r="AF1159">
        <v>1.07964678617648</v>
      </c>
      <c r="AG1159">
        <v>-1.071031921263</v>
      </c>
      <c r="AH1159">
        <v>14.886903460803</v>
      </c>
      <c r="AI1159">
        <v>94.1042880012957</v>
      </c>
      <c r="AJ1159">
        <v>85.851985383951799</v>
      </c>
      <c r="AK1159">
        <v>14.9643790786832</v>
      </c>
      <c r="AL1159">
        <v>95.060597221901403</v>
      </c>
      <c r="AM1159">
        <v>88.796712900632201</v>
      </c>
      <c r="AN1159">
        <v>0.99999999683635998</v>
      </c>
    </row>
    <row r="1160" spans="1:40" x14ac:dyDescent="0.25">
      <c r="A1160" t="str">
        <f>"20190303154118886"</f>
        <v>20190303154118886</v>
      </c>
      <c r="B1160" t="str">
        <f>"1551598878880457"</f>
        <v>1551598878880457</v>
      </c>
      <c r="C1160" t="s">
        <v>40</v>
      </c>
      <c r="D1160">
        <v>5.8982700000000001</v>
      </c>
      <c r="E1160">
        <v>0.51842179999999904</v>
      </c>
      <c r="F1160" t="s">
        <v>41</v>
      </c>
      <c r="G1160">
        <v>-274.2527</v>
      </c>
      <c r="H1160" s="1">
        <v>-3.0050309999999998E-6</v>
      </c>
      <c r="I1160">
        <v>366.47550000000001</v>
      </c>
      <c r="J1160">
        <v>-289.27440000000001</v>
      </c>
      <c r="K1160">
        <v>1.0710360000000001</v>
      </c>
      <c r="L1160">
        <v>367.49450000000002</v>
      </c>
      <c r="M1160">
        <v>0.99988719999999998</v>
      </c>
      <c r="N1160">
        <v>-1.447735E-2</v>
      </c>
      <c r="O1160">
        <v>3.9990889999999999E-3</v>
      </c>
      <c r="P1160">
        <v>0.99456049999999996</v>
      </c>
      <c r="Q1160">
        <v>-0.102771</v>
      </c>
      <c r="R1160">
        <v>-1.6962499999999998E-2</v>
      </c>
      <c r="S1160">
        <v>2.9911500000000002</v>
      </c>
      <c r="T1160">
        <v>-0.21124789999999999</v>
      </c>
      <c r="U1160">
        <v>-0.20086670000000001</v>
      </c>
      <c r="V1160">
        <v>2.093654E-2</v>
      </c>
      <c r="W1160">
        <v>-8.8363570000000002E-2</v>
      </c>
      <c r="X1160">
        <v>0.99586819999999998</v>
      </c>
      <c r="Y1160">
        <v>7.0774760000000006E-2</v>
      </c>
      <c r="Z1160">
        <v>-3.2309869999999998E-3</v>
      </c>
      <c r="AA1160">
        <v>0.99748709999999996</v>
      </c>
      <c r="AB1160">
        <v>24</v>
      </c>
      <c r="AC1160">
        <v>15.021699999999999</v>
      </c>
      <c r="AD1160">
        <v>-1.0710390050309999</v>
      </c>
      <c r="AE1160">
        <v>-1.0189999999999999</v>
      </c>
      <c r="AF1160">
        <v>1.0736383014072499</v>
      </c>
      <c r="AG1160">
        <v>-1.0710390050309999</v>
      </c>
      <c r="AH1160">
        <v>14.941893497904999</v>
      </c>
      <c r="AI1160">
        <v>94.0894572589104</v>
      </c>
      <c r="AJ1160">
        <v>85.890119126631703</v>
      </c>
      <c r="AK1160">
        <v>15.0186552345835</v>
      </c>
      <c r="AL1160">
        <v>95.069471626906903</v>
      </c>
      <c r="AM1160">
        <v>88.795625068053198</v>
      </c>
      <c r="AN1160">
        <v>0.99999996549077697</v>
      </c>
    </row>
    <row r="1161" spans="1:40" x14ac:dyDescent="0.25">
      <c r="A1161" t="str">
        <f>"20190303154118899"</f>
        <v>20190303154118899</v>
      </c>
      <c r="B1161" t="str">
        <f>"1551598878890216"</f>
        <v>1551598878890216</v>
      </c>
      <c r="C1161" t="s">
        <v>40</v>
      </c>
      <c r="D1161">
        <v>5.9013910000000003</v>
      </c>
      <c r="E1161">
        <v>0.51824919999999997</v>
      </c>
      <c r="F1161" t="s">
        <v>41</v>
      </c>
      <c r="G1161">
        <v>-273.94959999999998</v>
      </c>
      <c r="H1161" s="1">
        <v>-3.1341260000000001E-6</v>
      </c>
      <c r="I1161">
        <v>366.48079999999999</v>
      </c>
      <c r="J1161">
        <v>-289.14019999999999</v>
      </c>
      <c r="K1161">
        <v>1.071043</v>
      </c>
      <c r="L1161">
        <v>367.49509999999998</v>
      </c>
      <c r="M1161">
        <v>0.99988699999999997</v>
      </c>
      <c r="N1161">
        <v>-1.449544E-2</v>
      </c>
      <c r="O1161">
        <v>3.998957E-3</v>
      </c>
      <c r="P1161">
        <v>0.99456140000000004</v>
      </c>
      <c r="Q1161">
        <v>-0.1027728</v>
      </c>
      <c r="R1161">
        <v>-1.691022E-2</v>
      </c>
      <c r="S1161">
        <v>2.991425</v>
      </c>
      <c r="T1161">
        <v>-0.20906749999999999</v>
      </c>
      <c r="U1161">
        <v>-0.197876</v>
      </c>
      <c r="V1161">
        <v>2.0884130000000001E-2</v>
      </c>
      <c r="W1161">
        <v>-8.8347350000000005E-2</v>
      </c>
      <c r="X1161">
        <v>0.99587079999999994</v>
      </c>
      <c r="Y1161">
        <v>6.9782670000000005E-2</v>
      </c>
      <c r="Z1161">
        <v>-3.160983E-3</v>
      </c>
      <c r="AA1161">
        <v>0.99755720000000003</v>
      </c>
      <c r="AB1161">
        <v>24</v>
      </c>
      <c r="AC1161">
        <v>15.1906</v>
      </c>
      <c r="AD1161">
        <v>-1.071046134126</v>
      </c>
      <c r="AE1161">
        <v>-1.01429999999999</v>
      </c>
      <c r="AF1161">
        <v>1.0697504205902999</v>
      </c>
      <c r="AG1161">
        <v>-1.071046134126</v>
      </c>
      <c r="AH1161">
        <v>15.1116315398416</v>
      </c>
      <c r="AI1161">
        <v>94.044007815492904</v>
      </c>
      <c r="AJ1161">
        <v>85.950794046912407</v>
      </c>
      <c r="AK1161">
        <v>15.187261556308201</v>
      </c>
      <c r="AL1161">
        <v>95.068538334379696</v>
      </c>
      <c r="AM1161">
        <v>88.798642205363393</v>
      </c>
      <c r="AN1161">
        <v>1.0000000257152499</v>
      </c>
    </row>
    <row r="1162" spans="1:40" x14ac:dyDescent="0.25">
      <c r="A1162" t="str">
        <f>"20190303154118916"</f>
        <v>20190303154118916</v>
      </c>
      <c r="B1162" t="str">
        <f>"1551598878910712"</f>
        <v>1551598878910712</v>
      </c>
      <c r="C1162" t="s">
        <v>40</v>
      </c>
      <c r="D1162">
        <v>5.9212550000000004</v>
      </c>
      <c r="E1162">
        <v>0.5179511</v>
      </c>
      <c r="F1162" t="s">
        <v>41</v>
      </c>
      <c r="G1162">
        <v>-273.73009999999999</v>
      </c>
      <c r="H1162" s="1">
        <v>-3.2277699999999998E-6</v>
      </c>
      <c r="I1162">
        <v>366.48360000000002</v>
      </c>
      <c r="J1162">
        <v>-288.95269999999999</v>
      </c>
      <c r="K1162">
        <v>1.071042</v>
      </c>
      <c r="L1162">
        <v>367.49579999999997</v>
      </c>
      <c r="M1162">
        <v>0.99988679999999996</v>
      </c>
      <c r="N1162">
        <v>-1.4508979999999999E-2</v>
      </c>
      <c r="O1162">
        <v>3.9990360000000001E-3</v>
      </c>
      <c r="P1162">
        <v>0.99457470000000003</v>
      </c>
      <c r="Q1162">
        <v>-0.102551</v>
      </c>
      <c r="R1162">
        <v>-1.74580999999999E-2</v>
      </c>
      <c r="S1162">
        <v>2.9915769999999999</v>
      </c>
      <c r="T1162">
        <v>-0.2079222</v>
      </c>
      <c r="U1162">
        <v>-0.1963501</v>
      </c>
      <c r="V1162">
        <v>2.143217E-2</v>
      </c>
      <c r="W1162">
        <v>-8.811186E-2</v>
      </c>
      <c r="X1162">
        <v>0.99587999999999999</v>
      </c>
      <c r="Y1162">
        <v>6.9276379999999999E-2</v>
      </c>
      <c r="Z1162">
        <v>-3.1252419999999999E-3</v>
      </c>
      <c r="AA1162">
        <v>0.99759260000000005</v>
      </c>
      <c r="AB1162">
        <v>24</v>
      </c>
      <c r="AC1162">
        <v>15.2226</v>
      </c>
      <c r="AD1162">
        <v>-1.07104522777</v>
      </c>
      <c r="AE1162">
        <v>-1.01219999999995</v>
      </c>
      <c r="AF1162">
        <v>1.06781123938092</v>
      </c>
      <c r="AG1162">
        <v>-1.07104522777</v>
      </c>
      <c r="AH1162">
        <v>15.1437925735283</v>
      </c>
      <c r="AI1162">
        <v>94.035523229645307</v>
      </c>
      <c r="AJ1162">
        <v>85.966665307009293</v>
      </c>
      <c r="AK1162">
        <v>15.2191265266088</v>
      </c>
      <c r="AL1162">
        <v>95.0549930261665</v>
      </c>
      <c r="AM1162">
        <v>88.767137243034497</v>
      </c>
      <c r="AN1162">
        <v>1.00000000609178</v>
      </c>
    </row>
    <row r="1163" spans="1:40" x14ac:dyDescent="0.25">
      <c r="A1163" t="str">
        <f>"20190303154118939"</f>
        <v>20190303154118939</v>
      </c>
      <c r="B1163" t="str">
        <f>"1551598878930232"</f>
        <v>1551598878930232</v>
      </c>
      <c r="C1163" t="s">
        <v>40</v>
      </c>
      <c r="D1163">
        <v>5.9093650000000002</v>
      </c>
      <c r="E1163">
        <v>0.51766899999999905</v>
      </c>
      <c r="F1163" t="s">
        <v>41</v>
      </c>
      <c r="G1163">
        <v>-273.2987</v>
      </c>
      <c r="H1163" s="1">
        <v>-3.4144170000000001E-6</v>
      </c>
      <c r="I1163">
        <v>366.47480000000002</v>
      </c>
      <c r="J1163">
        <v>-288.7167</v>
      </c>
      <c r="K1163">
        <v>1.0710329999999999</v>
      </c>
      <c r="L1163">
        <v>367.49669999999998</v>
      </c>
      <c r="M1163">
        <v>0.99988699999999997</v>
      </c>
      <c r="N1163">
        <v>-1.4495559999999999E-2</v>
      </c>
      <c r="O1163">
        <v>3.9989550000000002E-3</v>
      </c>
      <c r="P1163">
        <v>0.99455139999999997</v>
      </c>
      <c r="Q1163">
        <v>-0.10268770000000001</v>
      </c>
      <c r="R1163">
        <v>-1.7967489999999999E-2</v>
      </c>
      <c r="S1163">
        <v>2.9918209999999998</v>
      </c>
      <c r="T1163">
        <v>-0.2046993</v>
      </c>
      <c r="U1163">
        <v>-0.19512940000000001</v>
      </c>
      <c r="V1163">
        <v>2.1941550000000001E-2</v>
      </c>
      <c r="W1163">
        <v>-8.8262389999999996E-2</v>
      </c>
      <c r="X1163">
        <v>0.99585559999999995</v>
      </c>
      <c r="Y1163">
        <v>6.8872760000000005E-2</v>
      </c>
      <c r="Z1163">
        <v>-3.0664709999999999E-3</v>
      </c>
      <c r="AA1163">
        <v>0.99762079999999997</v>
      </c>
      <c r="AB1163">
        <v>24</v>
      </c>
      <c r="AC1163">
        <v>15.417999999999999</v>
      </c>
      <c r="AD1163">
        <v>-1.0710364144169999</v>
      </c>
      <c r="AE1163">
        <v>-1.0218999999999501</v>
      </c>
      <c r="AF1163">
        <v>1.0783731403319801</v>
      </c>
      <c r="AG1163">
        <v>-1.0710364144169999</v>
      </c>
      <c r="AH1163">
        <v>15.3400881911752</v>
      </c>
      <c r="AI1163">
        <v>93.984077822078106</v>
      </c>
      <c r="AJ1163">
        <v>85.978852802058199</v>
      </c>
      <c r="AK1163">
        <v>15.415197479884201</v>
      </c>
      <c r="AL1163">
        <v>95.063651379684202</v>
      </c>
      <c r="AM1163">
        <v>88.737814154691605</v>
      </c>
      <c r="AN1163">
        <v>1.0000000285781301</v>
      </c>
    </row>
    <row r="1164" spans="1:40" x14ac:dyDescent="0.25">
      <c r="A1164" t="str">
        <f>"20190303154118955"</f>
        <v>20190303154118955</v>
      </c>
      <c r="B1164" t="str">
        <f>"1551598878950728"</f>
        <v>1551598878950728</v>
      </c>
      <c r="C1164" t="s">
        <v>40</v>
      </c>
      <c r="D1164">
        <v>5.9176989999999998</v>
      </c>
      <c r="E1164">
        <v>0.51739499999999905</v>
      </c>
      <c r="F1164" t="s">
        <v>41</v>
      </c>
      <c r="G1164">
        <v>-272.90159999999997</v>
      </c>
      <c r="H1164" s="1">
        <v>-3.585966E-6</v>
      </c>
      <c r="I1164">
        <v>366.46789999999999</v>
      </c>
      <c r="J1164">
        <v>-288.54059999999998</v>
      </c>
      <c r="K1164">
        <v>1.0710280000000001</v>
      </c>
      <c r="L1164">
        <v>367.49740000000003</v>
      </c>
      <c r="M1164">
        <v>0.99988750000000004</v>
      </c>
      <c r="N1164">
        <v>-1.4463800000000001E-2</v>
      </c>
      <c r="O1164">
        <v>3.9990069999999997E-3</v>
      </c>
      <c r="P1164">
        <v>0.99450839999999996</v>
      </c>
      <c r="Q1164">
        <v>-0.10303</v>
      </c>
      <c r="R1164">
        <v>-1.8393369999999999E-2</v>
      </c>
      <c r="S1164">
        <v>2.992035</v>
      </c>
      <c r="T1164">
        <v>-0.2026269</v>
      </c>
      <c r="U1164">
        <v>-0.19464110000000001</v>
      </c>
      <c r="V1164">
        <v>2.2367069999999999E-2</v>
      </c>
      <c r="W1164">
        <v>-8.8636930000000003E-2</v>
      </c>
      <c r="X1164">
        <v>0.99581280000000005</v>
      </c>
      <c r="Y1164">
        <v>6.8710300000000002E-2</v>
      </c>
      <c r="Z1164">
        <v>-3.0321469999999998E-3</v>
      </c>
      <c r="AA1164">
        <v>0.99763199999999996</v>
      </c>
      <c r="AB1164">
        <v>24</v>
      </c>
      <c r="AC1164">
        <v>15.638999999999999</v>
      </c>
      <c r="AD1164">
        <v>-1.071031585966</v>
      </c>
      <c r="AE1164">
        <v>-1.02950000000004</v>
      </c>
      <c r="AF1164">
        <v>1.0869627531089101</v>
      </c>
      <c r="AG1164">
        <v>-1.071031585966</v>
      </c>
      <c r="AH1164">
        <v>15.562083957856499</v>
      </c>
      <c r="AI1164">
        <v>93.927528849937204</v>
      </c>
      <c r="AJ1164">
        <v>86.004558447364104</v>
      </c>
      <c r="AK1164">
        <v>15.6367213250143</v>
      </c>
      <c r="AL1164">
        <v>95.085195718870693</v>
      </c>
      <c r="AM1164">
        <v>88.713289020394498</v>
      </c>
      <c r="AN1164">
        <v>0.999999961912024</v>
      </c>
    </row>
    <row r="1165" spans="1:40" x14ac:dyDescent="0.25">
      <c r="A1165" t="str">
        <f>"20190303154118972"</f>
        <v>20190303154118972</v>
      </c>
      <c r="B1165" t="str">
        <f>"1551598878960488"</f>
        <v>1551598878960488</v>
      </c>
      <c r="C1165" t="s">
        <v>40</v>
      </c>
      <c r="D1165">
        <v>5.9113290000000003</v>
      </c>
      <c r="E1165">
        <v>0.51725339999999997</v>
      </c>
      <c r="F1165" t="s">
        <v>41</v>
      </c>
      <c r="G1165">
        <v>-272.64150000000001</v>
      </c>
      <c r="H1165" s="1">
        <v>-3.6974660000000001E-6</v>
      </c>
      <c r="I1165">
        <v>366.4683</v>
      </c>
      <c r="J1165">
        <v>-288.36149999999998</v>
      </c>
      <c r="K1165">
        <v>1.0710150000000001</v>
      </c>
      <c r="L1165">
        <v>367.49810000000002</v>
      </c>
      <c r="M1165">
        <v>0.99988840000000001</v>
      </c>
      <c r="N1165">
        <v>-1.440572E-2</v>
      </c>
      <c r="O1165">
        <v>3.9990709999999999E-3</v>
      </c>
      <c r="P1165">
        <v>0.9944655</v>
      </c>
      <c r="Q1165">
        <v>-0.10337159999999999</v>
      </c>
      <c r="R1165">
        <v>-1.8797560000000001E-2</v>
      </c>
      <c r="S1165">
        <v>2.9921259999999998</v>
      </c>
      <c r="T1165">
        <v>-0.20156160000000001</v>
      </c>
      <c r="U1165">
        <v>-0.19366459999999999</v>
      </c>
      <c r="V1165">
        <v>2.2771019999999999E-2</v>
      </c>
      <c r="W1165">
        <v>-8.9036969999999993E-2</v>
      </c>
      <c r="X1165">
        <v>0.99576799999999999</v>
      </c>
      <c r="Y1165">
        <v>6.8387050000000005E-2</v>
      </c>
      <c r="Z1165">
        <v>-3.0035230000000001E-3</v>
      </c>
      <c r="AA1165">
        <v>0.99765429999999999</v>
      </c>
      <c r="AB1165">
        <v>24</v>
      </c>
      <c r="AC1165">
        <v>15.719999999999899</v>
      </c>
      <c r="AD1165">
        <v>-1.0710186974660001</v>
      </c>
      <c r="AE1165">
        <v>-1.02980000000002</v>
      </c>
      <c r="AF1165">
        <v>1.0876366247942699</v>
      </c>
      <c r="AG1165">
        <v>-1.0710186974660001</v>
      </c>
      <c r="AH1165">
        <v>15.643451679751101</v>
      </c>
      <c r="AI1165">
        <v>93.907203298995597</v>
      </c>
      <c r="AJ1165">
        <v>86.022817260949793</v>
      </c>
      <c r="AK1165">
        <v>15.7177484053735</v>
      </c>
      <c r="AL1165">
        <v>95.108207083413902</v>
      </c>
      <c r="AM1165">
        <v>88.690000089856198</v>
      </c>
      <c r="AN1165">
        <v>1.0000000056013101</v>
      </c>
    </row>
    <row r="1166" spans="1:40" x14ac:dyDescent="0.25">
      <c r="A1166" t="str">
        <f>"20190303154118984"</f>
        <v>20190303154118984</v>
      </c>
      <c r="B1166" t="str">
        <f>"1551598878980008"</f>
        <v>1551598878980008</v>
      </c>
      <c r="C1166" t="s">
        <v>40</v>
      </c>
      <c r="D1166">
        <v>5.9115149999999996</v>
      </c>
      <c r="E1166">
        <v>0.51694280000000004</v>
      </c>
      <c r="F1166" t="s">
        <v>41</v>
      </c>
      <c r="G1166">
        <v>-272.44740000000002</v>
      </c>
      <c r="H1166" s="1">
        <v>-3.780811E-6</v>
      </c>
      <c r="I1166">
        <v>366.46800000000002</v>
      </c>
      <c r="J1166">
        <v>-288.23079999999999</v>
      </c>
      <c r="K1166">
        <v>1.0710029999999999</v>
      </c>
      <c r="L1166">
        <v>367.49869999999999</v>
      </c>
      <c r="M1166">
        <v>0.99988900000000003</v>
      </c>
      <c r="N1166">
        <v>-1.4349239999999999E-2</v>
      </c>
      <c r="O1166">
        <v>3.9993019999999997E-3</v>
      </c>
      <c r="P1166">
        <v>0.99448320000000001</v>
      </c>
      <c r="Q1166">
        <v>-0.10319780000000001</v>
      </c>
      <c r="R1166">
        <v>-1.8795679999999999E-2</v>
      </c>
      <c r="S1166">
        <v>2.9920960000000001</v>
      </c>
      <c r="T1166">
        <v>-0.20136670000000001</v>
      </c>
      <c r="U1166">
        <v>-0.19366459999999999</v>
      </c>
      <c r="V1166">
        <v>2.276976E-2</v>
      </c>
      <c r="W1166">
        <v>-8.8919230000000002E-2</v>
      </c>
      <c r="X1166">
        <v>0.99577859999999996</v>
      </c>
      <c r="Y1166">
        <v>6.8388389999999993E-2</v>
      </c>
      <c r="Z1166">
        <v>-2.9994259999999999E-3</v>
      </c>
      <c r="AA1166">
        <v>0.99765429999999999</v>
      </c>
      <c r="AB1166">
        <v>24</v>
      </c>
      <c r="AC1166">
        <v>15.783399999999901</v>
      </c>
      <c r="AD1166">
        <v>-1.071006780811</v>
      </c>
      <c r="AE1166">
        <v>-1.03069999999996</v>
      </c>
      <c r="AF1166">
        <v>1.08882860929299</v>
      </c>
      <c r="AG1166">
        <v>-1.071006780811</v>
      </c>
      <c r="AH1166">
        <v>15.7071347150476</v>
      </c>
      <c r="AI1166">
        <v>93.891422746803698</v>
      </c>
      <c r="AJ1166">
        <v>86.034563626310998</v>
      </c>
      <c r="AK1166">
        <v>15.7812130148988</v>
      </c>
      <c r="AL1166">
        <v>95.101433957444897</v>
      </c>
      <c r="AM1166">
        <v>88.690086490701702</v>
      </c>
      <c r="AN1166">
        <v>1.0000000558261</v>
      </c>
    </row>
    <row r="1167" spans="1:40" x14ac:dyDescent="0.25">
      <c r="A1167" t="str">
        <f>"20190303154118997"</f>
        <v>20190303154118997</v>
      </c>
      <c r="B1167" t="str">
        <f>"1551598878990604"</f>
        <v>1551598878990604</v>
      </c>
      <c r="C1167" t="s">
        <v>40</v>
      </c>
      <c r="D1167">
        <v>5.9157840000000004</v>
      </c>
      <c r="E1167">
        <v>0.51680800000000005</v>
      </c>
      <c r="F1167" t="s">
        <v>41</v>
      </c>
      <c r="G1167">
        <v>-272.13130000000001</v>
      </c>
      <c r="H1167" s="1">
        <v>-3.9163330000000004E-6</v>
      </c>
      <c r="I1167">
        <v>366.46859999999998</v>
      </c>
      <c r="J1167">
        <v>-288.08760000000001</v>
      </c>
      <c r="K1167">
        <v>1.0709900000000001</v>
      </c>
      <c r="L1167">
        <v>367.49919999999997</v>
      </c>
      <c r="M1167">
        <v>0.99988999999999995</v>
      </c>
      <c r="N1167">
        <v>-1.427834E-2</v>
      </c>
      <c r="O1167">
        <v>3.9995150000000004E-3</v>
      </c>
      <c r="P1167">
        <v>0.99447640000000004</v>
      </c>
      <c r="Q1167">
        <v>-0.10328909999999999</v>
      </c>
      <c r="R1167">
        <v>-1.8650340000000001E-2</v>
      </c>
      <c r="S1167">
        <v>2.99234</v>
      </c>
      <c r="T1167">
        <v>-0.19906180000000001</v>
      </c>
      <c r="U1167">
        <v>-0.19143679999999999</v>
      </c>
      <c r="V1167">
        <v>2.2624680000000001E-2</v>
      </c>
      <c r="W1167">
        <v>-8.9081190000000005E-2</v>
      </c>
      <c r="X1167">
        <v>0.99576739999999997</v>
      </c>
      <c r="Y1167">
        <v>6.7649829999999994E-2</v>
      </c>
      <c r="Z1167">
        <v>-2.938024E-3</v>
      </c>
      <c r="AA1167">
        <v>0.99770479999999995</v>
      </c>
      <c r="AB1167">
        <v>24</v>
      </c>
      <c r="AC1167">
        <v>15.956300000000001</v>
      </c>
      <c r="AD1167">
        <v>-1.07099391633299</v>
      </c>
      <c r="AE1167">
        <v>-1.03059999999999</v>
      </c>
      <c r="AF1167">
        <v>1.08952762906666</v>
      </c>
      <c r="AG1167">
        <v>-1.07099391633299</v>
      </c>
      <c r="AH1167">
        <v>15.880801806934899</v>
      </c>
      <c r="AI1167">
        <v>93.849138061110807</v>
      </c>
      <c r="AJ1167">
        <v>86.075282046726301</v>
      </c>
      <c r="AK1167">
        <v>15.9541206105028</v>
      </c>
      <c r="AL1167">
        <v>95.110750712642698</v>
      </c>
      <c r="AM1167">
        <v>88.698415232166795</v>
      </c>
      <c r="AN1167">
        <v>1.00000002472983</v>
      </c>
    </row>
    <row r="1168" spans="1:40" x14ac:dyDescent="0.25">
      <c r="A1168" t="str">
        <f>"20190303154119010"</f>
        <v>20190303154119010</v>
      </c>
      <c r="B1168" t="str">
        <f>"1551598879000365"</f>
        <v>1551598879000365</v>
      </c>
      <c r="C1168" t="s">
        <v>40</v>
      </c>
      <c r="D1168">
        <v>5.9106430000000003</v>
      </c>
      <c r="E1168">
        <v>0.51668289999999994</v>
      </c>
      <c r="F1168" t="s">
        <v>41</v>
      </c>
      <c r="G1168">
        <v>-271.93150000000003</v>
      </c>
      <c r="H1168" s="1">
        <v>-4.0011199999999901E-6</v>
      </c>
      <c r="I1168">
        <v>366.47370000000001</v>
      </c>
      <c r="J1168">
        <v>-287.95280000000002</v>
      </c>
      <c r="K1168">
        <v>1.070975</v>
      </c>
      <c r="L1168">
        <v>367.49979999999999</v>
      </c>
      <c r="M1168">
        <v>0.99989110000000003</v>
      </c>
      <c r="N1168">
        <v>-1.419839E-2</v>
      </c>
      <c r="O1168">
        <v>3.999552E-3</v>
      </c>
      <c r="P1168">
        <v>0.9944906</v>
      </c>
      <c r="Q1168">
        <v>-0.1031569</v>
      </c>
      <c r="R1168">
        <v>-1.8626630000000002E-2</v>
      </c>
      <c r="S1168">
        <v>2.9925229999999998</v>
      </c>
      <c r="T1168">
        <v>-0.1983743</v>
      </c>
      <c r="U1168">
        <v>-0.18994140000000001</v>
      </c>
      <c r="V1168">
        <v>2.2600869999999999E-2</v>
      </c>
      <c r="W1168">
        <v>-8.9028430000000006E-2</v>
      </c>
      <c r="X1168">
        <v>0.99577269999999896</v>
      </c>
      <c r="Y1168">
        <v>6.7152119999999996E-2</v>
      </c>
      <c r="Z1168">
        <v>-2.9068509999999998E-3</v>
      </c>
      <c r="AA1168">
        <v>0.99773849999999997</v>
      </c>
      <c r="AB1168">
        <v>24</v>
      </c>
      <c r="AC1168">
        <v>16.021299999999901</v>
      </c>
      <c r="AD1168">
        <v>-1.07097900112</v>
      </c>
      <c r="AE1168">
        <v>-1.02609999999998</v>
      </c>
      <c r="AF1168">
        <v>1.08534617133794</v>
      </c>
      <c r="AG1168">
        <v>-1.07097900112</v>
      </c>
      <c r="AH1168">
        <v>15.946102645775801</v>
      </c>
      <c r="AI1168">
        <v>93.8335105391658</v>
      </c>
      <c r="AJ1168">
        <v>86.106259032882406</v>
      </c>
      <c r="AK1168">
        <v>16.018837720699299</v>
      </c>
      <c r="AL1168">
        <v>95.107715520444501</v>
      </c>
      <c r="AM1168">
        <v>88.699791455265199</v>
      </c>
      <c r="AN1168">
        <v>1.0000000653691501</v>
      </c>
    </row>
    <row r="1169" spans="1:40" x14ac:dyDescent="0.25">
      <c r="A1169" t="str">
        <f>"20190303154119027"</f>
        <v>20190303154119027</v>
      </c>
      <c r="B1169" t="str">
        <f>"1551598879019885"</f>
        <v>1551598879019885</v>
      </c>
      <c r="C1169" t="s">
        <v>40</v>
      </c>
      <c r="D1169">
        <v>5.8949369999999996</v>
      </c>
      <c r="E1169">
        <v>0.51640410000000003</v>
      </c>
      <c r="F1169" t="s">
        <v>41</v>
      </c>
      <c r="G1169">
        <v>-271.69170000000003</v>
      </c>
      <c r="H1169" s="1">
        <v>-4.1037710000000003E-6</v>
      </c>
      <c r="I1169">
        <v>366.47489999999999</v>
      </c>
      <c r="J1169">
        <v>-287.7679</v>
      </c>
      <c r="K1169">
        <v>1.0709599999999999</v>
      </c>
      <c r="L1169">
        <v>367.50049999999999</v>
      </c>
      <c r="M1169">
        <v>0.99989300000000003</v>
      </c>
      <c r="N1169">
        <v>-1.4083139999999999E-2</v>
      </c>
      <c r="O1169">
        <v>3.9995380000000004E-3</v>
      </c>
      <c r="P1169">
        <v>0.99449299999999996</v>
      </c>
      <c r="Q1169">
        <v>-0.1032226</v>
      </c>
      <c r="R1169">
        <v>-1.8143699999999999E-2</v>
      </c>
      <c r="S1169">
        <v>2.9926149999999998</v>
      </c>
      <c r="T1169">
        <v>-0.19709750000000001</v>
      </c>
      <c r="U1169">
        <v>-0.18859860000000001</v>
      </c>
      <c r="V1169">
        <v>2.2117769999999998E-2</v>
      </c>
      <c r="W1169">
        <v>-8.9208800000000005E-2</v>
      </c>
      <c r="X1169">
        <v>0.99576739999999997</v>
      </c>
      <c r="Y1169">
        <v>6.6707829999999996E-2</v>
      </c>
      <c r="Z1169">
        <v>-2.869674E-3</v>
      </c>
      <c r="AA1169">
        <v>0.9977684</v>
      </c>
      <c r="AB1169">
        <v>24</v>
      </c>
      <c r="AC1169">
        <v>16.076199999999901</v>
      </c>
      <c r="AD1169">
        <v>-1.070964103771</v>
      </c>
      <c r="AE1169">
        <v>-1.0255999999999901</v>
      </c>
      <c r="AF1169">
        <v>1.0850994303536901</v>
      </c>
      <c r="AG1169">
        <v>-1.070964103771</v>
      </c>
      <c r="AH1169">
        <v>16.001244085960199</v>
      </c>
      <c r="AI1169">
        <v>93.820350579445304</v>
      </c>
      <c r="AJ1169">
        <v>86.120515544195001</v>
      </c>
      <c r="AK1169">
        <v>16.073711991441002</v>
      </c>
      <c r="AL1169">
        <v>95.118091270211096</v>
      </c>
      <c r="AM1169">
        <v>88.727567774144603</v>
      </c>
      <c r="AN1169">
        <v>1.0000000603249799</v>
      </c>
    </row>
    <row r="1170" spans="1:40" x14ac:dyDescent="0.25">
      <c r="A1170" t="str">
        <f>"20190303154119038"</f>
        <v>20190303154119038</v>
      </c>
      <c r="B1170" t="str">
        <f>"1551598879030620"</f>
        <v>1551598879030620</v>
      </c>
      <c r="C1170" t="s">
        <v>40</v>
      </c>
      <c r="D1170">
        <v>5.8907699999999998</v>
      </c>
      <c r="E1170">
        <v>0.51627939999999894</v>
      </c>
      <c r="F1170" t="s">
        <v>41</v>
      </c>
      <c r="G1170">
        <v>-271.40480000000002</v>
      </c>
      <c r="H1170" s="1">
        <v>-4.2244949999999996E-6</v>
      </c>
      <c r="I1170">
        <v>366.48829999999998</v>
      </c>
      <c r="J1170">
        <v>-287.64830000000001</v>
      </c>
      <c r="K1170">
        <v>1.0709500000000001</v>
      </c>
      <c r="L1170">
        <v>367.50099999999998</v>
      </c>
      <c r="M1170">
        <v>0.99989410000000001</v>
      </c>
      <c r="N1170">
        <v>-1.400641E-2</v>
      </c>
      <c r="O1170">
        <v>3.999603E-3</v>
      </c>
      <c r="P1170">
        <v>0.99449109999999996</v>
      </c>
      <c r="Q1170">
        <v>-0.10319830000000001</v>
      </c>
      <c r="R1170">
        <v>-1.838308E-2</v>
      </c>
      <c r="S1170">
        <v>2.9928889999999999</v>
      </c>
      <c r="T1170">
        <v>-0.1958828</v>
      </c>
      <c r="U1170">
        <v>-0.1851196</v>
      </c>
      <c r="V1170">
        <v>2.2357419999999999E-2</v>
      </c>
      <c r="W1170">
        <v>-8.9260899999999893E-2</v>
      </c>
      <c r="X1170">
        <v>0.99575729999999996</v>
      </c>
      <c r="Y1170">
        <v>6.5551990000000004E-2</v>
      </c>
      <c r="Z1170">
        <v>-2.8062959999999998E-3</v>
      </c>
      <c r="AA1170">
        <v>0.99784519999999999</v>
      </c>
      <c r="AB1170">
        <v>24</v>
      </c>
      <c r="AC1170">
        <v>16.243499999999901</v>
      </c>
      <c r="AD1170">
        <v>-1.0709542244949899</v>
      </c>
      <c r="AE1170">
        <v>-1.0126999999999899</v>
      </c>
      <c r="AF1170">
        <v>1.0730195301149701</v>
      </c>
      <c r="AG1170">
        <v>-1.0709542244949899</v>
      </c>
      <c r="AH1170">
        <v>16.169304570654901</v>
      </c>
      <c r="AI1170">
        <v>93.781089189199605</v>
      </c>
      <c r="AJ1170">
        <v>86.203332120343703</v>
      </c>
      <c r="AK1170">
        <v>16.240219338468702</v>
      </c>
      <c r="AL1170">
        <v>95.121088741344806</v>
      </c>
      <c r="AM1170">
        <v>88.713772307950094</v>
      </c>
      <c r="AN1170">
        <v>0.99999998150057801</v>
      </c>
    </row>
    <row r="1171" spans="1:40" x14ac:dyDescent="0.25">
      <c r="A1171" t="str">
        <f>"20190303154119051"</f>
        <v>20190303154119051</v>
      </c>
      <c r="B1171" t="str">
        <f>"1551598879040381"</f>
        <v>1551598879040381</v>
      </c>
      <c r="C1171" t="s">
        <v>40</v>
      </c>
      <c r="D1171">
        <v>5.8885690000000004</v>
      </c>
      <c r="E1171">
        <v>0.51614649999999995</v>
      </c>
      <c r="F1171" t="s">
        <v>41</v>
      </c>
      <c r="G1171">
        <v>-271.21620000000001</v>
      </c>
      <c r="H1171" s="1">
        <v>-4.3058450000000001E-6</v>
      </c>
      <c r="I1171">
        <v>366.48570000000001</v>
      </c>
      <c r="J1171">
        <v>-287.51609999999999</v>
      </c>
      <c r="K1171">
        <v>1.0709360000000001</v>
      </c>
      <c r="L1171">
        <v>367.50150000000002</v>
      </c>
      <c r="M1171">
        <v>0.99989519999999998</v>
      </c>
      <c r="N1171">
        <v>-1.392087E-2</v>
      </c>
      <c r="O1171">
        <v>3.999669E-3</v>
      </c>
      <c r="P1171">
        <v>0.99446049999999997</v>
      </c>
      <c r="Q1171">
        <v>-0.103450399999999</v>
      </c>
      <c r="R1171">
        <v>-1.8616480000000001E-2</v>
      </c>
      <c r="S1171">
        <v>2.99295</v>
      </c>
      <c r="T1171">
        <v>-0.19506370000000001</v>
      </c>
      <c r="U1171">
        <v>-0.18490599999999999</v>
      </c>
      <c r="V1171">
        <v>2.2590740000000002E-2</v>
      </c>
      <c r="W1171">
        <v>-8.959868E-2</v>
      </c>
      <c r="X1171">
        <v>0.99572169999999904</v>
      </c>
      <c r="Y1171">
        <v>6.5481540000000005E-2</v>
      </c>
      <c r="Z1171">
        <v>-2.7909749999999998E-3</v>
      </c>
      <c r="AA1171">
        <v>0.99784989999999996</v>
      </c>
      <c r="AB1171">
        <v>24</v>
      </c>
      <c r="AC1171">
        <v>16.299899999999901</v>
      </c>
      <c r="AD1171">
        <v>-1.070940305845</v>
      </c>
      <c r="AE1171">
        <v>-1.01580000000001</v>
      </c>
      <c r="AF1171">
        <v>1.0763639309744399</v>
      </c>
      <c r="AG1171">
        <v>-1.070940305845</v>
      </c>
      <c r="AH1171">
        <v>16.225933414261299</v>
      </c>
      <c r="AI1171">
        <v>93.767888686421401</v>
      </c>
      <c r="AJ1171">
        <v>86.204786103961496</v>
      </c>
      <c r="AK1171">
        <v>16.296821396046099</v>
      </c>
      <c r="AL1171">
        <v>95.140519953575307</v>
      </c>
      <c r="AM1171">
        <v>88.700307482623899</v>
      </c>
      <c r="AN1171">
        <v>0.99999998442118898</v>
      </c>
    </row>
    <row r="1172" spans="1:40" x14ac:dyDescent="0.25">
      <c r="A1172" t="str">
        <f>"20190303154119063"</f>
        <v>20190303154119063</v>
      </c>
      <c r="B1172" t="str">
        <f>"1551598879059901"</f>
        <v>1551598879059901</v>
      </c>
      <c r="C1172" t="s">
        <v>40</v>
      </c>
      <c r="D1172">
        <v>5.9254949999999997</v>
      </c>
      <c r="E1172">
        <v>0.51592099999999996</v>
      </c>
      <c r="F1172" t="s">
        <v>41</v>
      </c>
      <c r="G1172">
        <v>-271.0831</v>
      </c>
      <c r="H1172" s="1">
        <v>-4.3625379999999999E-6</v>
      </c>
      <c r="I1172">
        <v>366.488</v>
      </c>
      <c r="J1172">
        <v>-287.3777</v>
      </c>
      <c r="K1172">
        <v>1.0709229999999901</v>
      </c>
      <c r="L1172">
        <v>367.50200000000001</v>
      </c>
      <c r="M1172">
        <v>0.99989640000000002</v>
      </c>
      <c r="N1172">
        <v>-1.383095E-2</v>
      </c>
      <c r="O1172">
        <v>3.9998200000000003E-3</v>
      </c>
      <c r="P1172">
        <v>0.99453919999999996</v>
      </c>
      <c r="Q1172">
        <v>-0.102662</v>
      </c>
      <c r="R1172">
        <v>-1.8776609999999999E-2</v>
      </c>
      <c r="S1172">
        <v>2.99295</v>
      </c>
      <c r="T1172">
        <v>-0.1950498</v>
      </c>
      <c r="U1172">
        <v>-0.18457029999999999</v>
      </c>
      <c r="V1172">
        <v>2.2751219999999999E-2</v>
      </c>
      <c r="W1172">
        <v>-8.8898840000000007E-2</v>
      </c>
      <c r="X1172">
        <v>0.99578080000000002</v>
      </c>
      <c r="Y1172">
        <v>6.5370670000000006E-2</v>
      </c>
      <c r="Z1172">
        <v>-2.7838519999999999E-3</v>
      </c>
      <c r="AA1172">
        <v>0.9978572</v>
      </c>
      <c r="AB1172">
        <v>24</v>
      </c>
      <c r="AC1172">
        <v>16.294599999999999</v>
      </c>
      <c r="AD1172">
        <v>-1.07092736253799</v>
      </c>
      <c r="AE1172">
        <v>-1.0139999999998901</v>
      </c>
      <c r="AF1172">
        <v>1.07454998077819</v>
      </c>
      <c r="AG1172">
        <v>-1.07092736253799</v>
      </c>
      <c r="AH1172">
        <v>16.2206188766474</v>
      </c>
      <c r="AI1172">
        <v>93.769096568679899</v>
      </c>
      <c r="AJ1172">
        <v>86.209925610776395</v>
      </c>
      <c r="AK1172">
        <v>16.291409387111798</v>
      </c>
      <c r="AL1172">
        <v>95.100261277182298</v>
      </c>
      <c r="AM1172">
        <v>88.691155591330499</v>
      </c>
      <c r="AN1172">
        <v>1.00000001170673</v>
      </c>
    </row>
    <row r="1173" spans="1:40" x14ac:dyDescent="0.25">
      <c r="A1173" t="str">
        <f>"20190303154119076"</f>
        <v>20190303154119076</v>
      </c>
      <c r="B1173" t="str">
        <f>"1551598879070637"</f>
        <v>1551598879070637</v>
      </c>
      <c r="C1173" t="s">
        <v>40</v>
      </c>
      <c r="D1173">
        <v>5.8858139999999999</v>
      </c>
      <c r="E1173">
        <v>0.51580979999999998</v>
      </c>
      <c r="F1173" t="s">
        <v>41</v>
      </c>
      <c r="G1173">
        <v>-270.61200000000002</v>
      </c>
      <c r="H1173" s="1">
        <v>-4.5668409999999997E-6</v>
      </c>
      <c r="I1173">
        <v>366.47559999999999</v>
      </c>
      <c r="J1173">
        <v>-287.24529999999999</v>
      </c>
      <c r="K1173">
        <v>1.070916</v>
      </c>
      <c r="L1173">
        <v>367.50259999999997</v>
      </c>
      <c r="M1173">
        <v>0.9998977</v>
      </c>
      <c r="N1173">
        <v>-1.3744620000000001E-2</v>
      </c>
      <c r="O1173">
        <v>3.9998830000000001E-3</v>
      </c>
      <c r="P1173">
        <v>0.99455420000000005</v>
      </c>
      <c r="Q1173">
        <v>-0.1024906</v>
      </c>
      <c r="R1173">
        <v>-1.8917670000000001E-2</v>
      </c>
      <c r="S1173">
        <v>2.9932859999999999</v>
      </c>
      <c r="T1173">
        <v>-0.19119829999999999</v>
      </c>
      <c r="U1173">
        <v>-0.18325810000000001</v>
      </c>
      <c r="V1173">
        <v>2.2892510000000001E-2</v>
      </c>
      <c r="W1173">
        <v>-8.8813249999999996E-2</v>
      </c>
      <c r="X1173">
        <v>0.99578520000000004</v>
      </c>
      <c r="Y1173">
        <v>6.493554E-2</v>
      </c>
      <c r="Z1173">
        <v>-2.717227E-3</v>
      </c>
      <c r="AA1173">
        <v>0.99788580000000004</v>
      </c>
      <c r="AB1173">
        <v>24</v>
      </c>
      <c r="AC1173">
        <v>16.633299999999899</v>
      </c>
      <c r="AD1173">
        <v>-1.070920566841</v>
      </c>
      <c r="AE1173">
        <v>-1.0269999999999799</v>
      </c>
      <c r="AF1173">
        <v>1.0890320735316299</v>
      </c>
      <c r="AG1173">
        <v>-1.070920566841</v>
      </c>
      <c r="AH1173">
        <v>16.560670147773401</v>
      </c>
      <c r="AI1173">
        <v>93.692013653684</v>
      </c>
      <c r="AJ1173">
        <v>86.237638294808804</v>
      </c>
      <c r="AK1173">
        <v>16.6309547970348</v>
      </c>
      <c r="AL1173">
        <v>95.095337852904606</v>
      </c>
      <c r="AM1173">
        <v>88.683036055230602</v>
      </c>
      <c r="AN1173">
        <v>1.00000001246435</v>
      </c>
    </row>
    <row r="1174" spans="1:40" x14ac:dyDescent="0.25">
      <c r="A1174" t="str">
        <f>"20190303154119087"</f>
        <v>20190303154119087</v>
      </c>
      <c r="B1174" t="str">
        <f>"1551598879080397"</f>
        <v>1551598879080397</v>
      </c>
      <c r="C1174" t="s">
        <v>40</v>
      </c>
      <c r="D1174">
        <v>5.8676529999999998</v>
      </c>
      <c r="E1174">
        <v>0.51569129999999996</v>
      </c>
      <c r="F1174" t="s">
        <v>41</v>
      </c>
      <c r="G1174">
        <v>-270.36810000000003</v>
      </c>
      <c r="H1174" s="1">
        <v>-4.6720889999999996E-6</v>
      </c>
      <c r="I1174">
        <v>366.47219999999999</v>
      </c>
      <c r="J1174">
        <v>-287.113</v>
      </c>
      <c r="K1174">
        <v>1.0709120000000001</v>
      </c>
      <c r="L1174">
        <v>367.50310000000002</v>
      </c>
      <c r="M1174">
        <v>0.99989890000000003</v>
      </c>
      <c r="N1174">
        <v>-1.365796E-2</v>
      </c>
      <c r="O1174">
        <v>4.0000039999999997E-3</v>
      </c>
      <c r="P1174">
        <v>0.99457030000000002</v>
      </c>
      <c r="Q1174">
        <v>-0.102337</v>
      </c>
      <c r="R1174">
        <v>-1.889919E-2</v>
      </c>
      <c r="S1174">
        <v>2.9933779999999999</v>
      </c>
      <c r="T1174">
        <v>-0.18993989999999999</v>
      </c>
      <c r="U1174">
        <v>-0.18273929999999999</v>
      </c>
      <c r="V1174">
        <v>2.2874289999999999E-2</v>
      </c>
      <c r="W1174">
        <v>-8.8745660000000004E-2</v>
      </c>
      <c r="X1174">
        <v>0.9957916</v>
      </c>
      <c r="Y1174">
        <v>6.4764070000000007E-2</v>
      </c>
      <c r="Z1174">
        <v>-2.6928159999999998E-3</v>
      </c>
      <c r="AA1174">
        <v>0.99789700000000003</v>
      </c>
      <c r="AB1174">
        <v>24</v>
      </c>
      <c r="AC1174">
        <v>16.744899999999902</v>
      </c>
      <c r="AD1174">
        <v>-1.070916672089</v>
      </c>
      <c r="AE1174">
        <v>-1.0309000000000299</v>
      </c>
      <c r="AF1174">
        <v>1.0934222087766901</v>
      </c>
      <c r="AG1174">
        <v>-1.070916672089</v>
      </c>
      <c r="AH1174">
        <v>16.6727045641011</v>
      </c>
      <c r="AI1174">
        <v>93.667302019374105</v>
      </c>
      <c r="AJ1174">
        <v>86.247825733771293</v>
      </c>
      <c r="AK1174">
        <v>16.742804786743601</v>
      </c>
      <c r="AL1174">
        <v>95.091450105936204</v>
      </c>
      <c r="AM1174">
        <v>88.684092304059007</v>
      </c>
      <c r="AN1174">
        <v>0.99999996797119906</v>
      </c>
    </row>
    <row r="1175" spans="1:40" x14ac:dyDescent="0.25">
      <c r="A1175" t="str">
        <f>"20190303154119100"</f>
        <v>20190303154119100</v>
      </c>
      <c r="B1175" t="str">
        <f>"1551598879090706"</f>
        <v>1551598879090706</v>
      </c>
      <c r="C1175" t="s">
        <v>40</v>
      </c>
      <c r="D1175">
        <v>5.8775919999999999</v>
      </c>
      <c r="E1175">
        <v>0.51558249999999906</v>
      </c>
      <c r="F1175" t="s">
        <v>41</v>
      </c>
      <c r="G1175">
        <v>-270.1275</v>
      </c>
      <c r="H1175" s="1">
        <v>-4.7753669999999998E-6</v>
      </c>
      <c r="I1175">
        <v>366.4717</v>
      </c>
      <c r="J1175">
        <v>-286.98719999999997</v>
      </c>
      <c r="K1175">
        <v>1.0709070000000001</v>
      </c>
      <c r="L1175">
        <v>367.50360000000001</v>
      </c>
      <c r="M1175">
        <v>0.99989989999999995</v>
      </c>
      <c r="N1175">
        <v>-1.3575200000000001E-2</v>
      </c>
      <c r="O1175">
        <v>4.0003929999999997E-3</v>
      </c>
      <c r="P1175">
        <v>0.99460700000000002</v>
      </c>
      <c r="Q1175">
        <v>-0.1019444</v>
      </c>
      <c r="R1175">
        <v>-1.908866E-2</v>
      </c>
      <c r="S1175">
        <v>2.9935</v>
      </c>
      <c r="T1175">
        <v>-0.18873580000000001</v>
      </c>
      <c r="U1175">
        <v>-0.1817627</v>
      </c>
      <c r="V1175">
        <v>2.306416E-2</v>
      </c>
      <c r="W1175">
        <v>-8.8435079999999999E-2</v>
      </c>
      <c r="X1175">
        <v>0.99581489999999995</v>
      </c>
      <c r="Y1175">
        <v>6.4440490000000003E-2</v>
      </c>
      <c r="Z1175">
        <v>-2.6634380000000002E-3</v>
      </c>
      <c r="AA1175">
        <v>0.99791799999999997</v>
      </c>
      <c r="AB1175">
        <v>24</v>
      </c>
      <c r="AC1175">
        <v>16.859699999999901</v>
      </c>
      <c r="AD1175">
        <v>-1.0709117753669899</v>
      </c>
      <c r="AE1175">
        <v>-1.0319</v>
      </c>
      <c r="AF1175">
        <v>1.0949421399761901</v>
      </c>
      <c r="AG1175">
        <v>-1.0709117753669899</v>
      </c>
      <c r="AH1175">
        <v>16.787955661453701</v>
      </c>
      <c r="AI1175">
        <v>93.642262080928603</v>
      </c>
      <c r="AJ1175">
        <v>86.268346531725101</v>
      </c>
      <c r="AK1175">
        <v>16.857674976444699</v>
      </c>
      <c r="AL1175">
        <v>95.073584689628902</v>
      </c>
      <c r="AM1175">
        <v>88.673204422164602</v>
      </c>
      <c r="AN1175">
        <v>1.0000000169565599</v>
      </c>
    </row>
    <row r="1176" spans="1:40" x14ac:dyDescent="0.25">
      <c r="A1176" t="str">
        <f>"20190303154119118"</f>
        <v>20190303154119118</v>
      </c>
      <c r="B1176" t="str">
        <f>"1551598879110229"</f>
        <v>1551598879110229</v>
      </c>
      <c r="C1176" t="s">
        <v>40</v>
      </c>
      <c r="D1176">
        <v>5.8995980000000001</v>
      </c>
      <c r="E1176">
        <v>0.51537060000000001</v>
      </c>
      <c r="F1176" t="s">
        <v>41</v>
      </c>
      <c r="G1176">
        <v>-269.82510000000002</v>
      </c>
      <c r="H1176" s="1">
        <v>-8.8455910000000004E-7</v>
      </c>
      <c r="I1176">
        <v>366.4631</v>
      </c>
      <c r="J1176">
        <v>-286.80450000000002</v>
      </c>
      <c r="K1176">
        <v>1.0708979999999999</v>
      </c>
      <c r="L1176">
        <v>367.5043</v>
      </c>
      <c r="M1176">
        <v>0.9999017</v>
      </c>
      <c r="N1176">
        <v>-1.345436E-2</v>
      </c>
      <c r="O1176">
        <v>4.0005589999999999E-3</v>
      </c>
      <c r="P1176">
        <v>0.99468000000000001</v>
      </c>
      <c r="Q1176">
        <v>-0.1012294</v>
      </c>
      <c r="R1176">
        <v>-1.9097980000000001E-2</v>
      </c>
      <c r="S1176">
        <v>2.9935909999999999</v>
      </c>
      <c r="T1176">
        <v>-0.18679899999999999</v>
      </c>
      <c r="U1176">
        <v>-0.18148800000000001</v>
      </c>
      <c r="V1176">
        <v>2.307389E-2</v>
      </c>
      <c r="W1176">
        <v>-8.7839520000000004E-2</v>
      </c>
      <c r="X1176">
        <v>0.99586739999999996</v>
      </c>
      <c r="Y1176">
        <v>6.4351019999999995E-2</v>
      </c>
      <c r="Z1176">
        <v>-2.6332180000000001E-3</v>
      </c>
      <c r="AA1176">
        <v>0.99792389999999997</v>
      </c>
      <c r="AB1176">
        <v>24</v>
      </c>
      <c r="AC1176">
        <v>16.979399999999998</v>
      </c>
      <c r="AD1176">
        <v>-1.0708988845591001</v>
      </c>
      <c r="AE1176">
        <v>-1.0411999999999999</v>
      </c>
      <c r="AF1176">
        <v>1.10474679914968</v>
      </c>
      <c r="AG1176">
        <v>-1.0708988845591001</v>
      </c>
      <c r="AH1176">
        <v>16.908091859116102</v>
      </c>
      <c r="AI1176">
        <v>93.616381106796993</v>
      </c>
      <c r="AJ1176">
        <v>86.261702067621101</v>
      </c>
      <c r="AK1176">
        <v>16.9779521800331</v>
      </c>
      <c r="AL1176">
        <v>95.039328224730895</v>
      </c>
      <c r="AM1176">
        <v>88.6727148418517</v>
      </c>
      <c r="AN1176">
        <v>1.0000000320281599</v>
      </c>
    </row>
    <row r="1177" spans="1:40" x14ac:dyDescent="0.25">
      <c r="A1177" t="str">
        <f>"20190303154119131"</f>
        <v>20190303154119131</v>
      </c>
      <c r="B1177" t="str">
        <f>"1551598879120962"</f>
        <v>1551598879120962</v>
      </c>
      <c r="C1177" t="s">
        <v>40</v>
      </c>
      <c r="D1177">
        <v>5.8726560000000001</v>
      </c>
      <c r="E1177">
        <v>0.51527599999999996</v>
      </c>
      <c r="F1177" t="s">
        <v>41</v>
      </c>
      <c r="G1177">
        <v>-269.33760000000001</v>
      </c>
      <c r="H1177" s="1">
        <v>-1.052903E-6</v>
      </c>
      <c r="I1177">
        <v>366.45400000000001</v>
      </c>
      <c r="J1177">
        <v>-286.65309999999999</v>
      </c>
      <c r="K1177">
        <v>1.070891</v>
      </c>
      <c r="L1177">
        <v>367.50490000000002</v>
      </c>
      <c r="M1177">
        <v>0.99990279999999998</v>
      </c>
      <c r="N1177">
        <v>-1.335188E-2</v>
      </c>
      <c r="O1177">
        <v>4.0007139999999998E-3</v>
      </c>
      <c r="P1177">
        <v>0.99470029999999998</v>
      </c>
      <c r="Q1177">
        <v>-0.1010264</v>
      </c>
      <c r="R1177">
        <v>-1.9109520000000001E-2</v>
      </c>
      <c r="S1177">
        <v>2.9939269999999998</v>
      </c>
      <c r="T1177">
        <v>-0.18355679999999999</v>
      </c>
      <c r="U1177">
        <v>-0.18002319999999999</v>
      </c>
      <c r="V1177">
        <v>2.3085669999999999E-2</v>
      </c>
      <c r="W1177">
        <v>-8.7738330000000003E-2</v>
      </c>
      <c r="X1177">
        <v>0.99587599999999998</v>
      </c>
      <c r="Y1177">
        <v>6.3864190000000001E-2</v>
      </c>
      <c r="Z1177">
        <v>-2.5729020000000002E-3</v>
      </c>
      <c r="AA1177">
        <v>0.99795529999999999</v>
      </c>
      <c r="AB1177">
        <v>24</v>
      </c>
      <c r="AC1177">
        <v>17.315499999999901</v>
      </c>
      <c r="AD1177">
        <v>-1.0708920529029999</v>
      </c>
      <c r="AE1177">
        <v>-1.0509000000000099</v>
      </c>
      <c r="AF1177">
        <v>1.1159195027539099</v>
      </c>
      <c r="AG1177">
        <v>-1.0708920529029999</v>
      </c>
      <c r="AH1177">
        <v>17.245436494445801</v>
      </c>
      <c r="AI1177">
        <v>93.545943726179303</v>
      </c>
      <c r="AJ1177">
        <v>86.297660371504804</v>
      </c>
      <c r="AK1177">
        <v>17.314651772691299</v>
      </c>
      <c r="AL1177">
        <v>95.033508230759907</v>
      </c>
      <c r="AM1177">
        <v>88.672048924209804</v>
      </c>
      <c r="AN1177">
        <v>0.99999998504326804</v>
      </c>
    </row>
    <row r="1178" spans="1:40" x14ac:dyDescent="0.25">
      <c r="A1178" t="str">
        <f>"20190303154119146"</f>
        <v>20190303154119146</v>
      </c>
      <c r="B1178" t="str">
        <f>"1551598879140482"</f>
        <v>1551598879140482</v>
      </c>
      <c r="C1178" t="s">
        <v>40</v>
      </c>
      <c r="D1178">
        <v>5.8642279999999998</v>
      </c>
      <c r="E1178">
        <v>0.51506909999999995</v>
      </c>
      <c r="F1178" t="s">
        <v>41</v>
      </c>
      <c r="G1178">
        <v>-269.07339999999999</v>
      </c>
      <c r="H1178" s="1">
        <v>-1.143002E-6</v>
      </c>
      <c r="I1178">
        <v>366.45319999999998</v>
      </c>
      <c r="J1178">
        <v>-286.50220000000002</v>
      </c>
      <c r="K1178">
        <v>1.070881</v>
      </c>
      <c r="L1178">
        <v>367.50560000000002</v>
      </c>
      <c r="M1178">
        <v>0.99990420000000002</v>
      </c>
      <c r="N1178">
        <v>-1.3248269999999999E-2</v>
      </c>
      <c r="O1178">
        <v>4.0009310000000001E-3</v>
      </c>
      <c r="P1178">
        <v>0.99475170000000002</v>
      </c>
      <c r="Q1178">
        <v>-0.1005014</v>
      </c>
      <c r="R1178">
        <v>-1.9194860000000001E-2</v>
      </c>
      <c r="S1178">
        <v>2.9940190000000002</v>
      </c>
      <c r="T1178">
        <v>-0.1823844</v>
      </c>
      <c r="U1178">
        <v>-0.17910770000000001</v>
      </c>
      <c r="V1178">
        <v>2.3171560000000001E-2</v>
      </c>
      <c r="W1178">
        <v>-8.7315879999999998E-2</v>
      </c>
      <c r="X1178">
        <v>0.99591110000000005</v>
      </c>
      <c r="Y1178">
        <v>6.3561160000000005E-2</v>
      </c>
      <c r="Z1178">
        <v>-2.544709E-3</v>
      </c>
      <c r="AA1178">
        <v>0.99797469999999999</v>
      </c>
      <c r="AB1178">
        <v>24</v>
      </c>
      <c r="AC1178">
        <v>17.428799999999999</v>
      </c>
      <c r="AD1178">
        <v>-1.0708821430019999</v>
      </c>
      <c r="AE1178">
        <v>-1.05240000000003</v>
      </c>
      <c r="AF1178">
        <v>1.1179239880757199</v>
      </c>
      <c r="AG1178">
        <v>-1.0708821430019999</v>
      </c>
      <c r="AH1178">
        <v>17.3591520692394</v>
      </c>
      <c r="AI1178">
        <v>93.522810953588504</v>
      </c>
      <c r="AJ1178">
        <v>86.315257952981298</v>
      </c>
      <c r="AK1178">
        <v>17.428043584128801</v>
      </c>
      <c r="AL1178">
        <v>95.009210544312793</v>
      </c>
      <c r="AM1178">
        <v>88.667157034361495</v>
      </c>
      <c r="AN1178">
        <v>0.99999995159810695</v>
      </c>
    </row>
    <row r="1179" spans="1:40" x14ac:dyDescent="0.25">
      <c r="A1179" t="str">
        <f>"20190303154119161"</f>
        <v>20190303154119161</v>
      </c>
      <c r="B1179" t="str">
        <f>"1551598879150242"</f>
        <v>1551598879150242</v>
      </c>
      <c r="C1179" t="s">
        <v>40</v>
      </c>
      <c r="D1179">
        <v>5.8820889999999997</v>
      </c>
      <c r="E1179">
        <v>0.51497119999999996</v>
      </c>
      <c r="F1179" t="s">
        <v>41</v>
      </c>
      <c r="G1179">
        <v>-268.6422</v>
      </c>
      <c r="H1179" s="1">
        <v>-1.2916569999999999E-6</v>
      </c>
      <c r="I1179">
        <v>366.4461</v>
      </c>
      <c r="J1179">
        <v>-286.33100000000002</v>
      </c>
      <c r="K1179">
        <v>1.070873</v>
      </c>
      <c r="L1179">
        <v>367.50619999999998</v>
      </c>
      <c r="M1179">
        <v>0.99990590000000001</v>
      </c>
      <c r="N1179">
        <v>-1.3129409999999999E-2</v>
      </c>
      <c r="O1179">
        <v>4.0008860000000004E-3</v>
      </c>
      <c r="P1179">
        <v>0.99477599999999999</v>
      </c>
      <c r="Q1179">
        <v>-0.1002701</v>
      </c>
      <c r="R1179">
        <v>-1.9150440000000001E-2</v>
      </c>
      <c r="S1179">
        <v>2.9942929999999999</v>
      </c>
      <c r="T1179">
        <v>-0.1795359</v>
      </c>
      <c r="U1179">
        <v>-0.177612299999999</v>
      </c>
      <c r="V1179">
        <v>2.312732E-2</v>
      </c>
      <c r="W1179">
        <v>-8.7202639999999998E-2</v>
      </c>
      <c r="X1179">
        <v>0.99592210000000003</v>
      </c>
      <c r="Y1179">
        <v>6.3064519999999999E-2</v>
      </c>
      <c r="Z1179">
        <v>-2.4891610000000002E-3</v>
      </c>
      <c r="AA1179">
        <v>0.99800630000000001</v>
      </c>
      <c r="AB1179">
        <v>24</v>
      </c>
      <c r="AC1179">
        <v>17.688799999999901</v>
      </c>
      <c r="AD1179">
        <v>-1.070874291657</v>
      </c>
      <c r="AE1179">
        <v>-1.0600999999999701</v>
      </c>
      <c r="AF1179">
        <v>1.1267536472847699</v>
      </c>
      <c r="AG1179">
        <v>-1.070874291657</v>
      </c>
      <c r="AH1179">
        <v>17.6200693269091</v>
      </c>
      <c r="AI1179">
        <v>93.470848537097595</v>
      </c>
      <c r="AJ1179">
        <v>86.3410787682798</v>
      </c>
      <c r="AK1179">
        <v>17.6885044199696</v>
      </c>
      <c r="AL1179">
        <v>95.002697277570206</v>
      </c>
      <c r="AM1179">
        <v>88.669715520100596</v>
      </c>
      <c r="AN1179">
        <v>1.0000000013108801</v>
      </c>
    </row>
    <row r="1180" spans="1:40" x14ac:dyDescent="0.25">
      <c r="A1180" t="str">
        <f>"20190303154119178"</f>
        <v>20190303154119178</v>
      </c>
      <c r="B1180" t="str">
        <f>"1551598879170738"</f>
        <v>1551598879170738</v>
      </c>
      <c r="C1180" t="s">
        <v>40</v>
      </c>
      <c r="D1180">
        <v>5.8717059999999996</v>
      </c>
      <c r="E1180">
        <v>0.51480349999999997</v>
      </c>
      <c r="F1180" t="s">
        <v>41</v>
      </c>
      <c r="G1180">
        <v>-268.34309999999999</v>
      </c>
      <c r="H1180" s="1">
        <v>-1.3937300000000001E-6</v>
      </c>
      <c r="I1180">
        <v>366.44490000000002</v>
      </c>
      <c r="J1180">
        <v>-286.1601</v>
      </c>
      <c r="K1180">
        <v>1.070862</v>
      </c>
      <c r="L1180">
        <v>367.50689999999997</v>
      </c>
      <c r="M1180">
        <v>0.9999074</v>
      </c>
      <c r="N1180">
        <v>-1.301016E-2</v>
      </c>
      <c r="O1180">
        <v>4.0009549999999996E-3</v>
      </c>
      <c r="P1180">
        <v>0.99482420000000005</v>
      </c>
      <c r="Q1180">
        <v>-9.981516E-2</v>
      </c>
      <c r="R1180">
        <v>-1.9022069999999999E-2</v>
      </c>
      <c r="S1180">
        <v>2.994415</v>
      </c>
      <c r="T1180">
        <v>-0.1782668</v>
      </c>
      <c r="U1180">
        <v>-0.176666299999999</v>
      </c>
      <c r="V1180">
        <v>2.2999229999999999E-2</v>
      </c>
      <c r="W1180">
        <v>-8.6865890000000001E-2</v>
      </c>
      <c r="X1180">
        <v>0.99595449999999996</v>
      </c>
      <c r="Y1180">
        <v>6.2750699999999895E-2</v>
      </c>
      <c r="Z1180">
        <v>-2.4594180000000001E-3</v>
      </c>
      <c r="AA1180">
        <v>0.99802619999999997</v>
      </c>
      <c r="AB1180">
        <v>24</v>
      </c>
      <c r="AC1180">
        <v>17.817</v>
      </c>
      <c r="AD1180">
        <v>-1.0708633937300001</v>
      </c>
      <c r="AE1180">
        <v>-1.0619999999999501</v>
      </c>
      <c r="AF1180">
        <v>1.1292177703556101</v>
      </c>
      <c r="AG1180">
        <v>-1.0708633937300001</v>
      </c>
      <c r="AH1180">
        <v>17.748719048889999</v>
      </c>
      <c r="AI1180">
        <v>93.4457872125477</v>
      </c>
      <c r="AJ1180">
        <v>86.359606212009993</v>
      </c>
      <c r="AK1180">
        <v>17.816815345547798</v>
      </c>
      <c r="AL1180">
        <v>94.983329401770504</v>
      </c>
      <c r="AM1180">
        <v>88.677123658442994</v>
      </c>
      <c r="AN1180">
        <v>1.00000000674816</v>
      </c>
    </row>
    <row r="1181" spans="1:40" x14ac:dyDescent="0.25">
      <c r="A1181" t="str">
        <f>"20190303154119195"</f>
        <v>20190303154119195</v>
      </c>
      <c r="B1181" t="str">
        <f>"1551598879190258"</f>
        <v>1551598879190258</v>
      </c>
      <c r="C1181" t="s">
        <v>40</v>
      </c>
      <c r="D1181">
        <v>5.8876299999999997</v>
      </c>
      <c r="E1181">
        <v>0.50631590000000004</v>
      </c>
      <c r="F1181" t="s">
        <v>41</v>
      </c>
      <c r="G1181">
        <v>-267.91770000000002</v>
      </c>
      <c r="H1181" s="1">
        <v>-1.5396080000000001E-6</v>
      </c>
      <c r="I1181">
        <v>366.44069999999999</v>
      </c>
      <c r="J1181">
        <v>-285.97469999999998</v>
      </c>
      <c r="K1181">
        <v>1.0708470000000001</v>
      </c>
      <c r="L1181">
        <v>367.5077</v>
      </c>
      <c r="M1181">
        <v>0.9999091</v>
      </c>
      <c r="N1181">
        <v>-1.288078E-2</v>
      </c>
      <c r="O1181">
        <v>4.0011420000000001E-3</v>
      </c>
      <c r="P1181">
        <v>0.9948302</v>
      </c>
      <c r="Q1181">
        <v>-9.9791210000000005E-2</v>
      </c>
      <c r="R1181">
        <v>-1.884487E-2</v>
      </c>
      <c r="S1181">
        <v>2.9946290000000002</v>
      </c>
      <c r="T1181">
        <v>-0.17579</v>
      </c>
      <c r="U1181">
        <v>-0.17501829999999999</v>
      </c>
      <c r="V1181">
        <v>2.2822019999999998E-2</v>
      </c>
      <c r="W1181">
        <v>-8.6970699999999998E-2</v>
      </c>
      <c r="X1181">
        <v>0.99594939999999998</v>
      </c>
      <c r="Y1181">
        <v>6.2204280000000001E-2</v>
      </c>
      <c r="Z1181">
        <v>-2.407045E-3</v>
      </c>
      <c r="AA1181">
        <v>0.99806050000000002</v>
      </c>
      <c r="AB1181">
        <v>24</v>
      </c>
      <c r="AC1181">
        <v>18.056999999999899</v>
      </c>
      <c r="AD1181">
        <v>-1.0708485396080001</v>
      </c>
      <c r="AE1181">
        <v>-1.0669999999999999</v>
      </c>
      <c r="AF1181">
        <v>1.1352672945754401</v>
      </c>
      <c r="AG1181">
        <v>-1.0708485396080001</v>
      </c>
      <c r="AH1181">
        <v>17.989537892514601</v>
      </c>
      <c r="AI1181">
        <v>93.399832028402997</v>
      </c>
      <c r="AJ1181">
        <v>86.389018881755305</v>
      </c>
      <c r="AK1181">
        <v>18.057104474725001</v>
      </c>
      <c r="AL1181">
        <v>94.989357532889002</v>
      </c>
      <c r="AM1181">
        <v>88.687306174455401</v>
      </c>
      <c r="AN1181">
        <v>0.99999997730786405</v>
      </c>
    </row>
    <row r="1182" spans="1:40" x14ac:dyDescent="0.25">
      <c r="A1182" t="str">
        <f>"20190303154119209"</f>
        <v>20190303154119209</v>
      </c>
      <c r="B1182" t="str">
        <f>"1551598879200995"</f>
        <v>1551598879200995</v>
      </c>
      <c r="C1182" t="s">
        <v>40</v>
      </c>
      <c r="D1182">
        <v>5.8589390000000003</v>
      </c>
      <c r="E1182">
        <v>0.50639009999999995</v>
      </c>
      <c r="F1182" t="s">
        <v>41</v>
      </c>
      <c r="G1182">
        <v>-262.8827</v>
      </c>
      <c r="H1182" s="1">
        <v>-3.5554240000000001E-6</v>
      </c>
      <c r="I1182">
        <v>366.68579999999997</v>
      </c>
      <c r="J1182">
        <v>-285.827</v>
      </c>
      <c r="K1182">
        <v>1.070837</v>
      </c>
      <c r="L1182">
        <v>367.50819999999999</v>
      </c>
      <c r="M1182">
        <v>0.99991030000000003</v>
      </c>
      <c r="N1182">
        <v>-1.278079E-2</v>
      </c>
      <c r="O1182">
        <v>4.0014309999999997E-3</v>
      </c>
      <c r="P1182">
        <v>0.99486019999999997</v>
      </c>
      <c r="Q1182">
        <v>-9.9496630000000003E-2</v>
      </c>
      <c r="R1182">
        <v>-1.880544E-2</v>
      </c>
      <c r="S1182">
        <v>2.9996339999999999</v>
      </c>
      <c r="T1182">
        <v>-0.13910229999999901</v>
      </c>
      <c r="U1182">
        <v>-0.1067505</v>
      </c>
      <c r="V1182">
        <v>2.278295E-2</v>
      </c>
      <c r="W1182">
        <v>-8.6775379999999999E-2</v>
      </c>
      <c r="X1182">
        <v>0.9959673</v>
      </c>
      <c r="Y1182">
        <v>3.9507899999999999E-2</v>
      </c>
      <c r="Z1182">
        <v>-1.302302E-3</v>
      </c>
      <c r="AA1182">
        <v>0.99921839999999995</v>
      </c>
      <c r="AB1182">
        <v>24</v>
      </c>
      <c r="AC1182">
        <v>22.944299999999998</v>
      </c>
      <c r="AD1182">
        <v>-1.0708405554239999</v>
      </c>
      <c r="AE1182">
        <v>-0.82240000000001501</v>
      </c>
      <c r="AF1182">
        <v>0.91222647675339197</v>
      </c>
      <c r="AG1182">
        <v>-1.0708405554239999</v>
      </c>
      <c r="AH1182">
        <v>22.891027720782098</v>
      </c>
      <c r="AI1182">
        <v>92.676218569559595</v>
      </c>
      <c r="AJ1182">
        <v>87.717923110213704</v>
      </c>
      <c r="AK1182">
        <v>22.934210401791599</v>
      </c>
      <c r="AL1182">
        <v>94.978124207671897</v>
      </c>
      <c r="AM1182">
        <v>88.689576191085195</v>
      </c>
      <c r="AN1182">
        <v>0.99999994602706699</v>
      </c>
    </row>
    <row r="1183" spans="1:40" x14ac:dyDescent="0.25">
      <c r="A1183" t="str">
        <f>"20190303154119223"</f>
        <v>20190303154119223</v>
      </c>
      <c r="B1183" t="str">
        <f>"1551598879220514"</f>
        <v>1551598879220514</v>
      </c>
      <c r="C1183" t="s">
        <v>40</v>
      </c>
      <c r="D1183">
        <v>5.9645849999999996</v>
      </c>
      <c r="E1183">
        <v>0.50683639999999996</v>
      </c>
      <c r="F1183" t="s">
        <v>41</v>
      </c>
      <c r="G1183">
        <v>-262.85050000000001</v>
      </c>
      <c r="H1183" s="1">
        <v>-3.56935E-6</v>
      </c>
      <c r="I1183">
        <v>366.68529999999998</v>
      </c>
      <c r="J1183">
        <v>-285.66969999999998</v>
      </c>
      <c r="K1183">
        <v>1.0708299999999999</v>
      </c>
      <c r="L1183">
        <v>367.50889999999998</v>
      </c>
      <c r="M1183">
        <v>0.99991169999999996</v>
      </c>
      <c r="N1183">
        <v>-1.2676659999999999E-2</v>
      </c>
      <c r="O1183">
        <v>4.0016219999999998E-3</v>
      </c>
      <c r="P1183">
        <v>0.99488849999999995</v>
      </c>
      <c r="Q1183">
        <v>-9.9229869999999998E-2</v>
      </c>
      <c r="R1183">
        <v>-1.8722160000000002E-2</v>
      </c>
      <c r="S1183">
        <v>2.9994809999999998</v>
      </c>
      <c r="T1183">
        <v>-0.13979279999999999</v>
      </c>
      <c r="U1183">
        <v>-0.1074219</v>
      </c>
      <c r="V1183">
        <v>2.2700140000000001E-2</v>
      </c>
      <c r="W1183">
        <v>-8.6612019999999998E-2</v>
      </c>
      <c r="X1183">
        <v>0.99598350000000002</v>
      </c>
      <c r="Y1183">
        <v>3.973252E-2</v>
      </c>
      <c r="Z1183">
        <v>-1.3128320000000001E-3</v>
      </c>
      <c r="AA1183">
        <v>0.99920949999999997</v>
      </c>
      <c r="AB1183">
        <v>24</v>
      </c>
      <c r="AC1183">
        <v>22.819199999999899</v>
      </c>
      <c r="AD1183">
        <v>-1.07083356935</v>
      </c>
      <c r="AE1183">
        <v>-0.823599999999999</v>
      </c>
      <c r="AF1183">
        <v>0.91290682503211895</v>
      </c>
      <c r="AG1183">
        <v>-1.07083356935</v>
      </c>
      <c r="AH1183">
        <v>22.765653540607101</v>
      </c>
      <c r="AI1183">
        <v>92.690891068855905</v>
      </c>
      <c r="AJ1183">
        <v>87.703659207423698</v>
      </c>
      <c r="AK1183">
        <v>22.809100476244001</v>
      </c>
      <c r="AL1183">
        <v>94.968728550986299</v>
      </c>
      <c r="AM1183">
        <v>88.694358813071702</v>
      </c>
      <c r="AN1183">
        <v>1.00000003531837</v>
      </c>
    </row>
    <row r="1184" spans="1:40" x14ac:dyDescent="0.25">
      <c r="A1184" t="str">
        <f>"20190303154119241"</f>
        <v>20190303154119241</v>
      </c>
      <c r="B1184" t="str">
        <f>"1551598879230274"</f>
        <v>1551598879230274</v>
      </c>
      <c r="C1184" t="s">
        <v>40</v>
      </c>
      <c r="D1184">
        <v>5.9010590000000001</v>
      </c>
      <c r="E1184">
        <v>0.50685789999999997</v>
      </c>
      <c r="F1184" t="s">
        <v>41</v>
      </c>
      <c r="G1184">
        <v>-262.79739999999998</v>
      </c>
      <c r="H1184" s="1">
        <v>-3.5957480000000002E-6</v>
      </c>
      <c r="I1184">
        <v>366.66480000000001</v>
      </c>
      <c r="J1184">
        <v>-285.49169999999998</v>
      </c>
      <c r="K1184">
        <v>1.070818</v>
      </c>
      <c r="L1184">
        <v>367.50959999999998</v>
      </c>
      <c r="M1184">
        <v>0.9999131</v>
      </c>
      <c r="N1184">
        <v>-1.2561869999999999E-2</v>
      </c>
      <c r="O1184">
        <v>4.0018750000000002E-3</v>
      </c>
      <c r="P1184">
        <v>0.99487320000000001</v>
      </c>
      <c r="Q1184">
        <v>-9.9397819999999998E-2</v>
      </c>
      <c r="R1184">
        <v>-1.8644129999999998E-2</v>
      </c>
      <c r="S1184">
        <v>2.9993289999999999</v>
      </c>
      <c r="T1184">
        <v>-0.1404222</v>
      </c>
      <c r="U1184">
        <v>-0.1106873</v>
      </c>
      <c r="V1184">
        <v>2.2622070000000001E-2</v>
      </c>
      <c r="W1184">
        <v>-8.689442E-2</v>
      </c>
      <c r="X1184">
        <v>0.99596070000000003</v>
      </c>
      <c r="Y1184">
        <v>4.0819069999999999E-2</v>
      </c>
      <c r="Z1184">
        <v>-1.348302E-3</v>
      </c>
      <c r="AA1184">
        <v>0.99916570000000005</v>
      </c>
      <c r="AB1184">
        <v>24</v>
      </c>
      <c r="AC1184">
        <v>22.694299999999998</v>
      </c>
      <c r="AD1184">
        <v>-1.0708215957480001</v>
      </c>
      <c r="AE1184">
        <v>-0.84479999999996302</v>
      </c>
      <c r="AF1184">
        <v>0.93354459605161599</v>
      </c>
      <c r="AG1184">
        <v>-1.0708215957480001</v>
      </c>
      <c r="AH1184">
        <v>22.6404006534618</v>
      </c>
      <c r="AI1184">
        <v>92.7056012248798</v>
      </c>
      <c r="AJ1184">
        <v>87.638827890643995</v>
      </c>
      <c r="AK1184">
        <v>22.684926849166001</v>
      </c>
      <c r="AL1184">
        <v>94.984970003096507</v>
      </c>
      <c r="AM1184">
        <v>88.698817833067295</v>
      </c>
      <c r="AN1184">
        <v>1.0000000571113501</v>
      </c>
    </row>
    <row r="1185" spans="1:40" x14ac:dyDescent="0.25">
      <c r="A1185" t="str">
        <f>"20190303154119262"</f>
        <v>20190303154119262</v>
      </c>
      <c r="B1185" t="str">
        <f>"1551598879250771"</f>
        <v>1551598879250771</v>
      </c>
      <c r="C1185" t="s">
        <v>40</v>
      </c>
      <c r="D1185">
        <v>5.9337910000000003</v>
      </c>
      <c r="E1185">
        <v>0.50740759999999996</v>
      </c>
      <c r="F1185" t="s">
        <v>41</v>
      </c>
      <c r="G1185">
        <v>-262.56700000000001</v>
      </c>
      <c r="H1185" s="1">
        <v>-3.6947969999999999E-6</v>
      </c>
      <c r="I1185">
        <v>366.66359999999997</v>
      </c>
      <c r="J1185">
        <v>-285.25900000000001</v>
      </c>
      <c r="K1185">
        <v>1.0708040000000001</v>
      </c>
      <c r="L1185">
        <v>367.51049999999998</v>
      </c>
      <c r="M1185">
        <v>0.999915</v>
      </c>
      <c r="N1185">
        <v>-1.241629E-2</v>
      </c>
      <c r="O1185">
        <v>4.0020759999999898E-3</v>
      </c>
      <c r="P1185">
        <v>0.99488549999999998</v>
      </c>
      <c r="Q1185">
        <v>-9.9248660000000002E-2</v>
      </c>
      <c r="R1185">
        <v>-1.8792400000000001E-2</v>
      </c>
      <c r="S1185">
        <v>2.9994200000000002</v>
      </c>
      <c r="T1185">
        <v>-0.1401039</v>
      </c>
      <c r="U1185">
        <v>-0.1106873</v>
      </c>
      <c r="V1185">
        <v>2.2770470000000001E-2</v>
      </c>
      <c r="W1185">
        <v>-8.6890149999999999E-2</v>
      </c>
      <c r="X1185">
        <v>0.9959576</v>
      </c>
      <c r="Y1185">
        <v>4.0818519999999997E-2</v>
      </c>
      <c r="Z1185">
        <v>-1.343279E-3</v>
      </c>
      <c r="AA1185">
        <v>0.99916570000000005</v>
      </c>
      <c r="AB1185">
        <v>24</v>
      </c>
      <c r="AC1185">
        <v>22.692</v>
      </c>
      <c r="AD1185">
        <v>-1.070807694797</v>
      </c>
      <c r="AE1185">
        <v>-0.84690000000000498</v>
      </c>
      <c r="AF1185">
        <v>0.93563476249190303</v>
      </c>
      <c r="AG1185">
        <v>-1.070807694797</v>
      </c>
      <c r="AH1185">
        <v>22.638088690656101</v>
      </c>
      <c r="AI1185">
        <v>92.705831305716202</v>
      </c>
      <c r="AJ1185">
        <v>87.633305926474193</v>
      </c>
      <c r="AK1185">
        <v>22.682704889277002</v>
      </c>
      <c r="AL1185">
        <v>94.984724872915294</v>
      </c>
      <c r="AM1185">
        <v>88.690281011124299</v>
      </c>
      <c r="AN1185">
        <v>0.99999996673440095</v>
      </c>
    </row>
    <row r="1186" spans="1:40" x14ac:dyDescent="0.25">
      <c r="A1186" t="str">
        <f>"20190303154119275"</f>
        <v>20190303154119275</v>
      </c>
      <c r="B1186" t="str">
        <f>"1551598879270290"</f>
        <v>1551598879270290</v>
      </c>
      <c r="C1186" t="s">
        <v>40</v>
      </c>
      <c r="D1186">
        <v>5.8876540000000004</v>
      </c>
      <c r="E1186">
        <v>0.50765400000000005</v>
      </c>
      <c r="F1186" t="s">
        <v>41</v>
      </c>
      <c r="G1186">
        <v>-262.22949999999997</v>
      </c>
      <c r="H1186" s="1">
        <v>-3.8468909999999999E-6</v>
      </c>
      <c r="I1186">
        <v>366.62240000000003</v>
      </c>
      <c r="J1186">
        <v>-285.11450000000002</v>
      </c>
      <c r="K1186">
        <v>1.070797</v>
      </c>
      <c r="L1186">
        <v>367.5111</v>
      </c>
      <c r="M1186">
        <v>0.99991600000000003</v>
      </c>
      <c r="N1186">
        <v>-1.232831E-2</v>
      </c>
      <c r="O1186">
        <v>4.002327E-3</v>
      </c>
      <c r="P1186">
        <v>0.99485380000000001</v>
      </c>
      <c r="Q1186">
        <v>-9.9549380000000007E-2</v>
      </c>
      <c r="R1186">
        <v>-1.8865010000000001E-2</v>
      </c>
      <c r="S1186">
        <v>2.9993289999999999</v>
      </c>
      <c r="T1186">
        <v>-0.1394601</v>
      </c>
      <c r="U1186">
        <v>-0.1156616</v>
      </c>
      <c r="V1186">
        <v>2.2843470000000001E-2</v>
      </c>
      <c r="W1186">
        <v>-8.7278880000000003E-2</v>
      </c>
      <c r="X1186">
        <v>0.99592199999999997</v>
      </c>
      <c r="Y1186">
        <v>4.2472879999999998E-2</v>
      </c>
      <c r="Z1186">
        <v>-1.385254E-3</v>
      </c>
      <c r="AA1186">
        <v>0.9990966</v>
      </c>
      <c r="AB1186">
        <v>24</v>
      </c>
      <c r="AC1186">
        <v>22.885000000000002</v>
      </c>
      <c r="AD1186">
        <v>-1.070800846891</v>
      </c>
      <c r="AE1186">
        <v>-0.88869999999997096</v>
      </c>
      <c r="AF1186">
        <v>0.97815479463735</v>
      </c>
      <c r="AG1186">
        <v>-1.070800846891</v>
      </c>
      <c r="AH1186">
        <v>22.831348948538899</v>
      </c>
      <c r="AI1186">
        <v>92.682773534371293</v>
      </c>
      <c r="AJ1186">
        <v>87.546798930059694</v>
      </c>
      <c r="AK1186">
        <v>22.877366458268799</v>
      </c>
      <c r="AL1186">
        <v>95.007082089745495</v>
      </c>
      <c r="AM1186">
        <v>88.686036693451499</v>
      </c>
      <c r="AN1186">
        <v>1.00000002854984</v>
      </c>
    </row>
    <row r="1187" spans="1:40" x14ac:dyDescent="0.25">
      <c r="A1187" t="str">
        <f>"20190303154119288"</f>
        <v>20190303154119288</v>
      </c>
      <c r="B1187" t="str">
        <f>"1551598879280050"</f>
        <v>1551598879280050</v>
      </c>
      <c r="C1187" t="s">
        <v>40</v>
      </c>
      <c r="D1187">
        <v>5.926005</v>
      </c>
      <c r="E1187">
        <v>0.50773639999999998</v>
      </c>
      <c r="F1187" t="s">
        <v>41</v>
      </c>
      <c r="G1187">
        <v>-262.17110000000002</v>
      </c>
      <c r="H1187" s="1">
        <v>-3.8739899999999998E-6</v>
      </c>
      <c r="I1187">
        <v>366.61110000000002</v>
      </c>
      <c r="J1187">
        <v>-284.97930000000002</v>
      </c>
      <c r="K1187">
        <v>1.070783</v>
      </c>
      <c r="L1187">
        <v>367.51159999999999</v>
      </c>
      <c r="M1187">
        <v>0.99991699999999994</v>
      </c>
      <c r="N1187">
        <v>-1.2249589999999999E-2</v>
      </c>
      <c r="O1187">
        <v>4.0024570000000001E-3</v>
      </c>
      <c r="P1187">
        <v>0.99484280000000003</v>
      </c>
      <c r="Q1187">
        <v>-9.9591600000000002E-2</v>
      </c>
      <c r="R1187">
        <v>-1.9218639999999999E-2</v>
      </c>
      <c r="S1187">
        <v>2.9992679999999998</v>
      </c>
      <c r="T1187">
        <v>-0.139979399999999</v>
      </c>
      <c r="U1187">
        <v>-0.11764529999999999</v>
      </c>
      <c r="V1187">
        <v>2.3197039999999999E-2</v>
      </c>
      <c r="W1187">
        <v>-8.7399660000000004E-2</v>
      </c>
      <c r="X1187">
        <v>0.99590319999999999</v>
      </c>
      <c r="Y1187">
        <v>4.3132320000000002E-2</v>
      </c>
      <c r="Z1187">
        <v>-1.4076920000000001E-3</v>
      </c>
      <c r="AA1187">
        <v>0.99906839999999997</v>
      </c>
      <c r="AB1187">
        <v>24</v>
      </c>
      <c r="AC1187">
        <v>22.808199999999999</v>
      </c>
      <c r="AD1187">
        <v>-1.0707868739899999</v>
      </c>
      <c r="AE1187">
        <v>-0.900499999999965</v>
      </c>
      <c r="AF1187">
        <v>0.98961070209695001</v>
      </c>
      <c r="AG1187">
        <v>-1.0707868739899999</v>
      </c>
      <c r="AH1187">
        <v>22.7543388516258</v>
      </c>
      <c r="AI1187">
        <v>92.691729646594993</v>
      </c>
      <c r="AJ1187">
        <v>87.509714156186803</v>
      </c>
      <c r="AK1187">
        <v>22.801005470062599</v>
      </c>
      <c r="AL1187">
        <v>95.014028996047799</v>
      </c>
      <c r="AM1187">
        <v>88.665681357437506</v>
      </c>
      <c r="AN1187">
        <v>0.99999999350155799</v>
      </c>
    </row>
    <row r="1188" spans="1:40" x14ac:dyDescent="0.25">
      <c r="A1188" t="str">
        <f>"20190303154119302"</f>
        <v>20190303154119302</v>
      </c>
      <c r="B1188" t="str">
        <f>"1551598879290317"</f>
        <v>1551598879290317</v>
      </c>
      <c r="C1188" t="s">
        <v>40</v>
      </c>
      <c r="D1188">
        <v>5.9122269999999997</v>
      </c>
      <c r="E1188">
        <v>0.50778509999999999</v>
      </c>
      <c r="F1188" t="s">
        <v>41</v>
      </c>
      <c r="G1188">
        <v>-262.09050000000002</v>
      </c>
      <c r="H1188" s="1">
        <v>-3.9105220000000003E-6</v>
      </c>
      <c r="I1188">
        <v>366.6</v>
      </c>
      <c r="J1188">
        <v>-284.84190000000001</v>
      </c>
      <c r="K1188">
        <v>1.070778</v>
      </c>
      <c r="L1188">
        <v>367.51220000000001</v>
      </c>
      <c r="M1188">
        <v>0.99991799999999997</v>
      </c>
      <c r="N1188">
        <v>-1.216862E-2</v>
      </c>
      <c r="O1188">
        <v>4.0025970000000001E-3</v>
      </c>
      <c r="P1188">
        <v>0.99480559999999996</v>
      </c>
      <c r="Q1188">
        <v>-9.9982070000000006E-2</v>
      </c>
      <c r="R1188">
        <v>-1.9123959999999999E-2</v>
      </c>
      <c r="S1188">
        <v>2.9991759999999998</v>
      </c>
      <c r="T1188">
        <v>-0.14030709999999999</v>
      </c>
      <c r="U1188">
        <v>-0.1194458</v>
      </c>
      <c r="V1188">
        <v>2.3102549999999999E-2</v>
      </c>
      <c r="W1188">
        <v>-8.7871190000000002E-2</v>
      </c>
      <c r="X1188">
        <v>0.99586390000000002</v>
      </c>
      <c r="Y1188">
        <v>4.3731470000000001E-2</v>
      </c>
      <c r="Z1188">
        <v>-1.4267380000000001E-3</v>
      </c>
      <c r="AA1188">
        <v>0.99904230000000005</v>
      </c>
      <c r="AB1188">
        <v>24</v>
      </c>
      <c r="AC1188">
        <v>22.751399999999901</v>
      </c>
      <c r="AD1188">
        <v>-1.070781910522</v>
      </c>
      <c r="AE1188">
        <v>-0.91219999999998402</v>
      </c>
      <c r="AF1188">
        <v>1.0010502863103099</v>
      </c>
      <c r="AG1188">
        <v>-1.070781910522</v>
      </c>
      <c r="AH1188">
        <v>22.697370903313399</v>
      </c>
      <c r="AI1188">
        <v>92.698390912820201</v>
      </c>
      <c r="AJ1188">
        <v>87.4746497830767</v>
      </c>
      <c r="AK1188">
        <v>22.744654789602698</v>
      </c>
      <c r="AL1188">
        <v>95.041150035156605</v>
      </c>
      <c r="AM1188">
        <v>88.6710621474232</v>
      </c>
      <c r="AN1188">
        <v>0.99999999058586397</v>
      </c>
    </row>
    <row r="1189" spans="1:40" x14ac:dyDescent="0.25">
      <c r="A1189" t="str">
        <f>"20190303154119314"</f>
        <v>20190303154119314</v>
      </c>
      <c r="B1189" t="str">
        <f>"1551598879310813"</f>
        <v>1551598879310813</v>
      </c>
      <c r="C1189" t="s">
        <v>40</v>
      </c>
      <c r="D1189">
        <v>5.9263729999999999</v>
      </c>
      <c r="E1189">
        <v>0.50793310000000003</v>
      </c>
      <c r="F1189" t="s">
        <v>41</v>
      </c>
      <c r="G1189">
        <v>-262.12569999999999</v>
      </c>
      <c r="H1189" s="1">
        <v>-3.8941129999999901E-6</v>
      </c>
      <c r="I1189">
        <v>366.60719999999998</v>
      </c>
      <c r="J1189">
        <v>-284.69560000000001</v>
      </c>
      <c r="K1189">
        <v>1.0707739999999999</v>
      </c>
      <c r="L1189">
        <v>367.51280000000003</v>
      </c>
      <c r="M1189">
        <v>0.999919</v>
      </c>
      <c r="N1189">
        <v>-1.2081069999999999E-2</v>
      </c>
      <c r="O1189">
        <v>4.0028340000000003E-3</v>
      </c>
      <c r="P1189">
        <v>0.99481419999999998</v>
      </c>
      <c r="Q1189">
        <v>-9.9864590000000003E-2</v>
      </c>
      <c r="R1189">
        <v>-1.9289810000000001E-2</v>
      </c>
      <c r="S1189">
        <v>2.9991460000000001</v>
      </c>
      <c r="T1189">
        <v>-0.14137179999999999</v>
      </c>
      <c r="U1189">
        <v>-0.11947629999999999</v>
      </c>
      <c r="V1189">
        <v>2.3268540000000001E-2</v>
      </c>
      <c r="W1189">
        <v>-8.784082E-2</v>
      </c>
      <c r="X1189">
        <v>0.99586269999999999</v>
      </c>
      <c r="Y1189">
        <v>4.3741429999999998E-2</v>
      </c>
      <c r="Z1189">
        <v>-1.434655E-3</v>
      </c>
      <c r="AA1189">
        <v>0.99904190000000004</v>
      </c>
      <c r="AB1189">
        <v>24</v>
      </c>
      <c r="AC1189">
        <v>22.569900000000001</v>
      </c>
      <c r="AD1189">
        <v>-1.070777894113</v>
      </c>
      <c r="AE1189">
        <v>-0.90560000000004903</v>
      </c>
      <c r="AF1189">
        <v>0.99370984095638804</v>
      </c>
      <c r="AG1189">
        <v>-1.070777894113</v>
      </c>
      <c r="AH1189">
        <v>22.5154971985848</v>
      </c>
      <c r="AI1189">
        <v>92.720141326112696</v>
      </c>
      <c r="AJ1189">
        <v>87.472920302570202</v>
      </c>
      <c r="AK1189">
        <v>22.562837557497399</v>
      </c>
      <c r="AL1189">
        <v>95.039403281697105</v>
      </c>
      <c r="AM1189">
        <v>88.661515682605994</v>
      </c>
      <c r="AN1189">
        <v>0.99999997593164602</v>
      </c>
    </row>
    <row r="1190" spans="1:40" x14ac:dyDescent="0.25">
      <c r="A1190" t="str">
        <f>"20190303154119330"</f>
        <v>20190303154119330</v>
      </c>
      <c r="B1190" t="str">
        <f>"1551598879320573"</f>
        <v>1551598879320573</v>
      </c>
      <c r="C1190" t="s">
        <v>40</v>
      </c>
      <c r="D1190">
        <v>5.9467679999999996</v>
      </c>
      <c r="E1190">
        <v>0.50800679999999998</v>
      </c>
      <c r="F1190" t="s">
        <v>41</v>
      </c>
      <c r="G1190">
        <v>-261.99149999999997</v>
      </c>
      <c r="H1190" s="1">
        <v>-3.9535530000000003E-6</v>
      </c>
      <c r="I1190">
        <v>366.5967</v>
      </c>
      <c r="J1190">
        <v>-284.53820000000002</v>
      </c>
      <c r="K1190">
        <v>1.0707629999999999</v>
      </c>
      <c r="L1190">
        <v>367.51339999999999</v>
      </c>
      <c r="M1190">
        <v>0.99992029999999998</v>
      </c>
      <c r="N1190">
        <v>-1.197992E-2</v>
      </c>
      <c r="O1190">
        <v>4.0029100000000001E-3</v>
      </c>
      <c r="P1190">
        <v>0.99478549999999999</v>
      </c>
      <c r="Q1190">
        <v>-0.1000931</v>
      </c>
      <c r="R1190">
        <v>-1.957623E-2</v>
      </c>
      <c r="S1190">
        <v>2.9990839999999999</v>
      </c>
      <c r="T1190">
        <v>-0.1414436</v>
      </c>
      <c r="U1190">
        <v>-0.1210022</v>
      </c>
      <c r="V1190">
        <v>2.355492E-2</v>
      </c>
      <c r="W1190">
        <v>-8.8170449999999997E-2</v>
      </c>
      <c r="X1190">
        <v>0.99582680000000001</v>
      </c>
      <c r="Y1190">
        <v>4.4249120000000003E-2</v>
      </c>
      <c r="Z1190">
        <v>-1.4484859999999999E-3</v>
      </c>
      <c r="AA1190">
        <v>0.99901949999999995</v>
      </c>
      <c r="AB1190">
        <v>24</v>
      </c>
      <c r="AC1190">
        <v>22.546700000000001</v>
      </c>
      <c r="AD1190">
        <v>-1.070766953553</v>
      </c>
      <c r="AE1190">
        <v>-0.91669999999999097</v>
      </c>
      <c r="AF1190">
        <v>1.00468929743899</v>
      </c>
      <c r="AG1190">
        <v>-1.070766953553</v>
      </c>
      <c r="AH1190">
        <v>22.492204365211801</v>
      </c>
      <c r="AI1190">
        <v>92.722861957327197</v>
      </c>
      <c r="AJ1190">
        <v>87.442393108929096</v>
      </c>
      <c r="AK1190">
        <v>22.540079850339001</v>
      </c>
      <c r="AL1190">
        <v>95.058363442208602</v>
      </c>
      <c r="AM1190">
        <v>88.644999421717102</v>
      </c>
      <c r="AN1190">
        <v>0.99999993905382201</v>
      </c>
    </row>
    <row r="1191" spans="1:40" x14ac:dyDescent="0.25">
      <c r="A1191" t="str">
        <f>"20190303154119344"</f>
        <v>20190303154119344</v>
      </c>
      <c r="B1191" t="str">
        <f>"1551598879340093"</f>
        <v>1551598879340093</v>
      </c>
      <c r="C1191" t="s">
        <v>40</v>
      </c>
      <c r="D1191">
        <v>5.9518589999999998</v>
      </c>
      <c r="E1191">
        <v>0.50806359999999995</v>
      </c>
      <c r="F1191" t="s">
        <v>41</v>
      </c>
      <c r="G1191">
        <v>-261.85849999999999</v>
      </c>
      <c r="H1191" s="1">
        <v>-4.0125729999999998E-6</v>
      </c>
      <c r="I1191">
        <v>366.5856</v>
      </c>
      <c r="J1191">
        <v>-284.37349999999998</v>
      </c>
      <c r="K1191">
        <v>1.070751</v>
      </c>
      <c r="L1191">
        <v>367.51400000000001</v>
      </c>
      <c r="M1191">
        <v>0.99992159999999997</v>
      </c>
      <c r="N1191">
        <v>-1.186545E-2</v>
      </c>
      <c r="O1191">
        <v>4.0031210000000001E-3</v>
      </c>
      <c r="P1191">
        <v>0.99478940000000005</v>
      </c>
      <c r="Q1191">
        <v>-0.1000506</v>
      </c>
      <c r="R1191">
        <v>-1.9600909999999999E-2</v>
      </c>
      <c r="S1191">
        <v>2.9990540000000001</v>
      </c>
      <c r="T1191">
        <v>-0.14159289999999999</v>
      </c>
      <c r="U1191">
        <v>-0.1226807</v>
      </c>
      <c r="V1191">
        <v>2.357975E-2</v>
      </c>
      <c r="W1191">
        <v>-8.8241849999999997E-2</v>
      </c>
      <c r="X1191">
        <v>0.99581989999999998</v>
      </c>
      <c r="Y1191">
        <v>4.4807119999999999E-2</v>
      </c>
      <c r="Z1191">
        <v>-1.4641890000000001E-3</v>
      </c>
      <c r="AA1191">
        <v>0.99899459999999995</v>
      </c>
      <c r="AB1191">
        <v>24</v>
      </c>
      <c r="AC1191">
        <v>22.514999999999901</v>
      </c>
      <c r="AD1191">
        <v>-1.0707550125730001</v>
      </c>
      <c r="AE1191">
        <v>-0.92840000000001</v>
      </c>
      <c r="AF1191">
        <v>1.01623465031079</v>
      </c>
      <c r="AG1191">
        <v>-1.0707550125730001</v>
      </c>
      <c r="AH1191">
        <v>22.460390220001699</v>
      </c>
      <c r="AI1191">
        <v>92.726612074440595</v>
      </c>
      <c r="AJ1191">
        <v>87.409382835464299</v>
      </c>
      <c r="AK1191">
        <v>22.508851103425702</v>
      </c>
      <c r="AL1191">
        <v>95.062470308450997</v>
      </c>
      <c r="AM1191">
        <v>88.643562210176796</v>
      </c>
      <c r="AN1191">
        <v>0.99999995096874605</v>
      </c>
    </row>
    <row r="1192" spans="1:40" x14ac:dyDescent="0.25">
      <c r="A1192" t="str">
        <f>"20190303154119361"</f>
        <v>20190303154119361</v>
      </c>
      <c r="B1192" t="str">
        <f>"1551598879350829"</f>
        <v>1551598879350829</v>
      </c>
      <c r="C1192" t="s">
        <v>40</v>
      </c>
      <c r="D1192">
        <v>5.943308</v>
      </c>
      <c r="E1192">
        <v>0.50804970000000005</v>
      </c>
      <c r="F1192" t="s">
        <v>41</v>
      </c>
      <c r="G1192">
        <v>-261.61500000000001</v>
      </c>
      <c r="H1192" s="1">
        <v>-4.1181169999999901E-6</v>
      </c>
      <c r="I1192">
        <v>366.57960000000003</v>
      </c>
      <c r="J1192">
        <v>-284.19869999999997</v>
      </c>
      <c r="K1192">
        <v>1.0707329999999999</v>
      </c>
      <c r="L1192">
        <v>367.51479999999998</v>
      </c>
      <c r="M1192">
        <v>0.99992320000000001</v>
      </c>
      <c r="N1192">
        <v>-1.1732060000000001E-2</v>
      </c>
      <c r="O1192">
        <v>4.0031980000000003E-3</v>
      </c>
      <c r="P1192">
        <v>0.99483259999999996</v>
      </c>
      <c r="Q1192">
        <v>-9.968051E-2</v>
      </c>
      <c r="R1192">
        <v>-1.9289850000000001E-2</v>
      </c>
      <c r="S1192">
        <v>2.9990540000000001</v>
      </c>
      <c r="T1192">
        <v>-0.141100799999999</v>
      </c>
      <c r="U1192">
        <v>-0.1231384</v>
      </c>
      <c r="V1192">
        <v>2.326899E-2</v>
      </c>
      <c r="W1192">
        <v>-8.800413E-2</v>
      </c>
      <c r="X1192">
        <v>0.99584830000000002</v>
      </c>
      <c r="Y1192">
        <v>4.4959739999999998E-2</v>
      </c>
      <c r="Z1192">
        <v>-1.4618879999999999E-3</v>
      </c>
      <c r="AA1192">
        <v>0.99898770000000003</v>
      </c>
      <c r="AB1192">
        <v>24</v>
      </c>
      <c r="AC1192">
        <v>22.583699999999901</v>
      </c>
      <c r="AD1192">
        <v>-1.070737118117</v>
      </c>
      <c r="AE1192">
        <v>-0.93519999999995196</v>
      </c>
      <c r="AF1192">
        <v>1.0233093956558399</v>
      </c>
      <c r="AG1192">
        <v>-1.070737118117</v>
      </c>
      <c r="AH1192">
        <v>22.5292184034817</v>
      </c>
      <c r="AI1192">
        <v>92.718227669576507</v>
      </c>
      <c r="AJ1192">
        <v>87.399331063545503</v>
      </c>
      <c r="AK1192">
        <v>22.577850251233599</v>
      </c>
      <c r="AL1192">
        <v>95.048796487491003</v>
      </c>
      <c r="AM1192">
        <v>88.661470458655302</v>
      </c>
      <c r="AN1192">
        <v>1.0000000047027799</v>
      </c>
    </row>
    <row r="1193" spans="1:40" x14ac:dyDescent="0.25">
      <c r="A1193" t="str">
        <f>"20190303154119374"</f>
        <v>20190303154119374</v>
      </c>
      <c r="B1193" t="str">
        <f>"1551598879370351"</f>
        <v>1551598879370351</v>
      </c>
      <c r="C1193" t="s">
        <v>40</v>
      </c>
      <c r="D1193">
        <v>5.9628610000000002</v>
      </c>
      <c r="E1193">
        <v>0.50803489999999996</v>
      </c>
      <c r="F1193" t="s">
        <v>41</v>
      </c>
      <c r="G1193">
        <v>-261.26530000000002</v>
      </c>
      <c r="H1193" s="1">
        <v>-4.2677970000000002E-6</v>
      </c>
      <c r="I1193">
        <v>366.58150000000001</v>
      </c>
      <c r="J1193">
        <v>-284.05700000000002</v>
      </c>
      <c r="K1193">
        <v>1.0707120000000001</v>
      </c>
      <c r="L1193">
        <v>367.51530000000002</v>
      </c>
      <c r="M1193">
        <v>0.99992460000000005</v>
      </c>
      <c r="N1193">
        <v>-1.161414E-2</v>
      </c>
      <c r="O1193">
        <v>4.0032359999999899E-3</v>
      </c>
      <c r="P1193">
        <v>0.9948785</v>
      </c>
      <c r="Q1193">
        <v>-9.9258970000000002E-2</v>
      </c>
      <c r="R1193">
        <v>-1.9096220000000001E-2</v>
      </c>
      <c r="S1193">
        <v>2.9991150000000002</v>
      </c>
      <c r="T1193">
        <v>-0.14002529999999999</v>
      </c>
      <c r="U1193">
        <v>-0.1220398</v>
      </c>
      <c r="V1193">
        <v>2.307565E-2</v>
      </c>
      <c r="W1193">
        <v>-8.7699509999999994E-2</v>
      </c>
      <c r="X1193">
        <v>0.99587969999999904</v>
      </c>
      <c r="Y1193">
        <v>4.4595099999999999E-2</v>
      </c>
      <c r="Z1193">
        <v>-1.439584E-3</v>
      </c>
      <c r="AA1193">
        <v>0.99900409999999995</v>
      </c>
      <c r="AB1193">
        <v>24</v>
      </c>
      <c r="AC1193">
        <v>22.791699999999899</v>
      </c>
      <c r="AD1193">
        <v>-1.0707162677969999</v>
      </c>
      <c r="AE1193">
        <v>-0.93380000000001895</v>
      </c>
      <c r="AF1193">
        <v>1.0227857500189199</v>
      </c>
      <c r="AG1193">
        <v>-1.0707162677969999</v>
      </c>
      <c r="AH1193">
        <v>22.7376817085791</v>
      </c>
      <c r="AI1193">
        <v>92.693344260983096</v>
      </c>
      <c r="AJ1193">
        <v>87.424459041455606</v>
      </c>
      <c r="AK1193">
        <v>22.785844147128302</v>
      </c>
      <c r="AL1193">
        <v>95.031275158312397</v>
      </c>
      <c r="AM1193">
        <v>88.672630025687397</v>
      </c>
      <c r="AN1193">
        <v>1.0000000332746199</v>
      </c>
    </row>
    <row r="1194" spans="1:40" x14ac:dyDescent="0.25">
      <c r="A1194" t="str">
        <f>"20190303154119396"</f>
        <v>20190303154119396</v>
      </c>
      <c r="B1194" t="str">
        <f>"1551598879390167"</f>
        <v>1551598879390167</v>
      </c>
      <c r="C1194" t="s">
        <v>40</v>
      </c>
      <c r="D1194">
        <v>5.9506069999999998</v>
      </c>
      <c r="E1194">
        <v>0.51001540000000001</v>
      </c>
      <c r="F1194" t="s">
        <v>41</v>
      </c>
      <c r="G1194">
        <v>-261.06209999999999</v>
      </c>
      <c r="H1194" s="1">
        <v>-4.354293E-6</v>
      </c>
      <c r="I1194">
        <v>366.58519999999999</v>
      </c>
      <c r="J1194">
        <v>-283.82549999999998</v>
      </c>
      <c r="K1194">
        <v>1.070681</v>
      </c>
      <c r="L1194">
        <v>367.51620000000003</v>
      </c>
      <c r="M1194">
        <v>0.99992700000000001</v>
      </c>
      <c r="N1194">
        <v>-1.1401130000000001E-2</v>
      </c>
      <c r="O1194">
        <v>4.003815E-3</v>
      </c>
      <c r="P1194">
        <v>0.99492000000000003</v>
      </c>
      <c r="Q1194">
        <v>-9.8924250000000005E-2</v>
      </c>
      <c r="R1194">
        <v>-1.8670269999999999E-2</v>
      </c>
      <c r="S1194">
        <v>2.9992070000000002</v>
      </c>
      <c r="T1194">
        <v>-0.13965259999999999</v>
      </c>
      <c r="U1194">
        <v>-0.121307399999999</v>
      </c>
      <c r="V1194">
        <v>2.2650389999999999E-2</v>
      </c>
      <c r="W1194">
        <v>-8.7576429999999997E-2</v>
      </c>
      <c r="X1194">
        <v>0.99590029999999996</v>
      </c>
      <c r="Y1194">
        <v>4.4351700000000001E-2</v>
      </c>
      <c r="Z1194">
        <v>-1.4253549999999999E-3</v>
      </c>
      <c r="AA1194">
        <v>0.99901499999999999</v>
      </c>
      <c r="AB1194">
        <v>24</v>
      </c>
      <c r="AC1194">
        <v>22.763399999999901</v>
      </c>
      <c r="AD1194">
        <v>-1.0706853542929999</v>
      </c>
      <c r="AE1194">
        <v>-0.93100000000004002</v>
      </c>
      <c r="AF1194">
        <v>1.01988634728413</v>
      </c>
      <c r="AG1194">
        <v>-1.0706853542929999</v>
      </c>
      <c r="AH1194">
        <v>22.709333137502</v>
      </c>
      <c r="AI1194">
        <v>92.696632357947095</v>
      </c>
      <c r="AJ1194">
        <v>87.428548716634594</v>
      </c>
      <c r="AK1194">
        <v>22.757423993926</v>
      </c>
      <c r="AL1194">
        <v>95.024195925148504</v>
      </c>
      <c r="AM1194">
        <v>88.697110490471204</v>
      </c>
      <c r="AN1194">
        <v>1.00000003939939</v>
      </c>
    </row>
    <row r="1195" spans="1:40" x14ac:dyDescent="0.25">
      <c r="A1195" t="str">
        <f>"20190303154119407"</f>
        <v>20190303154119407</v>
      </c>
      <c r="B1195" t="str">
        <f>"1551598879400903"</f>
        <v>1551598879400903</v>
      </c>
      <c r="C1195" t="s">
        <v>40</v>
      </c>
      <c r="D1195">
        <v>5.9782609999999998</v>
      </c>
      <c r="E1195">
        <v>0.51312380000000002</v>
      </c>
      <c r="F1195" t="s">
        <v>42</v>
      </c>
      <c r="G1195">
        <v>-283.10270000000003</v>
      </c>
      <c r="H1195">
        <v>0.97923870000000002</v>
      </c>
      <c r="I1195">
        <v>367.48309999999998</v>
      </c>
      <c r="J1195">
        <v>-283.69409999999999</v>
      </c>
      <c r="K1195">
        <v>1.070662</v>
      </c>
      <c r="L1195">
        <v>367.51679999999999</v>
      </c>
      <c r="M1195">
        <v>0.9999285</v>
      </c>
      <c r="N1195">
        <v>-1.1268200000000001E-2</v>
      </c>
      <c r="O1195">
        <v>4.0040370000000002E-3</v>
      </c>
      <c r="P1195">
        <v>0.9949479</v>
      </c>
      <c r="Q1195">
        <v>-9.8731879999999994E-2</v>
      </c>
      <c r="R1195">
        <v>-1.818879E-2</v>
      </c>
      <c r="S1195">
        <v>2.9753419999999999</v>
      </c>
      <c r="T1195">
        <v>-0.3765154</v>
      </c>
      <c r="U1195">
        <v>-0.1361694</v>
      </c>
      <c r="V1195">
        <v>2.2169290000000001E-2</v>
      </c>
      <c r="W1195">
        <v>-8.7516099999999999E-2</v>
      </c>
      <c r="X1195">
        <v>0.99591640000000003</v>
      </c>
      <c r="Y1195">
        <v>4.9264080000000002E-2</v>
      </c>
      <c r="Z1195">
        <v>-3.8414920000000002E-3</v>
      </c>
      <c r="AA1195">
        <v>0.99877839999999996</v>
      </c>
      <c r="AB1195">
        <v>24</v>
      </c>
      <c r="AC1195">
        <v>0.59139999999996395</v>
      </c>
      <c r="AD1195">
        <v>-9.1423300000000096E-2</v>
      </c>
      <c r="AE1195">
        <v>-3.3700000000010201E-2</v>
      </c>
      <c r="AF1195">
        <v>3.52287167626186E-2</v>
      </c>
      <c r="AG1195">
        <v>-9.1423300000000096E-2</v>
      </c>
      <c r="AH1195">
        <v>0.57750411927968603</v>
      </c>
      <c r="AI1195">
        <v>98.9792872609151</v>
      </c>
      <c r="AJ1195">
        <v>86.509187381295604</v>
      </c>
      <c r="AK1195">
        <v>0.58575616945332898</v>
      </c>
      <c r="AL1195">
        <v>95.020726093322693</v>
      </c>
      <c r="AM1195">
        <v>88.724795563654794</v>
      </c>
      <c r="AN1195">
        <v>1.00000001048363</v>
      </c>
    </row>
    <row r="1196" spans="1:40" x14ac:dyDescent="0.25">
      <c r="A1196" t="str">
        <f>"20190303154119420"</f>
        <v>20190303154119420</v>
      </c>
      <c r="B1196" t="str">
        <f>"1551598879410664"</f>
        <v>1551598879410664</v>
      </c>
      <c r="C1196" t="s">
        <v>40</v>
      </c>
      <c r="D1196">
        <v>6.1374630000000003</v>
      </c>
      <c r="E1196">
        <v>0.51312380000000002</v>
      </c>
      <c r="F1196" t="s">
        <v>42</v>
      </c>
      <c r="G1196">
        <v>-282.89780000000002</v>
      </c>
      <c r="H1196">
        <v>0.95670630000000001</v>
      </c>
      <c r="I1196">
        <v>367.47379999999998</v>
      </c>
      <c r="J1196">
        <v>-283.5684</v>
      </c>
      <c r="K1196">
        <v>1.070641</v>
      </c>
      <c r="L1196">
        <v>367.5172</v>
      </c>
      <c r="M1196">
        <v>0.99993010000000004</v>
      </c>
      <c r="N1196">
        <v>-1.113858E-2</v>
      </c>
      <c r="O1196">
        <v>4.0042919999999996E-3</v>
      </c>
      <c r="P1196">
        <v>0.99493489999999996</v>
      </c>
      <c r="Q1196">
        <v>-9.8848610000000003E-2</v>
      </c>
      <c r="R1196">
        <v>-1.8270339999999999E-2</v>
      </c>
      <c r="S1196">
        <v>2.970154</v>
      </c>
      <c r="T1196">
        <v>-0.42525839999999998</v>
      </c>
      <c r="U1196">
        <v>-0.15924070000000001</v>
      </c>
      <c r="V1196">
        <v>2.2250929999999999E-2</v>
      </c>
      <c r="W1196">
        <v>-8.7762090000000001E-2</v>
      </c>
      <c r="X1196">
        <v>0.99589289999999997</v>
      </c>
      <c r="Y1196">
        <v>5.6876509999999998E-2</v>
      </c>
      <c r="Z1196">
        <v>-4.8925829999999998E-3</v>
      </c>
      <c r="AA1196">
        <v>0.99836919999999996</v>
      </c>
      <c r="AB1196">
        <v>24</v>
      </c>
      <c r="AC1196">
        <v>0.67059999999997899</v>
      </c>
      <c r="AD1196">
        <v>-0.113934699999999</v>
      </c>
      <c r="AE1196">
        <v>-4.3400000000019603E-2</v>
      </c>
      <c r="AF1196">
        <v>4.4797373958865697E-2</v>
      </c>
      <c r="AG1196">
        <v>-0.113934699999999</v>
      </c>
      <c r="AH1196">
        <v>0.65168774272617103</v>
      </c>
      <c r="AI1196">
        <v>99.893920478605096</v>
      </c>
      <c r="AJ1196">
        <v>86.067642617732801</v>
      </c>
      <c r="AK1196">
        <v>0.663087350653918</v>
      </c>
      <c r="AL1196">
        <v>95.034874884268007</v>
      </c>
      <c r="AM1196">
        <v>88.720070899477605</v>
      </c>
      <c r="AN1196">
        <v>0.999999978298721</v>
      </c>
    </row>
    <row r="1197" spans="1:40" x14ac:dyDescent="0.25">
      <c r="A1197" t="str">
        <f>"20190303154119432"</f>
        <v>20190303154119432</v>
      </c>
      <c r="B1197" t="str">
        <f>"1551598879420424"</f>
        <v>1551598879420424</v>
      </c>
      <c r="C1197" t="s">
        <v>40</v>
      </c>
      <c r="D1197">
        <v>6.0145679999999997</v>
      </c>
      <c r="E1197">
        <v>0.52014269999999996</v>
      </c>
      <c r="F1197" t="s">
        <v>42</v>
      </c>
      <c r="G1197">
        <v>-282.68729999999999</v>
      </c>
      <c r="H1197">
        <v>0.9444091</v>
      </c>
      <c r="I1197">
        <v>367.46969999999999</v>
      </c>
      <c r="J1197">
        <v>-283.42759999999998</v>
      </c>
      <c r="K1197">
        <v>1.0706169999999999</v>
      </c>
      <c r="L1197">
        <v>367.51780000000002</v>
      </c>
      <c r="M1197">
        <v>0.99993160000000003</v>
      </c>
      <c r="N1197">
        <v>-1.098736E-2</v>
      </c>
      <c r="O1197">
        <v>4.004479E-3</v>
      </c>
      <c r="P1197">
        <v>0.99494959999999999</v>
      </c>
      <c r="Q1197">
        <v>-9.874521E-2</v>
      </c>
      <c r="R1197">
        <v>-1.8021220000000001E-2</v>
      </c>
      <c r="S1197">
        <v>2.9700929999999999</v>
      </c>
      <c r="T1197">
        <v>-0.42560360000000003</v>
      </c>
      <c r="U1197">
        <v>-0.1595154</v>
      </c>
      <c r="V1197">
        <v>2.20021E-2</v>
      </c>
      <c r="W1197">
        <v>-8.7809109999999996E-2</v>
      </c>
      <c r="X1197">
        <v>0.99589430000000001</v>
      </c>
      <c r="Y1197">
        <v>5.6968320000000003E-2</v>
      </c>
      <c r="Z1197">
        <v>-4.8997270000000004E-3</v>
      </c>
      <c r="AA1197">
        <v>0.99836400000000003</v>
      </c>
      <c r="AB1197">
        <v>24</v>
      </c>
      <c r="AC1197">
        <v>0.74029999999998997</v>
      </c>
      <c r="AD1197">
        <v>-0.12620789999999901</v>
      </c>
      <c r="AE1197">
        <v>-4.8100000000033498E-2</v>
      </c>
      <c r="AF1197">
        <v>4.9627977842553003E-2</v>
      </c>
      <c r="AG1197">
        <v>-0.12620789999999901</v>
      </c>
      <c r="AH1197">
        <v>0.71928394480595004</v>
      </c>
      <c r="AI1197">
        <v>99.928863421343294</v>
      </c>
      <c r="AJ1197">
        <v>86.053054675253506</v>
      </c>
      <c r="AK1197">
        <v>0.73195680436946498</v>
      </c>
      <c r="AL1197">
        <v>95.037579291084597</v>
      </c>
      <c r="AM1197">
        <v>88.734381319683706</v>
      </c>
      <c r="AN1197">
        <v>0.99999999448794596</v>
      </c>
    </row>
    <row r="1198" spans="1:40" x14ac:dyDescent="0.25">
      <c r="A1198" t="str">
        <f>"20190303154119444"</f>
        <v>20190303154119444</v>
      </c>
      <c r="B1198" t="str">
        <f>"1551598879440920"</f>
        <v>1551598879440920</v>
      </c>
      <c r="C1198" t="s">
        <v>40</v>
      </c>
      <c r="D1198">
        <v>6.0208570000000003</v>
      </c>
      <c r="E1198">
        <v>0.522648</v>
      </c>
      <c r="F1198" t="s">
        <v>42</v>
      </c>
      <c r="G1198">
        <v>-282.71550000000002</v>
      </c>
      <c r="H1198">
        <v>0.88686119999999902</v>
      </c>
      <c r="I1198">
        <v>367.46550000000002</v>
      </c>
      <c r="J1198">
        <v>-283.29430000000002</v>
      </c>
      <c r="K1198">
        <v>1.070592</v>
      </c>
      <c r="L1198">
        <v>367.51830000000001</v>
      </c>
      <c r="M1198">
        <v>0.99993330000000002</v>
      </c>
      <c r="N1198">
        <v>-1.0843500000000001E-2</v>
      </c>
      <c r="O1198">
        <v>4.0043759999999996E-3</v>
      </c>
      <c r="P1198">
        <v>0.9949789</v>
      </c>
      <c r="Q1198">
        <v>-9.8487110000000003E-2</v>
      </c>
      <c r="R1198">
        <v>-1.7812499999999998E-2</v>
      </c>
      <c r="S1198">
        <v>2.9360659999999998</v>
      </c>
      <c r="T1198">
        <v>-0.75767039999999997</v>
      </c>
      <c r="U1198">
        <v>-0.215332</v>
      </c>
      <c r="V1198">
        <v>2.1793630000000001E-2</v>
      </c>
      <c r="W1198">
        <v>-8.7693969999999996E-2</v>
      </c>
      <c r="X1198">
        <v>0.99590900000000004</v>
      </c>
      <c r="Y1198">
        <v>7.4484170000000002E-2</v>
      </c>
      <c r="Z1198">
        <v>-1.082748E-2</v>
      </c>
      <c r="AA1198">
        <v>0.99716340000000003</v>
      </c>
      <c r="AB1198">
        <v>24</v>
      </c>
      <c r="AC1198">
        <v>0.57880000000000098</v>
      </c>
      <c r="AD1198">
        <v>-0.1837308</v>
      </c>
      <c r="AE1198">
        <v>-5.2799999999990598E-2</v>
      </c>
      <c r="AF1198">
        <v>5.0109832716960803E-2</v>
      </c>
      <c r="AG1198">
        <v>-0.1837308</v>
      </c>
      <c r="AH1198">
        <v>0.52601754250836397</v>
      </c>
      <c r="AI1198">
        <v>109.173190555894</v>
      </c>
      <c r="AJ1198">
        <v>84.558272906099205</v>
      </c>
      <c r="AK1198">
        <v>0.559430475778806</v>
      </c>
      <c r="AL1198">
        <v>95.030956853971304</v>
      </c>
      <c r="AM1198">
        <v>88.746387715581506</v>
      </c>
      <c r="AN1198">
        <v>0.99999996548196801</v>
      </c>
    </row>
    <row r="1199" spans="1:40" x14ac:dyDescent="0.25">
      <c r="A1199" t="str">
        <f>"20190303154119458"</f>
        <v>20190303154119458</v>
      </c>
      <c r="B1199" t="str">
        <f>"1551598879450679"</f>
        <v>1551598879450679</v>
      </c>
      <c r="C1199" t="s">
        <v>40</v>
      </c>
      <c r="D1199">
        <v>5.9996729999999996</v>
      </c>
      <c r="E1199">
        <v>0.52327209999999902</v>
      </c>
      <c r="F1199" t="s">
        <v>42</v>
      </c>
      <c r="G1199">
        <v>-282.50900000000001</v>
      </c>
      <c r="H1199">
        <v>0.86533640000000001</v>
      </c>
      <c r="I1199">
        <v>367.45510000000002</v>
      </c>
      <c r="J1199">
        <v>-283.14699999999999</v>
      </c>
      <c r="K1199">
        <v>1.07057</v>
      </c>
      <c r="L1199">
        <v>367.51900000000001</v>
      </c>
      <c r="M1199">
        <v>0.99993489999999996</v>
      </c>
      <c r="N1199">
        <v>-1.068562E-2</v>
      </c>
      <c r="O1199">
        <v>4.0045769999999996E-3</v>
      </c>
      <c r="P1199">
        <v>0.9949597</v>
      </c>
      <c r="Q1199">
        <v>-9.8758860000000004E-2</v>
      </c>
      <c r="R1199">
        <v>-1.7373960000000001E-2</v>
      </c>
      <c r="S1199">
        <v>2.9349980000000002</v>
      </c>
      <c r="T1199">
        <v>-0.76725379999999999</v>
      </c>
      <c r="U1199">
        <v>-0.23483280000000001</v>
      </c>
      <c r="V1199">
        <v>2.1354999999999999E-2</v>
      </c>
      <c r="W1199">
        <v>-8.8123129999999994E-2</v>
      </c>
      <c r="X1199">
        <v>0.99588069999999895</v>
      </c>
      <c r="Y1199">
        <v>8.0811270000000004E-2</v>
      </c>
      <c r="Z1199">
        <v>-1.179818E-2</v>
      </c>
      <c r="AA1199">
        <v>0.99665959999999998</v>
      </c>
      <c r="AB1199">
        <v>24</v>
      </c>
      <c r="AC1199">
        <v>0.63799999999997603</v>
      </c>
      <c r="AD1199">
        <v>-0.20523359999999999</v>
      </c>
      <c r="AE1199">
        <v>-6.3899999999989604E-2</v>
      </c>
      <c r="AF1199">
        <v>6.0278860014154903E-2</v>
      </c>
      <c r="AG1199">
        <v>-0.20523359999999999</v>
      </c>
      <c r="AH1199">
        <v>0.57847320385807299</v>
      </c>
      <c r="AI1199">
        <v>109.436628998267</v>
      </c>
      <c r="AJ1199">
        <v>84.051056315026599</v>
      </c>
      <c r="AK1199">
        <v>0.61675409939082604</v>
      </c>
      <c r="AL1199">
        <v>95.055641072225598</v>
      </c>
      <c r="AM1199">
        <v>88.771575865594897</v>
      </c>
      <c r="AN1199">
        <v>1.0000000453492399</v>
      </c>
    </row>
    <row r="1200" spans="1:40" x14ac:dyDescent="0.25">
      <c r="A1200" t="str">
        <f>"20190303154119473"</f>
        <v>20190303154119473</v>
      </c>
      <c r="B1200" t="str">
        <f>"1551598879470200"</f>
        <v>1551598879470200</v>
      </c>
      <c r="C1200" t="s">
        <v>40</v>
      </c>
      <c r="D1200">
        <v>6.0394329999999998</v>
      </c>
      <c r="E1200">
        <v>0.52418629999999999</v>
      </c>
      <c r="F1200" t="s">
        <v>42</v>
      </c>
      <c r="G1200">
        <v>-282.29930000000002</v>
      </c>
      <c r="H1200">
        <v>0.84681870000000004</v>
      </c>
      <c r="I1200">
        <v>367.44990000000001</v>
      </c>
      <c r="J1200">
        <v>-282.98160000000001</v>
      </c>
      <c r="K1200">
        <v>1.0705439999999999</v>
      </c>
      <c r="L1200">
        <v>367.5197</v>
      </c>
      <c r="M1200">
        <v>0.99993679999999996</v>
      </c>
      <c r="N1200">
        <v>-1.0514280000000001E-2</v>
      </c>
      <c r="O1200">
        <v>4.0046580000000003E-3</v>
      </c>
      <c r="P1200">
        <v>0.99494020000000005</v>
      </c>
      <c r="Q1200">
        <v>-9.899376E-2</v>
      </c>
      <c r="R1200">
        <v>-1.7165509999999998E-2</v>
      </c>
      <c r="S1200">
        <v>2.9342039999999998</v>
      </c>
      <c r="T1200">
        <v>-0.77450319999999995</v>
      </c>
      <c r="U1200">
        <v>-0.23831179999999999</v>
      </c>
      <c r="V1200">
        <v>2.1146410000000001E-2</v>
      </c>
      <c r="W1200">
        <v>-8.8528839999999998E-2</v>
      </c>
      <c r="X1200">
        <v>0.99584910000000004</v>
      </c>
      <c r="Y1200">
        <v>8.1914249999999994E-2</v>
      </c>
      <c r="Z1200">
        <v>-1.2047449999999999E-2</v>
      </c>
      <c r="AA1200">
        <v>0.99656650000000002</v>
      </c>
      <c r="AB1200">
        <v>24</v>
      </c>
      <c r="AC1200">
        <v>0.68229999999999702</v>
      </c>
      <c r="AD1200">
        <v>-0.22372529999999899</v>
      </c>
      <c r="AE1200">
        <v>-6.9799999999986498E-2</v>
      </c>
      <c r="AF1200">
        <v>6.5556495651159896E-2</v>
      </c>
      <c r="AG1200">
        <v>-0.22372529999999899</v>
      </c>
      <c r="AH1200">
        <v>0.61642491009067302</v>
      </c>
      <c r="AI1200">
        <v>109.844759164485</v>
      </c>
      <c r="AJ1200">
        <v>83.929438974354497</v>
      </c>
      <c r="AK1200">
        <v>0.659037429712793</v>
      </c>
      <c r="AL1200">
        <v>95.078978093194607</v>
      </c>
      <c r="AM1200">
        <v>88.783532577268701</v>
      </c>
      <c r="AN1200">
        <v>0.99999997806922103</v>
      </c>
    </row>
    <row r="1201" spans="1:40" x14ac:dyDescent="0.25">
      <c r="A1201" t="str">
        <f>"20190303154119497"</f>
        <v>20190303154119497</v>
      </c>
      <c r="B1201" t="str">
        <f>"1551598879490695"</f>
        <v>1551598879490695</v>
      </c>
      <c r="C1201" t="s">
        <v>40</v>
      </c>
      <c r="D1201">
        <v>6.0268079999999999</v>
      </c>
      <c r="E1201">
        <v>0.52461440000000004</v>
      </c>
      <c r="F1201" t="s">
        <v>42</v>
      </c>
      <c r="G1201">
        <v>-282.28210000000001</v>
      </c>
      <c r="H1201">
        <v>0.88454690000000002</v>
      </c>
      <c r="I1201">
        <v>367.46089999999998</v>
      </c>
      <c r="J1201">
        <v>-282.73239999999998</v>
      </c>
      <c r="K1201">
        <v>1.0705119999999999</v>
      </c>
      <c r="L1201">
        <v>367.52069999999998</v>
      </c>
      <c r="M1201">
        <v>0.99993929999999998</v>
      </c>
      <c r="N1201">
        <v>-1.027018E-2</v>
      </c>
      <c r="O1201">
        <v>4.005102E-3</v>
      </c>
      <c r="P1201">
        <v>0.99487789999999998</v>
      </c>
      <c r="Q1201">
        <v>-9.9602759999999999E-2</v>
      </c>
      <c r="R1201">
        <v>-1.724111E-2</v>
      </c>
      <c r="S1201">
        <v>2.9334410000000002</v>
      </c>
      <c r="T1201">
        <v>-0.78005800000000003</v>
      </c>
      <c r="U1201">
        <v>-0.24542240000000001</v>
      </c>
      <c r="V1201">
        <v>2.122245E-2</v>
      </c>
      <c r="W1201">
        <v>-8.9381559999999999E-2</v>
      </c>
      <c r="X1201">
        <v>0.99577130000000003</v>
      </c>
      <c r="Y1201">
        <v>8.4211649999999999E-2</v>
      </c>
      <c r="Z1201">
        <v>-1.243287E-2</v>
      </c>
      <c r="AA1201">
        <v>0.99637030000000004</v>
      </c>
      <c r="AB1201">
        <v>24</v>
      </c>
      <c r="AC1201">
        <v>0.45029999999997</v>
      </c>
      <c r="AD1201">
        <v>-0.18596509999999999</v>
      </c>
      <c r="AE1201">
        <v>-5.97999999999956E-2</v>
      </c>
      <c r="AF1201">
        <v>5.2760589572605598E-2</v>
      </c>
      <c r="AG1201">
        <v>-0.18596509999999999</v>
      </c>
      <c r="AH1201">
        <v>0.38545561661794497</v>
      </c>
      <c r="AI1201">
        <v>115.547717712646</v>
      </c>
      <c r="AJ1201">
        <v>82.205874566450703</v>
      </c>
      <c r="AK1201">
        <v>0.43121077283896703</v>
      </c>
      <c r="AL1201">
        <v>95.128029859940398</v>
      </c>
      <c r="AM1201">
        <v>88.779064269320799</v>
      </c>
      <c r="AN1201">
        <v>0.99999996877786201</v>
      </c>
    </row>
    <row r="1202" spans="1:40" x14ac:dyDescent="0.25">
      <c r="A1202" t="str">
        <f>"20190303154119518"</f>
        <v>20190303154119518</v>
      </c>
      <c r="B1202" t="str">
        <f>"1551598879510219"</f>
        <v>1551598879510219</v>
      </c>
      <c r="C1202" t="s">
        <v>40</v>
      </c>
      <c r="D1202">
        <v>6.0359499999999997</v>
      </c>
      <c r="E1202">
        <v>0.52485559999999998</v>
      </c>
      <c r="F1202" t="s">
        <v>42</v>
      </c>
      <c r="G1202">
        <v>-281.8657</v>
      </c>
      <c r="H1202">
        <v>0.83881059999999996</v>
      </c>
      <c r="I1202">
        <v>367.4468</v>
      </c>
      <c r="J1202">
        <v>-282.4939</v>
      </c>
      <c r="K1202">
        <v>1.0704800000000001</v>
      </c>
      <c r="L1202">
        <v>367.52159999999998</v>
      </c>
      <c r="M1202">
        <v>0.99994150000000004</v>
      </c>
      <c r="N1202">
        <v>-1.005586E-2</v>
      </c>
      <c r="O1202">
        <v>4.0053650000000003E-3</v>
      </c>
      <c r="P1202">
        <v>0.99488129999999997</v>
      </c>
      <c r="Q1202">
        <v>-9.9526489999999995E-2</v>
      </c>
      <c r="R1202">
        <v>-1.749065E-2</v>
      </c>
      <c r="S1202">
        <v>2.9326479999999999</v>
      </c>
      <c r="T1202">
        <v>-0.78401949999999998</v>
      </c>
      <c r="U1202">
        <v>-0.2492065</v>
      </c>
      <c r="V1202">
        <v>2.1472100000000001E-2</v>
      </c>
      <c r="W1202">
        <v>-8.9518680000000003E-2</v>
      </c>
      <c r="X1202">
        <v>0.99575360000000002</v>
      </c>
      <c r="Y1202">
        <v>8.5436369999999998E-2</v>
      </c>
      <c r="Z1202">
        <v>-1.265314E-2</v>
      </c>
      <c r="AA1202">
        <v>0.99626329999999996</v>
      </c>
      <c r="AB1202">
        <v>24</v>
      </c>
      <c r="AC1202">
        <v>0.62819999999999199</v>
      </c>
      <c r="AD1202">
        <v>-0.231669399999999</v>
      </c>
      <c r="AE1202">
        <v>-7.4799999999981895E-2</v>
      </c>
      <c r="AF1202">
        <v>6.8173640895316204E-2</v>
      </c>
      <c r="AG1202">
        <v>-0.231669399999999</v>
      </c>
      <c r="AH1202">
        <v>0.55365098195848395</v>
      </c>
      <c r="AI1202">
        <v>112.553250123382</v>
      </c>
      <c r="AJ1202">
        <v>82.980237981562894</v>
      </c>
      <c r="AK1202">
        <v>0.60402629581242295</v>
      </c>
      <c r="AL1202">
        <v>95.135918033921499</v>
      </c>
      <c r="AM1202">
        <v>88.764684281905701</v>
      </c>
      <c r="AN1202">
        <v>0.99999993853015401</v>
      </c>
    </row>
    <row r="1203" spans="1:40" x14ac:dyDescent="0.25">
      <c r="A1203" t="str">
        <f>"20190303154119542"</f>
        <v>20190303154119542</v>
      </c>
      <c r="B1203" t="str">
        <f>"1551598879530711"</f>
        <v>1551598879530711</v>
      </c>
      <c r="C1203" t="s">
        <v>40</v>
      </c>
      <c r="D1203">
        <v>6.041976</v>
      </c>
      <c r="E1203">
        <v>0.52500269999999905</v>
      </c>
      <c r="F1203" t="s">
        <v>42</v>
      </c>
      <c r="G1203">
        <v>-281.64490000000001</v>
      </c>
      <c r="H1203">
        <v>0.84299139999999995</v>
      </c>
      <c r="I1203">
        <v>367.44850000000002</v>
      </c>
      <c r="J1203">
        <v>-282.23719999999997</v>
      </c>
      <c r="K1203">
        <v>1.0704579999999999</v>
      </c>
      <c r="L1203">
        <v>367.52260000000001</v>
      </c>
      <c r="M1203">
        <v>0.99994360000000004</v>
      </c>
      <c r="N1203">
        <v>-9.8478160000000006E-3</v>
      </c>
      <c r="O1203">
        <v>4.0058709999999898E-3</v>
      </c>
      <c r="P1203">
        <v>0.99486929999999996</v>
      </c>
      <c r="Q1203">
        <v>-9.9569920000000006E-2</v>
      </c>
      <c r="R1203">
        <v>-1.7922480000000001E-2</v>
      </c>
      <c r="S1203">
        <v>2.932404</v>
      </c>
      <c r="T1203">
        <v>-0.78579279999999996</v>
      </c>
      <c r="U1203">
        <v>-0.25140380000000001</v>
      </c>
      <c r="V1203">
        <v>2.1904389999999999E-2</v>
      </c>
      <c r="W1203">
        <v>-8.9769450000000001E-2</v>
      </c>
      <c r="X1203">
        <v>0.99572169999999904</v>
      </c>
      <c r="Y1203">
        <v>8.6146879999999995E-2</v>
      </c>
      <c r="Z1203">
        <v>-1.276942E-2</v>
      </c>
      <c r="AA1203">
        <v>0.99620059999999999</v>
      </c>
      <c r="AB1203">
        <v>24</v>
      </c>
      <c r="AC1203">
        <v>0.59229999999996596</v>
      </c>
      <c r="AD1203">
        <v>-0.22746659999999899</v>
      </c>
      <c r="AE1203">
        <v>-7.4099999999987107E-2</v>
      </c>
      <c r="AF1203">
        <v>6.6775491483186705E-2</v>
      </c>
      <c r="AG1203">
        <v>-0.22746659999999899</v>
      </c>
      <c r="AH1203">
        <v>0.51693275755357304</v>
      </c>
      <c r="AI1203">
        <v>113.57671297144</v>
      </c>
      <c r="AJ1203">
        <v>82.639499623551302</v>
      </c>
      <c r="AK1203">
        <v>0.56869982962044396</v>
      </c>
      <c r="AL1203">
        <v>95.150343705910799</v>
      </c>
      <c r="AM1203">
        <v>88.739781700007896</v>
      </c>
      <c r="AN1203">
        <v>1.0000000301527301</v>
      </c>
    </row>
    <row r="1204" spans="1:40" x14ac:dyDescent="0.25">
      <c r="A1204" t="str">
        <f>"20190303154119563"</f>
        <v>20190303154119563</v>
      </c>
      <c r="B1204" t="str">
        <f>"1551598879559992"</f>
        <v>1551598879559992</v>
      </c>
      <c r="C1204" t="s">
        <v>40</v>
      </c>
      <c r="D1204">
        <v>6.0452240000000002</v>
      </c>
      <c r="E1204">
        <v>0.52523920000000002</v>
      </c>
      <c r="F1204" t="s">
        <v>42</v>
      </c>
      <c r="G1204">
        <v>-281.42160000000001</v>
      </c>
      <c r="H1204">
        <v>0.85168080000000002</v>
      </c>
      <c r="I1204">
        <v>367.45190000000002</v>
      </c>
      <c r="J1204">
        <v>-281.99250000000001</v>
      </c>
      <c r="K1204">
        <v>1.070441</v>
      </c>
      <c r="L1204">
        <v>367.52359999999999</v>
      </c>
      <c r="M1204">
        <v>0.99994530000000004</v>
      </c>
      <c r="N1204">
        <v>-9.6719509999999998E-3</v>
      </c>
      <c r="O1204">
        <v>4.0062600000000002E-3</v>
      </c>
      <c r="P1204">
        <v>0.99488869999999896</v>
      </c>
      <c r="Q1204">
        <v>-9.9342840000000002E-2</v>
      </c>
      <c r="R1204">
        <v>-1.810113E-2</v>
      </c>
      <c r="S1204">
        <v>2.93222</v>
      </c>
      <c r="T1204">
        <v>-0.78660540000000001</v>
      </c>
      <c r="U1204">
        <v>-0.25427250000000001</v>
      </c>
      <c r="V1204">
        <v>2.208338E-2</v>
      </c>
      <c r="W1204">
        <v>-8.9717340000000007E-2</v>
      </c>
      <c r="X1204">
        <v>0.99572240000000001</v>
      </c>
      <c r="Y1204">
        <v>8.7081169999999999E-2</v>
      </c>
      <c r="Z1204">
        <v>-1.290265E-2</v>
      </c>
      <c r="AA1204">
        <v>0.99611769999999999</v>
      </c>
      <c r="AB1204">
        <v>25</v>
      </c>
      <c r="AC1204">
        <v>0.57089999999999397</v>
      </c>
      <c r="AD1204">
        <v>-0.21876019999999899</v>
      </c>
      <c r="AE1204">
        <v>-7.1699999999964306E-2</v>
      </c>
      <c r="AF1204">
        <v>6.4642582868610493E-2</v>
      </c>
      <c r="AG1204">
        <v>-0.21876019999999899</v>
      </c>
      <c r="AH1204">
        <v>0.49854341975885902</v>
      </c>
      <c r="AI1204">
        <v>113.516551692882</v>
      </c>
      <c r="AJ1204">
        <v>82.612082414528004</v>
      </c>
      <c r="AK1204">
        <v>0.54825197674866899</v>
      </c>
      <c r="AL1204">
        <v>95.147346147747498</v>
      </c>
      <c r="AM1204">
        <v>88.729488179882793</v>
      </c>
      <c r="AN1204">
        <v>0.99999998731533002</v>
      </c>
    </row>
    <row r="1205" spans="1:40" x14ac:dyDescent="0.25">
      <c r="A1205" t="str">
        <f>"20190303154119585"</f>
        <v>20190303154119585</v>
      </c>
      <c r="B1205" t="str">
        <f>"1551598879580488"</f>
        <v>1551598879580488</v>
      </c>
      <c r="C1205" t="s">
        <v>40</v>
      </c>
      <c r="D1205">
        <v>6.0374679999999996</v>
      </c>
      <c r="E1205">
        <v>0.52531240000000001</v>
      </c>
      <c r="F1205" t="s">
        <v>42</v>
      </c>
      <c r="G1205">
        <v>-281.19880000000001</v>
      </c>
      <c r="H1205">
        <v>0.85788249999999999</v>
      </c>
      <c r="I1205">
        <v>367.4538</v>
      </c>
      <c r="J1205">
        <v>-281.75799999999998</v>
      </c>
      <c r="K1205">
        <v>1.0704359999999999</v>
      </c>
      <c r="L1205">
        <v>367.52449999999999</v>
      </c>
      <c r="M1205">
        <v>0.99994669999999997</v>
      </c>
      <c r="N1205">
        <v>-9.5235219999999995E-3</v>
      </c>
      <c r="O1205">
        <v>4.0067990000000001E-3</v>
      </c>
      <c r="P1205">
        <v>0.99490860000000003</v>
      </c>
      <c r="Q1205">
        <v>-9.9063470000000001E-2</v>
      </c>
      <c r="R1205">
        <v>-1.853643E-2</v>
      </c>
      <c r="S1205">
        <v>2.9323730000000001</v>
      </c>
      <c r="T1205">
        <v>-0.78531619999999902</v>
      </c>
      <c r="U1205">
        <v>-0.25634770000000001</v>
      </c>
      <c r="V1205">
        <v>2.2519190000000001E-2</v>
      </c>
      <c r="W1205">
        <v>-8.9585629999999999E-2</v>
      </c>
      <c r="X1205">
        <v>0.99572450000000001</v>
      </c>
      <c r="Y1205">
        <v>8.7764699999999904E-2</v>
      </c>
      <c r="Z1205">
        <v>-1.2969069999999999E-2</v>
      </c>
      <c r="AA1205">
        <v>0.99605679999999996</v>
      </c>
      <c r="AB1205">
        <v>25</v>
      </c>
      <c r="AC1205">
        <v>0.55919999999997505</v>
      </c>
      <c r="AD1205">
        <v>-0.21255350000000001</v>
      </c>
      <c r="AE1205">
        <v>-7.0699999999987995E-2</v>
      </c>
      <c r="AF1205">
        <v>6.3859055507372295E-2</v>
      </c>
      <c r="AG1205">
        <v>-0.21255350000000001</v>
      </c>
      <c r="AH1205">
        <v>0.48932738993889102</v>
      </c>
      <c r="AI1205">
        <v>113.302825359916</v>
      </c>
      <c r="AJ1205">
        <v>82.564707070690304</v>
      </c>
      <c r="AK1205">
        <v>0.537306489702991</v>
      </c>
      <c r="AL1205">
        <v>95.139769198641403</v>
      </c>
      <c r="AM1205">
        <v>88.704426140458395</v>
      </c>
      <c r="AN1205">
        <v>0.99999998946050095</v>
      </c>
    </row>
    <row r="1206" spans="1:40" x14ac:dyDescent="0.25">
      <c r="A1206" t="str">
        <f>"20190303154119607"</f>
        <v>20190303154119607</v>
      </c>
      <c r="B1206" t="str">
        <f>"1551598879600983"</f>
        <v>1551598879600983</v>
      </c>
      <c r="C1206" t="s">
        <v>40</v>
      </c>
      <c r="D1206">
        <v>6.0457239999999999</v>
      </c>
      <c r="E1206">
        <v>0.52535559999999903</v>
      </c>
      <c r="F1206" t="s">
        <v>42</v>
      </c>
      <c r="G1206">
        <v>-280.97649999999999</v>
      </c>
      <c r="H1206">
        <v>0.86135200000000001</v>
      </c>
      <c r="I1206">
        <v>367.45549999999997</v>
      </c>
      <c r="J1206">
        <v>-281.50740000000002</v>
      </c>
      <c r="K1206">
        <v>1.070427</v>
      </c>
      <c r="L1206">
        <v>367.5256</v>
      </c>
      <c r="M1206">
        <v>0.99994799999999995</v>
      </c>
      <c r="N1206">
        <v>-9.3850770000000003E-3</v>
      </c>
      <c r="O1206">
        <v>4.0072800000000002E-3</v>
      </c>
      <c r="P1206">
        <v>0.99491030000000003</v>
      </c>
      <c r="Q1206">
        <v>-9.9076029999999995E-2</v>
      </c>
      <c r="R1206">
        <v>-1.8380239999999999E-2</v>
      </c>
      <c r="S1206">
        <v>2.9323730000000001</v>
      </c>
      <c r="T1206">
        <v>-0.78457440000000001</v>
      </c>
      <c r="U1206">
        <v>-0.25863649999999999</v>
      </c>
      <c r="V1206">
        <v>2.2363569999999999E-2</v>
      </c>
      <c r="W1206">
        <v>-8.9736010000000005E-2</v>
      </c>
      <c r="X1206">
        <v>0.99571449999999995</v>
      </c>
      <c r="Y1206">
        <v>8.8517230000000002E-2</v>
      </c>
      <c r="Z1206">
        <v>-1.3054E-2</v>
      </c>
      <c r="AA1206">
        <v>0.99598909999999996</v>
      </c>
      <c r="AB1206">
        <v>25</v>
      </c>
      <c r="AC1206">
        <v>0.53090000000003101</v>
      </c>
      <c r="AD1206">
        <v>-0.20907500000000001</v>
      </c>
      <c r="AE1206">
        <v>-7.0100000000024906E-2</v>
      </c>
      <c r="AF1206">
        <v>6.2673616018061096E-2</v>
      </c>
      <c r="AG1206">
        <v>-0.20907500000000001</v>
      </c>
      <c r="AH1206">
        <v>0.460431018106639</v>
      </c>
      <c r="AI1206">
        <v>114.224705466976</v>
      </c>
      <c r="AJ1206">
        <v>82.248569980941994</v>
      </c>
      <c r="AK1206">
        <v>0.50954593532329895</v>
      </c>
      <c r="AL1206">
        <v>95.148420007303898</v>
      </c>
      <c r="AM1206">
        <v>88.713363331799997</v>
      </c>
      <c r="AN1206">
        <v>1.0000000231320501</v>
      </c>
    </row>
    <row r="1207" spans="1:40" x14ac:dyDescent="0.25">
      <c r="A1207" t="str">
        <f>"20190303154119629"</f>
        <v>20190303154119629</v>
      </c>
      <c r="B1207" t="str">
        <f>"1551598879620507"</f>
        <v>1551598879620507</v>
      </c>
      <c r="C1207" t="s">
        <v>40</v>
      </c>
      <c r="D1207">
        <v>6.0581420000000001</v>
      </c>
      <c r="E1207">
        <v>0.525343</v>
      </c>
      <c r="F1207" t="s">
        <v>42</v>
      </c>
      <c r="G1207">
        <v>-280.75209999999998</v>
      </c>
      <c r="H1207">
        <v>0.86844969999999999</v>
      </c>
      <c r="I1207">
        <v>367.45870000000002</v>
      </c>
      <c r="J1207">
        <v>-281.2647</v>
      </c>
      <c r="K1207">
        <v>1.0704180000000001</v>
      </c>
      <c r="L1207">
        <v>367.5265</v>
      </c>
      <c r="M1207">
        <v>0.99994910000000004</v>
      </c>
      <c r="N1207">
        <v>-9.269111E-3</v>
      </c>
      <c r="O1207">
        <v>4.0078259999999999E-3</v>
      </c>
      <c r="P1207">
        <v>0.99490469999999998</v>
      </c>
      <c r="Q1207">
        <v>-9.91697E-2</v>
      </c>
      <c r="R1207">
        <v>-1.8168449999999999E-2</v>
      </c>
      <c r="S1207">
        <v>2.9324650000000001</v>
      </c>
      <c r="T1207">
        <v>-0.78434720000000002</v>
      </c>
      <c r="U1207">
        <v>-0.2584534</v>
      </c>
      <c r="V1207">
        <v>2.2152459999999999E-2</v>
      </c>
      <c r="W1207">
        <v>-8.994518E-2</v>
      </c>
      <c r="X1207">
        <v>0.99570029999999998</v>
      </c>
      <c r="Y1207">
        <v>8.8458750000000003E-2</v>
      </c>
      <c r="Z1207">
        <v>-1.303751E-2</v>
      </c>
      <c r="AA1207">
        <v>0.9959945</v>
      </c>
      <c r="AB1207">
        <v>25</v>
      </c>
      <c r="AC1207">
        <v>0.51260000000002004</v>
      </c>
      <c r="AD1207">
        <v>-0.20196829999999999</v>
      </c>
      <c r="AE1207">
        <v>-6.7799999999976907E-2</v>
      </c>
      <c r="AF1207">
        <v>6.0606978333884801E-2</v>
      </c>
      <c r="AG1207">
        <v>-0.20196829999999999</v>
      </c>
      <c r="AH1207">
        <v>0.44450479627960898</v>
      </c>
      <c r="AI1207">
        <v>114.237345429201</v>
      </c>
      <c r="AJ1207">
        <v>82.235759288460599</v>
      </c>
      <c r="AK1207">
        <v>0.49198466840261501</v>
      </c>
      <c r="AL1207">
        <v>95.160453463596397</v>
      </c>
      <c r="AM1207">
        <v>88.725486865933306</v>
      </c>
      <c r="AN1207">
        <v>0.99999997715468603</v>
      </c>
    </row>
    <row r="1208" spans="1:40" x14ac:dyDescent="0.25">
      <c r="A1208" t="str">
        <f>"20190303154119651"</f>
        <v>20190303154119651</v>
      </c>
      <c r="B1208" t="str">
        <f>"1551598879640023"</f>
        <v>1551598879640023</v>
      </c>
      <c r="C1208" t="s">
        <v>40</v>
      </c>
      <c r="D1208">
        <v>6.0638249999999996</v>
      </c>
      <c r="E1208">
        <v>0.54003939999999995</v>
      </c>
      <c r="F1208" t="s">
        <v>42</v>
      </c>
      <c r="G1208">
        <v>-280.52800000000002</v>
      </c>
      <c r="H1208">
        <v>0.87320739999999997</v>
      </c>
      <c r="I1208">
        <v>367.46159999999998</v>
      </c>
      <c r="J1208">
        <v>-281.02019999999999</v>
      </c>
      <c r="K1208">
        <v>1.070659</v>
      </c>
      <c r="L1208">
        <v>367.52760000000001</v>
      </c>
      <c r="M1208">
        <v>0.99994130000000003</v>
      </c>
      <c r="N1208">
        <v>-1.006203E-2</v>
      </c>
      <c r="O1208">
        <v>4.008017E-3</v>
      </c>
      <c r="P1208">
        <v>0.99475409999999997</v>
      </c>
      <c r="Q1208">
        <v>-0.100593</v>
      </c>
      <c r="R1208">
        <v>-1.857756E-2</v>
      </c>
      <c r="S1208">
        <v>2.9324340000000002</v>
      </c>
      <c r="T1208">
        <v>-0.78507890000000002</v>
      </c>
      <c r="U1208">
        <v>-0.25741579999999997</v>
      </c>
      <c r="V1208">
        <v>2.256128E-2</v>
      </c>
      <c r="W1208">
        <v>-9.0580369999999993E-2</v>
      </c>
      <c r="X1208">
        <v>0.99563349999999995</v>
      </c>
      <c r="Y1208">
        <v>8.8107969999999994E-2</v>
      </c>
      <c r="Z1208">
        <v>-1.303409E-2</v>
      </c>
      <c r="AA1208">
        <v>0.99602570000000001</v>
      </c>
      <c r="AB1208">
        <v>25</v>
      </c>
      <c r="AC1208">
        <v>0.492199999999968</v>
      </c>
      <c r="AD1208">
        <v>-0.19745159999999901</v>
      </c>
      <c r="AE1208">
        <v>-6.6000000000030895E-2</v>
      </c>
      <c r="AF1208">
        <v>5.8693573003817598E-2</v>
      </c>
      <c r="AG1208">
        <v>-0.19745159999999901</v>
      </c>
      <c r="AH1208">
        <v>0.424779078119844</v>
      </c>
      <c r="AI1208">
        <v>114.72412448415101</v>
      </c>
      <c r="AJ1208">
        <v>82.133006472278296</v>
      </c>
      <c r="AK1208">
        <v>0.47209038865757302</v>
      </c>
      <c r="AL1208">
        <v>95.196996530590397</v>
      </c>
      <c r="AM1208">
        <v>88.701886851631699</v>
      </c>
      <c r="AN1208">
        <v>0.99999994055341002</v>
      </c>
    </row>
    <row r="1209" spans="1:40" x14ac:dyDescent="0.25">
      <c r="A1209" t="str">
        <f>"20190303154119675"</f>
        <v>20190303154119675</v>
      </c>
      <c r="B1209" t="str">
        <f>"1551598879670280"</f>
        <v>1551598879670280</v>
      </c>
      <c r="C1209" t="s">
        <v>40</v>
      </c>
      <c r="D1209">
        <v>5.939832</v>
      </c>
      <c r="E1209">
        <v>0.55089399999999999</v>
      </c>
      <c r="F1209" t="s">
        <v>42</v>
      </c>
      <c r="G1209">
        <v>-280.30160000000001</v>
      </c>
      <c r="H1209">
        <v>0.88851930000000001</v>
      </c>
      <c r="I1209">
        <v>367.43540000000002</v>
      </c>
      <c r="J1209">
        <v>-280.77539999999999</v>
      </c>
      <c r="K1209">
        <v>1.071321</v>
      </c>
      <c r="L1209">
        <v>367.52850000000001</v>
      </c>
      <c r="M1209">
        <v>0.99992610000000004</v>
      </c>
      <c r="N1209">
        <v>-1.148355E-2</v>
      </c>
      <c r="O1209">
        <v>4.0073940000000001E-3</v>
      </c>
      <c r="P1209">
        <v>0.99459430000000004</v>
      </c>
      <c r="Q1209">
        <v>-0.1020853</v>
      </c>
      <c r="R1209">
        <v>-1.8997590000000002E-2</v>
      </c>
      <c r="S1209">
        <v>2.9335629999999999</v>
      </c>
      <c r="T1209">
        <v>-0.74360879999999996</v>
      </c>
      <c r="U1209">
        <v>-0.37490839999999998</v>
      </c>
      <c r="V1209">
        <v>2.2980170000000001E-2</v>
      </c>
      <c r="W1209">
        <v>-9.0658989999999995E-2</v>
      </c>
      <c r="X1209">
        <v>0.99561690000000003</v>
      </c>
      <c r="Y1209">
        <v>0.1265048</v>
      </c>
      <c r="Z1209">
        <v>-1.7414809999999999E-2</v>
      </c>
      <c r="AA1209">
        <v>0.9918131</v>
      </c>
      <c r="AB1209">
        <v>25</v>
      </c>
      <c r="AC1209">
        <v>0.47379999999998201</v>
      </c>
      <c r="AD1209">
        <v>-0.18280169999999901</v>
      </c>
      <c r="AE1209">
        <v>-9.3099999999992605E-2</v>
      </c>
      <c r="AF1209">
        <v>8.3089412740224397E-2</v>
      </c>
      <c r="AG1209">
        <v>-0.18280169999999901</v>
      </c>
      <c r="AH1209">
        <v>0.414076216923983</v>
      </c>
      <c r="AI1209">
        <v>113.40491533656601</v>
      </c>
      <c r="AJ1209">
        <v>78.653594435600198</v>
      </c>
      <c r="AK1209">
        <v>0.46019498634218398</v>
      </c>
      <c r="AL1209">
        <v>95.201519028331901</v>
      </c>
      <c r="AM1209">
        <v>88.677771529447796</v>
      </c>
      <c r="AN1209">
        <v>1.0000000761233201</v>
      </c>
    </row>
    <row r="1210" spans="1:40" x14ac:dyDescent="0.25">
      <c r="A1210" t="str">
        <f>"20190303154119697"</f>
        <v>20190303154119697</v>
      </c>
      <c r="B1210" t="str">
        <f>"1551598879690779"</f>
        <v>1551598879690779</v>
      </c>
      <c r="C1210" t="s">
        <v>40</v>
      </c>
      <c r="D1210">
        <v>5.896922</v>
      </c>
      <c r="E1210">
        <v>0.55361369999999999</v>
      </c>
      <c r="F1210" t="s">
        <v>42</v>
      </c>
      <c r="G1210">
        <v>-280.08499999999998</v>
      </c>
      <c r="H1210">
        <v>0.89106459999999998</v>
      </c>
      <c r="I1210">
        <v>367.41919999999999</v>
      </c>
      <c r="J1210">
        <v>-280.53039999999999</v>
      </c>
      <c r="K1210">
        <v>1.0721099999999999</v>
      </c>
      <c r="L1210">
        <v>367.52940000000001</v>
      </c>
      <c r="M1210">
        <v>0.99992429999999999</v>
      </c>
      <c r="N1210">
        <v>-1.162974E-2</v>
      </c>
      <c r="O1210">
        <v>4.0073720000000004E-3</v>
      </c>
      <c r="P1210">
        <v>0.99451889999999998</v>
      </c>
      <c r="Q1210">
        <v>-0.1027246</v>
      </c>
      <c r="R1210">
        <v>-1.9483259999999999E-2</v>
      </c>
      <c r="S1210">
        <v>2.9289550000000002</v>
      </c>
      <c r="T1210">
        <v>-0.76480079999999995</v>
      </c>
      <c r="U1210">
        <v>-0.46319579999999999</v>
      </c>
      <c r="V1210">
        <v>2.3465139999999999E-2</v>
      </c>
      <c r="W1210">
        <v>-9.1153609999999996E-2</v>
      </c>
      <c r="X1210">
        <v>0.99556029999999995</v>
      </c>
      <c r="Y1210">
        <v>0.15473809999999999</v>
      </c>
      <c r="Z1210">
        <v>-2.1650550000000001E-2</v>
      </c>
      <c r="AA1210">
        <v>0.98771830000000005</v>
      </c>
      <c r="AB1210">
        <v>24</v>
      </c>
      <c r="AC1210">
        <v>0.44540000000000601</v>
      </c>
      <c r="AD1210">
        <v>-0.1810454</v>
      </c>
      <c r="AE1210">
        <v>-0.11020000000002</v>
      </c>
      <c r="AF1210">
        <v>9.6897754243217699E-2</v>
      </c>
      <c r="AG1210">
        <v>-0.1810454</v>
      </c>
      <c r="AH1210">
        <v>0.38501101115549202</v>
      </c>
      <c r="AI1210">
        <v>114.51364993766001</v>
      </c>
      <c r="AJ1210">
        <v>75.873451964034899</v>
      </c>
      <c r="AK1210">
        <v>0.43634858811449601</v>
      </c>
      <c r="AL1210">
        <v>95.229977144533095</v>
      </c>
      <c r="AM1210">
        <v>88.649800913985899</v>
      </c>
      <c r="AN1210">
        <v>0.99999995217366899</v>
      </c>
    </row>
    <row r="1211" spans="1:40" x14ac:dyDescent="0.25">
      <c r="A1211" t="str">
        <f>"20190303154119719"</f>
        <v>20190303154119719</v>
      </c>
      <c r="B1211" t="str">
        <f>"1551598879710295"</f>
        <v>1551598879710295</v>
      </c>
      <c r="C1211" t="s">
        <v>40</v>
      </c>
      <c r="D1211">
        <v>5.9944300000000004</v>
      </c>
      <c r="E1211">
        <v>0.55432190000000003</v>
      </c>
      <c r="F1211" t="s">
        <v>42</v>
      </c>
      <c r="G1211">
        <v>-279.66930000000002</v>
      </c>
      <c r="H1211">
        <v>0.84901930000000003</v>
      </c>
      <c r="I1211">
        <v>367.3861</v>
      </c>
      <c r="J1211">
        <v>-280.29640000000001</v>
      </c>
      <c r="K1211">
        <v>1.0728009999999999</v>
      </c>
      <c r="L1211">
        <v>367.53050000000002</v>
      </c>
      <c r="M1211">
        <v>0.99994229999999995</v>
      </c>
      <c r="N1211">
        <v>-9.9824070000000004E-3</v>
      </c>
      <c r="O1211">
        <v>4.0077510000000004E-3</v>
      </c>
      <c r="P1211">
        <v>0.99470449999999999</v>
      </c>
      <c r="Q1211">
        <v>-0.1009202</v>
      </c>
      <c r="R1211">
        <v>-1.94544E-2</v>
      </c>
      <c r="S1211">
        <v>2.9286189999999999</v>
      </c>
      <c r="T1211">
        <v>-0.75876469999999996</v>
      </c>
      <c r="U1211">
        <v>-0.4870911</v>
      </c>
      <c r="V1211">
        <v>2.3437079999999999E-2</v>
      </c>
      <c r="W1211">
        <v>-9.0987410000000005E-2</v>
      </c>
      <c r="X1211">
        <v>0.99557620000000002</v>
      </c>
      <c r="Y1211">
        <v>0.16246540000000001</v>
      </c>
      <c r="Z1211">
        <v>-2.237546E-2</v>
      </c>
      <c r="AA1211">
        <v>0.98646049999999996</v>
      </c>
      <c r="AB1211">
        <v>24</v>
      </c>
      <c r="AC1211">
        <v>0.627099999999984</v>
      </c>
      <c r="AD1211">
        <v>-0.2237817</v>
      </c>
      <c r="AE1211">
        <v>-0.14440000000001799</v>
      </c>
      <c r="AF1211">
        <v>0.13106267733695601</v>
      </c>
      <c r="AG1211">
        <v>-0.2237817</v>
      </c>
      <c r="AH1211">
        <v>0.55892484222301497</v>
      </c>
      <c r="AI1211">
        <v>111.296104294345</v>
      </c>
      <c r="AJ1211">
        <v>76.803105530372605</v>
      </c>
      <c r="AK1211">
        <v>0.61615960099607603</v>
      </c>
      <c r="AL1211">
        <v>95.220414662630006</v>
      </c>
      <c r="AM1211">
        <v>88.651436437453199</v>
      </c>
      <c r="AN1211">
        <v>0.99999998775193699</v>
      </c>
    </row>
    <row r="1212" spans="1:40" x14ac:dyDescent="0.25">
      <c r="A1212" t="str">
        <f>"20190303154119743"</f>
        <v>20190303154119743</v>
      </c>
      <c r="B1212" t="str">
        <f>"1551598879740552"</f>
        <v>1551598879740552</v>
      </c>
      <c r="C1212" t="s">
        <v>40</v>
      </c>
      <c r="D1212">
        <v>6.151135</v>
      </c>
      <c r="E1212">
        <v>0.55420029999999998</v>
      </c>
      <c r="F1212" t="s">
        <v>42</v>
      </c>
      <c r="G1212">
        <v>-279.44709999999998</v>
      </c>
      <c r="H1212">
        <v>0.85377610000000004</v>
      </c>
      <c r="I1212">
        <v>367.38740000000001</v>
      </c>
      <c r="J1212">
        <v>-280.03149999999999</v>
      </c>
      <c r="K1212">
        <v>1.073868</v>
      </c>
      <c r="L1212">
        <v>367.53149999999999</v>
      </c>
      <c r="M1212">
        <v>0.99996359999999995</v>
      </c>
      <c r="N1212">
        <v>-7.5341729999999999E-3</v>
      </c>
      <c r="O1212">
        <v>4.0089670000000004E-3</v>
      </c>
      <c r="P1212">
        <v>0.99499550000000003</v>
      </c>
      <c r="Q1212">
        <v>-9.8151859999999994E-2</v>
      </c>
      <c r="R1212">
        <v>-1.8726199999999998E-2</v>
      </c>
      <c r="S1212">
        <v>2.9296880000000001</v>
      </c>
      <c r="T1212">
        <v>-0.75546340000000001</v>
      </c>
      <c r="U1212">
        <v>-0.49246220000000002</v>
      </c>
      <c r="V1212">
        <v>2.271109E-2</v>
      </c>
      <c r="W1212">
        <v>-9.0654189999999996E-2</v>
      </c>
      <c r="X1212">
        <v>0.99562340000000005</v>
      </c>
      <c r="Y1212">
        <v>0.16421189999999999</v>
      </c>
      <c r="Z1212">
        <v>-2.2307E-2</v>
      </c>
      <c r="AA1212">
        <v>0.98617290000000002</v>
      </c>
      <c r="AB1212">
        <v>25</v>
      </c>
      <c r="AC1212">
        <v>0.58440000000001602</v>
      </c>
      <c r="AD1212">
        <v>-0.22009189999999901</v>
      </c>
      <c r="AE1212">
        <v>-0.14409999999997999</v>
      </c>
      <c r="AF1212">
        <v>0.12917072561010601</v>
      </c>
      <c r="AG1212">
        <v>-0.22009189999999901</v>
      </c>
      <c r="AH1212">
        <v>0.51496341055168604</v>
      </c>
      <c r="AI1212">
        <v>112.516492164737</v>
      </c>
      <c r="AJ1212">
        <v>75.918750359772503</v>
      </c>
      <c r="AK1212">
        <v>0.57472848807700105</v>
      </c>
      <c r="AL1212">
        <v>95.201243449982698</v>
      </c>
      <c r="AM1212">
        <v>88.693256929353097</v>
      </c>
      <c r="AN1212">
        <v>0.99999996520055101</v>
      </c>
    </row>
    <row r="1213" spans="1:40" x14ac:dyDescent="0.25">
      <c r="A1213" t="str">
        <f>"20190303154119764"</f>
        <v>20190303154119764</v>
      </c>
      <c r="B1213" t="str">
        <f>"1551598879760072"</f>
        <v>1551598879760072</v>
      </c>
      <c r="C1213" t="s">
        <v>40</v>
      </c>
      <c r="D1213">
        <v>6.1158320000000002</v>
      </c>
      <c r="E1213">
        <v>0.55347469999999999</v>
      </c>
      <c r="F1213" t="s">
        <v>42</v>
      </c>
      <c r="G1213">
        <v>-279.22199999999998</v>
      </c>
      <c r="H1213">
        <v>0.86322869999999996</v>
      </c>
      <c r="I1213">
        <v>367.3963</v>
      </c>
      <c r="J1213">
        <v>-279.7946</v>
      </c>
      <c r="K1213">
        <v>1.075115</v>
      </c>
      <c r="L1213">
        <v>367.5324</v>
      </c>
      <c r="M1213">
        <v>0.99997720000000001</v>
      </c>
      <c r="N1213">
        <v>-5.4507920000000003E-3</v>
      </c>
      <c r="O1213">
        <v>4.0097209999999999E-3</v>
      </c>
      <c r="P1213">
        <v>0.99522949999999999</v>
      </c>
      <c r="Q1213">
        <v>-9.5926880000000006E-2</v>
      </c>
      <c r="R1213">
        <v>-1.779524E-2</v>
      </c>
      <c r="S1213">
        <v>2.930634</v>
      </c>
      <c r="T1213">
        <v>-0.76260139999999998</v>
      </c>
      <c r="U1213">
        <v>-0.48925780000000002</v>
      </c>
      <c r="V1213">
        <v>2.1781809999999999E-2</v>
      </c>
      <c r="W1213">
        <v>-9.0502040000000006E-2</v>
      </c>
      <c r="X1213">
        <v>0.99565800000000004</v>
      </c>
      <c r="Y1213">
        <v>0.163092299999999</v>
      </c>
      <c r="Z1213">
        <v>-2.2188630000000001E-2</v>
      </c>
      <c r="AA1213">
        <v>0.9863613</v>
      </c>
      <c r="AB1213">
        <v>25</v>
      </c>
      <c r="AC1213">
        <v>0.57260000000002198</v>
      </c>
      <c r="AD1213">
        <v>-0.2118863</v>
      </c>
      <c r="AE1213">
        <v>-0.136099999999999</v>
      </c>
      <c r="AF1213">
        <v>0.12251575197470101</v>
      </c>
      <c r="AG1213">
        <v>-0.2118863</v>
      </c>
      <c r="AH1213">
        <v>0.50641383401944295</v>
      </c>
      <c r="AI1213">
        <v>112.130273486777</v>
      </c>
      <c r="AJ1213">
        <v>76.399855519842006</v>
      </c>
      <c r="AK1213">
        <v>0.56245967401751495</v>
      </c>
      <c r="AL1213">
        <v>95.192489942623297</v>
      </c>
      <c r="AM1213">
        <v>88.746751651529706</v>
      </c>
      <c r="AN1213">
        <v>0.99999995972751798</v>
      </c>
    </row>
    <row r="1214" spans="1:40" x14ac:dyDescent="0.25">
      <c r="A1214" t="str">
        <f>"20190303154119787"</f>
        <v>20190303154119787</v>
      </c>
      <c r="B1214" t="str">
        <f>"1551598879780568"</f>
        <v>1551598879780568</v>
      </c>
      <c r="C1214" t="s">
        <v>40</v>
      </c>
      <c r="D1214">
        <v>6.0608089999999999</v>
      </c>
      <c r="E1214">
        <v>0.55372980000000005</v>
      </c>
      <c r="F1214" t="s">
        <v>42</v>
      </c>
      <c r="G1214">
        <v>-278.99919999999997</v>
      </c>
      <c r="H1214">
        <v>0.86489369999999999</v>
      </c>
      <c r="I1214">
        <v>367.4015</v>
      </c>
      <c r="J1214">
        <v>-279.54199999999997</v>
      </c>
      <c r="K1214">
        <v>1.0766359999999999</v>
      </c>
      <c r="L1214">
        <v>367.53339999999997</v>
      </c>
      <c r="M1214">
        <v>0.99998620000000005</v>
      </c>
      <c r="N1214">
        <v>-3.4244179999999998E-3</v>
      </c>
      <c r="O1214">
        <v>4.0104040000000004E-3</v>
      </c>
      <c r="P1214">
        <v>0.99543300000000001</v>
      </c>
      <c r="Q1214">
        <v>-9.3918699999999994E-2</v>
      </c>
      <c r="R1214">
        <v>-1.7103429999999999E-2</v>
      </c>
      <c r="S1214">
        <v>2.9310909999999999</v>
      </c>
      <c r="T1214">
        <v>-0.77479960000000003</v>
      </c>
      <c r="U1214">
        <v>-0.48107909999999998</v>
      </c>
      <c r="V1214">
        <v>2.109167E-2</v>
      </c>
      <c r="W1214">
        <v>-9.0510519999999997E-2</v>
      </c>
      <c r="X1214">
        <v>0.99567209999999995</v>
      </c>
      <c r="Y1214">
        <v>0.16034849999999901</v>
      </c>
      <c r="Z1214">
        <v>-2.2006830000000002E-2</v>
      </c>
      <c r="AA1214">
        <v>0.98681509999999995</v>
      </c>
      <c r="AB1214">
        <v>25</v>
      </c>
      <c r="AC1214">
        <v>0.54280000000005602</v>
      </c>
      <c r="AD1214">
        <v>-0.21174229999999999</v>
      </c>
      <c r="AE1214">
        <v>-0.13189999999997301</v>
      </c>
      <c r="AF1214">
        <v>0.11723112546851699</v>
      </c>
      <c r="AG1214">
        <v>-0.21174229999999999</v>
      </c>
      <c r="AH1214">
        <v>0.47413874261459099</v>
      </c>
      <c r="AI1214">
        <v>113.438089214366</v>
      </c>
      <c r="AJ1214">
        <v>76.112110580577095</v>
      </c>
      <c r="AK1214">
        <v>0.53233963372648696</v>
      </c>
      <c r="AL1214">
        <v>95.192977750545694</v>
      </c>
      <c r="AM1214">
        <v>88.786464978944693</v>
      </c>
      <c r="AN1214">
        <v>0.99999997174623401</v>
      </c>
    </row>
    <row r="1215" spans="1:40" x14ac:dyDescent="0.25">
      <c r="A1215" t="str">
        <f>"20190303154119808"</f>
        <v>20190303154119808</v>
      </c>
      <c r="B1215" t="str">
        <f>"1551598879800088"</f>
        <v>1551598879800088</v>
      </c>
      <c r="C1215" t="s">
        <v>40</v>
      </c>
      <c r="D1215">
        <v>5.9859410000000004</v>
      </c>
      <c r="E1215">
        <v>0.5532165</v>
      </c>
      <c r="F1215" t="s">
        <v>42</v>
      </c>
      <c r="G1215">
        <v>-278.77280000000002</v>
      </c>
      <c r="H1215">
        <v>0.87320589999999998</v>
      </c>
      <c r="I1215">
        <v>367.40730000000002</v>
      </c>
      <c r="J1215">
        <v>-279.29399999999998</v>
      </c>
      <c r="K1215">
        <v>1.078211</v>
      </c>
      <c r="L1215">
        <v>367.53440000000001</v>
      </c>
      <c r="M1215">
        <v>0.99999059999999995</v>
      </c>
      <c r="N1215">
        <v>-1.583449E-3</v>
      </c>
      <c r="O1215">
        <v>4.010909E-3</v>
      </c>
      <c r="P1215">
        <v>0.99561860000000002</v>
      </c>
      <c r="Q1215">
        <v>-9.1956449999999995E-2</v>
      </c>
      <c r="R1215">
        <v>-1.6962649999999999E-2</v>
      </c>
      <c r="S1215">
        <v>2.932312</v>
      </c>
      <c r="T1215">
        <v>-0.77550140000000001</v>
      </c>
      <c r="U1215">
        <v>-0.48080440000000002</v>
      </c>
      <c r="V1215">
        <v>2.0952189999999999E-2</v>
      </c>
      <c r="W1215">
        <v>-9.0380799999999997E-2</v>
      </c>
      <c r="X1215">
        <v>0.99568679999999998</v>
      </c>
      <c r="Y1215">
        <v>0.16022939999999999</v>
      </c>
      <c r="Z1215">
        <v>-2.185819E-2</v>
      </c>
      <c r="AA1215">
        <v>0.98683770000000004</v>
      </c>
      <c r="AB1215">
        <v>25</v>
      </c>
      <c r="AC1215">
        <v>0.52120000000002098</v>
      </c>
      <c r="AD1215">
        <v>-0.205005099999999</v>
      </c>
      <c r="AE1215">
        <v>-0.127099999999984</v>
      </c>
      <c r="AF1215">
        <v>0.112728131718709</v>
      </c>
      <c r="AG1215">
        <v>-0.205005099999999</v>
      </c>
      <c r="AH1215">
        <v>0.45434015631824898</v>
      </c>
      <c r="AI1215">
        <v>113.65036686534199</v>
      </c>
      <c r="AJ1215">
        <v>76.065507549312898</v>
      </c>
      <c r="AK1215">
        <v>0.51103786586719002</v>
      </c>
      <c r="AL1215">
        <v>95.185514900866394</v>
      </c>
      <c r="AM1215">
        <v>88.794505547726203</v>
      </c>
      <c r="AN1215">
        <v>0.99999994348433596</v>
      </c>
    </row>
    <row r="1216" spans="1:40" x14ac:dyDescent="0.25">
      <c r="A1216" t="str">
        <f>"20190303154119831"</f>
        <v>20190303154119831</v>
      </c>
      <c r="B1216" t="str">
        <f>"1551598879820584"</f>
        <v>1551598879820584</v>
      </c>
      <c r="C1216" t="s">
        <v>40</v>
      </c>
      <c r="D1216">
        <v>5.9700160000000002</v>
      </c>
      <c r="E1216">
        <v>0.55282969999999998</v>
      </c>
      <c r="F1216" t="s">
        <v>42</v>
      </c>
      <c r="G1216">
        <v>-278.54640000000001</v>
      </c>
      <c r="H1216">
        <v>0.87900319999999899</v>
      </c>
      <c r="I1216">
        <v>367.4128</v>
      </c>
      <c r="J1216">
        <v>-279.04480000000001</v>
      </c>
      <c r="K1216">
        <v>1.0797890000000001</v>
      </c>
      <c r="L1216">
        <v>367.53550000000001</v>
      </c>
      <c r="M1216">
        <v>0.99999210000000005</v>
      </c>
      <c r="N1216">
        <v>1.080004E-4</v>
      </c>
      <c r="O1216">
        <v>4.0112719999999998E-3</v>
      </c>
      <c r="P1216">
        <v>0.99584229999999996</v>
      </c>
      <c r="Q1216">
        <v>-8.9503269999999996E-2</v>
      </c>
      <c r="R1216">
        <v>-1.695698E-2</v>
      </c>
      <c r="S1216">
        <v>2.9328609999999999</v>
      </c>
      <c r="T1216">
        <v>-0.78153240000000002</v>
      </c>
      <c r="U1216">
        <v>-0.47644039999999999</v>
      </c>
      <c r="V1216">
        <v>2.094797E-2</v>
      </c>
      <c r="W1216">
        <v>-8.9611659999999996E-2</v>
      </c>
      <c r="X1216">
        <v>0.99575639999999999</v>
      </c>
      <c r="Y1216">
        <v>0.15876970000000001</v>
      </c>
      <c r="Z1216">
        <v>-2.1698390000000001E-2</v>
      </c>
      <c r="AA1216">
        <v>0.98707719999999999</v>
      </c>
      <c r="AB1216">
        <v>25</v>
      </c>
      <c r="AC1216">
        <v>0.49840000000000301</v>
      </c>
      <c r="AD1216">
        <v>-0.20078579999999999</v>
      </c>
      <c r="AE1216">
        <v>-0.122700000000008</v>
      </c>
      <c r="AF1216">
        <v>0.108149014883136</v>
      </c>
      <c r="AG1216">
        <v>-0.20078579999999999</v>
      </c>
      <c r="AH1216">
        <v>0.43182494278015499</v>
      </c>
      <c r="AI1216">
        <v>114.27728349261101</v>
      </c>
      <c r="AJ1216">
        <v>75.939685180608194</v>
      </c>
      <c r="AK1216">
        <v>0.48834816279875298</v>
      </c>
      <c r="AL1216">
        <v>95.141266897896401</v>
      </c>
      <c r="AM1216">
        <v>88.794832494021307</v>
      </c>
      <c r="AN1216">
        <v>0.99999993759801598</v>
      </c>
    </row>
    <row r="1217" spans="1:40" x14ac:dyDescent="0.25">
      <c r="A1217" t="str">
        <f>"20190303154119852"</f>
        <v>20190303154119852</v>
      </c>
      <c r="B1217" t="str">
        <f>"1551598879840104"</f>
        <v>1551598879840104</v>
      </c>
      <c r="C1217" t="s">
        <v>40</v>
      </c>
      <c r="D1217">
        <v>5.9760150000000003</v>
      </c>
      <c r="E1217">
        <v>0.55237709999999995</v>
      </c>
      <c r="F1217" t="s">
        <v>42</v>
      </c>
      <c r="G1217">
        <v>-278.31869999999998</v>
      </c>
      <c r="H1217">
        <v>0.88596030000000003</v>
      </c>
      <c r="I1217">
        <v>367.41820000000001</v>
      </c>
      <c r="J1217">
        <v>-278.7955</v>
      </c>
      <c r="K1217">
        <v>1.081329</v>
      </c>
      <c r="L1217">
        <v>367.53649999999999</v>
      </c>
      <c r="M1217">
        <v>0.99999079999999996</v>
      </c>
      <c r="N1217">
        <v>1.60775E-3</v>
      </c>
      <c r="O1217">
        <v>4.0116689999999998E-3</v>
      </c>
      <c r="P1217">
        <v>0.99597000000000002</v>
      </c>
      <c r="Q1217">
        <v>-8.8054400000000005E-2</v>
      </c>
      <c r="R1217">
        <v>-1.704841E-2</v>
      </c>
      <c r="S1217">
        <v>2.9340519999999999</v>
      </c>
      <c r="T1217">
        <v>-0.78328819999999999</v>
      </c>
      <c r="U1217">
        <v>-0.47335820000000001</v>
      </c>
      <c r="V1217">
        <v>2.1040139999999999E-2</v>
      </c>
      <c r="W1217">
        <v>-8.9656260000000002E-2</v>
      </c>
      <c r="X1217">
        <v>0.99575049999999998</v>
      </c>
      <c r="Y1217">
        <v>0.1577404</v>
      </c>
      <c r="Z1217">
        <v>-2.1489660000000001E-2</v>
      </c>
      <c r="AA1217">
        <v>0.98724679999999998</v>
      </c>
      <c r="AB1217">
        <v>25</v>
      </c>
      <c r="AC1217">
        <v>0.47680000000002498</v>
      </c>
      <c r="AD1217">
        <v>-0.19536869999999901</v>
      </c>
      <c r="AE1217">
        <v>-0.11829999999997599</v>
      </c>
      <c r="AF1217">
        <v>0.10379563376926899</v>
      </c>
      <c r="AG1217">
        <v>-0.19536869999999901</v>
      </c>
      <c r="AH1217">
        <v>0.41127488927505401</v>
      </c>
      <c r="AI1217">
        <v>114.73032846173901</v>
      </c>
      <c r="AJ1217">
        <v>75.835737860126699</v>
      </c>
      <c r="AK1217">
        <v>0.467000532202547</v>
      </c>
      <c r="AL1217">
        <v>95.143832319557305</v>
      </c>
      <c r="AM1217">
        <v>88.789524222584006</v>
      </c>
      <c r="AN1217">
        <v>0.99999999534932804</v>
      </c>
    </row>
    <row r="1218" spans="1:40" x14ac:dyDescent="0.25">
      <c r="A1218" t="str">
        <f>"20190303154119876"</f>
        <v>20190303154119876</v>
      </c>
      <c r="B1218" t="str">
        <f>"1551598879870363"</f>
        <v>1551598879870363</v>
      </c>
      <c r="C1218" t="s">
        <v>40</v>
      </c>
      <c r="D1218">
        <v>5.9667620000000001</v>
      </c>
      <c r="E1218">
        <v>0.55254110000000001</v>
      </c>
      <c r="F1218" t="s">
        <v>42</v>
      </c>
      <c r="G1218">
        <v>-278.09039999999999</v>
      </c>
      <c r="H1218">
        <v>0.89217209999999902</v>
      </c>
      <c r="I1218">
        <v>367.42320000000001</v>
      </c>
      <c r="J1218">
        <v>-278.53919999999999</v>
      </c>
      <c r="K1218">
        <v>1.083024</v>
      </c>
      <c r="L1218">
        <v>367.53750000000002</v>
      </c>
      <c r="M1218">
        <v>0.99998929999999997</v>
      </c>
      <c r="N1218">
        <v>2.2864640000000002E-3</v>
      </c>
      <c r="O1218">
        <v>4.0125079999999997E-3</v>
      </c>
      <c r="P1218">
        <v>0.99607140000000005</v>
      </c>
      <c r="Q1218">
        <v>-8.6862399999999895E-2</v>
      </c>
      <c r="R1218">
        <v>-1.7221239999999999E-2</v>
      </c>
      <c r="S1218">
        <v>2.9345089999999998</v>
      </c>
      <c r="T1218">
        <v>-0.78722479999999995</v>
      </c>
      <c r="U1218">
        <v>-0.47039789999999998</v>
      </c>
      <c r="V1218">
        <v>2.1214489999999999E-2</v>
      </c>
      <c r="W1218">
        <v>-8.9140300000000006E-2</v>
      </c>
      <c r="X1218">
        <v>0.99579309999999999</v>
      </c>
      <c r="Y1218">
        <v>0.1567402</v>
      </c>
      <c r="Z1218">
        <v>-2.1411280000000001E-2</v>
      </c>
      <c r="AA1218">
        <v>0.9874077</v>
      </c>
      <c r="AB1218">
        <v>25</v>
      </c>
      <c r="AC1218">
        <v>0.44880000000000497</v>
      </c>
      <c r="AD1218">
        <v>-0.19085189999999999</v>
      </c>
      <c r="AE1218">
        <v>-0.114300000000014</v>
      </c>
      <c r="AF1218">
        <v>9.9245774004495496E-2</v>
      </c>
      <c r="AG1218">
        <v>-0.19085189999999999</v>
      </c>
      <c r="AH1218">
        <v>0.38325294258714998</v>
      </c>
      <c r="AI1218">
        <v>115.737671834309</v>
      </c>
      <c r="AJ1218">
        <v>75.481809738429703</v>
      </c>
      <c r="AK1218">
        <v>0.43949629053391398</v>
      </c>
      <c r="AL1218">
        <v>95.114151259425597</v>
      </c>
      <c r="AM1218">
        <v>88.779548783390297</v>
      </c>
      <c r="AN1218">
        <v>0.99999997283882902</v>
      </c>
    </row>
    <row r="1219" spans="1:40" x14ac:dyDescent="0.25">
      <c r="A1219" t="str">
        <f>"20190303154119898"</f>
        <v>20190303154119898</v>
      </c>
      <c r="B1219" t="str">
        <f>"1551598879890860"</f>
        <v>1551598879890860</v>
      </c>
      <c r="C1219" t="s">
        <v>40</v>
      </c>
      <c r="D1219">
        <v>5.9414220000000002</v>
      </c>
      <c r="E1219">
        <v>0.55227289999999996</v>
      </c>
      <c r="F1219" t="s">
        <v>42</v>
      </c>
      <c r="G1219">
        <v>-277.86250000000001</v>
      </c>
      <c r="H1219">
        <v>0.901065</v>
      </c>
      <c r="I1219">
        <v>367.42860000000002</v>
      </c>
      <c r="J1219">
        <v>-278.28769999999997</v>
      </c>
      <c r="K1219">
        <v>1.085191</v>
      </c>
      <c r="L1219">
        <v>367.5385</v>
      </c>
      <c r="M1219">
        <v>0.99999009999999999</v>
      </c>
      <c r="N1219">
        <v>1.9289800000000001E-3</v>
      </c>
      <c r="O1219">
        <v>4.0128789999999996E-3</v>
      </c>
      <c r="P1219">
        <v>0.996058</v>
      </c>
      <c r="Q1219">
        <v>-8.6934830000000005E-2</v>
      </c>
      <c r="R1219">
        <v>-1.7641259999999999E-2</v>
      </c>
      <c r="S1219">
        <v>2.9348749999999999</v>
      </c>
      <c r="T1219">
        <v>-0.78903970000000001</v>
      </c>
      <c r="U1219">
        <v>-0.47171020000000002</v>
      </c>
      <c r="V1219">
        <v>2.1634609999999999E-2</v>
      </c>
      <c r="W1219">
        <v>-8.885672E-2</v>
      </c>
      <c r="X1219">
        <v>0.99580939999999996</v>
      </c>
      <c r="Y1219">
        <v>0.15710850000000001</v>
      </c>
      <c r="Z1219">
        <v>-2.1531410000000001E-2</v>
      </c>
      <c r="AA1219">
        <v>0.98734659999999996</v>
      </c>
      <c r="AB1219">
        <v>25</v>
      </c>
      <c r="AC1219">
        <v>0.425199999999961</v>
      </c>
      <c r="AD1219">
        <v>-0.18412600000000001</v>
      </c>
      <c r="AE1219">
        <v>-0.109899999999981</v>
      </c>
      <c r="AF1219">
        <v>9.4920655432918E-2</v>
      </c>
      <c r="AG1219">
        <v>-0.18412600000000001</v>
      </c>
      <c r="AH1219">
        <v>0.36125562193032501</v>
      </c>
      <c r="AI1219">
        <v>116.241041329577</v>
      </c>
      <c r="AJ1219">
        <v>75.278186460614293</v>
      </c>
      <c r="AK1219">
        <v>0.416434795712463</v>
      </c>
      <c r="AL1219">
        <v>95.097838618582102</v>
      </c>
      <c r="AM1219">
        <v>88.755407538838696</v>
      </c>
      <c r="AN1219">
        <v>0.99999996708368399</v>
      </c>
    </row>
    <row r="1220" spans="1:40" x14ac:dyDescent="0.25">
      <c r="A1220" t="str">
        <f>"20190303154119920"</f>
        <v>20190303154119920</v>
      </c>
      <c r="B1220" t="str">
        <f>"1551598879910376"</f>
        <v>1551598879910376</v>
      </c>
      <c r="C1220" t="s">
        <v>40</v>
      </c>
      <c r="D1220">
        <v>5.9461029999999999</v>
      </c>
      <c r="E1220">
        <v>0.55202329999999999</v>
      </c>
      <c r="F1220" t="s">
        <v>42</v>
      </c>
      <c r="G1220">
        <v>-277.43439999999998</v>
      </c>
      <c r="H1220">
        <v>0.85386010000000001</v>
      </c>
      <c r="I1220">
        <v>367.40159999999997</v>
      </c>
      <c r="J1220">
        <v>-278.03829999999999</v>
      </c>
      <c r="K1220">
        <v>1.0875779999999999</v>
      </c>
      <c r="L1220">
        <v>367.53949999999998</v>
      </c>
      <c r="M1220">
        <v>0.99999079999999996</v>
      </c>
      <c r="N1220">
        <v>1.5988479999999999E-3</v>
      </c>
      <c r="O1220">
        <v>4.013165E-3</v>
      </c>
      <c r="P1220">
        <v>0.99601189999999995</v>
      </c>
      <c r="Q1220">
        <v>-8.7325860000000005E-2</v>
      </c>
      <c r="R1220">
        <v>-1.8299409999999999E-2</v>
      </c>
      <c r="S1220">
        <v>2.934113</v>
      </c>
      <c r="T1220">
        <v>-0.7953829</v>
      </c>
      <c r="U1220">
        <v>-0.4704895</v>
      </c>
      <c r="V1220">
        <v>2.2292940000000001E-2</v>
      </c>
      <c r="W1220">
        <v>-8.8918940000000002E-2</v>
      </c>
      <c r="X1220">
        <v>0.99578929999999999</v>
      </c>
      <c r="Y1220">
        <v>0.15666579999999999</v>
      </c>
      <c r="Z1220">
        <v>-2.1672899999999998E-2</v>
      </c>
      <c r="AA1220">
        <v>0.98741389999999996</v>
      </c>
      <c r="AB1220">
        <v>25</v>
      </c>
      <c r="AC1220">
        <v>0.60390000000000998</v>
      </c>
      <c r="AD1220">
        <v>-0.23371790000000001</v>
      </c>
      <c r="AE1220">
        <v>-0.13790000000000099</v>
      </c>
      <c r="AF1220">
        <v>0.12283588729168</v>
      </c>
      <c r="AG1220">
        <v>-0.23371790000000001</v>
      </c>
      <c r="AH1220">
        <v>0.52815511347976096</v>
      </c>
      <c r="AI1220">
        <v>113.316718279556</v>
      </c>
      <c r="AJ1220">
        <v>76.907168676219598</v>
      </c>
      <c r="AK1220">
        <v>0.59047483933014799</v>
      </c>
      <c r="AL1220">
        <v>95.101417860210702</v>
      </c>
      <c r="AM1220">
        <v>88.717521817303094</v>
      </c>
      <c r="AN1220">
        <v>0.99999994152952598</v>
      </c>
    </row>
    <row r="1221" spans="1:40" x14ac:dyDescent="0.25">
      <c r="A1221" t="str">
        <f>"20190303154119943"</f>
        <v>20190303154119943</v>
      </c>
      <c r="B1221" t="str">
        <f>"1551598879940631"</f>
        <v>1551598879940631</v>
      </c>
      <c r="C1221" t="s">
        <v>40</v>
      </c>
      <c r="D1221">
        <v>5.9096419999999998</v>
      </c>
      <c r="E1221">
        <v>0.55189250000000001</v>
      </c>
      <c r="F1221" t="s">
        <v>42</v>
      </c>
      <c r="G1221">
        <v>-277.20549999999997</v>
      </c>
      <c r="H1221">
        <v>0.85997969999999901</v>
      </c>
      <c r="I1221">
        <v>367.40550000000002</v>
      </c>
      <c r="J1221">
        <v>-277.77609999999999</v>
      </c>
      <c r="K1221">
        <v>1.0901479999999999</v>
      </c>
      <c r="L1221">
        <v>367.54050000000001</v>
      </c>
      <c r="M1221">
        <v>0.9999905</v>
      </c>
      <c r="N1221">
        <v>1.703946E-3</v>
      </c>
      <c r="O1221">
        <v>4.0134380000000002E-3</v>
      </c>
      <c r="P1221">
        <v>0.9960251</v>
      </c>
      <c r="Q1221">
        <v>-8.7136660000000005E-2</v>
      </c>
      <c r="R1221">
        <v>-1.8473779999999999E-2</v>
      </c>
      <c r="S1221">
        <v>2.9330750000000001</v>
      </c>
      <c r="T1221">
        <v>-0.80164269999999904</v>
      </c>
      <c r="U1221">
        <v>-0.47094730000000001</v>
      </c>
      <c r="V1221">
        <v>2.2467629999999999E-2</v>
      </c>
      <c r="W1221">
        <v>-8.8834430000000006E-2</v>
      </c>
      <c r="X1221">
        <v>0.99579300000000004</v>
      </c>
      <c r="Y1221">
        <v>0.15677769999999999</v>
      </c>
      <c r="Z1221">
        <v>-2.18525E-2</v>
      </c>
      <c r="AA1221">
        <v>0.98739209999999999</v>
      </c>
      <c r="AB1221">
        <v>25</v>
      </c>
      <c r="AC1221">
        <v>0.57060000000001299</v>
      </c>
      <c r="AD1221">
        <v>-0.23016829999999999</v>
      </c>
      <c r="AE1221">
        <v>-0.13499999999998999</v>
      </c>
      <c r="AF1221">
        <v>0.11895868735698301</v>
      </c>
      <c r="AG1221">
        <v>-0.23016829999999999</v>
      </c>
      <c r="AH1221">
        <v>0.49394222957685602</v>
      </c>
      <c r="AI1221">
        <v>114.371914224785</v>
      </c>
      <c r="AJ1221">
        <v>76.459026822515398</v>
      </c>
      <c r="AK1221">
        <v>0.55777015139028596</v>
      </c>
      <c r="AL1221">
        <v>95.096556131156603</v>
      </c>
      <c r="AM1221">
        <v>88.707480369997498</v>
      </c>
      <c r="AN1221">
        <v>1.0000000246001199</v>
      </c>
    </row>
    <row r="1222" spans="1:40" x14ac:dyDescent="0.25">
      <c r="A1222" t="str">
        <f>"20190303154119966"</f>
        <v>20190303154119966</v>
      </c>
      <c r="B1222" t="str">
        <f>"1551598879960152"</f>
        <v>1551598879960152</v>
      </c>
      <c r="C1222" t="s">
        <v>40</v>
      </c>
      <c r="D1222">
        <v>5.9031260000000003</v>
      </c>
      <c r="E1222">
        <v>0.55182919999999902</v>
      </c>
      <c r="F1222" t="s">
        <v>42</v>
      </c>
      <c r="G1222">
        <v>-276.97300000000001</v>
      </c>
      <c r="H1222">
        <v>0.86948110000000001</v>
      </c>
      <c r="I1222">
        <v>367.41140000000001</v>
      </c>
      <c r="J1222">
        <v>-277.51749999999998</v>
      </c>
      <c r="K1222">
        <v>1.0928180000000001</v>
      </c>
      <c r="L1222">
        <v>367.54149999999998</v>
      </c>
      <c r="M1222">
        <v>0.9999905</v>
      </c>
      <c r="N1222">
        <v>1.7119710000000001E-3</v>
      </c>
      <c r="O1222">
        <v>4.0139080000000001E-3</v>
      </c>
      <c r="P1222">
        <v>0.99607869999999998</v>
      </c>
      <c r="Q1222">
        <v>-8.6503070000000001E-2</v>
      </c>
      <c r="R1222">
        <v>-1.856114E-2</v>
      </c>
      <c r="S1222">
        <v>2.9327700000000001</v>
      </c>
      <c r="T1222">
        <v>-0.80581210000000003</v>
      </c>
      <c r="U1222">
        <v>-0.47042850000000003</v>
      </c>
      <c r="V1222">
        <v>2.2555720000000001E-2</v>
      </c>
      <c r="W1222">
        <v>-8.8208949999999994E-2</v>
      </c>
      <c r="X1222">
        <v>0.99584660000000003</v>
      </c>
      <c r="Y1222">
        <v>0.1565714</v>
      </c>
      <c r="Z1222">
        <v>-2.193732E-2</v>
      </c>
      <c r="AA1222">
        <v>0.98742300000000005</v>
      </c>
      <c r="AB1222">
        <v>25</v>
      </c>
      <c r="AC1222">
        <v>0.54449999999997001</v>
      </c>
      <c r="AD1222">
        <v>-0.2233369</v>
      </c>
      <c r="AE1222">
        <v>-0.13009999999996999</v>
      </c>
      <c r="AF1222">
        <v>0.1141217699004</v>
      </c>
      <c r="AG1222">
        <v>-0.2233369</v>
      </c>
      <c r="AH1222">
        <v>0.46928547514691898</v>
      </c>
      <c r="AI1222">
        <v>114.81729773620501</v>
      </c>
      <c r="AJ1222">
        <v>76.332007087227893</v>
      </c>
      <c r="AK1222">
        <v>0.53210150013947499</v>
      </c>
      <c r="AL1222">
        <v>95.060577572700694</v>
      </c>
      <c r="AM1222">
        <v>88.702484267376093</v>
      </c>
      <c r="AN1222">
        <v>1.00000001504819</v>
      </c>
    </row>
    <row r="1223" spans="1:40" x14ac:dyDescent="0.25">
      <c r="A1223" t="str">
        <f>"20190303154119987"</f>
        <v>20190303154119987</v>
      </c>
      <c r="B1223" t="str">
        <f>"1551598879980647"</f>
        <v>1551598879980647</v>
      </c>
      <c r="C1223" t="s">
        <v>40</v>
      </c>
      <c r="D1223">
        <v>5.8515709999999999</v>
      </c>
      <c r="E1223">
        <v>0.55163399999999996</v>
      </c>
      <c r="F1223" t="s">
        <v>42</v>
      </c>
      <c r="G1223">
        <v>-276.73939999999999</v>
      </c>
      <c r="H1223">
        <v>0.87887850000000001</v>
      </c>
      <c r="I1223">
        <v>367.41669999999999</v>
      </c>
      <c r="J1223">
        <v>-277.26620000000003</v>
      </c>
      <c r="K1223">
        <v>1.0955490000000001</v>
      </c>
      <c r="L1223">
        <v>367.54250000000002</v>
      </c>
      <c r="M1223">
        <v>0.99999119999999997</v>
      </c>
      <c r="N1223">
        <v>1.3100729999999999E-3</v>
      </c>
      <c r="O1223">
        <v>4.014742E-3</v>
      </c>
      <c r="P1223">
        <v>0.99606510000000004</v>
      </c>
      <c r="Q1223">
        <v>-8.6660559999999998E-2</v>
      </c>
      <c r="R1223">
        <v>-1.8562120000000001E-2</v>
      </c>
      <c r="S1223">
        <v>2.9330750000000001</v>
      </c>
      <c r="T1223">
        <v>-0.80657219999999996</v>
      </c>
      <c r="U1223">
        <v>-0.46957399999999999</v>
      </c>
      <c r="V1223">
        <v>2.2557440000000002E-2</v>
      </c>
      <c r="W1223">
        <v>-8.7966169999999996E-2</v>
      </c>
      <c r="X1223">
        <v>0.99586799999999998</v>
      </c>
      <c r="Y1223">
        <v>0.1562683</v>
      </c>
      <c r="Z1223">
        <v>-2.19461E-2</v>
      </c>
      <c r="AA1223">
        <v>0.98747079999999998</v>
      </c>
      <c r="AB1223">
        <v>26</v>
      </c>
      <c r="AC1223">
        <v>0.52680000000003702</v>
      </c>
      <c r="AD1223">
        <v>-0.21667049999999899</v>
      </c>
      <c r="AE1223">
        <v>-0.125800000000026</v>
      </c>
      <c r="AF1223">
        <v>0.110267057831266</v>
      </c>
      <c r="AG1223">
        <v>-0.21667049999999899</v>
      </c>
      <c r="AH1223">
        <v>0.45368409990516001</v>
      </c>
      <c r="AI1223">
        <v>114.894595776941</v>
      </c>
      <c r="AJ1223">
        <v>76.3392497153215</v>
      </c>
      <c r="AK1223">
        <v>0.51471758481692498</v>
      </c>
      <c r="AL1223">
        <v>95.046613200520497</v>
      </c>
      <c r="AM1223">
        <v>88.702413232998595</v>
      </c>
      <c r="AN1223">
        <v>0.99999997929391105</v>
      </c>
    </row>
    <row r="1224" spans="1:40" x14ac:dyDescent="0.25">
      <c r="A1224" t="str">
        <f>"20190303154120008"</f>
        <v>20190303154120008</v>
      </c>
      <c r="B1224" t="str">
        <f>"1551598880000168"</f>
        <v>1551598880000168</v>
      </c>
      <c r="C1224" t="s">
        <v>40</v>
      </c>
      <c r="D1224">
        <v>5.8368250000000002</v>
      </c>
      <c r="E1224">
        <v>0.55145449999999996</v>
      </c>
      <c r="F1224" t="s">
        <v>42</v>
      </c>
      <c r="G1224">
        <v>-276.50650000000002</v>
      </c>
      <c r="H1224">
        <v>0.8858665</v>
      </c>
      <c r="I1224">
        <v>367.4212</v>
      </c>
      <c r="J1224">
        <v>-277.01260000000002</v>
      </c>
      <c r="K1224">
        <v>1.098309</v>
      </c>
      <c r="L1224">
        <v>367.54349999999999</v>
      </c>
      <c r="M1224">
        <v>0.99999190000000004</v>
      </c>
      <c r="N1224">
        <v>5.9326279999999995E-4</v>
      </c>
      <c r="O1224">
        <v>4.0155470000000004E-3</v>
      </c>
      <c r="P1224">
        <v>0.9959981</v>
      </c>
      <c r="Q1224">
        <v>-8.7448189999999995E-2</v>
      </c>
      <c r="R1224">
        <v>-1.8456569999999999E-2</v>
      </c>
      <c r="S1224">
        <v>2.932709</v>
      </c>
      <c r="T1224">
        <v>-0.80949349999999998</v>
      </c>
      <c r="U1224">
        <v>-0.46801759999999898</v>
      </c>
      <c r="V1224">
        <v>2.2452630000000001E-2</v>
      </c>
      <c r="W1224">
        <v>-8.8039870000000006E-2</v>
      </c>
      <c r="X1224">
        <v>0.99586390000000002</v>
      </c>
      <c r="Y1224">
        <v>0.1557385</v>
      </c>
      <c r="Z1224">
        <v>-2.2010189999999999E-2</v>
      </c>
      <c r="AA1224">
        <v>0.98755309999999996</v>
      </c>
      <c r="AB1224">
        <v>26</v>
      </c>
      <c r="AC1224">
        <v>0.50610000000000299</v>
      </c>
      <c r="AD1224">
        <v>-0.21244249999999901</v>
      </c>
      <c r="AE1224">
        <v>-0.122299999999995</v>
      </c>
      <c r="AF1224">
        <v>0.106586723333308</v>
      </c>
      <c r="AG1224">
        <v>-0.21244249999999901</v>
      </c>
      <c r="AH1224">
        <v>0.43344490494653698</v>
      </c>
      <c r="AI1224">
        <v>115.451960035735</v>
      </c>
      <c r="AJ1224">
        <v>76.184736498042696</v>
      </c>
      <c r="AK1224">
        <v>0.49433493809490497</v>
      </c>
      <c r="AL1224">
        <v>95.050852123651794</v>
      </c>
      <c r="AM1224">
        <v>88.708434926453606</v>
      </c>
      <c r="AN1224">
        <v>1.0000000233133699</v>
      </c>
    </row>
    <row r="1225" spans="1:40" x14ac:dyDescent="0.25">
      <c r="A1225" t="str">
        <f>"20190303154120021"</f>
        <v>20190303154120021</v>
      </c>
      <c r="B1225" t="str">
        <f>"1551598880009928"</f>
        <v>1551598880009928</v>
      </c>
      <c r="C1225" t="s">
        <v>40</v>
      </c>
      <c r="D1225">
        <v>5.8353020000000004</v>
      </c>
      <c r="E1225">
        <v>0.55135639999999997</v>
      </c>
      <c r="F1225" t="s">
        <v>42</v>
      </c>
      <c r="G1225">
        <v>-276.2731</v>
      </c>
      <c r="H1225">
        <v>0.89279580000000003</v>
      </c>
      <c r="I1225">
        <v>367.42570000000001</v>
      </c>
      <c r="J1225">
        <v>-276.87689999999998</v>
      </c>
      <c r="K1225">
        <v>1.099734</v>
      </c>
      <c r="L1225">
        <v>367.54410000000001</v>
      </c>
      <c r="M1225">
        <v>0.99999210000000005</v>
      </c>
      <c r="N1225">
        <v>1.6628929999999999E-4</v>
      </c>
      <c r="O1225">
        <v>4.0157989999999996E-3</v>
      </c>
      <c r="P1225">
        <v>0.99595270000000002</v>
      </c>
      <c r="Q1225">
        <v>-8.7919709999999998E-2</v>
      </c>
      <c r="R1225">
        <v>-1.8671090000000001E-2</v>
      </c>
      <c r="S1225">
        <v>2.931854</v>
      </c>
      <c r="T1225">
        <v>-0.81479239999999997</v>
      </c>
      <c r="U1225">
        <v>-0.46591189999999999</v>
      </c>
      <c r="V1225">
        <v>2.266717E-2</v>
      </c>
      <c r="W1225">
        <v>-8.8086170000000005E-2</v>
      </c>
      <c r="X1225">
        <v>0.99585489999999999</v>
      </c>
      <c r="Y1225">
        <v>0.155029799999999</v>
      </c>
      <c r="Z1225">
        <v>-2.2093169999999999E-2</v>
      </c>
      <c r="AA1225">
        <v>0.9876627</v>
      </c>
      <c r="AB1225">
        <v>26</v>
      </c>
      <c r="AC1225">
        <v>0.60379999999997802</v>
      </c>
      <c r="AD1225">
        <v>-0.20693819999999999</v>
      </c>
      <c r="AE1225">
        <v>-0.118400000000008</v>
      </c>
      <c r="AF1225">
        <v>0.10854593452785399</v>
      </c>
      <c r="AG1225">
        <v>-0.20693819999999999</v>
      </c>
      <c r="AH1225">
        <v>0.54201163091620996</v>
      </c>
      <c r="AI1225">
        <v>110.52405510744001</v>
      </c>
      <c r="AJ1225">
        <v>78.675471379073301</v>
      </c>
      <c r="AK1225">
        <v>0.590239143542865</v>
      </c>
      <c r="AL1225">
        <v>95.053515494843097</v>
      </c>
      <c r="AM1225">
        <v>88.696086188136505</v>
      </c>
      <c r="AN1225">
        <v>0.99999997789754302</v>
      </c>
    </row>
    <row r="1226" spans="1:40" x14ac:dyDescent="0.25">
      <c r="A1226" t="str">
        <f>"20190303154120032"</f>
        <v>20190303154120032</v>
      </c>
      <c r="B1226" t="str">
        <f>"1551598880020664"</f>
        <v>1551598880020664</v>
      </c>
      <c r="C1226" t="s">
        <v>40</v>
      </c>
      <c r="D1226">
        <v>5.8266999999999998</v>
      </c>
      <c r="E1226">
        <v>0.55125119999999905</v>
      </c>
      <c r="F1226" t="s">
        <v>42</v>
      </c>
      <c r="G1226">
        <v>-276.05070000000001</v>
      </c>
      <c r="H1226">
        <v>0.86928050000000001</v>
      </c>
      <c r="I1226">
        <v>367.4126</v>
      </c>
      <c r="J1226">
        <v>-276.74310000000003</v>
      </c>
      <c r="K1226">
        <v>1.1010930000000001</v>
      </c>
      <c r="L1226">
        <v>367.5446</v>
      </c>
      <c r="M1226">
        <v>0.99999210000000005</v>
      </c>
      <c r="N1226">
        <v>-2.5845860000000003E-4</v>
      </c>
      <c r="O1226">
        <v>4.0159599999999998E-3</v>
      </c>
      <c r="P1226">
        <v>0.99591160000000001</v>
      </c>
      <c r="Q1226">
        <v>-8.8366810000000004E-2</v>
      </c>
      <c r="R1226">
        <v>-1.8760949999999998E-2</v>
      </c>
      <c r="S1226">
        <v>2.9312740000000002</v>
      </c>
      <c r="T1226">
        <v>-0.81769250000000004</v>
      </c>
      <c r="U1226">
        <v>-0.4658813</v>
      </c>
      <c r="V1226">
        <v>2.2756869999999998E-2</v>
      </c>
      <c r="W1226">
        <v>-8.8110240000000006E-2</v>
      </c>
      <c r="X1226">
        <v>0.99585069999999998</v>
      </c>
      <c r="Y1226">
        <v>0.154999</v>
      </c>
      <c r="Z1226">
        <v>-2.2201129999999999E-2</v>
      </c>
      <c r="AA1226">
        <v>0.98766509999999996</v>
      </c>
      <c r="AB1226">
        <v>26</v>
      </c>
      <c r="AC1226">
        <v>0.69240000000002</v>
      </c>
      <c r="AD1226">
        <v>-0.2318125</v>
      </c>
      <c r="AE1226">
        <v>-0.132000000000005</v>
      </c>
      <c r="AF1226">
        <v>0.12162496487376</v>
      </c>
      <c r="AG1226">
        <v>-0.2318125</v>
      </c>
      <c r="AH1226">
        <v>0.62433766867488805</v>
      </c>
      <c r="AI1226">
        <v>110.02389744814801</v>
      </c>
      <c r="AJ1226">
        <v>78.976478281575098</v>
      </c>
      <c r="AK1226">
        <v>0.67699866452097801</v>
      </c>
      <c r="AL1226">
        <v>95.054900113115195</v>
      </c>
      <c r="AM1226">
        <v>88.690922528448496</v>
      </c>
      <c r="AN1226">
        <v>0.99999995310777101</v>
      </c>
    </row>
    <row r="1227" spans="1:40" x14ac:dyDescent="0.25">
      <c r="A1227" t="str">
        <f>"20190303154120045"</f>
        <v>20190303154120045</v>
      </c>
      <c r="B1227" t="str">
        <f>"1551598880040184"</f>
        <v>1551598880040184</v>
      </c>
      <c r="C1227" t="s">
        <v>40</v>
      </c>
      <c r="D1227">
        <v>5.814997</v>
      </c>
      <c r="E1227">
        <v>0.55106650000000001</v>
      </c>
      <c r="F1227" t="s">
        <v>42</v>
      </c>
      <c r="G1227">
        <v>-276.03750000000002</v>
      </c>
      <c r="H1227">
        <v>0.90361740000000002</v>
      </c>
      <c r="I1227">
        <v>367.4325</v>
      </c>
      <c r="J1227">
        <v>-276.60120000000001</v>
      </c>
      <c r="K1227">
        <v>1.1024529999999999</v>
      </c>
      <c r="L1227">
        <v>367.54520000000002</v>
      </c>
      <c r="M1227">
        <v>0.99999179999999999</v>
      </c>
      <c r="N1227">
        <v>-6.8995949999999895E-4</v>
      </c>
      <c r="O1227">
        <v>4.0159690000000003E-3</v>
      </c>
      <c r="P1227">
        <v>0.99584859999999997</v>
      </c>
      <c r="Q1227">
        <v>-8.9046600000000004E-2</v>
      </c>
      <c r="R1227">
        <v>-1.887875E-2</v>
      </c>
      <c r="S1227">
        <v>2.9307859999999999</v>
      </c>
      <c r="T1227">
        <v>-0.82029509999999894</v>
      </c>
      <c r="U1227">
        <v>-0.46505740000000001</v>
      </c>
      <c r="V1227">
        <v>2.2874749999999999E-2</v>
      </c>
      <c r="W1227">
        <v>-8.8360380000000002E-2</v>
      </c>
      <c r="X1227">
        <v>0.99582590000000004</v>
      </c>
      <c r="Y1227">
        <v>0.15471599999999999</v>
      </c>
      <c r="Z1227">
        <v>-2.226701E-2</v>
      </c>
      <c r="AA1227">
        <v>0.98770800000000003</v>
      </c>
      <c r="AB1227">
        <v>26</v>
      </c>
      <c r="AC1227">
        <v>0.56369999999998299</v>
      </c>
      <c r="AD1227">
        <v>-0.1988356</v>
      </c>
      <c r="AE1227">
        <v>-0.11270000000001799</v>
      </c>
      <c r="AF1227">
        <v>0.102678587503769</v>
      </c>
      <c r="AG1227">
        <v>-0.1988356</v>
      </c>
      <c r="AH1227">
        <v>0.50305780506462605</v>
      </c>
      <c r="AI1227">
        <v>111.169860307706</v>
      </c>
      <c r="AJ1227">
        <v>78.463878175424895</v>
      </c>
      <c r="AK1227">
        <v>0.55058663568558197</v>
      </c>
      <c r="AL1227">
        <v>95.069287873693995</v>
      </c>
      <c r="AM1227">
        <v>88.684111160372098</v>
      </c>
      <c r="AN1227">
        <v>1.0000000170260499</v>
      </c>
    </row>
    <row r="1228" spans="1:40" x14ac:dyDescent="0.25">
      <c r="A1228" t="str">
        <f>"20190303154120058"</f>
        <v>20190303154120058</v>
      </c>
      <c r="B1228" t="str">
        <f>"1551598880050922"</f>
        <v>1551598880050922</v>
      </c>
      <c r="C1228" t="s">
        <v>40</v>
      </c>
      <c r="D1228">
        <v>5.8282400000000001</v>
      </c>
      <c r="E1228">
        <v>0.55098019999999903</v>
      </c>
      <c r="F1228" t="s">
        <v>42</v>
      </c>
      <c r="G1228">
        <v>-275.8141</v>
      </c>
      <c r="H1228">
        <v>0.88090499999999905</v>
      </c>
      <c r="I1228">
        <v>367.4203</v>
      </c>
      <c r="J1228">
        <v>-276.44490000000002</v>
      </c>
      <c r="K1228">
        <v>1.1038969999999999</v>
      </c>
      <c r="L1228">
        <v>367.54579999999999</v>
      </c>
      <c r="M1228">
        <v>0.99999139999999997</v>
      </c>
      <c r="N1228">
        <v>-1.1530399999999999E-3</v>
      </c>
      <c r="O1228">
        <v>4.0161040000000004E-3</v>
      </c>
      <c r="P1228">
        <v>0.99579289999999998</v>
      </c>
      <c r="Q1228">
        <v>-8.9681949999999996E-2</v>
      </c>
      <c r="R1228">
        <v>-1.8814069999999999E-2</v>
      </c>
      <c r="S1228">
        <v>2.9299620000000002</v>
      </c>
      <c r="T1228">
        <v>-0.82462999999999997</v>
      </c>
      <c r="U1228">
        <v>-0.46392820000000001</v>
      </c>
      <c r="V1228">
        <v>2.2809900000000001E-2</v>
      </c>
      <c r="W1228">
        <v>-8.8534639999999998E-2</v>
      </c>
      <c r="X1228">
        <v>0.99581189999999997</v>
      </c>
      <c r="Y1228">
        <v>0.1543272</v>
      </c>
      <c r="Z1228">
        <v>-2.2368079999999999E-2</v>
      </c>
      <c r="AA1228">
        <v>0.98776660000000005</v>
      </c>
      <c r="AB1228">
        <v>26</v>
      </c>
      <c r="AC1228">
        <v>0.63080000000002201</v>
      </c>
      <c r="AD1228">
        <v>-0.222992</v>
      </c>
      <c r="AE1228">
        <v>-0.12549999999998801</v>
      </c>
      <c r="AF1228">
        <v>0.11429329024064599</v>
      </c>
      <c r="AG1228">
        <v>-0.222992</v>
      </c>
      <c r="AH1228">
        <v>0.56265483780051395</v>
      </c>
      <c r="AI1228">
        <v>111.225629200973</v>
      </c>
      <c r="AJ1228">
        <v>78.517614888193606</v>
      </c>
      <c r="AK1228">
        <v>0.61592926116426305</v>
      </c>
      <c r="AL1228">
        <v>95.079311570909098</v>
      </c>
      <c r="AM1228">
        <v>88.687821962892897</v>
      </c>
      <c r="AN1228">
        <v>1.0000000070997701</v>
      </c>
    </row>
    <row r="1229" spans="1:40" x14ac:dyDescent="0.25">
      <c r="A1229" t="str">
        <f>"20190303154120070"</f>
        <v>20190303154120070</v>
      </c>
      <c r="B1229" t="str">
        <f>"1551598880060680"</f>
        <v>1551598880060680</v>
      </c>
      <c r="C1229" t="s">
        <v>40</v>
      </c>
      <c r="D1229">
        <v>5.8172839999999999</v>
      </c>
      <c r="E1229">
        <v>0.55091250000000003</v>
      </c>
      <c r="F1229" t="s">
        <v>42</v>
      </c>
      <c r="G1229">
        <v>-275.58859999999999</v>
      </c>
      <c r="H1229">
        <v>0.86196200000000001</v>
      </c>
      <c r="I1229">
        <v>367.41039999999998</v>
      </c>
      <c r="J1229">
        <v>-276.29300000000001</v>
      </c>
      <c r="K1229">
        <v>1.105202</v>
      </c>
      <c r="L1229">
        <v>367.54640000000001</v>
      </c>
      <c r="M1229">
        <v>0.99999059999999995</v>
      </c>
      <c r="N1229">
        <v>-1.5831689999999999E-3</v>
      </c>
      <c r="O1229">
        <v>4.016337E-3</v>
      </c>
      <c r="P1229">
        <v>0.99576290000000001</v>
      </c>
      <c r="Q1229">
        <v>-8.9968989999999999E-2</v>
      </c>
      <c r="R1229">
        <v>-1.9017610000000001E-2</v>
      </c>
      <c r="S1229">
        <v>2.9293819999999999</v>
      </c>
      <c r="T1229">
        <v>-0.82762119999999995</v>
      </c>
      <c r="U1229">
        <v>-0.4633179</v>
      </c>
      <c r="V1229">
        <v>2.3013459999999999E-2</v>
      </c>
      <c r="W1229">
        <v>-8.8393399999999997E-2</v>
      </c>
      <c r="X1229">
        <v>0.99581969999999997</v>
      </c>
      <c r="Y1229">
        <v>0.15411059999999999</v>
      </c>
      <c r="Z1229">
        <v>-2.245287E-2</v>
      </c>
      <c r="AA1229">
        <v>0.98779850000000002</v>
      </c>
      <c r="AB1229">
        <v>26</v>
      </c>
      <c r="AC1229">
        <v>0.70440000000002101</v>
      </c>
      <c r="AD1229">
        <v>-0.24323999999999901</v>
      </c>
      <c r="AE1229">
        <v>-0.13600000000002399</v>
      </c>
      <c r="AF1229">
        <v>0.124514196865815</v>
      </c>
      <c r="AG1229">
        <v>-0.24323999999999901</v>
      </c>
      <c r="AH1229">
        <v>0.63127806460598102</v>
      </c>
      <c r="AI1229">
        <v>110.708108373485</v>
      </c>
      <c r="AJ1229">
        <v>78.842122478364303</v>
      </c>
      <c r="AK1229">
        <v>0.68788187770416798</v>
      </c>
      <c r="AL1229">
        <v>95.071187585000601</v>
      </c>
      <c r="AM1229">
        <v>88.676126345020805</v>
      </c>
      <c r="AN1229">
        <v>0.99999994370640899</v>
      </c>
    </row>
    <row r="1230" spans="1:40" x14ac:dyDescent="0.25">
      <c r="A1230" t="str">
        <f>"20190303154120082"</f>
        <v>20190303154120082</v>
      </c>
      <c r="B1230" t="str">
        <f>"1551598880080200"</f>
        <v>1551598880080200</v>
      </c>
      <c r="C1230" t="s">
        <v>40</v>
      </c>
      <c r="D1230">
        <v>5.7884310000000001</v>
      </c>
      <c r="E1230">
        <v>0.5507803</v>
      </c>
      <c r="F1230" t="s">
        <v>42</v>
      </c>
      <c r="G1230">
        <v>-275.57339999999999</v>
      </c>
      <c r="H1230">
        <v>0.90136340000000004</v>
      </c>
      <c r="I1230">
        <v>367.43259999999998</v>
      </c>
      <c r="J1230">
        <v>-276.15989999999999</v>
      </c>
      <c r="K1230">
        <v>1.106282</v>
      </c>
      <c r="L1230">
        <v>367.54700000000003</v>
      </c>
      <c r="M1230">
        <v>0.99999020000000005</v>
      </c>
      <c r="N1230">
        <v>-1.9482799999999999E-3</v>
      </c>
      <c r="O1230">
        <v>4.0163050000000004E-3</v>
      </c>
      <c r="P1230">
        <v>0.99571200000000004</v>
      </c>
      <c r="Q1230">
        <v>-9.0513399999999994E-2</v>
      </c>
      <c r="R1230">
        <v>-1.9118349999999999E-2</v>
      </c>
      <c r="S1230">
        <v>2.9289550000000002</v>
      </c>
      <c r="T1230">
        <v>-0.82967219999999997</v>
      </c>
      <c r="U1230">
        <v>-0.4633179</v>
      </c>
      <c r="V1230">
        <v>2.3113970000000001E-2</v>
      </c>
      <c r="W1230">
        <v>-8.857429E-2</v>
      </c>
      <c r="X1230">
        <v>0.9958013</v>
      </c>
      <c r="Y1230">
        <v>0.1540945</v>
      </c>
      <c r="Z1230">
        <v>-2.2534439999999999E-2</v>
      </c>
      <c r="AA1230">
        <v>0.98779910000000004</v>
      </c>
      <c r="AB1230">
        <v>26</v>
      </c>
      <c r="AC1230">
        <v>0.58650000000000002</v>
      </c>
      <c r="AD1230">
        <v>-0.20491859999999901</v>
      </c>
      <c r="AE1230">
        <v>-0.114399999999989</v>
      </c>
      <c r="AF1230">
        <v>0.104469015899062</v>
      </c>
      <c r="AG1230">
        <v>-0.20491859999999901</v>
      </c>
      <c r="AH1230">
        <v>0.52436957906822701</v>
      </c>
      <c r="AI1230">
        <v>110.969746260186</v>
      </c>
      <c r="AJ1230">
        <v>78.732614032350796</v>
      </c>
      <c r="AK1230">
        <v>0.57259834383367503</v>
      </c>
      <c r="AL1230">
        <v>95.081592626371204</v>
      </c>
      <c r="AM1230">
        <v>88.6703219120852</v>
      </c>
      <c r="AN1230">
        <v>0.99999994476992504</v>
      </c>
    </row>
    <row r="1231" spans="1:40" x14ac:dyDescent="0.25">
      <c r="A1231" t="str">
        <f>"20190303154120094"</f>
        <v>20190303154120094</v>
      </c>
      <c r="B1231" t="str">
        <f>"1551598880090936"</f>
        <v>1551598880090936</v>
      </c>
      <c r="C1231" t="s">
        <v>40</v>
      </c>
      <c r="D1231">
        <v>5.7906659999999999</v>
      </c>
      <c r="E1231">
        <v>0.55072089999999996</v>
      </c>
      <c r="F1231" t="s">
        <v>42</v>
      </c>
      <c r="G1231">
        <v>-275.34980000000002</v>
      </c>
      <c r="H1231">
        <v>0.87582919999999997</v>
      </c>
      <c r="I1231">
        <v>367.4187</v>
      </c>
      <c r="J1231">
        <v>-276.01589999999999</v>
      </c>
      <c r="K1231">
        <v>1.1074040000000001</v>
      </c>
      <c r="L1231">
        <v>367.54759999999999</v>
      </c>
      <c r="M1231">
        <v>0.99998929999999997</v>
      </c>
      <c r="N1231">
        <v>-2.3352389999999998E-3</v>
      </c>
      <c r="O1231">
        <v>4.0165970000000002E-3</v>
      </c>
      <c r="P1231">
        <v>0.99565539999999997</v>
      </c>
      <c r="Q1231">
        <v>-9.1153529999999997E-2</v>
      </c>
      <c r="R1231">
        <v>-1.9012769999999998E-2</v>
      </c>
      <c r="S1231">
        <v>2.9283139999999999</v>
      </c>
      <c r="T1231">
        <v>-0.83310390000000001</v>
      </c>
      <c r="U1231">
        <v>-0.46258539999999998</v>
      </c>
      <c r="V1231">
        <v>2.3008489999999999E-2</v>
      </c>
      <c r="W1231">
        <v>-8.8829229999999995E-2</v>
      </c>
      <c r="X1231">
        <v>0.99578109999999997</v>
      </c>
      <c r="Y1231">
        <v>0.15383659999999999</v>
      </c>
      <c r="Z1231">
        <v>-2.2621749999999999E-2</v>
      </c>
      <c r="AA1231">
        <v>0.98783730000000003</v>
      </c>
      <c r="AB1231">
        <v>26</v>
      </c>
      <c r="AC1231">
        <v>0.66609999999997105</v>
      </c>
      <c r="AD1231">
        <v>-0.2315748</v>
      </c>
      <c r="AE1231">
        <v>-0.128899999999987</v>
      </c>
      <c r="AF1231">
        <v>0.11784510362350401</v>
      </c>
      <c r="AG1231">
        <v>-0.2315748</v>
      </c>
      <c r="AH1231">
        <v>0.59612632615495098</v>
      </c>
      <c r="AI1231">
        <v>110.861391817409</v>
      </c>
      <c r="AJ1231">
        <v>78.817674268237198</v>
      </c>
      <c r="AK1231">
        <v>0.65029297487984095</v>
      </c>
      <c r="AL1231">
        <v>95.0962570805018</v>
      </c>
      <c r="AM1231">
        <v>88.676360859119697</v>
      </c>
      <c r="AN1231">
        <v>1.00000001091584</v>
      </c>
    </row>
    <row r="1232" spans="1:40" x14ac:dyDescent="0.25">
      <c r="A1232" t="str">
        <f>"20190303154120110"</f>
        <v>20190303154120110</v>
      </c>
      <c r="B1232" t="str">
        <f>"1551598880100696"</f>
        <v>1551598880100696</v>
      </c>
      <c r="C1232" t="s">
        <v>40</v>
      </c>
      <c r="D1232">
        <v>5.7584949999999999</v>
      </c>
      <c r="E1232">
        <v>0.55066470000000001</v>
      </c>
      <c r="F1232" t="s">
        <v>42</v>
      </c>
      <c r="G1232">
        <v>-275.33519999999999</v>
      </c>
      <c r="H1232">
        <v>0.91301359999999998</v>
      </c>
      <c r="I1232">
        <v>367.44</v>
      </c>
      <c r="J1232">
        <v>-275.83269999999999</v>
      </c>
      <c r="K1232">
        <v>1.1086910000000001</v>
      </c>
      <c r="L1232">
        <v>367.54829999999998</v>
      </c>
      <c r="M1232">
        <v>0.99998810000000005</v>
      </c>
      <c r="N1232">
        <v>-2.7983190000000001E-3</v>
      </c>
      <c r="O1232">
        <v>4.0168259999999898E-3</v>
      </c>
      <c r="P1232">
        <v>0.99559739999999997</v>
      </c>
      <c r="Q1232">
        <v>-9.1719869999999995E-2</v>
      </c>
      <c r="R1232">
        <v>-1.9319340000000001E-2</v>
      </c>
      <c r="S1232">
        <v>2.927673</v>
      </c>
      <c r="T1232">
        <v>-0.83617949999999996</v>
      </c>
      <c r="U1232">
        <v>-0.46182250000000002</v>
      </c>
      <c r="V1232">
        <v>2.3315160000000001E-2</v>
      </c>
      <c r="W1232">
        <v>-8.8934609999999997E-2</v>
      </c>
      <c r="X1232">
        <v>0.9957646</v>
      </c>
      <c r="Y1232">
        <v>0.15357209999999999</v>
      </c>
      <c r="Z1232">
        <v>-2.2704220000000001E-2</v>
      </c>
      <c r="AA1232">
        <v>0.98787659999999999</v>
      </c>
      <c r="AB1232">
        <v>26</v>
      </c>
      <c r="AC1232">
        <v>0.497500000000002</v>
      </c>
      <c r="AD1232">
        <v>-0.1956774</v>
      </c>
      <c r="AE1232">
        <v>-0.10829999999998501</v>
      </c>
      <c r="AF1232">
        <v>9.6102881416836594E-2</v>
      </c>
      <c r="AG1232">
        <v>-0.1956774</v>
      </c>
      <c r="AH1232">
        <v>0.43309221533236802</v>
      </c>
      <c r="AI1232">
        <v>113.801591616488</v>
      </c>
      <c r="AJ1232">
        <v>77.488822116588693</v>
      </c>
      <c r="AK1232">
        <v>0.48486521391916398</v>
      </c>
      <c r="AL1232">
        <v>95.102318700995397</v>
      </c>
      <c r="AM1232">
        <v>88.658702842996306</v>
      </c>
      <c r="AN1232">
        <v>1.00000005007741</v>
      </c>
    </row>
    <row r="1233" spans="1:40" x14ac:dyDescent="0.25">
      <c r="A1233" t="str">
        <f>"20190303154120123"</f>
        <v>20190303154120123</v>
      </c>
      <c r="B1233" t="str">
        <f>"1551598880110456"</f>
        <v>1551598880110456</v>
      </c>
      <c r="C1233" t="s">
        <v>40</v>
      </c>
      <c r="D1233">
        <v>5.7595789999999996</v>
      </c>
      <c r="E1233">
        <v>0.55060489999999995</v>
      </c>
      <c r="F1233" t="s">
        <v>42</v>
      </c>
      <c r="G1233">
        <v>-275.1062</v>
      </c>
      <c r="H1233">
        <v>0.90049509999999899</v>
      </c>
      <c r="I1233">
        <v>367.43349999999998</v>
      </c>
      <c r="J1233">
        <v>-275.69060000000002</v>
      </c>
      <c r="K1233">
        <v>1.1096239999999999</v>
      </c>
      <c r="L1233">
        <v>367.5489</v>
      </c>
      <c r="M1233">
        <v>0.99998710000000002</v>
      </c>
      <c r="N1233">
        <v>-3.1405719999999999E-3</v>
      </c>
      <c r="O1233">
        <v>4.0171440000000003E-3</v>
      </c>
      <c r="P1233">
        <v>0.99557419999999996</v>
      </c>
      <c r="Q1233">
        <v>-9.1912380000000002E-2</v>
      </c>
      <c r="R1233">
        <v>-1.9606149999999999E-2</v>
      </c>
      <c r="S1233">
        <v>2.9270320000000001</v>
      </c>
      <c r="T1233">
        <v>-0.83875200000000005</v>
      </c>
      <c r="U1233">
        <v>-0.46218870000000001</v>
      </c>
      <c r="V1233">
        <v>2.3602149999999999E-2</v>
      </c>
      <c r="W1233">
        <v>-8.8786390000000007E-2</v>
      </c>
      <c r="X1233">
        <v>0.99577099999999996</v>
      </c>
      <c r="Y1233">
        <v>0.15367510000000001</v>
      </c>
      <c r="Z1233">
        <v>-2.2815579999999999E-2</v>
      </c>
      <c r="AA1233">
        <v>0.98785800000000001</v>
      </c>
      <c r="AB1233">
        <v>26</v>
      </c>
      <c r="AC1233">
        <v>0.58440000000001602</v>
      </c>
      <c r="AD1233">
        <v>-0.20912890000000001</v>
      </c>
      <c r="AE1233">
        <v>-0.115400000000022</v>
      </c>
      <c r="AF1233">
        <v>0.10482658536563499</v>
      </c>
      <c r="AG1233">
        <v>-0.20912890000000001</v>
      </c>
      <c r="AH1233">
        <v>0.51985802616189902</v>
      </c>
      <c r="AI1233">
        <v>111.52147759613599</v>
      </c>
      <c r="AJ1233">
        <v>78.599489497115698</v>
      </c>
      <c r="AK1233">
        <v>0.57006655504385995</v>
      </c>
      <c r="AL1233">
        <v>95.093792927367403</v>
      </c>
      <c r="AM1233">
        <v>88.642207470440795</v>
      </c>
      <c r="AN1233">
        <v>0.999999984487427</v>
      </c>
    </row>
    <row r="1234" spans="1:40" x14ac:dyDescent="0.25">
      <c r="A1234" t="str">
        <f>"20190303154120134"</f>
        <v>20190303154120134</v>
      </c>
      <c r="B1234" t="str">
        <f>"1551598880130952"</f>
        <v>1551598880130952</v>
      </c>
      <c r="C1234" t="s">
        <v>40</v>
      </c>
      <c r="D1234">
        <v>5.7282250000000001</v>
      </c>
      <c r="E1234">
        <v>0.55052639999999997</v>
      </c>
      <c r="F1234" t="s">
        <v>42</v>
      </c>
      <c r="G1234">
        <v>-274.88060000000002</v>
      </c>
      <c r="H1234">
        <v>0.87723200000000001</v>
      </c>
      <c r="I1234">
        <v>367.42039999999997</v>
      </c>
      <c r="J1234">
        <v>-275.54860000000002</v>
      </c>
      <c r="K1234">
        <v>1.1105100000000001</v>
      </c>
      <c r="L1234">
        <v>367.54950000000002</v>
      </c>
      <c r="M1234">
        <v>0.99998589999999998</v>
      </c>
      <c r="N1234">
        <v>-3.47029E-3</v>
      </c>
      <c r="O1234">
        <v>4.0174249999999998E-3</v>
      </c>
      <c r="P1234">
        <v>0.99554759999999998</v>
      </c>
      <c r="Q1234">
        <v>-9.2244190000000004E-2</v>
      </c>
      <c r="R1234">
        <v>-1.938898E-2</v>
      </c>
      <c r="S1234">
        <v>2.926666</v>
      </c>
      <c r="T1234">
        <v>-0.83972979999999997</v>
      </c>
      <c r="U1234">
        <v>-0.4628601</v>
      </c>
      <c r="V1234">
        <v>2.3385280000000001E-2</v>
      </c>
      <c r="W1234">
        <v>-8.8789960000000001E-2</v>
      </c>
      <c r="X1234">
        <v>0.99577579999999999</v>
      </c>
      <c r="Y1234">
        <v>0.15388460000000001</v>
      </c>
      <c r="Z1234">
        <v>-2.2897669999999998E-2</v>
      </c>
      <c r="AA1234">
        <v>0.98782349999999997</v>
      </c>
      <c r="AB1234">
        <v>26</v>
      </c>
      <c r="AC1234">
        <v>0.66800000000000603</v>
      </c>
      <c r="AD1234">
        <v>-0.23327800000000001</v>
      </c>
      <c r="AE1234">
        <v>-0.12910000000005001</v>
      </c>
      <c r="AF1234">
        <v>0.117919676101989</v>
      </c>
      <c r="AG1234">
        <v>-0.23327800000000001</v>
      </c>
      <c r="AH1234">
        <v>0.59726048881492899</v>
      </c>
      <c r="AI1234">
        <v>110.965988044767</v>
      </c>
      <c r="AJ1234">
        <v>78.831489614836599</v>
      </c>
      <c r="AK1234">
        <v>0.65195380725588703</v>
      </c>
      <c r="AL1234">
        <v>95.0939982761615</v>
      </c>
      <c r="AM1234">
        <v>88.654685517920797</v>
      </c>
      <c r="AN1234">
        <v>0.99999998609155905</v>
      </c>
    </row>
    <row r="1235" spans="1:40" x14ac:dyDescent="0.25">
      <c r="A1235" t="str">
        <f>"20190303154120149"</f>
        <v>20190303154120149</v>
      </c>
      <c r="B1235" t="str">
        <f>"1551598880140712"</f>
        <v>1551598880140712</v>
      </c>
      <c r="C1235" t="s">
        <v>40</v>
      </c>
      <c r="D1235">
        <v>5.7156599999999997</v>
      </c>
      <c r="E1235">
        <v>0.5505063</v>
      </c>
      <c r="F1235" t="s">
        <v>42</v>
      </c>
      <c r="G1235">
        <v>-274.86610000000002</v>
      </c>
      <c r="H1235">
        <v>0.91418140000000003</v>
      </c>
      <c r="I1235">
        <v>367.44139999999999</v>
      </c>
      <c r="J1235">
        <v>-275.38589999999999</v>
      </c>
      <c r="K1235">
        <v>1.1114200000000001</v>
      </c>
      <c r="L1235">
        <v>367.55009999999999</v>
      </c>
      <c r="M1235">
        <v>0.99998480000000001</v>
      </c>
      <c r="N1235">
        <v>-3.816987E-3</v>
      </c>
      <c r="O1235">
        <v>4.0176190000000001E-3</v>
      </c>
      <c r="P1235">
        <v>0.99550649999999996</v>
      </c>
      <c r="Q1235">
        <v>-9.2679339999999999E-2</v>
      </c>
      <c r="R1235">
        <v>-1.9432999999999999E-2</v>
      </c>
      <c r="S1235">
        <v>2.9264220000000001</v>
      </c>
      <c r="T1235">
        <v>-0.84195659999999894</v>
      </c>
      <c r="U1235">
        <v>-0.46176149999999999</v>
      </c>
      <c r="V1235">
        <v>2.3429180000000001E-2</v>
      </c>
      <c r="W1235">
        <v>-8.8880020000000004E-2</v>
      </c>
      <c r="X1235">
        <v>0.99576679999999995</v>
      </c>
      <c r="Y1235">
        <v>0.15350929999999999</v>
      </c>
      <c r="Z1235">
        <v>-2.2930559999999999E-2</v>
      </c>
      <c r="AA1235">
        <v>0.98788109999999996</v>
      </c>
      <c r="AB1235">
        <v>26</v>
      </c>
      <c r="AC1235">
        <v>0.51979999999997495</v>
      </c>
      <c r="AD1235">
        <v>-0.19723859999999999</v>
      </c>
      <c r="AE1235">
        <v>-0.10869999999999801</v>
      </c>
      <c r="AF1235">
        <v>9.7357055917793298E-2</v>
      </c>
      <c r="AG1235">
        <v>-0.19723859999999999</v>
      </c>
      <c r="AH1235">
        <v>0.45639872255172598</v>
      </c>
      <c r="AI1235">
        <v>112.91153193868701</v>
      </c>
      <c r="AJ1235">
        <v>77.958386041392203</v>
      </c>
      <c r="AK1235">
        <v>0.50663720314815797</v>
      </c>
      <c r="AL1235">
        <v>95.099178478121601</v>
      </c>
      <c r="AM1235">
        <v>88.652148780397894</v>
      </c>
      <c r="AN1235">
        <v>1.0000000522064501</v>
      </c>
    </row>
    <row r="1236" spans="1:40" x14ac:dyDescent="0.25">
      <c r="A1236" t="str">
        <f>"20190303154120168"</f>
        <v>20190303154120168</v>
      </c>
      <c r="B1236" t="str">
        <f>"1551598880160232"</f>
        <v>1551598880160232</v>
      </c>
      <c r="C1236" t="s">
        <v>40</v>
      </c>
      <c r="D1236">
        <v>5.735773</v>
      </c>
      <c r="E1236">
        <v>0.55039130000000003</v>
      </c>
      <c r="F1236" t="s">
        <v>42</v>
      </c>
      <c r="G1236">
        <v>-274.63819999999998</v>
      </c>
      <c r="H1236">
        <v>0.89585389999999998</v>
      </c>
      <c r="I1236">
        <v>367.43200000000002</v>
      </c>
      <c r="J1236">
        <v>-275.16579999999999</v>
      </c>
      <c r="K1236">
        <v>1.1125419999999999</v>
      </c>
      <c r="L1236">
        <v>367.55099999999999</v>
      </c>
      <c r="M1236">
        <v>0.99998299999999996</v>
      </c>
      <c r="N1236">
        <v>-4.2559169999999997E-3</v>
      </c>
      <c r="O1236">
        <v>4.017914E-3</v>
      </c>
      <c r="P1236">
        <v>0.99549240000000006</v>
      </c>
      <c r="Q1236">
        <v>-9.2923199999999997E-2</v>
      </c>
      <c r="R1236">
        <v>-1.8982450000000001E-2</v>
      </c>
      <c r="S1236">
        <v>2.9259949999999999</v>
      </c>
      <c r="T1236">
        <v>-0.84353199999999995</v>
      </c>
      <c r="U1236">
        <v>-0.46191409999999999</v>
      </c>
      <c r="V1236">
        <v>2.2978930000000002E-2</v>
      </c>
      <c r="W1236">
        <v>-8.8686849999999998E-2</v>
      </c>
      <c r="X1236">
        <v>0.99579450000000003</v>
      </c>
      <c r="Y1236">
        <v>0.1535464</v>
      </c>
      <c r="Z1236">
        <v>-2.3012620000000001E-2</v>
      </c>
      <c r="AA1236">
        <v>0.98787340000000001</v>
      </c>
      <c r="AB1236">
        <v>26</v>
      </c>
      <c r="AC1236">
        <v>0.52760000000000595</v>
      </c>
      <c r="AD1236">
        <v>-0.216688099999999</v>
      </c>
      <c r="AE1236">
        <v>-0.119000000000028</v>
      </c>
      <c r="AF1236">
        <v>0.104366689719242</v>
      </c>
      <c r="AG1236">
        <v>-0.216688099999999</v>
      </c>
      <c r="AH1236">
        <v>0.45421082176939298</v>
      </c>
      <c r="AI1236">
        <v>114.93602283103399</v>
      </c>
      <c r="AJ1236">
        <v>77.059432233901703</v>
      </c>
      <c r="AK1236">
        <v>0.51395876217551695</v>
      </c>
      <c r="AL1236">
        <v>95.088066847804299</v>
      </c>
      <c r="AM1236">
        <v>88.678078574110899</v>
      </c>
      <c r="AN1236">
        <v>1.00000003740855</v>
      </c>
    </row>
    <row r="1237" spans="1:40" x14ac:dyDescent="0.25">
      <c r="A1237" t="str">
        <f>"20190303154120189"</f>
        <v>20190303154120189</v>
      </c>
      <c r="B1237" t="str">
        <f>"1551598880180728"</f>
        <v>1551598880180728</v>
      </c>
      <c r="C1237" t="s">
        <v>40</v>
      </c>
      <c r="D1237">
        <v>5.7458489999999998</v>
      </c>
      <c r="E1237">
        <v>0.55024189999999995</v>
      </c>
      <c r="F1237" t="s">
        <v>42</v>
      </c>
      <c r="G1237">
        <v>-274.40370000000001</v>
      </c>
      <c r="H1237">
        <v>0.89233929999999995</v>
      </c>
      <c r="I1237">
        <v>367.43090000000001</v>
      </c>
      <c r="J1237">
        <v>-274.90320000000003</v>
      </c>
      <c r="K1237">
        <v>1.1137220000000001</v>
      </c>
      <c r="L1237">
        <v>367.55200000000002</v>
      </c>
      <c r="M1237">
        <v>0.99998089999999995</v>
      </c>
      <c r="N1237">
        <v>-4.7303149999999997E-3</v>
      </c>
      <c r="O1237">
        <v>4.0181469999999997E-3</v>
      </c>
      <c r="P1237">
        <v>0.9954771</v>
      </c>
      <c r="Q1237">
        <v>-9.3209700000000006E-2</v>
      </c>
      <c r="R1237">
        <v>-1.8370919999999999E-2</v>
      </c>
      <c r="S1237">
        <v>2.9258730000000002</v>
      </c>
      <c r="T1237">
        <v>-0.84535899999999997</v>
      </c>
      <c r="U1237">
        <v>-0.45932010000000001</v>
      </c>
      <c r="V1237">
        <v>2.2367560000000002E-2</v>
      </c>
      <c r="W1237">
        <v>-8.850094E-2</v>
      </c>
      <c r="X1237">
        <v>0.99582490000000001</v>
      </c>
      <c r="Y1237">
        <v>0.15269430000000001</v>
      </c>
      <c r="Z1237">
        <v>-2.2975829999999999E-2</v>
      </c>
      <c r="AA1237">
        <v>0.98800639999999995</v>
      </c>
      <c r="AB1237">
        <v>26</v>
      </c>
      <c r="AC1237">
        <v>0.49950000000001099</v>
      </c>
      <c r="AD1237">
        <v>-0.22138269999999899</v>
      </c>
      <c r="AE1237">
        <v>-0.12109999999995499</v>
      </c>
      <c r="AF1237">
        <v>0.103840673706883</v>
      </c>
      <c r="AG1237">
        <v>-0.22138269999999899</v>
      </c>
      <c r="AH1237">
        <v>0.42091711823336603</v>
      </c>
      <c r="AI1237">
        <v>117.05083144140499</v>
      </c>
      <c r="AJ1237">
        <v>76.141794219376806</v>
      </c>
      <c r="AK1237">
        <v>0.48678989902941699</v>
      </c>
      <c r="AL1237">
        <v>95.077373243051994</v>
      </c>
      <c r="AM1237">
        <v>88.713276471193794</v>
      </c>
      <c r="AN1237">
        <v>0.999999977790623</v>
      </c>
    </row>
    <row r="1238" spans="1:40" x14ac:dyDescent="0.25">
      <c r="A1238" t="str">
        <f>"20190303154120203"</f>
        <v>20190303154120203</v>
      </c>
      <c r="B1238" t="str">
        <f>"1551598880190488"</f>
        <v>1551598880190488</v>
      </c>
      <c r="C1238" t="s">
        <v>40</v>
      </c>
      <c r="D1238">
        <v>5.7340359999999997</v>
      </c>
      <c r="E1238">
        <v>0.55019549999999995</v>
      </c>
      <c r="F1238" t="s">
        <v>42</v>
      </c>
      <c r="G1238">
        <v>-274.16449999999998</v>
      </c>
      <c r="H1238">
        <v>0.89973879999999995</v>
      </c>
      <c r="I1238">
        <v>367.4366</v>
      </c>
      <c r="J1238">
        <v>-274.74239999999998</v>
      </c>
      <c r="K1238">
        <v>1.114358</v>
      </c>
      <c r="L1238">
        <v>367.55270000000002</v>
      </c>
      <c r="M1238">
        <v>0.99997959999999997</v>
      </c>
      <c r="N1238">
        <v>-4.9952410000000001E-3</v>
      </c>
      <c r="O1238">
        <v>4.0185079999999996E-3</v>
      </c>
      <c r="P1238">
        <v>0.9954421</v>
      </c>
      <c r="Q1238">
        <v>-9.3602749999999998E-2</v>
      </c>
      <c r="R1238">
        <v>-1.8276730000000001E-2</v>
      </c>
      <c r="S1238">
        <v>2.9258730000000002</v>
      </c>
      <c r="T1238">
        <v>-0.84754470000000004</v>
      </c>
      <c r="U1238">
        <v>-0.45654299999999998</v>
      </c>
      <c r="V1238">
        <v>2.227347E-2</v>
      </c>
      <c r="W1238">
        <v>-8.8630329999999993E-2</v>
      </c>
      <c r="X1238">
        <v>0.99581549999999996</v>
      </c>
      <c r="Y1238">
        <v>0.15177789999999999</v>
      </c>
      <c r="Z1238">
        <v>-2.2921790000000001E-2</v>
      </c>
      <c r="AA1238">
        <v>0.98814880000000005</v>
      </c>
      <c r="AB1238">
        <v>26</v>
      </c>
      <c r="AC1238">
        <v>0.57789999999999897</v>
      </c>
      <c r="AD1238">
        <v>-0.21461919999999901</v>
      </c>
      <c r="AE1238">
        <v>-0.116100000000017</v>
      </c>
      <c r="AF1238">
        <v>0.10455981148622601</v>
      </c>
      <c r="AG1238">
        <v>-0.21461919999999901</v>
      </c>
      <c r="AH1238">
        <v>0.50983902365769296</v>
      </c>
      <c r="AI1238">
        <v>112.409883670133</v>
      </c>
      <c r="AJ1238">
        <v>78.4102567092486</v>
      </c>
      <c r="AK1238">
        <v>0.56296534993808001</v>
      </c>
      <c r="AL1238">
        <v>95.084815998412694</v>
      </c>
      <c r="AM1238">
        <v>88.718675223965704</v>
      </c>
      <c r="AN1238">
        <v>0.99999997645099903</v>
      </c>
    </row>
    <row r="1239" spans="1:40" x14ac:dyDescent="0.25">
      <c r="A1239" t="str">
        <f>"20190303154120222"</f>
        <v>20190303154120222</v>
      </c>
      <c r="B1239" t="str">
        <f>"1551598880220744"</f>
        <v>1551598880220744</v>
      </c>
      <c r="C1239" t="s">
        <v>40</v>
      </c>
      <c r="D1239">
        <v>5.7459150000000001</v>
      </c>
      <c r="E1239">
        <v>0.55000230000000006</v>
      </c>
      <c r="F1239" t="s">
        <v>42</v>
      </c>
      <c r="G1239">
        <v>-273.93529999999998</v>
      </c>
      <c r="H1239">
        <v>0.88008149999999996</v>
      </c>
      <c r="I1239">
        <v>367.42649999999998</v>
      </c>
      <c r="J1239">
        <v>-274.50639999999999</v>
      </c>
      <c r="K1239">
        <v>1.115192</v>
      </c>
      <c r="L1239">
        <v>367.55360000000002</v>
      </c>
      <c r="M1239">
        <v>0.99997769999999997</v>
      </c>
      <c r="N1239">
        <v>-5.3527690000000003E-3</v>
      </c>
      <c r="O1239">
        <v>4.018944E-3</v>
      </c>
      <c r="P1239">
        <v>0.99543119999999996</v>
      </c>
      <c r="Q1239">
        <v>-9.3717830000000002E-2</v>
      </c>
      <c r="R1239">
        <v>-1.8275799999999998E-2</v>
      </c>
      <c r="S1239">
        <v>2.9255070000000001</v>
      </c>
      <c r="T1239">
        <v>-0.849220999999999</v>
      </c>
      <c r="U1239">
        <v>-0.45578000000000002</v>
      </c>
      <c r="V1239">
        <v>2.2273109999999999E-2</v>
      </c>
      <c r="W1239">
        <v>-8.8389399999999896E-2</v>
      </c>
      <c r="X1239">
        <v>0.99583699999999997</v>
      </c>
      <c r="Y1239">
        <v>0.1515222</v>
      </c>
      <c r="Z1239">
        <v>-2.2957499999999999E-2</v>
      </c>
      <c r="AA1239">
        <v>0.98818720000000004</v>
      </c>
      <c r="AB1239">
        <v>26</v>
      </c>
      <c r="AC1239">
        <v>0.57110000000000105</v>
      </c>
      <c r="AD1239">
        <v>-0.235110499999999</v>
      </c>
      <c r="AE1239">
        <v>-0.12710000000004101</v>
      </c>
      <c r="AF1239">
        <v>0.111404387546677</v>
      </c>
      <c r="AG1239">
        <v>-0.235110499999999</v>
      </c>
      <c r="AH1239">
        <v>0.49125550091696601</v>
      </c>
      <c r="AI1239">
        <v>115.02034618326699</v>
      </c>
      <c r="AJ1239">
        <v>77.222862577392306</v>
      </c>
      <c r="AK1239">
        <v>0.55589554050745804</v>
      </c>
      <c r="AL1239">
        <v>95.070956940444006</v>
      </c>
      <c r="AM1239">
        <v>88.718723580741198</v>
      </c>
      <c r="AN1239">
        <v>1.0000000540152101</v>
      </c>
    </row>
    <row r="1240" spans="1:40" x14ac:dyDescent="0.25">
      <c r="A1240" t="str">
        <f>"20190303154120237"</f>
        <v>20190303154120237</v>
      </c>
      <c r="B1240" t="str">
        <f>"1551598880230504"</f>
        <v>1551598880230504</v>
      </c>
      <c r="C1240" t="s">
        <v>40</v>
      </c>
      <c r="D1240">
        <v>5.7724650000000004</v>
      </c>
      <c r="E1240">
        <v>0.54991509999999999</v>
      </c>
      <c r="F1240" t="s">
        <v>42</v>
      </c>
      <c r="G1240">
        <v>-273.69799999999998</v>
      </c>
      <c r="H1240">
        <v>0.87994019999999995</v>
      </c>
      <c r="I1240">
        <v>367.42790000000002</v>
      </c>
      <c r="J1240">
        <v>-274.33530000000002</v>
      </c>
      <c r="K1240">
        <v>1.1157360000000001</v>
      </c>
      <c r="L1240">
        <v>367.55430000000001</v>
      </c>
      <c r="M1240">
        <v>0.99997630000000004</v>
      </c>
      <c r="N1240">
        <v>-5.5924779999999997E-3</v>
      </c>
      <c r="O1240">
        <v>4.019295E-3</v>
      </c>
      <c r="P1240">
        <v>0.99537770000000003</v>
      </c>
      <c r="Q1240">
        <v>-9.4285569999999999E-2</v>
      </c>
      <c r="R1240">
        <v>-1.8260539999999999E-2</v>
      </c>
      <c r="S1240">
        <v>2.9252929999999999</v>
      </c>
      <c r="T1240">
        <v>-0.85128130000000002</v>
      </c>
      <c r="U1240">
        <v>-0.45422360000000001</v>
      </c>
      <c r="V1240">
        <v>2.2258050000000001E-2</v>
      </c>
      <c r="W1240">
        <v>-8.8718759999999994E-2</v>
      </c>
      <c r="X1240">
        <v>0.99580800000000003</v>
      </c>
      <c r="Y1240">
        <v>0.151004799999999</v>
      </c>
      <c r="Z1240">
        <v>-2.295554E-2</v>
      </c>
      <c r="AA1240">
        <v>0.98826650000000005</v>
      </c>
      <c r="AB1240">
        <v>27</v>
      </c>
      <c r="AC1240">
        <v>0.63730000000003795</v>
      </c>
      <c r="AD1240">
        <v>-0.2357958</v>
      </c>
      <c r="AE1240">
        <v>-0.12639999999998899</v>
      </c>
      <c r="AF1240">
        <v>0.113951635972192</v>
      </c>
      <c r="AG1240">
        <v>-0.2357958</v>
      </c>
      <c r="AH1240">
        <v>0.56267531058531195</v>
      </c>
      <c r="AI1240">
        <v>112.329131337207</v>
      </c>
      <c r="AJ1240">
        <v>78.551436768434201</v>
      </c>
      <c r="AK1240">
        <v>0.62063527113809402</v>
      </c>
      <c r="AL1240">
        <v>95.089902551733999</v>
      </c>
      <c r="AM1240">
        <v>88.719552353598402</v>
      </c>
      <c r="AN1240">
        <v>1.0000000060148699</v>
      </c>
    </row>
    <row r="1241" spans="1:40" x14ac:dyDescent="0.25">
      <c r="A1241" t="str">
        <f>"20190303154120250"</f>
        <v>20190303154120250</v>
      </c>
      <c r="B1241" t="str">
        <f>"1551598880240265"</f>
        <v>1551598880240265</v>
      </c>
      <c r="C1241" t="s">
        <v>40</v>
      </c>
      <c r="D1241">
        <v>5.7574519999999998</v>
      </c>
      <c r="E1241">
        <v>0.54984239999999995</v>
      </c>
      <c r="F1241" t="s">
        <v>42</v>
      </c>
      <c r="G1241">
        <v>-273.46690000000001</v>
      </c>
      <c r="H1241">
        <v>0.86218760000000005</v>
      </c>
      <c r="I1241">
        <v>367.41930000000002</v>
      </c>
      <c r="J1241">
        <v>-274.1755</v>
      </c>
      <c r="K1241">
        <v>1.1161779999999999</v>
      </c>
      <c r="L1241">
        <v>367.55489999999998</v>
      </c>
      <c r="M1241">
        <v>0.99997499999999995</v>
      </c>
      <c r="N1241">
        <v>-5.795896E-3</v>
      </c>
      <c r="O1241">
        <v>4.0195439999999999E-3</v>
      </c>
      <c r="P1241">
        <v>0.99539319999999998</v>
      </c>
      <c r="Q1241">
        <v>-9.4072000000000003E-2</v>
      </c>
      <c r="R1241">
        <v>-1.8520140000000001E-2</v>
      </c>
      <c r="S1241">
        <v>2.9247130000000001</v>
      </c>
      <c r="T1241">
        <v>-0.85396430000000001</v>
      </c>
      <c r="U1241">
        <v>-0.45349119999999998</v>
      </c>
      <c r="V1241">
        <v>2.2517659999999998E-2</v>
      </c>
      <c r="W1241">
        <v>-8.8302530000000004E-2</v>
      </c>
      <c r="X1241">
        <v>0.99583920000000004</v>
      </c>
      <c r="Y1241">
        <v>0.150757</v>
      </c>
      <c r="Z1241">
        <v>-2.300758E-2</v>
      </c>
      <c r="AA1241">
        <v>0.98830309999999999</v>
      </c>
      <c r="AB1241">
        <v>27</v>
      </c>
      <c r="AC1241">
        <v>0.70859999999998902</v>
      </c>
      <c r="AD1241">
        <v>-0.25399040000000001</v>
      </c>
      <c r="AE1241">
        <v>-0.13559999999995301</v>
      </c>
      <c r="AF1241">
        <v>0.123180202427075</v>
      </c>
      <c r="AG1241">
        <v>-0.25399040000000001</v>
      </c>
      <c r="AH1241">
        <v>0.62997044902434496</v>
      </c>
      <c r="AI1241">
        <v>111.58796543284301</v>
      </c>
      <c r="AJ1241">
        <v>78.936357289892399</v>
      </c>
      <c r="AK1241">
        <v>0.69032401972267299</v>
      </c>
      <c r="AL1241">
        <v>95.065960153471394</v>
      </c>
      <c r="AM1241">
        <v>88.704663296640902</v>
      </c>
      <c r="AN1241">
        <v>1.0000000470364501</v>
      </c>
    </row>
    <row r="1242" spans="1:40" x14ac:dyDescent="0.25">
      <c r="A1242" t="str">
        <f>"20190303154120262"</f>
        <v>20190303154120262</v>
      </c>
      <c r="B1242" t="str">
        <f>"1551598880250025"</f>
        <v>1551598880250025</v>
      </c>
      <c r="C1242" t="s">
        <v>40</v>
      </c>
      <c r="D1242">
        <v>5.7541289999999998</v>
      </c>
      <c r="E1242">
        <v>0.54975019999999997</v>
      </c>
      <c r="F1242" t="s">
        <v>42</v>
      </c>
      <c r="G1242">
        <v>-273.45030000000003</v>
      </c>
      <c r="H1242">
        <v>0.90441950000000004</v>
      </c>
      <c r="I1242">
        <v>367.44209999999998</v>
      </c>
      <c r="J1242">
        <v>-274.02809999999999</v>
      </c>
      <c r="K1242">
        <v>1.116554</v>
      </c>
      <c r="L1242">
        <v>367.55549999999999</v>
      </c>
      <c r="M1242">
        <v>0.99997420000000004</v>
      </c>
      <c r="N1242">
        <v>-5.9725869999999997E-3</v>
      </c>
      <c r="O1242">
        <v>4.019496E-3</v>
      </c>
      <c r="P1242">
        <v>0.99535050000000003</v>
      </c>
      <c r="Q1242">
        <v>-9.4524960000000005E-2</v>
      </c>
      <c r="R1242">
        <v>-1.851011E-2</v>
      </c>
      <c r="S1242">
        <v>2.924744</v>
      </c>
      <c r="T1242">
        <v>-0.85410119999999901</v>
      </c>
      <c r="U1242">
        <v>-0.45330809999999999</v>
      </c>
      <c r="V1242">
        <v>2.250752E-2</v>
      </c>
      <c r="W1242">
        <v>-8.8579770000000002E-2</v>
      </c>
      <c r="X1242">
        <v>0.99581470000000005</v>
      </c>
      <c r="Y1242">
        <v>0.15069199999999999</v>
      </c>
      <c r="Z1242">
        <v>-2.3014449999999999E-2</v>
      </c>
      <c r="AA1242">
        <v>0.98831279999999999</v>
      </c>
      <c r="AB1242">
        <v>27</v>
      </c>
      <c r="AC1242">
        <v>0.57779999999996701</v>
      </c>
      <c r="AD1242">
        <v>-0.2121345</v>
      </c>
      <c r="AE1242">
        <v>-0.11340000000001201</v>
      </c>
      <c r="AF1242">
        <v>0.10242719658440499</v>
      </c>
      <c r="AG1242">
        <v>-0.2121345</v>
      </c>
      <c r="AH1242">
        <v>0.51101326818568404</v>
      </c>
      <c r="AI1242">
        <v>112.147765633506</v>
      </c>
      <c r="AJ1242">
        <v>78.665861705248801</v>
      </c>
      <c r="AK1242">
        <v>0.56269613198617596</v>
      </c>
      <c r="AL1242">
        <v>95.081907868434996</v>
      </c>
      <c r="AM1242">
        <v>88.705214561338593</v>
      </c>
      <c r="AN1242">
        <v>0.99999994042294404</v>
      </c>
    </row>
    <row r="1243" spans="1:40" x14ac:dyDescent="0.25">
      <c r="A1243" t="str">
        <f>"20190303154120278"</f>
        <v>20190303154120278</v>
      </c>
      <c r="B1243" t="str">
        <f>"1551598880270520"</f>
        <v>1551598880270520</v>
      </c>
      <c r="C1243" t="s">
        <v>40</v>
      </c>
      <c r="D1243">
        <v>5.7645499999999998</v>
      </c>
      <c r="E1243">
        <v>0.54976829999999999</v>
      </c>
      <c r="F1243" t="s">
        <v>42</v>
      </c>
      <c r="G1243">
        <v>-273.22129999999999</v>
      </c>
      <c r="H1243">
        <v>0.88026489999999902</v>
      </c>
      <c r="I1243">
        <v>367.43049999999999</v>
      </c>
      <c r="J1243">
        <v>-273.84719999999999</v>
      </c>
      <c r="K1243">
        <v>1.116976</v>
      </c>
      <c r="L1243">
        <v>367.55619999999999</v>
      </c>
      <c r="M1243">
        <v>0.99997290000000005</v>
      </c>
      <c r="N1243">
        <v>-6.1766759999999999E-3</v>
      </c>
      <c r="O1243">
        <v>4.0197039999999998E-3</v>
      </c>
      <c r="P1243">
        <v>0.99532399999999999</v>
      </c>
      <c r="Q1243">
        <v>-9.4749780000000006E-2</v>
      </c>
      <c r="R1243">
        <v>-1.8791539999999999E-2</v>
      </c>
      <c r="S1243">
        <v>2.924255</v>
      </c>
      <c r="T1243">
        <v>-0.85638890000000001</v>
      </c>
      <c r="U1243">
        <v>-0.45285029999999998</v>
      </c>
      <c r="V1243">
        <v>2.2789029999999998E-2</v>
      </c>
      <c r="W1243">
        <v>-8.8601509999999994E-2</v>
      </c>
      <c r="X1243">
        <v>0.99580639999999998</v>
      </c>
      <c r="Y1243">
        <v>0.15053259999999999</v>
      </c>
      <c r="Z1243">
        <v>-2.3068229999999999E-2</v>
      </c>
      <c r="AA1243">
        <v>0.98833579999999999</v>
      </c>
      <c r="AB1243">
        <v>27</v>
      </c>
      <c r="AC1243">
        <v>0.62590000000000101</v>
      </c>
      <c r="AD1243">
        <v>-0.23671110000000001</v>
      </c>
      <c r="AE1243">
        <v>-0.12569999999999401</v>
      </c>
      <c r="AF1243">
        <v>0.112717950242683</v>
      </c>
      <c r="AG1243">
        <v>-0.23671110000000001</v>
      </c>
      <c r="AH1243">
        <v>0.54980040903420502</v>
      </c>
      <c r="AI1243">
        <v>112.86843659193801</v>
      </c>
      <c r="AJ1243">
        <v>78.413987058377899</v>
      </c>
      <c r="AK1243">
        <v>0.60911244523839803</v>
      </c>
      <c r="AL1243">
        <v>95.0831582099174</v>
      </c>
      <c r="AM1243">
        <v>88.689014887509998</v>
      </c>
      <c r="AN1243">
        <v>0.99999997687178999</v>
      </c>
    </row>
    <row r="1244" spans="1:40" x14ac:dyDescent="0.25">
      <c r="A1244" t="str">
        <f>"20190303154120291"</f>
        <v>20190303154120291</v>
      </c>
      <c r="B1244" t="str">
        <f>"1551598880280280"</f>
        <v>1551598880280280</v>
      </c>
      <c r="C1244" t="s">
        <v>40</v>
      </c>
      <c r="D1244">
        <v>5.5635409999999998</v>
      </c>
      <c r="E1244">
        <v>0.54985139999999999</v>
      </c>
      <c r="F1244" t="s">
        <v>42</v>
      </c>
      <c r="G1244">
        <v>-272.988</v>
      </c>
      <c r="H1244">
        <v>0.86534460000000002</v>
      </c>
      <c r="I1244">
        <v>367.42250000000001</v>
      </c>
      <c r="J1244">
        <v>-273.6943</v>
      </c>
      <c r="K1244">
        <v>1.117292</v>
      </c>
      <c r="L1244">
        <v>367.55689999999998</v>
      </c>
      <c r="M1244">
        <v>0.99997190000000002</v>
      </c>
      <c r="N1244">
        <v>-6.3341930000000001E-3</v>
      </c>
      <c r="O1244">
        <v>4.0199210000000001E-3</v>
      </c>
      <c r="P1244">
        <v>0.99529299999999998</v>
      </c>
      <c r="Q1244">
        <v>-9.5027609999999998E-2</v>
      </c>
      <c r="R1244">
        <v>-1.9024369999999999E-2</v>
      </c>
      <c r="S1244">
        <v>2.9240110000000001</v>
      </c>
      <c r="T1244">
        <v>-0.85643080000000005</v>
      </c>
      <c r="U1244">
        <v>-0.45388790000000001</v>
      </c>
      <c r="V1244">
        <v>2.302191E-2</v>
      </c>
      <c r="W1244">
        <v>-8.8722709999999996E-2</v>
      </c>
      <c r="X1244">
        <v>0.99579030000000002</v>
      </c>
      <c r="Y1244">
        <v>0.150869</v>
      </c>
      <c r="Z1244">
        <v>-2.3131229999999999E-2</v>
      </c>
      <c r="AA1244">
        <v>0.98828309999999997</v>
      </c>
      <c r="AB1244">
        <v>27</v>
      </c>
      <c r="AC1244">
        <v>0.70629999999999804</v>
      </c>
      <c r="AD1244">
        <v>-0.25194739999999899</v>
      </c>
      <c r="AE1244">
        <v>-0.13439999999997099</v>
      </c>
      <c r="AF1244">
        <v>0.122228710980804</v>
      </c>
      <c r="AG1244">
        <v>-0.25194739999999899</v>
      </c>
      <c r="AH1244">
        <v>0.62856680179230895</v>
      </c>
      <c r="AI1244">
        <v>111.47757474122599</v>
      </c>
      <c r="AJ1244">
        <v>78.995810209145503</v>
      </c>
      <c r="AK1244">
        <v>0.68812322622492605</v>
      </c>
      <c r="AL1244">
        <v>95.090129671263</v>
      </c>
      <c r="AM1244">
        <v>88.675601336064801</v>
      </c>
      <c r="AN1244">
        <v>1.00000002459194</v>
      </c>
    </row>
    <row r="1245" spans="1:40" x14ac:dyDescent="0.25">
      <c r="A1245" t="str">
        <f>"20190303154120303"</f>
        <v>20190303154120303</v>
      </c>
      <c r="B1245" t="str">
        <f>"1551598880300776"</f>
        <v>1551598880300776</v>
      </c>
      <c r="C1245" t="s">
        <v>40</v>
      </c>
      <c r="D1245">
        <v>5.8014979999999996</v>
      </c>
      <c r="E1245">
        <v>0.54968930000000005</v>
      </c>
      <c r="F1245" t="s">
        <v>42</v>
      </c>
      <c r="G1245">
        <v>-272.97210000000001</v>
      </c>
      <c r="H1245">
        <v>0.90585150000000003</v>
      </c>
      <c r="I1245">
        <v>367.44409999999999</v>
      </c>
      <c r="J1245">
        <v>-273.54169999999999</v>
      </c>
      <c r="K1245">
        <v>1.117575</v>
      </c>
      <c r="L1245">
        <v>367.5575</v>
      </c>
      <c r="M1245">
        <v>0.9999709</v>
      </c>
      <c r="N1245">
        <v>-6.4827030000000002E-3</v>
      </c>
      <c r="O1245">
        <v>4.0204530000000002E-3</v>
      </c>
      <c r="P1245">
        <v>0.99528669999999997</v>
      </c>
      <c r="Q1245">
        <v>-9.5051960000000005E-2</v>
      </c>
      <c r="R1245">
        <v>-1.9225699999999998E-2</v>
      </c>
      <c r="S1245">
        <v>2.9237980000000001</v>
      </c>
      <c r="T1245">
        <v>-0.85600019999999999</v>
      </c>
      <c r="U1245">
        <v>-0.45513920000000002</v>
      </c>
      <c r="V1245">
        <v>2.3223850000000001E-2</v>
      </c>
      <c r="W1245">
        <v>-8.8599230000000001E-2</v>
      </c>
      <c r="X1245">
        <v>0.99579660000000003</v>
      </c>
      <c r="Y1245">
        <v>0.151279</v>
      </c>
      <c r="Z1245">
        <v>-2.3192049999999999E-2</v>
      </c>
      <c r="AA1245">
        <v>0.98821899999999996</v>
      </c>
      <c r="AB1245">
        <v>27</v>
      </c>
      <c r="AC1245">
        <v>0.56959999999997901</v>
      </c>
      <c r="AD1245">
        <v>-0.21172350000000001</v>
      </c>
      <c r="AE1245">
        <v>-0.11340000000001201</v>
      </c>
      <c r="AF1245">
        <v>0.10211795486175</v>
      </c>
      <c r="AG1245">
        <v>-0.21172350000000001</v>
      </c>
      <c r="AH1245">
        <v>0.50237505028970697</v>
      </c>
      <c r="AI1245">
        <v>112.440582818235</v>
      </c>
      <c r="AJ1245">
        <v>78.510010643811498</v>
      </c>
      <c r="AK1245">
        <v>0.55464908573888605</v>
      </c>
      <c r="AL1245">
        <v>95.083026841647495</v>
      </c>
      <c r="AM1245">
        <v>88.663996823967196</v>
      </c>
      <c r="AN1245">
        <v>1.00000001966848</v>
      </c>
    </row>
    <row r="1246" spans="1:40" x14ac:dyDescent="0.25">
      <c r="A1246" t="str">
        <f>"20190303154120317"</f>
        <v>20190303154120317</v>
      </c>
      <c r="B1246" t="str">
        <f>"1551598880310536"</f>
        <v>1551598880310536</v>
      </c>
      <c r="C1246" t="s">
        <v>40</v>
      </c>
      <c r="D1246">
        <v>5.5691490000000003</v>
      </c>
      <c r="E1246">
        <v>0.5497763</v>
      </c>
      <c r="F1246" t="s">
        <v>42</v>
      </c>
      <c r="G1246">
        <v>-272.74160000000001</v>
      </c>
      <c r="H1246">
        <v>0.88274169999999996</v>
      </c>
      <c r="I1246">
        <v>367.43279999999999</v>
      </c>
      <c r="J1246">
        <v>-273.37959999999998</v>
      </c>
      <c r="K1246">
        <v>1.117853</v>
      </c>
      <c r="L1246">
        <v>367.55810000000002</v>
      </c>
      <c r="M1246">
        <v>0.99996989999999997</v>
      </c>
      <c r="N1246">
        <v>-6.6335789999999997E-3</v>
      </c>
      <c r="O1246">
        <v>4.0209649999999996E-3</v>
      </c>
      <c r="P1246">
        <v>0.99523340000000005</v>
      </c>
      <c r="Q1246">
        <v>-9.5591529999999994E-2</v>
      </c>
      <c r="R1246">
        <v>-1.9307379999999999E-2</v>
      </c>
      <c r="S1246">
        <v>2.923492</v>
      </c>
      <c r="T1246">
        <v>-0.85803200000000002</v>
      </c>
      <c r="U1246">
        <v>-0.4544067</v>
      </c>
      <c r="V1246">
        <v>2.3305800000000002E-2</v>
      </c>
      <c r="W1246">
        <v>-8.8988919999999999E-2</v>
      </c>
      <c r="X1246">
        <v>0.99575990000000003</v>
      </c>
      <c r="Y1246">
        <v>0.1510291</v>
      </c>
      <c r="Z1246">
        <v>-2.3221240000000001E-2</v>
      </c>
      <c r="AA1246">
        <v>0.98825649999999998</v>
      </c>
      <c r="AB1246">
        <v>27</v>
      </c>
      <c r="AC1246">
        <v>0.63799999999997603</v>
      </c>
      <c r="AD1246">
        <v>-0.2351113</v>
      </c>
      <c r="AE1246">
        <v>-0.12530000000003799</v>
      </c>
      <c r="AF1246">
        <v>0.113078464708548</v>
      </c>
      <c r="AG1246">
        <v>-0.2351113</v>
      </c>
      <c r="AH1246">
        <v>0.56377297515296398</v>
      </c>
      <c r="AI1246">
        <v>112.23907178182399</v>
      </c>
      <c r="AJ1246">
        <v>78.658422365044899</v>
      </c>
      <c r="AK1246">
        <v>0.62121174335435503</v>
      </c>
      <c r="AL1246">
        <v>95.105443163351794</v>
      </c>
      <c r="AM1246">
        <v>88.659234791480003</v>
      </c>
      <c r="AN1246">
        <v>0.99999998332220796</v>
      </c>
    </row>
    <row r="1247" spans="1:40" x14ac:dyDescent="0.25">
      <c r="A1247" t="str">
        <f>"20190303154120329"</f>
        <v>20190303154120329</v>
      </c>
      <c r="B1247" t="str">
        <f>"1551598880320296"</f>
        <v>1551598880320296</v>
      </c>
      <c r="C1247" t="s">
        <v>40</v>
      </c>
      <c r="D1247">
        <v>5.6873750000000003</v>
      </c>
      <c r="E1247">
        <v>0.54978890000000002</v>
      </c>
      <c r="F1247" t="s">
        <v>42</v>
      </c>
      <c r="G1247">
        <v>-272.5095</v>
      </c>
      <c r="H1247">
        <v>0.86226170000000002</v>
      </c>
      <c r="I1247">
        <v>367.42219999999998</v>
      </c>
      <c r="J1247">
        <v>-273.23219999999998</v>
      </c>
      <c r="K1247">
        <v>1.118074</v>
      </c>
      <c r="L1247">
        <v>367.55869999999999</v>
      </c>
      <c r="M1247">
        <v>0.99996910000000006</v>
      </c>
      <c r="N1247">
        <v>-6.7604279999999997E-3</v>
      </c>
      <c r="O1247">
        <v>4.0211910000000003E-3</v>
      </c>
      <c r="P1247">
        <v>0.99522730000000004</v>
      </c>
      <c r="Q1247">
        <v>-9.566268E-2</v>
      </c>
      <c r="R1247">
        <v>-1.9276769999999999E-2</v>
      </c>
      <c r="S1247">
        <v>2.9230649999999998</v>
      </c>
      <c r="T1247">
        <v>-0.85867090000000001</v>
      </c>
      <c r="U1247">
        <v>-0.45510859999999898</v>
      </c>
      <c r="V1247">
        <v>2.3275199999999999E-2</v>
      </c>
      <c r="W1247">
        <v>-8.8933780000000004E-2</v>
      </c>
      <c r="X1247">
        <v>0.99576560000000003</v>
      </c>
      <c r="Y1247">
        <v>0.15125949999999999</v>
      </c>
      <c r="Z1247">
        <v>-2.3283439999999999E-2</v>
      </c>
      <c r="AA1247">
        <v>0.98821990000000004</v>
      </c>
      <c r="AB1247">
        <v>27</v>
      </c>
      <c r="AC1247">
        <v>0.72269999999997403</v>
      </c>
      <c r="AD1247">
        <v>-0.25581229999999999</v>
      </c>
      <c r="AE1247">
        <v>-0.136500000000012</v>
      </c>
      <c r="AF1247">
        <v>0.12436030781907099</v>
      </c>
      <c r="AG1247">
        <v>-0.25581229999999999</v>
      </c>
      <c r="AH1247">
        <v>0.64421043669014599</v>
      </c>
      <c r="AI1247">
        <v>111.300606870422</v>
      </c>
      <c r="AJ1247">
        <v>79.073851605472598</v>
      </c>
      <c r="AK1247">
        <v>0.704210554971063</v>
      </c>
      <c r="AL1247">
        <v>95.1022710019746</v>
      </c>
      <c r="AM1247">
        <v>88.661002207222694</v>
      </c>
      <c r="AN1247">
        <v>1.00000004115174</v>
      </c>
    </row>
    <row r="1248" spans="1:40" x14ac:dyDescent="0.25">
      <c r="A1248" t="str">
        <f>"20190303154120345"</f>
        <v>20190303154120345</v>
      </c>
      <c r="B1248" t="str">
        <f>"1551598880340792"</f>
        <v>1551598880340792</v>
      </c>
      <c r="C1248" t="s">
        <v>40</v>
      </c>
      <c r="D1248">
        <v>5.6106189999999998</v>
      </c>
      <c r="E1248">
        <v>0.54979519999999904</v>
      </c>
      <c r="F1248" t="s">
        <v>42</v>
      </c>
      <c r="G1248">
        <v>-272.4941</v>
      </c>
      <c r="H1248">
        <v>0.90137259999999997</v>
      </c>
      <c r="I1248">
        <v>367.44319999999999</v>
      </c>
      <c r="J1248">
        <v>-273.04230000000001</v>
      </c>
      <c r="K1248">
        <v>1.1183379999999901</v>
      </c>
      <c r="L1248">
        <v>367.55950000000001</v>
      </c>
      <c r="M1248">
        <v>0.99996790000000002</v>
      </c>
      <c r="N1248">
        <v>-6.9153390000000004E-3</v>
      </c>
      <c r="O1248">
        <v>4.0218490000000001E-3</v>
      </c>
      <c r="P1248">
        <v>0.99518410000000002</v>
      </c>
      <c r="Q1248">
        <v>-9.614839E-2</v>
      </c>
      <c r="R1248">
        <v>-1.9082189999999999E-2</v>
      </c>
      <c r="S1248">
        <v>2.9230649999999998</v>
      </c>
      <c r="T1248">
        <v>-0.85819009999999996</v>
      </c>
      <c r="U1248">
        <v>-0.45565800000000001</v>
      </c>
      <c r="V1248">
        <v>2.3081270000000001E-2</v>
      </c>
      <c r="W1248">
        <v>-8.9265540000000004E-2</v>
      </c>
      <c r="X1248">
        <v>0.99574039999999997</v>
      </c>
      <c r="Y1248">
        <v>0.15143789999999999</v>
      </c>
      <c r="Z1248">
        <v>-2.330863E-2</v>
      </c>
      <c r="AA1248">
        <v>0.98819190000000001</v>
      </c>
      <c r="AB1248">
        <v>27</v>
      </c>
      <c r="AC1248">
        <v>0.54820000000000801</v>
      </c>
      <c r="AD1248">
        <v>-0.216965399999999</v>
      </c>
      <c r="AE1248">
        <v>-0.116300000000023</v>
      </c>
      <c r="AF1248">
        <v>0.103056378607981</v>
      </c>
      <c r="AG1248">
        <v>-0.216965399999999</v>
      </c>
      <c r="AH1248">
        <v>0.47632904704972401</v>
      </c>
      <c r="AI1248">
        <v>113.99835362677</v>
      </c>
      <c r="AJ1248">
        <v>77.791911043091503</v>
      </c>
      <c r="AK1248">
        <v>0.53346411597430798</v>
      </c>
      <c r="AL1248">
        <v>95.121355497922494</v>
      </c>
      <c r="AM1248">
        <v>88.672121192389795</v>
      </c>
      <c r="AN1248">
        <v>1.0000000129242299</v>
      </c>
    </row>
    <row r="1249" spans="1:40" x14ac:dyDescent="0.25">
      <c r="A1249" t="str">
        <f>"20190303154120360"</f>
        <v>20190303154120360</v>
      </c>
      <c r="B1249" t="str">
        <f>"1551598880350552"</f>
        <v>1551598880350552</v>
      </c>
      <c r="C1249" t="s">
        <v>40</v>
      </c>
      <c r="D1249">
        <v>5.6085789999999998</v>
      </c>
      <c r="E1249">
        <v>0.54988059999999905</v>
      </c>
      <c r="F1249" t="s">
        <v>42</v>
      </c>
      <c r="G1249">
        <v>-272.25869999999998</v>
      </c>
      <c r="H1249">
        <v>0.88803529999999997</v>
      </c>
      <c r="I1249">
        <v>367.43740000000003</v>
      </c>
      <c r="J1249">
        <v>-272.86270000000002</v>
      </c>
      <c r="K1249">
        <v>1.1185609999999999</v>
      </c>
      <c r="L1249">
        <v>367.56020000000001</v>
      </c>
      <c r="M1249">
        <v>0.99996700000000005</v>
      </c>
      <c r="N1249">
        <v>-7.0525220000000003E-3</v>
      </c>
      <c r="O1249">
        <v>4.0221989999999997E-3</v>
      </c>
      <c r="P1249">
        <v>0.99511289999999997</v>
      </c>
      <c r="Q1249">
        <v>-9.6873699999999993E-2</v>
      </c>
      <c r="R1249">
        <v>-1.9124550000000001E-2</v>
      </c>
      <c r="S1249">
        <v>2.9227910000000001</v>
      </c>
      <c r="T1249">
        <v>-0.85904849999999999</v>
      </c>
      <c r="U1249">
        <v>-0.45513920000000002</v>
      </c>
      <c r="V1249">
        <v>2.3123810000000002E-2</v>
      </c>
      <c r="W1249">
        <v>-8.9854719999999999E-2</v>
      </c>
      <c r="X1249">
        <v>0.99568639999999997</v>
      </c>
      <c r="Y1249">
        <v>0.15127109999999999</v>
      </c>
      <c r="Z1249">
        <v>-2.331863E-2</v>
      </c>
      <c r="AA1249">
        <v>0.98821720000000002</v>
      </c>
      <c r="AB1249">
        <v>27</v>
      </c>
      <c r="AC1249">
        <v>0.60400000000004095</v>
      </c>
      <c r="AD1249">
        <v>-0.2305257</v>
      </c>
      <c r="AE1249">
        <v>-0.12279999999998301</v>
      </c>
      <c r="AF1249">
        <v>0.109860528633418</v>
      </c>
      <c r="AG1249">
        <v>-0.2305257</v>
      </c>
      <c r="AH1249">
        <v>0.52943995373424602</v>
      </c>
      <c r="AI1249">
        <v>113.09012955127299</v>
      </c>
      <c r="AJ1249">
        <v>78.2772986840953</v>
      </c>
      <c r="AK1249">
        <v>0.58780787568917903</v>
      </c>
      <c r="AL1249">
        <v>95.155249326820297</v>
      </c>
      <c r="AM1249">
        <v>88.669602597415405</v>
      </c>
      <c r="AN1249">
        <v>0.99999999422007702</v>
      </c>
    </row>
    <row r="1250" spans="1:40" x14ac:dyDescent="0.25">
      <c r="A1250" t="str">
        <f>"20190303154120374"</f>
        <v>20190303154120374</v>
      </c>
      <c r="B1250" t="str">
        <f>"1551598880370072"</f>
        <v>1551598880370072</v>
      </c>
      <c r="C1250" t="s">
        <v>40</v>
      </c>
      <c r="D1250">
        <v>5.5983830000000001</v>
      </c>
      <c r="E1250">
        <v>0.55002649999999997</v>
      </c>
      <c r="F1250" t="s">
        <v>42</v>
      </c>
      <c r="G1250">
        <v>-272.024</v>
      </c>
      <c r="H1250">
        <v>0.87165219999999899</v>
      </c>
      <c r="I1250">
        <v>367.42910000000001</v>
      </c>
      <c r="J1250">
        <v>-272.68549999999999</v>
      </c>
      <c r="K1250">
        <v>1.118757</v>
      </c>
      <c r="L1250">
        <v>367.5609</v>
      </c>
      <c r="M1250">
        <v>0.99996620000000003</v>
      </c>
      <c r="N1250">
        <v>-7.1789219999999999E-3</v>
      </c>
      <c r="O1250">
        <v>4.0224010000000001E-3</v>
      </c>
      <c r="P1250">
        <v>0.99510169999999998</v>
      </c>
      <c r="Q1250">
        <v>-9.6992789999999995E-2</v>
      </c>
      <c r="R1250">
        <v>-1.9112219999999999E-2</v>
      </c>
      <c r="S1250">
        <v>2.9222410000000001</v>
      </c>
      <c r="T1250">
        <v>-0.86030859999999998</v>
      </c>
      <c r="U1250">
        <v>-0.45559690000000003</v>
      </c>
      <c r="V1250">
        <v>2.311144E-2</v>
      </c>
      <c r="W1250">
        <v>-8.9848020000000001E-2</v>
      </c>
      <c r="X1250">
        <v>0.99568730000000005</v>
      </c>
      <c r="Y1250">
        <v>0.15142079999999999</v>
      </c>
      <c r="Z1250">
        <v>-2.3385969999999999E-2</v>
      </c>
      <c r="AA1250">
        <v>0.98819270000000003</v>
      </c>
      <c r="AB1250">
        <v>27</v>
      </c>
      <c r="AC1250">
        <v>0.66149999999998899</v>
      </c>
      <c r="AD1250">
        <v>-0.24710480000000001</v>
      </c>
      <c r="AE1250">
        <v>-0.131799999999998</v>
      </c>
      <c r="AF1250">
        <v>0.118548977886969</v>
      </c>
      <c r="AG1250">
        <v>-0.24710480000000001</v>
      </c>
      <c r="AH1250">
        <v>0.58275151317519203</v>
      </c>
      <c r="AI1250">
        <v>112.56388340181999</v>
      </c>
      <c r="AJ1250">
        <v>78.501242220375005</v>
      </c>
      <c r="AK1250">
        <v>0.64398289453141599</v>
      </c>
      <c r="AL1250">
        <v>95.154863843938401</v>
      </c>
      <c r="AM1250">
        <v>88.670315234670795</v>
      </c>
      <c r="AN1250">
        <v>1.0000000023690401</v>
      </c>
    </row>
    <row r="1251" spans="1:40" x14ac:dyDescent="0.25">
      <c r="A1251" t="str">
        <f>"20190303154120391"</f>
        <v>20190303154120391</v>
      </c>
      <c r="B1251" t="str">
        <f>"1551598880380808"</f>
        <v>1551598880380808</v>
      </c>
      <c r="C1251" t="s">
        <v>40</v>
      </c>
      <c r="D1251">
        <v>5.6158609999999998</v>
      </c>
      <c r="E1251">
        <v>0.55009459999999999</v>
      </c>
      <c r="F1251" t="s">
        <v>42</v>
      </c>
      <c r="G1251">
        <v>-272.0052</v>
      </c>
      <c r="H1251">
        <v>0.91893959999999997</v>
      </c>
      <c r="I1251">
        <v>367.45420000000001</v>
      </c>
      <c r="J1251">
        <v>-272.48809999999997</v>
      </c>
      <c r="K1251">
        <v>1.1189499999999999</v>
      </c>
      <c r="L1251">
        <v>367.56180000000001</v>
      </c>
      <c r="M1251">
        <v>0.9999652</v>
      </c>
      <c r="N1251">
        <v>-7.3070819999999899E-3</v>
      </c>
      <c r="O1251">
        <v>4.0229460000000003E-3</v>
      </c>
      <c r="P1251">
        <v>0.99506190000000005</v>
      </c>
      <c r="Q1251">
        <v>-9.7468460000000007E-2</v>
      </c>
      <c r="R1251">
        <v>-1.875721E-2</v>
      </c>
      <c r="S1251">
        <v>2.9223020000000002</v>
      </c>
      <c r="T1251">
        <v>-0.85843619999999898</v>
      </c>
      <c r="U1251">
        <v>-0.4571228</v>
      </c>
      <c r="V1251">
        <v>2.2756789999999999E-2</v>
      </c>
      <c r="W1251">
        <v>-9.0196330000000005E-2</v>
      </c>
      <c r="X1251">
        <v>0.99566399999999999</v>
      </c>
      <c r="Y1251">
        <v>0.15192629999999999</v>
      </c>
      <c r="Z1251">
        <v>-2.3420690000000001E-2</v>
      </c>
      <c r="AA1251">
        <v>0.9881143</v>
      </c>
      <c r="AB1251">
        <v>27</v>
      </c>
      <c r="AC1251">
        <v>0.48289999999997202</v>
      </c>
      <c r="AD1251">
        <v>-0.20001039999999901</v>
      </c>
      <c r="AE1251">
        <v>-0.10759999999999</v>
      </c>
      <c r="AF1251">
        <v>9.4153781746068005E-2</v>
      </c>
      <c r="AG1251">
        <v>-0.20001039999999901</v>
      </c>
      <c r="AH1251">
        <v>0.414688368404179</v>
      </c>
      <c r="AI1251">
        <v>115.189669810276</v>
      </c>
      <c r="AJ1251">
        <v>77.208028353919204</v>
      </c>
      <c r="AK1251">
        <v>0.46993141799093002</v>
      </c>
      <c r="AL1251">
        <v>95.174901777938501</v>
      </c>
      <c r="AM1251">
        <v>88.690681745991796</v>
      </c>
      <c r="AN1251">
        <v>1.0000000251662799</v>
      </c>
    </row>
    <row r="1252" spans="1:40" x14ac:dyDescent="0.25">
      <c r="A1252" t="str">
        <f>"20190303154120413"</f>
        <v>20190303154120413</v>
      </c>
      <c r="B1252" t="str">
        <f>"1551598880400329"</f>
        <v>1551598880400329</v>
      </c>
      <c r="C1252" t="s">
        <v>40</v>
      </c>
      <c r="D1252">
        <v>5.5962120000000004</v>
      </c>
      <c r="E1252">
        <v>0.55026569999999997</v>
      </c>
      <c r="F1252" t="s">
        <v>42</v>
      </c>
      <c r="G1252">
        <v>-271.76830000000001</v>
      </c>
      <c r="H1252">
        <v>0.90723739999999997</v>
      </c>
      <c r="I1252">
        <v>367.44920000000002</v>
      </c>
      <c r="J1252">
        <v>-272.2296</v>
      </c>
      <c r="K1252">
        <v>1.119167</v>
      </c>
      <c r="L1252">
        <v>367.56279999999998</v>
      </c>
      <c r="M1252">
        <v>0.99996419999999997</v>
      </c>
      <c r="N1252">
        <v>-7.4614190000000004E-3</v>
      </c>
      <c r="O1252">
        <v>4.0232050000000002E-3</v>
      </c>
      <c r="P1252">
        <v>0.99500010000000005</v>
      </c>
      <c r="Q1252">
        <v>-9.8045590000000002E-2</v>
      </c>
      <c r="R1252">
        <v>-1.9033029999999999E-2</v>
      </c>
      <c r="S1252">
        <v>2.9221189999999999</v>
      </c>
      <c r="T1252">
        <v>-0.85950899999999997</v>
      </c>
      <c r="U1252">
        <v>-0.45553589999999999</v>
      </c>
      <c r="V1252">
        <v>2.3032500000000001E-2</v>
      </c>
      <c r="W1252">
        <v>-9.0620249999999999E-2</v>
      </c>
      <c r="X1252">
        <v>0.99561909999999998</v>
      </c>
      <c r="Y1252">
        <v>0.1514132</v>
      </c>
      <c r="Z1252">
        <v>-2.3386469999999999E-2</v>
      </c>
      <c r="AA1252">
        <v>0.98819389999999996</v>
      </c>
      <c r="AB1252">
        <v>27</v>
      </c>
      <c r="AC1252">
        <v>0.46129999999999399</v>
      </c>
      <c r="AD1252">
        <v>-0.2119296</v>
      </c>
      <c r="AE1252">
        <v>-0.113599999999962</v>
      </c>
      <c r="AF1252">
        <v>9.6293013474859704E-2</v>
      </c>
      <c r="AG1252">
        <v>-0.2119296</v>
      </c>
      <c r="AH1252">
        <v>0.38435392997289403</v>
      </c>
      <c r="AI1252">
        <v>118.140614355032</v>
      </c>
      <c r="AJ1252">
        <v>75.935064119996696</v>
      </c>
      <c r="AK1252">
        <v>0.44934891040909197</v>
      </c>
      <c r="AL1252">
        <v>95.199290826173296</v>
      </c>
      <c r="AM1252">
        <v>88.674764576125298</v>
      </c>
      <c r="AN1252">
        <v>0.99999995902556005</v>
      </c>
    </row>
    <row r="1253" spans="1:40" x14ac:dyDescent="0.25">
      <c r="A1253" t="str">
        <f>"20190303154120426"</f>
        <v>20190303154120426</v>
      </c>
      <c r="B1253" t="str">
        <f>"1551598880420824"</f>
        <v>1551598880420824</v>
      </c>
      <c r="C1253" t="s">
        <v>40</v>
      </c>
      <c r="D1253">
        <v>5.624568</v>
      </c>
      <c r="E1253">
        <v>0.55038900000000002</v>
      </c>
      <c r="F1253" t="s">
        <v>42</v>
      </c>
      <c r="G1253">
        <v>-271.52440000000001</v>
      </c>
      <c r="H1253">
        <v>0.91172779999999998</v>
      </c>
      <c r="I1253">
        <v>367.45209999999997</v>
      </c>
      <c r="J1253">
        <v>-272.0573</v>
      </c>
      <c r="K1253">
        <v>1.1192899999999999</v>
      </c>
      <c r="L1253">
        <v>367.56349999999998</v>
      </c>
      <c r="M1253">
        <v>0.99996350000000001</v>
      </c>
      <c r="N1253">
        <v>-7.5546619999999898E-3</v>
      </c>
      <c r="O1253">
        <v>4.0233889999999996E-3</v>
      </c>
      <c r="P1253">
        <v>0.99497069999999999</v>
      </c>
      <c r="Q1253">
        <v>-9.8278920000000006E-2</v>
      </c>
      <c r="R1253">
        <v>-1.9362999999999998E-2</v>
      </c>
      <c r="S1253">
        <v>2.9216920000000002</v>
      </c>
      <c r="T1253">
        <v>-0.85932140000000001</v>
      </c>
      <c r="U1253">
        <v>-0.45718379999999997</v>
      </c>
      <c r="V1253">
        <v>2.3362600000000001E-2</v>
      </c>
      <c r="W1253">
        <v>-9.076099E-2</v>
      </c>
      <c r="X1253">
        <v>0.9955986</v>
      </c>
      <c r="Y1253">
        <v>0.15195600000000001</v>
      </c>
      <c r="Z1253">
        <v>-2.347072E-2</v>
      </c>
      <c r="AA1253">
        <v>0.98810849999999995</v>
      </c>
      <c r="AB1253">
        <v>27</v>
      </c>
      <c r="AC1253">
        <v>0.53289999999998305</v>
      </c>
      <c r="AD1253">
        <v>-0.207562199999999</v>
      </c>
      <c r="AE1253">
        <v>-0.111400000000003</v>
      </c>
      <c r="AF1253">
        <v>9.9133664764371604E-2</v>
      </c>
      <c r="AG1253">
        <v>-0.207562199999999</v>
      </c>
      <c r="AH1253">
        <v>0.46487555433148298</v>
      </c>
      <c r="AI1253">
        <v>113.58952060375501</v>
      </c>
      <c r="AJ1253">
        <v>77.962115195243896</v>
      </c>
      <c r="AK1253">
        <v>0.51867025302542502</v>
      </c>
      <c r="AL1253">
        <v>95.207387942902997</v>
      </c>
      <c r="AM1253">
        <v>88.655750656357597</v>
      </c>
      <c r="AN1253">
        <v>0.99999997035324895</v>
      </c>
    </row>
    <row r="1254" spans="1:40" x14ac:dyDescent="0.25">
      <c r="A1254" t="str">
        <f>"20190303154120441"</f>
        <v>20190303154120441</v>
      </c>
      <c r="B1254" t="str">
        <f>"1551598880430584"</f>
        <v>1551598880430584</v>
      </c>
      <c r="C1254" t="s">
        <v>40</v>
      </c>
      <c r="D1254">
        <v>5.6304089999999896</v>
      </c>
      <c r="E1254">
        <v>0.55045259999999996</v>
      </c>
      <c r="F1254" t="s">
        <v>42</v>
      </c>
      <c r="G1254">
        <v>-271.28879999999998</v>
      </c>
      <c r="H1254">
        <v>0.89358309999999996</v>
      </c>
      <c r="I1254">
        <v>367.44229999999999</v>
      </c>
      <c r="J1254">
        <v>-271.8861</v>
      </c>
      <c r="K1254">
        <v>1.119399</v>
      </c>
      <c r="L1254">
        <v>367.56420000000003</v>
      </c>
      <c r="M1254">
        <v>0.99996269999999998</v>
      </c>
      <c r="N1254">
        <v>-7.6419690000000002E-3</v>
      </c>
      <c r="O1254">
        <v>4.0235310000000003E-3</v>
      </c>
      <c r="P1254">
        <v>0.99495339999999999</v>
      </c>
      <c r="Q1254">
        <v>-9.8418500000000006E-2</v>
      </c>
      <c r="R1254">
        <v>-1.9536149999999999E-2</v>
      </c>
      <c r="S1254">
        <v>2.921478</v>
      </c>
      <c r="T1254">
        <v>-0.85810409999999904</v>
      </c>
      <c r="U1254">
        <v>-0.4598083</v>
      </c>
      <c r="V1254">
        <v>2.3536029999999999E-2</v>
      </c>
      <c r="W1254">
        <v>-9.0813779999999997E-2</v>
      </c>
      <c r="X1254">
        <v>0.99558970000000002</v>
      </c>
      <c r="Y1254">
        <v>0.15281349999999999</v>
      </c>
      <c r="Z1254">
        <v>-2.3572160000000002E-2</v>
      </c>
      <c r="AA1254">
        <v>0.98797389999999996</v>
      </c>
      <c r="AB1254">
        <v>27</v>
      </c>
      <c r="AC1254">
        <v>0.59730000000001804</v>
      </c>
      <c r="AD1254">
        <v>-0.22581590000000001</v>
      </c>
      <c r="AE1254">
        <v>-0.121900000000039</v>
      </c>
      <c r="AF1254">
        <v>0.109304157976831</v>
      </c>
      <c r="AG1254">
        <v>-0.22581590000000001</v>
      </c>
      <c r="AH1254">
        <v>0.52479489970930904</v>
      </c>
      <c r="AI1254">
        <v>112.84343118892301</v>
      </c>
      <c r="AJ1254">
        <v>78.234652709340295</v>
      </c>
      <c r="AK1254">
        <v>0.58167852496438099</v>
      </c>
      <c r="AL1254">
        <v>95.210425136700806</v>
      </c>
      <c r="AM1254">
        <v>88.645763352320898</v>
      </c>
      <c r="AN1254">
        <v>0.99999996904606903</v>
      </c>
    </row>
    <row r="1255" spans="1:40" x14ac:dyDescent="0.25">
      <c r="A1255" t="str">
        <f>"20190303154120457"</f>
        <v>20190303154120457</v>
      </c>
      <c r="B1255" t="str">
        <f>"1551598880450104"</f>
        <v>1551598880450104</v>
      </c>
      <c r="C1255" t="s">
        <v>40</v>
      </c>
      <c r="D1255">
        <v>5.6190009999999999</v>
      </c>
      <c r="E1255">
        <v>0.55064399999999902</v>
      </c>
      <c r="F1255" t="s">
        <v>42</v>
      </c>
      <c r="G1255">
        <v>-271.053</v>
      </c>
      <c r="H1255">
        <v>0.87492990000000004</v>
      </c>
      <c r="I1255">
        <v>367.43239999999997</v>
      </c>
      <c r="J1255">
        <v>-271.68520000000001</v>
      </c>
      <c r="K1255">
        <v>1.119507</v>
      </c>
      <c r="L1255">
        <v>367.565</v>
      </c>
      <c r="M1255">
        <v>0.99996220000000002</v>
      </c>
      <c r="N1255">
        <v>-7.736906E-3</v>
      </c>
      <c r="O1255">
        <v>4.0236990000000004E-3</v>
      </c>
      <c r="P1255">
        <v>0.99498019999999998</v>
      </c>
      <c r="Q1255">
        <v>-9.8112599999999994E-2</v>
      </c>
      <c r="R1255">
        <v>-1.9715389999999999E-2</v>
      </c>
      <c r="S1255">
        <v>2.9213559999999998</v>
      </c>
      <c r="T1255">
        <v>-0.85729419999999901</v>
      </c>
      <c r="U1255">
        <v>-0.46121220000000002</v>
      </c>
      <c r="V1255">
        <v>2.371554E-2</v>
      </c>
      <c r="W1255">
        <v>-9.0413179999999996E-2</v>
      </c>
      <c r="X1255">
        <v>0.99562189999999995</v>
      </c>
      <c r="Y1255">
        <v>0.15327389999999999</v>
      </c>
      <c r="Z1255">
        <v>-2.3626149999999999E-2</v>
      </c>
      <c r="AA1255">
        <v>0.98790129999999998</v>
      </c>
      <c r="AB1255">
        <v>27</v>
      </c>
      <c r="AC1255">
        <v>0.63220000000001098</v>
      </c>
      <c r="AD1255">
        <v>-0.24457709999999999</v>
      </c>
      <c r="AE1255">
        <v>-0.132600000000024</v>
      </c>
      <c r="AF1255">
        <v>0.118198023186396</v>
      </c>
      <c r="AG1255">
        <v>-0.24457709999999999</v>
      </c>
      <c r="AH1255">
        <v>0.55246101372839496</v>
      </c>
      <c r="AI1255">
        <v>113.40815617906399</v>
      </c>
      <c r="AJ1255">
        <v>77.923734966953305</v>
      </c>
      <c r="AK1255">
        <v>0.61563130380073094</v>
      </c>
      <c r="AL1255">
        <v>95.187377633251302</v>
      </c>
      <c r="AM1255">
        <v>88.635482555083598</v>
      </c>
      <c r="AN1255">
        <v>0.99999996885740605</v>
      </c>
    </row>
    <row r="1256" spans="1:40" x14ac:dyDescent="0.25">
      <c r="A1256" t="str">
        <f>"20190303154120469"</f>
        <v>20190303154120469</v>
      </c>
      <c r="B1256" t="str">
        <f>"1551598880460841"</f>
        <v>1551598880460841</v>
      </c>
      <c r="C1256" t="s">
        <v>40</v>
      </c>
      <c r="D1256">
        <v>5.631424</v>
      </c>
      <c r="E1256">
        <v>0.55069290000000004</v>
      </c>
      <c r="F1256" t="s">
        <v>42</v>
      </c>
      <c r="G1256">
        <v>-270.8134</v>
      </c>
      <c r="H1256">
        <v>0.86458080000000004</v>
      </c>
      <c r="I1256">
        <v>367.42649999999998</v>
      </c>
      <c r="J1256">
        <v>-271.53149999999999</v>
      </c>
      <c r="K1256">
        <v>1.1195809999999999</v>
      </c>
      <c r="L1256">
        <v>367.56560000000002</v>
      </c>
      <c r="M1256">
        <v>0.99996149999999995</v>
      </c>
      <c r="N1256">
        <v>-7.8032989999999997E-3</v>
      </c>
      <c r="O1256">
        <v>4.0240939999999998E-3</v>
      </c>
      <c r="P1256">
        <v>0.99498180000000003</v>
      </c>
      <c r="Q1256">
        <v>-9.8033060000000005E-2</v>
      </c>
      <c r="R1256">
        <v>-2.0016320000000001E-2</v>
      </c>
      <c r="S1256">
        <v>2.9217219999999999</v>
      </c>
      <c r="T1256">
        <v>-0.85429979999999905</v>
      </c>
      <c r="U1256">
        <v>-0.46371459999999998</v>
      </c>
      <c r="V1256">
        <v>2.4016889999999999E-2</v>
      </c>
      <c r="W1256">
        <v>-9.0267520000000004E-2</v>
      </c>
      <c r="X1256">
        <v>0.99562790000000001</v>
      </c>
      <c r="Y1256">
        <v>0.15409220000000001</v>
      </c>
      <c r="Z1256">
        <v>-2.3669470000000001E-2</v>
      </c>
      <c r="AA1256">
        <v>0.98777289999999995</v>
      </c>
      <c r="AB1256">
        <v>27</v>
      </c>
      <c r="AC1256">
        <v>0.71809999999999197</v>
      </c>
      <c r="AD1256">
        <v>-0.25500019999999901</v>
      </c>
      <c r="AE1256">
        <v>-0.139100000000041</v>
      </c>
      <c r="AF1256">
        <v>0.126601682732459</v>
      </c>
      <c r="AG1256">
        <v>-0.25500019999999901</v>
      </c>
      <c r="AH1256">
        <v>0.63977688357946405</v>
      </c>
      <c r="AI1256">
        <v>111.35524786654101</v>
      </c>
      <c r="AJ1256">
        <v>78.806683326731104</v>
      </c>
      <c r="AK1256">
        <v>0.70026248566761096</v>
      </c>
      <c r="AL1256">
        <v>95.178997628012297</v>
      </c>
      <c r="AM1256">
        <v>88.618158830574103</v>
      </c>
      <c r="AN1256">
        <v>0.99999997571531496</v>
      </c>
    </row>
    <row r="1257" spans="1:40" x14ac:dyDescent="0.25">
      <c r="A1257" t="str">
        <f>"20190303154120483"</f>
        <v>20190303154120483</v>
      </c>
      <c r="B1257" t="str">
        <f>"1551598880480360"</f>
        <v>1551598880480360</v>
      </c>
      <c r="C1257" t="s">
        <v>40</v>
      </c>
      <c r="D1257">
        <v>5.6334989999999996</v>
      </c>
      <c r="E1257">
        <v>0.55083959999999998</v>
      </c>
      <c r="F1257" t="s">
        <v>42</v>
      </c>
      <c r="G1257">
        <v>-270.79739999999998</v>
      </c>
      <c r="H1257">
        <v>0.90513180000000004</v>
      </c>
      <c r="I1257">
        <v>367.44869999999997</v>
      </c>
      <c r="J1257">
        <v>-271.3716</v>
      </c>
      <c r="K1257">
        <v>1.1196520000000001</v>
      </c>
      <c r="L1257">
        <v>367.56630000000001</v>
      </c>
      <c r="M1257">
        <v>0.99996099999999999</v>
      </c>
      <c r="N1257">
        <v>-7.8686060000000002E-3</v>
      </c>
      <c r="O1257">
        <v>4.0241340000000004E-3</v>
      </c>
      <c r="P1257">
        <v>0.99498679999999995</v>
      </c>
      <c r="Q1257">
        <v>-9.8026920000000003E-2</v>
      </c>
      <c r="R1257">
        <v>-1.980788E-2</v>
      </c>
      <c r="S1257">
        <v>2.9216310000000001</v>
      </c>
      <c r="T1257">
        <v>-0.85338950000000002</v>
      </c>
      <c r="U1257">
        <v>-0.46456910000000001</v>
      </c>
      <c r="V1257">
        <v>2.3808389999999999E-2</v>
      </c>
      <c r="W1257">
        <v>-9.0196319999999996E-2</v>
      </c>
      <c r="X1257">
        <v>0.99563939999999995</v>
      </c>
      <c r="Y1257">
        <v>0.15437909999999999</v>
      </c>
      <c r="Z1257">
        <v>-2.3692899999999999E-2</v>
      </c>
      <c r="AA1257">
        <v>0.98772760000000004</v>
      </c>
      <c r="AB1257">
        <v>27</v>
      </c>
      <c r="AC1257">
        <v>0.57420000000001803</v>
      </c>
      <c r="AD1257">
        <v>-0.214520199999999</v>
      </c>
      <c r="AE1257">
        <v>-0.11760000000003799</v>
      </c>
      <c r="AF1257">
        <v>0.10574456874905699</v>
      </c>
      <c r="AG1257">
        <v>-0.214520199999999</v>
      </c>
      <c r="AH1257">
        <v>0.50594703261149399</v>
      </c>
      <c r="AI1257">
        <v>112.539892040488</v>
      </c>
      <c r="AJ1257">
        <v>78.194929827855304</v>
      </c>
      <c r="AK1257">
        <v>0.55962776006586701</v>
      </c>
      <c r="AL1257">
        <v>95.174901254329498</v>
      </c>
      <c r="AM1257">
        <v>88.630166358612698</v>
      </c>
      <c r="AN1257">
        <v>1.0000000152041399</v>
      </c>
    </row>
    <row r="1258" spans="1:40" x14ac:dyDescent="0.25">
      <c r="A1258" t="str">
        <f>"20190303154120496"</f>
        <v>20190303154120496</v>
      </c>
      <c r="B1258" t="str">
        <f>"1551598880490121"</f>
        <v>1551598880490121</v>
      </c>
      <c r="C1258" t="s">
        <v>40</v>
      </c>
      <c r="D1258">
        <v>5.7355530000000003</v>
      </c>
      <c r="E1258">
        <v>0.55084460000000002</v>
      </c>
      <c r="F1258" t="s">
        <v>42</v>
      </c>
      <c r="G1258">
        <v>-270.56169999999997</v>
      </c>
      <c r="H1258">
        <v>0.88357160000000001</v>
      </c>
      <c r="I1258">
        <v>367.43720000000002</v>
      </c>
      <c r="J1258">
        <v>-271.20650000000001</v>
      </c>
      <c r="K1258">
        <v>1.11972</v>
      </c>
      <c r="L1258">
        <v>367.56689999999998</v>
      </c>
      <c r="M1258">
        <v>0.99996050000000003</v>
      </c>
      <c r="N1258">
        <v>-7.9325719999999902E-3</v>
      </c>
      <c r="O1258">
        <v>4.0245949999999997E-3</v>
      </c>
      <c r="P1258">
        <v>0.99498830000000005</v>
      </c>
      <c r="Q1258">
        <v>-9.8072759999999995E-2</v>
      </c>
      <c r="R1258">
        <v>-1.9499800000000001E-2</v>
      </c>
      <c r="S1258">
        <v>2.9219360000000001</v>
      </c>
      <c r="T1258">
        <v>-0.85177159999999996</v>
      </c>
      <c r="U1258">
        <v>-0.46502690000000002</v>
      </c>
      <c r="V1258">
        <v>2.3500670000000001E-2</v>
      </c>
      <c r="W1258">
        <v>-9.0178449999999993E-2</v>
      </c>
      <c r="X1258">
        <v>0.99564830000000004</v>
      </c>
      <c r="Y1258">
        <v>0.15453239999999999</v>
      </c>
      <c r="Z1258">
        <v>-2.3675580000000002E-2</v>
      </c>
      <c r="AA1258">
        <v>0.98770400000000003</v>
      </c>
      <c r="AB1258">
        <v>27</v>
      </c>
      <c r="AC1258">
        <v>0.64480000000003201</v>
      </c>
      <c r="AD1258">
        <v>-0.23614840000000001</v>
      </c>
      <c r="AE1258">
        <v>-0.12969999999995699</v>
      </c>
      <c r="AF1258">
        <v>0.117187214585324</v>
      </c>
      <c r="AG1258">
        <v>-0.23614840000000001</v>
      </c>
      <c r="AH1258">
        <v>0.57070222537676196</v>
      </c>
      <c r="AI1258">
        <v>112.06412775497201</v>
      </c>
      <c r="AJ1258">
        <v>78.396255290863394</v>
      </c>
      <c r="AK1258">
        <v>0.62864929820593596</v>
      </c>
      <c r="AL1258">
        <v>95.173873341685194</v>
      </c>
      <c r="AM1258">
        <v>88.647876726792106</v>
      </c>
      <c r="AN1258">
        <v>0.99999998581386995</v>
      </c>
    </row>
    <row r="1259" spans="1:40" x14ac:dyDescent="0.25">
      <c r="A1259" t="str">
        <f>"20190303154120511"</f>
        <v>20190303154120511</v>
      </c>
      <c r="B1259" t="str">
        <f>"1551598880500857"</f>
        <v>1551598880500857</v>
      </c>
      <c r="C1259" t="s">
        <v>40</v>
      </c>
      <c r="D1259">
        <v>5.6312790000000001</v>
      </c>
      <c r="E1259">
        <v>0.55089919999999903</v>
      </c>
      <c r="F1259" t="s">
        <v>42</v>
      </c>
      <c r="G1259">
        <v>-270.32530000000003</v>
      </c>
      <c r="H1259">
        <v>0.86293609999999898</v>
      </c>
      <c r="I1259">
        <v>367.42669999999998</v>
      </c>
      <c r="J1259">
        <v>-271.0163</v>
      </c>
      <c r="K1259">
        <v>1.119783</v>
      </c>
      <c r="L1259">
        <v>367.5677</v>
      </c>
      <c r="M1259">
        <v>0.99995990000000001</v>
      </c>
      <c r="N1259">
        <v>-7.9997339999999997E-3</v>
      </c>
      <c r="O1259">
        <v>4.0248009999999997E-3</v>
      </c>
      <c r="P1259">
        <v>0.99500239999999995</v>
      </c>
      <c r="Q1259">
        <v>-9.8108849999999997E-2</v>
      </c>
      <c r="R1259">
        <v>-1.8574449999999999E-2</v>
      </c>
      <c r="S1259">
        <v>2.9220890000000002</v>
      </c>
      <c r="T1259">
        <v>-0.85158750000000005</v>
      </c>
      <c r="U1259">
        <v>-0.46447749999999999</v>
      </c>
      <c r="V1259">
        <v>2.2575640000000001E-2</v>
      </c>
      <c r="W1259">
        <v>-9.0147469999999993E-2</v>
      </c>
      <c r="X1259">
        <v>0.99567249999999996</v>
      </c>
      <c r="Y1259">
        <v>0.15435279999999901</v>
      </c>
      <c r="Z1259">
        <v>-2.3648840000000001E-2</v>
      </c>
      <c r="AA1259">
        <v>0.98773270000000002</v>
      </c>
      <c r="AB1259">
        <v>27</v>
      </c>
      <c r="AC1259">
        <v>0.69099999999997397</v>
      </c>
      <c r="AD1259">
        <v>-0.25684689999999999</v>
      </c>
      <c r="AE1259">
        <v>-0.141000000000019</v>
      </c>
      <c r="AF1259">
        <v>0.126942386429968</v>
      </c>
      <c r="AG1259">
        <v>-0.25684689999999999</v>
      </c>
      <c r="AH1259">
        <v>0.60957285679567697</v>
      </c>
      <c r="AI1259">
        <v>112.416433535899</v>
      </c>
      <c r="AJ1259">
        <v>78.236391769950004</v>
      </c>
      <c r="AK1259">
        <v>0.673545668276612</v>
      </c>
      <c r="AL1259">
        <v>95.172091107198995</v>
      </c>
      <c r="AM1259">
        <v>88.701111761624901</v>
      </c>
      <c r="AN1259">
        <v>0.99999997656253004</v>
      </c>
    </row>
    <row r="1260" spans="1:40" x14ac:dyDescent="0.25">
      <c r="A1260" t="str">
        <f>"20190303154120535"</f>
        <v>20190303154120535</v>
      </c>
      <c r="B1260" t="str">
        <f>"1551598880530136"</f>
        <v>1551598880530136</v>
      </c>
      <c r="C1260" t="s">
        <v>40</v>
      </c>
      <c r="D1260">
        <v>5.6175319999999997</v>
      </c>
      <c r="E1260">
        <v>0.55101299999999998</v>
      </c>
      <c r="F1260" t="s">
        <v>42</v>
      </c>
      <c r="G1260">
        <v>-270.30560000000003</v>
      </c>
      <c r="H1260">
        <v>0.91289869999999995</v>
      </c>
      <c r="I1260">
        <v>367.45510000000002</v>
      </c>
      <c r="J1260">
        <v>-270.72829999999999</v>
      </c>
      <c r="K1260">
        <v>1.1198699999999999</v>
      </c>
      <c r="L1260">
        <v>367.56880000000001</v>
      </c>
      <c r="M1260">
        <v>0.9999593</v>
      </c>
      <c r="N1260">
        <v>-8.0930869999999901E-3</v>
      </c>
      <c r="O1260">
        <v>4.0251380000000002E-3</v>
      </c>
      <c r="P1260">
        <v>0.99499040000000005</v>
      </c>
      <c r="Q1260">
        <v>-9.8346980000000001E-2</v>
      </c>
      <c r="R1260">
        <v>-1.7944109999999999E-2</v>
      </c>
      <c r="S1260">
        <v>2.9226070000000002</v>
      </c>
      <c r="T1260">
        <v>-0.85087440000000003</v>
      </c>
      <c r="U1260">
        <v>-0.46224979999999899</v>
      </c>
      <c r="V1260">
        <v>2.1945739999999998E-2</v>
      </c>
      <c r="W1260">
        <v>-9.0292709999999998E-2</v>
      </c>
      <c r="X1260">
        <v>0.99567340000000004</v>
      </c>
      <c r="Y1260">
        <v>0.1536315</v>
      </c>
      <c r="Z1260">
        <v>-2.352951E-2</v>
      </c>
      <c r="AA1260">
        <v>0.98784799999999995</v>
      </c>
      <c r="AB1260">
        <v>27</v>
      </c>
      <c r="AC1260">
        <v>0.42269999999996299</v>
      </c>
      <c r="AD1260">
        <v>-0.2069713</v>
      </c>
      <c r="AE1260">
        <v>-0.113699999999994</v>
      </c>
      <c r="AF1260">
        <v>9.4314459487249397E-2</v>
      </c>
      <c r="AG1260">
        <v>-0.2069713</v>
      </c>
      <c r="AH1260">
        <v>0.34508700649629798</v>
      </c>
      <c r="AI1260">
        <v>120.051398421107</v>
      </c>
      <c r="AJ1260">
        <v>74.714005792458096</v>
      </c>
      <c r="AK1260">
        <v>0.413300590786703</v>
      </c>
      <c r="AL1260">
        <v>95.180446938294594</v>
      </c>
      <c r="AM1260">
        <v>88.737342264397796</v>
      </c>
      <c r="AN1260">
        <v>0.99999995422542498</v>
      </c>
    </row>
    <row r="1261" spans="1:40" x14ac:dyDescent="0.25">
      <c r="A1261" t="str">
        <f>"20190303154120558"</f>
        <v>20190303154120558</v>
      </c>
      <c r="B1261" t="str">
        <f>"1551598880550633"</f>
        <v>1551598880550633</v>
      </c>
      <c r="C1261" t="s">
        <v>40</v>
      </c>
      <c r="D1261">
        <v>5.6041119999999998</v>
      </c>
      <c r="E1261">
        <v>0.55109019999999898</v>
      </c>
      <c r="F1261" t="s">
        <v>42</v>
      </c>
      <c r="G1261">
        <v>-270.0557</v>
      </c>
      <c r="H1261">
        <v>0.92423140000000004</v>
      </c>
      <c r="I1261">
        <v>367.46230000000003</v>
      </c>
      <c r="J1261">
        <v>-270.4554</v>
      </c>
      <c r="K1261">
        <v>1.1199349999999999</v>
      </c>
      <c r="L1261">
        <v>367.56990000000002</v>
      </c>
      <c r="M1261">
        <v>0.99995849999999997</v>
      </c>
      <c r="N1261">
        <v>-8.1712980000000004E-3</v>
      </c>
      <c r="O1261">
        <v>4.0256509999999999E-3</v>
      </c>
      <c r="P1261">
        <v>0.99498339999999996</v>
      </c>
      <c r="Q1261">
        <v>-9.8495929999999995E-2</v>
      </c>
      <c r="R1261">
        <v>-1.7504860000000001E-2</v>
      </c>
      <c r="S1261">
        <v>2.9227289999999999</v>
      </c>
      <c r="T1261">
        <v>-0.85027809999999904</v>
      </c>
      <c r="U1261">
        <v>-0.46133420000000003</v>
      </c>
      <c r="V1261">
        <v>2.1506899999999999E-2</v>
      </c>
      <c r="W1261">
        <v>-9.0363810000000003E-2</v>
      </c>
      <c r="X1261">
        <v>0.99567660000000002</v>
      </c>
      <c r="Y1261">
        <v>0.15334310000000001</v>
      </c>
      <c r="Z1261">
        <v>-2.3477600000000001E-2</v>
      </c>
      <c r="AA1261">
        <v>0.9878941</v>
      </c>
      <c r="AB1261">
        <v>27</v>
      </c>
      <c r="AC1261">
        <v>0.399699999999995</v>
      </c>
      <c r="AD1261">
        <v>-0.19570360000000001</v>
      </c>
      <c r="AE1261">
        <v>-0.10759999999999</v>
      </c>
      <c r="AF1261">
        <v>8.9256368126115704E-2</v>
      </c>
      <c r="AG1261">
        <v>-0.19570360000000001</v>
      </c>
      <c r="AH1261">
        <v>0.32631987705283999</v>
      </c>
      <c r="AI1261">
        <v>120.04852197739601</v>
      </c>
      <c r="AJ1261">
        <v>74.702392928781194</v>
      </c>
      <c r="AK1261">
        <v>0.390834057451248</v>
      </c>
      <c r="AL1261">
        <v>95.184537004645506</v>
      </c>
      <c r="AM1261">
        <v>88.762587160610707</v>
      </c>
      <c r="AN1261">
        <v>1.0000000283464401</v>
      </c>
    </row>
    <row r="1262" spans="1:40" x14ac:dyDescent="0.25">
      <c r="A1262" t="str">
        <f>"20190303154120580"</f>
        <v>20190303154120580</v>
      </c>
      <c r="B1262" t="str">
        <f>"1551598880570152"</f>
        <v>1551598880570152</v>
      </c>
      <c r="C1262" t="s">
        <v>40</v>
      </c>
      <c r="D1262">
        <v>5.6086099999999997</v>
      </c>
      <c r="E1262">
        <v>0.55126039999999998</v>
      </c>
      <c r="F1262" t="s">
        <v>42</v>
      </c>
      <c r="G1262">
        <v>-269.58679999999998</v>
      </c>
      <c r="H1262">
        <v>0.86739829999999996</v>
      </c>
      <c r="I1262">
        <v>367.43259999999998</v>
      </c>
      <c r="J1262">
        <v>-270.17529999999999</v>
      </c>
      <c r="K1262">
        <v>1.1199859999999999</v>
      </c>
      <c r="L1262">
        <v>367.57100000000003</v>
      </c>
      <c r="M1262">
        <v>0.99995789999999996</v>
      </c>
      <c r="N1262">
        <v>-8.2433530000000001E-3</v>
      </c>
      <c r="O1262">
        <v>4.0260089999999997E-3</v>
      </c>
      <c r="P1262">
        <v>0.99501790000000001</v>
      </c>
      <c r="Q1262">
        <v>-9.8153470000000007E-2</v>
      </c>
      <c r="R1262">
        <v>-1.747628E-2</v>
      </c>
      <c r="S1262">
        <v>2.9229129999999999</v>
      </c>
      <c r="T1262">
        <v>-0.84979300000000002</v>
      </c>
      <c r="U1262">
        <v>-0.46054079999999997</v>
      </c>
      <c r="V1262">
        <v>2.1478609999999999E-2</v>
      </c>
      <c r="W1262">
        <v>-8.9949299999999996E-2</v>
      </c>
      <c r="X1262">
        <v>0.99571469999999995</v>
      </c>
      <c r="Y1262">
        <v>0.153089</v>
      </c>
      <c r="Z1262">
        <v>-2.343255E-2</v>
      </c>
      <c r="AA1262">
        <v>0.98793450000000005</v>
      </c>
      <c r="AB1262">
        <v>27</v>
      </c>
      <c r="AC1262">
        <v>0.58850000000001002</v>
      </c>
      <c r="AD1262">
        <v>-0.25258770000000003</v>
      </c>
      <c r="AE1262">
        <v>-0.13839999999999</v>
      </c>
      <c r="AF1262">
        <v>0.119847331688967</v>
      </c>
      <c r="AG1262">
        <v>-0.25258770000000003</v>
      </c>
      <c r="AH1262">
        <v>0.50055885703201997</v>
      </c>
      <c r="AI1262">
        <v>116.13910040005</v>
      </c>
      <c r="AJ1262">
        <v>76.535310351214505</v>
      </c>
      <c r="AK1262">
        <v>0.57334378731914204</v>
      </c>
      <c r="AL1262">
        <v>95.160690439639495</v>
      </c>
      <c r="AM1262">
        <v>88.764261609638794</v>
      </c>
      <c r="AN1262">
        <v>0.99999998552705505</v>
      </c>
    </row>
    <row r="1263" spans="1:40" x14ac:dyDescent="0.25">
      <c r="A1263" t="str">
        <f>"20190303154120603"</f>
        <v>20190303154120603</v>
      </c>
      <c r="B1263" t="str">
        <f>"1551598880590649"</f>
        <v>1551598880590649</v>
      </c>
      <c r="C1263" t="s">
        <v>40</v>
      </c>
      <c r="D1263">
        <v>5.6178540000000003</v>
      </c>
      <c r="E1263">
        <v>0.5514232</v>
      </c>
      <c r="F1263" t="s">
        <v>42</v>
      </c>
      <c r="G1263">
        <v>-269.3365</v>
      </c>
      <c r="H1263">
        <v>0.87687280000000001</v>
      </c>
      <c r="I1263">
        <v>367.4384</v>
      </c>
      <c r="J1263">
        <v>-269.90339999999998</v>
      </c>
      <c r="K1263">
        <v>1.120034</v>
      </c>
      <c r="L1263">
        <v>367.57209999999998</v>
      </c>
      <c r="M1263">
        <v>0.9999574</v>
      </c>
      <c r="N1263">
        <v>-8.30736199999999E-3</v>
      </c>
      <c r="O1263">
        <v>4.0263970000000001E-3</v>
      </c>
      <c r="P1263">
        <v>0.99498450000000005</v>
      </c>
      <c r="Q1263">
        <v>-9.8534389999999999E-2</v>
      </c>
      <c r="R1263">
        <v>-1.7227119999999999E-2</v>
      </c>
      <c r="S1263">
        <v>2.92334</v>
      </c>
      <c r="T1263">
        <v>-0.8472847</v>
      </c>
      <c r="U1263">
        <v>-0.46185300000000001</v>
      </c>
      <c r="V1263">
        <v>2.1229850000000001E-2</v>
      </c>
      <c r="W1263">
        <v>-9.0266739999999998E-2</v>
      </c>
      <c r="X1263">
        <v>0.99569129999999995</v>
      </c>
      <c r="Y1263">
        <v>0.1535202</v>
      </c>
      <c r="Z1263">
        <v>-2.3431460000000001E-2</v>
      </c>
      <c r="AA1263">
        <v>0.98786770000000002</v>
      </c>
      <c r="AB1263">
        <v>28</v>
      </c>
      <c r="AC1263">
        <v>0.56689999999997498</v>
      </c>
      <c r="AD1263">
        <v>-0.24316119999999899</v>
      </c>
      <c r="AE1263">
        <v>-0.133699999999976</v>
      </c>
      <c r="AF1263">
        <v>0.115799173888936</v>
      </c>
      <c r="AG1263">
        <v>-0.24316119999999899</v>
      </c>
      <c r="AH1263">
        <v>0.48229833212495798</v>
      </c>
      <c r="AI1263">
        <v>116.11590663318999</v>
      </c>
      <c r="AJ1263">
        <v>76.4989229584085</v>
      </c>
      <c r="AK1263">
        <v>0.55240247920272401</v>
      </c>
      <c r="AL1263">
        <v>95.178952742824094</v>
      </c>
      <c r="AM1263">
        <v>88.778540571403497</v>
      </c>
      <c r="AN1263">
        <v>0.99999997788846895</v>
      </c>
    </row>
    <row r="1264" spans="1:40" x14ac:dyDescent="0.25">
      <c r="A1264" t="str">
        <f>"20190303154120617"</f>
        <v>20190303154120617</v>
      </c>
      <c r="B1264" t="str">
        <f>"1551598880610168"</f>
        <v>1551598880610168</v>
      </c>
      <c r="C1264" t="s">
        <v>40</v>
      </c>
      <c r="D1264">
        <v>5.6147239999999998</v>
      </c>
      <c r="E1264">
        <v>0.55159999999999998</v>
      </c>
      <c r="F1264" t="s">
        <v>42</v>
      </c>
      <c r="G1264">
        <v>-269.08679999999998</v>
      </c>
      <c r="H1264">
        <v>0.88353979999999999</v>
      </c>
      <c r="I1264">
        <v>367.4425</v>
      </c>
      <c r="J1264">
        <v>-269.72840000000002</v>
      </c>
      <c r="K1264">
        <v>1.1200650000000001</v>
      </c>
      <c r="L1264">
        <v>367.5729</v>
      </c>
      <c r="M1264">
        <v>0.99995719999999999</v>
      </c>
      <c r="N1264">
        <v>-8.3474389999999999E-3</v>
      </c>
      <c r="O1264">
        <v>4.0265869999999999E-3</v>
      </c>
      <c r="P1264">
        <v>0.99498120000000001</v>
      </c>
      <c r="Q1264">
        <v>-9.8547990000000002E-2</v>
      </c>
      <c r="R1264">
        <v>-1.7348530000000001E-2</v>
      </c>
      <c r="S1264">
        <v>2.9232179999999999</v>
      </c>
      <c r="T1264">
        <v>-0.84665040000000003</v>
      </c>
      <c r="U1264">
        <v>-0.46298220000000001</v>
      </c>
      <c r="V1264">
        <v>2.1351410000000001E-2</v>
      </c>
      <c r="W1264">
        <v>-9.0240459999999995E-2</v>
      </c>
      <c r="X1264">
        <v>0.99569110000000005</v>
      </c>
      <c r="Y1264">
        <v>0.15389220000000001</v>
      </c>
      <c r="Z1264">
        <v>-2.3472429999999999E-2</v>
      </c>
      <c r="AA1264">
        <v>0.98780880000000004</v>
      </c>
      <c r="AB1264">
        <v>28</v>
      </c>
      <c r="AC1264">
        <v>0.64160000000003903</v>
      </c>
      <c r="AD1264">
        <v>-0.23652519999999899</v>
      </c>
      <c r="AE1264">
        <v>-0.13040000000000801</v>
      </c>
      <c r="AF1264">
        <v>0.117630422699804</v>
      </c>
      <c r="AG1264">
        <v>-0.23652519999999899</v>
      </c>
      <c r="AH1264">
        <v>0.56706188137902802</v>
      </c>
      <c r="AI1264">
        <v>112.215690224865</v>
      </c>
      <c r="AJ1264">
        <v>78.280861509819005</v>
      </c>
      <c r="AK1264">
        <v>0.625571949413253</v>
      </c>
      <c r="AL1264">
        <v>95.177440750644294</v>
      </c>
      <c r="AM1264">
        <v>88.7715485071746</v>
      </c>
      <c r="AN1264">
        <v>0.99999999497460401</v>
      </c>
    </row>
    <row r="1265" spans="1:40" x14ac:dyDescent="0.25">
      <c r="A1265" t="str">
        <f>"20190303154120630"</f>
        <v>20190303154120630</v>
      </c>
      <c r="B1265" t="str">
        <f>"1551598880620904"</f>
        <v>1551598880620904</v>
      </c>
      <c r="C1265" t="s">
        <v>40</v>
      </c>
      <c r="D1265">
        <v>5.6108890000000002</v>
      </c>
      <c r="E1265">
        <v>0.55168309999999998</v>
      </c>
      <c r="F1265" t="s">
        <v>42</v>
      </c>
      <c r="G1265">
        <v>-268.84649999999999</v>
      </c>
      <c r="H1265">
        <v>0.86514880000000005</v>
      </c>
      <c r="I1265">
        <v>367.43239999999997</v>
      </c>
      <c r="J1265">
        <v>-269.55970000000002</v>
      </c>
      <c r="K1265">
        <v>1.1200859999999999</v>
      </c>
      <c r="L1265">
        <v>367.57350000000002</v>
      </c>
      <c r="M1265">
        <v>0.99995679999999998</v>
      </c>
      <c r="N1265">
        <v>-8.3853750000000005E-3</v>
      </c>
      <c r="O1265">
        <v>4.0267840000000003E-3</v>
      </c>
      <c r="P1265">
        <v>0.99501010000000001</v>
      </c>
      <c r="Q1265">
        <v>-9.8258999999999999E-2</v>
      </c>
      <c r="R1265">
        <v>-1.7332790000000001E-2</v>
      </c>
      <c r="S1265">
        <v>2.9233699999999998</v>
      </c>
      <c r="T1265">
        <v>-0.84511170000000002</v>
      </c>
      <c r="U1265">
        <v>-0.46456910000000001</v>
      </c>
      <c r="V1265">
        <v>2.1336049999999999E-2</v>
      </c>
      <c r="W1265">
        <v>-8.9913450000000006E-2</v>
      </c>
      <c r="X1265">
        <v>0.99572099999999997</v>
      </c>
      <c r="Y1265">
        <v>0.15440950000000001</v>
      </c>
      <c r="Z1265">
        <v>-2.3508439999999999E-2</v>
      </c>
      <c r="AA1265">
        <v>0.98772720000000003</v>
      </c>
      <c r="AB1265">
        <v>28</v>
      </c>
      <c r="AC1265">
        <v>0.71320000000002803</v>
      </c>
      <c r="AD1265">
        <v>-0.25493719999999997</v>
      </c>
      <c r="AE1265">
        <v>-0.14110000000005099</v>
      </c>
      <c r="AF1265">
        <v>0.12820640237272499</v>
      </c>
      <c r="AG1265">
        <v>-0.25493719999999997</v>
      </c>
      <c r="AH1265">
        <v>0.63459521327038704</v>
      </c>
      <c r="AI1265">
        <v>111.49334265551801</v>
      </c>
      <c r="AJ1265">
        <v>78.578349700903004</v>
      </c>
      <c r="AK1265">
        <v>0.69580237299026604</v>
      </c>
      <c r="AL1265">
        <v>95.158628043675193</v>
      </c>
      <c r="AM1265">
        <v>88.7724688236421</v>
      </c>
      <c r="AN1265">
        <v>0.99999998268075196</v>
      </c>
    </row>
    <row r="1266" spans="1:40" x14ac:dyDescent="0.25">
      <c r="A1266" t="str">
        <f>"20190303154120654"</f>
        <v>20190303154120654</v>
      </c>
      <c r="B1266" t="str">
        <f>"1551598880650184"</f>
        <v>1551598880650184</v>
      </c>
      <c r="C1266" t="s">
        <v>40</v>
      </c>
      <c r="D1266">
        <v>5.6212549999999997</v>
      </c>
      <c r="E1266">
        <v>0.55192419999999998</v>
      </c>
      <c r="F1266" t="s">
        <v>42</v>
      </c>
      <c r="G1266">
        <v>-268.82909999999998</v>
      </c>
      <c r="H1266">
        <v>0.90925509999999998</v>
      </c>
      <c r="I1266">
        <v>367.45690000000002</v>
      </c>
      <c r="J1266">
        <v>-269.27609999999999</v>
      </c>
      <c r="K1266">
        <v>1.1201239999999999</v>
      </c>
      <c r="L1266">
        <v>367.57470000000001</v>
      </c>
      <c r="M1266">
        <v>0.99995630000000002</v>
      </c>
      <c r="N1266">
        <v>-8.4470369999999993E-3</v>
      </c>
      <c r="O1266">
        <v>4.0271780000000002E-3</v>
      </c>
      <c r="P1266">
        <v>0.9950059</v>
      </c>
      <c r="Q1266">
        <v>-9.8255739999999994E-2</v>
      </c>
      <c r="R1266">
        <v>-1.7584780000000001E-2</v>
      </c>
      <c r="S1266">
        <v>2.923584</v>
      </c>
      <c r="T1266">
        <v>-0.84370679999999998</v>
      </c>
      <c r="U1266">
        <v>-0.4650879</v>
      </c>
      <c r="V1266">
        <v>2.1588320000000001E-2</v>
      </c>
      <c r="W1266">
        <v>-8.9848880000000006E-2</v>
      </c>
      <c r="X1266">
        <v>0.99572139999999998</v>
      </c>
      <c r="Y1266">
        <v>0.1545832</v>
      </c>
      <c r="Z1266">
        <v>-2.3499880000000001E-2</v>
      </c>
      <c r="AA1266">
        <v>0.98770020000000003</v>
      </c>
      <c r="AB1266">
        <v>28</v>
      </c>
      <c r="AC1266">
        <v>0.44700000000000201</v>
      </c>
      <c r="AD1266">
        <v>-0.210868899999999</v>
      </c>
      <c r="AE1266">
        <v>-0.117799999999988</v>
      </c>
      <c r="AF1266">
        <v>9.8998706174615106E-2</v>
      </c>
      <c r="AG1266">
        <v>-0.210868899999999</v>
      </c>
      <c r="AH1266">
        <v>0.36961012104860103</v>
      </c>
      <c r="AI1266">
        <v>118.858780776787</v>
      </c>
      <c r="AJ1266">
        <v>75.005500126843103</v>
      </c>
      <c r="AK1266">
        <v>0.43689595831618699</v>
      </c>
      <c r="AL1266">
        <v>95.154913374033995</v>
      </c>
      <c r="AM1266">
        <v>88.757959942689993</v>
      </c>
      <c r="AN1266">
        <v>0.99999999160781805</v>
      </c>
    </row>
    <row r="1267" spans="1:40" x14ac:dyDescent="0.25">
      <c r="A1267" t="str">
        <f>"20190303154120680"</f>
        <v>20190303154120680</v>
      </c>
      <c r="B1267" t="str">
        <f>"1551598880670681"</f>
        <v>1551598880670681</v>
      </c>
      <c r="C1267" t="s">
        <v>40</v>
      </c>
      <c r="D1267">
        <v>5.6179129999999997</v>
      </c>
      <c r="E1267">
        <v>0.55209419999999898</v>
      </c>
      <c r="F1267" t="s">
        <v>42</v>
      </c>
      <c r="G1267">
        <v>-268.5772</v>
      </c>
      <c r="H1267">
        <v>0.91894189999999998</v>
      </c>
      <c r="I1267">
        <v>367.46260000000001</v>
      </c>
      <c r="J1267">
        <v>-268.9427</v>
      </c>
      <c r="K1267">
        <v>1.120152</v>
      </c>
      <c r="L1267">
        <v>367.57600000000002</v>
      </c>
      <c r="M1267">
        <v>0.99995579999999995</v>
      </c>
      <c r="N1267">
        <v>-8.5143549999999995E-3</v>
      </c>
      <c r="O1267">
        <v>4.0275450000000004E-3</v>
      </c>
      <c r="P1267">
        <v>0.99503739999999996</v>
      </c>
      <c r="Q1267">
        <v>-9.7876000000000005E-2</v>
      </c>
      <c r="R1267">
        <v>-1.7928079999999999E-2</v>
      </c>
      <c r="S1267">
        <v>2.923645</v>
      </c>
      <c r="T1267">
        <v>-0.84175840000000002</v>
      </c>
      <c r="U1267">
        <v>-0.46752929999999998</v>
      </c>
      <c r="V1267">
        <v>2.19321E-2</v>
      </c>
      <c r="W1267">
        <v>-8.9401830000000002E-2</v>
      </c>
      <c r="X1267">
        <v>0.99575409999999998</v>
      </c>
      <c r="Y1267">
        <v>0.15538080000000001</v>
      </c>
      <c r="Z1267">
        <v>-2.356776E-2</v>
      </c>
      <c r="AA1267">
        <v>0.98757340000000005</v>
      </c>
      <c r="AB1267">
        <v>28</v>
      </c>
      <c r="AC1267">
        <v>0.36549999999999699</v>
      </c>
      <c r="AD1267">
        <v>-0.2012101</v>
      </c>
      <c r="AE1267">
        <v>-0.113399999999955</v>
      </c>
      <c r="AF1267">
        <v>8.9992977638765001E-2</v>
      </c>
      <c r="AG1267">
        <v>-0.2012101</v>
      </c>
      <c r="AH1267">
        <v>0.28598171551485002</v>
      </c>
      <c r="AI1267">
        <v>123.86682376613599</v>
      </c>
      <c r="AJ1267">
        <v>72.532207991333394</v>
      </c>
      <c r="AK1267">
        <v>0.36106755874090701</v>
      </c>
      <c r="AL1267">
        <v>95.129195928250297</v>
      </c>
      <c r="AM1267">
        <v>88.738229028250402</v>
      </c>
      <c r="AN1267">
        <v>0.99999996594228302</v>
      </c>
    </row>
    <row r="1268" spans="1:40" x14ac:dyDescent="0.25">
      <c r="A1268" t="str">
        <f>"20190303154120703"</f>
        <v>20190303154120703</v>
      </c>
      <c r="B1268" t="str">
        <f>"1551598880690200"</f>
        <v>1551598880690200</v>
      </c>
      <c r="C1268" t="s">
        <v>40</v>
      </c>
      <c r="D1268">
        <v>5.6661859999999997</v>
      </c>
      <c r="E1268">
        <v>0.55206480000000002</v>
      </c>
      <c r="F1268" t="s">
        <v>42</v>
      </c>
      <c r="G1268">
        <v>-268.09629999999999</v>
      </c>
      <c r="H1268">
        <v>0.87734120000000004</v>
      </c>
      <c r="I1268">
        <v>367.43959999999998</v>
      </c>
      <c r="J1268">
        <v>-268.65769999999998</v>
      </c>
      <c r="K1268">
        <v>1.120174</v>
      </c>
      <c r="L1268">
        <v>367.5772</v>
      </c>
      <c r="M1268">
        <v>0.99995520000000004</v>
      </c>
      <c r="N1268">
        <v>-8.5671959999999991E-3</v>
      </c>
      <c r="O1268">
        <v>4.0281529999999996E-3</v>
      </c>
      <c r="P1268">
        <v>0.99503419999999998</v>
      </c>
      <c r="Q1268">
        <v>-9.7839770000000006E-2</v>
      </c>
      <c r="R1268">
        <v>-1.829093E-2</v>
      </c>
      <c r="S1268">
        <v>2.9239809999999999</v>
      </c>
      <c r="T1268">
        <v>-0.83894500000000005</v>
      </c>
      <c r="U1268">
        <v>-0.47042850000000003</v>
      </c>
      <c r="V1268">
        <v>2.229571E-2</v>
      </c>
      <c r="W1268">
        <v>-8.9313069999999994E-2</v>
      </c>
      <c r="X1268">
        <v>0.99575400000000003</v>
      </c>
      <c r="Y1268">
        <v>0.156323499999999</v>
      </c>
      <c r="Z1268">
        <v>-2.3629939999999999E-2</v>
      </c>
      <c r="AA1268">
        <v>0.98742319999999995</v>
      </c>
      <c r="AB1268">
        <v>28</v>
      </c>
      <c r="AC1268">
        <v>0.56139999999999102</v>
      </c>
      <c r="AD1268">
        <v>-0.24283279999999999</v>
      </c>
      <c r="AE1268">
        <v>-0.13760000000002001</v>
      </c>
      <c r="AF1268">
        <v>0.11887880901298301</v>
      </c>
      <c r="AG1268">
        <v>-0.24283279999999999</v>
      </c>
      <c r="AH1268">
        <v>0.47670492563567002</v>
      </c>
      <c r="AI1268">
        <v>116.301421832514</v>
      </c>
      <c r="AJ1268">
        <v>75.997406250357301</v>
      </c>
      <c r="AK1268">
        <v>0.54803971216828395</v>
      </c>
      <c r="AL1268">
        <v>95.124089877919005</v>
      </c>
      <c r="AM1268">
        <v>88.717317061761193</v>
      </c>
      <c r="AN1268">
        <v>0.99999997583661404</v>
      </c>
    </row>
    <row r="1269" spans="1:40" x14ac:dyDescent="0.25">
      <c r="A1269" t="str">
        <f>"20190303154120725"</f>
        <v>20190303154120725</v>
      </c>
      <c r="B1269" t="str">
        <f>"1551598880720456"</f>
        <v>1551598880720456</v>
      </c>
      <c r="C1269" t="s">
        <v>40</v>
      </c>
      <c r="D1269">
        <v>5.674112</v>
      </c>
      <c r="E1269">
        <v>0.53830279999999997</v>
      </c>
      <c r="F1269" t="s">
        <v>42</v>
      </c>
      <c r="G1269">
        <v>-267.8433</v>
      </c>
      <c r="H1269">
        <v>0.88678860000000004</v>
      </c>
      <c r="I1269">
        <v>367.44580000000002</v>
      </c>
      <c r="J1269">
        <v>-268.38499999999999</v>
      </c>
      <c r="K1269">
        <v>1.1201950000000001</v>
      </c>
      <c r="L1269">
        <v>367.57830000000001</v>
      </c>
      <c r="M1269">
        <v>0.99995480000000003</v>
      </c>
      <c r="N1269">
        <v>-8.6138289999999999E-3</v>
      </c>
      <c r="O1269">
        <v>4.0284869999999999E-3</v>
      </c>
      <c r="P1269">
        <v>0.99508980000000002</v>
      </c>
      <c r="Q1269">
        <v>-9.7273680000000001E-2</v>
      </c>
      <c r="R1269">
        <v>-1.8284229999999999E-2</v>
      </c>
      <c r="S1269">
        <v>2.923889</v>
      </c>
      <c r="T1269">
        <v>-0.8379548</v>
      </c>
      <c r="U1269">
        <v>-0.4713135</v>
      </c>
      <c r="V1269">
        <v>2.2289529999999998E-2</v>
      </c>
      <c r="W1269">
        <v>-8.8700100000000004E-2</v>
      </c>
      <c r="X1269">
        <v>0.99580900000000006</v>
      </c>
      <c r="Y1269">
        <v>0.1566217</v>
      </c>
      <c r="Z1269">
        <v>-2.3650609999999999E-2</v>
      </c>
      <c r="AA1269">
        <v>0.98737540000000001</v>
      </c>
      <c r="AB1269">
        <v>28</v>
      </c>
      <c r="AC1269">
        <v>0.54169999999999097</v>
      </c>
      <c r="AD1269">
        <v>-0.23340639999999899</v>
      </c>
      <c r="AE1269">
        <v>-0.13249999999999301</v>
      </c>
      <c r="AF1269">
        <v>0.114605268762157</v>
      </c>
      <c r="AG1269">
        <v>-0.23340639999999899</v>
      </c>
      <c r="AH1269">
        <v>0.46049469093276102</v>
      </c>
      <c r="AI1269">
        <v>116.190569077273</v>
      </c>
      <c r="AJ1269">
        <v>76.024479400111005</v>
      </c>
      <c r="AK1269">
        <v>0.52883671919247999</v>
      </c>
      <c r="AL1269">
        <v>95.088828968172194</v>
      </c>
      <c r="AM1269">
        <v>88.717743282601504</v>
      </c>
      <c r="AN1269">
        <v>1.0000000476843101</v>
      </c>
    </row>
    <row r="1270" spans="1:40" x14ac:dyDescent="0.25">
      <c r="A1270" t="str">
        <f>"20190303154120747"</f>
        <v>20190303154120747</v>
      </c>
      <c r="B1270" t="str">
        <f>"1551598880740954"</f>
        <v>1551598880740954</v>
      </c>
      <c r="C1270" t="s">
        <v>40</v>
      </c>
      <c r="D1270">
        <v>5.6952360000000004</v>
      </c>
      <c r="E1270">
        <v>0.5383831</v>
      </c>
      <c r="F1270" t="s">
        <v>42</v>
      </c>
      <c r="G1270">
        <v>-267.58440000000002</v>
      </c>
      <c r="H1270">
        <v>0.91287490000000004</v>
      </c>
      <c r="I1270">
        <v>367.47930000000002</v>
      </c>
      <c r="J1270">
        <v>-268.10289999999998</v>
      </c>
      <c r="K1270">
        <v>1.120204</v>
      </c>
      <c r="L1270">
        <v>367.57940000000002</v>
      </c>
      <c r="M1270">
        <v>0.99995460000000003</v>
      </c>
      <c r="N1270">
        <v>-8.6581190000000006E-3</v>
      </c>
      <c r="O1270">
        <v>4.0285909999999998E-3</v>
      </c>
      <c r="P1270">
        <v>0.99506459999999997</v>
      </c>
      <c r="Q1270">
        <v>-9.7515779999999996E-2</v>
      </c>
      <c r="R1270">
        <v>-1.8371999999999999E-2</v>
      </c>
      <c r="S1270">
        <v>2.9339599999999999</v>
      </c>
      <c r="T1270">
        <v>-0.75978800000000002</v>
      </c>
      <c r="U1270">
        <v>-0.36120609999999997</v>
      </c>
      <c r="V1270">
        <v>2.237743E-2</v>
      </c>
      <c r="W1270">
        <v>-8.8898290000000005E-2</v>
      </c>
      <c r="X1270">
        <v>0.99578929999999999</v>
      </c>
      <c r="Y1270">
        <v>0.1219618</v>
      </c>
      <c r="Z1270">
        <v>-1.700714E-2</v>
      </c>
      <c r="AA1270">
        <v>0.99238910000000002</v>
      </c>
      <c r="AB1270">
        <v>28</v>
      </c>
      <c r="AC1270">
        <v>0.51849999999995999</v>
      </c>
      <c r="AD1270">
        <v>-0.20732909999999999</v>
      </c>
      <c r="AE1270">
        <v>-0.100099999999997</v>
      </c>
      <c r="AF1270">
        <v>8.8540042933813998E-2</v>
      </c>
      <c r="AG1270">
        <v>-0.20732909999999999</v>
      </c>
      <c r="AH1270">
        <v>0.44889706375637001</v>
      </c>
      <c r="AI1270">
        <v>114.37686145559</v>
      </c>
      <c r="AJ1270">
        <v>78.842252954322404</v>
      </c>
      <c r="AK1270">
        <v>0.50232784987358803</v>
      </c>
      <c r="AL1270">
        <v>95.100229736606593</v>
      </c>
      <c r="AM1270">
        <v>88.712662871517594</v>
      </c>
      <c r="AN1270">
        <v>0.99999999266640904</v>
      </c>
    </row>
    <row r="1271" spans="1:40" x14ac:dyDescent="0.25">
      <c r="A1271" t="str">
        <f>"20190303154120770"</f>
        <v>20190303154120770</v>
      </c>
      <c r="B1271" t="str">
        <f>"1551598880760473"</f>
        <v>1551598880760473</v>
      </c>
      <c r="C1271" t="s">
        <v>40</v>
      </c>
      <c r="D1271">
        <v>5.6464309999999998</v>
      </c>
      <c r="E1271">
        <v>0.53872259999999905</v>
      </c>
      <c r="F1271" t="s">
        <v>42</v>
      </c>
      <c r="G1271">
        <v>-267.33150000000001</v>
      </c>
      <c r="H1271">
        <v>0.91885649999999996</v>
      </c>
      <c r="I1271">
        <v>367.48419999999999</v>
      </c>
      <c r="J1271">
        <v>-267.82339999999999</v>
      </c>
      <c r="K1271">
        <v>1.1202160000000001</v>
      </c>
      <c r="L1271">
        <v>367.5806</v>
      </c>
      <c r="M1271">
        <v>0.99995420000000002</v>
      </c>
      <c r="N1271">
        <v>-8.6984950000000005E-3</v>
      </c>
      <c r="O1271">
        <v>4.0289509999999898E-3</v>
      </c>
      <c r="P1271">
        <v>0.99506620000000001</v>
      </c>
      <c r="Q1271">
        <v>-9.7570400000000002E-2</v>
      </c>
      <c r="R1271">
        <v>-1.7988560000000001E-2</v>
      </c>
      <c r="S1271">
        <v>2.9331969999999998</v>
      </c>
      <c r="T1271">
        <v>-0.76566909999999999</v>
      </c>
      <c r="U1271">
        <v>-0.36203000000000002</v>
      </c>
      <c r="V1271">
        <v>2.1994199999999998E-2</v>
      </c>
      <c r="W1271">
        <v>-8.8912669999999999E-2</v>
      </c>
      <c r="X1271">
        <v>0.99579660000000003</v>
      </c>
      <c r="Y1271">
        <v>0.12219389999999899</v>
      </c>
      <c r="Z1271">
        <v>-1.7167990000000001E-2</v>
      </c>
      <c r="AA1271">
        <v>0.99235770000000001</v>
      </c>
      <c r="AB1271">
        <v>28</v>
      </c>
      <c r="AC1271">
        <v>0.49189999999998602</v>
      </c>
      <c r="AD1271">
        <v>-0.201359499999999</v>
      </c>
      <c r="AE1271">
        <v>-9.6400000000016903E-2</v>
      </c>
      <c r="AF1271">
        <v>8.4711259473794306E-2</v>
      </c>
      <c r="AG1271">
        <v>-0.201359499999999</v>
      </c>
      <c r="AH1271">
        <v>0.42321354337205203</v>
      </c>
      <c r="AI1271">
        <v>115.010603979864</v>
      </c>
      <c r="AJ1271">
        <v>78.681144159532195</v>
      </c>
      <c r="AK1271">
        <v>0.476268148226831</v>
      </c>
      <c r="AL1271">
        <v>95.101056692926505</v>
      </c>
      <c r="AM1271">
        <v>88.734711512770005</v>
      </c>
      <c r="AN1271">
        <v>1.00000003814586</v>
      </c>
    </row>
    <row r="1272" spans="1:40" x14ac:dyDescent="0.25">
      <c r="A1272" t="str">
        <f>"20190303154120793"</f>
        <v>20190303154120793</v>
      </c>
      <c r="B1272" t="str">
        <f>"1551598880780970"</f>
        <v>1551598880780970</v>
      </c>
      <c r="C1272" t="s">
        <v>40</v>
      </c>
      <c r="D1272">
        <v>5.6514739999999897</v>
      </c>
      <c r="E1272">
        <v>0.53881969999999901</v>
      </c>
      <c r="F1272" t="s">
        <v>42</v>
      </c>
      <c r="G1272">
        <v>-267.07819999999998</v>
      </c>
      <c r="H1272">
        <v>0.92485870000000003</v>
      </c>
      <c r="I1272">
        <v>367.48790000000002</v>
      </c>
      <c r="J1272">
        <v>-267.53579999999999</v>
      </c>
      <c r="K1272">
        <v>1.120223</v>
      </c>
      <c r="L1272">
        <v>367.58170000000001</v>
      </c>
      <c r="M1272">
        <v>0.99995369999999995</v>
      </c>
      <c r="N1272">
        <v>-8.7366249999999996E-3</v>
      </c>
      <c r="O1272">
        <v>4.0294379999999998E-3</v>
      </c>
      <c r="P1272">
        <v>0.99502290000000004</v>
      </c>
      <c r="Q1272">
        <v>-9.8007869999999997E-2</v>
      </c>
      <c r="R1272">
        <v>-1.7998900000000002E-2</v>
      </c>
      <c r="S1272">
        <v>2.9329529999999999</v>
      </c>
      <c r="T1272">
        <v>-0.76887910000000004</v>
      </c>
      <c r="U1272">
        <v>-0.36331180000000002</v>
      </c>
      <c r="V1272">
        <v>2.200483E-2</v>
      </c>
      <c r="W1272">
        <v>-8.9312550000000004E-2</v>
      </c>
      <c r="X1272">
        <v>0.9957606</v>
      </c>
      <c r="Y1272">
        <v>0.1225821</v>
      </c>
      <c r="Z1272">
        <v>-1.729052E-2</v>
      </c>
      <c r="AA1272">
        <v>0.99230770000000001</v>
      </c>
      <c r="AB1272">
        <v>28</v>
      </c>
      <c r="AC1272">
        <v>0.457600000000013</v>
      </c>
      <c r="AD1272">
        <v>-0.19536429999999999</v>
      </c>
      <c r="AE1272">
        <v>-9.3799999999987393E-2</v>
      </c>
      <c r="AF1272">
        <v>8.1403888279834705E-2</v>
      </c>
      <c r="AG1272">
        <v>-0.19536429999999999</v>
      </c>
      <c r="AH1272">
        <v>0.38914795886016501</v>
      </c>
      <c r="AI1272">
        <v>116.169257313629</v>
      </c>
      <c r="AJ1272">
        <v>78.184955823943298</v>
      </c>
      <c r="AK1272">
        <v>0.44297848325465999</v>
      </c>
      <c r="AL1272">
        <v>95.124059540779598</v>
      </c>
      <c r="AM1272">
        <v>88.734054434579093</v>
      </c>
      <c r="AN1272">
        <v>1.00000005832159</v>
      </c>
    </row>
    <row r="1273" spans="1:40" x14ac:dyDescent="0.25">
      <c r="A1273" t="str">
        <f>"20190303154120815"</f>
        <v>20190303154120815</v>
      </c>
      <c r="B1273" t="str">
        <f>"1551598880810249"</f>
        <v>1551598880810249</v>
      </c>
      <c r="C1273" t="s">
        <v>40</v>
      </c>
      <c r="D1273">
        <v>5.649235</v>
      </c>
      <c r="E1273">
        <v>0.53879330000000003</v>
      </c>
      <c r="F1273" t="s">
        <v>42</v>
      </c>
      <c r="G1273">
        <v>-266.82369999999997</v>
      </c>
      <c r="H1273">
        <v>0.9325002</v>
      </c>
      <c r="I1273">
        <v>367.4932</v>
      </c>
      <c r="J1273">
        <v>-267.26209999999998</v>
      </c>
      <c r="K1273">
        <v>1.1202379999999901</v>
      </c>
      <c r="L1273">
        <v>367.58280000000002</v>
      </c>
      <c r="M1273">
        <v>0.9999536</v>
      </c>
      <c r="N1273">
        <v>-8.7699879999999994E-3</v>
      </c>
      <c r="O1273">
        <v>4.0296480000000003E-3</v>
      </c>
      <c r="P1273">
        <v>0.99502159999999995</v>
      </c>
      <c r="Q1273">
        <v>-9.804496E-2</v>
      </c>
      <c r="R1273">
        <v>-1.7878399999999999E-2</v>
      </c>
      <c r="S1273">
        <v>2.9322810000000001</v>
      </c>
      <c r="T1273">
        <v>-0.77289989999999997</v>
      </c>
      <c r="U1273">
        <v>-0.36441040000000002</v>
      </c>
      <c r="V1273">
        <v>2.1884399999999998E-2</v>
      </c>
      <c r="W1273">
        <v>-8.9316409999999999E-2</v>
      </c>
      <c r="X1273">
        <v>0.99576279999999995</v>
      </c>
      <c r="Y1273">
        <v>0.1229181</v>
      </c>
      <c r="Z1273">
        <v>-1.742575E-2</v>
      </c>
      <c r="AA1273">
        <v>0.99226380000000003</v>
      </c>
      <c r="AB1273">
        <v>28</v>
      </c>
      <c r="AC1273">
        <v>0.43840000000000101</v>
      </c>
      <c r="AD1273">
        <v>-0.18773779999999901</v>
      </c>
      <c r="AE1273">
        <v>-8.9600000000018498E-2</v>
      </c>
      <c r="AF1273">
        <v>7.7690050966601407E-2</v>
      </c>
      <c r="AG1273">
        <v>-0.18773779999999901</v>
      </c>
      <c r="AH1273">
        <v>0.37246911757122803</v>
      </c>
      <c r="AI1273">
        <v>116.262506854067</v>
      </c>
      <c r="AJ1273">
        <v>78.218101450588307</v>
      </c>
      <c r="AK1273">
        <v>0.42428112038166599</v>
      </c>
      <c r="AL1273">
        <v>95.124282141516403</v>
      </c>
      <c r="AM1273">
        <v>88.740983359128705</v>
      </c>
      <c r="AN1273">
        <v>0.99999995096124195</v>
      </c>
    </row>
    <row r="1274" spans="1:40" x14ac:dyDescent="0.25">
      <c r="A1274" t="str">
        <f>"20190303154120836"</f>
        <v>20190303154120836</v>
      </c>
      <c r="B1274" t="str">
        <f>"1551598880830748"</f>
        <v>1551598880830748</v>
      </c>
      <c r="C1274" t="s">
        <v>40</v>
      </c>
      <c r="D1274">
        <v>5.8415739999999996</v>
      </c>
      <c r="E1274">
        <v>0.53871630000000004</v>
      </c>
      <c r="F1274" t="s">
        <v>42</v>
      </c>
      <c r="G1274">
        <v>-266.56979999999999</v>
      </c>
      <c r="H1274">
        <v>0.93760200000000005</v>
      </c>
      <c r="I1274">
        <v>367.49669999999998</v>
      </c>
      <c r="J1274">
        <v>-266.98630000000003</v>
      </c>
      <c r="K1274">
        <v>1.120247</v>
      </c>
      <c r="L1274">
        <v>367.58390000000003</v>
      </c>
      <c r="M1274">
        <v>0.99995319999999999</v>
      </c>
      <c r="N1274">
        <v>-8.8010229999999998E-3</v>
      </c>
      <c r="O1274">
        <v>4.0299869999999996E-3</v>
      </c>
      <c r="P1274">
        <v>0.99500409999999995</v>
      </c>
      <c r="Q1274">
        <v>-9.8211329999999999E-2</v>
      </c>
      <c r="R1274">
        <v>-1.7933129999999999E-2</v>
      </c>
      <c r="S1274">
        <v>2.9322810000000001</v>
      </c>
      <c r="T1274">
        <v>-0.77360340000000005</v>
      </c>
      <c r="U1274">
        <v>-0.36395260000000001</v>
      </c>
      <c r="V1274">
        <v>2.1939500000000001E-2</v>
      </c>
      <c r="W1274">
        <v>-8.9452030000000002E-2</v>
      </c>
      <c r="X1274">
        <v>0.99574949999999995</v>
      </c>
      <c r="Y1274">
        <v>0.12276289999999999</v>
      </c>
      <c r="Z1274">
        <v>-1.7421969999999998E-2</v>
      </c>
      <c r="AA1274">
        <v>0.99228309999999997</v>
      </c>
      <c r="AB1274">
        <v>28</v>
      </c>
      <c r="AC1274">
        <v>0.416500000000041</v>
      </c>
      <c r="AD1274">
        <v>-0.182644999999999</v>
      </c>
      <c r="AE1274">
        <v>-8.7200000000052499E-2</v>
      </c>
      <c r="AF1274">
        <v>7.5051327623436595E-2</v>
      </c>
      <c r="AG1274">
        <v>-0.182644999999999</v>
      </c>
      <c r="AH1274">
        <v>0.35140645513591401</v>
      </c>
      <c r="AI1274">
        <v>116.943818641134</v>
      </c>
      <c r="AJ1274">
        <v>77.944229488676598</v>
      </c>
      <c r="AK1274">
        <v>0.403086088217182</v>
      </c>
      <c r="AL1274">
        <v>95.132083380993905</v>
      </c>
      <c r="AM1274">
        <v>88.737797609125195</v>
      </c>
      <c r="AN1274">
        <v>1.0000000370408</v>
      </c>
    </row>
    <row r="1275" spans="1:40" x14ac:dyDescent="0.25">
      <c r="A1275" t="str">
        <f>"20190303154120859"</f>
        <v>20190303154120859</v>
      </c>
      <c r="B1275" t="str">
        <f>"1551598880850268"</f>
        <v>1551598880850268</v>
      </c>
      <c r="C1275" t="s">
        <v>40</v>
      </c>
      <c r="D1275">
        <v>5.6648040000000002</v>
      </c>
      <c r="E1275">
        <v>0.5200207</v>
      </c>
      <c r="F1275" t="s">
        <v>42</v>
      </c>
      <c r="G1275">
        <v>-266.08850000000001</v>
      </c>
      <c r="H1275">
        <v>0.88294719999999904</v>
      </c>
      <c r="I1275">
        <v>367.47250000000003</v>
      </c>
      <c r="J1275">
        <v>-266.7047</v>
      </c>
      <c r="K1275">
        <v>1.120263</v>
      </c>
      <c r="L1275">
        <v>367.58510000000001</v>
      </c>
      <c r="M1275">
        <v>0.99995299999999998</v>
      </c>
      <c r="N1275">
        <v>-8.8302880000000004E-3</v>
      </c>
      <c r="O1275">
        <v>4.0303930000000002E-3</v>
      </c>
      <c r="P1275">
        <v>0.99497610000000003</v>
      </c>
      <c r="Q1275">
        <v>-9.8420869999999994E-2</v>
      </c>
      <c r="R1275">
        <v>-1.8332439999999998E-2</v>
      </c>
      <c r="S1275">
        <v>2.9320369999999998</v>
      </c>
      <c r="T1275">
        <v>-0.77494300000000005</v>
      </c>
      <c r="U1275">
        <v>-0.36331180000000002</v>
      </c>
      <c r="V1275">
        <v>2.2339169999999998E-2</v>
      </c>
      <c r="W1275">
        <v>-8.9632699999999996E-2</v>
      </c>
      <c r="X1275">
        <v>0.99572430000000001</v>
      </c>
      <c r="Y1275">
        <v>0.1225511</v>
      </c>
      <c r="Z1275">
        <v>-1.7425320000000001E-2</v>
      </c>
      <c r="AA1275">
        <v>0.9923092</v>
      </c>
      <c r="AB1275">
        <v>28</v>
      </c>
      <c r="AC1275">
        <v>0.61619999999999198</v>
      </c>
      <c r="AD1275">
        <v>-0.23731579999999999</v>
      </c>
      <c r="AE1275">
        <v>-0.112599999999986</v>
      </c>
      <c r="AF1275">
        <v>0.10063804993445299</v>
      </c>
      <c r="AG1275">
        <v>-0.23731579999999999</v>
      </c>
      <c r="AH1275">
        <v>0.53845611591008402</v>
      </c>
      <c r="AI1275">
        <v>113.42379963601999</v>
      </c>
      <c r="AJ1275">
        <v>79.413496378879401</v>
      </c>
      <c r="AK1275">
        <v>0.59697721462818298</v>
      </c>
      <c r="AL1275">
        <v>95.142477102170901</v>
      </c>
      <c r="AM1275">
        <v>88.714779303809607</v>
      </c>
      <c r="AN1275">
        <v>0.99999997051803302</v>
      </c>
    </row>
    <row r="1276" spans="1:40" x14ac:dyDescent="0.25">
      <c r="A1276" t="str">
        <f>"20190303154120880"</f>
        <v>20190303154120880</v>
      </c>
      <c r="B1276" t="str">
        <f>"1551598880870761"</f>
        <v>1551598880870761</v>
      </c>
      <c r="C1276" t="s">
        <v>40</v>
      </c>
      <c r="D1276">
        <v>5.673298</v>
      </c>
      <c r="E1276">
        <v>0.52088979999999996</v>
      </c>
      <c r="F1276" t="s">
        <v>42</v>
      </c>
      <c r="G1276">
        <v>-265.82749999999999</v>
      </c>
      <c r="H1276">
        <v>0.90621960000000001</v>
      </c>
      <c r="I1276">
        <v>367.52050000000003</v>
      </c>
      <c r="J1276">
        <v>-266.4246</v>
      </c>
      <c r="K1276">
        <v>1.120268</v>
      </c>
      <c r="L1276">
        <v>367.58620000000002</v>
      </c>
      <c r="M1276">
        <v>0.99995270000000003</v>
      </c>
      <c r="N1276">
        <v>-8.8574550000000002E-3</v>
      </c>
      <c r="O1276">
        <v>4.0307479999999998E-3</v>
      </c>
      <c r="P1276">
        <v>0.99500549999999999</v>
      </c>
      <c r="Q1276">
        <v>-9.8131019999999999E-2</v>
      </c>
      <c r="R1276">
        <v>-1.8294149999999999E-2</v>
      </c>
      <c r="S1276">
        <v>2.9402159999999999</v>
      </c>
      <c r="T1276">
        <v>-0.71758389999999905</v>
      </c>
      <c r="U1276">
        <v>-0.21566769999999999</v>
      </c>
      <c r="V1276">
        <v>2.230126E-2</v>
      </c>
      <c r="W1276">
        <v>-8.9315530000000004E-2</v>
      </c>
      <c r="X1276">
        <v>0.99575369999999996</v>
      </c>
      <c r="Y1276">
        <v>7.4798669999999998E-2</v>
      </c>
      <c r="Z1276">
        <v>-1.025384E-2</v>
      </c>
      <c r="AA1276">
        <v>0.99714599999999998</v>
      </c>
      <c r="AB1276">
        <v>28</v>
      </c>
      <c r="AC1276">
        <v>0.59710000000001096</v>
      </c>
      <c r="AD1276">
        <v>-0.2140484</v>
      </c>
      <c r="AE1276">
        <v>-6.5699999999992501E-2</v>
      </c>
      <c r="AF1276">
        <v>6.0433090386961701E-2</v>
      </c>
      <c r="AG1276">
        <v>-0.2140484</v>
      </c>
      <c r="AH1276">
        <v>0.529588157150096</v>
      </c>
      <c r="AI1276">
        <v>111.87905357526699</v>
      </c>
      <c r="AJ1276">
        <v>83.489945612963098</v>
      </c>
      <c r="AK1276">
        <v>0.57439750360696495</v>
      </c>
      <c r="AL1276">
        <v>95.124231161208698</v>
      </c>
      <c r="AM1276">
        <v>88.716997487886005</v>
      </c>
      <c r="AN1276">
        <v>1.00000002058022</v>
      </c>
    </row>
    <row r="1277" spans="1:40" x14ac:dyDescent="0.25">
      <c r="A1277" t="str">
        <f>"20190303154120902"</f>
        <v>20190303154120902</v>
      </c>
      <c r="B1277" t="str">
        <f>"1551598880900041"</f>
        <v>1551598880900041</v>
      </c>
      <c r="C1277" t="s">
        <v>40</v>
      </c>
      <c r="D1277">
        <v>5.6749989999999997</v>
      </c>
      <c r="E1277">
        <v>0.51848059999999996</v>
      </c>
      <c r="F1277" t="s">
        <v>42</v>
      </c>
      <c r="G1277">
        <v>-265.50130000000001</v>
      </c>
      <c r="H1277">
        <v>1.0525139999999999</v>
      </c>
      <c r="I1277">
        <v>367.51760000000002</v>
      </c>
      <c r="J1277">
        <v>-266.14530000000002</v>
      </c>
      <c r="K1277">
        <v>1.1202749999999999</v>
      </c>
      <c r="L1277">
        <v>367.58730000000003</v>
      </c>
      <c r="M1277">
        <v>0.99995250000000002</v>
      </c>
      <c r="N1277">
        <v>-8.8829100000000008E-3</v>
      </c>
      <c r="O1277">
        <v>4.0311710000000001E-3</v>
      </c>
      <c r="P1277">
        <v>0.99498330000000001</v>
      </c>
      <c r="Q1277">
        <v>-9.8369399999999996E-2</v>
      </c>
      <c r="R1277">
        <v>-1.8213940000000001E-2</v>
      </c>
      <c r="S1277">
        <v>2.9893190000000001</v>
      </c>
      <c r="T1277">
        <v>-0.2196234</v>
      </c>
      <c r="U1277">
        <v>-0.22125239999999999</v>
      </c>
      <c r="V1277">
        <v>2.222143E-2</v>
      </c>
      <c r="W1277">
        <v>-8.9528769999999994E-2</v>
      </c>
      <c r="X1277">
        <v>0.99573630000000002</v>
      </c>
      <c r="Y1277">
        <v>7.7590499999999896E-2</v>
      </c>
      <c r="Z1277">
        <v>-3.4478260000000002E-3</v>
      </c>
      <c r="AA1277">
        <v>0.99697939999999996</v>
      </c>
      <c r="AB1277">
        <v>28</v>
      </c>
      <c r="AC1277">
        <v>0.64400000000000501</v>
      </c>
      <c r="AD1277">
        <v>-6.7760999999999905E-2</v>
      </c>
      <c r="AE1277">
        <v>-6.97000000000116E-2</v>
      </c>
      <c r="AF1277">
        <v>7.1513053708333899E-2</v>
      </c>
      <c r="AG1277">
        <v>-6.7760999999999905E-2</v>
      </c>
      <c r="AH1277">
        <v>0.63674597076518402</v>
      </c>
      <c r="AI1277">
        <v>96.036749496935101</v>
      </c>
      <c r="AJ1277">
        <v>83.5919535318328</v>
      </c>
      <c r="AK1277">
        <v>0.64432220298340503</v>
      </c>
      <c r="AL1277">
        <v>95.136498235207995</v>
      </c>
      <c r="AM1277">
        <v>88.721566288176106</v>
      </c>
      <c r="AN1277">
        <v>0.99999998587332295</v>
      </c>
    </row>
    <row r="1278" spans="1:40" x14ac:dyDescent="0.25">
      <c r="A1278" t="str">
        <f>"20190303154120925"</f>
        <v>20190303154120925</v>
      </c>
      <c r="B1278" t="str">
        <f>"1551598880920536"</f>
        <v>1551598880920536</v>
      </c>
      <c r="C1278" t="s">
        <v>40</v>
      </c>
      <c r="D1278">
        <v>5.6987889999999997</v>
      </c>
      <c r="E1278">
        <v>0.51817440000000003</v>
      </c>
      <c r="F1278" t="s">
        <v>41</v>
      </c>
      <c r="G1278">
        <v>-245.75149999999999</v>
      </c>
      <c r="H1278" s="1">
        <v>-2.5923510000000001E-6</v>
      </c>
      <c r="I1278">
        <v>366.21359999999999</v>
      </c>
      <c r="J1278">
        <v>-265.85590000000002</v>
      </c>
      <c r="K1278">
        <v>1.120279</v>
      </c>
      <c r="L1278">
        <v>367.58839999999998</v>
      </c>
      <c r="M1278">
        <v>0.99995219999999996</v>
      </c>
      <c r="N1278">
        <v>-8.9075730000000002E-3</v>
      </c>
      <c r="O1278">
        <v>4.031537E-3</v>
      </c>
      <c r="P1278">
        <v>0.99498330000000001</v>
      </c>
      <c r="Q1278">
        <v>-9.8484920000000004E-2</v>
      </c>
      <c r="R1278">
        <v>-1.7578239999999998E-2</v>
      </c>
      <c r="S1278">
        <v>2.9951780000000001</v>
      </c>
      <c r="T1278">
        <v>-0.1645325</v>
      </c>
      <c r="U1278">
        <v>-0.20175170000000001</v>
      </c>
      <c r="V1278">
        <v>2.1586069999999999E-2</v>
      </c>
      <c r="W1278">
        <v>-8.9619669999999998E-2</v>
      </c>
      <c r="X1278">
        <v>0.99574209999999996</v>
      </c>
      <c r="Y1278">
        <v>7.1100209999999997E-2</v>
      </c>
      <c r="Z1278">
        <v>-2.4516920000000001E-3</v>
      </c>
      <c r="AA1278">
        <v>0.99746610000000002</v>
      </c>
      <c r="AB1278">
        <v>28</v>
      </c>
      <c r="AC1278">
        <v>20.104399999999998</v>
      </c>
      <c r="AD1278">
        <v>-1.1202815923510001</v>
      </c>
      <c r="AE1278">
        <v>-1.37479999999999</v>
      </c>
      <c r="AF1278">
        <v>1.4513580740297201</v>
      </c>
      <c r="AG1278">
        <v>-1.1202815923510001</v>
      </c>
      <c r="AH1278">
        <v>20.036767732419001</v>
      </c>
      <c r="AI1278">
        <v>93.191804207496801</v>
      </c>
      <c r="AJ1278">
        <v>85.857030726436903</v>
      </c>
      <c r="AK1278">
        <v>20.1204754483615</v>
      </c>
      <c r="AL1278">
        <v>95.141727438055995</v>
      </c>
      <c r="AM1278">
        <v>88.758115160710503</v>
      </c>
      <c r="AN1278">
        <v>0.99999998669068102</v>
      </c>
    </row>
    <row r="1279" spans="1:40" x14ac:dyDescent="0.25">
      <c r="A1279" t="str">
        <f>"20190303154120948"</f>
        <v>20190303154120948</v>
      </c>
      <c r="B1279" t="str">
        <f>"1551598880941033"</f>
        <v>1551598880941033</v>
      </c>
      <c r="C1279" t="s">
        <v>40</v>
      </c>
      <c r="D1279">
        <v>5.6322109999999999</v>
      </c>
      <c r="E1279">
        <v>0.51767890000000005</v>
      </c>
      <c r="F1279" t="s">
        <v>41</v>
      </c>
      <c r="G1279">
        <v>-243.69749999999999</v>
      </c>
      <c r="H1279" s="1">
        <v>-3.5782249999999999E-6</v>
      </c>
      <c r="I1279">
        <v>366.12950000000001</v>
      </c>
      <c r="J1279">
        <v>-265.57089999999999</v>
      </c>
      <c r="K1279">
        <v>1.120282</v>
      </c>
      <c r="L1279">
        <v>367.58960000000002</v>
      </c>
      <c r="M1279">
        <v>0.99995199999999995</v>
      </c>
      <c r="N1279">
        <v>-8.9324319999999902E-3</v>
      </c>
      <c r="O1279">
        <v>4.0320809999999999E-3</v>
      </c>
      <c r="P1279">
        <v>0.9949867</v>
      </c>
      <c r="Q1279">
        <v>-9.8604919999999999E-2</v>
      </c>
      <c r="R1279">
        <v>-1.6693960000000001E-2</v>
      </c>
      <c r="S1279">
        <v>2.996613</v>
      </c>
      <c r="T1279">
        <v>-0.15150250000000001</v>
      </c>
      <c r="U1279">
        <v>-0.1972961</v>
      </c>
      <c r="V1279">
        <v>2.07023E-2</v>
      </c>
      <c r="W1279">
        <v>-8.9714829999999995E-2</v>
      </c>
      <c r="X1279">
        <v>0.99575230000000003</v>
      </c>
      <c r="Y1279">
        <v>6.9612759999999996E-2</v>
      </c>
      <c r="Z1279">
        <v>-2.2357499999999999E-3</v>
      </c>
      <c r="AA1279">
        <v>0.9975716</v>
      </c>
      <c r="AB1279">
        <v>28</v>
      </c>
      <c r="AC1279">
        <v>21.8734</v>
      </c>
      <c r="AD1279">
        <v>-1.1202855782250001</v>
      </c>
      <c r="AE1279">
        <v>-1.4601000000000099</v>
      </c>
      <c r="AF1279">
        <v>1.5442541103582199</v>
      </c>
      <c r="AG1279">
        <v>-1.1202855782250001</v>
      </c>
      <c r="AH1279">
        <v>21.810376379893398</v>
      </c>
      <c r="AI1279">
        <v>92.933072118545994</v>
      </c>
      <c r="AJ1279">
        <v>85.950008784426899</v>
      </c>
      <c r="AK1279">
        <v>21.893658405272301</v>
      </c>
      <c r="AL1279">
        <v>95.147201742026596</v>
      </c>
      <c r="AM1279">
        <v>88.808957252103397</v>
      </c>
      <c r="AN1279">
        <v>0.99999998945125401</v>
      </c>
    </row>
    <row r="1280" spans="1:40" x14ac:dyDescent="0.25">
      <c r="A1280" t="str">
        <f>"20190303154120972"</f>
        <v>20190303154120972</v>
      </c>
      <c r="B1280" t="str">
        <f>"1551598880960552"</f>
        <v>1551598880960552</v>
      </c>
      <c r="C1280" t="s">
        <v>40</v>
      </c>
      <c r="D1280">
        <v>5.7227990000000002</v>
      </c>
      <c r="E1280">
        <v>0.51773230000000003</v>
      </c>
      <c r="F1280" t="s">
        <v>41</v>
      </c>
      <c r="G1280">
        <v>-242.33969999999999</v>
      </c>
      <c r="H1280" s="1">
        <v>-4.2231890000000004E-6</v>
      </c>
      <c r="I1280">
        <v>366.11189999999999</v>
      </c>
      <c r="J1280">
        <v>-265.27179999999998</v>
      </c>
      <c r="K1280">
        <v>1.1202890000000001</v>
      </c>
      <c r="L1280">
        <v>367.59089999999998</v>
      </c>
      <c r="M1280">
        <v>0.9999517</v>
      </c>
      <c r="N1280">
        <v>-8.9614209999999903E-3</v>
      </c>
      <c r="O1280">
        <v>4.0324870000000004E-3</v>
      </c>
      <c r="P1280">
        <v>0.99500750000000004</v>
      </c>
      <c r="Q1280">
        <v>-9.8528669999999999E-2</v>
      </c>
      <c r="R1280">
        <v>-1.588471E-2</v>
      </c>
      <c r="S1280">
        <v>2.9976500000000001</v>
      </c>
      <c r="T1280">
        <v>-0.1445565</v>
      </c>
      <c r="U1280">
        <v>-0.1906738</v>
      </c>
      <c r="V1280">
        <v>1.9893660000000001E-2</v>
      </c>
      <c r="W1280">
        <v>-8.9609449999999993E-2</v>
      </c>
      <c r="X1280">
        <v>0.99577830000000001</v>
      </c>
      <c r="Y1280">
        <v>6.7407800000000004E-2</v>
      </c>
      <c r="Z1280">
        <v>-2.0833589999999999E-3</v>
      </c>
      <c r="AA1280">
        <v>0.99772329999999998</v>
      </c>
      <c r="AB1280">
        <v>28</v>
      </c>
      <c r="AC1280">
        <v>22.932099999999899</v>
      </c>
      <c r="AD1280">
        <v>-1.1202932231889999</v>
      </c>
      <c r="AE1280">
        <v>-1.4789999999999801</v>
      </c>
      <c r="AF1280">
        <v>1.56773904992574</v>
      </c>
      <c r="AG1280">
        <v>-1.1202932231889999</v>
      </c>
      <c r="AH1280">
        <v>22.871590505464098</v>
      </c>
      <c r="AI1280">
        <v>92.797658922208996</v>
      </c>
      <c r="AJ1280">
        <v>86.078779613112204</v>
      </c>
      <c r="AK1280">
        <v>22.952614554429701</v>
      </c>
      <c r="AL1280">
        <v>95.141139353450001</v>
      </c>
      <c r="AM1280">
        <v>88.855497100959695</v>
      </c>
      <c r="AN1280">
        <v>1.0000000169941901</v>
      </c>
    </row>
    <row r="1281" spans="1:40" x14ac:dyDescent="0.25">
      <c r="A1281" t="str">
        <f>"20190303154120993"</f>
        <v>20190303154120993</v>
      </c>
      <c r="B1281" t="str">
        <f>"1551598880990809"</f>
        <v>1551598880990809</v>
      </c>
      <c r="C1281" t="s">
        <v>40</v>
      </c>
      <c r="D1281">
        <v>5.7441959999999996</v>
      </c>
      <c r="E1281">
        <v>0.51777620000000002</v>
      </c>
      <c r="F1281" t="s">
        <v>41</v>
      </c>
      <c r="G1281">
        <v>-241.51560000000001</v>
      </c>
      <c r="H1281" s="1">
        <v>-4.6154209999999998E-6</v>
      </c>
      <c r="I1281">
        <v>366.09690000000001</v>
      </c>
      <c r="J1281">
        <v>-264.99549999999999</v>
      </c>
      <c r="K1281">
        <v>1.120293</v>
      </c>
      <c r="L1281">
        <v>367.59199999999998</v>
      </c>
      <c r="M1281">
        <v>0.99995140000000005</v>
      </c>
      <c r="N1281">
        <v>-8.9951179999999999E-3</v>
      </c>
      <c r="O1281">
        <v>4.0329900000000002E-3</v>
      </c>
      <c r="P1281">
        <v>0.99508410000000003</v>
      </c>
      <c r="Q1281">
        <v>-9.7868060000000007E-2</v>
      </c>
      <c r="R1281">
        <v>-1.514455E-2</v>
      </c>
      <c r="S1281">
        <v>2.9980159999999998</v>
      </c>
      <c r="T1281">
        <v>-0.14138029999999999</v>
      </c>
      <c r="U1281">
        <v>-0.1885376</v>
      </c>
      <c r="V1281">
        <v>1.9154520000000001E-2</v>
      </c>
      <c r="W1281">
        <v>-8.8914569999999998E-2</v>
      </c>
      <c r="X1281">
        <v>0.99585500000000005</v>
      </c>
      <c r="Y1281">
        <v>6.669725E-2</v>
      </c>
      <c r="Z1281">
        <v>-2.024381E-3</v>
      </c>
      <c r="AA1281">
        <v>0.99777119999999997</v>
      </c>
      <c r="AB1281">
        <v>28</v>
      </c>
      <c r="AC1281">
        <v>23.479899999999901</v>
      </c>
      <c r="AD1281">
        <v>-1.120297615421</v>
      </c>
      <c r="AE1281">
        <v>-1.4950999999999699</v>
      </c>
      <c r="AF1281">
        <v>1.5861894403935399</v>
      </c>
      <c r="AG1281">
        <v>-1.120297615421</v>
      </c>
      <c r="AH1281">
        <v>23.420576612151301</v>
      </c>
      <c r="AI1281">
        <v>92.732343642229907</v>
      </c>
      <c r="AJ1281">
        <v>86.125484482660696</v>
      </c>
      <c r="AK1281">
        <v>23.500946205069699</v>
      </c>
      <c r="AL1281">
        <v>95.101166496367199</v>
      </c>
      <c r="AM1281">
        <v>88.898094757141195</v>
      </c>
      <c r="AN1281">
        <v>0.99999993870985504</v>
      </c>
    </row>
    <row r="1282" spans="1:40" x14ac:dyDescent="0.25">
      <c r="A1282" t="str">
        <f>"20190303154121015"</f>
        <v>20190303154121015</v>
      </c>
      <c r="B1282" t="str">
        <f>"1551598881010128"</f>
        <v>1551598881010128</v>
      </c>
      <c r="C1282" t="s">
        <v>40</v>
      </c>
      <c r="D1282">
        <v>5.7354390000000004</v>
      </c>
      <c r="E1282">
        <v>0.51789490000000005</v>
      </c>
      <c r="F1282" t="s">
        <v>41</v>
      </c>
      <c r="G1282">
        <v>-240.14660000000001</v>
      </c>
      <c r="H1282" s="1">
        <v>-5.2719649999999998E-6</v>
      </c>
      <c r="I1282">
        <v>366.04379999999998</v>
      </c>
      <c r="J1282">
        <v>-264.71499999999997</v>
      </c>
      <c r="K1282">
        <v>1.1202989999999999</v>
      </c>
      <c r="L1282">
        <v>367.59309999999999</v>
      </c>
      <c r="M1282">
        <v>0.99995089999999998</v>
      </c>
      <c r="N1282">
        <v>-9.0429510000000005E-3</v>
      </c>
      <c r="O1282">
        <v>4.0334289999999998E-3</v>
      </c>
      <c r="P1282">
        <v>0.99509899999999996</v>
      </c>
      <c r="Q1282">
        <v>-9.7763169999999996E-2</v>
      </c>
      <c r="R1282">
        <v>-1.483746E-2</v>
      </c>
      <c r="S1282">
        <v>2.9987180000000002</v>
      </c>
      <c r="T1282">
        <v>-0.1351957</v>
      </c>
      <c r="U1282">
        <v>-0.18682860000000001</v>
      </c>
      <c r="V1282">
        <v>1.8847740000000002E-2</v>
      </c>
      <c r="W1282">
        <v>-8.8761889999999996E-2</v>
      </c>
      <c r="X1282">
        <v>0.9958745</v>
      </c>
      <c r="Y1282">
        <v>6.6124559999999999E-2</v>
      </c>
      <c r="Z1282">
        <v>-1.9330160000000001E-3</v>
      </c>
      <c r="AA1282">
        <v>0.99780950000000002</v>
      </c>
      <c r="AB1282">
        <v>29</v>
      </c>
      <c r="AC1282">
        <v>24.568399999999901</v>
      </c>
      <c r="AD1282">
        <v>-1.120304271965</v>
      </c>
      <c r="AE1282">
        <v>-1.5493000000000099</v>
      </c>
      <c r="AF1282">
        <v>1.6449794866974099</v>
      </c>
      <c r="AG1282">
        <v>-1.120304271965</v>
      </c>
      <c r="AH1282">
        <v>24.511186524110101</v>
      </c>
      <c r="AI1282">
        <v>92.611064966824898</v>
      </c>
      <c r="AJ1282">
        <v>86.1605586176955</v>
      </c>
      <c r="AK1282">
        <v>24.591854423632999</v>
      </c>
      <c r="AL1282">
        <v>95.092383715546802</v>
      </c>
      <c r="AM1282">
        <v>88.915759919239505</v>
      </c>
      <c r="AN1282">
        <v>0.999999965084864</v>
      </c>
    </row>
    <row r="1283" spans="1:40" x14ac:dyDescent="0.25">
      <c r="A1283" t="str">
        <f>"20190303154121038"</f>
        <v>20190303154121038</v>
      </c>
      <c r="B1283" t="str">
        <f>"1551598881030625"</f>
        <v>1551598881030625</v>
      </c>
      <c r="C1283" t="s">
        <v>40</v>
      </c>
      <c r="D1283">
        <v>5.7720630000000002</v>
      </c>
      <c r="E1283">
        <v>0.51818209999999998</v>
      </c>
      <c r="F1283" t="s">
        <v>41</v>
      </c>
      <c r="G1283">
        <v>-239.5763</v>
      </c>
      <c r="H1283" s="1">
        <v>-1.0851659999999999E-6</v>
      </c>
      <c r="I1283">
        <v>366.02749999999997</v>
      </c>
      <c r="J1283">
        <v>-264.42860000000002</v>
      </c>
      <c r="K1283">
        <v>1.1203110000000001</v>
      </c>
      <c r="L1283">
        <v>367.59429999999998</v>
      </c>
      <c r="M1283">
        <v>0.99995029999999996</v>
      </c>
      <c r="N1283">
        <v>-9.1155730000000001E-3</v>
      </c>
      <c r="O1283">
        <v>4.0339900000000003E-3</v>
      </c>
      <c r="P1283">
        <v>0.99509250000000005</v>
      </c>
      <c r="Q1283">
        <v>-9.7879069999999999E-2</v>
      </c>
      <c r="R1283">
        <v>-1.4513959999999999E-2</v>
      </c>
      <c r="S1283">
        <v>2.9988709999999998</v>
      </c>
      <c r="T1283">
        <v>-0.1336435</v>
      </c>
      <c r="U1283">
        <v>-0.18676760000000001</v>
      </c>
      <c r="V1283">
        <v>1.852471E-2</v>
      </c>
      <c r="W1283">
        <v>-8.8805480000000006E-2</v>
      </c>
      <c r="X1283">
        <v>0.99587669999999995</v>
      </c>
      <c r="Y1283">
        <v>6.6103410000000001E-2</v>
      </c>
      <c r="Z1283">
        <v>-1.91534E-3</v>
      </c>
      <c r="AA1283">
        <v>0.997811</v>
      </c>
      <c r="AB1283">
        <v>29</v>
      </c>
      <c r="AC1283">
        <v>24.8523</v>
      </c>
      <c r="AD1283">
        <v>-1.120312085166</v>
      </c>
      <c r="AE1283">
        <v>-1.5668</v>
      </c>
      <c r="AF1283">
        <v>1.6636779728756801</v>
      </c>
      <c r="AG1283">
        <v>-1.120312085166</v>
      </c>
      <c r="AH1283">
        <v>24.795589435358298</v>
      </c>
      <c r="AI1283">
        <v>92.581177725816204</v>
      </c>
      <c r="AJ1283">
        <v>86.161451585181794</v>
      </c>
      <c r="AK1283">
        <v>24.876578925014101</v>
      </c>
      <c r="AL1283">
        <v>95.094891013992097</v>
      </c>
      <c r="AM1283">
        <v>88.934340659505807</v>
      </c>
      <c r="AN1283">
        <v>0.999999989880752</v>
      </c>
    </row>
    <row r="1284" spans="1:40" x14ac:dyDescent="0.25">
      <c r="A1284" t="str">
        <f>"20190303154121059"</f>
        <v>20190303154121059</v>
      </c>
      <c r="B1284" t="str">
        <f>"1551598881050145"</f>
        <v>1551598881050145</v>
      </c>
      <c r="C1284" t="s">
        <v>40</v>
      </c>
      <c r="D1284">
        <v>5.7564529999999996</v>
      </c>
      <c r="E1284">
        <v>0.51837800000000001</v>
      </c>
      <c r="F1284" t="s">
        <v>41</v>
      </c>
      <c r="G1284">
        <v>-239.40790000000001</v>
      </c>
      <c r="H1284" s="1">
        <v>-1.143394E-6</v>
      </c>
      <c r="I1284">
        <v>366.024</v>
      </c>
      <c r="J1284">
        <v>-264.14670000000001</v>
      </c>
      <c r="K1284">
        <v>1.1203289999999999</v>
      </c>
      <c r="L1284">
        <v>367.59539999999998</v>
      </c>
      <c r="M1284">
        <v>0.99994950000000005</v>
      </c>
      <c r="N1284">
        <v>-9.2142470000000001E-3</v>
      </c>
      <c r="O1284">
        <v>4.0343690000000003E-3</v>
      </c>
      <c r="P1284">
        <v>0.99502279999999999</v>
      </c>
      <c r="Q1284">
        <v>-9.8448670000000002E-2</v>
      </c>
      <c r="R1284">
        <v>-1.5416920000000001E-2</v>
      </c>
      <c r="S1284">
        <v>2.99884</v>
      </c>
      <c r="T1284">
        <v>-0.134273799999999</v>
      </c>
      <c r="U1284">
        <v>-0.18820190000000001</v>
      </c>
      <c r="V1284">
        <v>1.9427739999999999E-2</v>
      </c>
      <c r="W1284">
        <v>-8.9277510000000004E-2</v>
      </c>
      <c r="X1284">
        <v>0.99581730000000002</v>
      </c>
      <c r="Y1284">
        <v>6.6578399999999996E-2</v>
      </c>
      <c r="Z1284">
        <v>-1.9388059999999999E-3</v>
      </c>
      <c r="AA1284">
        <v>0.99777930000000004</v>
      </c>
      <c r="AB1284">
        <v>29</v>
      </c>
      <c r="AC1284">
        <v>24.738800000000001</v>
      </c>
      <c r="AD1284">
        <v>-1.1203301433939901</v>
      </c>
      <c r="AE1284">
        <v>-1.5713999999999799</v>
      </c>
      <c r="AF1284">
        <v>1.6677902369973101</v>
      </c>
      <c r="AG1284">
        <v>-1.1203301433939901</v>
      </c>
      <c r="AH1284">
        <v>24.681843331969699</v>
      </c>
      <c r="AI1284">
        <v>92.593016016049404</v>
      </c>
      <c r="AJ1284">
        <v>86.134312092239497</v>
      </c>
      <c r="AK1284">
        <v>24.763482270648399</v>
      </c>
      <c r="AL1284">
        <v>95.122044129014995</v>
      </c>
      <c r="AM1284">
        <v>88.8823388430839</v>
      </c>
      <c r="AN1284">
        <v>1.0000000029262901</v>
      </c>
    </row>
    <row r="1285" spans="1:40" x14ac:dyDescent="0.25">
      <c r="A1285" t="str">
        <f>"20190303154121081"</f>
        <v>20190303154121081</v>
      </c>
      <c r="B1285" t="str">
        <f>"1551598881070641"</f>
        <v>1551598881070641</v>
      </c>
      <c r="C1285" t="s">
        <v>40</v>
      </c>
      <c r="D1285">
        <v>5.7751349999999997</v>
      </c>
      <c r="E1285">
        <v>0.51841300000000001</v>
      </c>
      <c r="F1285" t="s">
        <v>41</v>
      </c>
      <c r="G1285">
        <v>-239.4496</v>
      </c>
      <c r="H1285" s="1">
        <v>-1.1324500000000001E-6</v>
      </c>
      <c r="I1285">
        <v>366.01190000000003</v>
      </c>
      <c r="J1285">
        <v>-263.86070000000001</v>
      </c>
      <c r="K1285">
        <v>1.1203430000000001</v>
      </c>
      <c r="L1285">
        <v>367.59660000000002</v>
      </c>
      <c r="M1285">
        <v>0.99994819999999995</v>
      </c>
      <c r="N1285">
        <v>-9.3352650000000006E-3</v>
      </c>
      <c r="O1285">
        <v>4.0354759999999996E-3</v>
      </c>
      <c r="P1285">
        <v>0.99494369999999999</v>
      </c>
      <c r="Q1285">
        <v>-9.9173310000000001E-2</v>
      </c>
      <c r="R1285">
        <v>-1.5864340000000001E-2</v>
      </c>
      <c r="S1285">
        <v>2.9985659999999998</v>
      </c>
      <c r="T1285">
        <v>-0.1360227</v>
      </c>
      <c r="U1285">
        <v>-0.19226070000000001</v>
      </c>
      <c r="V1285">
        <v>1.9876129999999999E-2</v>
      </c>
      <c r="W1285">
        <v>-8.9882370000000003E-2</v>
      </c>
      <c r="X1285">
        <v>0.99575409999999998</v>
      </c>
      <c r="Y1285">
        <v>6.7926500000000001E-2</v>
      </c>
      <c r="Z1285">
        <v>-2.0010420000000002E-3</v>
      </c>
      <c r="AA1285">
        <v>0.99768829999999997</v>
      </c>
      <c r="AB1285">
        <v>29</v>
      </c>
      <c r="AC1285">
        <v>24.411100000000001</v>
      </c>
      <c r="AD1285">
        <v>-1.1203441324500001</v>
      </c>
      <c r="AE1285">
        <v>-1.58469999999999</v>
      </c>
      <c r="AF1285">
        <v>1.67967867964143</v>
      </c>
      <c r="AG1285">
        <v>-1.1203441324500001</v>
      </c>
      <c r="AH1285">
        <v>24.353424625967499</v>
      </c>
      <c r="AI1285">
        <v>92.627718723452602</v>
      </c>
      <c r="AJ1285">
        <v>86.054504327661803</v>
      </c>
      <c r="AK1285">
        <v>24.436975722348201</v>
      </c>
      <c r="AL1285">
        <v>95.156839629049401</v>
      </c>
      <c r="AM1285">
        <v>88.856477568959505</v>
      </c>
      <c r="AN1285">
        <v>1.0000000643236999</v>
      </c>
    </row>
    <row r="1286" spans="1:40" x14ac:dyDescent="0.25">
      <c r="A1286" t="str">
        <f>"20190303154121105"</f>
        <v>20190303154121105</v>
      </c>
      <c r="B1286" t="str">
        <f>"1551598881100712"</f>
        <v>1551598881100712</v>
      </c>
      <c r="C1286" t="s">
        <v>40</v>
      </c>
      <c r="D1286">
        <v>5.809323</v>
      </c>
      <c r="E1286">
        <v>0.51809959999999999</v>
      </c>
      <c r="F1286" t="s">
        <v>41</v>
      </c>
      <c r="G1286">
        <v>-239.93979999999999</v>
      </c>
      <c r="H1286" s="1">
        <v>-9.5550559999999998E-7</v>
      </c>
      <c r="I1286">
        <v>366.05</v>
      </c>
      <c r="J1286">
        <v>-263.56200000000001</v>
      </c>
      <c r="K1286">
        <v>1.1203730000000001</v>
      </c>
      <c r="L1286">
        <v>367.59780000000001</v>
      </c>
      <c r="M1286">
        <v>0.99994680000000002</v>
      </c>
      <c r="N1286">
        <v>-9.4980080000000005E-3</v>
      </c>
      <c r="O1286">
        <v>4.0411090000000002E-3</v>
      </c>
      <c r="P1286">
        <v>0.99486909999999895</v>
      </c>
      <c r="Q1286">
        <v>-9.9877540000000001E-2</v>
      </c>
      <c r="R1286">
        <v>-1.6129439999999998E-2</v>
      </c>
      <c r="S1286">
        <v>2.9981689999999999</v>
      </c>
      <c r="T1286">
        <v>-0.1404194</v>
      </c>
      <c r="U1286">
        <v>-0.19384770000000001</v>
      </c>
      <c r="V1286">
        <v>2.0146879999999999E-2</v>
      </c>
      <c r="W1286">
        <v>-9.0425110000000003E-2</v>
      </c>
      <c r="X1286">
        <v>0.99569949999999996</v>
      </c>
      <c r="Y1286">
        <v>6.8460229999999997E-2</v>
      </c>
      <c r="Z1286">
        <v>-2.0769460000000001E-3</v>
      </c>
      <c r="AA1286">
        <v>0.99765170000000003</v>
      </c>
      <c r="AB1286">
        <v>29</v>
      </c>
      <c r="AC1286">
        <v>23.622199999999999</v>
      </c>
      <c r="AD1286">
        <v>-1.1203739555056</v>
      </c>
      <c r="AE1286">
        <v>-1.5477999999999901</v>
      </c>
      <c r="AF1286">
        <v>1.6395790842296301</v>
      </c>
      <c r="AG1286">
        <v>-1.1203739555056</v>
      </c>
      <c r="AH1286">
        <v>23.562973754018799</v>
      </c>
      <c r="AI1286">
        <v>92.715696944539204</v>
      </c>
      <c r="AJ1286">
        <v>86.019611617408501</v>
      </c>
      <c r="AK1286">
        <v>23.646504805281399</v>
      </c>
      <c r="AL1286">
        <v>95.188063583091704</v>
      </c>
      <c r="AM1286">
        <v>88.840841336913698</v>
      </c>
      <c r="AN1286">
        <v>1.0000000457962399</v>
      </c>
    </row>
    <row r="1287" spans="1:40" x14ac:dyDescent="0.25">
      <c r="A1287" t="str">
        <f>"20190303154121127"</f>
        <v>20190303154121127</v>
      </c>
      <c r="B1287" t="str">
        <f>"1551598881120232"</f>
        <v>1551598881120232</v>
      </c>
      <c r="C1287" t="s">
        <v>40</v>
      </c>
      <c r="D1287">
        <v>5.7904929999999997</v>
      </c>
      <c r="E1287">
        <v>0.51795800000000003</v>
      </c>
      <c r="F1287" t="s">
        <v>41</v>
      </c>
      <c r="G1287">
        <v>-240.56290000000001</v>
      </c>
      <c r="H1287" s="1">
        <v>-5.0612809999999998E-6</v>
      </c>
      <c r="I1287">
        <v>366.12200000000001</v>
      </c>
      <c r="J1287">
        <v>-263.28089999999997</v>
      </c>
      <c r="K1287">
        <v>1.1204240000000001</v>
      </c>
      <c r="L1287">
        <v>367.59890000000001</v>
      </c>
      <c r="M1287">
        <v>0.99994479999999997</v>
      </c>
      <c r="N1287">
        <v>-9.709802E-3</v>
      </c>
      <c r="O1287">
        <v>4.055655E-3</v>
      </c>
      <c r="P1287">
        <v>0.99478960000000005</v>
      </c>
      <c r="Q1287">
        <v>-0.1005693</v>
      </c>
      <c r="R1287">
        <v>-1.6728460000000001E-2</v>
      </c>
      <c r="S1287">
        <v>2.9977109999999998</v>
      </c>
      <c r="T1287">
        <v>-0.14603070000000001</v>
      </c>
      <c r="U1287">
        <v>-0.1923523</v>
      </c>
      <c r="V1287">
        <v>2.0761499999999999E-2</v>
      </c>
      <c r="W1287">
        <v>-9.0906410000000007E-2</v>
      </c>
      <c r="X1287">
        <v>0.99564299999999994</v>
      </c>
      <c r="Y1287">
        <v>6.7982260000000003E-2</v>
      </c>
      <c r="Z1287">
        <v>-2.1417290000000002E-3</v>
      </c>
      <c r="AA1287">
        <v>0.99768420000000002</v>
      </c>
      <c r="AB1287">
        <v>29</v>
      </c>
      <c r="AC1287">
        <v>22.7179999999999</v>
      </c>
      <c r="AD1287">
        <v>-1.1204290612809999</v>
      </c>
      <c r="AE1287">
        <v>-1.4769000000000501</v>
      </c>
      <c r="AF1287">
        <v>1.56523734726599</v>
      </c>
      <c r="AG1287">
        <v>-1.1204290612809999</v>
      </c>
      <c r="AH1287">
        <v>22.6569450645407</v>
      </c>
      <c r="AI1287">
        <v>92.824358224765305</v>
      </c>
      <c r="AJ1287">
        <v>86.048044929691002</v>
      </c>
      <c r="AK1287">
        <v>22.738568312280702</v>
      </c>
      <c r="AL1287">
        <v>95.215754330377393</v>
      </c>
      <c r="AM1287">
        <v>88.805421262215603</v>
      </c>
      <c r="AN1287">
        <v>0.99999999935516803</v>
      </c>
    </row>
    <row r="1288" spans="1:40" x14ac:dyDescent="0.25">
      <c r="A1288" t="str">
        <f>"20190303154121148"</f>
        <v>20190303154121148</v>
      </c>
      <c r="B1288" t="str">
        <f>"1551598881140728"</f>
        <v>1551598881140728</v>
      </c>
      <c r="C1288" t="s">
        <v>40</v>
      </c>
      <c r="D1288">
        <v>5.8210649999999999</v>
      </c>
      <c r="E1288">
        <v>0.51779629999999999</v>
      </c>
      <c r="F1288" t="s">
        <v>41</v>
      </c>
      <c r="G1288">
        <v>-240.97389999999999</v>
      </c>
      <c r="H1288" s="1">
        <v>-4.85989E-6</v>
      </c>
      <c r="I1288">
        <v>366.16210000000001</v>
      </c>
      <c r="J1288">
        <v>-263.00150000000002</v>
      </c>
      <c r="K1288">
        <v>1.1204860000000001</v>
      </c>
      <c r="L1288">
        <v>367.6001</v>
      </c>
      <c r="M1288">
        <v>0.99994179999999999</v>
      </c>
      <c r="N1288">
        <v>-9.9969540000000006E-3</v>
      </c>
      <c r="O1288">
        <v>4.0814129999999999E-3</v>
      </c>
      <c r="P1288">
        <v>0.99471100000000001</v>
      </c>
      <c r="Q1288">
        <v>-0.10124329999999999</v>
      </c>
      <c r="R1288">
        <v>-1.731982E-2</v>
      </c>
      <c r="S1288">
        <v>2.9972530000000002</v>
      </c>
      <c r="T1288">
        <v>-0.1505456</v>
      </c>
      <c r="U1288">
        <v>-0.19305420000000001</v>
      </c>
      <c r="V1288">
        <v>2.1380400000000001E-2</v>
      </c>
      <c r="W1288">
        <v>-9.1294799999999995E-2</v>
      </c>
      <c r="X1288">
        <v>0.99559439999999999</v>
      </c>
      <c r="Y1288">
        <v>6.8243739999999997E-2</v>
      </c>
      <c r="Z1288">
        <v>-2.21668E-3</v>
      </c>
      <c r="AA1288">
        <v>0.99766619999999995</v>
      </c>
      <c r="AB1288">
        <v>29</v>
      </c>
      <c r="AC1288">
        <v>22.0276</v>
      </c>
      <c r="AD1288">
        <v>-1.1204908598899901</v>
      </c>
      <c r="AE1288">
        <v>-1.43799999999998</v>
      </c>
      <c r="AF1288">
        <v>1.5239696833535199</v>
      </c>
      <c r="AG1288">
        <v>-1.1204908598899901</v>
      </c>
      <c r="AH1288">
        <v>21.964953765046999</v>
      </c>
      <c r="AI1288">
        <v>92.913287574806006</v>
      </c>
      <c r="AJ1288">
        <v>86.031071816362697</v>
      </c>
      <c r="AK1288">
        <v>22.0462508663839</v>
      </c>
      <c r="AL1288">
        <v>95.238100169260903</v>
      </c>
      <c r="AM1288">
        <v>88.769761640077903</v>
      </c>
      <c r="AN1288">
        <v>1.0000000356612699</v>
      </c>
    </row>
    <row r="1289" spans="1:40" x14ac:dyDescent="0.25">
      <c r="A1289" t="str">
        <f>"20190303154121172"</f>
        <v>20190303154121172</v>
      </c>
      <c r="B1289" t="str">
        <f>"1551598881160247"</f>
        <v>1551598881160247</v>
      </c>
      <c r="C1289" t="s">
        <v>40</v>
      </c>
      <c r="D1289">
        <v>5.8408910000000001</v>
      </c>
      <c r="E1289">
        <v>0.51767619999999903</v>
      </c>
      <c r="F1289" t="s">
        <v>41</v>
      </c>
      <c r="G1289">
        <v>-241.1327</v>
      </c>
      <c r="H1289" s="1">
        <v>-4.7806990000000004E-6</v>
      </c>
      <c r="I1289">
        <v>366.18560000000002</v>
      </c>
      <c r="J1289">
        <v>-262.69380000000001</v>
      </c>
      <c r="K1289">
        <v>1.120579</v>
      </c>
      <c r="L1289">
        <v>367.60140000000001</v>
      </c>
      <c r="M1289">
        <v>0.99993739999999998</v>
      </c>
      <c r="N1289">
        <v>-1.040747E-2</v>
      </c>
      <c r="O1289">
        <v>4.1259110000000003E-3</v>
      </c>
      <c r="P1289">
        <v>0.99465289999999995</v>
      </c>
      <c r="Q1289">
        <v>-0.1016903</v>
      </c>
      <c r="R1289">
        <v>-1.801869E-2</v>
      </c>
      <c r="S1289">
        <v>2.996918</v>
      </c>
      <c r="T1289">
        <v>-0.15355289999999999</v>
      </c>
      <c r="U1289">
        <v>-0.19384770000000001</v>
      </c>
      <c r="V1289">
        <v>2.2126219999999999E-2</v>
      </c>
      <c r="W1289">
        <v>-9.1332930000000007E-2</v>
      </c>
      <c r="X1289">
        <v>0.99557459999999998</v>
      </c>
      <c r="Y1289">
        <v>6.8553180000000005E-2</v>
      </c>
      <c r="Z1289">
        <v>-2.2788169999999998E-3</v>
      </c>
      <c r="AA1289">
        <v>0.9976448</v>
      </c>
      <c r="AB1289">
        <v>29</v>
      </c>
      <c r="AC1289">
        <v>21.5611</v>
      </c>
      <c r="AD1289">
        <v>-1.120583780699</v>
      </c>
      <c r="AE1289">
        <v>-1.41579999999999</v>
      </c>
      <c r="AF1289">
        <v>1.5007157022779201</v>
      </c>
      <c r="AG1289">
        <v>-1.120583780699</v>
      </c>
      <c r="AH1289">
        <v>21.497256914239198</v>
      </c>
      <c r="AI1289">
        <v>92.9767149982207</v>
      </c>
      <c r="AJ1289">
        <v>86.006681014292596</v>
      </c>
      <c r="AK1289">
        <v>21.5786911203028</v>
      </c>
      <c r="AL1289">
        <v>95.240294058142993</v>
      </c>
      <c r="AM1289">
        <v>88.726835378336006</v>
      </c>
      <c r="AN1289">
        <v>1.0000000289395099</v>
      </c>
    </row>
    <row r="1290" spans="1:40" x14ac:dyDescent="0.25">
      <c r="A1290" t="str">
        <f>"20190303154121194"</f>
        <v>20190303154121194</v>
      </c>
      <c r="B1290" t="str">
        <f>"1551598881190504"</f>
        <v>1551598881190504</v>
      </c>
      <c r="C1290" t="s">
        <v>40</v>
      </c>
      <c r="D1290">
        <v>5.9785059999999897</v>
      </c>
      <c r="E1290">
        <v>0.51707219999999998</v>
      </c>
      <c r="F1290" t="s">
        <v>41</v>
      </c>
      <c r="G1290">
        <v>-241.25980000000001</v>
      </c>
      <c r="H1290" s="1">
        <v>-4.7167479999999997E-6</v>
      </c>
      <c r="I1290">
        <v>366.2072</v>
      </c>
      <c r="J1290">
        <v>-262.42169999999999</v>
      </c>
      <c r="K1290">
        <v>1.1206700000000001</v>
      </c>
      <c r="L1290">
        <v>367.6026</v>
      </c>
      <c r="M1290">
        <v>0.9999325</v>
      </c>
      <c r="N1290">
        <v>-1.083345E-2</v>
      </c>
      <c r="O1290">
        <v>4.1838999999999999E-3</v>
      </c>
      <c r="P1290">
        <v>0.9946159</v>
      </c>
      <c r="Q1290">
        <v>-0.10189139999999999</v>
      </c>
      <c r="R1290">
        <v>-1.8904170000000001E-2</v>
      </c>
      <c r="S1290">
        <v>2.9965519999999999</v>
      </c>
      <c r="T1290">
        <v>-0.15666160000000001</v>
      </c>
      <c r="U1290">
        <v>-0.1949158</v>
      </c>
      <c r="V1290">
        <v>2.3072200000000001E-2</v>
      </c>
      <c r="W1290">
        <v>-9.1109620000000002E-2</v>
      </c>
      <c r="X1290">
        <v>0.99557359999999995</v>
      </c>
      <c r="Y1290">
        <v>6.8967360000000005E-2</v>
      </c>
      <c r="Z1290">
        <v>-2.3471009999999999E-3</v>
      </c>
      <c r="AA1290">
        <v>0.99761619999999995</v>
      </c>
      <c r="AB1290">
        <v>29</v>
      </c>
      <c r="AC1290">
        <v>21.1618999999999</v>
      </c>
      <c r="AD1290">
        <v>-1.120674716748</v>
      </c>
      <c r="AE1290">
        <v>-1.39539999999999</v>
      </c>
      <c r="AF1290">
        <v>1.47980018063061</v>
      </c>
      <c r="AG1290">
        <v>-1.120674716748</v>
      </c>
      <c r="AH1290">
        <v>21.096966660020101</v>
      </c>
      <c r="AI1290">
        <v>93.033265640006405</v>
      </c>
      <c r="AJ1290">
        <v>85.987685556377002</v>
      </c>
      <c r="AK1290">
        <v>21.178473095323799</v>
      </c>
      <c r="AL1290">
        <v>95.227445704950597</v>
      </c>
      <c r="AM1290">
        <v>88.672420500042193</v>
      </c>
      <c r="AN1290">
        <v>1.00000004114317</v>
      </c>
    </row>
    <row r="1291" spans="1:40" x14ac:dyDescent="0.25">
      <c r="A1291" t="str">
        <f>"20190303154121217"</f>
        <v>20190303154121217</v>
      </c>
      <c r="B1291" t="str">
        <f>"1551598881210024"</f>
        <v>1551598881210024</v>
      </c>
      <c r="C1291" t="s">
        <v>40</v>
      </c>
      <c r="D1291">
        <v>5.977525</v>
      </c>
      <c r="E1291">
        <v>0.51677659999999903</v>
      </c>
      <c r="F1291" t="s">
        <v>41</v>
      </c>
      <c r="G1291">
        <v>-242.31180000000001</v>
      </c>
      <c r="H1291" s="1">
        <v>-4.201311E-6</v>
      </c>
      <c r="I1291">
        <v>366.30959999999999</v>
      </c>
      <c r="J1291">
        <v>-262.13459999999998</v>
      </c>
      <c r="K1291">
        <v>1.120762</v>
      </c>
      <c r="L1291">
        <v>367.60390000000001</v>
      </c>
      <c r="M1291">
        <v>0.99992720000000002</v>
      </c>
      <c r="N1291">
        <v>-1.1302049999999999E-2</v>
      </c>
      <c r="O1291">
        <v>4.2655949999999996E-3</v>
      </c>
      <c r="P1291">
        <v>0.99461889999999997</v>
      </c>
      <c r="Q1291">
        <v>-0.10185950000000001</v>
      </c>
      <c r="R1291">
        <v>-1.892578E-2</v>
      </c>
      <c r="S1291">
        <v>2.9955440000000002</v>
      </c>
      <c r="T1291">
        <v>-0.1669339</v>
      </c>
      <c r="U1291">
        <v>-0.1925964</v>
      </c>
      <c r="V1291">
        <v>2.3177980000000001E-2</v>
      </c>
      <c r="W1291">
        <v>-9.0610319999999994E-2</v>
      </c>
      <c r="X1291">
        <v>0.99561670000000002</v>
      </c>
      <c r="Y1291">
        <v>6.8287100000000003E-2</v>
      </c>
      <c r="Z1291">
        <v>-2.4751199999999999E-3</v>
      </c>
      <c r="AA1291">
        <v>0.99766270000000001</v>
      </c>
      <c r="AB1291">
        <v>29</v>
      </c>
      <c r="AC1291">
        <v>19.822799999999901</v>
      </c>
      <c r="AD1291">
        <v>-1.120766201311</v>
      </c>
      <c r="AE1291">
        <v>-1.29430000000002</v>
      </c>
      <c r="AF1291">
        <v>1.3744745345434199</v>
      </c>
      <c r="AG1291">
        <v>-1.120766201311</v>
      </c>
      <c r="AH1291">
        <v>19.7542183525035</v>
      </c>
      <c r="AI1291">
        <v>93.2394105381168</v>
      </c>
      <c r="AJ1291">
        <v>86.019843858891903</v>
      </c>
      <c r="AK1291">
        <v>19.833669348925199</v>
      </c>
      <c r="AL1291">
        <v>95.198719153087296</v>
      </c>
      <c r="AM1291">
        <v>88.666393801807999</v>
      </c>
      <c r="AN1291">
        <v>1.0000000310831301</v>
      </c>
    </row>
    <row r="1292" spans="1:40" x14ac:dyDescent="0.25">
      <c r="A1292" t="str">
        <f>"20190303154121231"</f>
        <v>20190303154121231</v>
      </c>
      <c r="B1292" t="str">
        <f>"1551598881220760"</f>
        <v>1551598881220760</v>
      </c>
      <c r="C1292" t="s">
        <v>40</v>
      </c>
      <c r="D1292">
        <v>5.9397919999999997</v>
      </c>
      <c r="E1292">
        <v>0.51662059999999999</v>
      </c>
      <c r="F1292" t="s">
        <v>41</v>
      </c>
      <c r="G1292">
        <v>-242.69380000000001</v>
      </c>
      <c r="H1292" s="1">
        <v>-4.0104359999999999E-6</v>
      </c>
      <c r="I1292">
        <v>366.36779999999999</v>
      </c>
      <c r="J1292">
        <v>-261.94740000000002</v>
      </c>
      <c r="K1292">
        <v>1.120811</v>
      </c>
      <c r="L1292">
        <v>367.60480000000001</v>
      </c>
      <c r="M1292">
        <v>0.99992340000000002</v>
      </c>
      <c r="N1292">
        <v>-1.160053E-2</v>
      </c>
      <c r="O1292">
        <v>4.3284359999999997E-3</v>
      </c>
      <c r="P1292">
        <v>0.99463170000000001</v>
      </c>
      <c r="Q1292">
        <v>-0.10178860000000001</v>
      </c>
      <c r="R1292">
        <v>-1.862776E-2</v>
      </c>
      <c r="S1292">
        <v>2.9949650000000001</v>
      </c>
      <c r="T1292">
        <v>-0.17266010000000001</v>
      </c>
      <c r="U1292">
        <v>-0.19042970000000001</v>
      </c>
      <c r="V1292">
        <v>2.2944240000000001E-2</v>
      </c>
      <c r="W1292">
        <v>-9.0241749999999996E-2</v>
      </c>
      <c r="X1292">
        <v>0.99565550000000003</v>
      </c>
      <c r="Y1292">
        <v>6.7635509999999996E-2</v>
      </c>
      <c r="Z1292">
        <v>-2.5380799999999999E-3</v>
      </c>
      <c r="AA1292">
        <v>0.99770689999999995</v>
      </c>
      <c r="AB1292">
        <v>28</v>
      </c>
      <c r="AC1292">
        <v>19.253599999999999</v>
      </c>
      <c r="AD1292">
        <v>-1.120815010436</v>
      </c>
      <c r="AE1292">
        <v>-1.2370000000000201</v>
      </c>
      <c r="AF1292">
        <v>1.3158910488934401</v>
      </c>
      <c r="AG1292">
        <v>-1.120815010436</v>
      </c>
      <c r="AH1292">
        <v>19.183324057167798</v>
      </c>
      <c r="AI1292">
        <v>93.335970558472994</v>
      </c>
      <c r="AJ1292">
        <v>86.075910381150393</v>
      </c>
      <c r="AK1292">
        <v>19.261041441793601</v>
      </c>
      <c r="AL1292">
        <v>95.177515234125494</v>
      </c>
      <c r="AM1292">
        <v>88.679889292976398</v>
      </c>
      <c r="AN1292">
        <v>0.99999994313624296</v>
      </c>
    </row>
    <row r="1293" spans="1:40" x14ac:dyDescent="0.25">
      <c r="A1293" t="str">
        <f>"20190303154121245"</f>
        <v>20190303154121245</v>
      </c>
      <c r="B1293" t="str">
        <f>"1551598881240280"</f>
        <v>1551598881240280</v>
      </c>
      <c r="C1293" t="s">
        <v>40</v>
      </c>
      <c r="D1293">
        <v>5.8703200000000004</v>
      </c>
      <c r="E1293">
        <v>0.51662649999999999</v>
      </c>
      <c r="F1293" t="s">
        <v>41</v>
      </c>
      <c r="G1293">
        <v>-242.74289999999999</v>
      </c>
      <c r="H1293" s="1">
        <v>-3.9817130000000001E-6</v>
      </c>
      <c r="I1293">
        <v>366.39890000000003</v>
      </c>
      <c r="J1293">
        <v>-261.76900000000001</v>
      </c>
      <c r="K1293">
        <v>1.120852</v>
      </c>
      <c r="L1293">
        <v>367.60559999999998</v>
      </c>
      <c r="M1293">
        <v>0.99991989999999997</v>
      </c>
      <c r="N1293">
        <v>-1.187387E-2</v>
      </c>
      <c r="O1293">
        <v>4.3930310000000004E-3</v>
      </c>
      <c r="P1293">
        <v>0.99460990000000005</v>
      </c>
      <c r="Q1293">
        <v>-0.10208399999999999</v>
      </c>
      <c r="R1293">
        <v>-1.816744E-2</v>
      </c>
      <c r="S1293">
        <v>2.9947810000000001</v>
      </c>
      <c r="T1293">
        <v>-0.17478079999999999</v>
      </c>
      <c r="U1293">
        <v>-0.1880493</v>
      </c>
      <c r="V1293">
        <v>2.2549570000000001E-2</v>
      </c>
      <c r="W1293">
        <v>-9.0264819999999996E-2</v>
      </c>
      <c r="X1293">
        <v>0.99566250000000001</v>
      </c>
      <c r="Y1293">
        <v>6.6911670000000006E-2</v>
      </c>
      <c r="Z1293">
        <v>-2.550877E-3</v>
      </c>
      <c r="AA1293">
        <v>0.99775559999999996</v>
      </c>
      <c r="AB1293">
        <v>28</v>
      </c>
      <c r="AC1293">
        <v>19.0261</v>
      </c>
      <c r="AD1293">
        <v>-1.1208559817129999</v>
      </c>
      <c r="AE1293">
        <v>-1.2066999999999499</v>
      </c>
      <c r="AF1293">
        <v>1.2858318073795001</v>
      </c>
      <c r="AG1293">
        <v>-1.1208559817129999</v>
      </c>
      <c r="AH1293">
        <v>18.955093632217999</v>
      </c>
      <c r="AI1293">
        <v>93.376342163817199</v>
      </c>
      <c r="AJ1293">
        <v>86.1192467833461</v>
      </c>
      <c r="AK1293">
        <v>19.031690838566099</v>
      </c>
      <c r="AL1293">
        <v>95.178842078965005</v>
      </c>
      <c r="AM1293">
        <v>88.702598158765795</v>
      </c>
      <c r="AN1293">
        <v>1.00000001737153</v>
      </c>
    </row>
    <row r="1294" spans="1:40" x14ac:dyDescent="0.25">
      <c r="A1294" t="str">
        <f>"20190303154121260"</f>
        <v>20190303154121260</v>
      </c>
      <c r="B1294" t="str">
        <f>"1551598881251017"</f>
        <v>1551598881251017</v>
      </c>
      <c r="C1294" t="s">
        <v>40</v>
      </c>
      <c r="D1294">
        <v>5.873691</v>
      </c>
      <c r="E1294">
        <v>0.51661950000000001</v>
      </c>
      <c r="F1294" t="s">
        <v>41</v>
      </c>
      <c r="G1294">
        <v>-242.64019999999999</v>
      </c>
      <c r="H1294" s="1">
        <v>-4.0278980000000004E-6</v>
      </c>
      <c r="I1294">
        <v>366.41210000000001</v>
      </c>
      <c r="J1294">
        <v>-261.5729</v>
      </c>
      <c r="K1294">
        <v>1.120884</v>
      </c>
      <c r="L1294">
        <v>367.60660000000001</v>
      </c>
      <c r="M1294">
        <v>0.99991609999999997</v>
      </c>
      <c r="N1294">
        <v>-1.2161399999999999E-2</v>
      </c>
      <c r="O1294">
        <v>4.4676300000000002E-3</v>
      </c>
      <c r="P1294">
        <v>0.99460420000000005</v>
      </c>
      <c r="Q1294">
        <v>-0.1023973</v>
      </c>
      <c r="R1294">
        <v>-1.6657870000000002E-2</v>
      </c>
      <c r="S1294">
        <v>2.9947810000000001</v>
      </c>
      <c r="T1294">
        <v>-0.17547939999999901</v>
      </c>
      <c r="U1294">
        <v>-0.1868591</v>
      </c>
      <c r="V1294">
        <v>2.111534E-2</v>
      </c>
      <c r="W1294">
        <v>-9.0291739999999995E-2</v>
      </c>
      <c r="X1294">
        <v>0.99569149999999995</v>
      </c>
      <c r="Y1294">
        <v>6.6590179999999999E-2</v>
      </c>
      <c r="Z1294">
        <v>-2.5601769999999999E-3</v>
      </c>
      <c r="AA1294">
        <v>0.99777709999999997</v>
      </c>
      <c r="AB1294">
        <v>28</v>
      </c>
      <c r="AC1294">
        <v>18.932700000000001</v>
      </c>
      <c r="AD1294">
        <v>-1.120888027898</v>
      </c>
      <c r="AE1294">
        <v>-1.1944999999999999</v>
      </c>
      <c r="AF1294">
        <v>1.2746286521372101</v>
      </c>
      <c r="AG1294">
        <v>-1.120888027898</v>
      </c>
      <c r="AH1294">
        <v>18.861325491983301</v>
      </c>
      <c r="AI1294">
        <v>93.393243721392295</v>
      </c>
      <c r="AJ1294">
        <v>86.133889387904006</v>
      </c>
      <c r="AK1294">
        <v>18.9375465012359</v>
      </c>
      <c r="AL1294">
        <v>95.180390846137797</v>
      </c>
      <c r="AM1294">
        <v>88.785127168381607</v>
      </c>
      <c r="AN1294">
        <v>1.0000000095338899</v>
      </c>
    </row>
    <row r="1295" spans="1:40" x14ac:dyDescent="0.25">
      <c r="A1295" t="str">
        <f>"20190303154121273"</f>
        <v>20190303154121273</v>
      </c>
      <c r="B1295" t="str">
        <f>"1551598881260777"</f>
        <v>1551598881260777</v>
      </c>
      <c r="C1295" t="s">
        <v>40</v>
      </c>
      <c r="D1295">
        <v>5.8618750000000004</v>
      </c>
      <c r="E1295">
        <v>0.51659029999999995</v>
      </c>
      <c r="F1295" t="s">
        <v>41</v>
      </c>
      <c r="G1295">
        <v>-242.56049999999999</v>
      </c>
      <c r="H1295" s="1">
        <v>-4.0585420000000001E-6</v>
      </c>
      <c r="I1295">
        <v>366.45179999999999</v>
      </c>
      <c r="J1295">
        <v>-261.40859999999998</v>
      </c>
      <c r="K1295">
        <v>1.1209100000000001</v>
      </c>
      <c r="L1295">
        <v>367.60739999999998</v>
      </c>
      <c r="M1295">
        <v>0.99991300000000005</v>
      </c>
      <c r="N1295">
        <v>-1.238978E-2</v>
      </c>
      <c r="O1295">
        <v>4.5332269999999999E-3</v>
      </c>
      <c r="P1295">
        <v>0.9945851</v>
      </c>
      <c r="Q1295">
        <v>-0.1027137</v>
      </c>
      <c r="R1295">
        <v>-1.5826750000000001E-2</v>
      </c>
      <c r="S1295">
        <v>2.9950559999999999</v>
      </c>
      <c r="T1295">
        <v>-0.1765747</v>
      </c>
      <c r="U1295">
        <v>-0.1819153</v>
      </c>
      <c r="V1295">
        <v>2.035031E-2</v>
      </c>
      <c r="W1295">
        <v>-9.0380849999999999E-2</v>
      </c>
      <c r="X1295">
        <v>0.99569929999999995</v>
      </c>
      <c r="Y1295">
        <v>6.5010289999999998E-2</v>
      </c>
      <c r="Z1295">
        <v>-2.5271859999999998E-3</v>
      </c>
      <c r="AA1295">
        <v>0.99788140000000003</v>
      </c>
      <c r="AB1295">
        <v>28</v>
      </c>
      <c r="AC1295">
        <v>18.848099999999899</v>
      </c>
      <c r="AD1295">
        <v>-1.1209140585420001</v>
      </c>
      <c r="AE1295">
        <v>-1.15559999999999</v>
      </c>
      <c r="AF1295">
        <v>1.2366798970578601</v>
      </c>
      <c r="AG1295">
        <v>-1.1209140585420001</v>
      </c>
      <c r="AH1295">
        <v>18.7765074091927</v>
      </c>
      <c r="AI1295">
        <v>93.409002342197496</v>
      </c>
      <c r="AJ1295">
        <v>86.231762087505004</v>
      </c>
      <c r="AK1295">
        <v>18.850545243623401</v>
      </c>
      <c r="AL1295">
        <v>95.185517667673693</v>
      </c>
      <c r="AM1295">
        <v>88.829139918743707</v>
      </c>
      <c r="AN1295">
        <v>0.99999996459215301</v>
      </c>
    </row>
    <row r="1296" spans="1:40" x14ac:dyDescent="0.25">
      <c r="A1296" t="str">
        <f>"20190303154121294"</f>
        <v>20190303154121294</v>
      </c>
      <c r="B1296" t="str">
        <f>"1551598881290436"</f>
        <v>1551598881290436</v>
      </c>
      <c r="C1296" t="s">
        <v>40</v>
      </c>
      <c r="D1296">
        <v>5.9909949999999998</v>
      </c>
      <c r="E1296">
        <v>0.51645249999999998</v>
      </c>
      <c r="F1296" t="s">
        <v>41</v>
      </c>
      <c r="G1296">
        <v>-242.47640000000001</v>
      </c>
      <c r="H1296" s="1">
        <v>-4.0940969999999996E-6</v>
      </c>
      <c r="I1296">
        <v>366.4753</v>
      </c>
      <c r="J1296">
        <v>-261.15170000000001</v>
      </c>
      <c r="K1296">
        <v>1.1209499999999999</v>
      </c>
      <c r="L1296">
        <v>367.6087</v>
      </c>
      <c r="M1296">
        <v>0.99990840000000003</v>
      </c>
      <c r="N1296">
        <v>-1.2718770000000001E-2</v>
      </c>
      <c r="O1296">
        <v>4.6390590000000001E-3</v>
      </c>
      <c r="P1296">
        <v>0.99456100000000003</v>
      </c>
      <c r="Q1296">
        <v>-0.1031233</v>
      </c>
      <c r="R1296">
        <v>-1.463738E-2</v>
      </c>
      <c r="S1296">
        <v>2.995209</v>
      </c>
      <c r="T1296">
        <v>-0.17733670000000001</v>
      </c>
      <c r="U1296">
        <v>-0.17910770000000001</v>
      </c>
      <c r="V1296">
        <v>1.9266740000000001E-2</v>
      </c>
      <c r="W1296">
        <v>-9.0463009999999996E-2</v>
      </c>
      <c r="X1296">
        <v>0.99571339999999997</v>
      </c>
      <c r="Y1296">
        <v>6.4180799999999996E-2</v>
      </c>
      <c r="Z1296">
        <v>-2.5208589999999999E-3</v>
      </c>
      <c r="AA1296">
        <v>0.99793509999999996</v>
      </c>
      <c r="AB1296">
        <v>28</v>
      </c>
      <c r="AC1296">
        <v>18.6753</v>
      </c>
      <c r="AD1296">
        <v>-1.120954094097</v>
      </c>
      <c r="AE1296">
        <v>-1.13339999999999</v>
      </c>
      <c r="AF1296">
        <v>1.21566688948063</v>
      </c>
      <c r="AG1296">
        <v>-1.120954094097</v>
      </c>
      <c r="AH1296">
        <v>18.603063467227098</v>
      </c>
      <c r="AI1296">
        <v>93.440948038011996</v>
      </c>
      <c r="AJ1296">
        <v>86.261170144775704</v>
      </c>
      <c r="AK1296">
        <v>18.676411711914401</v>
      </c>
      <c r="AL1296">
        <v>95.190244428188805</v>
      </c>
      <c r="AM1296">
        <v>88.891483084336699</v>
      </c>
      <c r="AN1296">
        <v>0.99999996919402301</v>
      </c>
    </row>
    <row r="1297" spans="1:40" x14ac:dyDescent="0.25">
      <c r="A1297" t="str">
        <f>"20190303154121306"</f>
        <v>20190303154121306</v>
      </c>
      <c r="B1297" t="str">
        <f>"1551598881300196"</f>
        <v>1551598881300196</v>
      </c>
      <c r="C1297" t="s">
        <v>40</v>
      </c>
      <c r="D1297">
        <v>5.8455029999999999</v>
      </c>
      <c r="E1297">
        <v>0.51647049999999906</v>
      </c>
      <c r="F1297" t="s">
        <v>41</v>
      </c>
      <c r="G1297">
        <v>-242.63149999999999</v>
      </c>
      <c r="H1297" s="1">
        <v>-4.0112739999999997E-6</v>
      </c>
      <c r="I1297">
        <v>366.52890000000002</v>
      </c>
      <c r="J1297">
        <v>-260.99720000000002</v>
      </c>
      <c r="K1297">
        <v>1.1209659999999999</v>
      </c>
      <c r="L1297">
        <v>367.60939999999999</v>
      </c>
      <c r="M1297">
        <v>0.99990590000000001</v>
      </c>
      <c r="N1297">
        <v>-1.28985E-2</v>
      </c>
      <c r="O1297">
        <v>4.7036810000000004E-3</v>
      </c>
      <c r="P1297">
        <v>0.99454339999999997</v>
      </c>
      <c r="Q1297">
        <v>-0.10336720000000001</v>
      </c>
      <c r="R1297">
        <v>-1.4101249999999999E-2</v>
      </c>
      <c r="S1297">
        <v>2.9950869999999998</v>
      </c>
      <c r="T1297">
        <v>-0.1812812</v>
      </c>
      <c r="U1297">
        <v>-0.17462159999999999</v>
      </c>
      <c r="V1297">
        <v>1.87954E-2</v>
      </c>
      <c r="W1297">
        <v>-9.0528170000000005E-2</v>
      </c>
      <c r="X1297">
        <v>0.9957165</v>
      </c>
      <c r="Y1297">
        <v>6.275501E-2</v>
      </c>
      <c r="Z1297">
        <v>-2.5249780000000002E-3</v>
      </c>
      <c r="AA1297">
        <v>0.99802579999999996</v>
      </c>
      <c r="AB1297">
        <v>28</v>
      </c>
      <c r="AC1297">
        <v>18.3657</v>
      </c>
      <c r="AD1297">
        <v>-1.120970011274</v>
      </c>
      <c r="AE1297">
        <v>-1.08049999999997</v>
      </c>
      <c r="AF1297">
        <v>1.16256552951845</v>
      </c>
      <c r="AG1297">
        <v>-1.120970011274</v>
      </c>
      <c r="AH1297">
        <v>18.292502205043501</v>
      </c>
      <c r="AI1297">
        <v>93.499674236571096</v>
      </c>
      <c r="AJ1297">
        <v>86.363502829165597</v>
      </c>
      <c r="AK1297">
        <v>18.363653484481802</v>
      </c>
      <c r="AL1297">
        <v>95.193993133767705</v>
      </c>
      <c r="AM1297">
        <v>88.918598599669394</v>
      </c>
      <c r="AN1297">
        <v>0.99999998249847899</v>
      </c>
    </row>
    <row r="1298" spans="1:40" x14ac:dyDescent="0.25">
      <c r="A1298" t="str">
        <f>"20190303154121320"</f>
        <v>20190303154121320</v>
      </c>
      <c r="B1298" t="str">
        <f>"1551598881310932"</f>
        <v>1551598881310932</v>
      </c>
      <c r="C1298" t="s">
        <v>40</v>
      </c>
      <c r="D1298">
        <v>5.8495350000000004</v>
      </c>
      <c r="E1298">
        <v>0.51657059999999999</v>
      </c>
      <c r="F1298" t="s">
        <v>41</v>
      </c>
      <c r="G1298">
        <v>-242.5744</v>
      </c>
      <c r="H1298" s="1">
        <v>-4.0355300000000001E-6</v>
      </c>
      <c r="I1298">
        <v>366.54430000000002</v>
      </c>
      <c r="J1298">
        <v>-260.82229999999998</v>
      </c>
      <c r="K1298">
        <v>1.1209789999999999</v>
      </c>
      <c r="L1298">
        <v>367.61040000000003</v>
      </c>
      <c r="M1298">
        <v>0.99990299999999999</v>
      </c>
      <c r="N1298">
        <v>-1.309225E-2</v>
      </c>
      <c r="O1298">
        <v>4.7774319999999999E-3</v>
      </c>
      <c r="P1298">
        <v>0.99453080000000005</v>
      </c>
      <c r="Q1298">
        <v>-0.103506399999999</v>
      </c>
      <c r="R1298">
        <v>-1.396974E-2</v>
      </c>
      <c r="S1298">
        <v>2.9950559999999999</v>
      </c>
      <c r="T1298">
        <v>-0.1822404</v>
      </c>
      <c r="U1298">
        <v>-0.1731567</v>
      </c>
      <c r="V1298">
        <v>1.8737460000000001E-2</v>
      </c>
      <c r="W1298">
        <v>-9.0474609999999997E-2</v>
      </c>
      <c r="X1298">
        <v>0.99572249999999995</v>
      </c>
      <c r="Y1298">
        <v>6.2341840000000003E-2</v>
      </c>
      <c r="Z1298">
        <v>-2.529983E-3</v>
      </c>
      <c r="AA1298">
        <v>0.99805160000000004</v>
      </c>
      <c r="AB1298">
        <v>28</v>
      </c>
      <c r="AC1298">
        <v>18.247899999999898</v>
      </c>
      <c r="AD1298">
        <v>-1.1209830355299999</v>
      </c>
      <c r="AE1298">
        <v>-1.0661</v>
      </c>
      <c r="AF1298">
        <v>1.14895229357506</v>
      </c>
      <c r="AG1298">
        <v>-1.1209830355299999</v>
      </c>
      <c r="AH1298">
        <v>18.174246434130001</v>
      </c>
      <c r="AI1298">
        <v>93.5225039344718</v>
      </c>
      <c r="AJ1298">
        <v>86.382649027981003</v>
      </c>
      <c r="AK1298">
        <v>18.2449973359094</v>
      </c>
      <c r="AL1298">
        <v>95.190911519851795</v>
      </c>
      <c r="AM1298">
        <v>88.921937909115101</v>
      </c>
      <c r="AN1298">
        <v>1.0000000222340699</v>
      </c>
    </row>
    <row r="1299" spans="1:40" x14ac:dyDescent="0.25">
      <c r="A1299" t="str">
        <f>"20190303154121334"</f>
        <v>20190303154121334</v>
      </c>
      <c r="B1299" t="str">
        <f>"1551598881330451"</f>
        <v>1551598881330451</v>
      </c>
      <c r="C1299" t="s">
        <v>40</v>
      </c>
      <c r="D1299">
        <v>5.8548080000000002</v>
      </c>
      <c r="E1299">
        <v>0.51641079999999995</v>
      </c>
      <c r="F1299" t="s">
        <v>41</v>
      </c>
      <c r="G1299">
        <v>-242.41120000000001</v>
      </c>
      <c r="H1299" s="1">
        <v>-4.1126549999999998E-6</v>
      </c>
      <c r="I1299">
        <v>366.5446</v>
      </c>
      <c r="J1299">
        <v>-260.64580000000001</v>
      </c>
      <c r="K1299">
        <v>1.1209899999999999</v>
      </c>
      <c r="L1299">
        <v>367.6112</v>
      </c>
      <c r="M1299">
        <v>0.99990009999999996</v>
      </c>
      <c r="N1299">
        <v>-1.327333E-2</v>
      </c>
      <c r="O1299">
        <v>4.8524299999999996E-3</v>
      </c>
      <c r="P1299">
        <v>0.99452759999999996</v>
      </c>
      <c r="Q1299">
        <v>-0.1035148</v>
      </c>
      <c r="R1299">
        <v>-1.4121710000000001E-2</v>
      </c>
      <c r="S1299">
        <v>2.9950869999999998</v>
      </c>
      <c r="T1299">
        <v>-0.1823593</v>
      </c>
      <c r="U1299">
        <v>-0.17337040000000001</v>
      </c>
      <c r="V1299">
        <v>1.896403E-2</v>
      </c>
      <c r="W1299">
        <v>-9.030262E-2</v>
      </c>
      <c r="X1299">
        <v>0.9957338</v>
      </c>
      <c r="Y1299">
        <v>6.2486180000000002E-2</v>
      </c>
      <c r="Z1299">
        <v>-2.5450859999999998E-3</v>
      </c>
      <c r="AA1299">
        <v>0.9980426</v>
      </c>
      <c r="AB1299">
        <v>28</v>
      </c>
      <c r="AC1299">
        <v>18.2346</v>
      </c>
      <c r="AD1299">
        <v>-1.120994112655</v>
      </c>
      <c r="AE1299">
        <v>-1.06659999999999</v>
      </c>
      <c r="AF1299">
        <v>1.1507431563995101</v>
      </c>
      <c r="AG1299">
        <v>-1.120994112655</v>
      </c>
      <c r="AH1299">
        <v>18.160807673833201</v>
      </c>
      <c r="AI1299">
        <v>93.525106489194499</v>
      </c>
      <c r="AJ1299">
        <v>86.374351892480803</v>
      </c>
      <c r="AK1299">
        <v>18.231724355599699</v>
      </c>
      <c r="AL1299">
        <v>95.181016835772397</v>
      </c>
      <c r="AM1299">
        <v>88.908917687696302</v>
      </c>
      <c r="AN1299">
        <v>0.99999999903757197</v>
      </c>
    </row>
    <row r="1300" spans="1:40" x14ac:dyDescent="0.25">
      <c r="A1300" t="str">
        <f>"20190303154121347"</f>
        <v>20190303154121347</v>
      </c>
      <c r="B1300" t="str">
        <f>"1551598881340212"</f>
        <v>1551598881340212</v>
      </c>
      <c r="C1300" t="s">
        <v>40</v>
      </c>
      <c r="D1300">
        <v>5.897405</v>
      </c>
      <c r="E1300">
        <v>0.50466820000000001</v>
      </c>
      <c r="F1300" t="s">
        <v>41</v>
      </c>
      <c r="G1300">
        <v>-242.14689999999999</v>
      </c>
      <c r="H1300" s="1">
        <v>-4.2377339999999998E-6</v>
      </c>
      <c r="I1300">
        <v>366.54360000000003</v>
      </c>
      <c r="J1300">
        <v>-260.48289999999997</v>
      </c>
      <c r="K1300">
        <v>1.120997</v>
      </c>
      <c r="L1300">
        <v>367.6121</v>
      </c>
      <c r="M1300">
        <v>0.99989779999999995</v>
      </c>
      <c r="N1300">
        <v>-1.3424220000000001E-2</v>
      </c>
      <c r="O1300">
        <v>4.9211130000000004E-3</v>
      </c>
      <c r="P1300">
        <v>0.99450110000000003</v>
      </c>
      <c r="Q1300">
        <v>-0.10372820000000001</v>
      </c>
      <c r="R1300">
        <v>-1.4438609999999999E-2</v>
      </c>
      <c r="S1300">
        <v>2.9951479999999999</v>
      </c>
      <c r="T1300">
        <v>-0.18149960000000001</v>
      </c>
      <c r="U1300">
        <v>-0.17285159999999999</v>
      </c>
      <c r="V1300">
        <v>1.9349069999999999E-2</v>
      </c>
      <c r="W1300">
        <v>-9.0366039999999995E-2</v>
      </c>
      <c r="X1300">
        <v>0.99572059999999996</v>
      </c>
      <c r="Y1300">
        <v>6.2382460000000001E-2</v>
      </c>
      <c r="Z1300">
        <v>-2.5381150000000001E-3</v>
      </c>
      <c r="AA1300">
        <v>0.99804910000000002</v>
      </c>
      <c r="AB1300">
        <v>28</v>
      </c>
      <c r="AC1300">
        <v>18.335999999999899</v>
      </c>
      <c r="AD1300">
        <v>-1.121001237734</v>
      </c>
      <c r="AE1300">
        <v>-1.06849999999997</v>
      </c>
      <c r="AF1300">
        <v>1.15442842751228</v>
      </c>
      <c r="AG1300">
        <v>-1.121001237734</v>
      </c>
      <c r="AH1300">
        <v>18.262490778050498</v>
      </c>
      <c r="AI1300">
        <v>93.505583761221303</v>
      </c>
      <c r="AJ1300">
        <v>86.382969510666499</v>
      </c>
      <c r="AK1300">
        <v>18.333246253395199</v>
      </c>
      <c r="AL1300">
        <v>95.184665651948293</v>
      </c>
      <c r="AM1300">
        <v>88.886755443693602</v>
      </c>
      <c r="AN1300">
        <v>0.99999996047975204</v>
      </c>
    </row>
    <row r="1301" spans="1:40" x14ac:dyDescent="0.25">
      <c r="A1301" t="str">
        <f>"20190303154121361"</f>
        <v>20190303154121361</v>
      </c>
      <c r="B1301" t="str">
        <f>"1551598881350948"</f>
        <v>1551598881350948</v>
      </c>
      <c r="C1301" t="s">
        <v>40</v>
      </c>
      <c r="D1301">
        <v>5.8581059999999896</v>
      </c>
      <c r="E1301">
        <v>0.50482729999999998</v>
      </c>
      <c r="F1301" t="s">
        <v>41</v>
      </c>
      <c r="G1301">
        <v>-234.57300000000001</v>
      </c>
      <c r="H1301" s="1">
        <v>-2.7885719999999999E-6</v>
      </c>
      <c r="I1301">
        <v>366.92110000000002</v>
      </c>
      <c r="J1301">
        <v>-260.30079999999998</v>
      </c>
      <c r="K1301">
        <v>1.1210089999999999</v>
      </c>
      <c r="L1301">
        <v>367.61309999999997</v>
      </c>
      <c r="M1301">
        <v>0.99989530000000004</v>
      </c>
      <c r="N1301">
        <v>-1.3582729999999999E-2</v>
      </c>
      <c r="O1301">
        <v>4.9978970000000003E-3</v>
      </c>
      <c r="P1301">
        <v>0.99445329999999998</v>
      </c>
      <c r="Q1301">
        <v>-0.1040852</v>
      </c>
      <c r="R1301">
        <v>-1.5134109999999999E-2</v>
      </c>
      <c r="S1301">
        <v>3.001862</v>
      </c>
      <c r="T1301">
        <v>-0.12987589999999999</v>
      </c>
      <c r="U1301">
        <v>-8.0047610000000005E-2</v>
      </c>
      <c r="V1301">
        <v>2.012106E-2</v>
      </c>
      <c r="W1301">
        <v>-9.0565800000000002E-2</v>
      </c>
      <c r="X1301">
        <v>0.99568719999999999</v>
      </c>
      <c r="Y1301">
        <v>3.1611720000000003E-2</v>
      </c>
      <c r="Z1301">
        <v>-1.046513E-3</v>
      </c>
      <c r="AA1301">
        <v>0.99949969999999999</v>
      </c>
      <c r="AB1301">
        <v>28</v>
      </c>
      <c r="AC1301">
        <v>25.727799999999998</v>
      </c>
      <c r="AD1301">
        <v>-1.1210117885719999</v>
      </c>
      <c r="AE1301">
        <v>-0.69199999999994999</v>
      </c>
      <c r="AF1301">
        <v>0.81903427945739204</v>
      </c>
      <c r="AG1301">
        <v>-1.1210117885719999</v>
      </c>
      <c r="AH1301">
        <v>25.6753099110474</v>
      </c>
      <c r="AI1301">
        <v>92.498738493352704</v>
      </c>
      <c r="AJ1301">
        <v>88.172902301341793</v>
      </c>
      <c r="AK1301">
        <v>25.712818274342698</v>
      </c>
      <c r="AL1301">
        <v>95.196157920117201</v>
      </c>
      <c r="AM1301">
        <v>88.842312199049204</v>
      </c>
      <c r="AN1301">
        <v>1.0000000107145</v>
      </c>
    </row>
    <row r="1302" spans="1:40" x14ac:dyDescent="0.25">
      <c r="A1302" t="str">
        <f>"20190303154121378"</f>
        <v>20190303154121378</v>
      </c>
      <c r="B1302" t="str">
        <f>"1551598881370468"</f>
        <v>1551598881370468</v>
      </c>
      <c r="C1302" t="s">
        <v>40</v>
      </c>
      <c r="D1302">
        <v>5.8768909999999996</v>
      </c>
      <c r="E1302">
        <v>0.50603419999999999</v>
      </c>
      <c r="F1302" t="s">
        <v>41</v>
      </c>
      <c r="G1302">
        <v>-234.46879999999999</v>
      </c>
      <c r="H1302" s="1">
        <v>-2.8378679999999999E-6</v>
      </c>
      <c r="I1302">
        <v>366.89530000000002</v>
      </c>
      <c r="J1302">
        <v>-260.09879999999998</v>
      </c>
      <c r="K1302">
        <v>1.121016</v>
      </c>
      <c r="L1302">
        <v>367.61419999999998</v>
      </c>
      <c r="M1302">
        <v>0.99989280000000003</v>
      </c>
      <c r="N1302">
        <v>-1.3743719999999999E-2</v>
      </c>
      <c r="O1302">
        <v>5.0822200000000001E-3</v>
      </c>
      <c r="P1302">
        <v>0.99443740000000003</v>
      </c>
      <c r="Q1302">
        <v>-0.10419059999999999</v>
      </c>
      <c r="R1302">
        <v>-1.5458670000000001E-2</v>
      </c>
      <c r="S1302">
        <v>3.0018009999999999</v>
      </c>
      <c r="T1302">
        <v>-0.1302663</v>
      </c>
      <c r="U1302">
        <v>-8.3404539999999999E-2</v>
      </c>
      <c r="V1302">
        <v>2.0529309999999999E-2</v>
      </c>
      <c r="W1302">
        <v>-9.0510960000000001E-2</v>
      </c>
      <c r="X1302">
        <v>0.99568380000000001</v>
      </c>
      <c r="Y1302">
        <v>3.281162E-2</v>
      </c>
      <c r="Z1302">
        <v>-1.087736E-3</v>
      </c>
      <c r="AA1302">
        <v>0.99946089999999999</v>
      </c>
      <c r="AB1302">
        <v>28</v>
      </c>
      <c r="AC1302">
        <v>25.6299999999999</v>
      </c>
      <c r="AD1302">
        <v>-1.1210188378679999</v>
      </c>
      <c r="AE1302">
        <v>-0.71889999999996201</v>
      </c>
      <c r="AF1302">
        <v>0.84754017430161499</v>
      </c>
      <c r="AG1302">
        <v>-1.1210188378679999</v>
      </c>
      <c r="AH1302">
        <v>25.577122878283301</v>
      </c>
      <c r="AI1302">
        <v>92.508233671832897</v>
      </c>
      <c r="AJ1302">
        <v>88.102104245869199</v>
      </c>
      <c r="AK1302">
        <v>25.615702651161399</v>
      </c>
      <c r="AL1302">
        <v>95.193003136089402</v>
      </c>
      <c r="AM1302">
        <v>88.818825632634301</v>
      </c>
      <c r="AN1302">
        <v>0.99999995801581798</v>
      </c>
    </row>
    <row r="1303" spans="1:40" x14ac:dyDescent="0.25">
      <c r="A1303" t="str">
        <f>"20190303154121393"</f>
        <v>20190303154121393</v>
      </c>
      <c r="B1303" t="str">
        <f>"1551598881380227"</f>
        <v>1551598881380227</v>
      </c>
      <c r="C1303" t="s">
        <v>40</v>
      </c>
      <c r="D1303">
        <v>5.8932250000000002</v>
      </c>
      <c r="E1303">
        <v>0.50637469999999996</v>
      </c>
      <c r="F1303" t="s">
        <v>41</v>
      </c>
      <c r="G1303">
        <v>-233.40790000000001</v>
      </c>
      <c r="H1303" s="1">
        <v>-3.3136130000000001E-6</v>
      </c>
      <c r="I1303">
        <v>366.779</v>
      </c>
      <c r="J1303">
        <v>-259.90309999999999</v>
      </c>
      <c r="K1303">
        <v>1.1210180000000001</v>
      </c>
      <c r="L1303">
        <v>367.61529999999999</v>
      </c>
      <c r="M1303">
        <v>0.99989030000000001</v>
      </c>
      <c r="N1303">
        <v>-1.388322E-2</v>
      </c>
      <c r="O1303">
        <v>5.1635149999999996E-3</v>
      </c>
      <c r="P1303">
        <v>0.99439889999999997</v>
      </c>
      <c r="Q1303">
        <v>-0.1045006</v>
      </c>
      <c r="R1303">
        <v>-1.5830839999999999E-2</v>
      </c>
      <c r="S1303">
        <v>3.002075</v>
      </c>
      <c r="T1303">
        <v>-0.12608720000000001</v>
      </c>
      <c r="U1303">
        <v>-9.393311E-2</v>
      </c>
      <c r="V1303">
        <v>2.0982210000000001E-2</v>
      </c>
      <c r="W1303">
        <v>-9.0682600000000002E-2</v>
      </c>
      <c r="X1303">
        <v>0.99565879999999995</v>
      </c>
      <c r="Y1303">
        <v>3.6390449999999998E-2</v>
      </c>
      <c r="Z1303">
        <v>-1.1615799999999999E-3</v>
      </c>
      <c r="AA1303">
        <v>0.99933700000000003</v>
      </c>
      <c r="AB1303">
        <v>28</v>
      </c>
      <c r="AC1303">
        <v>26.495199999999901</v>
      </c>
      <c r="AD1303">
        <v>-1.1210213136130001</v>
      </c>
      <c r="AE1303">
        <v>-0.83629999999999405</v>
      </c>
      <c r="AF1303">
        <v>0.971373208257726</v>
      </c>
      <c r="AG1303">
        <v>-1.1210213136130001</v>
      </c>
      <c r="AH1303">
        <v>26.443237387572999</v>
      </c>
      <c r="AI1303">
        <v>92.425880680078905</v>
      </c>
      <c r="AJ1303">
        <v>87.896226903502793</v>
      </c>
      <c r="AK1303">
        <v>26.484808064829</v>
      </c>
      <c r="AL1303">
        <v>95.202877687544202</v>
      </c>
      <c r="AM1303">
        <v>88.792744903664598</v>
      </c>
      <c r="AN1303">
        <v>1.00000001654834</v>
      </c>
    </row>
    <row r="1304" spans="1:40" x14ac:dyDescent="0.25">
      <c r="A1304" t="str">
        <f>"20190303154121407"</f>
        <v>20190303154121407</v>
      </c>
      <c r="B1304" t="str">
        <f>"1551598881400257"</f>
        <v>1551598881400257</v>
      </c>
      <c r="C1304" t="s">
        <v>40</v>
      </c>
      <c r="D1304">
        <v>5.8747819999999997</v>
      </c>
      <c r="E1304">
        <v>0.50689790000000001</v>
      </c>
      <c r="F1304" t="s">
        <v>41</v>
      </c>
      <c r="G1304">
        <v>-233.1361</v>
      </c>
      <c r="H1304" s="1">
        <v>-3.436139E-6</v>
      </c>
      <c r="I1304">
        <v>366.74560000000002</v>
      </c>
      <c r="J1304">
        <v>-259.73059999999998</v>
      </c>
      <c r="K1304">
        <v>1.1210230000000001</v>
      </c>
      <c r="L1304">
        <v>367.61619999999999</v>
      </c>
      <c r="M1304">
        <v>0.99988840000000001</v>
      </c>
      <c r="N1304">
        <v>-1.399416E-2</v>
      </c>
      <c r="O1304">
        <v>5.234865E-3</v>
      </c>
      <c r="P1304">
        <v>0.99439350000000004</v>
      </c>
      <c r="Q1304">
        <v>-0.1044163</v>
      </c>
      <c r="R1304">
        <v>-1.6698399999999999E-2</v>
      </c>
      <c r="S1304">
        <v>3.0021360000000001</v>
      </c>
      <c r="T1304">
        <v>-0.12573110000000001</v>
      </c>
      <c r="U1304">
        <v>-9.7534179999999998E-2</v>
      </c>
      <c r="V1304">
        <v>2.192057E-2</v>
      </c>
      <c r="W1304">
        <v>-9.048776E-2</v>
      </c>
      <c r="X1304">
        <v>0.99565630000000005</v>
      </c>
      <c r="Y1304">
        <v>3.7657250000000003E-2</v>
      </c>
      <c r="Z1304">
        <v>-1.1975969999999999E-3</v>
      </c>
      <c r="AA1304">
        <v>0.99929000000000001</v>
      </c>
      <c r="AB1304">
        <v>28</v>
      </c>
      <c r="AC1304">
        <v>26.594499999999901</v>
      </c>
      <c r="AD1304">
        <v>-1.1210264361390001</v>
      </c>
      <c r="AE1304">
        <v>-0.87059999999996696</v>
      </c>
      <c r="AF1304">
        <v>1.0080311248100799</v>
      </c>
      <c r="AG1304">
        <v>-1.1210264361390001</v>
      </c>
      <c r="AH1304">
        <v>26.5424664115742</v>
      </c>
      <c r="AI1304">
        <v>92.416721328303794</v>
      </c>
      <c r="AJ1304">
        <v>87.825063261555499</v>
      </c>
      <c r="AK1304">
        <v>26.5852468528816</v>
      </c>
      <c r="AL1304">
        <v>95.191668142302305</v>
      </c>
      <c r="AM1304">
        <v>88.738768309538102</v>
      </c>
      <c r="AN1304">
        <v>1.00000000691431</v>
      </c>
    </row>
    <row r="1305" spans="1:40" x14ac:dyDescent="0.25">
      <c r="A1305" t="str">
        <f>"20190303154121429"</f>
        <v>20190303154121429</v>
      </c>
      <c r="B1305" t="str">
        <f>"1551598881420753"</f>
        <v>1551598881420753</v>
      </c>
      <c r="C1305" t="s">
        <v>40</v>
      </c>
      <c r="D1305">
        <v>5.9283460000000003</v>
      </c>
      <c r="E1305">
        <v>0.50688639999999996</v>
      </c>
      <c r="F1305" t="s">
        <v>41</v>
      </c>
      <c r="G1305">
        <v>-231.9222</v>
      </c>
      <c r="H1305" s="1">
        <v>-3.9740100000000003E-6</v>
      </c>
      <c r="I1305">
        <v>366.64920000000001</v>
      </c>
      <c r="J1305">
        <v>-259.46100000000001</v>
      </c>
      <c r="K1305">
        <v>1.1210310000000001</v>
      </c>
      <c r="L1305">
        <v>367.61779999999999</v>
      </c>
      <c r="M1305">
        <v>0.99988560000000004</v>
      </c>
      <c r="N1305">
        <v>-1.415112E-2</v>
      </c>
      <c r="O1305">
        <v>5.3456989999999998E-3</v>
      </c>
      <c r="P1305">
        <v>0.99438139999999997</v>
      </c>
      <c r="Q1305">
        <v>-0.1044287</v>
      </c>
      <c r="R1305">
        <v>-1.7331019999999999E-2</v>
      </c>
      <c r="S1305">
        <v>3.0024410000000001</v>
      </c>
      <c r="T1305">
        <v>-0.12103559999999999</v>
      </c>
      <c r="U1305">
        <v>-0.1044006</v>
      </c>
      <c r="V1305">
        <v>2.2663450000000002E-2</v>
      </c>
      <c r="W1305">
        <v>-9.0344030000000006E-2</v>
      </c>
      <c r="X1305">
        <v>0.99565269999999995</v>
      </c>
      <c r="Y1305">
        <v>4.0047689999999997E-2</v>
      </c>
      <c r="Z1305">
        <v>-1.229995E-3</v>
      </c>
      <c r="AA1305">
        <v>0.999197</v>
      </c>
      <c r="AB1305">
        <v>28</v>
      </c>
      <c r="AC1305">
        <v>27.538799999999998</v>
      </c>
      <c r="AD1305">
        <v>-1.1210349740100001</v>
      </c>
      <c r="AE1305">
        <v>-0.96859999999998003</v>
      </c>
      <c r="AF1305">
        <v>1.11397135289823</v>
      </c>
      <c r="AG1305">
        <v>-1.1210349740100001</v>
      </c>
      <c r="AH1305">
        <v>27.487734473068301</v>
      </c>
      <c r="AI1305">
        <v>92.3334918606744</v>
      </c>
      <c r="AJ1305">
        <v>87.679294026515095</v>
      </c>
      <c r="AK1305">
        <v>27.533129100230099</v>
      </c>
      <c r="AL1305">
        <v>95.183399252541605</v>
      </c>
      <c r="AM1305">
        <v>88.696035437088497</v>
      </c>
      <c r="AN1305">
        <v>0.99999998736991602</v>
      </c>
    </row>
    <row r="1306" spans="1:40" x14ac:dyDescent="0.25">
      <c r="A1306" t="str">
        <f>"20190303154121451"</f>
        <v>20190303154121451</v>
      </c>
      <c r="B1306" t="str">
        <f>"1551598881440273"</f>
        <v>1551598881440273</v>
      </c>
      <c r="C1306" t="s">
        <v>40</v>
      </c>
      <c r="D1306">
        <v>5.95946</v>
      </c>
      <c r="E1306">
        <v>0.50696920000000001</v>
      </c>
      <c r="F1306" t="s">
        <v>41</v>
      </c>
      <c r="G1306">
        <v>-231.4683</v>
      </c>
      <c r="H1306" s="1">
        <v>-4.1725929999999997E-6</v>
      </c>
      <c r="I1306">
        <v>366.62729999999999</v>
      </c>
      <c r="J1306">
        <v>-259.18630000000002</v>
      </c>
      <c r="K1306">
        <v>1.1210420000000001</v>
      </c>
      <c r="L1306">
        <v>367.61939999999998</v>
      </c>
      <c r="M1306">
        <v>0.99988299999999997</v>
      </c>
      <c r="N1306">
        <v>-1.428977E-2</v>
      </c>
      <c r="O1306">
        <v>5.4585559999999998E-3</v>
      </c>
      <c r="P1306">
        <v>0.99441299999999999</v>
      </c>
      <c r="Q1306">
        <v>-0.10408870000000001</v>
      </c>
      <c r="R1306">
        <v>-1.7563309999999999E-2</v>
      </c>
      <c r="S1306">
        <v>3.002472</v>
      </c>
      <c r="T1306">
        <v>-0.120241</v>
      </c>
      <c r="U1306">
        <v>-0.1062317</v>
      </c>
      <c r="V1306">
        <v>2.3007759999999999E-2</v>
      </c>
      <c r="W1306">
        <v>-8.9865589999999995E-2</v>
      </c>
      <c r="X1306">
        <v>0.99568809999999996</v>
      </c>
      <c r="Y1306">
        <v>4.0768350000000002E-2</v>
      </c>
      <c r="Z1306">
        <v>-1.2477899999999999E-3</v>
      </c>
      <c r="AA1306">
        <v>0.9991679</v>
      </c>
      <c r="AB1306">
        <v>28</v>
      </c>
      <c r="AC1306">
        <v>27.718</v>
      </c>
      <c r="AD1306">
        <v>-1.1210461725929901</v>
      </c>
      <c r="AE1306">
        <v>-0.99209999999999299</v>
      </c>
      <c r="AF1306">
        <v>1.1415360158252099</v>
      </c>
      <c r="AG1306">
        <v>-1.1210461725929901</v>
      </c>
      <c r="AH1306">
        <v>27.666971985767301</v>
      </c>
      <c r="AI1306">
        <v>92.318344894980299</v>
      </c>
      <c r="AJ1306">
        <v>87.637322979194295</v>
      </c>
      <c r="AK1306">
        <v>27.7131951939459</v>
      </c>
      <c r="AL1306">
        <v>95.155874699733602</v>
      </c>
      <c r="AM1306">
        <v>88.676279256212794</v>
      </c>
      <c r="AN1306">
        <v>0.99999998688393699</v>
      </c>
    </row>
    <row r="1307" spans="1:40" x14ac:dyDescent="0.25">
      <c r="A1307" t="str">
        <f>"20190303154121462"</f>
        <v>20190303154121462</v>
      </c>
      <c r="B1307" t="str">
        <f>"1551598881451009"</f>
        <v>1551598881451009</v>
      </c>
      <c r="C1307" t="s">
        <v>40</v>
      </c>
      <c r="D1307">
        <v>5.9280920000000004</v>
      </c>
      <c r="E1307">
        <v>0.50697820000000005</v>
      </c>
      <c r="F1307" t="s">
        <v>41</v>
      </c>
      <c r="G1307">
        <v>-231.11529999999999</v>
      </c>
      <c r="H1307" s="1">
        <v>-4.3260700000000004E-6</v>
      </c>
      <c r="I1307">
        <v>366.61579999999998</v>
      </c>
      <c r="J1307">
        <v>-259.0412</v>
      </c>
      <c r="K1307">
        <v>1.1210439999999999</v>
      </c>
      <c r="L1307">
        <v>367.62020000000001</v>
      </c>
      <c r="M1307">
        <v>0.99988169999999998</v>
      </c>
      <c r="N1307">
        <v>-1.435487E-2</v>
      </c>
      <c r="O1307">
        <v>5.5181079999999999E-3</v>
      </c>
      <c r="P1307">
        <v>0.99445649999999997</v>
      </c>
      <c r="Q1307">
        <v>-0.1037028</v>
      </c>
      <c r="R1307">
        <v>-1.7387400000000001E-2</v>
      </c>
      <c r="S1307">
        <v>3.0024410000000001</v>
      </c>
      <c r="T1307">
        <v>-0.1199055</v>
      </c>
      <c r="U1307">
        <v>-0.1073303</v>
      </c>
      <c r="V1307">
        <v>2.2891100000000001E-2</v>
      </c>
      <c r="W1307">
        <v>-8.9414270000000004E-2</v>
      </c>
      <c r="X1307">
        <v>0.99573140000000004</v>
      </c>
      <c r="Y1307">
        <v>4.119308E-2</v>
      </c>
      <c r="Z1307">
        <v>-1.2589330000000001E-3</v>
      </c>
      <c r="AA1307">
        <v>0.99915039999999999</v>
      </c>
      <c r="AB1307">
        <v>28</v>
      </c>
      <c r="AC1307">
        <v>27.925899999999999</v>
      </c>
      <c r="AD1307">
        <v>-1.1210483260699999</v>
      </c>
      <c r="AE1307">
        <v>-1.0044000000000299</v>
      </c>
      <c r="AF1307">
        <v>1.1566371923185801</v>
      </c>
      <c r="AG1307">
        <v>-1.1210483260699999</v>
      </c>
      <c r="AH1307">
        <v>27.875068732518699</v>
      </c>
      <c r="AI1307">
        <v>92.301038570125101</v>
      </c>
      <c r="AJ1307">
        <v>87.623954351725004</v>
      </c>
      <c r="AK1307">
        <v>27.9215690065347</v>
      </c>
      <c r="AL1307">
        <v>95.129911545564099</v>
      </c>
      <c r="AM1307">
        <v>88.683046014409797</v>
      </c>
      <c r="AN1307">
        <v>0.99999996754240095</v>
      </c>
    </row>
    <row r="1308" spans="1:40" x14ac:dyDescent="0.25">
      <c r="A1308" t="str">
        <f>"20190303154121474"</f>
        <v>20190303154121474</v>
      </c>
      <c r="B1308" t="str">
        <f>"1551598881470528"</f>
        <v>1551598881470528</v>
      </c>
      <c r="C1308" t="s">
        <v>40</v>
      </c>
      <c r="D1308">
        <v>5.900836</v>
      </c>
      <c r="E1308">
        <v>0.50703729999999902</v>
      </c>
      <c r="F1308" t="s">
        <v>41</v>
      </c>
      <c r="G1308">
        <v>-230.66550000000001</v>
      </c>
      <c r="H1308" s="1">
        <v>-4.520556E-6</v>
      </c>
      <c r="I1308">
        <v>366.60719999999998</v>
      </c>
      <c r="J1308">
        <v>-258.88479999999998</v>
      </c>
      <c r="K1308">
        <v>1.121049</v>
      </c>
      <c r="L1308">
        <v>367.62110000000001</v>
      </c>
      <c r="M1308">
        <v>0.99988060000000001</v>
      </c>
      <c r="N1308">
        <v>-1.442092E-2</v>
      </c>
      <c r="O1308">
        <v>5.5823579999999999E-3</v>
      </c>
      <c r="P1308">
        <v>0.99443910000000002</v>
      </c>
      <c r="Q1308">
        <v>-0.1038854</v>
      </c>
      <c r="R1308">
        <v>-1.7290710000000001E-2</v>
      </c>
      <c r="S1308">
        <v>3.002472</v>
      </c>
      <c r="T1308">
        <v>-0.11861960000000001</v>
      </c>
      <c r="U1308">
        <v>-0.1071777</v>
      </c>
      <c r="V1308">
        <v>2.285831E-2</v>
      </c>
      <c r="W1308">
        <v>-8.9531429999999995E-2</v>
      </c>
      <c r="X1308">
        <v>0.99572159999999998</v>
      </c>
      <c r="Y1308">
        <v>4.1207010000000002E-2</v>
      </c>
      <c r="Z1308">
        <v>-1.250735E-3</v>
      </c>
      <c r="AA1308">
        <v>0.99914990000000004</v>
      </c>
      <c r="AB1308">
        <v>28</v>
      </c>
      <c r="AC1308">
        <v>28.219299999999901</v>
      </c>
      <c r="AD1308">
        <v>-1.1210535205559999</v>
      </c>
      <c r="AE1308">
        <v>-1.01390000000003</v>
      </c>
      <c r="AF1308">
        <v>1.16958733450513</v>
      </c>
      <c r="AG1308">
        <v>-1.1210535205559999</v>
      </c>
      <c r="AH1308">
        <v>28.168801168587201</v>
      </c>
      <c r="AI1308">
        <v>92.277077685625102</v>
      </c>
      <c r="AJ1308">
        <v>87.622406846897206</v>
      </c>
      <c r="AK1308">
        <v>28.215351403170299</v>
      </c>
      <c r="AL1308">
        <v>95.136651482465794</v>
      </c>
      <c r="AM1308">
        <v>88.684918863220702</v>
      </c>
      <c r="AN1308">
        <v>0.99999994200022801</v>
      </c>
    </row>
    <row r="1309" spans="1:40" x14ac:dyDescent="0.25">
      <c r="A1309" t="str">
        <f>"20190303154121487"</f>
        <v>20190303154121487</v>
      </c>
      <c r="B1309" t="str">
        <f>"1551598881480290"</f>
        <v>1551598881480290</v>
      </c>
      <c r="C1309" t="s">
        <v>40</v>
      </c>
      <c r="D1309">
        <v>5.9291299999999998</v>
      </c>
      <c r="E1309">
        <v>0.50707630000000004</v>
      </c>
      <c r="F1309" t="s">
        <v>41</v>
      </c>
      <c r="G1309">
        <v>-230.4958</v>
      </c>
      <c r="H1309" s="1">
        <v>-4.5933690000000001E-6</v>
      </c>
      <c r="I1309">
        <v>366.6071</v>
      </c>
      <c r="J1309">
        <v>-258.7355</v>
      </c>
      <c r="K1309">
        <v>1.1210549999999999</v>
      </c>
      <c r="L1309">
        <v>367.62200000000001</v>
      </c>
      <c r="M1309">
        <v>0.99987919999999997</v>
      </c>
      <c r="N1309">
        <v>-1.4476350000000001E-2</v>
      </c>
      <c r="O1309">
        <v>5.6432899999999996E-3</v>
      </c>
      <c r="P1309">
        <v>0.99446860000000004</v>
      </c>
      <c r="Q1309">
        <v>-0.103629</v>
      </c>
      <c r="R1309">
        <v>-1.7120529999999998E-2</v>
      </c>
      <c r="S1309">
        <v>3.0025330000000001</v>
      </c>
      <c r="T1309">
        <v>-0.1185668</v>
      </c>
      <c r="U1309">
        <v>-0.1072388</v>
      </c>
      <c r="V1309">
        <v>2.2748810000000001E-2</v>
      </c>
      <c r="W1309">
        <v>-8.9219439999999997E-2</v>
      </c>
      <c r="X1309">
        <v>0.99575219999999998</v>
      </c>
      <c r="Y1309">
        <v>4.128735E-2</v>
      </c>
      <c r="Z1309">
        <v>-1.254778E-3</v>
      </c>
      <c r="AA1309">
        <v>0.99914650000000005</v>
      </c>
      <c r="AB1309">
        <v>28</v>
      </c>
      <c r="AC1309">
        <v>28.239699999999999</v>
      </c>
      <c r="AD1309">
        <v>-1.121059593369</v>
      </c>
      <c r="AE1309">
        <v>-1.01489999999995</v>
      </c>
      <c r="AF1309">
        <v>1.1724200975702099</v>
      </c>
      <c r="AG1309">
        <v>-1.121059593369</v>
      </c>
      <c r="AH1309">
        <v>28.189155391194799</v>
      </c>
      <c r="AI1309">
        <v>92.275440895246604</v>
      </c>
      <c r="AJ1309">
        <v>87.618373835508095</v>
      </c>
      <c r="AK1309">
        <v>28.235789791787202</v>
      </c>
      <c r="AL1309">
        <v>95.118703491915099</v>
      </c>
      <c r="AM1309">
        <v>88.691256611303302</v>
      </c>
      <c r="AN1309">
        <v>1.00000003031758</v>
      </c>
    </row>
    <row r="1310" spans="1:40" x14ac:dyDescent="0.25">
      <c r="A1310" t="str">
        <f>"20190303154121499"</f>
        <v>20190303154121499</v>
      </c>
      <c r="B1310" t="str">
        <f>"1551598881491025"</f>
        <v>1551598881491025</v>
      </c>
      <c r="C1310" t="s">
        <v>40</v>
      </c>
      <c r="D1310">
        <v>5.8631669999999998</v>
      </c>
      <c r="E1310">
        <v>0.50704199999999999</v>
      </c>
      <c r="F1310" t="s">
        <v>41</v>
      </c>
      <c r="G1310">
        <v>-230.3434</v>
      </c>
      <c r="H1310" s="1">
        <v>-4.6583529999999999E-6</v>
      </c>
      <c r="I1310">
        <v>366.60930000000002</v>
      </c>
      <c r="J1310">
        <v>-258.57799999999997</v>
      </c>
      <c r="K1310">
        <v>1.1210599999999999</v>
      </c>
      <c r="L1310">
        <v>367.62299999999999</v>
      </c>
      <c r="M1310">
        <v>0.99987800000000004</v>
      </c>
      <c r="N1310">
        <v>-1.453196E-2</v>
      </c>
      <c r="O1310">
        <v>5.7076169999999999E-3</v>
      </c>
      <c r="P1310">
        <v>0.99446979999999996</v>
      </c>
      <c r="Q1310">
        <v>-0.1036677</v>
      </c>
      <c r="R1310">
        <v>-1.6816790000000002E-2</v>
      </c>
      <c r="S1310">
        <v>3.0024570000000002</v>
      </c>
      <c r="T1310">
        <v>-0.11855159999999999</v>
      </c>
      <c r="U1310">
        <v>-0.10708620000000001</v>
      </c>
      <c r="V1310">
        <v>2.25092E-2</v>
      </c>
      <c r="W1310">
        <v>-8.9202719999999999E-2</v>
      </c>
      <c r="X1310">
        <v>0.99575910000000001</v>
      </c>
      <c r="Y1310">
        <v>4.1301770000000002E-2</v>
      </c>
      <c r="Z1310">
        <v>-1.2575010000000001E-3</v>
      </c>
      <c r="AA1310">
        <v>0.99914590000000003</v>
      </c>
      <c r="AB1310">
        <v>28</v>
      </c>
      <c r="AC1310">
        <v>28.234599999999901</v>
      </c>
      <c r="AD1310">
        <v>-1.121064658353</v>
      </c>
      <c r="AE1310">
        <v>-1.01370000000002</v>
      </c>
      <c r="AF1310">
        <v>1.1730059243619899</v>
      </c>
      <c r="AG1310">
        <v>-1.121064658353</v>
      </c>
      <c r="AH1310">
        <v>28.183978320138898</v>
      </c>
      <c r="AI1310">
        <v>92.275866015464999</v>
      </c>
      <c r="AJ1310">
        <v>87.616747981407002</v>
      </c>
      <c r="AK1310">
        <v>28.2306458094188</v>
      </c>
      <c r="AL1310">
        <v>95.117741892295101</v>
      </c>
      <c r="AM1310">
        <v>88.705045671781207</v>
      </c>
      <c r="AN1310">
        <v>0.99999998728642403</v>
      </c>
    </row>
    <row r="1311" spans="1:40" x14ac:dyDescent="0.25">
      <c r="A1311" t="str">
        <f>"20190303154121511"</f>
        <v>20190303154121511</v>
      </c>
      <c r="B1311" t="str">
        <f>"1551598881500785"</f>
        <v>1551598881500785</v>
      </c>
      <c r="C1311" t="s">
        <v>40</v>
      </c>
      <c r="D1311">
        <v>5.8872980000000004</v>
      </c>
      <c r="E1311">
        <v>0.50708660000000005</v>
      </c>
      <c r="F1311" t="s">
        <v>41</v>
      </c>
      <c r="G1311">
        <v>-230.23339999999999</v>
      </c>
      <c r="H1311" s="1">
        <v>-4.7030739999999996E-6</v>
      </c>
      <c r="I1311">
        <v>366.62329999999997</v>
      </c>
      <c r="J1311">
        <v>-258.42</v>
      </c>
      <c r="K1311">
        <v>1.121059</v>
      </c>
      <c r="L1311">
        <v>367.62400000000002</v>
      </c>
      <c r="M1311">
        <v>0.99987700000000002</v>
      </c>
      <c r="N1311">
        <v>-1.4582629999999999E-2</v>
      </c>
      <c r="O1311">
        <v>5.771979E-3</v>
      </c>
      <c r="P1311">
        <v>0.99451990000000001</v>
      </c>
      <c r="Q1311">
        <v>-0.1032406</v>
      </c>
      <c r="R1311">
        <v>-1.6478409999999999E-2</v>
      </c>
      <c r="S1311">
        <v>3.0025179999999998</v>
      </c>
      <c r="T1311">
        <v>-0.1187532</v>
      </c>
      <c r="U1311">
        <v>-0.105896</v>
      </c>
      <c r="V1311">
        <v>2.2235209999999998E-2</v>
      </c>
      <c r="W1311">
        <v>-8.8724549999999999E-2</v>
      </c>
      <c r="X1311">
        <v>0.99580800000000003</v>
      </c>
      <c r="Y1311">
        <v>4.096996E-2</v>
      </c>
      <c r="Z1311">
        <v>-1.2526379999999999E-3</v>
      </c>
      <c r="AA1311">
        <v>0.99915960000000004</v>
      </c>
      <c r="AB1311">
        <v>28</v>
      </c>
      <c r="AC1311">
        <v>28.186599999999999</v>
      </c>
      <c r="AD1311">
        <v>-1.1210637030740001</v>
      </c>
      <c r="AE1311">
        <v>-1.0007000000000501</v>
      </c>
      <c r="AF1311">
        <v>1.16155795341</v>
      </c>
      <c r="AG1311">
        <v>-1.1210637030740001</v>
      </c>
      <c r="AH1311">
        <v>28.135901971558201</v>
      </c>
      <c r="AI1311">
        <v>92.279780432603502</v>
      </c>
      <c r="AJ1311">
        <v>87.635952902716994</v>
      </c>
      <c r="AK1311">
        <v>28.182174870981999</v>
      </c>
      <c r="AL1311">
        <v>95.090235579209704</v>
      </c>
      <c r="AM1311">
        <v>88.7208658425495</v>
      </c>
      <c r="AN1311">
        <v>1.0000000116002199</v>
      </c>
    </row>
    <row r="1312" spans="1:40" x14ac:dyDescent="0.25">
      <c r="A1312" t="str">
        <f>"20190303154121524"</f>
        <v>20190303154121524</v>
      </c>
      <c r="B1312" t="str">
        <f>"1551598881520305"</f>
        <v>1551598881520305</v>
      </c>
      <c r="C1312" t="s">
        <v>40</v>
      </c>
      <c r="D1312">
        <v>5.9101650000000001</v>
      </c>
      <c r="E1312">
        <v>0.50712939999999995</v>
      </c>
      <c r="F1312" t="s">
        <v>41</v>
      </c>
      <c r="G1312">
        <v>-229.7405</v>
      </c>
      <c r="H1312" s="1">
        <v>-8.7279209999999996E-7</v>
      </c>
      <c r="I1312">
        <v>366.6157</v>
      </c>
      <c r="J1312">
        <v>-258.27199999999999</v>
      </c>
      <c r="K1312">
        <v>1.1210629999999999</v>
      </c>
      <c r="L1312">
        <v>367.62490000000003</v>
      </c>
      <c r="M1312">
        <v>0.99987610000000005</v>
      </c>
      <c r="N1312">
        <v>-1.4625529999999999E-2</v>
      </c>
      <c r="O1312">
        <v>5.8326949999999997E-3</v>
      </c>
      <c r="P1312">
        <v>0.99456770000000005</v>
      </c>
      <c r="Q1312">
        <v>-0.10278619999999999</v>
      </c>
      <c r="R1312">
        <v>-1.6444159999999999E-2</v>
      </c>
      <c r="S1312">
        <v>3.0025940000000002</v>
      </c>
      <c r="T1312">
        <v>-0.11736870000000001</v>
      </c>
      <c r="U1312">
        <v>-0.1055603</v>
      </c>
      <c r="V1312">
        <v>2.2261349999999999E-2</v>
      </c>
      <c r="W1312">
        <v>-8.8226810000000003E-2</v>
      </c>
      <c r="X1312">
        <v>0.99585159999999995</v>
      </c>
      <c r="Y1312">
        <v>4.091914E-2</v>
      </c>
      <c r="Z1312">
        <v>-1.2412720000000001E-3</v>
      </c>
      <c r="AA1312">
        <v>0.99916170000000004</v>
      </c>
      <c r="AB1312">
        <v>28</v>
      </c>
      <c r="AC1312">
        <v>28.531499999999902</v>
      </c>
      <c r="AD1312">
        <v>-1.1210638727920901</v>
      </c>
      <c r="AE1312">
        <v>-1.0092000000000201</v>
      </c>
      <c r="AF1312">
        <v>1.1738062136679599</v>
      </c>
      <c r="AG1312">
        <v>-1.1210638727920901</v>
      </c>
      <c r="AH1312">
        <v>28.4812111608781</v>
      </c>
      <c r="AI1312">
        <v>92.252175643111897</v>
      </c>
      <c r="AJ1312">
        <v>87.639984394341397</v>
      </c>
      <c r="AK1312">
        <v>28.527425303112299</v>
      </c>
      <c r="AL1312">
        <v>95.061605091601706</v>
      </c>
      <c r="AM1312">
        <v>88.719418626124394</v>
      </c>
      <c r="AN1312">
        <v>0.99999997346457803</v>
      </c>
    </row>
    <row r="1313" spans="1:40" x14ac:dyDescent="0.25">
      <c r="A1313" t="str">
        <f>"20190303154121539"</f>
        <v>20190303154121539</v>
      </c>
      <c r="B1313" t="str">
        <f>"1551598881531041"</f>
        <v>1551598881531041</v>
      </c>
      <c r="C1313" t="s">
        <v>40</v>
      </c>
      <c r="D1313">
        <v>5.896299</v>
      </c>
      <c r="E1313">
        <v>0.50717020000000002</v>
      </c>
      <c r="F1313" t="s">
        <v>41</v>
      </c>
      <c r="G1313">
        <v>-229.4075</v>
      </c>
      <c r="H1313" s="1">
        <v>-9.8767880000000005E-7</v>
      </c>
      <c r="I1313">
        <v>366.60980000000001</v>
      </c>
      <c r="J1313">
        <v>-258.0795</v>
      </c>
      <c r="K1313">
        <v>1.12107</v>
      </c>
      <c r="L1313">
        <v>367.62610000000001</v>
      </c>
      <c r="M1313">
        <v>0.99987479999999995</v>
      </c>
      <c r="N1313">
        <v>-1.467715E-2</v>
      </c>
      <c r="O1313">
        <v>5.9119410000000004E-3</v>
      </c>
      <c r="P1313">
        <v>0.99463000000000001</v>
      </c>
      <c r="Q1313">
        <v>-0.102228</v>
      </c>
      <c r="R1313">
        <v>-1.6143749999999998E-2</v>
      </c>
      <c r="S1313">
        <v>3.0025940000000002</v>
      </c>
      <c r="T1313">
        <v>-0.11661680000000001</v>
      </c>
      <c r="U1313">
        <v>-0.1055908</v>
      </c>
      <c r="V1313">
        <v>2.2039969999999999E-2</v>
      </c>
      <c r="W1313">
        <v>-8.7616379999999994E-2</v>
      </c>
      <c r="X1313">
        <v>0.99591050000000003</v>
      </c>
      <c r="Y1313">
        <v>4.1008820000000001E-2</v>
      </c>
      <c r="Z1313">
        <v>-1.239764E-3</v>
      </c>
      <c r="AA1313">
        <v>0.99915799999999999</v>
      </c>
      <c r="AB1313">
        <v>28</v>
      </c>
      <c r="AC1313">
        <v>28.672000000000001</v>
      </c>
      <c r="AD1313">
        <v>-1.1210709876788001</v>
      </c>
      <c r="AE1313">
        <v>-1.0163</v>
      </c>
      <c r="AF1313">
        <v>1.1839998438425701</v>
      </c>
      <c r="AG1313">
        <v>-1.1210709876788001</v>
      </c>
      <c r="AH1313">
        <v>28.621787837111999</v>
      </c>
      <c r="AI1313">
        <v>92.241125351320207</v>
      </c>
      <c r="AJ1313">
        <v>87.631191372244103</v>
      </c>
      <c r="AK1313">
        <v>28.668194829502099</v>
      </c>
      <c r="AL1313">
        <v>95.026493634546696</v>
      </c>
      <c r="AM1313">
        <v>88.732224263916905</v>
      </c>
      <c r="AN1313">
        <v>1.0000000571660701</v>
      </c>
    </row>
    <row r="1314" spans="1:40" x14ac:dyDescent="0.25">
      <c r="A1314" t="str">
        <f>"20190303154121552"</f>
        <v>20190303154121552</v>
      </c>
      <c r="B1314" t="str">
        <f>"1551598881540801"</f>
        <v>1551598881540801</v>
      </c>
      <c r="C1314" t="s">
        <v>40</v>
      </c>
      <c r="D1314">
        <v>5.8958409999999999</v>
      </c>
      <c r="E1314">
        <v>0.50715940000000004</v>
      </c>
      <c r="F1314" t="s">
        <v>41</v>
      </c>
      <c r="G1314">
        <v>-228.9323</v>
      </c>
      <c r="H1314" s="1">
        <v>-1.1510299999999901E-6</v>
      </c>
      <c r="I1314">
        <v>366.6037</v>
      </c>
      <c r="J1314">
        <v>-257.92110000000002</v>
      </c>
      <c r="K1314">
        <v>1.1210739999999999</v>
      </c>
      <c r="L1314">
        <v>367.62709999999998</v>
      </c>
      <c r="M1314">
        <v>0.99987389999999998</v>
      </c>
      <c r="N1314">
        <v>-1.471537E-2</v>
      </c>
      <c r="O1314">
        <v>5.9769230000000003E-3</v>
      </c>
      <c r="P1314">
        <v>0.99461650000000001</v>
      </c>
      <c r="Q1314">
        <v>-0.1023617</v>
      </c>
      <c r="R1314">
        <v>-1.6126680000000001E-2</v>
      </c>
      <c r="S1314">
        <v>3.002548</v>
      </c>
      <c r="T1314">
        <v>-0.11548460000000001</v>
      </c>
      <c r="U1314">
        <v>-0.1053162</v>
      </c>
      <c r="V1314">
        <v>2.208746E-2</v>
      </c>
      <c r="W1314">
        <v>-8.7712230000000002E-2</v>
      </c>
      <c r="X1314">
        <v>0.99590089999999998</v>
      </c>
      <c r="Y1314">
        <v>4.0983760000000001E-2</v>
      </c>
      <c r="Z1314">
        <v>-1.2312650000000001E-3</v>
      </c>
      <c r="AA1314">
        <v>0.99915900000000002</v>
      </c>
      <c r="AB1314">
        <v>28</v>
      </c>
      <c r="AC1314">
        <v>28.988800000000001</v>
      </c>
      <c r="AD1314">
        <v>-1.1210751510300001</v>
      </c>
      <c r="AE1314">
        <v>-1.0233999999999801</v>
      </c>
      <c r="AF1314">
        <v>1.1948794863540499</v>
      </c>
      <c r="AG1314">
        <v>-1.1210751510300001</v>
      </c>
      <c r="AH1314">
        <v>28.938938090024202</v>
      </c>
      <c r="AI1314">
        <v>92.216604135606204</v>
      </c>
      <c r="AJ1314">
        <v>87.635618630756696</v>
      </c>
      <c r="AK1314">
        <v>28.985283925803099</v>
      </c>
      <c r="AL1314">
        <v>95.032007215723993</v>
      </c>
      <c r="AM1314">
        <v>88.729481211490295</v>
      </c>
      <c r="AN1314">
        <v>0.99999994690081495</v>
      </c>
    </row>
    <row r="1315" spans="1:40" x14ac:dyDescent="0.25">
      <c r="A1315" t="str">
        <f>"20190303154121566"</f>
        <v>20190303154121566</v>
      </c>
      <c r="B1315" t="str">
        <f>"1551598881560321"</f>
        <v>1551598881560321</v>
      </c>
      <c r="C1315" t="s">
        <v>40</v>
      </c>
      <c r="D1315">
        <v>5.9155689999999996</v>
      </c>
      <c r="E1315">
        <v>0.50727849999999997</v>
      </c>
      <c r="F1315" t="s">
        <v>41</v>
      </c>
      <c r="G1315">
        <v>-229.01939999999999</v>
      </c>
      <c r="H1315" s="1">
        <v>-1.117711E-6</v>
      </c>
      <c r="I1315">
        <v>366.61739999999998</v>
      </c>
      <c r="J1315">
        <v>-257.76949999999999</v>
      </c>
      <c r="K1315">
        <v>1.121076</v>
      </c>
      <c r="L1315">
        <v>367.62810000000002</v>
      </c>
      <c r="M1315">
        <v>0.99987309999999996</v>
      </c>
      <c r="N1315">
        <v>-1.47482E-2</v>
      </c>
      <c r="O1315">
        <v>6.0386679999999996E-3</v>
      </c>
      <c r="P1315">
        <v>0.99461900000000003</v>
      </c>
      <c r="Q1315">
        <v>-0.10232570000000001</v>
      </c>
      <c r="R1315">
        <v>-1.621473E-2</v>
      </c>
      <c r="S1315">
        <v>3.0025789999999999</v>
      </c>
      <c r="T1315">
        <v>-0.11646769999999999</v>
      </c>
      <c r="U1315">
        <v>-0.10488889999999999</v>
      </c>
      <c r="V1315">
        <v>2.2236929999999999E-2</v>
      </c>
      <c r="W1315">
        <v>-8.7643440000000003E-2</v>
      </c>
      <c r="X1315">
        <v>0.99590369999999995</v>
      </c>
      <c r="Y1315">
        <v>4.0902500000000001E-2</v>
      </c>
      <c r="Z1315">
        <v>-1.2396989999999999E-3</v>
      </c>
      <c r="AA1315">
        <v>0.99916240000000001</v>
      </c>
      <c r="AB1315">
        <v>28</v>
      </c>
      <c r="AC1315">
        <v>28.7501</v>
      </c>
      <c r="AD1315">
        <v>-1.1210771177109999</v>
      </c>
      <c r="AE1315">
        <v>-1.0107000000000399</v>
      </c>
      <c r="AF1315">
        <v>1.1825169227325401</v>
      </c>
      <c r="AG1315">
        <v>-1.1210771177109999</v>
      </c>
      <c r="AH1315">
        <v>28.699886843063499</v>
      </c>
      <c r="AI1315">
        <v>92.235060248764597</v>
      </c>
      <c r="AJ1315">
        <v>87.640585578539998</v>
      </c>
      <c r="AK1315">
        <v>28.746106953482499</v>
      </c>
      <c r="AL1315">
        <v>95.0280502498385</v>
      </c>
      <c r="AM1315">
        <v>88.720889813579305</v>
      </c>
      <c r="AN1315">
        <v>1.00000001665227</v>
      </c>
    </row>
    <row r="1316" spans="1:40" x14ac:dyDescent="0.25">
      <c r="A1316" t="str">
        <f>"20190303154121581"</f>
        <v>20190303154121581</v>
      </c>
      <c r="B1316" t="str">
        <f>"1551598881571056"</f>
        <v>1551598881571056</v>
      </c>
      <c r="C1316" t="s">
        <v>40</v>
      </c>
      <c r="D1316">
        <v>5.8791120000000001</v>
      </c>
      <c r="E1316">
        <v>0.50732509999999997</v>
      </c>
      <c r="F1316" t="s">
        <v>41</v>
      </c>
      <c r="G1316">
        <v>-228.93680000000001</v>
      </c>
      <c r="H1316" s="1">
        <v>-1.1484469999999999E-6</v>
      </c>
      <c r="I1316">
        <v>366.60759999999999</v>
      </c>
      <c r="J1316">
        <v>-257.57510000000002</v>
      </c>
      <c r="K1316">
        <v>1.1210800000000001</v>
      </c>
      <c r="L1316">
        <v>367.6293</v>
      </c>
      <c r="M1316">
        <v>0.99987199999999998</v>
      </c>
      <c r="N1316">
        <v>-1.47869E-2</v>
      </c>
      <c r="O1316">
        <v>6.1183670000000004E-3</v>
      </c>
      <c r="P1316">
        <v>0.99458619999999998</v>
      </c>
      <c r="Q1316">
        <v>-0.10266</v>
      </c>
      <c r="R1316">
        <v>-1.610758E-2</v>
      </c>
      <c r="S1316">
        <v>3.0024869999999999</v>
      </c>
      <c r="T1316">
        <v>-0.11674279999999999</v>
      </c>
      <c r="U1316">
        <v>-0.1062622</v>
      </c>
      <c r="V1316">
        <v>2.2208909999999998E-2</v>
      </c>
      <c r="W1316">
        <v>-8.7939699999999996E-2</v>
      </c>
      <c r="X1316">
        <v>0.99587820000000005</v>
      </c>
      <c r="Y1316">
        <v>4.1438839999999998E-2</v>
      </c>
      <c r="Z1316">
        <v>-1.259016E-3</v>
      </c>
      <c r="AA1316">
        <v>0.99914029999999998</v>
      </c>
      <c r="AB1316">
        <v>28</v>
      </c>
      <c r="AC1316">
        <v>28.638300000000001</v>
      </c>
      <c r="AD1316">
        <v>-1.12108114844699</v>
      </c>
      <c r="AE1316">
        <v>-1.0217000000000001</v>
      </c>
      <c r="AF1316">
        <v>1.1950905917082999</v>
      </c>
      <c r="AG1316">
        <v>-1.12108114844699</v>
      </c>
      <c r="AH1316">
        <v>28.587759080467801</v>
      </c>
      <c r="AI1316">
        <v>92.243769929671402</v>
      </c>
      <c r="AJ1316">
        <v>87.606185203431096</v>
      </c>
      <c r="AK1316">
        <v>28.6346823573558</v>
      </c>
      <c r="AL1316">
        <v>95.045090536300293</v>
      </c>
      <c r="AM1316">
        <v>88.7224683421951</v>
      </c>
      <c r="AN1316">
        <v>1.0000000078773501</v>
      </c>
    </row>
    <row r="1317" spans="1:40" x14ac:dyDescent="0.25">
      <c r="A1317" t="str">
        <f>"20190303154121596"</f>
        <v>20190303154121596</v>
      </c>
      <c r="B1317" t="str">
        <f>"1551598881590576"</f>
        <v>1551598881590576</v>
      </c>
      <c r="C1317" t="s">
        <v>40</v>
      </c>
      <c r="D1317">
        <v>5.8488419999999897</v>
      </c>
      <c r="E1317">
        <v>0.50713260000000004</v>
      </c>
      <c r="F1317" t="s">
        <v>41</v>
      </c>
      <c r="G1317">
        <v>-229.1105</v>
      </c>
      <c r="H1317" s="1">
        <v>-1.0854039999999999E-6</v>
      </c>
      <c r="I1317">
        <v>366.62240000000003</v>
      </c>
      <c r="J1317">
        <v>-257.38409999999999</v>
      </c>
      <c r="K1317">
        <v>1.1210830000000001</v>
      </c>
      <c r="L1317">
        <v>367.63060000000002</v>
      </c>
      <c r="M1317">
        <v>0.99987099999999995</v>
      </c>
      <c r="N1317">
        <v>-1.4821010000000001E-2</v>
      </c>
      <c r="O1317">
        <v>6.1970799999999998E-3</v>
      </c>
      <c r="P1317">
        <v>0.99451929999999999</v>
      </c>
      <c r="Q1317">
        <v>-0.1032627</v>
      </c>
      <c r="R1317">
        <v>-1.638303E-2</v>
      </c>
      <c r="S1317">
        <v>3.00238</v>
      </c>
      <c r="T1317">
        <v>-0.11824850000000001</v>
      </c>
      <c r="U1317">
        <v>-0.1062012</v>
      </c>
      <c r="V1317">
        <v>2.256209E-2</v>
      </c>
      <c r="W1317">
        <v>-8.8509399999999905E-2</v>
      </c>
      <c r="X1317">
        <v>0.99581980000000003</v>
      </c>
      <c r="Y1317">
        <v>4.1497319999999997E-2</v>
      </c>
      <c r="Z1317">
        <v>-1.276512E-3</v>
      </c>
      <c r="AA1317">
        <v>0.99913779999999996</v>
      </c>
      <c r="AB1317">
        <v>28</v>
      </c>
      <c r="AC1317">
        <v>28.273599999999899</v>
      </c>
      <c r="AD1317">
        <v>-1.1210840854040001</v>
      </c>
      <c r="AE1317">
        <v>-1.00819999999998</v>
      </c>
      <c r="AF1317">
        <v>1.1815583230385001</v>
      </c>
      <c r="AG1317">
        <v>-1.1210840854040001</v>
      </c>
      <c r="AH1317">
        <v>28.222492682714101</v>
      </c>
      <c r="AI1317">
        <v>92.272779518241705</v>
      </c>
      <c r="AJ1317">
        <v>87.602664131646094</v>
      </c>
      <c r="AK1317">
        <v>28.269453528908802</v>
      </c>
      <c r="AL1317">
        <v>95.077859670667294</v>
      </c>
      <c r="AM1317">
        <v>88.702083041726993</v>
      </c>
      <c r="AN1317">
        <v>1.0000000179327799</v>
      </c>
    </row>
    <row r="1318" spans="1:40" x14ac:dyDescent="0.25">
      <c r="A1318" t="str">
        <f>"20190303154121619"</f>
        <v>20190303154121619</v>
      </c>
      <c r="B1318" t="str">
        <f>"1551598881610383"</f>
        <v>1551598881610383</v>
      </c>
      <c r="C1318" t="s">
        <v>40</v>
      </c>
      <c r="D1318">
        <v>5.8826669999999996</v>
      </c>
      <c r="E1318">
        <v>0.50700009999999995</v>
      </c>
      <c r="F1318" t="s">
        <v>41</v>
      </c>
      <c r="G1318">
        <v>-229.7645</v>
      </c>
      <c r="H1318" s="1">
        <v>-8.5268830000000002E-7</v>
      </c>
      <c r="I1318">
        <v>366.66059999999999</v>
      </c>
      <c r="J1318">
        <v>-257.1164</v>
      </c>
      <c r="K1318">
        <v>1.1210880000000001</v>
      </c>
      <c r="L1318">
        <v>367.63240000000002</v>
      </c>
      <c r="M1318">
        <v>0.99986980000000003</v>
      </c>
      <c r="N1318">
        <v>-1.486182E-2</v>
      </c>
      <c r="O1318">
        <v>6.3070359999999898E-3</v>
      </c>
      <c r="P1318">
        <v>0.99451860000000003</v>
      </c>
      <c r="Q1318">
        <v>-0.10320029999999999</v>
      </c>
      <c r="R1318">
        <v>-1.6810390000000001E-2</v>
      </c>
      <c r="S1318">
        <v>3.0021360000000001</v>
      </c>
      <c r="T1318">
        <v>-0.1218569</v>
      </c>
      <c r="U1318">
        <v>-0.1054382</v>
      </c>
      <c r="V1318">
        <v>2.3098879999999999E-2</v>
      </c>
      <c r="W1318">
        <v>-8.8406319999999997E-2</v>
      </c>
      <c r="X1318">
        <v>0.99581660000000005</v>
      </c>
      <c r="Y1318">
        <v>4.1354000000000002E-2</v>
      </c>
      <c r="Z1318">
        <v>-1.3084010000000001E-3</v>
      </c>
      <c r="AA1318">
        <v>0.99914369999999997</v>
      </c>
      <c r="AB1318">
        <v>28</v>
      </c>
      <c r="AC1318">
        <v>27.351900000000001</v>
      </c>
      <c r="AD1318">
        <v>-1.1210888526882901</v>
      </c>
      <c r="AE1318">
        <v>-0.97180000000002997</v>
      </c>
      <c r="AF1318">
        <v>1.14239233548949</v>
      </c>
      <c r="AG1318">
        <v>-1.1210888526882901</v>
      </c>
      <c r="AH1318">
        <v>27.299421247969502</v>
      </c>
      <c r="AI1318">
        <v>92.349555820642706</v>
      </c>
      <c r="AJ1318">
        <v>87.603755328751305</v>
      </c>
      <c r="AK1318">
        <v>27.346303240801898</v>
      </c>
      <c r="AL1318">
        <v>95.071930631145193</v>
      </c>
      <c r="AM1318">
        <v>88.671210092534807</v>
      </c>
      <c r="AN1318">
        <v>0.99999996825437798</v>
      </c>
    </row>
    <row r="1319" spans="1:40" x14ac:dyDescent="0.25">
      <c r="A1319" t="str">
        <f>"20190303154121631"</f>
        <v>20190303154121631</v>
      </c>
      <c r="B1319" t="str">
        <f>"1551598881620143"</f>
        <v>1551598881620143</v>
      </c>
      <c r="C1319" t="s">
        <v>40</v>
      </c>
      <c r="D1319">
        <v>5.8948340000000004</v>
      </c>
      <c r="E1319">
        <v>0.50697959999999997</v>
      </c>
      <c r="F1319" t="s">
        <v>41</v>
      </c>
      <c r="G1319">
        <v>-229.8707</v>
      </c>
      <c r="H1319" s="1">
        <v>-8.1312190000000003E-7</v>
      </c>
      <c r="I1319">
        <v>366.67340000000002</v>
      </c>
      <c r="J1319">
        <v>-256.95159999999998</v>
      </c>
      <c r="K1319">
        <v>1.121092</v>
      </c>
      <c r="L1319">
        <v>367.63350000000003</v>
      </c>
      <c r="M1319">
        <v>0.99986900000000001</v>
      </c>
      <c r="N1319">
        <v>-1.488372E-2</v>
      </c>
      <c r="O1319">
        <v>6.3745809999999998E-3</v>
      </c>
      <c r="P1319">
        <v>0.99456549999999999</v>
      </c>
      <c r="Q1319">
        <v>-0.1027872</v>
      </c>
      <c r="R1319">
        <v>-1.6578809999999999E-2</v>
      </c>
      <c r="S1319">
        <v>3.001938</v>
      </c>
      <c r="T1319">
        <v>-0.1235213</v>
      </c>
      <c r="U1319">
        <v>-0.10565190000000001</v>
      </c>
      <c r="V1319">
        <v>2.293448E-2</v>
      </c>
      <c r="W1319">
        <v>-8.7970809999999997E-2</v>
      </c>
      <c r="X1319">
        <v>0.99585900000000005</v>
      </c>
      <c r="Y1319">
        <v>4.1493420000000003E-2</v>
      </c>
      <c r="Z1319">
        <v>-1.3294069999999999E-3</v>
      </c>
      <c r="AA1319">
        <v>0.99913790000000002</v>
      </c>
      <c r="AB1319">
        <v>27</v>
      </c>
      <c r="AC1319">
        <v>27.0808999999999</v>
      </c>
      <c r="AD1319">
        <v>-1.1210928131219</v>
      </c>
      <c r="AE1319">
        <v>-0.96010000000001094</v>
      </c>
      <c r="AF1319">
        <v>1.1307934809700999</v>
      </c>
      <c r="AG1319">
        <v>-1.1210928131219</v>
      </c>
      <c r="AH1319">
        <v>27.027966698207599</v>
      </c>
      <c r="AI1319">
        <v>92.373135917664897</v>
      </c>
      <c r="AJ1319">
        <v>87.604261856298393</v>
      </c>
      <c r="AK1319">
        <v>27.074831981596098</v>
      </c>
      <c r="AL1319">
        <v>95.046879978608303</v>
      </c>
      <c r="AM1319">
        <v>88.680720191472304</v>
      </c>
      <c r="AN1319">
        <v>1.0000000008329599</v>
      </c>
    </row>
    <row r="1320" spans="1:40" x14ac:dyDescent="0.25">
      <c r="A1320" t="str">
        <f>"20190303154121643"</f>
        <v>20190303154121643</v>
      </c>
      <c r="B1320" t="str">
        <f>"1551598881640639"</f>
        <v>1551598881640639</v>
      </c>
      <c r="C1320" t="s">
        <v>40</v>
      </c>
      <c r="D1320">
        <v>5.8643689999999999</v>
      </c>
      <c r="E1320">
        <v>0.50689969999999995</v>
      </c>
      <c r="F1320" t="s">
        <v>41</v>
      </c>
      <c r="G1320">
        <v>-229.5497</v>
      </c>
      <c r="H1320" s="1">
        <v>-9.2078899999999995E-7</v>
      </c>
      <c r="I1320">
        <v>366.67939999999999</v>
      </c>
      <c r="J1320">
        <v>-256.80689999999998</v>
      </c>
      <c r="K1320">
        <v>1.1210979999999999</v>
      </c>
      <c r="L1320">
        <v>367.6345</v>
      </c>
      <c r="M1320">
        <v>0.99986839999999999</v>
      </c>
      <c r="N1320">
        <v>-1.49011E-2</v>
      </c>
      <c r="O1320">
        <v>6.4339330000000002E-3</v>
      </c>
      <c r="P1320">
        <v>0.9946256</v>
      </c>
      <c r="Q1320">
        <v>-0.1022589</v>
      </c>
      <c r="R1320">
        <v>-1.6220459999999999E-2</v>
      </c>
      <c r="S1320">
        <v>3.0019529999999999</v>
      </c>
      <c r="T1320">
        <v>-0.1228185</v>
      </c>
      <c r="U1320">
        <v>-0.104522699999999</v>
      </c>
      <c r="V1320">
        <v>2.263569E-2</v>
      </c>
      <c r="W1320">
        <v>-8.7424409999999994E-2</v>
      </c>
      <c r="X1320">
        <v>0.99591390000000002</v>
      </c>
      <c r="Y1320">
        <v>4.1178039999999999E-2</v>
      </c>
      <c r="Z1320">
        <v>-1.3160579999999999E-3</v>
      </c>
      <c r="AA1320">
        <v>0.99915089999999995</v>
      </c>
      <c r="AB1320">
        <v>27</v>
      </c>
      <c r="AC1320">
        <v>27.257199999999902</v>
      </c>
      <c r="AD1320">
        <v>-1.1210989207890001</v>
      </c>
      <c r="AE1320">
        <v>-0.95510000000001505</v>
      </c>
      <c r="AF1320">
        <v>1.12856381722868</v>
      </c>
      <c r="AG1320">
        <v>-1.1210989207890001</v>
      </c>
      <c r="AH1320">
        <v>27.204524303313399</v>
      </c>
      <c r="AI1320">
        <v>92.357799135827406</v>
      </c>
      <c r="AJ1320">
        <v>87.624480115815899</v>
      </c>
      <c r="AK1320">
        <v>27.2509937736098</v>
      </c>
      <c r="AL1320">
        <v>95.015452738905907</v>
      </c>
      <c r="AM1320">
        <v>88.697973542986205</v>
      </c>
      <c r="AN1320">
        <v>0.99999994906941503</v>
      </c>
    </row>
    <row r="1321" spans="1:40" x14ac:dyDescent="0.25">
      <c r="A1321" t="str">
        <f>"20190303154121663"</f>
        <v>20190303154121663</v>
      </c>
      <c r="B1321" t="str">
        <f>"1551598881650399"</f>
        <v>1551598881650399</v>
      </c>
      <c r="C1321" t="s">
        <v>40</v>
      </c>
      <c r="D1321">
        <v>5.8836190000000004</v>
      </c>
      <c r="E1321">
        <v>0.50684470000000004</v>
      </c>
      <c r="F1321" t="s">
        <v>41</v>
      </c>
      <c r="G1321">
        <v>-229.24610000000001</v>
      </c>
      <c r="H1321" s="1">
        <v>-1.0213390000000001E-6</v>
      </c>
      <c r="I1321">
        <v>366.68970000000002</v>
      </c>
      <c r="J1321">
        <v>-256.57420000000002</v>
      </c>
      <c r="K1321">
        <v>1.1211120000000001</v>
      </c>
      <c r="L1321">
        <v>367.6361</v>
      </c>
      <c r="M1321">
        <v>0.99986739999999996</v>
      </c>
      <c r="N1321">
        <v>-1.492608E-2</v>
      </c>
      <c r="O1321">
        <v>6.5295219999999899E-3</v>
      </c>
      <c r="P1321">
        <v>0.99472899999999997</v>
      </c>
      <c r="Q1321">
        <v>-0.1013597</v>
      </c>
      <c r="R1321">
        <v>-1.5517E-2</v>
      </c>
      <c r="S1321">
        <v>3.0019840000000002</v>
      </c>
      <c r="T1321">
        <v>-0.1221124</v>
      </c>
      <c r="U1321">
        <v>-0.10290530000000001</v>
      </c>
      <c r="V1321">
        <v>2.2027600000000001E-2</v>
      </c>
      <c r="W1321">
        <v>-8.6499019999999996E-2</v>
      </c>
      <c r="X1321">
        <v>0.99600840000000002</v>
      </c>
      <c r="Y1321">
        <v>4.0736469999999997E-2</v>
      </c>
      <c r="Z1321">
        <v>-1.3002459999999999E-3</v>
      </c>
      <c r="AA1321">
        <v>0.99916910000000003</v>
      </c>
      <c r="AB1321">
        <v>27</v>
      </c>
      <c r="AC1321">
        <v>27.328099999999999</v>
      </c>
      <c r="AD1321">
        <v>-1.1211130213389999</v>
      </c>
      <c r="AE1321">
        <v>-0.94639999999998203</v>
      </c>
      <c r="AF1321">
        <v>1.1229514645290799</v>
      </c>
      <c r="AG1321">
        <v>-1.1211130213389999</v>
      </c>
      <c r="AH1321">
        <v>27.2754878597157</v>
      </c>
      <c r="AI1321">
        <v>92.351731613500803</v>
      </c>
      <c r="AJ1321">
        <v>87.642422974988193</v>
      </c>
      <c r="AK1321">
        <v>27.3216059627505</v>
      </c>
      <c r="AL1321">
        <v>94.962229843094804</v>
      </c>
      <c r="AM1321">
        <v>88.733060077001795</v>
      </c>
      <c r="AN1321">
        <v>1.0000000142466401</v>
      </c>
    </row>
    <row r="1322" spans="1:40" x14ac:dyDescent="0.25">
      <c r="A1322" t="str">
        <f>"20190303154121678"</f>
        <v>20190303154121678</v>
      </c>
      <c r="B1322" t="str">
        <f>"1551598881670895"</f>
        <v>1551598881670895</v>
      </c>
      <c r="C1322" t="s">
        <v>40</v>
      </c>
      <c r="D1322">
        <v>5.8448010000000004</v>
      </c>
      <c r="E1322">
        <v>0.50676199999999905</v>
      </c>
      <c r="F1322" t="s">
        <v>41</v>
      </c>
      <c r="G1322">
        <v>-228.58269999999999</v>
      </c>
      <c r="H1322" s="1">
        <v>-1.2439299999999901E-6</v>
      </c>
      <c r="I1322">
        <v>366.70159999999998</v>
      </c>
      <c r="J1322">
        <v>-256.38619999999997</v>
      </c>
      <c r="K1322">
        <v>1.1211199999999999</v>
      </c>
      <c r="L1322">
        <v>367.63740000000001</v>
      </c>
      <c r="M1322">
        <v>0.99986649999999999</v>
      </c>
      <c r="N1322">
        <v>-1.494381E-2</v>
      </c>
      <c r="O1322">
        <v>6.6070469999999996E-3</v>
      </c>
      <c r="P1322">
        <v>0.99478670000000002</v>
      </c>
      <c r="Q1322">
        <v>-0.1008776</v>
      </c>
      <c r="R1322">
        <v>-1.493776E-2</v>
      </c>
      <c r="S1322">
        <v>3.0020449999999999</v>
      </c>
      <c r="T1322">
        <v>-0.1202371</v>
      </c>
      <c r="U1322">
        <v>-0.10021969999999999</v>
      </c>
      <c r="V1322">
        <v>2.1525780000000001E-2</v>
      </c>
      <c r="W1322">
        <v>-8.5998530000000004E-2</v>
      </c>
      <c r="X1322">
        <v>0.99606269999999997</v>
      </c>
      <c r="Y1322">
        <v>3.9922609999999997E-2</v>
      </c>
      <c r="Z1322">
        <v>-1.263269E-3</v>
      </c>
      <c r="AA1322">
        <v>0.99920200000000003</v>
      </c>
      <c r="AB1322">
        <v>27</v>
      </c>
      <c r="AC1322">
        <v>27.8034999999999</v>
      </c>
      <c r="AD1322">
        <v>-1.12112124393</v>
      </c>
      <c r="AE1322">
        <v>-0.93580000000002805</v>
      </c>
      <c r="AF1322">
        <v>1.1176838796028301</v>
      </c>
      <c r="AG1322">
        <v>-1.12112124393</v>
      </c>
      <c r="AH1322">
        <v>27.751637821839701</v>
      </c>
      <c r="AI1322">
        <v>92.311526882070098</v>
      </c>
      <c r="AJ1322">
        <v>87.693686445023403</v>
      </c>
      <c r="AK1322">
        <v>27.7967539812274</v>
      </c>
      <c r="AL1322">
        <v>94.933446670570007</v>
      </c>
      <c r="AM1322">
        <v>88.761981151417402</v>
      </c>
      <c r="AN1322">
        <v>1.00000000434902</v>
      </c>
    </row>
    <row r="1323" spans="1:40" x14ac:dyDescent="0.25">
      <c r="A1323" t="str">
        <f>"20190303154121690"</f>
        <v>20190303154121690</v>
      </c>
      <c r="B1323" t="str">
        <f>"1551598881680656"</f>
        <v>1551598881680656</v>
      </c>
      <c r="C1323" t="s">
        <v>40</v>
      </c>
      <c r="D1323">
        <v>5.8649259999999996</v>
      </c>
      <c r="E1323">
        <v>0.50672220000000001</v>
      </c>
      <c r="F1323" t="s">
        <v>41</v>
      </c>
      <c r="G1323">
        <v>-228.46469999999999</v>
      </c>
      <c r="H1323" s="1">
        <v>-1.277544E-6</v>
      </c>
      <c r="I1323">
        <v>366.72620000000001</v>
      </c>
      <c r="J1323">
        <v>-256.2312</v>
      </c>
      <c r="K1323">
        <v>1.1211260000000001</v>
      </c>
      <c r="L1323">
        <v>367.63850000000002</v>
      </c>
      <c r="M1323">
        <v>0.99986600000000003</v>
      </c>
      <c r="N1323">
        <v>-1.495646E-2</v>
      </c>
      <c r="O1323">
        <v>6.6707829999999996E-3</v>
      </c>
      <c r="P1323">
        <v>0.99482519999999997</v>
      </c>
      <c r="Q1323">
        <v>-0.1005756</v>
      </c>
      <c r="R1323">
        <v>-1.440981E-2</v>
      </c>
      <c r="S1323">
        <v>3.0020600000000002</v>
      </c>
      <c r="T1323">
        <v>-0.1205403</v>
      </c>
      <c r="U1323">
        <v>-9.7961430000000002E-2</v>
      </c>
      <c r="V1323">
        <v>2.106148E-2</v>
      </c>
      <c r="W1323">
        <v>-8.5683350000000005E-2</v>
      </c>
      <c r="X1323">
        <v>0.99609979999999998</v>
      </c>
      <c r="Y1323">
        <v>3.9235819999999998E-2</v>
      </c>
      <c r="Z1323">
        <v>-1.2488060000000001E-3</v>
      </c>
      <c r="AA1323">
        <v>0.99922920000000004</v>
      </c>
      <c r="AB1323">
        <v>27</v>
      </c>
      <c r="AC1323">
        <v>27.766500000000001</v>
      </c>
      <c r="AD1323">
        <v>-1.121127277544</v>
      </c>
      <c r="AE1323">
        <v>-0.91230000000001599</v>
      </c>
      <c r="AF1323">
        <v>1.09574023465281</v>
      </c>
      <c r="AG1323">
        <v>-1.121127277544</v>
      </c>
      <c r="AH1323">
        <v>27.714661132666102</v>
      </c>
      <c r="AI1323">
        <v>92.314687982796798</v>
      </c>
      <c r="AJ1323">
        <v>87.735905577662805</v>
      </c>
      <c r="AK1323">
        <v>27.758962782006201</v>
      </c>
      <c r="AL1323">
        <v>94.915321221083403</v>
      </c>
      <c r="AM1323">
        <v>88.7887216396946</v>
      </c>
      <c r="AN1323">
        <v>1.0000000169835199</v>
      </c>
    </row>
    <row r="1324" spans="1:40" x14ac:dyDescent="0.25">
      <c r="A1324" t="str">
        <f>"20190303154121702"</f>
        <v>20190303154121702</v>
      </c>
      <c r="B1324" t="str">
        <f>"1551598881700685"</f>
        <v>1551598881700685</v>
      </c>
      <c r="C1324" t="s">
        <v>40</v>
      </c>
      <c r="D1324">
        <v>5.8665609999999999</v>
      </c>
      <c r="E1324">
        <v>0.50666109999999998</v>
      </c>
      <c r="F1324" t="s">
        <v>41</v>
      </c>
      <c r="G1324">
        <v>-228.27690000000001</v>
      </c>
      <c r="H1324" s="1">
        <v>-1.3366620000000001E-6</v>
      </c>
      <c r="I1324">
        <v>366.74419999999998</v>
      </c>
      <c r="J1324">
        <v>-256.08269999999999</v>
      </c>
      <c r="K1324">
        <v>1.1211279999999999</v>
      </c>
      <c r="L1324">
        <v>367.63959999999997</v>
      </c>
      <c r="M1324">
        <v>0.99986540000000002</v>
      </c>
      <c r="N1324">
        <v>-1.4967390000000001E-2</v>
      </c>
      <c r="O1324">
        <v>6.7320269999999998E-3</v>
      </c>
      <c r="P1324">
        <v>0.99483440000000001</v>
      </c>
      <c r="Q1324">
        <v>-0.10053380000000001</v>
      </c>
      <c r="R1324">
        <v>-1.4066820000000001E-2</v>
      </c>
      <c r="S1324">
        <v>3.0020449999999999</v>
      </c>
      <c r="T1324">
        <v>-0.1203989</v>
      </c>
      <c r="U1324">
        <v>-9.6038819999999997E-2</v>
      </c>
      <c r="V1324">
        <v>2.0779309999999999E-2</v>
      </c>
      <c r="W1324">
        <v>-8.5630600000000001E-2</v>
      </c>
      <c r="X1324">
        <v>0.9961103</v>
      </c>
      <c r="Y1324">
        <v>3.8658619999999998E-2</v>
      </c>
      <c r="Z1324">
        <v>-1.233371E-3</v>
      </c>
      <c r="AA1324">
        <v>0.99925169999999996</v>
      </c>
      <c r="AB1324">
        <v>27</v>
      </c>
      <c r="AC1324">
        <v>27.805799999999898</v>
      </c>
      <c r="AD1324">
        <v>-1.1211293366619901</v>
      </c>
      <c r="AE1324">
        <v>-0.89539999999999498</v>
      </c>
      <c r="AF1324">
        <v>1.0808347636557201</v>
      </c>
      <c r="AG1324">
        <v>-1.1211293366619901</v>
      </c>
      <c r="AH1324">
        <v>27.754068163649901</v>
      </c>
      <c r="AI1324">
        <v>92.311462907853993</v>
      </c>
      <c r="AJ1324">
        <v>87.769840712573995</v>
      </c>
      <c r="AK1324">
        <v>27.7977235472327</v>
      </c>
      <c r="AL1324">
        <v>94.9122875345941</v>
      </c>
      <c r="AM1324">
        <v>88.804957529078393</v>
      </c>
      <c r="AN1324">
        <v>1.0000000545732599</v>
      </c>
    </row>
    <row r="1325" spans="1:40" x14ac:dyDescent="0.25">
      <c r="A1325" t="str">
        <f>"20190303154121718"</f>
        <v>20190303154121718</v>
      </c>
      <c r="B1325" t="str">
        <f>"1551598881710445"</f>
        <v>1551598881710445</v>
      </c>
      <c r="C1325" t="s">
        <v>40</v>
      </c>
      <c r="D1325">
        <v>5.876925</v>
      </c>
      <c r="E1325">
        <v>0.50663469999999999</v>
      </c>
      <c r="F1325" t="s">
        <v>41</v>
      </c>
      <c r="G1325">
        <v>-228.4376</v>
      </c>
      <c r="H1325" s="1">
        <v>-1.274891E-6</v>
      </c>
      <c r="I1325">
        <v>366.77080000000001</v>
      </c>
      <c r="J1325">
        <v>-255.89779999999999</v>
      </c>
      <c r="K1325">
        <v>1.1211370000000001</v>
      </c>
      <c r="L1325">
        <v>367.64089999999999</v>
      </c>
      <c r="M1325">
        <v>0.99986459999999999</v>
      </c>
      <c r="N1325">
        <v>-1.4979660000000001E-2</v>
      </c>
      <c r="O1325">
        <v>6.8085180000000004E-3</v>
      </c>
      <c r="P1325">
        <v>0.99484079999999997</v>
      </c>
      <c r="Q1325">
        <v>-0.1005807</v>
      </c>
      <c r="R1325">
        <v>-1.323452E-2</v>
      </c>
      <c r="S1325">
        <v>3.001938</v>
      </c>
      <c r="T1325">
        <v>-0.12174119999999999</v>
      </c>
      <c r="U1325">
        <v>-9.4329830000000003E-2</v>
      </c>
      <c r="V1325">
        <v>2.0023249999999999E-2</v>
      </c>
      <c r="W1325">
        <v>-8.5665320000000003E-2</v>
      </c>
      <c r="X1325">
        <v>0.99612270000000003</v>
      </c>
      <c r="Y1325">
        <v>3.8167510000000002E-2</v>
      </c>
      <c r="Z1325">
        <v>-1.23353E-3</v>
      </c>
      <c r="AA1325">
        <v>0.99927060000000001</v>
      </c>
      <c r="AB1325">
        <v>27</v>
      </c>
      <c r="AC1325">
        <v>27.460199999999901</v>
      </c>
      <c r="AD1325">
        <v>-1.1211382748909999</v>
      </c>
      <c r="AE1325">
        <v>-0.870099999999979</v>
      </c>
      <c r="AF1325">
        <v>1.0553067450832301</v>
      </c>
      <c r="AG1325">
        <v>-1.1211382748909999</v>
      </c>
      <c r="AH1325">
        <v>27.4079979038769</v>
      </c>
      <c r="AI1325">
        <v>92.340674991916202</v>
      </c>
      <c r="AJ1325">
        <v>87.794995125534697</v>
      </c>
      <c r="AK1325">
        <v>27.451210764856398</v>
      </c>
      <c r="AL1325">
        <v>94.9142846686577</v>
      </c>
      <c r="AM1325">
        <v>88.848441827029902</v>
      </c>
      <c r="AN1325">
        <v>0.99999995552327603</v>
      </c>
    </row>
    <row r="1326" spans="1:40" x14ac:dyDescent="0.25">
      <c r="A1326" t="str">
        <f>"20190303154121741"</f>
        <v>20190303154121741</v>
      </c>
      <c r="B1326" t="str">
        <f>"1551598881730942"</f>
        <v>1551598881730942</v>
      </c>
      <c r="C1326" t="s">
        <v>40</v>
      </c>
      <c r="D1326">
        <v>5.8771509999999996</v>
      </c>
      <c r="E1326">
        <v>0.50656709999999905</v>
      </c>
      <c r="F1326" t="s">
        <v>41</v>
      </c>
      <c r="G1326">
        <v>-228.37129999999999</v>
      </c>
      <c r="H1326" s="1">
        <v>-1.289643E-6</v>
      </c>
      <c r="I1326">
        <v>366.80020000000002</v>
      </c>
      <c r="J1326">
        <v>-255.6181</v>
      </c>
      <c r="K1326">
        <v>1.121149</v>
      </c>
      <c r="L1326">
        <v>367.6429</v>
      </c>
      <c r="M1326">
        <v>0.99986370000000002</v>
      </c>
      <c r="N1326">
        <v>-1.4995E-2</v>
      </c>
      <c r="O1326">
        <v>6.923785E-3</v>
      </c>
      <c r="P1326">
        <v>0.99483290000000002</v>
      </c>
      <c r="Q1326">
        <v>-0.10062980000000001</v>
      </c>
      <c r="R1326">
        <v>-1.3461799999999999E-2</v>
      </c>
      <c r="S1326">
        <v>3.001938</v>
      </c>
      <c r="T1326">
        <v>-0.122267</v>
      </c>
      <c r="U1326">
        <v>-9.1674800000000001E-2</v>
      </c>
      <c r="V1326">
        <v>2.0365069999999999E-2</v>
      </c>
      <c r="W1326">
        <v>-8.5699199999999906E-2</v>
      </c>
      <c r="X1326">
        <v>0.99611289999999997</v>
      </c>
      <c r="Y1326">
        <v>3.740023E-2</v>
      </c>
      <c r="Z1326">
        <v>-1.21985E-3</v>
      </c>
      <c r="AA1326">
        <v>0.99929959999999995</v>
      </c>
      <c r="AB1326">
        <v>27</v>
      </c>
      <c r="AC1326">
        <v>27.2468</v>
      </c>
      <c r="AD1326">
        <v>-1.1211502896429999</v>
      </c>
      <c r="AE1326">
        <v>-0.84269999999997902</v>
      </c>
      <c r="AF1326">
        <v>1.02961035074011</v>
      </c>
      <c r="AG1326">
        <v>-1.1211502896429999</v>
      </c>
      <c r="AH1326">
        <v>27.1943112512316</v>
      </c>
      <c r="AI1326">
        <v>92.359129744715503</v>
      </c>
      <c r="AJ1326">
        <v>87.831746377570198</v>
      </c>
      <c r="AK1326">
        <v>27.236880142101001</v>
      </c>
      <c r="AL1326">
        <v>94.916232799264094</v>
      </c>
      <c r="AM1326">
        <v>88.8287773096189</v>
      </c>
      <c r="AN1326">
        <v>0.99999999925157701</v>
      </c>
    </row>
    <row r="1327" spans="1:40" x14ac:dyDescent="0.25">
      <c r="A1327" t="str">
        <f>"20190303154121763"</f>
        <v>20190303154121763</v>
      </c>
      <c r="B1327" t="str">
        <f>"1551598881760222"</f>
        <v>1551598881760222</v>
      </c>
      <c r="C1327" t="s">
        <v>40</v>
      </c>
      <c r="D1327">
        <v>5.926577</v>
      </c>
      <c r="E1327">
        <v>0.49322290000000002</v>
      </c>
      <c r="F1327" t="s">
        <v>41</v>
      </c>
      <c r="G1327">
        <v>-228.47219999999999</v>
      </c>
      <c r="H1327" s="1">
        <v>-1.252166E-6</v>
      </c>
      <c r="I1327">
        <v>366.81189999999998</v>
      </c>
      <c r="J1327">
        <v>-255.35120000000001</v>
      </c>
      <c r="K1327">
        <v>1.1211500000000001</v>
      </c>
      <c r="L1327">
        <v>367.64490000000001</v>
      </c>
      <c r="M1327">
        <v>0.99986269999999999</v>
      </c>
      <c r="N1327">
        <v>-1.500684E-2</v>
      </c>
      <c r="O1327">
        <v>7.0338939999999997E-3</v>
      </c>
      <c r="P1327">
        <v>0.9948108</v>
      </c>
      <c r="Q1327">
        <v>-0.1008276</v>
      </c>
      <c r="R1327">
        <v>-1.362383E-2</v>
      </c>
      <c r="S1327">
        <v>3.0017849999999999</v>
      </c>
      <c r="T1327">
        <v>-0.12397610000000001</v>
      </c>
      <c r="U1327">
        <v>-9.1888429999999993E-2</v>
      </c>
      <c r="V1327">
        <v>2.0636290000000002E-2</v>
      </c>
      <c r="W1327">
        <v>-8.5885550000000005E-2</v>
      </c>
      <c r="X1327">
        <v>0.99609119999999995</v>
      </c>
      <c r="Y1327">
        <v>3.7581469999999999E-2</v>
      </c>
      <c r="Z1327">
        <v>-1.2426080000000001E-3</v>
      </c>
      <c r="AA1327">
        <v>0.99929279999999998</v>
      </c>
      <c r="AB1327">
        <v>27</v>
      </c>
      <c r="AC1327">
        <v>26.879000000000001</v>
      </c>
      <c r="AD1327">
        <v>-1.1211512521660001</v>
      </c>
      <c r="AE1327">
        <v>-0.83300000000002605</v>
      </c>
      <c r="AF1327">
        <v>1.02029129727995</v>
      </c>
      <c r="AG1327">
        <v>-1.1211512521660001</v>
      </c>
      <c r="AH1327">
        <v>26.825847883739801</v>
      </c>
      <c r="AI1327">
        <v>92.3914823573311</v>
      </c>
      <c r="AJ1327">
        <v>87.821868605100605</v>
      </c>
      <c r="AK1327">
        <v>26.8686450931766</v>
      </c>
      <c r="AL1327">
        <v>94.9269497143584</v>
      </c>
      <c r="AM1327">
        <v>88.813157665466207</v>
      </c>
      <c r="AN1327">
        <v>0.99999993144059995</v>
      </c>
    </row>
    <row r="1328" spans="1:40" x14ac:dyDescent="0.25">
      <c r="A1328" t="str">
        <f>"20190303154121786"</f>
        <v>20190303154121786</v>
      </c>
      <c r="B1328" t="str">
        <f>"1551598881780717"</f>
        <v>1551598881780717</v>
      </c>
      <c r="C1328" t="s">
        <v>40</v>
      </c>
      <c r="D1328">
        <v>5.8734149999999996</v>
      </c>
      <c r="E1328">
        <v>0.486288</v>
      </c>
      <c r="F1328" t="s">
        <v>42</v>
      </c>
      <c r="G1328">
        <v>-254.48249999999999</v>
      </c>
      <c r="H1328">
        <v>1.019242</v>
      </c>
      <c r="I1328">
        <v>367.64830000000001</v>
      </c>
      <c r="J1328">
        <v>-255.06979999999999</v>
      </c>
      <c r="K1328">
        <v>1.121148</v>
      </c>
      <c r="L1328">
        <v>367.64699999999999</v>
      </c>
      <c r="M1328">
        <v>0.99986169999999996</v>
      </c>
      <c r="N1328">
        <v>-1.5016699999999999E-2</v>
      </c>
      <c r="O1328">
        <v>7.1500969999999898E-3</v>
      </c>
      <c r="P1328">
        <v>0.99476129999999996</v>
      </c>
      <c r="Q1328">
        <v>-0.1012078</v>
      </c>
      <c r="R1328">
        <v>-1.438705E-2</v>
      </c>
      <c r="S1328">
        <v>2.9803470000000001</v>
      </c>
      <c r="T1328">
        <v>-0.3498945</v>
      </c>
      <c r="U1328">
        <v>1.2786870000000001E-2</v>
      </c>
      <c r="V1328">
        <v>2.151486E-2</v>
      </c>
      <c r="W1328">
        <v>-8.6256589999999994E-2</v>
      </c>
      <c r="X1328">
        <v>0.99604060000000005</v>
      </c>
      <c r="Y1328">
        <v>2.80153E-3</v>
      </c>
      <c r="Z1328">
        <v>-9.1448829999999997E-4</v>
      </c>
      <c r="AA1328">
        <v>0.99999559999999998</v>
      </c>
      <c r="AB1328">
        <v>27</v>
      </c>
      <c r="AC1328">
        <v>0.58729999999999905</v>
      </c>
      <c r="AD1328">
        <v>-0.101906</v>
      </c>
      <c r="AE1328">
        <v>1.3000000000147299E-3</v>
      </c>
      <c r="AF1328">
        <v>2.8150053638630302E-3</v>
      </c>
      <c r="AG1328">
        <v>-0.101906</v>
      </c>
      <c r="AH1328">
        <v>0.57012901461654297</v>
      </c>
      <c r="AI1328">
        <v>100.134021390545</v>
      </c>
      <c r="AJ1328">
        <v>89.717105055396104</v>
      </c>
      <c r="AK1328">
        <v>0.57917169336806296</v>
      </c>
      <c r="AL1328">
        <v>94.9482876739022</v>
      </c>
      <c r="AM1328">
        <v>88.762581554931501</v>
      </c>
      <c r="AN1328">
        <v>0.99999998268380297</v>
      </c>
    </row>
    <row r="1329" spans="1:40" x14ac:dyDescent="0.25">
      <c r="A1329" t="str">
        <f>"20190303154121830"</f>
        <v>20190303154121830</v>
      </c>
      <c r="B1329" t="str">
        <f>"1551598881820734"</f>
        <v>1551598881820734</v>
      </c>
      <c r="C1329" t="s">
        <v>40</v>
      </c>
      <c r="D1329">
        <v>6.0870620000000004</v>
      </c>
      <c r="E1329">
        <v>0.48334680000000002</v>
      </c>
      <c r="F1329" t="s">
        <v>42</v>
      </c>
      <c r="G1329">
        <v>-254.25129999999999</v>
      </c>
      <c r="H1329">
        <v>0.99791059999999998</v>
      </c>
      <c r="I1329">
        <v>367.66500000000002</v>
      </c>
      <c r="J1329">
        <v>-254.53899999999999</v>
      </c>
      <c r="K1329">
        <v>1.1211549999999999</v>
      </c>
      <c r="L1329">
        <v>367.65109999999999</v>
      </c>
      <c r="M1329">
        <v>0.99985999999999997</v>
      </c>
      <c r="N1329">
        <v>-1.5029270000000001E-2</v>
      </c>
      <c r="O1329">
        <v>7.3686680000000001E-3</v>
      </c>
      <c r="P1329">
        <v>0.99464600000000003</v>
      </c>
      <c r="Q1329">
        <v>-0.1021899</v>
      </c>
      <c r="R1329">
        <v>-1.538514E-2</v>
      </c>
      <c r="S1329">
        <v>2.9712369999999999</v>
      </c>
      <c r="T1329">
        <v>-0.44735419999999998</v>
      </c>
      <c r="U1329">
        <v>6.5460210000000005E-2</v>
      </c>
      <c r="V1329">
        <v>2.2729470000000002E-2</v>
      </c>
      <c r="W1329">
        <v>-8.7227840000000001E-2</v>
      </c>
      <c r="X1329">
        <v>0.99592910000000001</v>
      </c>
      <c r="Y1329">
        <v>-1.45445E-2</v>
      </c>
      <c r="Z1329">
        <v>2.0576939999999999E-4</v>
      </c>
      <c r="AA1329">
        <v>0.99989419999999996</v>
      </c>
      <c r="AB1329">
        <v>27</v>
      </c>
      <c r="AC1329">
        <v>0.28770000000002899</v>
      </c>
      <c r="AD1329">
        <v>-0.123244399999999</v>
      </c>
      <c r="AE1329">
        <v>1.39000000000351E-2</v>
      </c>
      <c r="AF1329">
        <v>-9.9565646637420208E-3</v>
      </c>
      <c r="AG1329">
        <v>-0.123244399999999</v>
      </c>
      <c r="AH1329">
        <v>0.24325869925642599</v>
      </c>
      <c r="AI1329">
        <v>116.84923461877899</v>
      </c>
      <c r="AJ1329">
        <v>92.343804738862204</v>
      </c>
      <c r="AK1329">
        <v>0.272879295797962</v>
      </c>
      <c r="AL1329">
        <v>95.004146417068995</v>
      </c>
      <c r="AM1329">
        <v>88.692601043577895</v>
      </c>
      <c r="AN1329">
        <v>1.0000000485521701</v>
      </c>
    </row>
    <row r="1330" spans="1:40" x14ac:dyDescent="0.25">
      <c r="A1330" t="str">
        <f>"20190303154121875"</f>
        <v>20190303154121875</v>
      </c>
      <c r="B1330" t="str">
        <f>"1551598881870509"</f>
        <v>1551598881870509</v>
      </c>
      <c r="C1330" t="s">
        <v>40</v>
      </c>
      <c r="D1330">
        <v>6.0578629999999896</v>
      </c>
      <c r="E1330">
        <v>0.4815141</v>
      </c>
      <c r="F1330" t="s">
        <v>42</v>
      </c>
      <c r="G1330">
        <v>-253.7749</v>
      </c>
      <c r="H1330">
        <v>0.98734809999999995</v>
      </c>
      <c r="I1330">
        <v>367.673</v>
      </c>
      <c r="J1330">
        <v>-254.00960000000001</v>
      </c>
      <c r="K1330">
        <v>1.121157</v>
      </c>
      <c r="L1330">
        <v>367.65519999999998</v>
      </c>
      <c r="M1330">
        <v>0.99985820000000003</v>
      </c>
      <c r="N1330">
        <v>-1.503547E-2</v>
      </c>
      <c r="O1330">
        <v>7.5872269999999898E-3</v>
      </c>
      <c r="P1330">
        <v>0.99461319999999998</v>
      </c>
      <c r="Q1330">
        <v>-0.102616899999999</v>
      </c>
      <c r="R1330">
        <v>-1.4638180000000001E-2</v>
      </c>
      <c r="S1330">
        <v>2.9641109999999999</v>
      </c>
      <c r="T1330">
        <v>-0.51911850000000004</v>
      </c>
      <c r="U1330">
        <v>8.5357669999999997E-2</v>
      </c>
      <c r="V1330">
        <v>2.2199590000000002E-2</v>
      </c>
      <c r="W1330">
        <v>-8.7649229999999995E-2</v>
      </c>
      <c r="X1330">
        <v>0.99590400000000001</v>
      </c>
      <c r="Y1330">
        <v>-2.094938E-2</v>
      </c>
      <c r="Z1330">
        <v>7.7392219999999998E-4</v>
      </c>
      <c r="AA1330">
        <v>0.99978020000000001</v>
      </c>
      <c r="AB1330">
        <v>27</v>
      </c>
      <c r="AC1330">
        <v>0.23470000000000299</v>
      </c>
      <c r="AD1330">
        <v>-0.13380889999999901</v>
      </c>
      <c r="AE1330">
        <v>1.7800000000022399E-2</v>
      </c>
      <c r="AF1330">
        <v>-1.2106053444337199E-2</v>
      </c>
      <c r="AG1330">
        <v>-0.13380889999999901</v>
      </c>
      <c r="AH1330">
        <v>0.17747184238036801</v>
      </c>
      <c r="AI1330">
        <v>126.951381127985</v>
      </c>
      <c r="AJ1330">
        <v>93.902325614267298</v>
      </c>
      <c r="AK1330">
        <v>0.22259297627528499</v>
      </c>
      <c r="AL1330">
        <v>95.028383391886706</v>
      </c>
      <c r="AM1330">
        <v>88.723037353610906</v>
      </c>
      <c r="AN1330">
        <v>0.99999999326587996</v>
      </c>
    </row>
    <row r="1331" spans="1:40" x14ac:dyDescent="0.25">
      <c r="A1331" t="str">
        <f>"20190303154121897"</f>
        <v>20190303154121897</v>
      </c>
      <c r="B1331" t="str">
        <f>"1551598881891005"</f>
        <v>1551598881891005</v>
      </c>
      <c r="C1331" t="s">
        <v>40</v>
      </c>
      <c r="D1331">
        <v>5.8730079999999996</v>
      </c>
      <c r="E1331">
        <v>0.48139749999999998</v>
      </c>
      <c r="F1331" t="s">
        <v>42</v>
      </c>
      <c r="G1331">
        <v>-253.2961</v>
      </c>
      <c r="H1331">
        <v>0.98564200000000002</v>
      </c>
      <c r="I1331">
        <v>367.67970000000003</v>
      </c>
      <c r="J1331">
        <v>-253.73910000000001</v>
      </c>
      <c r="K1331">
        <v>1.1211580000000001</v>
      </c>
      <c r="L1331">
        <v>367.6574</v>
      </c>
      <c r="M1331">
        <v>0.99985740000000001</v>
      </c>
      <c r="N1331">
        <v>-1.503663E-2</v>
      </c>
      <c r="O1331">
        <v>7.6989049999999998E-3</v>
      </c>
      <c r="P1331">
        <v>0.99463829999999998</v>
      </c>
      <c r="Q1331">
        <v>-0.1024949</v>
      </c>
      <c r="R1331">
        <v>-1.377948E-2</v>
      </c>
      <c r="S1331">
        <v>2.9597470000000001</v>
      </c>
      <c r="T1331">
        <v>-0.56215800000000005</v>
      </c>
      <c r="U1331">
        <v>0.1016541</v>
      </c>
      <c r="V1331">
        <v>2.145213E-2</v>
      </c>
      <c r="W1331">
        <v>-8.7525800000000001E-2</v>
      </c>
      <c r="X1331">
        <v>0.99593129999999996</v>
      </c>
      <c r="Y1331">
        <v>-2.623924E-2</v>
      </c>
      <c r="Z1331">
        <v>1.3342549999999999E-3</v>
      </c>
      <c r="AA1331">
        <v>0.99965479999999995</v>
      </c>
      <c r="AB1331">
        <v>27</v>
      </c>
      <c r="AC1331">
        <v>0.443000000000012</v>
      </c>
      <c r="AD1331">
        <v>-0.135516</v>
      </c>
      <c r="AE1331">
        <v>2.2300000000029699E-2</v>
      </c>
      <c r="AF1331">
        <v>-1.7275791131973601E-2</v>
      </c>
      <c r="AG1331">
        <v>-0.135516</v>
      </c>
      <c r="AH1331">
        <v>0.40532494962950699</v>
      </c>
      <c r="AI1331">
        <v>108.47116874951</v>
      </c>
      <c r="AJ1331">
        <v>92.440587938920203</v>
      </c>
      <c r="AK1331">
        <v>0.42772813095165702</v>
      </c>
      <c r="AL1331">
        <v>95.021283769420904</v>
      </c>
      <c r="AM1331">
        <v>88.766052963867907</v>
      </c>
      <c r="AN1331">
        <v>1.00000005693343</v>
      </c>
    </row>
    <row r="1332" spans="1:40" x14ac:dyDescent="0.25">
      <c r="A1332" t="str">
        <f>"20190303154121919"</f>
        <v>20190303154121919</v>
      </c>
      <c r="B1332" t="str">
        <f>"1551598881910542"</f>
        <v>1551598881910542</v>
      </c>
      <c r="C1332" t="s">
        <v>40</v>
      </c>
      <c r="D1332">
        <v>5.9123060000000001</v>
      </c>
      <c r="E1332">
        <v>0.48041260000000002</v>
      </c>
      <c r="F1332" t="s">
        <v>42</v>
      </c>
      <c r="G1332">
        <v>-252.83619999999999</v>
      </c>
      <c r="H1332">
        <v>0.94803970000000004</v>
      </c>
      <c r="I1332">
        <v>367.68950000000001</v>
      </c>
      <c r="J1332">
        <v>-253.47280000000001</v>
      </c>
      <c r="K1332">
        <v>1.1211660000000001</v>
      </c>
      <c r="L1332">
        <v>367.65960000000001</v>
      </c>
      <c r="M1332">
        <v>0.99985650000000004</v>
      </c>
      <c r="N1332">
        <v>-1.503668E-2</v>
      </c>
      <c r="O1332">
        <v>7.8090399999999997E-3</v>
      </c>
      <c r="P1332">
        <v>0.99462589999999995</v>
      </c>
      <c r="Q1332">
        <v>-0.1026922</v>
      </c>
      <c r="R1332">
        <v>-1.318482E-2</v>
      </c>
      <c r="S1332">
        <v>2.9591829999999999</v>
      </c>
      <c r="T1332">
        <v>-0.5674342</v>
      </c>
      <c r="U1332">
        <v>0.10552980000000001</v>
      </c>
      <c r="V1332">
        <v>2.096686E-2</v>
      </c>
      <c r="W1332">
        <v>-8.7723300000000004E-2</v>
      </c>
      <c r="X1332">
        <v>0.99592420000000004</v>
      </c>
      <c r="Y1332">
        <v>-2.741505E-2</v>
      </c>
      <c r="Z1332">
        <v>1.4451829999999901E-3</v>
      </c>
      <c r="AA1332">
        <v>0.99962309999999999</v>
      </c>
      <c r="AB1332">
        <v>27</v>
      </c>
      <c r="AC1332">
        <v>0.63660000000001504</v>
      </c>
      <c r="AD1332">
        <v>-0.17312629999999901</v>
      </c>
      <c r="AE1332">
        <v>2.98999999999978E-2</v>
      </c>
      <c r="AF1332">
        <v>-2.3214166920277099E-2</v>
      </c>
      <c r="AG1332">
        <v>-0.17312629999999901</v>
      </c>
      <c r="AH1332">
        <v>0.59304914491017802</v>
      </c>
      <c r="AI1332">
        <v>106.262087843077</v>
      </c>
      <c r="AJ1332">
        <v>92.241627185558201</v>
      </c>
      <c r="AK1332">
        <v>0.61823854746868201</v>
      </c>
      <c r="AL1332">
        <v>95.032643669646802</v>
      </c>
      <c r="AM1332">
        <v>88.793949223245704</v>
      </c>
      <c r="AN1332">
        <v>0.99999999936339401</v>
      </c>
    </row>
    <row r="1333" spans="1:40" x14ac:dyDescent="0.25">
      <c r="A1333" t="str">
        <f>"20190303154121964"</f>
        <v>20190303154121964</v>
      </c>
      <c r="B1333" t="str">
        <f>"1551598881960302"</f>
        <v>1551598881960302</v>
      </c>
      <c r="C1333" t="s">
        <v>40</v>
      </c>
      <c r="D1333">
        <v>5.9831190000000003</v>
      </c>
      <c r="E1333">
        <v>0.51028969999999996</v>
      </c>
      <c r="F1333" t="s">
        <v>42</v>
      </c>
      <c r="G1333">
        <v>-252.59649999999999</v>
      </c>
      <c r="H1333">
        <v>0.95100249999999997</v>
      </c>
      <c r="I1333">
        <v>367.69349999999997</v>
      </c>
      <c r="J1333">
        <v>-252.9426</v>
      </c>
      <c r="K1333">
        <v>1.1211709999999999</v>
      </c>
      <c r="L1333">
        <v>367.66399999999999</v>
      </c>
      <c r="M1333">
        <v>0.99985469999999999</v>
      </c>
      <c r="N1333">
        <v>-1.50343E-2</v>
      </c>
      <c r="O1333">
        <v>8.0282019999999999E-3</v>
      </c>
      <c r="P1333">
        <v>0.99461140000000003</v>
      </c>
      <c r="Q1333">
        <v>-0.1028568</v>
      </c>
      <c r="R1333">
        <v>-1.29827E-2</v>
      </c>
      <c r="S1333">
        <v>2.9583889999999999</v>
      </c>
      <c r="T1333">
        <v>-0.57467579999999996</v>
      </c>
      <c r="U1333">
        <v>0.115387</v>
      </c>
      <c r="V1333">
        <v>2.0982489999999999E-2</v>
      </c>
      <c r="W1333">
        <v>-8.7890480000000007E-2</v>
      </c>
      <c r="X1333">
        <v>0.99590919999999905</v>
      </c>
      <c r="Y1333">
        <v>-3.0463480000000001E-2</v>
      </c>
      <c r="Z1333">
        <v>1.73693E-3</v>
      </c>
      <c r="AA1333">
        <v>0.99953440000000005</v>
      </c>
      <c r="AB1333">
        <v>27</v>
      </c>
      <c r="AC1333">
        <v>0.34610000000000601</v>
      </c>
      <c r="AD1333">
        <v>-0.170168499999999</v>
      </c>
      <c r="AE1333">
        <v>2.94999999999845E-2</v>
      </c>
      <c r="AF1333">
        <v>-2.1548526415936301E-2</v>
      </c>
      <c r="AG1333">
        <v>-0.170168499999999</v>
      </c>
      <c r="AH1333">
        <v>0.27929490654372602</v>
      </c>
      <c r="AI1333">
        <v>121.277574674863</v>
      </c>
      <c r="AJ1333">
        <v>94.411818892761801</v>
      </c>
      <c r="AK1333">
        <v>0.327761044366497</v>
      </c>
      <c r="AL1333">
        <v>95.042259172157102</v>
      </c>
      <c r="AM1333">
        <v>88.793032250687702</v>
      </c>
      <c r="AN1333">
        <v>1.00000006800293</v>
      </c>
    </row>
    <row r="1334" spans="1:40" x14ac:dyDescent="0.25">
      <c r="A1334" t="str">
        <f>"20190303154121989"</f>
        <v>20190303154121989</v>
      </c>
      <c r="B1334" t="str">
        <f>"1551598881980797"</f>
        <v>1551598881980797</v>
      </c>
      <c r="C1334" t="s">
        <v>40</v>
      </c>
      <c r="D1334">
        <v>5.9492250000000002</v>
      </c>
      <c r="E1334">
        <v>0.51395570000000002</v>
      </c>
      <c r="F1334" t="s">
        <v>42</v>
      </c>
      <c r="G1334">
        <v>-252.07929999999999</v>
      </c>
      <c r="H1334">
        <v>1.039601</v>
      </c>
      <c r="I1334">
        <v>367.62889999999999</v>
      </c>
      <c r="J1334">
        <v>-252.66050000000001</v>
      </c>
      <c r="K1334">
        <v>1.1211690000000001</v>
      </c>
      <c r="L1334">
        <v>367.66640000000001</v>
      </c>
      <c r="M1334">
        <v>0.99985380000000001</v>
      </c>
      <c r="N1334">
        <v>-1.5031950000000001E-2</v>
      </c>
      <c r="O1334">
        <v>8.1450289999999998E-3</v>
      </c>
      <c r="P1334">
        <v>0.99455450000000001</v>
      </c>
      <c r="Q1334">
        <v>-0.1033622</v>
      </c>
      <c r="R1334">
        <v>-1.334668E-2</v>
      </c>
      <c r="S1334">
        <v>2.9854889999999998</v>
      </c>
      <c r="T1334">
        <v>-0.28226519999999999</v>
      </c>
      <c r="U1334">
        <v>-0.1208496</v>
      </c>
      <c r="V1334">
        <v>2.1462080000000001E-2</v>
      </c>
      <c r="W1334">
        <v>-8.8399050000000007E-2</v>
      </c>
      <c r="X1334">
        <v>0.99585389999999996</v>
      </c>
      <c r="Y1334">
        <v>4.8308669999999998E-2</v>
      </c>
      <c r="Z1334">
        <v>-3.287791E-3</v>
      </c>
      <c r="AA1334">
        <v>0.99882700000000002</v>
      </c>
      <c r="AB1334">
        <v>27</v>
      </c>
      <c r="AC1334">
        <v>0.58120000000002303</v>
      </c>
      <c r="AD1334">
        <v>-8.1568000000000002E-2</v>
      </c>
      <c r="AE1334">
        <v>-3.7500000000022703E-2</v>
      </c>
      <c r="AF1334">
        <v>4.1420722024812402E-2</v>
      </c>
      <c r="AG1334">
        <v>-8.1568000000000002E-2</v>
      </c>
      <c r="AH1334">
        <v>0.56970067101403199</v>
      </c>
      <c r="AI1334">
        <v>98.126894124292406</v>
      </c>
      <c r="AJ1334">
        <v>85.8415636262242</v>
      </c>
      <c r="AK1334">
        <v>0.57699902026857497</v>
      </c>
      <c r="AL1334">
        <v>95.071512284363493</v>
      </c>
      <c r="AM1334">
        <v>88.765384887524903</v>
      </c>
      <c r="AN1334">
        <v>1.0000000015320101</v>
      </c>
    </row>
    <row r="1335" spans="1:40" x14ac:dyDescent="0.25">
      <c r="A1335" t="str">
        <f>"20190303154122010"</f>
        <v>20190303154122010</v>
      </c>
      <c r="B1335" t="str">
        <f>"1551598882000318"</f>
        <v>1551598882000318</v>
      </c>
      <c r="C1335" t="s">
        <v>40</v>
      </c>
      <c r="D1335">
        <v>5.9376920000000002</v>
      </c>
      <c r="E1335">
        <v>0.51533969999999996</v>
      </c>
      <c r="F1335" t="s">
        <v>41</v>
      </c>
      <c r="G1335">
        <v>-236.7852</v>
      </c>
      <c r="H1335" s="1">
        <v>-1.8493429999999999E-6</v>
      </c>
      <c r="I1335">
        <v>366.86599999999999</v>
      </c>
      <c r="J1335">
        <v>-252.4068</v>
      </c>
      <c r="K1335">
        <v>1.121167</v>
      </c>
      <c r="L1335">
        <v>367.66860000000003</v>
      </c>
      <c r="M1335">
        <v>0.99985329999999994</v>
      </c>
      <c r="N1335">
        <v>-1.5029229999999999E-2</v>
      </c>
      <c r="O1335">
        <v>8.2496449999999999E-3</v>
      </c>
      <c r="P1335">
        <v>0.99455819999999995</v>
      </c>
      <c r="Q1335">
        <v>-0.10344689999999999</v>
      </c>
      <c r="R1335">
        <v>-1.237774E-2</v>
      </c>
      <c r="S1335">
        <v>2.992416</v>
      </c>
      <c r="T1335">
        <v>-0.2113343</v>
      </c>
      <c r="U1335">
        <v>-0.15087890000000001</v>
      </c>
      <c r="V1335">
        <v>2.0597310000000001E-2</v>
      </c>
      <c r="W1335">
        <v>-8.8486430000000005E-2</v>
      </c>
      <c r="X1335">
        <v>0.99586439999999998</v>
      </c>
      <c r="Y1335">
        <v>5.8405999999999902E-2</v>
      </c>
      <c r="Z1335">
        <v>-2.9561700000000002E-3</v>
      </c>
      <c r="AA1335">
        <v>0.99828850000000002</v>
      </c>
      <c r="AB1335">
        <v>27</v>
      </c>
      <c r="AC1335">
        <v>15.621600000000001</v>
      </c>
      <c r="AD1335">
        <v>-1.1211688493430001</v>
      </c>
      <c r="AE1335">
        <v>-0.80260000000003995</v>
      </c>
      <c r="AF1335">
        <v>0.92669900422525597</v>
      </c>
      <c r="AG1335">
        <v>-1.1211688493430001</v>
      </c>
      <c r="AH1335">
        <v>15.534638225538799</v>
      </c>
      <c r="AI1335">
        <v>94.120704329639693</v>
      </c>
      <c r="AJ1335">
        <v>86.586139093219501</v>
      </c>
      <c r="AK1335">
        <v>15.6025887413448</v>
      </c>
      <c r="AL1335">
        <v>95.076538492051398</v>
      </c>
      <c r="AM1335">
        <v>88.815129152612499</v>
      </c>
      <c r="AN1335">
        <v>1.00000000033037</v>
      </c>
    </row>
    <row r="1336" spans="1:40" x14ac:dyDescent="0.25">
      <c r="A1336" t="str">
        <f>"20190303154122031"</f>
        <v>20190303154122031</v>
      </c>
      <c r="B1336" t="str">
        <f>"1551598882020814"</f>
        <v>1551598882020814</v>
      </c>
      <c r="C1336" t="s">
        <v>40</v>
      </c>
      <c r="D1336">
        <v>5.9444359999999996</v>
      </c>
      <c r="E1336">
        <v>0.51643709999999998</v>
      </c>
      <c r="F1336" t="s">
        <v>41</v>
      </c>
      <c r="G1336">
        <v>-234.26840000000001</v>
      </c>
      <c r="H1336" s="1">
        <v>-2.9570269999999999E-6</v>
      </c>
      <c r="I1336">
        <v>366.7081</v>
      </c>
      <c r="J1336">
        <v>-252.1491</v>
      </c>
      <c r="K1336">
        <v>1.1211629999999999</v>
      </c>
      <c r="L1336">
        <v>367.67090000000002</v>
      </c>
      <c r="M1336">
        <v>0.99985230000000003</v>
      </c>
      <c r="N1336">
        <v>-1.5026070000000001E-2</v>
      </c>
      <c r="O1336">
        <v>8.3564069999999997E-3</v>
      </c>
      <c r="P1336">
        <v>0.99455579999999999</v>
      </c>
      <c r="Q1336">
        <v>-0.1035322</v>
      </c>
      <c r="R1336">
        <v>-1.184136E-2</v>
      </c>
      <c r="S1336">
        <v>2.995193</v>
      </c>
      <c r="T1336">
        <v>-0.18513789999999999</v>
      </c>
      <c r="U1336">
        <v>-0.15859989999999999</v>
      </c>
      <c r="V1336">
        <v>2.0166989999999999E-2</v>
      </c>
      <c r="W1336">
        <v>-8.8575070000000006E-2</v>
      </c>
      <c r="X1336">
        <v>0.99586529999999995</v>
      </c>
      <c r="Y1336">
        <v>6.106748E-2</v>
      </c>
      <c r="Z1336">
        <v>-2.7342249999999998E-3</v>
      </c>
      <c r="AA1336">
        <v>0.99812990000000001</v>
      </c>
      <c r="AB1336">
        <v>26</v>
      </c>
      <c r="AC1336">
        <v>17.880699999999901</v>
      </c>
      <c r="AD1336">
        <v>-1.1211659570269901</v>
      </c>
      <c r="AE1336">
        <v>-0.96280000000001498</v>
      </c>
      <c r="AF1336">
        <v>1.10785855692847</v>
      </c>
      <c r="AG1336">
        <v>-1.1211659570269901</v>
      </c>
      <c r="AH1336">
        <v>17.802239916665201</v>
      </c>
      <c r="AI1336">
        <v>93.596727681863499</v>
      </c>
      <c r="AJ1336">
        <v>86.438994863908505</v>
      </c>
      <c r="AK1336">
        <v>17.871880419694602</v>
      </c>
      <c r="AL1336">
        <v>95.081637348947297</v>
      </c>
      <c r="AM1336">
        <v>88.839877742546804</v>
      </c>
      <c r="AN1336">
        <v>0.99999997312762701</v>
      </c>
    </row>
    <row r="1337" spans="1:40" x14ac:dyDescent="0.25">
      <c r="A1337" t="str">
        <f>"20190303154122053"</f>
        <v>20190303154122053</v>
      </c>
      <c r="B1337" t="str">
        <f>"1551598882050094"</f>
        <v>1551598882050094</v>
      </c>
      <c r="C1337" t="s">
        <v>40</v>
      </c>
      <c r="D1337">
        <v>5.9399949999999997</v>
      </c>
      <c r="E1337">
        <v>0.51758420000000005</v>
      </c>
      <c r="F1337" t="s">
        <v>41</v>
      </c>
      <c r="G1337">
        <v>-232.82339999999999</v>
      </c>
      <c r="H1337" s="1">
        <v>-3.5957769999999999E-6</v>
      </c>
      <c r="I1337">
        <v>366.60180000000003</v>
      </c>
      <c r="J1337">
        <v>-251.88740000000001</v>
      </c>
      <c r="K1337">
        <v>1.121164</v>
      </c>
      <c r="L1337">
        <v>367.67320000000001</v>
      </c>
      <c r="M1337">
        <v>0.9998513</v>
      </c>
      <c r="N1337">
        <v>-1.502243E-2</v>
      </c>
      <c r="O1337">
        <v>8.4650809999999993E-3</v>
      </c>
      <c r="P1337">
        <v>0.99449120000000002</v>
      </c>
      <c r="Q1337">
        <v>-0.1041807</v>
      </c>
      <c r="R1337">
        <v>-1.1560539999999999E-2</v>
      </c>
      <c r="S1337">
        <v>2.9963679999999999</v>
      </c>
      <c r="T1337">
        <v>-0.17383129999999999</v>
      </c>
      <c r="U1337">
        <v>-0.165741</v>
      </c>
      <c r="V1337">
        <v>1.999389E-2</v>
      </c>
      <c r="W1337">
        <v>-8.9228059999999998E-2</v>
      </c>
      <c r="X1337">
        <v>0.99581050000000004</v>
      </c>
      <c r="Y1337">
        <v>6.3538639999999993E-2</v>
      </c>
      <c r="Z1337">
        <v>-2.6816029999999999E-3</v>
      </c>
      <c r="AA1337">
        <v>0.99797579999999997</v>
      </c>
      <c r="AB1337">
        <v>26</v>
      </c>
      <c r="AC1337">
        <v>19.064</v>
      </c>
      <c r="AD1337">
        <v>-1.121167595777</v>
      </c>
      <c r="AE1337">
        <v>-1.0713999999999799</v>
      </c>
      <c r="AF1337">
        <v>1.2285224107900701</v>
      </c>
      <c r="AG1337">
        <v>-1.121167595777</v>
      </c>
      <c r="AH1337">
        <v>18.988776565276702</v>
      </c>
      <c r="AI1337">
        <v>93.371998287762395</v>
      </c>
      <c r="AJ1337">
        <v>86.298277320085006</v>
      </c>
      <c r="AK1337">
        <v>19.0614773702784</v>
      </c>
      <c r="AL1337">
        <v>95.119199632291597</v>
      </c>
      <c r="AM1337">
        <v>88.849769494911598</v>
      </c>
      <c r="AN1337">
        <v>0.99999997711947197</v>
      </c>
    </row>
    <row r="1338" spans="1:40" x14ac:dyDescent="0.25">
      <c r="A1338" t="str">
        <f>"20190303154122075"</f>
        <v>20190303154122075</v>
      </c>
      <c r="B1338" t="str">
        <f>"1551598882070593"</f>
        <v>1551598882070593</v>
      </c>
      <c r="C1338" t="s">
        <v>40</v>
      </c>
      <c r="D1338">
        <v>5.9236149999999999</v>
      </c>
      <c r="E1338">
        <v>0.51805559999999995</v>
      </c>
      <c r="F1338" t="s">
        <v>41</v>
      </c>
      <c r="G1338">
        <v>-232.1447</v>
      </c>
      <c r="H1338" s="1">
        <v>-3.9003289999999999E-6</v>
      </c>
      <c r="I1338">
        <v>366.5265</v>
      </c>
      <c r="J1338">
        <v>-251.62710000000001</v>
      </c>
      <c r="K1338">
        <v>1.1211660000000001</v>
      </c>
      <c r="L1338">
        <v>367.6755</v>
      </c>
      <c r="M1338">
        <v>0.99985060000000003</v>
      </c>
      <c r="N1338">
        <v>-1.501853E-2</v>
      </c>
      <c r="O1338">
        <v>8.5716709999999995E-3</v>
      </c>
      <c r="P1338">
        <v>0.99444469999999996</v>
      </c>
      <c r="Q1338">
        <v>-0.10463790000000001</v>
      </c>
      <c r="R1338">
        <v>-1.1448730000000001E-2</v>
      </c>
      <c r="S1338">
        <v>2.9967800000000002</v>
      </c>
      <c r="T1338">
        <v>-0.17018269999999999</v>
      </c>
      <c r="U1338">
        <v>-0.17404169999999999</v>
      </c>
      <c r="V1338">
        <v>1.9987520000000002E-2</v>
      </c>
      <c r="W1338">
        <v>-8.9689850000000002E-2</v>
      </c>
      <c r="X1338">
        <v>0.99576909999999996</v>
      </c>
      <c r="Y1338">
        <v>6.6392240000000005E-2</v>
      </c>
      <c r="Z1338">
        <v>-2.7390180000000002E-3</v>
      </c>
      <c r="AA1338">
        <v>0.99778990000000001</v>
      </c>
      <c r="AB1338">
        <v>26</v>
      </c>
      <c r="AC1338">
        <v>19.482399999999998</v>
      </c>
      <c r="AD1338">
        <v>-1.1211699003290001</v>
      </c>
      <c r="AE1338">
        <v>-1.149</v>
      </c>
      <c r="AF1338">
        <v>1.3116445315516501</v>
      </c>
      <c r="AG1338">
        <v>-1.1211699003290001</v>
      </c>
      <c r="AH1338">
        <v>19.407783142409901</v>
      </c>
      <c r="AI1338">
        <v>93.298741877997102</v>
      </c>
      <c r="AJ1338">
        <v>86.133634175454304</v>
      </c>
      <c r="AK1338">
        <v>19.484339347931801</v>
      </c>
      <c r="AL1338">
        <v>95.145764979413201</v>
      </c>
      <c r="AM1338">
        <v>88.850088063071496</v>
      </c>
      <c r="AN1338">
        <v>0.99999993533178899</v>
      </c>
    </row>
    <row r="1339" spans="1:40" x14ac:dyDescent="0.25">
      <c r="A1339" t="str">
        <f>"20190303154122098"</f>
        <v>20190303154122098</v>
      </c>
      <c r="B1339" t="str">
        <f>"1551598882090109"</f>
        <v>1551598882090109</v>
      </c>
      <c r="C1339" t="s">
        <v>40</v>
      </c>
      <c r="D1339">
        <v>5.9012779999999996</v>
      </c>
      <c r="E1339">
        <v>0.51846550000000002</v>
      </c>
      <c r="F1339" t="s">
        <v>41</v>
      </c>
      <c r="G1339">
        <v>-231.83760000000001</v>
      </c>
      <c r="H1339" s="1">
        <v>-4.0360139999999999E-6</v>
      </c>
      <c r="I1339">
        <v>366.50420000000003</v>
      </c>
      <c r="J1339">
        <v>-251.3656</v>
      </c>
      <c r="K1339">
        <v>1.1211679999999999</v>
      </c>
      <c r="L1339">
        <v>367.67779999999999</v>
      </c>
      <c r="M1339">
        <v>0.99984969999999995</v>
      </c>
      <c r="N1339">
        <v>-1.5014309999999999E-2</v>
      </c>
      <c r="O1339">
        <v>8.6782449999999994E-3</v>
      </c>
      <c r="P1339">
        <v>0.99443440000000005</v>
      </c>
      <c r="Q1339">
        <v>-0.10471560000000001</v>
      </c>
      <c r="R1339">
        <v>-1.16285E-2</v>
      </c>
      <c r="S1339">
        <v>2.9968720000000002</v>
      </c>
      <c r="T1339">
        <v>-0.169786299999999</v>
      </c>
      <c r="U1339">
        <v>-0.1773682</v>
      </c>
      <c r="V1339">
        <v>2.0272999999999999E-2</v>
      </c>
      <c r="W1339">
        <v>-8.9771980000000001E-2</v>
      </c>
      <c r="X1339">
        <v>0.99575599999999997</v>
      </c>
      <c r="Y1339">
        <v>6.7598599999999995E-2</v>
      </c>
      <c r="Z1339">
        <v>-2.7808970000000001E-3</v>
      </c>
      <c r="AA1339">
        <v>0.9977087</v>
      </c>
      <c r="AB1339">
        <v>26</v>
      </c>
      <c r="AC1339">
        <v>19.527999999999899</v>
      </c>
      <c r="AD1339">
        <v>-1.1211720360139901</v>
      </c>
      <c r="AE1339">
        <v>-1.17359999999996</v>
      </c>
      <c r="AF1339">
        <v>1.3386469308585001</v>
      </c>
      <c r="AG1339">
        <v>-1.1211720360139901</v>
      </c>
      <c r="AH1339">
        <v>19.4531854411224</v>
      </c>
      <c r="AI1339">
        <v>93.290791806182597</v>
      </c>
      <c r="AJ1339">
        <v>86.063467467080699</v>
      </c>
      <c r="AK1339">
        <v>19.5313959088062</v>
      </c>
      <c r="AL1339">
        <v>95.1504893702636</v>
      </c>
      <c r="AM1339">
        <v>88.833653136530401</v>
      </c>
      <c r="AN1339">
        <v>1.00000000722906</v>
      </c>
    </row>
    <row r="1340" spans="1:40" x14ac:dyDescent="0.25">
      <c r="A1340" t="str">
        <f>"20190303154122120"</f>
        <v>20190303154122120</v>
      </c>
      <c r="B1340" t="str">
        <f>"1551598882110606"</f>
        <v>1551598882110606</v>
      </c>
      <c r="C1340" t="s">
        <v>40</v>
      </c>
      <c r="D1340">
        <v>5.8839379999999997</v>
      </c>
      <c r="E1340">
        <v>0.51891889999999996</v>
      </c>
      <c r="F1340" t="s">
        <v>41</v>
      </c>
      <c r="G1340">
        <v>-231.36099999999999</v>
      </c>
      <c r="H1340" s="1">
        <v>-4.2472380000000004E-6</v>
      </c>
      <c r="I1340">
        <v>366.46620000000001</v>
      </c>
      <c r="J1340">
        <v>-251.1018</v>
      </c>
      <c r="K1340">
        <v>1.1211580000000001</v>
      </c>
      <c r="L1340">
        <v>367.68020000000001</v>
      </c>
      <c r="M1340">
        <v>0.99984890000000004</v>
      </c>
      <c r="N1340">
        <v>-1.50097999999999E-2</v>
      </c>
      <c r="O1340">
        <v>8.7819479999999995E-3</v>
      </c>
      <c r="P1340">
        <v>0.99446290000000004</v>
      </c>
      <c r="Q1340">
        <v>-0.1044503</v>
      </c>
      <c r="R1340">
        <v>-1.1573119999999999E-2</v>
      </c>
      <c r="S1340">
        <v>2.9969790000000001</v>
      </c>
      <c r="T1340">
        <v>-0.1679668</v>
      </c>
      <c r="U1340">
        <v>-0.1815186</v>
      </c>
      <c r="V1340">
        <v>2.0320560000000001E-2</v>
      </c>
      <c r="W1340">
        <v>-8.9510889999999996E-2</v>
      </c>
      <c r="X1340">
        <v>0.99577850000000001</v>
      </c>
      <c r="Y1340">
        <v>6.9076490000000004E-2</v>
      </c>
      <c r="Z1340">
        <v>-2.8116159999999999E-3</v>
      </c>
      <c r="AA1340">
        <v>0.99760740000000003</v>
      </c>
      <c r="AB1340">
        <v>26</v>
      </c>
      <c r="AC1340">
        <v>19.7408</v>
      </c>
      <c r="AD1340">
        <v>-1.1211622472380001</v>
      </c>
      <c r="AE1340">
        <v>-1.21399999999999</v>
      </c>
      <c r="AF1340">
        <v>1.3828915481498001</v>
      </c>
      <c r="AG1340">
        <v>-1.1211622472380001</v>
      </c>
      <c r="AH1340">
        <v>19.666180315305599</v>
      </c>
      <c r="AI1340">
        <v>93.254861232626695</v>
      </c>
      <c r="AJ1340">
        <v>85.977681517112003</v>
      </c>
      <c r="AK1340">
        <v>19.7465957069235</v>
      </c>
      <c r="AL1340">
        <v>95.135469724145693</v>
      </c>
      <c r="AM1340">
        <v>88.830944080183301</v>
      </c>
      <c r="AN1340">
        <v>0.99999997282477704</v>
      </c>
    </row>
    <row r="1341" spans="1:40" x14ac:dyDescent="0.25">
      <c r="A1341" t="str">
        <f>"20190303154122142"</f>
        <v>20190303154122142</v>
      </c>
      <c r="B1341" t="str">
        <f>"1551598882130126"</f>
        <v>1551598882130126</v>
      </c>
      <c r="C1341" t="s">
        <v>40</v>
      </c>
      <c r="D1341">
        <v>5.8427569999999998</v>
      </c>
      <c r="E1341">
        <v>0.51933999999999902</v>
      </c>
      <c r="F1341" t="s">
        <v>41</v>
      </c>
      <c r="G1341">
        <v>-230.86959999999999</v>
      </c>
      <c r="H1341" s="1">
        <v>-4.4638780000000004E-6</v>
      </c>
      <c r="I1341">
        <v>366.4332</v>
      </c>
      <c r="J1341">
        <v>-250.846</v>
      </c>
      <c r="K1341">
        <v>1.1211629999999999</v>
      </c>
      <c r="L1341">
        <v>367.68259999999998</v>
      </c>
      <c r="M1341">
        <v>0.99984799999999996</v>
      </c>
      <c r="N1341">
        <v>-1.5005330000000001E-2</v>
      </c>
      <c r="O1341">
        <v>8.8803270000000004E-3</v>
      </c>
      <c r="P1341">
        <v>0.99451199999999995</v>
      </c>
      <c r="Q1341">
        <v>-0.1039693</v>
      </c>
      <c r="R1341">
        <v>-1.168844E-2</v>
      </c>
      <c r="S1341">
        <v>2.997131</v>
      </c>
      <c r="T1341">
        <v>-0.16608419999999999</v>
      </c>
      <c r="U1341">
        <v>-0.1847229</v>
      </c>
      <c r="V1341">
        <v>2.0533160000000002E-2</v>
      </c>
      <c r="W1341">
        <v>-8.9033829999999994E-2</v>
      </c>
      <c r="X1341">
        <v>0.9958169</v>
      </c>
      <c r="Y1341">
        <v>7.0234809999999995E-2</v>
      </c>
      <c r="Z1341">
        <v>-2.828901E-3</v>
      </c>
      <c r="AA1341">
        <v>0.99752649999999998</v>
      </c>
      <c r="AB1341">
        <v>26</v>
      </c>
      <c r="AC1341">
        <v>19.976399999999899</v>
      </c>
      <c r="AD1341">
        <v>-1.12116746387799</v>
      </c>
      <c r="AE1341">
        <v>-1.2493999999999801</v>
      </c>
      <c r="AF1341">
        <v>1.4223048974087</v>
      </c>
      <c r="AG1341">
        <v>-1.12116746387799</v>
      </c>
      <c r="AH1341">
        <v>19.902069144598499</v>
      </c>
      <c r="AI1341">
        <v>93.216119826665505</v>
      </c>
      <c r="AJ1341">
        <v>85.912296517604901</v>
      </c>
      <c r="AK1341">
        <v>19.984301937761899</v>
      </c>
      <c r="AL1341">
        <v>95.108026660459799</v>
      </c>
      <c r="AM1341">
        <v>88.818762041380296</v>
      </c>
      <c r="AN1341">
        <v>0.99999996593483098</v>
      </c>
    </row>
    <row r="1342" spans="1:40" x14ac:dyDescent="0.25">
      <c r="A1342" t="str">
        <f>"20190303154122165"</f>
        <v>20190303154122165</v>
      </c>
      <c r="B1342" t="str">
        <f>"1551598882160381"</f>
        <v>1551598882160381</v>
      </c>
      <c r="C1342" t="s">
        <v>40</v>
      </c>
      <c r="D1342">
        <v>5.8437720000000004</v>
      </c>
      <c r="E1342">
        <v>0.51984659999999905</v>
      </c>
      <c r="F1342" t="s">
        <v>41</v>
      </c>
      <c r="G1342">
        <v>-230.22559999999999</v>
      </c>
      <c r="H1342" s="1">
        <v>-4.7486410000000002E-6</v>
      </c>
      <c r="I1342">
        <v>366.38529999999997</v>
      </c>
      <c r="J1342">
        <v>-250.57980000000001</v>
      </c>
      <c r="K1342">
        <v>1.1211660000000001</v>
      </c>
      <c r="L1342">
        <v>367.68509999999998</v>
      </c>
      <c r="M1342">
        <v>0.99984720000000005</v>
      </c>
      <c r="N1342">
        <v>-1.5000319999999999E-2</v>
      </c>
      <c r="O1342">
        <v>8.9770830000000003E-3</v>
      </c>
      <c r="P1342">
        <v>0.9944731</v>
      </c>
      <c r="Q1342">
        <v>-0.1043654</v>
      </c>
      <c r="R1342">
        <v>-1.1456050000000001E-2</v>
      </c>
      <c r="S1342">
        <v>2.9972989999999999</v>
      </c>
      <c r="T1342">
        <v>-0.1629678</v>
      </c>
      <c r="U1342">
        <v>-0.18856809999999999</v>
      </c>
      <c r="V1342">
        <v>2.0395949999999999E-2</v>
      </c>
      <c r="W1342">
        <v>-8.9435619999999993E-2</v>
      </c>
      <c r="X1342">
        <v>0.99578370000000005</v>
      </c>
      <c r="Y1342">
        <v>7.1604890000000004E-2</v>
      </c>
      <c r="Z1342">
        <v>-2.834226E-3</v>
      </c>
      <c r="AA1342">
        <v>0.99742909999999996</v>
      </c>
      <c r="AB1342">
        <v>26</v>
      </c>
      <c r="AC1342">
        <v>20.354199999999999</v>
      </c>
      <c r="AD1342">
        <v>-1.1211707486410001</v>
      </c>
      <c r="AE1342">
        <v>-1.2998000000000001</v>
      </c>
      <c r="AF1342">
        <v>1.47802320040416</v>
      </c>
      <c r="AG1342">
        <v>-1.1211707486410001</v>
      </c>
      <c r="AH1342">
        <v>20.2804262072355</v>
      </c>
      <c r="AI1342">
        <v>93.155930927662993</v>
      </c>
      <c r="AJ1342">
        <v>85.831693293779196</v>
      </c>
      <c r="AK1342">
        <v>20.3650991545748</v>
      </c>
      <c r="AL1342">
        <v>95.131139816029403</v>
      </c>
      <c r="AM1342">
        <v>88.826614177305999</v>
      </c>
      <c r="AN1342">
        <v>0.99999995104343697</v>
      </c>
    </row>
    <row r="1343" spans="1:40" x14ac:dyDescent="0.25">
      <c r="A1343" t="str">
        <f>"20190303154122188"</f>
        <v>20190303154122188</v>
      </c>
      <c r="B1343" t="str">
        <f>"1551598882180878"</f>
        <v>1551598882180878</v>
      </c>
      <c r="C1343" t="s">
        <v>40</v>
      </c>
      <c r="D1343">
        <v>5.9949680000000001</v>
      </c>
      <c r="E1343">
        <v>0.5192175</v>
      </c>
      <c r="F1343" t="s">
        <v>41</v>
      </c>
      <c r="G1343">
        <v>-229.6814</v>
      </c>
      <c r="H1343" s="1">
        <v>-9.6415740000000007E-7</v>
      </c>
      <c r="I1343">
        <v>366.34780000000001</v>
      </c>
      <c r="J1343">
        <v>-250.3083</v>
      </c>
      <c r="K1343">
        <v>1.121157</v>
      </c>
      <c r="L1343">
        <v>367.68759999999997</v>
      </c>
      <c r="M1343">
        <v>0.99984660000000003</v>
      </c>
      <c r="N1343">
        <v>-1.499487E-2</v>
      </c>
      <c r="O1343">
        <v>9.070013E-3</v>
      </c>
      <c r="P1343">
        <v>0.99447750000000001</v>
      </c>
      <c r="Q1343">
        <v>-0.1043217</v>
      </c>
      <c r="R1343">
        <v>-1.1481109999999999E-2</v>
      </c>
      <c r="S1343">
        <v>2.9975740000000002</v>
      </c>
      <c r="T1343">
        <v>-0.16081509999999999</v>
      </c>
      <c r="U1343">
        <v>-0.191803</v>
      </c>
      <c r="V1343">
        <v>2.0512510000000001E-2</v>
      </c>
      <c r="W1343">
        <v>-8.9397630000000006E-2</v>
      </c>
      <c r="X1343">
        <v>0.99578480000000003</v>
      </c>
      <c r="Y1343">
        <v>7.2765140000000006E-2</v>
      </c>
      <c r="Z1343">
        <v>-2.8451000000000001E-3</v>
      </c>
      <c r="AA1343">
        <v>0.99734500000000004</v>
      </c>
      <c r="AB1343">
        <v>26</v>
      </c>
      <c r="AC1343">
        <v>20.626899999999999</v>
      </c>
      <c r="AD1343">
        <v>-1.1211579641574001</v>
      </c>
      <c r="AE1343">
        <v>-1.3397999999999599</v>
      </c>
      <c r="AF1343">
        <v>1.52237336677264</v>
      </c>
      <c r="AG1343">
        <v>-1.1211579641574001</v>
      </c>
      <c r="AH1343">
        <v>20.553430549748899</v>
      </c>
      <c r="AI1343">
        <v>93.113789156537706</v>
      </c>
      <c r="AJ1343">
        <v>85.763890679684195</v>
      </c>
      <c r="AK1343">
        <v>20.640206472121399</v>
      </c>
      <c r="AL1343">
        <v>95.128953970507993</v>
      </c>
      <c r="AM1343">
        <v>88.819911635657604</v>
      </c>
      <c r="AN1343">
        <v>1.0000000336135699</v>
      </c>
    </row>
    <row r="1344" spans="1:40" x14ac:dyDescent="0.25">
      <c r="A1344" t="str">
        <f>"20190303154122211"</f>
        <v>20190303154122211</v>
      </c>
      <c r="B1344" t="str">
        <f>"1551598882200398"</f>
        <v>1551598882200398</v>
      </c>
      <c r="C1344" t="s">
        <v>40</v>
      </c>
      <c r="D1344">
        <v>5.9464439999999996</v>
      </c>
      <c r="E1344">
        <v>0.51864589999999999</v>
      </c>
      <c r="F1344" t="s">
        <v>41</v>
      </c>
      <c r="G1344">
        <v>-230.6463</v>
      </c>
      <c r="H1344" s="1">
        <v>-4.5551020000000003E-6</v>
      </c>
      <c r="I1344">
        <v>366.45909999999998</v>
      </c>
      <c r="J1344">
        <v>-250.04929999999999</v>
      </c>
      <c r="K1344">
        <v>1.1211549999999999</v>
      </c>
      <c r="L1344">
        <v>367.69</v>
      </c>
      <c r="M1344">
        <v>0.99984569999999995</v>
      </c>
      <c r="N1344">
        <v>-1.49894E-2</v>
      </c>
      <c r="O1344">
        <v>9.151312E-3</v>
      </c>
      <c r="P1344">
        <v>0.994506</v>
      </c>
      <c r="Q1344">
        <v>-0.1040744</v>
      </c>
      <c r="R1344">
        <v>-1.1230469999999999E-2</v>
      </c>
      <c r="S1344">
        <v>2.9965820000000001</v>
      </c>
      <c r="T1344">
        <v>-0.17086899999999999</v>
      </c>
      <c r="U1344">
        <v>-0.18722530000000001</v>
      </c>
      <c r="V1344">
        <v>2.0341740000000001E-2</v>
      </c>
      <c r="W1344">
        <v>-8.9155579999999998E-2</v>
      </c>
      <c r="X1344">
        <v>0.99580999999999997</v>
      </c>
      <c r="Y1344">
        <v>7.1335979999999993E-2</v>
      </c>
      <c r="Z1344">
        <v>-2.9499140000000001E-3</v>
      </c>
      <c r="AA1344">
        <v>0.997448</v>
      </c>
      <c r="AB1344">
        <v>26</v>
      </c>
      <c r="AC1344">
        <v>19.402999999999899</v>
      </c>
      <c r="AD1344">
        <v>-1.1211595551019999</v>
      </c>
      <c r="AE1344">
        <v>-1.2309000000000101</v>
      </c>
      <c r="AF1344">
        <v>1.40376314680696</v>
      </c>
      <c r="AG1344">
        <v>-1.1211595551019999</v>
      </c>
      <c r="AH1344">
        <v>19.326651554168802</v>
      </c>
      <c r="AI1344">
        <v>93.311364162873701</v>
      </c>
      <c r="AJ1344">
        <v>85.845699892920294</v>
      </c>
      <c r="AK1344">
        <v>19.409971922096801</v>
      </c>
      <c r="AL1344">
        <v>95.115029945723805</v>
      </c>
      <c r="AM1344">
        <v>88.829762927221097</v>
      </c>
      <c r="AN1344">
        <v>1.0000000299656799</v>
      </c>
    </row>
    <row r="1345" spans="1:40" x14ac:dyDescent="0.25">
      <c r="A1345" t="str">
        <f>"20190303154122233"</f>
        <v>20190303154122233</v>
      </c>
      <c r="B1345" t="str">
        <f>"1551598882220894"</f>
        <v>1551598882220894</v>
      </c>
      <c r="C1345" t="s">
        <v>40</v>
      </c>
      <c r="D1345">
        <v>5.9619669999999996</v>
      </c>
      <c r="E1345">
        <v>0.51825329999999903</v>
      </c>
      <c r="F1345" t="s">
        <v>41</v>
      </c>
      <c r="G1345">
        <v>-231.2612</v>
      </c>
      <c r="H1345" s="1">
        <v>-4.2753450000000001E-6</v>
      </c>
      <c r="I1345">
        <v>366.54910000000001</v>
      </c>
      <c r="J1345">
        <v>-249.79650000000001</v>
      </c>
      <c r="K1345">
        <v>1.121151</v>
      </c>
      <c r="L1345">
        <v>367.69240000000002</v>
      </c>
      <c r="M1345">
        <v>0.99984510000000004</v>
      </c>
      <c r="N1345">
        <v>-1.498391E-2</v>
      </c>
      <c r="O1345">
        <v>9.2232459999999992E-3</v>
      </c>
      <c r="P1345">
        <v>0.99449330000000002</v>
      </c>
      <c r="Q1345">
        <v>-0.1041917</v>
      </c>
      <c r="R1345">
        <v>-1.126986E-2</v>
      </c>
      <c r="S1345">
        <v>2.9957889999999998</v>
      </c>
      <c r="T1345">
        <v>-0.17876889999999901</v>
      </c>
      <c r="U1345">
        <v>-0.1819153</v>
      </c>
      <c r="V1345">
        <v>2.0451339999999998E-2</v>
      </c>
      <c r="W1345">
        <v>-8.9278860000000002E-2</v>
      </c>
      <c r="X1345">
        <v>0.99579669999999998</v>
      </c>
      <c r="Y1345">
        <v>6.9652989999999998E-2</v>
      </c>
      <c r="Z1345">
        <v>-3.0088279999999998E-3</v>
      </c>
      <c r="AA1345">
        <v>0.99756679999999998</v>
      </c>
      <c r="AB1345">
        <v>26</v>
      </c>
      <c r="AC1345">
        <v>18.535299999999999</v>
      </c>
      <c r="AD1345">
        <v>-1.121155275345</v>
      </c>
      <c r="AE1345">
        <v>-1.14330000000001</v>
      </c>
      <c r="AF1345">
        <v>1.30945340248224</v>
      </c>
      <c r="AG1345">
        <v>-1.121155275345</v>
      </c>
      <c r="AH1345">
        <v>18.456692896837499</v>
      </c>
      <c r="AI1345">
        <v>93.467476900261502</v>
      </c>
      <c r="AJ1345">
        <v>85.941816303016097</v>
      </c>
      <c r="AK1345">
        <v>18.5370216068514</v>
      </c>
      <c r="AL1345">
        <v>95.122121701048997</v>
      </c>
      <c r="AM1345">
        <v>88.823443822309599</v>
      </c>
      <c r="AN1345">
        <v>1.0000000199407899</v>
      </c>
    </row>
    <row r="1346" spans="1:40" x14ac:dyDescent="0.25">
      <c r="A1346" t="str">
        <f>"20190303154122255"</f>
        <v>20190303154122255</v>
      </c>
      <c r="B1346" t="str">
        <f>"1551598882250174"</f>
        <v>1551598882250174</v>
      </c>
      <c r="C1346" t="s">
        <v>40</v>
      </c>
      <c r="D1346">
        <v>5.9273480000000003</v>
      </c>
      <c r="E1346">
        <v>0.51788350000000005</v>
      </c>
      <c r="F1346" t="s">
        <v>41</v>
      </c>
      <c r="G1346">
        <v>-231.82769999999999</v>
      </c>
      <c r="H1346" s="1">
        <v>-4.0197230000000002E-6</v>
      </c>
      <c r="I1346">
        <v>366.62</v>
      </c>
      <c r="J1346">
        <v>-249.54159999999999</v>
      </c>
      <c r="K1346">
        <v>1.121148</v>
      </c>
      <c r="L1346">
        <v>367.69490000000002</v>
      </c>
      <c r="M1346">
        <v>0.99984479999999998</v>
      </c>
      <c r="N1346">
        <v>-1.497828E-2</v>
      </c>
      <c r="O1346">
        <v>9.2881430000000004E-3</v>
      </c>
      <c r="P1346">
        <v>0.99447929999999995</v>
      </c>
      <c r="Q1346">
        <v>-0.1043029</v>
      </c>
      <c r="R1346">
        <v>-1.150142E-2</v>
      </c>
      <c r="S1346">
        <v>2.9950260000000002</v>
      </c>
      <c r="T1346">
        <v>-0.18687239999999999</v>
      </c>
      <c r="U1346">
        <v>-0.1787415</v>
      </c>
      <c r="V1346">
        <v>2.074575E-2</v>
      </c>
      <c r="W1346">
        <v>-8.9396229999999993E-2</v>
      </c>
      <c r="X1346">
        <v>0.99578009999999995</v>
      </c>
      <c r="Y1346">
        <v>6.8667989999999998E-2</v>
      </c>
      <c r="Z1346">
        <v>-3.0932239999999999E-3</v>
      </c>
      <c r="AA1346">
        <v>0.99763480000000004</v>
      </c>
      <c r="AB1346">
        <v>26</v>
      </c>
      <c r="AC1346">
        <v>17.713899999999899</v>
      </c>
      <c r="AD1346">
        <v>-1.1211520197229901</v>
      </c>
      <c r="AE1346">
        <v>-1.07490000000001</v>
      </c>
      <c r="AF1346">
        <v>1.23447425438591</v>
      </c>
      <c r="AG1346">
        <v>-1.1211520197229901</v>
      </c>
      <c r="AH1346">
        <v>17.632774704121498</v>
      </c>
      <c r="AI1346">
        <v>93.629304025612797</v>
      </c>
      <c r="AJ1346">
        <v>85.995244940158202</v>
      </c>
      <c r="AK1346">
        <v>17.711455397633902</v>
      </c>
      <c r="AL1346">
        <v>95.128873402047105</v>
      </c>
      <c r="AM1346">
        <v>88.806491524630104</v>
      </c>
      <c r="AN1346">
        <v>1.0000000398186399</v>
      </c>
    </row>
    <row r="1347" spans="1:40" x14ac:dyDescent="0.25">
      <c r="A1347" t="str">
        <f>"20190303154122267"</f>
        <v>20190303154122267</v>
      </c>
      <c r="B1347" t="str">
        <f>"1551598882260910"</f>
        <v>1551598882260910</v>
      </c>
      <c r="C1347" t="s">
        <v>40</v>
      </c>
      <c r="D1347">
        <v>5.9277689999999996</v>
      </c>
      <c r="E1347">
        <v>0.51777399999999996</v>
      </c>
      <c r="F1347" t="s">
        <v>41</v>
      </c>
      <c r="G1347">
        <v>-232.55619999999999</v>
      </c>
      <c r="H1347" s="1">
        <v>-3.6943980000000001E-6</v>
      </c>
      <c r="I1347">
        <v>366.69220000000001</v>
      </c>
      <c r="J1347">
        <v>-249.3998</v>
      </c>
      <c r="K1347">
        <v>1.121143</v>
      </c>
      <c r="L1347">
        <v>367.69619999999998</v>
      </c>
      <c r="M1347">
        <v>0.99984459999999997</v>
      </c>
      <c r="N1347">
        <v>-1.497512E-2</v>
      </c>
      <c r="O1347">
        <v>9.3204710000000003E-3</v>
      </c>
      <c r="P1347">
        <v>0.99449120000000002</v>
      </c>
      <c r="Q1347">
        <v>-0.1041806</v>
      </c>
      <c r="R1347">
        <v>-1.156635E-2</v>
      </c>
      <c r="S1347">
        <v>2.993881</v>
      </c>
      <c r="T1347">
        <v>-0.19761570000000001</v>
      </c>
      <c r="U1347">
        <v>-0.1767273</v>
      </c>
      <c r="V1347">
        <v>2.0842389999999999E-2</v>
      </c>
      <c r="W1347">
        <v>-8.9277099999999998E-2</v>
      </c>
      <c r="X1347">
        <v>0.99578880000000003</v>
      </c>
      <c r="Y1347">
        <v>6.8036390000000002E-2</v>
      </c>
      <c r="Z1347">
        <v>-3.226324E-3</v>
      </c>
      <c r="AA1347">
        <v>0.99767760000000005</v>
      </c>
      <c r="AB1347">
        <v>26</v>
      </c>
      <c r="AC1347">
        <v>16.843599999999999</v>
      </c>
      <c r="AD1347">
        <v>-1.121146694398</v>
      </c>
      <c r="AE1347">
        <v>-1.00399999999996</v>
      </c>
      <c r="AF1347">
        <v>1.15586130386259</v>
      </c>
      <c r="AG1347">
        <v>-1.121146694398</v>
      </c>
      <c r="AH1347">
        <v>16.759518855854399</v>
      </c>
      <c r="AI1347">
        <v>93.818120096694301</v>
      </c>
      <c r="AJ1347">
        <v>86.054703470708702</v>
      </c>
      <c r="AK1347">
        <v>16.836699722447602</v>
      </c>
      <c r="AL1347">
        <v>95.122020199065702</v>
      </c>
      <c r="AM1347">
        <v>88.800943892263405</v>
      </c>
      <c r="AN1347">
        <v>1.0000000700053699</v>
      </c>
    </row>
    <row r="1348" spans="1:40" x14ac:dyDescent="0.25">
      <c r="A1348" t="str">
        <f>"20190303154122281"</f>
        <v>20190303154122281</v>
      </c>
      <c r="B1348" t="str">
        <f>"1551598882270670"</f>
        <v>1551598882270670</v>
      </c>
      <c r="C1348" t="s">
        <v>40</v>
      </c>
      <c r="D1348">
        <v>5.9263190000000003</v>
      </c>
      <c r="E1348">
        <v>0.51766820000000002</v>
      </c>
      <c r="F1348" t="s">
        <v>41</v>
      </c>
      <c r="G1348">
        <v>-232.62860000000001</v>
      </c>
      <c r="H1348" s="1">
        <v>-3.660194E-6</v>
      </c>
      <c r="I1348">
        <v>366.70979999999997</v>
      </c>
      <c r="J1348">
        <v>-249.23929999999999</v>
      </c>
      <c r="K1348">
        <v>1.1211359999999999</v>
      </c>
      <c r="L1348">
        <v>367.69779999999997</v>
      </c>
      <c r="M1348">
        <v>0.99984410000000001</v>
      </c>
      <c r="N1348">
        <v>-1.49715E-2</v>
      </c>
      <c r="O1348">
        <v>9.3554769999999992E-3</v>
      </c>
      <c r="P1348">
        <v>0.99449639999999995</v>
      </c>
      <c r="Q1348">
        <v>-0.10410129999999999</v>
      </c>
      <c r="R1348">
        <v>-1.1822940000000001E-2</v>
      </c>
      <c r="S1348">
        <v>2.9936069999999999</v>
      </c>
      <c r="T1348">
        <v>-0.20011999999999999</v>
      </c>
      <c r="U1348">
        <v>-0.17605589999999999</v>
      </c>
      <c r="V1348">
        <v>2.113305E-2</v>
      </c>
      <c r="W1348">
        <v>-8.920148E-2</v>
      </c>
      <c r="X1348">
        <v>0.99578940000000005</v>
      </c>
      <c r="Y1348">
        <v>6.7849569999999998E-2</v>
      </c>
      <c r="Z1348">
        <v>-3.256812E-3</v>
      </c>
      <c r="AA1348">
        <v>0.99769030000000003</v>
      </c>
      <c r="AB1348">
        <v>26</v>
      </c>
      <c r="AC1348">
        <v>16.610699999999898</v>
      </c>
      <c r="AD1348">
        <v>-1.121139660194</v>
      </c>
      <c r="AE1348">
        <v>-0.98799999999999899</v>
      </c>
      <c r="AF1348">
        <v>1.13820828336585</v>
      </c>
      <c r="AG1348">
        <v>-1.121139660194</v>
      </c>
      <c r="AH1348">
        <v>16.525709878676601</v>
      </c>
      <c r="AI1348">
        <v>93.871976691262304</v>
      </c>
      <c r="AJ1348">
        <v>86.059975455209596</v>
      </c>
      <c r="AK1348">
        <v>16.602757579034002</v>
      </c>
      <c r="AL1348">
        <v>95.117670395899694</v>
      </c>
      <c r="AM1348">
        <v>88.784228031056003</v>
      </c>
      <c r="AN1348">
        <v>1.0000000194944201</v>
      </c>
    </row>
    <row r="1349" spans="1:40" x14ac:dyDescent="0.25">
      <c r="A1349" t="str">
        <f>"20190303154122294"</f>
        <v>20190303154122294</v>
      </c>
      <c r="B1349" t="str">
        <f>"1551598882290192"</f>
        <v>1551598882290192</v>
      </c>
      <c r="C1349" t="s">
        <v>40</v>
      </c>
      <c r="D1349">
        <v>5.9311800000000003</v>
      </c>
      <c r="E1349">
        <v>0.51744999999999997</v>
      </c>
      <c r="F1349" t="s">
        <v>41</v>
      </c>
      <c r="G1349">
        <v>-232.67240000000001</v>
      </c>
      <c r="H1349" s="1">
        <v>-3.6389360000000002E-6</v>
      </c>
      <c r="I1349">
        <v>366.72379999999998</v>
      </c>
      <c r="J1349">
        <v>-249.0839</v>
      </c>
      <c r="K1349">
        <v>1.1211340000000001</v>
      </c>
      <c r="L1349">
        <v>367.69920000000002</v>
      </c>
      <c r="M1349">
        <v>0.99984399999999996</v>
      </c>
      <c r="N1349">
        <v>-1.4967980000000001E-2</v>
      </c>
      <c r="O1349">
        <v>9.3868470000000002E-3</v>
      </c>
      <c r="P1349">
        <v>0.99446020000000002</v>
      </c>
      <c r="Q1349">
        <v>-0.1043906</v>
      </c>
      <c r="R1349">
        <v>-1.230737E-2</v>
      </c>
      <c r="S1349">
        <v>2.9933169999999998</v>
      </c>
      <c r="T1349">
        <v>-0.2025672</v>
      </c>
      <c r="U1349">
        <v>-0.17596439999999999</v>
      </c>
      <c r="V1349">
        <v>2.1647619999999999E-2</v>
      </c>
      <c r="W1349">
        <v>-8.9495069999999996E-2</v>
      </c>
      <c r="X1349">
        <v>0.99575199999999997</v>
      </c>
      <c r="Y1349">
        <v>6.7851529999999993E-2</v>
      </c>
      <c r="Z1349">
        <v>-3.293991E-3</v>
      </c>
      <c r="AA1349">
        <v>0.99768999999999997</v>
      </c>
      <c r="AB1349">
        <v>26</v>
      </c>
      <c r="AC1349">
        <v>16.411499999999901</v>
      </c>
      <c r="AD1349">
        <v>-1.1211376389359999</v>
      </c>
      <c r="AE1349">
        <v>-0.97540000000003502</v>
      </c>
      <c r="AF1349">
        <v>1.12419853436087</v>
      </c>
      <c r="AG1349">
        <v>-1.1211376389359999</v>
      </c>
      <c r="AH1349">
        <v>16.325698872954199</v>
      </c>
      <c r="AI1349">
        <v>93.919263280662506</v>
      </c>
      <c r="AJ1349">
        <v>86.060792780122497</v>
      </c>
      <c r="AK1349">
        <v>16.402719763517101</v>
      </c>
      <c r="AL1349">
        <v>95.134559428771496</v>
      </c>
      <c r="AM1349">
        <v>88.7545875723211</v>
      </c>
      <c r="AN1349">
        <v>1.00000001625498</v>
      </c>
    </row>
    <row r="1350" spans="1:40" x14ac:dyDescent="0.25">
      <c r="A1350" t="str">
        <f>"20190303154122310"</f>
        <v>20190303154122310</v>
      </c>
      <c r="B1350" t="str">
        <f>"1551598882300928"</f>
        <v>1551598882300928</v>
      </c>
      <c r="C1350" t="s">
        <v>40</v>
      </c>
      <c r="D1350">
        <v>5.9570869999999996</v>
      </c>
      <c r="E1350">
        <v>0.51733490000000004</v>
      </c>
      <c r="F1350" t="s">
        <v>41</v>
      </c>
      <c r="G1350">
        <v>-232.9896</v>
      </c>
      <c r="H1350" s="1">
        <v>-3.4977770000000002E-6</v>
      </c>
      <c r="I1350">
        <v>366.75240000000002</v>
      </c>
      <c r="J1350">
        <v>-248.8972</v>
      </c>
      <c r="K1350">
        <v>1.1211359999999999</v>
      </c>
      <c r="L1350">
        <v>367.70100000000002</v>
      </c>
      <c r="M1350">
        <v>0.99984379999999995</v>
      </c>
      <c r="N1350">
        <v>-1.49637E-2</v>
      </c>
      <c r="O1350">
        <v>9.420187E-3</v>
      </c>
      <c r="P1350">
        <v>0.9944326</v>
      </c>
      <c r="Q1350">
        <v>-0.1045594</v>
      </c>
      <c r="R1350">
        <v>-1.3099670000000001E-2</v>
      </c>
      <c r="S1350">
        <v>2.992645</v>
      </c>
      <c r="T1350">
        <v>-0.20846819999999999</v>
      </c>
      <c r="U1350">
        <v>-0.17605589999999999</v>
      </c>
      <c r="V1350">
        <v>2.2471830000000002E-2</v>
      </c>
      <c r="W1350">
        <v>-8.9668769999999995E-2</v>
      </c>
      <c r="X1350">
        <v>0.99571810000000005</v>
      </c>
      <c r="Y1350">
        <v>6.7916879999999999E-2</v>
      </c>
      <c r="Z1350">
        <v>-3.3841980000000002E-3</v>
      </c>
      <c r="AA1350">
        <v>0.9976853</v>
      </c>
      <c r="AB1350">
        <v>26</v>
      </c>
      <c r="AC1350">
        <v>15.9076</v>
      </c>
      <c r="AD1350">
        <v>-1.1211394977769999</v>
      </c>
      <c r="AE1350">
        <v>-0.94859999999994205</v>
      </c>
      <c r="AF1350">
        <v>1.0930172492227801</v>
      </c>
      <c r="AG1350">
        <v>-1.1211394977769999</v>
      </c>
      <c r="AH1350">
        <v>15.819656356312599</v>
      </c>
      <c r="AI1350">
        <v>94.044166489869696</v>
      </c>
      <c r="AJ1350">
        <v>86.047581196693102</v>
      </c>
      <c r="AK1350">
        <v>15.896954667872601</v>
      </c>
      <c r="AL1350">
        <v>95.144551948654595</v>
      </c>
      <c r="AM1350">
        <v>88.707141622848695</v>
      </c>
      <c r="AN1350">
        <v>1.00000000306223</v>
      </c>
    </row>
    <row r="1351" spans="1:40" x14ac:dyDescent="0.25">
      <c r="A1351" t="str">
        <f>"20190303154122323"</f>
        <v>20190303154122323</v>
      </c>
      <c r="B1351" t="str">
        <f>"1551598882320447"</f>
        <v>1551598882320447</v>
      </c>
      <c r="C1351" t="s">
        <v>40</v>
      </c>
      <c r="D1351">
        <v>5.9535939999999998</v>
      </c>
      <c r="E1351">
        <v>0.51722409999999996</v>
      </c>
      <c r="F1351" t="s">
        <v>41</v>
      </c>
      <c r="G1351">
        <v>-233.024</v>
      </c>
      <c r="H1351" s="1">
        <v>-3.4815960000000001E-6</v>
      </c>
      <c r="I1351">
        <v>366.76060000000001</v>
      </c>
      <c r="J1351">
        <v>-248.75309999999999</v>
      </c>
      <c r="K1351">
        <v>1.1211329999999999</v>
      </c>
      <c r="L1351">
        <v>367.70249999999999</v>
      </c>
      <c r="M1351">
        <v>0.9998435</v>
      </c>
      <c r="N1351">
        <v>-1.4960370000000001E-2</v>
      </c>
      <c r="O1351">
        <v>9.4438230000000005E-3</v>
      </c>
      <c r="P1351">
        <v>0.99441369999999896</v>
      </c>
      <c r="Q1351">
        <v>-0.1047022</v>
      </c>
      <c r="R1351">
        <v>-1.338106E-2</v>
      </c>
      <c r="S1351">
        <v>2.9922179999999998</v>
      </c>
      <c r="T1351">
        <v>-0.21134140000000001</v>
      </c>
      <c r="U1351">
        <v>-0.17727660000000001</v>
      </c>
      <c r="V1351">
        <v>2.2775960000000001E-2</v>
      </c>
      <c r="W1351">
        <v>-8.981538E-2</v>
      </c>
      <c r="X1351">
        <v>0.99569799999999997</v>
      </c>
      <c r="Y1351">
        <v>6.8347500000000005E-2</v>
      </c>
      <c r="Z1351">
        <v>-3.445722E-3</v>
      </c>
      <c r="AA1351">
        <v>0.99765559999999998</v>
      </c>
      <c r="AB1351">
        <v>26</v>
      </c>
      <c r="AC1351">
        <v>15.729099999999899</v>
      </c>
      <c r="AD1351">
        <v>-1.1211364815960001</v>
      </c>
      <c r="AE1351">
        <v>-0.94189999999997498</v>
      </c>
      <c r="AF1351">
        <v>1.0849251456293501</v>
      </c>
      <c r="AG1351">
        <v>-1.1211364815960001</v>
      </c>
      <c r="AH1351">
        <v>15.6403250354359</v>
      </c>
      <c r="AI1351">
        <v>94.090292074215199</v>
      </c>
      <c r="AJ1351">
        <v>86.031910114128294</v>
      </c>
      <c r="AK1351">
        <v>15.717944420186299</v>
      </c>
      <c r="AL1351">
        <v>95.152985990601806</v>
      </c>
      <c r="AM1351">
        <v>88.689623910333097</v>
      </c>
      <c r="AN1351">
        <v>1.0000000270212299</v>
      </c>
    </row>
    <row r="1352" spans="1:40" x14ac:dyDescent="0.25">
      <c r="A1352" t="str">
        <f>"20190303154122336"</f>
        <v>20190303154122336</v>
      </c>
      <c r="B1352" t="str">
        <f>"1551598882330207"</f>
        <v>1551598882330207</v>
      </c>
      <c r="C1352" t="s">
        <v>40</v>
      </c>
      <c r="D1352">
        <v>5.9661559999999998</v>
      </c>
      <c r="E1352">
        <v>0.51719939999999998</v>
      </c>
      <c r="F1352" t="s">
        <v>41</v>
      </c>
      <c r="G1352">
        <v>-233.15180000000001</v>
      </c>
      <c r="H1352" s="1">
        <v>-3.423596E-6</v>
      </c>
      <c r="I1352">
        <v>366.7783</v>
      </c>
      <c r="J1352">
        <v>-248.61</v>
      </c>
      <c r="K1352">
        <v>1.121132</v>
      </c>
      <c r="L1352">
        <v>367.7038</v>
      </c>
      <c r="M1352">
        <v>0.99984340000000005</v>
      </c>
      <c r="N1352">
        <v>-1.495705E-2</v>
      </c>
      <c r="O1352">
        <v>9.4657909999999994E-3</v>
      </c>
      <c r="P1352">
        <v>0.99439279999999997</v>
      </c>
      <c r="Q1352">
        <v>-0.104853</v>
      </c>
      <c r="R1352">
        <v>-1.374595E-2</v>
      </c>
      <c r="S1352">
        <v>2.9918520000000002</v>
      </c>
      <c r="T1352">
        <v>-0.21499860000000001</v>
      </c>
      <c r="U1352">
        <v>-0.1772156</v>
      </c>
      <c r="V1352">
        <v>2.3161709999999999E-2</v>
      </c>
      <c r="W1352">
        <v>-8.9970010000000003E-2</v>
      </c>
      <c r="X1352">
        <v>0.99567510000000004</v>
      </c>
      <c r="Y1352">
        <v>6.8349069999999998E-2</v>
      </c>
      <c r="Z1352">
        <v>-3.5004319999999999E-3</v>
      </c>
      <c r="AA1352">
        <v>0.99765530000000002</v>
      </c>
      <c r="AB1352">
        <v>26</v>
      </c>
      <c r="AC1352">
        <v>15.4582</v>
      </c>
      <c r="AD1352">
        <v>-1.1211354235959901</v>
      </c>
      <c r="AE1352">
        <v>-0.92549999999999899</v>
      </c>
      <c r="AF1352">
        <v>1.06621057921947</v>
      </c>
      <c r="AG1352">
        <v>-1.1211354235959901</v>
      </c>
      <c r="AH1352">
        <v>15.3681954147258</v>
      </c>
      <c r="AI1352">
        <v>94.162460892618697</v>
      </c>
      <c r="AJ1352">
        <v>86.031307938294205</v>
      </c>
      <c r="AK1352">
        <v>15.445879060205099</v>
      </c>
      <c r="AL1352">
        <v>95.161881862850095</v>
      </c>
      <c r="AM1352">
        <v>88.6674077392681</v>
      </c>
      <c r="AN1352">
        <v>0.99999998613476704</v>
      </c>
    </row>
    <row r="1353" spans="1:40" x14ac:dyDescent="0.25">
      <c r="A1353" t="str">
        <f>"20190303154122348"</f>
        <v>20190303154122348</v>
      </c>
      <c r="B1353" t="str">
        <f>"1551598882340942"</f>
        <v>1551598882340942</v>
      </c>
      <c r="C1353" t="s">
        <v>40</v>
      </c>
      <c r="D1353">
        <v>5.9793830000000003</v>
      </c>
      <c r="E1353">
        <v>0.51714369999999998</v>
      </c>
      <c r="F1353" t="s">
        <v>42</v>
      </c>
      <c r="G1353">
        <v>-247.64490000000001</v>
      </c>
      <c r="H1353">
        <v>1.0511280000000001</v>
      </c>
      <c r="I1353">
        <v>367.64620000000002</v>
      </c>
      <c r="J1353">
        <v>-248.46260000000001</v>
      </c>
      <c r="K1353">
        <v>1.1211340000000001</v>
      </c>
      <c r="L1353">
        <v>367.70519999999999</v>
      </c>
      <c r="M1353">
        <v>0.99984320000000004</v>
      </c>
      <c r="N1353">
        <v>-1.49537E-2</v>
      </c>
      <c r="O1353">
        <v>9.4851970000000008E-3</v>
      </c>
      <c r="P1353">
        <v>0.99439370000000005</v>
      </c>
      <c r="Q1353">
        <v>-0.1048169</v>
      </c>
      <c r="R1353">
        <v>-1.3960200000000001E-2</v>
      </c>
      <c r="S1353">
        <v>2.9915620000000001</v>
      </c>
      <c r="T1353">
        <v>-0.21695539999999999</v>
      </c>
      <c r="U1353">
        <v>-0.17843629999999999</v>
      </c>
      <c r="V1353">
        <v>2.3394640000000001E-2</v>
      </c>
      <c r="W1353">
        <v>-8.9937349999999999E-2</v>
      </c>
      <c r="X1353">
        <v>0.99567260000000002</v>
      </c>
      <c r="Y1353">
        <v>6.8774479999999999E-2</v>
      </c>
      <c r="Z1353">
        <v>-3.548743E-3</v>
      </c>
      <c r="AA1353">
        <v>0.99762589999999995</v>
      </c>
      <c r="AB1353">
        <v>26</v>
      </c>
      <c r="AC1353">
        <v>0.81770000000000198</v>
      </c>
      <c r="AD1353">
        <v>-7.0005999999999999E-2</v>
      </c>
      <c r="AE1353">
        <v>-5.8999999999969001E-2</v>
      </c>
      <c r="AF1353">
        <v>6.6271031218417903E-2</v>
      </c>
      <c r="AG1353">
        <v>-7.0005999999999999E-2</v>
      </c>
      <c r="AH1353">
        <v>0.81118859305733804</v>
      </c>
      <c r="AI1353">
        <v>94.916136883115399</v>
      </c>
      <c r="AJ1353">
        <v>85.329524379538697</v>
      </c>
      <c r="AK1353">
        <v>0.81689633560268504</v>
      </c>
      <c r="AL1353">
        <v>95.160002990804102</v>
      </c>
      <c r="AM1353">
        <v>88.654007807065895</v>
      </c>
      <c r="AN1353">
        <v>0.99999998124825595</v>
      </c>
    </row>
    <row r="1354" spans="1:40" x14ac:dyDescent="0.25">
      <c r="A1354" t="str">
        <f>"20190303154122367"</f>
        <v>20190303154122367</v>
      </c>
      <c r="B1354" t="str">
        <f>"1551598882360465"</f>
        <v>1551598882360465</v>
      </c>
      <c r="C1354" t="s">
        <v>40</v>
      </c>
      <c r="D1354">
        <v>5.9830249999999996</v>
      </c>
      <c r="E1354">
        <v>0.51706679999999905</v>
      </c>
      <c r="F1354" t="s">
        <v>41</v>
      </c>
      <c r="G1354">
        <v>-233.12020000000001</v>
      </c>
      <c r="H1354" s="1">
        <v>-3.4351010000000002E-6</v>
      </c>
      <c r="I1354">
        <v>366.78980000000001</v>
      </c>
      <c r="J1354">
        <v>-248.2569</v>
      </c>
      <c r="K1354">
        <v>1.1211329999999999</v>
      </c>
      <c r="L1354">
        <v>367.7072</v>
      </c>
      <c r="M1354">
        <v>0.99984300000000004</v>
      </c>
      <c r="N1354">
        <v>-1.4949E-2</v>
      </c>
      <c r="O1354">
        <v>9.5094819999999997E-3</v>
      </c>
      <c r="P1354">
        <v>0.99439569999999999</v>
      </c>
      <c r="Q1354">
        <v>-0.1047971</v>
      </c>
      <c r="R1354">
        <v>-1.395386E-2</v>
      </c>
      <c r="S1354">
        <v>2.9913789999999998</v>
      </c>
      <c r="T1354">
        <v>-0.21859200000000001</v>
      </c>
      <c r="U1354">
        <v>-0.17846679999999901</v>
      </c>
      <c r="V1354">
        <v>2.3411930000000001E-2</v>
      </c>
      <c r="W1354">
        <v>-8.9922440000000006E-2</v>
      </c>
      <c r="X1354">
        <v>0.99567349999999999</v>
      </c>
      <c r="Y1354">
        <v>6.8809019999999999E-2</v>
      </c>
      <c r="Z1354">
        <v>-3.575646E-3</v>
      </c>
      <c r="AA1354">
        <v>0.99762340000000005</v>
      </c>
      <c r="AB1354">
        <v>26</v>
      </c>
      <c r="AC1354">
        <v>15.1366999999999</v>
      </c>
      <c r="AD1354">
        <v>-1.121136435101</v>
      </c>
      <c r="AE1354">
        <v>-0.917399999999986</v>
      </c>
      <c r="AF1354">
        <v>1.05554725501139</v>
      </c>
      <c r="AG1354">
        <v>-1.121136435101</v>
      </c>
      <c r="AH1354">
        <v>15.045055589793099</v>
      </c>
      <c r="AI1354">
        <v>94.251312460542806</v>
      </c>
      <c r="AJ1354">
        <v>85.986757005183904</v>
      </c>
      <c r="AK1354">
        <v>15.1236511667533</v>
      </c>
      <c r="AL1354">
        <v>95.159145442648395</v>
      </c>
      <c r="AM1354">
        <v>88.653014623991695</v>
      </c>
      <c r="AN1354">
        <v>0.99999994114206203</v>
      </c>
    </row>
    <row r="1355" spans="1:40" x14ac:dyDescent="0.25">
      <c r="A1355" t="str">
        <f>"20190303154122379"</f>
        <v>20190303154122379</v>
      </c>
      <c r="B1355" t="str">
        <f>"1551598882370222"</f>
        <v>1551598882370222</v>
      </c>
      <c r="C1355" t="s">
        <v>40</v>
      </c>
      <c r="D1355">
        <v>5.9821229999999996</v>
      </c>
      <c r="E1355">
        <v>0.51702340000000002</v>
      </c>
      <c r="F1355" t="s">
        <v>41</v>
      </c>
      <c r="G1355">
        <v>-233.1403</v>
      </c>
      <c r="H1355" s="1">
        <v>-3.4234239999999999E-6</v>
      </c>
      <c r="I1355">
        <v>366.80720000000002</v>
      </c>
      <c r="J1355">
        <v>-248.10480000000001</v>
      </c>
      <c r="K1355">
        <v>1.1211340000000001</v>
      </c>
      <c r="L1355">
        <v>367.70859999999999</v>
      </c>
      <c r="M1355">
        <v>0.99984309999999998</v>
      </c>
      <c r="N1355">
        <v>-1.4945490000000001E-2</v>
      </c>
      <c r="O1355">
        <v>9.5247760000000004E-3</v>
      </c>
      <c r="P1355">
        <v>0.99438009999999999</v>
      </c>
      <c r="Q1355">
        <v>-0.104939</v>
      </c>
      <c r="R1355">
        <v>-1.402436E-2</v>
      </c>
      <c r="S1355">
        <v>2.9910429999999999</v>
      </c>
      <c r="T1355">
        <v>-0.22183220000000001</v>
      </c>
      <c r="U1355">
        <v>-0.17807010000000001</v>
      </c>
      <c r="V1355">
        <v>2.3496679999999999E-2</v>
      </c>
      <c r="W1355">
        <v>-9.0068209999999996E-2</v>
      </c>
      <c r="X1355">
        <v>0.99565840000000005</v>
      </c>
      <c r="Y1355">
        <v>6.869277E-2</v>
      </c>
      <c r="Z1355">
        <v>-3.6190229999999999E-3</v>
      </c>
      <c r="AA1355">
        <v>0.9976313</v>
      </c>
      <c r="AB1355">
        <v>26</v>
      </c>
      <c r="AC1355">
        <v>14.964499999999999</v>
      </c>
      <c r="AD1355">
        <v>-1.1211374234239999</v>
      </c>
      <c r="AE1355">
        <v>-0.90139999999996601</v>
      </c>
      <c r="AF1355">
        <v>1.0381027298129799</v>
      </c>
      <c r="AG1355">
        <v>-1.1211374234239999</v>
      </c>
      <c r="AH1355">
        <v>14.872059698680401</v>
      </c>
      <c r="AI1355">
        <v>94.300690681162095</v>
      </c>
      <c r="AJ1355">
        <v>86.0071041216178</v>
      </c>
      <c r="AK1355">
        <v>14.950343343246701</v>
      </c>
      <c r="AL1355">
        <v>95.167531105771303</v>
      </c>
      <c r="AM1355">
        <v>88.648119916893705</v>
      </c>
      <c r="AN1355">
        <v>1.0000000129570901</v>
      </c>
    </row>
    <row r="1356" spans="1:40" x14ac:dyDescent="0.25">
      <c r="A1356" t="str">
        <f>"20190303154122392"</f>
        <v>20190303154122392</v>
      </c>
      <c r="B1356" t="str">
        <f>"1551598882380959"</f>
        <v>1551598882380959</v>
      </c>
      <c r="C1356" t="s">
        <v>40</v>
      </c>
      <c r="D1356">
        <v>6.0034049999999999</v>
      </c>
      <c r="E1356">
        <v>0.51698120000000003</v>
      </c>
      <c r="F1356" t="s">
        <v>42</v>
      </c>
      <c r="G1356">
        <v>-247.18680000000001</v>
      </c>
      <c r="H1356">
        <v>1.0524469999999999</v>
      </c>
      <c r="I1356">
        <v>367.654</v>
      </c>
      <c r="J1356">
        <v>-247.95500000000001</v>
      </c>
      <c r="K1356">
        <v>1.121132</v>
      </c>
      <c r="L1356">
        <v>367.71010000000001</v>
      </c>
      <c r="M1356">
        <v>0.99984289999999998</v>
      </c>
      <c r="N1356">
        <v>-1.4941980000000001E-2</v>
      </c>
      <c r="O1356">
        <v>9.5374480000000005E-3</v>
      </c>
      <c r="P1356">
        <v>0.99444219999999905</v>
      </c>
      <c r="Q1356">
        <v>-0.1044204</v>
      </c>
      <c r="R1356">
        <v>-1.346669E-2</v>
      </c>
      <c r="S1356">
        <v>2.9908290000000002</v>
      </c>
      <c r="T1356">
        <v>-0.22379840000000001</v>
      </c>
      <c r="U1356">
        <v>-0.17788699999999999</v>
      </c>
      <c r="V1356">
        <v>2.2951740000000002E-2</v>
      </c>
      <c r="W1356">
        <v>-8.9552389999999996E-2</v>
      </c>
      <c r="X1356">
        <v>0.99571759999999998</v>
      </c>
      <c r="Y1356">
        <v>6.8644839999999999E-2</v>
      </c>
      <c r="Z1356">
        <v>-3.6464940000000001E-3</v>
      </c>
      <c r="AA1356">
        <v>0.99763449999999998</v>
      </c>
      <c r="AB1356">
        <v>26</v>
      </c>
      <c r="AC1356">
        <v>0.76820000000000699</v>
      </c>
      <c r="AD1356">
        <v>-6.8685000000000093E-2</v>
      </c>
      <c r="AE1356">
        <v>-5.6100000000014902E-2</v>
      </c>
      <c r="AF1356">
        <v>6.2924569909255504E-2</v>
      </c>
      <c r="AG1356">
        <v>-6.8685000000000093E-2</v>
      </c>
      <c r="AH1356">
        <v>0.76157406039926601</v>
      </c>
      <c r="AI1356">
        <v>95.136053807634696</v>
      </c>
      <c r="AJ1356">
        <v>85.276701660368204</v>
      </c>
      <c r="AK1356">
        <v>0.76724975086101499</v>
      </c>
      <c r="AL1356">
        <v>95.137857070728501</v>
      </c>
      <c r="AM1356">
        <v>88.679540257914098</v>
      </c>
      <c r="AN1356">
        <v>0.99999997593674905</v>
      </c>
    </row>
    <row r="1357" spans="1:40" x14ac:dyDescent="0.25">
      <c r="A1357" t="str">
        <f>"20190303154122408"</f>
        <v>20190303154122408</v>
      </c>
      <c r="B1357" t="str">
        <f>"1551598882400478"</f>
        <v>1551598882400478</v>
      </c>
      <c r="C1357" t="s">
        <v>40</v>
      </c>
      <c r="D1357">
        <v>5.9958970000000003</v>
      </c>
      <c r="E1357">
        <v>0.51511390000000001</v>
      </c>
      <c r="F1357" t="s">
        <v>41</v>
      </c>
      <c r="G1357">
        <v>-232.97280000000001</v>
      </c>
      <c r="H1357" s="1">
        <v>-3.4911630000000002E-6</v>
      </c>
      <c r="I1357">
        <v>366.83030000000002</v>
      </c>
      <c r="J1357">
        <v>-247.78749999999999</v>
      </c>
      <c r="K1357">
        <v>1.1211310000000001</v>
      </c>
      <c r="L1357">
        <v>367.71170000000001</v>
      </c>
      <c r="M1357">
        <v>0.99984289999999998</v>
      </c>
      <c r="N1357">
        <v>-1.493801E-2</v>
      </c>
      <c r="O1357">
        <v>9.548862E-3</v>
      </c>
      <c r="P1357">
        <v>0.9944537</v>
      </c>
      <c r="Q1357">
        <v>-0.10437200000000001</v>
      </c>
      <c r="R1357">
        <v>-1.297828E-2</v>
      </c>
      <c r="S1357">
        <v>2.990875</v>
      </c>
      <c r="T1357">
        <v>-0.22381019999999999</v>
      </c>
      <c r="U1357">
        <v>-0.1756287</v>
      </c>
      <c r="V1357">
        <v>2.2474069999999999E-2</v>
      </c>
      <c r="W1357">
        <v>-8.9507890000000007E-2</v>
      </c>
      <c r="X1357">
        <v>0.99573250000000002</v>
      </c>
      <c r="Y1357">
        <v>6.790707E-2</v>
      </c>
      <c r="Z1357">
        <v>-3.6141910000000001E-3</v>
      </c>
      <c r="AA1357">
        <v>0.99768509999999999</v>
      </c>
      <c r="AB1357">
        <v>26</v>
      </c>
      <c r="AC1357">
        <v>14.814699999999901</v>
      </c>
      <c r="AD1357">
        <v>-1.1211344911629999</v>
      </c>
      <c r="AE1357">
        <v>-0.88139999999998497</v>
      </c>
      <c r="AF1357">
        <v>1.01703505877295</v>
      </c>
      <c r="AG1357">
        <v>-1.1211344911629999</v>
      </c>
      <c r="AH1357">
        <v>14.721593444478099</v>
      </c>
      <c r="AI1357">
        <v>94.344683004330705</v>
      </c>
      <c r="AJ1357">
        <v>86.048024485284103</v>
      </c>
      <c r="AK1357">
        <v>14.7992099925148</v>
      </c>
      <c r="AL1357">
        <v>95.135297112906798</v>
      </c>
      <c r="AM1357">
        <v>88.7070314864784</v>
      </c>
      <c r="AN1357">
        <v>0.99999997887543302</v>
      </c>
    </row>
    <row r="1358" spans="1:40" x14ac:dyDescent="0.25">
      <c r="A1358" t="str">
        <f>"20190303154122423"</f>
        <v>20190303154122423</v>
      </c>
      <c r="B1358" t="str">
        <f>"1551598882410238"</f>
        <v>1551598882410238</v>
      </c>
      <c r="C1358" t="s">
        <v>40</v>
      </c>
      <c r="D1358">
        <v>5.9756460000000002</v>
      </c>
      <c r="E1358">
        <v>0.51510440000000002</v>
      </c>
      <c r="F1358" t="s">
        <v>42</v>
      </c>
      <c r="G1358">
        <v>-246.96850000000001</v>
      </c>
      <c r="H1358">
        <v>1.0405879999999901</v>
      </c>
      <c r="I1358">
        <v>367.66770000000002</v>
      </c>
      <c r="J1358">
        <v>-247.6096</v>
      </c>
      <c r="K1358">
        <v>1.12113</v>
      </c>
      <c r="L1358">
        <v>367.71350000000001</v>
      </c>
      <c r="M1358">
        <v>0.99984289999999998</v>
      </c>
      <c r="N1358">
        <v>-1.4933770000000001E-2</v>
      </c>
      <c r="O1358">
        <v>9.5581869999999992E-3</v>
      </c>
      <c r="P1358">
        <v>0.99453659999999999</v>
      </c>
      <c r="Q1358">
        <v>-0.10368090000000001</v>
      </c>
      <c r="R1358">
        <v>-1.214604E-2</v>
      </c>
      <c r="S1358">
        <v>2.983841</v>
      </c>
      <c r="T1358">
        <v>-0.29369630000000002</v>
      </c>
      <c r="U1358">
        <v>-0.1596069</v>
      </c>
      <c r="V1358">
        <v>2.1651159999999999E-2</v>
      </c>
      <c r="W1358">
        <v>-8.8819910000000002E-2</v>
      </c>
      <c r="X1358">
        <v>0.99581240000000004</v>
      </c>
      <c r="Y1358">
        <v>6.2576419999999994E-2</v>
      </c>
      <c r="Z1358">
        <v>-4.3345390000000001E-3</v>
      </c>
      <c r="AA1358">
        <v>0.9980308</v>
      </c>
      <c r="AB1358">
        <v>26</v>
      </c>
      <c r="AC1358">
        <v>0.64109999999999401</v>
      </c>
      <c r="AD1358">
        <v>-8.05420000000001E-2</v>
      </c>
      <c r="AE1358">
        <v>-4.5799999999985602E-2</v>
      </c>
      <c r="AF1358">
        <v>5.1123551108742601E-2</v>
      </c>
      <c r="AG1358">
        <v>-8.05420000000001E-2</v>
      </c>
      <c r="AH1358">
        <v>0.63072856798533194</v>
      </c>
      <c r="AI1358">
        <v>97.253567931447407</v>
      </c>
      <c r="AJ1358">
        <v>85.3660349574035</v>
      </c>
      <c r="AK1358">
        <v>0.63790215371544001</v>
      </c>
      <c r="AL1358">
        <v>95.095720803014302</v>
      </c>
      <c r="AM1358">
        <v>88.754459504003805</v>
      </c>
      <c r="AN1358">
        <v>1.00000004256775</v>
      </c>
    </row>
    <row r="1359" spans="1:40" x14ac:dyDescent="0.25">
      <c r="A1359" t="str">
        <f>"20190303154122445"</f>
        <v>20190303154122445</v>
      </c>
      <c r="B1359" t="str">
        <f>"1551598882440494"</f>
        <v>1551598882440494</v>
      </c>
      <c r="C1359" t="s">
        <v>40</v>
      </c>
      <c r="D1359">
        <v>6.0190659999999996</v>
      </c>
      <c r="E1359">
        <v>0.51514280000000001</v>
      </c>
      <c r="F1359" t="s">
        <v>42</v>
      </c>
      <c r="G1359">
        <v>-246.74270000000001</v>
      </c>
      <c r="H1359">
        <v>1.037569</v>
      </c>
      <c r="I1359">
        <v>367.66770000000002</v>
      </c>
      <c r="J1359">
        <v>-247.363</v>
      </c>
      <c r="K1359">
        <v>1.1211279999999999</v>
      </c>
      <c r="L1359">
        <v>367.71589999999998</v>
      </c>
      <c r="M1359">
        <v>0.99984280000000003</v>
      </c>
      <c r="N1359">
        <v>-1.4927899999999999E-2</v>
      </c>
      <c r="O1359">
        <v>9.5665509999999995E-3</v>
      </c>
      <c r="P1359">
        <v>0.99454050000000005</v>
      </c>
      <c r="Q1359">
        <v>-0.10372670000000001</v>
      </c>
      <c r="R1359">
        <v>-1.141707E-2</v>
      </c>
      <c r="S1359">
        <v>2.9845579999999998</v>
      </c>
      <c r="T1359">
        <v>-0.28783769999999997</v>
      </c>
      <c r="U1359">
        <v>-0.15682979999999899</v>
      </c>
      <c r="V1359">
        <v>2.092948E-2</v>
      </c>
      <c r="W1359">
        <v>-8.8871560000000002E-2</v>
      </c>
      <c r="X1359">
        <v>0.99582320000000002</v>
      </c>
      <c r="Y1359">
        <v>6.166526E-2</v>
      </c>
      <c r="Z1359">
        <v>-4.2039649999999996E-3</v>
      </c>
      <c r="AA1359">
        <v>0.99808810000000003</v>
      </c>
      <c r="AB1359">
        <v>25</v>
      </c>
      <c r="AC1359">
        <v>0.62029999999998597</v>
      </c>
      <c r="AD1359">
        <v>-8.3559000000000105E-2</v>
      </c>
      <c r="AE1359">
        <v>-4.8199999999951601E-2</v>
      </c>
      <c r="AF1359">
        <v>5.3173487245601898E-2</v>
      </c>
      <c r="AG1359">
        <v>-8.3559000000000105E-2</v>
      </c>
      <c r="AH1359">
        <v>0.60882889552804798</v>
      </c>
      <c r="AI1359">
        <v>97.7854911982147</v>
      </c>
      <c r="AJ1359">
        <v>85.008605293481196</v>
      </c>
      <c r="AK1359">
        <v>0.61683235182402696</v>
      </c>
      <c r="AL1359">
        <v>95.098691987107003</v>
      </c>
      <c r="AM1359">
        <v>88.795976685321094</v>
      </c>
      <c r="AN1359">
        <v>1.0000000214840701</v>
      </c>
    </row>
    <row r="1360" spans="1:40" x14ac:dyDescent="0.25">
      <c r="A1360" t="str">
        <f>"20190303154122467"</f>
        <v>20190303154122467</v>
      </c>
      <c r="B1360" t="str">
        <f>"1551598882461003"</f>
        <v>1551598882461003</v>
      </c>
      <c r="C1360" t="s">
        <v>40</v>
      </c>
      <c r="D1360">
        <v>6.0228900000000003</v>
      </c>
      <c r="E1360">
        <v>0.53334369999999998</v>
      </c>
      <c r="F1360" t="s">
        <v>42</v>
      </c>
      <c r="G1360">
        <v>-246.5153</v>
      </c>
      <c r="H1360">
        <v>1.038546</v>
      </c>
      <c r="I1360">
        <v>367.67149999999998</v>
      </c>
      <c r="J1360">
        <v>-247.113</v>
      </c>
      <c r="K1360">
        <v>1.1211230000000001</v>
      </c>
      <c r="L1360">
        <v>367.71820000000002</v>
      </c>
      <c r="M1360">
        <v>0.99984280000000003</v>
      </c>
      <c r="N1360">
        <v>-1.4922009999999999E-2</v>
      </c>
      <c r="O1360">
        <v>9.5702210000000003E-3</v>
      </c>
      <c r="P1360">
        <v>0.99459450000000005</v>
      </c>
      <c r="Q1360">
        <v>-0.1032836</v>
      </c>
      <c r="R1360">
        <v>-1.0690109999999999E-2</v>
      </c>
      <c r="S1360">
        <v>2.9843440000000001</v>
      </c>
      <c r="T1360">
        <v>-0.29109849999999998</v>
      </c>
      <c r="U1360">
        <v>-0.15490719999999999</v>
      </c>
      <c r="V1360">
        <v>2.0206109999999999E-2</v>
      </c>
      <c r="W1360">
        <v>-8.8433730000000002E-2</v>
      </c>
      <c r="X1360">
        <v>0.99587709999999996</v>
      </c>
      <c r="Y1360">
        <v>6.1026980000000002E-2</v>
      </c>
      <c r="Z1360">
        <v>-4.2124939999999998E-3</v>
      </c>
      <c r="AA1360">
        <v>0.99812719999999999</v>
      </c>
      <c r="AB1360">
        <v>25</v>
      </c>
      <c r="AC1360">
        <v>0.59770000000000301</v>
      </c>
      <c r="AD1360">
        <v>-8.25769999999999E-2</v>
      </c>
      <c r="AE1360">
        <v>-4.6700000000043901E-2</v>
      </c>
      <c r="AF1360">
        <v>5.1442659497229398E-2</v>
      </c>
      <c r="AG1360">
        <v>-8.25769999999999E-2</v>
      </c>
      <c r="AH1360">
        <v>0.58610615509209896</v>
      </c>
      <c r="AI1360">
        <v>97.989350016596205</v>
      </c>
      <c r="AJ1360">
        <v>84.983991582642105</v>
      </c>
      <c r="AK1360">
        <v>0.59412602466311004</v>
      </c>
      <c r="AL1360">
        <v>95.0735070974428</v>
      </c>
      <c r="AM1360">
        <v>88.837641719020397</v>
      </c>
      <c r="AN1360">
        <v>1.0000000048937201</v>
      </c>
    </row>
    <row r="1361" spans="1:40" x14ac:dyDescent="0.25">
      <c r="A1361" t="str">
        <f>"20190303154122479"</f>
        <v>20190303154122479</v>
      </c>
      <c r="B1361" t="str">
        <f>"1551598882470751"</f>
        <v>1551598882470751</v>
      </c>
      <c r="C1361" t="s">
        <v>40</v>
      </c>
      <c r="D1361">
        <v>6.0432370000000004</v>
      </c>
      <c r="E1361">
        <v>0.53355750000000002</v>
      </c>
      <c r="F1361" t="s">
        <v>41</v>
      </c>
      <c r="G1361">
        <v>-232.6344</v>
      </c>
      <c r="H1361" s="1">
        <v>-3.7347710000000001E-6</v>
      </c>
      <c r="I1361">
        <v>366.27550000000002</v>
      </c>
      <c r="J1361">
        <v>-246.97239999999999</v>
      </c>
      <c r="K1361">
        <v>1.1211180000000001</v>
      </c>
      <c r="L1361">
        <v>367.71960000000001</v>
      </c>
      <c r="M1361">
        <v>0.99984289999999998</v>
      </c>
      <c r="N1361">
        <v>-1.491869E-2</v>
      </c>
      <c r="O1361">
        <v>9.5708730000000006E-3</v>
      </c>
      <c r="P1361">
        <v>0.99456199999999995</v>
      </c>
      <c r="Q1361">
        <v>-0.1036195</v>
      </c>
      <c r="R1361">
        <v>-1.046677E-2</v>
      </c>
      <c r="S1361">
        <v>2.98909</v>
      </c>
      <c r="T1361">
        <v>-0.2314543</v>
      </c>
      <c r="U1361">
        <v>-0.29785159999999899</v>
      </c>
      <c r="V1361">
        <v>1.9982509999999998E-2</v>
      </c>
      <c r="W1361">
        <v>-8.8773379999999999E-2</v>
      </c>
      <c r="X1361">
        <v>0.99585140000000005</v>
      </c>
      <c r="Y1361">
        <v>0.10827340000000001</v>
      </c>
      <c r="Z1361">
        <v>-5.582526E-3</v>
      </c>
      <c r="AA1361">
        <v>0.99410549999999998</v>
      </c>
      <c r="AB1361">
        <v>25</v>
      </c>
      <c r="AC1361">
        <v>14.3379999999999</v>
      </c>
      <c r="AD1361">
        <v>-1.1211217347710001</v>
      </c>
      <c r="AE1361">
        <v>-1.4440999999999899</v>
      </c>
      <c r="AF1361">
        <v>1.57176297466738</v>
      </c>
      <c r="AG1361">
        <v>-1.1211217347710001</v>
      </c>
      <c r="AH1361">
        <v>14.237346740991599</v>
      </c>
      <c r="AI1361">
        <v>94.475394731842101</v>
      </c>
      <c r="AJ1361">
        <v>83.700217634896703</v>
      </c>
      <c r="AK1361">
        <v>14.3676509915829</v>
      </c>
      <c r="AL1361">
        <v>95.093044412154995</v>
      </c>
      <c r="AM1361">
        <v>88.8504712011988</v>
      </c>
      <c r="AN1361">
        <v>1.0000000122922399</v>
      </c>
    </row>
    <row r="1362" spans="1:40" x14ac:dyDescent="0.25">
      <c r="A1362" t="str">
        <f>"20190303154122492"</f>
        <v>20190303154122492</v>
      </c>
      <c r="B1362" t="str">
        <f>"1551598882480510"</f>
        <v>1551598882480510</v>
      </c>
      <c r="C1362" t="s">
        <v>40</v>
      </c>
      <c r="D1362">
        <v>6.0353599999999998</v>
      </c>
      <c r="E1362">
        <v>0.53368499999999996</v>
      </c>
      <c r="F1362" t="s">
        <v>42</v>
      </c>
      <c r="G1362">
        <v>-246.05340000000001</v>
      </c>
      <c r="H1362">
        <v>1.0494460000000001</v>
      </c>
      <c r="I1362">
        <v>367.62720000000002</v>
      </c>
      <c r="J1362">
        <v>-246.8288</v>
      </c>
      <c r="K1362">
        <v>1.121116</v>
      </c>
      <c r="L1362">
        <v>367.72089999999997</v>
      </c>
      <c r="M1362">
        <v>0.99984309999999998</v>
      </c>
      <c r="N1362">
        <v>-1.4915289999999999E-2</v>
      </c>
      <c r="O1362">
        <v>9.5705800000000004E-3</v>
      </c>
      <c r="P1362">
        <v>0.99460269999999995</v>
      </c>
      <c r="Q1362">
        <v>-0.1032223</v>
      </c>
      <c r="R1362">
        <v>-1.052355E-2</v>
      </c>
      <c r="S1362">
        <v>2.988937</v>
      </c>
      <c r="T1362">
        <v>-0.23350499999999999</v>
      </c>
      <c r="U1362">
        <v>-0.2989502</v>
      </c>
      <c r="V1362">
        <v>2.0039299999999999E-2</v>
      </c>
      <c r="W1362">
        <v>-8.8379059999999995E-2</v>
      </c>
      <c r="X1362">
        <v>0.99588529999999997</v>
      </c>
      <c r="Y1362">
        <v>0.1086319</v>
      </c>
      <c r="Z1362">
        <v>-5.6426009999999997E-3</v>
      </c>
      <c r="AA1362">
        <v>0.99406600000000001</v>
      </c>
      <c r="AB1362">
        <v>25</v>
      </c>
      <c r="AC1362">
        <v>0.77539999999998999</v>
      </c>
      <c r="AD1362">
        <v>-7.1670000000000095E-2</v>
      </c>
      <c r="AE1362">
        <v>-9.3699999999955694E-2</v>
      </c>
      <c r="AF1362">
        <v>0.10027322981711501</v>
      </c>
      <c r="AG1362">
        <v>-7.1670000000000095E-2</v>
      </c>
      <c r="AH1362">
        <v>0.76800082341823805</v>
      </c>
      <c r="AI1362">
        <v>95.286799609770895</v>
      </c>
      <c r="AJ1362">
        <v>82.561314568561201</v>
      </c>
      <c r="AK1362">
        <v>0.77782811358875903</v>
      </c>
      <c r="AL1362">
        <v>95.070362544265805</v>
      </c>
      <c r="AM1362">
        <v>88.847244368211193</v>
      </c>
      <c r="AN1362">
        <v>0.99999998127353096</v>
      </c>
    </row>
    <row r="1363" spans="1:40" x14ac:dyDescent="0.25">
      <c r="A1363" t="str">
        <f>"20190303154122504"</f>
        <v>20190303154122504</v>
      </c>
      <c r="B1363" t="str">
        <f>"1551598882501006"</f>
        <v>1551598882501006</v>
      </c>
      <c r="C1363" t="s">
        <v>40</v>
      </c>
      <c r="D1363">
        <v>6.0476910000000004</v>
      </c>
      <c r="E1363">
        <v>0.53422000000000003</v>
      </c>
      <c r="F1363" t="s">
        <v>41</v>
      </c>
      <c r="G1363">
        <v>-232.53479999999999</v>
      </c>
      <c r="H1363" s="1">
        <v>-3.7757109999999998E-6</v>
      </c>
      <c r="I1363">
        <v>366.28539999999998</v>
      </c>
      <c r="J1363">
        <v>-246.6935</v>
      </c>
      <c r="K1363">
        <v>1.1211150000000001</v>
      </c>
      <c r="L1363">
        <v>367.72219999999999</v>
      </c>
      <c r="M1363">
        <v>0.99984300000000004</v>
      </c>
      <c r="N1363">
        <v>-1.4912109999999999E-2</v>
      </c>
      <c r="O1363">
        <v>9.5697579999999994E-3</v>
      </c>
      <c r="P1363">
        <v>0.99459439999999999</v>
      </c>
      <c r="Q1363">
        <v>-0.10325579999999999</v>
      </c>
      <c r="R1363">
        <v>-1.096894E-2</v>
      </c>
      <c r="S1363">
        <v>2.9887540000000001</v>
      </c>
      <c r="T1363">
        <v>-0.23441519999999999</v>
      </c>
      <c r="U1363">
        <v>-0.30014039999999997</v>
      </c>
      <c r="V1363">
        <v>2.0483689999999999E-2</v>
      </c>
      <c r="W1363">
        <v>-8.841591E-2</v>
      </c>
      <c r="X1363">
        <v>0.99587300000000001</v>
      </c>
      <c r="Y1363">
        <v>0.1090246</v>
      </c>
      <c r="Z1363">
        <v>-5.6802390000000001E-3</v>
      </c>
      <c r="AA1363">
        <v>0.99402279999999998</v>
      </c>
      <c r="AB1363">
        <v>25</v>
      </c>
      <c r="AC1363">
        <v>14.1587</v>
      </c>
      <c r="AD1363">
        <v>-1.1211187757109999</v>
      </c>
      <c r="AE1363">
        <v>-1.4368000000000001</v>
      </c>
      <c r="AF1363">
        <v>1.5625475294475299</v>
      </c>
      <c r="AG1363">
        <v>-1.1211187757109999</v>
      </c>
      <c r="AH1363">
        <v>14.0570629661946</v>
      </c>
      <c r="AI1363">
        <v>94.532167185930803</v>
      </c>
      <c r="AJ1363">
        <v>83.657184593756298</v>
      </c>
      <c r="AK1363">
        <v>14.1880048395324</v>
      </c>
      <c r="AL1363">
        <v>95.072482129868106</v>
      </c>
      <c r="AM1363">
        <v>88.821673526429294</v>
      </c>
      <c r="AN1363">
        <v>0.999999993413072</v>
      </c>
    </row>
    <row r="1364" spans="1:40" x14ac:dyDescent="0.25">
      <c r="A1364" t="str">
        <f>"20190303154122519"</f>
        <v>20190303154122519</v>
      </c>
      <c r="B1364" t="str">
        <f>"1551598882510767"</f>
        <v>1551598882510767</v>
      </c>
      <c r="C1364" t="s">
        <v>40</v>
      </c>
      <c r="D1364">
        <v>6.0539360000000002</v>
      </c>
      <c r="E1364">
        <v>0.53449659999999999</v>
      </c>
      <c r="F1364" t="s">
        <v>41</v>
      </c>
      <c r="G1364">
        <v>-232.56379999999999</v>
      </c>
      <c r="H1364" s="1">
        <v>-3.7648719999999998E-6</v>
      </c>
      <c r="I1364">
        <v>366.2765</v>
      </c>
      <c r="J1364">
        <v>-246.5419</v>
      </c>
      <c r="K1364">
        <v>1.1211180000000001</v>
      </c>
      <c r="L1364">
        <v>367.72370000000001</v>
      </c>
      <c r="M1364">
        <v>0.99984309999999998</v>
      </c>
      <c r="N1364">
        <v>-1.490856E-2</v>
      </c>
      <c r="O1364">
        <v>9.5684059999999998E-3</v>
      </c>
      <c r="P1364">
        <v>0.9945756</v>
      </c>
      <c r="Q1364">
        <v>-0.1034158</v>
      </c>
      <c r="R1364">
        <v>-1.1169780000000001E-2</v>
      </c>
      <c r="S1364">
        <v>2.988327</v>
      </c>
      <c r="T1364">
        <v>-0.23710629999999999</v>
      </c>
      <c r="U1364">
        <v>-0.30575560000000002</v>
      </c>
      <c r="V1364">
        <v>2.0683010000000002E-2</v>
      </c>
      <c r="W1364">
        <v>-8.85798E-2</v>
      </c>
      <c r="X1364">
        <v>0.99585429999999997</v>
      </c>
      <c r="Y1364">
        <v>0.1108702</v>
      </c>
      <c r="Z1364">
        <v>-5.8243899999999996E-3</v>
      </c>
      <c r="AA1364">
        <v>0.99381779999999997</v>
      </c>
      <c r="AB1364">
        <v>25</v>
      </c>
      <c r="AC1364">
        <v>13.9781</v>
      </c>
      <c r="AD1364">
        <v>-1.121121764872</v>
      </c>
      <c r="AE1364">
        <v>-1.4472</v>
      </c>
      <c r="AF1364">
        <v>1.5708984176154701</v>
      </c>
      <c r="AG1364">
        <v>-1.121121764872</v>
      </c>
      <c r="AH1364">
        <v>13.875298743327701</v>
      </c>
      <c r="AI1364">
        <v>94.590255580619598</v>
      </c>
      <c r="AJ1364">
        <v>83.540735628996899</v>
      </c>
      <c r="AK1364">
        <v>14.008874011380399</v>
      </c>
      <c r="AL1364">
        <v>95.081909405940294</v>
      </c>
      <c r="AM1364">
        <v>88.810188566732904</v>
      </c>
      <c r="AN1364">
        <v>0.999999977349594</v>
      </c>
    </row>
    <row r="1365" spans="1:40" x14ac:dyDescent="0.25">
      <c r="A1365" t="str">
        <f>"20190303154122533"</f>
        <v>20190303154122533</v>
      </c>
      <c r="B1365" t="str">
        <f>"1551598882530287"</f>
        <v>1551598882530287</v>
      </c>
      <c r="C1365" t="s">
        <v>40</v>
      </c>
      <c r="D1365">
        <v>6.0672169999999896</v>
      </c>
      <c r="E1365">
        <v>0.53489679999999995</v>
      </c>
      <c r="F1365" t="s">
        <v>42</v>
      </c>
      <c r="G1365">
        <v>-245.6053</v>
      </c>
      <c r="H1365">
        <v>1.0460579999999999</v>
      </c>
      <c r="I1365">
        <v>367.6266</v>
      </c>
      <c r="J1365">
        <v>-246.36170000000001</v>
      </c>
      <c r="K1365">
        <v>1.1211150000000001</v>
      </c>
      <c r="L1365">
        <v>367.72539999999998</v>
      </c>
      <c r="M1365">
        <v>0.99984320000000004</v>
      </c>
      <c r="N1365">
        <v>-1.4904280000000001E-2</v>
      </c>
      <c r="O1365">
        <v>9.566293E-3</v>
      </c>
      <c r="P1365">
        <v>0.99457779999999996</v>
      </c>
      <c r="Q1365">
        <v>-0.10323300000000001</v>
      </c>
      <c r="R1365">
        <v>-1.258245E-2</v>
      </c>
      <c r="S1365">
        <v>2.9879609999999999</v>
      </c>
      <c r="T1365">
        <v>-0.2397804</v>
      </c>
      <c r="U1365">
        <v>-0.30871579999999998</v>
      </c>
      <c r="V1365">
        <v>2.209347E-2</v>
      </c>
      <c r="W1365">
        <v>-8.8401519999999997E-2</v>
      </c>
      <c r="X1365">
        <v>0.9958399</v>
      </c>
      <c r="Y1365">
        <v>0.11184189999999899</v>
      </c>
      <c r="Z1365">
        <v>-5.9283529999999999E-3</v>
      </c>
      <c r="AA1365">
        <v>0.99370829999999999</v>
      </c>
      <c r="AB1365">
        <v>25</v>
      </c>
      <c r="AC1365">
        <v>0.75640000000001295</v>
      </c>
      <c r="AD1365">
        <v>-7.5056999999999902E-2</v>
      </c>
      <c r="AE1365">
        <v>-9.8799999999982901E-2</v>
      </c>
      <c r="AF1365">
        <v>0.105015542037461</v>
      </c>
      <c r="AG1365">
        <v>-7.5056999999999902E-2</v>
      </c>
      <c r="AH1365">
        <v>0.74817682566107402</v>
      </c>
      <c r="AI1365">
        <v>95.673490839874304</v>
      </c>
      <c r="AJ1365">
        <v>82.010052278579906</v>
      </c>
      <c r="AK1365">
        <v>0.75923012306856197</v>
      </c>
      <c r="AL1365">
        <v>95.071654225084401</v>
      </c>
      <c r="AM1365">
        <v>88.729057795523701</v>
      </c>
      <c r="AN1365">
        <v>1.00000002829348</v>
      </c>
    </row>
    <row r="1366" spans="1:40" x14ac:dyDescent="0.25">
      <c r="A1366" t="str">
        <f>"20190303154122547"</f>
        <v>20190303154122547</v>
      </c>
      <c r="B1366" t="str">
        <f>"1551598882541022"</f>
        <v>1551598882541022</v>
      </c>
      <c r="C1366" t="s">
        <v>40</v>
      </c>
      <c r="D1366">
        <v>6.0752709999999999</v>
      </c>
      <c r="E1366">
        <v>0.53511660000000005</v>
      </c>
      <c r="F1366" t="s">
        <v>41</v>
      </c>
      <c r="G1366">
        <v>-232.36959999999999</v>
      </c>
      <c r="H1366" s="1">
        <v>-3.8538009999999997E-6</v>
      </c>
      <c r="I1366">
        <v>366.2448</v>
      </c>
      <c r="J1366">
        <v>-246.2037</v>
      </c>
      <c r="K1366">
        <v>1.1211169999999999</v>
      </c>
      <c r="L1366">
        <v>367.7269</v>
      </c>
      <c r="M1366">
        <v>0.99984340000000005</v>
      </c>
      <c r="N1366">
        <v>-1.490053E-2</v>
      </c>
      <c r="O1366">
        <v>9.5642990000000001E-3</v>
      </c>
      <c r="P1366">
        <v>0.99458749999999996</v>
      </c>
      <c r="Q1366">
        <v>-0.1030668</v>
      </c>
      <c r="R1366">
        <v>-1.3155419999999999E-2</v>
      </c>
      <c r="S1366">
        <v>2.9875180000000001</v>
      </c>
      <c r="T1366">
        <v>-0.23937369999999999</v>
      </c>
      <c r="U1366">
        <v>-0.31610110000000002</v>
      </c>
      <c r="V1366">
        <v>2.2664469999999999E-2</v>
      </c>
      <c r="W1366">
        <v>-8.8238979999999995E-2</v>
      </c>
      <c r="X1366">
        <v>0.99584139999999999</v>
      </c>
      <c r="Y1366">
        <v>0.1142768</v>
      </c>
      <c r="Z1366">
        <v>-6.0347680000000003E-3</v>
      </c>
      <c r="AA1366">
        <v>0.99343060000000005</v>
      </c>
      <c r="AB1366">
        <v>25</v>
      </c>
      <c r="AC1366">
        <v>13.834099999999999</v>
      </c>
      <c r="AD1366">
        <v>-1.121120853801</v>
      </c>
      <c r="AE1366">
        <v>-1.4821</v>
      </c>
      <c r="AF1366">
        <v>1.60394588058642</v>
      </c>
      <c r="AG1366">
        <v>-1.121120853801</v>
      </c>
      <c r="AH1366">
        <v>13.7301402069823</v>
      </c>
      <c r="AI1366">
        <v>94.636681553912297</v>
      </c>
      <c r="AJ1366">
        <v>83.336945183211398</v>
      </c>
      <c r="AK1366">
        <v>13.868897016708599</v>
      </c>
      <c r="AL1366">
        <v>95.062305256541194</v>
      </c>
      <c r="AM1366">
        <v>88.696223782081702</v>
      </c>
      <c r="AN1366">
        <v>0.99999994487288901</v>
      </c>
    </row>
    <row r="1367" spans="1:40" x14ac:dyDescent="0.25">
      <c r="A1367" t="str">
        <f>"20190303154122560"</f>
        <v>20190303154122560</v>
      </c>
      <c r="B1367" t="str">
        <f>"1551598882550782"</f>
        <v>1551598882550782</v>
      </c>
      <c r="C1367" t="s">
        <v>40</v>
      </c>
      <c r="D1367">
        <v>6.0603899999999999</v>
      </c>
      <c r="E1367">
        <v>0.53524740000000004</v>
      </c>
      <c r="F1367" t="s">
        <v>41</v>
      </c>
      <c r="G1367">
        <v>-232.1754</v>
      </c>
      <c r="H1367" s="1">
        <v>-3.9403229999999998E-6</v>
      </c>
      <c r="I1367">
        <v>366.22660000000002</v>
      </c>
      <c r="J1367">
        <v>-246.05940000000001</v>
      </c>
      <c r="K1367">
        <v>1.1211180000000001</v>
      </c>
      <c r="L1367">
        <v>367.72829999999999</v>
      </c>
      <c r="M1367">
        <v>0.99984320000000004</v>
      </c>
      <c r="N1367">
        <v>-1.48971E-2</v>
      </c>
      <c r="O1367">
        <v>9.5627799999999999E-3</v>
      </c>
      <c r="P1367">
        <v>0.99459350000000002</v>
      </c>
      <c r="Q1367">
        <v>-0.1030066</v>
      </c>
      <c r="R1367">
        <v>-1.317334E-2</v>
      </c>
      <c r="S1367">
        <v>2.9873660000000002</v>
      </c>
      <c r="T1367">
        <v>-0.23874580000000001</v>
      </c>
      <c r="U1367">
        <v>-0.31948850000000001</v>
      </c>
      <c r="V1367">
        <v>2.268096E-2</v>
      </c>
      <c r="W1367">
        <v>-8.8182200000000002E-2</v>
      </c>
      <c r="X1367">
        <v>0.99584609999999996</v>
      </c>
      <c r="Y1367">
        <v>0.1153925</v>
      </c>
      <c r="Z1367">
        <v>-6.0733310000000004E-3</v>
      </c>
      <c r="AA1367">
        <v>0.9933014</v>
      </c>
      <c r="AB1367">
        <v>25</v>
      </c>
      <c r="AC1367">
        <v>13.884</v>
      </c>
      <c r="AD1367">
        <v>-1.1211219403229999</v>
      </c>
      <c r="AE1367">
        <v>-1.5016999999999701</v>
      </c>
      <c r="AF1367">
        <v>1.62394929562846</v>
      </c>
      <c r="AG1367">
        <v>-1.1211219403229999</v>
      </c>
      <c r="AH1367">
        <v>13.7801891919843</v>
      </c>
      <c r="AI1367">
        <v>94.619371928834994</v>
      </c>
      <c r="AJ1367">
        <v>83.2788831724055</v>
      </c>
      <c r="AK1367">
        <v>13.9207664978164</v>
      </c>
      <c r="AL1367">
        <v>95.059039038679501</v>
      </c>
      <c r="AM1367">
        <v>88.695281676384496</v>
      </c>
      <c r="AN1367">
        <v>0.99999999061428502</v>
      </c>
    </row>
    <row r="1368" spans="1:40" x14ac:dyDescent="0.25">
      <c r="A1368" t="str">
        <f>"20190303154122572"</f>
        <v>20190303154122572</v>
      </c>
      <c r="B1368" t="str">
        <f>"1551598882560543"</f>
        <v>1551598882560543</v>
      </c>
      <c r="C1368" t="s">
        <v>40</v>
      </c>
      <c r="D1368">
        <v>6.0731060000000001</v>
      </c>
      <c r="E1368">
        <v>0.53533790000000003</v>
      </c>
      <c r="F1368" t="s">
        <v>42</v>
      </c>
      <c r="G1368">
        <v>-245.15389999999999</v>
      </c>
      <c r="H1368">
        <v>1.0486249999999999</v>
      </c>
      <c r="I1368">
        <v>367.63060000000002</v>
      </c>
      <c r="J1368">
        <v>-245.92269999999999</v>
      </c>
      <c r="K1368">
        <v>1.1211169999999999</v>
      </c>
      <c r="L1368">
        <v>367.7296</v>
      </c>
      <c r="M1368">
        <v>0.9998435</v>
      </c>
      <c r="N1368">
        <v>-1.489385E-2</v>
      </c>
      <c r="O1368">
        <v>9.5613199999999999E-3</v>
      </c>
      <c r="P1368">
        <v>0.99458500000000005</v>
      </c>
      <c r="Q1368">
        <v>-0.1029934</v>
      </c>
      <c r="R1368">
        <v>-1.389956E-2</v>
      </c>
      <c r="S1368">
        <v>2.987228</v>
      </c>
      <c r="T1368">
        <v>-0.2395834</v>
      </c>
      <c r="U1368">
        <v>-0.32067869999999998</v>
      </c>
      <c r="V1368">
        <v>2.3405769999999999E-2</v>
      </c>
      <c r="W1368">
        <v>-8.8172410000000007E-2</v>
      </c>
      <c r="X1368">
        <v>0.9958302</v>
      </c>
      <c r="Y1368">
        <v>0.1157826</v>
      </c>
      <c r="Z1368">
        <v>-6.1104559999999898E-3</v>
      </c>
      <c r="AA1368">
        <v>0.99325580000000002</v>
      </c>
      <c r="AB1368">
        <v>25</v>
      </c>
      <c r="AC1368">
        <v>0.76879999999999804</v>
      </c>
      <c r="AD1368">
        <v>-7.2492000000000001E-2</v>
      </c>
      <c r="AE1368">
        <v>-9.8999999999989499E-2</v>
      </c>
      <c r="AF1368">
        <v>0.105424981025527</v>
      </c>
      <c r="AG1368">
        <v>-7.2492000000000001E-2</v>
      </c>
      <c r="AH1368">
        <v>0.76116103830631898</v>
      </c>
      <c r="AI1368">
        <v>95.389227227106005</v>
      </c>
      <c r="AJ1368">
        <v>82.114389945614207</v>
      </c>
      <c r="AK1368">
        <v>0.77183913021029604</v>
      </c>
      <c r="AL1368">
        <v>95.058475894276597</v>
      </c>
      <c r="AM1368">
        <v>88.653580726472896</v>
      </c>
      <c r="AN1368">
        <v>0.99999999559327002</v>
      </c>
    </row>
    <row r="1369" spans="1:40" x14ac:dyDescent="0.25">
      <c r="A1369" t="str">
        <f>"20190303154122585"</f>
        <v>20190303154122585</v>
      </c>
      <c r="B1369" t="str">
        <f>"1551598882580062"</f>
        <v>1551598882580062</v>
      </c>
      <c r="C1369" t="s">
        <v>40</v>
      </c>
      <c r="D1369">
        <v>6.0650719999999998</v>
      </c>
      <c r="E1369">
        <v>0.53534009999999999</v>
      </c>
      <c r="F1369" t="s">
        <v>41</v>
      </c>
      <c r="G1369">
        <v>-231.9564</v>
      </c>
      <c r="H1369" s="1">
        <v>-4.0359629999999996E-6</v>
      </c>
      <c r="I1369">
        <v>366.21710000000002</v>
      </c>
      <c r="J1369">
        <v>-245.78550000000001</v>
      </c>
      <c r="K1369">
        <v>1.1211139999999999</v>
      </c>
      <c r="L1369">
        <v>367.73090000000002</v>
      </c>
      <c r="M1369">
        <v>0.9998435</v>
      </c>
      <c r="N1369">
        <v>-1.4890570000000001E-2</v>
      </c>
      <c r="O1369">
        <v>9.5603359999999991E-3</v>
      </c>
      <c r="P1369">
        <v>0.99459370000000002</v>
      </c>
      <c r="Q1369">
        <v>-0.10287209999999999</v>
      </c>
      <c r="R1369">
        <v>-1.4174229999999999E-2</v>
      </c>
      <c r="S1369">
        <v>2.9869840000000001</v>
      </c>
      <c r="T1369">
        <v>-0.23977399999999999</v>
      </c>
      <c r="U1369">
        <v>-0.32345580000000002</v>
      </c>
      <c r="V1369">
        <v>2.3679599999999999E-2</v>
      </c>
      <c r="W1369">
        <v>-8.8054320000000005E-2</v>
      </c>
      <c r="X1369">
        <v>0.9958342</v>
      </c>
      <c r="Y1369">
        <v>0.11669889999999999</v>
      </c>
      <c r="Z1369">
        <v>-6.1581939999999996E-3</v>
      </c>
      <c r="AA1369">
        <v>0.99314829999999998</v>
      </c>
      <c r="AB1369">
        <v>25</v>
      </c>
      <c r="AC1369">
        <v>13.8291</v>
      </c>
      <c r="AD1369">
        <v>-1.121118035963</v>
      </c>
      <c r="AE1369">
        <v>-1.5138</v>
      </c>
      <c r="AF1369">
        <v>1.6353357024038799</v>
      </c>
      <c r="AG1369">
        <v>-1.121118035963</v>
      </c>
      <c r="AH1369">
        <v>13.7248585218538</v>
      </c>
      <c r="AI1369">
        <v>94.637193413740306</v>
      </c>
      <c r="AJ1369">
        <v>83.205164048681496</v>
      </c>
      <c r="AK1369">
        <v>13.8673346377385</v>
      </c>
      <c r="AL1369">
        <v>95.051683290800696</v>
      </c>
      <c r="AM1369">
        <v>88.6378399981661</v>
      </c>
      <c r="AN1369">
        <v>1.00000002030823</v>
      </c>
    </row>
    <row r="1370" spans="1:40" x14ac:dyDescent="0.25">
      <c r="A1370" t="str">
        <f>"20190303154122602"</f>
        <v>20190303154122602</v>
      </c>
      <c r="B1370" t="str">
        <f>"1551598882590798"</f>
        <v>1551598882590798</v>
      </c>
      <c r="C1370" t="s">
        <v>40</v>
      </c>
      <c r="D1370">
        <v>6.0907629999999999</v>
      </c>
      <c r="E1370">
        <v>0.53538819999999998</v>
      </c>
      <c r="F1370" t="s">
        <v>41</v>
      </c>
      <c r="G1370">
        <v>-231.87610000000001</v>
      </c>
      <c r="H1370" s="1">
        <v>-4.0699389999999998E-6</v>
      </c>
      <c r="I1370">
        <v>366.2199</v>
      </c>
      <c r="J1370">
        <v>-245.5943</v>
      </c>
      <c r="K1370">
        <v>1.1211139999999999</v>
      </c>
      <c r="L1370">
        <v>367.73270000000002</v>
      </c>
      <c r="M1370">
        <v>0.9998435</v>
      </c>
      <c r="N1370">
        <v>-1.488599E-2</v>
      </c>
      <c r="O1370">
        <v>9.5592449999999992E-3</v>
      </c>
      <c r="P1370">
        <v>0.99459379999999997</v>
      </c>
      <c r="Q1370">
        <v>-0.10281700000000001</v>
      </c>
      <c r="R1370">
        <v>-1.4554370000000001E-2</v>
      </c>
      <c r="S1370">
        <v>2.9867710000000001</v>
      </c>
      <c r="T1370">
        <v>-0.24073539999999999</v>
      </c>
      <c r="U1370">
        <v>-0.32443240000000001</v>
      </c>
      <c r="V1370">
        <v>2.4058759999999998E-2</v>
      </c>
      <c r="W1370">
        <v>-8.800384E-2</v>
      </c>
      <c r="X1370">
        <v>0.99582959999999998</v>
      </c>
      <c r="Y1370">
        <v>0.11702170000000001</v>
      </c>
      <c r="Z1370">
        <v>-6.1952730000000003E-3</v>
      </c>
      <c r="AA1370">
        <v>0.9931101</v>
      </c>
      <c r="AB1370">
        <v>25</v>
      </c>
      <c r="AC1370">
        <v>13.7181999999999</v>
      </c>
      <c r="AD1370">
        <v>-1.121118069939</v>
      </c>
      <c r="AE1370">
        <v>-1.5128000000000199</v>
      </c>
      <c r="AF1370">
        <v>1.6331046514071801</v>
      </c>
      <c r="AG1370">
        <v>-1.121118069939</v>
      </c>
      <c r="AH1370">
        <v>13.6132801909148</v>
      </c>
      <c r="AI1370">
        <v>94.674587678470004</v>
      </c>
      <c r="AJ1370">
        <v>83.159255372264099</v>
      </c>
      <c r="AK1370">
        <v>13.7566469056069</v>
      </c>
      <c r="AL1370">
        <v>95.048779597895006</v>
      </c>
      <c r="AM1370">
        <v>88.616030988652696</v>
      </c>
      <c r="AN1370">
        <v>1.0000000460118199</v>
      </c>
    </row>
    <row r="1371" spans="1:40" x14ac:dyDescent="0.25">
      <c r="A1371" t="str">
        <f>"20190303154122623"</f>
        <v>20190303154122623</v>
      </c>
      <c r="B1371" t="str">
        <f>"1551598882621054"</f>
        <v>1551598882621054</v>
      </c>
      <c r="C1371" t="s">
        <v>40</v>
      </c>
      <c r="D1371">
        <v>6.0776560000000002</v>
      </c>
      <c r="E1371">
        <v>0.53541890000000003</v>
      </c>
      <c r="F1371" t="s">
        <v>42</v>
      </c>
      <c r="G1371">
        <v>-244.70570000000001</v>
      </c>
      <c r="H1371">
        <v>1.0495190000000001</v>
      </c>
      <c r="I1371">
        <v>367.6354</v>
      </c>
      <c r="J1371">
        <v>-245.3545</v>
      </c>
      <c r="K1371">
        <v>1.1211199999999999</v>
      </c>
      <c r="L1371">
        <v>367.73500000000001</v>
      </c>
      <c r="M1371">
        <v>0.9998437</v>
      </c>
      <c r="N1371">
        <v>-1.4880239999999999E-2</v>
      </c>
      <c r="O1371">
        <v>9.5584009999999994E-3</v>
      </c>
      <c r="P1371">
        <v>0.99461080000000002</v>
      </c>
      <c r="Q1371">
        <v>-0.1026396</v>
      </c>
      <c r="R1371">
        <v>-1.4651279999999999E-2</v>
      </c>
      <c r="S1371">
        <v>2.986618</v>
      </c>
      <c r="T1371">
        <v>-0.24102029999999999</v>
      </c>
      <c r="U1371">
        <v>-0.32580569999999998</v>
      </c>
      <c r="V1371">
        <v>2.4155099999999999E-2</v>
      </c>
      <c r="W1371">
        <v>-8.7831960000000001E-2</v>
      </c>
      <c r="X1371">
        <v>0.99584240000000002</v>
      </c>
      <c r="Y1371">
        <v>0.1174748</v>
      </c>
      <c r="Z1371">
        <v>-6.2231369999999897E-3</v>
      </c>
      <c r="AA1371">
        <v>0.99305639999999995</v>
      </c>
      <c r="AB1371">
        <v>25</v>
      </c>
      <c r="AC1371">
        <v>0.64879999999999405</v>
      </c>
      <c r="AD1371">
        <v>-7.1600999999999998E-2</v>
      </c>
      <c r="AE1371">
        <v>-9.9600000000009403E-2</v>
      </c>
      <c r="AF1371">
        <v>0.104553571540299</v>
      </c>
      <c r="AG1371">
        <v>-7.1600999999999998E-2</v>
      </c>
      <c r="AH1371">
        <v>0.64020066165292799</v>
      </c>
      <c r="AI1371">
        <v>96.298764400990905</v>
      </c>
      <c r="AJ1371">
        <v>80.724694615012794</v>
      </c>
      <c r="AK1371">
        <v>0.65262166659074305</v>
      </c>
      <c r="AL1371">
        <v>95.038893530371794</v>
      </c>
      <c r="AM1371">
        <v>88.610509096141698</v>
      </c>
      <c r="AN1371">
        <v>1.0000000038456001</v>
      </c>
    </row>
    <row r="1372" spans="1:40" x14ac:dyDescent="0.25">
      <c r="A1372" t="str">
        <f>"20190303154122645"</f>
        <v>20190303154122645</v>
      </c>
      <c r="B1372" t="str">
        <f>"1551598882640574"</f>
        <v>1551598882640574</v>
      </c>
      <c r="C1372" t="s">
        <v>40</v>
      </c>
      <c r="D1372">
        <v>6.0788919999999997</v>
      </c>
      <c r="E1372">
        <v>0.53549639999999998</v>
      </c>
      <c r="F1372" t="s">
        <v>42</v>
      </c>
      <c r="G1372">
        <v>-244.4785</v>
      </c>
      <c r="H1372">
        <v>1.050052</v>
      </c>
      <c r="I1372">
        <v>367.63909999999998</v>
      </c>
      <c r="J1372">
        <v>-245.10839999999999</v>
      </c>
      <c r="K1372">
        <v>1.1211260000000001</v>
      </c>
      <c r="L1372">
        <v>367.73739999999998</v>
      </c>
      <c r="M1372">
        <v>0.9998437</v>
      </c>
      <c r="N1372">
        <v>-1.487437E-2</v>
      </c>
      <c r="O1372">
        <v>9.5584510000000008E-3</v>
      </c>
      <c r="P1372">
        <v>0.99465669999999995</v>
      </c>
      <c r="Q1372">
        <v>-0.1022096</v>
      </c>
      <c r="R1372">
        <v>-1.4530009999999999E-2</v>
      </c>
      <c r="S1372">
        <v>2.9864199999999999</v>
      </c>
      <c r="T1372">
        <v>-0.2425196</v>
      </c>
      <c r="U1372">
        <v>-0.3262024</v>
      </c>
      <c r="V1372">
        <v>2.4034380000000001E-2</v>
      </c>
      <c r="W1372">
        <v>-8.7407090000000007E-2</v>
      </c>
      <c r="X1372">
        <v>0.99588270000000001</v>
      </c>
      <c r="Y1372">
        <v>0.1176064</v>
      </c>
      <c r="Z1372">
        <v>-6.2635210000000002E-3</v>
      </c>
      <c r="AA1372">
        <v>0.99304060000000005</v>
      </c>
      <c r="AB1372">
        <v>25</v>
      </c>
      <c r="AC1372">
        <v>0.62989999999999202</v>
      </c>
      <c r="AD1372">
        <v>-7.1073999999999998E-2</v>
      </c>
      <c r="AE1372">
        <v>-9.8299999999994697E-2</v>
      </c>
      <c r="AF1372">
        <v>0.103036425971035</v>
      </c>
      <c r="AG1372">
        <v>-7.1073999999999998E-2</v>
      </c>
      <c r="AH1372">
        <v>0.62121063000414301</v>
      </c>
      <c r="AI1372">
        <v>96.4397225400417</v>
      </c>
      <c r="AJ1372">
        <v>80.582434907160007</v>
      </c>
      <c r="AK1372">
        <v>0.633696035479968</v>
      </c>
      <c r="AL1372">
        <v>95.014456299014498</v>
      </c>
      <c r="AM1372">
        <v>88.617506581449206</v>
      </c>
      <c r="AN1372">
        <v>1.00000000148177</v>
      </c>
    </row>
    <row r="1373" spans="1:40" x14ac:dyDescent="0.25">
      <c r="A1373" t="str">
        <f>"20190303154122659"</f>
        <v>20190303154122659</v>
      </c>
      <c r="B1373" t="str">
        <f>"1551598882650334"</f>
        <v>1551598882650334</v>
      </c>
      <c r="C1373" t="s">
        <v>40</v>
      </c>
      <c r="D1373">
        <v>6.0794319999999997</v>
      </c>
      <c r="E1373">
        <v>0.53548219999999902</v>
      </c>
      <c r="F1373" t="s">
        <v>41</v>
      </c>
      <c r="G1373">
        <v>-231.3244</v>
      </c>
      <c r="H1373" s="1">
        <v>-4.30503499999999E-6</v>
      </c>
      <c r="I1373">
        <v>366.22890000000001</v>
      </c>
      <c r="J1373">
        <v>-244.9633</v>
      </c>
      <c r="K1373">
        <v>1.121129</v>
      </c>
      <c r="L1373">
        <v>367.73869999999999</v>
      </c>
      <c r="M1373">
        <v>0.99984379999999995</v>
      </c>
      <c r="N1373">
        <v>-1.4870909999999999E-2</v>
      </c>
      <c r="O1373">
        <v>9.5581820000000001E-3</v>
      </c>
      <c r="P1373">
        <v>0.99468489999999998</v>
      </c>
      <c r="Q1373">
        <v>-0.101939</v>
      </c>
      <c r="R1373">
        <v>-1.451672E-2</v>
      </c>
      <c r="S1373">
        <v>2.9864039999999998</v>
      </c>
      <c r="T1373">
        <v>-0.24289830000000001</v>
      </c>
      <c r="U1373">
        <v>-0.32681270000000001</v>
      </c>
      <c r="V1373">
        <v>2.4021130000000002E-2</v>
      </c>
      <c r="W1373">
        <v>-8.7139549999999996E-2</v>
      </c>
      <c r="X1373">
        <v>0.99590650000000003</v>
      </c>
      <c r="Y1373">
        <v>0.1178051</v>
      </c>
      <c r="Z1373">
        <v>-6.2814480000000002E-3</v>
      </c>
      <c r="AA1373">
        <v>0.99301689999999998</v>
      </c>
      <c r="AB1373">
        <v>25</v>
      </c>
      <c r="AC1373">
        <v>13.6389</v>
      </c>
      <c r="AD1373">
        <v>-1.1211333050350001</v>
      </c>
      <c r="AE1373">
        <v>-1.50979999999998</v>
      </c>
      <c r="AF1373">
        <v>1.6292330070551899</v>
      </c>
      <c r="AG1373">
        <v>-1.1211333050350001</v>
      </c>
      <c r="AH1373">
        <v>13.5335050226874</v>
      </c>
      <c r="AI1373">
        <v>94.701849629851907</v>
      </c>
      <c r="AJ1373">
        <v>83.135473475518396</v>
      </c>
      <c r="AK1373">
        <v>13.677247467163999</v>
      </c>
      <c r="AL1373">
        <v>94.999068498673196</v>
      </c>
      <c r="AM1373">
        <v>88.618301453262902</v>
      </c>
      <c r="AN1373">
        <v>1.0000000363014601</v>
      </c>
    </row>
    <row r="1374" spans="1:40" x14ac:dyDescent="0.25">
      <c r="A1374" t="str">
        <f>"20190303154122670"</f>
        <v>20190303154122670</v>
      </c>
      <c r="B1374" t="str">
        <f>"1551598882661071"</f>
        <v>1551598882661071</v>
      </c>
      <c r="C1374" t="s">
        <v>40</v>
      </c>
      <c r="D1374">
        <v>6.0999460000000001</v>
      </c>
      <c r="E1374">
        <v>0.53546949999999904</v>
      </c>
      <c r="F1374" t="s">
        <v>42</v>
      </c>
      <c r="G1374">
        <v>-244.0403</v>
      </c>
      <c r="H1374">
        <v>1.0460309999999999</v>
      </c>
      <c r="I1374">
        <v>367.6377</v>
      </c>
      <c r="J1374">
        <v>-244.8272</v>
      </c>
      <c r="K1374">
        <v>1.121132</v>
      </c>
      <c r="L1374">
        <v>367.74009999999998</v>
      </c>
      <c r="M1374">
        <v>0.99984390000000001</v>
      </c>
      <c r="N1374">
        <v>-1.4867669999999999E-2</v>
      </c>
      <c r="O1374">
        <v>9.5583890000000005E-3</v>
      </c>
      <c r="P1374">
        <v>0.99467870000000003</v>
      </c>
      <c r="Q1374">
        <v>-0.10206419999999999</v>
      </c>
      <c r="R1374">
        <v>-1.405056E-2</v>
      </c>
      <c r="S1374">
        <v>2.9863740000000001</v>
      </c>
      <c r="T1374">
        <v>-0.2431461</v>
      </c>
      <c r="U1374">
        <v>-0.32629390000000003</v>
      </c>
      <c r="V1374">
        <v>2.3555059999999999E-2</v>
      </c>
      <c r="W1374">
        <v>-8.7267979999999995E-2</v>
      </c>
      <c r="X1374">
        <v>0.99590639999999997</v>
      </c>
      <c r="Y1374">
        <v>0.11763560000000001</v>
      </c>
      <c r="Z1374">
        <v>-6.2789019999999899E-3</v>
      </c>
      <c r="AA1374">
        <v>0.99303699999999995</v>
      </c>
      <c r="AB1374">
        <v>25</v>
      </c>
      <c r="AC1374">
        <v>0.78690000000000204</v>
      </c>
      <c r="AD1374">
        <v>-7.5101000000000001E-2</v>
      </c>
      <c r="AE1374">
        <v>-0.102399999999988</v>
      </c>
      <c r="AF1374">
        <v>0.108941862457492</v>
      </c>
      <c r="AG1374">
        <v>-7.5101000000000001E-2</v>
      </c>
      <c r="AH1374">
        <v>0.77890852221416396</v>
      </c>
      <c r="AI1374">
        <v>95.454566595261696</v>
      </c>
      <c r="AJ1374">
        <v>82.037988828625501</v>
      </c>
      <c r="AK1374">
        <v>0.79006770315876096</v>
      </c>
      <c r="AL1374">
        <v>95.006455069186799</v>
      </c>
      <c r="AM1374">
        <v>88.645099632856699</v>
      </c>
      <c r="AN1374">
        <v>1.00000004937292</v>
      </c>
    </row>
    <row r="1375" spans="1:40" x14ac:dyDescent="0.25">
      <c r="A1375" t="str">
        <f>"20190303154122683"</f>
        <v>20190303154122683</v>
      </c>
      <c r="B1375" t="str">
        <f>"1551598882680591"</f>
        <v>1551598882680591</v>
      </c>
      <c r="C1375" t="s">
        <v>40</v>
      </c>
      <c r="D1375">
        <v>6.1178269999999904</v>
      </c>
      <c r="E1375">
        <v>0.53538479999999999</v>
      </c>
      <c r="F1375" t="s">
        <v>41</v>
      </c>
      <c r="G1375">
        <v>-231.13499999999999</v>
      </c>
      <c r="H1375" s="1">
        <v>-4.3826899999999997E-6</v>
      </c>
      <c r="I1375">
        <v>366.24900000000002</v>
      </c>
      <c r="J1375">
        <v>-244.6909</v>
      </c>
      <c r="K1375">
        <v>1.121129</v>
      </c>
      <c r="L1375">
        <v>367.7414</v>
      </c>
      <c r="M1375">
        <v>0.99984379999999995</v>
      </c>
      <c r="N1375">
        <v>-1.486442E-2</v>
      </c>
      <c r="O1375">
        <v>9.5585349999999999E-3</v>
      </c>
      <c r="P1375">
        <v>0.99469870000000005</v>
      </c>
      <c r="Q1375">
        <v>-0.10189230000000001</v>
      </c>
      <c r="R1375">
        <v>-1.3880139999999999E-2</v>
      </c>
      <c r="S1375">
        <v>2.9863740000000001</v>
      </c>
      <c r="T1375">
        <v>-0.24452750000000001</v>
      </c>
      <c r="U1375">
        <v>-0.32519530000000002</v>
      </c>
      <c r="V1375">
        <v>2.338519E-2</v>
      </c>
      <c r="W1375">
        <v>-8.7098960000000003E-2</v>
      </c>
      <c r="X1375">
        <v>0.99592510000000001</v>
      </c>
      <c r="Y1375">
        <v>0.1172711</v>
      </c>
      <c r="Z1375">
        <v>-6.2926619999999897E-3</v>
      </c>
      <c r="AA1375">
        <v>0.99307999999999996</v>
      </c>
      <c r="AB1375">
        <v>25</v>
      </c>
      <c r="AC1375">
        <v>13.555899999999999</v>
      </c>
      <c r="AD1375">
        <v>-1.1211333826899901</v>
      </c>
      <c r="AE1375">
        <v>-1.49239999999997</v>
      </c>
      <c r="AF1375">
        <v>1.6110331214303499</v>
      </c>
      <c r="AG1375">
        <v>-1.1211333826899901</v>
      </c>
      <c r="AH1375">
        <v>13.450116381214899</v>
      </c>
      <c r="AI1375">
        <v>94.731207058887193</v>
      </c>
      <c r="AJ1375">
        <v>83.169744676024706</v>
      </c>
      <c r="AK1375">
        <v>13.592571443562599</v>
      </c>
      <c r="AL1375">
        <v>94.996734417429195</v>
      </c>
      <c r="AM1375">
        <v>88.654892295952607</v>
      </c>
      <c r="AN1375">
        <v>0.99999995037721201</v>
      </c>
    </row>
    <row r="1376" spans="1:40" x14ac:dyDescent="0.25">
      <c r="A1376" t="str">
        <f>"20190303154122696"</f>
        <v>20190303154122696</v>
      </c>
      <c r="B1376" t="str">
        <f>"1551598882690351"</f>
        <v>1551598882690351</v>
      </c>
      <c r="C1376" t="s">
        <v>40</v>
      </c>
      <c r="D1376">
        <v>6.175459</v>
      </c>
      <c r="E1376">
        <v>0.53538479999999999</v>
      </c>
      <c r="F1376" t="s">
        <v>42</v>
      </c>
      <c r="G1376">
        <v>-243.81630000000001</v>
      </c>
      <c r="H1376">
        <v>1.0492779999999999</v>
      </c>
      <c r="I1376">
        <v>367.6463</v>
      </c>
      <c r="J1376">
        <v>-244.5445</v>
      </c>
      <c r="K1376">
        <v>1.12113</v>
      </c>
      <c r="L1376">
        <v>367.74270000000001</v>
      </c>
      <c r="M1376">
        <v>0.99984390000000001</v>
      </c>
      <c r="N1376">
        <v>-1.486093E-2</v>
      </c>
      <c r="O1376">
        <v>9.5585630000000008E-3</v>
      </c>
      <c r="P1376">
        <v>0.99469560000000001</v>
      </c>
      <c r="Q1376">
        <v>-0.1019736</v>
      </c>
      <c r="R1376">
        <v>-1.34978999999999E-2</v>
      </c>
      <c r="S1376">
        <v>2.9862820000000001</v>
      </c>
      <c r="T1376">
        <v>-0.24568619999999999</v>
      </c>
      <c r="U1376">
        <v>-0.32369999999999999</v>
      </c>
      <c r="V1376">
        <v>2.3002930000000001E-2</v>
      </c>
      <c r="W1376">
        <v>-8.7183659999999996E-2</v>
      </c>
      <c r="X1376">
        <v>0.9959266</v>
      </c>
      <c r="Y1376">
        <v>0.1167805</v>
      </c>
      <c r="Z1376">
        <v>-6.2953030000000004E-3</v>
      </c>
      <c r="AA1376">
        <v>0.99313779999999996</v>
      </c>
      <c r="AB1376">
        <v>25</v>
      </c>
      <c r="AC1376">
        <v>0.72819999999998597</v>
      </c>
      <c r="AD1376">
        <v>-7.1851999999999805E-2</v>
      </c>
      <c r="AE1376">
        <v>-9.6400000000016903E-2</v>
      </c>
      <c r="AF1376">
        <v>0.102377339845028</v>
      </c>
      <c r="AG1376">
        <v>-7.1851999999999805E-2</v>
      </c>
      <c r="AH1376">
        <v>0.72035268177397305</v>
      </c>
      <c r="AI1376">
        <v>95.639857726850906</v>
      </c>
      <c r="AJ1376">
        <v>81.911228707799694</v>
      </c>
      <c r="AK1376">
        <v>0.731130505283906</v>
      </c>
      <c r="AL1376">
        <v>95.001605858409903</v>
      </c>
      <c r="AM1376">
        <v>88.676873864428401</v>
      </c>
      <c r="AN1376">
        <v>0.99999995897356897</v>
      </c>
    </row>
    <row r="1377" spans="1:40" x14ac:dyDescent="0.25">
      <c r="A1377" t="str">
        <f>"20190303154122708"</f>
        <v>20190303154122708</v>
      </c>
      <c r="B1377" t="str">
        <f>"1551598882700111"</f>
        <v>1551598882700111</v>
      </c>
      <c r="C1377" t="s">
        <v>40</v>
      </c>
      <c r="D1377">
        <v>6.0058920000000002</v>
      </c>
      <c r="E1377">
        <v>0.51449540000000005</v>
      </c>
      <c r="F1377" t="s">
        <v>42</v>
      </c>
      <c r="G1377">
        <v>-243.5993</v>
      </c>
      <c r="H1377">
        <v>1.0433380000000001</v>
      </c>
      <c r="I1377">
        <v>367.64060000000001</v>
      </c>
      <c r="J1377">
        <v>-244.40860000000001</v>
      </c>
      <c r="K1377">
        <v>1.121129</v>
      </c>
      <c r="L1377">
        <v>367.74400000000003</v>
      </c>
      <c r="M1377">
        <v>0.99984399999999996</v>
      </c>
      <c r="N1377">
        <v>-1.485768E-2</v>
      </c>
      <c r="O1377">
        <v>9.5577479999999996E-3</v>
      </c>
      <c r="P1377">
        <v>0.99470959999999997</v>
      </c>
      <c r="Q1377">
        <v>-0.10186099999999999</v>
      </c>
      <c r="R1377">
        <v>-1.330716E-2</v>
      </c>
      <c r="S1377">
        <v>2.9864199999999999</v>
      </c>
      <c r="T1377">
        <v>-0.24581710000000001</v>
      </c>
      <c r="U1377">
        <v>-0.32272339999999999</v>
      </c>
      <c r="V1377">
        <v>2.281161E-2</v>
      </c>
      <c r="W1377">
        <v>-8.7074090000000007E-2</v>
      </c>
      <c r="X1377">
        <v>0.99594059999999995</v>
      </c>
      <c r="Y1377">
        <v>0.11645469999999999</v>
      </c>
      <c r="Z1377">
        <v>-6.2820879999999999E-3</v>
      </c>
      <c r="AA1377">
        <v>0.99317619999999895</v>
      </c>
      <c r="AB1377">
        <v>25</v>
      </c>
      <c r="AC1377">
        <v>0.80930000000000701</v>
      </c>
      <c r="AD1377">
        <v>-7.7791000000000096E-2</v>
      </c>
      <c r="AE1377">
        <v>-0.103400000000021</v>
      </c>
      <c r="AF1377">
        <v>0.11013003231571999</v>
      </c>
      <c r="AG1377">
        <v>-7.7791000000000096E-2</v>
      </c>
      <c r="AH1377">
        <v>0.80099288883969599</v>
      </c>
      <c r="AI1377">
        <v>95.495686517196106</v>
      </c>
      <c r="AJ1377">
        <v>82.171379105144197</v>
      </c>
      <c r="AK1377">
        <v>0.81226207080635204</v>
      </c>
      <c r="AL1377">
        <v>94.995303925086603</v>
      </c>
      <c r="AM1377">
        <v>88.687893145719798</v>
      </c>
      <c r="AN1377">
        <v>0.99999997271423902</v>
      </c>
    </row>
    <row r="1378" spans="1:40" x14ac:dyDescent="0.25">
      <c r="A1378" t="str">
        <f>"20190303154122724"</f>
        <v>20190303154122724</v>
      </c>
      <c r="B1378" t="str">
        <f>"1551598882720607"</f>
        <v>1551598882720607</v>
      </c>
      <c r="C1378" t="s">
        <v>40</v>
      </c>
      <c r="D1378">
        <v>5.9334709999999999</v>
      </c>
      <c r="E1378">
        <v>0.50374049999999904</v>
      </c>
      <c r="F1378" t="s">
        <v>41</v>
      </c>
      <c r="G1378">
        <v>-222.44290000000001</v>
      </c>
      <c r="H1378" s="1">
        <v>-3.7585309999999999E-6</v>
      </c>
      <c r="I1378">
        <v>366.6046</v>
      </c>
      <c r="J1378">
        <v>-244.2373</v>
      </c>
      <c r="K1378">
        <v>1.12113</v>
      </c>
      <c r="L1378">
        <v>367.7457</v>
      </c>
      <c r="M1378">
        <v>0.99984410000000001</v>
      </c>
      <c r="N1378">
        <v>-1.485359E-2</v>
      </c>
      <c r="O1378">
        <v>9.5556140000000005E-3</v>
      </c>
      <c r="P1378">
        <v>0.99475150000000001</v>
      </c>
      <c r="Q1378">
        <v>-0.10148989999999999</v>
      </c>
      <c r="R1378">
        <v>-1.3015189999999999E-2</v>
      </c>
      <c r="S1378">
        <v>2.9981990000000001</v>
      </c>
      <c r="T1378">
        <v>-0.1530282</v>
      </c>
      <c r="U1378">
        <v>-0.15551760000000001</v>
      </c>
      <c r="V1378">
        <v>2.2517410000000002E-2</v>
      </c>
      <c r="W1378">
        <v>-8.6706580000000005E-2</v>
      </c>
      <c r="X1378">
        <v>0.99597939999999996</v>
      </c>
      <c r="Y1378">
        <v>6.1233200000000002E-2</v>
      </c>
      <c r="Z1378">
        <v>-2.3614119999999998E-3</v>
      </c>
      <c r="AA1378">
        <v>0.99812069999999997</v>
      </c>
      <c r="AB1378">
        <v>25</v>
      </c>
      <c r="AC1378">
        <v>21.7944</v>
      </c>
      <c r="AD1378">
        <v>-1.1211337585309999</v>
      </c>
      <c r="AE1378">
        <v>-1.14109999999999</v>
      </c>
      <c r="AF1378">
        <v>1.34577824305446</v>
      </c>
      <c r="AG1378">
        <v>-1.1211337585309999</v>
      </c>
      <c r="AH1378">
        <v>21.725167339019201</v>
      </c>
      <c r="AI1378">
        <v>92.948503633729402</v>
      </c>
      <c r="AJ1378">
        <v>86.455308638858895</v>
      </c>
      <c r="AK1378">
        <v>21.795663694698199</v>
      </c>
      <c r="AL1378">
        <v>94.974167000074601</v>
      </c>
      <c r="AM1378">
        <v>88.704859948269402</v>
      </c>
      <c r="AN1378">
        <v>1.0000000149963799</v>
      </c>
    </row>
    <row r="1379" spans="1:40" x14ac:dyDescent="0.25">
      <c r="A1379" t="str">
        <f>"20190303154122745"</f>
        <v>20190303154122745</v>
      </c>
      <c r="B1379" t="str">
        <f>"1551598882740126"</f>
        <v>1551598882740126</v>
      </c>
      <c r="C1379" t="s">
        <v>40</v>
      </c>
      <c r="D1379">
        <v>5.9388899999999998</v>
      </c>
      <c r="E1379">
        <v>0.50025489999999995</v>
      </c>
      <c r="F1379" t="s">
        <v>41</v>
      </c>
      <c r="G1379">
        <v>-222.39599999999999</v>
      </c>
      <c r="H1379" s="1">
        <v>-3.6655209999999998E-6</v>
      </c>
      <c r="I1379">
        <v>367.2423</v>
      </c>
      <c r="J1379">
        <v>-243.99539999999999</v>
      </c>
      <c r="K1379">
        <v>1.1211279999999999</v>
      </c>
      <c r="L1379">
        <v>367.74799999999999</v>
      </c>
      <c r="M1379">
        <v>0.99984430000000002</v>
      </c>
      <c r="N1379">
        <v>-1.4847809999999999E-2</v>
      </c>
      <c r="O1379">
        <v>9.5463449999999995E-3</v>
      </c>
      <c r="P1379">
        <v>0.9947414</v>
      </c>
      <c r="Q1379">
        <v>-0.1016555</v>
      </c>
      <c r="R1379">
        <v>-1.2476070000000001E-2</v>
      </c>
      <c r="S1379">
        <v>2.9992220000000001</v>
      </c>
      <c r="T1379">
        <v>-0.1539527</v>
      </c>
      <c r="U1379">
        <v>-6.9122310000000006E-2</v>
      </c>
      <c r="V1379">
        <v>2.1968399999999999E-2</v>
      </c>
      <c r="W1379">
        <v>-8.6878090000000005E-2</v>
      </c>
      <c r="X1379">
        <v>0.99597670000000005</v>
      </c>
      <c r="Y1379">
        <v>3.25229E-2</v>
      </c>
      <c r="Z1379">
        <v>-1.423732E-3</v>
      </c>
      <c r="AA1379">
        <v>0.99946999999999997</v>
      </c>
      <c r="AB1379">
        <v>25</v>
      </c>
      <c r="AC1379">
        <v>21.599399999999999</v>
      </c>
      <c r="AD1379">
        <v>-1.121131665521</v>
      </c>
      <c r="AE1379">
        <v>-0.505700000000047</v>
      </c>
      <c r="AF1379">
        <v>0.70998319706802604</v>
      </c>
      <c r="AG1379">
        <v>-1.121131665521</v>
      </c>
      <c r="AH1379">
        <v>21.5355980112437</v>
      </c>
      <c r="AI1379">
        <v>92.978481969682704</v>
      </c>
      <c r="AJ1379">
        <v>88.111763019936305</v>
      </c>
      <c r="AK1379">
        <v>21.576445352593101</v>
      </c>
      <c r="AL1379">
        <v>94.984031096477594</v>
      </c>
      <c r="AM1379">
        <v>88.736423717310402</v>
      </c>
      <c r="AN1379">
        <v>1.0000000000317399</v>
      </c>
    </row>
    <row r="1380" spans="1:40" x14ac:dyDescent="0.25">
      <c r="A1380" t="str">
        <f>"20190303154122769"</f>
        <v>20190303154122769</v>
      </c>
      <c r="B1380" t="str">
        <f>"1551598882760622"</f>
        <v>1551598882760622</v>
      </c>
      <c r="C1380" t="s">
        <v>40</v>
      </c>
      <c r="D1380">
        <v>5.9498579999999999</v>
      </c>
      <c r="E1380">
        <v>0.49842599999999998</v>
      </c>
      <c r="F1380" t="s">
        <v>41</v>
      </c>
      <c r="G1380">
        <v>-221.87569999999999</v>
      </c>
      <c r="H1380" s="1">
        <v>-3.8507729999999999E-6</v>
      </c>
      <c r="I1380">
        <v>367.4563</v>
      </c>
      <c r="J1380">
        <v>-243.74289999999999</v>
      </c>
      <c r="K1380">
        <v>1.121119</v>
      </c>
      <c r="L1380">
        <v>367.75029999999998</v>
      </c>
      <c r="M1380">
        <v>0.99984450000000002</v>
      </c>
      <c r="N1380">
        <v>-1.4841790000000001E-2</v>
      </c>
      <c r="O1380">
        <v>9.5242580000000007E-3</v>
      </c>
      <c r="P1380">
        <v>0.99471529999999997</v>
      </c>
      <c r="Q1380">
        <v>-0.1019227</v>
      </c>
      <c r="R1380">
        <v>-1.237311E-2</v>
      </c>
      <c r="S1380">
        <v>2.9998320000000001</v>
      </c>
      <c r="T1380">
        <v>-0.1520456</v>
      </c>
      <c r="U1380">
        <v>-3.9550780000000001E-2</v>
      </c>
      <c r="V1380">
        <v>2.1841470000000002E-2</v>
      </c>
      <c r="W1380">
        <v>-8.7152069999999998E-2</v>
      </c>
      <c r="X1380">
        <v>0.99595549999999999</v>
      </c>
      <c r="Y1380">
        <v>2.2663340000000001E-2</v>
      </c>
      <c r="Z1380">
        <v>-1.0833990000000001E-3</v>
      </c>
      <c r="AA1380">
        <v>0.99974260000000004</v>
      </c>
      <c r="AB1380">
        <v>25</v>
      </c>
      <c r="AC1380">
        <v>21.8672</v>
      </c>
      <c r="AD1380">
        <v>-1.121122850773</v>
      </c>
      <c r="AE1380">
        <v>-0.293999999999982</v>
      </c>
      <c r="AF1380">
        <v>0.50096188067508496</v>
      </c>
      <c r="AG1380">
        <v>-1.121122850773</v>
      </c>
      <c r="AH1380">
        <v>21.806098950248799</v>
      </c>
      <c r="AI1380">
        <v>92.942396946200702</v>
      </c>
      <c r="AJ1380">
        <v>88.683948307551503</v>
      </c>
      <c r="AK1380">
        <v>21.8406462972242</v>
      </c>
      <c r="AL1380">
        <v>94.999789036212803</v>
      </c>
      <c r="AM1380">
        <v>88.743695385464207</v>
      </c>
      <c r="AN1380">
        <v>0.99999994554864602</v>
      </c>
    </row>
    <row r="1381" spans="1:40" x14ac:dyDescent="0.25">
      <c r="A1381" t="str">
        <f>"20190303154122790"</f>
        <v>20190303154122790</v>
      </c>
      <c r="B1381" t="str">
        <f>"1551598882780142"</f>
        <v>1551598882780142</v>
      </c>
      <c r="C1381" t="s">
        <v>40</v>
      </c>
      <c r="D1381">
        <v>5.8908719999999999</v>
      </c>
      <c r="E1381">
        <v>0.49746649999999998</v>
      </c>
      <c r="F1381" t="s">
        <v>41</v>
      </c>
      <c r="G1381">
        <v>-221.78579999999999</v>
      </c>
      <c r="H1381" s="1">
        <v>-3.8690209999999997E-6</v>
      </c>
      <c r="I1381">
        <v>367.57100000000003</v>
      </c>
      <c r="J1381">
        <v>-243.50479999999999</v>
      </c>
      <c r="K1381">
        <v>1.1211089999999999</v>
      </c>
      <c r="L1381">
        <v>367.75259999999997</v>
      </c>
      <c r="M1381">
        <v>0.99984499999999998</v>
      </c>
      <c r="N1381">
        <v>-1.48361E-2</v>
      </c>
      <c r="O1381">
        <v>9.490264E-3</v>
      </c>
      <c r="P1381">
        <v>0.99471319999999996</v>
      </c>
      <c r="Q1381">
        <v>-0.10192379999999999</v>
      </c>
      <c r="R1381">
        <v>-1.254722E-2</v>
      </c>
      <c r="S1381">
        <v>2.999924</v>
      </c>
      <c r="T1381">
        <v>-0.15317439999999999</v>
      </c>
      <c r="U1381">
        <v>-2.4505619999999999E-2</v>
      </c>
      <c r="V1381">
        <v>2.1979510000000001E-2</v>
      </c>
      <c r="W1381">
        <v>-8.7159410000000007E-2</v>
      </c>
      <c r="X1381">
        <v>0.9959519</v>
      </c>
      <c r="Y1381">
        <v>1.762323E-2</v>
      </c>
      <c r="Z1381">
        <v>-9.2396920000000003E-4</v>
      </c>
      <c r="AA1381">
        <v>0.99984430000000002</v>
      </c>
      <c r="AB1381">
        <v>25</v>
      </c>
      <c r="AC1381">
        <v>21.718999999999902</v>
      </c>
      <c r="AD1381">
        <v>-1.1211128690209999</v>
      </c>
      <c r="AE1381">
        <v>-0.18160000000000301</v>
      </c>
      <c r="AF1381">
        <v>0.38670322502577098</v>
      </c>
      <c r="AG1381">
        <v>-1.1211128690209999</v>
      </c>
      <c r="AH1381">
        <v>21.6585923557287</v>
      </c>
      <c r="AI1381">
        <v>92.962683238693401</v>
      </c>
      <c r="AJ1381">
        <v>88.977121484321401</v>
      </c>
      <c r="AK1381">
        <v>21.6910363118261</v>
      </c>
      <c r="AL1381">
        <v>95.000210798604598</v>
      </c>
      <c r="AM1381">
        <v>88.735753430999196</v>
      </c>
      <c r="AN1381">
        <v>1.00000002436249</v>
      </c>
    </row>
    <row r="1382" spans="1:40" x14ac:dyDescent="0.25">
      <c r="A1382" t="str">
        <f>"20190303154122814"</f>
        <v>20190303154122814</v>
      </c>
      <c r="B1382" t="str">
        <f>"1551598882810398"</f>
        <v>1551598882810398</v>
      </c>
      <c r="C1382" t="s">
        <v>40</v>
      </c>
      <c r="D1382">
        <v>5.8997739999999999</v>
      </c>
      <c r="E1382">
        <v>0.49680350000000001</v>
      </c>
      <c r="F1382" t="s">
        <v>41</v>
      </c>
      <c r="G1382">
        <v>-221.71789999999999</v>
      </c>
      <c r="H1382" s="1">
        <v>-3.8882740000000002E-6</v>
      </c>
      <c r="I1382">
        <v>367.62670000000003</v>
      </c>
      <c r="J1382">
        <v>-243.24930000000001</v>
      </c>
      <c r="K1382">
        <v>1.121094</v>
      </c>
      <c r="L1382">
        <v>367.755</v>
      </c>
      <c r="M1382">
        <v>0.9998456</v>
      </c>
      <c r="N1382">
        <v>-1.482998E-2</v>
      </c>
      <c r="O1382">
        <v>9.4378680000000003E-3</v>
      </c>
      <c r="P1382">
        <v>0.99469180000000001</v>
      </c>
      <c r="Q1382">
        <v>-0.1020303</v>
      </c>
      <c r="R1382">
        <v>-1.3358790000000001E-2</v>
      </c>
      <c r="S1382">
        <v>2.9999389999999999</v>
      </c>
      <c r="T1382">
        <v>-0.15437020000000001</v>
      </c>
      <c r="U1382">
        <v>-1.7333979999999999E-2</v>
      </c>
      <c r="V1382">
        <v>2.2735979999999999E-2</v>
      </c>
      <c r="W1382">
        <v>-8.7273219999999999E-2</v>
      </c>
      <c r="X1382">
        <v>0.9959249</v>
      </c>
      <c r="Y1382">
        <v>1.518429E-2</v>
      </c>
      <c r="Z1382">
        <v>-8.4852759999999995E-4</v>
      </c>
      <c r="AA1382">
        <v>0.99988440000000001</v>
      </c>
      <c r="AB1382">
        <v>25</v>
      </c>
      <c r="AC1382">
        <v>21.531400000000001</v>
      </c>
      <c r="AD1382">
        <v>-1.1210978882739999</v>
      </c>
      <c r="AE1382">
        <v>-0.128299999999967</v>
      </c>
      <c r="AF1382">
        <v>0.330630787159096</v>
      </c>
      <c r="AG1382">
        <v>-1.1210978882739999</v>
      </c>
      <c r="AH1382">
        <v>21.471022200815501</v>
      </c>
      <c r="AI1382">
        <v>92.988600328160601</v>
      </c>
      <c r="AJ1382">
        <v>89.117775979243703</v>
      </c>
      <c r="AK1382">
        <v>21.502813107601099</v>
      </c>
      <c r="AL1382">
        <v>95.006756831893895</v>
      </c>
      <c r="AM1382">
        <v>88.692221205239093</v>
      </c>
      <c r="AN1382">
        <v>0.99999997307786903</v>
      </c>
    </row>
    <row r="1383" spans="1:40" x14ac:dyDescent="0.25">
      <c r="A1383" t="str">
        <f>"20190303154122837"</f>
        <v>20190303154122837</v>
      </c>
      <c r="B1383" t="str">
        <f>"1551598882830894"</f>
        <v>1551598882830894</v>
      </c>
      <c r="C1383" t="s">
        <v>40</v>
      </c>
      <c r="D1383">
        <v>5.9046289999999999</v>
      </c>
      <c r="E1383">
        <v>0.49654520000000002</v>
      </c>
      <c r="F1383" t="s">
        <v>41</v>
      </c>
      <c r="G1383">
        <v>-221.95670000000001</v>
      </c>
      <c r="H1383" s="1">
        <v>-3.7812119999999998E-6</v>
      </c>
      <c r="I1383">
        <v>367.65269999999998</v>
      </c>
      <c r="J1383">
        <v>-243.0067</v>
      </c>
      <c r="K1383">
        <v>1.121081</v>
      </c>
      <c r="L1383">
        <v>367.75720000000001</v>
      </c>
      <c r="M1383">
        <v>0.99984629999999997</v>
      </c>
      <c r="N1383">
        <v>-1.4824149999999999E-2</v>
      </c>
      <c r="O1383">
        <v>9.371229E-3</v>
      </c>
      <c r="P1383">
        <v>0.99459949999999997</v>
      </c>
      <c r="Q1383">
        <v>-0.10284649999999999</v>
      </c>
      <c r="R1383">
        <v>-1.395036E-2</v>
      </c>
      <c r="S1383">
        <v>2.999619</v>
      </c>
      <c r="T1383">
        <v>-0.15793479999999999</v>
      </c>
      <c r="U1383">
        <v>-1.44043E-2</v>
      </c>
      <c r="V1383">
        <v>2.3257650000000001E-2</v>
      </c>
      <c r="W1383">
        <v>-8.8097389999999998E-2</v>
      </c>
      <c r="X1383">
        <v>0.99584030000000001</v>
      </c>
      <c r="Y1383">
        <v>1.4142109999999999E-2</v>
      </c>
      <c r="Z1383">
        <v>-8.3116899999999998E-4</v>
      </c>
      <c r="AA1383">
        <v>0.9998996</v>
      </c>
      <c r="AB1383">
        <v>25</v>
      </c>
      <c r="AC1383">
        <v>21.049999999999901</v>
      </c>
      <c r="AD1383">
        <v>-1.1210847812119999</v>
      </c>
      <c r="AE1383">
        <v>-0.10450000000003</v>
      </c>
      <c r="AF1383">
        <v>0.30092789849983098</v>
      </c>
      <c r="AG1383">
        <v>-1.1210847812119999</v>
      </c>
      <c r="AH1383">
        <v>20.988564854875801</v>
      </c>
      <c r="AI1383">
        <v>93.057181920911503</v>
      </c>
      <c r="AJ1383">
        <v>89.178566170902897</v>
      </c>
      <c r="AK1383">
        <v>21.020638509666799</v>
      </c>
      <c r="AL1383">
        <v>95.054160822636703</v>
      </c>
      <c r="AM1383">
        <v>88.662111801875099</v>
      </c>
      <c r="AN1383">
        <v>0.99999998575621196</v>
      </c>
    </row>
    <row r="1384" spans="1:40" x14ac:dyDescent="0.25">
      <c r="A1384" t="str">
        <f>"20190303154122858"</f>
        <v>20190303154122858</v>
      </c>
      <c r="B1384" t="str">
        <f>"1551598882850418"</f>
        <v>1551598882850418</v>
      </c>
      <c r="C1384" t="s">
        <v>40</v>
      </c>
      <c r="D1384">
        <v>5.9331709999999998</v>
      </c>
      <c r="E1384">
        <v>0.496419</v>
      </c>
      <c r="F1384" t="s">
        <v>41</v>
      </c>
      <c r="G1384">
        <v>-222.3</v>
      </c>
      <c r="H1384" s="1">
        <v>-3.6329879999999999E-6</v>
      </c>
      <c r="I1384">
        <v>367.65789999999998</v>
      </c>
      <c r="J1384">
        <v>-242.76769999999999</v>
      </c>
      <c r="K1384">
        <v>1.1210719999999901</v>
      </c>
      <c r="L1384">
        <v>367.7593</v>
      </c>
      <c r="M1384">
        <v>0.99984709999999999</v>
      </c>
      <c r="N1384">
        <v>-1.4818390000000001E-2</v>
      </c>
      <c r="O1384">
        <v>9.2890709999999994E-3</v>
      </c>
      <c r="P1384">
        <v>0.99454889999999996</v>
      </c>
      <c r="Q1384">
        <v>-0.10332529999999999</v>
      </c>
      <c r="R1384">
        <v>-1.402365E-2</v>
      </c>
      <c r="S1384">
        <v>2.999298</v>
      </c>
      <c r="T1384">
        <v>-0.16238459999999999</v>
      </c>
      <c r="U1384">
        <v>-1.4373779999999999E-2</v>
      </c>
      <c r="V1384">
        <v>2.3246550000000001E-2</v>
      </c>
      <c r="W1384">
        <v>-8.8583120000000001E-2</v>
      </c>
      <c r="X1384">
        <v>0.9957975</v>
      </c>
      <c r="Y1384">
        <v>1.4048710000000001E-2</v>
      </c>
      <c r="Z1384">
        <v>-8.4917879999999997E-4</v>
      </c>
      <c r="AA1384">
        <v>0.99990089999999998</v>
      </c>
      <c r="AB1384">
        <v>24</v>
      </c>
      <c r="AC1384">
        <v>20.467699999999901</v>
      </c>
      <c r="AD1384">
        <v>-1.1210756329879901</v>
      </c>
      <c r="AE1384">
        <v>-0.10140000000001199</v>
      </c>
      <c r="AF1384">
        <v>0.29067040063827299</v>
      </c>
      <c r="AG1384">
        <v>-1.1210756329879901</v>
      </c>
      <c r="AH1384">
        <v>20.404660767408298</v>
      </c>
      <c r="AI1384">
        <v>93.144472290950404</v>
      </c>
      <c r="AJ1384">
        <v>89.183859953517896</v>
      </c>
      <c r="AK1384">
        <v>20.437501826047601</v>
      </c>
      <c r="AL1384">
        <v>95.082100181099904</v>
      </c>
      <c r="AM1384">
        <v>88.662692638622701</v>
      </c>
      <c r="AN1384">
        <v>1.0000000161210401</v>
      </c>
    </row>
    <row r="1385" spans="1:40" x14ac:dyDescent="0.25">
      <c r="A1385" t="str">
        <f>"20190303154122880"</f>
        <v>20190303154122880</v>
      </c>
      <c r="B1385" t="str">
        <f>"1551598882870922"</f>
        <v>1551598882870922</v>
      </c>
      <c r="C1385" t="s">
        <v>40</v>
      </c>
      <c r="D1385">
        <v>5.9606579999999996</v>
      </c>
      <c r="E1385">
        <v>0.49614710000000001</v>
      </c>
      <c r="F1385" t="s">
        <v>41</v>
      </c>
      <c r="G1385">
        <v>-222.38399999999999</v>
      </c>
      <c r="H1385" s="1">
        <v>-3.5949530000000001E-6</v>
      </c>
      <c r="I1385">
        <v>367.66930000000002</v>
      </c>
      <c r="J1385">
        <v>-242.52209999999999</v>
      </c>
      <c r="K1385">
        <v>1.1210739999999999</v>
      </c>
      <c r="L1385">
        <v>367.76150000000001</v>
      </c>
      <c r="M1385">
        <v>0.99984810000000002</v>
      </c>
      <c r="N1385">
        <v>-1.481246E-2</v>
      </c>
      <c r="O1385">
        <v>9.1933180000000007E-3</v>
      </c>
      <c r="P1385">
        <v>0.99462410000000001</v>
      </c>
      <c r="Q1385">
        <v>-0.10260560000000001</v>
      </c>
      <c r="R1385">
        <v>-1.398201E-2</v>
      </c>
      <c r="S1385">
        <v>2.9991150000000002</v>
      </c>
      <c r="T1385">
        <v>-0.16494600000000001</v>
      </c>
      <c r="U1385">
        <v>-1.324463E-2</v>
      </c>
      <c r="V1385">
        <v>2.3108630000000002E-2</v>
      </c>
      <c r="W1385">
        <v>-8.7868680000000005E-2</v>
      </c>
      <c r="X1385">
        <v>0.99586399999999997</v>
      </c>
      <c r="Y1385">
        <v>1.357672E-2</v>
      </c>
      <c r="Z1385">
        <v>-8.4283950000000002E-4</v>
      </c>
      <c r="AA1385">
        <v>0.99990749999999995</v>
      </c>
      <c r="AB1385">
        <v>24</v>
      </c>
      <c r="AC1385">
        <v>20.138099999999898</v>
      </c>
      <c r="AD1385">
        <v>-1.1210775949530001</v>
      </c>
      <c r="AE1385">
        <v>-9.2199999999991095E-2</v>
      </c>
      <c r="AF1385">
        <v>0.27649549302398801</v>
      </c>
      <c r="AG1385">
        <v>-1.1210775949530001</v>
      </c>
      <c r="AH1385">
        <v>20.074190627695899</v>
      </c>
      <c r="AI1385">
        <v>93.196158170810406</v>
      </c>
      <c r="AJ1385">
        <v>89.210876124819805</v>
      </c>
      <c r="AK1385">
        <v>20.107371635513299</v>
      </c>
      <c r="AL1385">
        <v>95.041005565686902</v>
      </c>
      <c r="AM1385">
        <v>88.670712663890598</v>
      </c>
      <c r="AN1385">
        <v>1.0000000101007001</v>
      </c>
    </row>
    <row r="1386" spans="1:40" x14ac:dyDescent="0.25">
      <c r="A1386" t="str">
        <f>"20190303154122902"</f>
        <v>20190303154122902</v>
      </c>
      <c r="B1386" t="str">
        <f>"1551598882890434"</f>
        <v>1551598882890434</v>
      </c>
      <c r="C1386" t="s">
        <v>40</v>
      </c>
      <c r="D1386">
        <v>5.9560909999999998</v>
      </c>
      <c r="E1386">
        <v>0.49611169999999999</v>
      </c>
      <c r="F1386" t="s">
        <v>41</v>
      </c>
      <c r="G1386">
        <v>-221.97630000000001</v>
      </c>
      <c r="H1386" s="1">
        <v>-3.7669089999999999E-6</v>
      </c>
      <c r="I1386">
        <v>367.68579999999997</v>
      </c>
      <c r="J1386">
        <v>-242.28720000000001</v>
      </c>
      <c r="K1386">
        <v>1.121081</v>
      </c>
      <c r="L1386">
        <v>367.76350000000002</v>
      </c>
      <c r="M1386">
        <v>0.99984910000000005</v>
      </c>
      <c r="N1386">
        <v>-1.480677E-2</v>
      </c>
      <c r="O1386">
        <v>9.0924300000000003E-3</v>
      </c>
      <c r="P1386">
        <v>0.99475159999999996</v>
      </c>
      <c r="Q1386">
        <v>-0.1014713</v>
      </c>
      <c r="R1386">
        <v>-1.3143820000000001E-2</v>
      </c>
      <c r="S1386">
        <v>2.9991910000000002</v>
      </c>
      <c r="T1386">
        <v>-0.16364970000000001</v>
      </c>
      <c r="U1386">
        <v>-1.1047360000000001E-2</v>
      </c>
      <c r="V1386">
        <v>2.2170849999999999E-2</v>
      </c>
      <c r="W1386">
        <v>-8.6738229999999999E-2</v>
      </c>
      <c r="X1386">
        <v>0.99598439999999999</v>
      </c>
      <c r="Y1386">
        <v>1.2745340000000001E-2</v>
      </c>
      <c r="Z1386">
        <v>-8.0310309999999895E-4</v>
      </c>
      <c r="AA1386">
        <v>0.99991850000000004</v>
      </c>
      <c r="AB1386">
        <v>24</v>
      </c>
      <c r="AC1386">
        <v>20.3109</v>
      </c>
      <c r="AD1386">
        <v>-1.1210847669090001</v>
      </c>
      <c r="AE1386">
        <v>-7.7700000000049799E-2</v>
      </c>
      <c r="AF1386">
        <v>0.26159548798153398</v>
      </c>
      <c r="AG1386">
        <v>-1.1210847669090001</v>
      </c>
      <c r="AH1386">
        <v>20.247667579399899</v>
      </c>
      <c r="AI1386">
        <v>93.168886600219295</v>
      </c>
      <c r="AJ1386">
        <v>89.259792098437899</v>
      </c>
      <c r="AK1386">
        <v>20.280367493213902</v>
      </c>
      <c r="AL1386">
        <v>94.975987363629002</v>
      </c>
      <c r="AM1386">
        <v>88.724792901083404</v>
      </c>
      <c r="AN1386">
        <v>0.99999999608830703</v>
      </c>
    </row>
    <row r="1387" spans="1:40" x14ac:dyDescent="0.25">
      <c r="A1387" t="str">
        <f>"20190303154122925"</f>
        <v>20190303154122925</v>
      </c>
      <c r="B1387" t="str">
        <f>"1551598882920686"</f>
        <v>1551598882920686</v>
      </c>
      <c r="C1387" t="s">
        <v>40</v>
      </c>
      <c r="D1387">
        <v>5.935289</v>
      </c>
      <c r="E1387">
        <v>0.4958166</v>
      </c>
      <c r="F1387" t="s">
        <v>41</v>
      </c>
      <c r="G1387">
        <v>-221.5068</v>
      </c>
      <c r="H1387" s="1">
        <v>-3.9647390000000004E-6</v>
      </c>
      <c r="I1387">
        <v>367.70609999999999</v>
      </c>
      <c r="J1387">
        <v>-242.03919999999999</v>
      </c>
      <c r="K1387">
        <v>1.121089</v>
      </c>
      <c r="L1387">
        <v>367.76569999999998</v>
      </c>
      <c r="M1387">
        <v>0.99985020000000002</v>
      </c>
      <c r="N1387">
        <v>-1.480074E-2</v>
      </c>
      <c r="O1387">
        <v>8.9792969999999903E-3</v>
      </c>
      <c r="P1387">
        <v>0.99484969999999995</v>
      </c>
      <c r="Q1387">
        <v>-0.10058739999999999</v>
      </c>
      <c r="R1387">
        <v>-1.2511100000000001E-2</v>
      </c>
      <c r="S1387">
        <v>2.9992070000000002</v>
      </c>
      <c r="T1387">
        <v>-0.16180349999999999</v>
      </c>
      <c r="U1387">
        <v>-8.2702639999999994E-3</v>
      </c>
      <c r="V1387">
        <v>2.1425880000000001E-2</v>
      </c>
      <c r="W1387">
        <v>-8.5858809999999994E-2</v>
      </c>
      <c r="X1387">
        <v>0.99607690000000004</v>
      </c>
      <c r="Y1387">
        <v>1.170903E-2</v>
      </c>
      <c r="Z1387">
        <v>-7.5357759999999897E-4</v>
      </c>
      <c r="AA1387">
        <v>0.99993120000000002</v>
      </c>
      <c r="AB1387">
        <v>24</v>
      </c>
      <c r="AC1387">
        <v>20.532399999999999</v>
      </c>
      <c r="AD1387">
        <v>-1.121092964739</v>
      </c>
      <c r="AE1387">
        <v>-5.9599999999989002E-2</v>
      </c>
      <c r="AF1387">
        <v>0.24325908217228101</v>
      </c>
      <c r="AG1387">
        <v>-1.121092964739</v>
      </c>
      <c r="AH1387">
        <v>20.470010369890101</v>
      </c>
      <c r="AI1387">
        <v>93.134598614730905</v>
      </c>
      <c r="AJ1387">
        <v>89.319147258022298</v>
      </c>
      <c r="AK1387">
        <v>20.502130351747699</v>
      </c>
      <c r="AL1387">
        <v>94.925411620386697</v>
      </c>
      <c r="AM1387">
        <v>88.767742517093296</v>
      </c>
      <c r="AN1387">
        <v>0.99999999715099996</v>
      </c>
    </row>
    <row r="1388" spans="1:40" x14ac:dyDescent="0.25">
      <c r="A1388" t="str">
        <f>"20190303154122947"</f>
        <v>20190303154122947</v>
      </c>
      <c r="B1388" t="str">
        <f>"1551598882940210"</f>
        <v>1551598882940210</v>
      </c>
      <c r="C1388" t="s">
        <v>40</v>
      </c>
      <c r="D1388">
        <v>5.9529690000000004</v>
      </c>
      <c r="E1388">
        <v>0.49560999999999999</v>
      </c>
      <c r="F1388" t="s">
        <v>41</v>
      </c>
      <c r="G1388">
        <v>-221.19829999999999</v>
      </c>
      <c r="H1388" s="1">
        <v>-4.0913169999999999E-6</v>
      </c>
      <c r="I1388">
        <v>367.73849999999999</v>
      </c>
      <c r="J1388">
        <v>-241.7998</v>
      </c>
      <c r="K1388">
        <v>1.1210869999999999</v>
      </c>
      <c r="L1388">
        <v>367.76769999999999</v>
      </c>
      <c r="M1388">
        <v>0.99985119999999905</v>
      </c>
      <c r="N1388">
        <v>-1.479493E-2</v>
      </c>
      <c r="O1388">
        <v>8.8672600000000001E-3</v>
      </c>
      <c r="P1388">
        <v>0.99489179999999999</v>
      </c>
      <c r="Q1388">
        <v>-0.10020469999999999</v>
      </c>
      <c r="R1388">
        <v>-1.2232099999999999E-2</v>
      </c>
      <c r="S1388">
        <v>2.9991759999999998</v>
      </c>
      <c r="T1388">
        <v>-0.16133420000000001</v>
      </c>
      <c r="U1388">
        <v>-3.90625E-3</v>
      </c>
      <c r="V1388">
        <v>2.1035410000000001E-2</v>
      </c>
      <c r="W1388">
        <v>-8.5481260000000003E-2</v>
      </c>
      <c r="X1388">
        <v>0.99611769999999999</v>
      </c>
      <c r="Y1388">
        <v>1.014517E-2</v>
      </c>
      <c r="Z1388">
        <v>-6.9330940000000005E-4</v>
      </c>
      <c r="AA1388">
        <v>0.99994830000000001</v>
      </c>
      <c r="AB1388">
        <v>24</v>
      </c>
      <c r="AC1388">
        <v>20.601500000000001</v>
      </c>
      <c r="AD1388">
        <v>-1.121091091317</v>
      </c>
      <c r="AE1388">
        <v>-2.9200000000002901E-2</v>
      </c>
      <c r="AF1388">
        <v>0.211272069467528</v>
      </c>
      <c r="AG1388">
        <v>-1.121091091317</v>
      </c>
      <c r="AH1388">
        <v>20.5396068686183</v>
      </c>
      <c r="AI1388">
        <v>93.124048397400202</v>
      </c>
      <c r="AJ1388">
        <v>89.410671728184695</v>
      </c>
      <c r="AK1388">
        <v>20.5712647020002</v>
      </c>
      <c r="AL1388">
        <v>94.903699746367295</v>
      </c>
      <c r="AM1388">
        <v>88.790242252930696</v>
      </c>
      <c r="AN1388">
        <v>1.00000000326917</v>
      </c>
    </row>
    <row r="1389" spans="1:40" x14ac:dyDescent="0.25">
      <c r="A1389" t="str">
        <f>"20190303154122969"</f>
        <v>20190303154122969</v>
      </c>
      <c r="B1389" t="str">
        <f>"1551598882960702"</f>
        <v>1551598882960702</v>
      </c>
      <c r="C1389" t="s">
        <v>40</v>
      </c>
      <c r="D1389">
        <v>5.969875</v>
      </c>
      <c r="E1389">
        <v>0.49551869999999998</v>
      </c>
      <c r="F1389" t="s">
        <v>41</v>
      </c>
      <c r="G1389">
        <v>-221.0291</v>
      </c>
      <c r="H1389" s="1">
        <v>-4.1602899999999999E-6</v>
      </c>
      <c r="I1389">
        <v>367.75900000000001</v>
      </c>
      <c r="J1389">
        <v>-241.55690000000001</v>
      </c>
      <c r="K1389">
        <v>1.121086</v>
      </c>
      <c r="L1389">
        <v>367.7697</v>
      </c>
      <c r="M1389">
        <v>0.99985230000000003</v>
      </c>
      <c r="N1389">
        <v>-1.479402E-2</v>
      </c>
      <c r="O1389">
        <v>8.7532840000000001E-3</v>
      </c>
      <c r="P1389">
        <v>0.99487300000000001</v>
      </c>
      <c r="Q1389">
        <v>-0.10041360000000001</v>
      </c>
      <c r="R1389">
        <v>-1.2044310000000001E-2</v>
      </c>
      <c r="S1389">
        <v>2.9990839999999999</v>
      </c>
      <c r="T1389">
        <v>-0.16187370000000001</v>
      </c>
      <c r="U1389">
        <v>-1.2512210000000001E-3</v>
      </c>
      <c r="V1389">
        <v>2.0733950000000001E-2</v>
      </c>
      <c r="W1389">
        <v>-8.5691210000000004E-2</v>
      </c>
      <c r="X1389">
        <v>0.99610600000000005</v>
      </c>
      <c r="Y1389">
        <v>9.1477409999999992E-3</v>
      </c>
      <c r="Z1389">
        <v>-6.5709350000000004E-4</v>
      </c>
      <c r="AA1389">
        <v>0.99995789999999996</v>
      </c>
      <c r="AB1389">
        <v>24</v>
      </c>
      <c r="AC1389">
        <v>20.527799999999999</v>
      </c>
      <c r="AD1389">
        <v>-1.1210901602900001</v>
      </c>
      <c r="AE1389">
        <v>-1.06999999999857E-2</v>
      </c>
      <c r="AF1389">
        <v>0.18983869598852199</v>
      </c>
      <c r="AG1389">
        <v>-1.1210901602900001</v>
      </c>
      <c r="AH1389">
        <v>20.4658780353518</v>
      </c>
      <c r="AI1389">
        <v>93.135308762313997</v>
      </c>
      <c r="AJ1389">
        <v>89.468547398325597</v>
      </c>
      <c r="AK1389">
        <v>20.497439977614</v>
      </c>
      <c r="AL1389">
        <v>94.915773205131302</v>
      </c>
      <c r="AM1389">
        <v>88.807560335771896</v>
      </c>
      <c r="AN1389">
        <v>1.0000000216949301</v>
      </c>
    </row>
    <row r="1390" spans="1:40" x14ac:dyDescent="0.25">
      <c r="A1390" t="str">
        <f>"20190303154122991"</f>
        <v>20190303154122991</v>
      </c>
      <c r="B1390" t="str">
        <f>"1551598882980223"</f>
        <v>1551598882980223</v>
      </c>
      <c r="C1390" t="s">
        <v>40</v>
      </c>
      <c r="D1390">
        <v>6.0730209999999998</v>
      </c>
      <c r="E1390">
        <v>0.51381109999999997</v>
      </c>
      <c r="F1390" t="s">
        <v>41</v>
      </c>
      <c r="G1390">
        <v>-221.19759999999999</v>
      </c>
      <c r="H1390" s="1">
        <v>-4.0864179999999996E-6</v>
      </c>
      <c r="I1390">
        <v>367.76780000000002</v>
      </c>
      <c r="J1390">
        <v>-241.3176</v>
      </c>
      <c r="K1390">
        <v>1.1211040000000001</v>
      </c>
      <c r="L1390">
        <v>367.77170000000001</v>
      </c>
      <c r="M1390">
        <v>0.99985239999999997</v>
      </c>
      <c r="N1390">
        <v>-1.4857550000000001E-2</v>
      </c>
      <c r="O1390">
        <v>8.6431759999999903E-3</v>
      </c>
      <c r="P1390">
        <v>0.99482539999999997</v>
      </c>
      <c r="Q1390">
        <v>-0.1008312</v>
      </c>
      <c r="R1390">
        <v>-1.247588E-2</v>
      </c>
      <c r="S1390">
        <v>2.9988100000000002</v>
      </c>
      <c r="T1390">
        <v>-0.16512939999999901</v>
      </c>
      <c r="U1390">
        <v>-2.7465820000000001E-4</v>
      </c>
      <c r="V1390">
        <v>2.105518E-2</v>
      </c>
      <c r="W1390">
        <v>-8.6046300000000006E-2</v>
      </c>
      <c r="X1390">
        <v>0.99606870000000003</v>
      </c>
      <c r="Y1390">
        <v>8.7119699999999994E-3</v>
      </c>
      <c r="Z1390">
        <v>-6.5168370000000004E-4</v>
      </c>
      <c r="AA1390">
        <v>0.99996189999999996</v>
      </c>
      <c r="AB1390">
        <v>24</v>
      </c>
      <c r="AC1390">
        <v>20.12</v>
      </c>
      <c r="AD1390">
        <v>-1.1211080864180001</v>
      </c>
      <c r="AE1390">
        <v>-3.8999999999873498E-3</v>
      </c>
      <c r="AF1390">
        <v>0.177269336207071</v>
      </c>
      <c r="AG1390">
        <v>-1.1211080864180001</v>
      </c>
      <c r="AH1390">
        <v>20.056941020266098</v>
      </c>
      <c r="AI1390">
        <v>93.199166198185296</v>
      </c>
      <c r="AJ1390">
        <v>89.493615684661904</v>
      </c>
      <c r="AK1390">
        <v>20.0890316055659</v>
      </c>
      <c r="AL1390">
        <v>94.936193544768699</v>
      </c>
      <c r="AM1390">
        <v>88.789046057692303</v>
      </c>
      <c r="AN1390">
        <v>1.0000000707340999</v>
      </c>
    </row>
    <row r="1391" spans="1:40" x14ac:dyDescent="0.25">
      <c r="A1391" t="str">
        <f>"20190303154123015"</f>
        <v>20190303154123015</v>
      </c>
      <c r="B1391" t="str">
        <f>"1551598883010479"</f>
        <v>1551598883010479</v>
      </c>
      <c r="C1391" t="s">
        <v>40</v>
      </c>
      <c r="D1391">
        <v>6.108606</v>
      </c>
      <c r="E1391">
        <v>0.51989129999999995</v>
      </c>
      <c r="F1391" t="s">
        <v>41</v>
      </c>
      <c r="G1391">
        <v>-218.6429</v>
      </c>
      <c r="H1391" s="1">
        <v>-1.235527E-6</v>
      </c>
      <c r="I1391">
        <v>366.65620000000001</v>
      </c>
      <c r="J1391">
        <v>-241.07470000000001</v>
      </c>
      <c r="K1391">
        <v>1.1211690000000001</v>
      </c>
      <c r="L1391">
        <v>367.77370000000002</v>
      </c>
      <c r="M1391">
        <v>0.99984969999999995</v>
      </c>
      <c r="N1391">
        <v>-1.5092980000000001E-2</v>
      </c>
      <c r="O1391">
        <v>8.5329640000000005E-3</v>
      </c>
      <c r="P1391">
        <v>0.99492610000000004</v>
      </c>
      <c r="Q1391">
        <v>-9.9860309999999994E-2</v>
      </c>
      <c r="R1391">
        <v>-1.22524E-2</v>
      </c>
      <c r="S1391">
        <v>2.9987339999999998</v>
      </c>
      <c r="T1391">
        <v>-0.14826600000000001</v>
      </c>
      <c r="U1391">
        <v>-0.14752199999999999</v>
      </c>
      <c r="V1391">
        <v>2.0723330000000002E-2</v>
      </c>
      <c r="W1391">
        <v>-8.4839390000000001E-2</v>
      </c>
      <c r="X1391">
        <v>0.99617909999999998</v>
      </c>
      <c r="Y1391">
        <v>5.7560529999999999E-2</v>
      </c>
      <c r="Z1391">
        <v>-2.149008E-3</v>
      </c>
      <c r="AA1391">
        <v>0.99833970000000005</v>
      </c>
      <c r="AB1391">
        <v>24</v>
      </c>
      <c r="AC1391">
        <v>22.431799999999999</v>
      </c>
      <c r="AD1391">
        <v>-1.1211702355269999</v>
      </c>
      <c r="AE1391">
        <v>-1.1174999999999999</v>
      </c>
      <c r="AF1391">
        <v>1.30563727477747</v>
      </c>
      <c r="AG1391">
        <v>-1.1211702355269999</v>
      </c>
      <c r="AH1391">
        <v>22.365712364438899</v>
      </c>
      <c r="AI1391">
        <v>92.864907193332499</v>
      </c>
      <c r="AJ1391">
        <v>86.659051135203697</v>
      </c>
      <c r="AK1391">
        <v>22.431825626977801</v>
      </c>
      <c r="AL1391">
        <v>94.866789287681996</v>
      </c>
      <c r="AM1391">
        <v>88.808258362870504</v>
      </c>
      <c r="AN1391">
        <v>0.99999998888933495</v>
      </c>
    </row>
    <row r="1392" spans="1:40" x14ac:dyDescent="0.25">
      <c r="A1392" t="str">
        <f>"20190303154123037"</f>
        <v>20190303154123037</v>
      </c>
      <c r="B1392" t="str">
        <f>"1551598883030974"</f>
        <v>1551598883030974</v>
      </c>
      <c r="C1392" t="s">
        <v>40</v>
      </c>
      <c r="D1392">
        <v>6.105423</v>
      </c>
      <c r="E1392">
        <v>0.52080799999999905</v>
      </c>
      <c r="F1392" t="s">
        <v>41</v>
      </c>
      <c r="G1392">
        <v>-225.38910000000001</v>
      </c>
      <c r="H1392" s="1">
        <v>-2.4689530000000002E-6</v>
      </c>
      <c r="I1392">
        <v>366.74930000000001</v>
      </c>
      <c r="J1392">
        <v>-240.8348</v>
      </c>
      <c r="K1392">
        <v>1.121281</v>
      </c>
      <c r="L1392">
        <v>367.7756</v>
      </c>
      <c r="M1392">
        <v>0.99984379999999995</v>
      </c>
      <c r="N1392">
        <v>-1.554346E-2</v>
      </c>
      <c r="O1392">
        <v>8.4233769999999993E-3</v>
      </c>
      <c r="P1392">
        <v>0.99493969999999998</v>
      </c>
      <c r="Q1392">
        <v>-9.9722469999999994E-2</v>
      </c>
      <c r="R1392">
        <v>-1.2269510000000001E-2</v>
      </c>
      <c r="S1392">
        <v>2.9914399999999999</v>
      </c>
      <c r="T1392">
        <v>-0.2138197</v>
      </c>
      <c r="U1392">
        <v>-0.19534299999999999</v>
      </c>
      <c r="V1392">
        <v>2.0632069999999999E-2</v>
      </c>
      <c r="W1392">
        <v>-8.4252369999999993E-2</v>
      </c>
      <c r="X1392">
        <v>0.99623079999999997</v>
      </c>
      <c r="Y1392">
        <v>7.3325890000000005E-2</v>
      </c>
      <c r="Z1392">
        <v>-3.6558950000000002E-3</v>
      </c>
      <c r="AA1392">
        <v>0.99730129999999995</v>
      </c>
      <c r="AB1392">
        <v>24</v>
      </c>
      <c r="AC1392">
        <v>15.445699999999899</v>
      </c>
      <c r="AD1392">
        <v>-1.121283468953</v>
      </c>
      <c r="AE1392">
        <v>-1.02629999999999</v>
      </c>
      <c r="AF1392">
        <v>1.1503484842556899</v>
      </c>
      <c r="AG1392">
        <v>-1.121283468953</v>
      </c>
      <c r="AH1392">
        <v>15.355934949044199</v>
      </c>
      <c r="AI1392">
        <v>94.164671936144003</v>
      </c>
      <c r="AJ1392">
        <v>85.715843145557599</v>
      </c>
      <c r="AK1392">
        <v>15.4397317467712</v>
      </c>
      <c r="AL1392">
        <v>94.8330347276233</v>
      </c>
      <c r="AM1392">
        <v>88.813566526863596</v>
      </c>
      <c r="AN1392">
        <v>0.99999997551587005</v>
      </c>
    </row>
    <row r="1393" spans="1:40" x14ac:dyDescent="0.25">
      <c r="A1393" t="str">
        <f>"20190303154123059"</f>
        <v>20190303154123059</v>
      </c>
      <c r="B1393" t="str">
        <f>"1551598883050498"</f>
        <v>1551598883050498</v>
      </c>
      <c r="C1393" t="s">
        <v>40</v>
      </c>
      <c r="D1393">
        <v>6.1179940000000004</v>
      </c>
      <c r="E1393">
        <v>0.52130849999999995</v>
      </c>
      <c r="F1393" t="s">
        <v>42</v>
      </c>
      <c r="G1393">
        <v>-239.90129999999999</v>
      </c>
      <c r="H1393">
        <v>1.050414</v>
      </c>
      <c r="I1393">
        <v>367.71210000000002</v>
      </c>
      <c r="J1393">
        <v>-240.6087</v>
      </c>
      <c r="K1393">
        <v>1.1213979999999999</v>
      </c>
      <c r="L1393">
        <v>367.7774</v>
      </c>
      <c r="M1393">
        <v>0.9998359</v>
      </c>
      <c r="N1393">
        <v>-1.6098979999999999E-2</v>
      </c>
      <c r="O1393">
        <v>8.3190309999999993E-3</v>
      </c>
      <c r="P1393">
        <v>0.99485950000000001</v>
      </c>
      <c r="Q1393">
        <v>-0.1005264</v>
      </c>
      <c r="R1393">
        <v>-1.2229210000000001E-2</v>
      </c>
      <c r="S1393">
        <v>2.990005</v>
      </c>
      <c r="T1393">
        <v>-0.22721640000000001</v>
      </c>
      <c r="U1393">
        <v>-0.20260619999999999</v>
      </c>
      <c r="V1393">
        <v>2.0487559999999998E-2</v>
      </c>
      <c r="W1393">
        <v>-8.4503770000000006E-2</v>
      </c>
      <c r="X1393">
        <v>0.99621249999999995</v>
      </c>
      <c r="Y1393">
        <v>7.562663E-2</v>
      </c>
      <c r="Z1393">
        <v>-3.9736149999999998E-3</v>
      </c>
      <c r="AA1393">
        <v>0.99712829999999997</v>
      </c>
      <c r="AB1393">
        <v>24</v>
      </c>
      <c r="AC1393">
        <v>0.70740000000000602</v>
      </c>
      <c r="AD1393">
        <v>-7.0983999999999894E-2</v>
      </c>
      <c r="AE1393">
        <v>-6.5299999999979194E-2</v>
      </c>
      <c r="AF1393">
        <v>7.04797129669818E-2</v>
      </c>
      <c r="AG1393">
        <v>-7.0983999999999894E-2</v>
      </c>
      <c r="AH1393">
        <v>0.69984493974900597</v>
      </c>
      <c r="AI1393">
        <v>95.762649165829302</v>
      </c>
      <c r="AJ1393">
        <v>84.249267892232197</v>
      </c>
      <c r="AK1393">
        <v>0.70695760685361997</v>
      </c>
      <c r="AL1393">
        <v>94.847490386821505</v>
      </c>
      <c r="AM1393">
        <v>88.821852492426203</v>
      </c>
      <c r="AN1393">
        <v>0.99999998620760799</v>
      </c>
    </row>
    <row r="1394" spans="1:40" x14ac:dyDescent="0.25">
      <c r="A1394" t="str">
        <f>"20190303154123081"</f>
        <v>20190303154123081</v>
      </c>
      <c r="B1394" t="str">
        <f>"1551598883070991"</f>
        <v>1551598883070991</v>
      </c>
      <c r="C1394" t="s">
        <v>40</v>
      </c>
      <c r="D1394">
        <v>6.151262</v>
      </c>
      <c r="E1394">
        <v>0.52184430000000004</v>
      </c>
      <c r="F1394" t="s">
        <v>42</v>
      </c>
      <c r="G1394">
        <v>-239.6935</v>
      </c>
      <c r="H1394">
        <v>1.048168</v>
      </c>
      <c r="I1394">
        <v>367.71420000000001</v>
      </c>
      <c r="J1394">
        <v>-240.36760000000001</v>
      </c>
      <c r="K1394">
        <v>1.121505</v>
      </c>
      <c r="L1394">
        <v>367.77929999999998</v>
      </c>
      <c r="M1394">
        <v>0.99982660000000001</v>
      </c>
      <c r="N1394">
        <v>-1.6724610000000001E-2</v>
      </c>
      <c r="O1394">
        <v>8.2092019999999901E-3</v>
      </c>
      <c r="P1394">
        <v>0.99465879999999995</v>
      </c>
      <c r="Q1394">
        <v>-0.10246570000000001</v>
      </c>
      <c r="R1394">
        <v>-1.244056E-2</v>
      </c>
      <c r="S1394">
        <v>2.9888150000000002</v>
      </c>
      <c r="T1394">
        <v>-0.2390803</v>
      </c>
      <c r="U1394">
        <v>-0.20642089999999999</v>
      </c>
      <c r="V1394">
        <v>2.0588059999999998E-2</v>
      </c>
      <c r="W1394">
        <v>-8.5822880000000004E-2</v>
      </c>
      <c r="X1394">
        <v>0.99609769999999997</v>
      </c>
      <c r="Y1394">
        <v>7.6776990000000003E-2</v>
      </c>
      <c r="Z1394">
        <v>-4.2242319999999996E-3</v>
      </c>
      <c r="AA1394">
        <v>0.99703929999999996</v>
      </c>
      <c r="AB1394">
        <v>24</v>
      </c>
      <c r="AC1394">
        <v>0.67410000000000903</v>
      </c>
      <c r="AD1394">
        <v>-7.3336999999999902E-2</v>
      </c>
      <c r="AE1394">
        <v>-6.5099999999972596E-2</v>
      </c>
      <c r="AF1394">
        <v>6.9813735786218106E-2</v>
      </c>
      <c r="AG1394">
        <v>-7.3336999999999902E-2</v>
      </c>
      <c r="AH1394">
        <v>0.66573607461856599</v>
      </c>
      <c r="AI1394">
        <v>96.252303915814693</v>
      </c>
      <c r="AJ1394">
        <v>84.013445174543506</v>
      </c>
      <c r="AK1394">
        <v>0.67339200642862196</v>
      </c>
      <c r="AL1394">
        <v>94.923345186895901</v>
      </c>
      <c r="AM1394">
        <v>88.815938421762496</v>
      </c>
      <c r="AN1394">
        <v>1.0000000314456701</v>
      </c>
    </row>
    <row r="1395" spans="1:40" x14ac:dyDescent="0.25">
      <c r="A1395" t="str">
        <f>"20190303154123103"</f>
        <v>20190303154123103</v>
      </c>
      <c r="B1395" t="str">
        <f>"1551598883100271"</f>
        <v>1551598883100271</v>
      </c>
      <c r="C1395" t="s">
        <v>40</v>
      </c>
      <c r="D1395">
        <v>6.1904729999999999</v>
      </c>
      <c r="E1395">
        <v>0.52228200000000002</v>
      </c>
      <c r="F1395" t="s">
        <v>42</v>
      </c>
      <c r="G1395">
        <v>-239.48580000000001</v>
      </c>
      <c r="H1395">
        <v>1.047385</v>
      </c>
      <c r="I1395">
        <v>367.7165</v>
      </c>
      <c r="J1395">
        <v>-240.14099999999999</v>
      </c>
      <c r="K1395">
        <v>1.121588</v>
      </c>
      <c r="L1395">
        <v>367.78100000000001</v>
      </c>
      <c r="M1395">
        <v>0.99981770000000003</v>
      </c>
      <c r="N1395">
        <v>-1.7287219999999999E-2</v>
      </c>
      <c r="O1395">
        <v>8.1079450000000001E-3</v>
      </c>
      <c r="P1395">
        <v>0.99444880000000002</v>
      </c>
      <c r="Q1395">
        <v>-0.1043936</v>
      </c>
      <c r="R1395">
        <v>-1.317901E-2</v>
      </c>
      <c r="S1395">
        <v>2.987549</v>
      </c>
      <c r="T1395">
        <v>-0.25140200000000001</v>
      </c>
      <c r="U1395">
        <v>-0.21151729999999999</v>
      </c>
      <c r="V1395">
        <v>2.1223820000000001E-2</v>
      </c>
      <c r="W1395">
        <v>-8.7193770000000004E-2</v>
      </c>
      <c r="X1395">
        <v>0.99596519999999999</v>
      </c>
      <c r="Y1395">
        <v>7.8358780000000003E-2</v>
      </c>
      <c r="Z1395">
        <v>-4.507151E-3</v>
      </c>
      <c r="AA1395">
        <v>0.996915</v>
      </c>
      <c r="AB1395">
        <v>23</v>
      </c>
      <c r="AC1395">
        <v>0.65519999999997902</v>
      </c>
      <c r="AD1395">
        <v>-7.4203000000000005E-2</v>
      </c>
      <c r="AE1395">
        <v>-6.4500000000009494E-2</v>
      </c>
      <c r="AF1395">
        <v>6.8935312774233204E-2</v>
      </c>
      <c r="AG1395">
        <v>-7.4203000000000005E-2</v>
      </c>
      <c r="AH1395">
        <v>0.64644363667264504</v>
      </c>
      <c r="AI1395">
        <v>96.511524032323607</v>
      </c>
      <c r="AJ1395">
        <v>83.913108450120902</v>
      </c>
      <c r="AK1395">
        <v>0.65432983880519802</v>
      </c>
      <c r="AL1395">
        <v>95.002187419069998</v>
      </c>
      <c r="AM1395">
        <v>88.779223118452606</v>
      </c>
      <c r="AN1395">
        <v>0.999999941836621</v>
      </c>
    </row>
    <row r="1396" spans="1:40" x14ac:dyDescent="0.25">
      <c r="A1396" t="str">
        <f>"20190303154123125"</f>
        <v>20190303154123125</v>
      </c>
      <c r="B1396" t="str">
        <f>"1551598883120767"</f>
        <v>1551598883120767</v>
      </c>
      <c r="C1396" t="s">
        <v>40</v>
      </c>
      <c r="D1396">
        <v>6.1495610000000003</v>
      </c>
      <c r="E1396">
        <v>0.52252359999999998</v>
      </c>
      <c r="F1396" t="s">
        <v>42</v>
      </c>
      <c r="G1396">
        <v>-239.28039999999999</v>
      </c>
      <c r="H1396">
        <v>1.0456240000000001</v>
      </c>
      <c r="I1396">
        <v>367.71839999999997</v>
      </c>
      <c r="J1396">
        <v>-239.90629999999999</v>
      </c>
      <c r="K1396">
        <v>1.121653</v>
      </c>
      <c r="L1396">
        <v>367.78280000000001</v>
      </c>
      <c r="M1396">
        <v>0.99980919999999895</v>
      </c>
      <c r="N1396">
        <v>-1.7824989999999999E-2</v>
      </c>
      <c r="O1396">
        <v>8.0038999999999996E-3</v>
      </c>
      <c r="P1396">
        <v>0.99430090000000004</v>
      </c>
      <c r="Q1396">
        <v>-0.1056506</v>
      </c>
      <c r="R1396">
        <v>-1.4277690000000001E-2</v>
      </c>
      <c r="S1396">
        <v>2.9861759999999999</v>
      </c>
      <c r="T1396">
        <v>-0.26365840000000001</v>
      </c>
      <c r="U1396">
        <v>-0.2172241</v>
      </c>
      <c r="V1396">
        <v>2.2217859999999999E-2</v>
      </c>
      <c r="W1396">
        <v>-8.791786E-2</v>
      </c>
      <c r="X1396">
        <v>0.99587990000000004</v>
      </c>
      <c r="Y1396">
        <v>8.0140249999999996E-2</v>
      </c>
      <c r="Z1396">
        <v>-4.8054940000000004E-3</v>
      </c>
      <c r="AA1396">
        <v>0.99677199999999999</v>
      </c>
      <c r="AB1396">
        <v>23</v>
      </c>
      <c r="AC1396">
        <v>0.62590000000000101</v>
      </c>
      <c r="AD1396">
        <v>-7.6029000000000097E-2</v>
      </c>
      <c r="AE1396">
        <v>-6.4400000000034596E-2</v>
      </c>
      <c r="AF1396">
        <v>6.8409542591752595E-2</v>
      </c>
      <c r="AG1396">
        <v>-7.6029000000000097E-2</v>
      </c>
      <c r="AH1396">
        <v>0.61636502249319303</v>
      </c>
      <c r="AI1396">
        <v>96.989458584213693</v>
      </c>
      <c r="AJ1396">
        <v>83.666737371425</v>
      </c>
      <c r="AK1396">
        <v>0.62479285792304595</v>
      </c>
      <c r="AL1396">
        <v>95.043834475332602</v>
      </c>
      <c r="AM1396">
        <v>88.7219558595758</v>
      </c>
      <c r="AN1396">
        <v>0.99999997931698403</v>
      </c>
    </row>
    <row r="1397" spans="1:40" x14ac:dyDescent="0.25">
      <c r="A1397" t="str">
        <f>"20190303154123148"</f>
        <v>20190303154123148</v>
      </c>
      <c r="B1397" t="str">
        <f>"1551598883140287"</f>
        <v>1551598883140287</v>
      </c>
      <c r="C1397" t="s">
        <v>40</v>
      </c>
      <c r="D1397">
        <v>6.1703080000000003</v>
      </c>
      <c r="E1397">
        <v>0.52272870000000005</v>
      </c>
      <c r="F1397" t="s">
        <v>42</v>
      </c>
      <c r="G1397">
        <v>-239.07419999999999</v>
      </c>
      <c r="H1397">
        <v>1.046432</v>
      </c>
      <c r="I1397">
        <v>367.72039999999998</v>
      </c>
      <c r="J1397">
        <v>-239.68279999999999</v>
      </c>
      <c r="K1397">
        <v>1.1216889999999999</v>
      </c>
      <c r="L1397">
        <v>367.78449999999998</v>
      </c>
      <c r="M1397">
        <v>0.99980159999999996</v>
      </c>
      <c r="N1397">
        <v>-1.8294319999999999E-2</v>
      </c>
      <c r="O1397">
        <v>7.9041240000000002E-3</v>
      </c>
      <c r="P1397">
        <v>0.99418960000000001</v>
      </c>
      <c r="Q1397">
        <v>-0.1065527</v>
      </c>
      <c r="R1397">
        <v>-1.530318E-2</v>
      </c>
      <c r="S1397">
        <v>2.9852599999999998</v>
      </c>
      <c r="T1397">
        <v>-0.27020840000000002</v>
      </c>
      <c r="U1397">
        <v>-0.22262570000000001</v>
      </c>
      <c r="V1397">
        <v>2.314335E-2</v>
      </c>
      <c r="W1397">
        <v>-8.8354509999999997E-2</v>
      </c>
      <c r="X1397">
        <v>0.99582020000000004</v>
      </c>
      <c r="Y1397">
        <v>8.1828689999999996E-2</v>
      </c>
      <c r="Z1397">
        <v>-5.0109799999999999E-3</v>
      </c>
      <c r="AA1397">
        <v>0.99663380000000001</v>
      </c>
      <c r="AB1397">
        <v>23</v>
      </c>
      <c r="AC1397">
        <v>0.60859999999999503</v>
      </c>
      <c r="AD1397">
        <v>-7.5256999999999893E-2</v>
      </c>
      <c r="AE1397">
        <v>-6.4099999999996202E-2</v>
      </c>
      <c r="AF1397">
        <v>6.7882659675294499E-2</v>
      </c>
      <c r="AG1397">
        <v>-7.5256999999999893E-2</v>
      </c>
      <c r="AH1397">
        <v>0.59901531740324399</v>
      </c>
      <c r="AI1397">
        <v>97.115735353904498</v>
      </c>
      <c r="AJ1397">
        <v>83.534610249624095</v>
      </c>
      <c r="AK1397">
        <v>0.60752861827020199</v>
      </c>
      <c r="AL1397">
        <v>95.0689503011764</v>
      </c>
      <c r="AM1397">
        <v>88.668657635200702</v>
      </c>
      <c r="AN1397">
        <v>1.0000000024072999</v>
      </c>
    </row>
    <row r="1398" spans="1:40" x14ac:dyDescent="0.25">
      <c r="A1398" t="str">
        <f>"20190303154123170"</f>
        <v>20190303154123170</v>
      </c>
      <c r="B1398" t="str">
        <f>"1551598883160783"</f>
        <v>1551598883160783</v>
      </c>
      <c r="C1398" t="s">
        <v>40</v>
      </c>
      <c r="D1398">
        <v>6.1798890000000002</v>
      </c>
      <c r="E1398">
        <v>0.52297109999999902</v>
      </c>
      <c r="F1398" t="s">
        <v>42</v>
      </c>
      <c r="G1398">
        <v>-238.87</v>
      </c>
      <c r="H1398">
        <v>1.0466070000000001</v>
      </c>
      <c r="I1398">
        <v>367.72239999999999</v>
      </c>
      <c r="J1398">
        <v>-239.45150000000001</v>
      </c>
      <c r="K1398">
        <v>1.121721</v>
      </c>
      <c r="L1398">
        <v>367.78620000000001</v>
      </c>
      <c r="M1398">
        <v>0.99979430000000002</v>
      </c>
      <c r="N1398">
        <v>-1.872499E-2</v>
      </c>
      <c r="O1398">
        <v>7.7993189999999999E-3</v>
      </c>
      <c r="P1398">
        <v>0.99412690000000004</v>
      </c>
      <c r="Q1398">
        <v>-0.1070137</v>
      </c>
      <c r="R1398">
        <v>-1.612017E-2</v>
      </c>
      <c r="S1398">
        <v>2.984467</v>
      </c>
      <c r="T1398">
        <v>-0.27587200000000001</v>
      </c>
      <c r="U1398">
        <v>-0.22723389999999999</v>
      </c>
      <c r="V1398">
        <v>2.3856240000000001E-2</v>
      </c>
      <c r="W1398">
        <v>-8.8387820000000006E-2</v>
      </c>
      <c r="X1398">
        <v>0.99580040000000003</v>
      </c>
      <c r="Y1398">
        <v>8.3248909999999995E-2</v>
      </c>
      <c r="Z1398">
        <v>-5.189328E-3</v>
      </c>
      <c r="AA1398">
        <v>0.99651529999999999</v>
      </c>
      <c r="AB1398">
        <v>23</v>
      </c>
      <c r="AC1398">
        <v>0.58150000000000501</v>
      </c>
      <c r="AD1398">
        <v>-7.5113999999999903E-2</v>
      </c>
      <c r="AE1398">
        <v>-6.3800000000014706E-2</v>
      </c>
      <c r="AF1398">
        <v>6.7225795930221696E-2</v>
      </c>
      <c r="AG1398">
        <v>-7.5113999999999903E-2</v>
      </c>
      <c r="AH1398">
        <v>0.57156120651214604</v>
      </c>
      <c r="AI1398">
        <v>97.4361692825413</v>
      </c>
      <c r="AJ1398">
        <v>83.291814320613398</v>
      </c>
      <c r="AK1398">
        <v>0.58038231660179995</v>
      </c>
      <c r="AL1398">
        <v>95.070866424683501</v>
      </c>
      <c r="AM1398">
        <v>88.627636158376106</v>
      </c>
      <c r="AN1398">
        <v>0.99999998177572402</v>
      </c>
    </row>
    <row r="1399" spans="1:40" x14ac:dyDescent="0.25">
      <c r="A1399" t="str">
        <f>"20190303154123192"</f>
        <v>20190303154123192</v>
      </c>
      <c r="B1399" t="str">
        <f>"1551598883190063"</f>
        <v>1551598883190063</v>
      </c>
      <c r="C1399" t="s">
        <v>40</v>
      </c>
      <c r="D1399">
        <v>6.1764970000000003</v>
      </c>
      <c r="E1399">
        <v>0.52308949999999999</v>
      </c>
      <c r="F1399" t="s">
        <v>42</v>
      </c>
      <c r="G1399">
        <v>-238.6661</v>
      </c>
      <c r="H1399">
        <v>1.0481419999999999</v>
      </c>
      <c r="I1399">
        <v>367.7251</v>
      </c>
      <c r="J1399">
        <v>-239.23009999999999</v>
      </c>
      <c r="K1399">
        <v>1.121742</v>
      </c>
      <c r="L1399">
        <v>367.7878</v>
      </c>
      <c r="M1399">
        <v>0.99978880000000003</v>
      </c>
      <c r="N1399">
        <v>-1.9062369999999999E-2</v>
      </c>
      <c r="O1399">
        <v>7.6980669999999899E-3</v>
      </c>
      <c r="P1399">
        <v>0.9941295</v>
      </c>
      <c r="Q1399">
        <v>-0.10694579999999999</v>
      </c>
      <c r="R1399">
        <v>-1.6410009999999999E-2</v>
      </c>
      <c r="S1399">
        <v>2.9838559999999998</v>
      </c>
      <c r="T1399">
        <v>-0.27964899999999998</v>
      </c>
      <c r="U1399">
        <v>-0.23187260000000001</v>
      </c>
      <c r="V1399">
        <v>2.4045739999999999E-2</v>
      </c>
      <c r="W1399">
        <v>-8.7983829999999999E-2</v>
      </c>
      <c r="X1399">
        <v>0.99583160000000004</v>
      </c>
      <c r="Y1399">
        <v>8.4683540000000002E-2</v>
      </c>
      <c r="Z1399">
        <v>-5.3368309999999898E-3</v>
      </c>
      <c r="AA1399">
        <v>0.99639359999999999</v>
      </c>
      <c r="AB1399">
        <v>23</v>
      </c>
      <c r="AC1399">
        <v>0.56399999999999295</v>
      </c>
      <c r="AD1399">
        <v>-7.3600000000000096E-2</v>
      </c>
      <c r="AE1399">
        <v>-6.2700000000006598E-2</v>
      </c>
      <c r="AF1399">
        <v>6.5931576225695704E-2</v>
      </c>
      <c r="AG1399">
        <v>-7.3600000000000096E-2</v>
      </c>
      <c r="AH1399">
        <v>0.55417845099129603</v>
      </c>
      <c r="AI1399">
        <v>97.512765077039205</v>
      </c>
      <c r="AJ1399">
        <v>83.215312091748501</v>
      </c>
      <c r="AK1399">
        <v>0.56291890027491298</v>
      </c>
      <c r="AL1399">
        <v>95.047629061149394</v>
      </c>
      <c r="AM1399">
        <v>88.616782443999298</v>
      </c>
      <c r="AN1399">
        <v>0.99999996375608702</v>
      </c>
    </row>
    <row r="1400" spans="1:40" x14ac:dyDescent="0.25">
      <c r="A1400" t="str">
        <f>"20190303154123216"</f>
        <v>20190303154123216</v>
      </c>
      <c r="B1400" t="str">
        <f>"1551598883210130"</f>
        <v>1551598883210130</v>
      </c>
      <c r="C1400" t="s">
        <v>40</v>
      </c>
      <c r="D1400">
        <v>6.201149</v>
      </c>
      <c r="E1400">
        <v>0.52308909999999997</v>
      </c>
      <c r="F1400" t="s">
        <v>42</v>
      </c>
      <c r="G1400">
        <v>-238.4639</v>
      </c>
      <c r="H1400">
        <v>1.0492520000000001</v>
      </c>
      <c r="I1400">
        <v>367.72770000000003</v>
      </c>
      <c r="J1400">
        <v>-238.99639999999999</v>
      </c>
      <c r="K1400">
        <v>1.1217349999999999</v>
      </c>
      <c r="L1400">
        <v>367.78949999999998</v>
      </c>
      <c r="M1400">
        <v>0.99978440000000002</v>
      </c>
      <c r="N1400">
        <v>-1.932845E-2</v>
      </c>
      <c r="O1400">
        <v>7.5913789999999997E-3</v>
      </c>
      <c r="P1400">
        <v>0.99415120000000001</v>
      </c>
      <c r="Q1400">
        <v>-0.10684109999999999</v>
      </c>
      <c r="R1400">
        <v>-1.5770639999999999E-2</v>
      </c>
      <c r="S1400">
        <v>2.9834589999999999</v>
      </c>
      <c r="T1400">
        <v>-0.28241460000000002</v>
      </c>
      <c r="U1400">
        <v>-0.23339840000000001</v>
      </c>
      <c r="V1400">
        <v>2.330086E-2</v>
      </c>
      <c r="W1400">
        <v>-8.7613339999999998E-2</v>
      </c>
      <c r="X1400">
        <v>0.99588200000000004</v>
      </c>
      <c r="Y1400">
        <v>8.5082530000000003E-2</v>
      </c>
      <c r="Z1400">
        <v>-5.4073869999999996E-3</v>
      </c>
      <c r="AA1400">
        <v>0.9963592</v>
      </c>
      <c r="AB1400">
        <v>23</v>
      </c>
      <c r="AC1400">
        <v>0.53249999999999797</v>
      </c>
      <c r="AD1400">
        <v>-7.2482999999999798E-2</v>
      </c>
      <c r="AE1400">
        <v>-6.1799999999948299E-2</v>
      </c>
      <c r="AF1400">
        <v>6.4659285040375797E-2</v>
      </c>
      <c r="AG1400">
        <v>-7.2482999999999798E-2</v>
      </c>
      <c r="AH1400">
        <v>0.52246375743242002</v>
      </c>
      <c r="AI1400">
        <v>97.839349434058093</v>
      </c>
      <c r="AJ1400">
        <v>82.945037636496394</v>
      </c>
      <c r="AK1400">
        <v>0.53141601995172705</v>
      </c>
      <c r="AL1400">
        <v>95.026319107977102</v>
      </c>
      <c r="AM1400">
        <v>88.659683171853899</v>
      </c>
      <c r="AN1400">
        <v>0.99999999267334705</v>
      </c>
    </row>
    <row r="1401" spans="1:40" x14ac:dyDescent="0.25">
      <c r="A1401" t="str">
        <f>"20190303154123239"</f>
        <v>20190303154123239</v>
      </c>
      <c r="B1401" t="str">
        <f>"1551598883230626"</f>
        <v>1551598883230626</v>
      </c>
      <c r="C1401" t="s">
        <v>40</v>
      </c>
      <c r="D1401">
        <v>6.2050080000000003</v>
      </c>
      <c r="E1401">
        <v>0.52308770000000004</v>
      </c>
      <c r="F1401" t="s">
        <v>42</v>
      </c>
      <c r="G1401">
        <v>-238.0762</v>
      </c>
      <c r="H1401">
        <v>1.034249</v>
      </c>
      <c r="I1401">
        <v>367.71800000000002</v>
      </c>
      <c r="J1401">
        <v>-238.7747</v>
      </c>
      <c r="K1401">
        <v>1.121715</v>
      </c>
      <c r="L1401">
        <v>367.791</v>
      </c>
      <c r="M1401">
        <v>0.99978219999999995</v>
      </c>
      <c r="N1401">
        <v>-1.948393E-2</v>
      </c>
      <c r="O1401">
        <v>7.491284E-3</v>
      </c>
      <c r="P1401">
        <v>0.99411819999999895</v>
      </c>
      <c r="Q1401">
        <v>-0.1072172</v>
      </c>
      <c r="R1401">
        <v>-1.528525E-2</v>
      </c>
      <c r="S1401">
        <v>2.9834749999999999</v>
      </c>
      <c r="T1401">
        <v>-0.283620599999999</v>
      </c>
      <c r="U1401">
        <v>-0.2316589</v>
      </c>
      <c r="V1401">
        <v>2.2715909999999999E-2</v>
      </c>
      <c r="W1401">
        <v>-8.7834830000000003E-2</v>
      </c>
      <c r="X1401">
        <v>0.99587599999999998</v>
      </c>
      <c r="Y1401">
        <v>8.4404569999999998E-2</v>
      </c>
      <c r="Z1401">
        <v>-5.3867619999999998E-3</v>
      </c>
      <c r="AA1401">
        <v>0.996417</v>
      </c>
      <c r="AB1401">
        <v>22</v>
      </c>
      <c r="AC1401">
        <v>0.69849999999999501</v>
      </c>
      <c r="AD1401">
        <v>-8.7466000000000002E-2</v>
      </c>
      <c r="AE1401">
        <v>-7.2999999999978998E-2</v>
      </c>
      <c r="AF1401">
        <v>7.7036721732834601E-2</v>
      </c>
      <c r="AG1401">
        <v>-8.7466000000000002E-2</v>
      </c>
      <c r="AH1401">
        <v>0.68727341800195196</v>
      </c>
      <c r="AI1401">
        <v>97.208109422418303</v>
      </c>
      <c r="AJ1401">
        <v>83.604391884665901</v>
      </c>
      <c r="AK1401">
        <v>0.69708658625986197</v>
      </c>
      <c r="AL1401">
        <v>95.039058684009802</v>
      </c>
      <c r="AM1401">
        <v>88.693311099567694</v>
      </c>
      <c r="AN1401">
        <v>0.99999998865212802</v>
      </c>
    </row>
    <row r="1402" spans="1:40" x14ac:dyDescent="0.25">
      <c r="A1402" t="str">
        <f>"20190303154123259"</f>
        <v>20190303154123259</v>
      </c>
      <c r="B1402" t="str">
        <f>"1551598883250146"</f>
        <v>1551598883250146</v>
      </c>
      <c r="C1402" t="s">
        <v>40</v>
      </c>
      <c r="D1402">
        <v>6.2207019999999904</v>
      </c>
      <c r="E1402">
        <v>0.52318390000000004</v>
      </c>
      <c r="F1402" t="s">
        <v>42</v>
      </c>
      <c r="G1402">
        <v>-237.87799999999999</v>
      </c>
      <c r="H1402">
        <v>1.0356920000000001</v>
      </c>
      <c r="I1402">
        <v>367.72160000000002</v>
      </c>
      <c r="J1402">
        <v>-238.56360000000001</v>
      </c>
      <c r="K1402">
        <v>1.121677</v>
      </c>
      <c r="L1402">
        <v>367.79250000000002</v>
      </c>
      <c r="M1402">
        <v>0.99978149999999999</v>
      </c>
      <c r="N1402">
        <v>-1.955032E-2</v>
      </c>
      <c r="O1402">
        <v>7.3957679999999996E-3</v>
      </c>
      <c r="P1402">
        <v>0.99409009999999998</v>
      </c>
      <c r="Q1402">
        <v>-0.10750560000000001</v>
      </c>
      <c r="R1402">
        <v>-1.5081570000000001E-2</v>
      </c>
      <c r="S1402">
        <v>2.9833219999999998</v>
      </c>
      <c r="T1402">
        <v>-0.28635749999999999</v>
      </c>
      <c r="U1402">
        <v>-0.23019410000000001</v>
      </c>
      <c r="V1402">
        <v>2.2417159999999998E-2</v>
      </c>
      <c r="W1402">
        <v>-8.8057440000000001E-2</v>
      </c>
      <c r="X1402">
        <v>0.9958631</v>
      </c>
      <c r="Y1402">
        <v>8.3821580000000007E-2</v>
      </c>
      <c r="Z1402">
        <v>-5.3937799999999999E-3</v>
      </c>
      <c r="AA1402">
        <v>0.99646619999999997</v>
      </c>
      <c r="AB1402">
        <v>22</v>
      </c>
      <c r="AC1402">
        <v>0.68560000000002197</v>
      </c>
      <c r="AD1402">
        <v>-8.5984999999999895E-2</v>
      </c>
      <c r="AE1402">
        <v>-7.0899999999994606E-2</v>
      </c>
      <c r="AF1402">
        <v>7.4805396806203003E-2</v>
      </c>
      <c r="AG1402">
        <v>-8.5984999999999895E-2</v>
      </c>
      <c r="AH1402">
        <v>0.67455884863108595</v>
      </c>
      <c r="AI1402">
        <v>97.220441513096702</v>
      </c>
      <c r="AJ1402">
        <v>83.672023577481397</v>
      </c>
      <c r="AK1402">
        <v>0.68411907434512498</v>
      </c>
      <c r="AL1402">
        <v>95.051862965675397</v>
      </c>
      <c r="AM1402">
        <v>88.710473577656998</v>
      </c>
      <c r="AN1402">
        <v>0.99999997787171402</v>
      </c>
    </row>
    <row r="1403" spans="1:40" x14ac:dyDescent="0.25">
      <c r="A1403" t="str">
        <f>"20190303154123272"</f>
        <v>20190303154123272</v>
      </c>
      <c r="B1403" t="str">
        <f>"1551598883260882"</f>
        <v>1551598883260882</v>
      </c>
      <c r="C1403" t="s">
        <v>40</v>
      </c>
      <c r="D1403">
        <v>6.2069109999999998</v>
      </c>
      <c r="E1403">
        <v>0.52318560000000003</v>
      </c>
      <c r="F1403" t="s">
        <v>42</v>
      </c>
      <c r="G1403">
        <v>-237.68119999999999</v>
      </c>
      <c r="H1403">
        <v>1.036483</v>
      </c>
      <c r="I1403">
        <v>367.72430000000003</v>
      </c>
      <c r="J1403">
        <v>-238.4383</v>
      </c>
      <c r="K1403">
        <v>1.1216569999999999</v>
      </c>
      <c r="L1403">
        <v>367.79329999999999</v>
      </c>
      <c r="M1403">
        <v>0.9997819</v>
      </c>
      <c r="N1403">
        <v>-1.9560109999999999E-2</v>
      </c>
      <c r="O1403">
        <v>7.3387690000000002E-3</v>
      </c>
      <c r="P1403">
        <v>0.99404999999999999</v>
      </c>
      <c r="Q1403">
        <v>-0.1079031</v>
      </c>
      <c r="R1403">
        <v>-1.489331E-2</v>
      </c>
      <c r="S1403">
        <v>2.9832000000000001</v>
      </c>
      <c r="T1403">
        <v>-0.2880453</v>
      </c>
      <c r="U1403">
        <v>-0.23028560000000001</v>
      </c>
      <c r="V1403">
        <v>2.217204E-2</v>
      </c>
      <c r="W1403">
        <v>-8.8445750000000004E-2</v>
      </c>
      <c r="X1403">
        <v>0.9958342</v>
      </c>
      <c r="Y1403">
        <v>8.379325E-2</v>
      </c>
      <c r="Z1403">
        <v>-5.4159830000000001E-3</v>
      </c>
      <c r="AA1403">
        <v>0.99646840000000003</v>
      </c>
      <c r="AB1403">
        <v>22</v>
      </c>
      <c r="AC1403">
        <v>0.75710000000000799</v>
      </c>
      <c r="AD1403">
        <v>-8.5173999999999805E-2</v>
      </c>
      <c r="AE1403">
        <v>-6.8999999999959899E-2</v>
      </c>
      <c r="AF1403">
        <v>7.3631162270321293E-2</v>
      </c>
      <c r="AG1403">
        <v>-8.5173999999999805E-2</v>
      </c>
      <c r="AH1403">
        <v>0.74719429945515503</v>
      </c>
      <c r="AI1403">
        <v>96.472095644258999</v>
      </c>
      <c r="AJ1403">
        <v>84.372042193145006</v>
      </c>
      <c r="AK1403">
        <v>0.75562919442776799</v>
      </c>
      <c r="AL1403">
        <v>95.074198516831004</v>
      </c>
      <c r="AM1403">
        <v>88.724532193986803</v>
      </c>
      <c r="AN1403">
        <v>1.00000000197023</v>
      </c>
    </row>
    <row r="1404" spans="1:40" x14ac:dyDescent="0.25">
      <c r="A1404" t="str">
        <f>"20190303154123286"</f>
        <v>20190303154123286</v>
      </c>
      <c r="B1404" t="str">
        <f>"1551598883280401"</f>
        <v>1551598883280401</v>
      </c>
      <c r="C1404" t="s">
        <v>40</v>
      </c>
      <c r="D1404">
        <v>6.237965</v>
      </c>
      <c r="E1404">
        <v>0.52326459999999997</v>
      </c>
      <c r="F1404" t="s">
        <v>42</v>
      </c>
      <c r="G1404">
        <v>-237.67330000000001</v>
      </c>
      <c r="H1404">
        <v>1.047247</v>
      </c>
      <c r="I1404">
        <v>367.73439999999999</v>
      </c>
      <c r="J1404">
        <v>-238.31180000000001</v>
      </c>
      <c r="K1404">
        <v>1.121637</v>
      </c>
      <c r="L1404">
        <v>367.79419999999999</v>
      </c>
      <c r="M1404">
        <v>0.99978250000000002</v>
      </c>
      <c r="N1404">
        <v>-1.9546870000000001E-2</v>
      </c>
      <c r="O1404">
        <v>7.28117E-3</v>
      </c>
      <c r="P1404">
        <v>0.99405639999999995</v>
      </c>
      <c r="Q1404">
        <v>-0.1078404</v>
      </c>
      <c r="R1404">
        <v>-1.49104999999999E-2</v>
      </c>
      <c r="S1404">
        <v>2.9830169999999998</v>
      </c>
      <c r="T1404">
        <v>-0.29014640000000003</v>
      </c>
      <c r="U1404">
        <v>-0.22964480000000001</v>
      </c>
      <c r="V1404">
        <v>2.2132160000000001E-2</v>
      </c>
      <c r="W1404">
        <v>-8.8396039999999995E-2</v>
      </c>
      <c r="X1404">
        <v>0.99583949999999999</v>
      </c>
      <c r="Y1404">
        <v>8.3522760000000001E-2</v>
      </c>
      <c r="Z1404">
        <v>-5.430046E-3</v>
      </c>
      <c r="AA1404">
        <v>0.99649109999999996</v>
      </c>
      <c r="AB1404">
        <v>22</v>
      </c>
      <c r="AC1404">
        <v>0.63849999999999296</v>
      </c>
      <c r="AD1404">
        <v>-7.4389999999999901E-2</v>
      </c>
      <c r="AE1404">
        <v>-5.97999999999956E-2</v>
      </c>
      <c r="AF1404">
        <v>6.3592629908994502E-2</v>
      </c>
      <c r="AG1404">
        <v>-7.4389999999999901E-2</v>
      </c>
      <c r="AH1404">
        <v>0.62957602576309801</v>
      </c>
      <c r="AI1404">
        <v>96.704955403152695</v>
      </c>
      <c r="AJ1404">
        <v>84.232192906004798</v>
      </c>
      <c r="AK1404">
        <v>0.63713724337414102</v>
      </c>
      <c r="AL1404">
        <v>95.071339148592401</v>
      </c>
      <c r="AM1404">
        <v>88.726832347114296</v>
      </c>
      <c r="AN1404">
        <v>1.00000000107709</v>
      </c>
    </row>
    <row r="1405" spans="1:40" x14ac:dyDescent="0.25">
      <c r="A1405" t="str">
        <f>"20190303154123305"</f>
        <v>20190303154123305</v>
      </c>
      <c r="B1405" t="str">
        <f>"1551598883300898"</f>
        <v>1551598883300898</v>
      </c>
      <c r="C1405" t="s">
        <v>40</v>
      </c>
      <c r="D1405">
        <v>6.2612649999999999</v>
      </c>
      <c r="E1405">
        <v>0.5233968</v>
      </c>
      <c r="F1405" t="s">
        <v>42</v>
      </c>
      <c r="G1405">
        <v>-237.4837</v>
      </c>
      <c r="H1405">
        <v>1.0407630000000001</v>
      </c>
      <c r="I1405">
        <v>367.73009999999999</v>
      </c>
      <c r="J1405">
        <v>-238.12479999999999</v>
      </c>
      <c r="K1405">
        <v>1.121607</v>
      </c>
      <c r="L1405">
        <v>367.7955</v>
      </c>
      <c r="M1405">
        <v>0.99978409999999995</v>
      </c>
      <c r="N1405">
        <v>-1.9495220000000001E-2</v>
      </c>
      <c r="O1405">
        <v>7.1955269999999898E-3</v>
      </c>
      <c r="P1405">
        <v>0.99395860000000003</v>
      </c>
      <c r="Q1405">
        <v>-0.1087521</v>
      </c>
      <c r="R1405">
        <v>-1.481084E-2</v>
      </c>
      <c r="S1405">
        <v>2.9828489999999999</v>
      </c>
      <c r="T1405">
        <v>-0.29146850000000002</v>
      </c>
      <c r="U1405">
        <v>-0.23028560000000001</v>
      </c>
      <c r="V1405">
        <v>2.1946830000000001E-2</v>
      </c>
      <c r="W1405">
        <v>-8.9360780000000001E-2</v>
      </c>
      <c r="X1405">
        <v>0.99575749999999996</v>
      </c>
      <c r="Y1405">
        <v>8.3650000000000002E-2</v>
      </c>
      <c r="Z1405">
        <v>-5.4508289999999999E-3</v>
      </c>
      <c r="AA1405">
        <v>0.99648029999999999</v>
      </c>
      <c r="AB1405">
        <v>22</v>
      </c>
      <c r="AC1405">
        <v>0.64109999999999401</v>
      </c>
      <c r="AD1405">
        <v>-8.0844000000000096E-2</v>
      </c>
      <c r="AE1405">
        <v>-6.5400000000010894E-2</v>
      </c>
      <c r="AF1405">
        <v>6.8927459035582506E-2</v>
      </c>
      <c r="AG1405">
        <v>-8.0844000000000096E-2</v>
      </c>
      <c r="AH1405">
        <v>0.63068700511197595</v>
      </c>
      <c r="AI1405">
        <v>97.261796295704599</v>
      </c>
      <c r="AJ1405">
        <v>83.762927330526196</v>
      </c>
      <c r="AK1405">
        <v>0.63957239258915399</v>
      </c>
      <c r="AL1405">
        <v>95.126834280949296</v>
      </c>
      <c r="AM1405">
        <v>88.737386183790306</v>
      </c>
      <c r="AN1405">
        <v>1.00000000557775</v>
      </c>
    </row>
    <row r="1406" spans="1:40" x14ac:dyDescent="0.25">
      <c r="A1406" t="str">
        <f>"20190303154123319"</f>
        <v>20190303154123319</v>
      </c>
      <c r="B1406" t="str">
        <f>"1551598883310305"</f>
        <v>1551598883310305</v>
      </c>
      <c r="C1406" t="s">
        <v>40</v>
      </c>
      <c r="D1406">
        <v>6.2394679999999996</v>
      </c>
      <c r="E1406">
        <v>0.52342829999999996</v>
      </c>
      <c r="F1406" t="s">
        <v>42</v>
      </c>
      <c r="G1406">
        <v>-237.2902</v>
      </c>
      <c r="H1406">
        <v>1.0388850000000001</v>
      </c>
      <c r="I1406">
        <v>367.73079999999999</v>
      </c>
      <c r="J1406">
        <v>-237.99700000000001</v>
      </c>
      <c r="K1406">
        <v>1.1215889999999999</v>
      </c>
      <c r="L1406">
        <v>367.79629999999997</v>
      </c>
      <c r="M1406">
        <v>0.99978549999999999</v>
      </c>
      <c r="N1406">
        <v>-1.9442000000000001E-2</v>
      </c>
      <c r="O1406">
        <v>7.1373010000000004E-3</v>
      </c>
      <c r="P1406">
        <v>0.99388929999999998</v>
      </c>
      <c r="Q1406">
        <v>-0.1093915</v>
      </c>
      <c r="R1406">
        <v>-1.4754669999999999E-2</v>
      </c>
      <c r="S1406">
        <v>2.9824519999999999</v>
      </c>
      <c r="T1406">
        <v>-0.29561769999999998</v>
      </c>
      <c r="U1406">
        <v>-0.23104859999999999</v>
      </c>
      <c r="V1406">
        <v>2.1832190000000001E-2</v>
      </c>
      <c r="W1406">
        <v>-9.0054270000000006E-2</v>
      </c>
      <c r="X1406">
        <v>0.99569759999999996</v>
      </c>
      <c r="Y1406">
        <v>8.3841410000000005E-2</v>
      </c>
      <c r="Z1406">
        <v>-5.5239390000000003E-3</v>
      </c>
      <c r="AA1406">
        <v>0.99646380000000001</v>
      </c>
      <c r="AB1406">
        <v>22</v>
      </c>
      <c r="AC1406">
        <v>0.70680000000001497</v>
      </c>
      <c r="AD1406">
        <v>-8.2703999999999805E-2</v>
      </c>
      <c r="AE1406">
        <v>-6.5499999999985903E-2</v>
      </c>
      <c r="AF1406">
        <v>6.9599107451159797E-2</v>
      </c>
      <c r="AG1406">
        <v>-8.2703999999999805E-2</v>
      </c>
      <c r="AH1406">
        <v>0.69685447136355705</v>
      </c>
      <c r="AI1406">
        <v>96.735112617498402</v>
      </c>
      <c r="AJ1406">
        <v>84.2964355616391</v>
      </c>
      <c r="AK1406">
        <v>0.70518801863998004</v>
      </c>
      <c r="AL1406">
        <v>95.166728882521596</v>
      </c>
      <c r="AM1406">
        <v>88.7439038344327</v>
      </c>
      <c r="AN1406">
        <v>1.0000000633555901</v>
      </c>
    </row>
    <row r="1407" spans="1:40" x14ac:dyDescent="0.25">
      <c r="A1407" t="str">
        <f>"20190303154123330"</f>
        <v>20190303154123330</v>
      </c>
      <c r="B1407" t="str">
        <f>"1551598883321040"</f>
        <v>1551598883321040</v>
      </c>
      <c r="C1407" t="s">
        <v>40</v>
      </c>
      <c r="D1407">
        <v>6.2483029999999999</v>
      </c>
      <c r="E1407">
        <v>0.52349040000000002</v>
      </c>
      <c r="F1407" t="s">
        <v>42</v>
      </c>
      <c r="G1407">
        <v>-237.1001</v>
      </c>
      <c r="H1407">
        <v>1.032068</v>
      </c>
      <c r="I1407">
        <v>367.72660000000002</v>
      </c>
      <c r="J1407">
        <v>-237.8672</v>
      </c>
      <c r="K1407">
        <v>1.121569</v>
      </c>
      <c r="L1407">
        <v>367.79719999999998</v>
      </c>
      <c r="M1407">
        <v>0.99978730000000005</v>
      </c>
      <c r="N1407">
        <v>-1.9380120000000001E-2</v>
      </c>
      <c r="O1407">
        <v>7.0777909999999999E-3</v>
      </c>
      <c r="P1407">
        <v>0.99383379999999999</v>
      </c>
      <c r="Q1407">
        <v>-0.10987089999999899</v>
      </c>
      <c r="R1407">
        <v>-1.4934650000000001E-2</v>
      </c>
      <c r="S1407">
        <v>2.9822389999999999</v>
      </c>
      <c r="T1407">
        <v>-0.29785990000000001</v>
      </c>
      <c r="U1407">
        <v>-0.23107910000000001</v>
      </c>
      <c r="V1407">
        <v>2.1952719999999998E-2</v>
      </c>
      <c r="W1407">
        <v>-9.0596360000000001E-2</v>
      </c>
      <c r="X1407">
        <v>0.99564569999999997</v>
      </c>
      <c r="Y1407">
        <v>8.3791130000000005E-2</v>
      </c>
      <c r="Z1407">
        <v>-5.5509510000000001E-3</v>
      </c>
      <c r="AA1407">
        <v>0.99646789999999996</v>
      </c>
      <c r="AB1407">
        <v>22</v>
      </c>
      <c r="AC1407">
        <v>0.767099999999999</v>
      </c>
      <c r="AD1407">
        <v>-8.9500999999999997E-2</v>
      </c>
      <c r="AE1407">
        <v>-7.0599999999956198E-2</v>
      </c>
      <c r="AF1407">
        <v>7.5016012486935402E-2</v>
      </c>
      <c r="AG1407">
        <v>-8.9500999999999997E-2</v>
      </c>
      <c r="AH1407">
        <v>0.75637104458521598</v>
      </c>
      <c r="AI1407">
        <v>96.715754780894002</v>
      </c>
      <c r="AJ1407">
        <v>84.335993084710793</v>
      </c>
      <c r="AK1407">
        <v>0.76533325304560695</v>
      </c>
      <c r="AL1407">
        <v>95.197916208880997</v>
      </c>
      <c r="AM1407">
        <v>88.736905668758197</v>
      </c>
      <c r="AN1407">
        <v>0.99999999114456894</v>
      </c>
    </row>
    <row r="1408" spans="1:40" x14ac:dyDescent="0.25">
      <c r="A1408" t="str">
        <f>"20190303154123342"</f>
        <v>20190303154123342</v>
      </c>
      <c r="B1408" t="str">
        <f>"1551598883330800"</f>
        <v>1551598883330800</v>
      </c>
      <c r="C1408" t="s">
        <v>40</v>
      </c>
      <c r="D1408">
        <v>6.2340859999999996</v>
      </c>
      <c r="E1408">
        <v>0.52355439999999998</v>
      </c>
      <c r="F1408" t="s">
        <v>42</v>
      </c>
      <c r="G1408">
        <v>-237.09309999999999</v>
      </c>
      <c r="H1408">
        <v>1.0437970000000001</v>
      </c>
      <c r="I1408">
        <v>367.73669999999998</v>
      </c>
      <c r="J1408">
        <v>-237.75729999999999</v>
      </c>
      <c r="K1408">
        <v>1.1215569999999999</v>
      </c>
      <c r="L1408">
        <v>367.79790000000003</v>
      </c>
      <c r="M1408">
        <v>0.99978820000000002</v>
      </c>
      <c r="N1408">
        <v>-1.9342499999999999E-2</v>
      </c>
      <c r="O1408">
        <v>7.0277530000000003E-3</v>
      </c>
      <c r="P1408">
        <v>0.99380869999999999</v>
      </c>
      <c r="Q1408">
        <v>-0.1100947</v>
      </c>
      <c r="R1408">
        <v>-1.495646E-2</v>
      </c>
      <c r="S1408">
        <v>2.9819789999999999</v>
      </c>
      <c r="T1408">
        <v>-0.29986079999999998</v>
      </c>
      <c r="U1408">
        <v>-0.23196410000000001</v>
      </c>
      <c r="V1408">
        <v>2.192467E-2</v>
      </c>
      <c r="W1408">
        <v>-9.0858010000000003E-2</v>
      </c>
      <c r="X1408">
        <v>0.99562249999999997</v>
      </c>
      <c r="Y1408">
        <v>8.4034159999999997E-2</v>
      </c>
      <c r="Z1408">
        <v>-5.5930939999999998E-3</v>
      </c>
      <c r="AA1408">
        <v>0.99644719999999998</v>
      </c>
      <c r="AB1408">
        <v>22</v>
      </c>
      <c r="AC1408">
        <v>0.66419999999999302</v>
      </c>
      <c r="AD1408">
        <v>-7.7759999999999996E-2</v>
      </c>
      <c r="AE1408">
        <v>-6.1200000000042103E-2</v>
      </c>
      <c r="AF1408">
        <v>6.4984014153641897E-2</v>
      </c>
      <c r="AG1408">
        <v>-7.7759999999999996E-2</v>
      </c>
      <c r="AH1408">
        <v>0.65485346758599206</v>
      </c>
      <c r="AI1408">
        <v>96.739034566815306</v>
      </c>
      <c r="AJ1408">
        <v>84.332839471132402</v>
      </c>
      <c r="AK1408">
        <v>0.66264817490499395</v>
      </c>
      <c r="AL1408">
        <v>95.212969604757404</v>
      </c>
      <c r="AM1408">
        <v>88.738489675098194</v>
      </c>
      <c r="AN1408">
        <v>1.0000000158210001</v>
      </c>
    </row>
    <row r="1409" spans="1:40" x14ac:dyDescent="0.25">
      <c r="A1409" t="str">
        <f>"20190303154123355"</f>
        <v>20190303154123355</v>
      </c>
      <c r="B1409" t="str">
        <f>"1551598883350320"</f>
        <v>1551598883350320</v>
      </c>
      <c r="C1409" t="s">
        <v>40</v>
      </c>
      <c r="D1409">
        <v>6.2716919999999998</v>
      </c>
      <c r="E1409">
        <v>0.52366040000000003</v>
      </c>
      <c r="F1409" t="s">
        <v>42</v>
      </c>
      <c r="G1409">
        <v>-236.9059</v>
      </c>
      <c r="H1409">
        <v>1.035671</v>
      </c>
      <c r="I1409">
        <v>367.73129999999998</v>
      </c>
      <c r="J1409">
        <v>-237.63290000000001</v>
      </c>
      <c r="K1409">
        <v>1.1215539999999999</v>
      </c>
      <c r="L1409">
        <v>367.7987</v>
      </c>
      <c r="M1409">
        <v>0.99978929999999999</v>
      </c>
      <c r="N1409">
        <v>-1.9310440000000002E-2</v>
      </c>
      <c r="O1409">
        <v>6.9708060000000004E-3</v>
      </c>
      <c r="P1409">
        <v>0.99369130000000006</v>
      </c>
      <c r="Q1409">
        <v>-0.11115070000000001</v>
      </c>
      <c r="R1409">
        <v>-1.494729E-2</v>
      </c>
      <c r="S1409">
        <v>2.9818570000000002</v>
      </c>
      <c r="T1409">
        <v>-0.30091810000000002</v>
      </c>
      <c r="U1409">
        <v>-0.2327881</v>
      </c>
      <c r="V1409">
        <v>2.18579E-2</v>
      </c>
      <c r="W1409">
        <v>-9.1947870000000001E-2</v>
      </c>
      <c r="X1409">
        <v>0.99552390000000002</v>
      </c>
      <c r="Y1409">
        <v>8.4249779999999996E-2</v>
      </c>
      <c r="Z1409">
        <v>-5.6176719999999998E-3</v>
      </c>
      <c r="AA1409">
        <v>0.9964288</v>
      </c>
      <c r="AB1409">
        <v>22</v>
      </c>
      <c r="AC1409">
        <v>0.72700000000000298</v>
      </c>
      <c r="AD1409">
        <v>-8.5883000000000098E-2</v>
      </c>
      <c r="AE1409">
        <v>-6.7400000000020499E-2</v>
      </c>
      <c r="AF1409">
        <v>7.1478070588358797E-2</v>
      </c>
      <c r="AG1409">
        <v>-8.5883000000000098E-2</v>
      </c>
      <c r="AH1409">
        <v>0.716597156643624</v>
      </c>
      <c r="AI1409">
        <v>96.800779160177996</v>
      </c>
      <c r="AJ1409">
        <v>84.303786922504599</v>
      </c>
      <c r="AK1409">
        <v>0.72525615417848099</v>
      </c>
      <c r="AL1409">
        <v>95.275676523320797</v>
      </c>
      <c r="AM1409">
        <v>88.742205754134901</v>
      </c>
      <c r="AN1409">
        <v>1.0000000070305699</v>
      </c>
    </row>
    <row r="1410" spans="1:40" x14ac:dyDescent="0.25">
      <c r="A1410" t="str">
        <f>"20190303154123368"</f>
        <v>20190303154123368</v>
      </c>
      <c r="B1410" t="str">
        <f>"1551598883361056"</f>
        <v>1551598883361056</v>
      </c>
      <c r="C1410" t="s">
        <v>40</v>
      </c>
      <c r="D1410">
        <v>6.2401049999999998</v>
      </c>
      <c r="E1410">
        <v>0.52371449999999997</v>
      </c>
      <c r="F1410" t="s">
        <v>42</v>
      </c>
      <c r="G1410">
        <v>-236.8982</v>
      </c>
      <c r="H1410">
        <v>1.0464290000000001</v>
      </c>
      <c r="I1410">
        <v>367.74110000000002</v>
      </c>
      <c r="J1410">
        <v>-237.51769999999999</v>
      </c>
      <c r="K1410">
        <v>1.1215649999999999</v>
      </c>
      <c r="L1410">
        <v>367.79939999999999</v>
      </c>
      <c r="M1410">
        <v>0.99978940000000005</v>
      </c>
      <c r="N1410">
        <v>-1.9330989999999999E-2</v>
      </c>
      <c r="O1410">
        <v>6.9180550000000002E-3</v>
      </c>
      <c r="P1410">
        <v>0.99364450000000004</v>
      </c>
      <c r="Q1410">
        <v>-0.1115683</v>
      </c>
      <c r="R1410">
        <v>-1.495836E-2</v>
      </c>
      <c r="S1410">
        <v>2.98143</v>
      </c>
      <c r="T1410">
        <v>-0.3049616</v>
      </c>
      <c r="U1410">
        <v>-0.23345949999999999</v>
      </c>
      <c r="V1410">
        <v>2.1816209999999999E-2</v>
      </c>
      <c r="W1410">
        <v>-9.2345759999999999E-2</v>
      </c>
      <c r="X1410">
        <v>0.99548800000000004</v>
      </c>
      <c r="Y1410">
        <v>8.4416889999999994E-2</v>
      </c>
      <c r="Z1410">
        <v>-5.690886E-3</v>
      </c>
      <c r="AA1410">
        <v>0.99641420000000003</v>
      </c>
      <c r="AB1410">
        <v>22</v>
      </c>
      <c r="AC1410">
        <v>0.61949999999998795</v>
      </c>
      <c r="AD1410">
        <v>-7.51359999999998E-2</v>
      </c>
      <c r="AE1410">
        <v>-5.8299999999974199E-2</v>
      </c>
      <c r="AF1410">
        <v>6.1685706748513203E-2</v>
      </c>
      <c r="AG1410">
        <v>-7.51359999999998E-2</v>
      </c>
      <c r="AH1410">
        <v>0.61018473222041403</v>
      </c>
      <c r="AI1410">
        <v>96.984617167557104</v>
      </c>
      <c r="AJ1410">
        <v>84.227381316595199</v>
      </c>
      <c r="AK1410">
        <v>0.61788020873625804</v>
      </c>
      <c r="AL1410">
        <v>95.298571267614307</v>
      </c>
      <c r="AM1410">
        <v>88.744558742714503</v>
      </c>
      <c r="AN1410">
        <v>1.0000000222763701</v>
      </c>
    </row>
    <row r="1411" spans="1:40" x14ac:dyDescent="0.25">
      <c r="A1411" t="str">
        <f>"20190303154123382"</f>
        <v>20190303154123382</v>
      </c>
      <c r="B1411" t="str">
        <f>"1551598883370816"</f>
        <v>1551598883370816</v>
      </c>
      <c r="C1411" t="s">
        <v>40</v>
      </c>
      <c r="D1411">
        <v>6.2565549999999996</v>
      </c>
      <c r="E1411">
        <v>0.52374979999999904</v>
      </c>
      <c r="F1411" t="s">
        <v>42</v>
      </c>
      <c r="G1411">
        <v>-236.7133</v>
      </c>
      <c r="H1411">
        <v>1.038845</v>
      </c>
      <c r="I1411">
        <v>367.73610000000002</v>
      </c>
      <c r="J1411">
        <v>-237.3783</v>
      </c>
      <c r="K1411">
        <v>1.1215850000000001</v>
      </c>
      <c r="L1411">
        <v>367.80040000000002</v>
      </c>
      <c r="M1411">
        <v>0.99978840000000002</v>
      </c>
      <c r="N1411">
        <v>-1.9390210000000001E-2</v>
      </c>
      <c r="O1411">
        <v>6.8546719999999896E-3</v>
      </c>
      <c r="P1411">
        <v>0.99355970000000005</v>
      </c>
      <c r="Q1411">
        <v>-0.11233890000000001</v>
      </c>
      <c r="R1411">
        <v>-1.4799430000000001E-2</v>
      </c>
      <c r="S1411">
        <v>2.9812319999999999</v>
      </c>
      <c r="T1411">
        <v>-0.30676930000000002</v>
      </c>
      <c r="U1411">
        <v>-0.2338867</v>
      </c>
      <c r="V1411">
        <v>2.159401E-2</v>
      </c>
      <c r="W1411">
        <v>-9.3058859999999993E-2</v>
      </c>
      <c r="X1411">
        <v>0.99542640000000004</v>
      </c>
      <c r="Y1411">
        <v>8.449421E-2</v>
      </c>
      <c r="Z1411">
        <v>-5.722286E-3</v>
      </c>
      <c r="AA1411">
        <v>0.99640759999999995</v>
      </c>
      <c r="AB1411">
        <v>22</v>
      </c>
      <c r="AC1411">
        <v>0.66499999999999204</v>
      </c>
      <c r="AD1411">
        <v>-8.2739999999999994E-2</v>
      </c>
      <c r="AE1411">
        <v>-6.4300000000002897E-2</v>
      </c>
      <c r="AF1411">
        <v>6.7817571191593207E-2</v>
      </c>
      <c r="AG1411">
        <v>-8.2739999999999994E-2</v>
      </c>
      <c r="AH1411">
        <v>0.65450525050669095</v>
      </c>
      <c r="AI1411">
        <v>97.166922026143993</v>
      </c>
      <c r="AJ1411">
        <v>84.084320155804406</v>
      </c>
      <c r="AK1411">
        <v>0.66319096307410097</v>
      </c>
      <c r="AL1411">
        <v>95.339605785353896</v>
      </c>
      <c r="AM1411">
        <v>88.757264615875897</v>
      </c>
      <c r="AN1411">
        <v>0.99999998525466904</v>
      </c>
    </row>
    <row r="1412" spans="1:40" x14ac:dyDescent="0.25">
      <c r="A1412" t="str">
        <f>"20190303154123397"</f>
        <v>20190303154123397</v>
      </c>
      <c r="B1412" t="str">
        <f>"1551598883390337"</f>
        <v>1551598883390337</v>
      </c>
      <c r="C1412" t="s">
        <v>40</v>
      </c>
      <c r="D1412">
        <v>6.3759499999999996</v>
      </c>
      <c r="E1412">
        <v>0.53919819999999996</v>
      </c>
      <c r="F1412" t="s">
        <v>42</v>
      </c>
      <c r="G1412">
        <v>-236.5265</v>
      </c>
      <c r="H1412">
        <v>1.0331399999999999</v>
      </c>
      <c r="I1412">
        <v>367.73349999999999</v>
      </c>
      <c r="J1412">
        <v>-237.24510000000001</v>
      </c>
      <c r="K1412">
        <v>1.1216200000000001</v>
      </c>
      <c r="L1412">
        <v>367.80119999999999</v>
      </c>
      <c r="M1412">
        <v>0.99978710000000004</v>
      </c>
      <c r="N1412">
        <v>-1.9489780000000002E-2</v>
      </c>
      <c r="O1412">
        <v>6.7938649999999996E-3</v>
      </c>
      <c r="P1412">
        <v>0.99344619999999995</v>
      </c>
      <c r="Q1412">
        <v>-0.113318</v>
      </c>
      <c r="R1412">
        <v>-1.4959999999999999E-2</v>
      </c>
      <c r="S1412">
        <v>2.9809570000000001</v>
      </c>
      <c r="T1412">
        <v>-0.30963580000000002</v>
      </c>
      <c r="U1412">
        <v>-0.23379520000000001</v>
      </c>
      <c r="V1412">
        <v>2.1693270000000001E-2</v>
      </c>
      <c r="W1412">
        <v>-9.3940770000000007E-2</v>
      </c>
      <c r="X1412">
        <v>0.99534140000000004</v>
      </c>
      <c r="Y1412">
        <v>8.4401050000000005E-2</v>
      </c>
      <c r="Z1412">
        <v>-5.7622810000000002E-3</v>
      </c>
      <c r="AA1412">
        <v>0.99641519999999995</v>
      </c>
      <c r="AB1412">
        <v>21</v>
      </c>
      <c r="AC1412">
        <v>0.71860000000000901</v>
      </c>
      <c r="AD1412">
        <v>-8.84800000000001E-2</v>
      </c>
      <c r="AE1412">
        <v>-6.7700000000001995E-2</v>
      </c>
      <c r="AF1412">
        <v>7.1506886787317703E-2</v>
      </c>
      <c r="AG1412">
        <v>-8.84800000000001E-2</v>
      </c>
      <c r="AH1412">
        <v>0.70749175560464805</v>
      </c>
      <c r="AI1412">
        <v>97.092722948077295</v>
      </c>
      <c r="AJ1412">
        <v>84.228658106996605</v>
      </c>
      <c r="AK1412">
        <v>0.716579743996829</v>
      </c>
      <c r="AL1412">
        <v>95.390357843041599</v>
      </c>
      <c r="AM1412">
        <v>88.751447425334405</v>
      </c>
      <c r="AN1412">
        <v>0.99999998439272197</v>
      </c>
    </row>
    <row r="1413" spans="1:40" x14ac:dyDescent="0.25">
      <c r="A1413" t="str">
        <f>"20190303154123410"</f>
        <v>20190303154123410</v>
      </c>
      <c r="B1413" t="str">
        <f>"1551598883401072"</f>
        <v>1551598883401072</v>
      </c>
      <c r="C1413" t="s">
        <v>40</v>
      </c>
      <c r="D1413">
        <v>6.3280289999999999</v>
      </c>
      <c r="E1413">
        <v>0.54838379999999998</v>
      </c>
      <c r="F1413" t="s">
        <v>42</v>
      </c>
      <c r="G1413">
        <v>-236.3416</v>
      </c>
      <c r="H1413">
        <v>1.0259799999999999</v>
      </c>
      <c r="I1413">
        <v>367.69260000000003</v>
      </c>
      <c r="J1413">
        <v>-237.11660000000001</v>
      </c>
      <c r="K1413">
        <v>1.121664</v>
      </c>
      <c r="L1413">
        <v>367.80200000000002</v>
      </c>
      <c r="M1413">
        <v>0.99978440000000002</v>
      </c>
      <c r="N1413">
        <v>-1.9650560000000001E-2</v>
      </c>
      <c r="O1413">
        <v>6.7350040000000002E-3</v>
      </c>
      <c r="P1413">
        <v>0.99339770000000005</v>
      </c>
      <c r="Q1413">
        <v>-0.113764</v>
      </c>
      <c r="R1413">
        <v>-1.480968E-2</v>
      </c>
      <c r="S1413">
        <v>2.978424</v>
      </c>
      <c r="T1413">
        <v>-0.31539129999999999</v>
      </c>
      <c r="U1413">
        <v>-0.35760500000000001</v>
      </c>
      <c r="V1413">
        <v>2.1484099999999999E-2</v>
      </c>
      <c r="W1413">
        <v>-9.4227430000000001E-2</v>
      </c>
      <c r="X1413">
        <v>0.99531879999999995</v>
      </c>
      <c r="Y1413">
        <v>0.12505039999999901</v>
      </c>
      <c r="Z1413">
        <v>-8.3933819999999996E-3</v>
      </c>
      <c r="AA1413">
        <v>0.99211490000000002</v>
      </c>
      <c r="AB1413">
        <v>21</v>
      </c>
      <c r="AC1413">
        <v>0.77500000000000502</v>
      </c>
      <c r="AD1413">
        <v>-9.5684000000000102E-2</v>
      </c>
      <c r="AE1413">
        <v>-0.10939999999993601</v>
      </c>
      <c r="AF1413">
        <v>0.112930368122067</v>
      </c>
      <c r="AG1413">
        <v>-9.5684000000000102E-2</v>
      </c>
      <c r="AH1413">
        <v>0.76284447948344702</v>
      </c>
      <c r="AI1413">
        <v>97.073013517703401</v>
      </c>
      <c r="AJ1413">
        <v>81.579177378875499</v>
      </c>
      <c r="AK1413">
        <v>0.77707167994886905</v>
      </c>
      <c r="AL1413">
        <v>95.406855647648996</v>
      </c>
      <c r="AM1413">
        <v>88.763454346261398</v>
      </c>
      <c r="AN1413">
        <v>0.99999994437532502</v>
      </c>
    </row>
    <row r="1414" spans="1:40" x14ac:dyDescent="0.25">
      <c r="A1414" t="str">
        <f>"20190303154123426"</f>
        <v>20190303154123426</v>
      </c>
      <c r="B1414" t="str">
        <f>"1551598883421236"</f>
        <v>1551598883421236</v>
      </c>
      <c r="C1414" t="s">
        <v>40</v>
      </c>
      <c r="D1414">
        <v>6.3082310000000001</v>
      </c>
      <c r="E1414">
        <v>0.55798479999999995</v>
      </c>
      <c r="F1414" t="s">
        <v>41</v>
      </c>
      <c r="G1414">
        <v>-225.68719999999999</v>
      </c>
      <c r="H1414" s="1">
        <v>-2.4469799999999999E-6</v>
      </c>
      <c r="I1414">
        <v>366.15219999999999</v>
      </c>
      <c r="J1414">
        <v>-236.97800000000001</v>
      </c>
      <c r="K1414">
        <v>1.121721</v>
      </c>
      <c r="L1414">
        <v>367.80290000000002</v>
      </c>
      <c r="M1414">
        <v>0.99978069999999997</v>
      </c>
      <c r="N1414">
        <v>-1.985609E-2</v>
      </c>
      <c r="O1414">
        <v>6.6719800000000001E-3</v>
      </c>
      <c r="P1414">
        <v>0.99334199999999995</v>
      </c>
      <c r="Q1414">
        <v>-0.114191</v>
      </c>
      <c r="R1414">
        <v>-1.524939E-2</v>
      </c>
      <c r="S1414">
        <v>2.9800420000000001</v>
      </c>
      <c r="T1414">
        <v>-0.2924563</v>
      </c>
      <c r="U1414">
        <v>-0.43014530000000001</v>
      </c>
      <c r="V1414">
        <v>2.1860919999999999E-2</v>
      </c>
      <c r="W1414">
        <v>-9.4450900000000004E-2</v>
      </c>
      <c r="X1414">
        <v>0.99528939999999999</v>
      </c>
      <c r="Y1414">
        <v>0.14859900000000001</v>
      </c>
      <c r="Z1414">
        <v>-9.2425489999999992E-3</v>
      </c>
      <c r="AA1414">
        <v>0.98885429999999996</v>
      </c>
      <c r="AB1414">
        <v>21</v>
      </c>
      <c r="AC1414">
        <v>11.2907999999999</v>
      </c>
      <c r="AD1414">
        <v>-1.1217234469799999</v>
      </c>
      <c r="AE1414">
        <v>-1.65070000000002</v>
      </c>
      <c r="AF1414">
        <v>1.7094903125898899</v>
      </c>
      <c r="AG1414">
        <v>-1.1217234469799999</v>
      </c>
      <c r="AH1414">
        <v>11.171575741689001</v>
      </c>
      <c r="AI1414">
        <v>95.668236058592797</v>
      </c>
      <c r="AJ1414">
        <v>81.300005001704506</v>
      </c>
      <c r="AK1414">
        <v>11.3571442349138</v>
      </c>
      <c r="AL1414">
        <v>95.419716968394994</v>
      </c>
      <c r="AM1414">
        <v>88.741735732256998</v>
      </c>
      <c r="AN1414">
        <v>0.99999993104320595</v>
      </c>
    </row>
    <row r="1415" spans="1:40" x14ac:dyDescent="0.25">
      <c r="A1415" t="str">
        <f>"20190303154123439"</f>
        <v>20190303154123439</v>
      </c>
      <c r="B1415" t="str">
        <f>"1551598883430996"</f>
        <v>1551598883430996</v>
      </c>
      <c r="C1415" t="s">
        <v>40</v>
      </c>
      <c r="D1415">
        <v>6.3313009999999998</v>
      </c>
      <c r="E1415">
        <v>0.56006679999999998</v>
      </c>
      <c r="F1415" t="s">
        <v>41</v>
      </c>
      <c r="G1415">
        <v>-225.08600000000001</v>
      </c>
      <c r="H1415" s="1">
        <v>-2.771767E-6</v>
      </c>
      <c r="I1415">
        <v>365.77530000000002</v>
      </c>
      <c r="J1415">
        <v>-236.8449</v>
      </c>
      <c r="K1415">
        <v>1.1217729999999999</v>
      </c>
      <c r="L1415">
        <v>367.80369999999999</v>
      </c>
      <c r="M1415">
        <v>0.99977669999999996</v>
      </c>
      <c r="N1415">
        <v>-2.0079590000000001E-2</v>
      </c>
      <c r="O1415">
        <v>6.6116079999999997E-3</v>
      </c>
      <c r="P1415">
        <v>0.99334929999999999</v>
      </c>
      <c r="Q1415">
        <v>-0.11407630000000001</v>
      </c>
      <c r="R1415">
        <v>-1.5622459999999999E-2</v>
      </c>
      <c r="S1415">
        <v>2.9800110000000002</v>
      </c>
      <c r="T1415">
        <v>-0.28109070000000003</v>
      </c>
      <c r="U1415">
        <v>-0.50808719999999996</v>
      </c>
      <c r="V1415">
        <v>2.2174280000000001E-2</v>
      </c>
      <c r="W1415">
        <v>-9.4113740000000001E-2</v>
      </c>
      <c r="X1415">
        <v>0.99531449999999999</v>
      </c>
      <c r="Y1415">
        <v>0.17365720000000001</v>
      </c>
      <c r="Z1415">
        <v>-1.0360919999999999E-2</v>
      </c>
      <c r="AA1415">
        <v>0.98475159999999995</v>
      </c>
      <c r="AB1415">
        <v>21</v>
      </c>
      <c r="AC1415">
        <v>11.758900000000001</v>
      </c>
      <c r="AD1415">
        <v>-1.1217757717669901</v>
      </c>
      <c r="AE1415">
        <v>-2.0283999999999698</v>
      </c>
      <c r="AF1415">
        <v>2.08766616277184</v>
      </c>
      <c r="AG1415">
        <v>-1.1217757717669901</v>
      </c>
      <c r="AH1415">
        <v>11.6423364973641</v>
      </c>
      <c r="AI1415">
        <v>95.417751921315201</v>
      </c>
      <c r="AJ1415">
        <v>79.833948516125304</v>
      </c>
      <c r="AK1415">
        <v>11.881108113604601</v>
      </c>
      <c r="AL1415">
        <v>95.400312180296396</v>
      </c>
      <c r="AM1415">
        <v>88.723737550322397</v>
      </c>
      <c r="AN1415">
        <v>1.00000002433027</v>
      </c>
    </row>
    <row r="1416" spans="1:40" x14ac:dyDescent="0.25">
      <c r="A1416" t="str">
        <f>"20190303154123462"</f>
        <v>20190303154123462</v>
      </c>
      <c r="B1416" t="str">
        <f>"1551598883450516"</f>
        <v>1551598883450516</v>
      </c>
      <c r="C1416" t="s">
        <v>40</v>
      </c>
      <c r="D1416">
        <v>6.3224150000000003</v>
      </c>
      <c r="E1416">
        <v>0.562720199999999</v>
      </c>
      <c r="F1416" t="s">
        <v>41</v>
      </c>
      <c r="G1416">
        <v>-224.97579999999999</v>
      </c>
      <c r="H1416" s="1">
        <v>-2.8308859999999999E-6</v>
      </c>
      <c r="I1416">
        <v>365.70839999999998</v>
      </c>
      <c r="J1416">
        <v>-236.6431</v>
      </c>
      <c r="K1416">
        <v>1.121861</v>
      </c>
      <c r="L1416">
        <v>367.80489999999998</v>
      </c>
      <c r="M1416">
        <v>0.99976949999999998</v>
      </c>
      <c r="N1416">
        <v>-2.0460200000000001E-2</v>
      </c>
      <c r="O1416">
        <v>6.5197930000000003E-3</v>
      </c>
      <c r="P1416">
        <v>0.99346690000000004</v>
      </c>
      <c r="Q1416">
        <v>-0.113008</v>
      </c>
      <c r="R1416">
        <v>-1.5903420000000001E-2</v>
      </c>
      <c r="S1416">
        <v>2.9794770000000002</v>
      </c>
      <c r="T1416">
        <v>-0.28159679999999998</v>
      </c>
      <c r="U1416">
        <v>-0.52597050000000001</v>
      </c>
      <c r="V1416">
        <v>2.2365369999999999E-2</v>
      </c>
      <c r="W1416">
        <v>-9.2664380000000005E-2</v>
      </c>
      <c r="X1416">
        <v>0.99544619999999995</v>
      </c>
      <c r="Y1416">
        <v>0.17929619999999999</v>
      </c>
      <c r="Z1416">
        <v>-1.072097E-2</v>
      </c>
      <c r="AA1416">
        <v>0.98373679999999997</v>
      </c>
      <c r="AB1416">
        <v>21</v>
      </c>
      <c r="AC1416">
        <v>11.667299999999999</v>
      </c>
      <c r="AD1416">
        <v>-1.1218638308860001</v>
      </c>
      <c r="AE1416">
        <v>-2.09649999999999</v>
      </c>
      <c r="AF1416">
        <v>2.1532540979050001</v>
      </c>
      <c r="AG1416">
        <v>-1.1218638308860001</v>
      </c>
      <c r="AH1416">
        <v>11.549933308375699</v>
      </c>
      <c r="AI1416">
        <v>95.454432414956699</v>
      </c>
      <c r="AJ1416">
        <v>79.439580410699307</v>
      </c>
      <c r="AK1416">
        <v>11.8023743837044</v>
      </c>
      <c r="AL1416">
        <v>95.316905489289994</v>
      </c>
      <c r="AM1416">
        <v>88.712913112688497</v>
      </c>
      <c r="AN1416">
        <v>1.0000000170952299</v>
      </c>
    </row>
    <row r="1417" spans="1:40" x14ac:dyDescent="0.25">
      <c r="A1417" t="str">
        <f>"20190303154123473"</f>
        <v>20190303154123473</v>
      </c>
      <c r="B1417" t="str">
        <f>"1551598883461253"</f>
        <v>1551598883461253</v>
      </c>
      <c r="C1417" t="s">
        <v>40</v>
      </c>
      <c r="D1417">
        <v>6.1968069999999997</v>
      </c>
      <c r="E1417">
        <v>0.56454559999999998</v>
      </c>
      <c r="F1417" t="s">
        <v>41</v>
      </c>
      <c r="G1417">
        <v>-224.64009999999999</v>
      </c>
      <c r="H1417" s="1">
        <v>-2.9945459999999999E-6</v>
      </c>
      <c r="I1417">
        <v>365.59769999999997</v>
      </c>
      <c r="J1417">
        <v>-236.5292</v>
      </c>
      <c r="K1417">
        <v>1.121907</v>
      </c>
      <c r="L1417">
        <v>367.80560000000003</v>
      </c>
      <c r="M1417">
        <v>0.99976509999999996</v>
      </c>
      <c r="N1417">
        <v>-2.068946E-2</v>
      </c>
      <c r="O1417">
        <v>6.4681770000000003E-3</v>
      </c>
      <c r="P1417">
        <v>0.99353380000000002</v>
      </c>
      <c r="Q1417">
        <v>-0.1123451</v>
      </c>
      <c r="R1417">
        <v>-1.640747E-2</v>
      </c>
      <c r="S1417">
        <v>2.9793090000000002</v>
      </c>
      <c r="T1417">
        <v>-0.27846070000000001</v>
      </c>
      <c r="U1417">
        <v>-0.54785159999999999</v>
      </c>
      <c r="V1417">
        <v>2.2818649999999999E-2</v>
      </c>
      <c r="W1417">
        <v>-9.1772030000000004E-2</v>
      </c>
      <c r="X1417">
        <v>0.99551860000000003</v>
      </c>
      <c r="Y1417">
        <v>0.18623100000000001</v>
      </c>
      <c r="Z1417">
        <v>-1.102594E-2</v>
      </c>
      <c r="AA1417">
        <v>0.98244410000000004</v>
      </c>
      <c r="AB1417">
        <v>21</v>
      </c>
      <c r="AC1417">
        <v>11.889099999999999</v>
      </c>
      <c r="AD1417">
        <v>-1.121909994546</v>
      </c>
      <c r="AE1417">
        <v>-2.2079000000000502</v>
      </c>
      <c r="AF1417">
        <v>2.2652720157583399</v>
      </c>
      <c r="AG1417">
        <v>-1.121909994546</v>
      </c>
      <c r="AH1417">
        <v>11.7732253130344</v>
      </c>
      <c r="AI1417">
        <v>95.345994647567295</v>
      </c>
      <c r="AJ1417">
        <v>79.108887256964707</v>
      </c>
      <c r="AK1417">
        <v>12.041551960304499</v>
      </c>
      <c r="AL1417">
        <v>95.265558683322695</v>
      </c>
      <c r="AM1417">
        <v>88.686932173276205</v>
      </c>
      <c r="AN1417">
        <v>1.0000000396120501</v>
      </c>
    </row>
    <row r="1418" spans="1:40" x14ac:dyDescent="0.25">
      <c r="A1418" t="str">
        <f>"20190303154123487"</f>
        <v>20190303154123487</v>
      </c>
      <c r="B1418" t="str">
        <f>"1551598883480311"</f>
        <v>1551598883480311</v>
      </c>
      <c r="C1418" t="s">
        <v>40</v>
      </c>
      <c r="D1418">
        <v>6.3079000000000001</v>
      </c>
      <c r="E1418">
        <v>0.56660710000000003</v>
      </c>
      <c r="F1418" t="s">
        <v>41</v>
      </c>
      <c r="G1418">
        <v>-224.0427</v>
      </c>
      <c r="H1418" s="1">
        <v>-3.2784619999999998E-6</v>
      </c>
      <c r="I1418">
        <v>365.44200000000001</v>
      </c>
      <c r="J1418">
        <v>-236.41480000000001</v>
      </c>
      <c r="K1418">
        <v>1.1219570000000001</v>
      </c>
      <c r="L1418">
        <v>367.80630000000002</v>
      </c>
      <c r="M1418">
        <v>0.99976030000000005</v>
      </c>
      <c r="N1418">
        <v>-2.0933609999999998E-2</v>
      </c>
      <c r="O1418">
        <v>6.4162000000000004E-3</v>
      </c>
      <c r="P1418">
        <v>0.99359649999999999</v>
      </c>
      <c r="Q1418">
        <v>-0.111789</v>
      </c>
      <c r="R1418">
        <v>-1.6411180000000001E-2</v>
      </c>
      <c r="S1418">
        <v>2.9799039999999999</v>
      </c>
      <c r="T1418">
        <v>-0.2677408</v>
      </c>
      <c r="U1418">
        <v>-0.56405640000000001</v>
      </c>
      <c r="V1418">
        <v>2.2771309999999999E-2</v>
      </c>
      <c r="W1418">
        <v>-9.0971579999999996E-2</v>
      </c>
      <c r="X1418">
        <v>0.99559310000000001</v>
      </c>
      <c r="Y1418">
        <v>0.19134780000000001</v>
      </c>
      <c r="Z1418">
        <v>-1.0966780000000001E-2</v>
      </c>
      <c r="AA1418">
        <v>0.98146100000000003</v>
      </c>
      <c r="AB1418">
        <v>21</v>
      </c>
      <c r="AC1418">
        <v>12.3721</v>
      </c>
      <c r="AD1418">
        <v>-1.121960278462</v>
      </c>
      <c r="AE1418">
        <v>-2.3643000000000698</v>
      </c>
      <c r="AF1418">
        <v>2.4244153246273199</v>
      </c>
      <c r="AG1418">
        <v>-1.121960278462</v>
      </c>
      <c r="AH1418">
        <v>12.259406241914</v>
      </c>
      <c r="AI1418">
        <v>95.1302360796182</v>
      </c>
      <c r="AJ1418">
        <v>78.813548642683202</v>
      </c>
      <c r="AK1418">
        <v>12.5470963149652</v>
      </c>
      <c r="AL1418">
        <v>95.219503877054805</v>
      </c>
      <c r="AM1418">
        <v>88.689753356314696</v>
      </c>
      <c r="AN1418">
        <v>0.99999999084721103</v>
      </c>
    </row>
    <row r="1419" spans="1:40" x14ac:dyDescent="0.25">
      <c r="A1419" t="str">
        <f>"20190303154123499"</f>
        <v>20190303154123499</v>
      </c>
      <c r="B1419" t="str">
        <f>"1551598883491047"</f>
        <v>1551598883491047</v>
      </c>
      <c r="C1419" t="s">
        <v>40</v>
      </c>
      <c r="D1419">
        <v>6.214283</v>
      </c>
      <c r="E1419">
        <v>0.56772299999999998</v>
      </c>
      <c r="F1419" t="s">
        <v>41</v>
      </c>
      <c r="G1419">
        <v>-223.51400000000001</v>
      </c>
      <c r="H1419" s="1">
        <v>-3.5315789999999998E-6</v>
      </c>
      <c r="I1419">
        <v>365.29360000000003</v>
      </c>
      <c r="J1419">
        <v>-236.2955</v>
      </c>
      <c r="K1419">
        <v>1.1220049999999999</v>
      </c>
      <c r="L1419">
        <v>367.80700000000002</v>
      </c>
      <c r="M1419">
        <v>0.99975510000000001</v>
      </c>
      <c r="N1419">
        <v>-2.119234E-2</v>
      </c>
      <c r="O1419">
        <v>6.3617150000000004E-3</v>
      </c>
      <c r="P1419">
        <v>0.99364189999999997</v>
      </c>
      <c r="Q1419">
        <v>-0.1113885</v>
      </c>
      <c r="R1419">
        <v>-1.6388839999999998E-2</v>
      </c>
      <c r="S1419">
        <v>2.980591</v>
      </c>
      <c r="T1419">
        <v>-0.25921539999999998</v>
      </c>
      <c r="U1419">
        <v>-0.58050539999999995</v>
      </c>
      <c r="V1419">
        <v>2.269533E-2</v>
      </c>
      <c r="W1419">
        <v>-9.0312500000000004E-2</v>
      </c>
      <c r="X1419">
        <v>0.99565479999999995</v>
      </c>
      <c r="Y1419">
        <v>0.19650339999999999</v>
      </c>
      <c r="Z1419">
        <v>-1.097005E-2</v>
      </c>
      <c r="AA1419">
        <v>0.98044169999999997</v>
      </c>
      <c r="AB1419">
        <v>20</v>
      </c>
      <c r="AC1419">
        <v>12.7814999999999</v>
      </c>
      <c r="AD1419">
        <v>-1.1220085315789901</v>
      </c>
      <c r="AE1419">
        <v>-2.5133999999999301</v>
      </c>
      <c r="AF1419">
        <v>2.57557121016404</v>
      </c>
      <c r="AG1419">
        <v>-1.1220085315789901</v>
      </c>
      <c r="AH1419">
        <v>12.671238836204999</v>
      </c>
      <c r="AI1419">
        <v>94.959320174100199</v>
      </c>
      <c r="AJ1419">
        <v>78.510514384202907</v>
      </c>
      <c r="AK1419">
        <v>12.9789353896116</v>
      </c>
      <c r="AL1419">
        <v>95.181585478720706</v>
      </c>
      <c r="AM1419">
        <v>88.694204576805504</v>
      </c>
      <c r="AN1419">
        <v>0.999999953211548</v>
      </c>
    </row>
    <row r="1420" spans="1:40" x14ac:dyDescent="0.25">
      <c r="A1420" t="str">
        <f>"20190303154123517"</f>
        <v>20190303154123517</v>
      </c>
      <c r="B1420" t="str">
        <f>"1551598883510527"</f>
        <v>1551598883510527</v>
      </c>
      <c r="C1420" t="s">
        <v>40</v>
      </c>
      <c r="D1420">
        <v>6.1785600000000001</v>
      </c>
      <c r="E1420">
        <v>0.56937740000000003</v>
      </c>
      <c r="F1420" t="s">
        <v>41</v>
      </c>
      <c r="G1420">
        <v>-223.09119999999999</v>
      </c>
      <c r="H1420" s="1">
        <v>-3.7301070000000001E-6</v>
      </c>
      <c r="I1420">
        <v>365.197</v>
      </c>
      <c r="J1420">
        <v>-236.1413</v>
      </c>
      <c r="K1420">
        <v>1.122064</v>
      </c>
      <c r="L1420">
        <v>367.80790000000002</v>
      </c>
      <c r="M1420">
        <v>0.99974839999999998</v>
      </c>
      <c r="N1420">
        <v>-2.1530130000000001E-2</v>
      </c>
      <c r="O1420">
        <v>6.291034E-3</v>
      </c>
      <c r="P1420">
        <v>0.99371030000000005</v>
      </c>
      <c r="Q1420">
        <v>-0.1108398</v>
      </c>
      <c r="R1420">
        <v>-1.5951469999999999E-2</v>
      </c>
      <c r="S1420">
        <v>2.9810940000000001</v>
      </c>
      <c r="T1420">
        <v>-0.25331090000000001</v>
      </c>
      <c r="U1420">
        <v>-0.58923340000000002</v>
      </c>
      <c r="V1420">
        <v>2.218869E-2</v>
      </c>
      <c r="W1420">
        <v>-8.9425829999999998E-2</v>
      </c>
      <c r="X1420">
        <v>0.99574629999999997</v>
      </c>
      <c r="Y1420">
        <v>0.19919000000000001</v>
      </c>
      <c r="Z1420">
        <v>-1.093151E-2</v>
      </c>
      <c r="AA1420">
        <v>0.97989990000000005</v>
      </c>
      <c r="AB1420">
        <v>20</v>
      </c>
      <c r="AC1420">
        <v>13.0501</v>
      </c>
      <c r="AD1420">
        <v>-1.1220677301069999</v>
      </c>
      <c r="AE1420">
        <v>-2.6109000000000702</v>
      </c>
      <c r="AF1420">
        <v>2.6739586625243401</v>
      </c>
      <c r="AG1420">
        <v>-1.1220677301069999</v>
      </c>
      <c r="AH1420">
        <v>12.9414210389982</v>
      </c>
      <c r="AI1420">
        <v>94.853346204300706</v>
      </c>
      <c r="AJ1420">
        <v>78.325816929805697</v>
      </c>
      <c r="AK1420">
        <v>13.262332729518601</v>
      </c>
      <c r="AL1420">
        <v>95.130576353534195</v>
      </c>
      <c r="AM1420">
        <v>88.723462063774505</v>
      </c>
      <c r="AN1420">
        <v>1.0000000054993901</v>
      </c>
    </row>
    <row r="1421" spans="1:40" x14ac:dyDescent="0.25">
      <c r="A1421" t="str">
        <f>"20190303154123529"</f>
        <v>20190303154123529</v>
      </c>
      <c r="B1421" t="str">
        <f>"1551598883520287"</f>
        <v>1551598883520287</v>
      </c>
      <c r="C1421" t="s">
        <v>40</v>
      </c>
      <c r="D1421">
        <v>6.2824530000000003</v>
      </c>
      <c r="E1421">
        <v>0.56970350000000003</v>
      </c>
      <c r="F1421" t="s">
        <v>41</v>
      </c>
      <c r="G1421">
        <v>-222.4282</v>
      </c>
      <c r="H1421" s="1">
        <v>-4.0416980000000001E-6</v>
      </c>
      <c r="I1421">
        <v>365.04379999999998</v>
      </c>
      <c r="J1421">
        <v>-236.0299</v>
      </c>
      <c r="K1421">
        <v>1.1221000000000001</v>
      </c>
      <c r="L1421">
        <v>367.80849999999998</v>
      </c>
      <c r="M1421">
        <v>0.99974379999999996</v>
      </c>
      <c r="N1421">
        <v>-2.176061E-2</v>
      </c>
      <c r="O1421">
        <v>6.2391240000000004E-3</v>
      </c>
      <c r="P1421">
        <v>0.99372450000000001</v>
      </c>
      <c r="Q1421">
        <v>-0.11076370000000001</v>
      </c>
      <c r="R1421">
        <v>-1.560041E-2</v>
      </c>
      <c r="S1421">
        <v>2.982132</v>
      </c>
      <c r="T1421">
        <v>-0.24400910000000001</v>
      </c>
      <c r="U1421">
        <v>-0.601074199999999</v>
      </c>
      <c r="V1421">
        <v>2.178627E-2</v>
      </c>
      <c r="W1421">
        <v>-8.9119690000000001E-2</v>
      </c>
      <c r="X1421">
        <v>0.99578259999999996</v>
      </c>
      <c r="Y1421">
        <v>0.2028566</v>
      </c>
      <c r="Z1421">
        <v>-1.080765E-2</v>
      </c>
      <c r="AA1421">
        <v>0.97914880000000004</v>
      </c>
      <c r="AB1421">
        <v>20</v>
      </c>
      <c r="AC1421">
        <v>13.6016999999999</v>
      </c>
      <c r="AD1421">
        <v>-1.1221040416979999</v>
      </c>
      <c r="AE1421">
        <v>-2.7646999999999999</v>
      </c>
      <c r="AF1421">
        <v>2.83102597765608</v>
      </c>
      <c r="AG1421">
        <v>-1.1221040416979999</v>
      </c>
      <c r="AH1421">
        <v>13.4959749738686</v>
      </c>
      <c r="AI1421">
        <v>94.652055277581397</v>
      </c>
      <c r="AJ1421">
        <v>78.152943298750799</v>
      </c>
      <c r="AK1421">
        <v>13.8352869887779</v>
      </c>
      <c r="AL1421">
        <v>95.112965670929995</v>
      </c>
      <c r="AM1421">
        <v>88.746651918927299</v>
      </c>
      <c r="AN1421">
        <v>0.999999973584484</v>
      </c>
    </row>
    <row r="1422" spans="1:40" x14ac:dyDescent="0.25">
      <c r="A1422" t="str">
        <f>"20190303154123542"</f>
        <v>20190303154123542</v>
      </c>
      <c r="B1422" t="str">
        <f>"1551598883531023"</f>
        <v>1551598883531023</v>
      </c>
      <c r="C1422" t="s">
        <v>40</v>
      </c>
      <c r="D1422">
        <v>6.1944419999999996</v>
      </c>
      <c r="E1422">
        <v>0.57034430000000003</v>
      </c>
      <c r="F1422" t="s">
        <v>41</v>
      </c>
      <c r="G1422">
        <v>-222.38509999999999</v>
      </c>
      <c r="H1422" s="1">
        <v>-4.0588190000000003E-6</v>
      </c>
      <c r="I1422">
        <v>365.0514</v>
      </c>
      <c r="J1422">
        <v>-235.91679999999999</v>
      </c>
      <c r="K1422">
        <v>1.122126</v>
      </c>
      <c r="L1422">
        <v>367.8091</v>
      </c>
      <c r="M1422">
        <v>0.9997395</v>
      </c>
      <c r="N1422">
        <v>-2.1975479999999999E-2</v>
      </c>
      <c r="O1422">
        <v>6.1865230000000002E-3</v>
      </c>
      <c r="P1422">
        <v>0.99372830000000001</v>
      </c>
      <c r="Q1422">
        <v>-0.1107537</v>
      </c>
      <c r="R1422">
        <v>-1.5426250000000001E-2</v>
      </c>
      <c r="S1422">
        <v>2.9821620000000002</v>
      </c>
      <c r="T1422">
        <v>-0.24524199999999999</v>
      </c>
      <c r="U1422">
        <v>-0.60256960000000004</v>
      </c>
      <c r="V1422">
        <v>2.1560079999999999E-2</v>
      </c>
      <c r="W1422">
        <v>-8.8895450000000001E-2</v>
      </c>
      <c r="X1422">
        <v>0.99580760000000001</v>
      </c>
      <c r="Y1422">
        <v>0.203264</v>
      </c>
      <c r="Z1422">
        <v>-1.088985E-2</v>
      </c>
      <c r="AA1422">
        <v>0.97906340000000003</v>
      </c>
      <c r="AB1422">
        <v>20</v>
      </c>
      <c r="AC1422">
        <v>13.531700000000001</v>
      </c>
      <c r="AD1422">
        <v>-1.122130058819</v>
      </c>
      <c r="AE1422">
        <v>-2.7576999999999998</v>
      </c>
      <c r="AF1422">
        <v>2.8227443980875502</v>
      </c>
      <c r="AG1422">
        <v>-1.122130058819</v>
      </c>
      <c r="AH1422">
        <v>13.425732750423601</v>
      </c>
      <c r="AI1422">
        <v>94.6759446245117</v>
      </c>
      <c r="AJ1422">
        <v>78.126567663769805</v>
      </c>
      <c r="AK1422">
        <v>13.76507761299</v>
      </c>
      <c r="AL1422">
        <v>95.100066295737605</v>
      </c>
      <c r="AM1422">
        <v>88.7596915061239</v>
      </c>
      <c r="AN1422">
        <v>1.00000000714903</v>
      </c>
    </row>
    <row r="1423" spans="1:40" x14ac:dyDescent="0.25">
      <c r="A1423" t="str">
        <f>"20190303154123555"</f>
        <v>20190303154123555</v>
      </c>
      <c r="B1423" t="str">
        <f>"1551598883550543"</f>
        <v>1551598883550543</v>
      </c>
      <c r="C1423" t="s">
        <v>40</v>
      </c>
      <c r="D1423">
        <v>6.2046609999999998</v>
      </c>
      <c r="E1423">
        <v>0.57142320000000002</v>
      </c>
      <c r="F1423" t="s">
        <v>41</v>
      </c>
      <c r="G1423">
        <v>-222.12010000000001</v>
      </c>
      <c r="H1423" s="1">
        <v>-4.1813990000000001E-6</v>
      </c>
      <c r="I1423">
        <v>365.00130000000001</v>
      </c>
      <c r="J1423">
        <v>-235.80179999999999</v>
      </c>
      <c r="K1423">
        <v>1.1221479999999999</v>
      </c>
      <c r="L1423">
        <v>367.8098</v>
      </c>
      <c r="M1423">
        <v>0.99973520000000005</v>
      </c>
      <c r="N1423">
        <v>-2.2176250000000002E-2</v>
      </c>
      <c r="O1423">
        <v>6.1332230000000001E-3</v>
      </c>
      <c r="P1423">
        <v>0.99371560000000003</v>
      </c>
      <c r="Q1423">
        <v>-0.1108894</v>
      </c>
      <c r="R1423">
        <v>-1.526052E-2</v>
      </c>
      <c r="S1423">
        <v>2.9824830000000002</v>
      </c>
      <c r="T1423">
        <v>-0.2425737</v>
      </c>
      <c r="U1423">
        <v>-0.60696410000000001</v>
      </c>
      <c r="V1423">
        <v>2.134175E-2</v>
      </c>
      <c r="W1423">
        <v>-8.8831270000000004E-2</v>
      </c>
      <c r="X1423">
        <v>0.99581799999999998</v>
      </c>
      <c r="Y1423">
        <v>0.20458699999999999</v>
      </c>
      <c r="Z1423">
        <v>-1.087723E-2</v>
      </c>
      <c r="AA1423">
        <v>0.97878799999999999</v>
      </c>
      <c r="AB1423">
        <v>20</v>
      </c>
      <c r="AC1423">
        <v>13.6816999999999</v>
      </c>
      <c r="AD1423">
        <v>-1.1221521813990001</v>
      </c>
      <c r="AE1423">
        <v>-2.80849999999998</v>
      </c>
      <c r="AF1423">
        <v>2.8738300507727002</v>
      </c>
      <c r="AG1423">
        <v>-1.1221521813990001</v>
      </c>
      <c r="AH1423">
        <v>13.576575922142499</v>
      </c>
      <c r="AI1423">
        <v>94.622983018770796</v>
      </c>
      <c r="AJ1423">
        <v>78.048301321039403</v>
      </c>
      <c r="AK1423">
        <v>13.922698676931899</v>
      </c>
      <c r="AL1423">
        <v>95.096374601231304</v>
      </c>
      <c r="AM1423">
        <v>88.7722605506913</v>
      </c>
      <c r="AN1423">
        <v>0.99999997697343701</v>
      </c>
    </row>
    <row r="1424" spans="1:40" x14ac:dyDescent="0.25">
      <c r="A1424" t="str">
        <f>"20190303154123567"</f>
        <v>20190303154123567</v>
      </c>
      <c r="B1424" t="str">
        <f>"1551598883560303"</f>
        <v>1551598883560303</v>
      </c>
      <c r="C1424" t="s">
        <v>40</v>
      </c>
      <c r="D1424">
        <v>6.1821380000000001</v>
      </c>
      <c r="E1424">
        <v>0.57187580000000005</v>
      </c>
      <c r="F1424" t="s">
        <v>41</v>
      </c>
      <c r="G1424">
        <v>-221.73570000000001</v>
      </c>
      <c r="H1424" s="1">
        <v>-4.3626630000000002E-6</v>
      </c>
      <c r="I1424">
        <v>364.90899999999999</v>
      </c>
      <c r="J1424">
        <v>-235.7012</v>
      </c>
      <c r="K1424">
        <v>1.1221570000000001</v>
      </c>
      <c r="L1424">
        <v>367.81040000000002</v>
      </c>
      <c r="M1424">
        <v>0.99973259999999997</v>
      </c>
      <c r="N1424">
        <v>-2.2313739999999999E-2</v>
      </c>
      <c r="O1424">
        <v>6.0859829999999997E-3</v>
      </c>
      <c r="P1424">
        <v>0.99369779999999996</v>
      </c>
      <c r="Q1424">
        <v>-0.11106679999999999</v>
      </c>
      <c r="R1424">
        <v>-1.5143129999999999E-2</v>
      </c>
      <c r="S1424">
        <v>2.982971</v>
      </c>
      <c r="T1424">
        <v>-0.2379713</v>
      </c>
      <c r="U1424">
        <v>-0.61514279999999999</v>
      </c>
      <c r="V1424">
        <v>2.1177350000000001E-2</v>
      </c>
      <c r="W1424">
        <v>-8.8872019999999996E-2</v>
      </c>
      <c r="X1424">
        <v>0.99581790000000003</v>
      </c>
      <c r="Y1424">
        <v>0.20710239999999999</v>
      </c>
      <c r="Z1424">
        <v>-1.084746E-2</v>
      </c>
      <c r="AA1424">
        <v>0.97825910000000005</v>
      </c>
      <c r="AB1424">
        <v>20</v>
      </c>
      <c r="AC1424">
        <v>13.965499999999899</v>
      </c>
      <c r="AD1424">
        <v>-1.12216136266299</v>
      </c>
      <c r="AE1424">
        <v>-2.9014000000000202</v>
      </c>
      <c r="AF1424">
        <v>2.9679912227421799</v>
      </c>
      <c r="AG1424">
        <v>-1.12216136266299</v>
      </c>
      <c r="AH1424">
        <v>13.861783376499201</v>
      </c>
      <c r="AI1424">
        <v>94.526063147763693</v>
      </c>
      <c r="AJ1424">
        <v>77.914691965968402</v>
      </c>
      <c r="AK1424">
        <v>14.2203114030291</v>
      </c>
      <c r="AL1424">
        <v>95.098718542229193</v>
      </c>
      <c r="AM1424">
        <v>88.7817151028067</v>
      </c>
      <c r="AN1424">
        <v>1.00000000302615</v>
      </c>
    </row>
    <row r="1425" spans="1:40" x14ac:dyDescent="0.25">
      <c r="A1425" t="str">
        <f>"20190303154123580"</f>
        <v>20190303154123580</v>
      </c>
      <c r="B1425" t="str">
        <f>"1551598883571039"</f>
        <v>1551598883571039</v>
      </c>
      <c r="C1425" t="s">
        <v>40</v>
      </c>
      <c r="D1425">
        <v>6.187538</v>
      </c>
      <c r="E1425">
        <v>0.57235709999999995</v>
      </c>
      <c r="F1425" t="s">
        <v>41</v>
      </c>
      <c r="G1425">
        <v>-221.5539</v>
      </c>
      <c r="H1425" s="1">
        <v>-4.446349E-6</v>
      </c>
      <c r="I1425">
        <v>364.87700000000001</v>
      </c>
      <c r="J1425">
        <v>-235.58619999999999</v>
      </c>
      <c r="K1425">
        <v>1.1221639999999999</v>
      </c>
      <c r="L1425">
        <v>367.81099999999998</v>
      </c>
      <c r="M1425">
        <v>0.99973000000000001</v>
      </c>
      <c r="N1425">
        <v>-2.2444459999999999E-2</v>
      </c>
      <c r="O1425">
        <v>6.0324360000000004E-3</v>
      </c>
      <c r="P1425">
        <v>0.99367229999999995</v>
      </c>
      <c r="Q1425">
        <v>-0.11132599999999999</v>
      </c>
      <c r="R1425">
        <v>-1.490026E-2</v>
      </c>
      <c r="S1425">
        <v>2.983139</v>
      </c>
      <c r="T1425">
        <v>-0.23662130000000001</v>
      </c>
      <c r="U1425">
        <v>-0.61853029999999998</v>
      </c>
      <c r="V1425">
        <v>2.088131E-2</v>
      </c>
      <c r="W1425">
        <v>-8.9001369999999996E-2</v>
      </c>
      <c r="X1425">
        <v>0.99581260000000005</v>
      </c>
      <c r="Y1425">
        <v>0.20810809999999999</v>
      </c>
      <c r="Z1425">
        <v>-1.0858110000000001E-2</v>
      </c>
      <c r="AA1425">
        <v>0.97804559999999996</v>
      </c>
      <c r="AB1425">
        <v>19</v>
      </c>
      <c r="AC1425">
        <v>14.0322999999999</v>
      </c>
      <c r="AD1425">
        <v>-1.122168446349</v>
      </c>
      <c r="AE1425">
        <v>-2.9340000000000201</v>
      </c>
      <c r="AF1425">
        <v>3.0002332775340701</v>
      </c>
      <c r="AG1425">
        <v>-1.122168446349</v>
      </c>
      <c r="AH1425">
        <v>13.9289926339306</v>
      </c>
      <c r="AI1425">
        <v>94.503162631817403</v>
      </c>
      <c r="AJ1425">
        <v>77.844497906986305</v>
      </c>
      <c r="AK1425">
        <v>14.292567912649501</v>
      </c>
      <c r="AL1425">
        <v>95.106159233513296</v>
      </c>
      <c r="AM1425">
        <v>88.798734195105595</v>
      </c>
      <c r="AN1425">
        <v>1.00000000364397</v>
      </c>
    </row>
    <row r="1426" spans="1:40" x14ac:dyDescent="0.25">
      <c r="A1426" t="str">
        <f>"20190303154123594"</f>
        <v>20190303154123594</v>
      </c>
      <c r="B1426" t="str">
        <f>"1551598883590559"</f>
        <v>1551598883590559</v>
      </c>
      <c r="C1426" t="s">
        <v>40</v>
      </c>
      <c r="D1426">
        <v>6.1453040000000003</v>
      </c>
      <c r="E1426">
        <v>0.57315569999999905</v>
      </c>
      <c r="F1426" t="s">
        <v>41</v>
      </c>
      <c r="G1426">
        <v>-221.4151</v>
      </c>
      <c r="H1426" s="1">
        <v>-4.509349E-6</v>
      </c>
      <c r="I1426">
        <v>364.85759999999999</v>
      </c>
      <c r="J1426">
        <v>-235.4631</v>
      </c>
      <c r="K1426">
        <v>1.1221570000000001</v>
      </c>
      <c r="L1426">
        <v>367.81169999999997</v>
      </c>
      <c r="M1426">
        <v>0.99972819999999996</v>
      </c>
      <c r="N1426">
        <v>-2.2536779999999999E-2</v>
      </c>
      <c r="O1426">
        <v>5.9752640000000001E-3</v>
      </c>
      <c r="P1426">
        <v>0.99367119999999998</v>
      </c>
      <c r="Q1426">
        <v>-0.1113497</v>
      </c>
      <c r="R1426">
        <v>-1.478549E-2</v>
      </c>
      <c r="S1426">
        <v>2.9833069999999999</v>
      </c>
      <c r="T1426">
        <v>-0.23623730000000001</v>
      </c>
      <c r="U1426">
        <v>-0.62173459999999903</v>
      </c>
      <c r="V1426">
        <v>2.0710050000000001E-2</v>
      </c>
      <c r="W1426">
        <v>-8.8932990000000003E-2</v>
      </c>
      <c r="X1426">
        <v>0.99582230000000005</v>
      </c>
      <c r="Y1426">
        <v>0.2090465</v>
      </c>
      <c r="Z1426">
        <v>-1.0896400000000001E-2</v>
      </c>
      <c r="AA1426">
        <v>0.97784499999999996</v>
      </c>
      <c r="AB1426">
        <v>19</v>
      </c>
      <c r="AC1426">
        <v>14.048</v>
      </c>
      <c r="AD1426">
        <v>-1.1221615093490001</v>
      </c>
      <c r="AE1426">
        <v>-2.95409999999998</v>
      </c>
      <c r="AF1426">
        <v>3.0195575136533201</v>
      </c>
      <c r="AG1426">
        <v>-1.1221615093490001</v>
      </c>
      <c r="AH1426">
        <v>13.9448803590826</v>
      </c>
      <c r="AI1426">
        <v>94.496971520801395</v>
      </c>
      <c r="AJ1426">
        <v>77.782072032142395</v>
      </c>
      <c r="AK1426">
        <v>14.3121159253428</v>
      </c>
      <c r="AL1426">
        <v>95.102225676532001</v>
      </c>
      <c r="AM1426">
        <v>88.808595238304704</v>
      </c>
      <c r="AN1426">
        <v>1.00000001802931</v>
      </c>
    </row>
    <row r="1427" spans="1:40" x14ac:dyDescent="0.25">
      <c r="A1427" t="str">
        <f>"20190303154123608"</f>
        <v>20190303154123608</v>
      </c>
      <c r="B1427" t="str">
        <f>"1551598883600320"</f>
        <v>1551598883600320</v>
      </c>
      <c r="C1427" t="s">
        <v>40</v>
      </c>
      <c r="D1427">
        <v>6.1724649999999999</v>
      </c>
      <c r="E1427">
        <v>0.57354399999999905</v>
      </c>
      <c r="F1427" t="s">
        <v>41</v>
      </c>
      <c r="G1427">
        <v>-221.0265</v>
      </c>
      <c r="H1427" s="1">
        <v>-4.6907020000000003E-6</v>
      </c>
      <c r="I1427">
        <v>364.7749</v>
      </c>
      <c r="J1427">
        <v>-235.3528</v>
      </c>
      <c r="K1427">
        <v>1.122134</v>
      </c>
      <c r="L1427">
        <v>367.81229999999999</v>
      </c>
      <c r="M1427">
        <v>0.99972839999999996</v>
      </c>
      <c r="N1427">
        <v>-2.2543069999999998E-2</v>
      </c>
      <c r="O1427">
        <v>5.9241299999999997E-3</v>
      </c>
      <c r="P1427">
        <v>0.99371140000000002</v>
      </c>
      <c r="Q1427">
        <v>-0.110958</v>
      </c>
      <c r="R1427">
        <v>-1.5042109999999999E-2</v>
      </c>
      <c r="S1427">
        <v>2.983765</v>
      </c>
      <c r="T1427">
        <v>-0.23192879999999999</v>
      </c>
      <c r="U1427">
        <v>-0.62762450000000003</v>
      </c>
      <c r="V1427">
        <v>2.0916069999999998E-2</v>
      </c>
      <c r="W1427">
        <v>-8.8534269999999998E-2</v>
      </c>
      <c r="X1427">
        <v>0.99585349999999995</v>
      </c>
      <c r="Y1427">
        <v>0.21083560000000001</v>
      </c>
      <c r="Z1427">
        <v>-1.082353E-2</v>
      </c>
      <c r="AA1427">
        <v>0.97746160000000004</v>
      </c>
      <c r="AB1427">
        <v>19</v>
      </c>
      <c r="AC1427">
        <v>14.3263</v>
      </c>
      <c r="AD1427">
        <v>-1.1221386907019999</v>
      </c>
      <c r="AE1427">
        <v>-3.0373999999999901</v>
      </c>
      <c r="AF1427">
        <v>3.1040147141680099</v>
      </c>
      <c r="AG1427">
        <v>-1.1221386907019999</v>
      </c>
      <c r="AH1427">
        <v>14.224534415695</v>
      </c>
      <c r="AI1427">
        <v>94.407292504578194</v>
      </c>
      <c r="AJ1427">
        <v>77.690138891517904</v>
      </c>
      <c r="AK1427">
        <v>14.6024478061123</v>
      </c>
      <c r="AL1427">
        <v>95.079290343375703</v>
      </c>
      <c r="AM1427">
        <v>88.796784503504099</v>
      </c>
      <c r="AN1427">
        <v>0.99999999620546298</v>
      </c>
    </row>
    <row r="1428" spans="1:40" x14ac:dyDescent="0.25">
      <c r="A1428" t="str">
        <f>"20190303154123622"</f>
        <v>20190303154123622</v>
      </c>
      <c r="B1428" t="str">
        <f>"1551598883611092"</f>
        <v>1551598883611092</v>
      </c>
      <c r="C1428" t="s">
        <v>40</v>
      </c>
      <c r="D1428">
        <v>6.1444239999999999</v>
      </c>
      <c r="E1428">
        <v>0.57385699999999995</v>
      </c>
      <c r="F1428" t="s">
        <v>41</v>
      </c>
      <c r="G1428">
        <v>-220.76689999999999</v>
      </c>
      <c r="H1428" s="1">
        <v>-4.810872E-6</v>
      </c>
      <c r="I1428">
        <v>364.7253</v>
      </c>
      <c r="J1428">
        <v>-235.22919999999999</v>
      </c>
      <c r="K1428">
        <v>1.122104</v>
      </c>
      <c r="L1428">
        <v>367.81290000000001</v>
      </c>
      <c r="M1428">
        <v>0.99972950000000005</v>
      </c>
      <c r="N1428">
        <v>-2.2513089999999999E-2</v>
      </c>
      <c r="O1428">
        <v>5.8666839999999996E-3</v>
      </c>
      <c r="P1428">
        <v>0.99369879999999999</v>
      </c>
      <c r="Q1428">
        <v>-0.11105329999999999</v>
      </c>
      <c r="R1428">
        <v>-1.518187E-2</v>
      </c>
      <c r="S1428">
        <v>2.9838100000000001</v>
      </c>
      <c r="T1428">
        <v>-0.22955249999999999</v>
      </c>
      <c r="U1428">
        <v>-0.63146969999999902</v>
      </c>
      <c r="V1428">
        <v>2.099871E-2</v>
      </c>
      <c r="W1428">
        <v>-8.8659580000000002E-2</v>
      </c>
      <c r="X1428">
        <v>0.99584059999999996</v>
      </c>
      <c r="Y1428">
        <v>0.21199299999999999</v>
      </c>
      <c r="Z1428">
        <v>-1.0786250000000001E-2</v>
      </c>
      <c r="AA1428">
        <v>0.97721170000000002</v>
      </c>
      <c r="AB1428">
        <v>19</v>
      </c>
      <c r="AC1428">
        <v>14.462300000000001</v>
      </c>
      <c r="AD1428">
        <v>-1.1221088108720001</v>
      </c>
      <c r="AE1428">
        <v>-3.0876000000000001</v>
      </c>
      <c r="AF1428">
        <v>3.1542532846379601</v>
      </c>
      <c r="AG1428">
        <v>-1.1221088108720001</v>
      </c>
      <c r="AH1428">
        <v>14.3612467300778</v>
      </c>
      <c r="AI1428">
        <v>94.364093683614698</v>
      </c>
      <c r="AJ1428">
        <v>77.612451110407306</v>
      </c>
      <c r="AK1428">
        <v>14.746316475963001</v>
      </c>
      <c r="AL1428">
        <v>95.086498486255394</v>
      </c>
      <c r="AM1428">
        <v>88.792016326732806</v>
      </c>
      <c r="AN1428">
        <v>0.9999999837779</v>
      </c>
    </row>
    <row r="1429" spans="1:40" x14ac:dyDescent="0.25">
      <c r="A1429" t="str">
        <f>"20190303154123637"</f>
        <v>20190303154123637</v>
      </c>
      <c r="B1429" t="str">
        <f>"1551598883630612"</f>
        <v>1551598883630612</v>
      </c>
      <c r="C1429" t="s">
        <v>40</v>
      </c>
      <c r="D1429">
        <v>6.1502460000000001</v>
      </c>
      <c r="E1429">
        <v>0.57440539999999995</v>
      </c>
      <c r="F1429" t="s">
        <v>41</v>
      </c>
      <c r="G1429">
        <v>-220.59139999999999</v>
      </c>
      <c r="H1429" s="1">
        <v>-4.8905309999999998E-6</v>
      </c>
      <c r="I1429">
        <v>364.70080000000002</v>
      </c>
      <c r="J1429">
        <v>-235.10470000000001</v>
      </c>
      <c r="K1429">
        <v>1.1220680000000001</v>
      </c>
      <c r="L1429">
        <v>367.81360000000001</v>
      </c>
      <c r="M1429">
        <v>0.99973140000000005</v>
      </c>
      <c r="N1429">
        <v>-2.244208E-2</v>
      </c>
      <c r="O1429">
        <v>5.8085200000000002E-3</v>
      </c>
      <c r="P1429">
        <v>0.99369430000000003</v>
      </c>
      <c r="Q1429">
        <v>-0.11106829999999999</v>
      </c>
      <c r="R1429">
        <v>-1.535891E-2</v>
      </c>
      <c r="S1429">
        <v>2.9837799999999999</v>
      </c>
      <c r="T1429">
        <v>-0.22872970000000001</v>
      </c>
      <c r="U1429">
        <v>-0.63436890000000001</v>
      </c>
      <c r="V1429">
        <v>2.1118120000000001E-2</v>
      </c>
      <c r="W1429">
        <v>-8.8745420000000005E-2</v>
      </c>
      <c r="X1429">
        <v>0.9958304</v>
      </c>
      <c r="Y1429">
        <v>0.21284939999999999</v>
      </c>
      <c r="Z1429">
        <v>-1.0787150000000001E-2</v>
      </c>
      <c r="AA1429">
        <v>0.97702549999999999</v>
      </c>
      <c r="AB1429">
        <v>19</v>
      </c>
      <c r="AC1429">
        <v>14.513299999999999</v>
      </c>
      <c r="AD1429">
        <v>-1.122072890531</v>
      </c>
      <c r="AE1429">
        <v>-3.1127999999999898</v>
      </c>
      <c r="AF1429">
        <v>3.17890366412206</v>
      </c>
      <c r="AG1429">
        <v>-1.122072890531</v>
      </c>
      <c r="AH1429">
        <v>14.4126090017641</v>
      </c>
      <c r="AI1429">
        <v>94.347618970537695</v>
      </c>
      <c r="AJ1429">
        <v>77.561758450229206</v>
      </c>
      <c r="AK1429">
        <v>14.8016139091373</v>
      </c>
      <c r="AL1429">
        <v>95.091436366367901</v>
      </c>
      <c r="AM1429">
        <v>88.785136692691296</v>
      </c>
      <c r="AN1429">
        <v>0.99999995506373396</v>
      </c>
    </row>
    <row r="1430" spans="1:40" x14ac:dyDescent="0.25">
      <c r="A1430" t="str">
        <f>"20190303154123652"</f>
        <v>20190303154123652</v>
      </c>
      <c r="B1430" t="str">
        <f>"1551598883640371"</f>
        <v>1551598883640371</v>
      </c>
      <c r="C1430" t="s">
        <v>40</v>
      </c>
      <c r="D1430">
        <v>6.1544179999999997</v>
      </c>
      <c r="E1430">
        <v>0.57466949999999895</v>
      </c>
      <c r="F1430" t="s">
        <v>41</v>
      </c>
      <c r="G1430">
        <v>-220.36609999999999</v>
      </c>
      <c r="H1430" s="1">
        <v>-4.9951489999999997E-6</v>
      </c>
      <c r="I1430">
        <v>364.65589999999997</v>
      </c>
      <c r="J1430">
        <v>-234.98609999999999</v>
      </c>
      <c r="K1430">
        <v>1.122018</v>
      </c>
      <c r="L1430">
        <v>367.81420000000003</v>
      </c>
      <c r="M1430">
        <v>0.99973389999999995</v>
      </c>
      <c r="N1430">
        <v>-2.2342750000000001E-2</v>
      </c>
      <c r="O1430">
        <v>5.753233E-3</v>
      </c>
      <c r="P1430">
        <v>0.99360919999999997</v>
      </c>
      <c r="Q1430">
        <v>-0.11175880000000001</v>
      </c>
      <c r="R1430">
        <v>-1.5846539999999999E-2</v>
      </c>
      <c r="S1430">
        <v>2.983749</v>
      </c>
      <c r="T1430">
        <v>-0.22715589999999999</v>
      </c>
      <c r="U1430">
        <v>-0.63925169999999998</v>
      </c>
      <c r="V1430">
        <v>2.1550449999999999E-2</v>
      </c>
      <c r="W1430">
        <v>-8.9536580000000004E-2</v>
      </c>
      <c r="X1430">
        <v>0.99575040000000004</v>
      </c>
      <c r="Y1430">
        <v>0.21433170000000001</v>
      </c>
      <c r="Z1430">
        <v>-1.078729E-2</v>
      </c>
      <c r="AA1430">
        <v>0.97670140000000005</v>
      </c>
      <c r="AB1430">
        <v>19</v>
      </c>
      <c r="AC1430">
        <v>14.62</v>
      </c>
      <c r="AD1430">
        <v>-1.1220229951489999</v>
      </c>
      <c r="AE1430">
        <v>-3.1583000000000498</v>
      </c>
      <c r="AF1430">
        <v>3.2242372124839802</v>
      </c>
      <c r="AG1430">
        <v>-1.1220229951489999</v>
      </c>
      <c r="AH1430">
        <v>14.5198752392256</v>
      </c>
      <c r="AI1430">
        <v>94.314077614732696</v>
      </c>
      <c r="AJ1430">
        <v>77.480223900403701</v>
      </c>
      <c r="AK1430">
        <v>14.9158110127035</v>
      </c>
      <c r="AL1430">
        <v>95.1369472404416</v>
      </c>
      <c r="AM1430">
        <v>88.760174133537106</v>
      </c>
      <c r="AN1430">
        <v>1.0000000400767199</v>
      </c>
    </row>
    <row r="1431" spans="1:40" x14ac:dyDescent="0.25">
      <c r="A1431" t="str">
        <f>"20190303154123673"</f>
        <v>20190303154123673</v>
      </c>
      <c r="B1431" t="str">
        <f>"1551598883660869"</f>
        <v>1551598883660869</v>
      </c>
      <c r="C1431" t="s">
        <v>40</v>
      </c>
      <c r="D1431">
        <v>6.146712</v>
      </c>
      <c r="E1431">
        <v>0.57523219999999997</v>
      </c>
      <c r="F1431" t="s">
        <v>41</v>
      </c>
      <c r="G1431">
        <v>-220.3355</v>
      </c>
      <c r="H1431" s="1">
        <v>-5.008169E-6</v>
      </c>
      <c r="I1431">
        <v>364.65649999999999</v>
      </c>
      <c r="J1431">
        <v>-234.8074</v>
      </c>
      <c r="K1431">
        <v>1.1219619999999999</v>
      </c>
      <c r="L1431">
        <v>367.81509999999997</v>
      </c>
      <c r="M1431">
        <v>0.99973800000000002</v>
      </c>
      <c r="N1431">
        <v>-2.217541E-2</v>
      </c>
      <c r="O1431">
        <v>5.6704040000000004E-3</v>
      </c>
      <c r="P1431">
        <v>0.99350459999999996</v>
      </c>
      <c r="Q1431">
        <v>-0.1126085</v>
      </c>
      <c r="R1431">
        <v>-1.636783E-2</v>
      </c>
      <c r="S1431">
        <v>2.9833370000000001</v>
      </c>
      <c r="T1431">
        <v>-0.22847909999999999</v>
      </c>
      <c r="U1431">
        <v>-0.64300539999999995</v>
      </c>
      <c r="V1431">
        <v>2.198901E-2</v>
      </c>
      <c r="W1431">
        <v>-9.0555150000000001E-2</v>
      </c>
      <c r="X1431">
        <v>0.99564870000000005</v>
      </c>
      <c r="Y1431">
        <v>0.2154421</v>
      </c>
      <c r="Z1431">
        <v>-1.0869790000000001E-2</v>
      </c>
      <c r="AA1431">
        <v>0.97645610000000005</v>
      </c>
      <c r="AB1431">
        <v>19</v>
      </c>
      <c r="AC1431">
        <v>14.4719</v>
      </c>
      <c r="AD1431">
        <v>-1.1219670081690001</v>
      </c>
      <c r="AE1431">
        <v>-3.1585999999999701</v>
      </c>
      <c r="AF1431">
        <v>3.2221448725942898</v>
      </c>
      <c r="AG1431">
        <v>-1.1219670081690001</v>
      </c>
      <c r="AH1431">
        <v>14.371301526303901</v>
      </c>
      <c r="AI1431">
        <v>94.356306272563202</v>
      </c>
      <c r="AJ1431">
        <v>77.362875862193206</v>
      </c>
      <c r="AK1431">
        <v>14.7707594627816</v>
      </c>
      <c r="AL1431">
        <v>95.195545035322894</v>
      </c>
      <c r="AM1431">
        <v>88.734822138911198</v>
      </c>
      <c r="AN1431">
        <v>1.00000004278199</v>
      </c>
    </row>
    <row r="1432" spans="1:40" x14ac:dyDescent="0.25">
      <c r="A1432" t="str">
        <f>"20190303154123687"</f>
        <v>20190303154123687</v>
      </c>
      <c r="B1432" t="str">
        <f>"1551598883680388"</f>
        <v>1551598883680388</v>
      </c>
      <c r="C1432" t="s">
        <v>40</v>
      </c>
      <c r="D1432">
        <v>6.1557940000000002</v>
      </c>
      <c r="E1432">
        <v>0.57573850000000004</v>
      </c>
      <c r="F1432" t="s">
        <v>41</v>
      </c>
      <c r="G1432">
        <v>-220.1696</v>
      </c>
      <c r="H1432" s="1">
        <v>-5.0840029999999998E-6</v>
      </c>
      <c r="I1432">
        <v>364.6302</v>
      </c>
      <c r="J1432">
        <v>-234.69630000000001</v>
      </c>
      <c r="K1432">
        <v>1.121937</v>
      </c>
      <c r="L1432">
        <v>367.81569999999999</v>
      </c>
      <c r="M1432">
        <v>0.99974079999999999</v>
      </c>
      <c r="N1432">
        <v>-2.2060179999999999E-2</v>
      </c>
      <c r="O1432">
        <v>5.6186159999999999E-3</v>
      </c>
      <c r="P1432">
        <v>0.99344319999999997</v>
      </c>
      <c r="Q1432">
        <v>-0.1131046</v>
      </c>
      <c r="R1432">
        <v>-1.6684709999999998E-2</v>
      </c>
      <c r="S1432">
        <v>2.9830169999999998</v>
      </c>
      <c r="T1432">
        <v>-0.2286427</v>
      </c>
      <c r="U1432">
        <v>-0.64904790000000001</v>
      </c>
      <c r="V1432">
        <v>2.2253990000000001E-2</v>
      </c>
      <c r="W1432">
        <v>-9.1167200000000004E-2</v>
      </c>
      <c r="X1432">
        <v>0.99558690000000005</v>
      </c>
      <c r="Y1432">
        <v>0.2172955</v>
      </c>
      <c r="Z1432">
        <v>-1.095163E-2</v>
      </c>
      <c r="AA1432">
        <v>0.97604440000000003</v>
      </c>
      <c r="AB1432">
        <v>19</v>
      </c>
      <c r="AC1432">
        <v>14.5267</v>
      </c>
      <c r="AD1432">
        <v>-1.1219420840029899</v>
      </c>
      <c r="AE1432">
        <v>-3.18549999999999</v>
      </c>
      <c r="AF1432">
        <v>3.2486008202690702</v>
      </c>
      <c r="AG1432">
        <v>-1.1219420840029899</v>
      </c>
      <c r="AH1432">
        <v>14.4264631007819</v>
      </c>
      <c r="AI1432">
        <v>94.338714135718305</v>
      </c>
      <c r="AJ1432">
        <v>77.309612132748796</v>
      </c>
      <c r="AK1432">
        <v>14.830205626609899</v>
      </c>
      <c r="AL1432">
        <v>95.230758867537801</v>
      </c>
      <c r="AM1432">
        <v>88.719501621698001</v>
      </c>
      <c r="AN1432">
        <v>0.99999998693918501</v>
      </c>
    </row>
    <row r="1433" spans="1:40" x14ac:dyDescent="0.25">
      <c r="A1433" t="str">
        <f>"20190303154123707"</f>
        <v>20190303154123707</v>
      </c>
      <c r="B1433" t="str">
        <f>"1551598883700884"</f>
        <v>1551598883700884</v>
      </c>
      <c r="C1433" t="s">
        <v>40</v>
      </c>
      <c r="D1433">
        <v>6.0913959999999996</v>
      </c>
      <c r="E1433">
        <v>0.57619129999999996</v>
      </c>
      <c r="F1433" t="s">
        <v>41</v>
      </c>
      <c r="G1433">
        <v>-220.0498</v>
      </c>
      <c r="H1433" s="1">
        <v>-5.140071E-6</v>
      </c>
      <c r="I1433">
        <v>364.60390000000001</v>
      </c>
      <c r="J1433">
        <v>-234.52680000000001</v>
      </c>
      <c r="K1433">
        <v>1.121904</v>
      </c>
      <c r="L1433">
        <v>367.81659999999999</v>
      </c>
      <c r="M1433">
        <v>0.99974549999999995</v>
      </c>
      <c r="N1433">
        <v>-2.1867350000000001E-2</v>
      </c>
      <c r="O1433">
        <v>5.5396169999999897E-3</v>
      </c>
      <c r="P1433">
        <v>0.99347110000000005</v>
      </c>
      <c r="Q1433">
        <v>-0.1128448</v>
      </c>
      <c r="R1433">
        <v>-1.677934E-2</v>
      </c>
      <c r="S1433">
        <v>2.9827729999999999</v>
      </c>
      <c r="T1433">
        <v>-0.22848260000000001</v>
      </c>
      <c r="U1433">
        <v>-0.65408330000000003</v>
      </c>
      <c r="V1433">
        <v>2.227051E-2</v>
      </c>
      <c r="W1433">
        <v>-9.1098860000000004E-2</v>
      </c>
      <c r="X1433">
        <v>0.99559280000000006</v>
      </c>
      <c r="Y1433">
        <v>0.21880469999999999</v>
      </c>
      <c r="Z1433">
        <v>-1.0994510000000001E-2</v>
      </c>
      <c r="AA1433">
        <v>0.97570679999999999</v>
      </c>
      <c r="AB1433">
        <v>19</v>
      </c>
      <c r="AC1433">
        <v>14.477</v>
      </c>
      <c r="AD1433">
        <v>-1.121909140071</v>
      </c>
      <c r="AE1433">
        <v>-3.2126999999999799</v>
      </c>
      <c r="AF1433">
        <v>3.2741266325287501</v>
      </c>
      <c r="AG1433">
        <v>-1.121909140071</v>
      </c>
      <c r="AH1433">
        <v>14.376687872032999</v>
      </c>
      <c r="AI1433">
        <v>94.3511643313946</v>
      </c>
      <c r="AJ1433">
        <v>77.170355494598397</v>
      </c>
      <c r="AK1433">
        <v>14.787418283604101</v>
      </c>
      <c r="AL1433">
        <v>95.226826840056205</v>
      </c>
      <c r="AM1433">
        <v>88.718558966406803</v>
      </c>
      <c r="AN1433">
        <v>1.00000000066039</v>
      </c>
    </row>
    <row r="1434" spans="1:40" x14ac:dyDescent="0.25">
      <c r="A1434" t="str">
        <f>"20190303154123720"</f>
        <v>20190303154123720</v>
      </c>
      <c r="B1434" t="str">
        <f>"1551598883710645"</f>
        <v>1551598883710645</v>
      </c>
      <c r="C1434" t="s">
        <v>40</v>
      </c>
      <c r="D1434">
        <v>6.1443029999999998</v>
      </c>
      <c r="E1434">
        <v>0.57643739999999999</v>
      </c>
      <c r="F1434" t="s">
        <v>41</v>
      </c>
      <c r="G1434">
        <v>-219.703</v>
      </c>
      <c r="H1434" s="1">
        <v>-1.436004E-6</v>
      </c>
      <c r="I1434">
        <v>364.54700000000003</v>
      </c>
      <c r="J1434">
        <v>-234.41820000000001</v>
      </c>
      <c r="K1434">
        <v>1.121883</v>
      </c>
      <c r="L1434">
        <v>367.81709999999998</v>
      </c>
      <c r="M1434">
        <v>0.99974890000000005</v>
      </c>
      <c r="N1434">
        <v>-2.1728299999999999E-2</v>
      </c>
      <c r="O1434">
        <v>5.4890750000000004E-3</v>
      </c>
      <c r="P1434">
        <v>0.99354640000000005</v>
      </c>
      <c r="Q1434">
        <v>-0.1121634</v>
      </c>
      <c r="R1434">
        <v>-1.6881779999999999E-2</v>
      </c>
      <c r="S1434">
        <v>2.9829560000000002</v>
      </c>
      <c r="T1434">
        <v>-0.22575680000000001</v>
      </c>
      <c r="U1434">
        <v>-0.65792850000000003</v>
      </c>
      <c r="V1434">
        <v>2.232342E-2</v>
      </c>
      <c r="W1434">
        <v>-9.0554419999999997E-2</v>
      </c>
      <c r="X1434">
        <v>0.99564129999999995</v>
      </c>
      <c r="Y1434">
        <v>0.2199567</v>
      </c>
      <c r="Z1434">
        <v>-1.092803E-2</v>
      </c>
      <c r="AA1434">
        <v>0.97544839999999999</v>
      </c>
      <c r="AB1434">
        <v>18</v>
      </c>
      <c r="AC1434">
        <v>14.715199999999999</v>
      </c>
      <c r="AD1434">
        <v>-1.1218844360039999</v>
      </c>
      <c r="AE1434">
        <v>-3.27010000000001</v>
      </c>
      <c r="AF1434">
        <v>3.3323846273038198</v>
      </c>
      <c r="AG1434">
        <v>-1.1218844360039999</v>
      </c>
      <c r="AH1434">
        <v>14.616066141075899</v>
      </c>
      <c r="AI1434">
        <v>94.279838672222098</v>
      </c>
      <c r="AJ1434">
        <v>77.156409495843803</v>
      </c>
      <c r="AK1434">
        <v>15.033056955667501</v>
      </c>
      <c r="AL1434">
        <v>95.195503165109201</v>
      </c>
      <c r="AM1434">
        <v>88.715578102788299</v>
      </c>
      <c r="AN1434">
        <v>1.00000001816386</v>
      </c>
    </row>
    <row r="1435" spans="1:40" x14ac:dyDescent="0.25">
      <c r="A1435" t="str">
        <f>"20190303154123733"</f>
        <v>20190303154123733</v>
      </c>
      <c r="B1435" t="str">
        <f>"1551598883731139"</f>
        <v>1551598883731139</v>
      </c>
      <c r="C1435" t="s">
        <v>40</v>
      </c>
      <c r="D1435">
        <v>6.0789679999999997</v>
      </c>
      <c r="E1435">
        <v>0.57692339999999998</v>
      </c>
      <c r="F1435" t="s">
        <v>41</v>
      </c>
      <c r="G1435">
        <v>-219.39160000000001</v>
      </c>
      <c r="H1435" s="1">
        <v>-1.556308E-6</v>
      </c>
      <c r="I1435">
        <v>364.49310000000003</v>
      </c>
      <c r="J1435">
        <v>-234.3134</v>
      </c>
      <c r="K1435">
        <v>1.1218629999999901</v>
      </c>
      <c r="L1435">
        <v>367.81760000000003</v>
      </c>
      <c r="M1435">
        <v>0.99975250000000004</v>
      </c>
      <c r="N1435">
        <v>-2.1580140000000001E-2</v>
      </c>
      <c r="O1435">
        <v>5.4401129999999999E-3</v>
      </c>
      <c r="P1435">
        <v>0.99360660000000001</v>
      </c>
      <c r="Q1435">
        <v>-0.1116511</v>
      </c>
      <c r="R1435">
        <v>-1.674726E-2</v>
      </c>
      <c r="S1435">
        <v>2.9831539999999999</v>
      </c>
      <c r="T1435">
        <v>-0.22272120000000001</v>
      </c>
      <c r="U1435">
        <v>-0.65988159999999996</v>
      </c>
      <c r="V1435">
        <v>2.2140670000000001E-2</v>
      </c>
      <c r="W1435">
        <v>-9.0188379999999999E-2</v>
      </c>
      <c r="X1435">
        <v>0.99567859999999997</v>
      </c>
      <c r="Y1435">
        <v>0.22052240000000001</v>
      </c>
      <c r="Z1435">
        <v>-1.0820049999999999E-2</v>
      </c>
      <c r="AA1435">
        <v>0.97532189999999996</v>
      </c>
      <c r="AB1435">
        <v>18</v>
      </c>
      <c r="AC1435">
        <v>14.9217999999999</v>
      </c>
      <c r="AD1435">
        <v>-1.1218645563080001</v>
      </c>
      <c r="AE1435">
        <v>-3.3245</v>
      </c>
      <c r="AF1435">
        <v>3.3874042219135601</v>
      </c>
      <c r="AG1435">
        <v>-1.1218645563080001</v>
      </c>
      <c r="AH1435">
        <v>14.8236613537255</v>
      </c>
      <c r="AI1435">
        <v>94.219572873621502</v>
      </c>
      <c r="AJ1435">
        <v>77.128161993525794</v>
      </c>
      <c r="AK1435">
        <v>15.247098851101899</v>
      </c>
      <c r="AL1435">
        <v>95.174444471284801</v>
      </c>
      <c r="AM1435">
        <v>88.726137211727703</v>
      </c>
      <c r="AN1435">
        <v>1.0000000138265099</v>
      </c>
    </row>
    <row r="1436" spans="1:40" x14ac:dyDescent="0.25">
      <c r="A1436" t="str">
        <f>"20190303154123751"</f>
        <v>20190303154123751</v>
      </c>
      <c r="B1436" t="str">
        <f>"1551598883740900"</f>
        <v>1551598883740900</v>
      </c>
      <c r="C1436" t="s">
        <v>40</v>
      </c>
      <c r="D1436">
        <v>6.1208900000000002</v>
      </c>
      <c r="E1436">
        <v>0.57717159999999901</v>
      </c>
      <c r="F1436" t="s">
        <v>41</v>
      </c>
      <c r="G1436">
        <v>-218.94489999999999</v>
      </c>
      <c r="H1436" s="1">
        <v>-1.733531E-6</v>
      </c>
      <c r="I1436">
        <v>364.39830000000001</v>
      </c>
      <c r="J1436">
        <v>-234.1669</v>
      </c>
      <c r="K1436">
        <v>1.1218379999999999</v>
      </c>
      <c r="L1436">
        <v>367.81830000000002</v>
      </c>
      <c r="M1436">
        <v>0.99975760000000002</v>
      </c>
      <c r="N1436">
        <v>-2.1350930000000001E-2</v>
      </c>
      <c r="O1436">
        <v>5.3726360000000001E-3</v>
      </c>
      <c r="P1436">
        <v>0.99375619999999998</v>
      </c>
      <c r="Q1436">
        <v>-0.1103111</v>
      </c>
      <c r="R1436">
        <v>-1.6734570000000001E-2</v>
      </c>
      <c r="S1436">
        <v>2.9836269999999998</v>
      </c>
      <c r="T1436">
        <v>-0.21779689999999999</v>
      </c>
      <c r="U1436">
        <v>-0.66381840000000003</v>
      </c>
      <c r="V1436">
        <v>2.2062040000000002E-2</v>
      </c>
      <c r="W1436">
        <v>-8.9073689999999997E-2</v>
      </c>
      <c r="X1436">
        <v>0.99578060000000002</v>
      </c>
      <c r="Y1436">
        <v>0.2216786</v>
      </c>
      <c r="Z1436">
        <v>-1.06561E-2</v>
      </c>
      <c r="AA1436">
        <v>0.97506150000000003</v>
      </c>
      <c r="AB1436">
        <v>18</v>
      </c>
      <c r="AC1436">
        <v>15.222</v>
      </c>
      <c r="AD1436">
        <v>-1.121839733531</v>
      </c>
      <c r="AE1436">
        <v>-3.4200000000000101</v>
      </c>
      <c r="AF1436">
        <v>3.4837389256378901</v>
      </c>
      <c r="AG1436">
        <v>-1.121839733531</v>
      </c>
      <c r="AH1436">
        <v>15.1251970610034</v>
      </c>
      <c r="AI1436">
        <v>94.134026545301595</v>
      </c>
      <c r="AJ1436">
        <v>77.029450771647504</v>
      </c>
      <c r="AK1436">
        <v>15.561701302361501</v>
      </c>
      <c r="AL1436">
        <v>95.110319766679794</v>
      </c>
      <c r="AM1436">
        <v>88.730789682465499</v>
      </c>
      <c r="AN1436">
        <v>0.99999992959776596</v>
      </c>
    </row>
    <row r="1437" spans="1:40" x14ac:dyDescent="0.25">
      <c r="A1437" t="str">
        <f>"20190303154123765"</f>
        <v>20190303154123765</v>
      </c>
      <c r="B1437" t="str">
        <f>"1551598883760420"</f>
        <v>1551598883760420</v>
      </c>
      <c r="C1437" t="s">
        <v>40</v>
      </c>
      <c r="D1437">
        <v>6.1203219999999998</v>
      </c>
      <c r="E1437">
        <v>0.57765259999999996</v>
      </c>
      <c r="F1437" t="s">
        <v>41</v>
      </c>
      <c r="G1437">
        <v>-218.46340000000001</v>
      </c>
      <c r="H1437" s="1">
        <v>-1.9190729999999999E-6</v>
      </c>
      <c r="I1437">
        <v>364.31689999999998</v>
      </c>
      <c r="J1437">
        <v>-234.0574</v>
      </c>
      <c r="K1437">
        <v>1.1218129999999999</v>
      </c>
      <c r="L1437">
        <v>367.81880000000001</v>
      </c>
      <c r="M1437">
        <v>0.99976189999999998</v>
      </c>
      <c r="N1437">
        <v>-2.1164869999999999E-2</v>
      </c>
      <c r="O1437">
        <v>5.3220159999999997E-3</v>
      </c>
      <c r="P1437">
        <v>0.99382009999999998</v>
      </c>
      <c r="Q1437">
        <v>-0.10973479999999999</v>
      </c>
      <c r="R1437">
        <v>-1.6729609999999999E-2</v>
      </c>
      <c r="S1437">
        <v>2.983978</v>
      </c>
      <c r="T1437">
        <v>-0.2131711</v>
      </c>
      <c r="U1437">
        <v>-0.66534419999999905</v>
      </c>
      <c r="V1437">
        <v>2.2007039999999999E-2</v>
      </c>
      <c r="W1437">
        <v>-8.8681499999999996E-2</v>
      </c>
      <c r="X1437">
        <v>0.9958169</v>
      </c>
      <c r="Y1437">
        <v>0.2221079</v>
      </c>
      <c r="Z1437">
        <v>-1.047465E-2</v>
      </c>
      <c r="AA1437">
        <v>0.97496579999999999</v>
      </c>
      <c r="AB1437">
        <v>18</v>
      </c>
      <c r="AC1437">
        <v>15.5939999999999</v>
      </c>
      <c r="AD1437">
        <v>-1.121814919073</v>
      </c>
      <c r="AE1437">
        <v>-3.5019000000000302</v>
      </c>
      <c r="AF1437">
        <v>3.5672853848525499</v>
      </c>
      <c r="AG1437">
        <v>-1.121814919073</v>
      </c>
      <c r="AH1437">
        <v>15.498779183942</v>
      </c>
      <c r="AI1437">
        <v>94.034766080790405</v>
      </c>
      <c r="AJ1437">
        <v>77.038225831663496</v>
      </c>
      <c r="AK1437">
        <v>15.943530033284</v>
      </c>
      <c r="AL1437">
        <v>95.087759251362897</v>
      </c>
      <c r="AM1437">
        <v>88.733998889905806</v>
      </c>
      <c r="AN1437">
        <v>1.0000000082887099</v>
      </c>
    </row>
    <row r="1438" spans="1:40" x14ac:dyDescent="0.25">
      <c r="A1438" t="str">
        <f>"20190303154123777"</f>
        <v>20190303154123777</v>
      </c>
      <c r="B1438" t="str">
        <f>"1551598883770181"</f>
        <v>1551598883770181</v>
      </c>
      <c r="C1438" t="s">
        <v>40</v>
      </c>
      <c r="D1438">
        <v>6.0997019999999997</v>
      </c>
      <c r="E1438">
        <v>0.57785869999999995</v>
      </c>
      <c r="F1438" t="s">
        <v>41</v>
      </c>
      <c r="G1438">
        <v>-217.9974</v>
      </c>
      <c r="H1438" s="1">
        <v>-2.104403E-6</v>
      </c>
      <c r="I1438">
        <v>364.21629999999999</v>
      </c>
      <c r="J1438">
        <v>-233.95500000000001</v>
      </c>
      <c r="K1438">
        <v>1.1217919999999999</v>
      </c>
      <c r="L1438">
        <v>367.8193</v>
      </c>
      <c r="M1438">
        <v>0.99976609999999999</v>
      </c>
      <c r="N1438">
        <v>-2.0981130000000001E-2</v>
      </c>
      <c r="O1438">
        <v>5.2747519999999997E-3</v>
      </c>
      <c r="P1438">
        <v>0.99390889999999998</v>
      </c>
      <c r="Q1438">
        <v>-0.10895680000000001</v>
      </c>
      <c r="R1438">
        <v>-1.6545020000000001E-2</v>
      </c>
      <c r="S1438">
        <v>2.9843600000000001</v>
      </c>
      <c r="T1438">
        <v>-0.20846129999999999</v>
      </c>
      <c r="U1438">
        <v>-0.66943359999999996</v>
      </c>
      <c r="V1438">
        <v>2.1775989999999999E-2</v>
      </c>
      <c r="W1438">
        <v>-8.8084670000000004E-2</v>
      </c>
      <c r="X1438">
        <v>0.99587490000000001</v>
      </c>
      <c r="Y1438">
        <v>0.22333320000000001</v>
      </c>
      <c r="Z1438">
        <v>-1.03251E-2</v>
      </c>
      <c r="AA1438">
        <v>0.97468750000000004</v>
      </c>
      <c r="AB1438">
        <v>18</v>
      </c>
      <c r="AC1438">
        <v>15.957599999999999</v>
      </c>
      <c r="AD1438">
        <v>-1.121794104403</v>
      </c>
      <c r="AE1438">
        <v>-3.6030000000000002</v>
      </c>
      <c r="AF1438">
        <v>3.6698843893963402</v>
      </c>
      <c r="AG1438">
        <v>-1.121794104403</v>
      </c>
      <c r="AH1438">
        <v>15.8637748517391</v>
      </c>
      <c r="AI1438">
        <v>93.941148160673393</v>
      </c>
      <c r="AJ1438">
        <v>76.974479466437202</v>
      </c>
      <c r="AK1438">
        <v>16.321330398925198</v>
      </c>
      <c r="AL1438">
        <v>95.053429308303294</v>
      </c>
      <c r="AM1438">
        <v>88.747359202671603</v>
      </c>
      <c r="AN1438">
        <v>0.99999995963974797</v>
      </c>
    </row>
    <row r="1439" spans="1:40" x14ac:dyDescent="0.25">
      <c r="A1439" t="str">
        <f>"20190303154123796"</f>
        <v>20190303154123796</v>
      </c>
      <c r="B1439" t="str">
        <f>"1551598883790679"</f>
        <v>1551598883790679</v>
      </c>
      <c r="C1439" t="s">
        <v>40</v>
      </c>
      <c r="D1439">
        <v>6.2395509999999996</v>
      </c>
      <c r="E1439">
        <v>0.57798660000000002</v>
      </c>
      <c r="F1439" t="s">
        <v>41</v>
      </c>
      <c r="G1439">
        <v>-217.65700000000001</v>
      </c>
      <c r="H1439" s="1">
        <v>-2.2356729999999999E-6</v>
      </c>
      <c r="I1439">
        <v>364.1583</v>
      </c>
      <c r="J1439">
        <v>-233.80690000000001</v>
      </c>
      <c r="K1439">
        <v>1.1217509999999999</v>
      </c>
      <c r="L1439">
        <v>367.82010000000002</v>
      </c>
      <c r="M1439">
        <v>0.99977269999999896</v>
      </c>
      <c r="N1439">
        <v>-2.0679240000000002E-2</v>
      </c>
      <c r="O1439">
        <v>5.2058269999999997E-3</v>
      </c>
      <c r="P1439">
        <v>0.9939462</v>
      </c>
      <c r="Q1439">
        <v>-0.1085684</v>
      </c>
      <c r="R1439">
        <v>-1.685089E-2</v>
      </c>
      <c r="S1439">
        <v>2.98468</v>
      </c>
      <c r="T1439">
        <v>-0.2054348</v>
      </c>
      <c r="U1439">
        <v>-0.670440699999999</v>
      </c>
      <c r="V1439">
        <v>2.2013720000000001E-2</v>
      </c>
      <c r="W1439">
        <v>-8.7996359999999996E-2</v>
      </c>
      <c r="X1439">
        <v>0.99587749999999997</v>
      </c>
      <c r="Y1439">
        <v>0.223576</v>
      </c>
      <c r="Z1439">
        <v>-1.0182129999999999E-2</v>
      </c>
      <c r="AA1439">
        <v>0.97463330000000004</v>
      </c>
      <c r="AB1439">
        <v>18</v>
      </c>
      <c r="AC1439">
        <v>16.149899999999999</v>
      </c>
      <c r="AD1439">
        <v>-1.121753235673</v>
      </c>
      <c r="AE1439">
        <v>-3.6618000000000199</v>
      </c>
      <c r="AF1439">
        <v>3.7287321573655201</v>
      </c>
      <c r="AG1439">
        <v>-1.121753235673</v>
      </c>
      <c r="AH1439">
        <v>16.056935005078099</v>
      </c>
      <c r="AI1439">
        <v>93.892989594851997</v>
      </c>
      <c r="AJ1439">
        <v>76.926519679553195</v>
      </c>
      <c r="AK1439">
        <v>16.522316289806898</v>
      </c>
      <c r="AL1439">
        <v>95.048349694897695</v>
      </c>
      <c r="AM1439">
        <v>88.733691769561801</v>
      </c>
      <c r="AN1439">
        <v>0.99999997912386795</v>
      </c>
    </row>
    <row r="1440" spans="1:40" x14ac:dyDescent="0.25">
      <c r="A1440" t="str">
        <f>"20190303154123809"</f>
        <v>20190303154123809</v>
      </c>
      <c r="B1440" t="str">
        <f>"1551598883800436"</f>
        <v>1551598883800436</v>
      </c>
      <c r="C1440" t="s">
        <v>40</v>
      </c>
      <c r="D1440">
        <v>6.2241419999999996</v>
      </c>
      <c r="E1440">
        <v>0.576798699999999</v>
      </c>
      <c r="F1440" t="s">
        <v>41</v>
      </c>
      <c r="G1440">
        <v>-217.35740000000001</v>
      </c>
      <c r="H1440" s="1">
        <v>-2.3493429999999998E-6</v>
      </c>
      <c r="I1440">
        <v>364.11430000000001</v>
      </c>
      <c r="J1440">
        <v>-233.7022</v>
      </c>
      <c r="K1440">
        <v>1.1217140000000001</v>
      </c>
      <c r="L1440">
        <v>367.82060000000001</v>
      </c>
      <c r="M1440">
        <v>0.9997781</v>
      </c>
      <c r="N1440">
        <v>-2.0427589999999999E-2</v>
      </c>
      <c r="O1440">
        <v>5.1574899999999998E-3</v>
      </c>
      <c r="P1440">
        <v>0.99397139999999995</v>
      </c>
      <c r="Q1440">
        <v>-0.1083157</v>
      </c>
      <c r="R1440">
        <v>-1.6987410000000001E-2</v>
      </c>
      <c r="S1440">
        <v>2.9846499999999998</v>
      </c>
      <c r="T1440">
        <v>-0.20353460000000001</v>
      </c>
      <c r="U1440">
        <v>-0.67239380000000004</v>
      </c>
      <c r="V1440">
        <v>2.210231E-2</v>
      </c>
      <c r="W1440">
        <v>-8.7993829999999995E-2</v>
      </c>
      <c r="X1440">
        <v>0.99587579999999998</v>
      </c>
      <c r="Y1440">
        <v>0.22414919999999999</v>
      </c>
      <c r="Z1440">
        <v>-1.0104139999999999E-2</v>
      </c>
      <c r="AA1440">
        <v>0.97450239999999999</v>
      </c>
      <c r="AB1440">
        <v>18</v>
      </c>
      <c r="AC1440">
        <v>16.3447999999999</v>
      </c>
      <c r="AD1440">
        <v>-1.12171634934299</v>
      </c>
      <c r="AE1440">
        <v>-3.7062999999999899</v>
      </c>
      <c r="AF1440">
        <v>3.7736622341892501</v>
      </c>
      <c r="AG1440">
        <v>-1.12171634934299</v>
      </c>
      <c r="AH1440">
        <v>16.252659275573201</v>
      </c>
      <c r="AI1440">
        <v>93.846150433051406</v>
      </c>
      <c r="AJ1440">
        <v>76.928262070460505</v>
      </c>
      <c r="AK1440">
        <v>16.722670473163198</v>
      </c>
      <c r="AL1440">
        <v>95.048203977207294</v>
      </c>
      <c r="AM1440">
        <v>88.728595254340703</v>
      </c>
      <c r="AN1440">
        <v>1.0000000176255199</v>
      </c>
    </row>
    <row r="1441" spans="1:40" x14ac:dyDescent="0.25">
      <c r="A1441" t="str">
        <f>"20190303154123830"</f>
        <v>20190303154123830</v>
      </c>
      <c r="B1441" t="str">
        <f>"1551598883820932"</f>
        <v>1551598883820932</v>
      </c>
      <c r="C1441" t="s">
        <v>40</v>
      </c>
      <c r="D1441">
        <v>6.1387609999999997</v>
      </c>
      <c r="E1441">
        <v>0.57440630000000004</v>
      </c>
      <c r="F1441" t="s">
        <v>41</v>
      </c>
      <c r="G1441">
        <v>-217.291</v>
      </c>
      <c r="H1441" s="1">
        <v>-2.356294E-6</v>
      </c>
      <c r="I1441">
        <v>364.173</v>
      </c>
      <c r="J1441">
        <v>-233.53559999999999</v>
      </c>
      <c r="K1441">
        <v>1.1216489999999999</v>
      </c>
      <c r="L1441">
        <v>367.82130000000001</v>
      </c>
      <c r="M1441">
        <v>0.9997876</v>
      </c>
      <c r="N1441">
        <v>-1.9976569999999999E-2</v>
      </c>
      <c r="O1441">
        <v>5.081398E-3</v>
      </c>
      <c r="P1441">
        <v>0.99398260000000005</v>
      </c>
      <c r="Q1441">
        <v>-0.108112</v>
      </c>
      <c r="R1441">
        <v>-1.7629740000000001E-2</v>
      </c>
      <c r="S1441">
        <v>2.9846499999999998</v>
      </c>
      <c r="T1441">
        <v>-0.20400270000000001</v>
      </c>
      <c r="U1441">
        <v>-0.66336059999999997</v>
      </c>
      <c r="V1441">
        <v>2.266872E-2</v>
      </c>
      <c r="W1441">
        <v>-8.8239360000000003E-2</v>
      </c>
      <c r="X1441">
        <v>0.99584130000000004</v>
      </c>
      <c r="Y1441">
        <v>0.221274</v>
      </c>
      <c r="Z1441">
        <v>-9.9453730000000004E-3</v>
      </c>
      <c r="AA1441">
        <v>0.97516099999999994</v>
      </c>
      <c r="AB1441">
        <v>18</v>
      </c>
      <c r="AC1441">
        <v>16.244599999999899</v>
      </c>
      <c r="AD1441">
        <v>-1.12165135629399</v>
      </c>
      <c r="AE1441">
        <v>-3.6482999999999999</v>
      </c>
      <c r="AF1441">
        <v>3.71395825751515</v>
      </c>
      <c r="AG1441">
        <v>-1.12165135629399</v>
      </c>
      <c r="AH1441">
        <v>16.152537254770401</v>
      </c>
      <c r="AI1441">
        <v>93.871605601213503</v>
      </c>
      <c r="AJ1441">
        <v>77.051026662742203</v>
      </c>
      <c r="AK1441">
        <v>16.611924857474701</v>
      </c>
      <c r="AL1441">
        <v>95.062326960512195</v>
      </c>
      <c r="AM1441">
        <v>88.695979253856095</v>
      </c>
      <c r="AN1441">
        <v>0.99999997515266803</v>
      </c>
    </row>
    <row r="1442" spans="1:40" x14ac:dyDescent="0.25">
      <c r="A1442" t="str">
        <f>"20190303154123853"</f>
        <v>20190303154123853</v>
      </c>
      <c r="B1442" t="str">
        <f>"1551598883840452"</f>
        <v>1551598883840452</v>
      </c>
      <c r="C1442" t="s">
        <v>40</v>
      </c>
      <c r="D1442">
        <v>6.182175</v>
      </c>
      <c r="E1442">
        <v>0.57223809999999997</v>
      </c>
      <c r="F1442" t="s">
        <v>41</v>
      </c>
      <c r="G1442">
        <v>-217.3776</v>
      </c>
      <c r="H1442" s="1">
        <v>-2.2870790000000001E-6</v>
      </c>
      <c r="I1442">
        <v>364.32249999999999</v>
      </c>
      <c r="J1442">
        <v>-233.3597</v>
      </c>
      <c r="K1442">
        <v>1.121567</v>
      </c>
      <c r="L1442">
        <v>367.82209999999998</v>
      </c>
      <c r="M1442">
        <v>0.99979899999999999</v>
      </c>
      <c r="N1442">
        <v>-1.9423960000000001E-2</v>
      </c>
      <c r="O1442">
        <v>5.0001409999999996E-3</v>
      </c>
      <c r="P1442">
        <v>0.99398050000000004</v>
      </c>
      <c r="Q1442">
        <v>-0.10805389999999999</v>
      </c>
      <c r="R1442">
        <v>-1.8091960000000001E-2</v>
      </c>
      <c r="S1442">
        <v>2.984146</v>
      </c>
      <c r="T1442">
        <v>-0.2071509</v>
      </c>
      <c r="U1442">
        <v>-0.64617919999999995</v>
      </c>
      <c r="V1442">
        <v>2.305014E-2</v>
      </c>
      <c r="W1442">
        <v>-8.8731740000000003E-2</v>
      </c>
      <c r="X1442">
        <v>0.99578880000000003</v>
      </c>
      <c r="Y1442">
        <v>0.2158709</v>
      </c>
      <c r="Z1442">
        <v>-9.7688489999999996E-3</v>
      </c>
      <c r="AA1442">
        <v>0.97637300000000005</v>
      </c>
      <c r="AB1442">
        <v>18</v>
      </c>
      <c r="AC1442">
        <v>15.982100000000001</v>
      </c>
      <c r="AD1442">
        <v>-1.1215692870789999</v>
      </c>
      <c r="AE1442">
        <v>-3.4995999999999801</v>
      </c>
      <c r="AF1442">
        <v>3.5627412150290199</v>
      </c>
      <c r="AG1442">
        <v>-1.1215692870789999</v>
      </c>
      <c r="AH1442">
        <v>15.889725745733401</v>
      </c>
      <c r="AI1442">
        <v>93.939997103722305</v>
      </c>
      <c r="AJ1442">
        <v>77.362343142659299</v>
      </c>
      <c r="AK1442">
        <v>16.3228192082621</v>
      </c>
      <c r="AL1442">
        <v>95.090649316030905</v>
      </c>
      <c r="AM1442">
        <v>88.673975910457301</v>
      </c>
      <c r="AN1442">
        <v>0.99999998242144295</v>
      </c>
    </row>
    <row r="1443" spans="1:40" x14ac:dyDescent="0.25">
      <c r="A1443" t="str">
        <f>"20190303154123874"</f>
        <v>20190303154123874</v>
      </c>
      <c r="B1443" t="str">
        <f>"1551598883870709"</f>
        <v>1551598883870709</v>
      </c>
      <c r="C1443" t="s">
        <v>40</v>
      </c>
      <c r="D1443">
        <v>6.1577060000000001</v>
      </c>
      <c r="E1443">
        <v>0.56922530000000005</v>
      </c>
      <c r="F1443" t="s">
        <v>41</v>
      </c>
      <c r="G1443">
        <v>-217.47399999999999</v>
      </c>
      <c r="H1443" s="1">
        <v>-2.2159350000000002E-6</v>
      </c>
      <c r="I1443">
        <v>364.46660000000003</v>
      </c>
      <c r="J1443">
        <v>-233.18559999999999</v>
      </c>
      <c r="K1443">
        <v>1.12148799999999</v>
      </c>
      <c r="L1443">
        <v>367.8229</v>
      </c>
      <c r="M1443">
        <v>0.99981059999999999</v>
      </c>
      <c r="N1443">
        <v>-1.8838009999999999E-2</v>
      </c>
      <c r="O1443">
        <v>4.9185840000000002E-3</v>
      </c>
      <c r="P1443">
        <v>0.99395480000000003</v>
      </c>
      <c r="Q1443">
        <v>-0.1082825</v>
      </c>
      <c r="R1443">
        <v>-1.8140590000000002E-2</v>
      </c>
      <c r="S1443">
        <v>2.9837799999999999</v>
      </c>
      <c r="T1443">
        <v>-0.21066029999999999</v>
      </c>
      <c r="U1443">
        <v>-0.63024899999999995</v>
      </c>
      <c r="V1443">
        <v>2.3017679999999999E-2</v>
      </c>
      <c r="W1443">
        <v>-8.9544260000000001E-2</v>
      </c>
      <c r="X1443">
        <v>0.99571679999999996</v>
      </c>
      <c r="Y1443">
        <v>0.21082770000000001</v>
      </c>
      <c r="Z1443">
        <v>-9.6145429999999997E-3</v>
      </c>
      <c r="AA1443">
        <v>0.97747589999999995</v>
      </c>
      <c r="AB1443">
        <v>18</v>
      </c>
      <c r="AC1443">
        <v>15.711599999999899</v>
      </c>
      <c r="AD1443">
        <v>-1.12149021593499</v>
      </c>
      <c r="AE1443">
        <v>-3.3562999999999699</v>
      </c>
      <c r="AF1443">
        <v>3.4169023322358001</v>
      </c>
      <c r="AG1443">
        <v>-1.12149021593499</v>
      </c>
      <c r="AH1443">
        <v>15.6187928210114</v>
      </c>
      <c r="AI1443">
        <v>94.012437758941999</v>
      </c>
      <c r="AJ1443">
        <v>77.659892564253795</v>
      </c>
      <c r="AK1443">
        <v>16.027465521352902</v>
      </c>
      <c r="AL1443">
        <v>95.137389423369001</v>
      </c>
      <c r="AM1443">
        <v>88.675746882521395</v>
      </c>
      <c r="AN1443">
        <v>0.99999996694688398</v>
      </c>
    </row>
    <row r="1444" spans="1:40" x14ac:dyDescent="0.25">
      <c r="A1444" t="str">
        <f>"20190303154123887"</f>
        <v>20190303154123887</v>
      </c>
      <c r="B1444" t="str">
        <f>"1551598883880468"</f>
        <v>1551598883880468</v>
      </c>
      <c r="C1444" t="s">
        <v>40</v>
      </c>
      <c r="D1444">
        <v>6.1362100000000002</v>
      </c>
      <c r="E1444">
        <v>0.56830009999999997</v>
      </c>
      <c r="F1444" t="s">
        <v>41</v>
      </c>
      <c r="G1444">
        <v>-217.7397</v>
      </c>
      <c r="H1444" s="1">
        <v>-2.0675340000000002E-6</v>
      </c>
      <c r="I1444">
        <v>364.68450000000001</v>
      </c>
      <c r="J1444">
        <v>-233.08619999999999</v>
      </c>
      <c r="K1444">
        <v>1.121448</v>
      </c>
      <c r="L1444">
        <v>367.82330000000002</v>
      </c>
      <c r="M1444">
        <v>0.99981679999999995</v>
      </c>
      <c r="N1444">
        <v>-1.8514269999999999E-2</v>
      </c>
      <c r="O1444">
        <v>4.8715369999999996E-3</v>
      </c>
      <c r="P1444">
        <v>0.99398600000000004</v>
      </c>
      <c r="Q1444">
        <v>-0.1079773</v>
      </c>
      <c r="R1444">
        <v>-1.824928E-2</v>
      </c>
      <c r="S1444">
        <v>2.9835970000000001</v>
      </c>
      <c r="T1444">
        <v>-0.21663109999999999</v>
      </c>
      <c r="U1444">
        <v>-0.60623169999999904</v>
      </c>
      <c r="V1444">
        <v>2.3079860000000001E-2</v>
      </c>
      <c r="W1444">
        <v>-8.956095E-2</v>
      </c>
      <c r="X1444">
        <v>0.99571390000000004</v>
      </c>
      <c r="Y1444">
        <v>0.20323530000000001</v>
      </c>
      <c r="Z1444">
        <v>-9.4583629999999991E-3</v>
      </c>
      <c r="AA1444">
        <v>0.97908430000000002</v>
      </c>
      <c r="AB1444">
        <v>18</v>
      </c>
      <c r="AC1444">
        <v>15.346499999999899</v>
      </c>
      <c r="AD1444">
        <v>-1.121450067534</v>
      </c>
      <c r="AE1444">
        <v>-3.1387999999999998</v>
      </c>
      <c r="AF1444">
        <v>3.1971493328623399</v>
      </c>
      <c r="AG1444">
        <v>-1.121450067534</v>
      </c>
      <c r="AH1444">
        <v>15.2528446719818</v>
      </c>
      <c r="AI1444">
        <v>94.115918426536794</v>
      </c>
      <c r="AJ1444">
        <v>78.161622083526794</v>
      </c>
      <c r="AK1444">
        <v>15.6246179056704</v>
      </c>
      <c r="AL1444">
        <v>95.138349340373495</v>
      </c>
      <c r="AM1444">
        <v>88.672166956013299</v>
      </c>
      <c r="AN1444">
        <v>1.0000000071778601</v>
      </c>
    </row>
    <row r="1445" spans="1:40" x14ac:dyDescent="0.25">
      <c r="A1445" t="str">
        <f>"20190303154123899"</f>
        <v>20190303154123899</v>
      </c>
      <c r="B1445" t="str">
        <f>"1551598883890228"</f>
        <v>1551598883890228</v>
      </c>
      <c r="C1445" t="s">
        <v>40</v>
      </c>
      <c r="D1445">
        <v>6.1617240000000004</v>
      </c>
      <c r="E1445">
        <v>0.56742550000000003</v>
      </c>
      <c r="F1445" t="s">
        <v>41</v>
      </c>
      <c r="G1445">
        <v>-217.69659999999999</v>
      </c>
      <c r="H1445" s="1">
        <v>-2.0697829999999998E-6</v>
      </c>
      <c r="I1445">
        <v>364.7312</v>
      </c>
      <c r="J1445">
        <v>-232.9948</v>
      </c>
      <c r="K1445">
        <v>1.1214170000000001</v>
      </c>
      <c r="L1445">
        <v>367.82369999999997</v>
      </c>
      <c r="M1445">
        <v>0.9998224</v>
      </c>
      <c r="N1445">
        <v>-1.822476E-2</v>
      </c>
      <c r="O1445">
        <v>4.828349E-3</v>
      </c>
      <c r="P1445">
        <v>0.99396180000000001</v>
      </c>
      <c r="Q1445">
        <v>-0.108195899999999</v>
      </c>
      <c r="R1445">
        <v>-1.8283730000000002E-2</v>
      </c>
      <c r="S1445">
        <v>2.9835509999999998</v>
      </c>
      <c r="T1445">
        <v>-0.2174121</v>
      </c>
      <c r="U1445">
        <v>-0.59945680000000001</v>
      </c>
      <c r="V1445">
        <v>2.3071020000000001E-2</v>
      </c>
      <c r="W1445">
        <v>-9.0068140000000005E-2</v>
      </c>
      <c r="X1445">
        <v>0.99566840000000001</v>
      </c>
      <c r="Y1445">
        <v>0.20106389999999999</v>
      </c>
      <c r="Z1445">
        <v>-9.3582960000000003E-3</v>
      </c>
      <c r="AA1445">
        <v>0.9795334</v>
      </c>
      <c r="AB1445">
        <v>18</v>
      </c>
      <c r="AC1445">
        <v>15.2982</v>
      </c>
      <c r="AD1445">
        <v>-1.121419069783</v>
      </c>
      <c r="AE1445">
        <v>-3.0924999999999701</v>
      </c>
      <c r="AF1445">
        <v>3.1500789194401699</v>
      </c>
      <c r="AG1445">
        <v>-1.121419069783</v>
      </c>
      <c r="AH1445">
        <v>15.204593531627999</v>
      </c>
      <c r="AI1445">
        <v>94.130819147123702</v>
      </c>
      <c r="AJ1445">
        <v>78.295089645450403</v>
      </c>
      <c r="AK1445">
        <v>15.567923509280201</v>
      </c>
      <c r="AL1445">
        <v>95.167526874930104</v>
      </c>
      <c r="AM1445">
        <v>88.672614723580395</v>
      </c>
      <c r="AN1445">
        <v>1.0000000522827199</v>
      </c>
    </row>
    <row r="1446" spans="1:40" x14ac:dyDescent="0.25">
      <c r="A1446" t="str">
        <f>"20190303154123910"</f>
        <v>20190303154123910</v>
      </c>
      <c r="B1446" t="str">
        <f>"1551598883900964"</f>
        <v>1551598883900964</v>
      </c>
      <c r="C1446" t="s">
        <v>40</v>
      </c>
      <c r="D1446">
        <v>6.1600970000000004</v>
      </c>
      <c r="E1446">
        <v>0.56659329999999997</v>
      </c>
      <c r="F1446" t="s">
        <v>41</v>
      </c>
      <c r="G1446">
        <v>-217.77029999999999</v>
      </c>
      <c r="H1446" s="1">
        <v>-2.0264549999999998E-6</v>
      </c>
      <c r="I1446">
        <v>364.79969999999997</v>
      </c>
      <c r="J1446">
        <v>-232.89510000000001</v>
      </c>
      <c r="K1446">
        <v>1.1213879999999901</v>
      </c>
      <c r="L1446">
        <v>367.82420000000002</v>
      </c>
      <c r="M1446">
        <v>0.99982789999999999</v>
      </c>
      <c r="N1446">
        <v>-1.7930620000000001E-2</v>
      </c>
      <c r="O1446">
        <v>4.7822910000000001E-3</v>
      </c>
      <c r="P1446">
        <v>0.9939694</v>
      </c>
      <c r="Q1446">
        <v>-0.1081965</v>
      </c>
      <c r="R1446">
        <v>-1.7847749999999999E-2</v>
      </c>
      <c r="S1446">
        <v>2.9833829999999999</v>
      </c>
      <c r="T1446">
        <v>-0.21975239999999999</v>
      </c>
      <c r="U1446">
        <v>-0.59259030000000001</v>
      </c>
      <c r="V1446">
        <v>2.2589359999999999E-2</v>
      </c>
      <c r="W1446">
        <v>-9.0361449999999996E-2</v>
      </c>
      <c r="X1446">
        <v>0.9956528</v>
      </c>
      <c r="Y1446">
        <v>0.19885720000000001</v>
      </c>
      <c r="Z1446">
        <v>-9.3101299999999998E-3</v>
      </c>
      <c r="AA1446">
        <v>0.97998419999999997</v>
      </c>
      <c r="AB1446">
        <v>18</v>
      </c>
      <c r="AC1446">
        <v>15.1248</v>
      </c>
      <c r="AD1446">
        <v>-1.1213900264550001</v>
      </c>
      <c r="AE1446">
        <v>-3.0245000000000402</v>
      </c>
      <c r="AF1446">
        <v>3.0805253631209499</v>
      </c>
      <c r="AG1446">
        <v>-1.1213900264550001</v>
      </c>
      <c r="AH1446">
        <v>15.0307121815662</v>
      </c>
      <c r="AI1446">
        <v>94.180166283209701</v>
      </c>
      <c r="AJ1446">
        <v>78.417692920948397</v>
      </c>
      <c r="AK1446">
        <v>15.3840651581221</v>
      </c>
      <c r="AL1446">
        <v>95.184401459144894</v>
      </c>
      <c r="AM1446">
        <v>88.7002969462187</v>
      </c>
      <c r="AN1446">
        <v>0.99999998448957494</v>
      </c>
    </row>
    <row r="1447" spans="1:40" x14ac:dyDescent="0.25">
      <c r="A1447" t="str">
        <f>"20190303154123924"</f>
        <v>20190303154123924</v>
      </c>
      <c r="B1447" t="str">
        <f>"1551598883920484"</f>
        <v>1551598883920484</v>
      </c>
      <c r="C1447" t="s">
        <v>40</v>
      </c>
      <c r="D1447">
        <v>6.202515</v>
      </c>
      <c r="E1447">
        <v>0.56499089999999996</v>
      </c>
      <c r="F1447" t="s">
        <v>41</v>
      </c>
      <c r="G1447">
        <v>-217.79409999999999</v>
      </c>
      <c r="H1447" s="1">
        <v>-2.0011580000000001E-6</v>
      </c>
      <c r="I1447">
        <v>364.86439999999999</v>
      </c>
      <c r="J1447">
        <v>-232.79810000000001</v>
      </c>
      <c r="K1447">
        <v>1.1213660000000001</v>
      </c>
      <c r="L1447">
        <v>367.82459999999998</v>
      </c>
      <c r="M1447">
        <v>0.99983270000000002</v>
      </c>
      <c r="N1447">
        <v>-1.7662980000000002E-2</v>
      </c>
      <c r="O1447">
        <v>4.7370870000000001E-3</v>
      </c>
      <c r="P1447">
        <v>0.99397590000000002</v>
      </c>
      <c r="Q1447">
        <v>-0.10815080000000001</v>
      </c>
      <c r="R1447">
        <v>-1.7751329999999999E-2</v>
      </c>
      <c r="S1447">
        <v>2.9835820000000002</v>
      </c>
      <c r="T1447">
        <v>-0.22155830000000001</v>
      </c>
      <c r="U1447">
        <v>-0.58477780000000001</v>
      </c>
      <c r="V1447">
        <v>2.2448280000000001E-2</v>
      </c>
      <c r="W1447">
        <v>-9.0582109999999993E-2</v>
      </c>
      <c r="X1447">
        <v>0.99563590000000002</v>
      </c>
      <c r="Y1447">
        <v>0.19633020000000001</v>
      </c>
      <c r="Z1447">
        <v>-9.2297760000000003E-3</v>
      </c>
      <c r="AA1447">
        <v>0.98049439999999999</v>
      </c>
      <c r="AB1447">
        <v>18</v>
      </c>
      <c r="AC1447">
        <v>15.004</v>
      </c>
      <c r="AD1447">
        <v>-1.1213680011579901</v>
      </c>
      <c r="AE1447">
        <v>-2.96019999999998</v>
      </c>
      <c r="AF1447">
        <v>3.0150428070697699</v>
      </c>
      <c r="AG1447">
        <v>-1.1213680011579901</v>
      </c>
      <c r="AH1447">
        <v>14.9096452782717</v>
      </c>
      <c r="AI1447">
        <v>94.216144623689502</v>
      </c>
      <c r="AJ1447">
        <v>78.567762513708601</v>
      </c>
      <c r="AK1447">
        <v>15.252720139253</v>
      </c>
      <c r="AL1447">
        <v>95.197096615444295</v>
      </c>
      <c r="AM1447">
        <v>88.708389460963502</v>
      </c>
      <c r="AN1447">
        <v>0.99999994464790798</v>
      </c>
    </row>
    <row r="1448" spans="1:40" x14ac:dyDescent="0.25">
      <c r="A1448" t="str">
        <f>"20190303154123937"</f>
        <v>20190303154123937</v>
      </c>
      <c r="B1448" t="str">
        <f>"1551598883930244"</f>
        <v>1551598883930244</v>
      </c>
      <c r="C1448" t="s">
        <v>40</v>
      </c>
      <c r="D1448">
        <v>6.1924149999999996</v>
      </c>
      <c r="E1448">
        <v>0.564218</v>
      </c>
      <c r="F1448" t="s">
        <v>41</v>
      </c>
      <c r="G1448">
        <v>-217.88319999999999</v>
      </c>
      <c r="H1448" s="1">
        <v>-1.9431570000000002E-6</v>
      </c>
      <c r="I1448">
        <v>364.96839999999997</v>
      </c>
      <c r="J1448">
        <v>-232.6919</v>
      </c>
      <c r="K1448">
        <v>1.121345</v>
      </c>
      <c r="L1448">
        <v>367.82499999999999</v>
      </c>
      <c r="M1448">
        <v>0.99983809999999995</v>
      </c>
      <c r="N1448">
        <v>-1.738365E-2</v>
      </c>
      <c r="O1448">
        <v>4.6874209999999998E-3</v>
      </c>
      <c r="P1448">
        <v>0.99399380000000004</v>
      </c>
      <c r="Q1448">
        <v>-0.10800709999999999</v>
      </c>
      <c r="R1448">
        <v>-1.7631239999999999E-2</v>
      </c>
      <c r="S1448">
        <v>2.9835660000000002</v>
      </c>
      <c r="T1448">
        <v>-0.2243174</v>
      </c>
      <c r="U1448">
        <v>-0.57135009999999997</v>
      </c>
      <c r="V1448">
        <v>2.227902E-2</v>
      </c>
      <c r="W1448">
        <v>-9.0716149999999995E-2</v>
      </c>
      <c r="X1448">
        <v>0.99562759999999995</v>
      </c>
      <c r="Y1448">
        <v>0.19202849999999999</v>
      </c>
      <c r="Z1448">
        <v>-9.0991509999999998E-3</v>
      </c>
      <c r="AA1448">
        <v>0.98134710000000003</v>
      </c>
      <c r="AB1448">
        <v>18</v>
      </c>
      <c r="AC1448">
        <v>14.8087</v>
      </c>
      <c r="AD1448">
        <v>-1.121346943157</v>
      </c>
      <c r="AE1448">
        <v>-2.85660000000001</v>
      </c>
      <c r="AF1448">
        <v>2.9099073132597102</v>
      </c>
      <c r="AG1448">
        <v>-1.121346943157</v>
      </c>
      <c r="AH1448">
        <v>14.713805138900099</v>
      </c>
      <c r="AI1448">
        <v>94.275621849358203</v>
      </c>
      <c r="AJ1448">
        <v>78.813132546278098</v>
      </c>
      <c r="AK1448">
        <v>15.0406463027429</v>
      </c>
      <c r="AL1448">
        <v>95.204807761728304</v>
      </c>
      <c r="AM1448">
        <v>88.718114258090907</v>
      </c>
      <c r="AN1448">
        <v>1.0000000462423699</v>
      </c>
    </row>
    <row r="1449" spans="1:40" x14ac:dyDescent="0.25">
      <c r="A1449" t="str">
        <f>"20190303154123951"</f>
        <v>20190303154123951</v>
      </c>
      <c r="B1449" t="str">
        <f>"1551598883940981"</f>
        <v>1551598883940981</v>
      </c>
      <c r="C1449" t="s">
        <v>40</v>
      </c>
      <c r="D1449">
        <v>6.192653</v>
      </c>
      <c r="E1449">
        <v>0.56347259999999999</v>
      </c>
      <c r="F1449" t="s">
        <v>41</v>
      </c>
      <c r="G1449">
        <v>-217.85830000000001</v>
      </c>
      <c r="H1449" s="1">
        <v>-1.938556E-6</v>
      </c>
      <c r="I1449">
        <v>365.01749999999998</v>
      </c>
      <c r="J1449">
        <v>-232.57599999999999</v>
      </c>
      <c r="K1449">
        <v>1.1213299999999999</v>
      </c>
      <c r="L1449">
        <v>367.8254</v>
      </c>
      <c r="M1449">
        <v>0.99984309999999998</v>
      </c>
      <c r="N1449">
        <v>-1.7102920000000001E-2</v>
      </c>
      <c r="O1449">
        <v>4.6337289999999996E-3</v>
      </c>
      <c r="P1449">
        <v>0.99401830000000002</v>
      </c>
      <c r="Q1449">
        <v>-0.1078393</v>
      </c>
      <c r="R1449">
        <v>-1.7276610000000001E-2</v>
      </c>
      <c r="S1449">
        <v>2.9835820000000002</v>
      </c>
      <c r="T1449">
        <v>-0.22554370000000001</v>
      </c>
      <c r="U1449">
        <v>-0.56469729999999996</v>
      </c>
      <c r="V1449">
        <v>2.1870939999999998E-2</v>
      </c>
      <c r="W1449">
        <v>-9.0827450000000004E-2</v>
      </c>
      <c r="X1449">
        <v>0.99562640000000002</v>
      </c>
      <c r="Y1449">
        <v>0.18986539999999999</v>
      </c>
      <c r="Z1449">
        <v>-9.0125039999999993E-3</v>
      </c>
      <c r="AA1449">
        <v>0.9817688</v>
      </c>
      <c r="AB1449">
        <v>18</v>
      </c>
      <c r="AC1449">
        <v>14.717699999999899</v>
      </c>
      <c r="AD1449">
        <v>-1.1213319385560001</v>
      </c>
      <c r="AE1449">
        <v>-2.8079000000000098</v>
      </c>
      <c r="AF1449">
        <v>2.8600586027997301</v>
      </c>
      <c r="AG1449">
        <v>-1.1213319385560001</v>
      </c>
      <c r="AH1449">
        <v>14.622628383128101</v>
      </c>
      <c r="AI1449">
        <v>94.303890804375001</v>
      </c>
      <c r="AJ1449">
        <v>78.933157790672794</v>
      </c>
      <c r="AK1449">
        <v>14.9418399589521</v>
      </c>
      <c r="AL1449">
        <v>95.211211740612498</v>
      </c>
      <c r="AM1449">
        <v>88.7415851455184</v>
      </c>
      <c r="AN1449">
        <v>0.99999994603347098</v>
      </c>
    </row>
    <row r="1450" spans="1:40" x14ac:dyDescent="0.25">
      <c r="A1450" t="str">
        <f>"20190303154123974"</f>
        <v>20190303154123974</v>
      </c>
      <c r="B1450" t="str">
        <f>"1551598883970260"</f>
        <v>1551598883970260</v>
      </c>
      <c r="C1450" t="s">
        <v>40</v>
      </c>
      <c r="D1450">
        <v>6.1455659999999996</v>
      </c>
      <c r="E1450">
        <v>0.5614285</v>
      </c>
      <c r="F1450" t="s">
        <v>41</v>
      </c>
      <c r="G1450">
        <v>-217.78579999999999</v>
      </c>
      <c r="H1450" s="1">
        <v>-1.951982E-6</v>
      </c>
      <c r="I1450">
        <v>365.0598</v>
      </c>
      <c r="J1450">
        <v>-232.39830000000001</v>
      </c>
      <c r="K1450">
        <v>1.121305</v>
      </c>
      <c r="L1450">
        <v>367.82619999999997</v>
      </c>
      <c r="M1450">
        <v>0.99985029999999997</v>
      </c>
      <c r="N1450">
        <v>-1.6701359999999998E-2</v>
      </c>
      <c r="O1450">
        <v>4.5510430000000003E-3</v>
      </c>
      <c r="P1450">
        <v>0.99406890000000003</v>
      </c>
      <c r="Q1450">
        <v>-0.107395699999999</v>
      </c>
      <c r="R1450">
        <v>-1.7127679999999999E-2</v>
      </c>
      <c r="S1450">
        <v>2.9838260000000001</v>
      </c>
      <c r="T1450">
        <v>-0.22622</v>
      </c>
      <c r="U1450">
        <v>-0.55795289999999997</v>
      </c>
      <c r="V1450">
        <v>2.1640079999999999E-2</v>
      </c>
      <c r="W1450">
        <v>-9.0782840000000004E-2</v>
      </c>
      <c r="X1450">
        <v>0.99563559999999995</v>
      </c>
      <c r="Y1450">
        <v>0.18763250000000001</v>
      </c>
      <c r="Z1450">
        <v>-8.8912190000000006E-3</v>
      </c>
      <c r="AA1450">
        <v>0.98219909999999999</v>
      </c>
      <c r="AB1450">
        <v>18</v>
      </c>
      <c r="AC1450">
        <v>14.612500000000001</v>
      </c>
      <c r="AD1450">
        <v>-1.121306951982</v>
      </c>
      <c r="AE1450">
        <v>-2.7663999999999702</v>
      </c>
      <c r="AF1450">
        <v>2.8168696931647901</v>
      </c>
      <c r="AG1450">
        <v>-1.121306951982</v>
      </c>
      <c r="AH1450">
        <v>14.5172308994087</v>
      </c>
      <c r="AI1450">
        <v>94.336183376736898</v>
      </c>
      <c r="AJ1450">
        <v>79.018994173976594</v>
      </c>
      <c r="AK1450">
        <v>14.8304442662916</v>
      </c>
      <c r="AL1450">
        <v>95.208644720583194</v>
      </c>
      <c r="AM1450">
        <v>88.754875715671105</v>
      </c>
      <c r="AN1450">
        <v>1.0000000325441101</v>
      </c>
    </row>
    <row r="1451" spans="1:40" x14ac:dyDescent="0.25">
      <c r="A1451" t="str">
        <f>"20190303154123988"</f>
        <v>20190303154123988</v>
      </c>
      <c r="B1451" t="str">
        <f>"1551598883980996"</f>
        <v>1551598883980996</v>
      </c>
      <c r="C1451" t="s">
        <v>40</v>
      </c>
      <c r="D1451">
        <v>6.1776559999999998</v>
      </c>
      <c r="E1451">
        <v>0.56078709999999998</v>
      </c>
      <c r="F1451" t="s">
        <v>41</v>
      </c>
      <c r="G1451">
        <v>-217.7662</v>
      </c>
      <c r="H1451" s="1">
        <v>-1.9287170000000001E-6</v>
      </c>
      <c r="I1451">
        <v>365.17230000000001</v>
      </c>
      <c r="J1451">
        <v>-232.28710000000001</v>
      </c>
      <c r="K1451">
        <v>1.121297</v>
      </c>
      <c r="L1451">
        <v>367.82670000000002</v>
      </c>
      <c r="M1451">
        <v>0.99985429999999997</v>
      </c>
      <c r="N1451">
        <v>-1.6474619999999999E-2</v>
      </c>
      <c r="O1451">
        <v>4.4994839999999998E-3</v>
      </c>
      <c r="P1451">
        <v>0.99411839999999996</v>
      </c>
      <c r="Q1451">
        <v>-0.10690910000000001</v>
      </c>
      <c r="R1451">
        <v>-1.7294469999999999E-2</v>
      </c>
      <c r="S1451">
        <v>2.9838710000000002</v>
      </c>
      <c r="T1451">
        <v>-0.22866359999999999</v>
      </c>
      <c r="U1451">
        <v>-0.54119869999999903</v>
      </c>
      <c r="V1451">
        <v>2.1755790000000001E-2</v>
      </c>
      <c r="W1451">
        <v>-9.0521270000000001E-2</v>
      </c>
      <c r="X1451">
        <v>0.99565680000000001</v>
      </c>
      <c r="Y1451">
        <v>0.1822492</v>
      </c>
      <c r="Z1451">
        <v>-8.7009840000000001E-3</v>
      </c>
      <c r="AA1451">
        <v>0.98321389999999997</v>
      </c>
      <c r="AB1451">
        <v>18</v>
      </c>
      <c r="AC1451">
        <v>14.520899999999999</v>
      </c>
      <c r="AD1451">
        <v>-1.1212989287170001</v>
      </c>
      <c r="AE1451">
        <v>-2.6543999999999999</v>
      </c>
      <c r="AF1451">
        <v>2.7041156114434202</v>
      </c>
      <c r="AG1451">
        <v>-1.1212989287170001</v>
      </c>
      <c r="AH1451">
        <v>14.425571407154999</v>
      </c>
      <c r="AI1451">
        <v>94.368867991207097</v>
      </c>
      <c r="AJ1451">
        <v>79.382950125588593</v>
      </c>
      <c r="AK1451">
        <v>14.7196013176486</v>
      </c>
      <c r="AL1451">
        <v>95.193596389258204</v>
      </c>
      <c r="AM1451">
        <v>88.748246765558505</v>
      </c>
      <c r="AN1451">
        <v>0.99999993905358597</v>
      </c>
    </row>
    <row r="1452" spans="1:40" x14ac:dyDescent="0.25">
      <c r="A1452" t="str">
        <f>"20190303154124000"</f>
        <v>20190303154124000</v>
      </c>
      <c r="B1452" t="str">
        <f>"1551598883990757"</f>
        <v>1551598883990757</v>
      </c>
      <c r="C1452" t="s">
        <v>40</v>
      </c>
      <c r="D1452">
        <v>6.183281</v>
      </c>
      <c r="E1452">
        <v>0.56016379999999999</v>
      </c>
      <c r="F1452" t="s">
        <v>41</v>
      </c>
      <c r="G1452">
        <v>-217.63749999999999</v>
      </c>
      <c r="H1452" s="1">
        <v>-1.9672119999999999E-6</v>
      </c>
      <c r="I1452">
        <v>365.19220000000001</v>
      </c>
      <c r="J1452">
        <v>-232.19640000000001</v>
      </c>
      <c r="K1452">
        <v>1.121291</v>
      </c>
      <c r="L1452">
        <v>367.827</v>
      </c>
      <c r="M1452">
        <v>0.9998572</v>
      </c>
      <c r="N1452">
        <v>-1.6298630000000001E-2</v>
      </c>
      <c r="O1452">
        <v>4.4573740000000001E-3</v>
      </c>
      <c r="P1452">
        <v>0.99416260000000001</v>
      </c>
      <c r="Q1452">
        <v>-0.1064682</v>
      </c>
      <c r="R1452">
        <v>-1.746895E-2</v>
      </c>
      <c r="S1452">
        <v>2.9838710000000002</v>
      </c>
      <c r="T1452">
        <v>-0.22838810000000001</v>
      </c>
      <c r="U1452">
        <v>-0.53659060000000003</v>
      </c>
      <c r="V1452">
        <v>2.1888700000000001E-2</v>
      </c>
      <c r="W1452">
        <v>-9.025495E-2</v>
      </c>
      <c r="X1452">
        <v>0.99567810000000001</v>
      </c>
      <c r="Y1452">
        <v>0.18074480000000001</v>
      </c>
      <c r="Z1452">
        <v>-8.6056869999999903E-3</v>
      </c>
      <c r="AA1452">
        <v>0.98349240000000004</v>
      </c>
      <c r="AB1452">
        <v>18</v>
      </c>
      <c r="AC1452">
        <v>14.5589</v>
      </c>
      <c r="AD1452">
        <v>-1.121292967212</v>
      </c>
      <c r="AE1452">
        <v>-2.6347999999999798</v>
      </c>
      <c r="AF1452">
        <v>2.6842595616197999</v>
      </c>
      <c r="AG1452">
        <v>-1.121292967212</v>
      </c>
      <c r="AH1452">
        <v>14.463934270595701</v>
      </c>
      <c r="AI1452">
        <v>94.358765254315102</v>
      </c>
      <c r="AJ1452">
        <v>79.486490068263294</v>
      </c>
      <c r="AK1452">
        <v>14.7535738686116</v>
      </c>
      <c r="AL1452">
        <v>95.1782744718939</v>
      </c>
      <c r="AM1452">
        <v>88.740628970249105</v>
      </c>
      <c r="AN1452">
        <v>0.99999997500339999</v>
      </c>
    </row>
    <row r="1453" spans="1:40" x14ac:dyDescent="0.25">
      <c r="A1453" t="str">
        <f>"20190303154124014"</f>
        <v>20190303154124014</v>
      </c>
      <c r="B1453" t="str">
        <f>"1551598884010277"</f>
        <v>1551598884010277</v>
      </c>
      <c r="C1453" t="s">
        <v>40</v>
      </c>
      <c r="D1453">
        <v>6.1595279999999999</v>
      </c>
      <c r="E1453">
        <v>0.55901590000000001</v>
      </c>
      <c r="F1453" t="s">
        <v>41</v>
      </c>
      <c r="G1453">
        <v>-217.5395</v>
      </c>
      <c r="H1453" s="1">
        <v>-1.9949059999999999E-6</v>
      </c>
      <c r="I1453">
        <v>365.21359999999999</v>
      </c>
      <c r="J1453">
        <v>-232.09180000000001</v>
      </c>
      <c r="K1453">
        <v>1.121286</v>
      </c>
      <c r="L1453">
        <v>367.82740000000001</v>
      </c>
      <c r="M1453">
        <v>0.99986050000000004</v>
      </c>
      <c r="N1453">
        <v>-1.6109559999999998E-2</v>
      </c>
      <c r="O1453">
        <v>4.409273E-3</v>
      </c>
      <c r="P1453">
        <v>0.99421499999999996</v>
      </c>
      <c r="Q1453">
        <v>-0.1059354</v>
      </c>
      <c r="R1453">
        <v>-1.7728859999999999E-2</v>
      </c>
      <c r="S1453">
        <v>2.9838260000000001</v>
      </c>
      <c r="T1453">
        <v>-0.22826969999999999</v>
      </c>
      <c r="U1453">
        <v>-0.5320435</v>
      </c>
      <c r="V1453">
        <v>2.2100849999999998E-2</v>
      </c>
      <c r="W1453">
        <v>-8.9909710000000004E-2</v>
      </c>
      <c r="X1453">
        <v>0.9957047</v>
      </c>
      <c r="Y1453">
        <v>0.17925459999999999</v>
      </c>
      <c r="Z1453">
        <v>-8.5149279999999997E-3</v>
      </c>
      <c r="AA1453">
        <v>0.98376589999999997</v>
      </c>
      <c r="AB1453">
        <v>18</v>
      </c>
      <c r="AC1453">
        <v>14.552300000000001</v>
      </c>
      <c r="AD1453">
        <v>-1.121287994906</v>
      </c>
      <c r="AE1453">
        <v>-2.6138000000000199</v>
      </c>
      <c r="AF1453">
        <v>2.6626338273107102</v>
      </c>
      <c r="AG1453">
        <v>-1.121287994906</v>
      </c>
      <c r="AH1453">
        <v>14.4574797939097</v>
      </c>
      <c r="AI1453">
        <v>94.361781793234996</v>
      </c>
      <c r="AJ1453">
        <v>79.564771312292393</v>
      </c>
      <c r="AK1453">
        <v>14.743324850832201</v>
      </c>
      <c r="AL1453">
        <v>95.158412659040096</v>
      </c>
      <c r="AM1453">
        <v>88.728460821625106</v>
      </c>
      <c r="AN1453">
        <v>1.0000000265625399</v>
      </c>
    </row>
    <row r="1454" spans="1:40" x14ac:dyDescent="0.25">
      <c r="A1454" t="str">
        <f>"20190303154124025"</f>
        <v>20190303154124025</v>
      </c>
      <c r="B1454" t="str">
        <f>"1551598884021012"</f>
        <v>1551598884021012</v>
      </c>
      <c r="C1454" t="s">
        <v>40</v>
      </c>
      <c r="D1454">
        <v>6.1426259999999999</v>
      </c>
      <c r="E1454">
        <v>0.55847729999999995</v>
      </c>
      <c r="F1454" t="s">
        <v>41</v>
      </c>
      <c r="G1454">
        <v>-217.46860000000001</v>
      </c>
      <c r="H1454" s="1">
        <v>-2.0067490000000001E-6</v>
      </c>
      <c r="I1454">
        <v>365.25959999999998</v>
      </c>
      <c r="J1454">
        <v>-231.99510000000001</v>
      </c>
      <c r="K1454">
        <v>1.1212819999999999</v>
      </c>
      <c r="L1454">
        <v>367.82780000000002</v>
      </c>
      <c r="M1454">
        <v>0.99986330000000001</v>
      </c>
      <c r="N1454">
        <v>-1.59514999999999E-2</v>
      </c>
      <c r="O1454">
        <v>4.3640090000000003E-3</v>
      </c>
      <c r="P1454">
        <v>0.99424369999999995</v>
      </c>
      <c r="Q1454">
        <v>-0.105626</v>
      </c>
      <c r="R1454">
        <v>-1.7956550000000002E-2</v>
      </c>
      <c r="S1454">
        <v>2.9837340000000001</v>
      </c>
      <c r="T1454">
        <v>-0.2287873</v>
      </c>
      <c r="U1454">
        <v>-0.5239258</v>
      </c>
      <c r="V1454">
        <v>2.2283750000000001E-2</v>
      </c>
      <c r="W1454">
        <v>-8.9757279999999995E-2</v>
      </c>
      <c r="X1454">
        <v>0.9957144</v>
      </c>
      <c r="Y1454">
        <v>0.1766267</v>
      </c>
      <c r="Z1454">
        <v>-8.3952539999999996E-3</v>
      </c>
      <c r="AA1454">
        <v>0.98424210000000001</v>
      </c>
      <c r="AB1454">
        <v>18</v>
      </c>
      <c r="AC1454">
        <v>14.5265</v>
      </c>
      <c r="AD1454">
        <v>-1.121284006749</v>
      </c>
      <c r="AE1454">
        <v>-2.56820000000004</v>
      </c>
      <c r="AF1454">
        <v>2.6164606806214201</v>
      </c>
      <c r="AG1454">
        <v>-1.121284006749</v>
      </c>
      <c r="AH1454">
        <v>14.431772468704899</v>
      </c>
      <c r="AI1454">
        <v>94.371716421147596</v>
      </c>
      <c r="AJ1454">
        <v>79.723971312232393</v>
      </c>
      <c r="AK1454">
        <v>14.709833476470701</v>
      </c>
      <c r="AL1454">
        <v>95.149643484446003</v>
      </c>
      <c r="AM1454">
        <v>88.717953928142194</v>
      </c>
      <c r="AN1454">
        <v>1.0000000505972</v>
      </c>
    </row>
    <row r="1455" spans="1:40" x14ac:dyDescent="0.25">
      <c r="A1455" t="str">
        <f>"20190303154124040"</f>
        <v>20190303154124040</v>
      </c>
      <c r="B1455" t="str">
        <f>"1551598884030773"</f>
        <v>1551598884030773</v>
      </c>
      <c r="C1455" t="s">
        <v>40</v>
      </c>
      <c r="D1455">
        <v>6.180034</v>
      </c>
      <c r="E1455">
        <v>0.55793429999999999</v>
      </c>
      <c r="F1455" t="s">
        <v>41</v>
      </c>
      <c r="G1455">
        <v>-217.37880000000001</v>
      </c>
      <c r="H1455" s="1">
        <v>-2.032017E-6</v>
      </c>
      <c r="I1455">
        <v>365.27949999999998</v>
      </c>
      <c r="J1455">
        <v>-231.88489999999999</v>
      </c>
      <c r="K1455">
        <v>1.1212770000000001</v>
      </c>
      <c r="L1455">
        <v>367.82819999999998</v>
      </c>
      <c r="M1455">
        <v>0.99986620000000004</v>
      </c>
      <c r="N1455">
        <v>-1.5781630000000001E-2</v>
      </c>
      <c r="O1455">
        <v>4.3128669999999997E-3</v>
      </c>
      <c r="P1455">
        <v>0.99427030000000005</v>
      </c>
      <c r="Q1455">
        <v>-0.105327</v>
      </c>
      <c r="R1455">
        <v>-1.824626E-2</v>
      </c>
      <c r="S1455">
        <v>2.9836429999999998</v>
      </c>
      <c r="T1455">
        <v>-0.2288877</v>
      </c>
      <c r="U1455">
        <v>-0.52017209999999903</v>
      </c>
      <c r="V1455">
        <v>2.252256E-2</v>
      </c>
      <c r="W1455">
        <v>-8.9627090000000006E-2</v>
      </c>
      <c r="X1455">
        <v>0.99572070000000001</v>
      </c>
      <c r="Y1455">
        <v>0.1753847</v>
      </c>
      <c r="Z1455">
        <v>-8.3245400000000001E-3</v>
      </c>
      <c r="AA1455">
        <v>0.98446480000000003</v>
      </c>
      <c r="AB1455">
        <v>17</v>
      </c>
      <c r="AC1455">
        <v>14.506099999999901</v>
      </c>
      <c r="AD1455">
        <v>-1.1212790320170001</v>
      </c>
      <c r="AE1455">
        <v>-2.54869999999999</v>
      </c>
      <c r="AF1455">
        <v>2.5961996016986202</v>
      </c>
      <c r="AG1455">
        <v>-1.1212790320170001</v>
      </c>
      <c r="AH1455">
        <v>14.411443942563199</v>
      </c>
      <c r="AI1455">
        <v>94.378717649081096</v>
      </c>
      <c r="AJ1455">
        <v>79.787786658608397</v>
      </c>
      <c r="AK1455">
        <v>14.686294139405801</v>
      </c>
      <c r="AL1455">
        <v>95.142154238961595</v>
      </c>
      <c r="AM1455">
        <v>88.704227380349295</v>
      </c>
      <c r="AN1455">
        <v>0.999999996689655</v>
      </c>
    </row>
    <row r="1456" spans="1:40" x14ac:dyDescent="0.25">
      <c r="A1456" t="str">
        <f>"20190303154124054"</f>
        <v>20190303154124054</v>
      </c>
      <c r="B1456" t="str">
        <f>"1551598884050292"</f>
        <v>1551598884050292</v>
      </c>
      <c r="C1456" t="s">
        <v>40</v>
      </c>
      <c r="D1456">
        <v>6.2057909999999996</v>
      </c>
      <c r="E1456">
        <v>0.55692730000000001</v>
      </c>
      <c r="F1456" t="s">
        <v>41</v>
      </c>
      <c r="G1456">
        <v>-217.29329999999999</v>
      </c>
      <c r="H1456" s="1">
        <v>-2.0555410000000001E-6</v>
      </c>
      <c r="I1456">
        <v>365.3005</v>
      </c>
      <c r="J1456">
        <v>-231.77180000000001</v>
      </c>
      <c r="K1456">
        <v>1.121278</v>
      </c>
      <c r="L1456">
        <v>367.82859999999999</v>
      </c>
      <c r="M1456">
        <v>0.99986889999999995</v>
      </c>
      <c r="N1456">
        <v>-1.5621680000000001E-2</v>
      </c>
      <c r="O1456">
        <v>4.2604990000000001E-3</v>
      </c>
      <c r="P1456">
        <v>0.99428369999999999</v>
      </c>
      <c r="Q1456">
        <v>-0.1051034</v>
      </c>
      <c r="R1456">
        <v>-1.8796529999999999E-2</v>
      </c>
      <c r="S1456">
        <v>2.9835210000000001</v>
      </c>
      <c r="T1456">
        <v>-0.22926550000000001</v>
      </c>
      <c r="U1456">
        <v>-0.51684569999999996</v>
      </c>
      <c r="V1456">
        <v>2.3020949999999998E-2</v>
      </c>
      <c r="W1456">
        <v>-8.9562699999999995E-2</v>
      </c>
      <c r="X1456">
        <v>0.99571509999999996</v>
      </c>
      <c r="Y1456">
        <v>0.1742773</v>
      </c>
      <c r="Z1456">
        <v>-8.2693119999999991E-3</v>
      </c>
      <c r="AA1456">
        <v>0.98466189999999998</v>
      </c>
      <c r="AB1456">
        <v>17</v>
      </c>
      <c r="AC1456">
        <v>14.4785</v>
      </c>
      <c r="AD1456">
        <v>-1.1212800555410001</v>
      </c>
      <c r="AE1456">
        <v>-2.52809999999999</v>
      </c>
      <c r="AF1456">
        <v>2.57478445726117</v>
      </c>
      <c r="AG1456">
        <v>-1.1212800555410001</v>
      </c>
      <c r="AH1456">
        <v>14.3838792565635</v>
      </c>
      <c r="AI1456">
        <v>94.387949588139406</v>
      </c>
      <c r="AJ1456">
        <v>79.851263146317507</v>
      </c>
      <c r="AK1456">
        <v>14.655468823333701</v>
      </c>
      <c r="AL1456">
        <v>95.138450045066307</v>
      </c>
      <c r="AM1456">
        <v>88.675556559459693</v>
      </c>
      <c r="AN1456">
        <v>1.0000000008690999</v>
      </c>
    </row>
    <row r="1457" spans="1:40" x14ac:dyDescent="0.25">
      <c r="A1457" t="str">
        <f>"20190303154124075"</f>
        <v>20190303154124075</v>
      </c>
      <c r="B1457" t="str">
        <f>"1551598884070789"</f>
        <v>1551598884070789</v>
      </c>
      <c r="C1457" t="s">
        <v>40</v>
      </c>
      <c r="D1457">
        <v>6.2304680000000001</v>
      </c>
      <c r="E1457">
        <v>0.55596199999999996</v>
      </c>
      <c r="F1457" t="s">
        <v>41</v>
      </c>
      <c r="G1457">
        <v>-217.2843</v>
      </c>
      <c r="H1457" s="1">
        <v>-2.04522E-6</v>
      </c>
      <c r="I1457">
        <v>365.35079999999999</v>
      </c>
      <c r="J1457">
        <v>-231.61259999999999</v>
      </c>
      <c r="K1457">
        <v>1.121278</v>
      </c>
      <c r="L1457">
        <v>367.82929999999999</v>
      </c>
      <c r="M1457">
        <v>0.99987230000000005</v>
      </c>
      <c r="N1457">
        <v>-1.5420329999999999E-2</v>
      </c>
      <c r="O1457">
        <v>4.1865699999999997E-3</v>
      </c>
      <c r="P1457">
        <v>0.99434500000000003</v>
      </c>
      <c r="Q1457">
        <v>-0.1044373</v>
      </c>
      <c r="R1457">
        <v>-1.9263789999999999E-2</v>
      </c>
      <c r="S1457">
        <v>2.9831850000000002</v>
      </c>
      <c r="T1457">
        <v>-0.2308867</v>
      </c>
      <c r="U1457">
        <v>-0.51022339999999999</v>
      </c>
      <c r="V1457">
        <v>2.3414890000000001E-2</v>
      </c>
      <c r="W1457">
        <v>-8.9096289999999995E-2</v>
      </c>
      <c r="X1457">
        <v>0.99574770000000001</v>
      </c>
      <c r="Y1457">
        <v>0.17210049999999999</v>
      </c>
      <c r="Z1457">
        <v>-8.1984029999999999E-3</v>
      </c>
      <c r="AA1457">
        <v>0.98504530000000001</v>
      </c>
      <c r="AB1457">
        <v>17</v>
      </c>
      <c r="AC1457">
        <v>14.328299999999899</v>
      </c>
      <c r="AD1457">
        <v>-1.12128004522</v>
      </c>
      <c r="AE1457">
        <v>-2.4784999999999902</v>
      </c>
      <c r="AF1457">
        <v>2.5234669713207798</v>
      </c>
      <c r="AG1457">
        <v>-1.12128004522</v>
      </c>
      <c r="AH1457">
        <v>14.233164471396201</v>
      </c>
      <c r="AI1457">
        <v>94.435533389013401</v>
      </c>
      <c r="AJ1457">
        <v>79.946225433422498</v>
      </c>
      <c r="AK1457">
        <v>14.4985559751642</v>
      </c>
      <c r="AL1457">
        <v>95.111619746497794</v>
      </c>
      <c r="AM1457">
        <v>88.652944734504402</v>
      </c>
      <c r="AN1457">
        <v>0.99999994401038095</v>
      </c>
    </row>
    <row r="1458" spans="1:40" x14ac:dyDescent="0.25">
      <c r="A1458" t="str">
        <f>"20190303154124089"</f>
        <v>20190303154124089</v>
      </c>
      <c r="B1458" t="str">
        <f>"1551598884080549"</f>
        <v>1551598884080549</v>
      </c>
      <c r="C1458" t="s">
        <v>40</v>
      </c>
      <c r="D1458">
        <v>6.2066489999999996</v>
      </c>
      <c r="E1458">
        <v>0.55549669999999995</v>
      </c>
      <c r="F1458" t="s">
        <v>41</v>
      </c>
      <c r="G1458">
        <v>-217.10740000000001</v>
      </c>
      <c r="H1458" s="1">
        <v>-2.0982629999999999E-6</v>
      </c>
      <c r="I1458">
        <v>365.3777</v>
      </c>
      <c r="J1458">
        <v>-231.50530000000001</v>
      </c>
      <c r="K1458">
        <v>1.1212759999999999</v>
      </c>
      <c r="L1458">
        <v>367.82960000000003</v>
      </c>
      <c r="M1458">
        <v>0.9998745</v>
      </c>
      <c r="N1458">
        <v>-1.5299699999999999E-2</v>
      </c>
      <c r="O1458">
        <v>4.136374E-3</v>
      </c>
      <c r="P1458">
        <v>0.99432869999999995</v>
      </c>
      <c r="Q1458">
        <v>-0.104584</v>
      </c>
      <c r="R1458">
        <v>-1.9311519999999999E-2</v>
      </c>
      <c r="S1458">
        <v>2.9830930000000002</v>
      </c>
      <c r="T1458">
        <v>-0.23059789999999999</v>
      </c>
      <c r="U1458">
        <v>-0.50418090000000004</v>
      </c>
      <c r="V1458">
        <v>2.3412820000000001E-2</v>
      </c>
      <c r="W1458">
        <v>-8.9363310000000001E-2</v>
      </c>
      <c r="X1458">
        <v>0.9957239</v>
      </c>
      <c r="Y1458">
        <v>0.17012550000000001</v>
      </c>
      <c r="Z1458">
        <v>-8.0869050000000001E-3</v>
      </c>
      <c r="AA1458">
        <v>0.98538919999999997</v>
      </c>
      <c r="AB1458">
        <v>17</v>
      </c>
      <c r="AC1458">
        <v>14.3978999999999</v>
      </c>
      <c r="AD1458">
        <v>-1.121278098263</v>
      </c>
      <c r="AE1458">
        <v>-2.4519000000000202</v>
      </c>
      <c r="AF1458">
        <v>2.49672529691364</v>
      </c>
      <c r="AG1458">
        <v>-1.121278098263</v>
      </c>
      <c r="AH1458">
        <v>14.3033293089578</v>
      </c>
      <c r="AI1458">
        <v>94.415909057254694</v>
      </c>
      <c r="AJ1458">
        <v>80.0984656159347</v>
      </c>
      <c r="AK1458">
        <v>14.562833896683101</v>
      </c>
      <c r="AL1458">
        <v>95.126979731096796</v>
      </c>
      <c r="AM1458">
        <v>88.653031594545794</v>
      </c>
      <c r="AN1458">
        <v>1.0000000231728501</v>
      </c>
    </row>
    <row r="1459" spans="1:40" x14ac:dyDescent="0.25">
      <c r="A1459" t="str">
        <f>"20190303154124102"</f>
        <v>20190303154124102</v>
      </c>
      <c r="B1459" t="str">
        <f>"1551598884090308"</f>
        <v>1551598884090308</v>
      </c>
      <c r="C1459" t="s">
        <v>40</v>
      </c>
      <c r="D1459">
        <v>6.2091649999999996</v>
      </c>
      <c r="E1459">
        <v>0.55504960000000003</v>
      </c>
      <c r="F1459" t="s">
        <v>41</v>
      </c>
      <c r="G1459">
        <v>-217.0849</v>
      </c>
      <c r="H1459" s="1">
        <v>-2.097191E-6</v>
      </c>
      <c r="I1459">
        <v>365.41050000000001</v>
      </c>
      <c r="J1459">
        <v>-231.40309999999999</v>
      </c>
      <c r="K1459">
        <v>1.121275</v>
      </c>
      <c r="L1459">
        <v>367.83</v>
      </c>
      <c r="M1459">
        <v>0.99987630000000005</v>
      </c>
      <c r="N1459">
        <v>-1.519157E-2</v>
      </c>
      <c r="O1459">
        <v>4.0890520000000001E-3</v>
      </c>
      <c r="P1459">
        <v>0.99427900000000002</v>
      </c>
      <c r="Q1459">
        <v>-0.10504910000000001</v>
      </c>
      <c r="R1459">
        <v>-1.934982E-2</v>
      </c>
      <c r="S1459">
        <v>2.9830019999999999</v>
      </c>
      <c r="T1459">
        <v>-0.2319465</v>
      </c>
      <c r="U1459">
        <v>-0.50042719999999996</v>
      </c>
      <c r="V1459">
        <v>2.3403650000000002E-2</v>
      </c>
      <c r="W1459">
        <v>-8.9936790000000003E-2</v>
      </c>
      <c r="X1459">
        <v>0.99567249999999996</v>
      </c>
      <c r="Y1459">
        <v>0.16887639999999901</v>
      </c>
      <c r="Z1459">
        <v>-8.0580770000000003E-3</v>
      </c>
      <c r="AA1459">
        <v>0.98560429999999999</v>
      </c>
      <c r="AB1459">
        <v>17</v>
      </c>
      <c r="AC1459">
        <v>14.3181999999999</v>
      </c>
      <c r="AD1459">
        <v>-1.121277097191</v>
      </c>
      <c r="AE1459">
        <v>-2.41949999999997</v>
      </c>
      <c r="AF1459">
        <v>2.4633469044952201</v>
      </c>
      <c r="AG1459">
        <v>-1.121277097191</v>
      </c>
      <c r="AH1459">
        <v>14.223380060147401</v>
      </c>
      <c r="AI1459">
        <v>94.441647247297297</v>
      </c>
      <c r="AJ1459">
        <v>80.174410209948306</v>
      </c>
      <c r="AK1459">
        <v>14.4786007830857</v>
      </c>
      <c r="AL1459">
        <v>95.159970459544297</v>
      </c>
      <c r="AM1459">
        <v>88.653489479433901</v>
      </c>
      <c r="AN1459">
        <v>1.0000000421425299</v>
      </c>
    </row>
    <row r="1460" spans="1:40" x14ac:dyDescent="0.25">
      <c r="A1460" t="str">
        <f>"20190303154124114"</f>
        <v>20190303154124114</v>
      </c>
      <c r="B1460" t="str">
        <f>"1551598884110805"</f>
        <v>1551598884110805</v>
      </c>
      <c r="C1460" t="s">
        <v>40</v>
      </c>
      <c r="D1460">
        <v>6.19937</v>
      </c>
      <c r="E1460">
        <v>0.55417090000000002</v>
      </c>
      <c r="F1460" t="s">
        <v>41</v>
      </c>
      <c r="G1460">
        <v>-217.1344</v>
      </c>
      <c r="H1460" s="1">
        <v>-2.0690940000000001E-6</v>
      </c>
      <c r="I1460">
        <v>365.45280000000002</v>
      </c>
      <c r="J1460">
        <v>-231.30330000000001</v>
      </c>
      <c r="K1460">
        <v>1.1212679999999999</v>
      </c>
      <c r="L1460">
        <v>367.8304</v>
      </c>
      <c r="M1460">
        <v>0.99987809999999999</v>
      </c>
      <c r="N1460">
        <v>-1.5092329999999999E-2</v>
      </c>
      <c r="O1460">
        <v>4.0427279999999998E-3</v>
      </c>
      <c r="P1460">
        <v>0.99426440000000005</v>
      </c>
      <c r="Q1460">
        <v>-0.1052332</v>
      </c>
      <c r="R1460">
        <v>-1.909421E-2</v>
      </c>
      <c r="S1460">
        <v>2.982834</v>
      </c>
      <c r="T1460">
        <v>-0.2343993</v>
      </c>
      <c r="U1460">
        <v>-0.49694820000000001</v>
      </c>
      <c r="V1460">
        <v>2.3102060000000001E-2</v>
      </c>
      <c r="W1460">
        <v>-9.0219770000000005E-2</v>
      </c>
      <c r="X1460">
        <v>0.99565389999999998</v>
      </c>
      <c r="Y1460">
        <v>0.16771429999999901</v>
      </c>
      <c r="Z1460">
        <v>-8.0659040000000005E-3</v>
      </c>
      <c r="AA1460">
        <v>0.98580270000000003</v>
      </c>
      <c r="AB1460">
        <v>17</v>
      </c>
      <c r="AC1460">
        <v>14.168900000000001</v>
      </c>
      <c r="AD1460">
        <v>-1.1212700690939901</v>
      </c>
      <c r="AE1460">
        <v>-2.37759999999997</v>
      </c>
      <c r="AF1460">
        <v>2.4201271082967701</v>
      </c>
      <c r="AG1460">
        <v>-1.1212700690939901</v>
      </c>
      <c r="AH1460">
        <v>14.0734497936681</v>
      </c>
      <c r="AI1460">
        <v>94.489664103568998</v>
      </c>
      <c r="AJ1460">
        <v>80.242620590275806</v>
      </c>
      <c r="AK1460">
        <v>14.3239746887187</v>
      </c>
      <c r="AL1460">
        <v>95.1762504178418</v>
      </c>
      <c r="AM1460">
        <v>88.670810135140897</v>
      </c>
      <c r="AN1460">
        <v>1.0000000003301499</v>
      </c>
    </row>
    <row r="1461" spans="1:40" x14ac:dyDescent="0.25">
      <c r="A1461" t="str">
        <f>"20190303154124128"</f>
        <v>20190303154124128</v>
      </c>
      <c r="B1461" t="str">
        <f>"1551598884120565"</f>
        <v>1551598884120565</v>
      </c>
      <c r="C1461" t="s">
        <v>40</v>
      </c>
      <c r="D1461">
        <v>6.1909219999999996</v>
      </c>
      <c r="E1461">
        <v>0.55376349999999996</v>
      </c>
      <c r="F1461" t="s">
        <v>41</v>
      </c>
      <c r="G1461">
        <v>-217.19890000000001</v>
      </c>
      <c r="H1461" s="1">
        <v>-2.030189E-6</v>
      </c>
      <c r="I1461">
        <v>365.51659999999998</v>
      </c>
      <c r="J1461">
        <v>-231.2012</v>
      </c>
      <c r="K1461">
        <v>1.121264</v>
      </c>
      <c r="L1461">
        <v>367.83069999999998</v>
      </c>
      <c r="M1461">
        <v>0.99987950000000003</v>
      </c>
      <c r="N1461">
        <v>-1.500219E-2</v>
      </c>
      <c r="O1461">
        <v>3.9953189999999998E-3</v>
      </c>
      <c r="P1461">
        <v>0.99426329999999996</v>
      </c>
      <c r="Q1461">
        <v>-0.10524409999999999</v>
      </c>
      <c r="R1461">
        <v>-1.9086769999999999E-2</v>
      </c>
      <c r="S1461">
        <v>2.9828190000000001</v>
      </c>
      <c r="T1461">
        <v>-0.23712520000000001</v>
      </c>
      <c r="U1461">
        <v>-0.4893188</v>
      </c>
      <c r="V1461">
        <v>2.3047399999999999E-2</v>
      </c>
      <c r="W1461">
        <v>-9.0320479999999995E-2</v>
      </c>
      <c r="X1461">
        <v>0.99564609999999998</v>
      </c>
      <c r="Y1461">
        <v>0.16520989999999999</v>
      </c>
      <c r="Z1461">
        <v>-8.0185819999999998E-3</v>
      </c>
      <c r="AA1461">
        <v>0.98622580000000004</v>
      </c>
      <c r="AB1461">
        <v>17</v>
      </c>
      <c r="AC1461">
        <v>14.0022999999999</v>
      </c>
      <c r="AD1461">
        <v>-1.1212660301890001</v>
      </c>
      <c r="AE1461">
        <v>-2.3140999999999901</v>
      </c>
      <c r="AF1461">
        <v>2.3553297748501798</v>
      </c>
      <c r="AG1461">
        <v>-1.1212660301890001</v>
      </c>
      <c r="AH1461">
        <v>13.9061410505377</v>
      </c>
      <c r="AI1461">
        <v>94.5453836540852</v>
      </c>
      <c r="AJ1461">
        <v>80.386853882885703</v>
      </c>
      <c r="AK1461">
        <v>14.148695161611201</v>
      </c>
      <c r="AL1461">
        <v>95.182043999138799</v>
      </c>
      <c r="AM1461">
        <v>88.673943519718506</v>
      </c>
      <c r="AN1461">
        <v>1.00000006409969</v>
      </c>
    </row>
    <row r="1462" spans="1:40" x14ac:dyDescent="0.25">
      <c r="A1462" t="str">
        <f>"20190303154124143"</f>
        <v>20190303154124143</v>
      </c>
      <c r="B1462" t="str">
        <f>"1551598884130325"</f>
        <v>1551598884130325</v>
      </c>
      <c r="C1462" t="s">
        <v>40</v>
      </c>
      <c r="D1462">
        <v>6.2099640000000003</v>
      </c>
      <c r="E1462">
        <v>0.5533479</v>
      </c>
      <c r="F1462" t="s">
        <v>41</v>
      </c>
      <c r="G1462">
        <v>-217.17009999999999</v>
      </c>
      <c r="H1462" s="1">
        <v>-2.0323410000000001E-6</v>
      </c>
      <c r="I1462">
        <v>365.5453</v>
      </c>
      <c r="J1462">
        <v>-231.0924</v>
      </c>
      <c r="K1462">
        <v>1.121262</v>
      </c>
      <c r="L1462">
        <v>367.83109999999999</v>
      </c>
      <c r="M1462">
        <v>0.99988100000000002</v>
      </c>
      <c r="N1462">
        <v>-1.4912119999999999E-2</v>
      </c>
      <c r="O1462">
        <v>3.944688E-3</v>
      </c>
      <c r="P1462">
        <v>0.99423620000000001</v>
      </c>
      <c r="Q1462">
        <v>-0.10541780000000001</v>
      </c>
      <c r="R1462">
        <v>-1.952974E-2</v>
      </c>
      <c r="S1462">
        <v>2.982758</v>
      </c>
      <c r="T1462">
        <v>-0.23835890000000001</v>
      </c>
      <c r="U1462">
        <v>-0.48583979999999999</v>
      </c>
      <c r="V1462">
        <v>2.3439999999999999E-2</v>
      </c>
      <c r="W1462">
        <v>-9.0584280000000003E-2</v>
      </c>
      <c r="X1462">
        <v>0.99561290000000002</v>
      </c>
      <c r="Y1462">
        <v>0.16404160000000001</v>
      </c>
      <c r="Z1462">
        <v>-7.9891790000000008E-3</v>
      </c>
      <c r="AA1462">
        <v>0.98642099999999999</v>
      </c>
      <c r="AB1462">
        <v>17</v>
      </c>
      <c r="AC1462">
        <v>13.9223</v>
      </c>
      <c r="AD1462">
        <v>-1.1212640323409999</v>
      </c>
      <c r="AE1462">
        <v>-2.2857999999999898</v>
      </c>
      <c r="AF1462">
        <v>2.3260163353500798</v>
      </c>
      <c r="AG1462">
        <v>-1.1212640323409999</v>
      </c>
      <c r="AH1462">
        <v>13.825849842971801</v>
      </c>
      <c r="AI1462">
        <v>94.572509777281297</v>
      </c>
      <c r="AJ1462">
        <v>80.450171143596904</v>
      </c>
      <c r="AK1462">
        <v>14.0649105543882</v>
      </c>
      <c r="AL1462">
        <v>95.197221192844907</v>
      </c>
      <c r="AM1462">
        <v>88.651318181655398</v>
      </c>
      <c r="AN1462">
        <v>0.99999999601476397</v>
      </c>
    </row>
    <row r="1463" spans="1:40" x14ac:dyDescent="0.25">
      <c r="A1463" t="str">
        <f>"20190303154124156"</f>
        <v>20190303154124156</v>
      </c>
      <c r="B1463" t="str">
        <f>"1551598884150821"</f>
        <v>1551598884150821</v>
      </c>
      <c r="C1463" t="s">
        <v>40</v>
      </c>
      <c r="D1463">
        <v>6.1926769999999998</v>
      </c>
      <c r="E1463">
        <v>0.55258109999999905</v>
      </c>
      <c r="F1463" t="s">
        <v>41</v>
      </c>
      <c r="G1463">
        <v>-217.1909</v>
      </c>
      <c r="H1463" s="1">
        <v>-2.0176380000000002E-6</v>
      </c>
      <c r="I1463">
        <v>365.57389999999998</v>
      </c>
      <c r="J1463">
        <v>-230.9881</v>
      </c>
      <c r="K1463">
        <v>1.1212580000000001</v>
      </c>
      <c r="L1463">
        <v>367.83139999999997</v>
      </c>
      <c r="M1463">
        <v>0.99988239999999995</v>
      </c>
      <c r="N1463">
        <v>-1.483169E-2</v>
      </c>
      <c r="O1463">
        <v>3.8961849999999999E-3</v>
      </c>
      <c r="P1463">
        <v>0.99423289999999998</v>
      </c>
      <c r="Q1463">
        <v>-0.1054577</v>
      </c>
      <c r="R1463">
        <v>-1.9489759999999998E-2</v>
      </c>
      <c r="S1463">
        <v>2.9823460000000002</v>
      </c>
      <c r="T1463">
        <v>-0.24054929999999999</v>
      </c>
      <c r="U1463">
        <v>-0.48425289999999999</v>
      </c>
      <c r="V1463">
        <v>2.3351509999999999E-2</v>
      </c>
      <c r="W1463">
        <v>-9.0704229999999997E-2</v>
      </c>
      <c r="X1463">
        <v>0.99560400000000004</v>
      </c>
      <c r="Y1463">
        <v>0.16349610000000001</v>
      </c>
      <c r="Z1463">
        <v>-8.0174029999999993E-3</v>
      </c>
      <c r="AA1463">
        <v>0.98651140000000004</v>
      </c>
      <c r="AB1463">
        <v>17</v>
      </c>
      <c r="AC1463">
        <v>13.7972</v>
      </c>
      <c r="AD1463">
        <v>-1.1212600176379901</v>
      </c>
      <c r="AE1463">
        <v>-2.2574999999999901</v>
      </c>
      <c r="AF1463">
        <v>2.2964739288327398</v>
      </c>
      <c r="AG1463">
        <v>-1.1212600176379901</v>
      </c>
      <c r="AH1463">
        <v>13.700176901556899</v>
      </c>
      <c r="AI1463">
        <v>94.614717132531993</v>
      </c>
      <c r="AJ1463">
        <v>80.484335798724899</v>
      </c>
      <c r="AK1463">
        <v>13.936493951740999</v>
      </c>
      <c r="AL1463">
        <v>95.204122535785004</v>
      </c>
      <c r="AM1463">
        <v>88.656395809403307</v>
      </c>
      <c r="AN1463">
        <v>0.99999993758758399</v>
      </c>
    </row>
    <row r="1464" spans="1:40" x14ac:dyDescent="0.25">
      <c r="A1464" t="str">
        <f>"20190303154124177"</f>
        <v>20190303154124177</v>
      </c>
      <c r="B1464" t="str">
        <f>"1551598884170341"</f>
        <v>1551598884170341</v>
      </c>
      <c r="C1464" t="s">
        <v>40</v>
      </c>
      <c r="D1464">
        <v>6.1874609999999999</v>
      </c>
      <c r="E1464">
        <v>0.55186139999999995</v>
      </c>
      <c r="F1464" t="s">
        <v>41</v>
      </c>
      <c r="G1464">
        <v>-217.19820000000001</v>
      </c>
      <c r="H1464" s="1">
        <v>-2.0024000000000001E-6</v>
      </c>
      <c r="I1464">
        <v>365.62189999999998</v>
      </c>
      <c r="J1464">
        <v>-230.82900000000001</v>
      </c>
      <c r="K1464">
        <v>1.1212489999999999</v>
      </c>
      <c r="L1464">
        <v>367.83199999999999</v>
      </c>
      <c r="M1464">
        <v>0.99988429999999995</v>
      </c>
      <c r="N1464">
        <v>-1.472381E-2</v>
      </c>
      <c r="O1464">
        <v>3.822434E-3</v>
      </c>
      <c r="P1464">
        <v>0.99424699999999999</v>
      </c>
      <c r="Q1464">
        <v>-0.1052305</v>
      </c>
      <c r="R1464">
        <v>-1.9983359999999999E-2</v>
      </c>
      <c r="S1464">
        <v>2.9823149999999998</v>
      </c>
      <c r="T1464">
        <v>-0.24249119999999999</v>
      </c>
      <c r="U1464">
        <v>-0.4778442</v>
      </c>
      <c r="V1464">
        <v>2.3772109999999999E-2</v>
      </c>
      <c r="W1464">
        <v>-9.0584390000000001E-2</v>
      </c>
      <c r="X1464">
        <v>0.99560499999999996</v>
      </c>
      <c r="Y1464">
        <v>0.1613578</v>
      </c>
      <c r="Z1464">
        <v>-7.9581349999999999E-3</v>
      </c>
      <c r="AA1464">
        <v>0.98686390000000002</v>
      </c>
      <c r="AB1464">
        <v>17</v>
      </c>
      <c r="AC1464">
        <v>13.630799999999899</v>
      </c>
      <c r="AD1464">
        <v>-1.1212510024</v>
      </c>
      <c r="AE1464">
        <v>-2.2101000000000099</v>
      </c>
      <c r="AF1464">
        <v>2.2473750450503398</v>
      </c>
      <c r="AG1464">
        <v>-1.1212510024</v>
      </c>
      <c r="AH1464">
        <v>13.5330262112052</v>
      </c>
      <c r="AI1464">
        <v>94.672602955946701</v>
      </c>
      <c r="AJ1464">
        <v>80.571168563257203</v>
      </c>
      <c r="AK1464">
        <v>13.7641090099092</v>
      </c>
      <c r="AL1464">
        <v>95.197227602383293</v>
      </c>
      <c r="AM1464">
        <v>88.632205721951607</v>
      </c>
      <c r="AN1464">
        <v>0.99999998047526195</v>
      </c>
    </row>
    <row r="1465" spans="1:40" x14ac:dyDescent="0.25">
      <c r="A1465" t="str">
        <f>"20190303154124190"</f>
        <v>20190303154124190</v>
      </c>
      <c r="B1465" t="str">
        <f>"1551598884181077"</f>
        <v>1551598884181077</v>
      </c>
      <c r="C1465" t="s">
        <v>40</v>
      </c>
      <c r="D1465">
        <v>6.1900430000000002</v>
      </c>
      <c r="E1465">
        <v>0.55151209999999995</v>
      </c>
      <c r="F1465" t="s">
        <v>41</v>
      </c>
      <c r="G1465">
        <v>-217.07980000000001</v>
      </c>
      <c r="H1465" s="1">
        <v>-2.0354149999999998E-6</v>
      </c>
      <c r="I1465">
        <v>365.64920000000001</v>
      </c>
      <c r="J1465">
        <v>-230.72049999999999</v>
      </c>
      <c r="K1465">
        <v>1.1212439999999999</v>
      </c>
      <c r="L1465">
        <v>367.83229999999998</v>
      </c>
      <c r="M1465">
        <v>0.99988540000000004</v>
      </c>
      <c r="N1465">
        <v>-1.4658269999999999E-2</v>
      </c>
      <c r="O1465">
        <v>3.7717860000000001E-3</v>
      </c>
      <c r="P1465">
        <v>0.99423300000000003</v>
      </c>
      <c r="Q1465">
        <v>-0.10537059999999999</v>
      </c>
      <c r="R1465">
        <v>-1.9947489999999998E-2</v>
      </c>
      <c r="S1465">
        <v>2.9821170000000001</v>
      </c>
      <c r="T1465">
        <v>-0.24318989999999999</v>
      </c>
      <c r="U1465">
        <v>-0.47341919999999998</v>
      </c>
      <c r="V1465">
        <v>2.3685939999999999E-2</v>
      </c>
      <c r="W1465">
        <v>-9.0789869999999995E-2</v>
      </c>
      <c r="X1465">
        <v>0.99558840000000004</v>
      </c>
      <c r="Y1465">
        <v>0.15989239999999999</v>
      </c>
      <c r="Z1465">
        <v>-7.9002659999999995E-3</v>
      </c>
      <c r="AA1465">
        <v>0.98710279999999995</v>
      </c>
      <c r="AB1465">
        <v>17</v>
      </c>
      <c r="AC1465">
        <v>13.640699999999899</v>
      </c>
      <c r="AD1465">
        <v>-1.121246035415</v>
      </c>
      <c r="AE1465">
        <v>-2.1830999999999601</v>
      </c>
      <c r="AF1465">
        <v>2.21991529818454</v>
      </c>
      <c r="AG1465">
        <v>-1.121246035415</v>
      </c>
      <c r="AH1465">
        <v>13.543147455647301</v>
      </c>
      <c r="AI1465">
        <v>94.670712590778393</v>
      </c>
      <c r="AJ1465">
        <v>80.6911837730255</v>
      </c>
      <c r="AK1465">
        <v>13.769606370860901</v>
      </c>
      <c r="AL1465">
        <v>95.209049124334797</v>
      </c>
      <c r="AM1465">
        <v>88.637139163823207</v>
      </c>
      <c r="AN1465">
        <v>1.00000004323142</v>
      </c>
    </row>
    <row r="1466" spans="1:40" x14ac:dyDescent="0.25">
      <c r="A1466" t="str">
        <f>"20190303154124210"</f>
        <v>20190303154124210</v>
      </c>
      <c r="B1466" t="str">
        <f>"1551598884200597"</f>
        <v>1551598884200597</v>
      </c>
      <c r="C1466" t="s">
        <v>40</v>
      </c>
      <c r="D1466">
        <v>6.1886859999999997</v>
      </c>
      <c r="E1466">
        <v>0.55083009999999999</v>
      </c>
      <c r="F1466" t="s">
        <v>41</v>
      </c>
      <c r="G1466">
        <v>-217.0487</v>
      </c>
      <c r="H1466" s="1">
        <v>-2.039126E-6</v>
      </c>
      <c r="I1466">
        <v>365.67500000000001</v>
      </c>
      <c r="J1466">
        <v>-230.5719</v>
      </c>
      <c r="K1466">
        <v>1.1212390000000001</v>
      </c>
      <c r="L1466">
        <v>367.83280000000002</v>
      </c>
      <c r="M1466">
        <v>0.99988690000000002</v>
      </c>
      <c r="N1466">
        <v>-1.457633E-2</v>
      </c>
      <c r="O1466">
        <v>3.7027179999999998E-3</v>
      </c>
      <c r="P1466">
        <v>0.99426250000000005</v>
      </c>
      <c r="Q1466">
        <v>-0.10500859999999999</v>
      </c>
      <c r="R1466">
        <v>-2.0385469999999999E-2</v>
      </c>
      <c r="S1466">
        <v>2.98204</v>
      </c>
      <c r="T1466">
        <v>-0.24456169999999999</v>
      </c>
      <c r="U1466">
        <v>-0.47055049999999998</v>
      </c>
      <c r="V1466">
        <v>2.405525E-2</v>
      </c>
      <c r="W1466">
        <v>-9.050917E-2</v>
      </c>
      <c r="X1466">
        <v>0.99560510000000002</v>
      </c>
      <c r="Y1466">
        <v>0.1588996</v>
      </c>
      <c r="Z1466">
        <v>-7.880349E-3</v>
      </c>
      <c r="AA1466">
        <v>0.98726329999999995</v>
      </c>
      <c r="AB1466">
        <v>17</v>
      </c>
      <c r="AC1466">
        <v>13.523199999999999</v>
      </c>
      <c r="AD1466">
        <v>-1.1212410391259999</v>
      </c>
      <c r="AE1466">
        <v>-2.1577999999999999</v>
      </c>
      <c r="AF1466">
        <v>2.1931606406646602</v>
      </c>
      <c r="AG1466">
        <v>-1.1212410391259999</v>
      </c>
      <c r="AH1466">
        <v>13.425117580908701</v>
      </c>
      <c r="AI1466">
        <v>94.711983702779605</v>
      </c>
      <c r="AJ1466">
        <v>80.721974634127406</v>
      </c>
      <c r="AK1466">
        <v>13.6492093955952</v>
      </c>
      <c r="AL1466">
        <v>95.192899726911406</v>
      </c>
      <c r="AM1466">
        <v>88.615920915565098</v>
      </c>
      <c r="AN1466">
        <v>1.00000004002632</v>
      </c>
    </row>
    <row r="1467" spans="1:40" x14ac:dyDescent="0.25">
      <c r="A1467" t="str">
        <f>"20190303154124232"</f>
        <v>20190303154124232</v>
      </c>
      <c r="B1467" t="str">
        <f>"1551598884221093"</f>
        <v>1551598884221093</v>
      </c>
      <c r="C1467" t="s">
        <v>40</v>
      </c>
      <c r="D1467">
        <v>6.1879429999999997</v>
      </c>
      <c r="E1467">
        <v>0.55016799999999999</v>
      </c>
      <c r="F1467" t="s">
        <v>41</v>
      </c>
      <c r="G1467">
        <v>-216.9453</v>
      </c>
      <c r="H1467" s="1">
        <v>-2.0674479999999999E-6</v>
      </c>
      <c r="I1467">
        <v>365.70080000000002</v>
      </c>
      <c r="J1467">
        <v>-230.40369999999999</v>
      </c>
      <c r="K1467">
        <v>1.121237</v>
      </c>
      <c r="L1467">
        <v>367.83330000000001</v>
      </c>
      <c r="M1467">
        <v>0.99988849999999996</v>
      </c>
      <c r="N1467">
        <v>-1.449424E-2</v>
      </c>
      <c r="O1467">
        <v>3.6242380000000001E-3</v>
      </c>
      <c r="P1467">
        <v>0.99433959999999999</v>
      </c>
      <c r="Q1467">
        <v>-0.104296</v>
      </c>
      <c r="R1467">
        <v>-2.02776E-2</v>
      </c>
      <c r="S1467">
        <v>2.981827</v>
      </c>
      <c r="T1467">
        <v>-0.24535309999999999</v>
      </c>
      <c r="U1467">
        <v>-0.4665222</v>
      </c>
      <c r="V1467">
        <v>2.3869769999999998E-2</v>
      </c>
      <c r="W1467">
        <v>-8.9877170000000006E-2</v>
      </c>
      <c r="X1467">
        <v>0.99566679999999996</v>
      </c>
      <c r="Y1467">
        <v>0.15753329999999999</v>
      </c>
      <c r="Z1467">
        <v>-7.8259279999999994E-3</v>
      </c>
      <c r="AA1467">
        <v>0.98748270000000005</v>
      </c>
      <c r="AB1467">
        <v>17</v>
      </c>
      <c r="AC1467">
        <v>13.4583999999999</v>
      </c>
      <c r="AD1467">
        <v>-1.1212390674479999</v>
      </c>
      <c r="AE1467">
        <v>-2.1324999999999901</v>
      </c>
      <c r="AF1467">
        <v>2.1665979375203999</v>
      </c>
      <c r="AG1467">
        <v>-1.1212390674479999</v>
      </c>
      <c r="AH1467">
        <v>13.3601232706124</v>
      </c>
      <c r="AI1467">
        <v>94.735686341940806</v>
      </c>
      <c r="AJ1467">
        <v>80.788591272333804</v>
      </c>
      <c r="AK1467">
        <v>13.581024168861401</v>
      </c>
      <c r="AL1467">
        <v>95.156540688148496</v>
      </c>
      <c r="AM1467">
        <v>88.626673944370197</v>
      </c>
      <c r="AN1467">
        <v>1.0000000241146501</v>
      </c>
    </row>
    <row r="1468" spans="1:40" x14ac:dyDescent="0.25">
      <c r="A1468" t="str">
        <f>"20190303154124255"</f>
        <v>20190303154124255</v>
      </c>
      <c r="B1468" t="str">
        <f>"1551598884250373"</f>
        <v>1551598884250373</v>
      </c>
      <c r="C1468" t="s">
        <v>40</v>
      </c>
      <c r="D1468">
        <v>6.1986549999999996</v>
      </c>
      <c r="E1468">
        <v>0.54926379999999997</v>
      </c>
      <c r="F1468" t="s">
        <v>41</v>
      </c>
      <c r="G1468">
        <v>-216.73400000000001</v>
      </c>
      <c r="H1468" s="1">
        <v>-2.134399E-6</v>
      </c>
      <c r="I1468">
        <v>365.71949999999998</v>
      </c>
      <c r="J1468">
        <v>-230.23159999999999</v>
      </c>
      <c r="K1468">
        <v>1.121235</v>
      </c>
      <c r="L1468">
        <v>367.83390000000003</v>
      </c>
      <c r="M1468">
        <v>0.99988980000000005</v>
      </c>
      <c r="N1468">
        <v>-1.4420850000000001E-2</v>
      </c>
      <c r="O1468">
        <v>3.5440200000000002E-3</v>
      </c>
      <c r="P1468">
        <v>0.99441579999999996</v>
      </c>
      <c r="Q1468">
        <v>-0.10366930000000001</v>
      </c>
      <c r="R1468">
        <v>-1.9758649999999999E-2</v>
      </c>
      <c r="S1468">
        <v>2.9820250000000001</v>
      </c>
      <c r="T1468">
        <v>-0.24459449999999999</v>
      </c>
      <c r="U1468">
        <v>-0.46112059999999999</v>
      </c>
      <c r="V1468">
        <v>2.3271279999999998E-2</v>
      </c>
      <c r="W1468">
        <v>-8.9322349999999995E-2</v>
      </c>
      <c r="X1468">
        <v>0.99573089999999997</v>
      </c>
      <c r="Y1468">
        <v>0.1557084</v>
      </c>
      <c r="Z1468">
        <v>-7.7070169999999896E-3</v>
      </c>
      <c r="AA1468">
        <v>0.98777300000000001</v>
      </c>
      <c r="AB1468">
        <v>17</v>
      </c>
      <c r="AC1468">
        <v>13.497599999999901</v>
      </c>
      <c r="AD1468">
        <v>-1.121237134399</v>
      </c>
      <c r="AE1468">
        <v>-2.1144000000000398</v>
      </c>
      <c r="AF1468">
        <v>2.1477617582526598</v>
      </c>
      <c r="AG1468">
        <v>-1.121237134399</v>
      </c>
      <c r="AH1468">
        <v>13.3997702593075</v>
      </c>
      <c r="AI1468">
        <v>94.7231227289261</v>
      </c>
      <c r="AJ1468">
        <v>80.893887202963796</v>
      </c>
      <c r="AK1468">
        <v>13.6170443299561</v>
      </c>
      <c r="AL1468">
        <v>95.124623438373703</v>
      </c>
      <c r="AM1468">
        <v>88.661181001028694</v>
      </c>
      <c r="AN1468">
        <v>1.0000000299485801</v>
      </c>
    </row>
    <row r="1469" spans="1:40" x14ac:dyDescent="0.25">
      <c r="A1469" t="str">
        <f>"20190303154124277"</f>
        <v>20190303154124277</v>
      </c>
      <c r="B1469" t="str">
        <f>"1551598884270868"</f>
        <v>1551598884270868</v>
      </c>
      <c r="C1469" t="s">
        <v>40</v>
      </c>
      <c r="D1469">
        <v>6.1997400000000003</v>
      </c>
      <c r="E1469">
        <v>0.54870069999999904</v>
      </c>
      <c r="F1469" t="s">
        <v>41</v>
      </c>
      <c r="G1469">
        <v>-216.5865</v>
      </c>
      <c r="H1469" s="1">
        <v>-2.1723069999999999E-6</v>
      </c>
      <c r="I1469">
        <v>365.76569999999998</v>
      </c>
      <c r="J1469">
        <v>-230.06460000000001</v>
      </c>
      <c r="K1469">
        <v>1.1212219999999999</v>
      </c>
      <c r="L1469">
        <v>367.83440000000002</v>
      </c>
      <c r="M1469">
        <v>0.99989090000000003</v>
      </c>
      <c r="N1469">
        <v>-1.435925E-2</v>
      </c>
      <c r="O1469">
        <v>3.4663939999999998E-3</v>
      </c>
      <c r="P1469">
        <v>0.99440039999999996</v>
      </c>
      <c r="Q1469">
        <v>-0.10390199999999999</v>
      </c>
      <c r="R1469">
        <v>-1.9288019999999999E-2</v>
      </c>
      <c r="S1469">
        <v>2.9823300000000001</v>
      </c>
      <c r="T1469">
        <v>-0.24505979999999999</v>
      </c>
      <c r="U1469">
        <v>-0.45202639999999999</v>
      </c>
      <c r="V1469">
        <v>2.272362E-2</v>
      </c>
      <c r="W1469">
        <v>-8.9616459999999995E-2</v>
      </c>
      <c r="X1469">
        <v>0.99571710000000002</v>
      </c>
      <c r="Y1469">
        <v>0.1526826</v>
      </c>
      <c r="Z1469">
        <v>-7.5650319999999898E-3</v>
      </c>
      <c r="AA1469">
        <v>0.98824630000000002</v>
      </c>
      <c r="AB1469">
        <v>17</v>
      </c>
      <c r="AC1469">
        <v>13.4781</v>
      </c>
      <c r="AD1469">
        <v>-1.121224172307</v>
      </c>
      <c r="AE1469">
        <v>-2.06870000000003</v>
      </c>
      <c r="AF1469">
        <v>2.1012063975331201</v>
      </c>
      <c r="AG1469">
        <v>-1.121224172307</v>
      </c>
      <c r="AH1469">
        <v>13.380381707432999</v>
      </c>
      <c r="AI1469">
        <v>94.732247943672306</v>
      </c>
      <c r="AJ1469">
        <v>81.0753649590051</v>
      </c>
      <c r="AK1469">
        <v>13.5906889673116</v>
      </c>
      <c r="AL1469">
        <v>95.141542665593306</v>
      </c>
      <c r="AM1469">
        <v>88.692659226210296</v>
      </c>
      <c r="AN1469">
        <v>1.0000000080206199</v>
      </c>
    </row>
    <row r="1470" spans="1:40" x14ac:dyDescent="0.25">
      <c r="A1470" t="str">
        <f>"20190303154124299"</f>
        <v>20190303154124299</v>
      </c>
      <c r="B1470" t="str">
        <f>"1551598884290388"</f>
        <v>1551598884290388</v>
      </c>
      <c r="C1470" t="s">
        <v>40</v>
      </c>
      <c r="D1470">
        <v>6.2096589999999896</v>
      </c>
      <c r="E1470">
        <v>0.54815400000000003</v>
      </c>
      <c r="F1470" t="s">
        <v>41</v>
      </c>
      <c r="G1470">
        <v>-216.55719999999999</v>
      </c>
      <c r="H1470" s="1">
        <v>-2.1698029999999998E-6</v>
      </c>
      <c r="I1470">
        <v>365.81259999999997</v>
      </c>
      <c r="J1470">
        <v>-229.89670000000001</v>
      </c>
      <c r="K1470">
        <v>1.121213</v>
      </c>
      <c r="L1470">
        <v>367.83479999999997</v>
      </c>
      <c r="M1470">
        <v>0.999892</v>
      </c>
      <c r="N1470">
        <v>-1.430527E-2</v>
      </c>
      <c r="O1470">
        <v>3.3881739999999999E-3</v>
      </c>
      <c r="P1470">
        <v>0.99440879999999998</v>
      </c>
      <c r="Q1470">
        <v>-0.1038921</v>
      </c>
      <c r="R1470">
        <v>-1.8918939999999999E-2</v>
      </c>
      <c r="S1470">
        <v>2.9823759999999999</v>
      </c>
      <c r="T1470">
        <v>-0.24756049999999999</v>
      </c>
      <c r="U1470">
        <v>-0.44641110000000001</v>
      </c>
      <c r="V1470">
        <v>2.2276819999999999E-2</v>
      </c>
      <c r="W1470">
        <v>-8.966006E-2</v>
      </c>
      <c r="X1470">
        <v>0.99572320000000003</v>
      </c>
      <c r="Y1470">
        <v>0.15077979999999899</v>
      </c>
      <c r="Z1470">
        <v>-7.5305140000000003E-3</v>
      </c>
      <c r="AA1470">
        <v>0.98853869999999999</v>
      </c>
      <c r="AB1470">
        <v>17</v>
      </c>
      <c r="AC1470">
        <v>13.339499999999999</v>
      </c>
      <c r="AD1470">
        <v>-1.121215169803</v>
      </c>
      <c r="AE1470">
        <v>-2.02219999999999</v>
      </c>
      <c r="AF1470">
        <v>2.05320993907731</v>
      </c>
      <c r="AG1470">
        <v>-1.121215169803</v>
      </c>
      <c r="AH1470">
        <v>13.241126942660101</v>
      </c>
      <c r="AI1470">
        <v>94.783179402092998</v>
      </c>
      <c r="AJ1470">
        <v>81.185737570774407</v>
      </c>
      <c r="AK1470">
        <v>13.4461978723564</v>
      </c>
      <c r="AL1470">
        <v>95.144051224665603</v>
      </c>
      <c r="AM1470">
        <v>88.718363820459501</v>
      </c>
      <c r="AN1470">
        <v>0.99999993704337597</v>
      </c>
    </row>
    <row r="1471" spans="1:40" x14ac:dyDescent="0.25">
      <c r="A1471" t="str">
        <f>"20190303154124320"</f>
        <v>20190303154124320</v>
      </c>
      <c r="B1471" t="str">
        <f>"1551598884310885"</f>
        <v>1551598884310885</v>
      </c>
      <c r="C1471" t="s">
        <v>40</v>
      </c>
      <c r="D1471">
        <v>6.2319060000000004</v>
      </c>
      <c r="E1471">
        <v>0.54761850000000001</v>
      </c>
      <c r="F1471" t="s">
        <v>41</v>
      </c>
      <c r="G1471">
        <v>-216.4931</v>
      </c>
      <c r="H1471" s="1">
        <v>-2.1805600000000001E-6</v>
      </c>
      <c r="I1471">
        <v>365.85410000000002</v>
      </c>
      <c r="J1471">
        <v>-229.7277</v>
      </c>
      <c r="K1471">
        <v>1.121213</v>
      </c>
      <c r="L1471">
        <v>367.83530000000002</v>
      </c>
      <c r="M1471">
        <v>0.99989300000000003</v>
      </c>
      <c r="N1471">
        <v>-1.425769E-2</v>
      </c>
      <c r="O1471">
        <v>3.3093100000000002E-3</v>
      </c>
      <c r="P1471">
        <v>0.99439909999999998</v>
      </c>
      <c r="Q1471">
        <v>-0.10395359999999999</v>
      </c>
      <c r="R1471">
        <v>-1.9084250000000001E-2</v>
      </c>
      <c r="S1471">
        <v>2.9824220000000001</v>
      </c>
      <c r="T1471">
        <v>-0.2494787</v>
      </c>
      <c r="U1471">
        <v>-0.44073489999999999</v>
      </c>
      <c r="V1471">
        <v>2.2363640000000001E-2</v>
      </c>
      <c r="W1471">
        <v>-8.9769109999999999E-2</v>
      </c>
      <c r="X1471">
        <v>0.99571149999999997</v>
      </c>
      <c r="Y1471">
        <v>0.14885799999999999</v>
      </c>
      <c r="Z1471">
        <v>-7.4788260000000001E-3</v>
      </c>
      <c r="AA1471">
        <v>0.98883030000000005</v>
      </c>
      <c r="AB1471">
        <v>17</v>
      </c>
      <c r="AC1471">
        <v>13.2346</v>
      </c>
      <c r="AD1471">
        <v>-1.1212151805599999</v>
      </c>
      <c r="AE1471">
        <v>-1.9812000000000001</v>
      </c>
      <c r="AF1471">
        <v>2.0108748358300099</v>
      </c>
      <c r="AG1471">
        <v>-1.1212151805599999</v>
      </c>
      <c r="AH1471">
        <v>13.135758640402001</v>
      </c>
      <c r="AI1471">
        <v>94.822796980776801</v>
      </c>
      <c r="AJ1471">
        <v>81.296499610938696</v>
      </c>
      <c r="AK1471">
        <v>13.336000005451</v>
      </c>
      <c r="AL1471">
        <v>95.150324258876793</v>
      </c>
      <c r="AM1471">
        <v>88.713355430620894</v>
      </c>
      <c r="AN1471">
        <v>1.0000000083682401</v>
      </c>
    </row>
    <row r="1472" spans="1:40" x14ac:dyDescent="0.25">
      <c r="A1472" t="str">
        <f>"20190303154124343"</f>
        <v>20190303154124343</v>
      </c>
      <c r="B1472" t="str">
        <f>"1551598884341142"</f>
        <v>1551598884341142</v>
      </c>
      <c r="C1472" t="s">
        <v>40</v>
      </c>
      <c r="D1472">
        <v>6.060854</v>
      </c>
      <c r="E1472">
        <v>0.54690499999999997</v>
      </c>
      <c r="F1472" t="s">
        <v>41</v>
      </c>
      <c r="G1472">
        <v>-216.43950000000001</v>
      </c>
      <c r="H1472" s="1">
        <v>-2.1896569999999998E-6</v>
      </c>
      <c r="I1472">
        <v>365.88850000000002</v>
      </c>
      <c r="J1472">
        <v>-229.55950000000001</v>
      </c>
      <c r="K1472">
        <v>1.121208</v>
      </c>
      <c r="L1472">
        <v>367.83580000000001</v>
      </c>
      <c r="M1472">
        <v>0.9998937</v>
      </c>
      <c r="N1472">
        <v>-1.4216070000000001E-2</v>
      </c>
      <c r="O1472">
        <v>3.231177E-3</v>
      </c>
      <c r="P1472">
        <v>0.99441000000000002</v>
      </c>
      <c r="Q1472">
        <v>-0.1037961</v>
      </c>
      <c r="R1472">
        <v>-1.937753E-2</v>
      </c>
      <c r="S1472">
        <v>2.982224</v>
      </c>
      <c r="T1472">
        <v>-0.25162879999999999</v>
      </c>
      <c r="U1472">
        <v>-0.43692019999999998</v>
      </c>
      <c r="V1472">
        <v>2.257924E-2</v>
      </c>
      <c r="W1472">
        <v>-8.9652899999999994E-2</v>
      </c>
      <c r="X1472">
        <v>0.99571710000000002</v>
      </c>
      <c r="Y1472">
        <v>0.14754790000000001</v>
      </c>
      <c r="Z1472">
        <v>-7.4625469999999999E-3</v>
      </c>
      <c r="AA1472">
        <v>0.98902679999999998</v>
      </c>
      <c r="AB1472">
        <v>17</v>
      </c>
      <c r="AC1472">
        <v>13.12</v>
      </c>
      <c r="AD1472">
        <v>-1.1212101896569999</v>
      </c>
      <c r="AE1472">
        <v>-1.94729999999998</v>
      </c>
      <c r="AF1472">
        <v>1.9755703811565499</v>
      </c>
      <c r="AG1472">
        <v>-1.1212101896569999</v>
      </c>
      <c r="AH1472">
        <v>13.0205978601903</v>
      </c>
      <c r="AI1472">
        <v>94.866205914362993</v>
      </c>
      <c r="AJ1472">
        <v>81.372511812225</v>
      </c>
      <c r="AK1472">
        <v>13.2172598997329</v>
      </c>
      <c r="AL1472">
        <v>95.143638983260104</v>
      </c>
      <c r="AM1472">
        <v>88.700962875719696</v>
      </c>
      <c r="AN1472">
        <v>1.00000000389489</v>
      </c>
    </row>
    <row r="1473" spans="1:40" x14ac:dyDescent="0.25">
      <c r="A1473" t="str">
        <f>"20190303154124365"</f>
        <v>20190303154124365</v>
      </c>
      <c r="B1473" t="str">
        <f>"1551598884360664"</f>
        <v>1551598884360664</v>
      </c>
      <c r="C1473" t="s">
        <v>40</v>
      </c>
      <c r="D1473">
        <v>6.1159119999999998</v>
      </c>
      <c r="E1473">
        <v>0.50886089999999995</v>
      </c>
      <c r="F1473" t="s">
        <v>41</v>
      </c>
      <c r="G1473">
        <v>-216.3013</v>
      </c>
      <c r="H1473" s="1">
        <v>-2.2296819999999999E-6</v>
      </c>
      <c r="I1473">
        <v>365.91480000000001</v>
      </c>
      <c r="J1473">
        <v>-229.39160000000001</v>
      </c>
      <c r="K1473">
        <v>1.1212029999999999</v>
      </c>
      <c r="L1473">
        <v>367.83620000000002</v>
      </c>
      <c r="M1473">
        <v>0.99989439999999996</v>
      </c>
      <c r="N1473">
        <v>-1.4179600000000001E-2</v>
      </c>
      <c r="O1473">
        <v>3.1530070000000002E-3</v>
      </c>
      <c r="P1473">
        <v>0.99452660000000004</v>
      </c>
      <c r="Q1473">
        <v>-0.10265199999999999</v>
      </c>
      <c r="R1473">
        <v>-1.9472779999999999E-2</v>
      </c>
      <c r="S1473">
        <v>2.982132</v>
      </c>
      <c r="T1473">
        <v>-0.25218939999999901</v>
      </c>
      <c r="U1473">
        <v>-0.43209839999999999</v>
      </c>
      <c r="V1473">
        <v>2.259736E-2</v>
      </c>
      <c r="W1473">
        <v>-8.8543529999999995E-2</v>
      </c>
      <c r="X1473">
        <v>0.99581589999999998</v>
      </c>
      <c r="Y1473">
        <v>0.14591319999999999</v>
      </c>
      <c r="Z1473">
        <v>-7.3893250000000004E-3</v>
      </c>
      <c r="AA1473">
        <v>0.98926979999999998</v>
      </c>
      <c r="AB1473">
        <v>17</v>
      </c>
      <c r="AC1473">
        <v>13.090299999999999</v>
      </c>
      <c r="AD1473">
        <v>-1.1212052296819901</v>
      </c>
      <c r="AE1473">
        <v>-1.9214</v>
      </c>
      <c r="AF1473">
        <v>1.9486740517514001</v>
      </c>
      <c r="AG1473">
        <v>-1.1212052296819901</v>
      </c>
      <c r="AH1473">
        <v>12.9908824049161</v>
      </c>
      <c r="AI1473">
        <v>94.8784958111533</v>
      </c>
      <c r="AJ1473">
        <v>81.469054559731603</v>
      </c>
      <c r="AK1473">
        <v>13.183984882629201</v>
      </c>
      <c r="AL1473">
        <v>95.079823219115895</v>
      </c>
      <c r="AM1473">
        <v>88.700049690139096</v>
      </c>
      <c r="AN1473">
        <v>0.99999995203831904</v>
      </c>
    </row>
    <row r="1474" spans="1:40" x14ac:dyDescent="0.25">
      <c r="A1474" t="str">
        <f>"20190303154124387"</f>
        <v>20190303154124387</v>
      </c>
      <c r="B1474" t="str">
        <f>"1551598884380180"</f>
        <v>1551598884380180</v>
      </c>
      <c r="C1474" t="s">
        <v>40</v>
      </c>
      <c r="D1474">
        <v>6.0855139999999999</v>
      </c>
      <c r="E1474">
        <v>0.50408350000000002</v>
      </c>
      <c r="F1474" t="s">
        <v>42</v>
      </c>
      <c r="G1474">
        <v>-228.57130000000001</v>
      </c>
      <c r="H1474">
        <v>1.051404</v>
      </c>
      <c r="I1474">
        <v>367.80059999999997</v>
      </c>
      <c r="J1474">
        <v>-229.22210000000001</v>
      </c>
      <c r="K1474">
        <v>1.1211960000000001</v>
      </c>
      <c r="L1474">
        <v>367.83670000000001</v>
      </c>
      <c r="M1474">
        <v>0.99989530000000004</v>
      </c>
      <c r="N1474">
        <v>-1.414719E-2</v>
      </c>
      <c r="O1474">
        <v>3.0739719999999999E-3</v>
      </c>
      <c r="P1474">
        <v>0.99459089999999994</v>
      </c>
      <c r="Q1474">
        <v>-0.1020204</v>
      </c>
      <c r="R1474">
        <v>-1.951375E-2</v>
      </c>
      <c r="S1474">
        <v>2.9877009999999999</v>
      </c>
      <c r="T1474">
        <v>-0.25455070000000002</v>
      </c>
      <c r="U1474">
        <v>-0.12902830000000001</v>
      </c>
      <c r="V1474">
        <v>2.2560159999999999E-2</v>
      </c>
      <c r="W1474">
        <v>-8.7943300000000002E-2</v>
      </c>
      <c r="X1474">
        <v>0.99587000000000003</v>
      </c>
      <c r="Y1474">
        <v>4.6015559999999997E-2</v>
      </c>
      <c r="Z1474">
        <v>-2.5000560000000001E-3</v>
      </c>
      <c r="AA1474">
        <v>0.99893759999999998</v>
      </c>
      <c r="AB1474">
        <v>17</v>
      </c>
      <c r="AC1474">
        <v>0.65080000000000304</v>
      </c>
      <c r="AD1474">
        <v>-6.9791999999999799E-2</v>
      </c>
      <c r="AE1474">
        <v>-3.6100000000033099E-2</v>
      </c>
      <c r="AF1474">
        <v>3.76686910155642E-2</v>
      </c>
      <c r="AG1474">
        <v>-6.9791999999999799E-2</v>
      </c>
      <c r="AH1474">
        <v>0.64331025694878696</v>
      </c>
      <c r="AI1474">
        <v>96.181232657575507</v>
      </c>
      <c r="AJ1474">
        <v>86.648902399885799</v>
      </c>
      <c r="AK1474">
        <v>0.64818048431153796</v>
      </c>
      <c r="AL1474">
        <v>95.0452975376502</v>
      </c>
      <c r="AM1474">
        <v>88.702259427475099</v>
      </c>
      <c r="AN1474">
        <v>1.0000000208670501</v>
      </c>
    </row>
    <row r="1475" spans="1:40" x14ac:dyDescent="0.25">
      <c r="A1475" t="str">
        <f>"20190303154124410"</f>
        <v>20190303154124410</v>
      </c>
      <c r="B1475" t="str">
        <f>"1551598884400680"</f>
        <v>1551598884400680</v>
      </c>
      <c r="C1475" t="s">
        <v>40</v>
      </c>
      <c r="D1475">
        <v>6.0967560000000001</v>
      </c>
      <c r="E1475">
        <v>0.50319190000000003</v>
      </c>
      <c r="F1475" t="s">
        <v>42</v>
      </c>
      <c r="G1475">
        <v>-228.42140000000001</v>
      </c>
      <c r="H1475">
        <v>1.0493049999999999</v>
      </c>
      <c r="I1475">
        <v>367.81220000000002</v>
      </c>
      <c r="J1475">
        <v>-229.053</v>
      </c>
      <c r="K1475">
        <v>1.121191</v>
      </c>
      <c r="L1475">
        <v>367.83710000000002</v>
      </c>
      <c r="M1475">
        <v>0.99989589999999995</v>
      </c>
      <c r="N1475">
        <v>-1.41187E-2</v>
      </c>
      <c r="O1475">
        <v>2.9952070000000002E-3</v>
      </c>
      <c r="P1475">
        <v>0.99456659999999997</v>
      </c>
      <c r="Q1475">
        <v>-0.10228180000000001</v>
      </c>
      <c r="R1475">
        <v>-1.938459E-2</v>
      </c>
      <c r="S1475">
        <v>2.9870000000000001</v>
      </c>
      <c r="T1475">
        <v>-0.26827590000000001</v>
      </c>
      <c r="U1475">
        <v>-9.1156009999999996E-2</v>
      </c>
      <c r="V1475">
        <v>2.2352549999999999E-2</v>
      </c>
      <c r="W1475">
        <v>-8.8233339999999993E-2</v>
      </c>
      <c r="X1475">
        <v>0.99584899999999998</v>
      </c>
      <c r="Y1475">
        <v>3.333357E-2</v>
      </c>
      <c r="Z1475">
        <v>-1.9556980000000001E-3</v>
      </c>
      <c r="AA1475">
        <v>0.99944230000000001</v>
      </c>
      <c r="AB1475">
        <v>17</v>
      </c>
      <c r="AC1475">
        <v>0.63159999999999095</v>
      </c>
      <c r="AD1475">
        <v>-7.1886000000000103E-2</v>
      </c>
      <c r="AE1475">
        <v>-2.4900000000002299E-2</v>
      </c>
      <c r="AF1475">
        <v>2.6449750724543201E-2</v>
      </c>
      <c r="AG1475">
        <v>-7.1886000000000103E-2</v>
      </c>
      <c r="AH1475">
        <v>0.62345881629956801</v>
      </c>
      <c r="AI1475">
        <v>96.5714096685237</v>
      </c>
      <c r="AJ1475">
        <v>87.570728257977905</v>
      </c>
      <c r="AK1475">
        <v>0.628146544948748</v>
      </c>
      <c r="AL1475">
        <v>95.061980589639703</v>
      </c>
      <c r="AM1475">
        <v>88.714170759291804</v>
      </c>
      <c r="AN1475">
        <v>0.99999999479002899</v>
      </c>
    </row>
    <row r="1476" spans="1:40" x14ac:dyDescent="0.25">
      <c r="A1476" t="str">
        <f>"20190303154124431"</f>
        <v>20190303154124431</v>
      </c>
      <c r="B1476" t="str">
        <f>"1551598884420206"</f>
        <v>1551598884420206</v>
      </c>
      <c r="C1476" t="s">
        <v>40</v>
      </c>
      <c r="D1476">
        <v>6.1706729999999999</v>
      </c>
      <c r="E1476">
        <v>0.50195610000000002</v>
      </c>
      <c r="F1476" t="s">
        <v>41</v>
      </c>
      <c r="G1476">
        <v>-216.53190000000001</v>
      </c>
      <c r="H1476" s="1">
        <v>-1.8479839999999999E-6</v>
      </c>
      <c r="I1476">
        <v>367.4864</v>
      </c>
      <c r="J1476">
        <v>-228.89009999999999</v>
      </c>
      <c r="K1476">
        <v>1.1211880000000001</v>
      </c>
      <c r="L1476">
        <v>367.83749999999998</v>
      </c>
      <c r="M1476">
        <v>0.99989640000000002</v>
      </c>
      <c r="N1476">
        <v>-1.4094499999999999E-2</v>
      </c>
      <c r="O1476">
        <v>2.919512E-3</v>
      </c>
      <c r="P1476">
        <v>0.99456109999999998</v>
      </c>
      <c r="Q1476">
        <v>-0.1022956</v>
      </c>
      <c r="R1476">
        <v>-1.958905E-2</v>
      </c>
      <c r="S1476">
        <v>2.987244</v>
      </c>
      <c r="T1476">
        <v>-0.26748749999999999</v>
      </c>
      <c r="U1476">
        <v>-8.3679199999999995E-2</v>
      </c>
      <c r="V1476">
        <v>2.24817E-2</v>
      </c>
      <c r="W1476">
        <v>-8.8271340000000004E-2</v>
      </c>
      <c r="X1476">
        <v>0.99584280000000003</v>
      </c>
      <c r="Y1476">
        <v>3.076897E-2</v>
      </c>
      <c r="Z1476">
        <v>-1.8117280000000001E-3</v>
      </c>
      <c r="AA1476">
        <v>0.99952490000000005</v>
      </c>
      <c r="AB1476">
        <v>17</v>
      </c>
      <c r="AC1476">
        <v>12.358199999999901</v>
      </c>
      <c r="AD1476">
        <v>-1.1211898479839999</v>
      </c>
      <c r="AE1476">
        <v>-0.35109999999997399</v>
      </c>
      <c r="AF1476">
        <v>0.38402368570722401</v>
      </c>
      <c r="AG1476">
        <v>-1.1211898479839999</v>
      </c>
      <c r="AH1476">
        <v>12.2563228433762</v>
      </c>
      <c r="AI1476">
        <v>95.224234135676994</v>
      </c>
      <c r="AJ1476">
        <v>88.205355670703597</v>
      </c>
      <c r="AK1476">
        <v>12.3134881535441</v>
      </c>
      <c r="AL1476">
        <v>95.064165979464903</v>
      </c>
      <c r="AM1476">
        <v>88.706735879420904</v>
      </c>
      <c r="AN1476">
        <v>1.00000006930606</v>
      </c>
    </row>
    <row r="1477" spans="1:40" x14ac:dyDescent="0.25">
      <c r="A1477" t="str">
        <f>"20190303154124456"</f>
        <v>20190303154124456</v>
      </c>
      <c r="B1477" t="str">
        <f>"1551598884450453"</f>
        <v>1551598884450453</v>
      </c>
      <c r="C1477" t="s">
        <v>40</v>
      </c>
      <c r="D1477">
        <v>6.0952229999999998</v>
      </c>
      <c r="E1477">
        <v>0.50147799999999998</v>
      </c>
      <c r="F1477" t="s">
        <v>41</v>
      </c>
      <c r="G1477">
        <v>-216.5812</v>
      </c>
      <c r="H1477" s="1">
        <v>-1.8189249999999999E-6</v>
      </c>
      <c r="I1477">
        <v>367.53089999999997</v>
      </c>
      <c r="J1477">
        <v>-228.71440000000001</v>
      </c>
      <c r="K1477">
        <v>1.121191</v>
      </c>
      <c r="L1477">
        <v>367.83789999999999</v>
      </c>
      <c r="M1477">
        <v>0.99989709999999998</v>
      </c>
      <c r="N1477">
        <v>-1.406631E-2</v>
      </c>
      <c r="O1477">
        <v>2.8387159999999998E-3</v>
      </c>
      <c r="P1477">
        <v>0.99459929999999996</v>
      </c>
      <c r="Q1477">
        <v>-0.10182570000000001</v>
      </c>
      <c r="R1477">
        <v>-2.0096909999999999E-2</v>
      </c>
      <c r="S1477">
        <v>2.9869539999999999</v>
      </c>
      <c r="T1477">
        <v>-0.27207239999999999</v>
      </c>
      <c r="U1477">
        <v>-7.440186E-2</v>
      </c>
      <c r="V1477">
        <v>2.290944E-2</v>
      </c>
      <c r="W1477">
        <v>-8.7829050000000006E-2</v>
      </c>
      <c r="X1477">
        <v>0.99587210000000004</v>
      </c>
      <c r="Y1477">
        <v>2.7598930000000001E-2</v>
      </c>
      <c r="Z1477">
        <v>-1.6669129999999999E-3</v>
      </c>
      <c r="AA1477">
        <v>0.99961770000000005</v>
      </c>
      <c r="AB1477">
        <v>17</v>
      </c>
      <c r="AC1477">
        <v>12.1332</v>
      </c>
      <c r="AD1477">
        <v>-1.121192818925</v>
      </c>
      <c r="AE1477">
        <v>-0.30700000000001598</v>
      </c>
      <c r="AF1477">
        <v>0.338555780086159</v>
      </c>
      <c r="AG1477">
        <v>-1.121192818925</v>
      </c>
      <c r="AH1477">
        <v>12.029623614338201</v>
      </c>
      <c r="AI1477">
        <v>95.322640554393004</v>
      </c>
      <c r="AJ1477">
        <v>88.3879214353544</v>
      </c>
      <c r="AK1477">
        <v>12.086502292064599</v>
      </c>
      <c r="AL1477">
        <v>95.0387261115592</v>
      </c>
      <c r="AM1477">
        <v>88.6821774098335</v>
      </c>
      <c r="AN1477">
        <v>1.0000000120117101</v>
      </c>
    </row>
    <row r="1478" spans="1:40" x14ac:dyDescent="0.25">
      <c r="A1478" t="str">
        <f>"20190303154124476"</f>
        <v>20190303154124476</v>
      </c>
      <c r="B1478" t="str">
        <f>"1551598884470949"</f>
        <v>1551598884470949</v>
      </c>
      <c r="C1478" t="s">
        <v>40</v>
      </c>
      <c r="D1478">
        <v>6.1118059999999996</v>
      </c>
      <c r="E1478">
        <v>0.50112670000000004</v>
      </c>
      <c r="F1478" t="s">
        <v>42</v>
      </c>
      <c r="G1478">
        <v>-227.83519999999999</v>
      </c>
      <c r="H1478">
        <v>1.0423070000000001</v>
      </c>
      <c r="I1478">
        <v>367.81659999999999</v>
      </c>
      <c r="J1478">
        <v>-228.55359999999999</v>
      </c>
      <c r="K1478">
        <v>1.1211739999999999</v>
      </c>
      <c r="L1478">
        <v>367.8383</v>
      </c>
      <c r="M1478">
        <v>0.99989799999999995</v>
      </c>
      <c r="N1478">
        <v>-1.401759E-2</v>
      </c>
      <c r="O1478">
        <v>2.7660050000000002E-3</v>
      </c>
      <c r="P1478">
        <v>0.99464900000000001</v>
      </c>
      <c r="Q1478">
        <v>-0.10130649999999999</v>
      </c>
      <c r="R1478">
        <v>-2.0256909999999999E-2</v>
      </c>
      <c r="S1478">
        <v>2.9873660000000002</v>
      </c>
      <c r="T1478">
        <v>-0.2681077</v>
      </c>
      <c r="U1478">
        <v>-7.2052000000000005E-2</v>
      </c>
      <c r="V1478">
        <v>2.2997589999999998E-2</v>
      </c>
      <c r="W1478">
        <v>-8.7357599999999994E-2</v>
      </c>
      <c r="X1478">
        <v>0.99591149999999995</v>
      </c>
      <c r="Y1478">
        <v>2.6745069999999999E-2</v>
      </c>
      <c r="Z1478">
        <v>-1.5944959999999999E-3</v>
      </c>
      <c r="AA1478">
        <v>0.999641</v>
      </c>
      <c r="AB1478">
        <v>17</v>
      </c>
      <c r="AC1478">
        <v>0.71840000000000204</v>
      </c>
      <c r="AD1478">
        <v>-7.8867000000000007E-2</v>
      </c>
      <c r="AE1478">
        <v>-2.1700000000009802E-2</v>
      </c>
      <c r="AF1478">
        <v>2.3405386220457802E-2</v>
      </c>
      <c r="AG1478">
        <v>-7.8867000000000007E-2</v>
      </c>
      <c r="AH1478">
        <v>0.7097906463657</v>
      </c>
      <c r="AI1478">
        <v>96.336884953887505</v>
      </c>
      <c r="AJ1478">
        <v>88.111352813904801</v>
      </c>
      <c r="AK1478">
        <v>0.71454221531087103</v>
      </c>
      <c r="AL1478">
        <v>95.011609962611701</v>
      </c>
      <c r="AM1478">
        <v>88.677160862077798</v>
      </c>
      <c r="AN1478">
        <v>0.99999997762790804</v>
      </c>
    </row>
    <row r="1479" spans="1:40" x14ac:dyDescent="0.25">
      <c r="A1479" t="str">
        <f>"20190303154124500"</f>
        <v>20190303154124500</v>
      </c>
      <c r="B1479" t="str">
        <f>"1551598884490469"</f>
        <v>1551598884490469</v>
      </c>
      <c r="C1479" t="s">
        <v>40</v>
      </c>
      <c r="D1479">
        <v>6.050338</v>
      </c>
      <c r="E1479">
        <v>0.50089719999999904</v>
      </c>
      <c r="F1479" t="s">
        <v>42</v>
      </c>
      <c r="G1479">
        <v>-227.68430000000001</v>
      </c>
      <c r="H1479">
        <v>1.0441149999999999</v>
      </c>
      <c r="I1479">
        <v>367.81760000000003</v>
      </c>
      <c r="J1479">
        <v>-228.3835</v>
      </c>
      <c r="K1479">
        <v>1.1211500000000001</v>
      </c>
      <c r="L1479">
        <v>367.83870000000002</v>
      </c>
      <c r="M1479">
        <v>0.99989950000000005</v>
      </c>
      <c r="N1479">
        <v>-1.3933549999999999E-2</v>
      </c>
      <c r="O1479">
        <v>2.6908679999999999E-3</v>
      </c>
      <c r="P1479">
        <v>0.99454529999999997</v>
      </c>
      <c r="Q1479">
        <v>-0.10234699999999999</v>
      </c>
      <c r="R1479">
        <v>-2.013241E-2</v>
      </c>
      <c r="S1479">
        <v>2.987717</v>
      </c>
      <c r="T1479">
        <v>-0.26514549999999998</v>
      </c>
      <c r="U1479">
        <v>-6.9824220000000006E-2</v>
      </c>
      <c r="V1479">
        <v>2.279813E-2</v>
      </c>
      <c r="W1479">
        <v>-8.8483069999999997E-2</v>
      </c>
      <c r="X1479">
        <v>0.99581679999999995</v>
      </c>
      <c r="Y1479">
        <v>2.5928929999999999E-2</v>
      </c>
      <c r="Z1479">
        <v>-1.530081E-3</v>
      </c>
      <c r="AA1479">
        <v>0.99966259999999996</v>
      </c>
      <c r="AB1479">
        <v>17</v>
      </c>
      <c r="AC1479">
        <v>0.69919999999999005</v>
      </c>
      <c r="AD1479">
        <v>-7.7035000000000103E-2</v>
      </c>
      <c r="AE1479">
        <v>-2.1099999999989901E-2</v>
      </c>
      <c r="AF1479">
        <v>2.2706187238292999E-2</v>
      </c>
      <c r="AG1479">
        <v>-7.7035000000000103E-2</v>
      </c>
      <c r="AH1479">
        <v>0.69076332326908596</v>
      </c>
      <c r="AI1479">
        <v>96.360013676505901</v>
      </c>
      <c r="AJ1479">
        <v>88.1172995348157</v>
      </c>
      <c r="AK1479">
        <v>0.69541637235375198</v>
      </c>
      <c r="AL1479">
        <v>95.076344948062001</v>
      </c>
      <c r="AM1479">
        <v>88.688505266582396</v>
      </c>
      <c r="AN1479">
        <v>1.0000000537851701</v>
      </c>
    </row>
    <row r="1480" spans="1:40" x14ac:dyDescent="0.25">
      <c r="A1480" t="str">
        <f>"20190303154124521"</f>
        <v>20190303154124521</v>
      </c>
      <c r="B1480" t="str">
        <f>"1551598884510964"</f>
        <v>1551598884510964</v>
      </c>
      <c r="C1480" t="s">
        <v>40</v>
      </c>
      <c r="D1480">
        <v>6.0560939999999999</v>
      </c>
      <c r="E1480">
        <v>0.50076659999999995</v>
      </c>
      <c r="F1480" t="s">
        <v>42</v>
      </c>
      <c r="G1480">
        <v>-227.53450000000001</v>
      </c>
      <c r="H1480">
        <v>1.0447580000000001</v>
      </c>
      <c r="I1480">
        <v>367.81950000000001</v>
      </c>
      <c r="J1480">
        <v>-228.21950000000001</v>
      </c>
      <c r="K1480">
        <v>1.121111</v>
      </c>
      <c r="L1480">
        <v>367.83909999999997</v>
      </c>
      <c r="M1480">
        <v>0.9999015</v>
      </c>
      <c r="N1480">
        <v>-1.379478E-2</v>
      </c>
      <c r="O1480">
        <v>2.6221899999999999E-3</v>
      </c>
      <c r="P1480">
        <v>0.99451880000000004</v>
      </c>
      <c r="Q1480">
        <v>-0.1026186</v>
      </c>
      <c r="R1480">
        <v>-2.0055529999999998E-2</v>
      </c>
      <c r="S1480">
        <v>2.987457</v>
      </c>
      <c r="T1480">
        <v>-0.26870620000000001</v>
      </c>
      <c r="U1480">
        <v>-6.7504880000000003E-2</v>
      </c>
      <c r="V1480">
        <v>2.2653139999999999E-2</v>
      </c>
      <c r="W1480">
        <v>-8.8893100000000003E-2</v>
      </c>
      <c r="X1480">
        <v>0.99578350000000004</v>
      </c>
      <c r="Y1480">
        <v>2.5087620000000001E-2</v>
      </c>
      <c r="Z1480">
        <v>-1.498547E-3</v>
      </c>
      <c r="AA1480">
        <v>0.99968420000000002</v>
      </c>
      <c r="AB1480">
        <v>17</v>
      </c>
      <c r="AC1480">
        <v>0.68500000000000205</v>
      </c>
      <c r="AD1480">
        <v>-7.6352999999999893E-2</v>
      </c>
      <c r="AE1480">
        <v>-1.95999999999685E-2</v>
      </c>
      <c r="AF1480">
        <v>2.1133944371579099E-2</v>
      </c>
      <c r="AG1480">
        <v>-7.6352999999999893E-2</v>
      </c>
      <c r="AH1480">
        <v>0.676547508350275</v>
      </c>
      <c r="AI1480">
        <v>96.435861705092194</v>
      </c>
      <c r="AJ1480">
        <v>88.210780221196899</v>
      </c>
      <c r="AK1480">
        <v>0.68117028360657805</v>
      </c>
      <c r="AL1480">
        <v>95.099931339063104</v>
      </c>
      <c r="AM1480">
        <v>88.696799572551399</v>
      </c>
      <c r="AN1480">
        <v>0.99999996342585895</v>
      </c>
    </row>
    <row r="1481" spans="1:40" x14ac:dyDescent="0.25">
      <c r="A1481" t="str">
        <f>"20190303154124544"</f>
        <v>20190303154124544</v>
      </c>
      <c r="B1481" t="str">
        <f>"1551598884540245"</f>
        <v>1551598884540245</v>
      </c>
      <c r="C1481" t="s">
        <v>40</v>
      </c>
      <c r="D1481">
        <v>6.086754</v>
      </c>
      <c r="E1481">
        <v>0.50067589999999995</v>
      </c>
      <c r="F1481" t="s">
        <v>42</v>
      </c>
      <c r="G1481">
        <v>-227.3843</v>
      </c>
      <c r="H1481">
        <v>1.045852</v>
      </c>
      <c r="I1481">
        <v>367.8202</v>
      </c>
      <c r="J1481">
        <v>-228.0566</v>
      </c>
      <c r="K1481">
        <v>1.1210639999999901</v>
      </c>
      <c r="L1481">
        <v>367.83940000000001</v>
      </c>
      <c r="M1481">
        <v>0.99990469999999998</v>
      </c>
      <c r="N1481">
        <v>-1.35682999999999E-2</v>
      </c>
      <c r="O1481">
        <v>2.56171E-3</v>
      </c>
      <c r="P1481">
        <v>0.99451210000000001</v>
      </c>
      <c r="Q1481">
        <v>-0.1026649</v>
      </c>
      <c r="R1481">
        <v>-2.0146629999999999E-2</v>
      </c>
      <c r="S1481">
        <v>2.9874109999999998</v>
      </c>
      <c r="T1481">
        <v>-0.26954090000000003</v>
      </c>
      <c r="U1481">
        <v>-6.6345210000000002E-2</v>
      </c>
      <c r="V1481">
        <v>2.2684510000000001E-2</v>
      </c>
      <c r="W1481">
        <v>-8.916483E-2</v>
      </c>
      <c r="X1481">
        <v>0.99575849999999999</v>
      </c>
      <c r="Y1481">
        <v>2.4641360000000001E-2</v>
      </c>
      <c r="Z1481">
        <v>-1.472781E-3</v>
      </c>
      <c r="AA1481">
        <v>0.99969520000000001</v>
      </c>
      <c r="AB1481">
        <v>17</v>
      </c>
      <c r="AC1481">
        <v>0.672300000000007</v>
      </c>
      <c r="AD1481">
        <v>-7.5211999999999807E-2</v>
      </c>
      <c r="AE1481">
        <v>-1.9200000000011999E-2</v>
      </c>
      <c r="AF1481">
        <v>2.0663924614691499E-2</v>
      </c>
      <c r="AG1481">
        <v>-7.5211999999999807E-2</v>
      </c>
      <c r="AH1481">
        <v>0.66394576575817599</v>
      </c>
      <c r="AI1481">
        <v>96.459832717620998</v>
      </c>
      <c r="AJ1481">
        <v>88.217364011032601</v>
      </c>
      <c r="AK1481">
        <v>0.66851164731266399</v>
      </c>
      <c r="AL1481">
        <v>95.115562347624802</v>
      </c>
      <c r="AM1481">
        <v>88.694962775425097</v>
      </c>
      <c r="AN1481">
        <v>0.99999997211255898</v>
      </c>
    </row>
    <row r="1482" spans="1:40" x14ac:dyDescent="0.25">
      <c r="A1482" t="str">
        <f>"20190303154124566"</f>
        <v>20190303154124566</v>
      </c>
      <c r="B1482" t="str">
        <f>"1551598884560741"</f>
        <v>1551598884560741</v>
      </c>
      <c r="C1482" t="s">
        <v>40</v>
      </c>
      <c r="D1482">
        <v>6.0273709999999996</v>
      </c>
      <c r="E1482">
        <v>0.50057479999999999</v>
      </c>
      <c r="F1482" t="s">
        <v>42</v>
      </c>
      <c r="G1482">
        <v>-227.2337</v>
      </c>
      <c r="H1482">
        <v>1.0470250000000001</v>
      </c>
      <c r="I1482">
        <v>367.82130000000001</v>
      </c>
      <c r="J1482">
        <v>-227.88570000000001</v>
      </c>
      <c r="K1482">
        <v>1.1210059999999999</v>
      </c>
      <c r="L1482">
        <v>367.83969999999999</v>
      </c>
      <c r="M1482">
        <v>0.99990939999999995</v>
      </c>
      <c r="N1482">
        <v>-1.3231110000000001E-2</v>
      </c>
      <c r="O1482">
        <v>2.5087E-3</v>
      </c>
      <c r="P1482">
        <v>0.99460630000000005</v>
      </c>
      <c r="Q1482">
        <v>-0.1016488</v>
      </c>
      <c r="R1482">
        <v>-2.0645630000000002E-2</v>
      </c>
      <c r="S1482">
        <v>2.987473</v>
      </c>
      <c r="T1482">
        <v>-0.26874199999999998</v>
      </c>
      <c r="U1482">
        <v>-6.5856929999999994E-2</v>
      </c>
      <c r="V1482">
        <v>2.3133089999999999E-2</v>
      </c>
      <c r="W1482">
        <v>-8.8482939999999996E-2</v>
      </c>
      <c r="X1482">
        <v>0.99580900000000006</v>
      </c>
      <c r="Y1482">
        <v>2.4426730000000001E-2</v>
      </c>
      <c r="Z1482">
        <v>-1.4503789999999999E-3</v>
      </c>
      <c r="AA1482">
        <v>0.99970049999999999</v>
      </c>
      <c r="AB1482">
        <v>17</v>
      </c>
      <c r="AC1482">
        <v>0.65200000000001501</v>
      </c>
      <c r="AD1482">
        <v>-7.3980999999999797E-2</v>
      </c>
      <c r="AE1482">
        <v>-1.8399999999985501E-2</v>
      </c>
      <c r="AF1482">
        <v>1.97812774636692E-2</v>
      </c>
      <c r="AG1482">
        <v>-7.3980999999999797E-2</v>
      </c>
      <c r="AH1482">
        <v>0.643671151397474</v>
      </c>
      <c r="AI1482">
        <v>96.553511329574306</v>
      </c>
      <c r="AJ1482">
        <v>88.239742293499503</v>
      </c>
      <c r="AK1482">
        <v>0.64821064357232305</v>
      </c>
      <c r="AL1482">
        <v>95.076337909430606</v>
      </c>
      <c r="AM1482">
        <v>88.669232677023601</v>
      </c>
      <c r="AN1482">
        <v>0.99999996750249498</v>
      </c>
    </row>
    <row r="1483" spans="1:40" x14ac:dyDescent="0.25">
      <c r="A1483" t="str">
        <f>"20190303154124589"</f>
        <v>20190303154124589</v>
      </c>
      <c r="B1483" t="str">
        <f>"1551598884580260"</f>
        <v>1551598884580260</v>
      </c>
      <c r="C1483" t="s">
        <v>40</v>
      </c>
      <c r="D1483">
        <v>6.0253949999999996</v>
      </c>
      <c r="E1483">
        <v>0.50039160000000005</v>
      </c>
      <c r="F1483" t="s">
        <v>41</v>
      </c>
      <c r="G1483">
        <v>-215.245</v>
      </c>
      <c r="H1483" s="1">
        <v>-2.3873520000000002E-6</v>
      </c>
      <c r="I1483">
        <v>367.55799999999999</v>
      </c>
      <c r="J1483">
        <v>-227.72030000000001</v>
      </c>
      <c r="K1483">
        <v>1.12094</v>
      </c>
      <c r="L1483">
        <v>367.84010000000001</v>
      </c>
      <c r="M1483">
        <v>0.99991459999999999</v>
      </c>
      <c r="N1483">
        <v>-1.283923E-2</v>
      </c>
      <c r="O1483">
        <v>2.4726000000000001E-3</v>
      </c>
      <c r="P1483">
        <v>0.99470510000000001</v>
      </c>
      <c r="Q1483">
        <v>-0.10054730000000001</v>
      </c>
      <c r="R1483">
        <v>-2.125821E-2</v>
      </c>
      <c r="S1483">
        <v>2.9878230000000001</v>
      </c>
      <c r="T1483">
        <v>-0.26496609999999998</v>
      </c>
      <c r="U1483">
        <v>-6.658936E-2</v>
      </c>
      <c r="V1483">
        <v>2.3712529999999999E-2</v>
      </c>
      <c r="W1483">
        <v>-8.7769929999999996E-2</v>
      </c>
      <c r="X1483">
        <v>0.99585849999999998</v>
      </c>
      <c r="Y1483">
        <v>2.4635710000000002E-2</v>
      </c>
      <c r="Z1483">
        <v>-1.4357599999999999E-3</v>
      </c>
      <c r="AA1483">
        <v>0.99969549999999996</v>
      </c>
      <c r="AB1483">
        <v>17</v>
      </c>
      <c r="AC1483">
        <v>12.475300000000001</v>
      </c>
      <c r="AD1483">
        <v>-1.1209423873519999</v>
      </c>
      <c r="AE1483">
        <v>-0.282099999999957</v>
      </c>
      <c r="AF1483">
        <v>0.31044300799795599</v>
      </c>
      <c r="AG1483">
        <v>-1.1209423873519999</v>
      </c>
      <c r="AH1483">
        <v>12.3747075094977</v>
      </c>
      <c r="AI1483">
        <v>95.174298293901401</v>
      </c>
      <c r="AJ1483">
        <v>88.562928126862104</v>
      </c>
      <c r="AK1483">
        <v>12.429250687092701</v>
      </c>
      <c r="AL1483">
        <v>95.035325722050203</v>
      </c>
      <c r="AM1483">
        <v>88.635979699379106</v>
      </c>
      <c r="AN1483">
        <v>0.99999999835672704</v>
      </c>
    </row>
    <row r="1484" spans="1:40" x14ac:dyDescent="0.25">
      <c r="A1484" t="str">
        <f>"20190303154124611"</f>
        <v>20190303154124611</v>
      </c>
      <c r="B1484" t="str">
        <f>"1551598884600757"</f>
        <v>1551598884600757</v>
      </c>
      <c r="C1484" t="s">
        <v>40</v>
      </c>
      <c r="D1484">
        <v>6.0437770000000004</v>
      </c>
      <c r="E1484">
        <v>0.50024690000000005</v>
      </c>
      <c r="F1484" t="s">
        <v>41</v>
      </c>
      <c r="G1484">
        <v>-214.8869</v>
      </c>
      <c r="H1484" s="1">
        <v>-2.5420010000000002E-6</v>
      </c>
      <c r="I1484">
        <v>367.55220000000003</v>
      </c>
      <c r="J1484">
        <v>-227.5496</v>
      </c>
      <c r="K1484">
        <v>1.1208849999999999</v>
      </c>
      <c r="L1484">
        <v>367.84050000000002</v>
      </c>
      <c r="M1484">
        <v>0.99992020000000004</v>
      </c>
      <c r="N1484">
        <v>-1.241223E-2</v>
      </c>
      <c r="O1484">
        <v>2.4505970000000001E-3</v>
      </c>
      <c r="P1484">
        <v>0.99475709999999995</v>
      </c>
      <c r="Q1484">
        <v>-9.9804470000000006E-2</v>
      </c>
      <c r="R1484">
        <v>-2.2307190000000001E-2</v>
      </c>
      <c r="S1484">
        <v>2.9881440000000001</v>
      </c>
      <c r="T1484">
        <v>-0.2609998</v>
      </c>
      <c r="U1484">
        <v>-6.7016599999999996E-2</v>
      </c>
      <c r="V1484">
        <v>2.474266E-2</v>
      </c>
      <c r="W1484">
        <v>-8.7451059999999997E-2</v>
      </c>
      <c r="X1484">
        <v>0.99586149999999996</v>
      </c>
      <c r="Y1484">
        <v>2.4757439999999999E-2</v>
      </c>
      <c r="Z1484">
        <v>-1.416289E-3</v>
      </c>
      <c r="AA1484">
        <v>0.99969249999999998</v>
      </c>
      <c r="AB1484">
        <v>17</v>
      </c>
      <c r="AC1484">
        <v>12.662699999999999</v>
      </c>
      <c r="AD1484">
        <v>-1.120887542001</v>
      </c>
      <c r="AE1484">
        <v>-0.28829999999999201</v>
      </c>
      <c r="AF1484">
        <v>0.31685126325494101</v>
      </c>
      <c r="AG1484">
        <v>-1.120887542001</v>
      </c>
      <c r="AH1484">
        <v>12.563563538150399</v>
      </c>
      <c r="AI1484">
        <v>95.096665802418499</v>
      </c>
      <c r="AJ1484">
        <v>88.555314932492706</v>
      </c>
      <c r="AK1484">
        <v>12.617444764372101</v>
      </c>
      <c r="AL1484">
        <v>95.016985250025598</v>
      </c>
      <c r="AM1484">
        <v>88.576751490302996</v>
      </c>
      <c r="AN1484">
        <v>1.0000000071506201</v>
      </c>
    </row>
    <row r="1485" spans="1:40" x14ac:dyDescent="0.25">
      <c r="A1485" t="str">
        <f>"20190303154124632"</f>
        <v>20190303154124632</v>
      </c>
      <c r="B1485" t="str">
        <f>"1551598884620277"</f>
        <v>1551598884620277</v>
      </c>
      <c r="C1485" t="s">
        <v>40</v>
      </c>
      <c r="D1485">
        <v>6.0271100000000004</v>
      </c>
      <c r="E1485">
        <v>0.50011090000000002</v>
      </c>
      <c r="F1485" t="s">
        <v>41</v>
      </c>
      <c r="G1485">
        <v>-214.56870000000001</v>
      </c>
      <c r="H1485" s="1">
        <v>-2.6805E-6</v>
      </c>
      <c r="I1485">
        <v>367.541</v>
      </c>
      <c r="J1485">
        <v>-227.38800000000001</v>
      </c>
      <c r="K1485">
        <v>1.120835</v>
      </c>
      <c r="L1485">
        <v>367.84089999999998</v>
      </c>
      <c r="M1485">
        <v>0.99992490000000001</v>
      </c>
      <c r="N1485">
        <v>-1.201819E-2</v>
      </c>
      <c r="O1485">
        <v>2.4450610000000001E-3</v>
      </c>
      <c r="P1485">
        <v>0.9947743</v>
      </c>
      <c r="Q1485">
        <v>-9.9457439999999994E-2</v>
      </c>
      <c r="R1485">
        <v>-2.3079769999999999E-2</v>
      </c>
      <c r="S1485">
        <v>2.9883579999999998</v>
      </c>
      <c r="T1485">
        <v>-0.2580404</v>
      </c>
      <c r="U1485">
        <v>-6.8939210000000001E-2</v>
      </c>
      <c r="V1485">
        <v>2.5511789999999999E-2</v>
      </c>
      <c r="W1485">
        <v>-8.7495680000000006E-2</v>
      </c>
      <c r="X1485">
        <v>0.99583820000000001</v>
      </c>
      <c r="Y1485">
        <v>2.5393260000000001E-2</v>
      </c>
      <c r="Z1485">
        <v>-1.42846799999999E-3</v>
      </c>
      <c r="AA1485">
        <v>0.99967649999999997</v>
      </c>
      <c r="AB1485">
        <v>17</v>
      </c>
      <c r="AC1485">
        <v>12.819299999999901</v>
      </c>
      <c r="AD1485">
        <v>-1.1208376805</v>
      </c>
      <c r="AE1485">
        <v>-0.29989999999997902</v>
      </c>
      <c r="AF1485">
        <v>0.32873365969079099</v>
      </c>
      <c r="AG1485">
        <v>-1.1208376805</v>
      </c>
      <c r="AH1485">
        <v>12.7213315922987</v>
      </c>
      <c r="AI1485">
        <v>95.033482340939599</v>
      </c>
      <c r="AJ1485">
        <v>88.519741399070298</v>
      </c>
      <c r="AK1485">
        <v>12.7748432634714</v>
      </c>
      <c r="AL1485">
        <v>95.019551494815104</v>
      </c>
      <c r="AM1485">
        <v>88.532494290598294</v>
      </c>
      <c r="AN1485">
        <v>1.00000003301345</v>
      </c>
    </row>
    <row r="1486" spans="1:40" x14ac:dyDescent="0.25">
      <c r="A1486" t="str">
        <f>"20190303154124658"</f>
        <v>20190303154124658</v>
      </c>
      <c r="B1486" t="str">
        <f>"1551598884650534"</f>
        <v>1551598884650534</v>
      </c>
      <c r="C1486" t="s">
        <v>40</v>
      </c>
      <c r="D1486">
        <v>6.002205</v>
      </c>
      <c r="E1486">
        <v>0.49998939999999997</v>
      </c>
      <c r="F1486" t="s">
        <v>41</v>
      </c>
      <c r="G1486">
        <v>-214.31440000000001</v>
      </c>
      <c r="H1486" s="1">
        <v>-2.7908590000000002E-6</v>
      </c>
      <c r="I1486">
        <v>367.53379999999999</v>
      </c>
      <c r="J1486">
        <v>-227.20259999999999</v>
      </c>
      <c r="K1486">
        <v>1.1208039999999999</v>
      </c>
      <c r="L1486">
        <v>367.84129999999999</v>
      </c>
      <c r="M1486">
        <v>0.99992979999999998</v>
      </c>
      <c r="N1486">
        <v>-1.1597700000000001E-2</v>
      </c>
      <c r="O1486">
        <v>2.4623750000000002E-3</v>
      </c>
      <c r="P1486">
        <v>0.99483849999999996</v>
      </c>
      <c r="Q1486">
        <v>-9.8792820000000003E-2</v>
      </c>
      <c r="R1486">
        <v>-2.316354E-2</v>
      </c>
      <c r="S1486">
        <v>2.9885100000000002</v>
      </c>
      <c r="T1486">
        <v>-0.25621260000000001</v>
      </c>
      <c r="U1486">
        <v>-7.0190429999999998E-2</v>
      </c>
      <c r="V1486">
        <v>2.5615430000000002E-2</v>
      </c>
      <c r="W1486">
        <v>-8.7248409999999998E-2</v>
      </c>
      <c r="X1486">
        <v>0.9958572</v>
      </c>
      <c r="Y1486">
        <v>2.582777E-2</v>
      </c>
      <c r="Z1486">
        <v>-1.437252E-3</v>
      </c>
      <c r="AA1486">
        <v>0.99966540000000004</v>
      </c>
      <c r="AB1486">
        <v>17</v>
      </c>
      <c r="AC1486">
        <v>12.8881999999999</v>
      </c>
      <c r="AD1486">
        <v>-1.120806790859</v>
      </c>
      <c r="AE1486">
        <v>-0.30750000000000399</v>
      </c>
      <c r="AF1486">
        <v>0.33669192890649102</v>
      </c>
      <c r="AG1486">
        <v>-1.120806790859</v>
      </c>
      <c r="AH1486">
        <v>12.7907262770144</v>
      </c>
      <c r="AI1486">
        <v>95.006113050257397</v>
      </c>
      <c r="AJ1486">
        <v>88.492144048226393</v>
      </c>
      <c r="AK1486">
        <v>12.844152288529299</v>
      </c>
      <c r="AL1486">
        <v>95.005329750144796</v>
      </c>
      <c r="AM1486">
        <v>88.526563366134098</v>
      </c>
      <c r="AN1486">
        <v>0.99999999904672598</v>
      </c>
    </row>
    <row r="1487" spans="1:40" x14ac:dyDescent="0.25">
      <c r="A1487" t="str">
        <f>"20190303154124679"</f>
        <v>20190303154124679</v>
      </c>
      <c r="B1487" t="str">
        <f>"1551598884671029"</f>
        <v>1551598884671029</v>
      </c>
      <c r="C1487" t="s">
        <v>40</v>
      </c>
      <c r="D1487">
        <v>6.0826849999999997</v>
      </c>
      <c r="E1487">
        <v>0.50012579999999995</v>
      </c>
      <c r="F1487" t="s">
        <v>42</v>
      </c>
      <c r="G1487">
        <v>-226.3289</v>
      </c>
      <c r="H1487">
        <v>1.046281</v>
      </c>
      <c r="I1487">
        <v>367.8211</v>
      </c>
      <c r="J1487">
        <v>-227.03569999999999</v>
      </c>
      <c r="K1487">
        <v>1.120781</v>
      </c>
      <c r="L1487">
        <v>367.84179999999998</v>
      </c>
      <c r="M1487">
        <v>0.99993350000000003</v>
      </c>
      <c r="N1487">
        <v>-1.125697E-2</v>
      </c>
      <c r="O1487">
        <v>2.5051840000000001E-3</v>
      </c>
      <c r="P1487">
        <v>0.99503339999999996</v>
      </c>
      <c r="Q1487">
        <v>-9.7172040000000001E-2</v>
      </c>
      <c r="R1487">
        <v>-2.1594019999999998E-2</v>
      </c>
      <c r="S1487">
        <v>2.988632</v>
      </c>
      <c r="T1487">
        <v>-0.25490089999999999</v>
      </c>
      <c r="U1487">
        <v>-6.9274899999999903E-2</v>
      </c>
      <c r="V1487">
        <v>2.4091270000000001E-2</v>
      </c>
      <c r="W1487">
        <v>-8.5964230000000003E-2</v>
      </c>
      <c r="X1487">
        <v>0.99600690000000003</v>
      </c>
      <c r="Y1487">
        <v>2.5565919999999999E-2</v>
      </c>
      <c r="Z1487">
        <v>-1.4174560000000001E-3</v>
      </c>
      <c r="AA1487">
        <v>0.99967209999999995</v>
      </c>
      <c r="AB1487">
        <v>17</v>
      </c>
      <c r="AC1487">
        <v>0.70679999999998699</v>
      </c>
      <c r="AD1487">
        <v>-7.4499999999999997E-2</v>
      </c>
      <c r="AE1487">
        <v>-2.0699999999976602E-2</v>
      </c>
      <c r="AF1487">
        <v>2.22240110515055E-2</v>
      </c>
      <c r="AG1487">
        <v>-7.4499999999999997E-2</v>
      </c>
      <c r="AH1487">
        <v>0.69898673714354698</v>
      </c>
      <c r="AI1487">
        <v>96.080730230872902</v>
      </c>
      <c r="AJ1487">
        <v>88.178916484582999</v>
      </c>
      <c r="AK1487">
        <v>0.70329696101277095</v>
      </c>
      <c r="AL1487">
        <v>94.931474184061102</v>
      </c>
      <c r="AM1487">
        <v>88.614408192835697</v>
      </c>
      <c r="AN1487">
        <v>0.99999999148865704</v>
      </c>
    </row>
    <row r="1488" spans="1:40" x14ac:dyDescent="0.25">
      <c r="A1488" t="str">
        <f>"20190303154124700"</f>
        <v>20190303154124700</v>
      </c>
      <c r="B1488" t="str">
        <f>"1551598884690549"</f>
        <v>1551598884690549</v>
      </c>
      <c r="C1488" t="s">
        <v>40</v>
      </c>
      <c r="D1488">
        <v>6.2840309999999997</v>
      </c>
      <c r="E1488">
        <v>0.52833479999999999</v>
      </c>
      <c r="F1488" t="s">
        <v>42</v>
      </c>
      <c r="G1488">
        <v>-226.1738</v>
      </c>
      <c r="H1488">
        <v>1.0489710000000001</v>
      </c>
      <c r="I1488">
        <v>367.82260000000002</v>
      </c>
      <c r="J1488">
        <v>-226.87209999999999</v>
      </c>
      <c r="K1488">
        <v>1.120768</v>
      </c>
      <c r="L1488">
        <v>367.84230000000002</v>
      </c>
      <c r="M1488">
        <v>0.99993679999999996</v>
      </c>
      <c r="N1488">
        <v>-1.0957990000000001E-2</v>
      </c>
      <c r="O1488">
        <v>2.5667680000000001E-3</v>
      </c>
      <c r="P1488">
        <v>0.99521369999999998</v>
      </c>
      <c r="Q1488">
        <v>-9.5736970000000005E-2</v>
      </c>
      <c r="R1488">
        <v>-1.9600719999999999E-2</v>
      </c>
      <c r="S1488">
        <v>2.989182</v>
      </c>
      <c r="T1488">
        <v>-0.24941440000000001</v>
      </c>
      <c r="U1488">
        <v>-6.5612790000000004E-2</v>
      </c>
      <c r="V1488">
        <v>2.2162029999999999E-2</v>
      </c>
      <c r="W1488">
        <v>-8.4824549999999999E-2</v>
      </c>
      <c r="X1488">
        <v>0.99614939999999996</v>
      </c>
      <c r="Y1488">
        <v>2.4408340000000001E-2</v>
      </c>
      <c r="Z1488">
        <v>-1.3361239999999999E-3</v>
      </c>
      <c r="AA1488">
        <v>0.99970119999999896</v>
      </c>
      <c r="AB1488">
        <v>17</v>
      </c>
      <c r="AC1488">
        <v>0.69829999999998804</v>
      </c>
      <c r="AD1488">
        <v>-7.1797000000000097E-2</v>
      </c>
      <c r="AE1488">
        <v>-1.97000000000002E-2</v>
      </c>
      <c r="AF1488">
        <v>2.1267767357650201E-2</v>
      </c>
      <c r="AG1488">
        <v>-7.1797000000000097E-2</v>
      </c>
      <c r="AH1488">
        <v>0.69094871170211103</v>
      </c>
      <c r="AI1488">
        <v>95.929568946462396</v>
      </c>
      <c r="AJ1488">
        <v>88.236962206523998</v>
      </c>
      <c r="AK1488">
        <v>0.69499442396337696</v>
      </c>
      <c r="AL1488">
        <v>94.865935919793003</v>
      </c>
      <c r="AM1488">
        <v>88.725511104982203</v>
      </c>
      <c r="AN1488">
        <v>0.99999999348839097</v>
      </c>
    </row>
    <row r="1489" spans="1:40" x14ac:dyDescent="0.25">
      <c r="A1489" t="str">
        <f>"20190303154124722"</f>
        <v>20190303154124722</v>
      </c>
      <c r="B1489" t="str">
        <f>"1551598884711045"</f>
        <v>1551598884711045</v>
      </c>
      <c r="C1489" t="s">
        <v>40</v>
      </c>
      <c r="D1489">
        <v>6.1447890000000003</v>
      </c>
      <c r="E1489">
        <v>0.56294730000000004</v>
      </c>
      <c r="F1489" t="s">
        <v>42</v>
      </c>
      <c r="G1489">
        <v>-226.0198</v>
      </c>
      <c r="H1489">
        <v>1.052411</v>
      </c>
      <c r="I1489">
        <v>367.76080000000002</v>
      </c>
      <c r="J1489">
        <v>-226.70330000000001</v>
      </c>
      <c r="K1489">
        <v>1.120763</v>
      </c>
      <c r="L1489">
        <v>367.84280000000001</v>
      </c>
      <c r="M1489">
        <v>0.99993960000000004</v>
      </c>
      <c r="N1489">
        <v>-1.0685470000000001E-2</v>
      </c>
      <c r="O1489">
        <v>2.6491959999999999E-3</v>
      </c>
      <c r="P1489">
        <v>0.99521119999999996</v>
      </c>
      <c r="Q1489">
        <v>-9.6144530000000006E-2</v>
      </c>
      <c r="R1489">
        <v>-1.7646229999999999E-2</v>
      </c>
      <c r="S1489">
        <v>2.985779</v>
      </c>
      <c r="T1489">
        <v>-0.2395996</v>
      </c>
      <c r="U1489">
        <v>-0.28485110000000002</v>
      </c>
      <c r="V1489">
        <v>2.0291770000000001E-2</v>
      </c>
      <c r="W1489">
        <v>-8.5503170000000003E-2</v>
      </c>
      <c r="X1489">
        <v>0.99613119999999999</v>
      </c>
      <c r="Y1489">
        <v>9.725056E-2</v>
      </c>
      <c r="Z1489">
        <v>-4.5922699999999999E-3</v>
      </c>
      <c r="AA1489">
        <v>0.9952493</v>
      </c>
      <c r="AB1489">
        <v>17</v>
      </c>
      <c r="AC1489">
        <v>0.68350000000000899</v>
      </c>
      <c r="AD1489">
        <v>-6.8351999999999899E-2</v>
      </c>
      <c r="AE1489">
        <v>-8.1999999999993606E-2</v>
      </c>
      <c r="AF1489">
        <v>8.2992344958364606E-2</v>
      </c>
      <c r="AG1489">
        <v>-6.8351999999999899E-2</v>
      </c>
      <c r="AH1489">
        <v>0.67660986831803305</v>
      </c>
      <c r="AI1489">
        <v>95.725898713401506</v>
      </c>
      <c r="AJ1489">
        <v>83.007082771068298</v>
      </c>
      <c r="AK1489">
        <v>0.68509899951104503</v>
      </c>
      <c r="AL1489">
        <v>94.904959933335803</v>
      </c>
      <c r="AM1489">
        <v>88.833013156990702</v>
      </c>
      <c r="AN1489">
        <v>0.99999995781161</v>
      </c>
    </row>
    <row r="1490" spans="1:40" x14ac:dyDescent="0.25">
      <c r="A1490" t="str">
        <f>"20190303154124745"</f>
        <v>20190303154124745</v>
      </c>
      <c r="B1490" t="str">
        <f>"1551598884740328"</f>
        <v>1551598884740328</v>
      </c>
      <c r="C1490" t="s">
        <v>40</v>
      </c>
      <c r="D1490">
        <v>6.0565230000000003</v>
      </c>
      <c r="E1490">
        <v>0.56944039999999996</v>
      </c>
      <c r="F1490" t="s">
        <v>41</v>
      </c>
      <c r="G1490">
        <v>-214.3948</v>
      </c>
      <c r="H1490" s="1">
        <v>-3.1083069999999999E-6</v>
      </c>
      <c r="I1490">
        <v>365.54969999999997</v>
      </c>
      <c r="J1490">
        <v>-226.52799999999999</v>
      </c>
      <c r="K1490">
        <v>1.1207510000000001</v>
      </c>
      <c r="L1490">
        <v>367.84339999999997</v>
      </c>
      <c r="M1490">
        <v>0.99994179999999999</v>
      </c>
      <c r="N1490">
        <v>-1.043793E-2</v>
      </c>
      <c r="O1490">
        <v>2.7519390000000001E-3</v>
      </c>
      <c r="P1490">
        <v>0.99515940000000003</v>
      </c>
      <c r="Q1490">
        <v>-9.6804870000000001E-2</v>
      </c>
      <c r="R1490">
        <v>-1.6940150000000001E-2</v>
      </c>
      <c r="S1490">
        <v>2.9783940000000002</v>
      </c>
      <c r="T1490">
        <v>-0.27119850000000001</v>
      </c>
      <c r="U1490">
        <v>-0.55487059999999999</v>
      </c>
      <c r="V1490">
        <v>1.9689680000000001E-2</v>
      </c>
      <c r="W1490">
        <v>-8.6410199999999895E-2</v>
      </c>
      <c r="X1490">
        <v>0.99606510000000004</v>
      </c>
      <c r="Y1490">
        <v>0.1850164</v>
      </c>
      <c r="Z1490">
        <v>-9.5302519999999995E-3</v>
      </c>
      <c r="AA1490">
        <v>0.98268920000000004</v>
      </c>
      <c r="AB1490">
        <v>17</v>
      </c>
      <c r="AC1490">
        <v>12.133199999999899</v>
      </c>
      <c r="AD1490">
        <v>-1.1207541083069901</v>
      </c>
      <c r="AE1490">
        <v>-2.2936999999999999</v>
      </c>
      <c r="AF1490">
        <v>2.3080691474773798</v>
      </c>
      <c r="AG1490">
        <v>-1.1207541083069901</v>
      </c>
      <c r="AH1490">
        <v>12.0277572555535</v>
      </c>
      <c r="AI1490">
        <v>95.228630139739906</v>
      </c>
      <c r="AJ1490">
        <v>79.137264676215693</v>
      </c>
      <c r="AK1490">
        <v>12.2983827212908</v>
      </c>
      <c r="AL1490">
        <v>94.957121554258407</v>
      </c>
      <c r="AM1490">
        <v>88.867555285521306</v>
      </c>
      <c r="AN1490">
        <v>1.0000000448002699</v>
      </c>
    </row>
    <row r="1491" spans="1:40" x14ac:dyDescent="0.25">
      <c r="A1491" t="str">
        <f>"20190303154124767"</f>
        <v>20190303154124767</v>
      </c>
      <c r="B1491" t="str">
        <f>"1551598884760821"</f>
        <v>1551598884760821</v>
      </c>
      <c r="C1491" t="s">
        <v>40</v>
      </c>
      <c r="D1491">
        <v>6.0689599999999997</v>
      </c>
      <c r="E1491">
        <v>0.57094840000000002</v>
      </c>
      <c r="F1491" t="s">
        <v>41</v>
      </c>
      <c r="G1491">
        <v>-213.44110000000001</v>
      </c>
      <c r="H1491" s="1">
        <v>-3.581564E-6</v>
      </c>
      <c r="I1491">
        <v>365.18810000000002</v>
      </c>
      <c r="J1491">
        <v>-226.35820000000001</v>
      </c>
      <c r="K1491">
        <v>1.120743</v>
      </c>
      <c r="L1491">
        <v>367.84399999999999</v>
      </c>
      <c r="M1491">
        <v>0.99994349999999999</v>
      </c>
      <c r="N1491">
        <v>-1.0228259999999999E-2</v>
      </c>
      <c r="O1491">
        <v>2.8633529999999999E-3</v>
      </c>
      <c r="P1491">
        <v>0.9951641</v>
      </c>
      <c r="Q1491">
        <v>-9.6931920000000005E-2</v>
      </c>
      <c r="R1491">
        <v>-1.5895059999999999E-2</v>
      </c>
      <c r="S1491">
        <v>2.9794619999999998</v>
      </c>
      <c r="T1491">
        <v>-0.25515880000000002</v>
      </c>
      <c r="U1491">
        <v>-0.60452269999999997</v>
      </c>
      <c r="V1491">
        <v>1.8756979999999999E-2</v>
      </c>
      <c r="W1491">
        <v>-8.6745879999999997E-2</v>
      </c>
      <c r="X1491">
        <v>0.99605390000000005</v>
      </c>
      <c r="Y1491">
        <v>0.2008491</v>
      </c>
      <c r="Z1491">
        <v>-9.7514200000000002E-3</v>
      </c>
      <c r="AA1491">
        <v>0.97957369999999999</v>
      </c>
      <c r="AB1491">
        <v>17</v>
      </c>
      <c r="AC1491">
        <v>12.9171</v>
      </c>
      <c r="AD1491">
        <v>-1.1207465815639901</v>
      </c>
      <c r="AE1491">
        <v>-2.6558999999999702</v>
      </c>
      <c r="AF1491">
        <v>2.67356678414516</v>
      </c>
      <c r="AG1491">
        <v>-1.1207465815639901</v>
      </c>
      <c r="AH1491">
        <v>12.816868930428299</v>
      </c>
      <c r="AI1491">
        <v>94.892623457312197</v>
      </c>
      <c r="AJ1491">
        <v>78.217205939940001</v>
      </c>
      <c r="AK1491">
        <v>13.1406301762567</v>
      </c>
      <c r="AL1491">
        <v>94.976427206154099</v>
      </c>
      <c r="AM1491">
        <v>88.921174062842994</v>
      </c>
      <c r="AN1491">
        <v>1.0000000218504499</v>
      </c>
    </row>
    <row r="1492" spans="1:40" x14ac:dyDescent="0.25">
      <c r="A1492" t="str">
        <f>"20190303154124779"</f>
        <v>20190303154124779</v>
      </c>
      <c r="B1492" t="str">
        <f>"1551598884770582"</f>
        <v>1551598884770582</v>
      </c>
      <c r="C1492" t="s">
        <v>40</v>
      </c>
      <c r="D1492">
        <v>6.0812619999999997</v>
      </c>
      <c r="E1492">
        <v>0.57161640000000002</v>
      </c>
      <c r="F1492" t="s">
        <v>41</v>
      </c>
      <c r="G1492">
        <v>-213.05439999999999</v>
      </c>
      <c r="H1492" s="1">
        <v>-3.7620320000000002E-6</v>
      </c>
      <c r="I1492">
        <v>365.10599999999999</v>
      </c>
      <c r="J1492">
        <v>-226.26580000000001</v>
      </c>
      <c r="K1492">
        <v>1.120741</v>
      </c>
      <c r="L1492">
        <v>367.84429999999998</v>
      </c>
      <c r="M1492">
        <v>0.99994459999999996</v>
      </c>
      <c r="N1492">
        <v>-1.0123689999999999E-2</v>
      </c>
      <c r="O1492">
        <v>2.9269029999999998E-3</v>
      </c>
      <c r="P1492">
        <v>0.99515489999999995</v>
      </c>
      <c r="Q1492">
        <v>-9.7078070000000002E-2</v>
      </c>
      <c r="R1492">
        <v>-1.558736E-2</v>
      </c>
      <c r="S1492">
        <v>2.9803310000000001</v>
      </c>
      <c r="T1492">
        <v>-0.25106970000000001</v>
      </c>
      <c r="U1492">
        <v>-0.61334230000000001</v>
      </c>
      <c r="V1492">
        <v>1.8512830000000001E-2</v>
      </c>
      <c r="W1492">
        <v>-8.6996229999999994E-2</v>
      </c>
      <c r="X1492">
        <v>0.99603660000000005</v>
      </c>
      <c r="Y1492">
        <v>0.20365240000000001</v>
      </c>
      <c r="Z1492">
        <v>-9.7324390000000007E-3</v>
      </c>
      <c r="AA1492">
        <v>0.9789949</v>
      </c>
      <c r="AB1492">
        <v>17</v>
      </c>
      <c r="AC1492">
        <v>13.211399999999999</v>
      </c>
      <c r="AD1492">
        <v>-1.1207447620319999</v>
      </c>
      <c r="AE1492">
        <v>-2.7382999999999802</v>
      </c>
      <c r="AF1492">
        <v>2.7579290656423301</v>
      </c>
      <c r="AG1492">
        <v>-1.1207447620319999</v>
      </c>
      <c r="AH1492">
        <v>13.112849800184501</v>
      </c>
      <c r="AI1492">
        <v>94.781050863173604</v>
      </c>
      <c r="AJ1492">
        <v>78.122517425290994</v>
      </c>
      <c r="AK1492">
        <v>13.4465263705886</v>
      </c>
      <c r="AL1492">
        <v>94.990825802368903</v>
      </c>
      <c r="AM1492">
        <v>88.935194843267695</v>
      </c>
      <c r="AN1492">
        <v>0.99999998872419005</v>
      </c>
    </row>
    <row r="1493" spans="1:40" x14ac:dyDescent="0.25">
      <c r="A1493" t="str">
        <f>"20190303154124792"</f>
        <v>20190303154124792</v>
      </c>
      <c r="B1493" t="str">
        <f>"1551598884780341"</f>
        <v>1551598884780341</v>
      </c>
      <c r="C1493" t="s">
        <v>40</v>
      </c>
      <c r="D1493">
        <v>6.0759290000000004</v>
      </c>
      <c r="E1493">
        <v>0.57205099999999998</v>
      </c>
      <c r="F1493" t="s">
        <v>41</v>
      </c>
      <c r="G1493">
        <v>-213.017</v>
      </c>
      <c r="H1493" s="1">
        <v>-3.7793509999999999E-6</v>
      </c>
      <c r="I1493">
        <v>365.09879999999998</v>
      </c>
      <c r="J1493">
        <v>-226.1635</v>
      </c>
      <c r="K1493">
        <v>1.120736</v>
      </c>
      <c r="L1493">
        <v>367.84469999999999</v>
      </c>
      <c r="M1493">
        <v>0.99994530000000004</v>
      </c>
      <c r="N1493">
        <v>-1.001578E-2</v>
      </c>
      <c r="O1493">
        <v>2.999987E-3</v>
      </c>
      <c r="P1493">
        <v>0.9951972</v>
      </c>
      <c r="Q1493">
        <v>-9.6641240000000003E-2</v>
      </c>
      <c r="R1493">
        <v>-1.55958E-2</v>
      </c>
      <c r="S1493">
        <v>2.9803160000000002</v>
      </c>
      <c r="T1493">
        <v>-0.25211070000000002</v>
      </c>
      <c r="U1493">
        <v>-0.61761469999999996</v>
      </c>
      <c r="V1493">
        <v>1.8594340000000001E-2</v>
      </c>
      <c r="W1493">
        <v>-8.6666469999999995E-2</v>
      </c>
      <c r="X1493">
        <v>0.99606380000000005</v>
      </c>
      <c r="Y1493">
        <v>0.2050601</v>
      </c>
      <c r="Z1493">
        <v>-9.8279419999999992E-3</v>
      </c>
      <c r="AA1493">
        <v>0.97870000000000001</v>
      </c>
      <c r="AB1493">
        <v>17</v>
      </c>
      <c r="AC1493">
        <v>13.1465</v>
      </c>
      <c r="AD1493">
        <v>-1.1207397793510001</v>
      </c>
      <c r="AE1493">
        <v>-2.7458999999999998</v>
      </c>
      <c r="AF1493">
        <v>2.76606670710119</v>
      </c>
      <c r="AG1493">
        <v>-1.1207397793510001</v>
      </c>
      <c r="AH1493">
        <v>13.0473440922874</v>
      </c>
      <c r="AI1493">
        <v>94.803297768387196</v>
      </c>
      <c r="AJ1493">
        <v>78.030388562602596</v>
      </c>
      <c r="AK1493">
        <v>13.384333025731999</v>
      </c>
      <c r="AL1493">
        <v>94.971860456389393</v>
      </c>
      <c r="AM1493">
        <v>88.930536905550596</v>
      </c>
      <c r="AN1493">
        <v>0.99999996008636705</v>
      </c>
    </row>
    <row r="1494" spans="1:40" x14ac:dyDescent="0.25">
      <c r="A1494" t="str">
        <f>"20190303154124804"</f>
        <v>20190303154124804</v>
      </c>
      <c r="B1494" t="str">
        <f>"1551598884800838"</f>
        <v>1551598884800838</v>
      </c>
      <c r="C1494" t="s">
        <v>40</v>
      </c>
      <c r="D1494">
        <v>6.0585469999999999</v>
      </c>
      <c r="E1494">
        <v>0.57279630000000004</v>
      </c>
      <c r="F1494" t="s">
        <v>41</v>
      </c>
      <c r="G1494">
        <v>-212.8493</v>
      </c>
      <c r="H1494" s="1">
        <v>-3.8565600000000002E-6</v>
      </c>
      <c r="I1494">
        <v>365.06909999999999</v>
      </c>
      <c r="J1494">
        <v>-226.06890000000001</v>
      </c>
      <c r="K1494">
        <v>1.1207339999999999</v>
      </c>
      <c r="L1494">
        <v>367.8451</v>
      </c>
      <c r="M1494">
        <v>0.99994609999999995</v>
      </c>
      <c r="N1494">
        <v>-9.922373E-3</v>
      </c>
      <c r="O1494">
        <v>3.068449E-3</v>
      </c>
      <c r="P1494">
        <v>0.99521859999999995</v>
      </c>
      <c r="Q1494">
        <v>-9.6293539999999997E-2</v>
      </c>
      <c r="R1494">
        <v>-1.636754E-2</v>
      </c>
      <c r="S1494">
        <v>2.9803920000000002</v>
      </c>
      <c r="T1494">
        <v>-0.25087789999999999</v>
      </c>
      <c r="U1494">
        <v>-0.62130739999999995</v>
      </c>
      <c r="V1494">
        <v>1.9434099999999999E-2</v>
      </c>
      <c r="W1494">
        <v>-8.6411520000000006E-2</v>
      </c>
      <c r="X1494">
        <v>0.99607000000000001</v>
      </c>
      <c r="Y1494">
        <v>0.2062879</v>
      </c>
      <c r="Z1494">
        <v>-9.8365750000000002E-3</v>
      </c>
      <c r="AA1494">
        <v>0.97844189999999998</v>
      </c>
      <c r="AB1494">
        <v>17</v>
      </c>
      <c r="AC1494">
        <v>13.2196</v>
      </c>
      <c r="AD1494">
        <v>-1.1207378565599999</v>
      </c>
      <c r="AE1494">
        <v>-2.77600000000001</v>
      </c>
      <c r="AF1494">
        <v>2.7972964473470499</v>
      </c>
      <c r="AG1494">
        <v>-1.1207378565599999</v>
      </c>
      <c r="AH1494">
        <v>13.1206985113465</v>
      </c>
      <c r="AI1494">
        <v>94.775404748514504</v>
      </c>
      <c r="AJ1494">
        <v>77.964884304302004</v>
      </c>
      <c r="AK1494">
        <v>13.462304787187</v>
      </c>
      <c r="AL1494">
        <v>94.957197492660697</v>
      </c>
      <c r="AM1494">
        <v>88.882256618763094</v>
      </c>
      <c r="AN1494">
        <v>1.00000003996575</v>
      </c>
    </row>
    <row r="1495" spans="1:40" x14ac:dyDescent="0.25">
      <c r="A1495" t="str">
        <f>"20190303154124820"</f>
        <v>20190303154124820</v>
      </c>
      <c r="B1495" t="str">
        <f>"1551598884810597"</f>
        <v>1551598884810597</v>
      </c>
      <c r="C1495" t="s">
        <v>40</v>
      </c>
      <c r="D1495">
        <v>6.069445</v>
      </c>
      <c r="E1495">
        <v>0.57312439999999998</v>
      </c>
      <c r="F1495" t="s">
        <v>41</v>
      </c>
      <c r="G1495">
        <v>-212.49459999999999</v>
      </c>
      <c r="H1495" s="1">
        <v>-4.0249280000000001E-6</v>
      </c>
      <c r="I1495">
        <v>364.97789999999998</v>
      </c>
      <c r="J1495">
        <v>-225.95519999999999</v>
      </c>
      <c r="K1495">
        <v>1.1207260000000001</v>
      </c>
      <c r="L1495">
        <v>367.84550000000002</v>
      </c>
      <c r="M1495">
        <v>0.99994680000000002</v>
      </c>
      <c r="N1495">
        <v>-9.8147970000000001E-3</v>
      </c>
      <c r="O1495">
        <v>3.151268E-3</v>
      </c>
      <c r="P1495">
        <v>0.99524650000000003</v>
      </c>
      <c r="Q1495">
        <v>-9.5945160000000002E-2</v>
      </c>
      <c r="R1495">
        <v>-1.6706619999999998E-2</v>
      </c>
      <c r="S1495">
        <v>2.9802550000000001</v>
      </c>
      <c r="T1495">
        <v>-0.24605740000000001</v>
      </c>
      <c r="U1495">
        <v>-0.62948609999999905</v>
      </c>
      <c r="V1495">
        <v>1.9855390000000001E-2</v>
      </c>
      <c r="W1495">
        <v>-8.6170129999999998E-2</v>
      </c>
      <c r="X1495">
        <v>0.99608249999999998</v>
      </c>
      <c r="Y1495">
        <v>0.20896890000000001</v>
      </c>
      <c r="Z1495">
        <v>-9.7833199999999999E-3</v>
      </c>
      <c r="AA1495">
        <v>0.9778734</v>
      </c>
      <c r="AB1495">
        <v>17</v>
      </c>
      <c r="AC1495">
        <v>13.460599999999999</v>
      </c>
      <c r="AD1495">
        <v>-1.1207300249279999</v>
      </c>
      <c r="AE1495">
        <v>-2.8676000000000301</v>
      </c>
      <c r="AF1495">
        <v>2.8908358348436001</v>
      </c>
      <c r="AG1495">
        <v>-1.1207300249279999</v>
      </c>
      <c r="AH1495">
        <v>13.362883183038001</v>
      </c>
      <c r="AI1495">
        <v>94.686209145082501</v>
      </c>
      <c r="AJ1495">
        <v>77.793125830471595</v>
      </c>
      <c r="AK1495">
        <v>13.7178575067797</v>
      </c>
      <c r="AL1495">
        <v>94.943315592161397</v>
      </c>
      <c r="AM1495">
        <v>88.858046992267205</v>
      </c>
      <c r="AN1495">
        <v>0.99999993731125703</v>
      </c>
    </row>
    <row r="1496" spans="1:40" x14ac:dyDescent="0.25">
      <c r="A1496" t="str">
        <f>"20190303154124834"</f>
        <v>20190303154124834</v>
      </c>
      <c r="B1496" t="str">
        <f>"1551598884831094"</f>
        <v>1551598884831094</v>
      </c>
      <c r="C1496" t="s">
        <v>40</v>
      </c>
      <c r="D1496">
        <v>6.0895299999999999</v>
      </c>
      <c r="E1496">
        <v>0.57358809999999905</v>
      </c>
      <c r="F1496" t="s">
        <v>41</v>
      </c>
      <c r="G1496">
        <v>-212.29830000000001</v>
      </c>
      <c r="H1496" s="1">
        <v>-4.1150929999999998E-6</v>
      </c>
      <c r="I1496">
        <v>364.9443</v>
      </c>
      <c r="J1496">
        <v>-225.8355</v>
      </c>
      <c r="K1496">
        <v>1.1207229999999999</v>
      </c>
      <c r="L1496">
        <v>367.846</v>
      </c>
      <c r="M1496">
        <v>0.99994769999999999</v>
      </c>
      <c r="N1496">
        <v>-9.7079430000000001E-3</v>
      </c>
      <c r="O1496">
        <v>3.238239E-3</v>
      </c>
      <c r="P1496">
        <v>0.99529749999999995</v>
      </c>
      <c r="Q1496">
        <v>-9.5160069999999999E-2</v>
      </c>
      <c r="R1496">
        <v>-1.8097780000000001E-2</v>
      </c>
      <c r="S1496">
        <v>2.9801329999999999</v>
      </c>
      <c r="T1496">
        <v>-0.24455740000000001</v>
      </c>
      <c r="U1496">
        <v>-0.63308719999999996</v>
      </c>
      <c r="V1496">
        <v>2.1332759999999999E-2</v>
      </c>
      <c r="W1496">
        <v>-8.5490949999999996E-2</v>
      </c>
      <c r="X1496">
        <v>0.99611059999999996</v>
      </c>
      <c r="Y1496">
        <v>0.21019789999999999</v>
      </c>
      <c r="Z1496">
        <v>-9.7804520000000002E-3</v>
      </c>
      <c r="AA1496">
        <v>0.97760990000000003</v>
      </c>
      <c r="AB1496">
        <v>17</v>
      </c>
      <c r="AC1496">
        <v>13.537199999999901</v>
      </c>
      <c r="AD1496">
        <v>-1.1207271150929901</v>
      </c>
      <c r="AE1496">
        <v>-2.9016999999999999</v>
      </c>
      <c r="AF1496">
        <v>2.9263475057017398</v>
      </c>
      <c r="AG1496">
        <v>-1.1207271150929901</v>
      </c>
      <c r="AH1496">
        <v>13.4396635504947</v>
      </c>
      <c r="AI1496">
        <v>94.658191040122006</v>
      </c>
      <c r="AJ1496">
        <v>77.716170116950593</v>
      </c>
      <c r="AK1496">
        <v>13.800148381127199</v>
      </c>
      <c r="AL1496">
        <v>94.904256711728095</v>
      </c>
      <c r="AM1496">
        <v>88.773137942698</v>
      </c>
      <c r="AN1496">
        <v>1.0000000583067301</v>
      </c>
    </row>
    <row r="1497" spans="1:40" x14ac:dyDescent="0.25">
      <c r="A1497" t="str">
        <f>"20190303154124847"</f>
        <v>20190303154124847</v>
      </c>
      <c r="B1497" t="str">
        <f>"1551598884840853"</f>
        <v>1551598884840853</v>
      </c>
      <c r="C1497" t="s">
        <v>40</v>
      </c>
      <c r="D1497">
        <v>6.0590909999999996</v>
      </c>
      <c r="E1497">
        <v>0.57370759999999998</v>
      </c>
      <c r="F1497" t="s">
        <v>41</v>
      </c>
      <c r="G1497">
        <v>-212.06290000000001</v>
      </c>
      <c r="H1497" s="1">
        <v>-4.2270609999999997E-6</v>
      </c>
      <c r="I1497">
        <v>364.88240000000002</v>
      </c>
      <c r="J1497">
        <v>-225.73320000000001</v>
      </c>
      <c r="K1497">
        <v>1.1207149999999999</v>
      </c>
      <c r="L1497">
        <v>367.84640000000002</v>
      </c>
      <c r="M1497">
        <v>0.99994819999999995</v>
      </c>
      <c r="N1497">
        <v>-9.6229539999999995E-3</v>
      </c>
      <c r="O1497">
        <v>3.3115110000000001E-3</v>
      </c>
      <c r="P1497">
        <v>0.99532750000000003</v>
      </c>
      <c r="Q1497">
        <v>-9.4749949999999999E-2</v>
      </c>
      <c r="R1497">
        <v>-1.8591150000000001E-2</v>
      </c>
      <c r="S1497">
        <v>2.9793240000000001</v>
      </c>
      <c r="T1497">
        <v>-0.24243609999999999</v>
      </c>
      <c r="U1497">
        <v>-0.64108279999999995</v>
      </c>
      <c r="V1497">
        <v>2.1898560000000001E-2</v>
      </c>
      <c r="W1497">
        <v>-8.5165320000000003E-2</v>
      </c>
      <c r="X1497">
        <v>0.99612619999999996</v>
      </c>
      <c r="Y1497">
        <v>0.21283540000000001</v>
      </c>
      <c r="Z1497">
        <v>-9.8199110000000006E-3</v>
      </c>
      <c r="AA1497">
        <v>0.97703870000000004</v>
      </c>
      <c r="AB1497">
        <v>17</v>
      </c>
      <c r="AC1497">
        <v>13.6702999999999</v>
      </c>
      <c r="AD1497">
        <v>-1.12071922706099</v>
      </c>
      <c r="AE1497">
        <v>-2.9639999999999902</v>
      </c>
      <c r="AF1497">
        <v>2.9900611545909999</v>
      </c>
      <c r="AG1497">
        <v>-1.12071922706099</v>
      </c>
      <c r="AH1497">
        <v>13.573278598020501</v>
      </c>
      <c r="AI1497">
        <v>94.610054965003698</v>
      </c>
      <c r="AJ1497">
        <v>77.576719196065199</v>
      </c>
      <c r="AK1497">
        <v>13.943829072158699</v>
      </c>
      <c r="AL1497">
        <v>94.885531271740504</v>
      </c>
      <c r="AM1497">
        <v>88.7406284471448</v>
      </c>
      <c r="AN1497">
        <v>1.0000000424936</v>
      </c>
    </row>
    <row r="1498" spans="1:40" x14ac:dyDescent="0.25">
      <c r="A1498" t="str">
        <f>"20190303154124862"</f>
        <v>20190303154124862</v>
      </c>
      <c r="B1498" t="str">
        <f>"1551598884850614"</f>
        <v>1551598884850614</v>
      </c>
      <c r="C1498" t="s">
        <v>40</v>
      </c>
      <c r="D1498">
        <v>6.0638100000000001</v>
      </c>
      <c r="E1498">
        <v>0.57391969999999903</v>
      </c>
      <c r="F1498" t="s">
        <v>41</v>
      </c>
      <c r="G1498">
        <v>-211.9289</v>
      </c>
      <c r="H1498" s="1">
        <v>-4.2875619999999996E-6</v>
      </c>
      <c r="I1498">
        <v>364.86529999999999</v>
      </c>
      <c r="J1498">
        <v>-225.62479999999999</v>
      </c>
      <c r="K1498">
        <v>1.1207069999999999</v>
      </c>
      <c r="L1498">
        <v>367.84690000000001</v>
      </c>
      <c r="M1498">
        <v>0.99994890000000003</v>
      </c>
      <c r="N1498">
        <v>-9.5371829999999994E-3</v>
      </c>
      <c r="O1498">
        <v>3.3877619999999999E-3</v>
      </c>
      <c r="P1498">
        <v>0.99537319999999996</v>
      </c>
      <c r="Q1498">
        <v>-9.4259369999999995E-2</v>
      </c>
      <c r="R1498">
        <v>-1.8639010000000001E-2</v>
      </c>
      <c r="S1498">
        <v>2.979034</v>
      </c>
      <c r="T1498">
        <v>-0.24185680000000001</v>
      </c>
      <c r="U1498">
        <v>-0.6433411</v>
      </c>
      <c r="V1498">
        <v>2.2021869999999999E-2</v>
      </c>
      <c r="W1498">
        <v>-8.4759890000000004E-2</v>
      </c>
      <c r="X1498">
        <v>0.99615799999999999</v>
      </c>
      <c r="Y1498">
        <v>0.2136383</v>
      </c>
      <c r="Z1498">
        <v>-9.8316080000000004E-3</v>
      </c>
      <c r="AA1498">
        <v>0.97686340000000005</v>
      </c>
      <c r="AB1498">
        <v>17</v>
      </c>
      <c r="AC1498">
        <v>13.6958999999999</v>
      </c>
      <c r="AD1498">
        <v>-1.120711287562</v>
      </c>
      <c r="AE1498">
        <v>-2.98160000000001</v>
      </c>
      <c r="AF1498">
        <v>3.00874887396541</v>
      </c>
      <c r="AG1498">
        <v>-1.120711287562</v>
      </c>
      <c r="AH1498">
        <v>13.598784598559201</v>
      </c>
      <c r="AI1498">
        <v>94.600486194448706</v>
      </c>
      <c r="AJ1498">
        <v>77.524214638582094</v>
      </c>
      <c r="AK1498">
        <v>13.9726699715791</v>
      </c>
      <c r="AL1498">
        <v>94.862217843598103</v>
      </c>
      <c r="AM1498">
        <v>88.733579690213205</v>
      </c>
      <c r="AN1498">
        <v>0.99999998133755397</v>
      </c>
    </row>
    <row r="1499" spans="1:40" x14ac:dyDescent="0.25">
      <c r="A1499" t="str">
        <f>"20190303154124879"</f>
        <v>20190303154124879</v>
      </c>
      <c r="B1499" t="str">
        <f>"1551598884871108"</f>
        <v>1551598884871108</v>
      </c>
      <c r="C1499" t="s">
        <v>40</v>
      </c>
      <c r="D1499">
        <v>6.0682499999999999</v>
      </c>
      <c r="E1499">
        <v>0.57429580000000002</v>
      </c>
      <c r="F1499" t="s">
        <v>41</v>
      </c>
      <c r="G1499">
        <v>-211.73060000000001</v>
      </c>
      <c r="H1499" s="1">
        <v>-4.3774499999999999E-6</v>
      </c>
      <c r="I1499">
        <v>364.83819999999997</v>
      </c>
      <c r="J1499">
        <v>-225.48179999999999</v>
      </c>
      <c r="K1499">
        <v>1.120706</v>
      </c>
      <c r="L1499">
        <v>367.84750000000003</v>
      </c>
      <c r="M1499">
        <v>0.99994950000000005</v>
      </c>
      <c r="N1499">
        <v>-9.4331129999999999E-3</v>
      </c>
      <c r="O1499">
        <v>3.4863799999999999E-3</v>
      </c>
      <c r="P1499">
        <v>0.99548769999999998</v>
      </c>
      <c r="Q1499">
        <v>-9.3241729999999995E-2</v>
      </c>
      <c r="R1499">
        <v>-1.7615869999999999E-2</v>
      </c>
      <c r="S1499">
        <v>2.9791259999999999</v>
      </c>
      <c r="T1499">
        <v>-0.2402966</v>
      </c>
      <c r="U1499">
        <v>-0.64511109999999905</v>
      </c>
      <c r="V1499">
        <v>2.1096469999999999E-2</v>
      </c>
      <c r="W1499">
        <v>-8.384519E-2</v>
      </c>
      <c r="X1499">
        <v>0.99625549999999996</v>
      </c>
      <c r="Y1499">
        <v>0.2142907</v>
      </c>
      <c r="Z1499">
        <v>-9.7991550000000004E-3</v>
      </c>
      <c r="AA1499">
        <v>0.97672079999999994</v>
      </c>
      <c r="AB1499">
        <v>18</v>
      </c>
      <c r="AC1499">
        <v>13.7511999999999</v>
      </c>
      <c r="AD1499">
        <v>-1.12071037745</v>
      </c>
      <c r="AE1499">
        <v>-3.0093000000000498</v>
      </c>
      <c r="AF1499">
        <v>3.0379694379796001</v>
      </c>
      <c r="AG1499">
        <v>-1.12071037745</v>
      </c>
      <c r="AH1499">
        <v>13.6540773891074</v>
      </c>
      <c r="AI1499">
        <v>94.580731974976004</v>
      </c>
      <c r="AJ1499">
        <v>77.456277671254497</v>
      </c>
      <c r="AK1499">
        <v>14.032785874656399</v>
      </c>
      <c r="AL1499">
        <v>94.809621834645498</v>
      </c>
      <c r="AM1499">
        <v>88.786899474213598</v>
      </c>
      <c r="AN1499">
        <v>1.00000004910642</v>
      </c>
    </row>
    <row r="1500" spans="1:40" x14ac:dyDescent="0.25">
      <c r="A1500" t="str">
        <f>"20190303154124902"</f>
        <v>20190303154124902</v>
      </c>
      <c r="B1500" t="str">
        <f>"1551598884890629"</f>
        <v>1551598884890629</v>
      </c>
      <c r="C1500" t="s">
        <v>40</v>
      </c>
      <c r="D1500">
        <v>6.0658760000000003</v>
      </c>
      <c r="E1500">
        <v>0.57463940000000002</v>
      </c>
      <c r="F1500" t="s">
        <v>41</v>
      </c>
      <c r="G1500">
        <v>-211.37299999999999</v>
      </c>
      <c r="H1500" s="1">
        <v>-4.538812E-6</v>
      </c>
      <c r="I1500">
        <v>364.79329999999999</v>
      </c>
      <c r="J1500">
        <v>-225.31020000000001</v>
      </c>
      <c r="K1500">
        <v>1.1207</v>
      </c>
      <c r="L1500">
        <v>367.84820000000002</v>
      </c>
      <c r="M1500">
        <v>0.99995009999999995</v>
      </c>
      <c r="N1500">
        <v>-9.322917E-3</v>
      </c>
      <c r="O1500">
        <v>3.6002209999999998E-3</v>
      </c>
      <c r="P1500">
        <v>0.99561010000000005</v>
      </c>
      <c r="Q1500">
        <v>-9.2054949999999997E-2</v>
      </c>
      <c r="R1500">
        <v>-1.693246E-2</v>
      </c>
      <c r="S1500">
        <v>2.9799799999999999</v>
      </c>
      <c r="T1500">
        <v>-0.23670910000000001</v>
      </c>
      <c r="U1500">
        <v>-0.6450806</v>
      </c>
      <c r="V1500">
        <v>2.0526019999999999E-2</v>
      </c>
      <c r="W1500">
        <v>-8.276733E-2</v>
      </c>
      <c r="X1500">
        <v>0.99635750000000001</v>
      </c>
      <c r="Y1500">
        <v>0.2143563</v>
      </c>
      <c r="Z1500">
        <v>-9.6647690000000001E-3</v>
      </c>
      <c r="AA1500">
        <v>0.97670769999999996</v>
      </c>
      <c r="AB1500">
        <v>18</v>
      </c>
      <c r="AC1500">
        <v>13.937200000000001</v>
      </c>
      <c r="AD1500">
        <v>-1.1207045388120001</v>
      </c>
      <c r="AE1500">
        <v>-3.0549000000000301</v>
      </c>
      <c r="AF1500">
        <v>3.0860201103165101</v>
      </c>
      <c r="AG1500">
        <v>-1.1207045388120001</v>
      </c>
      <c r="AH1500">
        <v>13.840720248751399</v>
      </c>
      <c r="AI1500">
        <v>94.518744625447894</v>
      </c>
      <c r="AJ1500">
        <v>77.430549043685701</v>
      </c>
      <c r="AK1500">
        <v>14.224803541307301</v>
      </c>
      <c r="AL1500">
        <v>94.747649784800103</v>
      </c>
      <c r="AM1500">
        <v>88.819813184885305</v>
      </c>
      <c r="AN1500">
        <v>1.0000000081092999</v>
      </c>
    </row>
    <row r="1501" spans="1:40" x14ac:dyDescent="0.25">
      <c r="A1501" t="str">
        <f>"20190303154124915"</f>
        <v>20190303154124915</v>
      </c>
      <c r="B1501" t="str">
        <f>"1551598884911125"</f>
        <v>1551598884911125</v>
      </c>
      <c r="C1501" t="s">
        <v>40</v>
      </c>
      <c r="D1501">
        <v>6.0457299999999998</v>
      </c>
      <c r="E1501">
        <v>0.57498660000000001</v>
      </c>
      <c r="F1501" t="s">
        <v>41</v>
      </c>
      <c r="G1501">
        <v>-210.9494</v>
      </c>
      <c r="H1501" s="1">
        <v>-4.7305319999999999E-6</v>
      </c>
      <c r="I1501">
        <v>364.7371</v>
      </c>
      <c r="J1501">
        <v>-225.203</v>
      </c>
      <c r="K1501">
        <v>1.1206989999999999</v>
      </c>
      <c r="L1501">
        <v>367.84870000000001</v>
      </c>
      <c r="M1501">
        <v>0.99995029999999996</v>
      </c>
      <c r="N1501">
        <v>-9.2604639999999995E-3</v>
      </c>
      <c r="O1501">
        <v>3.669514E-3</v>
      </c>
      <c r="P1501">
        <v>0.99560199999999999</v>
      </c>
      <c r="Q1501">
        <v>-9.2225310000000005E-2</v>
      </c>
      <c r="R1501">
        <v>-1.6476609999999999E-2</v>
      </c>
      <c r="S1501">
        <v>2.9807429999999999</v>
      </c>
      <c r="T1501">
        <v>-0.23261390000000001</v>
      </c>
      <c r="U1501">
        <v>-0.64575199999999999</v>
      </c>
      <c r="V1501">
        <v>2.0138630000000001E-2</v>
      </c>
      <c r="W1501">
        <v>-8.3000099999999993E-2</v>
      </c>
      <c r="X1501">
        <v>0.99634610000000001</v>
      </c>
      <c r="Y1501">
        <v>0.21460609999999999</v>
      </c>
      <c r="Z1501">
        <v>-9.5215160000000007E-3</v>
      </c>
      <c r="AA1501">
        <v>0.97665429999999998</v>
      </c>
      <c r="AB1501">
        <v>18</v>
      </c>
      <c r="AC1501">
        <v>14.2536</v>
      </c>
      <c r="AD1501">
        <v>-1.12070373053199</v>
      </c>
      <c r="AE1501">
        <v>-3.1116000000000001</v>
      </c>
      <c r="AF1501">
        <v>3.1453250246051998</v>
      </c>
      <c r="AG1501">
        <v>-1.12070373053199</v>
      </c>
      <c r="AH1501">
        <v>14.1585382228147</v>
      </c>
      <c r="AI1501">
        <v>94.418476666572701</v>
      </c>
      <c r="AJ1501">
        <v>77.475113442122904</v>
      </c>
      <c r="AK1501">
        <v>14.546932699677299</v>
      </c>
      <c r="AL1501">
        <v>94.761032294204199</v>
      </c>
      <c r="AM1501">
        <v>88.842067622395007</v>
      </c>
      <c r="AN1501">
        <v>1.0000000660017401</v>
      </c>
    </row>
    <row r="1502" spans="1:40" x14ac:dyDescent="0.25">
      <c r="A1502" t="str">
        <f>"20190303154124927"</f>
        <v>20190303154124927</v>
      </c>
      <c r="B1502" t="str">
        <f>"1551598884920885"</f>
        <v>1551598884920885</v>
      </c>
      <c r="C1502" t="s">
        <v>40</v>
      </c>
      <c r="D1502">
        <v>6.0252230000000004</v>
      </c>
      <c r="E1502">
        <v>0.57519580000000003</v>
      </c>
      <c r="F1502" t="s">
        <v>41</v>
      </c>
      <c r="G1502">
        <v>-210.95750000000001</v>
      </c>
      <c r="H1502" s="1">
        <v>-4.7237670000000001E-6</v>
      </c>
      <c r="I1502">
        <v>364.75560000000002</v>
      </c>
      <c r="J1502">
        <v>-225.10300000000001</v>
      </c>
      <c r="K1502">
        <v>1.120692</v>
      </c>
      <c r="L1502">
        <v>367.8492</v>
      </c>
      <c r="M1502">
        <v>0.99995060000000002</v>
      </c>
      <c r="N1502">
        <v>-9.2089689999999991E-3</v>
      </c>
      <c r="O1502">
        <v>3.7321469999999999E-3</v>
      </c>
      <c r="P1502">
        <v>0.9955193</v>
      </c>
      <c r="Q1502">
        <v>-9.3105640000000003E-2</v>
      </c>
      <c r="R1502">
        <v>-1.6520179999999999E-2</v>
      </c>
      <c r="S1502">
        <v>2.9808349999999999</v>
      </c>
      <c r="T1502">
        <v>-0.23450299999999999</v>
      </c>
      <c r="U1502">
        <v>-0.64721680000000004</v>
      </c>
      <c r="V1502">
        <v>2.0244439999999999E-2</v>
      </c>
      <c r="W1502">
        <v>-8.3932499999999993E-2</v>
      </c>
      <c r="X1502">
        <v>0.99626579999999998</v>
      </c>
      <c r="Y1502">
        <v>0.2151072</v>
      </c>
      <c r="Z1502">
        <v>-9.6107870000000008E-3</v>
      </c>
      <c r="AA1502">
        <v>0.9765431</v>
      </c>
      <c r="AB1502">
        <v>18</v>
      </c>
      <c r="AC1502">
        <v>14.145499999999901</v>
      </c>
      <c r="AD1502">
        <v>-1.120696723767</v>
      </c>
      <c r="AE1502">
        <v>-3.0935999999999799</v>
      </c>
      <c r="AF1502">
        <v>3.1276382615485501</v>
      </c>
      <c r="AG1502">
        <v>-1.120696723767</v>
      </c>
      <c r="AH1502">
        <v>14.0496932233486</v>
      </c>
      <c r="AI1502">
        <v>94.452108118165697</v>
      </c>
      <c r="AJ1502">
        <v>77.449881469206105</v>
      </c>
      <c r="AK1502">
        <v>14.437172919653401</v>
      </c>
      <c r="AL1502">
        <v>94.814642150094897</v>
      </c>
      <c r="AM1502">
        <v>88.835891626110893</v>
      </c>
      <c r="AN1502">
        <v>1.0000000230784001</v>
      </c>
    </row>
    <row r="1503" spans="1:40" x14ac:dyDescent="0.25">
      <c r="A1503" t="str">
        <f>"20190303154124939"</f>
        <v>20190303154124939</v>
      </c>
      <c r="B1503" t="str">
        <f>"1551598884930645"</f>
        <v>1551598884930645</v>
      </c>
      <c r="C1503" t="s">
        <v>40</v>
      </c>
      <c r="D1503">
        <v>5.7990919999999999</v>
      </c>
      <c r="E1503">
        <v>0.57519580000000003</v>
      </c>
      <c r="F1503" t="s">
        <v>41</v>
      </c>
      <c r="G1503">
        <v>-211.0068</v>
      </c>
      <c r="H1503" s="1">
        <v>-4.698192E-6</v>
      </c>
      <c r="I1503">
        <v>364.78039999999999</v>
      </c>
      <c r="J1503">
        <v>-225.00890000000001</v>
      </c>
      <c r="K1503">
        <v>1.1206849999999999</v>
      </c>
      <c r="L1503">
        <v>367.84960000000001</v>
      </c>
      <c r="M1503">
        <v>0.99995089999999998</v>
      </c>
      <c r="N1503">
        <v>-9.1627930000000007E-3</v>
      </c>
      <c r="O1503">
        <v>3.7909419999999998E-3</v>
      </c>
      <c r="P1503">
        <v>0.99542679999999995</v>
      </c>
      <c r="Q1503">
        <v>-9.4056799999999996E-2</v>
      </c>
      <c r="R1503">
        <v>-1.670162E-2</v>
      </c>
      <c r="S1503">
        <v>2.9805600000000001</v>
      </c>
      <c r="T1503">
        <v>-0.23696390000000001</v>
      </c>
      <c r="U1503">
        <v>-0.64886469999999996</v>
      </c>
      <c r="V1503">
        <v>2.0483939999999999E-2</v>
      </c>
      <c r="W1503">
        <v>-8.4930489999999997E-2</v>
      </c>
      <c r="X1503">
        <v>0.99617630000000001</v>
      </c>
      <c r="Y1503">
        <v>0.2156827</v>
      </c>
      <c r="Z1503">
        <v>-9.7260330000000002E-3</v>
      </c>
      <c r="AA1503">
        <v>0.97641500000000003</v>
      </c>
      <c r="AB1503">
        <v>18</v>
      </c>
      <c r="AC1503">
        <v>14.0021</v>
      </c>
      <c r="AD1503">
        <v>-1.120689698192</v>
      </c>
      <c r="AE1503">
        <v>-3.0692000000000199</v>
      </c>
      <c r="AF1503">
        <v>3.1032930991494698</v>
      </c>
      <c r="AG1503">
        <v>-1.120689698192</v>
      </c>
      <c r="AH1503">
        <v>13.905370114575801</v>
      </c>
      <c r="AI1503">
        <v>94.497567192425706</v>
      </c>
      <c r="AJ1503">
        <v>77.419330262550204</v>
      </c>
      <c r="AK1503">
        <v>14.2914551912043</v>
      </c>
      <c r="AL1503">
        <v>94.872027784694197</v>
      </c>
      <c r="AM1503">
        <v>88.822017810681501</v>
      </c>
      <c r="AN1503">
        <v>1.00000000030562</v>
      </c>
    </row>
    <row r="1504" spans="1:40" x14ac:dyDescent="0.25">
      <c r="A1504" t="str">
        <f>"20190303154124951"</f>
        <v>20190303154124951</v>
      </c>
      <c r="B1504" t="str">
        <f>"1551598884940405"</f>
        <v>1551598884940405</v>
      </c>
      <c r="C1504" t="s">
        <v>40</v>
      </c>
      <c r="D1504">
        <v>6.0357830000000003</v>
      </c>
      <c r="E1504">
        <v>0.57541759999999997</v>
      </c>
      <c r="F1504" t="s">
        <v>41</v>
      </c>
      <c r="G1504">
        <v>-211.06549999999999</v>
      </c>
      <c r="H1504" s="1">
        <v>-4.6676339999999997E-6</v>
      </c>
      <c r="I1504">
        <v>364.81079999999997</v>
      </c>
      <c r="J1504">
        <v>-224.91309999999999</v>
      </c>
      <c r="K1504">
        <v>1.1206750000000001</v>
      </c>
      <c r="L1504">
        <v>367.85</v>
      </c>
      <c r="M1504">
        <v>0.99995109999999998</v>
      </c>
      <c r="N1504">
        <v>-9.1199430000000001E-3</v>
      </c>
      <c r="O1504">
        <v>3.8500180000000002E-3</v>
      </c>
      <c r="P1504">
        <v>0.99531009999999998</v>
      </c>
      <c r="Q1504">
        <v>-9.5221879999999995E-2</v>
      </c>
      <c r="R1504">
        <v>-1.7057510000000001E-2</v>
      </c>
      <c r="S1504">
        <v>2.9802550000000001</v>
      </c>
      <c r="T1504">
        <v>-0.23953379999999999</v>
      </c>
      <c r="U1504">
        <v>-0.64950559999999902</v>
      </c>
      <c r="V1504">
        <v>2.0898150000000001E-2</v>
      </c>
      <c r="W1504">
        <v>-8.6139279999999999E-2</v>
      </c>
      <c r="X1504">
        <v>0.9960639</v>
      </c>
      <c r="Y1504">
        <v>0.21594559999999999</v>
      </c>
      <c r="Z1504">
        <v>-9.8327510000000007E-3</v>
      </c>
      <c r="AA1504">
        <v>0.97635590000000005</v>
      </c>
      <c r="AB1504">
        <v>18</v>
      </c>
      <c r="AC1504">
        <v>13.8476</v>
      </c>
      <c r="AD1504">
        <v>-1.1206796676340001</v>
      </c>
      <c r="AE1504">
        <v>-3.0392000000000499</v>
      </c>
      <c r="AF1504">
        <v>3.0732894453735802</v>
      </c>
      <c r="AG1504">
        <v>-1.1206796676340001</v>
      </c>
      <c r="AH1504">
        <v>13.7498784428106</v>
      </c>
      <c r="AI1504">
        <v>94.547846396364505</v>
      </c>
      <c r="AJ1504">
        <v>77.400684696363797</v>
      </c>
      <c r="AK1504">
        <v>14.133654450444199</v>
      </c>
      <c r="AL1504">
        <v>94.941541107162195</v>
      </c>
      <c r="AM1504">
        <v>88.798068929493795</v>
      </c>
      <c r="AN1504">
        <v>1.0000000005577701</v>
      </c>
    </row>
    <row r="1505" spans="1:40" x14ac:dyDescent="0.25">
      <c r="A1505" t="str">
        <f>"20190303154124963"</f>
        <v>20190303154124963</v>
      </c>
      <c r="B1505" t="str">
        <f>"1551598884960901"</f>
        <v>1551598884960901</v>
      </c>
      <c r="C1505" t="s">
        <v>40</v>
      </c>
      <c r="D1505">
        <v>5.9923789999999997</v>
      </c>
      <c r="E1505">
        <v>0.57577100000000003</v>
      </c>
      <c r="F1505" t="s">
        <v>41</v>
      </c>
      <c r="G1505">
        <v>-211.18039999999999</v>
      </c>
      <c r="H1505" s="1">
        <v>-4.6124960000000002E-6</v>
      </c>
      <c r="I1505">
        <v>364.84390000000002</v>
      </c>
      <c r="J1505">
        <v>-224.81979999999999</v>
      </c>
      <c r="K1505">
        <v>1.120668</v>
      </c>
      <c r="L1505">
        <v>367.85039999999998</v>
      </c>
      <c r="M1505">
        <v>0.99995120000000004</v>
      </c>
      <c r="N1505">
        <v>-9.0817090000000003E-3</v>
      </c>
      <c r="O1505">
        <v>3.9072279999999996E-3</v>
      </c>
      <c r="P1505">
        <v>0.99521590000000004</v>
      </c>
      <c r="Q1505">
        <v>-9.6180799999999997E-2</v>
      </c>
      <c r="R1505">
        <v>-1.7172010000000001E-2</v>
      </c>
      <c r="S1505">
        <v>2.9796909999999999</v>
      </c>
      <c r="T1505">
        <v>-0.24316019999999999</v>
      </c>
      <c r="U1505">
        <v>-0.65225219999999995</v>
      </c>
      <c r="V1505">
        <v>2.1069359999999999E-2</v>
      </c>
      <c r="W1505">
        <v>-8.7137099999999995E-2</v>
      </c>
      <c r="X1505">
        <v>0.99597349999999996</v>
      </c>
      <c r="Y1505">
        <v>0.21687380000000001</v>
      </c>
      <c r="Z1505">
        <v>-1.0009250000000001E-2</v>
      </c>
      <c r="AA1505">
        <v>0.97614829999999997</v>
      </c>
      <c r="AB1505">
        <v>18</v>
      </c>
      <c r="AC1505">
        <v>13.639399999999901</v>
      </c>
      <c r="AD1505">
        <v>-1.120672612496</v>
      </c>
      <c r="AE1505">
        <v>-3.00649999999996</v>
      </c>
      <c r="AF1505">
        <v>3.0401981966866001</v>
      </c>
      <c r="AG1505">
        <v>-1.120672612496</v>
      </c>
      <c r="AH1505">
        <v>13.5403731840704</v>
      </c>
      <c r="AI1505">
        <v>94.616887704003702</v>
      </c>
      <c r="AJ1505">
        <v>77.345338308224996</v>
      </c>
      <c r="AK1505">
        <v>13.9226584438256</v>
      </c>
      <c r="AL1505">
        <v>94.998927757854105</v>
      </c>
      <c r="AM1505">
        <v>88.788114969206305</v>
      </c>
      <c r="AN1505">
        <v>1.00000000241473</v>
      </c>
    </row>
    <row r="1506" spans="1:40" x14ac:dyDescent="0.25">
      <c r="A1506" t="str">
        <f>"20190303154124982"</f>
        <v>20190303154124982</v>
      </c>
      <c r="B1506" t="str">
        <f>"1551598884970661"</f>
        <v>1551598884970661</v>
      </c>
      <c r="C1506" t="s">
        <v>40</v>
      </c>
      <c r="D1506">
        <v>5.9974629999999998</v>
      </c>
      <c r="E1506">
        <v>0.57596480000000005</v>
      </c>
      <c r="F1506" t="s">
        <v>41</v>
      </c>
      <c r="G1506">
        <v>-211.2704</v>
      </c>
      <c r="H1506" s="1">
        <v>-4.5692439999999998E-6</v>
      </c>
      <c r="I1506">
        <v>364.86989999999997</v>
      </c>
      <c r="J1506">
        <v>-224.67490000000001</v>
      </c>
      <c r="K1506">
        <v>1.120657</v>
      </c>
      <c r="L1506">
        <v>367.85109999999997</v>
      </c>
      <c r="M1506">
        <v>0.99995129999999999</v>
      </c>
      <c r="N1506">
        <v>-9.0276899999999997E-3</v>
      </c>
      <c r="O1506">
        <v>3.9952659999999999E-3</v>
      </c>
      <c r="P1506">
        <v>0.99516839999999995</v>
      </c>
      <c r="Q1506">
        <v>-9.6697350000000001E-2</v>
      </c>
      <c r="R1506">
        <v>-1.7021020000000001E-2</v>
      </c>
      <c r="S1506">
        <v>2.9793090000000002</v>
      </c>
      <c r="T1506">
        <v>-0.24641730000000001</v>
      </c>
      <c r="U1506">
        <v>-0.65536499999999998</v>
      </c>
      <c r="V1506">
        <v>2.1005920000000001E-2</v>
      </c>
      <c r="W1506">
        <v>-8.7707880000000002E-2</v>
      </c>
      <c r="X1506">
        <v>0.9959247</v>
      </c>
      <c r="Y1506">
        <v>0.2179353</v>
      </c>
      <c r="Z1506">
        <v>-1.017915E-2</v>
      </c>
      <c r="AA1506">
        <v>0.9759101</v>
      </c>
      <c r="AB1506">
        <v>18</v>
      </c>
      <c r="AC1506">
        <v>13.404500000000001</v>
      </c>
      <c r="AD1506">
        <v>-1.1206615692440001</v>
      </c>
      <c r="AE1506">
        <v>-2.9811999999999999</v>
      </c>
      <c r="AF1506">
        <v>3.0146550332947299</v>
      </c>
      <c r="AG1506">
        <v>-1.1206615692440001</v>
      </c>
      <c r="AH1506">
        <v>13.303876725309699</v>
      </c>
      <c r="AI1506">
        <v>94.696470301717099</v>
      </c>
      <c r="AJ1506">
        <v>77.232404608805396</v>
      </c>
      <c r="AK1506">
        <v>13.687116688506199</v>
      </c>
      <c r="AL1506">
        <v>95.031756926126803</v>
      </c>
      <c r="AM1506">
        <v>88.791703695053897</v>
      </c>
      <c r="AN1506">
        <v>0.99999996447961403</v>
      </c>
    </row>
    <row r="1507" spans="1:40" x14ac:dyDescent="0.25">
      <c r="A1507" t="str">
        <f>"20190303154125002"</f>
        <v>20190303154125002</v>
      </c>
      <c r="B1507" t="str">
        <f>"1551598884990181"</f>
        <v>1551598884990181</v>
      </c>
      <c r="C1507" t="s">
        <v>40</v>
      </c>
      <c r="D1507">
        <v>6.0334349999999999</v>
      </c>
      <c r="E1507">
        <v>0.57635539999999996</v>
      </c>
      <c r="F1507" t="s">
        <v>41</v>
      </c>
      <c r="G1507">
        <v>-211.2294</v>
      </c>
      <c r="H1507" s="1">
        <v>-4.5837970000000002E-6</v>
      </c>
      <c r="I1507">
        <v>364.887</v>
      </c>
      <c r="J1507">
        <v>-224.50790000000001</v>
      </c>
      <c r="K1507">
        <v>1.1206480000000001</v>
      </c>
      <c r="L1507">
        <v>367.8519</v>
      </c>
      <c r="M1507">
        <v>0.99995140000000005</v>
      </c>
      <c r="N1507">
        <v>-8.9738309999999998E-3</v>
      </c>
      <c r="O1507">
        <v>4.0973069999999997E-3</v>
      </c>
      <c r="P1507">
        <v>0.99518390000000001</v>
      </c>
      <c r="Q1507">
        <v>-9.6807809999999994E-2</v>
      </c>
      <c r="R1507">
        <v>-1.540676E-2</v>
      </c>
      <c r="S1507">
        <v>2.9792019999999999</v>
      </c>
      <c r="T1507">
        <v>-0.24831159999999999</v>
      </c>
      <c r="U1507">
        <v>-0.65676880000000004</v>
      </c>
      <c r="V1507">
        <v>1.949333E-2</v>
      </c>
      <c r="W1507">
        <v>-8.7871950000000004E-2</v>
      </c>
      <c r="X1507">
        <v>0.99594099999999997</v>
      </c>
      <c r="Y1507">
        <v>0.2184673</v>
      </c>
      <c r="Z1507">
        <v>-1.027576E-2</v>
      </c>
      <c r="AA1507">
        <v>0.97579020000000005</v>
      </c>
      <c r="AB1507">
        <v>18</v>
      </c>
      <c r="AC1507">
        <v>13.278499999999999</v>
      </c>
      <c r="AD1507">
        <v>-1.1206525837969901</v>
      </c>
      <c r="AE1507">
        <v>-2.9649000000000498</v>
      </c>
      <c r="AF1507">
        <v>2.9989372792560101</v>
      </c>
      <c r="AG1507">
        <v>-1.1206525837969901</v>
      </c>
      <c r="AH1507">
        <v>13.1768424410362</v>
      </c>
      <c r="AI1507">
        <v>94.740493580761296</v>
      </c>
      <c r="AJ1507">
        <v>77.178368105359795</v>
      </c>
      <c r="AK1507">
        <v>13.5601867145838</v>
      </c>
      <c r="AL1507">
        <v>95.041193840472801</v>
      </c>
      <c r="AM1507">
        <v>88.878705719971805</v>
      </c>
      <c r="AN1507">
        <v>0.99999997249614503</v>
      </c>
    </row>
    <row r="1508" spans="1:40" x14ac:dyDescent="0.25">
      <c r="A1508" t="str">
        <f>"20190303154125017"</f>
        <v>20190303154125017</v>
      </c>
      <c r="B1508" t="str">
        <f>"1551598885010677"</f>
        <v>1551598885010677</v>
      </c>
      <c r="C1508" t="s">
        <v>40</v>
      </c>
      <c r="D1508">
        <v>6.0012939999999997</v>
      </c>
      <c r="E1508">
        <v>0.57667489999999999</v>
      </c>
      <c r="F1508" t="s">
        <v>41</v>
      </c>
      <c r="G1508">
        <v>-211.05099999999999</v>
      </c>
      <c r="H1508" s="1">
        <v>-4.6590840000000004E-6</v>
      </c>
      <c r="I1508">
        <v>364.89409999999998</v>
      </c>
      <c r="J1508">
        <v>-224.39179999999999</v>
      </c>
      <c r="K1508">
        <v>1.1206339999999999</v>
      </c>
      <c r="L1508">
        <v>367.85239999999999</v>
      </c>
      <c r="M1508">
        <v>0.99995129999999999</v>
      </c>
      <c r="N1508">
        <v>-8.9403799999999995E-3</v>
      </c>
      <c r="O1508">
        <v>4.1687989999999999E-3</v>
      </c>
      <c r="P1508">
        <v>0.99517540000000004</v>
      </c>
      <c r="Q1508">
        <v>-9.7058069999999996E-2</v>
      </c>
      <c r="R1508">
        <v>-1.434497E-2</v>
      </c>
      <c r="S1508">
        <v>2.9802249999999999</v>
      </c>
      <c r="T1508">
        <v>-0.2481834</v>
      </c>
      <c r="U1508">
        <v>-0.65502930000000004</v>
      </c>
      <c r="V1508">
        <v>1.8502399999999999E-2</v>
      </c>
      <c r="W1508">
        <v>-8.8155670000000005E-2</v>
      </c>
      <c r="X1508">
        <v>0.99593480000000001</v>
      </c>
      <c r="Y1508">
        <v>0.2179267</v>
      </c>
      <c r="Z1508">
        <v>-1.024537E-2</v>
      </c>
      <c r="AA1508">
        <v>0.97591139999999998</v>
      </c>
      <c r="AB1508">
        <v>18</v>
      </c>
      <c r="AC1508">
        <v>13.3408</v>
      </c>
      <c r="AD1508">
        <v>-1.1206386590839901</v>
      </c>
      <c r="AE1508">
        <v>-2.9582999999999999</v>
      </c>
      <c r="AF1508">
        <v>2.9937572990578101</v>
      </c>
      <c r="AG1508">
        <v>-1.1206386590839901</v>
      </c>
      <c r="AH1508">
        <v>13.2393108386386</v>
      </c>
      <c r="AI1508">
        <v>94.719653833414498</v>
      </c>
      <c r="AJ1508">
        <v>77.258204825382293</v>
      </c>
      <c r="AK1508">
        <v>13.6197564314487</v>
      </c>
      <c r="AL1508">
        <v>95.057513278066395</v>
      </c>
      <c r="AM1508">
        <v>88.935685855809496</v>
      </c>
      <c r="AN1508">
        <v>0.999999943404972</v>
      </c>
    </row>
    <row r="1509" spans="1:40" x14ac:dyDescent="0.25">
      <c r="A1509" t="str">
        <f>"20190303154125028"</f>
        <v>20190303154125028</v>
      </c>
      <c r="B1509" t="str">
        <f>"1551598885021004"</f>
        <v>1551598885021004</v>
      </c>
      <c r="C1509" t="s">
        <v>40</v>
      </c>
      <c r="D1509">
        <v>5.989045</v>
      </c>
      <c r="E1509">
        <v>0.57682049999999996</v>
      </c>
      <c r="F1509" t="s">
        <v>41</v>
      </c>
      <c r="G1509">
        <v>-210.92920000000001</v>
      </c>
      <c r="H1509" s="1">
        <v>-4.710567E-6</v>
      </c>
      <c r="I1509">
        <v>364.89839999999998</v>
      </c>
      <c r="J1509">
        <v>-224.2927</v>
      </c>
      <c r="K1509">
        <v>1.1206290000000001</v>
      </c>
      <c r="L1509">
        <v>367.85289999999998</v>
      </c>
      <c r="M1509">
        <v>0.99995140000000005</v>
      </c>
      <c r="N1509">
        <v>-8.9157170000000001E-3</v>
      </c>
      <c r="O1509">
        <v>4.2294660000000003E-3</v>
      </c>
      <c r="P1509">
        <v>0.99516199999999999</v>
      </c>
      <c r="Q1509">
        <v>-9.7374559999999999E-2</v>
      </c>
      <c r="R1509">
        <v>-1.308371E-2</v>
      </c>
      <c r="S1509">
        <v>2.9809109999999999</v>
      </c>
      <c r="T1509">
        <v>-0.24813209999999999</v>
      </c>
      <c r="U1509">
        <v>-0.65408330000000003</v>
      </c>
      <c r="V1509">
        <v>1.7301690000000002E-2</v>
      </c>
      <c r="W1509">
        <v>-8.8496939999999996E-2</v>
      </c>
      <c r="X1509">
        <v>0.99592619999999998</v>
      </c>
      <c r="Y1509">
        <v>0.2176449</v>
      </c>
      <c r="Z1509">
        <v>-1.0230629999999999E-2</v>
      </c>
      <c r="AA1509">
        <v>0.97597440000000002</v>
      </c>
      <c r="AB1509">
        <v>18</v>
      </c>
      <c r="AC1509">
        <v>13.363499999999901</v>
      </c>
      <c r="AD1509">
        <v>-1.1206337105669999</v>
      </c>
      <c r="AE1509">
        <v>-2.9544999999999901</v>
      </c>
      <c r="AF1509">
        <v>2.9909437357168902</v>
      </c>
      <c r="AG1509">
        <v>-1.1206337105669999</v>
      </c>
      <c r="AH1509">
        <v>13.2619701765942</v>
      </c>
      <c r="AI1509">
        <v>94.712208710203598</v>
      </c>
      <c r="AJ1509">
        <v>77.290833019253199</v>
      </c>
      <c r="AK1509">
        <v>13.6411662737596</v>
      </c>
      <c r="AL1509">
        <v>95.077142909911501</v>
      </c>
      <c r="AM1509">
        <v>89.004731368122904</v>
      </c>
      <c r="AN1509">
        <v>1.00000002635632</v>
      </c>
    </row>
    <row r="1510" spans="1:40" x14ac:dyDescent="0.25">
      <c r="A1510" t="str">
        <f>"20190303154125042"</f>
        <v>20190303154125042</v>
      </c>
      <c r="B1510" t="str">
        <f>"1551598885030764"</f>
        <v>1551598885030764</v>
      </c>
      <c r="C1510" t="s">
        <v>40</v>
      </c>
      <c r="D1510">
        <v>5.9998310000000004</v>
      </c>
      <c r="E1510">
        <v>0.57703909999999903</v>
      </c>
      <c r="F1510" t="s">
        <v>41</v>
      </c>
      <c r="G1510">
        <v>-210.85140000000001</v>
      </c>
      <c r="H1510" s="1">
        <v>-4.7407399999999996E-6</v>
      </c>
      <c r="I1510">
        <v>364.91629999999998</v>
      </c>
      <c r="J1510">
        <v>-224.1831</v>
      </c>
      <c r="K1510">
        <v>1.120622</v>
      </c>
      <c r="L1510">
        <v>367.8535</v>
      </c>
      <c r="M1510">
        <v>0.99995120000000004</v>
      </c>
      <c r="N1510">
        <v>-8.8904889999999997E-3</v>
      </c>
      <c r="O1510">
        <v>4.297169E-3</v>
      </c>
      <c r="P1510">
        <v>0.99515569999999998</v>
      </c>
      <c r="Q1510">
        <v>-9.7525669999999995E-2</v>
      </c>
      <c r="R1510">
        <v>-1.239905E-2</v>
      </c>
      <c r="S1510">
        <v>2.9817049999999998</v>
      </c>
      <c r="T1510">
        <v>-0.2485917</v>
      </c>
      <c r="U1510">
        <v>-0.65142819999999901</v>
      </c>
      <c r="V1510">
        <v>1.66845999999999E-2</v>
      </c>
      <c r="W1510">
        <v>-8.8673260000000004E-2</v>
      </c>
      <c r="X1510">
        <v>0.99592099999999995</v>
      </c>
      <c r="Y1510">
        <v>0.21682770000000001</v>
      </c>
      <c r="Z1510">
        <v>-1.0211130000000001E-2</v>
      </c>
      <c r="AA1510">
        <v>0.97615649999999998</v>
      </c>
      <c r="AB1510">
        <v>18</v>
      </c>
      <c r="AC1510">
        <v>13.3316999999999</v>
      </c>
      <c r="AD1510">
        <v>-1.1206267407399999</v>
      </c>
      <c r="AE1510">
        <v>-2.93720000000001</v>
      </c>
      <c r="AF1510">
        <v>2.97442045060428</v>
      </c>
      <c r="AG1510">
        <v>-1.1206267407399999</v>
      </c>
      <c r="AH1510">
        <v>13.229805131529901</v>
      </c>
      <c r="AI1510">
        <v>94.724290371344694</v>
      </c>
      <c r="AJ1510">
        <v>77.329038820725003</v>
      </c>
      <c r="AK1510">
        <v>13.6062752113607</v>
      </c>
      <c r="AL1510">
        <v>95.087285408175504</v>
      </c>
      <c r="AM1510">
        <v>89.040217301698704</v>
      </c>
      <c r="AN1510">
        <v>0.99999998057859296</v>
      </c>
    </row>
    <row r="1511" spans="1:40" x14ac:dyDescent="0.25">
      <c r="A1511" t="str">
        <f>"20190303154125055"</f>
        <v>20190303154125055</v>
      </c>
      <c r="B1511" t="str">
        <f>"1551598885050284"</f>
        <v>1551598885050284</v>
      </c>
      <c r="C1511" t="s">
        <v>40</v>
      </c>
      <c r="D1511">
        <v>6.0038019999999896</v>
      </c>
      <c r="E1511">
        <v>0.57724089999999995</v>
      </c>
      <c r="F1511" t="s">
        <v>41</v>
      </c>
      <c r="G1511">
        <v>-210.774</v>
      </c>
      <c r="H1511" s="1">
        <v>-4.772558E-6</v>
      </c>
      <c r="I1511">
        <v>364.92439999999999</v>
      </c>
      <c r="J1511">
        <v>-224.08070000000001</v>
      </c>
      <c r="K1511">
        <v>1.1206130000000001</v>
      </c>
      <c r="L1511">
        <v>367.85399999999998</v>
      </c>
      <c r="M1511">
        <v>0.99995120000000004</v>
      </c>
      <c r="N1511">
        <v>-8.8687149999999992E-3</v>
      </c>
      <c r="O1511">
        <v>4.3605639999999999E-3</v>
      </c>
      <c r="P1511">
        <v>0.99511629999999995</v>
      </c>
      <c r="Q1511">
        <v>-9.8058980000000004E-2</v>
      </c>
      <c r="R1511">
        <v>-1.132613E-2</v>
      </c>
      <c r="S1511">
        <v>2.9820709999999999</v>
      </c>
      <c r="T1511">
        <v>-0.24921499999999999</v>
      </c>
      <c r="U1511">
        <v>-0.65139769999999997</v>
      </c>
      <c r="V1511">
        <v>1.567429E-2</v>
      </c>
      <c r="W1511">
        <v>-8.9228669999999996E-2</v>
      </c>
      <c r="X1511">
        <v>0.99588779999999999</v>
      </c>
      <c r="Y1511">
        <v>0.21685119999999999</v>
      </c>
      <c r="Z1511">
        <v>-1.023666E-2</v>
      </c>
      <c r="AA1511">
        <v>0.97615099999999999</v>
      </c>
      <c r="AB1511">
        <v>18</v>
      </c>
      <c r="AC1511">
        <v>13.306699999999999</v>
      </c>
      <c r="AD1511">
        <v>-1.12061777255799</v>
      </c>
      <c r="AE1511">
        <v>-2.9296000000000499</v>
      </c>
      <c r="AF1511">
        <v>2.9675261235430601</v>
      </c>
      <c r="AG1511">
        <v>-1.12061777255799</v>
      </c>
      <c r="AH1511">
        <v>13.204480175034501</v>
      </c>
      <c r="AI1511">
        <v>94.733363948065602</v>
      </c>
      <c r="AJ1511">
        <v>77.333997749684002</v>
      </c>
      <c r="AK1511">
        <v>13.580143304802201</v>
      </c>
      <c r="AL1511">
        <v>95.119234735860601</v>
      </c>
      <c r="AM1511">
        <v>89.098295491475895</v>
      </c>
      <c r="AN1511">
        <v>0.99999997455290601</v>
      </c>
    </row>
    <row r="1512" spans="1:40" x14ac:dyDescent="0.25">
      <c r="A1512" t="str">
        <f>"20190303154125069"</f>
        <v>20190303154125069</v>
      </c>
      <c r="B1512" t="str">
        <f>"1551598885061021"</f>
        <v>1551598885061021</v>
      </c>
      <c r="C1512" t="s">
        <v>40</v>
      </c>
      <c r="D1512">
        <v>6.0150560000000004</v>
      </c>
      <c r="E1512">
        <v>0.58467749999999996</v>
      </c>
      <c r="F1512" t="s">
        <v>41</v>
      </c>
      <c r="G1512">
        <v>-210.76519999999999</v>
      </c>
      <c r="H1512" s="1">
        <v>-4.7709640000000004E-6</v>
      </c>
      <c r="I1512">
        <v>364.95460000000003</v>
      </c>
      <c r="J1512">
        <v>-223.9659</v>
      </c>
      <c r="K1512">
        <v>1.120609</v>
      </c>
      <c r="L1512">
        <v>367.8546</v>
      </c>
      <c r="M1512">
        <v>0.99995120000000004</v>
      </c>
      <c r="N1512">
        <v>-8.8478659999999994E-3</v>
      </c>
      <c r="O1512">
        <v>4.4314619999999997E-3</v>
      </c>
      <c r="P1512">
        <v>0.9950483</v>
      </c>
      <c r="Q1512">
        <v>-9.8818630000000005E-2</v>
      </c>
      <c r="R1512">
        <v>-1.068088E-2</v>
      </c>
      <c r="S1512">
        <v>2.9825590000000002</v>
      </c>
      <c r="T1512">
        <v>-0.25100789999999901</v>
      </c>
      <c r="U1512">
        <v>-0.64944460000000004</v>
      </c>
      <c r="V1512">
        <v>1.5099400000000001E-2</v>
      </c>
      <c r="W1512">
        <v>-9.0009699999999998E-2</v>
      </c>
      <c r="X1512">
        <v>0.9958264</v>
      </c>
      <c r="Y1512">
        <v>0.21626809999999999</v>
      </c>
      <c r="Z1512">
        <v>-1.027868E-2</v>
      </c>
      <c r="AA1512">
        <v>0.97627989999999998</v>
      </c>
      <c r="AB1512">
        <v>18</v>
      </c>
      <c r="AC1512">
        <v>13.200699999999999</v>
      </c>
      <c r="AD1512">
        <v>-1.1206137709639901</v>
      </c>
      <c r="AE1512">
        <v>-2.8999999999999702</v>
      </c>
      <c r="AF1512">
        <v>2.93827271395249</v>
      </c>
      <c r="AG1512">
        <v>-1.1206137709639901</v>
      </c>
      <c r="AH1512">
        <v>13.097677161979099</v>
      </c>
      <c r="AI1512">
        <v>94.772174020475504</v>
      </c>
      <c r="AJ1512">
        <v>77.355865302623499</v>
      </c>
      <c r="AK1512">
        <v>13.469906042903901</v>
      </c>
      <c r="AL1512">
        <v>95.164165236345397</v>
      </c>
      <c r="AM1512">
        <v>89.131308828147496</v>
      </c>
      <c r="AN1512">
        <v>0.99999997845570399</v>
      </c>
    </row>
    <row r="1513" spans="1:40" x14ac:dyDescent="0.25">
      <c r="A1513" t="str">
        <f>"20190303154125093"</f>
        <v>20190303154125093</v>
      </c>
      <c r="B1513" t="str">
        <f>"1551598885080539"</f>
        <v>1551598885080539</v>
      </c>
      <c r="C1513" t="s">
        <v>40</v>
      </c>
      <c r="D1513">
        <v>6.0283170000000004</v>
      </c>
      <c r="E1513">
        <v>0.58442649999999996</v>
      </c>
      <c r="F1513" t="s">
        <v>41</v>
      </c>
      <c r="G1513">
        <v>-210.31809999999999</v>
      </c>
      <c r="H1513" s="1">
        <v>-5.0220889999999996E-6</v>
      </c>
      <c r="I1513">
        <v>364.62009999999998</v>
      </c>
      <c r="J1513">
        <v>-223.78049999999999</v>
      </c>
      <c r="K1513">
        <v>1.120608</v>
      </c>
      <c r="L1513">
        <v>367.85550000000001</v>
      </c>
      <c r="M1513">
        <v>0.99995089999999998</v>
      </c>
      <c r="N1513">
        <v>-8.8181530000000004E-3</v>
      </c>
      <c r="O1513">
        <v>4.5427339999999997E-3</v>
      </c>
      <c r="P1513">
        <v>0.99510889999999996</v>
      </c>
      <c r="Q1513">
        <v>-9.8097699999999996E-2</v>
      </c>
      <c r="R1513">
        <v>-1.1632419999999999E-2</v>
      </c>
      <c r="S1513">
        <v>2.9830169999999998</v>
      </c>
      <c r="T1513">
        <v>-0.24493319999999999</v>
      </c>
      <c r="U1513">
        <v>-0.70697019999999899</v>
      </c>
      <c r="V1513">
        <v>1.616165E-2</v>
      </c>
      <c r="W1513">
        <v>-8.9317869999999994E-2</v>
      </c>
      <c r="X1513">
        <v>0.99587199999999998</v>
      </c>
      <c r="Y1513">
        <v>0.23418659999999999</v>
      </c>
      <c r="Z1513">
        <v>-1.084422E-2</v>
      </c>
      <c r="AA1513">
        <v>0.97213119999999997</v>
      </c>
      <c r="AB1513">
        <v>18</v>
      </c>
      <c r="AC1513">
        <v>13.462400000000001</v>
      </c>
      <c r="AD1513">
        <v>-1.120613022089</v>
      </c>
      <c r="AE1513">
        <v>-3.2354000000000198</v>
      </c>
      <c r="AF1513">
        <v>3.2750714533766598</v>
      </c>
      <c r="AG1513">
        <v>-1.120613022089</v>
      </c>
      <c r="AH1513">
        <v>13.360046825088</v>
      </c>
      <c r="AI1513">
        <v>94.657365032173203</v>
      </c>
      <c r="AJ1513">
        <v>76.226174546281996</v>
      </c>
      <c r="AK1513">
        <v>13.8011853743996</v>
      </c>
      <c r="AL1513">
        <v>95.124366079471002</v>
      </c>
      <c r="AM1513">
        <v>89.070248932459094</v>
      </c>
      <c r="AN1513">
        <v>0.99999996060802798</v>
      </c>
    </row>
    <row r="1514" spans="1:40" x14ac:dyDescent="0.25">
      <c r="A1514" t="str">
        <f>"20190303154125114"</f>
        <v>20190303154125114</v>
      </c>
      <c r="B1514" t="str">
        <f>"1551598885110795"</f>
        <v>1551598885110795</v>
      </c>
      <c r="C1514" t="s">
        <v>40</v>
      </c>
      <c r="D1514">
        <v>6.1660209999999998</v>
      </c>
      <c r="E1514">
        <v>0.54646119999999898</v>
      </c>
      <c r="F1514" t="s">
        <v>41</v>
      </c>
      <c r="G1514">
        <v>-210.04759999999999</v>
      </c>
      <c r="H1514" s="1">
        <v>-5.1424969999999996E-6</v>
      </c>
      <c r="I1514">
        <v>364.59559999999999</v>
      </c>
      <c r="J1514">
        <v>-223.60669999999999</v>
      </c>
      <c r="K1514">
        <v>1.120608</v>
      </c>
      <c r="L1514">
        <v>367.85640000000001</v>
      </c>
      <c r="M1514">
        <v>0.99995060000000002</v>
      </c>
      <c r="N1514">
        <v>-8.7950990000000007E-3</v>
      </c>
      <c r="O1514">
        <v>4.6391649999999998E-3</v>
      </c>
      <c r="P1514">
        <v>0.99530010000000002</v>
      </c>
      <c r="Q1514">
        <v>-9.581721E-2</v>
      </c>
      <c r="R1514">
        <v>-1.4018569999999999E-2</v>
      </c>
      <c r="S1514">
        <v>2.9824679999999999</v>
      </c>
      <c r="T1514">
        <v>-0.24336920000000001</v>
      </c>
      <c r="U1514">
        <v>-0.70797730000000003</v>
      </c>
      <c r="V1514">
        <v>1.8643610000000001E-2</v>
      </c>
      <c r="W1514">
        <v>-8.7058860000000002E-2</v>
      </c>
      <c r="X1514">
        <v>0.99602869999999999</v>
      </c>
      <c r="Y1514">
        <v>0.2346396</v>
      </c>
      <c r="Z1514">
        <v>-1.0807509999999999E-2</v>
      </c>
      <c r="AA1514">
        <v>0.97202239999999995</v>
      </c>
      <c r="AB1514">
        <v>18</v>
      </c>
      <c r="AC1514">
        <v>13.559100000000001</v>
      </c>
      <c r="AD1514">
        <v>-1.1206131424970001</v>
      </c>
      <c r="AE1514">
        <v>-3.2608000000000099</v>
      </c>
      <c r="AF1514">
        <v>3.3023469273942498</v>
      </c>
      <c r="AG1514">
        <v>-1.1206131424970001</v>
      </c>
      <c r="AH1514">
        <v>13.4569344392355</v>
      </c>
      <c r="AI1514">
        <v>94.623700271031396</v>
      </c>
      <c r="AJ1514">
        <v>76.212019669713897</v>
      </c>
      <c r="AK1514">
        <v>13.9014514906138</v>
      </c>
      <c r="AL1514">
        <v>94.994427846027804</v>
      </c>
      <c r="AM1514">
        <v>88.927665997924095</v>
      </c>
      <c r="AN1514">
        <v>1.0000000002610101</v>
      </c>
    </row>
    <row r="1515" spans="1:40" x14ac:dyDescent="0.25">
      <c r="A1515" t="str">
        <f>"20190303154125128"</f>
        <v>20190303154125128</v>
      </c>
      <c r="B1515" t="str">
        <f>"1551598885121178"</f>
        <v>1551598885121178</v>
      </c>
      <c r="C1515" t="s">
        <v>40</v>
      </c>
      <c r="D1515">
        <v>6.094951</v>
      </c>
      <c r="E1515">
        <v>0.53768749999999998</v>
      </c>
      <c r="F1515" t="s">
        <v>42</v>
      </c>
      <c r="G1515">
        <v>-222.86269999999999</v>
      </c>
      <c r="H1515">
        <v>1.0431809999999999</v>
      </c>
      <c r="I1515">
        <v>367.75310000000002</v>
      </c>
      <c r="J1515">
        <v>-223.49529999999999</v>
      </c>
      <c r="K1515">
        <v>1.120609</v>
      </c>
      <c r="L1515">
        <v>367.85700000000003</v>
      </c>
      <c r="M1515">
        <v>0.99995049999999996</v>
      </c>
      <c r="N1515">
        <v>-8.7827600000000006E-3</v>
      </c>
      <c r="O1515">
        <v>4.6936399999999998E-3</v>
      </c>
      <c r="P1515">
        <v>0.99534290000000003</v>
      </c>
      <c r="Q1515">
        <v>-9.5035579999999995E-2</v>
      </c>
      <c r="R1515">
        <v>-1.615515E-2</v>
      </c>
      <c r="S1515">
        <v>2.978485</v>
      </c>
      <c r="T1515">
        <v>-0.31017899999999998</v>
      </c>
      <c r="U1515">
        <v>-0.4127808</v>
      </c>
      <c r="V1515">
        <v>2.083314E-2</v>
      </c>
      <c r="W1515">
        <v>-8.6289350000000001E-2</v>
      </c>
      <c r="X1515">
        <v>0.9960523</v>
      </c>
      <c r="Y1515">
        <v>0.1410892</v>
      </c>
      <c r="Z1515">
        <v>-8.3607330000000004E-3</v>
      </c>
      <c r="AA1515">
        <v>0.9899616</v>
      </c>
      <c r="AB1515">
        <v>18</v>
      </c>
      <c r="AC1515">
        <v>0.63259999999999605</v>
      </c>
      <c r="AD1515">
        <v>-7.7427999999999997E-2</v>
      </c>
      <c r="AE1515">
        <v>-0.103899999999953</v>
      </c>
      <c r="AF1515">
        <v>0.105331652664231</v>
      </c>
      <c r="AG1515">
        <v>-7.7427999999999997E-2</v>
      </c>
      <c r="AH1515">
        <v>0.62301715027361604</v>
      </c>
      <c r="AI1515">
        <v>96.986201028812602</v>
      </c>
      <c r="AJ1515">
        <v>80.403917046319606</v>
      </c>
      <c r="AK1515">
        <v>0.63658481113833998</v>
      </c>
      <c r="AL1515">
        <v>94.950171483389397</v>
      </c>
      <c r="AM1515">
        <v>88.801792856908705</v>
      </c>
      <c r="AN1515">
        <v>1.0000000279904799</v>
      </c>
    </row>
    <row r="1516" spans="1:40" x14ac:dyDescent="0.25">
      <c r="A1516" t="str">
        <f>"20190303154125140"</f>
        <v>20190303154125140</v>
      </c>
      <c r="B1516" t="str">
        <f>"1551598885130938"</f>
        <v>1551598885130938</v>
      </c>
      <c r="C1516" t="s">
        <v>40</v>
      </c>
      <c r="D1516">
        <v>6.0893050000000004</v>
      </c>
      <c r="E1516">
        <v>0.53269390000000005</v>
      </c>
      <c r="F1516" t="s">
        <v>42</v>
      </c>
      <c r="G1516">
        <v>-222.7021</v>
      </c>
      <c r="H1516">
        <v>1.0378879999999999</v>
      </c>
      <c r="I1516">
        <v>367.7638</v>
      </c>
      <c r="J1516">
        <v>-223.39</v>
      </c>
      <c r="K1516">
        <v>1.1206050000000001</v>
      </c>
      <c r="L1516">
        <v>367.85750000000002</v>
      </c>
      <c r="M1516">
        <v>0.99995040000000002</v>
      </c>
      <c r="N1516">
        <v>-8.7728800000000003E-3</v>
      </c>
      <c r="O1516">
        <v>4.7410639999999997E-3</v>
      </c>
      <c r="P1516">
        <v>0.99533570000000005</v>
      </c>
      <c r="Q1516">
        <v>-9.4765799999999997E-2</v>
      </c>
      <c r="R1516">
        <v>-1.8070139999999998E-2</v>
      </c>
      <c r="S1516">
        <v>2.9786830000000002</v>
      </c>
      <c r="T1516">
        <v>-0.31084050000000002</v>
      </c>
      <c r="U1516">
        <v>-0.3491821</v>
      </c>
      <c r="V1516">
        <v>2.279397E-2</v>
      </c>
      <c r="W1516">
        <v>-8.6029729999999999E-2</v>
      </c>
      <c r="X1516">
        <v>0.99603180000000002</v>
      </c>
      <c r="Y1516">
        <v>0.12041590000000001</v>
      </c>
      <c r="Z1516">
        <v>-7.2267490000000002E-3</v>
      </c>
      <c r="AA1516">
        <v>0.99269719999999995</v>
      </c>
      <c r="AB1516">
        <v>18</v>
      </c>
      <c r="AC1516">
        <v>0.68789999999998397</v>
      </c>
      <c r="AD1516">
        <v>-8.2716999999999902E-2</v>
      </c>
      <c r="AE1516">
        <v>-9.3700000000012496E-2</v>
      </c>
      <c r="AF1516">
        <v>9.5603299663647306E-2</v>
      </c>
      <c r="AG1516">
        <v>-8.2716999999999902E-2</v>
      </c>
      <c r="AH1516">
        <v>0.67782584050379802</v>
      </c>
      <c r="AI1516">
        <v>96.890033887659797</v>
      </c>
      <c r="AJ1516">
        <v>81.971728475872993</v>
      </c>
      <c r="AK1516">
        <v>0.68951429502966599</v>
      </c>
      <c r="AL1516">
        <v>94.935240905520104</v>
      </c>
      <c r="AM1516">
        <v>88.689027437235794</v>
      </c>
      <c r="AN1516">
        <v>1.0000000130617299</v>
      </c>
    </row>
    <row r="1517" spans="1:40" x14ac:dyDescent="0.25">
      <c r="A1517" t="str">
        <f>"20190303154125152"</f>
        <v>20190303154125152</v>
      </c>
      <c r="B1517" t="str">
        <f>"1551598885140698"</f>
        <v>1551598885140698</v>
      </c>
      <c r="C1517" t="s">
        <v>40</v>
      </c>
      <c r="D1517">
        <v>6.0546790000000001</v>
      </c>
      <c r="E1517">
        <v>0.53078029999999998</v>
      </c>
      <c r="F1517" t="s">
        <v>42</v>
      </c>
      <c r="G1517">
        <v>-222.54050000000001</v>
      </c>
      <c r="H1517">
        <v>1.0336419999999999</v>
      </c>
      <c r="I1517">
        <v>367.76749999999998</v>
      </c>
      <c r="J1517">
        <v>-223.29069999999999</v>
      </c>
      <c r="K1517">
        <v>1.120601</v>
      </c>
      <c r="L1517">
        <v>367.85809999999998</v>
      </c>
      <c r="M1517">
        <v>0.99995029999999996</v>
      </c>
      <c r="N1517">
        <v>-8.7660829999999992E-3</v>
      </c>
      <c r="O1517">
        <v>4.7807149999999996E-3</v>
      </c>
      <c r="P1517">
        <v>0.99530810000000003</v>
      </c>
      <c r="Q1517">
        <v>-9.4795099999999993E-2</v>
      </c>
      <c r="R1517">
        <v>-1.9386299999999999E-2</v>
      </c>
      <c r="S1517">
        <v>2.9793090000000002</v>
      </c>
      <c r="T1517">
        <v>-0.30518400000000001</v>
      </c>
      <c r="U1517">
        <v>-0.31481930000000002</v>
      </c>
      <c r="V1517">
        <v>2.4148070000000001E-2</v>
      </c>
      <c r="W1517">
        <v>-8.6066450000000003E-2</v>
      </c>
      <c r="X1517">
        <v>0.99599669999999896</v>
      </c>
      <c r="Y1517">
        <v>0.1092018</v>
      </c>
      <c r="Z1517">
        <v>-6.4897969999999899E-3</v>
      </c>
      <c r="AA1517">
        <v>0.99399839999999995</v>
      </c>
      <c r="AB1517">
        <v>18</v>
      </c>
      <c r="AC1517">
        <v>0.750199999999978</v>
      </c>
      <c r="AD1517">
        <v>-8.6958999999999995E-2</v>
      </c>
      <c r="AE1517">
        <v>-9.0599999999994907E-2</v>
      </c>
      <c r="AF1517">
        <v>9.2954595958451694E-2</v>
      </c>
      <c r="AG1517">
        <v>-8.6958999999999995E-2</v>
      </c>
      <c r="AH1517">
        <v>0.73995899550427202</v>
      </c>
      <c r="AI1517">
        <v>96.6507833548728</v>
      </c>
      <c r="AJ1517">
        <v>82.839937270853596</v>
      </c>
      <c r="AK1517">
        <v>0.750827370051526</v>
      </c>
      <c r="AL1517">
        <v>94.937352729576105</v>
      </c>
      <c r="AM1517">
        <v>88.611128442616007</v>
      </c>
      <c r="AN1517">
        <v>0.99999999475560797</v>
      </c>
    </row>
    <row r="1518" spans="1:40" x14ac:dyDescent="0.25">
      <c r="A1518" t="str">
        <f>"20190303154125165"</f>
        <v>20190303154125165</v>
      </c>
      <c r="B1518" t="str">
        <f>"1551598885160218"</f>
        <v>1551598885160218</v>
      </c>
      <c r="C1518" t="s">
        <v>40</v>
      </c>
      <c r="D1518">
        <v>5.8708920000000004</v>
      </c>
      <c r="E1518">
        <v>0.53129680000000001</v>
      </c>
      <c r="F1518" t="s">
        <v>42</v>
      </c>
      <c r="G1518">
        <v>-222.53530000000001</v>
      </c>
      <c r="H1518">
        <v>1.0444690000000001</v>
      </c>
      <c r="I1518">
        <v>367.7808</v>
      </c>
      <c r="J1518">
        <v>-223.19450000000001</v>
      </c>
      <c r="K1518">
        <v>1.1205940000000001</v>
      </c>
      <c r="L1518">
        <v>367.85849999999999</v>
      </c>
      <c r="M1518">
        <v>0.99995009999999995</v>
      </c>
      <c r="N1518">
        <v>-8.763982E-3</v>
      </c>
      <c r="O1518">
        <v>4.8125970000000001E-3</v>
      </c>
      <c r="P1518">
        <v>0.99523930000000005</v>
      </c>
      <c r="Q1518">
        <v>-9.5239199999999996E-2</v>
      </c>
      <c r="R1518">
        <v>-2.0701899999999999E-2</v>
      </c>
      <c r="S1518">
        <v>2.9796140000000002</v>
      </c>
      <c r="T1518">
        <v>-0.30051929999999999</v>
      </c>
      <c r="U1518">
        <v>-0.30368040000000002</v>
      </c>
      <c r="V1518">
        <v>2.5493470000000001E-2</v>
      </c>
      <c r="W1518">
        <v>-8.6513679999999996E-2</v>
      </c>
      <c r="X1518">
        <v>0.99592440000000004</v>
      </c>
      <c r="Y1518">
        <v>0.10558380000000001</v>
      </c>
      <c r="Z1518">
        <v>-6.2035340000000001E-3</v>
      </c>
      <c r="AA1518">
        <v>0.99439109999999997</v>
      </c>
      <c r="AB1518">
        <v>18</v>
      </c>
      <c r="AC1518">
        <v>0.65919999999999801</v>
      </c>
      <c r="AD1518">
        <v>-7.6124999999999998E-2</v>
      </c>
      <c r="AE1518">
        <v>-7.7699999999992997E-2</v>
      </c>
      <c r="AF1518">
        <v>7.9821782209947595E-2</v>
      </c>
      <c r="AG1518">
        <v>-7.6124999999999998E-2</v>
      </c>
      <c r="AH1518">
        <v>0.65026541016873096</v>
      </c>
      <c r="AI1518">
        <v>96.627786184849001</v>
      </c>
      <c r="AJ1518">
        <v>83.001802955974398</v>
      </c>
      <c r="AK1518">
        <v>0.65955411923668505</v>
      </c>
      <c r="AL1518">
        <v>94.963073169118303</v>
      </c>
      <c r="AM1518">
        <v>88.533674515256394</v>
      </c>
      <c r="AN1518">
        <v>0.99999997217757097</v>
      </c>
    </row>
    <row r="1519" spans="1:40" x14ac:dyDescent="0.25">
      <c r="A1519" t="str">
        <f>"20190303154125179"</f>
        <v>20190303154125179</v>
      </c>
      <c r="B1519" t="str">
        <f>"1551598885170954"</f>
        <v>1551598885170954</v>
      </c>
      <c r="C1519" t="s">
        <v>40</v>
      </c>
      <c r="D1519">
        <v>5.8852820000000001</v>
      </c>
      <c r="E1519">
        <v>0.53147679999999997</v>
      </c>
      <c r="F1519" t="s">
        <v>42</v>
      </c>
      <c r="G1519">
        <v>-222.36600000000001</v>
      </c>
      <c r="H1519">
        <v>1.0507059999999999</v>
      </c>
      <c r="I1519">
        <v>367.77179999999998</v>
      </c>
      <c r="J1519">
        <v>-223.07339999999999</v>
      </c>
      <c r="K1519">
        <v>1.120584</v>
      </c>
      <c r="L1519">
        <v>367.85910000000001</v>
      </c>
      <c r="M1519">
        <v>0.99994989999999995</v>
      </c>
      <c r="N1519">
        <v>-8.7656450000000007E-3</v>
      </c>
      <c r="O1519">
        <v>4.8471240000000004E-3</v>
      </c>
      <c r="P1519">
        <v>0.99513779999999996</v>
      </c>
      <c r="Q1519">
        <v>-9.5819849999999998E-2</v>
      </c>
      <c r="R1519">
        <v>-2.2794999999999999E-2</v>
      </c>
      <c r="S1519">
        <v>2.983765</v>
      </c>
      <c r="T1519">
        <v>-0.25193510000000002</v>
      </c>
      <c r="U1519">
        <v>-0.31167600000000001</v>
      </c>
      <c r="V1519">
        <v>2.7618429999999999E-2</v>
      </c>
      <c r="W1519">
        <v>-8.7094199999999997E-2</v>
      </c>
      <c r="X1519">
        <v>0.99581719999999896</v>
      </c>
      <c r="Y1519">
        <v>0.108277</v>
      </c>
      <c r="Z1519">
        <v>-5.3927039999999999E-3</v>
      </c>
      <c r="AA1519">
        <v>0.99410609999999999</v>
      </c>
      <c r="AB1519">
        <v>18</v>
      </c>
      <c r="AC1519">
        <v>0.70740000000000602</v>
      </c>
      <c r="AD1519">
        <v>-6.9878000000000107E-2</v>
      </c>
      <c r="AE1519">
        <v>-8.7300000000027397E-2</v>
      </c>
      <c r="AF1519">
        <v>8.9864240735380296E-2</v>
      </c>
      <c r="AG1519">
        <v>-6.9878000000000107E-2</v>
      </c>
      <c r="AH1519">
        <v>0.70023825303876097</v>
      </c>
      <c r="AI1519">
        <v>95.6527241833099</v>
      </c>
      <c r="AJ1519">
        <v>82.686987062391196</v>
      </c>
      <c r="AK1519">
        <v>0.70943084769815401</v>
      </c>
      <c r="AL1519">
        <v>94.996460217333805</v>
      </c>
      <c r="AM1519">
        <v>88.411341026157899</v>
      </c>
      <c r="AN1519">
        <v>1.0000000365825701</v>
      </c>
    </row>
    <row r="1520" spans="1:40" x14ac:dyDescent="0.25">
      <c r="A1520" t="str">
        <f>"20190303154125204"</f>
        <v>20190303154125204</v>
      </c>
      <c r="B1520" t="str">
        <f>"1551598885200234"</f>
        <v>1551598885200234</v>
      </c>
      <c r="C1520" t="s">
        <v>40</v>
      </c>
      <c r="D1520">
        <v>5.9025610000000004</v>
      </c>
      <c r="E1520">
        <v>0.53139080000000005</v>
      </c>
      <c r="F1520" t="s">
        <v>42</v>
      </c>
      <c r="G1520">
        <v>-222.20089999999999</v>
      </c>
      <c r="H1520">
        <v>1.0508679999999999</v>
      </c>
      <c r="I1520">
        <v>367.76580000000001</v>
      </c>
      <c r="J1520">
        <v>-222.86969999999999</v>
      </c>
      <c r="K1520">
        <v>1.120557</v>
      </c>
      <c r="L1520">
        <v>367.86009999999999</v>
      </c>
      <c r="M1520">
        <v>0.99994950000000005</v>
      </c>
      <c r="N1520">
        <v>-8.7865779999999997E-3</v>
      </c>
      <c r="O1520">
        <v>4.8832290000000002E-3</v>
      </c>
      <c r="P1520">
        <v>0.99490970000000001</v>
      </c>
      <c r="Q1520">
        <v>-9.7539539999999994E-2</v>
      </c>
      <c r="R1520">
        <v>-2.5312330000000001E-2</v>
      </c>
      <c r="S1520">
        <v>2.9843899999999999</v>
      </c>
      <c r="T1520">
        <v>-0.23837079999999999</v>
      </c>
      <c r="U1520">
        <v>-0.31939699999999999</v>
      </c>
      <c r="V1520">
        <v>3.01674E-2</v>
      </c>
      <c r="W1520">
        <v>-8.8796180000000002E-2</v>
      </c>
      <c r="X1520">
        <v>0.9955929</v>
      </c>
      <c r="Y1520">
        <v>0.1108691</v>
      </c>
      <c r="Z1520">
        <v>-5.2430719999999997E-3</v>
      </c>
      <c r="AA1520">
        <v>0.99382119999999996</v>
      </c>
      <c r="AB1520">
        <v>18</v>
      </c>
      <c r="AC1520">
        <v>0.66880000000000395</v>
      </c>
      <c r="AD1520">
        <v>-6.9688999999999807E-2</v>
      </c>
      <c r="AE1520">
        <v>-9.4299999999975598E-2</v>
      </c>
      <c r="AF1520">
        <v>9.6537170127896504E-2</v>
      </c>
      <c r="AG1520">
        <v>-6.9688999999999807E-2</v>
      </c>
      <c r="AH1520">
        <v>0.66129140876329895</v>
      </c>
      <c r="AI1520">
        <v>95.953168800365304</v>
      </c>
      <c r="AJ1520">
        <v>81.6944698505026</v>
      </c>
      <c r="AK1520">
        <v>0.67192433297317899</v>
      </c>
      <c r="AL1520">
        <v>95.094355854756003</v>
      </c>
      <c r="AM1520">
        <v>88.264415108562801</v>
      </c>
      <c r="AN1520">
        <v>1.00000002806788</v>
      </c>
    </row>
    <row r="1521" spans="1:40" x14ac:dyDescent="0.25">
      <c r="A1521" t="str">
        <f>"20190303154125226"</f>
        <v>20190303154125226</v>
      </c>
      <c r="B1521" t="str">
        <f>"1551598885220810"</f>
        <v>1551598885220810</v>
      </c>
      <c r="C1521" t="s">
        <v>40</v>
      </c>
      <c r="D1521">
        <v>5.8732839999999999</v>
      </c>
      <c r="E1521">
        <v>0.53123100000000001</v>
      </c>
      <c r="F1521" t="s">
        <v>44</v>
      </c>
      <c r="G1521">
        <v>-207.35489999999999</v>
      </c>
      <c r="H1521" s="1">
        <v>-4.81727E-6</v>
      </c>
      <c r="I1521">
        <v>366.1644</v>
      </c>
      <c r="J1521">
        <v>-222.6815</v>
      </c>
      <c r="K1521">
        <v>1.1205480000000001</v>
      </c>
      <c r="L1521">
        <v>367.86099999999999</v>
      </c>
      <c r="M1521">
        <v>0.99994930000000004</v>
      </c>
      <c r="N1521">
        <v>-8.8229309999999991E-3</v>
      </c>
      <c r="O1521">
        <v>4.8965379999999998E-3</v>
      </c>
      <c r="P1521">
        <v>0.99484989999999995</v>
      </c>
      <c r="Q1521">
        <v>-9.7812979999999994E-2</v>
      </c>
      <c r="R1521">
        <v>-2.6583860000000001E-2</v>
      </c>
      <c r="S1521">
        <v>2.9859010000000001</v>
      </c>
      <c r="T1521">
        <v>-0.2156575</v>
      </c>
      <c r="U1521">
        <v>-0.32635500000000001</v>
      </c>
      <c r="V1521">
        <v>3.1449589999999999E-2</v>
      </c>
      <c r="W1521">
        <v>-8.9034890000000005E-2</v>
      </c>
      <c r="X1521">
        <v>0.99553190000000003</v>
      </c>
      <c r="Y1521">
        <v>0.1131809</v>
      </c>
      <c r="Z1521">
        <v>-4.8805280000000003E-3</v>
      </c>
      <c r="AA1521">
        <v>0.99356239999999996</v>
      </c>
      <c r="AB1521">
        <v>18</v>
      </c>
      <c r="AC1521">
        <v>15.326599999999999</v>
      </c>
      <c r="AD1521">
        <v>-1.1205528172699999</v>
      </c>
      <c r="AE1521">
        <v>-1.6965999999999799</v>
      </c>
      <c r="AF1521">
        <v>1.7623237094353701</v>
      </c>
      <c r="AG1521">
        <v>-1.1205528172699999</v>
      </c>
      <c r="AH1521">
        <v>15.2376444862473</v>
      </c>
      <c r="AI1521">
        <v>94.178120854614605</v>
      </c>
      <c r="AJ1521">
        <v>83.402715750611904</v>
      </c>
      <c r="AK1521">
        <v>15.3800920986317</v>
      </c>
      <c r="AL1521">
        <v>95.108087327834696</v>
      </c>
      <c r="AM1521">
        <v>88.190585649207804</v>
      </c>
      <c r="AN1521">
        <v>1.00000002613304</v>
      </c>
    </row>
    <row r="1522" spans="1:40" x14ac:dyDescent="0.25">
      <c r="A1522" t="str">
        <f>"20190303154125248"</f>
        <v>20190303154125248</v>
      </c>
      <c r="B1522" t="str">
        <f>"1551598885240333"</f>
        <v>1551598885240333</v>
      </c>
      <c r="C1522" t="s">
        <v>40</v>
      </c>
      <c r="D1522">
        <v>5.8993250000000002</v>
      </c>
      <c r="E1522">
        <v>0.53100649999999905</v>
      </c>
      <c r="F1522" t="s">
        <v>44</v>
      </c>
      <c r="G1522">
        <v>-206.5284</v>
      </c>
      <c r="H1522" s="1">
        <v>-4.4504130000000003E-6</v>
      </c>
      <c r="I1522">
        <v>366.08260000000001</v>
      </c>
      <c r="J1522">
        <v>-222.5051</v>
      </c>
      <c r="K1522">
        <v>1.120557</v>
      </c>
      <c r="L1522">
        <v>367.86189999999999</v>
      </c>
      <c r="M1522">
        <v>0.99994859999999997</v>
      </c>
      <c r="N1522">
        <v>-8.870635E-3</v>
      </c>
      <c r="O1522">
        <v>4.8959520000000003E-3</v>
      </c>
      <c r="P1522">
        <v>0.99485730000000006</v>
      </c>
      <c r="Q1522">
        <v>-9.7796960000000002E-2</v>
      </c>
      <c r="R1522">
        <v>-2.6356020000000001E-2</v>
      </c>
      <c r="S1522">
        <v>2.9863740000000001</v>
      </c>
      <c r="T1522">
        <v>-0.20716760000000001</v>
      </c>
      <c r="U1522">
        <v>-0.32879639999999999</v>
      </c>
      <c r="V1522">
        <v>3.1219529999999999E-2</v>
      </c>
      <c r="W1522">
        <v>-8.8971839999999996E-2</v>
      </c>
      <c r="X1522">
        <v>0.99554469999999995</v>
      </c>
      <c r="Y1522">
        <v>0.1139884</v>
      </c>
      <c r="Z1522">
        <v>-4.73991E-3</v>
      </c>
      <c r="AA1522">
        <v>0.99347079999999999</v>
      </c>
      <c r="AB1522">
        <v>18</v>
      </c>
      <c r="AC1522">
        <v>15.9766999999999</v>
      </c>
      <c r="AD1522">
        <v>-1.1205614504129999</v>
      </c>
      <c r="AE1522">
        <v>-1.7792999999999699</v>
      </c>
      <c r="AF1522">
        <v>1.8485210128817799</v>
      </c>
      <c r="AG1522">
        <v>-1.1205614504129999</v>
      </c>
      <c r="AH1522">
        <v>15.8905849875414</v>
      </c>
      <c r="AI1522">
        <v>94.006737505695398</v>
      </c>
      <c r="AJ1522">
        <v>83.364715595944105</v>
      </c>
      <c r="AK1522">
        <v>16.036937960393001</v>
      </c>
      <c r="AL1522">
        <v>95.104460832235006</v>
      </c>
      <c r="AM1522">
        <v>88.203836251239807</v>
      </c>
      <c r="AN1522">
        <v>0.99999994853224605</v>
      </c>
    </row>
    <row r="1523" spans="1:40" x14ac:dyDescent="0.25">
      <c r="A1523" t="str">
        <f>"20190303154125271"</f>
        <v>20190303154125271</v>
      </c>
      <c r="B1523" t="str">
        <f>"1551598885260825"</f>
        <v>1551598885260825</v>
      </c>
      <c r="C1523" t="s">
        <v>40</v>
      </c>
      <c r="D1523">
        <v>5.8822089999999996</v>
      </c>
      <c r="E1523">
        <v>0.53085199999999999</v>
      </c>
      <c r="F1523" t="s">
        <v>44</v>
      </c>
      <c r="G1523">
        <v>-205.76730000000001</v>
      </c>
      <c r="H1523" s="1">
        <v>-4.10745E-6</v>
      </c>
      <c r="I1523">
        <v>366.03039999999999</v>
      </c>
      <c r="J1523">
        <v>-222.31219999999999</v>
      </c>
      <c r="K1523">
        <v>1.1205590000000001</v>
      </c>
      <c r="L1523">
        <v>367.86279999999999</v>
      </c>
      <c r="M1523">
        <v>0.99994810000000001</v>
      </c>
      <c r="N1523">
        <v>-8.9335630000000003E-3</v>
      </c>
      <c r="O1523">
        <v>4.8848429999999998E-3</v>
      </c>
      <c r="P1523">
        <v>0.99476949999999997</v>
      </c>
      <c r="Q1523">
        <v>-9.8821389999999995E-2</v>
      </c>
      <c r="R1523">
        <v>-2.585088E-2</v>
      </c>
      <c r="S1523">
        <v>2.9871829999999999</v>
      </c>
      <c r="T1523">
        <v>-0.19998650000000001</v>
      </c>
      <c r="U1523">
        <v>-0.32687379999999999</v>
      </c>
      <c r="V1523">
        <v>3.0702190000000001E-2</v>
      </c>
      <c r="W1523">
        <v>-8.9934529999999999E-2</v>
      </c>
      <c r="X1523">
        <v>0.99547430000000003</v>
      </c>
      <c r="Y1523">
        <v>0.1133382</v>
      </c>
      <c r="Z1523">
        <v>-4.5690729999999999E-3</v>
      </c>
      <c r="AA1523">
        <v>0.99354589999999998</v>
      </c>
      <c r="AB1523">
        <v>18</v>
      </c>
      <c r="AC1523">
        <v>16.544899999999899</v>
      </c>
      <c r="AD1523">
        <v>-1.12056310745</v>
      </c>
      <c r="AE1523">
        <v>-1.8324</v>
      </c>
      <c r="AF1523">
        <v>1.9045698958428201</v>
      </c>
      <c r="AG1523">
        <v>-1.12056310745</v>
      </c>
      <c r="AH1523">
        <v>16.4611562096242</v>
      </c>
      <c r="AI1523">
        <v>93.868569061713401</v>
      </c>
      <c r="AJ1523">
        <v>83.400174691206999</v>
      </c>
      <c r="AK1523">
        <v>16.608814284095601</v>
      </c>
      <c r="AL1523">
        <v>95.159840853377204</v>
      </c>
      <c r="AM1523">
        <v>88.233456690553794</v>
      </c>
      <c r="AN1523">
        <v>0.99999996305880201</v>
      </c>
    </row>
    <row r="1524" spans="1:40" x14ac:dyDescent="0.25">
      <c r="A1524" t="str">
        <f>"20190303154125294"</f>
        <v>20190303154125294</v>
      </c>
      <c r="B1524" t="str">
        <f>"1551598885291082"</f>
        <v>1551598885291082</v>
      </c>
      <c r="C1524" t="s">
        <v>40</v>
      </c>
      <c r="D1524">
        <v>5.8978890000000002</v>
      </c>
      <c r="E1524">
        <v>0.52996899999999902</v>
      </c>
      <c r="F1524" t="s">
        <v>44</v>
      </c>
      <c r="G1524">
        <v>-205.34460000000001</v>
      </c>
      <c r="H1524" s="1">
        <v>-3.9125829999999998E-6</v>
      </c>
      <c r="I1524">
        <v>366.02100000000002</v>
      </c>
      <c r="J1524">
        <v>-222.12260000000001</v>
      </c>
      <c r="K1524">
        <v>1.120563</v>
      </c>
      <c r="L1524">
        <v>367.86369999999999</v>
      </c>
      <c r="M1524">
        <v>0.99994769999999999</v>
      </c>
      <c r="N1524">
        <v>-8.9991329999999994E-3</v>
      </c>
      <c r="O1524">
        <v>4.8689359999999999E-3</v>
      </c>
      <c r="P1524">
        <v>0.99458250000000004</v>
      </c>
      <c r="Q1524">
        <v>-0.1007875</v>
      </c>
      <c r="R1524">
        <v>-2.545321E-2</v>
      </c>
      <c r="S1524">
        <v>2.9877319999999998</v>
      </c>
      <c r="T1524">
        <v>-0.19731309999999999</v>
      </c>
      <c r="U1524">
        <v>-0.3243103</v>
      </c>
      <c r="V1524">
        <v>3.028776E-2</v>
      </c>
      <c r="W1524">
        <v>-9.1836840000000003E-2</v>
      </c>
      <c r="X1524">
        <v>0.99531329999999996</v>
      </c>
      <c r="Y1524">
        <v>0.1124695</v>
      </c>
      <c r="Z1524">
        <v>-4.4837469999999997E-3</v>
      </c>
      <c r="AA1524">
        <v>0.99364509999999995</v>
      </c>
      <c r="AB1524">
        <v>19</v>
      </c>
      <c r="AC1524">
        <v>16.777999999999899</v>
      </c>
      <c r="AD1524">
        <v>-1.120566912583</v>
      </c>
      <c r="AE1524">
        <v>-1.84270000000003</v>
      </c>
      <c r="AF1524">
        <v>1.9159280998863599</v>
      </c>
      <c r="AG1524">
        <v>-1.120566912583</v>
      </c>
      <c r="AH1524">
        <v>16.695245200173201</v>
      </c>
      <c r="AI1524">
        <v>93.814908309196994</v>
      </c>
      <c r="AJ1524">
        <v>83.453437253885596</v>
      </c>
      <c r="AK1524">
        <v>16.842139501364301</v>
      </c>
      <c r="AL1524">
        <v>95.269288194374496</v>
      </c>
      <c r="AM1524">
        <v>88.257005644649297</v>
      </c>
      <c r="AN1524">
        <v>0.99999995937194497</v>
      </c>
    </row>
    <row r="1525" spans="1:40" x14ac:dyDescent="0.25">
      <c r="A1525" t="str">
        <f>"20190303154125315"</f>
        <v>20190303154125315</v>
      </c>
      <c r="B1525" t="str">
        <f>"1551598885310602"</f>
        <v>1551598885310602</v>
      </c>
      <c r="C1525" t="s">
        <v>40</v>
      </c>
      <c r="D1525">
        <v>5.9183960000000004</v>
      </c>
      <c r="E1525">
        <v>0.52959129999999999</v>
      </c>
      <c r="F1525" t="s">
        <v>44</v>
      </c>
      <c r="G1525">
        <v>-205.63329999999999</v>
      </c>
      <c r="H1525" s="1">
        <v>-4.0255400000000001E-6</v>
      </c>
      <c r="I1525">
        <v>366.11829999999998</v>
      </c>
      <c r="J1525">
        <v>-221.94319999999999</v>
      </c>
      <c r="K1525">
        <v>1.1205639999999999</v>
      </c>
      <c r="L1525">
        <v>367.8646</v>
      </c>
      <c r="M1525">
        <v>0.99994720000000004</v>
      </c>
      <c r="N1525">
        <v>-9.0588690000000006E-3</v>
      </c>
      <c r="O1525">
        <v>4.8533730000000002E-3</v>
      </c>
      <c r="P1525">
        <v>0.99441420000000003</v>
      </c>
      <c r="Q1525">
        <v>-0.1025052</v>
      </c>
      <c r="R1525">
        <v>-2.516477E-2</v>
      </c>
      <c r="S1525">
        <v>2.9876559999999999</v>
      </c>
      <c r="T1525">
        <v>-0.20303270000000001</v>
      </c>
      <c r="U1525">
        <v>-0.31625370000000003</v>
      </c>
      <c r="V1525">
        <v>2.998346E-2</v>
      </c>
      <c r="W1525">
        <v>-9.3496319999999994E-2</v>
      </c>
      <c r="X1525">
        <v>0.99516800000000005</v>
      </c>
      <c r="Y1525">
        <v>0.1097982</v>
      </c>
      <c r="Z1525">
        <v>-4.5002569999999997E-3</v>
      </c>
      <c r="AA1525">
        <v>0.99394369999999999</v>
      </c>
      <c r="AB1525">
        <v>19</v>
      </c>
      <c r="AC1525">
        <v>16.309899999999999</v>
      </c>
      <c r="AD1525">
        <v>-1.1205680255399999</v>
      </c>
      <c r="AE1525">
        <v>-1.74630000000001</v>
      </c>
      <c r="AF1525">
        <v>1.8169612289623001</v>
      </c>
      <c r="AG1525">
        <v>-1.1205680255399999</v>
      </c>
      <c r="AH1525">
        <v>16.225510146923501</v>
      </c>
      <c r="AI1525">
        <v>93.926231419967905</v>
      </c>
      <c r="AJ1525">
        <v>83.610536655671496</v>
      </c>
      <c r="AK1525">
        <v>16.3653353260889</v>
      </c>
      <c r="AL1525">
        <v>95.364780295723193</v>
      </c>
      <c r="AM1525">
        <v>88.2742550251361</v>
      </c>
      <c r="AN1525">
        <v>0.99999995897555605</v>
      </c>
    </row>
    <row r="1526" spans="1:40" x14ac:dyDescent="0.25">
      <c r="A1526" t="str">
        <f>"20190303154125337"</f>
        <v>20190303154125337</v>
      </c>
      <c r="B1526" t="str">
        <f>"1551598885330695"</f>
        <v>1551598885330695</v>
      </c>
      <c r="C1526" t="s">
        <v>40</v>
      </c>
      <c r="D1526">
        <v>5.8893050000000002</v>
      </c>
      <c r="E1526">
        <v>0.52932570000000001</v>
      </c>
      <c r="F1526" t="s">
        <v>44</v>
      </c>
      <c r="G1526">
        <v>-205.77260000000001</v>
      </c>
      <c r="H1526" s="1">
        <v>-4.0784639999999999E-6</v>
      </c>
      <c r="I1526">
        <v>366.1721</v>
      </c>
      <c r="J1526">
        <v>-221.75919999999999</v>
      </c>
      <c r="K1526">
        <v>1.1205719999999999</v>
      </c>
      <c r="L1526">
        <v>367.86540000000002</v>
      </c>
      <c r="M1526">
        <v>0.99994689999999997</v>
      </c>
      <c r="N1526">
        <v>-9.1151579999999999E-3</v>
      </c>
      <c r="O1526">
        <v>4.839388E-3</v>
      </c>
      <c r="P1526">
        <v>0.99439880000000003</v>
      </c>
      <c r="Q1526">
        <v>-0.1025407</v>
      </c>
      <c r="R1526">
        <v>-2.5628519999999998E-2</v>
      </c>
      <c r="S1526">
        <v>2.9876100000000001</v>
      </c>
      <c r="T1526">
        <v>-0.2070314</v>
      </c>
      <c r="U1526">
        <v>-0.31268309999999999</v>
      </c>
      <c r="V1526">
        <v>3.0433970000000001E-2</v>
      </c>
      <c r="W1526">
        <v>-9.347577E-2</v>
      </c>
      <c r="X1526">
        <v>0.99515629999999999</v>
      </c>
      <c r="Y1526">
        <v>0.1086029</v>
      </c>
      <c r="Z1526">
        <v>-4.5353099999999999E-3</v>
      </c>
      <c r="AA1526">
        <v>0.99407489999999998</v>
      </c>
      <c r="AB1526">
        <v>19</v>
      </c>
      <c r="AC1526">
        <v>15.9865999999999</v>
      </c>
      <c r="AD1526">
        <v>-1.120576078464</v>
      </c>
      <c r="AE1526">
        <v>-1.69330000000002</v>
      </c>
      <c r="AF1526">
        <v>1.76208717782696</v>
      </c>
      <c r="AG1526">
        <v>-1.120576078464</v>
      </c>
      <c r="AH1526">
        <v>15.9009590014136</v>
      </c>
      <c r="AI1526">
        <v>94.006651331240406</v>
      </c>
      <c r="AJ1526">
        <v>83.676488057580002</v>
      </c>
      <c r="AK1526">
        <v>16.0374916721576</v>
      </c>
      <c r="AL1526">
        <v>95.363597447327805</v>
      </c>
      <c r="AM1526">
        <v>88.248320670125906</v>
      </c>
      <c r="AN1526">
        <v>1.0000000037683701</v>
      </c>
    </row>
    <row r="1527" spans="1:40" x14ac:dyDescent="0.25">
      <c r="A1527" t="str">
        <f>"20190303154125359"</f>
        <v>20190303154125359</v>
      </c>
      <c r="B1527" t="str">
        <f>"1551598885351182"</f>
        <v>1551598885351182</v>
      </c>
      <c r="C1527" t="s">
        <v>40</v>
      </c>
      <c r="D1527">
        <v>5.889913</v>
      </c>
      <c r="E1527">
        <v>0.52914450000000002</v>
      </c>
      <c r="F1527" t="s">
        <v>44</v>
      </c>
      <c r="G1527">
        <v>-205.51480000000001</v>
      </c>
      <c r="H1527" s="1">
        <v>-3.9586219999999999E-6</v>
      </c>
      <c r="I1527">
        <v>366.17110000000002</v>
      </c>
      <c r="J1527">
        <v>-221.57320000000001</v>
      </c>
      <c r="K1527">
        <v>1.120573</v>
      </c>
      <c r="L1527">
        <v>367.86630000000002</v>
      </c>
      <c r="M1527">
        <v>0.99994640000000001</v>
      </c>
      <c r="N1527">
        <v>-9.1667599999999995E-3</v>
      </c>
      <c r="O1527">
        <v>4.8287599999999996E-3</v>
      </c>
      <c r="P1527">
        <v>0.99435200000000001</v>
      </c>
      <c r="Q1527">
        <v>-0.102975</v>
      </c>
      <c r="R1527">
        <v>-2.5699949999999999E-2</v>
      </c>
      <c r="S1527">
        <v>2.9875790000000002</v>
      </c>
      <c r="T1527">
        <v>-0.20608989999999999</v>
      </c>
      <c r="U1527">
        <v>-0.31161499999999998</v>
      </c>
      <c r="V1527">
        <v>3.0495640000000001E-2</v>
      </c>
      <c r="W1527">
        <v>-9.3858819999999996E-2</v>
      </c>
      <c r="X1527">
        <v>0.99511839999999996</v>
      </c>
      <c r="Y1527">
        <v>0.1082452</v>
      </c>
      <c r="Z1527">
        <v>-4.5048850000000001E-3</v>
      </c>
      <c r="AA1527">
        <v>0.99411400000000005</v>
      </c>
      <c r="AB1527">
        <v>19</v>
      </c>
      <c r="AC1527">
        <v>16.058399999999999</v>
      </c>
      <c r="AD1527">
        <v>-1.120576958622</v>
      </c>
      <c r="AE1527">
        <v>-1.69519999999999</v>
      </c>
      <c r="AF1527">
        <v>1.76422952060305</v>
      </c>
      <c r="AG1527">
        <v>-1.120576958622</v>
      </c>
      <c r="AH1527">
        <v>15.9731038923694</v>
      </c>
      <c r="AI1527">
        <v>93.988775574685206</v>
      </c>
      <c r="AJ1527">
        <v>83.697227209428306</v>
      </c>
      <c r="AK1527">
        <v>16.1092596502132</v>
      </c>
      <c r="AL1527">
        <v>95.385641282676104</v>
      </c>
      <c r="AM1527">
        <v>88.244706558015807</v>
      </c>
      <c r="AN1527">
        <v>1.0000000460846701</v>
      </c>
    </row>
    <row r="1528" spans="1:40" x14ac:dyDescent="0.25">
      <c r="A1528" t="str">
        <f>"20190303154125381"</f>
        <v>20190303154125381</v>
      </c>
      <c r="B1528" t="str">
        <f>"1551598885370702"</f>
        <v>1551598885370702</v>
      </c>
      <c r="C1528" t="s">
        <v>40</v>
      </c>
      <c r="D1528">
        <v>5.8779969999999997</v>
      </c>
      <c r="E1528">
        <v>0.52919700000000003</v>
      </c>
      <c r="F1528" t="s">
        <v>44</v>
      </c>
      <c r="G1528">
        <v>-205.32820000000001</v>
      </c>
      <c r="H1528" s="1">
        <v>-3.8703040000000001E-6</v>
      </c>
      <c r="I1528">
        <v>366.17739999999998</v>
      </c>
      <c r="J1528">
        <v>-221.38650000000001</v>
      </c>
      <c r="K1528">
        <v>1.120582</v>
      </c>
      <c r="L1528">
        <v>367.86720000000003</v>
      </c>
      <c r="M1528">
        <v>0.99994590000000005</v>
      </c>
      <c r="N1528">
        <v>-9.2138900000000006E-3</v>
      </c>
      <c r="O1528">
        <v>4.8226739999999999E-3</v>
      </c>
      <c r="P1528">
        <v>0.9942917</v>
      </c>
      <c r="Q1528">
        <v>-0.1033405</v>
      </c>
      <c r="R1528">
        <v>-2.6555200000000001E-2</v>
      </c>
      <c r="S1528">
        <v>2.9876399999999999</v>
      </c>
      <c r="T1528">
        <v>-0.20608750000000001</v>
      </c>
      <c r="U1528">
        <v>-0.31060789999999999</v>
      </c>
      <c r="V1528">
        <v>3.134497E-2</v>
      </c>
      <c r="W1528">
        <v>-9.4177739999999996E-2</v>
      </c>
      <c r="X1528">
        <v>0.9950618</v>
      </c>
      <c r="Y1528">
        <v>0.1079063</v>
      </c>
      <c r="Z1528">
        <v>-4.4935770000000003E-3</v>
      </c>
      <c r="AA1528">
        <v>0.99415089999999995</v>
      </c>
      <c r="AB1528">
        <v>19</v>
      </c>
      <c r="AC1528">
        <v>16.058299999999999</v>
      </c>
      <c r="AD1528">
        <v>-1.1205858703039999</v>
      </c>
      <c r="AE1528">
        <v>-1.6898000000000399</v>
      </c>
      <c r="AF1528">
        <v>1.75875697801761</v>
      </c>
      <c r="AG1528">
        <v>-1.1205858703039999</v>
      </c>
      <c r="AH1528">
        <v>15.9730334965825</v>
      </c>
      <c r="AI1528">
        <v>93.988972926106698</v>
      </c>
      <c r="AJ1528">
        <v>83.716593975827806</v>
      </c>
      <c r="AK1528">
        <v>16.1085920515543</v>
      </c>
      <c r="AL1528">
        <v>95.403995765053196</v>
      </c>
      <c r="AM1528">
        <v>88.195749431631597</v>
      </c>
      <c r="AN1528">
        <v>0.99999996983752304</v>
      </c>
    </row>
    <row r="1529" spans="1:40" x14ac:dyDescent="0.25">
      <c r="A1529" t="str">
        <f>"20190303154125403"</f>
        <v>20190303154125403</v>
      </c>
      <c r="B1529" t="str">
        <f>"1551598885400959"</f>
        <v>1551598885400959</v>
      </c>
      <c r="C1529" t="s">
        <v>40</v>
      </c>
      <c r="D1529">
        <v>5.8922840000000001</v>
      </c>
      <c r="E1529">
        <v>0.529290699999999</v>
      </c>
      <c r="F1529" t="s">
        <v>44</v>
      </c>
      <c r="G1529">
        <v>-204.98670000000001</v>
      </c>
      <c r="H1529" s="1">
        <v>-3.7180330000000001E-6</v>
      </c>
      <c r="I1529">
        <v>366.14440000000002</v>
      </c>
      <c r="J1529">
        <v>-221.19829999999999</v>
      </c>
      <c r="K1529">
        <v>1.120587</v>
      </c>
      <c r="L1529">
        <v>367.86810000000003</v>
      </c>
      <c r="M1529">
        <v>0.99994559999999999</v>
      </c>
      <c r="N1529">
        <v>-9.2581499999999997E-3</v>
      </c>
      <c r="O1529">
        <v>4.8208210000000003E-3</v>
      </c>
      <c r="P1529">
        <v>0.99429100000000004</v>
      </c>
      <c r="Q1529">
        <v>-0.1032081</v>
      </c>
      <c r="R1529">
        <v>-2.70888E-2</v>
      </c>
      <c r="S1529">
        <v>2.9876399999999999</v>
      </c>
      <c r="T1529">
        <v>-0.20414350000000001</v>
      </c>
      <c r="U1529">
        <v>-0.31384279999999998</v>
      </c>
      <c r="V1529">
        <v>3.1877290000000003E-2</v>
      </c>
      <c r="W1529">
        <v>-9.4001260000000003E-2</v>
      </c>
      <c r="X1529">
        <v>0.99506159999999999</v>
      </c>
      <c r="Y1529">
        <v>0.1089715</v>
      </c>
      <c r="Z1529">
        <v>-4.4986449999999999E-3</v>
      </c>
      <c r="AA1529">
        <v>0.99403470000000005</v>
      </c>
      <c r="AB1529">
        <v>19</v>
      </c>
      <c r="AC1529">
        <v>16.211599999999901</v>
      </c>
      <c r="AD1529">
        <v>-1.1205907180329999</v>
      </c>
      <c r="AE1529">
        <v>-1.7237</v>
      </c>
      <c r="AF1529">
        <v>1.79336370371876</v>
      </c>
      <c r="AG1529">
        <v>-1.1205907180329999</v>
      </c>
      <c r="AH1529">
        <v>16.1269092660289</v>
      </c>
      <c r="AI1529">
        <v>93.950578537005796</v>
      </c>
      <c r="AJ1529">
        <v>83.654597093996699</v>
      </c>
      <c r="AK1529">
        <v>16.264964783419799</v>
      </c>
      <c r="AL1529">
        <v>95.393839022098803</v>
      </c>
      <c r="AM1529">
        <v>88.165128915492701</v>
      </c>
      <c r="AN1529">
        <v>0.99999999314694499</v>
      </c>
    </row>
    <row r="1530" spans="1:40" x14ac:dyDescent="0.25">
      <c r="A1530" t="str">
        <f>"20190303154125427"</f>
        <v>20190303154125427</v>
      </c>
      <c r="B1530" t="str">
        <f>"1551598885420478"</f>
        <v>1551598885420478</v>
      </c>
      <c r="C1530" t="s">
        <v>40</v>
      </c>
      <c r="D1530">
        <v>5.9024679999999998</v>
      </c>
      <c r="E1530">
        <v>0.5289819</v>
      </c>
      <c r="F1530" t="s">
        <v>44</v>
      </c>
      <c r="G1530">
        <v>-204.39840000000001</v>
      </c>
      <c r="H1530" s="1">
        <v>-3.4337019999999999E-6</v>
      </c>
      <c r="I1530">
        <v>366.0915</v>
      </c>
      <c r="J1530">
        <v>-221.005</v>
      </c>
      <c r="K1530">
        <v>1.120592</v>
      </c>
      <c r="L1530">
        <v>367.86900000000003</v>
      </c>
      <c r="M1530">
        <v>0.99994519999999998</v>
      </c>
      <c r="N1530">
        <v>-9.3042200000000002E-3</v>
      </c>
      <c r="O1530">
        <v>4.821929E-3</v>
      </c>
      <c r="P1530">
        <v>0.99428170000000005</v>
      </c>
      <c r="Q1530">
        <v>-0.10317220000000001</v>
      </c>
      <c r="R1530">
        <v>-2.755985E-2</v>
      </c>
      <c r="S1530">
        <v>2.98793</v>
      </c>
      <c r="T1530">
        <v>-0.19930149999999999</v>
      </c>
      <c r="U1530">
        <v>-0.31597900000000001</v>
      </c>
      <c r="V1530">
        <v>3.2349860000000001E-2</v>
      </c>
      <c r="W1530">
        <v>-9.3919520000000006E-2</v>
      </c>
      <c r="X1530">
        <v>0.99505410000000005</v>
      </c>
      <c r="Y1530">
        <v>0.1096767</v>
      </c>
      <c r="Z1530">
        <v>-4.4316590000000001E-3</v>
      </c>
      <c r="AA1530">
        <v>0.99395750000000005</v>
      </c>
      <c r="AB1530">
        <v>19</v>
      </c>
      <c r="AC1530">
        <v>16.606599999999901</v>
      </c>
      <c r="AD1530">
        <v>-1.1205954337019901</v>
      </c>
      <c r="AE1530">
        <v>-1.7775000000000301</v>
      </c>
      <c r="AF1530">
        <v>1.8492337037679201</v>
      </c>
      <c r="AG1530">
        <v>-1.1205954337019901</v>
      </c>
      <c r="AH1530">
        <v>16.5234498316605</v>
      </c>
      <c r="AI1530">
        <v>93.855773846498906</v>
      </c>
      <c r="AJ1530">
        <v>83.614274072432195</v>
      </c>
      <c r="AK1530">
        <v>16.6643269818071</v>
      </c>
      <c r="AL1530">
        <v>95.389134676998296</v>
      </c>
      <c r="AM1530">
        <v>88.137932559077996</v>
      </c>
      <c r="AN1530">
        <v>1.00000002580292</v>
      </c>
    </row>
    <row r="1531" spans="1:40" x14ac:dyDescent="0.25">
      <c r="A1531" t="str">
        <f>"20190303154125449"</f>
        <v>20190303154125449</v>
      </c>
      <c r="B1531" t="str">
        <f>"1551598885440974"</f>
        <v>1551598885440974</v>
      </c>
      <c r="C1531" t="s">
        <v>40</v>
      </c>
      <c r="D1531">
        <v>5.8917419999999998</v>
      </c>
      <c r="E1531">
        <v>0.52867469999999905</v>
      </c>
      <c r="F1531" t="s">
        <v>44</v>
      </c>
      <c r="G1531">
        <v>-204.27090000000001</v>
      </c>
      <c r="H1531" s="1">
        <v>-3.366534E-6</v>
      </c>
      <c r="I1531">
        <v>366.10509999999999</v>
      </c>
      <c r="J1531">
        <v>-220.8185</v>
      </c>
      <c r="K1531">
        <v>1.1205909999999999</v>
      </c>
      <c r="L1531">
        <v>367.86989999999997</v>
      </c>
      <c r="M1531">
        <v>0.99994470000000002</v>
      </c>
      <c r="N1531">
        <v>-9.3512430000000004E-3</v>
      </c>
      <c r="O1531">
        <v>4.8254170000000002E-3</v>
      </c>
      <c r="P1531">
        <v>0.99416389999999999</v>
      </c>
      <c r="Q1531">
        <v>-0.1042693</v>
      </c>
      <c r="R1531">
        <v>-2.768172E-2</v>
      </c>
      <c r="S1531">
        <v>2.987762</v>
      </c>
      <c r="T1531">
        <v>-0.20007459999999999</v>
      </c>
      <c r="U1531">
        <v>-0.31494139999999998</v>
      </c>
      <c r="V1531">
        <v>3.2474910000000003E-2</v>
      </c>
      <c r="W1531">
        <v>-9.4970879999999994E-2</v>
      </c>
      <c r="X1531">
        <v>0.99495020000000001</v>
      </c>
      <c r="Y1531">
        <v>0.1093432</v>
      </c>
      <c r="Z1531">
        <v>-4.4371649999999999E-3</v>
      </c>
      <c r="AA1531">
        <v>0.99399420000000005</v>
      </c>
      <c r="AB1531">
        <v>19</v>
      </c>
      <c r="AC1531">
        <v>16.5475999999999</v>
      </c>
      <c r="AD1531">
        <v>-1.1205943665339999</v>
      </c>
      <c r="AE1531">
        <v>-1.7647999999999699</v>
      </c>
      <c r="AF1531">
        <v>1.83630555743583</v>
      </c>
      <c r="AG1531">
        <v>-1.1205943665339999</v>
      </c>
      <c r="AH1531">
        <v>16.464236463288898</v>
      </c>
      <c r="AI1531">
        <v>93.869758277015706</v>
      </c>
      <c r="AJ1531">
        <v>83.635932134377697</v>
      </c>
      <c r="AK1531">
        <v>16.604181164805102</v>
      </c>
      <c r="AL1531">
        <v>95.449643813371694</v>
      </c>
      <c r="AM1531">
        <v>88.130544677598806</v>
      </c>
      <c r="AN1531">
        <v>0.99999999415376095</v>
      </c>
    </row>
    <row r="1532" spans="1:40" x14ac:dyDescent="0.25">
      <c r="A1532" t="str">
        <f>"20190303154125472"</f>
        <v>20190303154125472</v>
      </c>
      <c r="B1532" t="str">
        <f>"1551598885460494"</f>
        <v>1551598885460494</v>
      </c>
      <c r="C1532" t="s">
        <v>40</v>
      </c>
      <c r="D1532">
        <v>5.8922530000000002</v>
      </c>
      <c r="E1532">
        <v>0.52869949999999999</v>
      </c>
      <c r="F1532" t="s">
        <v>44</v>
      </c>
      <c r="G1532">
        <v>-204.4289</v>
      </c>
      <c r="H1532" s="1">
        <v>-3.4355599999999999E-6</v>
      </c>
      <c r="I1532">
        <v>366.15230000000003</v>
      </c>
      <c r="J1532">
        <v>-220.625</v>
      </c>
      <c r="K1532">
        <v>1.12059</v>
      </c>
      <c r="L1532">
        <v>367.87079999999997</v>
      </c>
      <c r="M1532">
        <v>0.9999441</v>
      </c>
      <c r="N1532">
        <v>-9.4060229999999995E-3</v>
      </c>
      <c r="O1532">
        <v>4.8361769999999997E-3</v>
      </c>
      <c r="P1532">
        <v>0.99397270000000004</v>
      </c>
      <c r="Q1532">
        <v>-0.105936</v>
      </c>
      <c r="R1532">
        <v>-2.8217610000000001E-2</v>
      </c>
      <c r="S1532">
        <v>2.9874879999999999</v>
      </c>
      <c r="T1532">
        <v>-0.20426079999999999</v>
      </c>
      <c r="U1532">
        <v>-0.31307980000000002</v>
      </c>
      <c r="V1532">
        <v>3.3021269999999998E-2</v>
      </c>
      <c r="W1532">
        <v>-9.6584439999999994E-2</v>
      </c>
      <c r="X1532">
        <v>0.99477689999999996</v>
      </c>
      <c r="Y1532">
        <v>0.1087407</v>
      </c>
      <c r="Z1532">
        <v>-4.5005440000000004E-3</v>
      </c>
      <c r="AA1532">
        <v>0.99406000000000005</v>
      </c>
      <c r="AB1532">
        <v>19</v>
      </c>
      <c r="AC1532">
        <v>16.196100000000001</v>
      </c>
      <c r="AD1532">
        <v>-1.12059343556</v>
      </c>
      <c r="AE1532">
        <v>-1.71849999999994</v>
      </c>
      <c r="AF1532">
        <v>1.78834484147754</v>
      </c>
      <c r="AG1532">
        <v>-1.12059343556</v>
      </c>
      <c r="AH1532">
        <v>16.1113308651042</v>
      </c>
      <c r="AI1532">
        <v>93.954484131228497</v>
      </c>
      <c r="AJ1532">
        <v>83.666142154806394</v>
      </c>
      <c r="AK1532">
        <v>16.2489657875422</v>
      </c>
      <c r="AL1532">
        <v>95.542520840444496</v>
      </c>
      <c r="AM1532">
        <v>88.098784813126599</v>
      </c>
      <c r="AN1532">
        <v>1.0000000195480601</v>
      </c>
    </row>
    <row r="1533" spans="1:40" x14ac:dyDescent="0.25">
      <c r="A1533" t="str">
        <f>"20190303154125494"</f>
        <v>20190303154125494</v>
      </c>
      <c r="B1533" t="str">
        <f>"1551598885490750"</f>
        <v>1551598885490750</v>
      </c>
      <c r="C1533" t="s">
        <v>40</v>
      </c>
      <c r="D1533">
        <v>5.8858199999999998</v>
      </c>
      <c r="E1533">
        <v>0.52873490000000001</v>
      </c>
      <c r="F1533" t="s">
        <v>44</v>
      </c>
      <c r="G1533">
        <v>-204.4512</v>
      </c>
      <c r="H1533" s="1">
        <v>-3.4439280000000001E-6</v>
      </c>
      <c r="I1533">
        <v>366.1653</v>
      </c>
      <c r="J1533">
        <v>-220.43860000000001</v>
      </c>
      <c r="K1533">
        <v>1.1205830000000001</v>
      </c>
      <c r="L1533">
        <v>367.87180000000001</v>
      </c>
      <c r="M1533">
        <v>0.99994340000000004</v>
      </c>
      <c r="N1533">
        <v>-9.4674549999999996E-3</v>
      </c>
      <c r="O1533">
        <v>4.8640810000000001E-3</v>
      </c>
      <c r="P1533">
        <v>0.99380429999999997</v>
      </c>
      <c r="Q1533">
        <v>-0.1074087</v>
      </c>
      <c r="R1533">
        <v>-2.8572790000000001E-2</v>
      </c>
      <c r="S1533">
        <v>2.9871979999999998</v>
      </c>
      <c r="T1533">
        <v>-0.2069665</v>
      </c>
      <c r="U1533">
        <v>-0.31500240000000002</v>
      </c>
      <c r="V1533">
        <v>3.3405940000000002E-2</v>
      </c>
      <c r="W1533">
        <v>-9.7996669999999994E-2</v>
      </c>
      <c r="X1533">
        <v>0.99462589999999995</v>
      </c>
      <c r="Y1533">
        <v>0.1094017</v>
      </c>
      <c r="Z1533">
        <v>-4.5847980000000002E-3</v>
      </c>
      <c r="AA1533">
        <v>0.99398699999999995</v>
      </c>
      <c r="AB1533">
        <v>19</v>
      </c>
      <c r="AC1533">
        <v>15.987399999999999</v>
      </c>
      <c r="AD1533">
        <v>-1.12058644392799</v>
      </c>
      <c r="AE1533">
        <v>-1.7064999999999999</v>
      </c>
      <c r="AF1533">
        <v>1.77562217493456</v>
      </c>
      <c r="AG1533">
        <v>-1.12058644392799</v>
      </c>
      <c r="AH1533">
        <v>15.901667212069899</v>
      </c>
      <c r="AI1533">
        <v>94.0061390975075</v>
      </c>
      <c r="AJ1533">
        <v>83.6285951185492</v>
      </c>
      <c r="AK1533">
        <v>16.0396872852888</v>
      </c>
      <c r="AL1533">
        <v>95.623821504726394</v>
      </c>
      <c r="AM1533">
        <v>88.076362020123199</v>
      </c>
      <c r="AN1533">
        <v>0.99999999255459104</v>
      </c>
    </row>
    <row r="1534" spans="1:40" x14ac:dyDescent="0.25">
      <c r="A1534" t="str">
        <f>"20190303154125516"</f>
        <v>20190303154125516</v>
      </c>
      <c r="B1534" t="str">
        <f>"1551598885511250"</f>
        <v>1551598885511250</v>
      </c>
      <c r="C1534" t="s">
        <v>40</v>
      </c>
      <c r="D1534">
        <v>5.871969</v>
      </c>
      <c r="E1534">
        <v>0.52876199999999995</v>
      </c>
      <c r="F1534" t="s">
        <v>44</v>
      </c>
      <c r="G1534">
        <v>-204.37780000000001</v>
      </c>
      <c r="H1534" s="1">
        <v>-3.4056960000000002E-6</v>
      </c>
      <c r="I1534">
        <v>366.17110000000002</v>
      </c>
      <c r="J1534">
        <v>-220.2527</v>
      </c>
      <c r="K1534">
        <v>1.1205879999999999</v>
      </c>
      <c r="L1534">
        <v>367.87279999999998</v>
      </c>
      <c r="M1534">
        <v>0.99994240000000001</v>
      </c>
      <c r="N1534">
        <v>-9.5457300000000005E-3</v>
      </c>
      <c r="O1534">
        <v>4.9187609999999998E-3</v>
      </c>
      <c r="P1534">
        <v>0.9935638</v>
      </c>
      <c r="Q1534">
        <v>-0.1093983</v>
      </c>
      <c r="R1534">
        <v>-2.937969E-2</v>
      </c>
      <c r="S1534">
        <v>2.9870909999999999</v>
      </c>
      <c r="T1534">
        <v>-0.20841299999999999</v>
      </c>
      <c r="U1534">
        <v>-0.3163147</v>
      </c>
      <c r="V1534">
        <v>3.427065E-2</v>
      </c>
      <c r="W1534">
        <v>-9.9909100000000001E-2</v>
      </c>
      <c r="X1534">
        <v>0.99440620000000002</v>
      </c>
      <c r="Y1534">
        <v>0.10988589999999999</v>
      </c>
      <c r="Z1534">
        <v>-4.6398790000000004E-3</v>
      </c>
      <c r="AA1534">
        <v>0.99393339999999997</v>
      </c>
      <c r="AB1534">
        <v>19</v>
      </c>
      <c r="AC1534">
        <v>15.874899999999901</v>
      </c>
      <c r="AD1534">
        <v>-1.120591405696</v>
      </c>
      <c r="AE1534">
        <v>-1.70169999999995</v>
      </c>
      <c r="AF1534">
        <v>1.77104331763357</v>
      </c>
      <c r="AG1534">
        <v>-1.120591405696</v>
      </c>
      <c r="AH1534">
        <v>15.7885599383283</v>
      </c>
      <c r="AI1534">
        <v>94.034535278101302</v>
      </c>
      <c r="AJ1534">
        <v>83.599739929486006</v>
      </c>
      <c r="AK1534">
        <v>15.927050714355101</v>
      </c>
      <c r="AL1534">
        <v>95.733936087658407</v>
      </c>
      <c r="AM1534">
        <v>88.026172034660704</v>
      </c>
      <c r="AN1534">
        <v>0.999999998156336</v>
      </c>
    </row>
    <row r="1535" spans="1:40" x14ac:dyDescent="0.25">
      <c r="A1535" t="str">
        <f>"20190303154125538"</f>
        <v>20190303154125538</v>
      </c>
      <c r="B1535" t="str">
        <f>"1551598885530771"</f>
        <v>1551598885530771</v>
      </c>
      <c r="C1535" t="s">
        <v>40</v>
      </c>
      <c r="D1535">
        <v>5.8811720000000003</v>
      </c>
      <c r="E1535">
        <v>0.52874900000000002</v>
      </c>
      <c r="F1535" t="s">
        <v>44</v>
      </c>
      <c r="G1535">
        <v>-204.49199999999999</v>
      </c>
      <c r="H1535" s="1">
        <v>-3.4589539999999998E-6</v>
      </c>
      <c r="I1535">
        <v>366.1902</v>
      </c>
      <c r="J1535">
        <v>-220.05889999999999</v>
      </c>
      <c r="K1535">
        <v>1.1206100000000001</v>
      </c>
      <c r="L1535">
        <v>367.87380000000002</v>
      </c>
      <c r="M1535">
        <v>0.99994090000000002</v>
      </c>
      <c r="N1535">
        <v>-9.6541279999999997E-3</v>
      </c>
      <c r="O1535">
        <v>5.0088390000000002E-3</v>
      </c>
      <c r="P1535">
        <v>0.99324900000000005</v>
      </c>
      <c r="Q1535">
        <v>-0.1118194</v>
      </c>
      <c r="R1535">
        <v>-3.086854E-2</v>
      </c>
      <c r="S1535">
        <v>2.9866329999999999</v>
      </c>
      <c r="T1535">
        <v>-0.2123514</v>
      </c>
      <c r="U1535">
        <v>-0.31884770000000001</v>
      </c>
      <c r="V1535">
        <v>3.5853900000000001E-2</v>
      </c>
      <c r="W1535">
        <v>-0.1022232</v>
      </c>
      <c r="X1535">
        <v>0.99411510000000003</v>
      </c>
      <c r="Y1535">
        <v>0.11081050000000001</v>
      </c>
      <c r="Z1535">
        <v>-4.7669870000000003E-3</v>
      </c>
      <c r="AA1535">
        <v>0.99383010000000005</v>
      </c>
      <c r="AB1535">
        <v>19</v>
      </c>
      <c r="AC1535">
        <v>15.566899999999899</v>
      </c>
      <c r="AD1535">
        <v>-1.120613458954</v>
      </c>
      <c r="AE1535">
        <v>-1.68360000000001</v>
      </c>
      <c r="AF1535">
        <v>1.7525775431766599</v>
      </c>
      <c r="AG1535">
        <v>-1.120613458954</v>
      </c>
      <c r="AH1535">
        <v>15.4789848997699</v>
      </c>
      <c r="AI1535">
        <v>94.114551630357496</v>
      </c>
      <c r="AJ1535">
        <v>83.540307851306196</v>
      </c>
      <c r="AK1535">
        <v>15.6181393288874</v>
      </c>
      <c r="AL1535">
        <v>95.8672069004175</v>
      </c>
      <c r="AM1535">
        <v>87.9344573563734</v>
      </c>
      <c r="AN1535">
        <v>0.99999995840572897</v>
      </c>
    </row>
    <row r="1536" spans="1:40" x14ac:dyDescent="0.25">
      <c r="A1536" t="str">
        <f>"20190303154125561"</f>
        <v>20190303154125561</v>
      </c>
      <c r="B1536" t="str">
        <f>"1551598885551262"</f>
        <v>1551598885551262</v>
      </c>
      <c r="C1536" t="s">
        <v>40</v>
      </c>
      <c r="D1536">
        <v>5.8484230000000004</v>
      </c>
      <c r="E1536">
        <v>0.52874699999999997</v>
      </c>
      <c r="F1536" t="s">
        <v>44</v>
      </c>
      <c r="G1536">
        <v>-204.6557</v>
      </c>
      <c r="H1536" s="1">
        <v>-3.5375609999999998E-6</v>
      </c>
      <c r="I1536">
        <v>366.20710000000003</v>
      </c>
      <c r="J1536">
        <v>-219.87</v>
      </c>
      <c r="K1536">
        <v>1.1206480000000001</v>
      </c>
      <c r="L1536">
        <v>367.87490000000003</v>
      </c>
      <c r="M1536">
        <v>0.99993909999999997</v>
      </c>
      <c r="N1536">
        <v>-9.7775629999999995E-3</v>
      </c>
      <c r="O1536">
        <v>5.1223600000000003E-3</v>
      </c>
      <c r="P1536">
        <v>0.99292360000000002</v>
      </c>
      <c r="Q1536">
        <v>-0.1144179</v>
      </c>
      <c r="R1536">
        <v>-3.1801290000000003E-2</v>
      </c>
      <c r="S1536">
        <v>2.9859010000000001</v>
      </c>
      <c r="T1536">
        <v>-0.21722959999999999</v>
      </c>
      <c r="U1536">
        <v>-0.32308959999999998</v>
      </c>
      <c r="V1536">
        <v>3.6903739999999997E-2</v>
      </c>
      <c r="W1536">
        <v>-0.1046999</v>
      </c>
      <c r="X1536">
        <v>0.99381889999999995</v>
      </c>
      <c r="Y1536">
        <v>0.1123252</v>
      </c>
      <c r="Z1536">
        <v>-4.9415020000000004E-3</v>
      </c>
      <c r="AA1536">
        <v>0.99365919999999996</v>
      </c>
      <c r="AB1536">
        <v>19</v>
      </c>
      <c r="AC1536">
        <v>15.2143</v>
      </c>
      <c r="AD1536">
        <v>-1.12065153756099</v>
      </c>
      <c r="AE1536">
        <v>-1.66779999999999</v>
      </c>
      <c r="AF1536">
        <v>1.7364060097828999</v>
      </c>
      <c r="AG1536">
        <v>-1.12065153756099</v>
      </c>
      <c r="AH1536">
        <v>15.124473892159401</v>
      </c>
      <c r="AI1536">
        <v>94.210046292733296</v>
      </c>
      <c r="AJ1536">
        <v>83.450678196681906</v>
      </c>
      <c r="AK1536">
        <v>15.2650147793593</v>
      </c>
      <c r="AL1536">
        <v>96.009876913747306</v>
      </c>
      <c r="AM1536">
        <v>87.873397752627397</v>
      </c>
      <c r="AN1536">
        <v>0.999999980541603</v>
      </c>
    </row>
    <row r="1537" spans="1:40" x14ac:dyDescent="0.25">
      <c r="A1537" t="str">
        <f>"20190303154125582"</f>
        <v>20190303154125582</v>
      </c>
      <c r="B1537" t="str">
        <f>"1551598885570786"</f>
        <v>1551598885570786</v>
      </c>
      <c r="C1537" t="s">
        <v>40</v>
      </c>
      <c r="D1537">
        <v>5.8562019999999997</v>
      </c>
      <c r="E1537">
        <v>0.52878219999999898</v>
      </c>
      <c r="F1537" t="s">
        <v>44</v>
      </c>
      <c r="G1537">
        <v>-204.85159999999999</v>
      </c>
      <c r="H1537" s="1">
        <v>-3.629878E-6</v>
      </c>
      <c r="I1537">
        <v>366.23540000000003</v>
      </c>
      <c r="J1537">
        <v>-219.6833</v>
      </c>
      <c r="K1537">
        <v>1.1206860000000001</v>
      </c>
      <c r="L1537">
        <v>367.87599999999998</v>
      </c>
      <c r="M1537">
        <v>0.99993710000000002</v>
      </c>
      <c r="N1537">
        <v>-9.9236169999999992E-3</v>
      </c>
      <c r="O1537">
        <v>5.2585280000000002E-3</v>
      </c>
      <c r="P1537">
        <v>0.99285290000000004</v>
      </c>
      <c r="Q1537">
        <v>-0.115157</v>
      </c>
      <c r="R1537">
        <v>-3.1346609999999997E-2</v>
      </c>
      <c r="S1537">
        <v>2.9852750000000001</v>
      </c>
      <c r="T1537">
        <v>-0.22275729999999999</v>
      </c>
      <c r="U1537">
        <v>-0.3258972</v>
      </c>
      <c r="V1537">
        <v>3.658865E-2</v>
      </c>
      <c r="W1537">
        <v>-0.105293</v>
      </c>
      <c r="X1537">
        <v>0.99376790000000004</v>
      </c>
      <c r="Y1537">
        <v>0.11338529999999999</v>
      </c>
      <c r="Z1537">
        <v>-5.1158979999999998E-3</v>
      </c>
      <c r="AA1537">
        <v>0.99353789999999997</v>
      </c>
      <c r="AB1537">
        <v>19</v>
      </c>
      <c r="AC1537">
        <v>14.8317</v>
      </c>
      <c r="AD1537">
        <v>-1.120689629878</v>
      </c>
      <c r="AE1537">
        <v>-1.6405999999999401</v>
      </c>
      <c r="AF1537">
        <v>1.7089350334935101</v>
      </c>
      <c r="AG1537">
        <v>-1.120689629878</v>
      </c>
      <c r="AH1537">
        <v>14.739729884683801</v>
      </c>
      <c r="AI1537">
        <v>94.319119575948406</v>
      </c>
      <c r="AJ1537">
        <v>83.386612992696001</v>
      </c>
      <c r="AK1537">
        <v>14.880727175399</v>
      </c>
      <c r="AL1537">
        <v>96.044047848487395</v>
      </c>
      <c r="AM1537">
        <v>87.891430454015904</v>
      </c>
      <c r="AN1537">
        <v>0.99999999211411605</v>
      </c>
    </row>
    <row r="1538" spans="1:40" x14ac:dyDescent="0.25">
      <c r="A1538" t="str">
        <f>"20190303154125605"</f>
        <v>20190303154125605</v>
      </c>
      <c r="B1538" t="str">
        <f>"1551598885601038"</f>
        <v>1551598885601038</v>
      </c>
      <c r="C1538" t="s">
        <v>40</v>
      </c>
      <c r="D1538">
        <v>5.8512629999999897</v>
      </c>
      <c r="E1538">
        <v>0.52891619999999995</v>
      </c>
      <c r="F1538" t="s">
        <v>44</v>
      </c>
      <c r="G1538">
        <v>-204.67</v>
      </c>
      <c r="H1538" s="1">
        <v>-3.5365700000000002E-6</v>
      </c>
      <c r="I1538">
        <v>366.2441</v>
      </c>
      <c r="J1538">
        <v>-219.4872</v>
      </c>
      <c r="K1538">
        <v>1.1207339999999999</v>
      </c>
      <c r="L1538">
        <v>367.87720000000002</v>
      </c>
      <c r="M1538">
        <v>0.99993410000000005</v>
      </c>
      <c r="N1538">
        <v>-1.0122920000000001E-2</v>
      </c>
      <c r="O1538">
        <v>5.4241319999999999E-3</v>
      </c>
      <c r="P1538">
        <v>0.99287990000000004</v>
      </c>
      <c r="Q1538">
        <v>-0.1153885</v>
      </c>
      <c r="R1538">
        <v>-2.9586709999999999E-2</v>
      </c>
      <c r="S1538">
        <v>2.9855040000000002</v>
      </c>
      <c r="T1538">
        <v>-0.22285679999999999</v>
      </c>
      <c r="U1538">
        <v>-0.32452389999999998</v>
      </c>
      <c r="V1538">
        <v>3.4995680000000001E-2</v>
      </c>
      <c r="W1538">
        <v>-0.10532560000000001</v>
      </c>
      <c r="X1538">
        <v>0.99382179999999998</v>
      </c>
      <c r="Y1538">
        <v>0.1130896</v>
      </c>
      <c r="Z1538">
        <v>-5.1261509999999998E-3</v>
      </c>
      <c r="AA1538">
        <v>0.9935716</v>
      </c>
      <c r="AB1538">
        <v>19</v>
      </c>
      <c r="AC1538">
        <v>14.8172</v>
      </c>
      <c r="AD1538">
        <v>-1.1207375365700001</v>
      </c>
      <c r="AE1538">
        <v>-1.63310000000001</v>
      </c>
      <c r="AF1538">
        <v>1.70381989192112</v>
      </c>
      <c r="AG1538">
        <v>-1.1207375365700001</v>
      </c>
      <c r="AH1538">
        <v>14.7248926534497</v>
      </c>
      <c r="AI1538">
        <v>94.323752769767594</v>
      </c>
      <c r="AJ1538">
        <v>83.399647967570402</v>
      </c>
      <c r="AK1538">
        <v>14.8654471343986</v>
      </c>
      <c r="AL1538">
        <v>96.045926239592703</v>
      </c>
      <c r="AM1538">
        <v>87.983263575636201</v>
      </c>
      <c r="AN1538">
        <v>0.99999997489462999</v>
      </c>
    </row>
    <row r="1539" spans="1:40" x14ac:dyDescent="0.25">
      <c r="A1539" t="str">
        <f>"20190303154125628"</f>
        <v>20190303154125628</v>
      </c>
      <c r="B1539" t="str">
        <f>"1551598885620562"</f>
        <v>1551598885620562</v>
      </c>
      <c r="C1539" t="s">
        <v>40</v>
      </c>
      <c r="D1539">
        <v>5.8476839999999903</v>
      </c>
      <c r="E1539">
        <v>0.52886149999999998</v>
      </c>
      <c r="F1539" t="s">
        <v>44</v>
      </c>
      <c r="G1539">
        <v>-204.2654</v>
      </c>
      <c r="H1539" s="1">
        <v>-3.332145E-6</v>
      </c>
      <c r="I1539">
        <v>366.24770000000001</v>
      </c>
      <c r="J1539">
        <v>-219.3023</v>
      </c>
      <c r="K1539">
        <v>1.1207750000000001</v>
      </c>
      <c r="L1539">
        <v>367.8784</v>
      </c>
      <c r="M1539">
        <v>0.99993069999999895</v>
      </c>
      <c r="N1539">
        <v>-1.036552E-2</v>
      </c>
      <c r="O1539">
        <v>5.5879959999999996E-3</v>
      </c>
      <c r="P1539">
        <v>0.992954</v>
      </c>
      <c r="Q1539">
        <v>-0.1152079</v>
      </c>
      <c r="R1539">
        <v>-2.773755E-2</v>
      </c>
      <c r="S1539">
        <v>2.9864199999999999</v>
      </c>
      <c r="T1539">
        <v>-0.2198811</v>
      </c>
      <c r="U1539">
        <v>-0.31970209999999999</v>
      </c>
      <c r="V1539">
        <v>3.330955E-2</v>
      </c>
      <c r="W1539">
        <v>-0.1049036</v>
      </c>
      <c r="X1539">
        <v>0.99392440000000004</v>
      </c>
      <c r="Y1539">
        <v>0.1116462</v>
      </c>
      <c r="Z1539">
        <v>-5.0261170000000001E-3</v>
      </c>
      <c r="AA1539">
        <v>0.99373529999999999</v>
      </c>
      <c r="AB1539">
        <v>19</v>
      </c>
      <c r="AC1539">
        <v>15.036899999999999</v>
      </c>
      <c r="AD1539">
        <v>-1.120778332145</v>
      </c>
      <c r="AE1539">
        <v>-1.63069999999999</v>
      </c>
      <c r="AF1539">
        <v>1.7053412945014399</v>
      </c>
      <c r="AG1539">
        <v>-1.120778332145</v>
      </c>
      <c r="AH1539">
        <v>14.945487905283199</v>
      </c>
      <c r="AI1539">
        <v>94.261098639728402</v>
      </c>
      <c r="AJ1539">
        <v>83.490470606632101</v>
      </c>
      <c r="AK1539">
        <v>15.084161949790399</v>
      </c>
      <c r="AL1539">
        <v>96.021612560955603</v>
      </c>
      <c r="AM1539">
        <v>88.0805556079941</v>
      </c>
      <c r="AN1539">
        <v>1.0000000021647599</v>
      </c>
    </row>
    <row r="1540" spans="1:40" x14ac:dyDescent="0.25">
      <c r="A1540" t="str">
        <f>"20190303154125650"</f>
        <v>20190303154125650</v>
      </c>
      <c r="B1540" t="str">
        <f>"1551598885641054"</f>
        <v>1551598885641054</v>
      </c>
      <c r="C1540" t="s">
        <v>40</v>
      </c>
      <c r="D1540">
        <v>5.8286910000000001</v>
      </c>
      <c r="E1540">
        <v>0.52891049999999995</v>
      </c>
      <c r="F1540" t="s">
        <v>44</v>
      </c>
      <c r="G1540">
        <v>-203.99209999999999</v>
      </c>
      <c r="H1540" s="1">
        <v>-3.1897230000000001E-6</v>
      </c>
      <c r="I1540">
        <v>366.2697</v>
      </c>
      <c r="J1540">
        <v>-219.11019999999999</v>
      </c>
      <c r="K1540">
        <v>1.1208290000000001</v>
      </c>
      <c r="L1540">
        <v>367.87970000000001</v>
      </c>
      <c r="M1540">
        <v>0.9999266</v>
      </c>
      <c r="N1540">
        <v>-1.066777E-2</v>
      </c>
      <c r="O1540">
        <v>5.7547459999999998E-3</v>
      </c>
      <c r="P1540">
        <v>0.99285080000000003</v>
      </c>
      <c r="Q1540">
        <v>-0.1160548</v>
      </c>
      <c r="R1540">
        <v>-2.789902E-2</v>
      </c>
      <c r="S1540">
        <v>2.987152</v>
      </c>
      <c r="T1540">
        <v>-0.21867300000000001</v>
      </c>
      <c r="U1540">
        <v>-0.31387330000000002</v>
      </c>
      <c r="V1540">
        <v>3.3633570000000002E-2</v>
      </c>
      <c r="W1540">
        <v>-0.1054519</v>
      </c>
      <c r="X1540">
        <v>0.9938555</v>
      </c>
      <c r="Y1540">
        <v>0.1098761</v>
      </c>
      <c r="Z1540">
        <v>-4.9523809999999996E-3</v>
      </c>
      <c r="AA1540">
        <v>0.99393299999999996</v>
      </c>
      <c r="AB1540">
        <v>19</v>
      </c>
      <c r="AC1540">
        <v>15.118099999999901</v>
      </c>
      <c r="AD1540">
        <v>-1.120832189723</v>
      </c>
      <c r="AE1540">
        <v>-1.6100000000000101</v>
      </c>
      <c r="AF1540">
        <v>1.68780610332424</v>
      </c>
      <c r="AG1540">
        <v>-1.120832189723</v>
      </c>
      <c r="AH1540">
        <v>15.0269146550133</v>
      </c>
      <c r="AI1540">
        <v>94.239138931228496</v>
      </c>
      <c r="AJ1540">
        <v>83.591461643847495</v>
      </c>
      <c r="AK1540">
        <v>15.162886212360499</v>
      </c>
      <c r="AL1540">
        <v>96.053202840764897</v>
      </c>
      <c r="AM1540">
        <v>88.0617640474604</v>
      </c>
      <c r="AN1540">
        <v>1.0000000375624001</v>
      </c>
    </row>
    <row r="1541" spans="1:40" x14ac:dyDescent="0.25">
      <c r="A1541" t="str">
        <f>"20190303154125673"</f>
        <v>20190303154125673</v>
      </c>
      <c r="B1541" t="str">
        <f>"1551598885660574"</f>
        <v>1551598885660574</v>
      </c>
      <c r="C1541" t="s">
        <v>40</v>
      </c>
      <c r="D1541">
        <v>5.8416969999999999</v>
      </c>
      <c r="E1541">
        <v>0.52905950000000002</v>
      </c>
      <c r="F1541" t="s">
        <v>44</v>
      </c>
      <c r="G1541">
        <v>-203.89189999999999</v>
      </c>
      <c r="H1541" s="1">
        <v>-3.1384520000000001E-6</v>
      </c>
      <c r="I1541">
        <v>366.27359999999999</v>
      </c>
      <c r="J1541">
        <v>-218.92</v>
      </c>
      <c r="K1541">
        <v>1.1208750000000001</v>
      </c>
      <c r="L1541">
        <v>367.88099999999997</v>
      </c>
      <c r="M1541">
        <v>0.99992219999999998</v>
      </c>
      <c r="N1541">
        <v>-1.099543E-2</v>
      </c>
      <c r="O1541">
        <v>5.907219E-3</v>
      </c>
      <c r="P1541">
        <v>0.99263999999999997</v>
      </c>
      <c r="Q1541">
        <v>-0.1174231</v>
      </c>
      <c r="R1541">
        <v>-2.963091E-2</v>
      </c>
      <c r="S1541">
        <v>2.9870299999999999</v>
      </c>
      <c r="T1541">
        <v>-0.21999569999999999</v>
      </c>
      <c r="U1541">
        <v>-0.31524659999999999</v>
      </c>
      <c r="V1541">
        <v>3.5511609999999999E-2</v>
      </c>
      <c r="W1541">
        <v>-0.10649790000000001</v>
      </c>
      <c r="X1541">
        <v>0.99367859999999997</v>
      </c>
      <c r="Y1541">
        <v>0.11047659999999999</v>
      </c>
      <c r="Z1541">
        <v>-5.0302330000000003E-3</v>
      </c>
      <c r="AA1541">
        <v>0.99386600000000003</v>
      </c>
      <c r="AB1541">
        <v>19</v>
      </c>
      <c r="AC1541">
        <v>15.028099999999901</v>
      </c>
      <c r="AD1541">
        <v>-1.1208781384519999</v>
      </c>
      <c r="AE1541">
        <v>-1.60739999999998</v>
      </c>
      <c r="AF1541">
        <v>1.6868736605083401</v>
      </c>
      <c r="AG1541">
        <v>-1.1208781384519999</v>
      </c>
      <c r="AH1541">
        <v>14.936191796251901</v>
      </c>
      <c r="AI1541">
        <v>94.264674155614202</v>
      </c>
      <c r="AJ1541">
        <v>83.556394575415695</v>
      </c>
      <c r="AK1541">
        <v>15.0728808103228</v>
      </c>
      <c r="AL1541">
        <v>96.113473739461995</v>
      </c>
      <c r="AM1541">
        <v>87.953261914794496</v>
      </c>
      <c r="AN1541">
        <v>1.00000001862358</v>
      </c>
    </row>
    <row r="1542" spans="1:40" x14ac:dyDescent="0.25">
      <c r="A1542" t="str">
        <f>"20190303154125695"</f>
        <v>20190303154125695</v>
      </c>
      <c r="B1542" t="str">
        <f>"1551598885690830"</f>
        <v>1551598885690830</v>
      </c>
      <c r="C1542" t="s">
        <v>40</v>
      </c>
      <c r="D1542">
        <v>5.9548579999999998</v>
      </c>
      <c r="E1542">
        <v>0.51882079999999997</v>
      </c>
      <c r="F1542" t="s">
        <v>44</v>
      </c>
      <c r="G1542">
        <v>-203.8809</v>
      </c>
      <c r="H1542" s="1">
        <v>-3.136058E-6</v>
      </c>
      <c r="I1542">
        <v>366.25940000000003</v>
      </c>
      <c r="J1542">
        <v>-218.732</v>
      </c>
      <c r="K1542">
        <v>1.120911</v>
      </c>
      <c r="L1542">
        <v>367.88220000000001</v>
      </c>
      <c r="M1542">
        <v>0.99991779999999997</v>
      </c>
      <c r="N1542">
        <v>-1.1318750000000001E-2</v>
      </c>
      <c r="O1542">
        <v>6.0373309999999999E-3</v>
      </c>
      <c r="P1542">
        <v>0.9927397</v>
      </c>
      <c r="Q1542">
        <v>-0.1163295</v>
      </c>
      <c r="R1542">
        <v>-3.0588540000000001E-2</v>
      </c>
      <c r="S1542">
        <v>2.986313</v>
      </c>
      <c r="T1542">
        <v>-0.22257260000000001</v>
      </c>
      <c r="U1542">
        <v>-0.32199100000000003</v>
      </c>
      <c r="V1542">
        <v>3.6594260000000003E-2</v>
      </c>
      <c r="W1542">
        <v>-0.10508339999999899</v>
      </c>
      <c r="X1542">
        <v>0.9937899</v>
      </c>
      <c r="Y1542">
        <v>0.112833</v>
      </c>
      <c r="Z1542">
        <v>-5.2083370000000004E-3</v>
      </c>
      <c r="AA1542">
        <v>0.99360029999999999</v>
      </c>
      <c r="AB1542">
        <v>19</v>
      </c>
      <c r="AC1542">
        <v>14.851100000000001</v>
      </c>
      <c r="AD1542">
        <v>-1.1209141360579999</v>
      </c>
      <c r="AE1542">
        <v>-1.62279999999998</v>
      </c>
      <c r="AF1542">
        <v>1.7028509035663</v>
      </c>
      <c r="AG1542">
        <v>-1.1209141360579999</v>
      </c>
      <c r="AH1542">
        <v>14.757950885955999</v>
      </c>
      <c r="AI1542">
        <v>94.314940495912595</v>
      </c>
      <c r="AJ1542">
        <v>83.418015434625104</v>
      </c>
      <c r="AK1542">
        <v>14.8980959874905</v>
      </c>
      <c r="AL1542">
        <v>96.031971531358195</v>
      </c>
      <c r="AM1542">
        <v>87.891154090283393</v>
      </c>
      <c r="AN1542">
        <v>1.0000000130812501</v>
      </c>
    </row>
    <row r="1543" spans="1:40" x14ac:dyDescent="0.25">
      <c r="A1543" t="str">
        <f>"20190303154125717"</f>
        <v>20190303154125717</v>
      </c>
      <c r="B1543" t="str">
        <f>"1551598885711333"</f>
        <v>1551598885711333</v>
      </c>
      <c r="C1543" t="s">
        <v>40</v>
      </c>
      <c r="D1543">
        <v>5.8139519999999996</v>
      </c>
      <c r="E1543">
        <v>0.52392720000000004</v>
      </c>
      <c r="F1543" t="s">
        <v>42</v>
      </c>
      <c r="G1543">
        <v>-217.99950000000001</v>
      </c>
      <c r="H1543">
        <v>1.041469</v>
      </c>
      <c r="I1543">
        <v>367.82240000000002</v>
      </c>
      <c r="J1543">
        <v>-218.548</v>
      </c>
      <c r="K1543">
        <v>1.120938</v>
      </c>
      <c r="L1543">
        <v>367.88350000000003</v>
      </c>
      <c r="M1543">
        <v>0.99991379999999996</v>
      </c>
      <c r="N1543">
        <v>-1.161355E-2</v>
      </c>
      <c r="O1543">
        <v>6.1399690000000003E-3</v>
      </c>
      <c r="P1543">
        <v>0.99294439999999995</v>
      </c>
      <c r="Q1543">
        <v>-0.1144105</v>
      </c>
      <c r="R1543">
        <v>-3.1175899999999999E-2</v>
      </c>
      <c r="S1543">
        <v>2.9766240000000002</v>
      </c>
      <c r="T1543">
        <v>-0.3231348</v>
      </c>
      <c r="U1543">
        <v>-0.24221799999999999</v>
      </c>
      <c r="V1543">
        <v>3.728062E-2</v>
      </c>
      <c r="W1543">
        <v>-0.102870699999999</v>
      </c>
      <c r="X1543">
        <v>0.99399579999999998</v>
      </c>
      <c r="Y1543">
        <v>8.6634959999999997E-2</v>
      </c>
      <c r="Z1543">
        <v>-5.7790709999999898E-3</v>
      </c>
      <c r="AA1543">
        <v>0.99622339999999998</v>
      </c>
      <c r="AB1543">
        <v>19</v>
      </c>
      <c r="AC1543">
        <v>0.54849999999999</v>
      </c>
      <c r="AD1543">
        <v>-7.9468999999999998E-2</v>
      </c>
      <c r="AE1543">
        <v>-6.1100000000010299E-2</v>
      </c>
      <c r="AF1543">
        <v>6.3157334034113902E-2</v>
      </c>
      <c r="AG1543">
        <v>-7.9468999999999998E-2</v>
      </c>
      <c r="AH1543">
        <v>0.53698064256296596</v>
      </c>
      <c r="AI1543">
        <v>98.361419260492895</v>
      </c>
      <c r="AJ1543">
        <v>83.291937516502998</v>
      </c>
      <c r="AK1543">
        <v>0.54649097091409704</v>
      </c>
      <c r="AL1543">
        <v>95.904502657332799</v>
      </c>
      <c r="AM1543">
        <v>87.852082013513495</v>
      </c>
      <c r="AN1543">
        <v>0.99999993798185505</v>
      </c>
    </row>
    <row r="1544" spans="1:40" x14ac:dyDescent="0.25">
      <c r="A1544" t="str">
        <f>"20190303154125739"</f>
        <v>20190303154125739</v>
      </c>
      <c r="B1544" t="str">
        <f>"1551598885730847"</f>
        <v>1551598885730847</v>
      </c>
      <c r="C1544" t="s">
        <v>40</v>
      </c>
      <c r="D1544">
        <v>5.8333830000000004</v>
      </c>
      <c r="E1544">
        <v>0.52595130000000001</v>
      </c>
      <c r="F1544" t="s">
        <v>42</v>
      </c>
      <c r="G1544">
        <v>-217.6611</v>
      </c>
      <c r="H1544">
        <v>1.0441049999999901</v>
      </c>
      <c r="I1544">
        <v>367.79840000000002</v>
      </c>
      <c r="J1544">
        <v>-218.3603</v>
      </c>
      <c r="K1544">
        <v>1.1209579999999999</v>
      </c>
      <c r="L1544">
        <v>367.88470000000001</v>
      </c>
      <c r="M1544">
        <v>0.99990990000000002</v>
      </c>
      <c r="N1544">
        <v>-1.1885679999999999E-2</v>
      </c>
      <c r="O1544">
        <v>6.2206830000000003E-3</v>
      </c>
      <c r="P1544">
        <v>0.99305140000000003</v>
      </c>
      <c r="Q1544">
        <v>-0.1130519</v>
      </c>
      <c r="R1544">
        <v>-3.268778E-2</v>
      </c>
      <c r="S1544">
        <v>2.9825590000000002</v>
      </c>
      <c r="T1544">
        <v>-0.25855679999999998</v>
      </c>
      <c r="U1544">
        <v>-0.2854004</v>
      </c>
      <c r="V1544">
        <v>3.8869960000000002E-2</v>
      </c>
      <c r="W1544">
        <v>-0.1012415</v>
      </c>
      <c r="X1544">
        <v>0.99410220000000005</v>
      </c>
      <c r="Y1544">
        <v>0.10100099999999999</v>
      </c>
      <c r="Z1544">
        <v>-5.4260899999999997E-3</v>
      </c>
      <c r="AA1544">
        <v>0.99487159999999997</v>
      </c>
      <c r="AB1544">
        <v>19</v>
      </c>
      <c r="AC1544">
        <v>0.69919999999999005</v>
      </c>
      <c r="AD1544">
        <v>-7.6853000000000005E-2</v>
      </c>
      <c r="AE1544">
        <v>-8.6299999999994201E-2</v>
      </c>
      <c r="AF1544">
        <v>8.95820985026341E-2</v>
      </c>
      <c r="AG1544">
        <v>-7.6853000000000005E-2</v>
      </c>
      <c r="AH1544">
        <v>0.69043332364791499</v>
      </c>
      <c r="AI1544">
        <v>96.299148736160802</v>
      </c>
      <c r="AJ1544">
        <v>82.607306852769497</v>
      </c>
      <c r="AK1544">
        <v>0.70044950594931599</v>
      </c>
      <c r="AL1544">
        <v>95.810666336727394</v>
      </c>
      <c r="AM1544">
        <v>87.760843165700507</v>
      </c>
      <c r="AN1544">
        <v>0.99999994957874405</v>
      </c>
    </row>
    <row r="1545" spans="1:40" x14ac:dyDescent="0.25">
      <c r="A1545" t="str">
        <f>"20190303154125752"</f>
        <v>20190303154125752</v>
      </c>
      <c r="B1545" t="str">
        <f>"1551598885740607"</f>
        <v>1551598885740607</v>
      </c>
      <c r="C1545" t="s">
        <v>40</v>
      </c>
      <c r="D1545">
        <v>5.8107680000000004</v>
      </c>
      <c r="E1545">
        <v>0.52666020000000002</v>
      </c>
      <c r="F1545" t="s">
        <v>44</v>
      </c>
      <c r="G1545">
        <v>-203.6798</v>
      </c>
      <c r="H1545" s="1">
        <v>-3.0086759999999999E-6</v>
      </c>
      <c r="I1545">
        <v>366.37759999999997</v>
      </c>
      <c r="J1545">
        <v>-218.25110000000001</v>
      </c>
      <c r="K1545">
        <v>1.1209659999999999</v>
      </c>
      <c r="L1545">
        <v>367.8854</v>
      </c>
      <c r="M1545">
        <v>0.99990800000000002</v>
      </c>
      <c r="N1545">
        <v>-1.2031409999999999E-2</v>
      </c>
      <c r="O1545">
        <v>6.2588929999999997E-3</v>
      </c>
      <c r="P1545">
        <v>0.99299130000000002</v>
      </c>
      <c r="Q1545">
        <v>-0.11319460000000001</v>
      </c>
      <c r="R1545">
        <v>-3.3987059999999999E-2</v>
      </c>
      <c r="S1545">
        <v>2.9849549999999998</v>
      </c>
      <c r="T1545">
        <v>-0.22792319999999999</v>
      </c>
      <c r="U1545">
        <v>-0.306427</v>
      </c>
      <c r="V1545">
        <v>4.0205789999999998E-2</v>
      </c>
      <c r="W1545">
        <v>-0.1012406</v>
      </c>
      <c r="X1545">
        <v>0.99404919999999997</v>
      </c>
      <c r="Y1545">
        <v>0.1079716</v>
      </c>
      <c r="Z1545">
        <v>-5.1588110000000001E-3</v>
      </c>
      <c r="AA1545">
        <v>0.99414060000000004</v>
      </c>
      <c r="AB1545">
        <v>19</v>
      </c>
      <c r="AC1545">
        <v>14.571300000000001</v>
      </c>
      <c r="AD1545">
        <v>-1.12096900867599</v>
      </c>
      <c r="AE1545">
        <v>-1.50780000000003</v>
      </c>
      <c r="AF1545">
        <v>1.58966894407389</v>
      </c>
      <c r="AG1545">
        <v>-1.12096900867599</v>
      </c>
      <c r="AH1545">
        <v>14.4768075443936</v>
      </c>
      <c r="AI1545">
        <v>94.401344328913794</v>
      </c>
      <c r="AJ1545">
        <v>83.733572333334607</v>
      </c>
      <c r="AK1545">
        <v>14.606901640922199</v>
      </c>
      <c r="AL1545">
        <v>95.810614278264296</v>
      </c>
      <c r="AM1545">
        <v>87.683849922241194</v>
      </c>
      <c r="AN1545">
        <v>0.99999998832926196</v>
      </c>
    </row>
    <row r="1546" spans="1:40" x14ac:dyDescent="0.25">
      <c r="A1546" t="str">
        <f>"20190303154125765"</f>
        <v>20190303154125765</v>
      </c>
      <c r="B1546" t="str">
        <f>"1551598885761103"</f>
        <v>1551598885761103</v>
      </c>
      <c r="C1546" t="s">
        <v>40</v>
      </c>
      <c r="D1546">
        <v>5.820659</v>
      </c>
      <c r="E1546">
        <v>0.5271363</v>
      </c>
      <c r="F1546" t="s">
        <v>44</v>
      </c>
      <c r="G1546">
        <v>-203.1061</v>
      </c>
      <c r="H1546" s="1">
        <v>-2.7198420000000001E-6</v>
      </c>
      <c r="I1546">
        <v>366.28379999999999</v>
      </c>
      <c r="J1546">
        <v>-218.1446</v>
      </c>
      <c r="K1546">
        <v>1.1209720000000001</v>
      </c>
      <c r="L1546">
        <v>367.8861</v>
      </c>
      <c r="M1546">
        <v>0.99990639999999997</v>
      </c>
      <c r="N1546">
        <v>-1.2165570000000001E-2</v>
      </c>
      <c r="O1546">
        <v>6.2909799999999998E-3</v>
      </c>
      <c r="P1546">
        <v>0.99290529999999999</v>
      </c>
      <c r="Q1546">
        <v>-0.1135987</v>
      </c>
      <c r="R1546">
        <v>-3.5143170000000001E-2</v>
      </c>
      <c r="S1546">
        <v>2.985214</v>
      </c>
      <c r="T1546">
        <v>-0.22095190000000001</v>
      </c>
      <c r="U1546">
        <v>-0.31570429999999999</v>
      </c>
      <c r="V1546">
        <v>4.1391829999999998E-2</v>
      </c>
      <c r="W1546">
        <v>-0.1015128</v>
      </c>
      <c r="X1546">
        <v>0.99397279999999999</v>
      </c>
      <c r="Y1546">
        <v>0.1110617</v>
      </c>
      <c r="Z1546">
        <v>-5.1592010000000004E-3</v>
      </c>
      <c r="AA1546">
        <v>0.99380009999999996</v>
      </c>
      <c r="AB1546">
        <v>19</v>
      </c>
      <c r="AC1546">
        <v>15.038500000000001</v>
      </c>
      <c r="AD1546">
        <v>-1.1209747198419999</v>
      </c>
      <c r="AE1546">
        <v>-1.60230000000001</v>
      </c>
      <c r="AF1546">
        <v>1.68761062252142</v>
      </c>
      <c r="AG1546">
        <v>-1.1209747198419999</v>
      </c>
      <c r="AH1546">
        <v>14.9460098095298</v>
      </c>
      <c r="AI1546">
        <v>94.262260679318402</v>
      </c>
      <c r="AJ1546">
        <v>83.557802200035297</v>
      </c>
      <c r="AK1546">
        <v>15.082699465358701</v>
      </c>
      <c r="AL1546">
        <v>95.826290712606607</v>
      </c>
      <c r="AM1546">
        <v>87.615419939105195</v>
      </c>
      <c r="AN1546">
        <v>1.00000002964721</v>
      </c>
    </row>
    <row r="1547" spans="1:40" x14ac:dyDescent="0.25">
      <c r="A1547" t="str">
        <f>"20190303154125783"</f>
        <v>20190303154125783</v>
      </c>
      <c r="B1547" t="str">
        <f>"1551598885780623"</f>
        <v>1551598885780623</v>
      </c>
      <c r="C1547" t="s">
        <v>40</v>
      </c>
      <c r="D1547">
        <v>5.827477</v>
      </c>
      <c r="E1547">
        <v>0.52875509999999903</v>
      </c>
      <c r="F1547" t="s">
        <v>44</v>
      </c>
      <c r="G1547">
        <v>-203.20920000000001</v>
      </c>
      <c r="H1547" s="1">
        <v>-2.7842579999999999E-6</v>
      </c>
      <c r="I1547">
        <v>366.27109999999999</v>
      </c>
      <c r="J1547">
        <v>-217.98660000000001</v>
      </c>
      <c r="K1547">
        <v>1.120965</v>
      </c>
      <c r="L1547">
        <v>367.88709999999998</v>
      </c>
      <c r="M1547">
        <v>0.99990389999999996</v>
      </c>
      <c r="N1547">
        <v>-1.2353650000000001E-2</v>
      </c>
      <c r="O1547">
        <v>6.329065E-3</v>
      </c>
      <c r="P1547">
        <v>0.99258999999999997</v>
      </c>
      <c r="Q1547">
        <v>-0.11536390000000001</v>
      </c>
      <c r="R1547">
        <v>-3.8166400000000003E-2</v>
      </c>
      <c r="S1547">
        <v>2.984375</v>
      </c>
      <c r="T1547">
        <v>-0.22399179999999999</v>
      </c>
      <c r="U1547">
        <v>-0.32272339999999999</v>
      </c>
      <c r="V1547">
        <v>4.4449469999999998E-2</v>
      </c>
      <c r="W1547">
        <v>-0.103095699999999</v>
      </c>
      <c r="X1547">
        <v>0.99367779999999994</v>
      </c>
      <c r="Y1547">
        <v>0.11342140000000001</v>
      </c>
      <c r="Z1547">
        <v>-5.3370750000000002E-3</v>
      </c>
      <c r="AA1547">
        <v>0.99353270000000005</v>
      </c>
      <c r="AB1547">
        <v>19</v>
      </c>
      <c r="AC1547">
        <v>14.7774</v>
      </c>
      <c r="AD1547">
        <v>-1.1209677842579999</v>
      </c>
      <c r="AE1547">
        <v>-1.6159999999999799</v>
      </c>
      <c r="AF1547">
        <v>1.6998361436967599</v>
      </c>
      <c r="AG1547">
        <v>-1.1209677842579999</v>
      </c>
      <c r="AH1547">
        <v>14.6833817797793</v>
      </c>
      <c r="AI1547">
        <v>94.336789600821007</v>
      </c>
      <c r="AJ1547">
        <v>83.396492547558793</v>
      </c>
      <c r="AK1547">
        <v>14.8238899139031</v>
      </c>
      <c r="AL1547">
        <v>95.917462604430199</v>
      </c>
      <c r="AM1547">
        <v>87.438736786328704</v>
      </c>
      <c r="AN1547">
        <v>1.0000000244773</v>
      </c>
    </row>
    <row r="1548" spans="1:40" x14ac:dyDescent="0.25">
      <c r="A1548" t="str">
        <f>"20190303154125796"</f>
        <v>20190303154125796</v>
      </c>
      <c r="B1548" t="str">
        <f>"1551598885790383"</f>
        <v>1551598885790383</v>
      </c>
      <c r="C1548" t="s">
        <v>40</v>
      </c>
      <c r="D1548">
        <v>5.8150209999999998</v>
      </c>
      <c r="E1548">
        <v>0.52931479999999997</v>
      </c>
      <c r="F1548" t="s">
        <v>44</v>
      </c>
      <c r="G1548">
        <v>-202.7989</v>
      </c>
      <c r="H1548" s="1">
        <v>-2.5783669999999999E-6</v>
      </c>
      <c r="I1548">
        <v>366.13220000000001</v>
      </c>
      <c r="J1548">
        <v>-217.8785</v>
      </c>
      <c r="K1548">
        <v>1.120959</v>
      </c>
      <c r="L1548">
        <v>367.8879</v>
      </c>
      <c r="M1548">
        <v>0.99990210000000002</v>
      </c>
      <c r="N1548">
        <v>-1.2475730000000001E-2</v>
      </c>
      <c r="O1548">
        <v>6.3480079999999996E-3</v>
      </c>
      <c r="P1548">
        <v>0.99239829999999996</v>
      </c>
      <c r="Q1548">
        <v>-0.11640929999999999</v>
      </c>
      <c r="R1548">
        <v>-3.993298E-2</v>
      </c>
      <c r="S1548">
        <v>2.9835509999999998</v>
      </c>
      <c r="T1548">
        <v>-0.22020919999999999</v>
      </c>
      <c r="U1548">
        <v>-0.34475709999999998</v>
      </c>
      <c r="V1548">
        <v>4.6232339999999997E-2</v>
      </c>
      <c r="W1548">
        <v>-0.1040229</v>
      </c>
      <c r="X1548">
        <v>0.99349980000000004</v>
      </c>
      <c r="Y1548">
        <v>0.1207017</v>
      </c>
      <c r="Z1548">
        <v>-5.5777980000000001E-3</v>
      </c>
      <c r="AA1548">
        <v>0.99267320000000003</v>
      </c>
      <c r="AB1548">
        <v>19</v>
      </c>
      <c r="AC1548">
        <v>15.079599999999999</v>
      </c>
      <c r="AD1548">
        <v>-1.1209615783669999</v>
      </c>
      <c r="AE1548">
        <v>-1.75569999999999</v>
      </c>
      <c r="AF1548">
        <v>1.84135843567042</v>
      </c>
      <c r="AG1548">
        <v>-1.1209615783669999</v>
      </c>
      <c r="AH1548">
        <v>14.9864442676155</v>
      </c>
      <c r="AI1548">
        <v>94.245854257626206</v>
      </c>
      <c r="AJ1548">
        <v>82.995275272643099</v>
      </c>
      <c r="AK1548">
        <v>15.1406957414491</v>
      </c>
      <c r="AL1548">
        <v>95.9708744423409</v>
      </c>
      <c r="AM1548">
        <v>87.335672970376095</v>
      </c>
      <c r="AN1548">
        <v>1.00000002279316</v>
      </c>
    </row>
    <row r="1549" spans="1:40" x14ac:dyDescent="0.25">
      <c r="A1549" t="str">
        <f>"20190303154125809"</f>
        <v>20190303154125809</v>
      </c>
      <c r="B1549" t="str">
        <f>"1551598885801119"</f>
        <v>1551598885801119</v>
      </c>
      <c r="C1549" t="s">
        <v>40</v>
      </c>
      <c r="D1549">
        <v>5.8108129999999996</v>
      </c>
      <c r="E1549">
        <v>0.52974080000000001</v>
      </c>
      <c r="F1549" t="s">
        <v>44</v>
      </c>
      <c r="G1549">
        <v>-202.661</v>
      </c>
      <c r="H1549" s="1">
        <v>-2.5106620000000002E-6</v>
      </c>
      <c r="I1549">
        <v>366.07990000000001</v>
      </c>
      <c r="J1549">
        <v>-217.77090000000001</v>
      </c>
      <c r="K1549">
        <v>1.1209530000000001</v>
      </c>
      <c r="L1549">
        <v>367.8886</v>
      </c>
      <c r="M1549">
        <v>0.99990060000000003</v>
      </c>
      <c r="N1549">
        <v>-1.2587360000000001E-2</v>
      </c>
      <c r="O1549">
        <v>6.3574410000000001E-3</v>
      </c>
      <c r="P1549">
        <v>0.9922858</v>
      </c>
      <c r="Q1549">
        <v>-0.1168492</v>
      </c>
      <c r="R1549">
        <v>-4.1416550000000003E-2</v>
      </c>
      <c r="S1549">
        <v>2.9829409999999998</v>
      </c>
      <c r="T1549">
        <v>-0.21973200000000001</v>
      </c>
      <c r="U1549">
        <v>-0.35440060000000001</v>
      </c>
      <c r="V1549">
        <v>4.77227E-2</v>
      </c>
      <c r="W1549">
        <v>-0.10435419999999999</v>
      </c>
      <c r="X1549">
        <v>0.99339460000000002</v>
      </c>
      <c r="Y1549">
        <v>0.1238904</v>
      </c>
      <c r="Z1549">
        <v>-5.7111310000000004E-3</v>
      </c>
      <c r="AA1549">
        <v>0.99227949999999998</v>
      </c>
      <c r="AB1549">
        <v>19</v>
      </c>
      <c r="AC1549">
        <v>15.1099</v>
      </c>
      <c r="AD1549">
        <v>-1.1209555106619999</v>
      </c>
      <c r="AE1549">
        <v>-1.80869999999998</v>
      </c>
      <c r="AF1549">
        <v>1.8944521683081801</v>
      </c>
      <c r="AG1549">
        <v>-1.1209555106619999</v>
      </c>
      <c r="AH1549">
        <v>15.0166157617259</v>
      </c>
      <c r="AI1549">
        <v>94.2356295894581</v>
      </c>
      <c r="AJ1549">
        <v>82.809717963840299</v>
      </c>
      <c r="AK1549">
        <v>15.1770958753711</v>
      </c>
      <c r="AL1549">
        <v>95.989960285042599</v>
      </c>
      <c r="AM1549">
        <v>87.249623913938805</v>
      </c>
      <c r="AN1549">
        <v>1.0000000432310401</v>
      </c>
    </row>
    <row r="1550" spans="1:40" x14ac:dyDescent="0.25">
      <c r="A1550" t="str">
        <f>"20190303154125829"</f>
        <v>20190303154125829</v>
      </c>
      <c r="B1550" t="str">
        <f>"1551598885820640"</f>
        <v>1551598885820640</v>
      </c>
      <c r="C1550" t="s">
        <v>40</v>
      </c>
      <c r="D1550">
        <v>5.8204739999999999</v>
      </c>
      <c r="E1550">
        <v>0.53061159999999996</v>
      </c>
      <c r="F1550" t="s">
        <v>44</v>
      </c>
      <c r="G1550">
        <v>-202.42140000000001</v>
      </c>
      <c r="H1550" s="1">
        <v>-2.3837039999999998E-6</v>
      </c>
      <c r="I1550">
        <v>366.024</v>
      </c>
      <c r="J1550">
        <v>-217.60810000000001</v>
      </c>
      <c r="K1550">
        <v>1.120935</v>
      </c>
      <c r="L1550">
        <v>367.8897</v>
      </c>
      <c r="M1550">
        <v>0.99989870000000003</v>
      </c>
      <c r="N1550">
        <v>-1.274404E-2</v>
      </c>
      <c r="O1550">
        <v>6.3563780000000002E-3</v>
      </c>
      <c r="P1550">
        <v>0.99207089999999998</v>
      </c>
      <c r="Q1550">
        <v>-0.1174243</v>
      </c>
      <c r="R1550">
        <v>-4.4804730000000001E-2</v>
      </c>
      <c r="S1550">
        <v>2.982529</v>
      </c>
      <c r="T1550">
        <v>-0.21781149999999999</v>
      </c>
      <c r="U1550">
        <v>-0.36230469999999998</v>
      </c>
      <c r="V1550">
        <v>5.1104219999999999E-2</v>
      </c>
      <c r="W1550">
        <v>-0.1047786</v>
      </c>
      <c r="X1550">
        <v>0.9931816</v>
      </c>
      <c r="Y1550">
        <v>0.1264951</v>
      </c>
      <c r="Z1550">
        <v>-5.7875210000000003E-3</v>
      </c>
      <c r="AA1550">
        <v>0.99195029999999995</v>
      </c>
      <c r="AB1550">
        <v>19</v>
      </c>
      <c r="AC1550">
        <v>15.1867</v>
      </c>
      <c r="AD1550">
        <v>-1.120937383704</v>
      </c>
      <c r="AE1550">
        <v>-1.8656999999999999</v>
      </c>
      <c r="AF1550">
        <v>1.9517276462595701</v>
      </c>
      <c r="AG1550">
        <v>-1.120937383704</v>
      </c>
      <c r="AH1550">
        <v>15.093526373553701</v>
      </c>
      <c r="AI1550">
        <v>94.212393571149406</v>
      </c>
      <c r="AJ1550">
        <v>82.632029028601096</v>
      </c>
      <c r="AK1550">
        <v>15.260415453470401</v>
      </c>
      <c r="AL1550">
        <v>96.014411254517597</v>
      </c>
      <c r="AM1550">
        <v>87.054439904292806</v>
      </c>
      <c r="AN1550">
        <v>0.99999994344916199</v>
      </c>
    </row>
    <row r="1551" spans="1:40" x14ac:dyDescent="0.25">
      <c r="A1551" t="str">
        <f>"20190303154125842"</f>
        <v>20190303154125842</v>
      </c>
      <c r="B1551" t="str">
        <f>"1551598885830400"</f>
        <v>1551598885830400</v>
      </c>
      <c r="C1551" t="s">
        <v>40</v>
      </c>
      <c r="D1551">
        <v>5.7783579999999999</v>
      </c>
      <c r="E1551">
        <v>0.53098789999999996</v>
      </c>
      <c r="F1551" t="s">
        <v>44</v>
      </c>
      <c r="G1551">
        <v>-202.09190000000001</v>
      </c>
      <c r="H1551" s="1">
        <v>-2.2171069999999999E-6</v>
      </c>
      <c r="I1551">
        <v>365.9171</v>
      </c>
      <c r="J1551">
        <v>-217.50120000000001</v>
      </c>
      <c r="K1551">
        <v>1.1209150000000001</v>
      </c>
      <c r="L1551">
        <v>367.8904</v>
      </c>
      <c r="M1551">
        <v>0.99989760000000005</v>
      </c>
      <c r="N1551">
        <v>-1.2837899999999999E-2</v>
      </c>
      <c r="O1551">
        <v>6.3366890000000004E-3</v>
      </c>
      <c r="P1551">
        <v>0.99193220000000004</v>
      </c>
      <c r="Q1551">
        <v>-0.1178568</v>
      </c>
      <c r="R1551">
        <v>-4.6697299999999997E-2</v>
      </c>
      <c r="S1551">
        <v>2.9813689999999999</v>
      </c>
      <c r="T1551">
        <v>-0.21538270000000001</v>
      </c>
      <c r="U1551">
        <v>-0.37902829999999998</v>
      </c>
      <c r="V1551">
        <v>5.2972440000000003E-2</v>
      </c>
      <c r="W1551">
        <v>-0.1051219</v>
      </c>
      <c r="X1551">
        <v>0.99304749999999997</v>
      </c>
      <c r="Y1551">
        <v>0.13199060000000001</v>
      </c>
      <c r="Z1551">
        <v>-5.9688989999999997E-3</v>
      </c>
      <c r="AA1551">
        <v>0.99123300000000003</v>
      </c>
      <c r="AB1551">
        <v>19</v>
      </c>
      <c r="AC1551">
        <v>15.4093</v>
      </c>
      <c r="AD1551">
        <v>-1.1209172171070001</v>
      </c>
      <c r="AE1551">
        <v>-1.9732999999999901</v>
      </c>
      <c r="AF1551">
        <v>2.0601867076183602</v>
      </c>
      <c r="AG1551">
        <v>-1.1209172171070001</v>
      </c>
      <c r="AH1551">
        <v>15.316744035700101</v>
      </c>
      <c r="AI1551">
        <v>94.148360171757901</v>
      </c>
      <c r="AJ1551">
        <v>82.339378250048796</v>
      </c>
      <c r="AK1551">
        <v>15.495272586599</v>
      </c>
      <c r="AL1551">
        <v>96.034189691280204</v>
      </c>
      <c r="AM1551">
        <v>86.946547522610004</v>
      </c>
      <c r="AN1551">
        <v>1.0000000152577</v>
      </c>
    </row>
    <row r="1552" spans="1:40" x14ac:dyDescent="0.25">
      <c r="A1552" t="str">
        <f>"20190303154125857"</f>
        <v>20190303154125857</v>
      </c>
      <c r="B1552" t="str">
        <f>"1551598885850895"</f>
        <v>1551598885850895</v>
      </c>
      <c r="C1552" t="s">
        <v>40</v>
      </c>
      <c r="D1552">
        <v>5.7806649999999999</v>
      </c>
      <c r="E1552">
        <v>0.53156479999999995</v>
      </c>
      <c r="F1552" t="s">
        <v>44</v>
      </c>
      <c r="G1552">
        <v>-201.96369999999999</v>
      </c>
      <c r="H1552" s="1">
        <v>-2.1543299999999998E-6</v>
      </c>
      <c r="I1552">
        <v>365.86779999999999</v>
      </c>
      <c r="J1552">
        <v>-217.3792</v>
      </c>
      <c r="K1552">
        <v>1.1208910000000001</v>
      </c>
      <c r="L1552">
        <v>367.89109999999999</v>
      </c>
      <c r="M1552">
        <v>0.99989649999999997</v>
      </c>
      <c r="N1552">
        <v>-1.2937840000000001E-2</v>
      </c>
      <c r="O1552">
        <v>6.293814E-3</v>
      </c>
      <c r="P1552">
        <v>0.99172289999999996</v>
      </c>
      <c r="Q1552">
        <v>-0.118867899999999</v>
      </c>
      <c r="R1552">
        <v>-4.8540060000000003E-2</v>
      </c>
      <c r="S1552">
        <v>2.9806059999999999</v>
      </c>
      <c r="T1552">
        <v>-0.21502850000000001</v>
      </c>
      <c r="U1552">
        <v>-0.38800050000000003</v>
      </c>
      <c r="V1552">
        <v>5.4764939999999998E-2</v>
      </c>
      <c r="W1552">
        <v>-0.1060398</v>
      </c>
      <c r="X1552">
        <v>0.99285259999999997</v>
      </c>
      <c r="Y1552">
        <v>0.13490650000000001</v>
      </c>
      <c r="Z1552">
        <v>-6.0879310000000004E-3</v>
      </c>
      <c r="AA1552">
        <v>0.99083960000000004</v>
      </c>
      <c r="AB1552">
        <v>19</v>
      </c>
      <c r="AC1552">
        <v>15.4155</v>
      </c>
      <c r="AD1552">
        <v>-1.12089315433</v>
      </c>
      <c r="AE1552">
        <v>-2.0232999999999999</v>
      </c>
      <c r="AF1552">
        <v>2.1093270795352401</v>
      </c>
      <c r="AG1552">
        <v>-1.12089315433</v>
      </c>
      <c r="AH1552">
        <v>15.3228187706863</v>
      </c>
      <c r="AI1552">
        <v>94.144891831003505</v>
      </c>
      <c r="AJ1552">
        <v>82.161971059110797</v>
      </c>
      <c r="AK1552">
        <v>15.507883068658399</v>
      </c>
      <c r="AL1552">
        <v>96.087077418753296</v>
      </c>
      <c r="AM1552">
        <v>86.842810871789794</v>
      </c>
      <c r="AN1552">
        <v>0.999999961582001</v>
      </c>
    </row>
    <row r="1553" spans="1:40" x14ac:dyDescent="0.25">
      <c r="A1553" t="str">
        <f>"20190303154125871"</f>
        <v>20190303154125871</v>
      </c>
      <c r="B1553" t="str">
        <f>"1551598885860655"</f>
        <v>1551598885860655</v>
      </c>
      <c r="C1553" t="s">
        <v>40</v>
      </c>
      <c r="D1553">
        <v>5.7817980000000002</v>
      </c>
      <c r="E1553">
        <v>0.53169390000000005</v>
      </c>
      <c r="F1553" t="s">
        <v>44</v>
      </c>
      <c r="G1553">
        <v>-202.07570000000001</v>
      </c>
      <c r="H1553" s="1">
        <v>-2.2261499999999999E-6</v>
      </c>
      <c r="I1553">
        <v>365.84710000000001</v>
      </c>
      <c r="J1553">
        <v>-217.25149999999999</v>
      </c>
      <c r="K1553">
        <v>1.1208499999999999</v>
      </c>
      <c r="L1553">
        <v>367.89179999999999</v>
      </c>
      <c r="M1553">
        <v>0.99989589999999995</v>
      </c>
      <c r="N1553">
        <v>-1.303385E-2</v>
      </c>
      <c r="O1553">
        <v>6.1977990000000004E-3</v>
      </c>
      <c r="P1553">
        <v>0.99150280000000002</v>
      </c>
      <c r="Q1553">
        <v>-0.1198685</v>
      </c>
      <c r="R1553">
        <v>-5.0535690000000001E-2</v>
      </c>
      <c r="S1553">
        <v>2.9794010000000002</v>
      </c>
      <c r="T1553">
        <v>-0.21822349999999999</v>
      </c>
      <c r="U1553">
        <v>-0.3979492</v>
      </c>
      <c r="V1553">
        <v>5.6654059999999999E-2</v>
      </c>
      <c r="W1553">
        <v>-0.1069536</v>
      </c>
      <c r="X1553">
        <v>0.99264859999999999</v>
      </c>
      <c r="Y1553">
        <v>0.1380921</v>
      </c>
      <c r="Z1553">
        <v>-6.3046229999999997E-3</v>
      </c>
      <c r="AA1553">
        <v>0.99039929999999998</v>
      </c>
      <c r="AB1553">
        <v>19</v>
      </c>
      <c r="AC1553">
        <v>15.175799999999899</v>
      </c>
      <c r="AD1553">
        <v>-1.12085222614999</v>
      </c>
      <c r="AE1553">
        <v>-2.04469999999997</v>
      </c>
      <c r="AF1553">
        <v>2.1273276305159001</v>
      </c>
      <c r="AG1553">
        <v>-1.12085222614999</v>
      </c>
      <c r="AH1553">
        <v>15.0820294074991</v>
      </c>
      <c r="AI1553">
        <v>94.208732422181001</v>
      </c>
      <c r="AJ1553">
        <v>81.971366544871003</v>
      </c>
      <c r="AK1553">
        <v>15.2725061338698</v>
      </c>
      <c r="AL1553">
        <v>96.139733528606399</v>
      </c>
      <c r="AM1553">
        <v>86.733465543738404</v>
      </c>
      <c r="AN1553">
        <v>0.99999999907470105</v>
      </c>
    </row>
    <row r="1554" spans="1:40" x14ac:dyDescent="0.25">
      <c r="A1554" t="str">
        <f>"20190303154125887"</f>
        <v>20190303154125887</v>
      </c>
      <c r="B1554" t="str">
        <f>"1551598885881151"</f>
        <v>1551598885881151</v>
      </c>
      <c r="C1554" t="s">
        <v>40</v>
      </c>
      <c r="D1554">
        <v>5.8193599999999996</v>
      </c>
      <c r="E1554">
        <v>0.53185969999999905</v>
      </c>
      <c r="F1554" t="s">
        <v>44</v>
      </c>
      <c r="G1554">
        <v>-202.0652</v>
      </c>
      <c r="H1554" s="1">
        <v>-2.2254189999999998E-6</v>
      </c>
      <c r="I1554">
        <v>365.82639999999998</v>
      </c>
      <c r="J1554">
        <v>-217.1344</v>
      </c>
      <c r="K1554">
        <v>1.120792</v>
      </c>
      <c r="L1554">
        <v>367.89249999999998</v>
      </c>
      <c r="M1554">
        <v>0.99989570000000005</v>
      </c>
      <c r="N1554">
        <v>-1.3117409999999999E-2</v>
      </c>
      <c r="O1554">
        <v>6.0669740000000002E-3</v>
      </c>
      <c r="P1554">
        <v>0.99089530000000003</v>
      </c>
      <c r="Q1554">
        <v>-0.12293759999999999</v>
      </c>
      <c r="R1554">
        <v>-5.4893589999999999E-2</v>
      </c>
      <c r="S1554">
        <v>2.978485</v>
      </c>
      <c r="T1554">
        <v>-0.21983240000000001</v>
      </c>
      <c r="U1554">
        <v>-0.40509030000000001</v>
      </c>
      <c r="V1554">
        <v>6.0866280000000002E-2</v>
      </c>
      <c r="W1554">
        <v>-0.10995489999999999</v>
      </c>
      <c r="X1554">
        <v>0.99207120000000004</v>
      </c>
      <c r="Y1554">
        <v>0.140320899999999</v>
      </c>
      <c r="Z1554">
        <v>-6.4397660000000004E-3</v>
      </c>
      <c r="AA1554">
        <v>0.99008510000000005</v>
      </c>
      <c r="AB1554">
        <v>19</v>
      </c>
      <c r="AC1554">
        <v>15.069199999999899</v>
      </c>
      <c r="AD1554">
        <v>-1.120794225419</v>
      </c>
      <c r="AE1554">
        <v>-2.0661</v>
      </c>
      <c r="AF1554">
        <v>2.1458427891470202</v>
      </c>
      <c r="AG1554">
        <v>-1.120794225419</v>
      </c>
      <c r="AH1554">
        <v>14.975075038831401</v>
      </c>
      <c r="AI1554">
        <v>94.237143875323</v>
      </c>
      <c r="AJ1554">
        <v>81.845353232818596</v>
      </c>
      <c r="AK1554">
        <v>15.169498785065301</v>
      </c>
      <c r="AL1554">
        <v>96.312715601185303</v>
      </c>
      <c r="AM1554">
        <v>86.489148026456206</v>
      </c>
      <c r="AN1554">
        <v>1.0000000249722401</v>
      </c>
    </row>
    <row r="1555" spans="1:40" x14ac:dyDescent="0.25">
      <c r="A1555" t="str">
        <f>"20190303154125908"</f>
        <v>20190303154125908</v>
      </c>
      <c r="B1555" t="str">
        <f>"1551598885900671"</f>
        <v>1551598885900671</v>
      </c>
      <c r="C1555" t="s">
        <v>40</v>
      </c>
      <c r="D1555">
        <v>5.8129580000000001</v>
      </c>
      <c r="E1555">
        <v>0.53138769999999902</v>
      </c>
      <c r="F1555" t="s">
        <v>44</v>
      </c>
      <c r="G1555">
        <v>-202.5111</v>
      </c>
      <c r="H1555" s="1">
        <v>-2.4882190000000001E-6</v>
      </c>
      <c r="I1555">
        <v>365.83069999999998</v>
      </c>
      <c r="J1555">
        <v>-216.95570000000001</v>
      </c>
      <c r="K1555">
        <v>1.1207119999999999</v>
      </c>
      <c r="L1555">
        <v>367.89319999999998</v>
      </c>
      <c r="M1555">
        <v>0.9998958</v>
      </c>
      <c r="N1555">
        <v>-1.323803E-2</v>
      </c>
      <c r="O1555">
        <v>5.7770740000000001E-3</v>
      </c>
      <c r="P1555">
        <v>0.99028939999999999</v>
      </c>
      <c r="Q1555">
        <v>-0.12592139999999999</v>
      </c>
      <c r="R1555">
        <v>-5.8911390000000001E-2</v>
      </c>
      <c r="S1555">
        <v>2.9760439999999999</v>
      </c>
      <c r="T1555">
        <v>-0.22809670000000001</v>
      </c>
      <c r="U1555">
        <v>-0.41958620000000002</v>
      </c>
      <c r="V1555">
        <v>6.4570870000000002E-2</v>
      </c>
      <c r="W1555">
        <v>-0.1128407</v>
      </c>
      <c r="X1555">
        <v>0.99151279999999997</v>
      </c>
      <c r="Y1555">
        <v>0.1448246</v>
      </c>
      <c r="Z1555">
        <v>-6.8436879999999997E-3</v>
      </c>
      <c r="AA1555">
        <v>0.98943360000000002</v>
      </c>
      <c r="AB1555">
        <v>19</v>
      </c>
      <c r="AC1555">
        <v>14.444599999999999</v>
      </c>
      <c r="AD1555">
        <v>-1.1207144882189899</v>
      </c>
      <c r="AE1555">
        <v>-2.0625</v>
      </c>
      <c r="AF1555">
        <v>2.1333348416785398</v>
      </c>
      <c r="AG1555">
        <v>-1.1207144882189899</v>
      </c>
      <c r="AH1555">
        <v>14.347798144974901</v>
      </c>
      <c r="AI1555">
        <v>94.417962971151198</v>
      </c>
      <c r="AJ1555">
        <v>81.542807704536997</v>
      </c>
      <c r="AK1555">
        <v>14.5487604324138</v>
      </c>
      <c r="AL1555">
        <v>96.479095371763904</v>
      </c>
      <c r="AM1555">
        <v>86.273954866510607</v>
      </c>
      <c r="AN1555">
        <v>1.0000000266964399</v>
      </c>
    </row>
    <row r="1556" spans="1:40" x14ac:dyDescent="0.25">
      <c r="A1556" t="str">
        <f>"20190303154125929"</f>
        <v>20190303154125929</v>
      </c>
      <c r="B1556" t="str">
        <f>"1551598885921167"</f>
        <v>1551598885921167</v>
      </c>
      <c r="C1556" t="s">
        <v>40</v>
      </c>
      <c r="D1556">
        <v>5.8433460000000004</v>
      </c>
      <c r="E1556">
        <v>0.53126359999999995</v>
      </c>
      <c r="F1556" t="s">
        <v>44</v>
      </c>
      <c r="G1556">
        <v>-203.1387</v>
      </c>
      <c r="H1556" s="1">
        <v>-2.8398599999999999E-6</v>
      </c>
      <c r="I1556">
        <v>365.90539999999999</v>
      </c>
      <c r="J1556">
        <v>-216.7757</v>
      </c>
      <c r="K1556">
        <v>1.1206149999999999</v>
      </c>
      <c r="L1556">
        <v>367.8938</v>
      </c>
      <c r="M1556">
        <v>0.99989660000000002</v>
      </c>
      <c r="N1556">
        <v>-1.3349730000000001E-2</v>
      </c>
      <c r="O1556">
        <v>5.3418169999999996E-3</v>
      </c>
      <c r="P1556">
        <v>0.98994720000000003</v>
      </c>
      <c r="Q1556">
        <v>-0.1270559</v>
      </c>
      <c r="R1556">
        <v>-6.214215E-2</v>
      </c>
      <c r="S1556">
        <v>2.973312</v>
      </c>
      <c r="T1556">
        <v>-0.2411693</v>
      </c>
      <c r="U1556">
        <v>-0.4277649</v>
      </c>
      <c r="V1556">
        <v>6.7341070000000003E-2</v>
      </c>
      <c r="W1556">
        <v>-0.1138861</v>
      </c>
      <c r="X1556">
        <v>0.99120889999999995</v>
      </c>
      <c r="Y1556">
        <v>0.147122799999999</v>
      </c>
      <c r="Z1556">
        <v>-7.2750230000000003E-3</v>
      </c>
      <c r="AA1556">
        <v>0.98909150000000001</v>
      </c>
      <c r="AB1556">
        <v>19</v>
      </c>
      <c r="AC1556">
        <v>13.637</v>
      </c>
      <c r="AD1556">
        <v>-1.12061783986</v>
      </c>
      <c r="AE1556">
        <v>-1.9884000000000099</v>
      </c>
      <c r="AF1556">
        <v>2.0476849324683801</v>
      </c>
      <c r="AG1556">
        <v>-1.12061783986</v>
      </c>
      <c r="AH1556">
        <v>13.536676611390501</v>
      </c>
      <c r="AI1556">
        <v>94.679378252854207</v>
      </c>
      <c r="AJ1556">
        <v>81.398116919411606</v>
      </c>
      <c r="AK1556">
        <v>13.7364628491849</v>
      </c>
      <c r="AL1556">
        <v>96.539381356385903</v>
      </c>
      <c r="AM1556">
        <v>86.113393200698397</v>
      </c>
      <c r="AN1556">
        <v>0.999999973460582</v>
      </c>
    </row>
    <row r="1557" spans="1:40" x14ac:dyDescent="0.25">
      <c r="A1557" t="str">
        <f>"20190303154125943"</f>
        <v>20190303154125943</v>
      </c>
      <c r="B1557" t="str">
        <f>"1551598885940687"</f>
        <v>1551598885940687</v>
      </c>
      <c r="C1557" t="s">
        <v>40</v>
      </c>
      <c r="D1557">
        <v>5.8516870000000001</v>
      </c>
      <c r="E1557">
        <v>0.53082289999999999</v>
      </c>
      <c r="F1557" t="s">
        <v>44</v>
      </c>
      <c r="G1557">
        <v>-203.21629999999999</v>
      </c>
      <c r="H1557" s="1">
        <v>-2.8804119999999999E-6</v>
      </c>
      <c r="I1557">
        <v>365.90410000000003</v>
      </c>
      <c r="J1557">
        <v>-216.65969999999999</v>
      </c>
      <c r="K1557">
        <v>1.1205510000000001</v>
      </c>
      <c r="L1557">
        <v>367.89400000000001</v>
      </c>
      <c r="M1557">
        <v>0.9998977</v>
      </c>
      <c r="N1557">
        <v>-1.341549E-2</v>
      </c>
      <c r="O1557">
        <v>4.9705640000000002E-3</v>
      </c>
      <c r="P1557">
        <v>0.9898766</v>
      </c>
      <c r="Q1557">
        <v>-0.12693360000000001</v>
      </c>
      <c r="R1557">
        <v>-6.3501219999999997E-2</v>
      </c>
      <c r="S1557">
        <v>2.9715579999999999</v>
      </c>
      <c r="T1557">
        <v>-0.24558530000000001</v>
      </c>
      <c r="U1557">
        <v>-0.43603520000000001</v>
      </c>
      <c r="V1557">
        <v>6.8313479999999996E-2</v>
      </c>
      <c r="W1557">
        <v>-0.11371149999999999</v>
      </c>
      <c r="X1557">
        <v>0.9911624</v>
      </c>
      <c r="Y1557">
        <v>0.14950469999999999</v>
      </c>
      <c r="Z1557">
        <v>-7.4866400000000001E-3</v>
      </c>
      <c r="AA1557">
        <v>0.98873270000000002</v>
      </c>
      <c r="AB1557">
        <v>18</v>
      </c>
      <c r="AC1557">
        <v>13.443399999999899</v>
      </c>
      <c r="AD1557">
        <v>-1.1205538804119901</v>
      </c>
      <c r="AE1557">
        <v>-1.98989999999997</v>
      </c>
      <c r="AF1557">
        <v>2.04281394785975</v>
      </c>
      <c r="AG1557">
        <v>-1.1205538804119901</v>
      </c>
      <c r="AH1557">
        <v>13.342627748348599</v>
      </c>
      <c r="AI1557">
        <v>94.745564943013207</v>
      </c>
      <c r="AJ1557">
        <v>81.295363560465105</v>
      </c>
      <c r="AK1557">
        <v>13.544535616088099</v>
      </c>
      <c r="AL1557">
        <v>96.529312124108898</v>
      </c>
      <c r="AM1557">
        <v>86.057261668902797</v>
      </c>
      <c r="AN1557">
        <v>0.999999969977859</v>
      </c>
    </row>
    <row r="1558" spans="1:40" x14ac:dyDescent="0.25">
      <c r="A1558" t="str">
        <f>"20190303154125956"</f>
        <v>20190303154125956</v>
      </c>
      <c r="B1558" t="str">
        <f>"1551598885950447"</f>
        <v>1551598885950447</v>
      </c>
      <c r="C1558" t="s">
        <v>40</v>
      </c>
      <c r="D1558">
        <v>5.8726330000000004</v>
      </c>
      <c r="E1558">
        <v>0.53051759999999903</v>
      </c>
      <c r="F1558" t="s">
        <v>44</v>
      </c>
      <c r="G1558">
        <v>-203.2132</v>
      </c>
      <c r="H1558" s="1">
        <v>-2.875936E-6</v>
      </c>
      <c r="I1558">
        <v>365.91719999999998</v>
      </c>
      <c r="J1558">
        <v>-216.55449999999999</v>
      </c>
      <c r="K1558">
        <v>1.1204940000000001</v>
      </c>
      <c r="L1558">
        <v>367.89420000000001</v>
      </c>
      <c r="M1558">
        <v>0.99989879999999998</v>
      </c>
      <c r="N1558">
        <v>-1.347197E-2</v>
      </c>
      <c r="O1558">
        <v>4.5877380000000001E-3</v>
      </c>
      <c r="P1558">
        <v>0.98990630000000002</v>
      </c>
      <c r="Q1558">
        <v>-0.1262308</v>
      </c>
      <c r="R1558">
        <v>-6.4430650000000006E-2</v>
      </c>
      <c r="S1558">
        <v>2.9709319999999999</v>
      </c>
      <c r="T1558">
        <v>-0.2475803</v>
      </c>
      <c r="U1558">
        <v>-0.43676759999999898</v>
      </c>
      <c r="V1558">
        <v>6.88473E-2</v>
      </c>
      <c r="W1558">
        <v>-0.11296349999999999</v>
      </c>
      <c r="X1558">
        <v>0.99121099999999995</v>
      </c>
      <c r="Y1558">
        <v>0.14938650000000001</v>
      </c>
      <c r="Z1558">
        <v>-7.5126359999999996E-3</v>
      </c>
      <c r="AA1558">
        <v>0.98875029999999997</v>
      </c>
      <c r="AB1558">
        <v>18</v>
      </c>
      <c r="AC1558">
        <v>13.341299999999899</v>
      </c>
      <c r="AD1558">
        <v>-1.1204968759359999</v>
      </c>
      <c r="AE1558">
        <v>-1.9770000000000301</v>
      </c>
      <c r="AF1558">
        <v>2.0242194376151001</v>
      </c>
      <c r="AG1558">
        <v>-1.1204968759359999</v>
      </c>
      <c r="AH1558">
        <v>13.2406980289784</v>
      </c>
      <c r="AI1558">
        <v>94.781847010707196</v>
      </c>
      <c r="AJ1558">
        <v>81.308000321129896</v>
      </c>
      <c r="AK1558">
        <v>13.4413192014472</v>
      </c>
      <c r="AL1558">
        <v>96.486176907803795</v>
      </c>
      <c r="AM1558">
        <v>86.026744551746205</v>
      </c>
      <c r="AN1558">
        <v>0.99999997478526903</v>
      </c>
    </row>
    <row r="1559" spans="1:40" x14ac:dyDescent="0.25">
      <c r="A1559" t="str">
        <f>"20190303154125969"</f>
        <v>20190303154125969</v>
      </c>
      <c r="B1559" t="str">
        <f>"1551598885961183"</f>
        <v>1551598885961183</v>
      </c>
      <c r="C1559" t="s">
        <v>40</v>
      </c>
      <c r="D1559">
        <v>5.8439889999999997</v>
      </c>
      <c r="E1559">
        <v>0.53026340000000005</v>
      </c>
      <c r="F1559" t="s">
        <v>44</v>
      </c>
      <c r="G1559">
        <v>-203.03960000000001</v>
      </c>
      <c r="H1559" s="1">
        <v>-2.7807310000000001E-6</v>
      </c>
      <c r="I1559">
        <v>365.90710000000001</v>
      </c>
      <c r="J1559">
        <v>-216.4374</v>
      </c>
      <c r="K1559">
        <v>1.1204229999999999</v>
      </c>
      <c r="L1559">
        <v>367.89420000000001</v>
      </c>
      <c r="M1559">
        <v>0.99990029999999996</v>
      </c>
      <c r="N1559">
        <v>-1.352828E-2</v>
      </c>
      <c r="O1559">
        <v>4.0493450000000002E-3</v>
      </c>
      <c r="P1559">
        <v>0.98986019999999997</v>
      </c>
      <c r="Q1559">
        <v>-0.1260455</v>
      </c>
      <c r="R1559">
        <v>-6.5493380000000004E-2</v>
      </c>
      <c r="S1559">
        <v>2.970764</v>
      </c>
      <c r="T1559">
        <v>-0.24630009999999999</v>
      </c>
      <c r="U1559">
        <v>-0.43679810000000002</v>
      </c>
      <c r="V1559">
        <v>6.9355929999999996E-2</v>
      </c>
      <c r="W1559">
        <v>-0.1127363</v>
      </c>
      <c r="X1559">
        <v>0.99120149999999996</v>
      </c>
      <c r="Y1559">
        <v>0.14888080000000001</v>
      </c>
      <c r="Z1559">
        <v>-7.4217919999999904E-3</v>
      </c>
      <c r="AA1559">
        <v>0.98882729999999996</v>
      </c>
      <c r="AB1559">
        <v>18</v>
      </c>
      <c r="AC1559">
        <v>13.397799999999901</v>
      </c>
      <c r="AD1559">
        <v>-1.1204257807310001</v>
      </c>
      <c r="AE1559">
        <v>-1.9870999999999901</v>
      </c>
      <c r="AF1559">
        <v>2.02746693721121</v>
      </c>
      <c r="AG1559">
        <v>-1.1204257807310001</v>
      </c>
      <c r="AH1559">
        <v>13.298639757285301</v>
      </c>
      <c r="AI1559">
        <v>94.761106231404398</v>
      </c>
      <c r="AJ1559">
        <v>81.331622219483705</v>
      </c>
      <c r="AK1559">
        <v>13.498881268670401</v>
      </c>
      <c r="AL1559">
        <v>96.473075023045894</v>
      </c>
      <c r="AM1559">
        <v>85.997447759245802</v>
      </c>
      <c r="AN1559">
        <v>1.0000000659830499</v>
      </c>
    </row>
    <row r="1560" spans="1:40" x14ac:dyDescent="0.25">
      <c r="A1560" t="str">
        <f>"20190303154125985"</f>
        <v>20190303154125985</v>
      </c>
      <c r="B1560" t="str">
        <f>"1551598885980703"</f>
        <v>1551598885980703</v>
      </c>
      <c r="C1560" t="s">
        <v>40</v>
      </c>
      <c r="D1560">
        <v>5.8371629999999897</v>
      </c>
      <c r="E1560">
        <v>0.5297965</v>
      </c>
      <c r="F1560" t="s">
        <v>44</v>
      </c>
      <c r="G1560">
        <v>-202.9554</v>
      </c>
      <c r="H1560" s="1">
        <v>-2.730801E-6</v>
      </c>
      <c r="I1560">
        <v>365.9074</v>
      </c>
      <c r="J1560">
        <v>-216.31739999999999</v>
      </c>
      <c r="K1560">
        <v>1.1203459999999901</v>
      </c>
      <c r="L1560">
        <v>367.89400000000001</v>
      </c>
      <c r="M1560">
        <v>0.99990199999999996</v>
      </c>
      <c r="N1560">
        <v>-1.358184E-2</v>
      </c>
      <c r="O1560">
        <v>3.4206150000000001E-3</v>
      </c>
      <c r="P1560">
        <v>0.98980230000000002</v>
      </c>
      <c r="Q1560">
        <v>-0.12560460000000001</v>
      </c>
      <c r="R1560">
        <v>-6.7194210000000004E-2</v>
      </c>
      <c r="S1560">
        <v>2.9703369999999998</v>
      </c>
      <c r="T1560">
        <v>-0.2468514</v>
      </c>
      <c r="U1560">
        <v>-0.43771359999999898</v>
      </c>
      <c r="V1560">
        <v>7.0413379999999998E-2</v>
      </c>
      <c r="W1560">
        <v>-0.1122575</v>
      </c>
      <c r="X1560">
        <v>0.99118119999999998</v>
      </c>
      <c r="Y1560">
        <v>0.1485776</v>
      </c>
      <c r="Z1560">
        <v>-7.382825E-3</v>
      </c>
      <c r="AA1560">
        <v>0.98887320000000001</v>
      </c>
      <c r="AB1560">
        <v>18</v>
      </c>
      <c r="AC1560">
        <v>13.361999999999901</v>
      </c>
      <c r="AD1560">
        <v>-1.1203487308009901</v>
      </c>
      <c r="AE1560">
        <v>-1.9866000000000099</v>
      </c>
      <c r="AF1560">
        <v>2.0184159850838701</v>
      </c>
      <c r="AG1560">
        <v>-1.1203487308009901</v>
      </c>
      <c r="AH1560">
        <v>13.263895438084999</v>
      </c>
      <c r="AI1560">
        <v>94.773393652061998</v>
      </c>
      <c r="AJ1560">
        <v>81.347470393027805</v>
      </c>
      <c r="AK1560">
        <v>13.4632873608158</v>
      </c>
      <c r="AL1560">
        <v>96.445467100166695</v>
      </c>
      <c r="AM1560">
        <v>85.9365419385839</v>
      </c>
      <c r="AN1560">
        <v>0.99999998081135599</v>
      </c>
    </row>
    <row r="1561" spans="1:40" x14ac:dyDescent="0.25">
      <c r="A1561" t="str">
        <f>"20190303154126008"</f>
        <v>20190303154126008</v>
      </c>
      <c r="B1561" t="str">
        <f>"1551598886001199"</f>
        <v>1551598886001199</v>
      </c>
      <c r="C1561" t="s">
        <v>40</v>
      </c>
      <c r="D1561">
        <v>5.8524760000000002</v>
      </c>
      <c r="E1561">
        <v>0.52935919999999903</v>
      </c>
      <c r="F1561" t="s">
        <v>44</v>
      </c>
      <c r="G1561">
        <v>-202.85059999999999</v>
      </c>
      <c r="H1561" s="1">
        <v>-2.6700420000000002E-6</v>
      </c>
      <c r="I1561">
        <v>365.90260000000001</v>
      </c>
      <c r="J1561">
        <v>-216.13069999999999</v>
      </c>
      <c r="K1561">
        <v>1.1202299999999901</v>
      </c>
      <c r="L1561">
        <v>367.89330000000001</v>
      </c>
      <c r="M1561">
        <v>0.99990429999999997</v>
      </c>
      <c r="N1561">
        <v>-1.365719E-2</v>
      </c>
      <c r="O1561">
        <v>2.2705379999999999E-3</v>
      </c>
      <c r="P1561">
        <v>0.98974300000000004</v>
      </c>
      <c r="Q1561">
        <v>-0.12479659999999999</v>
      </c>
      <c r="R1561">
        <v>-6.9530659999999994E-2</v>
      </c>
      <c r="S1561">
        <v>2.9697269999999998</v>
      </c>
      <c r="T1561">
        <v>-0.24706069999999999</v>
      </c>
      <c r="U1561">
        <v>-0.43914789999999998</v>
      </c>
      <c r="V1561">
        <v>7.1579530000000002E-2</v>
      </c>
      <c r="W1561">
        <v>-0.11139789999999999</v>
      </c>
      <c r="X1561">
        <v>0.99119469999999998</v>
      </c>
      <c r="Y1561">
        <v>0.14794070000000001</v>
      </c>
      <c r="Z1561">
        <v>-7.2846500000000002E-3</v>
      </c>
      <c r="AA1561">
        <v>0.9889694</v>
      </c>
      <c r="AB1561">
        <v>18</v>
      </c>
      <c r="AC1561">
        <v>13.280099999999999</v>
      </c>
      <c r="AD1561">
        <v>-1.12023267004199</v>
      </c>
      <c r="AE1561">
        <v>-1.9906999999999999</v>
      </c>
      <c r="AF1561">
        <v>2.0068842180775599</v>
      </c>
      <c r="AG1561">
        <v>-1.12023267004199</v>
      </c>
      <c r="AH1561">
        <v>13.1837959147886</v>
      </c>
      <c r="AI1561">
        <v>94.801729076818901</v>
      </c>
      <c r="AJ1561">
        <v>81.3446786025183</v>
      </c>
      <c r="AK1561">
        <v>13.382637267093299</v>
      </c>
      <c r="AL1561">
        <v>96.395904472946796</v>
      </c>
      <c r="AM1561">
        <v>85.869532148077596</v>
      </c>
      <c r="AN1561">
        <v>1.0000000272737599</v>
      </c>
    </row>
    <row r="1562" spans="1:40" x14ac:dyDescent="0.25">
      <c r="A1562" t="str">
        <f>"20190303154126022"</f>
        <v>20190303154126022</v>
      </c>
      <c r="B1562" t="str">
        <f>"1551598886010960"</f>
        <v>1551598886010960</v>
      </c>
      <c r="C1562" t="s">
        <v>40</v>
      </c>
      <c r="D1562">
        <v>5.8624280000000004</v>
      </c>
      <c r="E1562">
        <v>0.5291304</v>
      </c>
      <c r="F1562" t="s">
        <v>44</v>
      </c>
      <c r="G1562">
        <v>-202.62350000000001</v>
      </c>
      <c r="H1562" s="1">
        <v>-2.5416119999999998E-6</v>
      </c>
      <c r="I1562">
        <v>365.8802</v>
      </c>
      <c r="J1562">
        <v>-216.00829999999999</v>
      </c>
      <c r="K1562">
        <v>1.120158</v>
      </c>
      <c r="L1562">
        <v>367.89269999999999</v>
      </c>
      <c r="M1562">
        <v>0.99990520000000005</v>
      </c>
      <c r="N1562">
        <v>-1.3701649999999999E-2</v>
      </c>
      <c r="O1562">
        <v>1.3991559999999999E-3</v>
      </c>
      <c r="P1562">
        <v>0.98977820000000005</v>
      </c>
      <c r="Q1562">
        <v>-0.1237791</v>
      </c>
      <c r="R1562">
        <v>-7.0838300000000007E-2</v>
      </c>
      <c r="S1562">
        <v>2.9689640000000002</v>
      </c>
      <c r="T1562">
        <v>-0.24623490000000001</v>
      </c>
      <c r="U1562">
        <v>-0.44250489999999998</v>
      </c>
      <c r="V1562">
        <v>7.2005299999999994E-2</v>
      </c>
      <c r="W1562">
        <v>-0.1103498</v>
      </c>
      <c r="X1562">
        <v>0.99128110000000003</v>
      </c>
      <c r="Y1562">
        <v>0.14821400000000001</v>
      </c>
      <c r="Z1562">
        <v>-7.2212739999999997E-3</v>
      </c>
      <c r="AA1562">
        <v>0.98892899999999995</v>
      </c>
      <c r="AB1562">
        <v>18</v>
      </c>
      <c r="AC1562">
        <v>13.384799999999901</v>
      </c>
      <c r="AD1562">
        <v>-1.120160541612</v>
      </c>
      <c r="AE1562">
        <v>-2.0124999999999802</v>
      </c>
      <c r="AF1562">
        <v>2.0174099462746198</v>
      </c>
      <c r="AG1562">
        <v>-1.120160541612</v>
      </c>
      <c r="AH1562">
        <v>13.2909410228018</v>
      </c>
      <c r="AI1562">
        <v>94.763199976200497</v>
      </c>
      <c r="AJ1562">
        <v>81.369050856328499</v>
      </c>
      <c r="AK1562">
        <v>13.4897670773779</v>
      </c>
      <c r="AL1562">
        <v>96.335480198837303</v>
      </c>
      <c r="AM1562">
        <v>85.845409931116393</v>
      </c>
      <c r="AN1562">
        <v>1.0000000304026599</v>
      </c>
    </row>
    <row r="1563" spans="1:40" x14ac:dyDescent="0.25">
      <c r="A1563" t="str">
        <f>"20190303154126034"</f>
        <v>20190303154126034</v>
      </c>
      <c r="B1563" t="str">
        <f>"1551598886030479"</f>
        <v>1551598886030479</v>
      </c>
      <c r="C1563" t="s">
        <v>40</v>
      </c>
      <c r="D1563">
        <v>5.8881620000000003</v>
      </c>
      <c r="E1563">
        <v>0.52875030000000001</v>
      </c>
      <c r="F1563" t="s">
        <v>44</v>
      </c>
      <c r="G1563">
        <v>-202.38659999999999</v>
      </c>
      <c r="H1563" s="1">
        <v>-2.4088469999999999E-6</v>
      </c>
      <c r="I1563">
        <v>365.85210000000001</v>
      </c>
      <c r="J1563">
        <v>-215.90770000000001</v>
      </c>
      <c r="K1563">
        <v>1.120099</v>
      </c>
      <c r="L1563">
        <v>367.892</v>
      </c>
      <c r="M1563">
        <v>0.9999055</v>
      </c>
      <c r="N1563">
        <v>-1.373606E-2</v>
      </c>
      <c r="O1563">
        <v>6.2777570000000003E-4</v>
      </c>
      <c r="P1563">
        <v>0.98982389999999998</v>
      </c>
      <c r="Q1563">
        <v>-0.1228345</v>
      </c>
      <c r="R1563">
        <v>-7.1838680000000002E-2</v>
      </c>
      <c r="S1563">
        <v>2.9686279999999998</v>
      </c>
      <c r="T1563">
        <v>-0.2441207</v>
      </c>
      <c r="U1563">
        <v>-0.44470209999999999</v>
      </c>
      <c r="V1563">
        <v>7.2226929999999995E-2</v>
      </c>
      <c r="W1563">
        <v>-0.10938150000000001</v>
      </c>
      <c r="X1563">
        <v>0.99137229999999998</v>
      </c>
      <c r="Y1563">
        <v>0.1481942</v>
      </c>
      <c r="Z1563">
        <v>-7.1175730000000003E-3</v>
      </c>
      <c r="AA1563">
        <v>0.9889327</v>
      </c>
      <c r="AB1563">
        <v>18</v>
      </c>
      <c r="AC1563">
        <v>13.521100000000001</v>
      </c>
      <c r="AD1563">
        <v>-1.120101408847</v>
      </c>
      <c r="AE1563">
        <v>-2.0398999999999798</v>
      </c>
      <c r="AF1563">
        <v>2.0347357313546199</v>
      </c>
      <c r="AG1563">
        <v>-1.120101408847</v>
      </c>
      <c r="AH1563">
        <v>13.429704561689199</v>
      </c>
      <c r="AI1563">
        <v>94.714152619188297</v>
      </c>
      <c r="AJ1563">
        <v>81.384635375826903</v>
      </c>
      <c r="AK1563">
        <v>13.629077051539801</v>
      </c>
      <c r="AL1563">
        <v>96.279662743494697</v>
      </c>
      <c r="AM1563">
        <v>85.833049237368201</v>
      </c>
      <c r="AN1563">
        <v>1.0000000395833799</v>
      </c>
    </row>
    <row r="1564" spans="1:40" x14ac:dyDescent="0.25">
      <c r="A1564" t="str">
        <f>"20190303154126048"</f>
        <v>20190303154126048</v>
      </c>
      <c r="B1564" t="str">
        <f>"1551598886041215"</f>
        <v>1551598886041215</v>
      </c>
      <c r="C1564" t="s">
        <v>40</v>
      </c>
      <c r="D1564">
        <v>5.8822089999999996</v>
      </c>
      <c r="E1564">
        <v>0.52856829999999999</v>
      </c>
      <c r="F1564" t="s">
        <v>44</v>
      </c>
      <c r="G1564">
        <v>-202.2526</v>
      </c>
      <c r="H1564" s="1">
        <v>-2.3309910000000002E-6</v>
      </c>
      <c r="I1564">
        <v>365.84660000000002</v>
      </c>
      <c r="J1564">
        <v>-215.80449999999999</v>
      </c>
      <c r="K1564">
        <v>1.1200399999999999</v>
      </c>
      <c r="L1564">
        <v>367.89109999999999</v>
      </c>
      <c r="M1564">
        <v>0.99990520000000005</v>
      </c>
      <c r="N1564">
        <v>-1.3767669999999999E-2</v>
      </c>
      <c r="O1564">
        <v>-2.5871979999999998E-4</v>
      </c>
      <c r="P1564">
        <v>0.98985840000000003</v>
      </c>
      <c r="Q1564">
        <v>-0.12181309999999999</v>
      </c>
      <c r="R1564">
        <v>-7.3086880000000007E-2</v>
      </c>
      <c r="S1564">
        <v>2.968353</v>
      </c>
      <c r="T1564">
        <v>-0.24348900000000001</v>
      </c>
      <c r="U1564">
        <v>-0.44464110000000001</v>
      </c>
      <c r="V1564">
        <v>7.2583490000000001E-2</v>
      </c>
      <c r="W1564">
        <v>-0.1083394</v>
      </c>
      <c r="X1564">
        <v>0.99146060000000003</v>
      </c>
      <c r="Y1564">
        <v>0.147318899999999</v>
      </c>
      <c r="Z1564">
        <v>-7.0029419999999998E-3</v>
      </c>
      <c r="AA1564">
        <v>0.98906430000000001</v>
      </c>
      <c r="AB1564">
        <v>18</v>
      </c>
      <c r="AC1564">
        <v>13.5518999999999</v>
      </c>
      <c r="AD1564">
        <v>-1.1200423309909999</v>
      </c>
      <c r="AE1564">
        <v>-2.04449999999997</v>
      </c>
      <c r="AF1564">
        <v>2.0274526195771001</v>
      </c>
      <c r="AG1564">
        <v>-1.1200423309909999</v>
      </c>
      <c r="AH1564">
        <v>13.462515866581599</v>
      </c>
      <c r="AI1564">
        <v>94.703097161391796</v>
      </c>
      <c r="AJ1564">
        <v>81.435625804098805</v>
      </c>
      <c r="AK1564">
        <v>13.660321826582299</v>
      </c>
      <c r="AL1564">
        <v>96.219598376321898</v>
      </c>
      <c r="AM1564">
        <v>85.812923010622796</v>
      </c>
      <c r="AN1564">
        <v>0.99999995498264904</v>
      </c>
    </row>
    <row r="1565" spans="1:40" x14ac:dyDescent="0.25">
      <c r="A1565" t="str">
        <f>"20190303154126061"</f>
        <v>20190303154126061</v>
      </c>
      <c r="B1565" t="str">
        <f>"1551598886050975"</f>
        <v>1551598886050975</v>
      </c>
      <c r="C1565" t="s">
        <v>40</v>
      </c>
      <c r="D1565">
        <v>5.8444900000000004</v>
      </c>
      <c r="E1565">
        <v>0.52839539999999996</v>
      </c>
      <c r="F1565" t="s">
        <v>44</v>
      </c>
      <c r="G1565">
        <v>-202.0188</v>
      </c>
      <c r="H1565" s="1">
        <v>-2.2005759999999999E-6</v>
      </c>
      <c r="I1565">
        <v>365.81670000000003</v>
      </c>
      <c r="J1565">
        <v>-215.6925</v>
      </c>
      <c r="K1565">
        <v>1.119977</v>
      </c>
      <c r="L1565">
        <v>367.88990000000001</v>
      </c>
      <c r="M1565">
        <v>0.99990400000000002</v>
      </c>
      <c r="N1565">
        <v>-1.3800130000000001E-2</v>
      </c>
      <c r="O1565">
        <v>-1.272689E-3</v>
      </c>
      <c r="P1565">
        <v>0.98988290000000001</v>
      </c>
      <c r="Q1565">
        <v>-0.12076919999999999</v>
      </c>
      <c r="R1565">
        <v>-7.4476710000000002E-2</v>
      </c>
      <c r="S1565">
        <v>2.9680789999999999</v>
      </c>
      <c r="T1565">
        <v>-0.24114759999999999</v>
      </c>
      <c r="U1565">
        <v>-0.44662479999999899</v>
      </c>
      <c r="V1565">
        <v>7.29543E-2</v>
      </c>
      <c r="W1565">
        <v>-0.1072747</v>
      </c>
      <c r="X1565">
        <v>0.99154920000000002</v>
      </c>
      <c r="Y1565">
        <v>0.14698910000000001</v>
      </c>
      <c r="Z1565">
        <v>-6.8648540000000001E-3</v>
      </c>
      <c r="AA1565">
        <v>0.9891143</v>
      </c>
      <c r="AB1565">
        <v>18</v>
      </c>
      <c r="AC1565">
        <v>13.673699999999901</v>
      </c>
      <c r="AD1565">
        <v>-1.1199792005760001</v>
      </c>
      <c r="AE1565">
        <v>-2.0731999999999799</v>
      </c>
      <c r="AF1565">
        <v>2.0424000621110201</v>
      </c>
      <c r="AG1565">
        <v>-1.1199792005760001</v>
      </c>
      <c r="AH1565">
        <v>13.5872215530419</v>
      </c>
      <c r="AI1565">
        <v>94.660053441858594</v>
      </c>
      <c r="AJ1565">
        <v>81.451432206908805</v>
      </c>
      <c r="AK1565">
        <v>13.7854394545434</v>
      </c>
      <c r="AL1565">
        <v>96.158237634919203</v>
      </c>
      <c r="AM1565">
        <v>85.791983680853306</v>
      </c>
      <c r="AN1565">
        <v>1.0000000035846099</v>
      </c>
    </row>
    <row r="1566" spans="1:40" x14ac:dyDescent="0.25">
      <c r="A1566" t="str">
        <f>"20190303154126073"</f>
        <v>20190303154126073</v>
      </c>
      <c r="B1566" t="str">
        <f>"1551598886070495"</f>
        <v>1551598886070495</v>
      </c>
      <c r="C1566" t="s">
        <v>40</v>
      </c>
      <c r="D1566">
        <v>5.8663460000000001</v>
      </c>
      <c r="E1566">
        <v>0.52802009999999999</v>
      </c>
      <c r="F1566" t="s">
        <v>44</v>
      </c>
      <c r="G1566">
        <v>-201.75219999999999</v>
      </c>
      <c r="H1566" s="1">
        <v>-2.0525499999999999E-6</v>
      </c>
      <c r="I1566">
        <v>365.77980000000002</v>
      </c>
      <c r="J1566">
        <v>-215.58850000000001</v>
      </c>
      <c r="K1566">
        <v>1.11991</v>
      </c>
      <c r="L1566">
        <v>367.88869999999997</v>
      </c>
      <c r="M1566">
        <v>0.99990179999999995</v>
      </c>
      <c r="N1566">
        <v>-1.382823E-2</v>
      </c>
      <c r="O1566">
        <v>-2.2762699999999999E-3</v>
      </c>
      <c r="P1566">
        <v>0.98965930000000002</v>
      </c>
      <c r="Q1566">
        <v>-0.12079139999999999</v>
      </c>
      <c r="R1566">
        <v>-7.7355469999999996E-2</v>
      </c>
      <c r="S1566">
        <v>2.9677730000000002</v>
      </c>
      <c r="T1566">
        <v>-0.2384336</v>
      </c>
      <c r="U1566">
        <v>-0.44921879999999997</v>
      </c>
      <c r="V1566">
        <v>7.4824039999999994E-2</v>
      </c>
      <c r="W1566">
        <v>-0.1072867</v>
      </c>
      <c r="X1566">
        <v>0.99140850000000003</v>
      </c>
      <c r="Y1566">
        <v>0.14687049999999999</v>
      </c>
      <c r="Z1566">
        <v>-6.7300379999999998E-3</v>
      </c>
      <c r="AA1566">
        <v>0.98913280000000003</v>
      </c>
      <c r="AB1566">
        <v>18</v>
      </c>
      <c r="AC1566">
        <v>13.8363</v>
      </c>
      <c r="AD1566">
        <v>-1.1199120525499999</v>
      </c>
      <c r="AE1566">
        <v>-2.1088999999999398</v>
      </c>
      <c r="AF1566">
        <v>2.0641803170519202</v>
      </c>
      <c r="AG1566">
        <v>-1.1199120525499999</v>
      </c>
      <c r="AH1566">
        <v>13.7530104647317</v>
      </c>
      <c r="AI1566">
        <v>94.603999628296506</v>
      </c>
      <c r="AJ1566">
        <v>81.4642280719588</v>
      </c>
      <c r="AK1566">
        <v>13.952072972493101</v>
      </c>
      <c r="AL1566">
        <v>96.158929547319104</v>
      </c>
      <c r="AM1566">
        <v>85.683928980229098</v>
      </c>
      <c r="AN1566">
        <v>0.999999943415529</v>
      </c>
    </row>
    <row r="1567" spans="1:40" x14ac:dyDescent="0.25">
      <c r="A1567" t="str">
        <f>"20190303154126090"</f>
        <v>20190303154126090</v>
      </c>
      <c r="B1567" t="str">
        <f>"1551598886081231"</f>
        <v>1551598886081231</v>
      </c>
      <c r="C1567" t="s">
        <v>40</v>
      </c>
      <c r="D1567">
        <v>5.884118</v>
      </c>
      <c r="E1567">
        <v>0.52788080000000004</v>
      </c>
      <c r="F1567" t="s">
        <v>44</v>
      </c>
      <c r="G1567">
        <v>-201.77260000000001</v>
      </c>
      <c r="H1567" s="1">
        <v>-2.0671000000000001E-6</v>
      </c>
      <c r="I1567">
        <v>365.77050000000003</v>
      </c>
      <c r="J1567">
        <v>-215.4572</v>
      </c>
      <c r="K1567">
        <v>1.119845</v>
      </c>
      <c r="L1567">
        <v>367.88679999999999</v>
      </c>
      <c r="M1567">
        <v>0.99989729999999999</v>
      </c>
      <c r="N1567">
        <v>-1.386009E-2</v>
      </c>
      <c r="O1567">
        <v>-3.649855E-3</v>
      </c>
      <c r="P1567">
        <v>0.98924049999999997</v>
      </c>
      <c r="Q1567">
        <v>-0.1220854</v>
      </c>
      <c r="R1567">
        <v>-8.0613899999999905E-2</v>
      </c>
      <c r="S1567">
        <v>2.9664609999999998</v>
      </c>
      <c r="T1567">
        <v>-0.24046020000000001</v>
      </c>
      <c r="U1567">
        <v>-0.45480350000000003</v>
      </c>
      <c r="V1567">
        <v>7.6702510000000002E-2</v>
      </c>
      <c r="W1567">
        <v>-0.1085711</v>
      </c>
      <c r="X1567">
        <v>0.99112509999999998</v>
      </c>
      <c r="Y1567">
        <v>0.14738860000000001</v>
      </c>
      <c r="Z1567">
        <v>-6.7152790000000002E-3</v>
      </c>
      <c r="AA1567">
        <v>0.98905589999999999</v>
      </c>
      <c r="AB1567">
        <v>18</v>
      </c>
      <c r="AC1567">
        <v>13.6845999999999</v>
      </c>
      <c r="AD1567">
        <v>-1.1198470671</v>
      </c>
      <c r="AE1567">
        <v>-2.1162999999999599</v>
      </c>
      <c r="AF1567">
        <v>2.05290793704537</v>
      </c>
      <c r="AG1567">
        <v>-1.1198470671</v>
      </c>
      <c r="AH1567">
        <v>13.6032661283274</v>
      </c>
      <c r="AI1567">
        <v>94.653628385358601</v>
      </c>
      <c r="AJ1567">
        <v>81.418088572145606</v>
      </c>
      <c r="AK1567">
        <v>13.802801810131699</v>
      </c>
      <c r="AL1567">
        <v>96.232952541413894</v>
      </c>
      <c r="AM1567">
        <v>85.574738256018705</v>
      </c>
      <c r="AN1567">
        <v>0.99999996132275903</v>
      </c>
    </row>
    <row r="1568" spans="1:40" x14ac:dyDescent="0.25">
      <c r="A1568" t="str">
        <f>"20190303154126109"</f>
        <v>20190303154126109</v>
      </c>
      <c r="B1568" t="str">
        <f>"1551598886100752"</f>
        <v>1551598886100752</v>
      </c>
      <c r="C1568" t="s">
        <v>40</v>
      </c>
      <c r="D1568">
        <v>6.2168710000000003</v>
      </c>
      <c r="E1568">
        <v>0.52796369999999904</v>
      </c>
      <c r="F1568" t="s">
        <v>44</v>
      </c>
      <c r="G1568">
        <v>-201.93510000000001</v>
      </c>
      <c r="H1568" s="1">
        <v>-2.162843E-6</v>
      </c>
      <c r="I1568">
        <v>365.77229999999997</v>
      </c>
      <c r="J1568">
        <v>-215.3039</v>
      </c>
      <c r="K1568">
        <v>1.119764</v>
      </c>
      <c r="L1568">
        <v>367.8843</v>
      </c>
      <c r="M1568">
        <v>0.99988909999999998</v>
      </c>
      <c r="N1568">
        <v>-1.3893859999999999E-2</v>
      </c>
      <c r="O1568">
        <v>-5.3591180000000004E-3</v>
      </c>
      <c r="P1568">
        <v>0.98841849999999998</v>
      </c>
      <c r="Q1568">
        <v>-0.1236872</v>
      </c>
      <c r="R1568">
        <v>-8.7923189999999998E-2</v>
      </c>
      <c r="S1568">
        <v>2.964569</v>
      </c>
      <c r="T1568">
        <v>-0.24551439999999999</v>
      </c>
      <c r="U1568">
        <v>-0.46359250000000002</v>
      </c>
      <c r="V1568">
        <v>8.2300219999999993E-2</v>
      </c>
      <c r="W1568">
        <v>-0.11017879999999999</v>
      </c>
      <c r="X1568">
        <v>0.99049849999999995</v>
      </c>
      <c r="Y1568">
        <v>0.14863309999999999</v>
      </c>
      <c r="Z1568">
        <v>-6.7815920000000003E-3</v>
      </c>
      <c r="AA1568">
        <v>0.98886909999999895</v>
      </c>
      <c r="AB1568">
        <v>18</v>
      </c>
      <c r="AC1568">
        <v>13.368799999999901</v>
      </c>
      <c r="AD1568">
        <v>-1.119766162843</v>
      </c>
      <c r="AE1568">
        <v>-2.1120000000000201</v>
      </c>
      <c r="AF1568">
        <v>2.02644704589017</v>
      </c>
      <c r="AG1568">
        <v>-1.119766162843</v>
      </c>
      <c r="AH1568">
        <v>13.288966554372401</v>
      </c>
      <c r="AI1568">
        <v>94.761739684813193</v>
      </c>
      <c r="AJ1568">
        <v>81.329705661898402</v>
      </c>
      <c r="AK1568">
        <v>13.489143633769901</v>
      </c>
      <c r="AL1568">
        <v>96.325622791471105</v>
      </c>
      <c r="AM1568">
        <v>85.250221664914406</v>
      </c>
      <c r="AN1568">
        <v>0.99999998634186904</v>
      </c>
    </row>
    <row r="1569" spans="1:40" x14ac:dyDescent="0.25">
      <c r="A1569" t="str">
        <f>"20190303154126126"</f>
        <v>20190303154126126</v>
      </c>
      <c r="B1569" t="str">
        <f>"1551598886121247"</f>
        <v>1551598886121247</v>
      </c>
      <c r="C1569" t="s">
        <v>40</v>
      </c>
      <c r="D1569">
        <v>6.1031459999999997</v>
      </c>
      <c r="E1569">
        <v>0.55517179999999999</v>
      </c>
      <c r="F1569" t="s">
        <v>44</v>
      </c>
      <c r="G1569">
        <v>-202.0462</v>
      </c>
      <c r="H1569" s="1">
        <v>-2.246047E-6</v>
      </c>
      <c r="I1569">
        <v>365.70679999999999</v>
      </c>
      <c r="J1569">
        <v>-215.1688</v>
      </c>
      <c r="K1569">
        <v>1.1197090000000001</v>
      </c>
      <c r="L1569">
        <v>367.88170000000002</v>
      </c>
      <c r="M1569">
        <v>0.99987899999999996</v>
      </c>
      <c r="N1569">
        <v>-1.392055E-2</v>
      </c>
      <c r="O1569">
        <v>-6.956879E-3</v>
      </c>
      <c r="P1569">
        <v>0.98794340000000003</v>
      </c>
      <c r="Q1569">
        <v>-0.1243749</v>
      </c>
      <c r="R1569">
        <v>-9.2189499999999994E-2</v>
      </c>
      <c r="S1569">
        <v>2.9605869999999999</v>
      </c>
      <c r="T1569">
        <v>-0.25005749999999999</v>
      </c>
      <c r="U1569">
        <v>-0.48626710000000001</v>
      </c>
      <c r="V1569">
        <v>8.4972590000000001E-2</v>
      </c>
      <c r="W1569">
        <v>-0.1108639</v>
      </c>
      <c r="X1569">
        <v>0.99019630000000003</v>
      </c>
      <c r="Y1569">
        <v>0.15459619999999999</v>
      </c>
      <c r="Z1569">
        <v>-7.072938E-3</v>
      </c>
      <c r="AA1569">
        <v>0.98795239999999995</v>
      </c>
      <c r="AB1569">
        <v>18</v>
      </c>
      <c r="AC1569">
        <v>13.1226</v>
      </c>
      <c r="AD1569">
        <v>-1.119711246047</v>
      </c>
      <c r="AE1569">
        <v>-2.1749000000000298</v>
      </c>
      <c r="AF1569">
        <v>2.0688859690125101</v>
      </c>
      <c r="AG1569">
        <v>-1.119711246047</v>
      </c>
      <c r="AH1569">
        <v>13.0449771141427</v>
      </c>
      <c r="AI1569">
        <v>94.845670456206307</v>
      </c>
      <c r="AJ1569">
        <v>80.988155070263304</v>
      </c>
      <c r="AK1569">
        <v>13.2553940090745</v>
      </c>
      <c r="AL1569">
        <v>96.365118456218397</v>
      </c>
      <c r="AM1569">
        <v>85.095242677235603</v>
      </c>
      <c r="AN1569">
        <v>0.99999992895410095</v>
      </c>
    </row>
    <row r="1570" spans="1:40" x14ac:dyDescent="0.25">
      <c r="A1570" t="str">
        <f>"20190303154126142"</f>
        <v>20190303154126142</v>
      </c>
      <c r="B1570" t="str">
        <f>"1551598886131007"</f>
        <v>1551598886131007</v>
      </c>
      <c r="C1570" t="s">
        <v>40</v>
      </c>
      <c r="D1570">
        <v>6.1340859999999999</v>
      </c>
      <c r="E1570">
        <v>0.55517179999999999</v>
      </c>
      <c r="F1570" t="s">
        <v>44</v>
      </c>
      <c r="G1570">
        <v>-205.57060000000001</v>
      </c>
      <c r="H1570" s="1">
        <v>-4.1250240000000001E-6</v>
      </c>
      <c r="I1570">
        <v>365.5378</v>
      </c>
      <c r="J1570">
        <v>-215.03710000000001</v>
      </c>
      <c r="K1570">
        <v>1.119667</v>
      </c>
      <c r="L1570">
        <v>367.87889999999999</v>
      </c>
      <c r="M1570">
        <v>0.99986600000000003</v>
      </c>
      <c r="N1570">
        <v>-1.3944089999999999E-2</v>
      </c>
      <c r="O1570">
        <v>-8.5863680000000005E-3</v>
      </c>
      <c r="P1570">
        <v>0.98726639999999999</v>
      </c>
      <c r="Q1570">
        <v>-0.12462719999999999</v>
      </c>
      <c r="R1570">
        <v>-9.8859619999999995E-2</v>
      </c>
      <c r="S1570">
        <v>2.9269099999999999</v>
      </c>
      <c r="T1570">
        <v>-0.34144950000000002</v>
      </c>
      <c r="U1570">
        <v>-0.71475219999999995</v>
      </c>
      <c r="V1570">
        <v>9.0023710000000007E-2</v>
      </c>
      <c r="W1570">
        <v>-0.1111253</v>
      </c>
      <c r="X1570">
        <v>0.98972059999999995</v>
      </c>
      <c r="Y1570">
        <v>0.22728370000000001</v>
      </c>
      <c r="Z1570">
        <v>-1.37704E-2</v>
      </c>
      <c r="AA1570">
        <v>0.97373120000000002</v>
      </c>
      <c r="AB1570">
        <v>18</v>
      </c>
      <c r="AC1570">
        <v>9.4664999999999893</v>
      </c>
      <c r="AD1570">
        <v>-1.1196711250239999</v>
      </c>
      <c r="AE1570">
        <v>-2.34109999999998</v>
      </c>
      <c r="AF1570">
        <v>2.2303201271383499</v>
      </c>
      <c r="AG1570">
        <v>-1.1196711250239999</v>
      </c>
      <c r="AH1570">
        <v>9.3628222940538706</v>
      </c>
      <c r="AI1570">
        <v>96.635500515460095</v>
      </c>
      <c r="AJ1570">
        <v>76.601266885578895</v>
      </c>
      <c r="AK1570">
        <v>9.6897075604872196</v>
      </c>
      <c r="AL1570">
        <v>96.380188344372996</v>
      </c>
      <c r="AM1570">
        <v>84.802751388052997</v>
      </c>
      <c r="AN1570">
        <v>0.99999998336330598</v>
      </c>
    </row>
    <row r="1571" spans="1:40" x14ac:dyDescent="0.25">
      <c r="A1571" t="str">
        <f>"20190303154126157"</f>
        <v>20190303154126157</v>
      </c>
      <c r="B1571" t="str">
        <f>"1551598886150527"</f>
        <v>1551598886150527</v>
      </c>
      <c r="C1571" t="s">
        <v>40</v>
      </c>
      <c r="D1571">
        <v>6.2021860000000002</v>
      </c>
      <c r="E1571">
        <v>0.608529599999999</v>
      </c>
      <c r="F1571" t="s">
        <v>44</v>
      </c>
      <c r="G1571">
        <v>-205.47919999999999</v>
      </c>
      <c r="H1571" s="1">
        <v>-4.0964180000000004E-6</v>
      </c>
      <c r="I1571">
        <v>365.47489999999999</v>
      </c>
      <c r="J1571">
        <v>-214.91720000000001</v>
      </c>
      <c r="K1571">
        <v>1.1196349999999999</v>
      </c>
      <c r="L1571">
        <v>367.87610000000001</v>
      </c>
      <c r="M1571">
        <v>0.9998513</v>
      </c>
      <c r="N1571">
        <v>-1.39636E-2</v>
      </c>
      <c r="O1571">
        <v>-1.012118E-2</v>
      </c>
      <c r="P1571">
        <v>0.9869386</v>
      </c>
      <c r="Q1571">
        <v>-0.1243534</v>
      </c>
      <c r="R1571">
        <v>-0.10241400000000001</v>
      </c>
      <c r="S1571">
        <v>2.9218899999999999</v>
      </c>
      <c r="T1571">
        <v>-0.34228890000000001</v>
      </c>
      <c r="U1571">
        <v>-0.73492429999999997</v>
      </c>
      <c r="V1571">
        <v>9.2055670000000006E-2</v>
      </c>
      <c r="W1571">
        <v>-0.1108488</v>
      </c>
      <c r="X1571">
        <v>0.98956469999999996</v>
      </c>
      <c r="Y1571">
        <v>0.2324649</v>
      </c>
      <c r="Z1571">
        <v>-1.3993149999999999E-2</v>
      </c>
      <c r="AA1571">
        <v>0.97250409999999998</v>
      </c>
      <c r="AB1571">
        <v>18</v>
      </c>
      <c r="AC1571">
        <v>9.4380000000000095</v>
      </c>
      <c r="AD1571">
        <v>-1.1196390964180001</v>
      </c>
      <c r="AE1571">
        <v>-2.40120000000001</v>
      </c>
      <c r="AF1571">
        <v>2.2754674390160701</v>
      </c>
      <c r="AG1571">
        <v>-1.1196390964180001</v>
      </c>
      <c r="AH1571">
        <v>9.3383894277932793</v>
      </c>
      <c r="AI1571">
        <v>96.644328533241094</v>
      </c>
      <c r="AJ1571">
        <v>76.305713418633999</v>
      </c>
      <c r="AK1571">
        <v>9.6766141225829294</v>
      </c>
      <c r="AL1571">
        <v>96.364247475634102</v>
      </c>
      <c r="AM1571">
        <v>84.685274097239599</v>
      </c>
      <c r="AN1571">
        <v>0.99999999916333904</v>
      </c>
    </row>
    <row r="1572" spans="1:40" x14ac:dyDescent="0.25">
      <c r="A1572" t="str">
        <f>"20190303154126170"</f>
        <v>20190303154126170</v>
      </c>
      <c r="B1572" t="str">
        <f>"1551598886161265"</f>
        <v>1551598886161265</v>
      </c>
      <c r="C1572" t="s">
        <v>40</v>
      </c>
      <c r="D1572">
        <v>6.1999089999999999</v>
      </c>
      <c r="E1572">
        <v>0.60996149999999905</v>
      </c>
      <c r="F1572" t="s">
        <v>44</v>
      </c>
      <c r="G1572">
        <v>-206.3484</v>
      </c>
      <c r="H1572" s="1">
        <v>-4.7418960000000002E-6</v>
      </c>
      <c r="I1572">
        <v>364.3897</v>
      </c>
      <c r="J1572">
        <v>-214.8117</v>
      </c>
      <c r="K1572">
        <v>1.119615</v>
      </c>
      <c r="L1572">
        <v>367.8734</v>
      </c>
      <c r="M1572">
        <v>0.99983599999999995</v>
      </c>
      <c r="N1572">
        <v>-1.397866E-2</v>
      </c>
      <c r="O1572">
        <v>-1.152708E-2</v>
      </c>
      <c r="P1572">
        <v>0.98660680000000001</v>
      </c>
      <c r="Q1572">
        <v>-0.12393319999999999</v>
      </c>
      <c r="R1572">
        <v>-0.1060577</v>
      </c>
      <c r="S1572">
        <v>2.871216</v>
      </c>
      <c r="T1572">
        <v>-0.37516379999999999</v>
      </c>
      <c r="U1572">
        <v>-1.1682129999999999</v>
      </c>
      <c r="V1572">
        <v>9.430906E-2</v>
      </c>
      <c r="W1572">
        <v>-0.1104285</v>
      </c>
      <c r="X1572">
        <v>0.98939949999999999</v>
      </c>
      <c r="Y1572">
        <v>0.36326459999999999</v>
      </c>
      <c r="Z1572">
        <v>-2.4097170000000001E-2</v>
      </c>
      <c r="AA1572">
        <v>0.93137440000000005</v>
      </c>
      <c r="AB1572">
        <v>18</v>
      </c>
      <c r="AC1572">
        <v>8.4633000000000003</v>
      </c>
      <c r="AD1572">
        <v>-1.1196197418960001</v>
      </c>
      <c r="AE1572">
        <v>-3.48369999999999</v>
      </c>
      <c r="AF1572">
        <v>3.3359779060516201</v>
      </c>
      <c r="AG1572">
        <v>-1.1196197418960001</v>
      </c>
      <c r="AH1572">
        <v>8.3775261342232596</v>
      </c>
      <c r="AI1572">
        <v>97.077822551763404</v>
      </c>
      <c r="AJ1572">
        <v>68.287275458218701</v>
      </c>
      <c r="AK1572">
        <v>9.0865417561194093</v>
      </c>
      <c r="AL1572">
        <v>96.340017224407205</v>
      </c>
      <c r="AM1572">
        <v>84.555046103849406</v>
      </c>
      <c r="AN1572">
        <v>1.0000000115052901</v>
      </c>
    </row>
    <row r="1573" spans="1:40" x14ac:dyDescent="0.25">
      <c r="A1573" t="str">
        <f>"20190303154126190"</f>
        <v>20190303154126190</v>
      </c>
      <c r="B1573" t="str">
        <f>"1551598886180783"</f>
        <v>1551598886180783</v>
      </c>
      <c r="C1573" t="s">
        <v>40</v>
      </c>
      <c r="D1573">
        <v>6.1590600000000002</v>
      </c>
      <c r="E1573">
        <v>0.61180840000000003</v>
      </c>
      <c r="F1573" t="s">
        <v>44</v>
      </c>
      <c r="G1573">
        <v>-206.55510000000001</v>
      </c>
      <c r="H1573" s="1">
        <v>-4.8266060000000003E-6</v>
      </c>
      <c r="I1573">
        <v>364.44189999999998</v>
      </c>
      <c r="J1573">
        <v>-214.65029999999999</v>
      </c>
      <c r="K1573">
        <v>1.1195919999999999</v>
      </c>
      <c r="L1573">
        <v>367.86900000000003</v>
      </c>
      <c r="M1573">
        <v>0.99980780000000002</v>
      </c>
      <c r="N1573">
        <v>-1.399941E-2</v>
      </c>
      <c r="O1573">
        <v>-1.372747E-2</v>
      </c>
      <c r="P1573">
        <v>0.9856104</v>
      </c>
      <c r="Q1573">
        <v>-0.1240011</v>
      </c>
      <c r="R1573">
        <v>-0.1148752</v>
      </c>
      <c r="S1573">
        <v>2.8639830000000002</v>
      </c>
      <c r="T1573">
        <v>-0.38836480000000001</v>
      </c>
      <c r="U1573">
        <v>-1.1903079999999999</v>
      </c>
      <c r="V1573">
        <v>0.1009581</v>
      </c>
      <c r="W1573">
        <v>-0.1105138</v>
      </c>
      <c r="X1573">
        <v>0.98873359999999999</v>
      </c>
      <c r="Y1573">
        <v>0.36795080000000002</v>
      </c>
      <c r="Z1573">
        <v>-2.4952080000000001E-2</v>
      </c>
      <c r="AA1573">
        <v>0.92951039999999996</v>
      </c>
      <c r="AB1573">
        <v>18</v>
      </c>
      <c r="AC1573">
        <v>8.09519999999997</v>
      </c>
      <c r="AD1573">
        <v>-1.1195968266059999</v>
      </c>
      <c r="AE1573">
        <v>-3.42710000000005</v>
      </c>
      <c r="AF1573">
        <v>3.2627157452335598</v>
      </c>
      <c r="AG1573">
        <v>-1.1195968266059999</v>
      </c>
      <c r="AH1573">
        <v>8.0115338335131092</v>
      </c>
      <c r="AI1573">
        <v>97.374607016398002</v>
      </c>
      <c r="AJ1573">
        <v>67.841275488028103</v>
      </c>
      <c r="AK1573">
        <v>8.7225847920135795</v>
      </c>
      <c r="AL1573">
        <v>96.344934822064701</v>
      </c>
      <c r="AM1573">
        <v>84.169820245669996</v>
      </c>
      <c r="AN1573">
        <v>0.99999998485750397</v>
      </c>
    </row>
    <row r="1574" spans="1:40" x14ac:dyDescent="0.25">
      <c r="A1574" t="str">
        <f>"20190303154126222"</f>
        <v>20190303154126222</v>
      </c>
      <c r="B1574" t="str">
        <f>"1551598886211039"</f>
        <v>1551598886211039</v>
      </c>
      <c r="C1574" t="s">
        <v>40</v>
      </c>
      <c r="D1574">
        <v>6.1884370000000004</v>
      </c>
      <c r="E1574">
        <v>0.61299110000000001</v>
      </c>
      <c r="F1574" t="s">
        <v>44</v>
      </c>
      <c r="G1574">
        <v>-206.59989999999999</v>
      </c>
      <c r="H1574" s="1">
        <v>-4.8578899999999998E-6</v>
      </c>
      <c r="I1574">
        <v>364.39510000000001</v>
      </c>
      <c r="J1574">
        <v>-214.38839999999999</v>
      </c>
      <c r="K1574">
        <v>1.119591</v>
      </c>
      <c r="L1574">
        <v>367.86079999999998</v>
      </c>
      <c r="M1574">
        <v>0.99974949999999996</v>
      </c>
      <c r="N1574">
        <v>-1.40269E-2</v>
      </c>
      <c r="O1574">
        <v>-1.743894E-2</v>
      </c>
      <c r="P1574">
        <v>0.9844096</v>
      </c>
      <c r="Q1574">
        <v>-0.12249930000000001</v>
      </c>
      <c r="R1574">
        <v>-0.1262218</v>
      </c>
      <c r="S1574">
        <v>2.8505400000000001</v>
      </c>
      <c r="T1574">
        <v>-0.39643820000000002</v>
      </c>
      <c r="U1574">
        <v>-1.2300719999999901</v>
      </c>
      <c r="V1574">
        <v>0.1086572</v>
      </c>
      <c r="W1574">
        <v>-0.1090267</v>
      </c>
      <c r="X1574">
        <v>0.98808229999999997</v>
      </c>
      <c r="Y1574">
        <v>0.37683870000000003</v>
      </c>
      <c r="Z1574">
        <v>-2.5672070000000002E-2</v>
      </c>
      <c r="AA1574">
        <v>0.92592300000000005</v>
      </c>
      <c r="AB1574">
        <v>18</v>
      </c>
      <c r="AC1574">
        <v>7.7884999999999902</v>
      </c>
      <c r="AD1574">
        <v>-1.1195958578899901</v>
      </c>
      <c r="AE1574">
        <v>-3.4656999999999698</v>
      </c>
      <c r="AF1574">
        <v>3.2728833032559601</v>
      </c>
      <c r="AG1574">
        <v>-1.1195958578899901</v>
      </c>
      <c r="AH1574">
        <v>7.7146909932159398</v>
      </c>
      <c r="AI1574">
        <v>97.609637305902098</v>
      </c>
      <c r="AJ1574">
        <v>67.011383310763193</v>
      </c>
      <c r="AK1574">
        <v>8.4546861043177302</v>
      </c>
      <c r="AL1574">
        <v>96.259212643700806</v>
      </c>
      <c r="AM1574">
        <v>83.724526489736903</v>
      </c>
      <c r="AN1574">
        <v>0.99999991999900595</v>
      </c>
    </row>
    <row r="1575" spans="1:40" x14ac:dyDescent="0.25">
      <c r="A1575" t="str">
        <f>"20190303154126243"</f>
        <v>20190303154126243</v>
      </c>
      <c r="B1575" t="str">
        <f>"1551598886240320"</f>
        <v>1551598886240320</v>
      </c>
      <c r="C1575" t="s">
        <v>40</v>
      </c>
      <c r="D1575">
        <v>5.4809169999999998</v>
      </c>
      <c r="E1575">
        <v>0.62095590000000001</v>
      </c>
      <c r="F1575" t="s">
        <v>44</v>
      </c>
      <c r="G1575">
        <v>-206.36590000000001</v>
      </c>
      <c r="H1575" s="1">
        <v>-4.7786999999999997E-6</v>
      </c>
      <c r="I1575">
        <v>364.26060000000001</v>
      </c>
      <c r="J1575">
        <v>-214.2166</v>
      </c>
      <c r="K1575">
        <v>1.119599</v>
      </c>
      <c r="L1575">
        <v>367.85480000000001</v>
      </c>
      <c r="M1575">
        <v>0.99970239999999999</v>
      </c>
      <c r="N1575">
        <v>-1.404157E-2</v>
      </c>
      <c r="O1575">
        <v>-1.9950450000000002E-2</v>
      </c>
      <c r="P1575">
        <v>0.98401709999999998</v>
      </c>
      <c r="Q1575">
        <v>-0.11867510000000001</v>
      </c>
      <c r="R1575">
        <v>-0.13276689999999999</v>
      </c>
      <c r="S1575">
        <v>2.8351139999999999</v>
      </c>
      <c r="T1575">
        <v>-0.3956616</v>
      </c>
      <c r="U1575">
        <v>-1.272308</v>
      </c>
      <c r="V1575">
        <v>0.1127407</v>
      </c>
      <c r="W1575">
        <v>-0.10520549999999999</v>
      </c>
      <c r="X1575">
        <v>0.98803909999999995</v>
      </c>
      <c r="Y1575">
        <v>0.3877853</v>
      </c>
      <c r="Z1575">
        <v>-2.6194189999999999E-2</v>
      </c>
      <c r="AA1575">
        <v>0.92137749999999996</v>
      </c>
      <c r="AB1575">
        <v>18</v>
      </c>
      <c r="AC1575">
        <v>7.8506999999999802</v>
      </c>
      <c r="AD1575">
        <v>-1.1196037786999999</v>
      </c>
      <c r="AE1575">
        <v>-3.5941999999999998</v>
      </c>
      <c r="AF1575">
        <v>3.3800125726261401</v>
      </c>
      <c r="AG1575">
        <v>-1.1196037786999999</v>
      </c>
      <c r="AH1575">
        <v>7.7898713225771301</v>
      </c>
      <c r="AI1575">
        <v>97.511067787129406</v>
      </c>
      <c r="AJ1575">
        <v>66.544056049434005</v>
      </c>
      <c r="AK1575">
        <v>8.5650506615372493</v>
      </c>
      <c r="AL1575">
        <v>96.039006644363496</v>
      </c>
      <c r="AM1575">
        <v>83.490390592138894</v>
      </c>
      <c r="AN1575">
        <v>0.99999996289777404</v>
      </c>
    </row>
    <row r="1576" spans="1:40" x14ac:dyDescent="0.25">
      <c r="A1576" t="str">
        <f>"20190303154126265"</f>
        <v>20190303154126265</v>
      </c>
      <c r="B1576" t="str">
        <f>"1551598886260816"</f>
        <v>1551598886260816</v>
      </c>
      <c r="C1576" t="s">
        <v>40</v>
      </c>
      <c r="D1576">
        <v>6.1523839999999996</v>
      </c>
      <c r="E1576">
        <v>0.62330129999999995</v>
      </c>
      <c r="F1576" t="s">
        <v>44</v>
      </c>
      <c r="G1576">
        <v>-204.3075</v>
      </c>
      <c r="H1576" s="1">
        <v>-4.0497009999999998E-6</v>
      </c>
      <c r="I1576">
        <v>363.1071</v>
      </c>
      <c r="J1576">
        <v>-214.05179999999999</v>
      </c>
      <c r="K1576">
        <v>1.119599</v>
      </c>
      <c r="L1576">
        <v>367.8485</v>
      </c>
      <c r="M1576">
        <v>0.99965040000000005</v>
      </c>
      <c r="N1576">
        <v>-1.4053390000000001E-2</v>
      </c>
      <c r="O1576">
        <v>-2.240033E-2</v>
      </c>
      <c r="P1576">
        <v>0.98336239999999997</v>
      </c>
      <c r="Q1576">
        <v>-0.1170397</v>
      </c>
      <c r="R1576">
        <v>-0.13892570000000001</v>
      </c>
      <c r="S1576">
        <v>2.827423</v>
      </c>
      <c r="T1576">
        <v>-0.31946239999999998</v>
      </c>
      <c r="U1576">
        <v>-1.3546750000000001</v>
      </c>
      <c r="V1576">
        <v>0.11649900000000001</v>
      </c>
      <c r="W1576">
        <v>-0.103577</v>
      </c>
      <c r="X1576">
        <v>0.98777510000000002</v>
      </c>
      <c r="Y1576">
        <v>0.40943740000000001</v>
      </c>
      <c r="Z1576">
        <v>-2.2818970000000001E-2</v>
      </c>
      <c r="AA1576">
        <v>0.9120528</v>
      </c>
      <c r="AB1576">
        <v>18</v>
      </c>
      <c r="AC1576">
        <v>9.7442999999999795</v>
      </c>
      <c r="AD1576">
        <v>-1.1196030497010001</v>
      </c>
      <c r="AE1576">
        <v>-4.7413999999999898</v>
      </c>
      <c r="AF1576">
        <v>4.4741543735743701</v>
      </c>
      <c r="AG1576">
        <v>-1.1196030497010001</v>
      </c>
      <c r="AH1576">
        <v>9.7440625261464593</v>
      </c>
      <c r="AI1576">
        <v>95.9611934230321</v>
      </c>
      <c r="AJ1576">
        <v>65.336962527887906</v>
      </c>
      <c r="AK1576">
        <v>10.7804602341888</v>
      </c>
      <c r="AL1576">
        <v>95.945188052107994</v>
      </c>
      <c r="AM1576">
        <v>83.2735625629835</v>
      </c>
      <c r="AN1576">
        <v>0.99999993005500198</v>
      </c>
    </row>
    <row r="1577" spans="1:40" x14ac:dyDescent="0.25">
      <c r="A1577" t="str">
        <f>"20190303154126288"</f>
        <v>20190303154126288</v>
      </c>
      <c r="B1577" t="str">
        <f>"1551598886280338"</f>
        <v>1551598886280338</v>
      </c>
      <c r="C1577" t="s">
        <v>40</v>
      </c>
      <c r="D1577">
        <v>6.1447580000000004</v>
      </c>
      <c r="E1577">
        <v>0.62186030000000003</v>
      </c>
      <c r="F1577" t="s">
        <v>44</v>
      </c>
      <c r="G1577">
        <v>-203.4366</v>
      </c>
      <c r="H1577" s="1">
        <v>-3.7214489999999999E-6</v>
      </c>
      <c r="I1577">
        <v>362.61099999999999</v>
      </c>
      <c r="J1577">
        <v>-213.86760000000001</v>
      </c>
      <c r="K1577">
        <v>1.1195999999999999</v>
      </c>
      <c r="L1577">
        <v>367.84109999999998</v>
      </c>
      <c r="M1577">
        <v>0.99958409999999998</v>
      </c>
      <c r="N1577">
        <v>-1.4064139999999999E-2</v>
      </c>
      <c r="O1577">
        <v>-2.5184649999999999E-2</v>
      </c>
      <c r="P1577">
        <v>0.98238239999999999</v>
      </c>
      <c r="Q1577">
        <v>-0.1173614</v>
      </c>
      <c r="R1577">
        <v>-0.1454376</v>
      </c>
      <c r="S1577">
        <v>2.8188780000000002</v>
      </c>
      <c r="T1577">
        <v>-0.29731069999999998</v>
      </c>
      <c r="U1577">
        <v>-1.3908389999999999</v>
      </c>
      <c r="V1577">
        <v>0.120283399999999</v>
      </c>
      <c r="W1577">
        <v>-0.1039096</v>
      </c>
      <c r="X1577">
        <v>0.98728649999999996</v>
      </c>
      <c r="Y1577">
        <v>0.41767559999999898</v>
      </c>
      <c r="Z1577">
        <v>-2.1716490000000001E-2</v>
      </c>
      <c r="AA1577">
        <v>0.9083367</v>
      </c>
      <c r="AB1577">
        <v>18</v>
      </c>
      <c r="AC1577">
        <v>10.430999999999999</v>
      </c>
      <c r="AD1577">
        <v>-1.119603721449</v>
      </c>
      <c r="AE1577">
        <v>-5.2300999999999904</v>
      </c>
      <c r="AF1577">
        <v>4.9204154664723898</v>
      </c>
      <c r="AG1577">
        <v>-1.119603721449</v>
      </c>
      <c r="AH1577">
        <v>10.4630967581205</v>
      </c>
      <c r="AI1577">
        <v>95.530834554968393</v>
      </c>
      <c r="AJ1577">
        <v>64.814097610957901</v>
      </c>
      <c r="AK1577">
        <v>11.6163847485169</v>
      </c>
      <c r="AL1577">
        <v>95.964347792681806</v>
      </c>
      <c r="AM1577">
        <v>83.053755511805093</v>
      </c>
      <c r="AN1577">
        <v>0.99999996718498396</v>
      </c>
    </row>
    <row r="1578" spans="1:40" x14ac:dyDescent="0.25">
      <c r="A1578" t="str">
        <f>"20190303154126310"</f>
        <v>20190303154126310</v>
      </c>
      <c r="B1578" t="str">
        <f>"1551598886300831"</f>
        <v>1551598886300831</v>
      </c>
      <c r="C1578" t="s">
        <v>40</v>
      </c>
      <c r="D1578">
        <v>6.1231530000000003</v>
      </c>
      <c r="E1578">
        <v>0.62082930000000003</v>
      </c>
      <c r="F1578" t="s">
        <v>44</v>
      </c>
      <c r="G1578">
        <v>-203.67189999999999</v>
      </c>
      <c r="H1578" s="1">
        <v>-3.8047460000000002E-6</v>
      </c>
      <c r="I1578">
        <v>362.76940000000002</v>
      </c>
      <c r="J1578">
        <v>-213.68440000000001</v>
      </c>
      <c r="K1578">
        <v>1.1195999999999999</v>
      </c>
      <c r="L1578">
        <v>367.8331</v>
      </c>
      <c r="M1578">
        <v>0.99950899999999998</v>
      </c>
      <c r="N1578">
        <v>-1.4072690000000001E-2</v>
      </c>
      <c r="O1578">
        <v>-2.799716E-2</v>
      </c>
      <c r="P1578">
        <v>0.98160950000000002</v>
      </c>
      <c r="Q1578">
        <v>-0.1156749</v>
      </c>
      <c r="R1578">
        <v>-0.15186329999999901</v>
      </c>
      <c r="S1578">
        <v>2.8099669999999999</v>
      </c>
      <c r="T1578">
        <v>-0.30856869999999997</v>
      </c>
      <c r="U1578">
        <v>-1.3977660000000001</v>
      </c>
      <c r="V1578">
        <v>0.1239594</v>
      </c>
      <c r="W1578">
        <v>-0.1022322</v>
      </c>
      <c r="X1578">
        <v>0.98700690000000002</v>
      </c>
      <c r="Y1578">
        <v>0.41791460000000002</v>
      </c>
      <c r="Z1578">
        <v>-2.2215249999999999E-2</v>
      </c>
      <c r="AA1578">
        <v>0.90821459999999998</v>
      </c>
      <c r="AB1578">
        <v>18</v>
      </c>
      <c r="AC1578">
        <v>10.012499999999999</v>
      </c>
      <c r="AD1578">
        <v>-1.119603804746</v>
      </c>
      <c r="AE1578">
        <v>-5.0636999999999803</v>
      </c>
      <c r="AF1578">
        <v>4.7342261303444504</v>
      </c>
      <c r="AG1578">
        <v>-1.119603804746</v>
      </c>
      <c r="AH1578">
        <v>10.050285797917899</v>
      </c>
      <c r="AI1578">
        <v>95.754775180235796</v>
      </c>
      <c r="AJ1578">
        <v>64.777037821937796</v>
      </c>
      <c r="AK1578">
        <v>11.165780507992601</v>
      </c>
      <c r="AL1578">
        <v>95.8677251033358</v>
      </c>
      <c r="AM1578">
        <v>82.841632856787598</v>
      </c>
      <c r="AN1578">
        <v>0.999999988106404</v>
      </c>
    </row>
    <row r="1579" spans="1:40" x14ac:dyDescent="0.25">
      <c r="A1579" t="str">
        <f>"20190303154126332"</f>
        <v>20190303154126332</v>
      </c>
      <c r="B1579" t="str">
        <f>"1551598886320351"</f>
        <v>1551598886320351</v>
      </c>
      <c r="C1579" t="s">
        <v>40</v>
      </c>
      <c r="D1579">
        <v>6.1588750000000001</v>
      </c>
      <c r="E1579">
        <v>0.61975649999999904</v>
      </c>
      <c r="F1579" t="s">
        <v>44</v>
      </c>
      <c r="G1579">
        <v>-203.6053</v>
      </c>
      <c r="H1579" s="1">
        <v>-3.7716910000000002E-6</v>
      </c>
      <c r="I1579">
        <v>362.7672</v>
      </c>
      <c r="J1579">
        <v>-213.5129</v>
      </c>
      <c r="K1579">
        <v>1.119615</v>
      </c>
      <c r="L1579">
        <v>367.82499999999999</v>
      </c>
      <c r="M1579">
        <v>0.99943040000000005</v>
      </c>
      <c r="N1579">
        <v>-1.407919E-2</v>
      </c>
      <c r="O1579">
        <v>-3.067282E-2</v>
      </c>
      <c r="P1579">
        <v>0.98092999999999997</v>
      </c>
      <c r="Q1579">
        <v>-0.11428239999999899</v>
      </c>
      <c r="R1579">
        <v>-0.15721299999999999</v>
      </c>
      <c r="S1579">
        <v>2.801682</v>
      </c>
      <c r="T1579">
        <v>-0.31121579999999999</v>
      </c>
      <c r="U1579">
        <v>-1.408142</v>
      </c>
      <c r="V1579">
        <v>0.126693</v>
      </c>
      <c r="W1579">
        <v>-0.1008468</v>
      </c>
      <c r="X1579">
        <v>0.98680230000000002</v>
      </c>
      <c r="Y1579">
        <v>0.41920560000000001</v>
      </c>
      <c r="Z1579">
        <v>-2.22486E-2</v>
      </c>
      <c r="AA1579">
        <v>0.9076187</v>
      </c>
      <c r="AB1579">
        <v>18</v>
      </c>
      <c r="AC1579">
        <v>9.9076000000000004</v>
      </c>
      <c r="AD1579">
        <v>-1.119618771691</v>
      </c>
      <c r="AE1579">
        <v>-5.0577999999999799</v>
      </c>
      <c r="AF1579">
        <v>4.7038440966883401</v>
      </c>
      <c r="AG1579">
        <v>-1.119618771691</v>
      </c>
      <c r="AH1579">
        <v>9.9572197577413402</v>
      </c>
      <c r="AI1579">
        <v>95.805266275602307</v>
      </c>
      <c r="AJ1579">
        <v>64.713698059173794</v>
      </c>
      <c r="AK1579">
        <v>11.0691427303033</v>
      </c>
      <c r="AL1579">
        <v>95.787935139489093</v>
      </c>
      <c r="AM1579">
        <v>82.683965125872504</v>
      </c>
      <c r="AN1579">
        <v>0.99999998630226405</v>
      </c>
    </row>
    <row r="1580" spans="1:40" x14ac:dyDescent="0.25">
      <c r="A1580" t="str">
        <f>"20190303154126353"</f>
        <v>20190303154126353</v>
      </c>
      <c r="B1580" t="str">
        <f>"1551598886350607"</f>
        <v>1551598886350607</v>
      </c>
      <c r="C1580" t="s">
        <v>40</v>
      </c>
      <c r="D1580">
        <v>6.1520440000000001</v>
      </c>
      <c r="E1580">
        <v>0.61817440000000001</v>
      </c>
      <c r="F1580" t="s">
        <v>44</v>
      </c>
      <c r="G1580">
        <v>-203.51439999999999</v>
      </c>
      <c r="H1580" s="1">
        <v>-3.726577E-6</v>
      </c>
      <c r="I1580">
        <v>362.76429999999999</v>
      </c>
      <c r="J1580">
        <v>-213.34</v>
      </c>
      <c r="K1580">
        <v>1.119631</v>
      </c>
      <c r="L1580">
        <v>367.81639999999999</v>
      </c>
      <c r="M1580">
        <v>0.99934219999999896</v>
      </c>
      <c r="N1580">
        <v>-1.408471E-2</v>
      </c>
      <c r="O1580">
        <v>-3.3418280000000002E-2</v>
      </c>
      <c r="P1580">
        <v>0.98034759999999999</v>
      </c>
      <c r="Q1580">
        <v>-0.1118576</v>
      </c>
      <c r="R1580">
        <v>-0.162500799999999</v>
      </c>
      <c r="S1580">
        <v>2.7951199999999998</v>
      </c>
      <c r="T1580">
        <v>-0.31299169999999998</v>
      </c>
      <c r="U1580">
        <v>-1.4147339999999999</v>
      </c>
      <c r="V1580">
        <v>0.12929689999999999</v>
      </c>
      <c r="W1580">
        <v>-9.8429030000000001E-2</v>
      </c>
      <c r="X1580">
        <v>0.98670869999999999</v>
      </c>
      <c r="Y1580">
        <v>0.41925509999999999</v>
      </c>
      <c r="Z1580">
        <v>-2.2139619999999999E-2</v>
      </c>
      <c r="AA1580">
        <v>0.90759849999999997</v>
      </c>
      <c r="AB1580">
        <v>18</v>
      </c>
      <c r="AC1580">
        <v>9.8255999999999997</v>
      </c>
      <c r="AD1580">
        <v>-1.1196347265769999</v>
      </c>
      <c r="AE1580">
        <v>-5.0520999999999896</v>
      </c>
      <c r="AF1580">
        <v>4.6729011097301099</v>
      </c>
      <c r="AG1580">
        <v>-1.1196347265769999</v>
      </c>
      <c r="AH1580">
        <v>9.8874193155025303</v>
      </c>
      <c r="AI1580">
        <v>95.845587903194698</v>
      </c>
      <c r="AJ1580">
        <v>64.704076300982507</v>
      </c>
      <c r="AK1580">
        <v>10.993209150327599</v>
      </c>
      <c r="AL1580">
        <v>95.648714152482299</v>
      </c>
      <c r="AM1580">
        <v>82.5345787472056</v>
      </c>
      <c r="AN1580">
        <v>1.0000000104760201</v>
      </c>
    </row>
    <row r="1581" spans="1:40" x14ac:dyDescent="0.25">
      <c r="A1581" t="str">
        <f>"20190303154126376"</f>
        <v>20190303154126376</v>
      </c>
      <c r="B1581" t="str">
        <f>"1551598886371103"</f>
        <v>1551598886371103</v>
      </c>
      <c r="C1581" t="s">
        <v>40</v>
      </c>
      <c r="D1581">
        <v>6.1428330000000004</v>
      </c>
      <c r="E1581">
        <v>0.61732449999999905</v>
      </c>
      <c r="F1581" t="s">
        <v>44</v>
      </c>
      <c r="G1581">
        <v>-203.39760000000001</v>
      </c>
      <c r="H1581" s="1">
        <v>-3.6677419999999999E-6</v>
      </c>
      <c r="I1581">
        <v>362.76459999999997</v>
      </c>
      <c r="J1581">
        <v>-213.16120000000001</v>
      </c>
      <c r="K1581">
        <v>1.119631</v>
      </c>
      <c r="L1581">
        <v>367.80700000000002</v>
      </c>
      <c r="M1581">
        <v>0.99924139999999995</v>
      </c>
      <c r="N1581">
        <v>-1.408947E-2</v>
      </c>
      <c r="O1581">
        <v>-3.6311070000000001E-2</v>
      </c>
      <c r="P1581">
        <v>0.97954280000000005</v>
      </c>
      <c r="Q1581">
        <v>-0.1111154</v>
      </c>
      <c r="R1581">
        <v>-0.16777879999999901</v>
      </c>
      <c r="S1581">
        <v>2.7893680000000001</v>
      </c>
      <c r="T1581">
        <v>-0.31411620000000001</v>
      </c>
      <c r="U1581">
        <v>-1.417297</v>
      </c>
      <c r="V1581">
        <v>0.13174749999999999</v>
      </c>
      <c r="W1581">
        <v>-9.7698320000000005E-2</v>
      </c>
      <c r="X1581">
        <v>0.98645709999999998</v>
      </c>
      <c r="Y1581">
        <v>0.41804360000000002</v>
      </c>
      <c r="Z1581">
        <v>-2.189922E-2</v>
      </c>
      <c r="AA1581">
        <v>0.90816300000000005</v>
      </c>
      <c r="AB1581">
        <v>18</v>
      </c>
      <c r="AC1581">
        <v>9.7635999999999896</v>
      </c>
      <c r="AD1581">
        <v>-1.1196346677419999</v>
      </c>
      <c r="AE1581">
        <v>-5.0423999999999802</v>
      </c>
      <c r="AF1581">
        <v>4.6363804510368203</v>
      </c>
      <c r="AG1581">
        <v>-1.1196346677419999</v>
      </c>
      <c r="AH1581">
        <v>9.8381402436601704</v>
      </c>
      <c r="AI1581">
        <v>95.877692601133205</v>
      </c>
      <c r="AJ1581">
        <v>64.767094770850804</v>
      </c>
      <c r="AK1581">
        <v>10.9333713432724</v>
      </c>
      <c r="AL1581">
        <v>95.606644912009102</v>
      </c>
      <c r="AM1581">
        <v>82.392808540047795</v>
      </c>
      <c r="AN1581">
        <v>0.999999987813741</v>
      </c>
    </row>
    <row r="1582" spans="1:40" x14ac:dyDescent="0.25">
      <c r="A1582" t="str">
        <f>"20190303154126398"</f>
        <v>20190303154126398</v>
      </c>
      <c r="B1582" t="str">
        <f>"1551598886390626"</f>
        <v>1551598886390626</v>
      </c>
      <c r="C1582" t="s">
        <v>40</v>
      </c>
      <c r="D1582">
        <v>6.1284349999999996</v>
      </c>
      <c r="E1582">
        <v>0.61646429999999997</v>
      </c>
      <c r="F1582" t="s">
        <v>44</v>
      </c>
      <c r="G1582">
        <v>-203.39529999999999</v>
      </c>
      <c r="H1582" s="1">
        <v>-3.6581019999999998E-6</v>
      </c>
      <c r="I1582">
        <v>362.80290000000002</v>
      </c>
      <c r="J1582">
        <v>-212.98339999999999</v>
      </c>
      <c r="K1582">
        <v>1.119613</v>
      </c>
      <c r="L1582">
        <v>367.79700000000003</v>
      </c>
      <c r="M1582">
        <v>0.99913030000000003</v>
      </c>
      <c r="N1582">
        <v>-1.4093380000000001E-2</v>
      </c>
      <c r="O1582">
        <v>-3.9249029999999997E-2</v>
      </c>
      <c r="P1582">
        <v>0.97854379999999996</v>
      </c>
      <c r="Q1582">
        <v>-0.1125266</v>
      </c>
      <c r="R1582">
        <v>-0.17259920000000001</v>
      </c>
      <c r="S1582">
        <v>2.7822879999999999</v>
      </c>
      <c r="T1582">
        <v>-0.31898080000000001</v>
      </c>
      <c r="U1582">
        <v>-1.425659</v>
      </c>
      <c r="V1582">
        <v>0.13369739999999999</v>
      </c>
      <c r="W1582">
        <v>-9.9124500000000004E-2</v>
      </c>
      <c r="X1582">
        <v>0.98605240000000005</v>
      </c>
      <c r="Y1582">
        <v>0.41841159999999999</v>
      </c>
      <c r="Z1582">
        <v>-2.1961350000000001E-2</v>
      </c>
      <c r="AA1582">
        <v>0.90799200000000002</v>
      </c>
      <c r="AB1582">
        <v>18</v>
      </c>
      <c r="AC1582">
        <v>9.5880999999999901</v>
      </c>
      <c r="AD1582">
        <v>-1.119616658102</v>
      </c>
      <c r="AE1582">
        <v>-4.99409999999994</v>
      </c>
      <c r="AF1582">
        <v>4.5649281184835004</v>
      </c>
      <c r="AG1582">
        <v>-1.119616658102</v>
      </c>
      <c r="AH1582">
        <v>9.6729938954672896</v>
      </c>
      <c r="AI1582">
        <v>95.975717405453295</v>
      </c>
      <c r="AJ1582">
        <v>64.736201565496103</v>
      </c>
      <c r="AK1582">
        <v>10.7544837667722</v>
      </c>
      <c r="AL1582">
        <v>95.688757544732098</v>
      </c>
      <c r="AM1582">
        <v>82.278437823618404</v>
      </c>
      <c r="AN1582">
        <v>0.99999999840638498</v>
      </c>
    </row>
    <row r="1583" spans="1:40" x14ac:dyDescent="0.25">
      <c r="A1583" t="str">
        <f>"20190303154126420"</f>
        <v>20190303154126420</v>
      </c>
      <c r="B1583" t="str">
        <f>"1551598886411119"</f>
        <v>1551598886411119</v>
      </c>
      <c r="C1583" t="s">
        <v>40</v>
      </c>
      <c r="D1583">
        <v>6.3130189999999997</v>
      </c>
      <c r="E1583">
        <v>0.61587179999999997</v>
      </c>
      <c r="F1583" t="s">
        <v>44</v>
      </c>
      <c r="G1583">
        <v>-203.50290000000001</v>
      </c>
      <c r="H1583" s="1">
        <v>-3.6899270000000001E-6</v>
      </c>
      <c r="I1583">
        <v>362.90350000000001</v>
      </c>
      <c r="J1583">
        <v>-212.8064</v>
      </c>
      <c r="K1583">
        <v>1.119591</v>
      </c>
      <c r="L1583">
        <v>367.78640000000001</v>
      </c>
      <c r="M1583">
        <v>0.99900900000000004</v>
      </c>
      <c r="N1583">
        <v>-1.40964E-2</v>
      </c>
      <c r="O1583">
        <v>-4.2218060000000002E-2</v>
      </c>
      <c r="P1583">
        <v>0.97750680000000001</v>
      </c>
      <c r="Q1583">
        <v>-0.11422590000000001</v>
      </c>
      <c r="R1583">
        <v>-0.1772937</v>
      </c>
      <c r="S1583">
        <v>2.7753909999999999</v>
      </c>
      <c r="T1583">
        <v>-0.32776509999999998</v>
      </c>
      <c r="U1583">
        <v>-1.4325559999999999</v>
      </c>
      <c r="V1583">
        <v>0.1354948</v>
      </c>
      <c r="W1583">
        <v>-0.1008389</v>
      </c>
      <c r="X1583">
        <v>0.98563310000000004</v>
      </c>
      <c r="Y1583">
        <v>0.41830230000000002</v>
      </c>
      <c r="Z1583">
        <v>-2.2202659999999999E-2</v>
      </c>
      <c r="AA1583">
        <v>0.90803650000000002</v>
      </c>
      <c r="AB1583">
        <v>18</v>
      </c>
      <c r="AC1583">
        <v>9.3034999999999801</v>
      </c>
      <c r="AD1583">
        <v>-1.119594689927</v>
      </c>
      <c r="AE1583">
        <v>-4.8829000000000002</v>
      </c>
      <c r="AF1583">
        <v>4.4353702845225804</v>
      </c>
      <c r="AG1583">
        <v>-1.119594689927</v>
      </c>
      <c r="AH1583">
        <v>9.3947001477064909</v>
      </c>
      <c r="AI1583">
        <v>96.150829594501502</v>
      </c>
      <c r="AJ1583">
        <v>64.727343971926501</v>
      </c>
      <c r="AK1583">
        <v>10.4492292871701</v>
      </c>
      <c r="AL1583">
        <v>95.787480300377396</v>
      </c>
      <c r="AM1583">
        <v>82.172620873974097</v>
      </c>
      <c r="AN1583">
        <v>0.99999996619792897</v>
      </c>
    </row>
    <row r="1584" spans="1:40" x14ac:dyDescent="0.25">
      <c r="A1584" t="str">
        <f>"20190303154126443"</f>
        <v>20190303154126443</v>
      </c>
      <c r="B1584" t="str">
        <f>"1551598886430643"</f>
        <v>1551598886430643</v>
      </c>
      <c r="C1584" t="s">
        <v>40</v>
      </c>
      <c r="D1584">
        <v>6.1210990000000001</v>
      </c>
      <c r="E1584">
        <v>0.61521969999999904</v>
      </c>
      <c r="F1584" t="s">
        <v>44</v>
      </c>
      <c r="G1584">
        <v>-203.6927</v>
      </c>
      <c r="H1584" s="1">
        <v>-3.755076E-6</v>
      </c>
      <c r="I1584">
        <v>363.04059999999998</v>
      </c>
      <c r="J1584">
        <v>-212.63579999999999</v>
      </c>
      <c r="K1584">
        <v>1.1195809999999999</v>
      </c>
      <c r="L1584">
        <v>367.77569999999997</v>
      </c>
      <c r="M1584">
        <v>0.99888180000000004</v>
      </c>
      <c r="N1584">
        <v>-1.409847E-2</v>
      </c>
      <c r="O1584">
        <v>-4.5125600000000002E-2</v>
      </c>
      <c r="P1584">
        <v>0.97641210000000001</v>
      </c>
      <c r="Q1584">
        <v>-0.115758</v>
      </c>
      <c r="R1584">
        <v>-0.18226220000000001</v>
      </c>
      <c r="S1584">
        <v>2.7678829999999999</v>
      </c>
      <c r="T1584">
        <v>-0.34002789999999999</v>
      </c>
      <c r="U1584">
        <v>-1.4413450000000001</v>
      </c>
      <c r="V1584">
        <v>0.1376339</v>
      </c>
      <c r="W1584">
        <v>-0.10238750000000001</v>
      </c>
      <c r="X1584">
        <v>0.98517699999999997</v>
      </c>
      <c r="Y1584">
        <v>0.41876940000000001</v>
      </c>
      <c r="Z1584">
        <v>-2.2663599999999999E-2</v>
      </c>
      <c r="AA1584">
        <v>0.90780970000000005</v>
      </c>
      <c r="AB1584">
        <v>18</v>
      </c>
      <c r="AC1584">
        <v>8.9430999999999798</v>
      </c>
      <c r="AD1584">
        <v>-1.1195847550760001</v>
      </c>
      <c r="AE1584">
        <v>-4.7350999999999797</v>
      </c>
      <c r="AF1584">
        <v>4.2743507443261404</v>
      </c>
      <c r="AG1584">
        <v>-1.1195847550760001</v>
      </c>
      <c r="AH1584">
        <v>9.0370618077187501</v>
      </c>
      <c r="AI1584">
        <v>96.390092692892594</v>
      </c>
      <c r="AJ1584">
        <v>64.686780703269307</v>
      </c>
      <c r="AK1584">
        <v>10.059424955028399</v>
      </c>
      <c r="AL1584">
        <v>95.876669970769996</v>
      </c>
      <c r="AM1584">
        <v>82.046982035827497</v>
      </c>
      <c r="AN1584">
        <v>1.0000000059572201</v>
      </c>
    </row>
    <row r="1585" spans="1:40" x14ac:dyDescent="0.25">
      <c r="A1585" t="str">
        <f>"20190303154126465"</f>
        <v>20190303154126465</v>
      </c>
      <c r="B1585" t="str">
        <f>"1551598886460907"</f>
        <v>1551598886460907</v>
      </c>
      <c r="C1585" t="s">
        <v>40</v>
      </c>
      <c r="D1585">
        <v>6.12202</v>
      </c>
      <c r="E1585">
        <v>0.61421510000000001</v>
      </c>
      <c r="F1585" t="s">
        <v>44</v>
      </c>
      <c r="G1585">
        <v>-203.82509999999999</v>
      </c>
      <c r="H1585" s="1">
        <v>-3.7980880000000002E-6</v>
      </c>
      <c r="I1585">
        <v>363.14699999999999</v>
      </c>
      <c r="J1585">
        <v>-212.45750000000001</v>
      </c>
      <c r="K1585">
        <v>1.119572</v>
      </c>
      <c r="L1585">
        <v>367.76389999999998</v>
      </c>
      <c r="M1585">
        <v>0.9987374</v>
      </c>
      <c r="N1585">
        <v>-1.4099759999999999E-2</v>
      </c>
      <c r="O1585">
        <v>-4.8216429999999998E-2</v>
      </c>
      <c r="P1585">
        <v>0.97533760000000003</v>
      </c>
      <c r="Q1585">
        <v>-0.1159203</v>
      </c>
      <c r="R1585">
        <v>-0.18782699999999999</v>
      </c>
      <c r="S1585">
        <v>2.760208</v>
      </c>
      <c r="T1585">
        <v>-0.35074169999999999</v>
      </c>
      <c r="U1585">
        <v>-1.4500729999999999</v>
      </c>
      <c r="V1585">
        <v>0.1401964</v>
      </c>
      <c r="W1585">
        <v>-0.1025668</v>
      </c>
      <c r="X1585">
        <v>0.98479689999999998</v>
      </c>
      <c r="Y1585">
        <v>0.41910190000000003</v>
      </c>
      <c r="Z1585">
        <v>-2.29918E-2</v>
      </c>
      <c r="AA1585">
        <v>0.90764800000000001</v>
      </c>
      <c r="AB1585">
        <v>18</v>
      </c>
      <c r="AC1585">
        <v>8.6324000000000094</v>
      </c>
      <c r="AD1585">
        <v>-1.1195757980879999</v>
      </c>
      <c r="AE1585">
        <v>-4.6168999999999798</v>
      </c>
      <c r="AF1585">
        <v>4.1411011726856</v>
      </c>
      <c r="AG1585">
        <v>-1.1195757980879999</v>
      </c>
      <c r="AH1585">
        <v>8.7307969641933791</v>
      </c>
      <c r="AI1585">
        <v>96.608874554422798</v>
      </c>
      <c r="AJ1585">
        <v>64.624563580434895</v>
      </c>
      <c r="AK1585">
        <v>9.7277430332040904</v>
      </c>
      <c r="AL1585">
        <v>95.886997765935206</v>
      </c>
      <c r="AM1585">
        <v>81.897773413829796</v>
      </c>
      <c r="AN1585">
        <v>0.99999995664240404</v>
      </c>
    </row>
    <row r="1586" spans="1:40" x14ac:dyDescent="0.25">
      <c r="A1586" t="str">
        <f>"20190303154126489"</f>
        <v>20190303154126489</v>
      </c>
      <c r="B1586" t="str">
        <f>"1551598886480419"</f>
        <v>1551598886480419</v>
      </c>
      <c r="C1586" t="s">
        <v>40</v>
      </c>
      <c r="D1586">
        <v>6.1346669999999897</v>
      </c>
      <c r="E1586">
        <v>0.61355879999999996</v>
      </c>
      <c r="F1586" t="s">
        <v>44</v>
      </c>
      <c r="G1586">
        <v>-203.87870000000001</v>
      </c>
      <c r="H1586" s="1">
        <v>-3.8090089999999999E-6</v>
      </c>
      <c r="I1586">
        <v>363.21949999999998</v>
      </c>
      <c r="J1586">
        <v>-212.2747</v>
      </c>
      <c r="K1586">
        <v>1.119567</v>
      </c>
      <c r="L1586">
        <v>367.75119999999998</v>
      </c>
      <c r="M1586">
        <v>0.99857689999999999</v>
      </c>
      <c r="N1586">
        <v>-1.410052E-2</v>
      </c>
      <c r="O1586">
        <v>-5.1435719999999997E-2</v>
      </c>
      <c r="P1586">
        <v>0.97430530000000004</v>
      </c>
      <c r="Q1586">
        <v>-0.1158193</v>
      </c>
      <c r="R1586">
        <v>-0.19317219999999999</v>
      </c>
      <c r="S1586">
        <v>2.7523960000000001</v>
      </c>
      <c r="T1586">
        <v>-0.35920289999999999</v>
      </c>
      <c r="U1586">
        <v>-1.4580379999999999</v>
      </c>
      <c r="V1586">
        <v>0.142415299999999</v>
      </c>
      <c r="W1586">
        <v>-0.10248069999999999</v>
      </c>
      <c r="X1586">
        <v>0.98448749999999996</v>
      </c>
      <c r="Y1586">
        <v>0.41917779999999999</v>
      </c>
      <c r="Z1586">
        <v>-2.3149429999999999E-2</v>
      </c>
      <c r="AA1586">
        <v>0.907609</v>
      </c>
      <c r="AB1586">
        <v>17</v>
      </c>
      <c r="AC1586">
        <v>8.3959999999999795</v>
      </c>
      <c r="AD1586">
        <v>-1.119570809009</v>
      </c>
      <c r="AE1586">
        <v>-4.5316999999999998</v>
      </c>
      <c r="AF1586">
        <v>4.0381984829283697</v>
      </c>
      <c r="AG1586">
        <v>-1.119570809009</v>
      </c>
      <c r="AH1586">
        <v>8.5009434775554293</v>
      </c>
      <c r="AI1586">
        <v>96.784020147278099</v>
      </c>
      <c r="AJ1586">
        <v>64.590905291176</v>
      </c>
      <c r="AK1586">
        <v>9.4776856770259208</v>
      </c>
      <c r="AL1586">
        <v>95.882038065206302</v>
      </c>
      <c r="AM1586">
        <v>81.768730835400106</v>
      </c>
      <c r="AN1586">
        <v>1.00000002460141</v>
      </c>
    </row>
    <row r="1587" spans="1:40" x14ac:dyDescent="0.25">
      <c r="A1587" t="str">
        <f>"20190303154126511"</f>
        <v>20190303154126511</v>
      </c>
      <c r="B1587" t="str">
        <f>"1551598886500911"</f>
        <v>1551598886500911</v>
      </c>
      <c r="C1587" t="s">
        <v>40</v>
      </c>
      <c r="D1587">
        <v>6.1152100000000003</v>
      </c>
      <c r="E1587">
        <v>0.61293560000000002</v>
      </c>
      <c r="F1587" t="s">
        <v>44</v>
      </c>
      <c r="G1587">
        <v>-203.83609999999999</v>
      </c>
      <c r="H1587" s="1">
        <v>-3.7831880000000001E-6</v>
      </c>
      <c r="I1587">
        <v>363.23910000000001</v>
      </c>
      <c r="J1587">
        <v>-212.10050000000001</v>
      </c>
      <c r="K1587">
        <v>1.1195619999999999</v>
      </c>
      <c r="L1587">
        <v>367.73860000000002</v>
      </c>
      <c r="M1587">
        <v>0.99841190000000002</v>
      </c>
      <c r="N1587">
        <v>-1.410083E-2</v>
      </c>
      <c r="O1587">
        <v>-5.4543889999999998E-2</v>
      </c>
      <c r="P1587">
        <v>0.97314000000000001</v>
      </c>
      <c r="Q1587">
        <v>-0.11523849999999999</v>
      </c>
      <c r="R1587">
        <v>-0.19929549999999999</v>
      </c>
      <c r="S1587">
        <v>2.7448579999999998</v>
      </c>
      <c r="T1587">
        <v>-0.36416759999999998</v>
      </c>
      <c r="U1587">
        <v>-1.467651</v>
      </c>
      <c r="V1587">
        <v>0.145533</v>
      </c>
      <c r="W1587">
        <v>-0.1019195</v>
      </c>
      <c r="X1587">
        <v>0.98408969999999996</v>
      </c>
      <c r="Y1587">
        <v>0.41979359999999999</v>
      </c>
      <c r="Z1587">
        <v>-2.3151450000000001E-2</v>
      </c>
      <c r="AA1587">
        <v>0.90732429999999997</v>
      </c>
      <c r="AB1587">
        <v>17</v>
      </c>
      <c r="AC1587">
        <v>8.2644000000000197</v>
      </c>
      <c r="AD1587">
        <v>-1.1195657831879999</v>
      </c>
      <c r="AE1587">
        <v>-4.49950000000001</v>
      </c>
      <c r="AF1587">
        <v>3.98556484854211</v>
      </c>
      <c r="AG1587">
        <v>-1.1195657831879999</v>
      </c>
      <c r="AH1587">
        <v>8.3789299790945595</v>
      </c>
      <c r="AI1587">
        <v>96.880157610356207</v>
      </c>
      <c r="AJ1587">
        <v>64.561196096185796</v>
      </c>
      <c r="AK1587">
        <v>9.3458344891930096</v>
      </c>
      <c r="AL1587">
        <v>95.849714637249093</v>
      </c>
      <c r="AM1587">
        <v>81.587734034636895</v>
      </c>
      <c r="AN1587">
        <v>0.99999998810766899</v>
      </c>
    </row>
    <row r="1588" spans="1:40" x14ac:dyDescent="0.25">
      <c r="A1588" t="str">
        <f>"20190303154126532"</f>
        <v>20190303154126532</v>
      </c>
      <c r="B1588" t="str">
        <f>"1551598886520431"</f>
        <v>1551598886520431</v>
      </c>
      <c r="C1588" t="s">
        <v>40</v>
      </c>
      <c r="D1588">
        <v>6.138274</v>
      </c>
      <c r="E1588">
        <v>0.61235919999999999</v>
      </c>
      <c r="F1588" t="s">
        <v>44</v>
      </c>
      <c r="G1588">
        <v>-203.80240000000001</v>
      </c>
      <c r="H1588" s="1">
        <v>-3.763935E-6</v>
      </c>
      <c r="I1588">
        <v>363.24970000000002</v>
      </c>
      <c r="J1588">
        <v>-211.9358</v>
      </c>
      <c r="K1588">
        <v>1.1195729999999999</v>
      </c>
      <c r="L1588">
        <v>367.726</v>
      </c>
      <c r="M1588">
        <v>0.99824520000000005</v>
      </c>
      <c r="N1588">
        <v>-1.41006E-2</v>
      </c>
      <c r="O1588">
        <v>-5.7514089999999997E-2</v>
      </c>
      <c r="P1588">
        <v>0.97209979999999996</v>
      </c>
      <c r="Q1588">
        <v>-0.1133222</v>
      </c>
      <c r="R1588">
        <v>-0.2053789</v>
      </c>
      <c r="S1588">
        <v>2.7359770000000001</v>
      </c>
      <c r="T1588">
        <v>-0.36913410000000002</v>
      </c>
      <c r="U1588">
        <v>-1.4800420000000001</v>
      </c>
      <c r="V1588">
        <v>0.14874780000000001</v>
      </c>
      <c r="W1588">
        <v>-0.10002129999999999</v>
      </c>
      <c r="X1588">
        <v>0.98380369999999995</v>
      </c>
      <c r="Y1588">
        <v>0.4214272</v>
      </c>
      <c r="Z1588">
        <v>-2.3235550000000001E-2</v>
      </c>
      <c r="AA1588">
        <v>0.9065645</v>
      </c>
      <c r="AB1588">
        <v>17</v>
      </c>
      <c r="AC1588">
        <v>8.1333999999999893</v>
      </c>
      <c r="AD1588">
        <v>-1.1195767639349901</v>
      </c>
      <c r="AE1588">
        <v>-4.4762999999999797</v>
      </c>
      <c r="AF1588">
        <v>3.9437040782142101</v>
      </c>
      <c r="AG1588">
        <v>-1.1195767639349901</v>
      </c>
      <c r="AH1588">
        <v>8.2573238085433793</v>
      </c>
      <c r="AI1588">
        <v>96.975363177048393</v>
      </c>
      <c r="AJ1588">
        <v>64.470823884773097</v>
      </c>
      <c r="AK1588">
        <v>9.2189831579195296</v>
      </c>
      <c r="AL1588">
        <v>95.740397347676904</v>
      </c>
      <c r="AM1588">
        <v>81.402193265682897</v>
      </c>
      <c r="AN1588">
        <v>0.99999994429610795</v>
      </c>
    </row>
    <row r="1589" spans="1:40" x14ac:dyDescent="0.25">
      <c r="A1589" t="str">
        <f>"20190303154126555"</f>
        <v>20190303154126555</v>
      </c>
      <c r="B1589" t="str">
        <f>"1551598886550688"</f>
        <v>1551598886550688</v>
      </c>
      <c r="C1589" t="s">
        <v>40</v>
      </c>
      <c r="D1589">
        <v>6.1427889999999996</v>
      </c>
      <c r="E1589">
        <v>0.61164359999999995</v>
      </c>
      <c r="F1589" t="s">
        <v>44</v>
      </c>
      <c r="G1589">
        <v>-203.63480000000001</v>
      </c>
      <c r="H1589" s="1">
        <v>-3.6940269999999998E-6</v>
      </c>
      <c r="I1589">
        <v>363.18439999999998</v>
      </c>
      <c r="J1589">
        <v>-211.75829999999999</v>
      </c>
      <c r="K1589">
        <v>1.1195949999999999</v>
      </c>
      <c r="L1589">
        <v>367.71190000000001</v>
      </c>
      <c r="M1589">
        <v>0.99805410000000006</v>
      </c>
      <c r="N1589">
        <v>-1.4099769999999999E-2</v>
      </c>
      <c r="O1589">
        <v>-6.074065E-2</v>
      </c>
      <c r="P1589">
        <v>0.97094570000000002</v>
      </c>
      <c r="Q1589">
        <v>-0.110913</v>
      </c>
      <c r="R1589">
        <v>-0.21204600000000001</v>
      </c>
      <c r="S1589">
        <v>2.7279209999999998</v>
      </c>
      <c r="T1589">
        <v>-0.36792150000000001</v>
      </c>
      <c r="U1589">
        <v>-1.492462</v>
      </c>
      <c r="V1589">
        <v>0.15230460000000001</v>
      </c>
      <c r="W1589">
        <v>-9.7631979999999993E-2</v>
      </c>
      <c r="X1589">
        <v>0.98349949999999997</v>
      </c>
      <c r="Y1589">
        <v>0.42282130000000001</v>
      </c>
      <c r="Z1589">
        <v>-2.2944760000000002E-2</v>
      </c>
      <c r="AA1589">
        <v>0.90592260000000002</v>
      </c>
      <c r="AB1589">
        <v>17</v>
      </c>
      <c r="AC1589">
        <v>8.1234999999999697</v>
      </c>
      <c r="AD1589">
        <v>-1.119598694027</v>
      </c>
      <c r="AE1589">
        <v>-4.5275000000000301</v>
      </c>
      <c r="AF1589">
        <v>3.96815217657754</v>
      </c>
      <c r="AG1589">
        <v>-1.119598694027</v>
      </c>
      <c r="AH1589">
        <v>8.2637607211574906</v>
      </c>
      <c r="AI1589">
        <v>96.963168146781598</v>
      </c>
      <c r="AJ1589">
        <v>64.350277202497693</v>
      </c>
      <c r="AK1589">
        <v>9.2352300560781604</v>
      </c>
      <c r="AL1589">
        <v>95.602825691877101</v>
      </c>
      <c r="AM1589">
        <v>81.197107938338902</v>
      </c>
      <c r="AN1589">
        <v>0.99999998060006501</v>
      </c>
    </row>
    <row r="1590" spans="1:40" x14ac:dyDescent="0.25">
      <c r="A1590" t="str">
        <f>"20190303154126578"</f>
        <v>20190303154126578</v>
      </c>
      <c r="B1590" t="str">
        <f>"1551598886571183"</f>
        <v>1551598886571183</v>
      </c>
      <c r="C1590" t="s">
        <v>40</v>
      </c>
      <c r="D1590">
        <v>6.14452</v>
      </c>
      <c r="E1590">
        <v>0.61116130000000002</v>
      </c>
      <c r="F1590" t="s">
        <v>44</v>
      </c>
      <c r="G1590">
        <v>-203.35040000000001</v>
      </c>
      <c r="H1590" s="1">
        <v>-3.5791609999999902E-6</v>
      </c>
      <c r="I1590">
        <v>363.05709999999999</v>
      </c>
      <c r="J1590">
        <v>-211.5857</v>
      </c>
      <c r="K1590">
        <v>1.1196170000000001</v>
      </c>
      <c r="L1590">
        <v>367.69749999999999</v>
      </c>
      <c r="M1590">
        <v>0.99785639999999998</v>
      </c>
      <c r="N1590">
        <v>-1.4098360000000001E-2</v>
      </c>
      <c r="O1590">
        <v>-6.3905050000000005E-2</v>
      </c>
      <c r="P1590">
        <v>0.9699219</v>
      </c>
      <c r="Q1590">
        <v>-0.1087542</v>
      </c>
      <c r="R1590">
        <v>-0.21777060000000001</v>
      </c>
      <c r="S1590">
        <v>2.719589</v>
      </c>
      <c r="T1590">
        <v>-0.36214160000000001</v>
      </c>
      <c r="U1590">
        <v>-1.50564599999999</v>
      </c>
      <c r="V1590">
        <v>0.15497620000000001</v>
      </c>
      <c r="W1590">
        <v>-9.5487799999999998E-2</v>
      </c>
      <c r="X1590">
        <v>0.98329259999999996</v>
      </c>
      <c r="Y1590">
        <v>0.42457010000000001</v>
      </c>
      <c r="Z1590">
        <v>-2.245658E-2</v>
      </c>
      <c r="AA1590">
        <v>0.90511649999999999</v>
      </c>
      <c r="AB1590">
        <v>17</v>
      </c>
      <c r="AC1590">
        <v>8.2352999999999899</v>
      </c>
      <c r="AD1590">
        <v>-1.1196205791609899</v>
      </c>
      <c r="AE1590">
        <v>-4.6403999999999996</v>
      </c>
      <c r="AF1590">
        <v>4.0477964893348899</v>
      </c>
      <c r="AG1590">
        <v>-1.1196205791609899</v>
      </c>
      <c r="AH1590">
        <v>8.3972322877772392</v>
      </c>
      <c r="AI1590">
        <v>96.8487739441684</v>
      </c>
      <c r="AJ1590">
        <v>64.264103241965103</v>
      </c>
      <c r="AK1590">
        <v>9.3889145674695094</v>
      </c>
      <c r="AL1590">
        <v>95.479396661254697</v>
      </c>
      <c r="AM1590">
        <v>81.043322552791594</v>
      </c>
      <c r="AN1590">
        <v>0.99999993986501801</v>
      </c>
    </row>
    <row r="1591" spans="1:40" x14ac:dyDescent="0.25">
      <c r="A1591" t="str">
        <f>"20190303154126599"</f>
        <v>20190303154126599</v>
      </c>
      <c r="B1591" t="str">
        <f>"1551598886590707"</f>
        <v>1551598886590707</v>
      </c>
      <c r="C1591" t="s">
        <v>40</v>
      </c>
      <c r="D1591">
        <v>6.1589720000000003</v>
      </c>
      <c r="E1591">
        <v>0.61071830000000005</v>
      </c>
      <c r="F1591" t="s">
        <v>44</v>
      </c>
      <c r="G1591">
        <v>-203.0651</v>
      </c>
      <c r="H1591" s="1">
        <v>-3.4642319999999998E-6</v>
      </c>
      <c r="I1591">
        <v>362.92790000000002</v>
      </c>
      <c r="J1591">
        <v>-211.4145</v>
      </c>
      <c r="K1591">
        <v>1.119631</v>
      </c>
      <c r="L1591">
        <v>367.68279999999999</v>
      </c>
      <c r="M1591">
        <v>0.99764900000000001</v>
      </c>
      <c r="N1591">
        <v>-1.4096569999999999E-2</v>
      </c>
      <c r="O1591">
        <v>-6.7067139999999997E-2</v>
      </c>
      <c r="P1591">
        <v>0.96859819999999996</v>
      </c>
      <c r="Q1591">
        <v>-0.1082346</v>
      </c>
      <c r="R1591">
        <v>-0.22383710000000001</v>
      </c>
      <c r="S1591">
        <v>2.7122039999999998</v>
      </c>
      <c r="T1591">
        <v>-0.3563886</v>
      </c>
      <c r="U1591">
        <v>-1.518219</v>
      </c>
      <c r="V1591">
        <v>0.1580075</v>
      </c>
      <c r="W1591">
        <v>-9.4987360000000007E-2</v>
      </c>
      <c r="X1591">
        <v>0.98285860000000003</v>
      </c>
      <c r="Y1591">
        <v>0.42603380000000002</v>
      </c>
      <c r="Z1591">
        <v>-2.1952670000000001E-2</v>
      </c>
      <c r="AA1591">
        <v>0.90444089999999999</v>
      </c>
      <c r="AB1591">
        <v>17</v>
      </c>
      <c r="AC1591">
        <v>8.3493999999999993</v>
      </c>
      <c r="AD1591">
        <v>-1.119634464232</v>
      </c>
      <c r="AE1591">
        <v>-4.7548999999999602</v>
      </c>
      <c r="AF1591">
        <v>4.1281128191938397</v>
      </c>
      <c r="AG1591">
        <v>-1.119634464232</v>
      </c>
      <c r="AH1591">
        <v>8.5336529204850002</v>
      </c>
      <c r="AI1591">
        <v>96.735927061396296</v>
      </c>
      <c r="AJ1591">
        <v>64.184851666879993</v>
      </c>
      <c r="AK1591">
        <v>9.54558164538917</v>
      </c>
      <c r="AL1591">
        <v>95.450592314240794</v>
      </c>
      <c r="AM1591">
        <v>80.867091163068494</v>
      </c>
      <c r="AN1591">
        <v>0.99999999810498896</v>
      </c>
    </row>
    <row r="1592" spans="1:40" x14ac:dyDescent="0.25">
      <c r="A1592" t="str">
        <f>"20190303154126621"</f>
        <v>20190303154126621</v>
      </c>
      <c r="B1592" t="str">
        <f>"1551598886611199"</f>
        <v>1551598886611199</v>
      </c>
      <c r="C1592" t="s">
        <v>40</v>
      </c>
      <c r="D1592">
        <v>6.1638359999999999</v>
      </c>
      <c r="E1592">
        <v>0.61028609999999905</v>
      </c>
      <c r="F1592" t="s">
        <v>44</v>
      </c>
      <c r="G1592">
        <v>-202.92609999999999</v>
      </c>
      <c r="H1592" s="1">
        <v>-3.406474E-6</v>
      </c>
      <c r="I1592">
        <v>362.87299999999999</v>
      </c>
      <c r="J1592">
        <v>-211.2432</v>
      </c>
      <c r="K1592">
        <v>1.1196330000000001</v>
      </c>
      <c r="L1592">
        <v>367.66739999999999</v>
      </c>
      <c r="M1592">
        <v>0.99742980000000003</v>
      </c>
      <c r="N1592">
        <v>-1.409436E-2</v>
      </c>
      <c r="O1592">
        <v>-7.0248950000000004E-2</v>
      </c>
      <c r="P1592">
        <v>0.96687800000000002</v>
      </c>
      <c r="Q1592">
        <v>-0.10834249999999999</v>
      </c>
      <c r="R1592">
        <v>-0.231103</v>
      </c>
      <c r="S1592">
        <v>2.7034150000000001</v>
      </c>
      <c r="T1592">
        <v>-0.35658610000000002</v>
      </c>
      <c r="U1592">
        <v>-1.53183</v>
      </c>
      <c r="V1592">
        <v>0.16224530000000001</v>
      </c>
      <c r="W1592">
        <v>-9.5122100000000001E-2</v>
      </c>
      <c r="X1592">
        <v>0.98215490000000005</v>
      </c>
      <c r="Y1592">
        <v>0.42785220000000002</v>
      </c>
      <c r="Z1592">
        <v>-2.177726E-2</v>
      </c>
      <c r="AA1592">
        <v>0.90358629999999995</v>
      </c>
      <c r="AB1592">
        <v>17</v>
      </c>
      <c r="AC1592">
        <v>8.3170999999999999</v>
      </c>
      <c r="AD1592">
        <v>-1.1196364064740001</v>
      </c>
      <c r="AE1592">
        <v>-4.7943999999999303</v>
      </c>
      <c r="AF1592">
        <v>4.14188853303743</v>
      </c>
      <c r="AG1592">
        <v>-1.1196364064740001</v>
      </c>
      <c r="AH1592">
        <v>8.5175262939369194</v>
      </c>
      <c r="AI1592">
        <v>96.741927136196196</v>
      </c>
      <c r="AJ1592">
        <v>64.067348954564906</v>
      </c>
      <c r="AK1592">
        <v>9.5371421542680093</v>
      </c>
      <c r="AL1592">
        <v>95.458347455238496</v>
      </c>
      <c r="AM1592">
        <v>80.619839689314205</v>
      </c>
      <c r="AN1592">
        <v>0.99999999943725504</v>
      </c>
    </row>
    <row r="1593" spans="1:40" x14ac:dyDescent="0.25">
      <c r="A1593" t="str">
        <f>"20190303154126644"</f>
        <v>20190303154126644</v>
      </c>
      <c r="B1593" t="str">
        <f>"1551598886640480"</f>
        <v>1551598886640480</v>
      </c>
      <c r="C1593" t="s">
        <v>40</v>
      </c>
      <c r="D1593">
        <v>6.191935</v>
      </c>
      <c r="E1593">
        <v>0.60959229999999998</v>
      </c>
      <c r="F1593" t="s">
        <v>44</v>
      </c>
      <c r="G1593">
        <v>-202.8777</v>
      </c>
      <c r="H1593" s="1">
        <v>-3.3858880000000001E-6</v>
      </c>
      <c r="I1593">
        <v>362.85599999999999</v>
      </c>
      <c r="J1593">
        <v>-211.0693</v>
      </c>
      <c r="K1593">
        <v>1.1196360000000001</v>
      </c>
      <c r="L1593">
        <v>367.65120000000002</v>
      </c>
      <c r="M1593">
        <v>0.99719630000000004</v>
      </c>
      <c r="N1593">
        <v>-1.409181E-2</v>
      </c>
      <c r="O1593">
        <v>-7.3492119999999994E-2</v>
      </c>
      <c r="P1593">
        <v>0.96494939999999996</v>
      </c>
      <c r="Q1593">
        <v>-0.10883130000000001</v>
      </c>
      <c r="R1593">
        <v>-0.23880709999999999</v>
      </c>
      <c r="S1593">
        <v>2.6922760000000001</v>
      </c>
      <c r="T1593">
        <v>-0.36033520000000002</v>
      </c>
      <c r="U1593">
        <v>-1.548462</v>
      </c>
      <c r="V1593">
        <v>0.1668791</v>
      </c>
      <c r="W1593">
        <v>-9.5640799999999998E-2</v>
      </c>
      <c r="X1593">
        <v>0.98132779999999997</v>
      </c>
      <c r="Y1593">
        <v>0.4306567</v>
      </c>
      <c r="Z1593">
        <v>-2.1843970000000001E-2</v>
      </c>
      <c r="AA1593">
        <v>0.90225140000000004</v>
      </c>
      <c r="AB1593">
        <v>17</v>
      </c>
      <c r="AC1593">
        <v>8.1915999999999904</v>
      </c>
      <c r="AD1593">
        <v>-1.119639385888</v>
      </c>
      <c r="AE1593">
        <v>-4.7952000000000199</v>
      </c>
      <c r="AF1593">
        <v>4.1227882791401003</v>
      </c>
      <c r="AG1593">
        <v>-1.119639385888</v>
      </c>
      <c r="AH1593">
        <v>8.4049425160567299</v>
      </c>
      <c r="AI1593">
        <v>96.820097055241405</v>
      </c>
      <c r="AJ1593">
        <v>63.871148262560702</v>
      </c>
      <c r="AK1593">
        <v>9.4283632857068405</v>
      </c>
      <c r="AL1593">
        <v>95.488202759080195</v>
      </c>
      <c r="AM1593">
        <v>80.348925949355902</v>
      </c>
      <c r="AN1593">
        <v>1.00000002384714</v>
      </c>
    </row>
    <row r="1594" spans="1:40" x14ac:dyDescent="0.25">
      <c r="A1594" t="str">
        <f>"20190303154126666"</f>
        <v>20190303154126666</v>
      </c>
      <c r="B1594" t="str">
        <f>"1551598886660975"</f>
        <v>1551598886660975</v>
      </c>
      <c r="C1594" t="s">
        <v>40</v>
      </c>
      <c r="D1594">
        <v>6.2002329999999999</v>
      </c>
      <c r="E1594">
        <v>0.60911590000000004</v>
      </c>
      <c r="F1594" t="s">
        <v>44</v>
      </c>
      <c r="G1594">
        <v>-202.92089999999999</v>
      </c>
      <c r="H1594" s="1">
        <v>-3.3989819999999999E-6</v>
      </c>
      <c r="I1594">
        <v>362.89490000000001</v>
      </c>
      <c r="J1594">
        <v>-210.89769999999999</v>
      </c>
      <c r="K1594">
        <v>1.119645</v>
      </c>
      <c r="L1594">
        <v>367.63470000000001</v>
      </c>
      <c r="M1594">
        <v>0.99695420000000001</v>
      </c>
      <c r="N1594">
        <v>-1.4089010000000001E-2</v>
      </c>
      <c r="O1594">
        <v>-7.6708360000000003E-2</v>
      </c>
      <c r="P1594">
        <v>0.96334219999999904</v>
      </c>
      <c r="Q1594">
        <v>-0.10767640000000001</v>
      </c>
      <c r="R1594">
        <v>-0.24571970000000001</v>
      </c>
      <c r="S1594">
        <v>2.6802519999999999</v>
      </c>
      <c r="T1594">
        <v>-0.36828149999999998</v>
      </c>
      <c r="U1594">
        <v>-1.564484</v>
      </c>
      <c r="V1594">
        <v>0.1707381</v>
      </c>
      <c r="W1594">
        <v>-9.4509170000000003E-2</v>
      </c>
      <c r="X1594">
        <v>0.98077340000000002</v>
      </c>
      <c r="Y1594">
        <v>0.43339879999999997</v>
      </c>
      <c r="Z1594">
        <v>-2.2112110000000001E-2</v>
      </c>
      <c r="AA1594">
        <v>0.90093089999999998</v>
      </c>
      <c r="AB1594">
        <v>17</v>
      </c>
      <c r="AC1594">
        <v>7.9767999999999901</v>
      </c>
      <c r="AD1594">
        <v>-1.1196483989820001</v>
      </c>
      <c r="AE1594">
        <v>-4.7397999999999998</v>
      </c>
      <c r="AF1594">
        <v>4.0548421374725496</v>
      </c>
      <c r="AG1594">
        <v>-1.1196483989820001</v>
      </c>
      <c r="AH1594">
        <v>8.1975477499706901</v>
      </c>
      <c r="AI1594">
        <v>96.9797126240544</v>
      </c>
      <c r="AJ1594">
        <v>63.681119515698299</v>
      </c>
      <c r="AK1594">
        <v>9.2138562182299903</v>
      </c>
      <c r="AL1594">
        <v>95.423070372095495</v>
      </c>
      <c r="AM1594">
        <v>80.124620972924205</v>
      </c>
      <c r="AN1594">
        <v>0.99999997207662905</v>
      </c>
    </row>
    <row r="1595" spans="1:40" x14ac:dyDescent="0.25">
      <c r="A1595" t="str">
        <f>"20190303154126689"</f>
        <v>20190303154126689</v>
      </c>
      <c r="B1595" t="str">
        <f>"1551598886680499"</f>
        <v>1551598886680499</v>
      </c>
      <c r="C1595" t="s">
        <v>40</v>
      </c>
      <c r="D1595">
        <v>6.1934699999999996</v>
      </c>
      <c r="E1595">
        <v>0.60868359999999899</v>
      </c>
      <c r="F1595" t="s">
        <v>44</v>
      </c>
      <c r="G1595">
        <v>-202.79089999999999</v>
      </c>
      <c r="H1595" s="1">
        <v>-3.346061E-6</v>
      </c>
      <c r="I1595">
        <v>362.83859999999999</v>
      </c>
      <c r="J1595">
        <v>-210.7226</v>
      </c>
      <c r="K1595">
        <v>1.1196600000000001</v>
      </c>
      <c r="L1595">
        <v>367.61720000000003</v>
      </c>
      <c r="M1595">
        <v>0.99669439999999998</v>
      </c>
      <c r="N1595">
        <v>-1.408601E-2</v>
      </c>
      <c r="O1595">
        <v>-8.0010719999999994E-2</v>
      </c>
      <c r="P1595">
        <v>0.96165449999999997</v>
      </c>
      <c r="Q1595">
        <v>-0.1064032</v>
      </c>
      <c r="R1595">
        <v>-0.25278220000000001</v>
      </c>
      <c r="S1595">
        <v>2.670013</v>
      </c>
      <c r="T1595">
        <v>-0.36876029999999999</v>
      </c>
      <c r="U1595">
        <v>-1.57962</v>
      </c>
      <c r="V1595">
        <v>0.17467289999999999</v>
      </c>
      <c r="W1595">
        <v>-9.3261029999999995E-2</v>
      </c>
      <c r="X1595">
        <v>0.98019990000000001</v>
      </c>
      <c r="Y1595">
        <v>0.43569760000000002</v>
      </c>
      <c r="Z1595">
        <v>-2.1965680000000001E-2</v>
      </c>
      <c r="AA1595">
        <v>0.89982499999999999</v>
      </c>
      <c r="AB1595">
        <v>17</v>
      </c>
      <c r="AC1595">
        <v>7.9317000000000002</v>
      </c>
      <c r="AD1595">
        <v>-1.1196633460609999</v>
      </c>
      <c r="AE1595">
        <v>-4.7786000000000399</v>
      </c>
      <c r="AF1595">
        <v>4.06910121314628</v>
      </c>
      <c r="AG1595">
        <v>-1.1196633460609999</v>
      </c>
      <c r="AH1595">
        <v>8.1692067911422193</v>
      </c>
      <c r="AI1595">
        <v>96.994226757497401</v>
      </c>
      <c r="AJ1595">
        <v>63.521996065245503</v>
      </c>
      <c r="AK1595">
        <v>9.1949535228724901</v>
      </c>
      <c r="AL1595">
        <v>95.351239559072496</v>
      </c>
      <c r="AM1595">
        <v>79.895880923408896</v>
      </c>
      <c r="AN1595">
        <v>1.00000004283553</v>
      </c>
    </row>
    <row r="1596" spans="1:40" x14ac:dyDescent="0.25">
      <c r="A1596" t="str">
        <f>"20190303154126712"</f>
        <v>20190303154126712</v>
      </c>
      <c r="B1596" t="str">
        <f>"1551598886700992"</f>
        <v>1551598886700992</v>
      </c>
      <c r="C1596" t="s">
        <v>40</v>
      </c>
      <c r="D1596">
        <v>6.2404270000000004</v>
      </c>
      <c r="E1596">
        <v>0.6084794</v>
      </c>
      <c r="F1596" t="s">
        <v>44</v>
      </c>
      <c r="G1596">
        <v>-202.64</v>
      </c>
      <c r="H1596" s="1">
        <v>-3.286184E-6</v>
      </c>
      <c r="I1596">
        <v>362.76620000000003</v>
      </c>
      <c r="J1596">
        <v>-210.5497</v>
      </c>
      <c r="K1596">
        <v>1.119656</v>
      </c>
      <c r="L1596">
        <v>367.5994</v>
      </c>
      <c r="M1596">
        <v>0.99642549999999996</v>
      </c>
      <c r="N1596">
        <v>-1.4083210000000001E-2</v>
      </c>
      <c r="O1596">
        <v>-8.3295320000000006E-2</v>
      </c>
      <c r="P1596">
        <v>0.96024750000000003</v>
      </c>
      <c r="Q1596">
        <v>-0.1054638</v>
      </c>
      <c r="R1596">
        <v>-0.25846170000000002</v>
      </c>
      <c r="S1596">
        <v>2.6593019999999998</v>
      </c>
      <c r="T1596">
        <v>-0.36839070000000002</v>
      </c>
      <c r="U1596">
        <v>-1.596069</v>
      </c>
      <c r="V1596">
        <v>0.1772251</v>
      </c>
      <c r="W1596">
        <v>-9.2340829999999999E-2</v>
      </c>
      <c r="X1596">
        <v>0.97982880000000006</v>
      </c>
      <c r="Y1596">
        <v>0.43841839999999999</v>
      </c>
      <c r="Z1596">
        <v>-2.1811110000000002E-2</v>
      </c>
      <c r="AA1596">
        <v>0.89850629999999998</v>
      </c>
      <c r="AB1596">
        <v>17</v>
      </c>
      <c r="AC1596">
        <v>7.9097000000000097</v>
      </c>
      <c r="AD1596">
        <v>-1.119659286184</v>
      </c>
      <c r="AE1596">
        <v>-4.8331999999999704</v>
      </c>
      <c r="AF1596">
        <v>4.0977081705778904</v>
      </c>
      <c r="AG1596">
        <v>-1.119659286184</v>
      </c>
      <c r="AH1596">
        <v>8.1656912981038694</v>
      </c>
      <c r="AI1596">
        <v>96.986888506075204</v>
      </c>
      <c r="AJ1596">
        <v>63.351581514496097</v>
      </c>
      <c r="AK1596">
        <v>9.2045295123807502</v>
      </c>
      <c r="AL1596">
        <v>95.298287593406002</v>
      </c>
      <c r="AM1596">
        <v>79.747554456956195</v>
      </c>
      <c r="AN1596">
        <v>1.0000000211322599</v>
      </c>
    </row>
    <row r="1597" spans="1:40" x14ac:dyDescent="0.25">
      <c r="A1597" t="str">
        <f>"20190303154126733"</f>
        <v>20190303154126733</v>
      </c>
      <c r="B1597" t="str">
        <f>"1551598886731247"</f>
        <v>1551598886731247</v>
      </c>
      <c r="C1597" t="s">
        <v>40</v>
      </c>
      <c r="D1597">
        <v>6.2467889999999997</v>
      </c>
      <c r="E1597">
        <v>0.59472709999999995</v>
      </c>
      <c r="F1597" t="s">
        <v>44</v>
      </c>
      <c r="G1597">
        <v>-202.4708</v>
      </c>
      <c r="H1597" s="1">
        <v>-3.2174579999999998E-6</v>
      </c>
      <c r="I1597">
        <v>362.69209999999998</v>
      </c>
      <c r="J1597">
        <v>-210.3887</v>
      </c>
      <c r="K1597">
        <v>1.1196489999999999</v>
      </c>
      <c r="L1597">
        <v>367.5822</v>
      </c>
      <c r="M1597">
        <v>0.99616210000000005</v>
      </c>
      <c r="N1597">
        <v>-1.40809E-2</v>
      </c>
      <c r="O1597">
        <v>-8.6388389999999995E-2</v>
      </c>
      <c r="P1597">
        <v>0.95833040000000003</v>
      </c>
      <c r="Q1597">
        <v>-0.105143</v>
      </c>
      <c r="R1597">
        <v>-0.26560780000000001</v>
      </c>
      <c r="S1597">
        <v>2.6504970000000001</v>
      </c>
      <c r="T1597">
        <v>-0.36733559999999998</v>
      </c>
      <c r="U1597">
        <v>-1.609955</v>
      </c>
      <c r="V1597">
        <v>0.18147060000000001</v>
      </c>
      <c r="W1597">
        <v>-9.2053529999999995E-2</v>
      </c>
      <c r="X1597">
        <v>0.97907840000000002</v>
      </c>
      <c r="Y1597">
        <v>0.4404052</v>
      </c>
      <c r="Z1597">
        <v>-2.158647E-2</v>
      </c>
      <c r="AA1597">
        <v>0.89753959999999999</v>
      </c>
      <c r="AB1597">
        <v>17</v>
      </c>
      <c r="AC1597">
        <v>7.9179000000000004</v>
      </c>
      <c r="AD1597">
        <v>-1.1196522174579999</v>
      </c>
      <c r="AE1597">
        <v>-4.8901000000000101</v>
      </c>
      <c r="AF1597">
        <v>4.1279801761948498</v>
      </c>
      <c r="AG1597">
        <v>-1.1196522174579999</v>
      </c>
      <c r="AH1597">
        <v>8.1922013075446003</v>
      </c>
      <c r="AI1597">
        <v>96.958726976963902</v>
      </c>
      <c r="AJ1597">
        <v>63.256855792600803</v>
      </c>
      <c r="AK1597">
        <v>9.24153686820822</v>
      </c>
      <c r="AL1597">
        <v>95.281756364015905</v>
      </c>
      <c r="AM1597">
        <v>79.499482639384794</v>
      </c>
      <c r="AN1597">
        <v>0.99999997219819003</v>
      </c>
    </row>
    <row r="1598" spans="1:40" x14ac:dyDescent="0.25">
      <c r="A1598" t="str">
        <f>"20190303154126746"</f>
        <v>20190303154126746</v>
      </c>
      <c r="B1598" t="str">
        <f>"1551598886741008"</f>
        <v>1551598886741008</v>
      </c>
      <c r="C1598" t="s">
        <v>40</v>
      </c>
      <c r="D1598">
        <v>6.1996209999999996</v>
      </c>
      <c r="E1598">
        <v>0.59423419999999905</v>
      </c>
      <c r="F1598" t="s">
        <v>44</v>
      </c>
      <c r="G1598">
        <v>-203.62559999999999</v>
      </c>
      <c r="H1598" s="1">
        <v>-3.572866E-6</v>
      </c>
      <c r="I1598">
        <v>363.71010000000001</v>
      </c>
      <c r="J1598">
        <v>-210.2886</v>
      </c>
      <c r="K1598">
        <v>1.1196349999999999</v>
      </c>
      <c r="L1598">
        <v>367.57119999999998</v>
      </c>
      <c r="M1598">
        <v>0.99599139999999997</v>
      </c>
      <c r="N1598">
        <v>-1.4079670000000001E-2</v>
      </c>
      <c r="O1598">
        <v>-8.8334869999999996E-2</v>
      </c>
      <c r="P1598">
        <v>0.95723749999999996</v>
      </c>
      <c r="Q1598">
        <v>-0.105078</v>
      </c>
      <c r="R1598">
        <v>-0.2695457</v>
      </c>
      <c r="S1598">
        <v>2.660034</v>
      </c>
      <c r="T1598">
        <v>-0.4403803</v>
      </c>
      <c r="U1598">
        <v>-1.52298</v>
      </c>
      <c r="V1598">
        <v>0.1835765</v>
      </c>
      <c r="W1598">
        <v>-9.2008199999999998E-2</v>
      </c>
      <c r="X1598">
        <v>0.97868999999999995</v>
      </c>
      <c r="Y1598">
        <v>0.41434919999999997</v>
      </c>
      <c r="Z1598">
        <v>-2.2572689999999999E-2</v>
      </c>
      <c r="AA1598">
        <v>0.90983800000000004</v>
      </c>
      <c r="AB1598">
        <v>17</v>
      </c>
      <c r="AC1598">
        <v>6.66300000000001</v>
      </c>
      <c r="AD1598">
        <v>-1.1196385728660001</v>
      </c>
      <c r="AE1598">
        <v>-3.86109999999996</v>
      </c>
      <c r="AF1598">
        <v>3.1899392500392798</v>
      </c>
      <c r="AG1598">
        <v>-1.1196385728660001</v>
      </c>
      <c r="AH1598">
        <v>6.8335995593568297</v>
      </c>
      <c r="AI1598">
        <v>98.444687818699293</v>
      </c>
      <c r="AJ1598">
        <v>64.976730484356494</v>
      </c>
      <c r="AK1598">
        <v>7.6241318122414796</v>
      </c>
      <c r="AL1598">
        <v>95.279148045530405</v>
      </c>
      <c r="AM1598">
        <v>79.376265743607206</v>
      </c>
      <c r="AN1598">
        <v>0.99999997815974395</v>
      </c>
    </row>
    <row r="1599" spans="1:40" x14ac:dyDescent="0.25">
      <c r="A1599" t="str">
        <f>"20190303154126758"</f>
        <v>20190303154126758</v>
      </c>
      <c r="B1599" t="str">
        <f>"1551598886750768"</f>
        <v>1551598886750768</v>
      </c>
      <c r="C1599" t="s">
        <v>40</v>
      </c>
      <c r="D1599">
        <v>6.2286839999999897</v>
      </c>
      <c r="E1599">
        <v>0.59456609999999999</v>
      </c>
      <c r="F1599" t="s">
        <v>44</v>
      </c>
      <c r="G1599">
        <v>-203.57149999999999</v>
      </c>
      <c r="H1599" s="1">
        <v>-3.547893E-6</v>
      </c>
      <c r="I1599">
        <v>363.69990000000001</v>
      </c>
      <c r="J1599">
        <v>-210.1977</v>
      </c>
      <c r="K1599">
        <v>1.119624</v>
      </c>
      <c r="L1599">
        <v>367.56110000000001</v>
      </c>
      <c r="M1599">
        <v>0.9958321</v>
      </c>
      <c r="N1599">
        <v>-1.407863E-2</v>
      </c>
      <c r="O1599">
        <v>-9.0113990000000005E-2</v>
      </c>
      <c r="P1599">
        <v>0.95621869999999998</v>
      </c>
      <c r="Q1599">
        <v>-0.10512349999999999</v>
      </c>
      <c r="R1599">
        <v>-0.2731209</v>
      </c>
      <c r="S1599">
        <v>2.6546479999999999</v>
      </c>
      <c r="T1599">
        <v>-0.44249080000000002</v>
      </c>
      <c r="U1599">
        <v>-1.529968</v>
      </c>
      <c r="V1599">
        <v>0.1854798</v>
      </c>
      <c r="W1599">
        <v>-9.2072459999999995E-2</v>
      </c>
      <c r="X1599">
        <v>0.97832509999999995</v>
      </c>
      <c r="Y1599">
        <v>0.41528589999999999</v>
      </c>
      <c r="Z1599">
        <v>-2.251483E-2</v>
      </c>
      <c r="AA1599">
        <v>0.90941229999999995</v>
      </c>
      <c r="AB1599">
        <v>17</v>
      </c>
      <c r="AC1599">
        <v>6.6262000000000096</v>
      </c>
      <c r="AD1599">
        <v>-1.119627547893</v>
      </c>
      <c r="AE1599">
        <v>-3.86119999999999</v>
      </c>
      <c r="AF1599">
        <v>3.1805266459625101</v>
      </c>
      <c r="AG1599">
        <v>-1.119627547893</v>
      </c>
      <c r="AH1599">
        <v>6.80223828422527</v>
      </c>
      <c r="AI1599">
        <v>98.480510971285995</v>
      </c>
      <c r="AJ1599">
        <v>64.9405916174195</v>
      </c>
      <c r="AK1599">
        <v>7.5920854359693797</v>
      </c>
      <c r="AL1599">
        <v>95.282845198963898</v>
      </c>
      <c r="AM1599">
        <v>79.264755773302497</v>
      </c>
      <c r="AN1599">
        <v>1.0000000476942399</v>
      </c>
    </row>
    <row r="1600" spans="1:40" x14ac:dyDescent="0.25">
      <c r="A1600" t="str">
        <f>"20190303154126770"</f>
        <v>20190303154126770</v>
      </c>
      <c r="B1600" t="str">
        <f>"1551598886760527"</f>
        <v>1551598886760527</v>
      </c>
      <c r="C1600" t="s">
        <v>40</v>
      </c>
      <c r="D1600">
        <v>6.2844049999999996</v>
      </c>
      <c r="E1600">
        <v>0.59484179999999998</v>
      </c>
      <c r="F1600" t="s">
        <v>44</v>
      </c>
      <c r="G1600">
        <v>-203.25479999999999</v>
      </c>
      <c r="H1600" s="1">
        <v>-3.4286129999999998E-6</v>
      </c>
      <c r="I1600">
        <v>363.51900000000001</v>
      </c>
      <c r="J1600">
        <v>-210.1046</v>
      </c>
      <c r="K1600">
        <v>1.1196090000000001</v>
      </c>
      <c r="L1600">
        <v>367.5505</v>
      </c>
      <c r="M1600">
        <v>0.99566350000000003</v>
      </c>
      <c r="N1600">
        <v>-1.407776E-2</v>
      </c>
      <c r="O1600">
        <v>-9.1957689999999995E-2</v>
      </c>
      <c r="P1600">
        <v>0.95513159999999997</v>
      </c>
      <c r="Q1600">
        <v>-0.105268899999999</v>
      </c>
      <c r="R1600">
        <v>-0.27684350000000002</v>
      </c>
      <c r="S1600">
        <v>2.6497649999999999</v>
      </c>
      <c r="T1600">
        <v>-0.42730810000000002</v>
      </c>
      <c r="U1600">
        <v>-1.542664</v>
      </c>
      <c r="V1600">
        <v>0.18747340000000001</v>
      </c>
      <c r="W1600">
        <v>-9.2238990000000007E-2</v>
      </c>
      <c r="X1600">
        <v>0.9779293</v>
      </c>
      <c r="Y1600">
        <v>0.41782059999999999</v>
      </c>
      <c r="Z1600">
        <v>-2.1869880000000001E-2</v>
      </c>
      <c r="AA1600">
        <v>0.90826629999999997</v>
      </c>
      <c r="AB1600">
        <v>17</v>
      </c>
      <c r="AC1600">
        <v>6.8498000000000099</v>
      </c>
      <c r="AD1600">
        <v>-1.119612428613</v>
      </c>
      <c r="AE1600">
        <v>-4.0314999999999896</v>
      </c>
      <c r="AF1600">
        <v>3.3186097423223901</v>
      </c>
      <c r="AG1600">
        <v>-1.119612428613</v>
      </c>
      <c r="AH1600">
        <v>7.0516106286931199</v>
      </c>
      <c r="AI1600">
        <v>98.175181972095004</v>
      </c>
      <c r="AJ1600">
        <v>64.797514419067696</v>
      </c>
      <c r="AK1600">
        <v>7.8734944637587398</v>
      </c>
      <c r="AL1600">
        <v>95.292427633563804</v>
      </c>
      <c r="AM1600">
        <v>79.147807189146903</v>
      </c>
      <c r="AN1600">
        <v>1.00000001139113</v>
      </c>
    </row>
    <row r="1601" spans="1:40" x14ac:dyDescent="0.25">
      <c r="A1601" t="str">
        <f>"20190303154126782"</f>
        <v>20190303154126782</v>
      </c>
      <c r="B1601" t="str">
        <f>"1551598886771264"</f>
        <v>1551598886771264</v>
      </c>
      <c r="C1601" t="s">
        <v>40</v>
      </c>
      <c r="D1601">
        <v>6.2695819999999998</v>
      </c>
      <c r="E1601">
        <v>0.59427739999999996</v>
      </c>
      <c r="F1601" t="s">
        <v>44</v>
      </c>
      <c r="G1601">
        <v>-203.0736</v>
      </c>
      <c r="H1601" s="1">
        <v>-3.360635E-6</v>
      </c>
      <c r="I1601">
        <v>363.4144</v>
      </c>
      <c r="J1601">
        <v>-210.01429999999999</v>
      </c>
      <c r="K1601">
        <v>1.1195930000000001</v>
      </c>
      <c r="L1601">
        <v>367.54</v>
      </c>
      <c r="M1601">
        <v>0.99549529999999997</v>
      </c>
      <c r="N1601">
        <v>-1.40771E-2</v>
      </c>
      <c r="O1601">
        <v>-9.3761339999999999E-2</v>
      </c>
      <c r="P1601">
        <v>0.95413159999999997</v>
      </c>
      <c r="Q1601">
        <v>-0.1053246</v>
      </c>
      <c r="R1601">
        <v>-0.2802501</v>
      </c>
      <c r="S1601">
        <v>2.6437529999999998</v>
      </c>
      <c r="T1601">
        <v>-0.42099140000000002</v>
      </c>
      <c r="U1601">
        <v>-1.555237</v>
      </c>
      <c r="V1601">
        <v>0.1891853</v>
      </c>
      <c r="W1601">
        <v>-9.2313919999999994E-2</v>
      </c>
      <c r="X1601">
        <v>0.97759249999999998</v>
      </c>
      <c r="Y1601">
        <v>0.42037360000000001</v>
      </c>
      <c r="Z1601">
        <v>-2.160103E-2</v>
      </c>
      <c r="AA1601">
        <v>0.90709390000000001</v>
      </c>
      <c r="AB1601">
        <v>17</v>
      </c>
      <c r="AC1601">
        <v>6.9406999999999899</v>
      </c>
      <c r="AD1601">
        <v>-1.1195963606349999</v>
      </c>
      <c r="AE1601">
        <v>-4.1256000000000199</v>
      </c>
      <c r="AF1601">
        <v>3.3913813870569198</v>
      </c>
      <c r="AG1601">
        <v>-1.1195963606349999</v>
      </c>
      <c r="AH1601">
        <v>7.1593243899459296</v>
      </c>
      <c r="AI1601">
        <v>98.044237792746003</v>
      </c>
      <c r="AJ1601">
        <v>64.653023585541703</v>
      </c>
      <c r="AK1601">
        <v>8.0006805612833993</v>
      </c>
      <c r="AL1601">
        <v>95.296739173120102</v>
      </c>
      <c r="AM1601">
        <v>79.047414741472195</v>
      </c>
      <c r="AN1601">
        <v>1.0000000168090499</v>
      </c>
    </row>
    <row r="1602" spans="1:40" x14ac:dyDescent="0.25">
      <c r="A1602" t="str">
        <f>"20190303154126794"</f>
        <v>20190303154126794</v>
      </c>
      <c r="B1602" t="str">
        <f>"1551598886790784"</f>
        <v>1551598886790784</v>
      </c>
      <c r="C1602" t="s">
        <v>40</v>
      </c>
      <c r="D1602">
        <v>6.2621690000000001</v>
      </c>
      <c r="E1602">
        <v>0.59399899999999906</v>
      </c>
      <c r="F1602" t="s">
        <v>44</v>
      </c>
      <c r="G1602">
        <v>-203.12450000000001</v>
      </c>
      <c r="H1602" s="1">
        <v>-3.3747890000000002E-6</v>
      </c>
      <c r="I1602">
        <v>363.46609999999998</v>
      </c>
      <c r="J1602">
        <v>-209.9228</v>
      </c>
      <c r="K1602">
        <v>1.119575</v>
      </c>
      <c r="L1602">
        <v>367.52929999999998</v>
      </c>
      <c r="M1602">
        <v>0.99532019999999999</v>
      </c>
      <c r="N1602">
        <v>-1.407652E-2</v>
      </c>
      <c r="O1602">
        <v>-9.5602210000000007E-2</v>
      </c>
      <c r="P1602">
        <v>0.95317779999999996</v>
      </c>
      <c r="Q1602">
        <v>-0.104611</v>
      </c>
      <c r="R1602">
        <v>-0.28374100000000002</v>
      </c>
      <c r="S1602">
        <v>2.6386409999999998</v>
      </c>
      <c r="T1602">
        <v>-0.42877860000000001</v>
      </c>
      <c r="U1602">
        <v>-1.560211</v>
      </c>
      <c r="V1602">
        <v>0.190945</v>
      </c>
      <c r="W1602">
        <v>-9.1619359999999997E-2</v>
      </c>
      <c r="X1602">
        <v>0.97731570000000001</v>
      </c>
      <c r="Y1602">
        <v>0.42061660000000001</v>
      </c>
      <c r="Z1602">
        <v>-2.1711890000000001E-2</v>
      </c>
      <c r="AA1602">
        <v>0.90697870000000003</v>
      </c>
      <c r="AB1602">
        <v>17</v>
      </c>
      <c r="AC1602">
        <v>6.7982999999999798</v>
      </c>
      <c r="AD1602">
        <v>-1.119578374789</v>
      </c>
      <c r="AE1602">
        <v>-4.0631999999999904</v>
      </c>
      <c r="AF1602">
        <v>3.3280837698372001</v>
      </c>
      <c r="AG1602">
        <v>-1.119578374789</v>
      </c>
      <c r="AH1602">
        <v>7.0154553514174696</v>
      </c>
      <c r="AI1602">
        <v>98.204681996123398</v>
      </c>
      <c r="AJ1602">
        <v>64.620659002672099</v>
      </c>
      <c r="AK1602">
        <v>7.84513932980677</v>
      </c>
      <c r="AL1602">
        <v>95.256774333416004</v>
      </c>
      <c r="AM1602">
        <v>78.944983771228706</v>
      </c>
      <c r="AN1602">
        <v>1.0000000388091399</v>
      </c>
    </row>
    <row r="1603" spans="1:40" x14ac:dyDescent="0.25">
      <c r="A1603" t="str">
        <f>"20190303154126813"</f>
        <v>20190303154126813</v>
      </c>
      <c r="B1603" t="str">
        <f>"1551598886800544"</f>
        <v>1551598886800544</v>
      </c>
      <c r="C1603" t="s">
        <v>40</v>
      </c>
      <c r="D1603">
        <v>6.2566230000000003</v>
      </c>
      <c r="E1603">
        <v>0.59402540000000004</v>
      </c>
      <c r="F1603" t="s">
        <v>44</v>
      </c>
      <c r="G1603">
        <v>-202.96109999999999</v>
      </c>
      <c r="H1603" s="1">
        <v>-3.3102530000000001E-6</v>
      </c>
      <c r="I1603">
        <v>363.38639999999998</v>
      </c>
      <c r="J1603">
        <v>-209.7884</v>
      </c>
      <c r="K1603">
        <v>1.1195539999999999</v>
      </c>
      <c r="L1603">
        <v>367.51310000000001</v>
      </c>
      <c r="M1603">
        <v>0.99505259999999995</v>
      </c>
      <c r="N1603">
        <v>-1.4075870000000001E-2</v>
      </c>
      <c r="O1603">
        <v>-9.8348229999999995E-2</v>
      </c>
      <c r="P1603">
        <v>0.95121500000000003</v>
      </c>
      <c r="Q1603">
        <v>-0.1042611</v>
      </c>
      <c r="R1603">
        <v>-0.29037929999999901</v>
      </c>
      <c r="S1603">
        <v>2.6342319999999999</v>
      </c>
      <c r="T1603">
        <v>-0.42363600000000001</v>
      </c>
      <c r="U1603">
        <v>-1.5676570000000001</v>
      </c>
      <c r="V1603">
        <v>0.19504640000000001</v>
      </c>
      <c r="W1603">
        <v>-9.1308559999999997E-2</v>
      </c>
      <c r="X1603">
        <v>0.97653449999999997</v>
      </c>
      <c r="Y1603">
        <v>0.42077680000000001</v>
      </c>
      <c r="Z1603">
        <v>-2.1171470000000001E-2</v>
      </c>
      <c r="AA1603">
        <v>0.90691710000000003</v>
      </c>
      <c r="AB1603">
        <v>17</v>
      </c>
      <c r="AC1603">
        <v>6.8273000000000001</v>
      </c>
      <c r="AD1603">
        <v>-1.1195573102529901</v>
      </c>
      <c r="AE1603">
        <v>-4.12670000000002</v>
      </c>
      <c r="AF1603">
        <v>3.3688225014580202</v>
      </c>
      <c r="AG1603">
        <v>-1.1195573102529901</v>
      </c>
      <c r="AH1603">
        <v>7.0610236406408902</v>
      </c>
      <c r="AI1603">
        <v>98.143850747799306</v>
      </c>
      <c r="AJ1603">
        <v>64.494136883386204</v>
      </c>
      <c r="AK1603">
        <v>7.9031910309039297</v>
      </c>
      <c r="AL1603">
        <v>95.238892103183304</v>
      </c>
      <c r="AM1603">
        <v>78.704764627699802</v>
      </c>
      <c r="AN1603">
        <v>0.999999990486241</v>
      </c>
    </row>
    <row r="1604" spans="1:40" x14ac:dyDescent="0.25">
      <c r="A1604" t="str">
        <f>"20190303154126828"</f>
        <v>20190303154126828</v>
      </c>
      <c r="B1604" t="str">
        <f>"1551598886821039"</f>
        <v>1551598886821039</v>
      </c>
      <c r="C1604" t="s">
        <v>40</v>
      </c>
      <c r="D1604">
        <v>6.2639699999999996</v>
      </c>
      <c r="E1604">
        <v>0.59394349999999996</v>
      </c>
      <c r="F1604" t="s">
        <v>44</v>
      </c>
      <c r="G1604">
        <v>-202.79470000000001</v>
      </c>
      <c r="H1604" s="1">
        <v>-3.2492729999999998E-6</v>
      </c>
      <c r="I1604">
        <v>363.28370000000001</v>
      </c>
      <c r="J1604">
        <v>-209.67250000000001</v>
      </c>
      <c r="K1604">
        <v>1.1195379999999999</v>
      </c>
      <c r="L1604">
        <v>367.49869999999999</v>
      </c>
      <c r="M1604">
        <v>0.99481240000000004</v>
      </c>
      <c r="N1604">
        <v>-1.407541E-2</v>
      </c>
      <c r="O1604">
        <v>-0.1007489</v>
      </c>
      <c r="P1604">
        <v>0.94996599999999998</v>
      </c>
      <c r="Q1604">
        <v>-0.1036786</v>
      </c>
      <c r="R1604">
        <v>-0.29464439999999997</v>
      </c>
      <c r="S1604">
        <v>2.6235050000000002</v>
      </c>
      <c r="T1604">
        <v>-0.4199717</v>
      </c>
      <c r="U1604">
        <v>-1.5865479999999901</v>
      </c>
      <c r="V1604">
        <v>0.1970604</v>
      </c>
      <c r="W1604">
        <v>-9.0748590000000004E-2</v>
      </c>
      <c r="X1604">
        <v>0.97618229999999995</v>
      </c>
      <c r="Y1604">
        <v>0.42503600000000002</v>
      </c>
      <c r="Z1604">
        <v>-2.1093049999999999E-2</v>
      </c>
      <c r="AA1604">
        <v>0.90493069999999998</v>
      </c>
      <c r="AB1604">
        <v>17</v>
      </c>
      <c r="AC1604">
        <v>6.8777999999999997</v>
      </c>
      <c r="AD1604">
        <v>-1.1195412492729999</v>
      </c>
      <c r="AE1604">
        <v>-4.2149999999999697</v>
      </c>
      <c r="AF1604">
        <v>3.4343972681863102</v>
      </c>
      <c r="AG1604">
        <v>-1.1195412492729999</v>
      </c>
      <c r="AH1604">
        <v>7.1301569666559903</v>
      </c>
      <c r="AI1604">
        <v>98.051648633262303</v>
      </c>
      <c r="AJ1604">
        <v>64.281183333921902</v>
      </c>
      <c r="AK1604">
        <v>7.9929716359876002</v>
      </c>
      <c r="AL1604">
        <v>95.206674400730506</v>
      </c>
      <c r="AM1604">
        <v>78.587168225049894</v>
      </c>
      <c r="AN1604">
        <v>0.99999999533421802</v>
      </c>
    </row>
    <row r="1605" spans="1:40" x14ac:dyDescent="0.25">
      <c r="A1605" t="str">
        <f>"20190303154126840"</f>
        <v>20190303154126840</v>
      </c>
      <c r="B1605" t="str">
        <f>"1551598886831073"</f>
        <v>1551598886831073</v>
      </c>
      <c r="C1605" t="s">
        <v>40</v>
      </c>
      <c r="D1605">
        <v>6.2794290000000004</v>
      </c>
      <c r="E1605">
        <v>0.59383759999999997</v>
      </c>
      <c r="F1605" t="s">
        <v>44</v>
      </c>
      <c r="G1605">
        <v>-202.58789999999999</v>
      </c>
      <c r="H1605" s="1">
        <v>-3.1695599999999901E-6</v>
      </c>
      <c r="I1605">
        <v>363.1739</v>
      </c>
      <c r="J1605">
        <v>-209.5753</v>
      </c>
      <c r="K1605">
        <v>1.1195269999999999</v>
      </c>
      <c r="L1605">
        <v>367.48649999999998</v>
      </c>
      <c r="M1605">
        <v>0.99460440000000006</v>
      </c>
      <c r="N1605">
        <v>-1.4074990000000001E-2</v>
      </c>
      <c r="O1605">
        <v>-0.1027829</v>
      </c>
      <c r="P1605">
        <v>0.94874259999999999</v>
      </c>
      <c r="Q1605">
        <v>-0.10346950000000001</v>
      </c>
      <c r="R1605">
        <v>-0.29863379999999901</v>
      </c>
      <c r="S1605">
        <v>2.6172939999999998</v>
      </c>
      <c r="T1605">
        <v>-0.41359780000000002</v>
      </c>
      <c r="U1605">
        <v>-1.5977479999999999</v>
      </c>
      <c r="V1605">
        <v>0.19915830000000001</v>
      </c>
      <c r="W1605">
        <v>-9.056119E-2</v>
      </c>
      <c r="X1605">
        <v>0.97577389999999997</v>
      </c>
      <c r="Y1605">
        <v>0.42705409999999999</v>
      </c>
      <c r="Z1605">
        <v>-2.0762300000000001E-2</v>
      </c>
      <c r="AA1605">
        <v>0.90398769999999995</v>
      </c>
      <c r="AB1605">
        <v>17</v>
      </c>
      <c r="AC1605">
        <v>6.9874000000000001</v>
      </c>
      <c r="AD1605">
        <v>-1.11953016956</v>
      </c>
      <c r="AE1605">
        <v>-4.3125999999999696</v>
      </c>
      <c r="AF1605">
        <v>3.5063181008331799</v>
      </c>
      <c r="AG1605">
        <v>-1.11953016956</v>
      </c>
      <c r="AH1605">
        <v>7.2587546864153802</v>
      </c>
      <c r="AI1605">
        <v>97.906547787279806</v>
      </c>
      <c r="AJ1605">
        <v>64.217283988907994</v>
      </c>
      <c r="AK1605">
        <v>8.13861990894911</v>
      </c>
      <c r="AL1605">
        <v>95.195892592263604</v>
      </c>
      <c r="AM1605">
        <v>78.464208570421306</v>
      </c>
      <c r="AN1605">
        <v>1.0000000307571499</v>
      </c>
    </row>
    <row r="1606" spans="1:40" x14ac:dyDescent="0.25">
      <c r="A1606" t="str">
        <f>"20190303154126852"</f>
        <v>20190303154126852</v>
      </c>
      <c r="B1606" t="str">
        <f>"1551598886840834"</f>
        <v>1551598886840834</v>
      </c>
      <c r="C1606" t="s">
        <v>40</v>
      </c>
      <c r="D1606">
        <v>6.2944089999999999</v>
      </c>
      <c r="E1606">
        <v>0.59359130000000004</v>
      </c>
      <c r="F1606" t="s">
        <v>44</v>
      </c>
      <c r="G1606">
        <v>-202.48830000000001</v>
      </c>
      <c r="H1606" s="1">
        <v>-3.130764E-6</v>
      </c>
      <c r="I1606">
        <v>363.12270000000001</v>
      </c>
      <c r="J1606">
        <v>-209.4871</v>
      </c>
      <c r="K1606">
        <v>1.1195079999999999</v>
      </c>
      <c r="L1606">
        <v>367.4753</v>
      </c>
      <c r="M1606">
        <v>0.99441009999999996</v>
      </c>
      <c r="N1606">
        <v>-1.407455E-2</v>
      </c>
      <c r="O1606">
        <v>-0.1046446</v>
      </c>
      <c r="P1606">
        <v>0.94755149999999999</v>
      </c>
      <c r="Q1606">
        <v>-0.10302799999999999</v>
      </c>
      <c r="R1606">
        <v>-0.30254189999999997</v>
      </c>
      <c r="S1606">
        <v>2.6110380000000002</v>
      </c>
      <c r="T1606">
        <v>-0.41246060000000001</v>
      </c>
      <c r="U1606">
        <v>-1.607758</v>
      </c>
      <c r="V1606">
        <v>0.2013443</v>
      </c>
      <c r="W1606">
        <v>-9.0140540000000005E-2</v>
      </c>
      <c r="X1606">
        <v>0.97536409999999996</v>
      </c>
      <c r="Y1606">
        <v>0.42885200000000001</v>
      </c>
      <c r="Z1606">
        <v>-2.0642730000000001E-2</v>
      </c>
      <c r="AA1606">
        <v>0.90313889999999997</v>
      </c>
      <c r="AB1606">
        <v>17</v>
      </c>
      <c r="AC1606">
        <v>6.9987999999999797</v>
      </c>
      <c r="AD1606">
        <v>-1.119511130764</v>
      </c>
      <c r="AE1606">
        <v>-4.35259999999999</v>
      </c>
      <c r="AF1606">
        <v>3.5310889084858101</v>
      </c>
      <c r="AG1606">
        <v>-1.119511130764</v>
      </c>
      <c r="AH1606">
        <v>7.2815405553425299</v>
      </c>
      <c r="AI1606">
        <v>97.876218210071201</v>
      </c>
      <c r="AJ1606">
        <v>64.129534060622206</v>
      </c>
      <c r="AK1606">
        <v>8.1696222012179902</v>
      </c>
      <c r="AL1606">
        <v>95.171692376230098</v>
      </c>
      <c r="AM1606">
        <v>78.336273603879704</v>
      </c>
      <c r="AN1606">
        <v>0.99999998583139504</v>
      </c>
    </row>
    <row r="1607" spans="1:40" x14ac:dyDescent="0.25">
      <c r="A1607" t="str">
        <f>"20190303154126868"</f>
        <v>20190303154126868</v>
      </c>
      <c r="B1607" t="str">
        <f>"1551598886861329"</f>
        <v>1551598886861329</v>
      </c>
      <c r="C1607" t="s">
        <v>40</v>
      </c>
      <c r="D1607">
        <v>6.3117519999999896</v>
      </c>
      <c r="E1607">
        <v>0.59308159999999999</v>
      </c>
      <c r="F1607" t="s">
        <v>44</v>
      </c>
      <c r="G1607">
        <v>-202.4307</v>
      </c>
      <c r="H1607" s="1">
        <v>-3.107826E-6</v>
      </c>
      <c r="I1607">
        <v>363.09539999999998</v>
      </c>
      <c r="J1607">
        <v>-209.3707</v>
      </c>
      <c r="K1607">
        <v>1.1195029999999999</v>
      </c>
      <c r="L1607">
        <v>367.46010000000001</v>
      </c>
      <c r="M1607">
        <v>0.99414559999999996</v>
      </c>
      <c r="N1607">
        <v>-1.407391E-2</v>
      </c>
      <c r="O1607">
        <v>-0.10712820000000001</v>
      </c>
      <c r="P1607">
        <v>0.94555599999999995</v>
      </c>
      <c r="Q1607">
        <v>-0.1021128</v>
      </c>
      <c r="R1607">
        <v>-0.309025299999999</v>
      </c>
      <c r="S1607">
        <v>2.604889</v>
      </c>
      <c r="T1607">
        <v>-0.41326930000000001</v>
      </c>
      <c r="U1607">
        <v>-1.6168209999999901</v>
      </c>
      <c r="V1607">
        <v>0.2055718</v>
      </c>
      <c r="W1607">
        <v>-8.9260240000000005E-2</v>
      </c>
      <c r="X1607">
        <v>0.97456290000000001</v>
      </c>
      <c r="Y1607">
        <v>0.42981409999999998</v>
      </c>
      <c r="Z1607">
        <v>-2.0451159999999999E-2</v>
      </c>
      <c r="AA1607">
        <v>0.90268579999999998</v>
      </c>
      <c r="AB1607">
        <v>17</v>
      </c>
      <c r="AC1607">
        <v>6.9399999999999897</v>
      </c>
      <c r="AD1607">
        <v>-1.119506107826</v>
      </c>
      <c r="AE1607">
        <v>-4.3647000000000196</v>
      </c>
      <c r="AF1607">
        <v>3.5302085462545998</v>
      </c>
      <c r="AG1607">
        <v>-1.119506107826</v>
      </c>
      <c r="AH1607">
        <v>7.2328175942228699</v>
      </c>
      <c r="AI1607">
        <v>97.918888766889907</v>
      </c>
      <c r="AJ1607">
        <v>63.983826614463602</v>
      </c>
      <c r="AK1607">
        <v>8.1258425198134798</v>
      </c>
      <c r="AL1607">
        <v>95.121050675849105</v>
      </c>
      <c r="AM1607">
        <v>78.088788041979299</v>
      </c>
      <c r="AN1607">
        <v>1.0000000007282499</v>
      </c>
    </row>
    <row r="1608" spans="1:40" x14ac:dyDescent="0.25">
      <c r="A1608" t="str">
        <f>"20190303154126879"</f>
        <v>20190303154126879</v>
      </c>
      <c r="B1608" t="str">
        <f>"1551598886871090"</f>
        <v>1551598886871090</v>
      </c>
      <c r="C1608" t="s">
        <v>40</v>
      </c>
      <c r="D1608">
        <v>6.3209059999999999</v>
      </c>
      <c r="E1608">
        <v>0.59289720000000001</v>
      </c>
      <c r="F1608" t="s">
        <v>44</v>
      </c>
      <c r="G1608">
        <v>-202.30619999999999</v>
      </c>
      <c r="H1608" s="1">
        <v>-3.0615939999999999E-6</v>
      </c>
      <c r="I1608">
        <v>363.02140000000003</v>
      </c>
      <c r="J1608">
        <v>-209.28579999999999</v>
      </c>
      <c r="K1608">
        <v>1.1195040000000001</v>
      </c>
      <c r="L1608">
        <v>367.44880000000001</v>
      </c>
      <c r="M1608">
        <v>0.99394740000000004</v>
      </c>
      <c r="N1608">
        <v>-1.407334E-2</v>
      </c>
      <c r="O1608">
        <v>-0.10895349999999999</v>
      </c>
      <c r="P1608">
        <v>0.94436229999999999</v>
      </c>
      <c r="Q1608">
        <v>-0.101741</v>
      </c>
      <c r="R1608">
        <v>-0.312776</v>
      </c>
      <c r="S1608">
        <v>2.595383</v>
      </c>
      <c r="T1608">
        <v>-0.41128609999999999</v>
      </c>
      <c r="U1608">
        <v>-1.630676</v>
      </c>
      <c r="V1608">
        <v>0.2076431</v>
      </c>
      <c r="W1608">
        <v>-8.8906609999999997E-2</v>
      </c>
      <c r="X1608">
        <v>0.97415600000000002</v>
      </c>
      <c r="Y1608">
        <v>0.4331026</v>
      </c>
      <c r="Z1608">
        <v>-2.043625E-2</v>
      </c>
      <c r="AA1608">
        <v>0.90111289999999999</v>
      </c>
      <c r="AB1608">
        <v>17</v>
      </c>
      <c r="AC1608">
        <v>6.9795999999999996</v>
      </c>
      <c r="AD1608">
        <v>-1.1195070615939999</v>
      </c>
      <c r="AE1608">
        <v>-4.4273999999999702</v>
      </c>
      <c r="AF1608">
        <v>3.5749273286362699</v>
      </c>
      <c r="AG1608">
        <v>-1.1195070615939999</v>
      </c>
      <c r="AH1608">
        <v>7.2867905589614397</v>
      </c>
      <c r="AI1608">
        <v>97.853251623371605</v>
      </c>
      <c r="AJ1608">
        <v>63.867254340851503</v>
      </c>
      <c r="AK1608">
        <v>8.1933337608179304</v>
      </c>
      <c r="AL1608">
        <v>95.100708411122298</v>
      </c>
      <c r="AM1608">
        <v>77.967373834222798</v>
      </c>
      <c r="AN1608">
        <v>0.99999997730765</v>
      </c>
    </row>
    <row r="1609" spans="1:40" x14ac:dyDescent="0.25">
      <c r="A1609" t="str">
        <f>"20190303154126902"</f>
        <v>20190303154126902</v>
      </c>
      <c r="B1609" t="str">
        <f>"1551598886890610"</f>
        <v>1551598886890610</v>
      </c>
      <c r="C1609" t="s">
        <v>40</v>
      </c>
      <c r="D1609">
        <v>6.2901059999999998</v>
      </c>
      <c r="E1609">
        <v>0.59227810000000003</v>
      </c>
      <c r="F1609" t="s">
        <v>44</v>
      </c>
      <c r="G1609">
        <v>-202.21899999999999</v>
      </c>
      <c r="H1609" s="1">
        <v>-3.028088E-6</v>
      </c>
      <c r="I1609">
        <v>362.97449999999998</v>
      </c>
      <c r="J1609">
        <v>-209.12049999999999</v>
      </c>
      <c r="K1609">
        <v>1.1195059999999999</v>
      </c>
      <c r="L1609">
        <v>367.42630000000003</v>
      </c>
      <c r="M1609">
        <v>0.99354830000000005</v>
      </c>
      <c r="N1609">
        <v>-1.4071810000000001E-2</v>
      </c>
      <c r="O1609">
        <v>-0.112534</v>
      </c>
      <c r="P1609">
        <v>0.94214039999999999</v>
      </c>
      <c r="Q1609">
        <v>-0.1002156</v>
      </c>
      <c r="R1609">
        <v>-0.31988870000000003</v>
      </c>
      <c r="S1609">
        <v>2.5895389999999998</v>
      </c>
      <c r="T1609">
        <v>-0.41022989999999998</v>
      </c>
      <c r="U1609">
        <v>-1.63952599999999</v>
      </c>
      <c r="V1609">
        <v>0.2114588</v>
      </c>
      <c r="W1609">
        <v>-8.7411559999999999E-2</v>
      </c>
      <c r="X1609">
        <v>0.97347030000000001</v>
      </c>
      <c r="Y1609">
        <v>0.4330176</v>
      </c>
      <c r="Z1609">
        <v>-1.994868E-2</v>
      </c>
      <c r="AA1609">
        <v>0.90116470000000004</v>
      </c>
      <c r="AB1609">
        <v>17</v>
      </c>
      <c r="AC1609">
        <v>6.9014999999999702</v>
      </c>
      <c r="AD1609">
        <v>-1.11950902808799</v>
      </c>
      <c r="AE1609">
        <v>-4.4518000000000404</v>
      </c>
      <c r="AF1609">
        <v>3.5802595375080402</v>
      </c>
      <c r="AG1609">
        <v>-1.11950902808799</v>
      </c>
      <c r="AH1609">
        <v>7.22444038198371</v>
      </c>
      <c r="AI1609">
        <v>97.904778470470802</v>
      </c>
      <c r="AJ1609">
        <v>63.638086948385698</v>
      </c>
      <c r="AK1609">
        <v>8.14027626390682</v>
      </c>
      <c r="AL1609">
        <v>95.014713327474098</v>
      </c>
      <c r="AM1609">
        <v>77.744509820727799</v>
      </c>
      <c r="AN1609">
        <v>1.0000000149505801</v>
      </c>
    </row>
    <row r="1610" spans="1:40" x14ac:dyDescent="0.25">
      <c r="A1610" t="str">
        <f>"20190303154126924"</f>
        <v>20190303154126924</v>
      </c>
      <c r="B1610" t="str">
        <f>"1551598886920865"</f>
        <v>1551598886920865</v>
      </c>
      <c r="C1610" t="s">
        <v>40</v>
      </c>
      <c r="D1610">
        <v>6.2609120000000003</v>
      </c>
      <c r="E1610">
        <v>0.59170970000000001</v>
      </c>
      <c r="F1610" t="s">
        <v>44</v>
      </c>
      <c r="G1610">
        <v>-202.03440000000001</v>
      </c>
      <c r="H1610" s="1">
        <v>-2.9556569999999998E-6</v>
      </c>
      <c r="I1610">
        <v>362.88229999999999</v>
      </c>
      <c r="J1610">
        <v>-208.95650000000001</v>
      </c>
      <c r="K1610">
        <v>1.119526</v>
      </c>
      <c r="L1610">
        <v>367.4033</v>
      </c>
      <c r="M1610">
        <v>0.99313600000000002</v>
      </c>
      <c r="N1610">
        <v>-1.4069709999999999E-2</v>
      </c>
      <c r="O1610">
        <v>-0.1161152</v>
      </c>
      <c r="P1610">
        <v>0.93984769999999895</v>
      </c>
      <c r="Q1610">
        <v>-9.7910399999999995E-2</v>
      </c>
      <c r="R1610">
        <v>-0.32726090000000002</v>
      </c>
      <c r="S1610">
        <v>2.5793300000000001</v>
      </c>
      <c r="T1610">
        <v>-0.407495</v>
      </c>
      <c r="U1610">
        <v>-1.6539919999999999</v>
      </c>
      <c r="V1610">
        <v>0.2155511</v>
      </c>
      <c r="W1610">
        <v>-8.5134669999999996E-2</v>
      </c>
      <c r="X1610">
        <v>0.97277429999999998</v>
      </c>
      <c r="Y1610">
        <v>0.43501299999999998</v>
      </c>
      <c r="Z1610">
        <v>-1.9583199999999999E-2</v>
      </c>
      <c r="AA1610">
        <v>0.90021119999999899</v>
      </c>
      <c r="AB1610">
        <v>17</v>
      </c>
      <c r="AC1610">
        <v>6.9221000000000004</v>
      </c>
      <c r="AD1610">
        <v>-1.1195289556569901</v>
      </c>
      <c r="AE1610">
        <v>-4.5210000000000097</v>
      </c>
      <c r="AF1610">
        <v>3.62019279063892</v>
      </c>
      <c r="AG1610">
        <v>-1.1195289556569901</v>
      </c>
      <c r="AH1610">
        <v>7.2670295936482896</v>
      </c>
      <c r="AI1610">
        <v>97.851162011812903</v>
      </c>
      <c r="AJ1610">
        <v>63.519038674924303</v>
      </c>
      <c r="AK1610">
        <v>8.1956610495376498</v>
      </c>
      <c r="AL1610">
        <v>94.883768895714496</v>
      </c>
      <c r="AM1610">
        <v>77.506050380552296</v>
      </c>
      <c r="AN1610">
        <v>1.0000000137438501</v>
      </c>
    </row>
    <row r="1611" spans="1:40" x14ac:dyDescent="0.25">
      <c r="A1611" t="str">
        <f>"20190303154126938"</f>
        <v>20190303154126938</v>
      </c>
      <c r="B1611" t="str">
        <f>"1551598886930626"</f>
        <v>1551598886930626</v>
      </c>
      <c r="C1611" t="s">
        <v>40</v>
      </c>
      <c r="D1611">
        <v>6.2464979999999999</v>
      </c>
      <c r="E1611">
        <v>0.59148400000000001</v>
      </c>
      <c r="F1611" t="s">
        <v>44</v>
      </c>
      <c r="G1611">
        <v>-201.80359999999999</v>
      </c>
      <c r="H1611" s="1">
        <v>-2.868179E-6</v>
      </c>
      <c r="I1611">
        <v>362.75299999999999</v>
      </c>
      <c r="J1611">
        <v>-208.84719999999999</v>
      </c>
      <c r="K1611">
        <v>1.1195379999999999</v>
      </c>
      <c r="L1611">
        <v>367.38780000000003</v>
      </c>
      <c r="M1611">
        <v>0.99285330000000005</v>
      </c>
      <c r="N1611">
        <v>-1.4067959999999999E-2</v>
      </c>
      <c r="O1611">
        <v>-0.11850910000000001</v>
      </c>
      <c r="P1611">
        <v>0.93846640000000003</v>
      </c>
      <c r="Q1611">
        <v>-9.6695169999999997E-2</v>
      </c>
      <c r="R1611">
        <v>-0.33155829999999997</v>
      </c>
      <c r="S1611">
        <v>2.5686650000000002</v>
      </c>
      <c r="T1611">
        <v>-0.4020302</v>
      </c>
      <c r="U1611">
        <v>-1.6699520000000001</v>
      </c>
      <c r="V1611">
        <v>0.21764500000000001</v>
      </c>
      <c r="W1611">
        <v>-8.3932640000000003E-2</v>
      </c>
      <c r="X1611">
        <v>0.97241250000000001</v>
      </c>
      <c r="Y1611">
        <v>0.43853920000000002</v>
      </c>
      <c r="Z1611">
        <v>-1.9395809999999999E-2</v>
      </c>
      <c r="AA1611">
        <v>0.89850269999999999</v>
      </c>
      <c r="AB1611">
        <v>17</v>
      </c>
      <c r="AC1611">
        <v>7.0435999999999899</v>
      </c>
      <c r="AD1611">
        <v>-1.119540868179</v>
      </c>
      <c r="AE1611">
        <v>-4.6347999999999798</v>
      </c>
      <c r="AF1611">
        <v>3.7020519349625798</v>
      </c>
      <c r="AG1611">
        <v>-1.119540868179</v>
      </c>
      <c r="AH1611">
        <v>7.4125910217236797</v>
      </c>
      <c r="AI1611">
        <v>97.695107058461602</v>
      </c>
      <c r="AJ1611">
        <v>63.4611954793141</v>
      </c>
      <c r="AK1611">
        <v>8.36092494524509</v>
      </c>
      <c r="AL1611">
        <v>94.814650059756303</v>
      </c>
      <c r="AM1611">
        <v>77.384004507964093</v>
      </c>
      <c r="AN1611">
        <v>1.0000000521193</v>
      </c>
    </row>
    <row r="1612" spans="1:40" x14ac:dyDescent="0.25">
      <c r="A1612" t="str">
        <f>"20190303154126952"</f>
        <v>20190303154126952</v>
      </c>
      <c r="B1612" t="str">
        <f>"1551598886940385"</f>
        <v>1551598886940385</v>
      </c>
      <c r="C1612" t="s">
        <v>40</v>
      </c>
      <c r="D1612">
        <v>6.2828580000000001</v>
      </c>
      <c r="E1612">
        <v>0.59122039999999998</v>
      </c>
      <c r="F1612" t="s">
        <v>44</v>
      </c>
      <c r="G1612">
        <v>-201.65809999999999</v>
      </c>
      <c r="H1612" s="1">
        <v>-2.8125140000000001E-6</v>
      </c>
      <c r="I1612">
        <v>362.67380000000003</v>
      </c>
      <c r="J1612">
        <v>-208.7474</v>
      </c>
      <c r="K1612">
        <v>1.1195520000000001</v>
      </c>
      <c r="L1612">
        <v>367.3732</v>
      </c>
      <c r="M1612">
        <v>0.99258950000000001</v>
      </c>
      <c r="N1612">
        <v>-1.4065970000000001E-2</v>
      </c>
      <c r="O1612">
        <v>-0.1206989</v>
      </c>
      <c r="P1612">
        <v>0.93717740000000005</v>
      </c>
      <c r="Q1612">
        <v>-9.5244350000000005E-2</v>
      </c>
      <c r="R1612">
        <v>-0.33560050000000002</v>
      </c>
      <c r="S1612">
        <v>2.5620729999999998</v>
      </c>
      <c r="T1612">
        <v>-0.39898319999999998</v>
      </c>
      <c r="U1612">
        <v>-1.679962</v>
      </c>
      <c r="V1612">
        <v>0.2196776</v>
      </c>
      <c r="W1612">
        <v>-8.2493189999999994E-2</v>
      </c>
      <c r="X1612">
        <v>0.97207849999999996</v>
      </c>
      <c r="Y1612">
        <v>0.4401157</v>
      </c>
      <c r="Z1612">
        <v>-1.9156010000000001E-2</v>
      </c>
      <c r="AA1612">
        <v>0.89773670000000005</v>
      </c>
      <c r="AB1612">
        <v>17</v>
      </c>
      <c r="AC1612">
        <v>7.0892999999999997</v>
      </c>
      <c r="AD1612">
        <v>-1.119554812514</v>
      </c>
      <c r="AE1612">
        <v>-4.6993999999999598</v>
      </c>
      <c r="AF1612">
        <v>3.7444058749139502</v>
      </c>
      <c r="AG1612">
        <v>-1.119554812514</v>
      </c>
      <c r="AH1612">
        <v>7.4752143529997497</v>
      </c>
      <c r="AI1612">
        <v>97.627028191204701</v>
      </c>
      <c r="AJ1612">
        <v>63.393275637215801</v>
      </c>
      <c r="AK1612">
        <v>8.4352123836692403</v>
      </c>
      <c r="AL1612">
        <v>94.731888896902504</v>
      </c>
      <c r="AM1612">
        <v>77.265774089917301</v>
      </c>
      <c r="AN1612">
        <v>0.99999999225019298</v>
      </c>
    </row>
    <row r="1613" spans="1:40" x14ac:dyDescent="0.25">
      <c r="A1613" t="str">
        <f>"20190303154126964"</f>
        <v>20190303154126964</v>
      </c>
      <c r="B1613" t="str">
        <f>"1551598886960882"</f>
        <v>1551598886960882</v>
      </c>
      <c r="C1613" t="s">
        <v>40</v>
      </c>
      <c r="D1613">
        <v>6.2735409999999998</v>
      </c>
      <c r="E1613">
        <v>0.5907637</v>
      </c>
      <c r="F1613" t="s">
        <v>44</v>
      </c>
      <c r="G1613">
        <v>-201.51570000000001</v>
      </c>
      <c r="H1613" s="1">
        <v>-2.7583930000000002E-6</v>
      </c>
      <c r="I1613">
        <v>362.59480000000002</v>
      </c>
      <c r="J1613">
        <v>-208.65600000000001</v>
      </c>
      <c r="K1613">
        <v>1.1195679999999999</v>
      </c>
      <c r="L1613">
        <v>367.35969999999998</v>
      </c>
      <c r="M1613">
        <v>0.99234359999999999</v>
      </c>
      <c r="N1613">
        <v>-1.406401E-2</v>
      </c>
      <c r="O1613">
        <v>-0.12270440000000001</v>
      </c>
      <c r="P1613">
        <v>0.93589999999999995</v>
      </c>
      <c r="Q1613">
        <v>-9.4321820000000001E-2</v>
      </c>
      <c r="R1613">
        <v>-0.33940310000000001</v>
      </c>
      <c r="S1613">
        <v>2.556076</v>
      </c>
      <c r="T1613">
        <v>-0.39571269999999997</v>
      </c>
      <c r="U1613">
        <v>-1.688965</v>
      </c>
      <c r="V1613">
        <v>0.22165180000000001</v>
      </c>
      <c r="W1613">
        <v>-8.1581699999999993E-2</v>
      </c>
      <c r="X1613">
        <v>0.97170719999999999</v>
      </c>
      <c r="Y1613">
        <v>0.44151839999999998</v>
      </c>
      <c r="Z1613">
        <v>-1.8918379999999999E-2</v>
      </c>
      <c r="AA1613">
        <v>0.89705279999999998</v>
      </c>
      <c r="AB1613">
        <v>17</v>
      </c>
      <c r="AC1613">
        <v>7.1402999999999599</v>
      </c>
      <c r="AD1613">
        <v>-1.1195707583929999</v>
      </c>
      <c r="AE1613">
        <v>-4.7648999999999502</v>
      </c>
      <c r="AF1613">
        <v>3.7882151557109598</v>
      </c>
      <c r="AG1613">
        <v>-1.1195707583929999</v>
      </c>
      <c r="AH1613">
        <v>7.5427612546700598</v>
      </c>
      <c r="AI1613">
        <v>97.555667634308506</v>
      </c>
      <c r="AJ1613">
        <v>63.332738394867597</v>
      </c>
      <c r="AK1613">
        <v>8.5145322886203694</v>
      </c>
      <c r="AL1613">
        <v>94.679487751407507</v>
      </c>
      <c r="AM1613">
        <v>77.150368853745405</v>
      </c>
      <c r="AN1613">
        <v>0.99999998837498405</v>
      </c>
    </row>
    <row r="1614" spans="1:40" x14ac:dyDescent="0.25">
      <c r="A1614" t="str">
        <f>"20190303154126979"</f>
        <v>20190303154126979</v>
      </c>
      <c r="B1614" t="str">
        <f>"1551598886970641"</f>
        <v>1551598886970641</v>
      </c>
      <c r="C1614" t="s">
        <v>40</v>
      </c>
      <c r="D1614">
        <v>6.2446159999999997</v>
      </c>
      <c r="E1614">
        <v>0.59055489999999999</v>
      </c>
      <c r="F1614" t="s">
        <v>44</v>
      </c>
      <c r="G1614">
        <v>-201.42679999999999</v>
      </c>
      <c r="H1614" s="1">
        <v>-2.7186830000000001E-6</v>
      </c>
      <c r="I1614">
        <v>362.55239999999998</v>
      </c>
      <c r="J1614">
        <v>-208.54580000000001</v>
      </c>
      <c r="K1614">
        <v>1.1195889999999999</v>
      </c>
      <c r="L1614">
        <v>367.34320000000002</v>
      </c>
      <c r="M1614">
        <v>0.99204170000000003</v>
      </c>
      <c r="N1614">
        <v>-1.4061499999999999E-2</v>
      </c>
      <c r="O1614">
        <v>-0.12512280000000001</v>
      </c>
      <c r="P1614">
        <v>0.93379160000000005</v>
      </c>
      <c r="Q1614">
        <v>-9.2910900000000005E-2</v>
      </c>
      <c r="R1614">
        <v>-0.34554430000000003</v>
      </c>
      <c r="S1614">
        <v>2.550583</v>
      </c>
      <c r="T1614">
        <v>-0.39500469999999999</v>
      </c>
      <c r="U1614">
        <v>-1.6961059999999999</v>
      </c>
      <c r="V1614">
        <v>0.2256502</v>
      </c>
      <c r="W1614">
        <v>-8.0195069999999993E-2</v>
      </c>
      <c r="X1614">
        <v>0.97090200000000004</v>
      </c>
      <c r="Y1614">
        <v>0.44198520000000002</v>
      </c>
      <c r="Z1614">
        <v>-1.864739E-2</v>
      </c>
      <c r="AA1614">
        <v>0.89682850000000003</v>
      </c>
      <c r="AB1614">
        <v>17</v>
      </c>
      <c r="AC1614">
        <v>7.1190000000000202</v>
      </c>
      <c r="AD1614">
        <v>-1.119591718683</v>
      </c>
      <c r="AE1614">
        <v>-4.7908000000000399</v>
      </c>
      <c r="AF1614">
        <v>3.7976556448422198</v>
      </c>
      <c r="AG1614">
        <v>-1.119591718683</v>
      </c>
      <c r="AH1614">
        <v>7.53427899810056</v>
      </c>
      <c r="AI1614">
        <v>97.558758740794502</v>
      </c>
      <c r="AJ1614">
        <v>63.249597348071099</v>
      </c>
      <c r="AK1614">
        <v>8.51122987790629</v>
      </c>
      <c r="AL1614">
        <v>94.599778551914497</v>
      </c>
      <c r="AM1614">
        <v>76.915999001618999</v>
      </c>
      <c r="AN1614">
        <v>0.99999997780817196</v>
      </c>
    </row>
    <row r="1615" spans="1:40" x14ac:dyDescent="0.25">
      <c r="A1615" t="str">
        <f>"20190303154126992"</f>
        <v>20190303154126992</v>
      </c>
      <c r="B1615" t="str">
        <f>"1551598886981378"</f>
        <v>1551598886981378</v>
      </c>
      <c r="C1615" t="s">
        <v>40</v>
      </c>
      <c r="D1615">
        <v>6.2708949999999897</v>
      </c>
      <c r="E1615">
        <v>0.5902847</v>
      </c>
      <c r="F1615" t="s">
        <v>44</v>
      </c>
      <c r="G1615">
        <v>-201.2654</v>
      </c>
      <c r="H1615" s="1">
        <v>-2.6530569999999999E-6</v>
      </c>
      <c r="I1615">
        <v>362.43990000000002</v>
      </c>
      <c r="J1615">
        <v>-208.452</v>
      </c>
      <c r="K1615">
        <v>1.1196010000000001</v>
      </c>
      <c r="L1615">
        <v>367.32889999999998</v>
      </c>
      <c r="M1615">
        <v>0.99177999999999999</v>
      </c>
      <c r="N1615">
        <v>-1.405913E-2</v>
      </c>
      <c r="O1615">
        <v>-0.12718090000000001</v>
      </c>
      <c r="P1615">
        <v>0.93243220000000004</v>
      </c>
      <c r="Q1615">
        <v>-9.2503459999999996E-2</v>
      </c>
      <c r="R1615">
        <v>-0.3493039</v>
      </c>
      <c r="S1615">
        <v>2.5406650000000002</v>
      </c>
      <c r="T1615">
        <v>-0.39070759999999899</v>
      </c>
      <c r="U1615">
        <v>-1.7111209999999999</v>
      </c>
      <c r="V1615">
        <v>0.2275433</v>
      </c>
      <c r="W1615">
        <v>-7.9797859999999998E-2</v>
      </c>
      <c r="X1615">
        <v>0.97049280000000004</v>
      </c>
      <c r="Y1615">
        <v>0.44543100000000002</v>
      </c>
      <c r="Z1615">
        <v>-1.8541530000000001E-2</v>
      </c>
      <c r="AA1615">
        <v>0.89512429999999998</v>
      </c>
      <c r="AB1615">
        <v>17</v>
      </c>
      <c r="AC1615">
        <v>7.1865999999999897</v>
      </c>
      <c r="AD1615">
        <v>-1.1196036530569999</v>
      </c>
      <c r="AE1615">
        <v>-4.8889999999999496</v>
      </c>
      <c r="AF1615">
        <v>3.8709757459177401</v>
      </c>
      <c r="AG1615">
        <v>-1.1196036530569999</v>
      </c>
      <c r="AH1615">
        <v>7.6235887182725097</v>
      </c>
      <c r="AI1615">
        <v>97.460254452650005</v>
      </c>
      <c r="AJ1615">
        <v>63.080228329440402</v>
      </c>
      <c r="AK1615">
        <v>8.6230545928223101</v>
      </c>
      <c r="AL1615">
        <v>94.576946989007098</v>
      </c>
      <c r="AM1615">
        <v>76.804685633909699</v>
      </c>
      <c r="AN1615">
        <v>0.99999996334365404</v>
      </c>
    </row>
    <row r="1616" spans="1:40" x14ac:dyDescent="0.25">
      <c r="A1616" t="str">
        <f>"20190303154127003"</f>
        <v>20190303154127003</v>
      </c>
      <c r="B1616" t="str">
        <f>"1551598887000897"</f>
        <v>1551598887000897</v>
      </c>
      <c r="C1616" t="s">
        <v>40</v>
      </c>
      <c r="D1616">
        <v>6.252796</v>
      </c>
      <c r="E1616">
        <v>0.58980379999999999</v>
      </c>
      <c r="F1616" t="s">
        <v>44</v>
      </c>
      <c r="G1616">
        <v>-201.1798</v>
      </c>
      <c r="H1616" s="1">
        <v>-2.6143429999999998E-6</v>
      </c>
      <c r="I1616">
        <v>362.39510000000001</v>
      </c>
      <c r="J1616">
        <v>-208.3656</v>
      </c>
      <c r="K1616">
        <v>1.1196120000000001</v>
      </c>
      <c r="L1616">
        <v>367.31560000000002</v>
      </c>
      <c r="M1616">
        <v>0.99153539999999996</v>
      </c>
      <c r="N1616">
        <v>-1.4056880000000001E-2</v>
      </c>
      <c r="O1616">
        <v>-0.12907370000000001</v>
      </c>
      <c r="P1616">
        <v>0.93103959999999997</v>
      </c>
      <c r="Q1616">
        <v>-9.2642260000000004E-2</v>
      </c>
      <c r="R1616">
        <v>-0.35296339999999998</v>
      </c>
      <c r="S1616">
        <v>2.5345</v>
      </c>
      <c r="T1616">
        <v>-0.39020719999999998</v>
      </c>
      <c r="U1616">
        <v>-1.719543</v>
      </c>
      <c r="V1616">
        <v>0.22950219999999999</v>
      </c>
      <c r="W1616">
        <v>-7.9948439999999996E-2</v>
      </c>
      <c r="X1616">
        <v>0.97001899999999996</v>
      </c>
      <c r="Y1616">
        <v>0.4467759</v>
      </c>
      <c r="Z1616">
        <v>-1.841431E-2</v>
      </c>
      <c r="AA1616">
        <v>0.89445629999999998</v>
      </c>
      <c r="AB1616">
        <v>17</v>
      </c>
      <c r="AC1616">
        <v>7.1858000000000004</v>
      </c>
      <c r="AD1616">
        <v>-1.1196146143429999</v>
      </c>
      <c r="AE1616">
        <v>-4.9204999999999997</v>
      </c>
      <c r="AF1616">
        <v>3.88749319902491</v>
      </c>
      <c r="AG1616">
        <v>-1.1196146143429999</v>
      </c>
      <c r="AH1616">
        <v>7.6346692881460898</v>
      </c>
      <c r="AI1616">
        <v>97.445376673388694</v>
      </c>
      <c r="AJ1616">
        <v>63.015284730547997</v>
      </c>
      <c r="AK1616">
        <v>8.6402728774313893</v>
      </c>
      <c r="AL1616">
        <v>94.585602363873505</v>
      </c>
      <c r="AM1616">
        <v>76.688844538936905</v>
      </c>
      <c r="AN1616">
        <v>0.99999993661213404</v>
      </c>
    </row>
    <row r="1617" spans="1:40" x14ac:dyDescent="0.25">
      <c r="A1617" t="str">
        <f>"20190303154127016"</f>
        <v>20190303154127016</v>
      </c>
      <c r="B1617" t="str">
        <f>"1551598887010658"</f>
        <v>1551598887010658</v>
      </c>
      <c r="C1617" t="s">
        <v>40</v>
      </c>
      <c r="D1617">
        <v>6.2427020000000004</v>
      </c>
      <c r="E1617">
        <v>0.58960859999999904</v>
      </c>
      <c r="F1617" t="s">
        <v>44</v>
      </c>
      <c r="G1617">
        <v>-201.16239999999999</v>
      </c>
      <c r="H1617" s="1">
        <v>-2.6030459999999999E-6</v>
      </c>
      <c r="I1617">
        <v>362.39890000000003</v>
      </c>
      <c r="J1617">
        <v>-208.27420000000001</v>
      </c>
      <c r="K1617">
        <v>1.1196219999999999</v>
      </c>
      <c r="L1617">
        <v>367.3014</v>
      </c>
      <c r="M1617">
        <v>0.99127270000000001</v>
      </c>
      <c r="N1617">
        <v>-1.405446E-2</v>
      </c>
      <c r="O1617">
        <v>-0.13107650000000001</v>
      </c>
      <c r="P1617">
        <v>0.929593</v>
      </c>
      <c r="Q1617">
        <v>-9.2719209999999996E-2</v>
      </c>
      <c r="R1617">
        <v>-0.35673640000000001</v>
      </c>
      <c r="S1617">
        <v>2.5287630000000001</v>
      </c>
      <c r="T1617">
        <v>-0.3930556</v>
      </c>
      <c r="U1617">
        <v>-1.7260740000000001</v>
      </c>
      <c r="V1617">
        <v>0.2314764</v>
      </c>
      <c r="W1617">
        <v>-8.0037090000000005E-2</v>
      </c>
      <c r="X1617">
        <v>0.96954260000000003</v>
      </c>
      <c r="Y1617">
        <v>0.44745249999999998</v>
      </c>
      <c r="Z1617">
        <v>-1.8333869999999999E-2</v>
      </c>
      <c r="AA1617">
        <v>0.89411969999999996</v>
      </c>
      <c r="AB1617">
        <v>17</v>
      </c>
      <c r="AC1617">
        <v>7.1118000000000103</v>
      </c>
      <c r="AD1617">
        <v>-1.119624603046</v>
      </c>
      <c r="AE1617">
        <v>-4.9024999999999697</v>
      </c>
      <c r="AF1617">
        <v>3.8630098276629399</v>
      </c>
      <c r="AG1617">
        <v>-1.119624603046</v>
      </c>
      <c r="AH1617">
        <v>7.5659790467160404</v>
      </c>
      <c r="AI1617">
        <v>97.508102823787993</v>
      </c>
      <c r="AJ1617">
        <v>62.952219160317902</v>
      </c>
      <c r="AK1617">
        <v>8.5685729917946407</v>
      </c>
      <c r="AL1617">
        <v>94.590697413220099</v>
      </c>
      <c r="AM1617">
        <v>76.572110995511295</v>
      </c>
      <c r="AN1617">
        <v>1.0000000563736899</v>
      </c>
    </row>
    <row r="1618" spans="1:40" x14ac:dyDescent="0.25">
      <c r="A1618" t="str">
        <f>"20190303154127030"</f>
        <v>20190303154127030</v>
      </c>
      <c r="B1618" t="str">
        <f>"1551598887020418"</f>
        <v>1551598887020418</v>
      </c>
      <c r="C1618" t="s">
        <v>40</v>
      </c>
      <c r="D1618">
        <v>6.2324919999999997</v>
      </c>
      <c r="E1618">
        <v>0.58943029999999996</v>
      </c>
      <c r="F1618" t="s">
        <v>44</v>
      </c>
      <c r="G1618">
        <v>-201.1</v>
      </c>
      <c r="H1618" s="1">
        <v>-2.5742970000000002E-6</v>
      </c>
      <c r="I1618">
        <v>362.36810000000003</v>
      </c>
      <c r="J1618">
        <v>-208.16929999999999</v>
      </c>
      <c r="K1618">
        <v>1.1196330000000001</v>
      </c>
      <c r="L1618">
        <v>367.28469999999999</v>
      </c>
      <c r="M1618">
        <v>0.99096649999999997</v>
      </c>
      <c r="N1618">
        <v>-1.4051579999999999E-2</v>
      </c>
      <c r="O1618">
        <v>-0.1333722</v>
      </c>
      <c r="P1618">
        <v>0.92798170000000002</v>
      </c>
      <c r="Q1618">
        <v>-9.2995049999999996E-2</v>
      </c>
      <c r="R1618">
        <v>-0.36083589999999999</v>
      </c>
      <c r="S1618">
        <v>2.5223390000000001</v>
      </c>
      <c r="T1618">
        <v>-0.39364549999999998</v>
      </c>
      <c r="U1618">
        <v>-1.73446699999999</v>
      </c>
      <c r="V1618">
        <v>0.2335111</v>
      </c>
      <c r="W1618">
        <v>-8.0325969999999997E-2</v>
      </c>
      <c r="X1618">
        <v>0.96903059999999996</v>
      </c>
      <c r="Y1618">
        <v>0.44845990000000002</v>
      </c>
      <c r="Z1618">
        <v>-1.8166390000000001E-2</v>
      </c>
      <c r="AA1618">
        <v>0.89361829999999998</v>
      </c>
      <c r="AB1618">
        <v>16</v>
      </c>
      <c r="AC1618">
        <v>7.0692999999999904</v>
      </c>
      <c r="AD1618">
        <v>-1.1196355742969999</v>
      </c>
      <c r="AE1618">
        <v>-4.9165999999999599</v>
      </c>
      <c r="AF1618">
        <v>3.8643919787310099</v>
      </c>
      <c r="AG1618">
        <v>-1.1196355742969999</v>
      </c>
      <c r="AH1618">
        <v>7.5345499332911903</v>
      </c>
      <c r="AI1618">
        <v>97.532147235143498</v>
      </c>
      <c r="AJ1618">
        <v>62.847186167572701</v>
      </c>
      <c r="AK1618">
        <v>8.5414607580770507</v>
      </c>
      <c r="AL1618">
        <v>94.607302743393802</v>
      </c>
      <c r="AM1618">
        <v>76.451516128284396</v>
      </c>
      <c r="AN1618">
        <v>0.999999999508005</v>
      </c>
    </row>
    <row r="1619" spans="1:40" x14ac:dyDescent="0.25">
      <c r="A1619" t="str">
        <f>"20190303154127042"</f>
        <v>20190303154127042</v>
      </c>
      <c r="B1619" t="str">
        <f>"1551598887031155"</f>
        <v>1551598887031155</v>
      </c>
      <c r="C1619" t="s">
        <v>40</v>
      </c>
      <c r="D1619">
        <v>6.2171770000000004</v>
      </c>
      <c r="E1619">
        <v>0.58924259999999995</v>
      </c>
      <c r="F1619" t="s">
        <v>44</v>
      </c>
      <c r="G1619">
        <v>-201.0307</v>
      </c>
      <c r="H1619" s="1">
        <v>-2.5422680000000002E-6</v>
      </c>
      <c r="I1619">
        <v>362.33420000000001</v>
      </c>
      <c r="J1619">
        <v>-208.08320000000001</v>
      </c>
      <c r="K1619">
        <v>1.11964</v>
      </c>
      <c r="L1619">
        <v>367.27080000000001</v>
      </c>
      <c r="M1619">
        <v>0.99071100000000001</v>
      </c>
      <c r="N1619">
        <v>-1.4049239999999999E-2</v>
      </c>
      <c r="O1619">
        <v>-0.135257399999999</v>
      </c>
      <c r="P1619">
        <v>0.92668859999999997</v>
      </c>
      <c r="Q1619">
        <v>-9.3023590000000003E-2</v>
      </c>
      <c r="R1619">
        <v>-0.3641356</v>
      </c>
      <c r="S1619">
        <v>2.515091</v>
      </c>
      <c r="T1619">
        <v>-0.39446930000000002</v>
      </c>
      <c r="U1619">
        <v>-1.7441709999999999</v>
      </c>
      <c r="V1619">
        <v>0.23511509999999999</v>
      </c>
      <c r="W1619">
        <v>-8.0365039999999999E-2</v>
      </c>
      <c r="X1619">
        <v>0.96863940000000004</v>
      </c>
      <c r="Y1619">
        <v>0.4502739</v>
      </c>
      <c r="Z1619">
        <v>-1.812163E-2</v>
      </c>
      <c r="AA1619">
        <v>0.89270659999999902</v>
      </c>
      <c r="AB1619">
        <v>16</v>
      </c>
      <c r="AC1619">
        <v>7.0525000000000002</v>
      </c>
      <c r="AD1619">
        <v>-1.1196425422680001</v>
      </c>
      <c r="AE1619">
        <v>-4.9365999999999897</v>
      </c>
      <c r="AF1619">
        <v>3.8717353685216298</v>
      </c>
      <c r="AG1619">
        <v>-1.1196425422680001</v>
      </c>
      <c r="AH1619">
        <v>7.5281109417757301</v>
      </c>
      <c r="AI1619">
        <v>97.534280551774501</v>
      </c>
      <c r="AJ1619">
        <v>62.783073147079001</v>
      </c>
      <c r="AK1619">
        <v>8.5391093527370394</v>
      </c>
      <c r="AL1619">
        <v>94.609548692958597</v>
      </c>
      <c r="AM1619">
        <v>76.356613235504099</v>
      </c>
      <c r="AN1619">
        <v>0.99999996856728501</v>
      </c>
    </row>
    <row r="1620" spans="1:40" x14ac:dyDescent="0.25">
      <c r="A1620" t="str">
        <f>"20190303154127056"</f>
        <v>20190303154127056</v>
      </c>
      <c r="B1620" t="str">
        <f>"1551598887050673"</f>
        <v>1551598887050673</v>
      </c>
      <c r="C1620" t="s">
        <v>40</v>
      </c>
      <c r="D1620">
        <v>6.2966220000000002</v>
      </c>
      <c r="E1620">
        <v>0.58860449999999997</v>
      </c>
      <c r="F1620" t="s">
        <v>44</v>
      </c>
      <c r="G1620">
        <v>-200.96719999999999</v>
      </c>
      <c r="H1620" s="1">
        <v>-2.5131710000000002E-6</v>
      </c>
      <c r="I1620">
        <v>362.30239999999998</v>
      </c>
      <c r="J1620">
        <v>-207.98439999999999</v>
      </c>
      <c r="K1620">
        <v>1.1196440000000001</v>
      </c>
      <c r="L1620">
        <v>367.25490000000002</v>
      </c>
      <c r="M1620">
        <v>0.99041319999999999</v>
      </c>
      <c r="N1620">
        <v>-1.4046579999999999E-2</v>
      </c>
      <c r="O1620">
        <v>-0.1374213</v>
      </c>
      <c r="P1620">
        <v>0.9252802</v>
      </c>
      <c r="Q1620">
        <v>-9.2434779999999994E-2</v>
      </c>
      <c r="R1620">
        <v>-0.36784939999999999</v>
      </c>
      <c r="S1620">
        <v>2.5092620000000001</v>
      </c>
      <c r="T1620">
        <v>-0.39481159999999998</v>
      </c>
      <c r="U1620">
        <v>-1.751984</v>
      </c>
      <c r="V1620">
        <v>0.23687639999999999</v>
      </c>
      <c r="W1620">
        <v>-7.9787419999999998E-2</v>
      </c>
      <c r="X1620">
        <v>0.96825799999999995</v>
      </c>
      <c r="Y1620">
        <v>0.4511657</v>
      </c>
      <c r="Z1620">
        <v>-1.7949670000000001E-2</v>
      </c>
      <c r="AA1620">
        <v>0.89225969999999999</v>
      </c>
      <c r="AB1620">
        <v>16</v>
      </c>
      <c r="AC1620">
        <v>7.0171999999999999</v>
      </c>
      <c r="AD1620">
        <v>-1.1196465131710001</v>
      </c>
      <c r="AE1620">
        <v>-4.9525000000000396</v>
      </c>
      <c r="AF1620">
        <v>3.8752417238372399</v>
      </c>
      <c r="AG1620">
        <v>-1.1196465131710001</v>
      </c>
      <c r="AH1620">
        <v>7.5037410644012104</v>
      </c>
      <c r="AI1620">
        <v>97.551993153812404</v>
      </c>
      <c r="AJ1620">
        <v>62.686301925468001</v>
      </c>
      <c r="AK1620">
        <v>8.5192274705049407</v>
      </c>
      <c r="AL1620">
        <v>94.576346703266395</v>
      </c>
      <c r="AM1620">
        <v>76.2530609919461</v>
      </c>
      <c r="AN1620">
        <v>1.0000000079156</v>
      </c>
    </row>
    <row r="1621" spans="1:40" x14ac:dyDescent="0.25">
      <c r="A1621" t="str">
        <f>"20190303154127068"</f>
        <v>20190303154127068</v>
      </c>
      <c r="B1621" t="str">
        <f>"1551598887060434"</f>
        <v>1551598887060434</v>
      </c>
      <c r="C1621" t="s">
        <v>40</v>
      </c>
      <c r="D1621">
        <v>6.3267230000000003</v>
      </c>
      <c r="E1621">
        <v>0.58860449999999997</v>
      </c>
      <c r="F1621" t="s">
        <v>44</v>
      </c>
      <c r="G1621">
        <v>-200.9562</v>
      </c>
      <c r="H1621" s="1">
        <v>-2.5011009999999999E-6</v>
      </c>
      <c r="I1621">
        <v>362.32319999999999</v>
      </c>
      <c r="J1621">
        <v>-207.89250000000001</v>
      </c>
      <c r="K1621">
        <v>1.11965</v>
      </c>
      <c r="L1621">
        <v>367.2396</v>
      </c>
      <c r="M1621">
        <v>0.99013150000000005</v>
      </c>
      <c r="N1621">
        <v>-1.404412E-2</v>
      </c>
      <c r="O1621">
        <v>-0.13943599999999901</v>
      </c>
      <c r="P1621">
        <v>0.92369869999999998</v>
      </c>
      <c r="Q1621">
        <v>-9.2193010000000006E-2</v>
      </c>
      <c r="R1621">
        <v>-0.37186160000000001</v>
      </c>
      <c r="S1621">
        <v>2.5039060000000002</v>
      </c>
      <c r="T1621">
        <v>-0.39889160000000001</v>
      </c>
      <c r="U1621">
        <v>-1.7569889999999999</v>
      </c>
      <c r="V1621">
        <v>0.23910390000000001</v>
      </c>
      <c r="W1621">
        <v>-7.956249E-2</v>
      </c>
      <c r="X1621">
        <v>0.9677289</v>
      </c>
      <c r="Y1621">
        <v>0.45139170000000001</v>
      </c>
      <c r="Z1621">
        <v>-1.7861220000000001E-2</v>
      </c>
      <c r="AA1621">
        <v>0.89214709999999997</v>
      </c>
      <c r="AB1621">
        <v>16</v>
      </c>
      <c r="AC1621">
        <v>6.9363000000000099</v>
      </c>
      <c r="AD1621">
        <v>-1.1196525011009999</v>
      </c>
      <c r="AE1621">
        <v>-4.9164000000000003</v>
      </c>
      <c r="AF1621">
        <v>3.8345932156992899</v>
      </c>
      <c r="AG1621">
        <v>-1.1196525011009999</v>
      </c>
      <c r="AH1621">
        <v>7.4253381874245701</v>
      </c>
      <c r="AI1621">
        <v>97.630904341421498</v>
      </c>
      <c r="AJ1621">
        <v>62.687264553589699</v>
      </c>
      <c r="AK1621">
        <v>8.4316886832196491</v>
      </c>
      <c r="AL1621">
        <v>94.563417895548895</v>
      </c>
      <c r="AM1621">
        <v>76.121469337389598</v>
      </c>
      <c r="AN1621">
        <v>1.0000000443527</v>
      </c>
    </row>
    <row r="1622" spans="1:40" x14ac:dyDescent="0.25">
      <c r="A1622" t="str">
        <f>"20190303154127081"</f>
        <v>20190303154127081</v>
      </c>
      <c r="B1622" t="str">
        <f>"1551598887071170"</f>
        <v>1551598887071170</v>
      </c>
      <c r="C1622" t="s">
        <v>40</v>
      </c>
      <c r="D1622">
        <v>6.3183669999999896</v>
      </c>
      <c r="E1622">
        <v>0.58918769999999998</v>
      </c>
      <c r="F1622" t="s">
        <v>44</v>
      </c>
      <c r="G1622">
        <v>-200.86750000000001</v>
      </c>
      <c r="H1622" s="1">
        <v>-2.4643470000000001E-6</v>
      </c>
      <c r="I1622">
        <v>362.26389999999998</v>
      </c>
      <c r="J1622">
        <v>-207.79519999999999</v>
      </c>
      <c r="K1622">
        <v>1.119653</v>
      </c>
      <c r="L1622">
        <v>367.22329999999999</v>
      </c>
      <c r="M1622">
        <v>0.9898285</v>
      </c>
      <c r="N1622">
        <v>-1.404161E-2</v>
      </c>
      <c r="O1622">
        <v>-0.14157159999999999</v>
      </c>
      <c r="P1622">
        <v>0.92263050000000002</v>
      </c>
      <c r="Q1622">
        <v>-9.1654459999999993E-2</v>
      </c>
      <c r="R1622">
        <v>-0.37463679999999999</v>
      </c>
      <c r="S1622">
        <v>2.496292</v>
      </c>
      <c r="T1622">
        <v>-0.39785930000000003</v>
      </c>
      <c r="U1622">
        <v>-1.7680659999999999</v>
      </c>
      <c r="V1622">
        <v>0.2399192</v>
      </c>
      <c r="W1622">
        <v>-7.9030459999999997E-2</v>
      </c>
      <c r="X1622">
        <v>0.96757070000000001</v>
      </c>
      <c r="Y1622">
        <v>0.45339580000000002</v>
      </c>
      <c r="Z1622">
        <v>-1.7739029999999999E-2</v>
      </c>
      <c r="AA1622">
        <v>0.89113279999999995</v>
      </c>
      <c r="AB1622">
        <v>16</v>
      </c>
      <c r="AC1622">
        <v>6.9276999999999802</v>
      </c>
      <c r="AD1622">
        <v>-1.119655464347</v>
      </c>
      <c r="AE1622">
        <v>-4.9594000000000102</v>
      </c>
      <c r="AF1622">
        <v>3.8618810652421902</v>
      </c>
      <c r="AG1622">
        <v>-1.119655464347</v>
      </c>
      <c r="AH1622">
        <v>7.4317414633536902</v>
      </c>
      <c r="AI1622">
        <v>97.614502822181706</v>
      </c>
      <c r="AJ1622">
        <v>62.541497802074097</v>
      </c>
      <c r="AK1622">
        <v>8.4497653753846205</v>
      </c>
      <c r="AL1622">
        <v>94.5328385151536</v>
      </c>
      <c r="AM1622">
        <v>76.073796524707305</v>
      </c>
      <c r="AN1622">
        <v>1.00000004781746</v>
      </c>
    </row>
    <row r="1623" spans="1:40" x14ac:dyDescent="0.25">
      <c r="A1623" t="str">
        <f>"20190303154127094"</f>
        <v>20190303154127094</v>
      </c>
      <c r="B1623" t="str">
        <f>"1551598887090690"</f>
        <v>1551598887090690</v>
      </c>
      <c r="C1623" t="s">
        <v>40</v>
      </c>
      <c r="D1623">
        <v>6.3086440000000001</v>
      </c>
      <c r="E1623">
        <v>0.63019169999999902</v>
      </c>
      <c r="F1623" t="s">
        <v>44</v>
      </c>
      <c r="G1623">
        <v>-200.8169</v>
      </c>
      <c r="H1623" s="1">
        <v>-2.4422429999999998E-6</v>
      </c>
      <c r="I1623">
        <v>362.23450000000003</v>
      </c>
      <c r="J1623">
        <v>-207.69829999999999</v>
      </c>
      <c r="K1623">
        <v>1.119653</v>
      </c>
      <c r="L1623">
        <v>367.20699999999999</v>
      </c>
      <c r="M1623">
        <v>0.98952130000000005</v>
      </c>
      <c r="N1623">
        <v>-1.403921E-2</v>
      </c>
      <c r="O1623">
        <v>-0.14370359999999999</v>
      </c>
      <c r="P1623">
        <v>0.92164219999999997</v>
      </c>
      <c r="Q1623">
        <v>-9.1053899999999993E-2</v>
      </c>
      <c r="R1623">
        <v>-0.37720700000000001</v>
      </c>
      <c r="S1623">
        <v>2.4893040000000002</v>
      </c>
      <c r="T1623">
        <v>-0.39940039999999999</v>
      </c>
      <c r="U1623">
        <v>-1.7796019999999999</v>
      </c>
      <c r="V1623">
        <v>0.24052490000000001</v>
      </c>
      <c r="W1623">
        <v>-7.8435560000000001E-2</v>
      </c>
      <c r="X1623">
        <v>0.96746869999999996</v>
      </c>
      <c r="Y1623">
        <v>0.4553664</v>
      </c>
      <c r="Z1623">
        <v>-1.769076E-2</v>
      </c>
      <c r="AA1623">
        <v>0.89012839999999904</v>
      </c>
      <c r="AB1623">
        <v>16</v>
      </c>
      <c r="AC1623">
        <v>6.8813999999999798</v>
      </c>
      <c r="AD1623">
        <v>-1.1196554422430001</v>
      </c>
      <c r="AE1623">
        <v>-4.9724999999999602</v>
      </c>
      <c r="AF1623">
        <v>3.86468395468864</v>
      </c>
      <c r="AG1623">
        <v>-1.1196554422430001</v>
      </c>
      <c r="AH1623">
        <v>7.3959657571419202</v>
      </c>
      <c r="AI1623">
        <v>97.641943192200003</v>
      </c>
      <c r="AJ1623">
        <v>62.4111563166907</v>
      </c>
      <c r="AK1623">
        <v>8.4196033077448593</v>
      </c>
      <c r="AL1623">
        <v>94.498647220699496</v>
      </c>
      <c r="AM1623">
        <v>76.038597573645205</v>
      </c>
      <c r="AN1623">
        <v>1.0000000250361001</v>
      </c>
    </row>
    <row r="1624" spans="1:40" x14ac:dyDescent="0.25">
      <c r="A1624" t="str">
        <f>"20190303154127111"</f>
        <v>20190303154127111</v>
      </c>
      <c r="B1624" t="str">
        <f>"1551598887100449"</f>
        <v>1551598887100449</v>
      </c>
      <c r="C1624" t="s">
        <v>40</v>
      </c>
      <c r="D1624">
        <v>6.3021960000000004</v>
      </c>
      <c r="E1624">
        <v>0.63152079999999999</v>
      </c>
      <c r="F1624" t="s">
        <v>44</v>
      </c>
      <c r="G1624">
        <v>-201.72460000000001</v>
      </c>
      <c r="H1624" s="1">
        <v>-3.0144549999999999E-6</v>
      </c>
      <c r="I1624">
        <v>361.91410000000002</v>
      </c>
      <c r="J1624">
        <v>-207.58690000000001</v>
      </c>
      <c r="K1624">
        <v>1.119651</v>
      </c>
      <c r="L1624">
        <v>367.18779999999998</v>
      </c>
      <c r="M1624">
        <v>0.98916059999999995</v>
      </c>
      <c r="N1624">
        <v>-1.403655E-2</v>
      </c>
      <c r="O1624">
        <v>-0.14616570000000001</v>
      </c>
      <c r="P1624">
        <v>0.92039349999999998</v>
      </c>
      <c r="Q1624">
        <v>-9.1209960000000007E-2</v>
      </c>
      <c r="R1624">
        <v>-0.38020609999999999</v>
      </c>
      <c r="S1624">
        <v>2.3567499999999999</v>
      </c>
      <c r="T1624">
        <v>-0.44172509999999998</v>
      </c>
      <c r="U1624">
        <v>-2.088165</v>
      </c>
      <c r="V1624">
        <v>0.24126790000000001</v>
      </c>
      <c r="W1624">
        <v>-7.8601069999999995E-2</v>
      </c>
      <c r="X1624">
        <v>0.96727019999999997</v>
      </c>
      <c r="Y1624">
        <v>0.54205009999999998</v>
      </c>
      <c r="Z1624">
        <v>-2.645809E-2</v>
      </c>
      <c r="AA1624">
        <v>0.8399295</v>
      </c>
      <c r="AB1624">
        <v>16</v>
      </c>
      <c r="AC1624">
        <v>5.8623000000000003</v>
      </c>
      <c r="AD1624">
        <v>-1.119654014455</v>
      </c>
      <c r="AE1624">
        <v>-5.2736999999999599</v>
      </c>
      <c r="AF1624">
        <v>4.2739285747012401</v>
      </c>
      <c r="AG1624">
        <v>-1.119654014455</v>
      </c>
      <c r="AH1624">
        <v>6.4403877838305696</v>
      </c>
      <c r="AI1624">
        <v>98.242238070859301</v>
      </c>
      <c r="AJ1624">
        <v>56.431209216495802</v>
      </c>
      <c r="AK1624">
        <v>7.8101655155218799</v>
      </c>
      <c r="AL1624">
        <v>94.5081597991406</v>
      </c>
      <c r="AM1624">
        <v>75.994403685883995</v>
      </c>
      <c r="AN1624">
        <v>0.999999983791797</v>
      </c>
    </row>
    <row r="1625" spans="1:40" x14ac:dyDescent="0.25">
      <c r="A1625" t="str">
        <f>"20190303154127125"</f>
        <v>20190303154127125</v>
      </c>
      <c r="B1625" t="str">
        <f>"1551598887120946"</f>
        <v>1551598887120946</v>
      </c>
      <c r="C1625" t="s">
        <v>40</v>
      </c>
      <c r="D1625">
        <v>6.289669</v>
      </c>
      <c r="E1625">
        <v>0.63213039999999998</v>
      </c>
      <c r="F1625" t="s">
        <v>44</v>
      </c>
      <c r="G1625">
        <v>-201.59989999999999</v>
      </c>
      <c r="H1625" s="1">
        <v>-2.9736109999999999E-6</v>
      </c>
      <c r="I1625">
        <v>361.8152</v>
      </c>
      <c r="J1625">
        <v>-207.4802</v>
      </c>
      <c r="K1625">
        <v>1.119645</v>
      </c>
      <c r="L1625">
        <v>367.16919999999999</v>
      </c>
      <c r="M1625">
        <v>0.98880749999999995</v>
      </c>
      <c r="N1625">
        <v>-1.403417E-2</v>
      </c>
      <c r="O1625">
        <v>-0.148535</v>
      </c>
      <c r="P1625">
        <v>0.91876610000000003</v>
      </c>
      <c r="Q1625">
        <v>-9.254213E-2</v>
      </c>
      <c r="R1625">
        <v>-0.38380330000000001</v>
      </c>
      <c r="S1625">
        <v>2.3462519999999998</v>
      </c>
      <c r="T1625">
        <v>-0.43877699999999997</v>
      </c>
      <c r="U1625">
        <v>-2.1054689999999998</v>
      </c>
      <c r="V1625">
        <v>0.24274560000000001</v>
      </c>
      <c r="W1625">
        <v>-7.9950510000000002E-2</v>
      </c>
      <c r="X1625">
        <v>0.96678980000000003</v>
      </c>
      <c r="Y1625">
        <v>0.54538089999999995</v>
      </c>
      <c r="Z1625">
        <v>-2.6314029999999999E-2</v>
      </c>
      <c r="AA1625">
        <v>0.83777520000000005</v>
      </c>
      <c r="AB1625">
        <v>16</v>
      </c>
      <c r="AC1625">
        <v>5.8803000000000001</v>
      </c>
      <c r="AD1625">
        <v>-1.1196479736110001</v>
      </c>
      <c r="AE1625">
        <v>-5.3539999999999797</v>
      </c>
      <c r="AF1625">
        <v>4.3351490738929002</v>
      </c>
      <c r="AG1625">
        <v>-1.1196479736110001</v>
      </c>
      <c r="AH1625">
        <v>6.4819077722359504</v>
      </c>
      <c r="AI1625">
        <v>98.170777203266596</v>
      </c>
      <c r="AJ1625">
        <v>56.225094096096001</v>
      </c>
      <c r="AK1625">
        <v>7.8779602338079</v>
      </c>
      <c r="AL1625">
        <v>94.585720991949003</v>
      </c>
      <c r="AM1625">
        <v>75.905307927166803</v>
      </c>
      <c r="AN1625">
        <v>1.0000000138763301</v>
      </c>
    </row>
    <row r="1626" spans="1:40" x14ac:dyDescent="0.25">
      <c r="A1626" t="str">
        <f>"20190303154127141"</f>
        <v>20190303154127141</v>
      </c>
      <c r="B1626" t="str">
        <f>"1551598887130706"</f>
        <v>1551598887130706</v>
      </c>
      <c r="C1626" t="s">
        <v>40</v>
      </c>
      <c r="D1626">
        <v>6.2435309999999999</v>
      </c>
      <c r="E1626">
        <v>0.63254469999999996</v>
      </c>
      <c r="F1626" t="s">
        <v>44</v>
      </c>
      <c r="G1626">
        <v>-201.54689999999999</v>
      </c>
      <c r="H1626" s="1">
        <v>-2.9535030000000001E-6</v>
      </c>
      <c r="I1626">
        <v>361.78570000000002</v>
      </c>
      <c r="J1626">
        <v>-207.36410000000001</v>
      </c>
      <c r="K1626">
        <v>1.1196349999999999</v>
      </c>
      <c r="L1626">
        <v>367.14859999999999</v>
      </c>
      <c r="M1626">
        <v>0.98841500000000004</v>
      </c>
      <c r="N1626">
        <v>-1.4031739999999999E-2</v>
      </c>
      <c r="O1626">
        <v>-0.15112519999999999</v>
      </c>
      <c r="P1626">
        <v>0.91757999999999995</v>
      </c>
      <c r="Q1626">
        <v>-9.2983999999999997E-2</v>
      </c>
      <c r="R1626">
        <v>-0.38652439999999999</v>
      </c>
      <c r="S1626">
        <v>2.3356020000000002</v>
      </c>
      <c r="T1626">
        <v>-0.4407432</v>
      </c>
      <c r="U1626">
        <v>-2.1191710000000001</v>
      </c>
      <c r="V1626">
        <v>0.2430812</v>
      </c>
      <c r="W1626">
        <v>-8.0401089999999995E-2</v>
      </c>
      <c r="X1626">
        <v>0.96666810000000003</v>
      </c>
      <c r="Y1626">
        <v>0.54774040000000002</v>
      </c>
      <c r="Z1626">
        <v>-2.6284720000000001E-2</v>
      </c>
      <c r="AA1626">
        <v>0.83623539999999996</v>
      </c>
      <c r="AB1626">
        <v>16</v>
      </c>
      <c r="AC1626">
        <v>5.8172000000000104</v>
      </c>
      <c r="AD1626">
        <v>-1.1196379535030001</v>
      </c>
      <c r="AE1626">
        <v>-5.3628999999999598</v>
      </c>
      <c r="AF1626">
        <v>4.3352661355558197</v>
      </c>
      <c r="AG1626">
        <v>-1.1196379535030001</v>
      </c>
      <c r="AH1626">
        <v>6.4321186275892597</v>
      </c>
      <c r="AI1626">
        <v>98.213587466906205</v>
      </c>
      <c r="AJ1626">
        <v>56.019918540051499</v>
      </c>
      <c r="AK1626">
        <v>7.8371086283400597</v>
      </c>
      <c r="AL1626">
        <v>94.611620718551706</v>
      </c>
      <c r="AM1626">
        <v>75.884894180982798</v>
      </c>
      <c r="AN1626">
        <v>1.0000000103121101</v>
      </c>
    </row>
    <row r="1627" spans="1:40" x14ac:dyDescent="0.25">
      <c r="A1627" t="str">
        <f>"20190303154127154"</f>
        <v>20190303154127154</v>
      </c>
      <c r="B1627" t="str">
        <f>"1551598887151202"</f>
        <v>1551598887151202</v>
      </c>
      <c r="C1627" t="s">
        <v>40</v>
      </c>
      <c r="D1627">
        <v>6.5153369999999997</v>
      </c>
      <c r="E1627">
        <v>0.63268800000000003</v>
      </c>
      <c r="F1627" t="s">
        <v>44</v>
      </c>
      <c r="G1627">
        <v>-201.4564</v>
      </c>
      <c r="H1627" s="1">
        <v>-2.91704E-6</v>
      </c>
      <c r="I1627">
        <v>361.7448</v>
      </c>
      <c r="J1627">
        <v>-207.26849999999999</v>
      </c>
      <c r="K1627">
        <v>1.1196250000000001</v>
      </c>
      <c r="L1627">
        <v>367.13150000000002</v>
      </c>
      <c r="M1627">
        <v>0.98808490000000004</v>
      </c>
      <c r="N1627">
        <v>-1.402987E-2</v>
      </c>
      <c r="O1627">
        <v>-0.1532693</v>
      </c>
      <c r="P1627">
        <v>0.91657869999999997</v>
      </c>
      <c r="Q1627">
        <v>-9.3355830000000001E-2</v>
      </c>
      <c r="R1627">
        <v>-0.38880429999999999</v>
      </c>
      <c r="S1627">
        <v>2.3278050000000001</v>
      </c>
      <c r="T1627">
        <v>-0.44117210000000001</v>
      </c>
      <c r="U1627">
        <v>-2.1292719999999998</v>
      </c>
      <c r="V1627">
        <v>0.24338969999999999</v>
      </c>
      <c r="W1627">
        <v>-8.0780749999999998E-2</v>
      </c>
      <c r="X1627">
        <v>0.96655880000000005</v>
      </c>
      <c r="Y1627">
        <v>0.5492901</v>
      </c>
      <c r="Z1627">
        <v>-2.6165919999999999E-2</v>
      </c>
      <c r="AA1627">
        <v>0.83522199999999902</v>
      </c>
      <c r="AB1627">
        <v>16</v>
      </c>
      <c r="AC1627">
        <v>5.8120999999999796</v>
      </c>
      <c r="AD1627">
        <v>-1.1196279170399901</v>
      </c>
      <c r="AE1627">
        <v>-5.38670000000001</v>
      </c>
      <c r="AF1627">
        <v>4.3453928998028397</v>
      </c>
      <c r="AG1627">
        <v>-1.1196279170399901</v>
      </c>
      <c r="AH1627">
        <v>6.4405429025859302</v>
      </c>
      <c r="AI1627">
        <v>98.200327410213504</v>
      </c>
      <c r="AJ1627">
        <v>55.992713211338398</v>
      </c>
      <c r="AK1627">
        <v>7.8496241315315398</v>
      </c>
      <c r="AL1627">
        <v>94.633444693833596</v>
      </c>
      <c r="AM1627">
        <v>75.866163666915</v>
      </c>
      <c r="AN1627">
        <v>0.99999999474704604</v>
      </c>
    </row>
    <row r="1628" spans="1:40" x14ac:dyDescent="0.25">
      <c r="A1628" t="str">
        <f>"20190303154127169"</f>
        <v>20190303154127169</v>
      </c>
      <c r="B1628" t="str">
        <f>"1551598887160962"</f>
        <v>1551598887160962</v>
      </c>
      <c r="C1628" t="s">
        <v>40</v>
      </c>
      <c r="D1628">
        <v>6.552257</v>
      </c>
      <c r="E1628">
        <v>0.64264279999999996</v>
      </c>
      <c r="F1628" t="s">
        <v>44</v>
      </c>
      <c r="G1628">
        <v>-201.41839999999999</v>
      </c>
      <c r="H1628" s="1">
        <v>-2.89717E-6</v>
      </c>
      <c r="I1628">
        <v>361.7482</v>
      </c>
      <c r="J1628">
        <v>-207.1601</v>
      </c>
      <c r="K1628">
        <v>1.1196140000000001</v>
      </c>
      <c r="L1628">
        <v>367.11169999999998</v>
      </c>
      <c r="M1628">
        <v>0.98770199999999997</v>
      </c>
      <c r="N1628">
        <v>-1.4027899999999999E-2</v>
      </c>
      <c r="O1628">
        <v>-0.1557183</v>
      </c>
      <c r="P1628">
        <v>0.91587439999999998</v>
      </c>
      <c r="Q1628">
        <v>-9.403417E-2</v>
      </c>
      <c r="R1628">
        <v>-0.39029730000000001</v>
      </c>
      <c r="S1628">
        <v>2.3215789999999998</v>
      </c>
      <c r="T1628">
        <v>-0.44432260000000001</v>
      </c>
      <c r="U1628">
        <v>-2.1363530000000002</v>
      </c>
      <c r="V1628">
        <v>0.2425766</v>
      </c>
      <c r="W1628">
        <v>-8.145964E-2</v>
      </c>
      <c r="X1628">
        <v>0.96670619999999996</v>
      </c>
      <c r="Y1628">
        <v>0.54967299999999997</v>
      </c>
      <c r="Z1628">
        <v>-2.6015480000000001E-2</v>
      </c>
      <c r="AA1628">
        <v>0.83497479999999902</v>
      </c>
      <c r="AB1628">
        <v>16</v>
      </c>
      <c r="AC1628">
        <v>5.7416999999999998</v>
      </c>
      <c r="AD1628">
        <v>-1.11961689716999</v>
      </c>
      <c r="AE1628">
        <v>-5.3634999999999797</v>
      </c>
      <c r="AF1628">
        <v>4.3162415277364099</v>
      </c>
      <c r="AG1628">
        <v>-1.11961689716999</v>
      </c>
      <c r="AH1628">
        <v>6.3774266962308399</v>
      </c>
      <c r="AI1628">
        <v>98.272309244770895</v>
      </c>
      <c r="AJ1628">
        <v>55.909863493960799</v>
      </c>
      <c r="AK1628">
        <v>7.7817128055449798</v>
      </c>
      <c r="AL1628">
        <v>94.672470920253502</v>
      </c>
      <c r="AM1628">
        <v>75.913560361743507</v>
      </c>
      <c r="AN1628">
        <v>0.99999997846746402</v>
      </c>
    </row>
    <row r="1629" spans="1:40" x14ac:dyDescent="0.25">
      <c r="A1629" t="str">
        <f>"20190303154127184"</f>
        <v>20190303154127184</v>
      </c>
      <c r="B1629" t="str">
        <f>"1551598887180482"</f>
        <v>1551598887180482</v>
      </c>
      <c r="C1629" t="s">
        <v>40</v>
      </c>
      <c r="D1629">
        <v>6.269819</v>
      </c>
      <c r="E1629">
        <v>0.64265229999999995</v>
      </c>
      <c r="F1629" t="s">
        <v>44</v>
      </c>
      <c r="G1629">
        <v>-201.42429999999999</v>
      </c>
      <c r="H1629" s="1">
        <v>-2.941802E-6</v>
      </c>
      <c r="I1629">
        <v>361.56020000000001</v>
      </c>
      <c r="J1629">
        <v>-207.05789999999999</v>
      </c>
      <c r="K1629">
        <v>1.119594</v>
      </c>
      <c r="L1629">
        <v>367.09280000000001</v>
      </c>
      <c r="M1629">
        <v>0.98733289999999996</v>
      </c>
      <c r="N1629">
        <v>-1.4026210000000001E-2</v>
      </c>
      <c r="O1629">
        <v>-0.158041299999999</v>
      </c>
      <c r="P1629">
        <v>0.91517570000000004</v>
      </c>
      <c r="Q1629">
        <v>-9.4287839999999998E-2</v>
      </c>
      <c r="R1629">
        <v>-0.39187159999999999</v>
      </c>
      <c r="S1629">
        <v>2.2866059999999999</v>
      </c>
      <c r="T1629">
        <v>-0.44634600000000002</v>
      </c>
      <c r="U1629">
        <v>-2.2131349999999999</v>
      </c>
      <c r="V1629">
        <v>0.24196699999999999</v>
      </c>
      <c r="W1629">
        <v>-8.1715259999999998E-2</v>
      </c>
      <c r="X1629">
        <v>0.96683739999999996</v>
      </c>
      <c r="Y1629">
        <v>0.56840380000000001</v>
      </c>
      <c r="Z1629">
        <v>-2.7506590000000001E-2</v>
      </c>
      <c r="AA1629">
        <v>0.82228979999999996</v>
      </c>
      <c r="AB1629">
        <v>16</v>
      </c>
      <c r="AC1629">
        <v>5.6336000000000004</v>
      </c>
      <c r="AD1629">
        <v>-1.119596941802</v>
      </c>
      <c r="AE1629">
        <v>-5.5326000000000004</v>
      </c>
      <c r="AF1629">
        <v>4.4825048755866099</v>
      </c>
      <c r="AG1629">
        <v>-1.119596941802</v>
      </c>
      <c r="AH1629">
        <v>6.3103799682419197</v>
      </c>
      <c r="AI1629">
        <v>98.230372416486901</v>
      </c>
      <c r="AJ1629">
        <v>54.612361540132298</v>
      </c>
      <c r="AK1629">
        <v>7.8209489587478496</v>
      </c>
      <c r="AL1629">
        <v>94.687165825276296</v>
      </c>
      <c r="AM1629">
        <v>75.949386982370697</v>
      </c>
      <c r="AN1629">
        <v>0.99999998542231305</v>
      </c>
    </row>
    <row r="1630" spans="1:40" x14ac:dyDescent="0.25">
      <c r="A1630" t="str">
        <f>"20190303154127198"</f>
        <v>20190303154127198</v>
      </c>
      <c r="B1630" t="str">
        <f>"1551598887191218"</f>
        <v>1551598887191218</v>
      </c>
      <c r="C1630" t="s">
        <v>40</v>
      </c>
      <c r="D1630">
        <v>6.2767809999999997</v>
      </c>
      <c r="E1630">
        <v>0.64227109999999998</v>
      </c>
      <c r="F1630" t="s">
        <v>44</v>
      </c>
      <c r="G1630">
        <v>-201.33539999999999</v>
      </c>
      <c r="H1630" s="1">
        <v>-2.9026110000000001E-6</v>
      </c>
      <c r="I1630">
        <v>361.53519999999997</v>
      </c>
      <c r="J1630">
        <v>-206.95750000000001</v>
      </c>
      <c r="K1630">
        <v>1.1195820000000001</v>
      </c>
      <c r="L1630">
        <v>367.07400000000001</v>
      </c>
      <c r="M1630">
        <v>0.98696209999999995</v>
      </c>
      <c r="N1630">
        <v>-1.4024689999999999E-2</v>
      </c>
      <c r="O1630">
        <v>-0.16034029999999999</v>
      </c>
      <c r="P1630">
        <v>0.91430820000000002</v>
      </c>
      <c r="Q1630">
        <v>-9.4684589999999999E-2</v>
      </c>
      <c r="R1630">
        <v>-0.39379629999999999</v>
      </c>
      <c r="S1630">
        <v>2.2827609999999998</v>
      </c>
      <c r="T1630">
        <v>-0.4466175</v>
      </c>
      <c r="U1630">
        <v>-2.2169490000000001</v>
      </c>
      <c r="V1630">
        <v>0.241753</v>
      </c>
      <c r="W1630">
        <v>-8.2117819999999994E-2</v>
      </c>
      <c r="X1630">
        <v>0.96685679999999996</v>
      </c>
      <c r="Y1630">
        <v>0.56791029999999998</v>
      </c>
      <c r="Z1630">
        <v>-2.7161640000000001E-2</v>
      </c>
      <c r="AA1630">
        <v>0.82264219999999899</v>
      </c>
      <c r="AB1630">
        <v>16</v>
      </c>
      <c r="AC1630">
        <v>5.6221000000000103</v>
      </c>
      <c r="AD1630">
        <v>-1.1195849026109901</v>
      </c>
      <c r="AE1630">
        <v>-5.5388000000000304</v>
      </c>
      <c r="AF1630">
        <v>4.4755189362834198</v>
      </c>
      <c r="AG1630">
        <v>-1.1195849026109901</v>
      </c>
      <c r="AH1630">
        <v>6.3105307586858901</v>
      </c>
      <c r="AI1630">
        <v>98.234398688425202</v>
      </c>
      <c r="AJ1630">
        <v>54.655187278061199</v>
      </c>
      <c r="AK1630">
        <v>7.81706713285147</v>
      </c>
      <c r="AL1630">
        <v>94.710308710633896</v>
      </c>
      <c r="AM1630">
        <v>75.961592522576794</v>
      </c>
      <c r="AN1630">
        <v>0.99999996053839502</v>
      </c>
    </row>
    <row r="1631" spans="1:40" x14ac:dyDescent="0.25">
      <c r="A1631" t="str">
        <f>"20190303154127211"</f>
        <v>20190303154127211</v>
      </c>
      <c r="B1631" t="str">
        <f>"1551598887200978"</f>
        <v>1551598887200978</v>
      </c>
      <c r="C1631" t="s">
        <v>40</v>
      </c>
      <c r="D1631">
        <v>6.2679099999999996</v>
      </c>
      <c r="E1631">
        <v>0.64227109999999998</v>
      </c>
      <c r="F1631" t="s">
        <v>44</v>
      </c>
      <c r="G1631">
        <v>-201.1918</v>
      </c>
      <c r="H1631" s="1">
        <v>-2.846816E-6</v>
      </c>
      <c r="I1631">
        <v>361.46089999999998</v>
      </c>
      <c r="J1631">
        <v>-206.85339999999999</v>
      </c>
      <c r="K1631">
        <v>1.1195649999999999</v>
      </c>
      <c r="L1631">
        <v>367.05419999999998</v>
      </c>
      <c r="M1631">
        <v>0.98656739999999998</v>
      </c>
      <c r="N1631">
        <v>-1.402339E-2</v>
      </c>
      <c r="O1631">
        <v>-0.16275220000000001</v>
      </c>
      <c r="P1631">
        <v>0.91342000000000001</v>
      </c>
      <c r="Q1631">
        <v>-9.5329269999999994E-2</v>
      </c>
      <c r="R1631">
        <v>-0.39569799999999999</v>
      </c>
      <c r="S1631">
        <v>2.2795260000000002</v>
      </c>
      <c r="T1631">
        <v>-0.44263659999999999</v>
      </c>
      <c r="U1631">
        <v>-2.2191770000000002</v>
      </c>
      <c r="V1631">
        <v>0.2414076</v>
      </c>
      <c r="W1631">
        <v>-8.2769620000000002E-2</v>
      </c>
      <c r="X1631">
        <v>0.96688750000000001</v>
      </c>
      <c r="Y1631">
        <v>0.56700329999999999</v>
      </c>
      <c r="Z1631">
        <v>-2.6572419999999999E-2</v>
      </c>
      <c r="AA1631">
        <v>0.82328679999999999</v>
      </c>
      <c r="AB1631">
        <v>16</v>
      </c>
      <c r="AC1631">
        <v>5.6615999999999902</v>
      </c>
      <c r="AD1631">
        <v>-1.119567846816</v>
      </c>
      <c r="AE1631">
        <v>-5.5932999999999904</v>
      </c>
      <c r="AF1631">
        <v>4.50797141788565</v>
      </c>
      <c r="AG1631">
        <v>-1.119567846816</v>
      </c>
      <c r="AH1631">
        <v>6.3704432043618002</v>
      </c>
      <c r="AI1631">
        <v>98.163864982156298</v>
      </c>
      <c r="AJ1631">
        <v>54.715301982375401</v>
      </c>
      <c r="AK1631">
        <v>7.8840208706026198</v>
      </c>
      <c r="AL1631">
        <v>94.747781775156994</v>
      </c>
      <c r="AM1631">
        <v>75.981285679168806</v>
      </c>
      <c r="AN1631">
        <v>0.99999993849447499</v>
      </c>
    </row>
    <row r="1632" spans="1:40" x14ac:dyDescent="0.25">
      <c r="A1632" t="str">
        <f>"20190303154127227"</f>
        <v>20190303154127227</v>
      </c>
      <c r="B1632" t="str">
        <f>"1551598887220498"</f>
        <v>1551598887220498</v>
      </c>
      <c r="C1632" t="s">
        <v>40</v>
      </c>
      <c r="D1632">
        <v>6.2590940000000002</v>
      </c>
      <c r="E1632">
        <v>0.63480499999999995</v>
      </c>
      <c r="F1632" t="s">
        <v>44</v>
      </c>
      <c r="G1632">
        <v>-201.12549999999999</v>
      </c>
      <c r="H1632" s="1">
        <v>-2.8146839999999999E-6</v>
      </c>
      <c r="I1632">
        <v>361.4554</v>
      </c>
      <c r="J1632">
        <v>-206.75040000000001</v>
      </c>
      <c r="K1632">
        <v>1.11954</v>
      </c>
      <c r="L1632">
        <v>367.0342</v>
      </c>
      <c r="M1632">
        <v>0.98616630000000005</v>
      </c>
      <c r="N1632">
        <v>-1.4022410000000001E-2</v>
      </c>
      <c r="O1632">
        <v>-0.16516529999999999</v>
      </c>
      <c r="P1632">
        <v>0.91237449999999998</v>
      </c>
      <c r="Q1632">
        <v>-9.7336870000000006E-2</v>
      </c>
      <c r="R1632">
        <v>-0.39761590000000002</v>
      </c>
      <c r="S1632">
        <v>2.27475</v>
      </c>
      <c r="T1632">
        <v>-0.4446176</v>
      </c>
      <c r="U1632">
        <v>-2.2234799999999999</v>
      </c>
      <c r="V1632">
        <v>0.24109739999999999</v>
      </c>
      <c r="W1632">
        <v>-8.4787719999999997E-2</v>
      </c>
      <c r="X1632">
        <v>0.96679009999999999</v>
      </c>
      <c r="Y1632">
        <v>0.56663719999999995</v>
      </c>
      <c r="Z1632">
        <v>-2.630468E-2</v>
      </c>
      <c r="AA1632">
        <v>0.82354740000000004</v>
      </c>
      <c r="AB1632">
        <v>16</v>
      </c>
      <c r="AC1632">
        <v>5.6249000000000198</v>
      </c>
      <c r="AD1632">
        <v>-1.1195428146840001</v>
      </c>
      <c r="AE1632">
        <v>-5.5788000000000002</v>
      </c>
      <c r="AF1632">
        <v>4.4834993615756602</v>
      </c>
      <c r="AG1632">
        <v>-1.1195428146840001</v>
      </c>
      <c r="AH1632">
        <v>6.3424861301363098</v>
      </c>
      <c r="AI1632">
        <v>98.202000496108298</v>
      </c>
      <c r="AJ1632">
        <v>54.743534146021297</v>
      </c>
      <c r="AK1632">
        <v>7.8474373492326404</v>
      </c>
      <c r="AL1632">
        <v>94.863818027594505</v>
      </c>
      <c r="AM1632">
        <v>75.997235079371194</v>
      </c>
      <c r="AN1632">
        <v>1.0000000056037801</v>
      </c>
    </row>
    <row r="1633" spans="1:40" x14ac:dyDescent="0.25">
      <c r="A1633" t="str">
        <f>"20190303154127240"</f>
        <v>20190303154127240</v>
      </c>
      <c r="B1633" t="str">
        <f>"1551598887231234"</f>
        <v>1551598887231234</v>
      </c>
      <c r="C1633" t="s">
        <v>40</v>
      </c>
      <c r="D1633">
        <v>6.2756629999999998</v>
      </c>
      <c r="E1633">
        <v>0.63522619999999996</v>
      </c>
      <c r="F1633" t="s">
        <v>44</v>
      </c>
      <c r="G1633">
        <v>-201.0367</v>
      </c>
      <c r="H1633" s="1">
        <v>-2.7340500000000001E-6</v>
      </c>
      <c r="I1633">
        <v>361.61759999999998</v>
      </c>
      <c r="J1633">
        <v>-206.6516</v>
      </c>
      <c r="K1633">
        <v>1.1195170000000001</v>
      </c>
      <c r="L1633">
        <v>367.01499999999999</v>
      </c>
      <c r="M1633">
        <v>0.98577250000000005</v>
      </c>
      <c r="N1633">
        <v>-1.402171E-2</v>
      </c>
      <c r="O1633">
        <v>-0.16749990000000001</v>
      </c>
      <c r="P1633">
        <v>0.91126779999999996</v>
      </c>
      <c r="Q1633">
        <v>-9.8195340000000006E-2</v>
      </c>
      <c r="R1633">
        <v>-0.39993620000000002</v>
      </c>
      <c r="S1633">
        <v>2.292862</v>
      </c>
      <c r="T1633">
        <v>-0.44927</v>
      </c>
      <c r="U1633">
        <v>-2.1737060000000001</v>
      </c>
      <c r="V1633">
        <v>0.24127609999999999</v>
      </c>
      <c r="W1633">
        <v>-8.5659860000000004E-2</v>
      </c>
      <c r="X1633">
        <v>0.96666859999999999</v>
      </c>
      <c r="Y1633">
        <v>0.55209900000000001</v>
      </c>
      <c r="Z1633">
        <v>-2.4850089999999998E-2</v>
      </c>
      <c r="AA1633">
        <v>0.83340820000000004</v>
      </c>
      <c r="AB1633">
        <v>16</v>
      </c>
      <c r="AC1633">
        <v>5.6148999999999996</v>
      </c>
      <c r="AD1633">
        <v>-1.11951973405</v>
      </c>
      <c r="AE1633">
        <v>-5.3974000000000002</v>
      </c>
      <c r="AF1633">
        <v>4.2918657579735804</v>
      </c>
      <c r="AG1633">
        <v>-1.11951973405</v>
      </c>
      <c r="AH1633">
        <v>6.3093478051558503</v>
      </c>
      <c r="AI1633">
        <v>98.3464389891152</v>
      </c>
      <c r="AJ1633">
        <v>55.774926887866798</v>
      </c>
      <c r="AK1633">
        <v>7.7124124530407903</v>
      </c>
      <c r="AL1633">
        <v>94.913970582913507</v>
      </c>
      <c r="AM1633">
        <v>75.985573263794805</v>
      </c>
      <c r="AN1633">
        <v>0.99999997513619399</v>
      </c>
    </row>
    <row r="1634" spans="1:40" x14ac:dyDescent="0.25">
      <c r="A1634" t="str">
        <f>"20190303154127253"</f>
        <v>20190303154127253</v>
      </c>
      <c r="B1634" t="str">
        <f>"1551598887250754"</f>
        <v>1551598887250754</v>
      </c>
      <c r="C1634" t="s">
        <v>40</v>
      </c>
      <c r="D1634">
        <v>6.2394480000000003</v>
      </c>
      <c r="E1634">
        <v>0.63553769999999998</v>
      </c>
      <c r="F1634" t="s">
        <v>44</v>
      </c>
      <c r="G1634">
        <v>-200.96860000000001</v>
      </c>
      <c r="H1634" s="1">
        <v>-2.704344E-6</v>
      </c>
      <c r="I1634">
        <v>361.58690000000001</v>
      </c>
      <c r="J1634">
        <v>-206.5556</v>
      </c>
      <c r="K1634">
        <v>1.11948799999999</v>
      </c>
      <c r="L1634">
        <v>366.99590000000001</v>
      </c>
      <c r="M1634">
        <v>0.98537989999999998</v>
      </c>
      <c r="N1634">
        <v>-1.402132E-2</v>
      </c>
      <c r="O1634">
        <v>-0.1697941</v>
      </c>
      <c r="P1634">
        <v>0.91016810000000004</v>
      </c>
      <c r="Q1634">
        <v>-9.8696199999999998E-2</v>
      </c>
      <c r="R1634">
        <v>-0.40231</v>
      </c>
      <c r="S1634">
        <v>2.2855379999999998</v>
      </c>
      <c r="T1634">
        <v>-0.45023849999999999</v>
      </c>
      <c r="U1634">
        <v>-2.1829830000000001</v>
      </c>
      <c r="V1634">
        <v>0.24154790000000001</v>
      </c>
      <c r="W1634">
        <v>-8.6176169999999996E-2</v>
      </c>
      <c r="X1634">
        <v>0.96655489999999999</v>
      </c>
      <c r="Y1634">
        <v>0.55325279999999999</v>
      </c>
      <c r="Z1634">
        <v>-2.4686960000000001E-2</v>
      </c>
      <c r="AA1634">
        <v>0.83264760000000004</v>
      </c>
      <c r="AB1634">
        <v>16</v>
      </c>
      <c r="AC1634">
        <v>5.5869999999999802</v>
      </c>
      <c r="AD1634">
        <v>-1.1194907043440001</v>
      </c>
      <c r="AE1634">
        <v>-5.40899999999999</v>
      </c>
      <c r="AF1634">
        <v>4.2927448415384797</v>
      </c>
      <c r="AG1634">
        <v>-1.1194907043440001</v>
      </c>
      <c r="AH1634">
        <v>6.2939251901418096</v>
      </c>
      <c r="AI1634">
        <v>98.359458146047203</v>
      </c>
      <c r="AJ1634">
        <v>55.704223607775297</v>
      </c>
      <c r="AK1634">
        <v>7.7002864888762099</v>
      </c>
      <c r="AL1634">
        <v>94.943662404751805</v>
      </c>
      <c r="AM1634">
        <v>75.968823896923794</v>
      </c>
      <c r="AN1634">
        <v>1.00000004749214</v>
      </c>
    </row>
    <row r="1635" spans="1:40" x14ac:dyDescent="0.25">
      <c r="A1635" t="str">
        <f>"20190303154127266"</f>
        <v>20190303154127266</v>
      </c>
      <c r="B1635" t="str">
        <f>"1551598887260514"</f>
        <v>1551598887260514</v>
      </c>
      <c r="C1635" t="s">
        <v>40</v>
      </c>
      <c r="D1635">
        <v>6.4592890000000001</v>
      </c>
      <c r="E1635">
        <v>0.63553769999999998</v>
      </c>
      <c r="F1635" t="s">
        <v>44</v>
      </c>
      <c r="G1635">
        <v>-200.82980000000001</v>
      </c>
      <c r="H1635" s="1">
        <v>-2.6475519999999998E-6</v>
      </c>
      <c r="I1635">
        <v>361.49169999999998</v>
      </c>
      <c r="J1635">
        <v>-206.46430000000001</v>
      </c>
      <c r="K1635">
        <v>1.119459</v>
      </c>
      <c r="L1635">
        <v>366.97750000000002</v>
      </c>
      <c r="M1635">
        <v>0.98499479999999995</v>
      </c>
      <c r="N1635">
        <v>-1.402144E-2</v>
      </c>
      <c r="O1635">
        <v>-0.17201420000000001</v>
      </c>
      <c r="P1635">
        <v>0.90895649999999995</v>
      </c>
      <c r="Q1635">
        <v>-9.8747719999999997E-2</v>
      </c>
      <c r="R1635">
        <v>-0.40502729999999998</v>
      </c>
      <c r="S1635">
        <v>2.2792819999999998</v>
      </c>
      <c r="T1635">
        <v>-0.44563649999999999</v>
      </c>
      <c r="U1635">
        <v>-2.191071</v>
      </c>
      <c r="V1635">
        <v>0.24225240000000001</v>
      </c>
      <c r="W1635">
        <v>-8.6246710000000004E-2</v>
      </c>
      <c r="X1635">
        <v>0.96637229999999996</v>
      </c>
      <c r="Y1635">
        <v>0.55414969999999997</v>
      </c>
      <c r="Z1635">
        <v>-2.4287509999999998E-2</v>
      </c>
      <c r="AA1635">
        <v>0.83206259999999999</v>
      </c>
      <c r="AB1635">
        <v>16</v>
      </c>
      <c r="AC1635">
        <v>5.6345000000000001</v>
      </c>
      <c r="AD1635">
        <v>-1.1194616475520001</v>
      </c>
      <c r="AE1635">
        <v>-5.4858000000000402</v>
      </c>
      <c r="AF1635">
        <v>4.3466233510975103</v>
      </c>
      <c r="AG1635">
        <v>-1.1194616475520001</v>
      </c>
      <c r="AH1635">
        <v>6.3652374163580498</v>
      </c>
      <c r="AI1635">
        <v>98.2637694395804</v>
      </c>
      <c r="AJ1635">
        <v>55.672042154235903</v>
      </c>
      <c r="AK1635">
        <v>7.7886183821811796</v>
      </c>
      <c r="AL1635">
        <v>94.947719034837306</v>
      </c>
      <c r="AM1635">
        <v>75.926970834904097</v>
      </c>
      <c r="AN1635">
        <v>1.0000000712494299</v>
      </c>
    </row>
    <row r="1636" spans="1:40" x14ac:dyDescent="0.25">
      <c r="A1636" t="str">
        <f>"20190303154127281"</f>
        <v>20190303154127281</v>
      </c>
      <c r="B1636" t="str">
        <f>"1551598887271250"</f>
        <v>1551598887271250</v>
      </c>
      <c r="C1636" t="s">
        <v>40</v>
      </c>
      <c r="D1636">
        <v>6.5330260000000004</v>
      </c>
      <c r="E1636">
        <v>0.64211799999999997</v>
      </c>
      <c r="F1636" t="s">
        <v>44</v>
      </c>
      <c r="G1636">
        <v>-200.75460000000001</v>
      </c>
      <c r="H1636" s="1">
        <v>-2.6125969999999999E-6</v>
      </c>
      <c r="I1636">
        <v>361.45569999999998</v>
      </c>
      <c r="J1636">
        <v>-206.36089999999999</v>
      </c>
      <c r="K1636">
        <v>1.119421</v>
      </c>
      <c r="L1636">
        <v>366.95639999999997</v>
      </c>
      <c r="M1636">
        <v>0.98454759999999997</v>
      </c>
      <c r="N1636">
        <v>-1.4021809999999999E-2</v>
      </c>
      <c r="O1636">
        <v>-0.17455479999999901</v>
      </c>
      <c r="P1636">
        <v>0.90712360000000003</v>
      </c>
      <c r="Q1636">
        <v>-9.871278E-2</v>
      </c>
      <c r="R1636">
        <v>-0.40912419999999999</v>
      </c>
      <c r="S1636">
        <v>2.2727050000000002</v>
      </c>
      <c r="T1636">
        <v>-0.44559349999999998</v>
      </c>
      <c r="U1636">
        <v>-2.1979060000000001</v>
      </c>
      <c r="V1636">
        <v>0.24410950000000001</v>
      </c>
      <c r="W1636">
        <v>-8.6243020000000004E-2</v>
      </c>
      <c r="X1636">
        <v>0.96590509999999996</v>
      </c>
      <c r="Y1636">
        <v>0.55451830000000002</v>
      </c>
      <c r="Z1636">
        <v>-2.3980330000000001E-2</v>
      </c>
      <c r="AA1636">
        <v>0.83182599999999995</v>
      </c>
      <c r="AB1636">
        <v>16</v>
      </c>
      <c r="AC1636">
        <v>5.6062999999999699</v>
      </c>
      <c r="AD1636">
        <v>-1.1194236125970001</v>
      </c>
      <c r="AE1636">
        <v>-5.5006999999999904</v>
      </c>
      <c r="AF1636">
        <v>4.3491833257601904</v>
      </c>
      <c r="AG1636">
        <v>-1.1194236125970001</v>
      </c>
      <c r="AH1636">
        <v>6.3514592342981899</v>
      </c>
      <c r="AI1636">
        <v>98.274003019313199</v>
      </c>
      <c r="AJ1636">
        <v>55.5984743276233</v>
      </c>
      <c r="AK1636">
        <v>7.7787877738412403</v>
      </c>
      <c r="AL1636">
        <v>94.947507253737101</v>
      </c>
      <c r="AM1636">
        <v>75.8168409830743</v>
      </c>
      <c r="AN1636">
        <v>0.99999998434749005</v>
      </c>
    </row>
    <row r="1637" spans="1:40" x14ac:dyDescent="0.25">
      <c r="A1637" t="str">
        <f>"20190303154127293"</f>
        <v>20190303154127293</v>
      </c>
      <c r="B1637" t="str">
        <f>"1551598887290770"</f>
        <v>1551598887290770</v>
      </c>
      <c r="C1637" t="s">
        <v>40</v>
      </c>
      <c r="D1637">
        <v>6.2766999999999999</v>
      </c>
      <c r="E1637">
        <v>0.64195939999999996</v>
      </c>
      <c r="F1637" t="s">
        <v>44</v>
      </c>
      <c r="G1637">
        <v>-201.0592</v>
      </c>
      <c r="H1637" s="1">
        <v>-2.745738E-6</v>
      </c>
      <c r="I1637">
        <v>361.6157</v>
      </c>
      <c r="J1637">
        <v>-206.27340000000001</v>
      </c>
      <c r="K1637">
        <v>1.1193900000000001</v>
      </c>
      <c r="L1637">
        <v>366.93830000000003</v>
      </c>
      <c r="M1637">
        <v>0.9841588</v>
      </c>
      <c r="N1637">
        <v>-1.4022379999999999E-2</v>
      </c>
      <c r="O1637">
        <v>-0.1767339</v>
      </c>
      <c r="P1637">
        <v>0.90567120000000001</v>
      </c>
      <c r="Q1637">
        <v>-9.8844769999999998E-2</v>
      </c>
      <c r="R1637">
        <v>-0.41229789999999999</v>
      </c>
      <c r="S1637">
        <v>2.2386629999999998</v>
      </c>
      <c r="T1637">
        <v>-0.47267710000000002</v>
      </c>
      <c r="U1637">
        <v>-2.255096</v>
      </c>
      <c r="V1637">
        <v>0.24534790000000001</v>
      </c>
      <c r="W1637">
        <v>-8.6400669999999999E-2</v>
      </c>
      <c r="X1637">
        <v>0.96557720000000002</v>
      </c>
      <c r="Y1637">
        <v>0.5688917</v>
      </c>
      <c r="Z1637">
        <v>-2.6145789999999999E-2</v>
      </c>
      <c r="AA1637">
        <v>0.82199669999999903</v>
      </c>
      <c r="AB1637">
        <v>16</v>
      </c>
      <c r="AC1637">
        <v>5.2141999999999999</v>
      </c>
      <c r="AD1637">
        <v>-1.119392745738</v>
      </c>
      <c r="AE1637">
        <v>-5.32260000000002</v>
      </c>
      <c r="AF1637">
        <v>4.2218939534451598</v>
      </c>
      <c r="AG1637">
        <v>-1.119392745738</v>
      </c>
      <c r="AH1637">
        <v>5.9388419630771896</v>
      </c>
      <c r="AI1637">
        <v>98.733722639059295</v>
      </c>
      <c r="AJ1637">
        <v>54.591163521352399</v>
      </c>
      <c r="AK1637">
        <v>7.3720602639800896</v>
      </c>
      <c r="AL1637">
        <v>94.956573705859398</v>
      </c>
      <c r="AM1637">
        <v>75.743169962914806</v>
      </c>
      <c r="AN1637">
        <v>0.99999999848534904</v>
      </c>
    </row>
    <row r="1638" spans="1:40" x14ac:dyDescent="0.25">
      <c r="A1638" t="str">
        <f>"20190303154127308"</f>
        <v>20190303154127308</v>
      </c>
      <c r="B1638" t="str">
        <f>"1551598887300530"</f>
        <v>1551598887300530</v>
      </c>
      <c r="C1638" t="s">
        <v>40</v>
      </c>
      <c r="D1638">
        <v>6.2983659999999997</v>
      </c>
      <c r="E1638">
        <v>0.63635649999999999</v>
      </c>
      <c r="F1638" t="s">
        <v>44</v>
      </c>
      <c r="G1638">
        <v>-200.99760000000001</v>
      </c>
      <c r="H1638" s="1">
        <v>-2.7205649999999999E-6</v>
      </c>
      <c r="I1638">
        <v>361.58960000000002</v>
      </c>
      <c r="J1638">
        <v>-206.17859999999999</v>
      </c>
      <c r="K1638">
        <v>1.1193569999999999</v>
      </c>
      <c r="L1638">
        <v>366.91840000000002</v>
      </c>
      <c r="M1638">
        <v>0.98372400000000004</v>
      </c>
      <c r="N1638">
        <v>-1.40235E-2</v>
      </c>
      <c r="O1638">
        <v>-0.17913789999999999</v>
      </c>
      <c r="P1638">
        <v>0.90392589999999995</v>
      </c>
      <c r="Q1638">
        <v>-9.9580020000000005E-2</v>
      </c>
      <c r="R1638">
        <v>-0.4159352</v>
      </c>
      <c r="S1638">
        <v>2.2310639999999999</v>
      </c>
      <c r="T1638">
        <v>-0.47338160000000001</v>
      </c>
      <c r="U1638">
        <v>-2.2619020000000001</v>
      </c>
      <c r="V1638">
        <v>0.24687239999999999</v>
      </c>
      <c r="W1638">
        <v>-8.7166499999999994E-2</v>
      </c>
      <c r="X1638">
        <v>0.96511970000000002</v>
      </c>
      <c r="Y1638">
        <v>0.56951870000000004</v>
      </c>
      <c r="Z1638">
        <v>-2.5899539999999999E-2</v>
      </c>
      <c r="AA1638">
        <v>0.82157029999999998</v>
      </c>
      <c r="AB1638">
        <v>16</v>
      </c>
      <c r="AC1638">
        <v>5.1809999999999796</v>
      </c>
      <c r="AD1638">
        <v>-1.1193597205650001</v>
      </c>
      <c r="AE1638">
        <v>-5.3288000000000002</v>
      </c>
      <c r="AF1638">
        <v>4.2186881451585299</v>
      </c>
      <c r="AG1638">
        <v>-1.1193597205650001</v>
      </c>
      <c r="AH1638">
        <v>5.91763152658989</v>
      </c>
      <c r="AI1638">
        <v>98.756112014943497</v>
      </c>
      <c r="AJ1638">
        <v>54.514874021154199</v>
      </c>
      <c r="AK1638">
        <v>7.3531393795177697</v>
      </c>
      <c r="AL1638">
        <v>95.000618659852293</v>
      </c>
      <c r="AM1638">
        <v>75.651709150871795</v>
      </c>
      <c r="AN1638">
        <v>1.00000000796605</v>
      </c>
    </row>
    <row r="1639" spans="1:40" x14ac:dyDescent="0.25">
      <c r="A1639" t="str">
        <f>"20190303154127323"</f>
        <v>20190303154127323</v>
      </c>
      <c r="B1639" t="str">
        <f>"1551598887321026"</f>
        <v>1551598887321026</v>
      </c>
      <c r="C1639" t="s">
        <v>40</v>
      </c>
      <c r="D1639">
        <v>6.284554</v>
      </c>
      <c r="E1639">
        <v>0.63664409999999905</v>
      </c>
      <c r="F1639" t="s">
        <v>44</v>
      </c>
      <c r="G1639">
        <v>-200.39500000000001</v>
      </c>
      <c r="H1639" s="1">
        <v>-2.4763080000000001E-6</v>
      </c>
      <c r="I1639">
        <v>361.16800000000001</v>
      </c>
      <c r="J1639">
        <v>-206.06630000000001</v>
      </c>
      <c r="K1639">
        <v>1.1193219999999999</v>
      </c>
      <c r="L1639">
        <v>366.89440000000002</v>
      </c>
      <c r="M1639">
        <v>0.98319279999999998</v>
      </c>
      <c r="N1639">
        <v>-1.402515E-2</v>
      </c>
      <c r="O1639">
        <v>-0.18203069999999999</v>
      </c>
      <c r="P1639">
        <v>0.90221010000000001</v>
      </c>
      <c r="Q1639">
        <v>-9.9859400000000001E-2</v>
      </c>
      <c r="R1639">
        <v>-0.4195779</v>
      </c>
      <c r="S1639">
        <v>2.2442630000000001</v>
      </c>
      <c r="T1639">
        <v>-0.43435550000000001</v>
      </c>
      <c r="U1639">
        <v>-2.2313540000000001</v>
      </c>
      <c r="V1639">
        <v>0.2479208</v>
      </c>
      <c r="W1639">
        <v>-8.7476020000000002E-2</v>
      </c>
      <c r="X1639">
        <v>0.96482290000000004</v>
      </c>
      <c r="Y1639">
        <v>0.55990669999999898</v>
      </c>
      <c r="Z1639">
        <v>-2.3076820000000001E-2</v>
      </c>
      <c r="AA1639">
        <v>0.82823429999999998</v>
      </c>
      <c r="AB1639">
        <v>16</v>
      </c>
      <c r="AC1639">
        <v>5.6712999999999996</v>
      </c>
      <c r="AD1639">
        <v>-1.1193244763079999</v>
      </c>
      <c r="AE1639">
        <v>-5.7264000000000097</v>
      </c>
      <c r="AF1639">
        <v>4.5112420180505799</v>
      </c>
      <c r="AG1639">
        <v>-1.1193244763079999</v>
      </c>
      <c r="AH1639">
        <v>6.4937585210464803</v>
      </c>
      <c r="AI1639">
        <v>98.057350936667007</v>
      </c>
      <c r="AJ1639">
        <v>55.212124965601703</v>
      </c>
      <c r="AK1639">
        <v>7.9858056298880102</v>
      </c>
      <c r="AL1639">
        <v>95.018420876417906</v>
      </c>
      <c r="AM1639">
        <v>75.589059599704896</v>
      </c>
      <c r="AN1639">
        <v>1.0000000027560401</v>
      </c>
    </row>
    <row r="1640" spans="1:40" x14ac:dyDescent="0.25">
      <c r="A1640" t="str">
        <f>"20190303154127339"</f>
        <v>20190303154127339</v>
      </c>
      <c r="B1640" t="str">
        <f>"1551598887330786"</f>
        <v>1551598887330786</v>
      </c>
      <c r="C1640" t="s">
        <v>40</v>
      </c>
      <c r="D1640">
        <v>6.2710569999999999</v>
      </c>
      <c r="E1640">
        <v>0.63658990000000004</v>
      </c>
      <c r="F1640" t="s">
        <v>44</v>
      </c>
      <c r="G1640">
        <v>-200.3879</v>
      </c>
      <c r="H1640" s="1">
        <v>-2.4648749999999998E-6</v>
      </c>
      <c r="I1640">
        <v>361.19510000000002</v>
      </c>
      <c r="J1640">
        <v>-205.9511</v>
      </c>
      <c r="K1640">
        <v>1.119281</v>
      </c>
      <c r="L1640">
        <v>366.86950000000002</v>
      </c>
      <c r="M1640">
        <v>0.98262879999999997</v>
      </c>
      <c r="N1640">
        <v>-1.402724E-2</v>
      </c>
      <c r="O1640">
        <v>-0.18505160000000001</v>
      </c>
      <c r="P1640">
        <v>0.89987709999999999</v>
      </c>
      <c r="Q1640">
        <v>-9.9542000000000005E-2</v>
      </c>
      <c r="R1640">
        <v>-0.42463319999999999</v>
      </c>
      <c r="S1640">
        <v>2.233765</v>
      </c>
      <c r="T1640">
        <v>-0.44031910000000002</v>
      </c>
      <c r="U1640">
        <v>-2.2420040000000001</v>
      </c>
      <c r="V1640">
        <v>0.25035109999999999</v>
      </c>
      <c r="W1640">
        <v>-8.7200680000000003E-2</v>
      </c>
      <c r="X1640">
        <v>0.96422010000000002</v>
      </c>
      <c r="Y1640">
        <v>0.56117790000000001</v>
      </c>
      <c r="Z1640">
        <v>-2.3022649999999999E-2</v>
      </c>
      <c r="AA1640">
        <v>0.82737499999999997</v>
      </c>
      <c r="AB1640">
        <v>16</v>
      </c>
      <c r="AC1640">
        <v>5.5631999999999904</v>
      </c>
      <c r="AD1640">
        <v>-1.1192834648750001</v>
      </c>
      <c r="AE1640">
        <v>-5.6743999999999897</v>
      </c>
      <c r="AF1640">
        <v>4.4583473503905697</v>
      </c>
      <c r="AG1640">
        <v>-1.1192834648750001</v>
      </c>
      <c r="AH1640">
        <v>6.3904769574718703</v>
      </c>
      <c r="AI1640">
        <v>98.174361001142501</v>
      </c>
      <c r="AJ1640">
        <v>55.098257871839103</v>
      </c>
      <c r="AK1640">
        <v>7.8719662293137498</v>
      </c>
      <c r="AL1640">
        <v>95.002584471972497</v>
      </c>
      <c r="AM1640">
        <v>75.445050622965994</v>
      </c>
      <c r="AN1640">
        <v>1.0000000165538401</v>
      </c>
    </row>
    <row r="1641" spans="1:40" x14ac:dyDescent="0.25">
      <c r="A1641" t="str">
        <f>"20190303154127359"</f>
        <v>20190303154127359</v>
      </c>
      <c r="B1641" t="str">
        <f>"1551598887351295"</f>
        <v>1551598887351295</v>
      </c>
      <c r="C1641" t="s">
        <v>40</v>
      </c>
      <c r="D1641">
        <v>6.5755309999999998</v>
      </c>
      <c r="E1641">
        <v>0.63620200000000005</v>
      </c>
      <c r="F1641" t="s">
        <v>44</v>
      </c>
      <c r="G1641">
        <v>-200.36259999999999</v>
      </c>
      <c r="H1641" s="1">
        <v>-2.4490900000000001E-6</v>
      </c>
      <c r="I1641">
        <v>361.19810000000001</v>
      </c>
      <c r="J1641">
        <v>-205.81110000000001</v>
      </c>
      <c r="K1641">
        <v>1.119243</v>
      </c>
      <c r="L1641">
        <v>366.83850000000001</v>
      </c>
      <c r="M1641">
        <v>0.98191320000000004</v>
      </c>
      <c r="N1641">
        <v>-1.4030310000000001E-2</v>
      </c>
      <c r="O1641">
        <v>-0.1888118</v>
      </c>
      <c r="P1641">
        <v>0.89765790000000001</v>
      </c>
      <c r="Q1641">
        <v>-9.8429929999999999E-2</v>
      </c>
      <c r="R1641">
        <v>-0.4295602</v>
      </c>
      <c r="S1641">
        <v>2.2210079999999999</v>
      </c>
      <c r="T1641">
        <v>-0.4448259</v>
      </c>
      <c r="U1641">
        <v>-2.2539370000000001</v>
      </c>
      <c r="V1641">
        <v>0.25191609999999998</v>
      </c>
      <c r="W1641">
        <v>-8.6126469999999997E-2</v>
      </c>
      <c r="X1641">
        <v>0.96390900000000002</v>
      </c>
      <c r="Y1641">
        <v>0.56250840000000002</v>
      </c>
      <c r="Z1641">
        <v>-2.281648E-2</v>
      </c>
      <c r="AA1641">
        <v>0.82647669999999995</v>
      </c>
      <c r="AB1641">
        <v>16</v>
      </c>
      <c r="AC1641">
        <v>5.4485000000000197</v>
      </c>
      <c r="AD1641">
        <v>-1.1192454490899999</v>
      </c>
      <c r="AE1641">
        <v>-5.6403999999999996</v>
      </c>
      <c r="AF1641">
        <v>4.42005254463532</v>
      </c>
      <c r="AG1641">
        <v>-1.1192454490899999</v>
      </c>
      <c r="AH1641">
        <v>6.2874877249205996</v>
      </c>
      <c r="AI1641">
        <v>98.285611646359598</v>
      </c>
      <c r="AJ1641">
        <v>54.893094707474397</v>
      </c>
      <c r="AK1641">
        <v>7.76672883289182</v>
      </c>
      <c r="AL1641">
        <v>94.940804287971602</v>
      </c>
      <c r="AM1641">
        <v>75.353440492318398</v>
      </c>
      <c r="AN1641">
        <v>1.0000000252774299</v>
      </c>
    </row>
    <row r="1642" spans="1:40" x14ac:dyDescent="0.25">
      <c r="A1642" t="str">
        <f>"20190303154127370"</f>
        <v>20190303154127370</v>
      </c>
      <c r="B1642" t="str">
        <f>"1551598887361042"</f>
        <v>1551598887361042</v>
      </c>
      <c r="C1642" t="s">
        <v>40</v>
      </c>
      <c r="D1642">
        <v>6.2734290000000001</v>
      </c>
      <c r="E1642">
        <v>0.64184890000000006</v>
      </c>
      <c r="F1642" t="s">
        <v>44</v>
      </c>
      <c r="G1642">
        <v>-200.22499999999999</v>
      </c>
      <c r="H1642" s="1">
        <v>-2.3889620000000001E-6</v>
      </c>
      <c r="I1642">
        <v>361.11810000000003</v>
      </c>
      <c r="J1642">
        <v>-205.7268</v>
      </c>
      <c r="K1642">
        <v>1.1192200000000001</v>
      </c>
      <c r="L1642">
        <v>366.81950000000001</v>
      </c>
      <c r="M1642">
        <v>0.98146619999999996</v>
      </c>
      <c r="N1642">
        <v>-1.4032350000000001E-2</v>
      </c>
      <c r="O1642">
        <v>-0.1911205</v>
      </c>
      <c r="P1642">
        <v>0.89640779999999998</v>
      </c>
      <c r="Q1642">
        <v>-9.7105280000000002E-2</v>
      </c>
      <c r="R1642">
        <v>-0.43246240000000002</v>
      </c>
      <c r="S1642">
        <v>2.2103269999999999</v>
      </c>
      <c r="T1642">
        <v>-0.4428685</v>
      </c>
      <c r="U1642">
        <v>-2.263458</v>
      </c>
      <c r="V1642">
        <v>0.25273990000000002</v>
      </c>
      <c r="W1642">
        <v>-8.4821709999999995E-2</v>
      </c>
      <c r="X1642">
        <v>0.96380900000000003</v>
      </c>
      <c r="Y1642">
        <v>0.56432590000000005</v>
      </c>
      <c r="Z1642">
        <v>-2.2622099999999999E-2</v>
      </c>
      <c r="AA1642">
        <v>0.82524200000000003</v>
      </c>
      <c r="AB1642">
        <v>16</v>
      </c>
      <c r="AC1642">
        <v>5.5018000000000002</v>
      </c>
      <c r="AD1642">
        <v>-1.1192223889620001</v>
      </c>
      <c r="AE1642">
        <v>-5.7013999999999703</v>
      </c>
      <c r="AF1642">
        <v>4.4557599733197097</v>
      </c>
      <c r="AG1642">
        <v>-1.1192223889620001</v>
      </c>
      <c r="AH1642">
        <v>6.3631511633036499</v>
      </c>
      <c r="AI1642">
        <v>98.198706875580697</v>
      </c>
      <c r="AJ1642">
        <v>54.998588846885099</v>
      </c>
      <c r="AK1642">
        <v>7.8483213761188697</v>
      </c>
      <c r="AL1642">
        <v>94.865772657448005</v>
      </c>
      <c r="AM1642">
        <v>75.306154875402399</v>
      </c>
      <c r="AN1642">
        <v>0.99999998401016699</v>
      </c>
    </row>
    <row r="1643" spans="1:40" x14ac:dyDescent="0.25">
      <c r="A1643" t="str">
        <f>"20190303154127382"</f>
        <v>20190303154127382</v>
      </c>
      <c r="B1643" t="str">
        <f>"1551598887370802"</f>
        <v>1551598887370802</v>
      </c>
      <c r="C1643" t="s">
        <v>40</v>
      </c>
      <c r="D1643">
        <v>6.2394420000000004</v>
      </c>
      <c r="E1643">
        <v>0.64324490000000001</v>
      </c>
      <c r="F1643" t="s">
        <v>44</v>
      </c>
      <c r="G1643">
        <v>-199.84520000000001</v>
      </c>
      <c r="H1643" s="1">
        <v>-1.016006E-5</v>
      </c>
      <c r="I1643">
        <v>360.59969999999998</v>
      </c>
      <c r="J1643">
        <v>-205.65</v>
      </c>
      <c r="K1643">
        <v>1.1192009999999999</v>
      </c>
      <c r="L1643">
        <v>366.80200000000002</v>
      </c>
      <c r="M1643">
        <v>0.98104919999999995</v>
      </c>
      <c r="N1643">
        <v>-1.403426E-2</v>
      </c>
      <c r="O1643">
        <v>-0.19325000000000001</v>
      </c>
      <c r="P1643">
        <v>0.89514550000000004</v>
      </c>
      <c r="Q1643">
        <v>-9.6185619999999999E-2</v>
      </c>
      <c r="R1643">
        <v>-0.43527359999999998</v>
      </c>
      <c r="S1643">
        <v>2.1862490000000001</v>
      </c>
      <c r="T1643">
        <v>-0.41603519999999999</v>
      </c>
      <c r="U1643">
        <v>-2.3119809999999998</v>
      </c>
      <c r="V1643">
        <v>0.25365219999999999</v>
      </c>
      <c r="W1643">
        <v>-8.3920999999999996E-2</v>
      </c>
      <c r="X1643">
        <v>0.96364819999999995</v>
      </c>
      <c r="Y1643">
        <v>0.57611749999999995</v>
      </c>
      <c r="Z1643">
        <v>-2.2446379999999998E-2</v>
      </c>
      <c r="AA1643">
        <v>0.81705859999999997</v>
      </c>
      <c r="AB1643">
        <v>16</v>
      </c>
      <c r="AC1643">
        <v>5.8048000000000002</v>
      </c>
      <c r="AD1643">
        <v>-1.1192111600599901</v>
      </c>
      <c r="AE1643">
        <v>-6.2022999999999797</v>
      </c>
      <c r="AF1643">
        <v>4.87878610395079</v>
      </c>
      <c r="AG1643">
        <v>-1.1192111600599901</v>
      </c>
      <c r="AH1643">
        <v>6.7764415176025503</v>
      </c>
      <c r="AI1643">
        <v>97.634255958929501</v>
      </c>
      <c r="AJ1643">
        <v>54.2475148445318</v>
      </c>
      <c r="AK1643">
        <v>8.4246867663073299</v>
      </c>
      <c r="AL1643">
        <v>94.813980963986396</v>
      </c>
      <c r="AM1643">
        <v>75.253069229710803</v>
      </c>
      <c r="AN1643">
        <v>1.0000000130845399</v>
      </c>
    </row>
    <row r="1644" spans="1:40" x14ac:dyDescent="0.25">
      <c r="A1644" t="str">
        <f>"20190303154127394"</f>
        <v>20190303154127394</v>
      </c>
      <c r="B1644" t="str">
        <f>"1551598887391298"</f>
        <v>1551598887391298</v>
      </c>
      <c r="C1644" t="s">
        <v>40</v>
      </c>
      <c r="D1644">
        <v>6.4715369999999997</v>
      </c>
      <c r="E1644">
        <v>0.64385619999999999</v>
      </c>
      <c r="F1644" t="s">
        <v>44</v>
      </c>
      <c r="G1644">
        <v>-199.73259999999999</v>
      </c>
      <c r="H1644" s="1">
        <v>-1.013855E-5</v>
      </c>
      <c r="I1644">
        <v>360.46429999999998</v>
      </c>
      <c r="J1644">
        <v>-205.56200000000001</v>
      </c>
      <c r="K1644">
        <v>1.1191799999999901</v>
      </c>
      <c r="L1644">
        <v>366.7817</v>
      </c>
      <c r="M1644">
        <v>0.98056129999999997</v>
      </c>
      <c r="N1644">
        <v>-1.4036440000000001E-2</v>
      </c>
      <c r="O1644">
        <v>-0.19571079999999999</v>
      </c>
      <c r="P1644">
        <v>0.89374219999999904</v>
      </c>
      <c r="Q1644">
        <v>-9.5468449999999996E-2</v>
      </c>
      <c r="R1644">
        <v>-0.43830459999999899</v>
      </c>
      <c r="S1644">
        <v>2.174652</v>
      </c>
      <c r="T1644">
        <v>-0.41131210000000001</v>
      </c>
      <c r="U1644">
        <v>-2.329132</v>
      </c>
      <c r="V1644">
        <v>0.2544824</v>
      </c>
      <c r="W1644">
        <v>-8.3223480000000002E-2</v>
      </c>
      <c r="X1644">
        <v>0.96348979999999995</v>
      </c>
      <c r="Y1644">
        <v>0.57931630000000001</v>
      </c>
      <c r="Z1644">
        <v>-2.225044E-2</v>
      </c>
      <c r="AA1644">
        <v>0.8147991</v>
      </c>
      <c r="AB1644">
        <v>16</v>
      </c>
      <c r="AC1644">
        <v>5.8294000000000201</v>
      </c>
      <c r="AD1644">
        <v>-1.1191901385499901</v>
      </c>
      <c r="AE1644">
        <v>-6.3174000000000197</v>
      </c>
      <c r="AF1644">
        <v>4.9699693372729499</v>
      </c>
      <c r="AG1644">
        <v>-1.1191901385499901</v>
      </c>
      <c r="AH1644">
        <v>6.8372486688705596</v>
      </c>
      <c r="AI1644">
        <v>97.542423474701906</v>
      </c>
      <c r="AJ1644">
        <v>53.986743377015401</v>
      </c>
      <c r="AK1644">
        <v>8.5264970028513591</v>
      </c>
      <c r="AL1644">
        <v>94.773875692906302</v>
      </c>
      <c r="AM1644">
        <v>75.204590759699698</v>
      </c>
      <c r="AN1644">
        <v>1.0000000171185499</v>
      </c>
    </row>
    <row r="1645" spans="1:40" x14ac:dyDescent="0.25">
      <c r="A1645" t="str">
        <f>"20190303154127406"</f>
        <v>20190303154127406</v>
      </c>
      <c r="B1645" t="str">
        <f>"1551598887401058"</f>
        <v>1551598887401058</v>
      </c>
      <c r="C1645" t="s">
        <v>40</v>
      </c>
      <c r="D1645">
        <v>6.2524940000000004</v>
      </c>
      <c r="E1645">
        <v>0.64391909999999997</v>
      </c>
      <c r="F1645" t="s">
        <v>44</v>
      </c>
      <c r="G1645">
        <v>-199.5487</v>
      </c>
      <c r="H1645" s="1">
        <v>-1.009794E-5</v>
      </c>
      <c r="I1645">
        <v>360.28140000000002</v>
      </c>
      <c r="J1645">
        <v>-205.47929999999999</v>
      </c>
      <c r="K1645">
        <v>1.1191610000000001</v>
      </c>
      <c r="L1645">
        <v>366.76229999999998</v>
      </c>
      <c r="M1645">
        <v>0.98008589999999995</v>
      </c>
      <c r="N1645">
        <v>-1.4038719999999999E-2</v>
      </c>
      <c r="O1645">
        <v>-0.1980769</v>
      </c>
      <c r="P1645">
        <v>0.89213410000000004</v>
      </c>
      <c r="Q1645">
        <v>-9.4391630000000004E-2</v>
      </c>
      <c r="R1645">
        <v>-0.44179980000000002</v>
      </c>
      <c r="S1645">
        <v>2.1655730000000002</v>
      </c>
      <c r="T1645">
        <v>-0.40305469999999999</v>
      </c>
      <c r="U1645">
        <v>-2.3409420000000001</v>
      </c>
      <c r="V1645">
        <v>0.25590429999999997</v>
      </c>
      <c r="W1645">
        <v>-8.2170080000000006E-2</v>
      </c>
      <c r="X1645">
        <v>0.96320349999999999</v>
      </c>
      <c r="Y1645">
        <v>0.58124129999999996</v>
      </c>
      <c r="Z1645">
        <v>-2.1831130000000001E-2</v>
      </c>
      <c r="AA1645">
        <v>0.81343840000000001</v>
      </c>
      <c r="AB1645">
        <v>16</v>
      </c>
      <c r="AC1645">
        <v>5.9305999999999903</v>
      </c>
      <c r="AD1645">
        <v>-1.11917109794</v>
      </c>
      <c r="AE1645">
        <v>-6.4808999999999601</v>
      </c>
      <c r="AF1645">
        <v>5.0949428188960999</v>
      </c>
      <c r="AG1645">
        <v>-1.11917109794</v>
      </c>
      <c r="AH1645">
        <v>6.9835695910620998</v>
      </c>
      <c r="AI1645">
        <v>97.376773581272005</v>
      </c>
      <c r="AJ1645">
        <v>53.886952939132598</v>
      </c>
      <c r="AK1645">
        <v>8.7167213163833797</v>
      </c>
      <c r="AL1645">
        <v>94.713313155578703</v>
      </c>
      <c r="AM1645">
        <v>75.121352561338199</v>
      </c>
      <c r="AN1645">
        <v>0.99999995760897198</v>
      </c>
    </row>
    <row r="1646" spans="1:40" x14ac:dyDescent="0.25">
      <c r="A1646" t="str">
        <f>"20190303154127419"</f>
        <v>20190303154127419</v>
      </c>
      <c r="B1646" t="str">
        <f>"1551598887410818"</f>
        <v>1551598887410818</v>
      </c>
      <c r="C1646" t="s">
        <v>40</v>
      </c>
      <c r="D1646">
        <v>6.5158230000000001</v>
      </c>
      <c r="E1646">
        <v>0.64360859999999998</v>
      </c>
      <c r="F1646" t="s">
        <v>44</v>
      </c>
      <c r="G1646">
        <v>-199.4323</v>
      </c>
      <c r="H1646" s="1">
        <v>-1.0071369999999999E-5</v>
      </c>
      <c r="I1646">
        <v>360.17189999999999</v>
      </c>
      <c r="J1646">
        <v>-205.38919999999999</v>
      </c>
      <c r="K1646">
        <v>1.1191390000000001</v>
      </c>
      <c r="L1646">
        <v>366.74099999999999</v>
      </c>
      <c r="M1646">
        <v>0.97955610000000004</v>
      </c>
      <c r="N1646">
        <v>-1.404124E-2</v>
      </c>
      <c r="O1646">
        <v>-0.2006809</v>
      </c>
      <c r="P1646">
        <v>0.89035370000000003</v>
      </c>
      <c r="Q1646">
        <v>-9.3884969999999998E-2</v>
      </c>
      <c r="R1646">
        <v>-0.44548450000000001</v>
      </c>
      <c r="S1646">
        <v>2.1565400000000001</v>
      </c>
      <c r="T1646">
        <v>-0.39913120000000002</v>
      </c>
      <c r="U1646">
        <v>-2.3503419999999999</v>
      </c>
      <c r="V1646">
        <v>0.25731110000000001</v>
      </c>
      <c r="W1646">
        <v>-8.1689250000000005E-2</v>
      </c>
      <c r="X1646">
        <v>0.96286959999999999</v>
      </c>
      <c r="Y1646">
        <v>0.58246869999999995</v>
      </c>
      <c r="Z1646">
        <v>-2.1488190000000001E-2</v>
      </c>
      <c r="AA1646">
        <v>0.81256909999999904</v>
      </c>
      <c r="AB1646">
        <v>16</v>
      </c>
      <c r="AC1646">
        <v>5.9568999999999903</v>
      </c>
      <c r="AD1646">
        <v>-1.1191490713700001</v>
      </c>
      <c r="AE1646">
        <v>-6.5690999999999899</v>
      </c>
      <c r="AF1646">
        <v>5.1577328622328498</v>
      </c>
      <c r="AG1646">
        <v>-1.1191490713700001</v>
      </c>
      <c r="AH1646">
        <v>7.0419553883569801</v>
      </c>
      <c r="AI1646">
        <v>97.306254172004898</v>
      </c>
      <c r="AJ1646">
        <v>53.779868436412798</v>
      </c>
      <c r="AK1646">
        <v>8.8002181003492694</v>
      </c>
      <c r="AL1646">
        <v>94.685670489058097</v>
      </c>
      <c r="AM1646">
        <v>75.038261287238299</v>
      </c>
      <c r="AN1646">
        <v>1.00000000117646</v>
      </c>
    </row>
    <row r="1647" spans="1:40" x14ac:dyDescent="0.25">
      <c r="A1647" t="str">
        <f>"20190303154127431"</f>
        <v>20190303154127431</v>
      </c>
      <c r="B1647" t="str">
        <f>"1551598887420578"</f>
        <v>1551598887420578</v>
      </c>
      <c r="C1647" t="s">
        <v>40</v>
      </c>
      <c r="D1647">
        <v>6.2821850000000001</v>
      </c>
      <c r="E1647">
        <v>0.64324059999999905</v>
      </c>
      <c r="F1647" t="s">
        <v>44</v>
      </c>
      <c r="G1647">
        <v>-199.36789999999999</v>
      </c>
      <c r="H1647" s="1">
        <v>-1.00543E-5</v>
      </c>
      <c r="I1647">
        <v>360.13600000000002</v>
      </c>
      <c r="J1647">
        <v>-205.3032</v>
      </c>
      <c r="K1647">
        <v>1.119116</v>
      </c>
      <c r="L1647">
        <v>366.72030000000001</v>
      </c>
      <c r="M1647">
        <v>0.97903479999999998</v>
      </c>
      <c r="N1647">
        <v>-1.404382E-2</v>
      </c>
      <c r="O1647">
        <v>-0.20320820000000001</v>
      </c>
      <c r="P1647">
        <v>0.88856270000000004</v>
      </c>
      <c r="Q1647">
        <v>-9.3338420000000005E-2</v>
      </c>
      <c r="R1647">
        <v>-0.4491599</v>
      </c>
      <c r="S1647">
        <v>2.148285</v>
      </c>
      <c r="T1647">
        <v>-0.39929340000000002</v>
      </c>
      <c r="U1647">
        <v>-2.3565369999999999</v>
      </c>
      <c r="V1647">
        <v>0.25878879999999999</v>
      </c>
      <c r="W1647">
        <v>-8.1169619999999998E-2</v>
      </c>
      <c r="X1647">
        <v>0.96251739999999997</v>
      </c>
      <c r="Y1647">
        <v>0.58299590000000001</v>
      </c>
      <c r="Z1647">
        <v>-2.1244829999999999E-2</v>
      </c>
      <c r="AA1647">
        <v>0.81219730000000001</v>
      </c>
      <c r="AB1647">
        <v>16</v>
      </c>
      <c r="AC1647">
        <v>5.9353000000000096</v>
      </c>
      <c r="AD1647">
        <v>-1.1191260542999999</v>
      </c>
      <c r="AE1647">
        <v>-6.5843000000000398</v>
      </c>
      <c r="AF1647">
        <v>5.1584572251249696</v>
      </c>
      <c r="AG1647">
        <v>-1.1191260542999999</v>
      </c>
      <c r="AH1647">
        <v>7.0373903562307998</v>
      </c>
      <c r="AI1647">
        <v>97.308800916331407</v>
      </c>
      <c r="AJ1647">
        <v>53.7583185407317</v>
      </c>
      <c r="AK1647">
        <v>8.7969873874427797</v>
      </c>
      <c r="AL1647">
        <v>94.655798931084405</v>
      </c>
      <c r="AM1647">
        <v>74.950967700867906</v>
      </c>
      <c r="AN1647">
        <v>0.99999994775957002</v>
      </c>
    </row>
    <row r="1648" spans="1:40" x14ac:dyDescent="0.25">
      <c r="A1648" t="str">
        <f>"20190303154127444"</f>
        <v>20190303154127444</v>
      </c>
      <c r="B1648" t="str">
        <f>"1551598887441074"</f>
        <v>1551598887441074</v>
      </c>
      <c r="C1648" t="s">
        <v>40</v>
      </c>
      <c r="D1648">
        <v>6.2846760000000002</v>
      </c>
      <c r="E1648">
        <v>0.64260479999999998</v>
      </c>
      <c r="F1648" t="s">
        <v>44</v>
      </c>
      <c r="G1648">
        <v>-199.3082</v>
      </c>
      <c r="H1648" s="1">
        <v>-1.0039010000000001E-5</v>
      </c>
      <c r="I1648">
        <v>360.09960000000001</v>
      </c>
      <c r="J1648">
        <v>-205.2201</v>
      </c>
      <c r="K1648">
        <v>1.119092</v>
      </c>
      <c r="L1648">
        <v>366.7</v>
      </c>
      <c r="M1648">
        <v>0.97851670000000002</v>
      </c>
      <c r="N1648">
        <v>-1.404655E-2</v>
      </c>
      <c r="O1648">
        <v>-0.20568839999999999</v>
      </c>
      <c r="P1648">
        <v>0.88666800000000001</v>
      </c>
      <c r="Q1648">
        <v>-9.2786640000000004E-2</v>
      </c>
      <c r="R1648">
        <v>-0.45300180000000001</v>
      </c>
      <c r="S1648">
        <v>2.1397550000000001</v>
      </c>
      <c r="T1648">
        <v>-0.39944160000000001</v>
      </c>
      <c r="U1648">
        <v>-2.3630680000000002</v>
      </c>
      <c r="V1648">
        <v>0.26049929999999999</v>
      </c>
      <c r="W1648">
        <v>-8.0646369999999995E-2</v>
      </c>
      <c r="X1648">
        <v>0.96209990000000001</v>
      </c>
      <c r="Y1648">
        <v>0.58367009999999997</v>
      </c>
      <c r="Z1648">
        <v>-2.101923E-2</v>
      </c>
      <c r="AA1648">
        <v>0.81171879999999996</v>
      </c>
      <c r="AB1648">
        <v>16</v>
      </c>
      <c r="AC1648">
        <v>5.9119000000000002</v>
      </c>
      <c r="AD1648">
        <v>-1.1191020390099999</v>
      </c>
      <c r="AE1648">
        <v>-6.6003999999999703</v>
      </c>
      <c r="AF1648">
        <v>5.1607910906826104</v>
      </c>
      <c r="AG1648">
        <v>-1.1191020390099999</v>
      </c>
      <c r="AH1648">
        <v>7.0310723570957396</v>
      </c>
      <c r="AI1648">
        <v>97.3117244099967</v>
      </c>
      <c r="AJ1648">
        <v>53.721415783401397</v>
      </c>
      <c r="AK1648">
        <v>8.7933004353371995</v>
      </c>
      <c r="AL1648">
        <v>94.625720199159304</v>
      </c>
      <c r="AM1648">
        <v>74.849783819354002</v>
      </c>
      <c r="AN1648">
        <v>0.99999996993733797</v>
      </c>
    </row>
    <row r="1649" spans="1:40" x14ac:dyDescent="0.25">
      <c r="A1649" t="str">
        <f>"20190303154127456"</f>
        <v>20190303154127456</v>
      </c>
      <c r="B1649" t="str">
        <f>"1551598887450834"</f>
        <v>1551598887450834</v>
      </c>
      <c r="C1649" t="s">
        <v>40</v>
      </c>
      <c r="D1649">
        <v>6.2670589999999997</v>
      </c>
      <c r="E1649">
        <v>0.64254350000000005</v>
      </c>
      <c r="F1649" t="s">
        <v>44</v>
      </c>
      <c r="G1649">
        <v>-199.2747</v>
      </c>
      <c r="H1649" s="1">
        <v>-1.002765E-5</v>
      </c>
      <c r="I1649">
        <v>360.09719999999999</v>
      </c>
      <c r="J1649">
        <v>-205.13669999999999</v>
      </c>
      <c r="K1649">
        <v>1.119065</v>
      </c>
      <c r="L1649">
        <v>366.67950000000002</v>
      </c>
      <c r="M1649">
        <v>0.97798580000000002</v>
      </c>
      <c r="N1649">
        <v>-1.4049320000000001E-2</v>
      </c>
      <c r="O1649">
        <v>-0.2081982</v>
      </c>
      <c r="P1649">
        <v>0.88465969999999905</v>
      </c>
      <c r="Q1649">
        <v>-9.2445029999999997E-2</v>
      </c>
      <c r="R1649">
        <v>-0.45698090000000002</v>
      </c>
      <c r="S1649">
        <v>2.131866</v>
      </c>
      <c r="T1649">
        <v>-0.40128200000000003</v>
      </c>
      <c r="U1649">
        <v>-2.3676149999999998</v>
      </c>
      <c r="V1649">
        <v>0.26233990000000001</v>
      </c>
      <c r="W1649">
        <v>-8.0335080000000003E-2</v>
      </c>
      <c r="X1649">
        <v>0.96162579999999998</v>
      </c>
      <c r="Y1649">
        <v>0.58383719999999995</v>
      </c>
      <c r="Z1649">
        <v>-2.0803060000000002E-2</v>
      </c>
      <c r="AA1649">
        <v>0.8116042</v>
      </c>
      <c r="AB1649">
        <v>16</v>
      </c>
      <c r="AC1649">
        <v>5.8619999999999903</v>
      </c>
      <c r="AD1649">
        <v>-1.1190750276500001</v>
      </c>
      <c r="AE1649">
        <v>-6.5823000000000302</v>
      </c>
      <c r="AF1649">
        <v>5.13468360805137</v>
      </c>
      <c r="AG1649">
        <v>-1.1190750276500001</v>
      </c>
      <c r="AH1649">
        <v>6.9913781907471</v>
      </c>
      <c r="AI1649">
        <v>97.351106481386395</v>
      </c>
      <c r="AJ1649">
        <v>53.705292656033002</v>
      </c>
      <c r="AK1649">
        <v>8.74623768704895</v>
      </c>
      <c r="AL1649">
        <v>94.607826103748494</v>
      </c>
      <c r="AM1649">
        <v>74.740538073618197</v>
      </c>
      <c r="AN1649">
        <v>1.0000000637181199</v>
      </c>
    </row>
    <row r="1650" spans="1:40" x14ac:dyDescent="0.25">
      <c r="A1650" t="str">
        <f>"20190303154127470"</f>
        <v>20190303154127470</v>
      </c>
      <c r="B1650" t="str">
        <f>"1551598887460595"</f>
        <v>1551598887460595</v>
      </c>
      <c r="C1650" t="s">
        <v>40</v>
      </c>
      <c r="D1650">
        <v>6.28918</v>
      </c>
      <c r="E1650">
        <v>0.64228649999999998</v>
      </c>
      <c r="F1650" t="s">
        <v>44</v>
      </c>
      <c r="G1650">
        <v>-199.25239999999999</v>
      </c>
      <c r="H1650" s="1">
        <v>-1.0021210000000001E-5</v>
      </c>
      <c r="I1650">
        <v>360.0883</v>
      </c>
      <c r="J1650">
        <v>-205.0333</v>
      </c>
      <c r="K1650">
        <v>1.1190329999999999</v>
      </c>
      <c r="L1650">
        <v>366.65359999999998</v>
      </c>
      <c r="M1650">
        <v>0.97730470000000003</v>
      </c>
      <c r="N1650">
        <v>-1.405322E-2</v>
      </c>
      <c r="O1650">
        <v>-0.21137210000000001</v>
      </c>
      <c r="P1650">
        <v>0.88157680000000005</v>
      </c>
      <c r="Q1650">
        <v>-9.2130530000000002E-2</v>
      </c>
      <c r="R1650">
        <v>-0.4629625</v>
      </c>
      <c r="S1650">
        <v>2.1214599999999999</v>
      </c>
      <c r="T1650">
        <v>-0.4034626</v>
      </c>
      <c r="U1650">
        <v>-2.3763429999999999</v>
      </c>
      <c r="V1650">
        <v>0.2657138</v>
      </c>
      <c r="W1650">
        <v>-8.0068600000000004E-2</v>
      </c>
      <c r="X1650">
        <v>0.96072120000000005</v>
      </c>
      <c r="Y1650">
        <v>0.58463769999999904</v>
      </c>
      <c r="Z1650">
        <v>-2.056709E-2</v>
      </c>
      <c r="AA1650">
        <v>0.81103380000000003</v>
      </c>
      <c r="AB1650">
        <v>16</v>
      </c>
      <c r="AC1650">
        <v>5.7808999999999999</v>
      </c>
      <c r="AD1650">
        <v>-1.11904302121</v>
      </c>
      <c r="AE1650">
        <v>-6.5652999999999704</v>
      </c>
      <c r="AF1650">
        <v>5.1112463337966796</v>
      </c>
      <c r="AG1650">
        <v>-1.11904302121</v>
      </c>
      <c r="AH1650">
        <v>6.9247945157648001</v>
      </c>
      <c r="AI1650">
        <v>97.407922885293004</v>
      </c>
      <c r="AJ1650">
        <v>53.568667992424601</v>
      </c>
      <c r="AK1650">
        <v>8.6792785099704606</v>
      </c>
      <c r="AL1650">
        <v>94.592508810189798</v>
      </c>
      <c r="AM1650">
        <v>74.539757066961798</v>
      </c>
      <c r="AN1650">
        <v>1.0000000141729199</v>
      </c>
    </row>
    <row r="1651" spans="1:40" x14ac:dyDescent="0.25">
      <c r="A1651" t="str">
        <f>"20190303154127483"</f>
        <v>20190303154127483</v>
      </c>
      <c r="B1651" t="str">
        <f>"1551598887470354"</f>
        <v>1551598887470354</v>
      </c>
      <c r="C1651" t="s">
        <v>40</v>
      </c>
      <c r="D1651">
        <v>6.2933969999999997</v>
      </c>
      <c r="E1651">
        <v>0.64224359999999903</v>
      </c>
      <c r="F1651" t="s">
        <v>44</v>
      </c>
      <c r="G1651">
        <v>-199.1979</v>
      </c>
      <c r="H1651" s="1">
        <v>-1.001047E-5</v>
      </c>
      <c r="I1651">
        <v>360.03449999999998</v>
      </c>
      <c r="J1651">
        <v>-204.95609999999999</v>
      </c>
      <c r="K1651">
        <v>1.1190119999999999</v>
      </c>
      <c r="L1651">
        <v>366.63400000000001</v>
      </c>
      <c r="M1651">
        <v>0.97678259999999995</v>
      </c>
      <c r="N1651">
        <v>-1.4056040000000001E-2</v>
      </c>
      <c r="O1651">
        <v>-0.21377199999999999</v>
      </c>
      <c r="P1651">
        <v>0.8796794</v>
      </c>
      <c r="Q1651">
        <v>-9.1861189999999995E-2</v>
      </c>
      <c r="R1651">
        <v>-0.4666111</v>
      </c>
      <c r="S1651">
        <v>2.1061709999999998</v>
      </c>
      <c r="T1651">
        <v>-0.40389239999999998</v>
      </c>
      <c r="U1651">
        <v>-2.3890380000000002</v>
      </c>
      <c r="V1651">
        <v>0.26732299999999998</v>
      </c>
      <c r="W1651">
        <v>-7.9826220000000003E-2</v>
      </c>
      <c r="X1651">
        <v>0.9602948</v>
      </c>
      <c r="Y1651">
        <v>0.58767320000000001</v>
      </c>
      <c r="Z1651">
        <v>-2.0576110000000002E-2</v>
      </c>
      <c r="AA1651">
        <v>0.80883669999999996</v>
      </c>
      <c r="AB1651">
        <v>16</v>
      </c>
      <c r="AC1651">
        <v>5.75819999999998</v>
      </c>
      <c r="AD1651">
        <v>-1.1190220104699999</v>
      </c>
      <c r="AE1651">
        <v>-6.5995000000000301</v>
      </c>
      <c r="AF1651">
        <v>5.1320739364969903</v>
      </c>
      <c r="AG1651">
        <v>-1.1190220104699999</v>
      </c>
      <c r="AH1651">
        <v>6.9229819391584302</v>
      </c>
      <c r="AI1651">
        <v>97.3984951747492</v>
      </c>
      <c r="AJ1651">
        <v>53.450099620506201</v>
      </c>
      <c r="AK1651">
        <v>8.6901134675849807</v>
      </c>
      <c r="AL1651">
        <v>94.578577125181894</v>
      </c>
      <c r="AM1651">
        <v>74.444074976832695</v>
      </c>
      <c r="AN1651">
        <v>0.99999995731776303</v>
      </c>
    </row>
    <row r="1652" spans="1:40" x14ac:dyDescent="0.25">
      <c r="A1652" t="str">
        <f>"20190303154127493"</f>
        <v>20190303154127493</v>
      </c>
      <c r="B1652" t="str">
        <f>"1551598887490850"</f>
        <v>1551598887490850</v>
      </c>
      <c r="C1652" t="s">
        <v>40</v>
      </c>
      <c r="D1652">
        <v>6.4410769999999999</v>
      </c>
      <c r="E1652">
        <v>0.64212449999999999</v>
      </c>
      <c r="F1652" t="s">
        <v>44</v>
      </c>
      <c r="G1652">
        <v>-199.12950000000001</v>
      </c>
      <c r="H1652" s="1">
        <v>-9.996196E-6</v>
      </c>
      <c r="I1652">
        <v>359.97219999999999</v>
      </c>
      <c r="J1652">
        <v>-204.87520000000001</v>
      </c>
      <c r="K1652">
        <v>1.1189929999999999</v>
      </c>
      <c r="L1652">
        <v>366.61329999999998</v>
      </c>
      <c r="M1652">
        <v>0.97622500000000001</v>
      </c>
      <c r="N1652">
        <v>-1.4058910000000001E-2</v>
      </c>
      <c r="O1652">
        <v>-0.21630389999999999</v>
      </c>
      <c r="P1652">
        <v>0.87754489999999996</v>
      </c>
      <c r="Q1652">
        <v>-9.1508279999999997E-2</v>
      </c>
      <c r="R1652">
        <v>-0.47068209999999999</v>
      </c>
      <c r="S1652">
        <v>2.0967250000000002</v>
      </c>
      <c r="T1652">
        <v>-0.40268559999999998</v>
      </c>
      <c r="U1652">
        <v>-2.397278</v>
      </c>
      <c r="V1652">
        <v>0.26926909999999998</v>
      </c>
      <c r="W1652">
        <v>-7.9503589999999999E-2</v>
      </c>
      <c r="X1652">
        <v>0.95977780000000001</v>
      </c>
      <c r="Y1652">
        <v>0.58878390000000003</v>
      </c>
      <c r="Z1652">
        <v>-2.0333589999999999E-2</v>
      </c>
      <c r="AA1652">
        <v>0.80803469999999999</v>
      </c>
      <c r="AB1652">
        <v>16</v>
      </c>
      <c r="AC1652">
        <v>5.7456999999999896</v>
      </c>
      <c r="AD1652">
        <v>-1.119002996196</v>
      </c>
      <c r="AE1652">
        <v>-6.64109999999999</v>
      </c>
      <c r="AF1652">
        <v>5.1571698256295901</v>
      </c>
      <c r="AG1652">
        <v>-1.119002996196</v>
      </c>
      <c r="AH1652">
        <v>6.9337033752873998</v>
      </c>
      <c r="AI1652">
        <v>97.378414573425005</v>
      </c>
      <c r="AJ1652">
        <v>53.358761154636802</v>
      </c>
      <c r="AK1652">
        <v>8.7134844242904297</v>
      </c>
      <c r="AL1652">
        <v>94.560032436938897</v>
      </c>
      <c r="AM1652">
        <v>74.328345745870095</v>
      </c>
      <c r="AN1652">
        <v>1.0000000472052599</v>
      </c>
    </row>
    <row r="1653" spans="1:40" x14ac:dyDescent="0.25">
      <c r="A1653" t="str">
        <f>"20190303154127507"</f>
        <v>20190303154127507</v>
      </c>
      <c r="B1653" t="str">
        <f>"1551598887500610"</f>
        <v>1551598887500610</v>
      </c>
      <c r="C1653" t="s">
        <v>40</v>
      </c>
      <c r="D1653">
        <v>6.5330539999999999</v>
      </c>
      <c r="E1653">
        <v>0.64193369999999905</v>
      </c>
      <c r="F1653" t="s">
        <v>44</v>
      </c>
      <c r="G1653">
        <v>-199.1054</v>
      </c>
      <c r="H1653" s="1">
        <v>-9.9900460000000001E-6</v>
      </c>
      <c r="I1653">
        <v>359.95749999999998</v>
      </c>
      <c r="J1653">
        <v>-204.7895</v>
      </c>
      <c r="K1653">
        <v>1.1189720000000001</v>
      </c>
      <c r="L1653">
        <v>366.59089999999998</v>
      </c>
      <c r="M1653">
        <v>0.97561469999999995</v>
      </c>
      <c r="N1653">
        <v>-1.406202E-2</v>
      </c>
      <c r="O1653">
        <v>-0.21903909999999999</v>
      </c>
      <c r="P1653">
        <v>0.87521599999999999</v>
      </c>
      <c r="Q1653">
        <v>-9.1295970000000004E-2</v>
      </c>
      <c r="R1653">
        <v>-0.47503909999999999</v>
      </c>
      <c r="S1653">
        <v>2.0858759999999998</v>
      </c>
      <c r="T1653">
        <v>-0.40453909999999998</v>
      </c>
      <c r="U1653">
        <v>-2.406158</v>
      </c>
      <c r="V1653">
        <v>0.271339099999999</v>
      </c>
      <c r="W1653">
        <v>-7.9323089999999999E-2</v>
      </c>
      <c r="X1653">
        <v>0.95920950000000005</v>
      </c>
      <c r="Y1653">
        <v>0.59004860000000003</v>
      </c>
      <c r="Z1653">
        <v>-2.0178479999999999E-2</v>
      </c>
      <c r="AA1653">
        <v>0.80711560000000004</v>
      </c>
      <c r="AB1653">
        <v>16</v>
      </c>
      <c r="AC1653">
        <v>5.6840999999999999</v>
      </c>
      <c r="AD1653">
        <v>-1.1189819900460001</v>
      </c>
      <c r="AE1653">
        <v>-6.6333999999999902</v>
      </c>
      <c r="AF1653">
        <v>5.1427367696589297</v>
      </c>
      <c r="AG1653">
        <v>-1.1189819900460001</v>
      </c>
      <c r="AH1653">
        <v>6.8861686797075201</v>
      </c>
      <c r="AI1653">
        <v>97.417955975176298</v>
      </c>
      <c r="AJ1653">
        <v>53.246844619627502</v>
      </c>
      <c r="AK1653">
        <v>8.6671322397569401</v>
      </c>
      <c r="AL1653">
        <v>94.549658170616397</v>
      </c>
      <c r="AM1653">
        <v>74.204968030007606</v>
      </c>
      <c r="AN1653">
        <v>0.99999996234310295</v>
      </c>
    </row>
    <row r="1654" spans="1:40" x14ac:dyDescent="0.25">
      <c r="A1654" t="str">
        <f>"20190303154127522"</f>
        <v>20190303154127522</v>
      </c>
      <c r="B1654" t="str">
        <f>"1551598887511346"</f>
        <v>1551598887511346</v>
      </c>
      <c r="C1654" t="s">
        <v>40</v>
      </c>
      <c r="D1654">
        <v>6.3036519999999996</v>
      </c>
      <c r="E1654">
        <v>0.64182759999999905</v>
      </c>
      <c r="F1654" t="s">
        <v>44</v>
      </c>
      <c r="G1654">
        <v>-199.05529999999999</v>
      </c>
      <c r="H1654" s="1">
        <v>-9.9790250000000006E-6</v>
      </c>
      <c r="I1654">
        <v>359.91550000000001</v>
      </c>
      <c r="J1654">
        <v>-204.68770000000001</v>
      </c>
      <c r="K1654">
        <v>1.1189469999999999</v>
      </c>
      <c r="L1654">
        <v>366.56400000000002</v>
      </c>
      <c r="M1654">
        <v>0.97487190000000001</v>
      </c>
      <c r="N1654">
        <v>-1.4065680000000001E-2</v>
      </c>
      <c r="O1654">
        <v>-0.22232209999999999</v>
      </c>
      <c r="P1654">
        <v>0.87247759999999996</v>
      </c>
      <c r="Q1654">
        <v>-9.134159E-2</v>
      </c>
      <c r="R1654">
        <v>-0.48004170000000002</v>
      </c>
      <c r="S1654">
        <v>2.0746150000000001</v>
      </c>
      <c r="T1654">
        <v>-0.40484680000000001</v>
      </c>
      <c r="U1654">
        <v>-2.4151609999999999</v>
      </c>
      <c r="V1654">
        <v>0.27359319999999998</v>
      </c>
      <c r="W1654">
        <v>-7.940498E-2</v>
      </c>
      <c r="X1654">
        <v>0.95856229999999998</v>
      </c>
      <c r="Y1654">
        <v>0.59099009999999996</v>
      </c>
      <c r="Z1654">
        <v>-1.9876290000000001E-2</v>
      </c>
      <c r="AA1654">
        <v>0.80643399999999998</v>
      </c>
      <c r="AB1654">
        <v>16</v>
      </c>
      <c r="AC1654">
        <v>5.6324000000000103</v>
      </c>
      <c r="AD1654">
        <v>-1.118956979025</v>
      </c>
      <c r="AE1654">
        <v>-6.6485000000000101</v>
      </c>
      <c r="AF1654">
        <v>5.14490374663872</v>
      </c>
      <c r="AG1654">
        <v>-1.118956979025</v>
      </c>
      <c r="AH1654">
        <v>6.8565971940523198</v>
      </c>
      <c r="AI1654">
        <v>97.436936971481799</v>
      </c>
      <c r="AJ1654">
        <v>53.116970642595</v>
      </c>
      <c r="AK1654">
        <v>8.6449421261551596</v>
      </c>
      <c r="AL1654">
        <v>94.554364630573005</v>
      </c>
      <c r="AM1654">
        <v>74.070174834388993</v>
      </c>
      <c r="AN1654">
        <v>1.00000003645816</v>
      </c>
    </row>
    <row r="1655" spans="1:40" x14ac:dyDescent="0.25">
      <c r="A1655" t="str">
        <f>"20190303154127539"</f>
        <v>20190303154127539</v>
      </c>
      <c r="B1655" t="str">
        <f>"1551598887531201"</f>
        <v>1551598887531201</v>
      </c>
      <c r="C1655" t="s">
        <v>40</v>
      </c>
      <c r="D1655">
        <v>6.477061</v>
      </c>
      <c r="E1655">
        <v>0.64142469999999996</v>
      </c>
      <c r="F1655" t="s">
        <v>44</v>
      </c>
      <c r="G1655">
        <v>-199.02350000000001</v>
      </c>
      <c r="H1655" s="1">
        <v>-9.9706989999999999E-6</v>
      </c>
      <c r="I1655">
        <v>359.8972</v>
      </c>
      <c r="J1655">
        <v>-204.56899999999999</v>
      </c>
      <c r="K1655">
        <v>1.1189129999999901</v>
      </c>
      <c r="L1655">
        <v>366.53210000000001</v>
      </c>
      <c r="M1655">
        <v>0.97397579999999995</v>
      </c>
      <c r="N1655">
        <v>-1.4069979999999999E-2</v>
      </c>
      <c r="O1655">
        <v>-0.2262159</v>
      </c>
      <c r="P1655">
        <v>0.86816099999999996</v>
      </c>
      <c r="Q1655">
        <v>-9.1604950000000004E-2</v>
      </c>
      <c r="R1655">
        <v>-0.48775550000000001</v>
      </c>
      <c r="S1655">
        <v>2.061096</v>
      </c>
      <c r="T1655">
        <v>-0.40716449999999998</v>
      </c>
      <c r="U1655">
        <v>-2.4259339999999998</v>
      </c>
      <c r="V1655">
        <v>0.2782482</v>
      </c>
      <c r="W1655">
        <v>-7.9730560000000006E-2</v>
      </c>
      <c r="X1655">
        <v>0.95719430000000005</v>
      </c>
      <c r="Y1655">
        <v>0.59212010000000004</v>
      </c>
      <c r="Z1655">
        <v>-1.9574100000000001E-2</v>
      </c>
      <c r="AA1655">
        <v>0.80561199999999999</v>
      </c>
      <c r="AB1655">
        <v>16</v>
      </c>
      <c r="AC1655">
        <v>5.5454999999999997</v>
      </c>
      <c r="AD1655">
        <v>-1.11892297069899</v>
      </c>
      <c r="AE1655">
        <v>-6.6349000000000098</v>
      </c>
      <c r="AF1655">
        <v>5.1224974298183703</v>
      </c>
      <c r="AG1655">
        <v>-1.11892297069899</v>
      </c>
      <c r="AH1655">
        <v>6.7891106993854802</v>
      </c>
      <c r="AI1655">
        <v>97.494979481116005</v>
      </c>
      <c r="AJ1655">
        <v>52.9648367334988</v>
      </c>
      <c r="AK1655">
        <v>8.5781112502324302</v>
      </c>
      <c r="AL1655">
        <v>94.5730786018636</v>
      </c>
      <c r="AM1655">
        <v>73.791303861392294</v>
      </c>
      <c r="AN1655">
        <v>0.99999997547682096</v>
      </c>
    </row>
    <row r="1656" spans="1:40" x14ac:dyDescent="0.25">
      <c r="A1656" t="str">
        <f>"20190303154127552"</f>
        <v>20190303154127552</v>
      </c>
      <c r="B1656" t="str">
        <f>"1551598887540961"</f>
        <v>1551598887540961</v>
      </c>
      <c r="C1656" t="s">
        <v>40</v>
      </c>
      <c r="D1656">
        <v>6.3580839999999998</v>
      </c>
      <c r="E1656">
        <v>0.64111719999999905</v>
      </c>
      <c r="F1656" t="s">
        <v>44</v>
      </c>
      <c r="G1656">
        <v>-199.04560000000001</v>
      </c>
      <c r="H1656" s="1">
        <v>-9.9744019999999994E-6</v>
      </c>
      <c r="I1656">
        <v>359.92320000000001</v>
      </c>
      <c r="J1656">
        <v>-204.47239999999999</v>
      </c>
      <c r="K1656">
        <v>1.1188800000000001</v>
      </c>
      <c r="L1656">
        <v>366.50569999999999</v>
      </c>
      <c r="M1656">
        <v>0.97322260000000005</v>
      </c>
      <c r="N1656">
        <v>-1.4073550000000001E-2</v>
      </c>
      <c r="O1656">
        <v>-0.22943359999999999</v>
      </c>
      <c r="P1656">
        <v>0.86527779999999999</v>
      </c>
      <c r="Q1656">
        <v>-9.2143230000000007E-2</v>
      </c>
      <c r="R1656">
        <v>-0.4927512</v>
      </c>
      <c r="S1656">
        <v>2.040375</v>
      </c>
      <c r="T1656">
        <v>-0.4133387</v>
      </c>
      <c r="U1656">
        <v>-2.441376</v>
      </c>
      <c r="V1656">
        <v>0.28060350000000001</v>
      </c>
      <c r="W1656">
        <v>-8.0305379999999996E-2</v>
      </c>
      <c r="X1656">
        <v>0.95645840000000004</v>
      </c>
      <c r="Y1656">
        <v>0.59585779999999999</v>
      </c>
      <c r="Z1656">
        <v>-1.971448E-2</v>
      </c>
      <c r="AA1656">
        <v>0.80284789999999995</v>
      </c>
      <c r="AB1656">
        <v>16</v>
      </c>
      <c r="AC1656">
        <v>5.4267999999999796</v>
      </c>
      <c r="AD1656">
        <v>-1.11888997440199</v>
      </c>
      <c r="AE1656">
        <v>-6.58249999999998</v>
      </c>
      <c r="AF1656">
        <v>5.0743717942335902</v>
      </c>
      <c r="AG1656">
        <v>-1.11888997440199</v>
      </c>
      <c r="AH1656">
        <v>6.6775399439282497</v>
      </c>
      <c r="AI1656">
        <v>97.598986171043194</v>
      </c>
      <c r="AJ1656">
        <v>52.768204097147603</v>
      </c>
      <c r="AK1656">
        <v>8.4611289780789996</v>
      </c>
      <c r="AL1656">
        <v>94.606119314807202</v>
      </c>
      <c r="AM1656">
        <v>73.649491470566701</v>
      </c>
      <c r="AN1656">
        <v>0.999999974599876</v>
      </c>
    </row>
    <row r="1657" spans="1:40" x14ac:dyDescent="0.25">
      <c r="A1657" t="str">
        <f>"20190303154127565"</f>
        <v>20190303154127565</v>
      </c>
      <c r="B1657" t="str">
        <f>"1551598887560481"</f>
        <v>1551598887560481</v>
      </c>
      <c r="C1657" t="s">
        <v>40</v>
      </c>
      <c r="D1657">
        <v>6.323156</v>
      </c>
      <c r="E1657">
        <v>0.64083519999999905</v>
      </c>
      <c r="F1657" t="s">
        <v>44</v>
      </c>
      <c r="G1657">
        <v>-199.03370000000001</v>
      </c>
      <c r="H1657" s="1">
        <v>-9.9690659999999995E-6</v>
      </c>
      <c r="I1657">
        <v>359.9307</v>
      </c>
      <c r="J1657">
        <v>-204.39019999999999</v>
      </c>
      <c r="K1657">
        <v>1.11886</v>
      </c>
      <c r="L1657">
        <v>366.48289999999997</v>
      </c>
      <c r="M1657">
        <v>0.97256319999999996</v>
      </c>
      <c r="N1657">
        <v>-1.407661E-2</v>
      </c>
      <c r="O1657">
        <v>-0.23221269999999999</v>
      </c>
      <c r="P1657">
        <v>0.86273869999999897</v>
      </c>
      <c r="Q1657">
        <v>-9.2258290000000007E-2</v>
      </c>
      <c r="R1657">
        <v>-0.4971624</v>
      </c>
      <c r="S1657">
        <v>2.0270999999999999</v>
      </c>
      <c r="T1657">
        <v>-0.41703190000000001</v>
      </c>
      <c r="U1657">
        <v>-2.450653</v>
      </c>
      <c r="V1657">
        <v>0.28274969999999999</v>
      </c>
      <c r="W1657">
        <v>-8.0451469999999997E-2</v>
      </c>
      <c r="X1657">
        <v>0.95581389999999999</v>
      </c>
      <c r="Y1657">
        <v>0.59757360000000004</v>
      </c>
      <c r="Z1657">
        <v>-1.9638800000000001E-2</v>
      </c>
      <c r="AA1657">
        <v>0.80157349999999905</v>
      </c>
      <c r="AB1657">
        <v>16</v>
      </c>
      <c r="AC1657">
        <v>5.3564999999999801</v>
      </c>
      <c r="AD1657">
        <v>-1.118869969066</v>
      </c>
      <c r="AE1657">
        <v>-6.5521999999999698</v>
      </c>
      <c r="AF1657">
        <v>5.0409805061548898</v>
      </c>
      <c r="AG1657">
        <v>-1.118869969066</v>
      </c>
      <c r="AH1657">
        <v>6.6160666568118902</v>
      </c>
      <c r="AI1657">
        <v>97.661270418237606</v>
      </c>
      <c r="AJ1657">
        <v>52.695132215763202</v>
      </c>
      <c r="AK1657">
        <v>8.3925974810239392</v>
      </c>
      <c r="AL1657">
        <v>94.614516608675004</v>
      </c>
      <c r="AM1657">
        <v>73.520683320283496</v>
      </c>
      <c r="AN1657">
        <v>1.00000002165423</v>
      </c>
    </row>
    <row r="1658" spans="1:40" x14ac:dyDescent="0.25">
      <c r="A1658" t="str">
        <f>"20190303154127578"</f>
        <v>20190303154127578</v>
      </c>
      <c r="B1658" t="str">
        <f>"1551598887571217"</f>
        <v>1551598887571217</v>
      </c>
      <c r="C1658" t="s">
        <v>40</v>
      </c>
      <c r="D1658">
        <v>6.3915179999999996</v>
      </c>
      <c r="E1658">
        <v>0.62868259999999998</v>
      </c>
      <c r="F1658" t="s">
        <v>44</v>
      </c>
      <c r="G1658">
        <v>-199.0043</v>
      </c>
      <c r="H1658" s="1">
        <v>-9.9617580000000002E-6</v>
      </c>
      <c r="I1658">
        <v>359.91129999999998</v>
      </c>
      <c r="J1658">
        <v>-204.30449999999999</v>
      </c>
      <c r="K1658">
        <v>1.118843</v>
      </c>
      <c r="L1658">
        <v>366.459</v>
      </c>
      <c r="M1658">
        <v>0.97186329999999999</v>
      </c>
      <c r="N1658">
        <v>-1.407976E-2</v>
      </c>
      <c r="O1658">
        <v>-0.23512449999999999</v>
      </c>
      <c r="P1658">
        <v>0.85997049999999997</v>
      </c>
      <c r="Q1658">
        <v>-9.2962279999999994E-2</v>
      </c>
      <c r="R1658">
        <v>-0.50180590000000003</v>
      </c>
      <c r="S1658">
        <v>2.0154269999999999</v>
      </c>
      <c r="T1658">
        <v>-0.4186878</v>
      </c>
      <c r="U1658">
        <v>-2.4591370000000001</v>
      </c>
      <c r="V1658">
        <v>0.2850454</v>
      </c>
      <c r="W1658">
        <v>-8.1189090000000005E-2</v>
      </c>
      <c r="X1658">
        <v>0.95506939999999996</v>
      </c>
      <c r="Y1658">
        <v>0.59878189999999998</v>
      </c>
      <c r="Z1658">
        <v>-1.9433550000000001E-2</v>
      </c>
      <c r="AA1658">
        <v>0.80067630000000001</v>
      </c>
      <c r="AB1658">
        <v>16</v>
      </c>
      <c r="AC1658">
        <v>5.3001999999999896</v>
      </c>
      <c r="AD1658">
        <v>-1.1188529617579901</v>
      </c>
      <c r="AE1658">
        <v>-6.5477000000000096</v>
      </c>
      <c r="AF1658">
        <v>5.0290558015498403</v>
      </c>
      <c r="AG1658">
        <v>-1.1188529617579901</v>
      </c>
      <c r="AH1658">
        <v>6.5752682500051698</v>
      </c>
      <c r="AI1658">
        <v>97.697425471699802</v>
      </c>
      <c r="AJ1658">
        <v>52.589642887799897</v>
      </c>
      <c r="AK1658">
        <v>8.3532859860454192</v>
      </c>
      <c r="AL1658">
        <v>94.656917680013095</v>
      </c>
      <c r="AM1658">
        <v>73.381994149427101</v>
      </c>
      <c r="AN1658">
        <v>1.0000000536062701</v>
      </c>
    </row>
    <row r="1659" spans="1:40" x14ac:dyDescent="0.25">
      <c r="A1659" t="str">
        <f>"20190303154127589"</f>
        <v>20190303154127589</v>
      </c>
      <c r="B1659" t="str">
        <f>"1551598887580977"</f>
        <v>1551598887580977</v>
      </c>
      <c r="C1659" t="s">
        <v>40</v>
      </c>
      <c r="D1659">
        <v>6.4074970000000002</v>
      </c>
      <c r="E1659">
        <v>0.62868259999999998</v>
      </c>
      <c r="F1659" t="s">
        <v>44</v>
      </c>
      <c r="G1659">
        <v>-199.43979999999999</v>
      </c>
      <c r="H1659" s="1">
        <v>-9.9850440000000005E-6</v>
      </c>
      <c r="I1659">
        <v>360.79180000000002</v>
      </c>
      <c r="J1659">
        <v>-204.22219999999999</v>
      </c>
      <c r="K1659">
        <v>1.118825</v>
      </c>
      <c r="L1659">
        <v>366.43549999999999</v>
      </c>
      <c r="M1659">
        <v>0.97117100000000001</v>
      </c>
      <c r="N1659">
        <v>-1.4082920000000001E-2</v>
      </c>
      <c r="O1659">
        <v>-0.23796790000000001</v>
      </c>
      <c r="P1659">
        <v>0.85734259999999995</v>
      </c>
      <c r="Q1659">
        <v>-9.2907790000000004E-2</v>
      </c>
      <c r="R1659">
        <v>-0.50629230000000003</v>
      </c>
      <c r="S1659">
        <v>2.046478</v>
      </c>
      <c r="T1659">
        <v>-0.47067189999999998</v>
      </c>
      <c r="U1659">
        <v>-2.3840330000000001</v>
      </c>
      <c r="V1659">
        <v>0.2872325</v>
      </c>
      <c r="W1659">
        <v>-8.1165840000000003E-2</v>
      </c>
      <c r="X1659">
        <v>0.95441589999999998</v>
      </c>
      <c r="Y1659">
        <v>0.57732810000000001</v>
      </c>
      <c r="Z1659">
        <v>-1.8263809999999998E-2</v>
      </c>
      <c r="AA1659">
        <v>0.81630800000000003</v>
      </c>
      <c r="AB1659">
        <v>16</v>
      </c>
      <c r="AC1659">
        <v>4.7823999999999902</v>
      </c>
      <c r="AD1659">
        <v>-1.118834985044</v>
      </c>
      <c r="AE1659">
        <v>-5.64369999999996</v>
      </c>
      <c r="AF1659">
        <v>4.2462370203578397</v>
      </c>
      <c r="AG1659">
        <v>-1.118834985044</v>
      </c>
      <c r="AH1659">
        <v>5.8542245308359604</v>
      </c>
      <c r="AI1659">
        <v>98.794237964759105</v>
      </c>
      <c r="AJ1659">
        <v>54.045545835803999</v>
      </c>
      <c r="AK1659">
        <v>7.3180779863470597</v>
      </c>
      <c r="AL1659">
        <v>94.655581129123703</v>
      </c>
      <c r="AM1659">
        <v>73.250775175994093</v>
      </c>
      <c r="AN1659">
        <v>1.0000000564059801</v>
      </c>
    </row>
    <row r="1660" spans="1:40" x14ac:dyDescent="0.25">
      <c r="A1660" t="str">
        <f>"20190303154127605"</f>
        <v>20190303154127605</v>
      </c>
      <c r="B1660" t="str">
        <f>"1551598887601474"</f>
        <v>1551598887601474</v>
      </c>
      <c r="C1660" t="s">
        <v>40</v>
      </c>
      <c r="D1660">
        <v>6.2707329999999999</v>
      </c>
      <c r="E1660">
        <v>0.65645779999999998</v>
      </c>
      <c r="F1660" t="s">
        <v>44</v>
      </c>
      <c r="G1660">
        <v>-199.3734</v>
      </c>
      <c r="H1660" s="1">
        <v>-9.9703149999999994E-6</v>
      </c>
      <c r="I1660">
        <v>360.72629999999998</v>
      </c>
      <c r="J1660">
        <v>-204.12100000000001</v>
      </c>
      <c r="K1660">
        <v>1.1188100000000001</v>
      </c>
      <c r="L1660">
        <v>366.40629999999999</v>
      </c>
      <c r="M1660">
        <v>0.97029790000000005</v>
      </c>
      <c r="N1660">
        <v>-1.4086639999999999E-2</v>
      </c>
      <c r="O1660">
        <v>-0.2415033</v>
      </c>
      <c r="P1660">
        <v>0.85314609999999902</v>
      </c>
      <c r="Q1660">
        <v>-9.2600959999999996E-2</v>
      </c>
      <c r="R1660">
        <v>-0.51338799999999996</v>
      </c>
      <c r="S1660">
        <v>2.034027</v>
      </c>
      <c r="T1660">
        <v>-0.46933629999999998</v>
      </c>
      <c r="U1660">
        <v>-2.3949579999999999</v>
      </c>
      <c r="V1660">
        <v>0.29165570000000002</v>
      </c>
      <c r="W1660">
        <v>-8.0915089999999995E-2</v>
      </c>
      <c r="X1660">
        <v>0.95309480000000002</v>
      </c>
      <c r="Y1660">
        <v>0.5786964</v>
      </c>
      <c r="Z1660">
        <v>-1.7859659999999999E-2</v>
      </c>
      <c r="AA1660">
        <v>0.8153475</v>
      </c>
      <c r="AB1660">
        <v>16</v>
      </c>
      <c r="AC1660">
        <v>4.7475999999999701</v>
      </c>
      <c r="AD1660">
        <v>-1.1188199703149999</v>
      </c>
      <c r="AE1660">
        <v>-5.68</v>
      </c>
      <c r="AF1660">
        <v>4.2676835179014097</v>
      </c>
      <c r="AG1660">
        <v>-1.1188199703149999</v>
      </c>
      <c r="AH1660">
        <v>5.84540015616634</v>
      </c>
      <c r="AI1660">
        <v>98.787562315177794</v>
      </c>
      <c r="AJ1660">
        <v>53.867094098115103</v>
      </c>
      <c r="AK1660">
        <v>7.3234953212692497</v>
      </c>
      <c r="AL1660">
        <v>94.641167071285693</v>
      </c>
      <c r="AM1660">
        <v>72.985411551083899</v>
      </c>
      <c r="AN1660">
        <v>0.99999999845961896</v>
      </c>
    </row>
    <row r="1661" spans="1:40" x14ac:dyDescent="0.25">
      <c r="A1661" t="str">
        <f>"20190303154127618"</f>
        <v>20190303154127618</v>
      </c>
      <c r="B1661" t="str">
        <f>"1551598887611233"</f>
        <v>1551598887611233</v>
      </c>
      <c r="C1661" t="s">
        <v>40</v>
      </c>
      <c r="D1661">
        <v>6.3175129999999999</v>
      </c>
      <c r="E1661">
        <v>0.65771080000000004</v>
      </c>
      <c r="F1661" t="s">
        <v>44</v>
      </c>
      <c r="G1661">
        <v>-198.8536</v>
      </c>
      <c r="H1661" s="1">
        <v>-6.5379249999999997E-6</v>
      </c>
      <c r="I1661">
        <v>359.20549999999997</v>
      </c>
      <c r="J1661">
        <v>-204.03710000000001</v>
      </c>
      <c r="K1661">
        <v>1.1187959999999999</v>
      </c>
      <c r="L1661">
        <v>366.3818</v>
      </c>
      <c r="M1661">
        <v>0.96955749999999996</v>
      </c>
      <c r="N1661">
        <v>-1.4089600000000001E-2</v>
      </c>
      <c r="O1661">
        <v>-0.24445819999999999</v>
      </c>
      <c r="P1661">
        <v>0.8502033</v>
      </c>
      <c r="Q1661">
        <v>-9.1983449999999994E-2</v>
      </c>
      <c r="R1661">
        <v>-0.51835659999999995</v>
      </c>
      <c r="S1661">
        <v>1.905197</v>
      </c>
      <c r="T1661">
        <v>-0.40467310000000001</v>
      </c>
      <c r="U1661">
        <v>-2.604492</v>
      </c>
      <c r="V1661">
        <v>0.2942919</v>
      </c>
      <c r="W1661">
        <v>-8.0333379999999996E-2</v>
      </c>
      <c r="X1661">
        <v>0.9523334</v>
      </c>
      <c r="Y1661">
        <v>0.63446720000000001</v>
      </c>
      <c r="Z1661">
        <v>-2.1176739999999999E-2</v>
      </c>
      <c r="AA1661">
        <v>0.77265969999999995</v>
      </c>
      <c r="AB1661">
        <v>15</v>
      </c>
      <c r="AC1661">
        <v>5.1835000000000004</v>
      </c>
      <c r="AD1661">
        <v>-1.118802537925</v>
      </c>
      <c r="AE1661">
        <v>-7.1763000000000199</v>
      </c>
      <c r="AF1661">
        <v>5.6017776663246801</v>
      </c>
      <c r="AG1661">
        <v>-1.118802537925</v>
      </c>
      <c r="AH1661">
        <v>6.6740788875426604</v>
      </c>
      <c r="AI1661">
        <v>97.316761486778304</v>
      </c>
      <c r="AJ1661">
        <v>49.992139280859902</v>
      </c>
      <c r="AK1661">
        <v>8.7849280668053407</v>
      </c>
      <c r="AL1661">
        <v>94.607728496694193</v>
      </c>
      <c r="AM1661">
        <v>72.827704299068103</v>
      </c>
      <c r="AN1661">
        <v>1.0000000395516899</v>
      </c>
    </row>
    <row r="1662" spans="1:40" x14ac:dyDescent="0.25">
      <c r="A1662" t="str">
        <f>"20190303154127628"</f>
        <v>20190303154127628</v>
      </c>
      <c r="B1662" t="str">
        <f>"1551598887620993"</f>
        <v>1551598887620993</v>
      </c>
      <c r="C1662" t="s">
        <v>40</v>
      </c>
      <c r="D1662">
        <v>6.2887219999999999</v>
      </c>
      <c r="E1662">
        <v>0.65842719999999999</v>
      </c>
      <c r="F1662" t="s">
        <v>44</v>
      </c>
      <c r="G1662">
        <v>-198.79150000000001</v>
      </c>
      <c r="H1662" s="1">
        <v>-6.4865280000000004E-6</v>
      </c>
      <c r="I1662">
        <v>359.08100000000002</v>
      </c>
      <c r="J1662">
        <v>-203.95939999999999</v>
      </c>
      <c r="K1662">
        <v>1.118784</v>
      </c>
      <c r="L1662">
        <v>366.3587</v>
      </c>
      <c r="M1662">
        <v>0.96885270000000001</v>
      </c>
      <c r="N1662">
        <v>-1.409234E-2</v>
      </c>
      <c r="O1662">
        <v>-0.2472365</v>
      </c>
      <c r="P1662">
        <v>0.84711049999999999</v>
      </c>
      <c r="Q1662">
        <v>-9.1234720000000005E-2</v>
      </c>
      <c r="R1662">
        <v>-0.52352659999999995</v>
      </c>
      <c r="S1662">
        <v>1.8852690000000001</v>
      </c>
      <c r="T1662">
        <v>-0.40209460000000002</v>
      </c>
      <c r="U1662">
        <v>-2.623901</v>
      </c>
      <c r="V1662">
        <v>0.29733979999999999</v>
      </c>
      <c r="W1662">
        <v>-7.9623399999999997E-2</v>
      </c>
      <c r="X1662">
        <v>0.95144580000000001</v>
      </c>
      <c r="Y1662">
        <v>0.63884869999999905</v>
      </c>
      <c r="Z1662">
        <v>-2.1170720000000001E-2</v>
      </c>
      <c r="AA1662">
        <v>0.76904110000000003</v>
      </c>
      <c r="AB1662">
        <v>15</v>
      </c>
      <c r="AC1662">
        <v>5.1678999999999702</v>
      </c>
      <c r="AD1662">
        <v>-1.1187904865279901</v>
      </c>
      <c r="AE1662">
        <v>-7.2777000000000296</v>
      </c>
      <c r="AF1662">
        <v>5.6845910266594304</v>
      </c>
      <c r="AG1662">
        <v>-1.1187904865279901</v>
      </c>
      <c r="AH1662">
        <v>6.70163641139471</v>
      </c>
      <c r="AI1662">
        <v>97.255346611969202</v>
      </c>
      <c r="AJ1662">
        <v>49.694082517256398</v>
      </c>
      <c r="AK1662">
        <v>8.8587921232893798</v>
      </c>
      <c r="AL1662">
        <v>94.566919199328694</v>
      </c>
      <c r="AM1662">
        <v>72.645262845316907</v>
      </c>
      <c r="AN1662">
        <v>0.99999997641461902</v>
      </c>
    </row>
    <row r="1663" spans="1:40" x14ac:dyDescent="0.25">
      <c r="A1663" t="str">
        <f>"20190303154127640"</f>
        <v>20190303154127640</v>
      </c>
      <c r="B1663" t="str">
        <f>"1551598887630753"</f>
        <v>1551598887630753</v>
      </c>
      <c r="C1663" t="s">
        <v>40</v>
      </c>
      <c r="D1663">
        <v>6.5988309999999997</v>
      </c>
      <c r="E1663">
        <v>0.65988590000000003</v>
      </c>
      <c r="F1663" t="s">
        <v>44</v>
      </c>
      <c r="G1663">
        <v>-198.71680000000001</v>
      </c>
      <c r="H1663" s="1">
        <v>-6.4286949999999996E-6</v>
      </c>
      <c r="I1663">
        <v>358.94310000000002</v>
      </c>
      <c r="J1663">
        <v>-203.88489999999999</v>
      </c>
      <c r="K1663">
        <v>1.1187720000000001</v>
      </c>
      <c r="L1663">
        <v>366.3365</v>
      </c>
      <c r="M1663">
        <v>0.96816610000000003</v>
      </c>
      <c r="N1663">
        <v>-1.40949E-2</v>
      </c>
      <c r="O1663">
        <v>-0.24991240000000001</v>
      </c>
      <c r="P1663">
        <v>0.84399799999999903</v>
      </c>
      <c r="Q1663">
        <v>-9.0572949999999999E-2</v>
      </c>
      <c r="R1663">
        <v>-0.52864409999999995</v>
      </c>
      <c r="S1663">
        <v>1.866714</v>
      </c>
      <c r="T1663">
        <v>-0.39836539999999998</v>
      </c>
      <c r="U1663">
        <v>-2.6404719999999999</v>
      </c>
      <c r="V1663">
        <v>0.30044739999999998</v>
      </c>
      <c r="W1663">
        <v>-7.9000589999999996E-2</v>
      </c>
      <c r="X1663">
        <v>0.95052110000000001</v>
      </c>
      <c r="Y1663">
        <v>0.64264140000000003</v>
      </c>
      <c r="Z1663">
        <v>-2.108985E-2</v>
      </c>
      <c r="AA1663">
        <v>0.76587680000000002</v>
      </c>
      <c r="AB1663">
        <v>15</v>
      </c>
      <c r="AC1663">
        <v>5.1680999999999804</v>
      </c>
      <c r="AD1663">
        <v>-1.11877842869499</v>
      </c>
      <c r="AE1663">
        <v>-7.3933999999999802</v>
      </c>
      <c r="AF1663">
        <v>5.7781681364090201</v>
      </c>
      <c r="AG1663">
        <v>-1.11877842869499</v>
      </c>
      <c r="AH1663">
        <v>6.74815983934496</v>
      </c>
      <c r="AI1663">
        <v>97.177604720037294</v>
      </c>
      <c r="AJ1663">
        <v>49.427933164588801</v>
      </c>
      <c r="AK1663">
        <v>8.9541361058716298</v>
      </c>
      <c r="AL1663">
        <v>94.531121724148406</v>
      </c>
      <c r="AM1663">
        <v>72.458929741354297</v>
      </c>
      <c r="AN1663">
        <v>1.0000000474661499</v>
      </c>
    </row>
    <row r="1664" spans="1:40" x14ac:dyDescent="0.25">
      <c r="A1664" t="str">
        <f>"20190303154127651"</f>
        <v>20190303154127651</v>
      </c>
      <c r="B1664" t="str">
        <f>"1551598887640514"</f>
        <v>1551598887640514</v>
      </c>
      <c r="C1664" t="s">
        <v>40</v>
      </c>
      <c r="D1664">
        <v>6.3297829999999999</v>
      </c>
      <c r="E1664">
        <v>0.66102669999999997</v>
      </c>
      <c r="F1664" t="s">
        <v>44</v>
      </c>
      <c r="G1664">
        <v>-198.63079999999999</v>
      </c>
      <c r="H1664" s="1">
        <v>-6.3525980000000003E-6</v>
      </c>
      <c r="I1664">
        <v>358.7559</v>
      </c>
      <c r="J1664">
        <v>-203.81139999999999</v>
      </c>
      <c r="K1664">
        <v>1.1187609999999999</v>
      </c>
      <c r="L1664">
        <v>366.31420000000003</v>
      </c>
      <c r="M1664">
        <v>0.96747430000000001</v>
      </c>
      <c r="N1664">
        <v>-1.409737E-2</v>
      </c>
      <c r="O1664">
        <v>-0.25257659999999998</v>
      </c>
      <c r="P1664">
        <v>0.84074400000000005</v>
      </c>
      <c r="Q1664">
        <v>-9.0105729999999995E-2</v>
      </c>
      <c r="R1664">
        <v>-0.53388310000000005</v>
      </c>
      <c r="S1664">
        <v>1.845016</v>
      </c>
      <c r="T1664">
        <v>-0.39286840000000001</v>
      </c>
      <c r="U1664">
        <v>-2.6619869999999999</v>
      </c>
      <c r="V1664">
        <v>0.30372440000000001</v>
      </c>
      <c r="W1664">
        <v>-7.8573850000000001E-2</v>
      </c>
      <c r="X1664">
        <v>0.94951439999999998</v>
      </c>
      <c r="Y1664">
        <v>0.64770649999999996</v>
      </c>
      <c r="Z1664">
        <v>-2.107154E-2</v>
      </c>
      <c r="AA1664">
        <v>0.76159849999999996</v>
      </c>
      <c r="AB1664">
        <v>15</v>
      </c>
      <c r="AC1664">
        <v>5.1805999999999903</v>
      </c>
      <c r="AD1664">
        <v>-1.118767352598</v>
      </c>
      <c r="AE1664">
        <v>-7.5583000000000302</v>
      </c>
      <c r="AF1664">
        <v>5.9163669024588197</v>
      </c>
      <c r="AG1664">
        <v>-1.118767352598</v>
      </c>
      <c r="AH1664">
        <v>6.8201699017683701</v>
      </c>
      <c r="AI1664">
        <v>97.063618985074399</v>
      </c>
      <c r="AJ1664">
        <v>49.0589871313814</v>
      </c>
      <c r="AK1664">
        <v>9.0977884786763692</v>
      </c>
      <c r="AL1664">
        <v>94.506595393763504</v>
      </c>
      <c r="AM1664">
        <v>72.261908455371298</v>
      </c>
      <c r="AN1664">
        <v>0.99999997843327004</v>
      </c>
    </row>
    <row r="1665" spans="1:40" x14ac:dyDescent="0.25">
      <c r="A1665" t="str">
        <f>"20190303154127673"</f>
        <v>20190303154127673</v>
      </c>
      <c r="B1665" t="str">
        <f>"1551598887661009"</f>
        <v>1551598887661009</v>
      </c>
      <c r="C1665" t="s">
        <v>40</v>
      </c>
      <c r="D1665">
        <v>6.6074739999999998</v>
      </c>
      <c r="E1665">
        <v>0.66152769999999905</v>
      </c>
      <c r="F1665" t="s">
        <v>44</v>
      </c>
      <c r="G1665">
        <v>-198.631</v>
      </c>
      <c r="H1665" s="1">
        <v>-6.33340699999999E-6</v>
      </c>
      <c r="I1665">
        <v>358.69850000000002</v>
      </c>
      <c r="J1665">
        <v>-203.66679999999999</v>
      </c>
      <c r="K1665">
        <v>1.1187450000000001</v>
      </c>
      <c r="L1665">
        <v>366.2697</v>
      </c>
      <c r="M1665">
        <v>0.9660744</v>
      </c>
      <c r="N1665">
        <v>-1.4101860000000001E-2</v>
      </c>
      <c r="O1665">
        <v>-0.25787870000000002</v>
      </c>
      <c r="P1665">
        <v>0.83397459999999901</v>
      </c>
      <c r="Q1665">
        <v>-8.9862789999999998E-2</v>
      </c>
      <c r="R1665">
        <v>-0.54443680000000005</v>
      </c>
      <c r="S1665">
        <v>1.8236540000000001</v>
      </c>
      <c r="T1665">
        <v>-0.39383109999999999</v>
      </c>
      <c r="U1665">
        <v>-2.6809080000000001</v>
      </c>
      <c r="V1665">
        <v>0.31045879999999998</v>
      </c>
      <c r="W1665">
        <v>-7.8413120000000003E-2</v>
      </c>
      <c r="X1665">
        <v>0.94734719999999994</v>
      </c>
      <c r="Y1665">
        <v>0.65018180000000003</v>
      </c>
      <c r="Z1665">
        <v>-2.0695169999999999E-2</v>
      </c>
      <c r="AA1665">
        <v>0.75949679999999997</v>
      </c>
      <c r="AB1665">
        <v>15</v>
      </c>
      <c r="AC1665">
        <v>5.0358000000000196</v>
      </c>
      <c r="AD1665">
        <v>-1.1187513334070001</v>
      </c>
      <c r="AE1665">
        <v>-7.57119999999997</v>
      </c>
      <c r="AF1665">
        <v>5.9266011235371003</v>
      </c>
      <c r="AG1665">
        <v>-1.1187513334070001</v>
      </c>
      <c r="AH1665">
        <v>6.7164167344768604</v>
      </c>
      <c r="AI1665">
        <v>97.119205992224806</v>
      </c>
      <c r="AJ1665">
        <v>48.574650559932799</v>
      </c>
      <c r="AK1665">
        <v>9.0269850545280104</v>
      </c>
      <c r="AL1665">
        <v>94.497357641333394</v>
      </c>
      <c r="AM1665">
        <v>71.855313347132693</v>
      </c>
      <c r="AN1665">
        <v>1.0000000006167</v>
      </c>
    </row>
    <row r="1666" spans="1:40" x14ac:dyDescent="0.25">
      <c r="A1666" t="str">
        <f>"20190303154127685"</f>
        <v>20190303154127685</v>
      </c>
      <c r="B1666" t="str">
        <f>"1551598887681506"</f>
        <v>1551598887681506</v>
      </c>
      <c r="C1666" t="s">
        <v>40</v>
      </c>
      <c r="D1666">
        <v>6.4574639999999999</v>
      </c>
      <c r="E1666">
        <v>0.66175669999999898</v>
      </c>
      <c r="F1666" t="s">
        <v>44</v>
      </c>
      <c r="G1666">
        <v>-198.6439</v>
      </c>
      <c r="H1666" s="1">
        <v>-6.3236050000000002E-6</v>
      </c>
      <c r="I1666">
        <v>358.66309999999999</v>
      </c>
      <c r="J1666">
        <v>-203.58580000000001</v>
      </c>
      <c r="K1666">
        <v>1.1187339999999999</v>
      </c>
      <c r="L1666">
        <v>366.24419999999998</v>
      </c>
      <c r="M1666">
        <v>0.96526619999999996</v>
      </c>
      <c r="N1666">
        <v>-1.410405E-2</v>
      </c>
      <c r="O1666">
        <v>-0.26088739999999999</v>
      </c>
      <c r="P1666">
        <v>0.83058829999999995</v>
      </c>
      <c r="Q1666">
        <v>-8.9478920000000003E-2</v>
      </c>
      <c r="R1666">
        <v>-0.54965159999999902</v>
      </c>
      <c r="S1666">
        <v>1.787323</v>
      </c>
      <c r="T1666">
        <v>-0.39809559999999999</v>
      </c>
      <c r="U1666">
        <v>-2.706696</v>
      </c>
      <c r="V1666">
        <v>0.31342759999999997</v>
      </c>
      <c r="W1666">
        <v>-7.8065850000000006E-2</v>
      </c>
      <c r="X1666">
        <v>0.94639779999999996</v>
      </c>
      <c r="Y1666">
        <v>0.65807469999999901</v>
      </c>
      <c r="Z1666">
        <v>-2.123945E-2</v>
      </c>
      <c r="AA1666">
        <v>0.75265309999999996</v>
      </c>
      <c r="AB1666">
        <v>15</v>
      </c>
      <c r="AC1666">
        <v>4.9419000000000004</v>
      </c>
      <c r="AD1666">
        <v>-1.118740323605</v>
      </c>
      <c r="AE1666">
        <v>-7.5810999999999904</v>
      </c>
      <c r="AF1666">
        <v>5.9383461611835102</v>
      </c>
      <c r="AG1666">
        <v>-1.118740323605</v>
      </c>
      <c r="AH1666">
        <v>6.6471477279866802</v>
      </c>
      <c r="AI1666">
        <v>97.1539168157788</v>
      </c>
      <c r="AJ1666">
        <v>48.223431902144597</v>
      </c>
      <c r="AK1666">
        <v>8.9833238814695502</v>
      </c>
      <c r="AL1666">
        <v>94.477399508191695</v>
      </c>
      <c r="AM1666">
        <v>71.676185135881298</v>
      </c>
      <c r="AN1666">
        <v>0.99999996661141</v>
      </c>
    </row>
    <row r="1667" spans="1:40" x14ac:dyDescent="0.25">
      <c r="A1667" t="str">
        <f>"20190303154127697"</f>
        <v>20190303154127697</v>
      </c>
      <c r="B1667" t="str">
        <f>"1551598887691265"</f>
        <v>1551598887691265</v>
      </c>
      <c r="C1667" t="s">
        <v>40</v>
      </c>
      <c r="D1667">
        <v>6.3112500000000002</v>
      </c>
      <c r="E1667">
        <v>0.66171679999999999</v>
      </c>
      <c r="F1667" t="s">
        <v>44</v>
      </c>
      <c r="G1667">
        <v>-198.62569999999999</v>
      </c>
      <c r="H1667" s="1">
        <v>-6.3063479999999997E-6</v>
      </c>
      <c r="I1667">
        <v>358.62009999999998</v>
      </c>
      <c r="J1667">
        <v>-203.5067</v>
      </c>
      <c r="K1667">
        <v>1.1187260000000001</v>
      </c>
      <c r="L1667">
        <v>366.2192</v>
      </c>
      <c r="M1667">
        <v>0.9644644</v>
      </c>
      <c r="N1667">
        <v>-1.410606E-2</v>
      </c>
      <c r="O1667">
        <v>-0.26383620000000002</v>
      </c>
      <c r="P1667">
        <v>0.82700629999999997</v>
      </c>
      <c r="Q1667">
        <v>-8.9162450000000004E-2</v>
      </c>
      <c r="R1667">
        <v>-0.5550773</v>
      </c>
      <c r="S1667">
        <v>1.7692570000000001</v>
      </c>
      <c r="T1667">
        <v>-0.39905269999999998</v>
      </c>
      <c r="U1667">
        <v>-2.7195130000000001</v>
      </c>
      <c r="V1667">
        <v>0.316716</v>
      </c>
      <c r="W1667">
        <v>-7.7789469999999999E-2</v>
      </c>
      <c r="X1667">
        <v>0.94532519999999998</v>
      </c>
      <c r="Y1667">
        <v>0.66088019999999903</v>
      </c>
      <c r="Z1667">
        <v>-2.1187279999999999E-2</v>
      </c>
      <c r="AA1667">
        <v>0.75019230000000003</v>
      </c>
      <c r="AB1667">
        <v>15</v>
      </c>
      <c r="AC1667">
        <v>4.8810000000000002</v>
      </c>
      <c r="AD1667">
        <v>-1.1187323063479999</v>
      </c>
      <c r="AE1667">
        <v>-7.5991000000000204</v>
      </c>
      <c r="AF1667">
        <v>5.9505761740511103</v>
      </c>
      <c r="AG1667">
        <v>-1.1187323063479999</v>
      </c>
      <c r="AH1667">
        <v>6.6116907098810902</v>
      </c>
      <c r="AI1667">
        <v>97.168378074520106</v>
      </c>
      <c r="AJ1667">
        <v>48.012526404512798</v>
      </c>
      <c r="AK1667">
        <v>8.9652313310688996</v>
      </c>
      <c r="AL1667">
        <v>94.461515737984399</v>
      </c>
      <c r="AM1667">
        <v>71.477403571491706</v>
      </c>
      <c r="AN1667">
        <v>0.99999998002696</v>
      </c>
    </row>
    <row r="1668" spans="1:40" x14ac:dyDescent="0.25">
      <c r="A1668" t="str">
        <f>"20190303154127710"</f>
        <v>20190303154127710</v>
      </c>
      <c r="B1668" t="str">
        <f>"1551598887701026"</f>
        <v>1551598887701026</v>
      </c>
      <c r="C1668" t="s">
        <v>40</v>
      </c>
      <c r="D1668">
        <v>6.6176059999999897</v>
      </c>
      <c r="E1668">
        <v>0.66163729999999998</v>
      </c>
      <c r="F1668" t="s">
        <v>44</v>
      </c>
      <c r="G1668">
        <v>-198.56569999999999</v>
      </c>
      <c r="H1668" s="1">
        <v>-6.26306799999999E-6</v>
      </c>
      <c r="I1668">
        <v>358.5188</v>
      </c>
      <c r="J1668">
        <v>-203.4161</v>
      </c>
      <c r="K1668">
        <v>1.1187149999999999</v>
      </c>
      <c r="L1668">
        <v>366.19009999999997</v>
      </c>
      <c r="M1668">
        <v>0.9635224</v>
      </c>
      <c r="N1668">
        <v>-1.410814E-2</v>
      </c>
      <c r="O1668">
        <v>-0.26725549999999998</v>
      </c>
      <c r="P1668">
        <v>0.82321029999999995</v>
      </c>
      <c r="Q1668">
        <v>-8.8763649999999999E-2</v>
      </c>
      <c r="R1668">
        <v>-0.56075509999999995</v>
      </c>
      <c r="S1668">
        <v>1.75206</v>
      </c>
      <c r="T1668">
        <v>-0.39669979999999999</v>
      </c>
      <c r="U1668">
        <v>-2.7305600000000001</v>
      </c>
      <c r="V1668">
        <v>0.31985150000000001</v>
      </c>
      <c r="W1668">
        <v>-7.7428919999999998E-2</v>
      </c>
      <c r="X1668">
        <v>0.94429859999999999</v>
      </c>
      <c r="Y1668">
        <v>0.66298089999999998</v>
      </c>
      <c r="Z1668">
        <v>-2.090914E-2</v>
      </c>
      <c r="AA1668">
        <v>0.74834440000000002</v>
      </c>
      <c r="AB1668">
        <v>15</v>
      </c>
      <c r="AC1668">
        <v>4.8503999999999996</v>
      </c>
      <c r="AD1668">
        <v>-1.1187212630679999</v>
      </c>
      <c r="AE1668">
        <v>-7.6712999999999703</v>
      </c>
      <c r="AF1668">
        <v>6.0045521954069496</v>
      </c>
      <c r="AG1668">
        <v>-1.1187212630679999</v>
      </c>
      <c r="AH1668">
        <v>6.6237008180214199</v>
      </c>
      <c r="AI1668">
        <v>97.132525847408303</v>
      </c>
      <c r="AJ1668">
        <v>47.806898065476297</v>
      </c>
      <c r="AK1668">
        <v>9.0099720786728597</v>
      </c>
      <c r="AL1668">
        <v>94.440795013236297</v>
      </c>
      <c r="AM1668">
        <v>71.287803501573094</v>
      </c>
      <c r="AN1668">
        <v>1.0000000328332801</v>
      </c>
    </row>
    <row r="1669" spans="1:40" x14ac:dyDescent="0.25">
      <c r="A1669" t="str">
        <f>"20190303154127726"</f>
        <v>20190303154127726</v>
      </c>
      <c r="B1669" t="str">
        <f>"1551598887721521"</f>
        <v>1551598887721521</v>
      </c>
      <c r="C1669" t="s">
        <v>40</v>
      </c>
      <c r="D1669">
        <v>6.4769940000000004</v>
      </c>
      <c r="E1669">
        <v>0.66105669999999905</v>
      </c>
      <c r="F1669" t="s">
        <v>44</v>
      </c>
      <c r="G1669">
        <v>-198.48580000000001</v>
      </c>
      <c r="H1669" s="1">
        <v>-6.2076100000000004E-6</v>
      </c>
      <c r="I1669">
        <v>358.3904</v>
      </c>
      <c r="J1669">
        <v>-203.3169</v>
      </c>
      <c r="K1669">
        <v>1.118709</v>
      </c>
      <c r="L1669">
        <v>366.15780000000001</v>
      </c>
      <c r="M1669">
        <v>0.96246949999999998</v>
      </c>
      <c r="N1669">
        <v>-1.411021E-2</v>
      </c>
      <c r="O1669">
        <v>-0.27102320000000002</v>
      </c>
      <c r="P1669">
        <v>0.81909009999999904</v>
      </c>
      <c r="Q1669">
        <v>-8.8563000000000003E-2</v>
      </c>
      <c r="R1669">
        <v>-0.56678799999999996</v>
      </c>
      <c r="S1669">
        <v>1.733643</v>
      </c>
      <c r="T1669">
        <v>-0.39338109999999998</v>
      </c>
      <c r="U1669">
        <v>-2.742645</v>
      </c>
      <c r="V1669">
        <v>0.323082599999999</v>
      </c>
      <c r="W1669">
        <v>-7.7267359999999993E-2</v>
      </c>
      <c r="X1669">
        <v>0.94321120000000003</v>
      </c>
      <c r="Y1669">
        <v>0.66518559999999904</v>
      </c>
      <c r="Z1669">
        <v>-2.057227E-2</v>
      </c>
      <c r="AA1669">
        <v>0.74639460000000002</v>
      </c>
      <c r="AB1669">
        <v>15</v>
      </c>
      <c r="AC1669">
        <v>4.8310999999999904</v>
      </c>
      <c r="AD1669">
        <v>-1.11871520761</v>
      </c>
      <c r="AE1669">
        <v>-7.7674000000000003</v>
      </c>
      <c r="AF1669">
        <v>6.0762729225891601</v>
      </c>
      <c r="AG1669">
        <v>-1.11871520761</v>
      </c>
      <c r="AH1669">
        <v>6.6560460824042504</v>
      </c>
      <c r="AI1669">
        <v>97.075938518831904</v>
      </c>
      <c r="AJ1669">
        <v>47.607193884583303</v>
      </c>
      <c r="AK1669">
        <v>9.0816059040577795</v>
      </c>
      <c r="AL1669">
        <v>94.431510684399299</v>
      </c>
      <c r="AM1669">
        <v>71.091886678530699</v>
      </c>
      <c r="AN1669">
        <v>0.99999998957478398</v>
      </c>
    </row>
    <row r="1670" spans="1:40" x14ac:dyDescent="0.25">
      <c r="A1670" t="str">
        <f>"20190303154127741"</f>
        <v>20190303154127741</v>
      </c>
      <c r="B1670" t="str">
        <f>"1551598887731281"</f>
        <v>1551598887731281</v>
      </c>
      <c r="C1670" t="s">
        <v>40</v>
      </c>
      <c r="D1670">
        <v>6.5795000000000003</v>
      </c>
      <c r="E1670">
        <v>0.66069029999999995</v>
      </c>
      <c r="F1670" t="s">
        <v>44</v>
      </c>
      <c r="G1670">
        <v>-198.45099999999999</v>
      </c>
      <c r="H1670" s="1">
        <v>-6.1910529999999997E-6</v>
      </c>
      <c r="I1670">
        <v>358.35719999999998</v>
      </c>
      <c r="J1670">
        <v>-203.21899999999999</v>
      </c>
      <c r="K1670">
        <v>1.1187069999999999</v>
      </c>
      <c r="L1670">
        <v>366.12549999999999</v>
      </c>
      <c r="M1670">
        <v>0.96140650000000005</v>
      </c>
      <c r="N1670">
        <v>-1.4112049999999999E-2</v>
      </c>
      <c r="O1670">
        <v>-0.27476970000000001</v>
      </c>
      <c r="P1670">
        <v>0.81284860000000003</v>
      </c>
      <c r="Q1670">
        <v>-8.8067099999999995E-2</v>
      </c>
      <c r="R1670">
        <v>-0.57577900000000004</v>
      </c>
      <c r="S1670">
        <v>1.7161869999999999</v>
      </c>
      <c r="T1670">
        <v>-0.39456429999999998</v>
      </c>
      <c r="U1670">
        <v>-2.7512210000000001</v>
      </c>
      <c r="V1670">
        <v>0.32977289999999998</v>
      </c>
      <c r="W1670">
        <v>-7.6847970000000002E-2</v>
      </c>
      <c r="X1670">
        <v>0.94092730000000002</v>
      </c>
      <c r="Y1670">
        <v>0.66671380000000002</v>
      </c>
      <c r="Z1670">
        <v>-2.0311139999999998E-2</v>
      </c>
      <c r="AA1670">
        <v>0.74503699999999995</v>
      </c>
      <c r="AB1670">
        <v>15</v>
      </c>
      <c r="AC1670">
        <v>4.7680000000000202</v>
      </c>
      <c r="AD1670">
        <v>-1.1187131910529999</v>
      </c>
      <c r="AE1670">
        <v>-7.7683000000000098</v>
      </c>
      <c r="AF1670">
        <v>6.0676033205381303</v>
      </c>
      <c r="AG1670">
        <v>-1.1187131910529999</v>
      </c>
      <c r="AH1670">
        <v>6.6194338113333897</v>
      </c>
      <c r="AI1670">
        <v>97.101560544252706</v>
      </c>
      <c r="AJ1670">
        <v>47.490545400647299</v>
      </c>
      <c r="AK1670">
        <v>9.0489907305657695</v>
      </c>
      <c r="AL1670">
        <v>94.4074097885632</v>
      </c>
      <c r="AM1670">
        <v>70.685635772709603</v>
      </c>
      <c r="AN1670">
        <v>0.99999997997640999</v>
      </c>
    </row>
    <row r="1671" spans="1:40" x14ac:dyDescent="0.25">
      <c r="A1671" t="str">
        <f>"20190303154127754"</f>
        <v>20190303154127754</v>
      </c>
      <c r="B1671" t="str">
        <f>"1551598887750802"</f>
        <v>1551598887750802</v>
      </c>
      <c r="C1671" t="s">
        <v>40</v>
      </c>
      <c r="D1671">
        <v>6.4152550000000002</v>
      </c>
      <c r="E1671">
        <v>0.65985919999999998</v>
      </c>
      <c r="F1671" t="s">
        <v>44</v>
      </c>
      <c r="G1671">
        <v>-198.44220000000001</v>
      </c>
      <c r="H1671" s="1">
        <v>-6.1676879999999999E-6</v>
      </c>
      <c r="I1671">
        <v>358.29149999999998</v>
      </c>
      <c r="J1671">
        <v>-203.12450000000001</v>
      </c>
      <c r="K1671">
        <v>1.1186990000000001</v>
      </c>
      <c r="L1671">
        <v>366.09390000000002</v>
      </c>
      <c r="M1671">
        <v>0.96035899999999996</v>
      </c>
      <c r="N1671">
        <v>-1.411365E-2</v>
      </c>
      <c r="O1671">
        <v>-0.27840809999999999</v>
      </c>
      <c r="P1671">
        <v>0.80844189999999905</v>
      </c>
      <c r="Q1671">
        <v>-8.7993000000000002E-2</v>
      </c>
      <c r="R1671">
        <v>-0.58196099999999995</v>
      </c>
      <c r="S1671">
        <v>1.687546</v>
      </c>
      <c r="T1671">
        <v>-0.39521469999999997</v>
      </c>
      <c r="U1671">
        <v>-2.7675480000000001</v>
      </c>
      <c r="V1671">
        <v>0.33337610000000001</v>
      </c>
      <c r="W1671">
        <v>-7.6816280000000001E-2</v>
      </c>
      <c r="X1671">
        <v>0.93965929999999998</v>
      </c>
      <c r="Y1671">
        <v>0.67140979999999995</v>
      </c>
      <c r="Z1671">
        <v>-2.0362129999999999E-2</v>
      </c>
      <c r="AA1671">
        <v>0.74080649999999904</v>
      </c>
      <c r="AB1671">
        <v>15</v>
      </c>
      <c r="AC1671">
        <v>4.6822999999999899</v>
      </c>
      <c r="AD1671">
        <v>-1.118705167688</v>
      </c>
      <c r="AE1671">
        <v>-7.8024000000000298</v>
      </c>
      <c r="AF1671">
        <v>6.0979647029896098</v>
      </c>
      <c r="AG1671">
        <v>-1.118705167688</v>
      </c>
      <c r="AH1671">
        <v>6.5702989334044304</v>
      </c>
      <c r="AI1671">
        <v>97.113689506187995</v>
      </c>
      <c r="AJ1671">
        <v>47.135275096177303</v>
      </c>
      <c r="AK1671">
        <v>9.0335764149872695</v>
      </c>
      <c r="AL1671">
        <v>94.405588691080197</v>
      </c>
      <c r="AM1671">
        <v>70.466128390153102</v>
      </c>
      <c r="AN1671">
        <v>0.99999998250036903</v>
      </c>
    </row>
    <row r="1672" spans="1:40" x14ac:dyDescent="0.25">
      <c r="A1672" t="str">
        <f>"20190303154127768"</f>
        <v>20190303154127768</v>
      </c>
      <c r="B1672" t="str">
        <f>"1551598887760562"</f>
        <v>1551598887760562</v>
      </c>
      <c r="C1672" t="s">
        <v>40</v>
      </c>
      <c r="D1672">
        <v>6.3843399999999999</v>
      </c>
      <c r="E1672">
        <v>0.65939380000000003</v>
      </c>
      <c r="F1672" t="s">
        <v>44</v>
      </c>
      <c r="G1672">
        <v>-198.45930000000001</v>
      </c>
      <c r="H1672" s="1">
        <v>-6.1874110000000003E-6</v>
      </c>
      <c r="I1672">
        <v>358.3424</v>
      </c>
      <c r="J1672">
        <v>-203.04169999999999</v>
      </c>
      <c r="K1672">
        <v>1.1186940000000001</v>
      </c>
      <c r="L1672">
        <v>366.06569999999999</v>
      </c>
      <c r="M1672">
        <v>0.95941949999999998</v>
      </c>
      <c r="N1672">
        <v>-1.411478E-2</v>
      </c>
      <c r="O1672">
        <v>-0.28162939999999997</v>
      </c>
      <c r="P1672">
        <v>0.80442209999999903</v>
      </c>
      <c r="Q1672">
        <v>-8.8545250000000006E-2</v>
      </c>
      <c r="R1672">
        <v>-0.58742269999999996</v>
      </c>
      <c r="S1672">
        <v>1.6699219999999999</v>
      </c>
      <c r="T1672">
        <v>-0.40043909999999999</v>
      </c>
      <c r="U1672">
        <v>-2.7746279999999999</v>
      </c>
      <c r="V1672">
        <v>0.33659319999999998</v>
      </c>
      <c r="W1672">
        <v>-7.7407260000000006E-2</v>
      </c>
      <c r="X1672">
        <v>0.93846320000000005</v>
      </c>
      <c r="Y1672">
        <v>0.67311980000000005</v>
      </c>
      <c r="Z1672">
        <v>-2.0294300000000001E-2</v>
      </c>
      <c r="AA1672">
        <v>0.739255</v>
      </c>
      <c r="AB1672">
        <v>15</v>
      </c>
      <c r="AC1672">
        <v>4.5823999999999696</v>
      </c>
      <c r="AD1672">
        <v>-1.1187001874110001</v>
      </c>
      <c r="AE1672">
        <v>-7.7232999999999903</v>
      </c>
      <c r="AF1672">
        <v>6.0264372215918396</v>
      </c>
      <c r="AG1672">
        <v>-1.1187001874110001</v>
      </c>
      <c r="AH1672">
        <v>6.4717776629033201</v>
      </c>
      <c r="AI1672">
        <v>97.209863052383795</v>
      </c>
      <c r="AJ1672">
        <v>47.040718393114702</v>
      </c>
      <c r="AK1672">
        <v>8.9136604048592396</v>
      </c>
      <c r="AL1672">
        <v>94.439550299129394</v>
      </c>
      <c r="AM1672">
        <v>70.268904614150699</v>
      </c>
      <c r="AN1672">
        <v>1.00000002197059</v>
      </c>
    </row>
    <row r="1673" spans="1:40" x14ac:dyDescent="0.25">
      <c r="A1673" t="str">
        <f>"20190303154127780"</f>
        <v>20190303154127780</v>
      </c>
      <c r="B1673" t="str">
        <f>"1551598887771298"</f>
        <v>1551598887771298</v>
      </c>
      <c r="C1673" t="s">
        <v>40</v>
      </c>
      <c r="D1673">
        <v>6.4939299999999998</v>
      </c>
      <c r="E1673">
        <v>0.65899350000000001</v>
      </c>
      <c r="F1673" t="s">
        <v>44</v>
      </c>
      <c r="G1673">
        <v>-198.46459999999999</v>
      </c>
      <c r="H1673" s="1">
        <v>-6.1938659999999996E-6</v>
      </c>
      <c r="I1673">
        <v>358.35930000000002</v>
      </c>
      <c r="J1673">
        <v>-202.96260000000001</v>
      </c>
      <c r="K1673">
        <v>1.1186860000000001</v>
      </c>
      <c r="L1673">
        <v>366.03859999999997</v>
      </c>
      <c r="M1673">
        <v>0.95850709999999995</v>
      </c>
      <c r="N1673">
        <v>-1.41158E-2</v>
      </c>
      <c r="O1673">
        <v>-0.28471879999999999</v>
      </c>
      <c r="P1673">
        <v>0.80024219999999902</v>
      </c>
      <c r="Q1673">
        <v>-8.876465E-2</v>
      </c>
      <c r="R1673">
        <v>-0.5930706</v>
      </c>
      <c r="S1673">
        <v>1.6527860000000001</v>
      </c>
      <c r="T1673">
        <v>-0.40396140000000003</v>
      </c>
      <c r="U1673">
        <v>-2.7828059999999999</v>
      </c>
      <c r="V1673">
        <v>0.34017389999999997</v>
      </c>
      <c r="W1673">
        <v>-7.7670050000000004E-2</v>
      </c>
      <c r="X1673">
        <v>0.93714949999999997</v>
      </c>
      <c r="Y1673">
        <v>0.67499200000000004</v>
      </c>
      <c r="Z1673">
        <v>-2.0201739999999999E-2</v>
      </c>
      <c r="AA1673">
        <v>0.73754839999999999</v>
      </c>
      <c r="AB1673">
        <v>15</v>
      </c>
      <c r="AC1673">
        <v>4.49800000000001</v>
      </c>
      <c r="AD1673">
        <v>-1.1186921938659999</v>
      </c>
      <c r="AE1673">
        <v>-7.6792999999999498</v>
      </c>
      <c r="AF1673">
        <v>5.9860212514784301</v>
      </c>
      <c r="AG1673">
        <v>-1.1186921938659999</v>
      </c>
      <c r="AH1673">
        <v>6.3973708998982204</v>
      </c>
      <c r="AI1673">
        <v>97.276548175194193</v>
      </c>
      <c r="AJ1673">
        <v>46.902542976471999</v>
      </c>
      <c r="AK1673">
        <v>8.8323426721698599</v>
      </c>
      <c r="AL1673">
        <v>94.454652389689102</v>
      </c>
      <c r="AM1673">
        <v>70.049716925736206</v>
      </c>
      <c r="AN1673">
        <v>1.0000000521292201</v>
      </c>
    </row>
    <row r="1674" spans="1:40" x14ac:dyDescent="0.25">
      <c r="A1674" t="str">
        <f>"20190303154127794"</f>
        <v>20190303154127794</v>
      </c>
      <c r="B1674" t="str">
        <f>"1551598887790817"</f>
        <v>1551598887790817</v>
      </c>
      <c r="C1674" t="s">
        <v>40</v>
      </c>
      <c r="D1674">
        <v>6.3509799999999998</v>
      </c>
      <c r="E1674">
        <v>0.65829099999999996</v>
      </c>
      <c r="F1674" t="s">
        <v>44</v>
      </c>
      <c r="G1674">
        <v>-198.46289999999999</v>
      </c>
      <c r="H1674" s="1">
        <v>-6.19192199999999E-6</v>
      </c>
      <c r="I1674">
        <v>358.35419999999999</v>
      </c>
      <c r="J1674">
        <v>-202.86359999999999</v>
      </c>
      <c r="K1674">
        <v>1.1186700000000001</v>
      </c>
      <c r="L1674">
        <v>366.00420000000003</v>
      </c>
      <c r="M1674">
        <v>0.9573429</v>
      </c>
      <c r="N1674">
        <v>-1.4116999999999999E-2</v>
      </c>
      <c r="O1674">
        <v>-0.28860980000000003</v>
      </c>
      <c r="P1674">
        <v>0.7936607</v>
      </c>
      <c r="Q1674">
        <v>-8.9310440000000005E-2</v>
      </c>
      <c r="R1674">
        <v>-0.60176960000000002</v>
      </c>
      <c r="S1674">
        <v>1.6347499999999999</v>
      </c>
      <c r="T1674">
        <v>-0.40642669999999997</v>
      </c>
      <c r="U1674">
        <v>-2.791779</v>
      </c>
      <c r="V1674">
        <v>0.34659240000000002</v>
      </c>
      <c r="W1674">
        <v>-7.8294970000000005E-2</v>
      </c>
      <c r="X1674">
        <v>0.93474250000000003</v>
      </c>
      <c r="Y1674">
        <v>0.67654110000000001</v>
      </c>
      <c r="Z1674">
        <v>-1.9939220000000001E-2</v>
      </c>
      <c r="AA1674">
        <v>0.73613479999999998</v>
      </c>
      <c r="AB1674">
        <v>15</v>
      </c>
      <c r="AC1674">
        <v>4.4006999999999996</v>
      </c>
      <c r="AD1674">
        <v>-1.1186761919220001</v>
      </c>
      <c r="AE1674">
        <v>-7.6500000000000297</v>
      </c>
      <c r="AF1674">
        <v>5.9584558663640301</v>
      </c>
      <c r="AG1674">
        <v>-1.1186761919220001</v>
      </c>
      <c r="AH1674">
        <v>6.3199402706865904</v>
      </c>
      <c r="AI1674">
        <v>97.338850866736905</v>
      </c>
      <c r="AJ1674">
        <v>46.686339948023601</v>
      </c>
      <c r="AK1674">
        <v>8.7576411069891993</v>
      </c>
      <c r="AL1674">
        <v>94.490567416816603</v>
      </c>
      <c r="AM1674">
        <v>69.655764873785103</v>
      </c>
      <c r="AN1674">
        <v>0.99999996768565502</v>
      </c>
    </row>
    <row r="1675" spans="1:40" x14ac:dyDescent="0.25">
      <c r="A1675" t="str">
        <f>"20190303154127820"</f>
        <v>20190303154127820</v>
      </c>
      <c r="B1675" t="str">
        <f>"1551598887811313"</f>
        <v>1551598887811313</v>
      </c>
      <c r="C1675" t="s">
        <v>40</v>
      </c>
      <c r="D1675">
        <v>6.3158289999999999</v>
      </c>
      <c r="E1675">
        <v>0.65786389999999995</v>
      </c>
      <c r="F1675" t="s">
        <v>44</v>
      </c>
      <c r="G1675">
        <v>-198.47630000000001</v>
      </c>
      <c r="H1675" s="1">
        <v>-6.1920399999999996E-6</v>
      </c>
      <c r="I1675">
        <v>358.34829999999999</v>
      </c>
      <c r="J1675">
        <v>-202.70650000000001</v>
      </c>
      <c r="K1675">
        <v>1.1186499999999999</v>
      </c>
      <c r="L1675">
        <v>365.9486</v>
      </c>
      <c r="M1675">
        <v>0.95543319999999998</v>
      </c>
      <c r="N1675">
        <v>-1.411945E-2</v>
      </c>
      <c r="O1675">
        <v>-0.29486960000000001</v>
      </c>
      <c r="P1675">
        <v>0.78649749999999996</v>
      </c>
      <c r="Q1675">
        <v>-8.8658410000000007E-2</v>
      </c>
      <c r="R1675">
        <v>-0.61119690000000004</v>
      </c>
      <c r="S1675">
        <v>1.6072690000000001</v>
      </c>
      <c r="T1675">
        <v>-0.40981919999999999</v>
      </c>
      <c r="U1675">
        <v>-2.8046880000000001</v>
      </c>
      <c r="V1675">
        <v>0.35159550000000001</v>
      </c>
      <c r="W1675">
        <v>-7.7712370000000003E-2</v>
      </c>
      <c r="X1675">
        <v>0.93292090000000005</v>
      </c>
      <c r="Y1675">
        <v>0.67856729999999998</v>
      </c>
      <c r="Z1675">
        <v>-1.9442270000000001E-2</v>
      </c>
      <c r="AA1675">
        <v>0.73428079999999996</v>
      </c>
      <c r="AB1675">
        <v>15</v>
      </c>
      <c r="AC1675">
        <v>4.2301999999999902</v>
      </c>
      <c r="AD1675">
        <v>-1.11865619204</v>
      </c>
      <c r="AE1675">
        <v>-7.6002999999999998</v>
      </c>
      <c r="AF1675">
        <v>5.9169554270264904</v>
      </c>
      <c r="AG1675">
        <v>-1.11865619204</v>
      </c>
      <c r="AH1675">
        <v>6.1811616367070501</v>
      </c>
      <c r="AI1675">
        <v>97.448294245772004</v>
      </c>
      <c r="AJ1675">
        <v>46.251062028462997</v>
      </c>
      <c r="AK1675">
        <v>8.6295140292201094</v>
      </c>
      <c r="AL1675">
        <v>94.457084700230197</v>
      </c>
      <c r="AM1675">
        <v>69.349777720047797</v>
      </c>
      <c r="AN1675">
        <v>1.00000000686403</v>
      </c>
    </row>
    <row r="1676" spans="1:40" x14ac:dyDescent="0.25">
      <c r="A1676" t="str">
        <f>"20190303154127833"</f>
        <v>20190303154127833</v>
      </c>
      <c r="B1676" t="str">
        <f>"1551598887830834"</f>
        <v>1551598887830834</v>
      </c>
      <c r="C1676" t="s">
        <v>40</v>
      </c>
      <c r="D1676">
        <v>6.36775</v>
      </c>
      <c r="E1676">
        <v>0.64556880000000005</v>
      </c>
      <c r="F1676" t="s">
        <v>44</v>
      </c>
      <c r="G1676">
        <v>-198.38239999999999</v>
      </c>
      <c r="H1676" s="1">
        <v>-6.1301580000000003E-6</v>
      </c>
      <c r="I1676">
        <v>358.20729999999998</v>
      </c>
      <c r="J1676">
        <v>-202.61580000000001</v>
      </c>
      <c r="K1676">
        <v>1.1186419999999999</v>
      </c>
      <c r="L1676">
        <v>365.916</v>
      </c>
      <c r="M1676">
        <v>0.95429889999999995</v>
      </c>
      <c r="N1676">
        <v>-1.412123E-2</v>
      </c>
      <c r="O1676">
        <v>-0.2985199</v>
      </c>
      <c r="P1676">
        <v>0.78305380000000002</v>
      </c>
      <c r="Q1676">
        <v>-8.741968E-2</v>
      </c>
      <c r="R1676">
        <v>-0.61577959999999998</v>
      </c>
      <c r="S1676">
        <v>1.5758970000000001</v>
      </c>
      <c r="T1676">
        <v>-0.40769519999999998</v>
      </c>
      <c r="U1676">
        <v>-2.8213499999999998</v>
      </c>
      <c r="V1676">
        <v>0.35343790000000003</v>
      </c>
      <c r="W1676">
        <v>-7.6504359999999993E-2</v>
      </c>
      <c r="X1676">
        <v>0.93232440000000005</v>
      </c>
      <c r="Y1676">
        <v>0.68380620000000003</v>
      </c>
      <c r="Z1676">
        <v>-1.9477290000000001E-2</v>
      </c>
      <c r="AA1676">
        <v>0.72940369999999999</v>
      </c>
      <c r="AB1676">
        <v>15</v>
      </c>
      <c r="AC1676">
        <v>4.2334000000000103</v>
      </c>
      <c r="AD1676">
        <v>-1.118648130158</v>
      </c>
      <c r="AE1676">
        <v>-7.7087000000000199</v>
      </c>
      <c r="AF1676">
        <v>5.9962445418279202</v>
      </c>
      <c r="AG1676">
        <v>-1.118648130158</v>
      </c>
      <c r="AH1676">
        <v>6.2407923300031198</v>
      </c>
      <c r="AI1676">
        <v>97.364901542525701</v>
      </c>
      <c r="AJ1676">
        <v>46.1448597795642</v>
      </c>
      <c r="AK1676">
        <v>8.7266151027035104</v>
      </c>
      <c r="AL1676">
        <v>94.387664050666203</v>
      </c>
      <c r="AM1676">
        <v>69.238619486859804</v>
      </c>
      <c r="AN1676">
        <v>1.0000000265453799</v>
      </c>
    </row>
    <row r="1677" spans="1:40" x14ac:dyDescent="0.25">
      <c r="A1677" t="str">
        <f>"20190303154127846"</f>
        <v>20190303154127846</v>
      </c>
      <c r="B1677" t="str">
        <f>"1551598887840593"</f>
        <v>1551598887840593</v>
      </c>
      <c r="C1677" t="s">
        <v>40</v>
      </c>
      <c r="D1677">
        <v>6.3291659999999998</v>
      </c>
      <c r="E1677">
        <v>0.64487609999999995</v>
      </c>
      <c r="F1677" t="s">
        <v>44</v>
      </c>
      <c r="G1677">
        <v>-198.19739999999999</v>
      </c>
      <c r="H1677" s="1">
        <v>-6.1679309999999996E-6</v>
      </c>
      <c r="I1677">
        <v>358.40649999999999</v>
      </c>
      <c r="J1677">
        <v>-202.53809999999999</v>
      </c>
      <c r="K1677">
        <v>1.1186389999999999</v>
      </c>
      <c r="L1677">
        <v>365.88760000000002</v>
      </c>
      <c r="M1677">
        <v>0.95330490000000001</v>
      </c>
      <c r="N1677">
        <v>-1.412295E-2</v>
      </c>
      <c r="O1677">
        <v>-0.30167899999999997</v>
      </c>
      <c r="P1677">
        <v>0.78006989999999998</v>
      </c>
      <c r="Q1677">
        <v>-8.6053489999999996E-2</v>
      </c>
      <c r="R1677">
        <v>-0.61974629999999997</v>
      </c>
      <c r="S1677">
        <v>1.6200870000000001</v>
      </c>
      <c r="T1677">
        <v>-0.41017039999999999</v>
      </c>
      <c r="U1677">
        <v>-2.753479</v>
      </c>
      <c r="V1677">
        <v>0.35504010000000003</v>
      </c>
      <c r="W1677">
        <v>-7.5164620000000001E-2</v>
      </c>
      <c r="X1677">
        <v>0.9318244</v>
      </c>
      <c r="Y1677">
        <v>0.66493740000000001</v>
      </c>
      <c r="Z1677">
        <v>-1.724003E-2</v>
      </c>
      <c r="AA1677">
        <v>0.74670000000000003</v>
      </c>
      <c r="AB1677">
        <v>15</v>
      </c>
      <c r="AC1677">
        <v>4.3406999999999902</v>
      </c>
      <c r="AD1677">
        <v>-1.1186451679310001</v>
      </c>
      <c r="AE1677">
        <v>-7.4811000000000201</v>
      </c>
      <c r="AF1677">
        <v>5.7270524264804603</v>
      </c>
      <c r="AG1677">
        <v>-1.1186451679310001</v>
      </c>
      <c r="AH1677">
        <v>6.2903175903141797</v>
      </c>
      <c r="AI1677">
        <v>97.491336849390606</v>
      </c>
      <c r="AJ1677">
        <v>47.683541787023501</v>
      </c>
      <c r="AK1677">
        <v>8.5801277318235307</v>
      </c>
      <c r="AL1677">
        <v>94.310681239522296</v>
      </c>
      <c r="AM1677">
        <v>69.142353809374498</v>
      </c>
      <c r="AN1677">
        <v>0.99999995257155605</v>
      </c>
    </row>
    <row r="1678" spans="1:40" x14ac:dyDescent="0.25">
      <c r="A1678" t="str">
        <f>"20190303154127860"</f>
        <v>20190303154127860</v>
      </c>
      <c r="B1678" t="str">
        <f>"1551598887851330"</f>
        <v>1551598887851330</v>
      </c>
      <c r="C1678" t="s">
        <v>40</v>
      </c>
      <c r="D1678">
        <v>6.3429679999999999</v>
      </c>
      <c r="E1678">
        <v>0.644402699999999</v>
      </c>
      <c r="F1678" t="s">
        <v>44</v>
      </c>
      <c r="G1678">
        <v>-198.1891</v>
      </c>
      <c r="H1678" s="1">
        <v>-6.1770819999999996E-6</v>
      </c>
      <c r="I1678">
        <v>358.43770000000001</v>
      </c>
      <c r="J1678">
        <v>-202.4504</v>
      </c>
      <c r="K1678">
        <v>1.118633</v>
      </c>
      <c r="L1678">
        <v>365.85520000000002</v>
      </c>
      <c r="M1678">
        <v>0.95216230000000002</v>
      </c>
      <c r="N1678">
        <v>-1.412507E-2</v>
      </c>
      <c r="O1678">
        <v>-0.30526629999999999</v>
      </c>
      <c r="P1678">
        <v>0.77725699999999998</v>
      </c>
      <c r="Q1678">
        <v>-8.412654E-2</v>
      </c>
      <c r="R1678">
        <v>-0.62353380000000003</v>
      </c>
      <c r="S1678">
        <v>1.6095729999999999</v>
      </c>
      <c r="T1678">
        <v>-0.41400930000000002</v>
      </c>
      <c r="U1678">
        <v>-2.7572019999999999</v>
      </c>
      <c r="V1678">
        <v>0.3560082</v>
      </c>
      <c r="W1678">
        <v>-7.3258500000000004E-2</v>
      </c>
      <c r="X1678">
        <v>0.93160690000000002</v>
      </c>
      <c r="Y1678">
        <v>0.66465220000000003</v>
      </c>
      <c r="Z1678">
        <v>-1.6813649999999999E-2</v>
      </c>
      <c r="AA1678">
        <v>0.74696370000000001</v>
      </c>
      <c r="AB1678">
        <v>15</v>
      </c>
      <c r="AC1678">
        <v>4.2613000000000003</v>
      </c>
      <c r="AD1678">
        <v>-1.1186391770819999</v>
      </c>
      <c r="AE1678">
        <v>-7.4175000000000102</v>
      </c>
      <c r="AF1678">
        <v>5.6655259589815001</v>
      </c>
      <c r="AG1678">
        <v>-1.1186391770819999</v>
      </c>
      <c r="AH1678">
        <v>6.2160963866522403</v>
      </c>
      <c r="AI1678">
        <v>97.576082338276507</v>
      </c>
      <c r="AJ1678">
        <v>47.653073107148501</v>
      </c>
      <c r="AK1678">
        <v>8.4846562858224797</v>
      </c>
      <c r="AL1678">
        <v>94.201166270820096</v>
      </c>
      <c r="AM1678">
        <v>69.085932086025807</v>
      </c>
      <c r="AN1678">
        <v>1.00000003120854</v>
      </c>
    </row>
    <row r="1679" spans="1:40" x14ac:dyDescent="0.25">
      <c r="A1679" t="str">
        <f>"20190303154127873"</f>
        <v>20190303154127873</v>
      </c>
      <c r="B1679" t="str">
        <f>"1551598887870851"</f>
        <v>1551598887870851</v>
      </c>
      <c r="C1679" t="s">
        <v>40</v>
      </c>
      <c r="D1679">
        <v>6.320049</v>
      </c>
      <c r="E1679">
        <v>0.64357919999999902</v>
      </c>
      <c r="F1679" t="s">
        <v>44</v>
      </c>
      <c r="G1679">
        <v>-198.13829999999999</v>
      </c>
      <c r="H1679" s="1">
        <v>-6.160526E-6</v>
      </c>
      <c r="I1679">
        <v>358.4119</v>
      </c>
      <c r="J1679">
        <v>-202.3578</v>
      </c>
      <c r="K1679">
        <v>1.1186320000000001</v>
      </c>
      <c r="L1679">
        <v>365.82060000000001</v>
      </c>
      <c r="M1679">
        <v>0.95092699999999997</v>
      </c>
      <c r="N1679">
        <v>-1.4127819999999999E-2</v>
      </c>
      <c r="O1679">
        <v>-0.30909309999999901</v>
      </c>
      <c r="P1679">
        <v>0.77329459999999905</v>
      </c>
      <c r="Q1679">
        <v>-8.222409E-2</v>
      </c>
      <c r="R1679">
        <v>-0.62869269999999999</v>
      </c>
      <c r="S1679">
        <v>1.5996549999999901</v>
      </c>
      <c r="T1679">
        <v>-0.41498639999999998</v>
      </c>
      <c r="U1679">
        <v>-2.7612920000000001</v>
      </c>
      <c r="V1679">
        <v>0.35840270000000002</v>
      </c>
      <c r="W1679">
        <v>-7.1398030000000001E-2</v>
      </c>
      <c r="X1679">
        <v>0.93083289999999996</v>
      </c>
      <c r="Y1679">
        <v>0.66415230000000003</v>
      </c>
      <c r="Z1679">
        <v>-1.6273349999999999E-2</v>
      </c>
      <c r="AA1679">
        <v>0.74742010000000003</v>
      </c>
      <c r="AB1679">
        <v>15</v>
      </c>
      <c r="AC1679">
        <v>4.2195000000000098</v>
      </c>
      <c r="AD1679">
        <v>-1.1186381605260001</v>
      </c>
      <c r="AE1679">
        <v>-7.4086999999999996</v>
      </c>
      <c r="AF1679">
        <v>5.6443242208322797</v>
      </c>
      <c r="AG1679">
        <v>-1.1186381605260001</v>
      </c>
      <c r="AH1679">
        <v>6.1963770369679798</v>
      </c>
      <c r="AI1679">
        <v>97.601853104771394</v>
      </c>
      <c r="AJ1679">
        <v>47.669386463872101</v>
      </c>
      <c r="AK1679">
        <v>8.4560531945064703</v>
      </c>
      <c r="AL1679">
        <v>94.094289257262204</v>
      </c>
      <c r="AM1679">
        <v>68.941577199764296</v>
      </c>
      <c r="AN1679">
        <v>1.00000003088879</v>
      </c>
    </row>
    <row r="1680" spans="1:40" x14ac:dyDescent="0.25">
      <c r="A1680" t="str">
        <f>"20190303154127887"</f>
        <v>20190303154127887</v>
      </c>
      <c r="B1680" t="str">
        <f>"1551598887880610"</f>
        <v>1551598887880610</v>
      </c>
      <c r="C1680" t="s">
        <v>40</v>
      </c>
      <c r="D1680">
        <v>6.3057049999999997</v>
      </c>
      <c r="E1680">
        <v>0.64316980000000001</v>
      </c>
      <c r="F1680" t="s">
        <v>44</v>
      </c>
      <c r="G1680">
        <v>-198.12020000000001</v>
      </c>
      <c r="H1680" s="1">
        <v>-6.1634960000000003E-6</v>
      </c>
      <c r="I1680">
        <v>358.42919999999998</v>
      </c>
      <c r="J1680">
        <v>-202.27670000000001</v>
      </c>
      <c r="K1680">
        <v>1.1186160000000001</v>
      </c>
      <c r="L1680">
        <v>365.78989999999999</v>
      </c>
      <c r="M1680">
        <v>0.94981579999999999</v>
      </c>
      <c r="N1680">
        <v>-1.4130770000000001E-2</v>
      </c>
      <c r="O1680">
        <v>-0.3124903</v>
      </c>
      <c r="P1680">
        <v>0.77010940000000006</v>
      </c>
      <c r="Q1680">
        <v>-8.1952360000000002E-2</v>
      </c>
      <c r="R1680">
        <v>-0.63262589999999996</v>
      </c>
      <c r="S1680">
        <v>1.5859379999999901</v>
      </c>
      <c r="T1680">
        <v>-0.41866140000000002</v>
      </c>
      <c r="U1680">
        <v>-2.766327</v>
      </c>
      <c r="V1680">
        <v>0.35980630000000002</v>
      </c>
      <c r="W1680">
        <v>-7.1159379999999994E-2</v>
      </c>
      <c r="X1680">
        <v>0.93030950000000001</v>
      </c>
      <c r="Y1680">
        <v>0.66480919999999999</v>
      </c>
      <c r="Z1680">
        <v>-1.5951440000000001E-2</v>
      </c>
      <c r="AA1680">
        <v>0.74684289999999998</v>
      </c>
      <c r="AB1680">
        <v>15</v>
      </c>
      <c r="AC1680">
        <v>4.1564999999999896</v>
      </c>
      <c r="AD1680">
        <v>-1.1186221634960001</v>
      </c>
      <c r="AE1680">
        <v>-7.3606999999999996</v>
      </c>
      <c r="AF1680">
        <v>5.5950338965169202</v>
      </c>
      <c r="AG1680">
        <v>-1.1186221634960001</v>
      </c>
      <c r="AH1680">
        <v>6.1411397115302799</v>
      </c>
      <c r="AI1680">
        <v>97.668680261771598</v>
      </c>
      <c r="AJ1680">
        <v>47.6641566370578</v>
      </c>
      <c r="AK1680">
        <v>8.38267957185362</v>
      </c>
      <c r="AL1680">
        <v>94.080580884501302</v>
      </c>
      <c r="AM1680">
        <v>68.855534101209201</v>
      </c>
      <c r="AN1680">
        <v>0.99999999833596198</v>
      </c>
    </row>
    <row r="1681" spans="1:40" x14ac:dyDescent="0.25">
      <c r="A1681" t="str">
        <f>"20190303154127899"</f>
        <v>20190303154127899</v>
      </c>
      <c r="B1681" t="str">
        <f>"1551598887891345"</f>
        <v>1551598887891345</v>
      </c>
      <c r="C1681" t="s">
        <v>40</v>
      </c>
      <c r="D1681">
        <v>6.294835</v>
      </c>
      <c r="E1681">
        <v>0.64277119999999999</v>
      </c>
      <c r="F1681" t="s">
        <v>44</v>
      </c>
      <c r="G1681">
        <v>-198.08260000000001</v>
      </c>
      <c r="H1681" s="1">
        <v>-6.1488039999999996E-6</v>
      </c>
      <c r="I1681">
        <v>358.40289999999999</v>
      </c>
      <c r="J1681">
        <v>-202.19560000000001</v>
      </c>
      <c r="K1681">
        <v>1.118595</v>
      </c>
      <c r="L1681">
        <v>365.75880000000001</v>
      </c>
      <c r="M1681">
        <v>0.94868180000000002</v>
      </c>
      <c r="N1681">
        <v>-1.413405E-2</v>
      </c>
      <c r="O1681">
        <v>-0.31591669999999999</v>
      </c>
      <c r="P1681">
        <v>0.76665019999999995</v>
      </c>
      <c r="Q1681">
        <v>-8.1971509999999997E-2</v>
      </c>
      <c r="R1681">
        <v>-0.63681140000000003</v>
      </c>
      <c r="S1681">
        <v>1.5738369999999999</v>
      </c>
      <c r="T1681">
        <v>-0.41975469999999998</v>
      </c>
      <c r="U1681">
        <v>-2.7719119999999999</v>
      </c>
      <c r="V1681">
        <v>0.36150919999999998</v>
      </c>
      <c r="W1681">
        <v>-7.1217340000000004E-2</v>
      </c>
      <c r="X1681">
        <v>0.92964460000000004</v>
      </c>
      <c r="Y1681">
        <v>0.66522559999999997</v>
      </c>
      <c r="Z1681">
        <v>-1.555198E-2</v>
      </c>
      <c r="AA1681">
        <v>0.74648049999999999</v>
      </c>
      <c r="AB1681">
        <v>15</v>
      </c>
      <c r="AC1681">
        <v>4.1130000000000004</v>
      </c>
      <c r="AD1681">
        <v>-1.118601148804</v>
      </c>
      <c r="AE1681">
        <v>-7.3559000000000099</v>
      </c>
      <c r="AF1681">
        <v>5.5812838755721197</v>
      </c>
      <c r="AG1681">
        <v>-1.118601148804</v>
      </c>
      <c r="AH1681">
        <v>6.1186091654360002</v>
      </c>
      <c r="AI1681">
        <v>97.692245778631403</v>
      </c>
      <c r="AJ1681">
        <v>47.629498746975997</v>
      </c>
      <c r="AK1681">
        <v>8.3569956532945806</v>
      </c>
      <c r="AL1681">
        <v>94.083910405721895</v>
      </c>
      <c r="AM1681">
        <v>68.750525355865904</v>
      </c>
      <c r="AN1681">
        <v>0.99999994675523596</v>
      </c>
    </row>
    <row r="1682" spans="1:40" x14ac:dyDescent="0.25">
      <c r="A1682" t="str">
        <f>"20190303154127913"</f>
        <v>20190303154127913</v>
      </c>
      <c r="B1682" t="str">
        <f>"1551598887901106"</f>
        <v>1551598887901106</v>
      </c>
      <c r="C1682" t="s">
        <v>40</v>
      </c>
      <c r="D1682">
        <v>6.2065229999999998</v>
      </c>
      <c r="E1682">
        <v>0.64277119999999999</v>
      </c>
      <c r="F1682" t="s">
        <v>44</v>
      </c>
      <c r="G1682">
        <v>-198.05449999999999</v>
      </c>
      <c r="H1682" s="1">
        <v>-6.1393279999999997E-6</v>
      </c>
      <c r="I1682">
        <v>358.3877</v>
      </c>
      <c r="J1682">
        <v>-202.10300000000001</v>
      </c>
      <c r="K1682">
        <v>1.118573</v>
      </c>
      <c r="L1682">
        <v>365.72280000000001</v>
      </c>
      <c r="M1682">
        <v>0.947353</v>
      </c>
      <c r="N1682">
        <v>-1.4138619999999999E-2</v>
      </c>
      <c r="O1682">
        <v>-0.31987900000000002</v>
      </c>
      <c r="P1682">
        <v>0.76251880000000005</v>
      </c>
      <c r="Q1682">
        <v>-8.1635089999999993E-2</v>
      </c>
      <c r="R1682">
        <v>-0.641795</v>
      </c>
      <c r="S1682">
        <v>1.560608</v>
      </c>
      <c r="T1682">
        <v>-0.42155300000000001</v>
      </c>
      <c r="U1682">
        <v>-2.777863</v>
      </c>
      <c r="V1682">
        <v>0.36366510000000002</v>
      </c>
      <c r="W1682">
        <v>-7.0930880000000002E-2</v>
      </c>
      <c r="X1682">
        <v>0.92882529999999996</v>
      </c>
      <c r="Y1682">
        <v>0.66548600000000002</v>
      </c>
      <c r="Z1682">
        <v>-1.506951E-2</v>
      </c>
      <c r="AA1682">
        <v>0.74625819999999998</v>
      </c>
      <c r="AB1682">
        <v>15</v>
      </c>
      <c r="AC1682">
        <v>4.04849999999999</v>
      </c>
      <c r="AD1682">
        <v>-1.118579139328</v>
      </c>
      <c r="AE1682">
        <v>-7.3351000000000104</v>
      </c>
      <c r="AF1682">
        <v>5.5554370456386097</v>
      </c>
      <c r="AG1682">
        <v>-1.118579139328</v>
      </c>
      <c r="AH1682">
        <v>6.0740496278338396</v>
      </c>
      <c r="AI1682">
        <v>97.738562191605396</v>
      </c>
      <c r="AJ1682">
        <v>47.553391997573101</v>
      </c>
      <c r="AK1682">
        <v>8.3071161626873895</v>
      </c>
      <c r="AL1682">
        <v>94.067455763153205</v>
      </c>
      <c r="AM1682">
        <v>68.618052520031895</v>
      </c>
      <c r="AN1682">
        <v>0.99999996630783605</v>
      </c>
    </row>
    <row r="1683" spans="1:40" x14ac:dyDescent="0.25">
      <c r="A1683" t="str">
        <f>"20190303154127930"</f>
        <v>20190303154127930</v>
      </c>
      <c r="B1683" t="str">
        <f>"1551598887920625"</f>
        <v>1551598887920625</v>
      </c>
      <c r="C1683" t="s">
        <v>40</v>
      </c>
      <c r="D1683">
        <v>6.3042109999999996</v>
      </c>
      <c r="E1683">
        <v>0.64257039999999999</v>
      </c>
      <c r="F1683" t="s">
        <v>44</v>
      </c>
      <c r="G1683">
        <v>-198.00309999999999</v>
      </c>
      <c r="H1683" s="1">
        <v>-6.1071289999999997E-6</v>
      </c>
      <c r="I1683">
        <v>358.31549999999999</v>
      </c>
      <c r="J1683">
        <v>-201.99549999999999</v>
      </c>
      <c r="K1683">
        <v>1.1185309999999999</v>
      </c>
      <c r="L1683">
        <v>365.68029999999999</v>
      </c>
      <c r="M1683">
        <v>0.94575969999999998</v>
      </c>
      <c r="N1683">
        <v>-1.4145069999999999E-2</v>
      </c>
      <c r="O1683">
        <v>-0.32455889999999998</v>
      </c>
      <c r="P1683">
        <v>0.75622299999999998</v>
      </c>
      <c r="Q1683">
        <v>-8.1439810000000001E-2</v>
      </c>
      <c r="R1683">
        <v>-0.64922599999999997</v>
      </c>
      <c r="S1683">
        <v>1.542969</v>
      </c>
      <c r="T1683">
        <v>-0.42096339999999999</v>
      </c>
      <c r="U1683">
        <v>-2.7876590000000001</v>
      </c>
      <c r="V1683">
        <v>0.36814000000000002</v>
      </c>
      <c r="W1683">
        <v>-7.08202E-2</v>
      </c>
      <c r="X1683">
        <v>0.92706929999999999</v>
      </c>
      <c r="Y1683">
        <v>0.66655359999999997</v>
      </c>
      <c r="Z1683">
        <v>-1.45401E-2</v>
      </c>
      <c r="AA1683">
        <v>0.74531530000000001</v>
      </c>
      <c r="AB1683">
        <v>15</v>
      </c>
      <c r="AC1683">
        <v>3.9923999999999999</v>
      </c>
      <c r="AD1683">
        <v>-1.118537107129</v>
      </c>
      <c r="AE1683">
        <v>-7.3647999999999998</v>
      </c>
      <c r="AF1683">
        <v>5.5708157566116796</v>
      </c>
      <c r="AG1683">
        <v>-1.118537107129</v>
      </c>
      <c r="AH1683">
        <v>6.0587668334699298</v>
      </c>
      <c r="AI1683">
        <v>97.739082633154297</v>
      </c>
      <c r="AJ1683">
        <v>47.402592563562003</v>
      </c>
      <c r="AK1683">
        <v>8.3062487921138501</v>
      </c>
      <c r="AL1683">
        <v>94.061098044718506</v>
      </c>
      <c r="AM1683">
        <v>68.341931353927606</v>
      </c>
      <c r="AN1683">
        <v>1.00000002366526</v>
      </c>
    </row>
    <row r="1684" spans="1:40" x14ac:dyDescent="0.25">
      <c r="A1684" t="str">
        <f>"20190303154127952"</f>
        <v>20190303154127952</v>
      </c>
      <c r="B1684" t="str">
        <f>"1551598887940646"</f>
        <v>1551598887940646</v>
      </c>
      <c r="C1684" t="s">
        <v>40</v>
      </c>
      <c r="D1684">
        <v>6.3452479999999998</v>
      </c>
      <c r="E1684">
        <v>0.64212539999999996</v>
      </c>
      <c r="F1684" t="s">
        <v>44</v>
      </c>
      <c r="G1684">
        <v>-197.95670000000001</v>
      </c>
      <c r="H1684" s="1">
        <v>-6.0683110000000001E-6</v>
      </c>
      <c r="I1684">
        <v>358.22109999999998</v>
      </c>
      <c r="J1684">
        <v>-201.86179999999999</v>
      </c>
      <c r="K1684">
        <v>1.118471</v>
      </c>
      <c r="L1684">
        <v>365.6266</v>
      </c>
      <c r="M1684">
        <v>0.94370730000000003</v>
      </c>
      <c r="N1684">
        <v>-1.415433E-2</v>
      </c>
      <c r="O1684">
        <v>-0.33047880000000002</v>
      </c>
      <c r="P1684">
        <v>0.74863690000000005</v>
      </c>
      <c r="Q1684">
        <v>-8.1365179999999995E-2</v>
      </c>
      <c r="R1684">
        <v>-0.65796849999999996</v>
      </c>
      <c r="S1684">
        <v>1.516815</v>
      </c>
      <c r="T1684">
        <v>-0.42008050000000002</v>
      </c>
      <c r="U1684">
        <v>-2.8013919999999999</v>
      </c>
      <c r="V1684">
        <v>0.37307980000000002</v>
      </c>
      <c r="W1684">
        <v>-7.0847469999999996E-2</v>
      </c>
      <c r="X1684">
        <v>0.92509030000000003</v>
      </c>
      <c r="Y1684">
        <v>0.66881990000000002</v>
      </c>
      <c r="Z1684">
        <v>-1.3967800000000001E-2</v>
      </c>
      <c r="AA1684">
        <v>0.74329330000000005</v>
      </c>
      <c r="AB1684">
        <v>15</v>
      </c>
      <c r="AC1684">
        <v>3.9050999999999698</v>
      </c>
      <c r="AD1684">
        <v>-1.1184770683109999</v>
      </c>
      <c r="AE1684">
        <v>-7.4055000000000097</v>
      </c>
      <c r="AF1684">
        <v>5.5987162873309702</v>
      </c>
      <c r="AG1684">
        <v>-1.1184770683109999</v>
      </c>
      <c r="AH1684">
        <v>6.0256994845601204</v>
      </c>
      <c r="AI1684">
        <v>97.743640582390896</v>
      </c>
      <c r="AJ1684">
        <v>47.103618968915399</v>
      </c>
      <c r="AK1684">
        <v>8.3009438798603306</v>
      </c>
      <c r="AL1684">
        <v>94.062664604049004</v>
      </c>
      <c r="AM1684">
        <v>68.036265330047897</v>
      </c>
      <c r="AN1684">
        <v>0.99999998216376496</v>
      </c>
    </row>
    <row r="1685" spans="1:40" x14ac:dyDescent="0.25">
      <c r="A1685" t="str">
        <f>"20190303154127966"</f>
        <v>20190303154127966</v>
      </c>
      <c r="B1685" t="str">
        <f>"1551598887961143"</f>
        <v>1551598887961143</v>
      </c>
      <c r="C1685" t="s">
        <v>40</v>
      </c>
      <c r="D1685">
        <v>6.2075740000000001</v>
      </c>
      <c r="E1685">
        <v>0.63651429999999998</v>
      </c>
      <c r="F1685" t="s">
        <v>44</v>
      </c>
      <c r="G1685">
        <v>-197.8783</v>
      </c>
      <c r="H1685" s="1">
        <v>-6.0083100000000004E-6</v>
      </c>
      <c r="I1685">
        <v>358.07850000000002</v>
      </c>
      <c r="J1685">
        <v>-201.77719999999999</v>
      </c>
      <c r="K1685">
        <v>1.1184320000000001</v>
      </c>
      <c r="L1685">
        <v>365.59190000000001</v>
      </c>
      <c r="M1685">
        <v>0.94236299999999995</v>
      </c>
      <c r="N1685">
        <v>-1.416094E-2</v>
      </c>
      <c r="O1685">
        <v>-0.33429239999999999</v>
      </c>
      <c r="P1685">
        <v>0.74422159999999904</v>
      </c>
      <c r="Q1685">
        <v>-8.1596459999999996E-2</v>
      </c>
      <c r="R1685">
        <v>-0.66293009999999997</v>
      </c>
      <c r="S1685">
        <v>1.486435</v>
      </c>
      <c r="T1685">
        <v>-0.41736669999999998</v>
      </c>
      <c r="U1685">
        <v>-2.8166199999999999</v>
      </c>
      <c r="V1685">
        <v>0.3754844</v>
      </c>
      <c r="W1685">
        <v>-7.1135329999999997E-2</v>
      </c>
      <c r="X1685">
        <v>0.92409490000000005</v>
      </c>
      <c r="Y1685">
        <v>0.67373479999999997</v>
      </c>
      <c r="Z1685">
        <v>-1.394781E-2</v>
      </c>
      <c r="AA1685">
        <v>0.73884150000000004</v>
      </c>
      <c r="AB1685">
        <v>15</v>
      </c>
      <c r="AC1685">
        <v>3.89889999999999</v>
      </c>
      <c r="AD1685">
        <v>-1.1184380083099901</v>
      </c>
      <c r="AE1685">
        <v>-7.5133999999999901</v>
      </c>
      <c r="AF1685">
        <v>5.6784236268066204</v>
      </c>
      <c r="AG1685">
        <v>-1.1184380083099901</v>
      </c>
      <c r="AH1685">
        <v>6.0803224224673</v>
      </c>
      <c r="AI1685">
        <v>97.656653267266407</v>
      </c>
      <c r="AJ1685">
        <v>46.957533935277702</v>
      </c>
      <c r="AK1685">
        <v>8.3943861732152207</v>
      </c>
      <c r="AL1685">
        <v>94.079199098638895</v>
      </c>
      <c r="AM1685">
        <v>67.886781367084495</v>
      </c>
      <c r="AN1685">
        <v>1.0000000770117801</v>
      </c>
    </row>
    <row r="1686" spans="1:40" x14ac:dyDescent="0.25">
      <c r="A1686" t="str">
        <f>"20190303154127980"</f>
        <v>20190303154127980</v>
      </c>
      <c r="B1686" t="str">
        <f>"1551598887970902"</f>
        <v>1551598887970902</v>
      </c>
      <c r="C1686" t="s">
        <v>40</v>
      </c>
      <c r="D1686">
        <v>6.1933040000000004</v>
      </c>
      <c r="E1686">
        <v>0.63635180000000002</v>
      </c>
      <c r="F1686" t="s">
        <v>44</v>
      </c>
      <c r="G1686">
        <v>-197.49459999999999</v>
      </c>
      <c r="H1686" s="1">
        <v>-5.7910360000000003E-6</v>
      </c>
      <c r="I1686">
        <v>357.60849999999999</v>
      </c>
      <c r="J1686">
        <v>-201.6857</v>
      </c>
      <c r="K1686">
        <v>1.118393</v>
      </c>
      <c r="L1686">
        <v>365.5539</v>
      </c>
      <c r="M1686">
        <v>0.94087030000000005</v>
      </c>
      <c r="N1686">
        <v>-1.416837E-2</v>
      </c>
      <c r="O1686">
        <v>-0.33847059999999901</v>
      </c>
      <c r="P1686">
        <v>0.73945719999999904</v>
      </c>
      <c r="Q1686">
        <v>-8.1809339999999994E-2</v>
      </c>
      <c r="R1686">
        <v>-0.66821409999999903</v>
      </c>
      <c r="S1686">
        <v>1.499023</v>
      </c>
      <c r="T1686">
        <v>-0.39147710000000002</v>
      </c>
      <c r="U1686">
        <v>-2.7943730000000002</v>
      </c>
      <c r="V1686">
        <v>0.37796170000000001</v>
      </c>
      <c r="W1686">
        <v>-7.1407880000000007E-2</v>
      </c>
      <c r="X1686">
        <v>0.92306330000000003</v>
      </c>
      <c r="Y1686">
        <v>0.66587949999999996</v>
      </c>
      <c r="Z1686">
        <v>-1.2399159999999999E-2</v>
      </c>
      <c r="AA1686">
        <v>0.74595619999999996</v>
      </c>
      <c r="AB1686">
        <v>15</v>
      </c>
      <c r="AC1686">
        <v>4.1910999999999996</v>
      </c>
      <c r="AD1686">
        <v>-1.118398791036</v>
      </c>
      <c r="AE1686">
        <v>-7.9454000000000002</v>
      </c>
      <c r="AF1686">
        <v>5.9651710598481902</v>
      </c>
      <c r="AG1686">
        <v>-1.118398791036</v>
      </c>
      <c r="AH1686">
        <v>6.5319819959022896</v>
      </c>
      <c r="AI1686">
        <v>97.205743944701396</v>
      </c>
      <c r="AJ1686">
        <v>47.596882111409599</v>
      </c>
      <c r="AK1686">
        <v>8.9163260608746704</v>
      </c>
      <c r="AL1686">
        <v>94.094855216590105</v>
      </c>
      <c r="AM1686">
        <v>67.732639749382301</v>
      </c>
      <c r="AN1686">
        <v>0.99999999389993699</v>
      </c>
    </row>
    <row r="1687" spans="1:40" x14ac:dyDescent="0.25">
      <c r="A1687" t="str">
        <f>"20190303154127993"</f>
        <v>20190303154127993</v>
      </c>
      <c r="B1687" t="str">
        <f>"1551598887991398"</f>
        <v>1551598887991398</v>
      </c>
      <c r="C1687" t="s">
        <v>40</v>
      </c>
      <c r="D1687">
        <v>6.266788</v>
      </c>
      <c r="E1687">
        <v>0.63536610000000004</v>
      </c>
      <c r="F1687" t="s">
        <v>44</v>
      </c>
      <c r="G1687">
        <v>-197.43190000000001</v>
      </c>
      <c r="H1687" s="1">
        <v>-5.7434860000000002E-6</v>
      </c>
      <c r="I1687">
        <v>357.4957</v>
      </c>
      <c r="J1687">
        <v>-201.602</v>
      </c>
      <c r="K1687">
        <v>1.118358</v>
      </c>
      <c r="L1687">
        <v>365.5188</v>
      </c>
      <c r="M1687">
        <v>0.93946859999999999</v>
      </c>
      <c r="N1687">
        <v>-1.4175449999999999E-2</v>
      </c>
      <c r="O1687">
        <v>-0.34234170000000003</v>
      </c>
      <c r="P1687">
        <v>0.73494759999999903</v>
      </c>
      <c r="Q1687">
        <v>-8.1975149999999997E-2</v>
      </c>
      <c r="R1687">
        <v>-0.67315100000000005</v>
      </c>
      <c r="S1687">
        <v>1.480164</v>
      </c>
      <c r="T1687">
        <v>-0.38915820000000001</v>
      </c>
      <c r="U1687">
        <v>-2.8039550000000002</v>
      </c>
      <c r="V1687">
        <v>0.3803375</v>
      </c>
      <c r="W1687">
        <v>-7.1629139999999994E-2</v>
      </c>
      <c r="X1687">
        <v>0.92206980000000005</v>
      </c>
      <c r="Y1687">
        <v>0.66781820000000003</v>
      </c>
      <c r="Z1687">
        <v>-1.208861E-2</v>
      </c>
      <c r="AA1687">
        <v>0.74422619999999995</v>
      </c>
      <c r="AB1687">
        <v>15</v>
      </c>
      <c r="AC1687">
        <v>4.1700999999999899</v>
      </c>
      <c r="AD1687">
        <v>-1.1183637434860001</v>
      </c>
      <c r="AE1687">
        <v>-8.0230999999999995</v>
      </c>
      <c r="AF1687">
        <v>6.0183976516900799</v>
      </c>
      <c r="AG1687">
        <v>-1.1183637434860001</v>
      </c>
      <c r="AH1687">
        <v>6.5645665352237303</v>
      </c>
      <c r="AI1687">
        <v>97.157504506690003</v>
      </c>
      <c r="AJ1687">
        <v>47.485387482329699</v>
      </c>
      <c r="AK1687">
        <v>8.9758220543854392</v>
      </c>
      <c r="AL1687">
        <v>94.107564871128901</v>
      </c>
      <c r="AM1687">
        <v>67.584717698546697</v>
      </c>
      <c r="AN1687">
        <v>1.00000003183771</v>
      </c>
    </row>
    <row r="1688" spans="1:40" x14ac:dyDescent="0.25">
      <c r="A1688" t="str">
        <f>"20190303154128007"</f>
        <v>20190303154128007</v>
      </c>
      <c r="B1688" t="str">
        <f>"1551598888001158"</f>
        <v>1551598888001158</v>
      </c>
      <c r="C1688" t="s">
        <v>40</v>
      </c>
      <c r="D1688">
        <v>6.2881850000000004</v>
      </c>
      <c r="E1688">
        <v>0.6346676</v>
      </c>
      <c r="F1688" t="s">
        <v>44</v>
      </c>
      <c r="G1688">
        <v>-197.5641</v>
      </c>
      <c r="H1688" s="1">
        <v>-5.8609979999999998E-6</v>
      </c>
      <c r="I1688">
        <v>357.78500000000003</v>
      </c>
      <c r="J1688">
        <v>-201.51419999999999</v>
      </c>
      <c r="K1688">
        <v>1.1183209999999999</v>
      </c>
      <c r="L1688">
        <v>365.4812</v>
      </c>
      <c r="M1688">
        <v>0.9379537</v>
      </c>
      <c r="N1688">
        <v>-1.4183009999999999E-2</v>
      </c>
      <c r="O1688">
        <v>-0.34647050000000001</v>
      </c>
      <c r="P1688">
        <v>0.7278268</v>
      </c>
      <c r="Q1688">
        <v>-8.2440719999999995E-2</v>
      </c>
      <c r="R1688">
        <v>-0.6807879</v>
      </c>
      <c r="S1688">
        <v>1.465622</v>
      </c>
      <c r="T1688">
        <v>-0.40592539999999999</v>
      </c>
      <c r="U1688">
        <v>-2.8070680000000001</v>
      </c>
      <c r="V1688">
        <v>0.3859049</v>
      </c>
      <c r="W1688">
        <v>-7.2190389999999993E-2</v>
      </c>
      <c r="X1688">
        <v>0.91970969999999996</v>
      </c>
      <c r="Y1688">
        <v>0.66769230000000002</v>
      </c>
      <c r="Z1688">
        <v>-1.162324E-2</v>
      </c>
      <c r="AA1688">
        <v>0.74434659999999997</v>
      </c>
      <c r="AB1688">
        <v>15</v>
      </c>
      <c r="AC1688">
        <v>3.9500999999999902</v>
      </c>
      <c r="AD1688">
        <v>-1.1183268609979999</v>
      </c>
      <c r="AE1688">
        <v>-7.69619999999997</v>
      </c>
      <c r="AF1688">
        <v>5.7545038085464597</v>
      </c>
      <c r="AG1688">
        <v>-1.1183268609979999</v>
      </c>
      <c r="AH1688">
        <v>6.26741537361662</v>
      </c>
      <c r="AI1688">
        <v>97.487818657240695</v>
      </c>
      <c r="AJ1688">
        <v>47.443025586736901</v>
      </c>
      <c r="AK1688">
        <v>8.5816935692234608</v>
      </c>
      <c r="AL1688">
        <v>94.139805774146694</v>
      </c>
      <c r="AM1688">
        <v>67.237359010511398</v>
      </c>
      <c r="AN1688">
        <v>0.999999988263226</v>
      </c>
    </row>
    <row r="1689" spans="1:40" x14ac:dyDescent="0.25">
      <c r="A1689" t="str">
        <f>"20190303154128021"</f>
        <v>20190303154128021</v>
      </c>
      <c r="B1689" t="str">
        <f>"1551598888010918"</f>
        <v>1551598888010918</v>
      </c>
      <c r="C1689" t="s">
        <v>40</v>
      </c>
      <c r="D1689">
        <v>6.2943930000000003</v>
      </c>
      <c r="E1689">
        <v>0.63393359999999999</v>
      </c>
      <c r="F1689" t="s">
        <v>44</v>
      </c>
      <c r="G1689">
        <v>-197.59010000000001</v>
      </c>
      <c r="H1689" s="1">
        <v>-5.8694960000000002E-6</v>
      </c>
      <c r="I1689">
        <v>357.79820000000001</v>
      </c>
      <c r="J1689">
        <v>-201.4297</v>
      </c>
      <c r="K1689">
        <v>1.1182939999999999</v>
      </c>
      <c r="L1689">
        <v>365.44470000000001</v>
      </c>
      <c r="M1689">
        <v>0.93646260000000003</v>
      </c>
      <c r="N1689">
        <v>-1.41902E-2</v>
      </c>
      <c r="O1689">
        <v>-0.35048049999999997</v>
      </c>
      <c r="P1689">
        <v>0.72263120000000003</v>
      </c>
      <c r="Q1689">
        <v>-8.2572000000000007E-2</v>
      </c>
      <c r="R1689">
        <v>-0.68628469999999997</v>
      </c>
      <c r="S1689">
        <v>1.439362</v>
      </c>
      <c r="T1689">
        <v>-0.41021059999999998</v>
      </c>
      <c r="U1689">
        <v>-2.8181759999999998</v>
      </c>
      <c r="V1689">
        <v>0.3889338</v>
      </c>
      <c r="W1689">
        <v>-7.2381669999999995E-2</v>
      </c>
      <c r="X1689">
        <v>0.91841790000000001</v>
      </c>
      <c r="Y1689">
        <v>0.67110809999999999</v>
      </c>
      <c r="Z1689">
        <v>-1.1457449999999999E-2</v>
      </c>
      <c r="AA1689">
        <v>0.74127100000000001</v>
      </c>
      <c r="AB1689">
        <v>15</v>
      </c>
      <c r="AC1689">
        <v>3.8395999999999901</v>
      </c>
      <c r="AD1689">
        <v>-1.118299869496</v>
      </c>
      <c r="AE1689">
        <v>-7.6464999999999996</v>
      </c>
      <c r="AF1689">
        <v>5.7178691460984199</v>
      </c>
      <c r="AG1689">
        <v>-1.118299869496</v>
      </c>
      <c r="AH1689">
        <v>6.1708129356079899</v>
      </c>
      <c r="AI1689">
        <v>97.571963927640297</v>
      </c>
      <c r="AJ1689">
        <v>47.181841670194501</v>
      </c>
      <c r="AK1689">
        <v>8.4866692203882899</v>
      </c>
      <c r="AL1689">
        <v>94.150793912586195</v>
      </c>
      <c r="AM1689">
        <v>67.048198270270106</v>
      </c>
      <c r="AN1689">
        <v>1.00000002298741</v>
      </c>
    </row>
    <row r="1690" spans="1:40" x14ac:dyDescent="0.25">
      <c r="A1690" t="str">
        <f>"20190303154128034"</f>
        <v>20190303154128034</v>
      </c>
      <c r="B1690" t="str">
        <f>"1551598888031414"</f>
        <v>1551598888031414</v>
      </c>
      <c r="C1690" t="s">
        <v>40</v>
      </c>
      <c r="D1690">
        <v>6.467759</v>
      </c>
      <c r="E1690">
        <v>0.63265309999999997</v>
      </c>
      <c r="F1690" t="s">
        <v>44</v>
      </c>
      <c r="G1690">
        <v>-197.59299999999999</v>
      </c>
      <c r="H1690" s="1">
        <v>-5.8780829999999998E-6</v>
      </c>
      <c r="I1690">
        <v>357.82260000000002</v>
      </c>
      <c r="J1690">
        <v>-201.35079999999999</v>
      </c>
      <c r="K1690">
        <v>1.118271</v>
      </c>
      <c r="L1690">
        <v>365.41019999999997</v>
      </c>
      <c r="M1690">
        <v>0.93503740000000002</v>
      </c>
      <c r="N1690">
        <v>-1.419687E-2</v>
      </c>
      <c r="O1690">
        <v>-0.35426469999999999</v>
      </c>
      <c r="P1690">
        <v>0.71752329999999998</v>
      </c>
      <c r="Q1690">
        <v>-8.2398589999999994E-2</v>
      </c>
      <c r="R1690">
        <v>-0.69164369999999997</v>
      </c>
      <c r="S1690">
        <v>1.4217219999999999</v>
      </c>
      <c r="T1690">
        <v>-0.4144003</v>
      </c>
      <c r="U1690">
        <v>-2.8244929999999999</v>
      </c>
      <c r="V1690">
        <v>0.39203890000000002</v>
      </c>
      <c r="W1690">
        <v>-7.2266440000000001E-2</v>
      </c>
      <c r="X1690">
        <v>0.91710579999999997</v>
      </c>
      <c r="Y1690">
        <v>0.67241219999999902</v>
      </c>
      <c r="Z1690">
        <v>-1.109341E-2</v>
      </c>
      <c r="AA1690">
        <v>0.74009380000000002</v>
      </c>
      <c r="AB1690">
        <v>15</v>
      </c>
      <c r="AC1690">
        <v>3.7578</v>
      </c>
      <c r="AD1690">
        <v>-1.1182768780829999</v>
      </c>
      <c r="AE1690">
        <v>-7.5875999999999504</v>
      </c>
      <c r="AF1690">
        <v>5.6651963220863104</v>
      </c>
      <c r="AG1690">
        <v>-1.1182768780829999</v>
      </c>
      <c r="AH1690">
        <v>6.09599454111651</v>
      </c>
      <c r="AI1690">
        <v>97.653335570270499</v>
      </c>
      <c r="AJ1690">
        <v>47.097737395138701</v>
      </c>
      <c r="AK1690">
        <v>8.3967935540393999</v>
      </c>
      <c r="AL1690">
        <v>94.144174509539397</v>
      </c>
      <c r="AM1690">
        <v>66.854550871788405</v>
      </c>
      <c r="AN1690">
        <v>0.99999999292856101</v>
      </c>
    </row>
    <row r="1691" spans="1:40" x14ac:dyDescent="0.25">
      <c r="A1691" t="str">
        <f>"20190303154128047"</f>
        <v>20190303154128047</v>
      </c>
      <c r="B1691" t="str">
        <f>"1551598888041174"</f>
        <v>1551598888041174</v>
      </c>
      <c r="C1691" t="s">
        <v>40</v>
      </c>
      <c r="D1691">
        <v>6.2895159999999999</v>
      </c>
      <c r="E1691">
        <v>0.63196759999999996</v>
      </c>
      <c r="F1691" t="s">
        <v>44</v>
      </c>
      <c r="G1691">
        <v>-197.5626</v>
      </c>
      <c r="H1691" s="1">
        <v>-5.8657340000000001E-6</v>
      </c>
      <c r="I1691">
        <v>357.7998</v>
      </c>
      <c r="J1691">
        <v>-201.27420000000001</v>
      </c>
      <c r="K1691">
        <v>1.1182570000000001</v>
      </c>
      <c r="L1691">
        <v>365.37619999999998</v>
      </c>
      <c r="M1691">
        <v>0.93361769999999999</v>
      </c>
      <c r="N1691">
        <v>-1.4203210000000001E-2</v>
      </c>
      <c r="O1691">
        <v>-0.35798980000000002</v>
      </c>
      <c r="P1691">
        <v>0.71222949999999996</v>
      </c>
      <c r="Q1691">
        <v>-8.2565169999999993E-2</v>
      </c>
      <c r="R1691">
        <v>-0.69707430000000004</v>
      </c>
      <c r="S1691">
        <v>1.4075470000000001</v>
      </c>
      <c r="T1691">
        <v>-0.41551690000000002</v>
      </c>
      <c r="U1691">
        <v>-2.8277890000000001</v>
      </c>
      <c r="V1691">
        <v>0.3953449</v>
      </c>
      <c r="W1691">
        <v>-7.2490600000000002E-2</v>
      </c>
      <c r="X1691">
        <v>0.91566780000000003</v>
      </c>
      <c r="Y1691">
        <v>0.67277600000000004</v>
      </c>
      <c r="Z1691">
        <v>-1.062398E-2</v>
      </c>
      <c r="AA1691">
        <v>0.73976989999999998</v>
      </c>
      <c r="AB1691">
        <v>15</v>
      </c>
      <c r="AC1691">
        <v>3.7115999999999998</v>
      </c>
      <c r="AD1691">
        <v>-1.1182628657339999</v>
      </c>
      <c r="AE1691">
        <v>-7.5763999999999703</v>
      </c>
      <c r="AF1691">
        <v>5.6461285285426204</v>
      </c>
      <c r="AG1691">
        <v>-1.1182628657339999</v>
      </c>
      <c r="AH1691">
        <v>6.0714429816213</v>
      </c>
      <c r="AI1691">
        <v>97.681482578006595</v>
      </c>
      <c r="AJ1691">
        <v>47.078760924494397</v>
      </c>
      <c r="AK1691">
        <v>8.3661041755874095</v>
      </c>
      <c r="AL1691">
        <v>94.157051682242397</v>
      </c>
      <c r="AM1691">
        <v>66.647446825978193</v>
      </c>
      <c r="AN1691">
        <v>0.99999999850060495</v>
      </c>
    </row>
    <row r="1692" spans="1:40" x14ac:dyDescent="0.25">
      <c r="A1692" t="str">
        <f>"20190303154128063"</f>
        <v>20190303154128063</v>
      </c>
      <c r="B1692" t="str">
        <f>"1551598888060694"</f>
        <v>1551598888060694</v>
      </c>
      <c r="C1692" t="s">
        <v>40</v>
      </c>
      <c r="D1692">
        <v>6.2584099999999996</v>
      </c>
      <c r="E1692">
        <v>0.63140790000000002</v>
      </c>
      <c r="F1692" t="s">
        <v>44</v>
      </c>
      <c r="G1692">
        <v>-197.56290000000001</v>
      </c>
      <c r="H1692" s="1">
        <v>-5.8676299999999999E-6</v>
      </c>
      <c r="I1692">
        <v>357.80540000000002</v>
      </c>
      <c r="J1692">
        <v>-201.1711</v>
      </c>
      <c r="K1692">
        <v>1.118233</v>
      </c>
      <c r="L1692">
        <v>365.32979999999998</v>
      </c>
      <c r="M1692">
        <v>0.93165980000000004</v>
      </c>
      <c r="N1692">
        <v>-1.421151E-2</v>
      </c>
      <c r="O1692">
        <v>-0.36305379999999998</v>
      </c>
      <c r="P1692">
        <v>0.70327399999999995</v>
      </c>
      <c r="Q1692">
        <v>-8.2638080000000003E-2</v>
      </c>
      <c r="R1692">
        <v>-0.70609980000000006</v>
      </c>
      <c r="S1692">
        <v>1.389465</v>
      </c>
      <c r="T1692">
        <v>-0.41866209999999998</v>
      </c>
      <c r="U1692">
        <v>-2.8344119999999999</v>
      </c>
      <c r="V1692">
        <v>0.40202909999999997</v>
      </c>
      <c r="W1692">
        <v>-7.2669979999999995E-2</v>
      </c>
      <c r="X1692">
        <v>0.91273859999999996</v>
      </c>
      <c r="Y1692">
        <v>0.67322740000000003</v>
      </c>
      <c r="Z1692">
        <v>-9.9721250000000001E-3</v>
      </c>
      <c r="AA1692">
        <v>0.73936820000000003</v>
      </c>
      <c r="AB1692">
        <v>15</v>
      </c>
      <c r="AC1692">
        <v>3.6081999999999801</v>
      </c>
      <c r="AD1692">
        <v>-1.1182388676299999</v>
      </c>
      <c r="AE1692">
        <v>-7.5243999999999502</v>
      </c>
      <c r="AF1692">
        <v>5.6002219806533002</v>
      </c>
      <c r="AG1692">
        <v>-1.1182388676299999</v>
      </c>
      <c r="AH1692">
        <v>5.9864920073169996</v>
      </c>
      <c r="AI1692">
        <v>97.767807287358096</v>
      </c>
      <c r="AJ1692">
        <v>46.909380770013897</v>
      </c>
      <c r="AK1692">
        <v>8.2735138213059898</v>
      </c>
      <c r="AL1692">
        <v>94.167356414446601</v>
      </c>
      <c r="AM1692">
        <v>66.228204336748803</v>
      </c>
      <c r="AN1692">
        <v>1.00000003758498</v>
      </c>
    </row>
    <row r="1693" spans="1:40" x14ac:dyDescent="0.25">
      <c r="A1693" t="str">
        <f>"20190303154128077"</f>
        <v>20190303154128077</v>
      </c>
      <c r="B1693" t="str">
        <f>"1551598888071430"</f>
        <v>1551598888071430</v>
      </c>
      <c r="C1693" t="s">
        <v>40</v>
      </c>
      <c r="D1693">
        <v>6.2567180000000002</v>
      </c>
      <c r="E1693">
        <v>0.63073409999999996</v>
      </c>
      <c r="F1693" t="s">
        <v>44</v>
      </c>
      <c r="G1693">
        <v>-197.5549</v>
      </c>
      <c r="H1693" s="1">
        <v>-5.8424390000000002E-6</v>
      </c>
      <c r="I1693">
        <v>357.73390000000001</v>
      </c>
      <c r="J1693">
        <v>-201.08869999999999</v>
      </c>
      <c r="K1693">
        <v>1.1182219999999901</v>
      </c>
      <c r="L1693">
        <v>365.29219999999998</v>
      </c>
      <c r="M1693">
        <v>0.93005839999999995</v>
      </c>
      <c r="N1693">
        <v>-1.421792E-2</v>
      </c>
      <c r="O1693">
        <v>-0.36713689999999999</v>
      </c>
      <c r="P1693">
        <v>0.69761189999999995</v>
      </c>
      <c r="Q1693">
        <v>-8.3020559999999993E-2</v>
      </c>
      <c r="R1693">
        <v>-0.71165019999999901</v>
      </c>
      <c r="S1693">
        <v>1.3562160000000001</v>
      </c>
      <c r="T1693">
        <v>-0.41938249999999999</v>
      </c>
      <c r="U1693">
        <v>-2.8487550000000001</v>
      </c>
      <c r="V1693">
        <v>0.40526200000000001</v>
      </c>
      <c r="W1693">
        <v>-7.3107779999999997E-2</v>
      </c>
      <c r="X1693">
        <v>0.91127279999999999</v>
      </c>
      <c r="Y1693">
        <v>0.67839749999999999</v>
      </c>
      <c r="Z1693">
        <v>-9.9533269999999997E-3</v>
      </c>
      <c r="AA1693">
        <v>0.73462759999999905</v>
      </c>
      <c r="AB1693">
        <v>15</v>
      </c>
      <c r="AC1693">
        <v>3.5337999999999798</v>
      </c>
      <c r="AD1693">
        <v>-1.11822784243899</v>
      </c>
      <c r="AE1693">
        <v>-7.5582999999999698</v>
      </c>
      <c r="AF1693">
        <v>5.6316944184180597</v>
      </c>
      <c r="AG1693">
        <v>-1.11822784243899</v>
      </c>
      <c r="AH1693">
        <v>5.9552157607565901</v>
      </c>
      <c r="AI1693">
        <v>97.768873450969593</v>
      </c>
      <c r="AJ1693">
        <v>46.599355866498399</v>
      </c>
      <c r="AK1693">
        <v>8.2723038077195099</v>
      </c>
      <c r="AL1693">
        <v>94.192507244222</v>
      </c>
      <c r="AM1693">
        <v>66.024288523168494</v>
      </c>
      <c r="AN1693">
        <v>1.0000000760801799</v>
      </c>
    </row>
    <row r="1694" spans="1:40" x14ac:dyDescent="0.25">
      <c r="A1694" t="str">
        <f>"20190303154128088"</f>
        <v>20190303154128088</v>
      </c>
      <c r="B1694" t="str">
        <f>"1551598888081190"</f>
        <v>1551598888081190</v>
      </c>
      <c r="C1694" t="s">
        <v>40</v>
      </c>
      <c r="D1694">
        <v>6.2193909999999999</v>
      </c>
      <c r="E1694">
        <v>0.63018409999999903</v>
      </c>
      <c r="F1694" t="s">
        <v>44</v>
      </c>
      <c r="G1694">
        <v>-197.53620000000001</v>
      </c>
      <c r="H1694" s="1">
        <v>-5.8305670000000003E-6</v>
      </c>
      <c r="I1694">
        <v>357.70710000000003</v>
      </c>
      <c r="J1694">
        <v>-201.01339999999999</v>
      </c>
      <c r="K1694">
        <v>1.118212</v>
      </c>
      <c r="L1694">
        <v>365.25740000000002</v>
      </c>
      <c r="M1694">
        <v>0.92855940000000003</v>
      </c>
      <c r="N1694">
        <v>-1.4223400000000001E-2</v>
      </c>
      <c r="O1694">
        <v>-0.3709113</v>
      </c>
      <c r="P1694">
        <v>0.6921041</v>
      </c>
      <c r="Q1694">
        <v>-8.3229220000000007E-2</v>
      </c>
      <c r="R1694">
        <v>-0.71698300000000004</v>
      </c>
      <c r="S1694">
        <v>1.3373409999999999</v>
      </c>
      <c r="T1694">
        <v>-0.42095949999999999</v>
      </c>
      <c r="U1694">
        <v>-2.8554379999999999</v>
      </c>
      <c r="V1694">
        <v>0.40855370000000002</v>
      </c>
      <c r="W1694">
        <v>-7.3368569999999994E-2</v>
      </c>
      <c r="X1694">
        <v>0.9097807</v>
      </c>
      <c r="Y1694">
        <v>0.68003409999999997</v>
      </c>
      <c r="Z1694">
        <v>-9.5960200000000002E-3</v>
      </c>
      <c r="AA1694">
        <v>0.73311769999999998</v>
      </c>
      <c r="AB1694">
        <v>15</v>
      </c>
      <c r="AC1694">
        <v>3.4771999999999799</v>
      </c>
      <c r="AD1694">
        <v>-1.1182178305670001</v>
      </c>
      <c r="AE1694">
        <v>-7.5502999999999902</v>
      </c>
      <c r="AF1694">
        <v>5.6200463538413601</v>
      </c>
      <c r="AG1694">
        <v>-1.1182178305670001</v>
      </c>
      <c r="AH1694">
        <v>5.9227095276231596</v>
      </c>
      <c r="AI1694">
        <v>97.798511912941606</v>
      </c>
      <c r="AJ1694">
        <v>46.502011303393203</v>
      </c>
      <c r="AK1694">
        <v>8.2409841817905303</v>
      </c>
      <c r="AL1694">
        <v>94.207489976363107</v>
      </c>
      <c r="AM1694">
        <v>65.816661618964702</v>
      </c>
      <c r="AN1694">
        <v>0.999999997470012</v>
      </c>
    </row>
    <row r="1695" spans="1:40" x14ac:dyDescent="0.25">
      <c r="A1695" t="str">
        <f>"20190303154128102"</f>
        <v>20190303154128102</v>
      </c>
      <c r="B1695" t="str">
        <f>"1551598888090950"</f>
        <v>1551598888090950</v>
      </c>
      <c r="C1695" t="s">
        <v>40</v>
      </c>
      <c r="D1695">
        <v>6.2022879999999896</v>
      </c>
      <c r="E1695">
        <v>0.63018409999999903</v>
      </c>
      <c r="F1695" t="s">
        <v>44</v>
      </c>
      <c r="G1695">
        <v>-197.5001</v>
      </c>
      <c r="H1695" s="1">
        <v>-5.79928E-6</v>
      </c>
      <c r="I1695">
        <v>357.63049999999998</v>
      </c>
      <c r="J1695">
        <v>-200.9393</v>
      </c>
      <c r="K1695">
        <v>1.1182049999999999</v>
      </c>
      <c r="L1695">
        <v>365.22269999999997</v>
      </c>
      <c r="M1695">
        <v>0.92705789999999999</v>
      </c>
      <c r="N1695">
        <v>-1.42284E-2</v>
      </c>
      <c r="O1695">
        <v>-0.3746485</v>
      </c>
      <c r="P1695">
        <v>0.68684780000000001</v>
      </c>
      <c r="Q1695">
        <v>-8.3050680000000002E-2</v>
      </c>
      <c r="R1695">
        <v>-0.72204109999999999</v>
      </c>
      <c r="S1695">
        <v>1.318619</v>
      </c>
      <c r="T1695">
        <v>-0.41969109999999998</v>
      </c>
      <c r="U1695">
        <v>-2.862549</v>
      </c>
      <c r="V1695">
        <v>0.41154849999999998</v>
      </c>
      <c r="W1695">
        <v>-7.3235789999999995E-2</v>
      </c>
      <c r="X1695">
        <v>0.90844060000000004</v>
      </c>
      <c r="Y1695">
        <v>0.68174780000000001</v>
      </c>
      <c r="Z1695">
        <v>-9.2561320000000002E-3</v>
      </c>
      <c r="AA1695">
        <v>0.73152869999999903</v>
      </c>
      <c r="AB1695">
        <v>15</v>
      </c>
      <c r="AC1695">
        <v>3.4392</v>
      </c>
      <c r="AD1695">
        <v>-1.1182107992799999</v>
      </c>
      <c r="AE1695">
        <v>-7.5921999999999903</v>
      </c>
      <c r="AF1695">
        <v>5.6488249478893797</v>
      </c>
      <c r="AG1695">
        <v>-1.1182107992799999</v>
      </c>
      <c r="AH1695">
        <v>5.9266784103807302</v>
      </c>
      <c r="AI1695">
        <v>97.777099199911802</v>
      </c>
      <c r="AJ1695">
        <v>46.375039492418097</v>
      </c>
      <c r="AK1695">
        <v>8.2634820544124707</v>
      </c>
      <c r="AL1695">
        <v>94.199861768193102</v>
      </c>
      <c r="AM1695">
        <v>65.628170147337599</v>
      </c>
      <c r="AN1695">
        <v>0.99999998625876696</v>
      </c>
    </row>
    <row r="1696" spans="1:40" x14ac:dyDescent="0.25">
      <c r="A1696" t="str">
        <f>"20190303154128116"</f>
        <v>20190303154128116</v>
      </c>
      <c r="B1696" t="str">
        <f>"1551598888111446"</f>
        <v>1551598888111446</v>
      </c>
      <c r="C1696" t="s">
        <v>40</v>
      </c>
      <c r="D1696">
        <v>6.2280290000000003</v>
      </c>
      <c r="E1696">
        <v>0.61575279999999999</v>
      </c>
      <c r="F1696" t="s">
        <v>44</v>
      </c>
      <c r="G1696">
        <v>-197.46799999999999</v>
      </c>
      <c r="H1696" s="1">
        <v>-5.7624229999999997E-6</v>
      </c>
      <c r="I1696">
        <v>357.53539999999998</v>
      </c>
      <c r="J1696">
        <v>-200.8544</v>
      </c>
      <c r="K1696">
        <v>1.118204</v>
      </c>
      <c r="L1696">
        <v>365.18259999999998</v>
      </c>
      <c r="M1696">
        <v>0.92530630000000003</v>
      </c>
      <c r="N1696">
        <v>-1.42337E-2</v>
      </c>
      <c r="O1696">
        <v>-0.37895319999999999</v>
      </c>
      <c r="P1696">
        <v>0.68112490000000003</v>
      </c>
      <c r="Q1696">
        <v>-8.2939570000000004E-2</v>
      </c>
      <c r="R1696">
        <v>-0.72745439999999995</v>
      </c>
      <c r="S1696">
        <v>1.2972870000000001</v>
      </c>
      <c r="T1696">
        <v>-0.41788550000000002</v>
      </c>
      <c r="U1696">
        <v>-2.872833</v>
      </c>
      <c r="V1696">
        <v>0.41450490000000001</v>
      </c>
      <c r="W1696">
        <v>-7.3168739999999996E-2</v>
      </c>
      <c r="X1696">
        <v>0.90710089999999999</v>
      </c>
      <c r="Y1696">
        <v>0.68387339999999996</v>
      </c>
      <c r="Z1696">
        <v>-8.8845160000000003E-3</v>
      </c>
      <c r="AA1696">
        <v>0.72954669999999999</v>
      </c>
      <c r="AB1696">
        <v>15</v>
      </c>
      <c r="AC1696">
        <v>3.3864000000000001</v>
      </c>
      <c r="AD1696">
        <v>-1.1182097624230001</v>
      </c>
      <c r="AE1696">
        <v>-7.64719999999999</v>
      </c>
      <c r="AF1696">
        <v>5.6915590344295</v>
      </c>
      <c r="AG1696">
        <v>-1.1182097624230001</v>
      </c>
      <c r="AH1696">
        <v>5.9260641156619904</v>
      </c>
      <c r="AI1696">
        <v>97.749884881053006</v>
      </c>
      <c r="AJ1696">
        <v>46.156374833862799</v>
      </c>
      <c r="AK1696">
        <v>8.2923141051283693</v>
      </c>
      <c r="AL1696">
        <v>94.196009653032704</v>
      </c>
      <c r="AM1696">
        <v>65.441700427039805</v>
      </c>
      <c r="AN1696">
        <v>1.000000009709</v>
      </c>
    </row>
    <row r="1697" spans="1:40" x14ac:dyDescent="0.25">
      <c r="A1697" t="str">
        <f>"20190303154128132"</f>
        <v>20190303154128132</v>
      </c>
      <c r="B1697" t="str">
        <f>"1551598888121206"</f>
        <v>1551598888121206</v>
      </c>
      <c r="C1697" t="s">
        <v>40</v>
      </c>
      <c r="D1697">
        <v>6.1770610000000001</v>
      </c>
      <c r="E1697">
        <v>0.61565110000000001</v>
      </c>
      <c r="F1697" t="s">
        <v>44</v>
      </c>
      <c r="G1697">
        <v>-197.3948</v>
      </c>
      <c r="H1697" s="1">
        <v>-5.9184449999999997E-6</v>
      </c>
      <c r="I1697">
        <v>358.03559999999999</v>
      </c>
      <c r="J1697">
        <v>-200.75640000000001</v>
      </c>
      <c r="K1697">
        <v>1.1182080000000001</v>
      </c>
      <c r="L1697">
        <v>365.13549999999998</v>
      </c>
      <c r="M1697">
        <v>0.92323219999999995</v>
      </c>
      <c r="N1697">
        <v>-1.423899E-2</v>
      </c>
      <c r="O1697">
        <v>-0.38397870000000001</v>
      </c>
      <c r="P1697">
        <v>0.67246130000000004</v>
      </c>
      <c r="Q1697">
        <v>-8.2371630000000001E-2</v>
      </c>
      <c r="R1697">
        <v>-0.73553449999999998</v>
      </c>
      <c r="S1697">
        <v>1.356995</v>
      </c>
      <c r="T1697">
        <v>-0.43860969999999999</v>
      </c>
      <c r="U1697">
        <v>-2.803375</v>
      </c>
      <c r="V1697">
        <v>0.42036289999999998</v>
      </c>
      <c r="W1697">
        <v>-7.2684650000000003E-2</v>
      </c>
      <c r="X1697">
        <v>0.90444020000000003</v>
      </c>
      <c r="Y1697">
        <v>0.66008650000000002</v>
      </c>
      <c r="Z1697">
        <v>-5.3852830000000003E-3</v>
      </c>
      <c r="AA1697">
        <v>0.75117040000000002</v>
      </c>
      <c r="AB1697">
        <v>15</v>
      </c>
      <c r="AC1697">
        <v>3.3616000000000001</v>
      </c>
      <c r="AD1697">
        <v>-1.118213918445</v>
      </c>
      <c r="AE1697">
        <v>-7.0998999999999901</v>
      </c>
      <c r="AF1697">
        <v>5.1600493978176099</v>
      </c>
      <c r="AG1697">
        <v>-1.118213918445</v>
      </c>
      <c r="AH1697">
        <v>5.7145452659967599</v>
      </c>
      <c r="AI1697">
        <v>98.263417872280002</v>
      </c>
      <c r="AJ1697">
        <v>47.918985286750399</v>
      </c>
      <c r="AK1697">
        <v>7.7802660463796496</v>
      </c>
      <c r="AL1697">
        <v>94.168199117366598</v>
      </c>
      <c r="AM1697">
        <v>65.072084021096799</v>
      </c>
      <c r="AN1697">
        <v>1.0000000507090301</v>
      </c>
    </row>
    <row r="1698" spans="1:40" x14ac:dyDescent="0.25">
      <c r="A1698" t="str">
        <f>"20190303154128154"</f>
        <v>20190303154128154</v>
      </c>
      <c r="B1698" t="str">
        <f>"1551598888151463"</f>
        <v>1551598888151463</v>
      </c>
      <c r="C1698" t="s">
        <v>40</v>
      </c>
      <c r="D1698">
        <v>6.1616949999999999</v>
      </c>
      <c r="E1698">
        <v>0.61633939999999998</v>
      </c>
      <c r="F1698" t="s">
        <v>44</v>
      </c>
      <c r="G1698">
        <v>-197.3407</v>
      </c>
      <c r="H1698" s="1">
        <v>-5.8523129999999996E-6</v>
      </c>
      <c r="I1698">
        <v>357.86329999999998</v>
      </c>
      <c r="J1698">
        <v>-200.6259</v>
      </c>
      <c r="K1698">
        <v>1.1182019999999999</v>
      </c>
      <c r="L1698">
        <v>365.0718</v>
      </c>
      <c r="M1698">
        <v>0.92039939999999998</v>
      </c>
      <c r="N1698">
        <v>-1.42451E-2</v>
      </c>
      <c r="O1698">
        <v>-0.39072030000000002</v>
      </c>
      <c r="P1698">
        <v>0.66189100000000001</v>
      </c>
      <c r="Q1698">
        <v>-8.16056E-2</v>
      </c>
      <c r="R1698">
        <v>-0.74514539999999996</v>
      </c>
      <c r="S1698">
        <v>1.324265</v>
      </c>
      <c r="T1698">
        <v>-0.43353580000000003</v>
      </c>
      <c r="U1698">
        <v>-2.819458</v>
      </c>
      <c r="V1698">
        <v>0.4267263</v>
      </c>
      <c r="W1698">
        <v>-7.2009470000000006E-2</v>
      </c>
      <c r="X1698">
        <v>0.90150949999999996</v>
      </c>
      <c r="Y1698">
        <v>0.66346400000000005</v>
      </c>
      <c r="Z1698">
        <v>-4.8081729999999998E-3</v>
      </c>
      <c r="AA1698">
        <v>0.74819279999999999</v>
      </c>
      <c r="AB1698">
        <v>15</v>
      </c>
      <c r="AC1698">
        <v>3.2852000000000001</v>
      </c>
      <c r="AD1698">
        <v>-1.1182078523129999</v>
      </c>
      <c r="AE1698">
        <v>-7.2085000000000097</v>
      </c>
      <c r="AF1698">
        <v>5.2470988293568102</v>
      </c>
      <c r="AG1698">
        <v>-1.1182078523129999</v>
      </c>
      <c r="AH1698">
        <v>5.7266911856031903</v>
      </c>
      <c r="AI1698">
        <v>98.192477616703599</v>
      </c>
      <c r="AJ1698">
        <v>47.502430176842097</v>
      </c>
      <c r="AK1698">
        <v>7.8471285742797301</v>
      </c>
      <c r="AL1698">
        <v>94.129412564109998</v>
      </c>
      <c r="AM1698">
        <v>64.669633036973806</v>
      </c>
      <c r="AN1698">
        <v>1.0000000387357999</v>
      </c>
    </row>
    <row r="1699" spans="1:40" x14ac:dyDescent="0.25">
      <c r="A1699" t="str">
        <f>"20190303154128168"</f>
        <v>20190303154128168</v>
      </c>
      <c r="B1699" t="str">
        <f>"1551598888161222"</f>
        <v>1551598888161222</v>
      </c>
      <c r="C1699" t="s">
        <v>40</v>
      </c>
      <c r="D1699">
        <v>6.1685949999999998</v>
      </c>
      <c r="E1699">
        <v>0.61645220000000001</v>
      </c>
      <c r="F1699" t="s">
        <v>44</v>
      </c>
      <c r="G1699">
        <v>-197.25739999999999</v>
      </c>
      <c r="H1699" s="1">
        <v>-5.7482189999999998E-6</v>
      </c>
      <c r="I1699">
        <v>357.59120000000001</v>
      </c>
      <c r="J1699">
        <v>-200.54349999999999</v>
      </c>
      <c r="K1699">
        <v>1.1181970000000001</v>
      </c>
      <c r="L1699">
        <v>365.0308</v>
      </c>
      <c r="M1699">
        <v>0.91855620000000004</v>
      </c>
      <c r="N1699">
        <v>-1.4248820000000001E-2</v>
      </c>
      <c r="O1699">
        <v>-0.39503369999999999</v>
      </c>
      <c r="P1699">
        <v>0.65555450000000004</v>
      </c>
      <c r="Q1699">
        <v>-8.1286499999999998E-2</v>
      </c>
      <c r="R1699">
        <v>-0.75076030000000005</v>
      </c>
      <c r="S1699">
        <v>1.2799990000000001</v>
      </c>
      <c r="T1699">
        <v>-0.42490610000000001</v>
      </c>
      <c r="U1699">
        <v>-2.8425600000000002</v>
      </c>
      <c r="V1699">
        <v>0.43015989999999998</v>
      </c>
      <c r="W1699">
        <v>-7.1743310000000005E-2</v>
      </c>
      <c r="X1699">
        <v>0.89989739999999996</v>
      </c>
      <c r="Y1699">
        <v>0.67193619999999898</v>
      </c>
      <c r="Z1699">
        <v>-5.1988620000000003E-3</v>
      </c>
      <c r="AA1699">
        <v>0.74059079999999999</v>
      </c>
      <c r="AB1699">
        <v>15</v>
      </c>
      <c r="AC1699">
        <v>3.2860999999999998</v>
      </c>
      <c r="AD1699">
        <v>-1.11820274821899</v>
      </c>
      <c r="AE1699">
        <v>-7.43959999999998</v>
      </c>
      <c r="AF1699">
        <v>5.4334226501366203</v>
      </c>
      <c r="AG1699">
        <v>-1.11820274821899</v>
      </c>
      <c r="AH1699">
        <v>5.8474291479056903</v>
      </c>
      <c r="AI1699">
        <v>97.9745635739053</v>
      </c>
      <c r="AJ1699">
        <v>47.101807939183097</v>
      </c>
      <c r="AK1699">
        <v>8.0600798210017306</v>
      </c>
      <c r="AL1699">
        <v>94.114123390750194</v>
      </c>
      <c r="AM1699">
        <v>64.451736916957302</v>
      </c>
      <c r="AN1699">
        <v>0.99999998631226295</v>
      </c>
    </row>
    <row r="1700" spans="1:40" x14ac:dyDescent="0.25">
      <c r="A1700" t="str">
        <f>"20190303154128182"</f>
        <v>20190303154128182</v>
      </c>
      <c r="B1700" t="str">
        <f>"1551598888170982"</f>
        <v>1551598888170982</v>
      </c>
      <c r="C1700" t="s">
        <v>40</v>
      </c>
      <c r="D1700">
        <v>6.0963710000000004</v>
      </c>
      <c r="E1700">
        <v>0.61656560000000005</v>
      </c>
      <c r="F1700" t="s">
        <v>44</v>
      </c>
      <c r="G1700">
        <v>-197.23169999999999</v>
      </c>
      <c r="H1700" s="1">
        <v>-5.7142019999999999E-6</v>
      </c>
      <c r="I1700">
        <v>357.5016</v>
      </c>
      <c r="J1700">
        <v>-200.46010000000001</v>
      </c>
      <c r="K1700">
        <v>1.118185</v>
      </c>
      <c r="L1700">
        <v>364.98880000000003</v>
      </c>
      <c r="M1700">
        <v>0.91665390000000002</v>
      </c>
      <c r="N1700">
        <v>-1.425293E-2</v>
      </c>
      <c r="O1700">
        <v>-0.39942810000000001</v>
      </c>
      <c r="P1700">
        <v>0.64881199999999895</v>
      </c>
      <c r="Q1700">
        <v>-8.0766989999999997E-2</v>
      </c>
      <c r="R1700">
        <v>-0.75665059999999995</v>
      </c>
      <c r="S1700">
        <v>1.255325</v>
      </c>
      <c r="T1700">
        <v>-0.4238497</v>
      </c>
      <c r="U1700">
        <v>-2.8539119999999998</v>
      </c>
      <c r="V1700">
        <v>0.43394579999999999</v>
      </c>
      <c r="W1700">
        <v>-7.1285260000000003E-2</v>
      </c>
      <c r="X1700">
        <v>0.89811439999999998</v>
      </c>
      <c r="Y1700">
        <v>0.67484889999999997</v>
      </c>
      <c r="Z1700">
        <v>-4.8841049999999997E-3</v>
      </c>
      <c r="AA1700">
        <v>0.73793969999999998</v>
      </c>
      <c r="AB1700">
        <v>15</v>
      </c>
      <c r="AC1700">
        <v>3.2284000000000201</v>
      </c>
      <c r="AD1700">
        <v>-1.118190714202</v>
      </c>
      <c r="AE1700">
        <v>-7.4872000000000298</v>
      </c>
      <c r="AF1700">
        <v>5.4713197053811804</v>
      </c>
      <c r="AG1700">
        <v>-1.118190714202</v>
      </c>
      <c r="AH1700">
        <v>5.84067721752705</v>
      </c>
      <c r="AI1700">
        <v>97.953904969915001</v>
      </c>
      <c r="AJ1700">
        <v>46.8701481918675</v>
      </c>
      <c r="AK1700">
        <v>8.0807920497411292</v>
      </c>
      <c r="AL1700">
        <v>94.087811589942206</v>
      </c>
      <c r="AM1700">
        <v>64.2113601816597</v>
      </c>
      <c r="AN1700">
        <v>1.00000001055913</v>
      </c>
    </row>
    <row r="1701" spans="1:40" x14ac:dyDescent="0.25">
      <c r="A1701" t="str">
        <f>"20190303154128199"</f>
        <v>20190303154128199</v>
      </c>
      <c r="B1701" t="str">
        <f>"1551598888191478"</f>
        <v>1551598888191478</v>
      </c>
      <c r="C1701" t="s">
        <v>40</v>
      </c>
      <c r="D1701">
        <v>5.966717</v>
      </c>
      <c r="E1701">
        <v>0.61602139999999905</v>
      </c>
      <c r="F1701" t="s">
        <v>44</v>
      </c>
      <c r="G1701">
        <v>-197.19730000000001</v>
      </c>
      <c r="H1701" s="1">
        <v>-5.6687730000000001E-6</v>
      </c>
      <c r="I1701">
        <v>357.38189999999997</v>
      </c>
      <c r="J1701">
        <v>-200.36009999999999</v>
      </c>
      <c r="K1701">
        <v>1.1181730000000001</v>
      </c>
      <c r="L1701">
        <v>364.93779999999998</v>
      </c>
      <c r="M1701">
        <v>0.91431790000000002</v>
      </c>
      <c r="N1701">
        <v>-1.425854E-2</v>
      </c>
      <c r="O1701">
        <v>-0.40474599999999999</v>
      </c>
      <c r="P1701">
        <v>0.63769200000000004</v>
      </c>
      <c r="Q1701">
        <v>-8.0529519999999993E-2</v>
      </c>
      <c r="R1701">
        <v>-0.76607049999999999</v>
      </c>
      <c r="S1701">
        <v>1.2292179999999999</v>
      </c>
      <c r="T1701">
        <v>-0.42127049999999999</v>
      </c>
      <c r="U1701">
        <v>-2.8658450000000002</v>
      </c>
      <c r="V1701">
        <v>0.44184059999999997</v>
      </c>
      <c r="W1701">
        <v>-7.1177519999999994E-2</v>
      </c>
      <c r="X1701">
        <v>0.89426539999999999</v>
      </c>
      <c r="Y1701">
        <v>0.67739609999999995</v>
      </c>
      <c r="Z1701">
        <v>-4.4203619999999997E-3</v>
      </c>
      <c r="AA1701">
        <v>0.73560519999999996</v>
      </c>
      <c r="AB1701">
        <v>14</v>
      </c>
      <c r="AC1701">
        <v>3.1627999999999701</v>
      </c>
      <c r="AD1701">
        <v>-1.11817866877299</v>
      </c>
      <c r="AE1701">
        <v>-7.5559000000000003</v>
      </c>
      <c r="AF1701">
        <v>5.5259595712673901</v>
      </c>
      <c r="AG1701">
        <v>-1.11817866877299</v>
      </c>
      <c r="AH1701">
        <v>5.8417681438007296</v>
      </c>
      <c r="AI1701">
        <v>97.916471059414107</v>
      </c>
      <c r="AJ1701">
        <v>46.591333455778503</v>
      </c>
      <c r="AK1701">
        <v>8.1186703199788699</v>
      </c>
      <c r="AL1701">
        <v>94.081622945434205</v>
      </c>
      <c r="AM1701">
        <v>63.706843197727103</v>
      </c>
      <c r="AN1701">
        <v>0.99999998039943505</v>
      </c>
    </row>
    <row r="1702" spans="1:40" x14ac:dyDescent="0.25">
      <c r="A1702" t="str">
        <f>"20190303154128221"</f>
        <v>20190303154128221</v>
      </c>
      <c r="B1702" t="str">
        <f>"1551598888210998"</f>
        <v>1551598888210998</v>
      </c>
      <c r="C1702" t="s">
        <v>40</v>
      </c>
      <c r="D1702">
        <v>6.16974</v>
      </c>
      <c r="E1702">
        <v>0.61513960000000001</v>
      </c>
      <c r="F1702" t="s">
        <v>44</v>
      </c>
      <c r="G1702">
        <v>-197.20590000000001</v>
      </c>
      <c r="H1702" s="1">
        <v>-5.6446969999999996E-6</v>
      </c>
      <c r="I1702">
        <v>357.30599999999998</v>
      </c>
      <c r="J1702">
        <v>-200.22970000000001</v>
      </c>
      <c r="K1702">
        <v>1.1181380000000001</v>
      </c>
      <c r="L1702">
        <v>364.86989999999997</v>
      </c>
      <c r="M1702">
        <v>0.91117099999999995</v>
      </c>
      <c r="N1702">
        <v>-1.426732E-2</v>
      </c>
      <c r="O1702">
        <v>-0.41178150000000002</v>
      </c>
      <c r="P1702">
        <v>0.62409440000000005</v>
      </c>
      <c r="Q1702">
        <v>-8.1262139999999997E-2</v>
      </c>
      <c r="R1702">
        <v>-0.77711189999999997</v>
      </c>
      <c r="S1702">
        <v>1.1905669999999999</v>
      </c>
      <c r="T1702">
        <v>-0.42205500000000001</v>
      </c>
      <c r="U1702">
        <v>-2.8806150000000001</v>
      </c>
      <c r="V1702">
        <v>0.4505921</v>
      </c>
      <c r="W1702">
        <v>-7.20692E-2</v>
      </c>
      <c r="X1702">
        <v>0.88981619999999995</v>
      </c>
      <c r="Y1702">
        <v>0.68146399999999996</v>
      </c>
      <c r="Z1702">
        <v>-3.8143769999999999E-3</v>
      </c>
      <c r="AA1702">
        <v>0.73184169999999904</v>
      </c>
      <c r="AB1702">
        <v>14</v>
      </c>
      <c r="AC1702">
        <v>3.0237999999999898</v>
      </c>
      <c r="AD1702">
        <v>-1.1181436446969999</v>
      </c>
      <c r="AE1702">
        <v>-7.5638999999999896</v>
      </c>
      <c r="AF1702">
        <v>5.5429974627826502</v>
      </c>
      <c r="AG1702">
        <v>-1.1181436446969999</v>
      </c>
      <c r="AH1702">
        <v>5.76190709309539</v>
      </c>
      <c r="AI1702">
        <v>97.961213971987704</v>
      </c>
      <c r="AJ1702">
        <v>46.109344223572897</v>
      </c>
      <c r="AK1702">
        <v>8.0730811609975905</v>
      </c>
      <c r="AL1702">
        <v>94.132843750700701</v>
      </c>
      <c r="AM1702">
        <v>63.142900744090099</v>
      </c>
      <c r="AN1702">
        <v>1.0000000399767399</v>
      </c>
    </row>
    <row r="1703" spans="1:40" x14ac:dyDescent="0.25">
      <c r="A1703" t="str">
        <f>"20190303154128237"</f>
        <v>20190303154128237</v>
      </c>
      <c r="B1703" t="str">
        <f>"1551598888231494"</f>
        <v>1551598888231494</v>
      </c>
      <c r="C1703" t="s">
        <v>40</v>
      </c>
      <c r="D1703">
        <v>6.1471650000000002</v>
      </c>
      <c r="E1703">
        <v>0.61663509999999999</v>
      </c>
      <c r="F1703" t="s">
        <v>44</v>
      </c>
      <c r="G1703">
        <v>-197.15260000000001</v>
      </c>
      <c r="H1703" s="1">
        <v>-5.5628569999999996E-6</v>
      </c>
      <c r="I1703">
        <v>357.08629999999999</v>
      </c>
      <c r="J1703">
        <v>-200.14349999999999</v>
      </c>
      <c r="K1703">
        <v>1.118109</v>
      </c>
      <c r="L1703">
        <v>364.8245</v>
      </c>
      <c r="M1703">
        <v>0.90903429999999996</v>
      </c>
      <c r="N1703">
        <v>-1.427369E-2</v>
      </c>
      <c r="O1703">
        <v>-0.41647679999999998</v>
      </c>
      <c r="P1703">
        <v>0.61632679999999995</v>
      </c>
      <c r="Q1703">
        <v>-8.2693199999999994E-2</v>
      </c>
      <c r="R1703">
        <v>-0.78313690000000002</v>
      </c>
      <c r="S1703">
        <v>1.14534</v>
      </c>
      <c r="T1703">
        <v>-0.41619240000000002</v>
      </c>
      <c r="U1703">
        <v>-2.897186</v>
      </c>
      <c r="V1703">
        <v>0.45469779999999999</v>
      </c>
      <c r="W1703">
        <v>-7.3584880000000005E-2</v>
      </c>
      <c r="X1703">
        <v>0.88760079999999997</v>
      </c>
      <c r="Y1703">
        <v>0.68897819999999899</v>
      </c>
      <c r="Z1703">
        <v>-4.0325889999999996E-3</v>
      </c>
      <c r="AA1703">
        <v>0.72477080000000005</v>
      </c>
      <c r="AB1703">
        <v>14</v>
      </c>
      <c r="AC1703">
        <v>2.9908999999999799</v>
      </c>
      <c r="AD1703">
        <v>-1.1181145628569999</v>
      </c>
      <c r="AE1703">
        <v>-7.7382</v>
      </c>
      <c r="AF1703">
        <v>5.6859555650103797</v>
      </c>
      <c r="AG1703">
        <v>-1.1181145628569999</v>
      </c>
      <c r="AH1703">
        <v>5.8362046413753301</v>
      </c>
      <c r="AI1703">
        <v>97.813562776320495</v>
      </c>
      <c r="AJ1703">
        <v>45.747095154393698</v>
      </c>
      <c r="AK1703">
        <v>8.2244486428548207</v>
      </c>
      <c r="AL1703">
        <v>94.219917198906799</v>
      </c>
      <c r="AM1703">
        <v>62.874963787874002</v>
      </c>
      <c r="AN1703">
        <v>1.0000000020250399</v>
      </c>
    </row>
    <row r="1704" spans="1:40" x14ac:dyDescent="0.25">
      <c r="A1704" t="str">
        <f>"20190303154128254"</f>
        <v>20190303154128254</v>
      </c>
      <c r="B1704" t="str">
        <f>"1551598888251014"</f>
        <v>1551598888251014</v>
      </c>
      <c r="C1704" t="s">
        <v>40</v>
      </c>
      <c r="D1704">
        <v>6.2946419999999996</v>
      </c>
      <c r="E1704">
        <v>0.618309</v>
      </c>
      <c r="F1704" t="s">
        <v>44</v>
      </c>
      <c r="G1704">
        <v>-197.20089999999999</v>
      </c>
      <c r="H1704" s="1">
        <v>-5.566631E-6</v>
      </c>
      <c r="I1704">
        <v>357.07510000000002</v>
      </c>
      <c r="J1704">
        <v>-200.03729999999999</v>
      </c>
      <c r="K1704">
        <v>1.118063</v>
      </c>
      <c r="L1704">
        <v>364.76729999999998</v>
      </c>
      <c r="M1704">
        <v>0.90632409999999997</v>
      </c>
      <c r="N1704">
        <v>-1.428216E-2</v>
      </c>
      <c r="O1704">
        <v>-0.42234179999999999</v>
      </c>
      <c r="P1704">
        <v>0.60292690000000004</v>
      </c>
      <c r="Q1704">
        <v>-8.5473339999999995E-2</v>
      </c>
      <c r="R1704">
        <v>-0.79320449999999998</v>
      </c>
      <c r="S1704">
        <v>1.1069180000000001</v>
      </c>
      <c r="T1704">
        <v>-0.42060350000000002</v>
      </c>
      <c r="U1704">
        <v>-2.9150999999999998</v>
      </c>
      <c r="V1704">
        <v>0.4637175</v>
      </c>
      <c r="W1704">
        <v>-7.6533649999999995E-2</v>
      </c>
      <c r="X1704">
        <v>0.88267139999999999</v>
      </c>
      <c r="Y1704">
        <v>0.69404299999999997</v>
      </c>
      <c r="Z1704">
        <v>-3.653646E-3</v>
      </c>
      <c r="AA1704">
        <v>0.71992429999999996</v>
      </c>
      <c r="AB1704">
        <v>14</v>
      </c>
      <c r="AC1704">
        <v>2.83639999999999</v>
      </c>
      <c r="AD1704">
        <v>-1.118068566631</v>
      </c>
      <c r="AE1704">
        <v>-7.69219999999995</v>
      </c>
      <c r="AF1704">
        <v>5.6688547828688698</v>
      </c>
      <c r="AG1704">
        <v>-1.118068566631</v>
      </c>
      <c r="AH1704">
        <v>5.7137635401018203</v>
      </c>
      <c r="AI1704">
        <v>97.908427969861606</v>
      </c>
      <c r="AJ1704">
        <v>45.226052462522603</v>
      </c>
      <c r="AK1704">
        <v>8.1260744311838806</v>
      </c>
      <c r="AL1704">
        <v>94.389347032109399</v>
      </c>
      <c r="AM1704">
        <v>62.284499610490599</v>
      </c>
      <c r="AN1704">
        <v>1.0000000598832599</v>
      </c>
    </row>
    <row r="1705" spans="1:40" x14ac:dyDescent="0.25">
      <c r="A1705" t="str">
        <f>"20190303154128278"</f>
        <v>20190303154128278</v>
      </c>
      <c r="B1705" t="str">
        <f>"1551598888271510"</f>
        <v>1551598888271510</v>
      </c>
      <c r="C1705" t="s">
        <v>40</v>
      </c>
      <c r="D1705">
        <v>6.1271199999999997</v>
      </c>
      <c r="E1705">
        <v>0.61944069999999996</v>
      </c>
      <c r="F1705" t="s">
        <v>44</v>
      </c>
      <c r="G1705">
        <v>-197.2799</v>
      </c>
      <c r="H1705" s="1">
        <v>-5.5592979999999998E-6</v>
      </c>
      <c r="I1705">
        <v>357.01639999999998</v>
      </c>
      <c r="J1705">
        <v>-199.9067</v>
      </c>
      <c r="K1705">
        <v>1.1180190000000001</v>
      </c>
      <c r="L1705">
        <v>364.69569999999999</v>
      </c>
      <c r="M1705">
        <v>0.90287629999999996</v>
      </c>
      <c r="N1705">
        <v>-1.4293119999999999E-2</v>
      </c>
      <c r="O1705">
        <v>-0.42966310000000002</v>
      </c>
      <c r="P1705">
        <v>0.58901009999999998</v>
      </c>
      <c r="Q1705">
        <v>-8.7605749999999996E-2</v>
      </c>
      <c r="R1705">
        <v>-0.8033633</v>
      </c>
      <c r="S1705">
        <v>1.046295</v>
      </c>
      <c r="T1705">
        <v>-0.4242493</v>
      </c>
      <c r="U1705">
        <v>-2.9411010000000002</v>
      </c>
      <c r="V1705">
        <v>0.471696</v>
      </c>
      <c r="W1705">
        <v>-7.882699E-2</v>
      </c>
      <c r="X1705">
        <v>0.87823069999999903</v>
      </c>
      <c r="Y1705">
        <v>0.70325780000000004</v>
      </c>
      <c r="Z1705">
        <v>-3.5248660000000002E-3</v>
      </c>
      <c r="AA1705">
        <v>0.71092619999999995</v>
      </c>
      <c r="AB1705">
        <v>14</v>
      </c>
      <c r="AC1705">
        <v>2.6267999999999998</v>
      </c>
      <c r="AD1705">
        <v>-1.118024559298</v>
      </c>
      <c r="AE1705">
        <v>-7.6793000000000102</v>
      </c>
      <c r="AF1705">
        <v>5.6972994458226802</v>
      </c>
      <c r="AG1705">
        <v>-1.118024559298</v>
      </c>
      <c r="AH1705">
        <v>5.5661430007616399</v>
      </c>
      <c r="AI1705">
        <v>97.990246082935002</v>
      </c>
      <c r="AJ1705">
        <v>44.332853062104803</v>
      </c>
      <c r="AK1705">
        <v>8.0430807403315701</v>
      </c>
      <c r="AL1705">
        <v>94.521144337166703</v>
      </c>
      <c r="AM1705">
        <v>61.759841091693602</v>
      </c>
      <c r="AN1705">
        <v>0.99999998659547495</v>
      </c>
    </row>
    <row r="1706" spans="1:40" x14ac:dyDescent="0.25">
      <c r="A1706" t="str">
        <f>"20190303154128292"</f>
        <v>20190303154128292</v>
      </c>
      <c r="B1706" t="str">
        <f>"1551598888281271"</f>
        <v>1551598888281271</v>
      </c>
      <c r="C1706" t="s">
        <v>40</v>
      </c>
      <c r="D1706">
        <v>6.2219170000000004</v>
      </c>
      <c r="E1706">
        <v>0.6198534</v>
      </c>
      <c r="F1706" t="s">
        <v>44</v>
      </c>
      <c r="G1706">
        <v>-197.32470000000001</v>
      </c>
      <c r="H1706" s="1">
        <v>-5.5432879999999996E-6</v>
      </c>
      <c r="I1706">
        <v>356.94760000000002</v>
      </c>
      <c r="J1706">
        <v>-199.82249999999999</v>
      </c>
      <c r="K1706">
        <v>1.1179939999999999</v>
      </c>
      <c r="L1706">
        <v>364.64870000000002</v>
      </c>
      <c r="M1706">
        <v>0.90057889999999996</v>
      </c>
      <c r="N1706">
        <v>-1.4300820000000001E-2</v>
      </c>
      <c r="O1706">
        <v>-0.4344575</v>
      </c>
      <c r="P1706">
        <v>0.58179219999999998</v>
      </c>
      <c r="Q1706">
        <v>-8.7895790000000001E-2</v>
      </c>
      <c r="R1706">
        <v>-0.80857449999999997</v>
      </c>
      <c r="S1706">
        <v>0.98760990000000004</v>
      </c>
      <c r="T1706">
        <v>-0.4276413</v>
      </c>
      <c r="U1706">
        <v>-2.9636230000000001</v>
      </c>
      <c r="V1706">
        <v>0.47484789999999999</v>
      </c>
      <c r="W1706">
        <v>-7.9190869999999997E-2</v>
      </c>
      <c r="X1706">
        <v>0.87649769999999905</v>
      </c>
      <c r="Y1706">
        <v>0.71356919999999902</v>
      </c>
      <c r="Z1706">
        <v>-3.9084929999999999E-3</v>
      </c>
      <c r="AA1706">
        <v>0.70057389999999997</v>
      </c>
      <c r="AB1706">
        <v>14</v>
      </c>
      <c r="AC1706">
        <v>2.4977999999999798</v>
      </c>
      <c r="AD1706">
        <v>-1.1179995432879899</v>
      </c>
      <c r="AE1706">
        <v>-7.7010999999999896</v>
      </c>
      <c r="AF1706">
        <v>5.7413733511053104</v>
      </c>
      <c r="AG1706">
        <v>-1.1179995432879899</v>
      </c>
      <c r="AH1706">
        <v>5.4911257779658698</v>
      </c>
      <c r="AI1706">
        <v>98.010369442650799</v>
      </c>
      <c r="AJ1706">
        <v>43.723724962893897</v>
      </c>
      <c r="AK1706">
        <v>8.0228270107871396</v>
      </c>
      <c r="AL1706">
        <v>94.542058580661205</v>
      </c>
      <c r="AM1706">
        <v>61.553113584242197</v>
      </c>
      <c r="AN1706">
        <v>0.99999997006552699</v>
      </c>
    </row>
    <row r="1707" spans="1:40" x14ac:dyDescent="0.25">
      <c r="A1707" t="str">
        <f>"20190303154128311"</f>
        <v>20190303154128311</v>
      </c>
      <c r="B1707" t="str">
        <f>"1551598888300794"</f>
        <v>1551598888300794</v>
      </c>
      <c r="C1707" t="s">
        <v>40</v>
      </c>
      <c r="D1707">
        <v>6.2443150000000003</v>
      </c>
      <c r="E1707">
        <v>0.62048539999999996</v>
      </c>
      <c r="F1707" t="s">
        <v>44</v>
      </c>
      <c r="G1707">
        <v>-197.31890000000001</v>
      </c>
      <c r="H1707" s="1">
        <v>-5.519584E-6</v>
      </c>
      <c r="I1707">
        <v>356.87950000000001</v>
      </c>
      <c r="J1707">
        <v>-199.71700000000001</v>
      </c>
      <c r="K1707">
        <v>1.117974</v>
      </c>
      <c r="L1707">
        <v>364.58890000000002</v>
      </c>
      <c r="M1707">
        <v>0.89762430000000004</v>
      </c>
      <c r="N1707">
        <v>-1.4310750000000001E-2</v>
      </c>
      <c r="O1707">
        <v>-0.44052940000000002</v>
      </c>
      <c r="P1707">
        <v>0.57050349999999905</v>
      </c>
      <c r="Q1707">
        <v>-8.7471160000000006E-2</v>
      </c>
      <c r="R1707">
        <v>-0.81662389999999996</v>
      </c>
      <c r="S1707">
        <v>0.9583893</v>
      </c>
      <c r="T1707">
        <v>-0.4279828</v>
      </c>
      <c r="U1707">
        <v>-2.9741209999999998</v>
      </c>
      <c r="V1707">
        <v>0.48112290000000002</v>
      </c>
      <c r="W1707">
        <v>-7.8891080000000002E-2</v>
      </c>
      <c r="X1707">
        <v>0.87309619999999999</v>
      </c>
      <c r="Y1707">
        <v>0.71580919999999904</v>
      </c>
      <c r="Z1707">
        <v>-3.2383609999999999E-3</v>
      </c>
      <c r="AA1707">
        <v>0.69828849999999998</v>
      </c>
      <c r="AB1707">
        <v>14</v>
      </c>
      <c r="AC1707">
        <v>2.3980999999999901</v>
      </c>
      <c r="AD1707">
        <v>-1.1179795195839899</v>
      </c>
      <c r="AE1707">
        <v>-7.7094000000000102</v>
      </c>
      <c r="AF1707">
        <v>5.7539832827991102</v>
      </c>
      <c r="AG1707">
        <v>-1.1179795195839899</v>
      </c>
      <c r="AH1707">
        <v>5.4449750085874902</v>
      </c>
      <c r="AI1707">
        <v>98.032855799645603</v>
      </c>
      <c r="AJ1707">
        <v>43.419462031146097</v>
      </c>
      <c r="AK1707">
        <v>8.0003721581613494</v>
      </c>
      <c r="AL1707">
        <v>94.524827784802</v>
      </c>
      <c r="AM1707">
        <v>61.142875156062097</v>
      </c>
      <c r="AN1707">
        <v>1.0000000109311999</v>
      </c>
    </row>
    <row r="1708" spans="1:40" x14ac:dyDescent="0.25">
      <c r="A1708" t="str">
        <f>"20190303154128337"</f>
        <v>20190303154128337</v>
      </c>
      <c r="B1708" t="str">
        <f>"1551598888331046"</f>
        <v>1551598888331046</v>
      </c>
      <c r="C1708" t="s">
        <v>40</v>
      </c>
      <c r="D1708">
        <v>6.0984999999999996</v>
      </c>
      <c r="E1708">
        <v>0.62032159999999903</v>
      </c>
      <c r="F1708" t="s">
        <v>44</v>
      </c>
      <c r="G1708">
        <v>-197.32749999999999</v>
      </c>
      <c r="H1708" s="1">
        <v>-5.4809819999999996E-6</v>
      </c>
      <c r="I1708">
        <v>356.7602</v>
      </c>
      <c r="J1708">
        <v>-199.58009999999999</v>
      </c>
      <c r="K1708">
        <v>1.1179509999999999</v>
      </c>
      <c r="L1708">
        <v>364.50970000000001</v>
      </c>
      <c r="M1708">
        <v>0.89365830000000002</v>
      </c>
      <c r="N1708">
        <v>-1.432376E-2</v>
      </c>
      <c r="O1708">
        <v>-0.44851950000000002</v>
      </c>
      <c r="P1708">
        <v>0.55833900000000003</v>
      </c>
      <c r="Q1708">
        <v>-8.7698819999999997E-2</v>
      </c>
      <c r="R1708">
        <v>-0.82496460000000005</v>
      </c>
      <c r="S1708">
        <v>0.91273499999999996</v>
      </c>
      <c r="T1708">
        <v>-0.42702649999999998</v>
      </c>
      <c r="U1708">
        <v>-2.990265</v>
      </c>
      <c r="V1708">
        <v>0.48622789999999999</v>
      </c>
      <c r="W1708">
        <v>-7.9227259999999994E-2</v>
      </c>
      <c r="X1708">
        <v>0.87023300000000003</v>
      </c>
      <c r="Y1708">
        <v>0.72039500000000001</v>
      </c>
      <c r="Z1708">
        <v>-2.56975E-3</v>
      </c>
      <c r="AA1708">
        <v>0.69355929999999999</v>
      </c>
      <c r="AB1708">
        <v>14</v>
      </c>
      <c r="AC1708">
        <v>2.2526000000000002</v>
      </c>
      <c r="AD1708">
        <v>-1.117956480982</v>
      </c>
      <c r="AE1708">
        <v>-7.74950000000001</v>
      </c>
      <c r="AF1708">
        <v>5.8042921121271602</v>
      </c>
      <c r="AG1708">
        <v>-1.117956480982</v>
      </c>
      <c r="AH1708">
        <v>5.3860608495179703</v>
      </c>
      <c r="AI1708">
        <v>98.0362710378093</v>
      </c>
      <c r="AJ1708">
        <v>42.859608340821097</v>
      </c>
      <c r="AK1708">
        <v>7.9968296900072602</v>
      </c>
      <c r="AL1708">
        <v>94.544150000922698</v>
      </c>
      <c r="AM1708">
        <v>60.806466460482099</v>
      </c>
      <c r="AN1708">
        <v>1.0000000018772499</v>
      </c>
    </row>
    <row r="1709" spans="1:40" x14ac:dyDescent="0.25">
      <c r="A1709" t="str">
        <f>"20190303154128356"</f>
        <v>20190303154128356</v>
      </c>
      <c r="B1709" t="str">
        <f>"1551598888350566"</f>
        <v>1551598888350566</v>
      </c>
      <c r="C1709" t="s">
        <v>40</v>
      </c>
      <c r="D1709">
        <v>6.074338</v>
      </c>
      <c r="E1709">
        <v>0.62005100000000002</v>
      </c>
      <c r="F1709" t="s">
        <v>44</v>
      </c>
      <c r="G1709">
        <v>-197.24639999999999</v>
      </c>
      <c r="H1709" s="1">
        <v>-5.3659259999999899E-6</v>
      </c>
      <c r="I1709">
        <v>356.45429999999999</v>
      </c>
      <c r="J1709">
        <v>-199.4606</v>
      </c>
      <c r="K1709">
        <v>1.1179349999999999</v>
      </c>
      <c r="L1709">
        <v>364.4391</v>
      </c>
      <c r="M1709">
        <v>0.89007309999999995</v>
      </c>
      <c r="N1709">
        <v>-1.433414E-2</v>
      </c>
      <c r="O1709">
        <v>-0.45559280000000002</v>
      </c>
      <c r="P1709">
        <v>0.54695319999999903</v>
      </c>
      <c r="Q1709">
        <v>-8.8696460000000005E-2</v>
      </c>
      <c r="R1709">
        <v>-0.83245179999999996</v>
      </c>
      <c r="S1709">
        <v>0.87007139999999905</v>
      </c>
      <c r="T1709">
        <v>-0.41681309999999999</v>
      </c>
      <c r="U1709">
        <v>-3.0033569999999998</v>
      </c>
      <c r="V1709">
        <v>0.49116080000000001</v>
      </c>
      <c r="W1709">
        <v>-8.0316929999999995E-2</v>
      </c>
      <c r="X1709">
        <v>0.86735819999999997</v>
      </c>
      <c r="Y1709">
        <v>0.72491090000000002</v>
      </c>
      <c r="Z1709">
        <v>-2.2433029999999999E-3</v>
      </c>
      <c r="AA1709">
        <v>0.68883899999999998</v>
      </c>
      <c r="AB1709">
        <v>14</v>
      </c>
      <c r="AC1709">
        <v>2.2141999999999999</v>
      </c>
      <c r="AD1709">
        <v>-1.1179403659260001</v>
      </c>
      <c r="AE1709">
        <v>-7.9847999999999999</v>
      </c>
      <c r="AF1709">
        <v>5.9898757357134604</v>
      </c>
      <c r="AG1709">
        <v>-1.1179403659260001</v>
      </c>
      <c r="AH1709">
        <v>5.50891542065684</v>
      </c>
      <c r="AI1709">
        <v>97.821943724609298</v>
      </c>
      <c r="AJ1709">
        <v>42.604883651534401</v>
      </c>
      <c r="AK1709">
        <v>8.2144111841936898</v>
      </c>
      <c r="AL1709">
        <v>94.606783136490904</v>
      </c>
      <c r="AM1709">
        <v>60.4783302184861</v>
      </c>
      <c r="AN1709">
        <v>0.99999999390425198</v>
      </c>
    </row>
    <row r="1710" spans="1:40" x14ac:dyDescent="0.25">
      <c r="A1710" t="str">
        <f>"20190303154128378"</f>
        <v>20190303154128378</v>
      </c>
      <c r="B1710" t="str">
        <f>"1551598888371074"</f>
        <v>1551598888371074</v>
      </c>
      <c r="C1710" t="s">
        <v>40</v>
      </c>
      <c r="D1710">
        <v>6.0817949999999996</v>
      </c>
      <c r="E1710">
        <v>0.61949949999999998</v>
      </c>
      <c r="F1710" t="s">
        <v>44</v>
      </c>
      <c r="G1710">
        <v>-197.20410000000001</v>
      </c>
      <c r="H1710" s="1">
        <v>-5.2927379999999999E-6</v>
      </c>
      <c r="I1710">
        <v>356.25540000000001</v>
      </c>
      <c r="J1710">
        <v>-199.33789999999999</v>
      </c>
      <c r="K1710">
        <v>1.117931</v>
      </c>
      <c r="L1710">
        <v>364.36509999999998</v>
      </c>
      <c r="M1710">
        <v>0.88628009999999902</v>
      </c>
      <c r="N1710">
        <v>-1.4342199999999999E-2</v>
      </c>
      <c r="O1710">
        <v>-0.4629277</v>
      </c>
      <c r="P1710">
        <v>0.53544499999999995</v>
      </c>
      <c r="Q1710">
        <v>-8.8595569999999998E-2</v>
      </c>
      <c r="R1710">
        <v>-0.8399105</v>
      </c>
      <c r="S1710">
        <v>0.83100889999999905</v>
      </c>
      <c r="T1710">
        <v>-0.41172239999999999</v>
      </c>
      <c r="U1710">
        <v>-3.0139770000000001</v>
      </c>
      <c r="V1710">
        <v>0.49593029999999999</v>
      </c>
      <c r="W1710">
        <v>-8.0288750000000006E-2</v>
      </c>
      <c r="X1710">
        <v>0.86464259999999904</v>
      </c>
      <c r="Y1710">
        <v>0.72821000000000002</v>
      </c>
      <c r="Z1710">
        <v>-1.6394070000000001E-3</v>
      </c>
      <c r="AA1710">
        <v>0.68535210000000002</v>
      </c>
      <c r="AB1710">
        <v>14</v>
      </c>
      <c r="AC1710">
        <v>2.1337999999999702</v>
      </c>
      <c r="AD1710">
        <v>-1.1179362927380001</v>
      </c>
      <c r="AE1710">
        <v>-8.1096999999999699</v>
      </c>
      <c r="AF1710">
        <v>6.0920359374339697</v>
      </c>
      <c r="AG1710">
        <v>-1.1179362927380001</v>
      </c>
      <c r="AH1710">
        <v>5.5473383509255303</v>
      </c>
      <c r="AI1710">
        <v>97.726910984249201</v>
      </c>
      <c r="AJ1710">
        <v>42.320636052751603</v>
      </c>
      <c r="AK1710">
        <v>8.31478479560697</v>
      </c>
      <c r="AL1710">
        <v>94.605163347677504</v>
      </c>
      <c r="AM1710">
        <v>60.162848431205099</v>
      </c>
      <c r="AN1710">
        <v>0.99999998578470595</v>
      </c>
    </row>
    <row r="1711" spans="1:40" x14ac:dyDescent="0.25">
      <c r="A1711" t="str">
        <f>"20190303154128400"</f>
        <v>20190303154128400</v>
      </c>
      <c r="B1711" t="str">
        <f>"1551598888390586"</f>
        <v>1551598888390586</v>
      </c>
      <c r="C1711" t="s">
        <v>40</v>
      </c>
      <c r="D1711">
        <v>6.0902200000000004</v>
      </c>
      <c r="E1711">
        <v>0.61910129999999997</v>
      </c>
      <c r="F1711" t="s">
        <v>44</v>
      </c>
      <c r="G1711">
        <v>-197.15430000000001</v>
      </c>
      <c r="H1711" s="1">
        <v>-5.214561E-6</v>
      </c>
      <c r="I1711">
        <v>356.04509999999999</v>
      </c>
      <c r="J1711">
        <v>-199.21619999999999</v>
      </c>
      <c r="K1711">
        <v>1.117947</v>
      </c>
      <c r="L1711">
        <v>364.2903</v>
      </c>
      <c r="M1711">
        <v>0.88241650000000005</v>
      </c>
      <c r="N1711">
        <v>-1.4346609999999999E-2</v>
      </c>
      <c r="O1711">
        <v>-0.4702501</v>
      </c>
      <c r="P1711">
        <v>0.52465390000000001</v>
      </c>
      <c r="Q1711">
        <v>-8.8362570000000001E-2</v>
      </c>
      <c r="R1711">
        <v>-0.84671739999999995</v>
      </c>
      <c r="S1711">
        <v>0.79342650000000003</v>
      </c>
      <c r="T1711">
        <v>-0.40621170000000001</v>
      </c>
      <c r="U1711">
        <v>-3.0231629999999998</v>
      </c>
      <c r="V1711">
        <v>0.49985099999999999</v>
      </c>
      <c r="W1711">
        <v>-8.0096239999999999E-2</v>
      </c>
      <c r="X1711">
        <v>0.8623999</v>
      </c>
      <c r="Y1711">
        <v>0.73109429999999997</v>
      </c>
      <c r="Z1711">
        <v>-1.013543E-3</v>
      </c>
      <c r="AA1711">
        <v>0.68227569999999904</v>
      </c>
      <c r="AB1711">
        <v>14</v>
      </c>
      <c r="AC1711">
        <v>2.0618999999999801</v>
      </c>
      <c r="AD1711">
        <v>-1.1179522145609999</v>
      </c>
      <c r="AE1711">
        <v>-8.2452000000000094</v>
      </c>
      <c r="AF1711">
        <v>6.1994770264228896</v>
      </c>
      <c r="AG1711">
        <v>-1.1179522145609999</v>
      </c>
      <c r="AH1711">
        <v>5.6004476292643703</v>
      </c>
      <c r="AI1711">
        <v>97.621675678850195</v>
      </c>
      <c r="AJ1711">
        <v>42.0938443501135</v>
      </c>
      <c r="AK1711">
        <v>8.4290181043416901</v>
      </c>
      <c r="AL1711">
        <v>94.594097593450002</v>
      </c>
      <c r="AM1711">
        <v>59.903219299394699</v>
      </c>
      <c r="AN1711">
        <v>1.0000000086915699</v>
      </c>
    </row>
    <row r="1712" spans="1:40" x14ac:dyDescent="0.25">
      <c r="A1712" t="str">
        <f>"20190303154128422"</f>
        <v>20190303154128422</v>
      </c>
      <c r="B1712" t="str">
        <f>"1551598888420839"</f>
        <v>1551598888420839</v>
      </c>
      <c r="C1712" t="s">
        <v>40</v>
      </c>
      <c r="D1712">
        <v>6.0854999999999997</v>
      </c>
      <c r="E1712">
        <v>0.61841269999999904</v>
      </c>
      <c r="F1712" t="s">
        <v>44</v>
      </c>
      <c r="G1712">
        <v>-197.10759999999999</v>
      </c>
      <c r="H1712" s="1">
        <v>-5.1195540000000001E-6</v>
      </c>
      <c r="I1712">
        <v>355.8571</v>
      </c>
      <c r="J1712">
        <v>-199.0934</v>
      </c>
      <c r="K1712">
        <v>1.1179749999999999</v>
      </c>
      <c r="L1712">
        <v>364.2133</v>
      </c>
      <c r="M1712">
        <v>0.87842609999999999</v>
      </c>
      <c r="N1712">
        <v>-1.4347240000000001E-2</v>
      </c>
      <c r="O1712">
        <v>-0.47766310000000001</v>
      </c>
      <c r="P1712">
        <v>0.51429150000000001</v>
      </c>
      <c r="Q1712">
        <v>-8.8800909999999997E-2</v>
      </c>
      <c r="R1712">
        <v>-0.85300589999999998</v>
      </c>
      <c r="S1712">
        <v>0.75799559999999999</v>
      </c>
      <c r="T1712">
        <v>-0.40187780000000001</v>
      </c>
      <c r="U1712">
        <v>-3.0315249999999998</v>
      </c>
      <c r="V1712">
        <v>0.50305949999999999</v>
      </c>
      <c r="W1712">
        <v>-8.0546489999999998E-2</v>
      </c>
      <c r="X1712">
        <v>0.86049019999999998</v>
      </c>
      <c r="Y1712">
        <v>0.73336859999999904</v>
      </c>
      <c r="Z1712">
        <v>-2.8780100000000002E-4</v>
      </c>
      <c r="AA1712">
        <v>0.67983119999999997</v>
      </c>
      <c r="AB1712">
        <v>14</v>
      </c>
      <c r="AC1712">
        <v>1.98580000000001</v>
      </c>
      <c r="AD1712">
        <v>-1.117980119554</v>
      </c>
      <c r="AE1712">
        <v>-8.3561999999999994</v>
      </c>
      <c r="AF1712">
        <v>6.2859152674732002</v>
      </c>
      <c r="AG1712">
        <v>-1.117980119554</v>
      </c>
      <c r="AH1712">
        <v>5.6408434760762196</v>
      </c>
      <c r="AI1712">
        <v>97.540453433257099</v>
      </c>
      <c r="AJ1712">
        <v>41.904111553673303</v>
      </c>
      <c r="AK1712">
        <v>8.5194909131451197</v>
      </c>
      <c r="AL1712">
        <v>94.619978721499507</v>
      </c>
      <c r="AM1712">
        <v>59.688603620738697</v>
      </c>
      <c r="AN1712">
        <v>0.99999999094380498</v>
      </c>
    </row>
    <row r="1713" spans="1:40" x14ac:dyDescent="0.25">
      <c r="A1713" t="str">
        <f>"20190303154128445"</f>
        <v>20190303154128445</v>
      </c>
      <c r="B1713" t="str">
        <f>"1551598888441334"</f>
        <v>1551598888441334</v>
      </c>
      <c r="C1713" t="s">
        <v>40</v>
      </c>
      <c r="D1713">
        <v>6.0813879999999996</v>
      </c>
      <c r="E1713">
        <v>0.61786739999999996</v>
      </c>
      <c r="F1713" t="s">
        <v>44</v>
      </c>
      <c r="G1713">
        <v>-197.06209999999999</v>
      </c>
      <c r="H1713" s="1">
        <v>-5.0421779999999996E-6</v>
      </c>
      <c r="I1713">
        <v>355.71269999999998</v>
      </c>
      <c r="J1713">
        <v>-198.97470000000001</v>
      </c>
      <c r="K1713">
        <v>1.118009</v>
      </c>
      <c r="L1713">
        <v>364.13760000000002</v>
      </c>
      <c r="M1713">
        <v>0.87448579999999998</v>
      </c>
      <c r="N1713">
        <v>-1.4344279999999999E-2</v>
      </c>
      <c r="O1713">
        <v>-0.48483910000000002</v>
      </c>
      <c r="P1713">
        <v>0.50261389999999995</v>
      </c>
      <c r="Q1713">
        <v>-9.0801960000000001E-2</v>
      </c>
      <c r="R1713">
        <v>-0.85972919999999997</v>
      </c>
      <c r="S1713">
        <v>0.72589110000000001</v>
      </c>
      <c r="T1713">
        <v>-0.39951189999999998</v>
      </c>
      <c r="U1713">
        <v>-3.0377200000000002</v>
      </c>
      <c r="V1713">
        <v>0.50754169999999998</v>
      </c>
      <c r="W1713">
        <v>-8.2572850000000003E-2</v>
      </c>
      <c r="X1713">
        <v>0.85766139999999902</v>
      </c>
      <c r="Y1713">
        <v>0.73496289999999997</v>
      </c>
      <c r="Z1713">
        <v>5.3336099999999999E-4</v>
      </c>
      <c r="AA1713">
        <v>0.67810709999999996</v>
      </c>
      <c r="AB1713">
        <v>14</v>
      </c>
      <c r="AC1713">
        <v>1.9126000000000201</v>
      </c>
      <c r="AD1713">
        <v>-1.118014042178</v>
      </c>
      <c r="AE1713">
        <v>-8.4249000000000294</v>
      </c>
      <c r="AF1713">
        <v>6.3347259124821704</v>
      </c>
      <c r="AG1713">
        <v>-1.118014042178</v>
      </c>
      <c r="AH1713">
        <v>5.6630152382285699</v>
      </c>
      <c r="AI1713">
        <v>97.495802717845805</v>
      </c>
      <c r="AJ1713">
        <v>41.795559241878003</v>
      </c>
      <c r="AK1713">
        <v>8.5702070787810793</v>
      </c>
      <c r="AL1713">
        <v>94.736468833251806</v>
      </c>
      <c r="AM1713">
        <v>59.384057530700801</v>
      </c>
      <c r="AN1713">
        <v>0.99999996492298504</v>
      </c>
    </row>
    <row r="1714" spans="1:40" x14ac:dyDescent="0.25">
      <c r="A1714" t="str">
        <f>"20190303154128459"</f>
        <v>20190303154128459</v>
      </c>
      <c r="B1714" t="str">
        <f>"1551598888451095"</f>
        <v>1551598888451095</v>
      </c>
      <c r="C1714" t="s">
        <v>40</v>
      </c>
      <c r="D1714">
        <v>6.087021</v>
      </c>
      <c r="E1714">
        <v>0.61745469999999902</v>
      </c>
      <c r="F1714" t="s">
        <v>44</v>
      </c>
      <c r="G1714">
        <v>-197.06049999999999</v>
      </c>
      <c r="H1714" s="1">
        <v>-5.0210510000000002E-6</v>
      </c>
      <c r="I1714">
        <v>355.66800000000001</v>
      </c>
      <c r="J1714">
        <v>-198.89599999999999</v>
      </c>
      <c r="K1714">
        <v>1.1180380000000001</v>
      </c>
      <c r="L1714">
        <v>364.08659999999998</v>
      </c>
      <c r="M1714">
        <v>0.87183159999999904</v>
      </c>
      <c r="N1714">
        <v>-1.434088E-2</v>
      </c>
      <c r="O1714">
        <v>-0.48959589999999997</v>
      </c>
      <c r="P1714">
        <v>0.49709229999999999</v>
      </c>
      <c r="Q1714">
        <v>-9.1756519999999994E-2</v>
      </c>
      <c r="R1714">
        <v>-0.86283269999999901</v>
      </c>
      <c r="S1714">
        <v>0.688125599999999</v>
      </c>
      <c r="T1714">
        <v>-0.40191850000000001</v>
      </c>
      <c r="U1714">
        <v>-3.0447389999999999</v>
      </c>
      <c r="V1714">
        <v>0.50827659999999997</v>
      </c>
      <c r="W1714">
        <v>-8.3504770000000006E-2</v>
      </c>
      <c r="X1714">
        <v>0.85713589999999995</v>
      </c>
      <c r="Y1714">
        <v>0.73953549999999901</v>
      </c>
      <c r="Z1714">
        <v>8.2718579999999998E-4</v>
      </c>
      <c r="AA1714">
        <v>0.67311699999999997</v>
      </c>
      <c r="AB1714">
        <v>14</v>
      </c>
      <c r="AC1714">
        <v>1.8354999999999899</v>
      </c>
      <c r="AD1714">
        <v>-1.118043021051</v>
      </c>
      <c r="AE1714">
        <v>-8.4185999999999694</v>
      </c>
      <c r="AF1714">
        <v>6.3349478613449097</v>
      </c>
      <c r="AG1714">
        <v>-1.118043021051</v>
      </c>
      <c r="AH1714">
        <v>5.6277911685876196</v>
      </c>
      <c r="AI1714">
        <v>97.516344249179397</v>
      </c>
      <c r="AJ1714">
        <v>41.616995613000697</v>
      </c>
      <c r="AK1714">
        <v>8.5471409278256392</v>
      </c>
      <c r="AL1714">
        <v>94.790048560960898</v>
      </c>
      <c r="AM1714">
        <v>59.332305859599998</v>
      </c>
      <c r="AN1714">
        <v>1.00000004989456</v>
      </c>
    </row>
    <row r="1715" spans="1:40" x14ac:dyDescent="0.25">
      <c r="A1715" t="str">
        <f>"20190303154128479"</f>
        <v>20190303154128479</v>
      </c>
      <c r="B1715" t="str">
        <f>"1551598888470618"</f>
        <v>1551598888470618</v>
      </c>
      <c r="C1715" t="s">
        <v>40</v>
      </c>
      <c r="D1715">
        <v>6.0512259999999998</v>
      </c>
      <c r="E1715">
        <v>0.61659419999999898</v>
      </c>
      <c r="F1715" t="s">
        <v>44</v>
      </c>
      <c r="G1715">
        <v>-197.04040000000001</v>
      </c>
      <c r="H1715" s="1">
        <v>-5.0145089999999996E-6</v>
      </c>
      <c r="I1715">
        <v>355.66359999999997</v>
      </c>
      <c r="J1715">
        <v>-198.78989999999999</v>
      </c>
      <c r="K1715">
        <v>1.118061</v>
      </c>
      <c r="L1715">
        <v>364.01690000000002</v>
      </c>
      <c r="M1715">
        <v>0.86819690000000005</v>
      </c>
      <c r="N1715">
        <v>-1.433486E-2</v>
      </c>
      <c r="O1715">
        <v>-0.49601279999999998</v>
      </c>
      <c r="P1715">
        <v>0.48914380000000002</v>
      </c>
      <c r="Q1715">
        <v>-9.280368E-2</v>
      </c>
      <c r="R1715">
        <v>-0.86725200000000002</v>
      </c>
      <c r="S1715">
        <v>0.67131039999999997</v>
      </c>
      <c r="T1715">
        <v>-0.40447529999999998</v>
      </c>
      <c r="U1715">
        <v>-3.0472109999999999</v>
      </c>
      <c r="V1715">
        <v>0.50972989999999996</v>
      </c>
      <c r="W1715">
        <v>-8.4532430000000006E-2</v>
      </c>
      <c r="X1715">
        <v>0.85617149999999997</v>
      </c>
      <c r="Y1715">
        <v>0.73824909999999999</v>
      </c>
      <c r="Z1715">
        <v>2.0325410000000001E-3</v>
      </c>
      <c r="AA1715">
        <v>0.67452519999999905</v>
      </c>
      <c r="AB1715">
        <v>14</v>
      </c>
      <c r="AC1715">
        <v>1.7494999999999801</v>
      </c>
      <c r="AD1715">
        <v>-1.118066014509</v>
      </c>
      <c r="AE1715">
        <v>-8.3533000000000399</v>
      </c>
      <c r="AF1715">
        <v>6.2774553398042103</v>
      </c>
      <c r="AG1715">
        <v>-1.118066014509</v>
      </c>
      <c r="AH1715">
        <v>5.5672886325293103</v>
      </c>
      <c r="AI1715">
        <v>97.590130974528805</v>
      </c>
      <c r="AJ1715">
        <v>41.568866010094098</v>
      </c>
      <c r="AK1715">
        <v>8.4647043583297492</v>
      </c>
      <c r="AL1715">
        <v>94.849138459065998</v>
      </c>
      <c r="AM1715">
        <v>59.232141398826897</v>
      </c>
      <c r="AN1715">
        <v>0.999999970043981</v>
      </c>
    </row>
    <row r="1716" spans="1:40" x14ac:dyDescent="0.25">
      <c r="A1716" t="str">
        <f>"20190303154128501"</f>
        <v>20190303154128501</v>
      </c>
      <c r="B1716" t="str">
        <f>"1551598888491110"</f>
        <v>1551598888491110</v>
      </c>
      <c r="C1716" t="s">
        <v>40</v>
      </c>
      <c r="D1716">
        <v>6.1490600000000004</v>
      </c>
      <c r="E1716">
        <v>0.59635930000000004</v>
      </c>
      <c r="F1716" t="s">
        <v>44</v>
      </c>
      <c r="G1716">
        <v>-196.9956</v>
      </c>
      <c r="H1716" s="1">
        <v>-4.9699520000000002E-6</v>
      </c>
      <c r="I1716">
        <v>355.58929999999998</v>
      </c>
      <c r="J1716">
        <v>-198.67230000000001</v>
      </c>
      <c r="K1716">
        <v>1.1180909999999999</v>
      </c>
      <c r="L1716">
        <v>363.9384</v>
      </c>
      <c r="M1716">
        <v>0.86409309999999995</v>
      </c>
      <c r="N1716">
        <v>-1.432753E-2</v>
      </c>
      <c r="O1716">
        <v>-0.50312809999999997</v>
      </c>
      <c r="P1716">
        <v>0.48124420000000001</v>
      </c>
      <c r="Q1716">
        <v>-9.3538819999999995E-2</v>
      </c>
      <c r="R1716">
        <v>-0.87158199999999997</v>
      </c>
      <c r="S1716">
        <v>0.64927669999999904</v>
      </c>
      <c r="T1716">
        <v>-0.40458860000000002</v>
      </c>
      <c r="U1716">
        <v>-3.0496829999999999</v>
      </c>
      <c r="V1716">
        <v>0.51040750000000001</v>
      </c>
      <c r="W1716">
        <v>-8.5244929999999997E-2</v>
      </c>
      <c r="X1716">
        <v>0.85569709999999999</v>
      </c>
      <c r="Y1716">
        <v>0.73752709999999999</v>
      </c>
      <c r="Z1716">
        <v>3.2112080000000001E-3</v>
      </c>
      <c r="AA1716">
        <v>0.67530999999999997</v>
      </c>
      <c r="AB1716">
        <v>14</v>
      </c>
      <c r="AC1716">
        <v>1.6767000000000101</v>
      </c>
      <c r="AD1716">
        <v>-1.1180959699519999</v>
      </c>
      <c r="AE1716">
        <v>-8.3491000000000195</v>
      </c>
      <c r="AF1716">
        <v>6.2634835748703797</v>
      </c>
      <c r="AG1716">
        <v>-1.1180959699519999</v>
      </c>
      <c r="AH1716">
        <v>5.5543215684550296</v>
      </c>
      <c r="AI1716">
        <v>97.607408594551003</v>
      </c>
      <c r="AJ1716">
        <v>41.565916996000503</v>
      </c>
      <c r="AK1716">
        <v>8.4458186800628603</v>
      </c>
      <c r="AL1716">
        <v>94.890109344217905</v>
      </c>
      <c r="AM1716">
        <v>59.184704849344101</v>
      </c>
      <c r="AN1716">
        <v>1.00000002054768</v>
      </c>
    </row>
    <row r="1717" spans="1:40" x14ac:dyDescent="0.25">
      <c r="A1717" t="str">
        <f>"20190303154128525"</f>
        <v>20190303154128525</v>
      </c>
      <c r="B1717" t="str">
        <f>"1551598888521366"</f>
        <v>1551598888521366</v>
      </c>
      <c r="C1717" t="s">
        <v>40</v>
      </c>
      <c r="D1717">
        <v>6.139462</v>
      </c>
      <c r="E1717">
        <v>0.61879629999999997</v>
      </c>
      <c r="F1717" t="s">
        <v>44</v>
      </c>
      <c r="G1717">
        <v>-196.7115</v>
      </c>
      <c r="H1717" s="1">
        <v>-5.222187E-6</v>
      </c>
      <c r="I1717">
        <v>356.27449999999999</v>
      </c>
      <c r="J1717">
        <v>-198.54920000000001</v>
      </c>
      <c r="K1717">
        <v>1.118109</v>
      </c>
      <c r="L1717">
        <v>363.8546</v>
      </c>
      <c r="M1717">
        <v>0.8597013</v>
      </c>
      <c r="N1717">
        <v>-1.432075E-2</v>
      </c>
      <c r="O1717">
        <v>-0.5105963</v>
      </c>
      <c r="P1717">
        <v>0.4745605</v>
      </c>
      <c r="Q1717">
        <v>-9.3162709999999996E-2</v>
      </c>
      <c r="R1717">
        <v>-0.87527840000000001</v>
      </c>
      <c r="S1717">
        <v>0.76118469999999905</v>
      </c>
      <c r="T1717">
        <v>-0.43404100000000001</v>
      </c>
      <c r="U1717">
        <v>-2.975098</v>
      </c>
      <c r="V1717">
        <v>0.5095828</v>
      </c>
      <c r="W1717">
        <v>-8.4840009999999993E-2</v>
      </c>
      <c r="X1717">
        <v>0.85622860000000001</v>
      </c>
      <c r="Y1717">
        <v>0.70332119999999998</v>
      </c>
      <c r="Z1717">
        <v>9.7486380000000004E-3</v>
      </c>
      <c r="AA1717">
        <v>0.71080540000000003</v>
      </c>
      <c r="AB1717">
        <v>14</v>
      </c>
      <c r="AC1717">
        <v>1.8377000000000101</v>
      </c>
      <c r="AD1717">
        <v>-1.118114222187</v>
      </c>
      <c r="AE1717">
        <v>-7.5801000000000096</v>
      </c>
      <c r="AF1717">
        <v>5.4665321847586297</v>
      </c>
      <c r="AG1717">
        <v>-1.118114222187</v>
      </c>
      <c r="AH1717">
        <v>5.3410429824347299</v>
      </c>
      <c r="AI1717">
        <v>98.323311308644506</v>
      </c>
      <c r="AJ1717">
        <v>44.334755626264702</v>
      </c>
      <c r="AK1717">
        <v>7.7239817245429903</v>
      </c>
      <c r="AL1717">
        <v>94.866825195651401</v>
      </c>
      <c r="AM1717">
        <v>59.241089190515503</v>
      </c>
      <c r="AN1717">
        <v>0.99999993640529705</v>
      </c>
    </row>
    <row r="1718" spans="1:40" x14ac:dyDescent="0.25">
      <c r="A1718" t="str">
        <f>"20190303154128547"</f>
        <v>20190303154128547</v>
      </c>
      <c r="B1718" t="str">
        <f>"1551598888540887"</f>
        <v>1551598888540887</v>
      </c>
      <c r="C1718" t="s">
        <v>40</v>
      </c>
      <c r="D1718">
        <v>6.1606050000000003</v>
      </c>
      <c r="E1718">
        <v>0.61851509999999998</v>
      </c>
      <c r="F1718" t="s">
        <v>44</v>
      </c>
      <c r="G1718">
        <v>-196.7115</v>
      </c>
      <c r="H1718" s="1">
        <v>-4.2514929999999999E-6</v>
      </c>
      <c r="I1718">
        <v>354.21319999999997</v>
      </c>
      <c r="J1718">
        <v>-198.434</v>
      </c>
      <c r="K1718">
        <v>1.118109</v>
      </c>
      <c r="L1718">
        <v>363.77480000000003</v>
      </c>
      <c r="M1718">
        <v>0.855491</v>
      </c>
      <c r="N1718">
        <v>-1.4316499999999999E-2</v>
      </c>
      <c r="O1718">
        <v>-0.51761990000000002</v>
      </c>
      <c r="P1718">
        <v>0.46862019999999999</v>
      </c>
      <c r="Q1718">
        <v>-9.3764529999999999E-2</v>
      </c>
      <c r="R1718">
        <v>-0.87840989999999997</v>
      </c>
      <c r="S1718">
        <v>0.58557130000000002</v>
      </c>
      <c r="T1718">
        <v>-0.3562688</v>
      </c>
      <c r="U1718">
        <v>-3.0720830000000001</v>
      </c>
      <c r="V1718">
        <v>0.50831229999999905</v>
      </c>
      <c r="W1718">
        <v>-8.5431119999999999E-2</v>
      </c>
      <c r="X1718">
        <v>0.85692479999999904</v>
      </c>
      <c r="Y1718">
        <v>0.74118629999999996</v>
      </c>
      <c r="Z1718">
        <v>2.8627069999999999E-3</v>
      </c>
      <c r="AA1718">
        <v>0.67129329999999998</v>
      </c>
      <c r="AB1718">
        <v>14</v>
      </c>
      <c r="AC1718">
        <v>1.7225000000000199</v>
      </c>
      <c r="AD1718">
        <v>-1.1181132514929999</v>
      </c>
      <c r="AE1718">
        <v>-9.5616000000000501</v>
      </c>
      <c r="AF1718">
        <v>7.1937305037991397</v>
      </c>
      <c r="AG1718">
        <v>-1.1181132514929999</v>
      </c>
      <c r="AH1718">
        <v>6.3395503992920501</v>
      </c>
      <c r="AI1718">
        <v>96.651199972202306</v>
      </c>
      <c r="AJ1718">
        <v>41.3884529825689</v>
      </c>
      <c r="AK1718">
        <v>9.6534882332563399</v>
      </c>
      <c r="AL1718">
        <v>94.900816445176204</v>
      </c>
      <c r="AM1718">
        <v>59.324348162795602</v>
      </c>
      <c r="AN1718">
        <v>0.999999991725392</v>
      </c>
    </row>
    <row r="1719" spans="1:40" x14ac:dyDescent="0.25">
      <c r="A1719" t="str">
        <f>"20190303154128568"</f>
        <v>20190303154128568</v>
      </c>
      <c r="B1719" t="str">
        <f>"1551598888561383"</f>
        <v>1551598888561383</v>
      </c>
      <c r="C1719" t="s">
        <v>40</v>
      </c>
      <c r="D1719">
        <v>6.1639619999999997</v>
      </c>
      <c r="E1719">
        <v>0.61813839999999998</v>
      </c>
      <c r="F1719" t="s">
        <v>44</v>
      </c>
      <c r="G1719">
        <v>-196.6</v>
      </c>
      <c r="H1719" s="1">
        <v>-4.0354450000000001E-6</v>
      </c>
      <c r="I1719">
        <v>353.83300000000003</v>
      </c>
      <c r="J1719">
        <v>-198.32220000000001</v>
      </c>
      <c r="K1719">
        <v>1.1180909999999999</v>
      </c>
      <c r="L1719">
        <v>363.69589999999999</v>
      </c>
      <c r="M1719">
        <v>0.85129009999999905</v>
      </c>
      <c r="N1719">
        <v>-1.431552E-2</v>
      </c>
      <c r="O1719">
        <v>-0.52450010000000002</v>
      </c>
      <c r="P1719">
        <v>0.46323259999999999</v>
      </c>
      <c r="Q1719">
        <v>-9.3210260000000003E-2</v>
      </c>
      <c r="R1719">
        <v>-0.88132149999999998</v>
      </c>
      <c r="S1719">
        <v>0.56736759999999997</v>
      </c>
      <c r="T1719">
        <v>-0.34590080000000001</v>
      </c>
      <c r="U1719">
        <v>-3.0756230000000002</v>
      </c>
      <c r="V1719">
        <v>0.50670179999999998</v>
      </c>
      <c r="W1719">
        <v>-8.4879899999999994E-2</v>
      </c>
      <c r="X1719">
        <v>0.85793269999999899</v>
      </c>
      <c r="Y1719">
        <v>0.73990009999999995</v>
      </c>
      <c r="Z1719">
        <v>3.4225140000000002E-3</v>
      </c>
      <c r="AA1719">
        <v>0.67270799999999997</v>
      </c>
      <c r="AB1719">
        <v>14</v>
      </c>
      <c r="AC1719">
        <v>1.7222000000000099</v>
      </c>
      <c r="AD1719">
        <v>-1.1180950354450001</v>
      </c>
      <c r="AE1719">
        <v>-9.8628999999999607</v>
      </c>
      <c r="AF1719">
        <v>7.40135947211661</v>
      </c>
      <c r="AG1719">
        <v>-1.1180950354450001</v>
      </c>
      <c r="AH1719">
        <v>6.5580774705020302</v>
      </c>
      <c r="AI1719">
        <v>96.450849970395794</v>
      </c>
      <c r="AJ1719">
        <v>41.542994223511499</v>
      </c>
      <c r="AK1719">
        <v>9.9518158470142204</v>
      </c>
      <c r="AL1719">
        <v>94.869119104687599</v>
      </c>
      <c r="AM1719">
        <v>59.433567083956198</v>
      </c>
      <c r="AN1719">
        <v>0.99999991463826599</v>
      </c>
    </row>
    <row r="1720" spans="1:40" x14ac:dyDescent="0.25">
      <c r="A1720" t="str">
        <f>"20190303154128590"</f>
        <v>20190303154128590</v>
      </c>
      <c r="B1720" t="str">
        <f>"1551598888580906"</f>
        <v>1551598888580906</v>
      </c>
      <c r="C1720" t="s">
        <v>40</v>
      </c>
      <c r="D1720">
        <v>6.1537540000000002</v>
      </c>
      <c r="E1720">
        <v>0.61814499999999994</v>
      </c>
      <c r="F1720" t="s">
        <v>44</v>
      </c>
      <c r="G1720">
        <v>-196.52789999999999</v>
      </c>
      <c r="H1720" s="1">
        <v>-3.9431079999999998E-6</v>
      </c>
      <c r="I1720">
        <v>353.68130000000002</v>
      </c>
      <c r="J1720">
        <v>-198.20679999999999</v>
      </c>
      <c r="K1720">
        <v>1.1180600000000001</v>
      </c>
      <c r="L1720">
        <v>363.613</v>
      </c>
      <c r="M1720">
        <v>0.84682099999999905</v>
      </c>
      <c r="N1720">
        <v>-1.4318549999999999E-2</v>
      </c>
      <c r="O1720">
        <v>-0.53168519999999997</v>
      </c>
      <c r="P1720">
        <v>0.45725379999999899</v>
      </c>
      <c r="Q1720">
        <v>-9.3719700000000003E-2</v>
      </c>
      <c r="R1720">
        <v>-0.88438439999999996</v>
      </c>
      <c r="S1720">
        <v>0.55143739999999997</v>
      </c>
      <c r="T1720">
        <v>-0.3436263</v>
      </c>
      <c r="U1720">
        <v>-3.07782</v>
      </c>
      <c r="V1720">
        <v>0.50519459999999905</v>
      </c>
      <c r="W1720">
        <v>-8.5415820000000003E-2</v>
      </c>
      <c r="X1720">
        <v>0.85876799999999998</v>
      </c>
      <c r="Y1720">
        <v>0.73772939999999998</v>
      </c>
      <c r="Z1720">
        <v>4.4483539999999998E-3</v>
      </c>
      <c r="AA1720">
        <v>0.67508190000000001</v>
      </c>
      <c r="AB1720">
        <v>14</v>
      </c>
      <c r="AC1720">
        <v>1.6788999999999901</v>
      </c>
      <c r="AD1720">
        <v>-1.1180639431079999</v>
      </c>
      <c r="AE1720">
        <v>-9.9317000000000295</v>
      </c>
      <c r="AF1720">
        <v>7.42698798300124</v>
      </c>
      <c r="AG1720">
        <v>-1.1180639431079999</v>
      </c>
      <c r="AH1720">
        <v>6.6213703032314202</v>
      </c>
      <c r="AI1720">
        <v>96.411325157937398</v>
      </c>
      <c r="AJ1720">
        <v>41.717908728641198</v>
      </c>
      <c r="AK1720">
        <v>10.0126301326393</v>
      </c>
      <c r="AL1720">
        <v>94.899936749698597</v>
      </c>
      <c r="AM1720">
        <v>59.532623458484501</v>
      </c>
      <c r="AN1720">
        <v>0.99999996199971497</v>
      </c>
    </row>
    <row r="1721" spans="1:40" x14ac:dyDescent="0.25">
      <c r="A1721" t="str">
        <f>"20190303154128614"</f>
        <v>20190303154128614</v>
      </c>
      <c r="B1721" t="str">
        <f>"1551598888611159"</f>
        <v>1551598888611159</v>
      </c>
      <c r="C1721" t="s">
        <v>40</v>
      </c>
      <c r="D1721">
        <v>6.2177419999999897</v>
      </c>
      <c r="E1721">
        <v>0.61729309999999904</v>
      </c>
      <c r="F1721" t="s">
        <v>44</v>
      </c>
      <c r="G1721">
        <v>-196.4307</v>
      </c>
      <c r="H1721" s="1">
        <v>-3.7343139999999999E-6</v>
      </c>
      <c r="I1721">
        <v>353.30919999999998</v>
      </c>
      <c r="J1721">
        <v>-198.0908</v>
      </c>
      <c r="K1721">
        <v>1.1179969999999999</v>
      </c>
      <c r="L1721">
        <v>363.52789999999999</v>
      </c>
      <c r="M1721">
        <v>0.84216869999999999</v>
      </c>
      <c r="N1721">
        <v>-1.432626E-2</v>
      </c>
      <c r="O1721">
        <v>-0.5390239</v>
      </c>
      <c r="P1721">
        <v>0.45153470000000001</v>
      </c>
      <c r="Q1721">
        <v>-9.5033380000000001E-2</v>
      </c>
      <c r="R1721">
        <v>-0.88717849999999998</v>
      </c>
      <c r="S1721">
        <v>0.53125</v>
      </c>
      <c r="T1721">
        <v>-0.33442769999999999</v>
      </c>
      <c r="U1721">
        <v>-3.082001</v>
      </c>
      <c r="V1721">
        <v>0.50313770000000002</v>
      </c>
      <c r="W1721">
        <v>-8.6762599999999995E-2</v>
      </c>
      <c r="X1721">
        <v>0.85983989999999999</v>
      </c>
      <c r="Y1721">
        <v>0.7364366</v>
      </c>
      <c r="Z1721">
        <v>5.016398E-3</v>
      </c>
      <c r="AA1721">
        <v>0.67648790000000003</v>
      </c>
      <c r="AB1721">
        <v>14</v>
      </c>
      <c r="AC1721">
        <v>1.6600999999999999</v>
      </c>
      <c r="AD1721">
        <v>-1.1180007343139999</v>
      </c>
      <c r="AE1721">
        <v>-10.2187</v>
      </c>
      <c r="AF1721">
        <v>7.62292677437779</v>
      </c>
      <c r="AG1721">
        <v>-1.1180007343139999</v>
      </c>
      <c r="AH1721">
        <v>6.8272950824039897</v>
      </c>
      <c r="AI1721">
        <v>96.234891260324801</v>
      </c>
      <c r="AJ1721">
        <v>41.848466742857198</v>
      </c>
      <c r="AK1721">
        <v>10.2942166477916</v>
      </c>
      <c r="AL1721">
        <v>94.977389056975198</v>
      </c>
      <c r="AM1721">
        <v>59.665844959292798</v>
      </c>
      <c r="AN1721">
        <v>0.99999997377602901</v>
      </c>
    </row>
    <row r="1722" spans="1:40" x14ac:dyDescent="0.25">
      <c r="A1722" t="str">
        <f>"20190303154128635"</f>
        <v>20190303154128635</v>
      </c>
      <c r="B1722" t="str">
        <f>"1551598888630678"</f>
        <v>1551598888630678</v>
      </c>
      <c r="C1722" t="s">
        <v>40</v>
      </c>
      <c r="D1722">
        <v>6.2311180000000004</v>
      </c>
      <c r="E1722">
        <v>0.61615430000000004</v>
      </c>
      <c r="F1722" t="s">
        <v>44</v>
      </c>
      <c r="G1722">
        <v>-196.38740000000001</v>
      </c>
      <c r="H1722" s="1">
        <v>-3.7589569999999998E-6</v>
      </c>
      <c r="I1722">
        <v>353.37729999999999</v>
      </c>
      <c r="J1722">
        <v>-197.98400000000001</v>
      </c>
      <c r="K1722">
        <v>1.117926</v>
      </c>
      <c r="L1722">
        <v>363.44799999999998</v>
      </c>
      <c r="M1722">
        <v>0.83772400000000002</v>
      </c>
      <c r="N1722">
        <v>-1.4337630000000001E-2</v>
      </c>
      <c r="O1722">
        <v>-0.54590590000000005</v>
      </c>
      <c r="P1722">
        <v>0.44601400000000002</v>
      </c>
      <c r="Q1722">
        <v>-9.6416000000000002E-2</v>
      </c>
      <c r="R1722">
        <v>-0.88981769999999905</v>
      </c>
      <c r="S1722">
        <v>0.51719669999999995</v>
      </c>
      <c r="T1722">
        <v>-0.33944229999999997</v>
      </c>
      <c r="U1722">
        <v>-3.0818789999999998</v>
      </c>
      <c r="V1722">
        <v>0.50128760000000006</v>
      </c>
      <c r="W1722">
        <v>-8.81831E-2</v>
      </c>
      <c r="X1722">
        <v>0.86077549999999903</v>
      </c>
      <c r="Y1722">
        <v>0.73388019999999998</v>
      </c>
      <c r="Z1722">
        <v>6.4071639999999999E-3</v>
      </c>
      <c r="AA1722">
        <v>0.67924879999999999</v>
      </c>
      <c r="AB1722">
        <v>14</v>
      </c>
      <c r="AC1722">
        <v>1.59659999999999</v>
      </c>
      <c r="AD1722">
        <v>-1.1179297589569901</v>
      </c>
      <c r="AE1722">
        <v>-10.0707</v>
      </c>
      <c r="AF1722">
        <v>7.4757861995514796</v>
      </c>
      <c r="AG1722">
        <v>-1.1179297589569901</v>
      </c>
      <c r="AH1722">
        <v>6.7546705566698604</v>
      </c>
      <c r="AI1722">
        <v>96.331456046039193</v>
      </c>
      <c r="AJ1722">
        <v>42.099069089357897</v>
      </c>
      <c r="AK1722">
        <v>10.137194906704099</v>
      </c>
      <c r="AL1722">
        <v>95.059090813625701</v>
      </c>
      <c r="AM1722">
        <v>59.784872555781199</v>
      </c>
      <c r="AN1722">
        <v>0.99999998921980904</v>
      </c>
    </row>
    <row r="1723" spans="1:40" x14ac:dyDescent="0.25">
      <c r="A1723" t="str">
        <f>"20190303154128658"</f>
        <v>20190303154128658</v>
      </c>
      <c r="B1723" t="str">
        <f>"1551598888651175"</f>
        <v>1551598888651175</v>
      </c>
      <c r="C1723" t="s">
        <v>40</v>
      </c>
      <c r="D1723">
        <v>6.1979480000000002</v>
      </c>
      <c r="E1723">
        <v>0.61612889999999998</v>
      </c>
      <c r="F1723" t="s">
        <v>44</v>
      </c>
      <c r="G1723">
        <v>-196.39580000000001</v>
      </c>
      <c r="H1723" s="1">
        <v>-3.9594609999999999E-6</v>
      </c>
      <c r="I1723">
        <v>353.77199999999999</v>
      </c>
      <c r="J1723">
        <v>-197.86600000000001</v>
      </c>
      <c r="K1723">
        <v>1.117845</v>
      </c>
      <c r="L1723">
        <v>363.3578</v>
      </c>
      <c r="M1723">
        <v>0.83261499999999999</v>
      </c>
      <c r="N1723">
        <v>-1.435431E-2</v>
      </c>
      <c r="O1723">
        <v>-0.5536664</v>
      </c>
      <c r="P1723">
        <v>0.43965910000000002</v>
      </c>
      <c r="Q1723">
        <v>-9.8296850000000005E-2</v>
      </c>
      <c r="R1723">
        <v>-0.89276979999999995</v>
      </c>
      <c r="S1723">
        <v>0.50546259999999998</v>
      </c>
      <c r="T1723">
        <v>-0.355801599999999</v>
      </c>
      <c r="U1723">
        <v>-3.0795590000000002</v>
      </c>
      <c r="V1723">
        <v>0.4992258</v>
      </c>
      <c r="W1723">
        <v>-9.0105669999999999E-2</v>
      </c>
      <c r="X1723">
        <v>0.86177409999999999</v>
      </c>
      <c r="Y1723">
        <v>0.7299004</v>
      </c>
      <c r="Z1723">
        <v>8.780029E-3</v>
      </c>
      <c r="AA1723">
        <v>0.68349720000000003</v>
      </c>
      <c r="AB1723">
        <v>14</v>
      </c>
      <c r="AC1723">
        <v>1.47019999999997</v>
      </c>
      <c r="AD1723">
        <v>-1.1178489594609999</v>
      </c>
      <c r="AE1723">
        <v>-9.5858000000000008</v>
      </c>
      <c r="AF1723">
        <v>7.0740287252306802</v>
      </c>
      <c r="AG1723">
        <v>-1.1178489594609999</v>
      </c>
      <c r="AH1723">
        <v>6.4464668436845898</v>
      </c>
      <c r="AI1723">
        <v>96.661891114390201</v>
      </c>
      <c r="AJ1723">
        <v>42.342489513004502</v>
      </c>
      <c r="AK1723">
        <v>9.6357876413026897</v>
      </c>
      <c r="AL1723">
        <v>95.169686156232899</v>
      </c>
      <c r="AM1723">
        <v>59.916284045388799</v>
      </c>
      <c r="AN1723">
        <v>1.00000001529129</v>
      </c>
    </row>
    <row r="1724" spans="1:40" x14ac:dyDescent="0.25">
      <c r="A1724" t="str">
        <f>"20190303154128680"</f>
        <v>20190303154128680</v>
      </c>
      <c r="B1724" t="str">
        <f>"1551598888670698"</f>
        <v>1551598888670698</v>
      </c>
      <c r="C1724" t="s">
        <v>40</v>
      </c>
      <c r="D1724">
        <v>6.2217760000000002</v>
      </c>
      <c r="E1724">
        <v>0.61558269999999904</v>
      </c>
      <c r="F1724" t="s">
        <v>44</v>
      </c>
      <c r="G1724">
        <v>-196.37549999999999</v>
      </c>
      <c r="H1724" s="1">
        <v>-3.9985809999999998E-6</v>
      </c>
      <c r="I1724">
        <v>353.85860000000002</v>
      </c>
      <c r="J1724">
        <v>-197.75530000000001</v>
      </c>
      <c r="K1724">
        <v>1.117785</v>
      </c>
      <c r="L1724">
        <v>363.2713</v>
      </c>
      <c r="M1724">
        <v>0.82762800000000003</v>
      </c>
      <c r="N1724">
        <v>-1.437225E-2</v>
      </c>
      <c r="O1724">
        <v>-0.56109310000000001</v>
      </c>
      <c r="P1724">
        <v>0.43334139999999999</v>
      </c>
      <c r="Q1724">
        <v>-9.9274699999999994E-2</v>
      </c>
      <c r="R1724">
        <v>-0.89574580000000004</v>
      </c>
      <c r="S1724">
        <v>0.48361209999999999</v>
      </c>
      <c r="T1724">
        <v>-0.36271999999999999</v>
      </c>
      <c r="U1724">
        <v>-3.0822750000000001</v>
      </c>
      <c r="V1724">
        <v>0.49749450000000001</v>
      </c>
      <c r="W1724">
        <v>-9.111474E-2</v>
      </c>
      <c r="X1724">
        <v>0.86266869999999995</v>
      </c>
      <c r="Y1724">
        <v>0.72858239999999996</v>
      </c>
      <c r="Z1724">
        <v>1.035141E-2</v>
      </c>
      <c r="AA1724">
        <v>0.68488000000000004</v>
      </c>
      <c r="AB1724">
        <v>14</v>
      </c>
      <c r="AC1724">
        <v>1.3798000000000099</v>
      </c>
      <c r="AD1724">
        <v>-1.1177889985809999</v>
      </c>
      <c r="AE1724">
        <v>-9.4126999999999708</v>
      </c>
      <c r="AF1724">
        <v>6.9211903382698496</v>
      </c>
      <c r="AG1724">
        <v>-1.1177889985809999</v>
      </c>
      <c r="AH1724">
        <v>6.3365449069188999</v>
      </c>
      <c r="AI1724">
        <v>96.793047158475105</v>
      </c>
      <c r="AJ1724">
        <v>42.4749814819261</v>
      </c>
      <c r="AK1724">
        <v>9.4500862060252402</v>
      </c>
      <c r="AL1724">
        <v>95.227740606866803</v>
      </c>
      <c r="AM1724">
        <v>60.028277052231303</v>
      </c>
      <c r="AN1724">
        <v>0.99999997966760301</v>
      </c>
    </row>
    <row r="1725" spans="1:40" x14ac:dyDescent="0.25">
      <c r="A1725" t="str">
        <f>"20190303154128702"</f>
        <v>20190303154128702</v>
      </c>
      <c r="B1725" t="str">
        <f>"1551598888691190"</f>
        <v>1551598888691190</v>
      </c>
      <c r="C1725" t="s">
        <v>40</v>
      </c>
      <c r="D1725">
        <v>5.8320150000000002</v>
      </c>
      <c r="E1725">
        <v>0.63392269999999995</v>
      </c>
      <c r="F1725" t="s">
        <v>44</v>
      </c>
      <c r="G1725">
        <v>-196.34309999999999</v>
      </c>
      <c r="H1725" s="1">
        <v>-4.0226199999999898E-6</v>
      </c>
      <c r="I1725">
        <v>353.92070000000001</v>
      </c>
      <c r="J1725">
        <v>-197.65020000000001</v>
      </c>
      <c r="K1725">
        <v>1.117742</v>
      </c>
      <c r="L1725">
        <v>363.1875</v>
      </c>
      <c r="M1725">
        <v>0.82272880000000004</v>
      </c>
      <c r="N1725">
        <v>-1.4388939999999999E-2</v>
      </c>
      <c r="O1725">
        <v>-0.56825199999999998</v>
      </c>
      <c r="P1725">
        <v>0.42784470000000002</v>
      </c>
      <c r="Q1725">
        <v>-9.9652959999999999E-2</v>
      </c>
      <c r="R1725">
        <v>-0.89834179999999997</v>
      </c>
      <c r="S1725">
        <v>0.46560669999999998</v>
      </c>
      <c r="T1725">
        <v>-0.36855700000000002</v>
      </c>
      <c r="U1725">
        <v>-3.0830690000000001</v>
      </c>
      <c r="V1725">
        <v>0.49525130000000001</v>
      </c>
      <c r="W1725">
        <v>-9.1491160000000002E-2</v>
      </c>
      <c r="X1725">
        <v>0.86391870000000004</v>
      </c>
      <c r="Y1725">
        <v>0.72656369999999904</v>
      </c>
      <c r="Z1725">
        <v>1.1937629999999999E-2</v>
      </c>
      <c r="AA1725">
        <v>0.68699540000000003</v>
      </c>
      <c r="AB1725">
        <v>14</v>
      </c>
      <c r="AC1725">
        <v>1.3071000000000099</v>
      </c>
      <c r="AD1725">
        <v>-1.11774602262</v>
      </c>
      <c r="AE1725">
        <v>-9.2667999999999893</v>
      </c>
      <c r="AF1725">
        <v>6.7852223202408197</v>
      </c>
      <c r="AG1725">
        <v>-1.11774602262</v>
      </c>
      <c r="AH1725">
        <v>6.2527278345269002</v>
      </c>
      <c r="AI1725">
        <v>96.9071441625224</v>
      </c>
      <c r="AJ1725">
        <v>42.661232076498301</v>
      </c>
      <c r="AK1725">
        <v>9.2943640707067505</v>
      </c>
      <c r="AL1725">
        <v>95.249398231426099</v>
      </c>
      <c r="AM1725">
        <v>60.176014479342498</v>
      </c>
      <c r="AN1725">
        <v>1.0000000013597601</v>
      </c>
    </row>
    <row r="1726" spans="1:40" x14ac:dyDescent="0.25">
      <c r="A1726" t="str">
        <f>"20190303154128836"</f>
        <v>20190303154128836</v>
      </c>
      <c r="B1726" t="str">
        <f>"1551598888830759"</f>
        <v>1551598888830759</v>
      </c>
      <c r="C1726" t="s">
        <v>40</v>
      </c>
      <c r="D1726">
        <v>5.4251870000000002</v>
      </c>
      <c r="E1726">
        <v>0.64661000000000002</v>
      </c>
      <c r="F1726" t="s">
        <v>41</v>
      </c>
      <c r="G1726">
        <v>-195.7021</v>
      </c>
      <c r="H1726" s="1">
        <v>-3.491148E-6</v>
      </c>
      <c r="I1726">
        <v>344.27350000000001</v>
      </c>
      <c r="J1726">
        <v>-197.01599999999999</v>
      </c>
      <c r="K1726">
        <v>1.117829</v>
      </c>
      <c r="L1726">
        <v>362.6454</v>
      </c>
      <c r="M1726">
        <v>0.78995190000000004</v>
      </c>
      <c r="N1726">
        <v>-1.4430480000000001E-2</v>
      </c>
      <c r="O1726">
        <v>-0.61299910000000002</v>
      </c>
      <c r="P1726">
        <v>0.38251760000000001</v>
      </c>
      <c r="Q1726">
        <v>-9.6510719999999994E-2</v>
      </c>
      <c r="R1726">
        <v>-0.91889390000000004</v>
      </c>
      <c r="S1726">
        <v>0.32583620000000002</v>
      </c>
      <c r="T1726">
        <v>-0.1869518</v>
      </c>
      <c r="U1726">
        <v>-3.163513</v>
      </c>
      <c r="V1726">
        <v>0.49072569999999999</v>
      </c>
      <c r="W1726">
        <v>-8.8144189999999997E-2</v>
      </c>
      <c r="X1726">
        <v>0.86684419999999995</v>
      </c>
      <c r="Y1726">
        <v>0.72231789999999996</v>
      </c>
      <c r="Z1726">
        <v>2.4801189999999998E-3</v>
      </c>
      <c r="AA1726">
        <v>0.69155679999999997</v>
      </c>
      <c r="AB1726">
        <v>13</v>
      </c>
      <c r="AC1726">
        <v>1.3138999999999801</v>
      </c>
      <c r="AD1726">
        <v>-1.117832491148</v>
      </c>
      <c r="AE1726">
        <v>-18.371899999999901</v>
      </c>
      <c r="AF1726">
        <v>13.6586163497565</v>
      </c>
      <c r="AG1726">
        <v>-1.117832491148</v>
      </c>
      <c r="AH1726">
        <v>12.2560141538604</v>
      </c>
      <c r="AI1726">
        <v>93.485763192869499</v>
      </c>
      <c r="AJ1726">
        <v>41.901948813869701</v>
      </c>
      <c r="AK1726">
        <v>18.385244980900602</v>
      </c>
      <c r="AL1726">
        <v>95.056852720946395</v>
      </c>
      <c r="AM1726">
        <v>60.485539492284701</v>
      </c>
      <c r="AN1726">
        <v>0.99999998897244202</v>
      </c>
    </row>
    <row r="1727" spans="1:40" x14ac:dyDescent="0.25">
      <c r="A1727" t="str">
        <f>"20190303154128859"</f>
        <v>20190303154128859</v>
      </c>
      <c r="B1727" t="str">
        <f>"1551598888851254"</f>
        <v>1551598888851254</v>
      </c>
      <c r="C1727" t="s">
        <v>40</v>
      </c>
      <c r="D1727">
        <v>5.6298659999999998</v>
      </c>
      <c r="E1727">
        <v>0.64621819999999996</v>
      </c>
      <c r="F1727" t="s">
        <v>41</v>
      </c>
      <c r="G1727">
        <v>-196.39449999999999</v>
      </c>
      <c r="H1727" s="1">
        <v>-4.3174140000000003E-6</v>
      </c>
      <c r="I1727">
        <v>336.34059999999999</v>
      </c>
      <c r="J1727">
        <v>-196.91229999999999</v>
      </c>
      <c r="K1727">
        <v>1.117869</v>
      </c>
      <c r="L1727">
        <v>362.5505</v>
      </c>
      <c r="M1727">
        <v>0.78415210000000002</v>
      </c>
      <c r="N1727">
        <v>-1.442268E-2</v>
      </c>
      <c r="O1727">
        <v>-0.62040139999999999</v>
      </c>
      <c r="P1727">
        <v>0.37397190000000002</v>
      </c>
      <c r="Q1727">
        <v>-9.6784010000000004E-2</v>
      </c>
      <c r="R1727">
        <v>-0.92237670000000005</v>
      </c>
      <c r="S1727">
        <v>7.6049800000000001E-2</v>
      </c>
      <c r="T1727">
        <v>-0.13678209999999999</v>
      </c>
      <c r="U1727">
        <v>-3.21875</v>
      </c>
      <c r="V1727">
        <v>0.49060619999999999</v>
      </c>
      <c r="W1727">
        <v>-8.8358419999999993E-2</v>
      </c>
      <c r="X1727">
        <v>0.86688999999999905</v>
      </c>
      <c r="Y1727">
        <v>0.76882550000000005</v>
      </c>
      <c r="Z1727">
        <v>-3.522804E-3</v>
      </c>
      <c r="AA1727">
        <v>0.63944909999999999</v>
      </c>
      <c r="AB1727">
        <v>13</v>
      </c>
      <c r="AC1727">
        <v>0.51779999999999304</v>
      </c>
      <c r="AD1727">
        <v>-1.1178733174140001</v>
      </c>
      <c r="AE1727">
        <v>-26.209900000000001</v>
      </c>
      <c r="AF1727">
        <v>20.196679219182499</v>
      </c>
      <c r="AG1727">
        <v>-1.1178733174140001</v>
      </c>
      <c r="AH1727">
        <v>16.638168238724099</v>
      </c>
      <c r="AI1727">
        <v>92.446189694491807</v>
      </c>
      <c r="AJ1727">
        <v>39.481940012715597</v>
      </c>
      <c r="AK1727">
        <v>26.191298833323099</v>
      </c>
      <c r="AL1727">
        <v>95.069175407678301</v>
      </c>
      <c r="AM1727">
        <v>60.492819072913001</v>
      </c>
      <c r="AN1727">
        <v>0.99999996298166705</v>
      </c>
    </row>
    <row r="1728" spans="1:40" x14ac:dyDescent="0.25">
      <c r="A1728" t="str">
        <f>"20190303154128881"</f>
        <v>20190303154128881</v>
      </c>
      <c r="B1728" t="str">
        <f>"1551598888870778"</f>
        <v>1551598888870778</v>
      </c>
      <c r="C1728" t="s">
        <v>40</v>
      </c>
      <c r="D1728">
        <v>5.6603009999999996</v>
      </c>
      <c r="E1728">
        <v>0.6463892</v>
      </c>
      <c r="F1728" t="s">
        <v>41</v>
      </c>
      <c r="G1728">
        <v>-196.0616</v>
      </c>
      <c r="H1728" s="1">
        <v>-2.084206E-6</v>
      </c>
      <c r="I1728">
        <v>310.58879999999999</v>
      </c>
      <c r="J1728">
        <v>-196.8116</v>
      </c>
      <c r="K1728">
        <v>1.1179140000000001</v>
      </c>
      <c r="L1728">
        <v>362.45670000000001</v>
      </c>
      <c r="M1728">
        <v>0.77841959999999999</v>
      </c>
      <c r="N1728">
        <v>-1.4412080000000001E-2</v>
      </c>
      <c r="O1728">
        <v>-0.62757909999999995</v>
      </c>
      <c r="P1728">
        <v>0.36595549999999999</v>
      </c>
      <c r="Q1728">
        <v>-9.9001969999999995E-2</v>
      </c>
      <c r="R1728">
        <v>-0.92535149999999999</v>
      </c>
      <c r="S1728">
        <v>5.2780149999999998E-2</v>
      </c>
      <c r="T1728">
        <v>-6.9356440000000005E-2</v>
      </c>
      <c r="U1728">
        <v>-3.2238769999999999</v>
      </c>
      <c r="V1728">
        <v>0.48997449999999998</v>
      </c>
      <c r="W1728">
        <v>-9.0514410000000003E-2</v>
      </c>
      <c r="X1728">
        <v>0.86702489999999999</v>
      </c>
      <c r="Y1728">
        <v>0.76785519999999996</v>
      </c>
      <c r="Z1728">
        <v>-8.6360689999999997E-3</v>
      </c>
      <c r="AA1728">
        <v>0.64056519999999995</v>
      </c>
      <c r="AB1728">
        <v>13</v>
      </c>
      <c r="AC1728">
        <v>0.75</v>
      </c>
      <c r="AD1728">
        <v>-1.1179160842060001</v>
      </c>
      <c r="AE1728">
        <v>-51.867899999999999</v>
      </c>
      <c r="AF1728">
        <v>39.8899178557865</v>
      </c>
      <c r="AG1728">
        <v>-1.1179160842060001</v>
      </c>
      <c r="AH1728">
        <v>33.1230776247262</v>
      </c>
      <c r="AI1728">
        <v>91.235156954854205</v>
      </c>
      <c r="AJ1728">
        <v>39.704956590230601</v>
      </c>
      <c r="AK1728">
        <v>51.861291482630399</v>
      </c>
      <c r="AL1728">
        <v>95.193201282105804</v>
      </c>
      <c r="AM1728">
        <v>60.528270678807999</v>
      </c>
      <c r="AN1728">
        <v>1.0000000231439501</v>
      </c>
    </row>
    <row r="1729" spans="1:40" x14ac:dyDescent="0.25">
      <c r="A1729" t="str">
        <f>"20190303154128903"</f>
        <v>20190303154128903</v>
      </c>
      <c r="B1729" t="str">
        <f>"1551598888901031"</f>
        <v>1551598888901031</v>
      </c>
      <c r="C1729" t="s">
        <v>40</v>
      </c>
      <c r="D1729">
        <v>5.9524629999999998</v>
      </c>
      <c r="E1729">
        <v>0.64094130000000005</v>
      </c>
      <c r="F1729" t="s">
        <v>41</v>
      </c>
      <c r="G1729">
        <v>-195.42850000000001</v>
      </c>
      <c r="H1729" s="1">
        <v>-5.0656110000000003E-6</v>
      </c>
      <c r="I1729">
        <v>199.0427</v>
      </c>
      <c r="J1729">
        <v>-196.71530000000001</v>
      </c>
      <c r="K1729">
        <v>1.1179460000000001</v>
      </c>
      <c r="L1729">
        <v>362.36540000000002</v>
      </c>
      <c r="M1729">
        <v>0.77284750000000002</v>
      </c>
      <c r="N1729">
        <v>-1.4400639999999999E-2</v>
      </c>
      <c r="O1729">
        <v>-0.63442869999999996</v>
      </c>
      <c r="P1729">
        <v>0.35791190000000001</v>
      </c>
      <c r="Q1729">
        <v>-0.10118340000000001</v>
      </c>
      <c r="R1729">
        <v>-0.92825749999999996</v>
      </c>
      <c r="S1729">
        <v>2.732849E-2</v>
      </c>
      <c r="T1729">
        <v>-2.2088650000000001E-2</v>
      </c>
      <c r="U1729">
        <v>-3.2288510000000001</v>
      </c>
      <c r="V1729">
        <v>0.48965370000000003</v>
      </c>
      <c r="W1729">
        <v>-9.2645820000000004E-2</v>
      </c>
      <c r="X1729">
        <v>0.866981</v>
      </c>
      <c r="Y1729">
        <v>0.76740059999999999</v>
      </c>
      <c r="Z1729">
        <v>-1.247527E-2</v>
      </c>
      <c r="AA1729">
        <v>0.64104649999999996</v>
      </c>
      <c r="AB1729">
        <v>13</v>
      </c>
      <c r="AC1729">
        <v>1.28679999999999</v>
      </c>
      <c r="AD1729">
        <v>-1.1179510656110001</v>
      </c>
      <c r="AE1729">
        <v>-163.3227</v>
      </c>
      <c r="AF1729">
        <v>125.41426120963401</v>
      </c>
      <c r="AG1729">
        <v>-1.1179510656110001</v>
      </c>
      <c r="AH1729">
        <v>104.617034087467</v>
      </c>
      <c r="AI1729">
        <v>90.392192207456404</v>
      </c>
      <c r="AJ1729">
        <v>39.833909635943101</v>
      </c>
      <c r="AK1729">
        <v>163.32394359248599</v>
      </c>
      <c r="AL1729">
        <v>95.315837447897593</v>
      </c>
      <c r="AM1729">
        <v>60.5430989727964</v>
      </c>
      <c r="AN1729">
        <v>1.0000000241240801</v>
      </c>
    </row>
    <row r="1730" spans="1:40" x14ac:dyDescent="0.25">
      <c r="A1730" t="str">
        <f>"20190303154128927"</f>
        <v>20190303154128927</v>
      </c>
      <c r="B1730" t="str">
        <f>"1551598888920551"</f>
        <v>1551598888920551</v>
      </c>
      <c r="C1730" t="s">
        <v>40</v>
      </c>
      <c r="D1730">
        <v>6.4432850000000004</v>
      </c>
      <c r="E1730">
        <v>0.63298880000000002</v>
      </c>
      <c r="F1730" t="s">
        <v>45</v>
      </c>
      <c r="G1730">
        <v>-190.80760000000001</v>
      </c>
      <c r="H1730">
        <v>3.1409940000000001</v>
      </c>
      <c r="I1730">
        <v>-81.816209999999998</v>
      </c>
      <c r="J1730">
        <v>-196.61160000000001</v>
      </c>
      <c r="K1730">
        <v>1.1179709999999901</v>
      </c>
      <c r="L1730">
        <v>362.2654</v>
      </c>
      <c r="M1730">
        <v>0.76674290000000001</v>
      </c>
      <c r="N1730">
        <v>-1.438763E-2</v>
      </c>
      <c r="O1730">
        <v>-0.64179299999999995</v>
      </c>
      <c r="P1730">
        <v>0.34855180000000002</v>
      </c>
      <c r="Q1730">
        <v>-0.10273500000000001</v>
      </c>
      <c r="R1730">
        <v>-0.93164219999999998</v>
      </c>
      <c r="S1730">
        <v>4.278564E-2</v>
      </c>
      <c r="T1730">
        <v>1.465178E-2</v>
      </c>
      <c r="U1730">
        <v>-3.2169490000000001</v>
      </c>
      <c r="V1730">
        <v>0.48995159999999999</v>
      </c>
      <c r="W1730">
        <v>-9.4162209999999996E-2</v>
      </c>
      <c r="X1730">
        <v>0.86664920000000001</v>
      </c>
      <c r="Y1730">
        <v>0.75817080000000003</v>
      </c>
      <c r="Z1730">
        <v>-1.561859E-2</v>
      </c>
      <c r="AA1730">
        <v>0.65186899999999903</v>
      </c>
      <c r="AB1730">
        <v>13</v>
      </c>
      <c r="AC1730">
        <v>5.8040000000000003</v>
      </c>
      <c r="AD1730">
        <v>2.0230229999999998</v>
      </c>
      <c r="AE1730">
        <v>-444.08160999999899</v>
      </c>
      <c r="AF1730">
        <v>336.79933971515999</v>
      </c>
      <c r="AG1730">
        <v>2.0230229999999998</v>
      </c>
      <c r="AH1730">
        <v>289.48261179949299</v>
      </c>
      <c r="AI1730">
        <v>89.739006565695306</v>
      </c>
      <c r="AJ1730">
        <v>40.679409076551103</v>
      </c>
      <c r="AK1730">
        <v>444.11492925692397</v>
      </c>
      <c r="AL1730">
        <v>95.403102021399903</v>
      </c>
      <c r="AM1730">
        <v>60.5187801238486</v>
      </c>
      <c r="AN1730">
        <v>0.99999996399764102</v>
      </c>
    </row>
    <row r="1731" spans="1:40" x14ac:dyDescent="0.25">
      <c r="A1731" t="str">
        <f>"20190303154128950"</f>
        <v>20190303154128950</v>
      </c>
      <c r="B1731" t="str">
        <f>"1551598888941047"</f>
        <v>1551598888941047</v>
      </c>
      <c r="C1731" t="s">
        <v>40</v>
      </c>
      <c r="D1731">
        <v>6.3993010000000004</v>
      </c>
      <c r="E1731">
        <v>0.62686260000000005</v>
      </c>
      <c r="F1731" t="s">
        <v>46</v>
      </c>
      <c r="G1731">
        <v>-194.98769999999999</v>
      </c>
      <c r="H1731" s="1">
        <v>3.0697800000000001E-6</v>
      </c>
      <c r="I1731">
        <v>284.73180000000002</v>
      </c>
      <c r="J1731">
        <v>-196.51169999999999</v>
      </c>
      <c r="K1731">
        <v>1.118009</v>
      </c>
      <c r="L1731">
        <v>362.1671</v>
      </c>
      <c r="M1731">
        <v>0.76074909999999996</v>
      </c>
      <c r="N1731">
        <v>-1.4375010000000001E-2</v>
      </c>
      <c r="O1731">
        <v>-0.64888690000000004</v>
      </c>
      <c r="P1731">
        <v>0.33916940000000001</v>
      </c>
      <c r="Q1731">
        <v>-0.1032402</v>
      </c>
      <c r="R1731">
        <v>-0.93504310000000002</v>
      </c>
      <c r="S1731">
        <v>6.6818240000000001E-2</v>
      </c>
      <c r="T1731">
        <v>-4.5997980000000001E-2</v>
      </c>
      <c r="U1731">
        <v>-3.1900629999999999</v>
      </c>
      <c r="V1731">
        <v>0.49057410000000001</v>
      </c>
      <c r="W1731">
        <v>-9.4648140000000006E-2</v>
      </c>
      <c r="X1731">
        <v>0.86624409999999896</v>
      </c>
      <c r="Y1731">
        <v>0.7468842</v>
      </c>
      <c r="Z1731">
        <v>-9.8017469999999995E-3</v>
      </c>
      <c r="AA1731">
        <v>0.66488190000000003</v>
      </c>
      <c r="AB1731">
        <v>13</v>
      </c>
      <c r="AC1731">
        <v>1.524</v>
      </c>
      <c r="AD1731">
        <v>-1.1180059302200001</v>
      </c>
      <c r="AE1731">
        <v>-77.435299999999899</v>
      </c>
      <c r="AF1731">
        <v>57.913847442545098</v>
      </c>
      <c r="AG1731">
        <v>-1.1180059302200001</v>
      </c>
      <c r="AH1731">
        <v>51.400733877204402</v>
      </c>
      <c r="AI1731">
        <v>90.827187516935098</v>
      </c>
      <c r="AJ1731">
        <v>41.590269379565598</v>
      </c>
      <c r="AK1731">
        <v>77.442230765736497</v>
      </c>
      <c r="AL1731">
        <v>95.431068307602203</v>
      </c>
      <c r="AM1731">
        <v>60.476117410999898</v>
      </c>
      <c r="AN1731">
        <v>1.00000002939053</v>
      </c>
    </row>
    <row r="1732" spans="1:40" x14ac:dyDescent="0.25">
      <c r="A1732" t="str">
        <f>"20190303154128972"</f>
        <v>20190303154128972</v>
      </c>
      <c r="B1732" t="str">
        <f>"1551598888960570"</f>
        <v>1551598888960570</v>
      </c>
      <c r="C1732" t="s">
        <v>40</v>
      </c>
      <c r="D1732">
        <v>6.3891530000000003</v>
      </c>
      <c r="E1732">
        <v>0.6226254</v>
      </c>
      <c r="F1732" t="s">
        <v>41</v>
      </c>
      <c r="G1732">
        <v>-195.5307</v>
      </c>
      <c r="H1732" s="1">
        <v>-2.7002640000000001E-6</v>
      </c>
      <c r="I1732">
        <v>322.45319999999998</v>
      </c>
      <c r="J1732">
        <v>-196.42009999999999</v>
      </c>
      <c r="K1732">
        <v>1.118025</v>
      </c>
      <c r="L1732">
        <v>362.07549999999998</v>
      </c>
      <c r="M1732">
        <v>0.75515669999999901</v>
      </c>
      <c r="N1732">
        <v>-1.4363809999999999E-2</v>
      </c>
      <c r="O1732">
        <v>-0.65538689999999999</v>
      </c>
      <c r="P1732">
        <v>0.33075490000000002</v>
      </c>
      <c r="Q1732">
        <v>-0.10473540000000001</v>
      </c>
      <c r="R1732">
        <v>-0.93788709999999997</v>
      </c>
      <c r="S1732">
        <v>7.830811E-2</v>
      </c>
      <c r="T1732">
        <v>-8.9244480000000001E-2</v>
      </c>
      <c r="U1732">
        <v>-3.1701350000000001</v>
      </c>
      <c r="V1732">
        <v>0.49079650000000002</v>
      </c>
      <c r="W1732">
        <v>-9.613004E-2</v>
      </c>
      <c r="X1732">
        <v>0.86595489999999997</v>
      </c>
      <c r="Y1732">
        <v>0.73850079999999996</v>
      </c>
      <c r="Z1732">
        <v>-5.1315470000000002E-3</v>
      </c>
      <c r="AA1732">
        <v>0.67423310000000003</v>
      </c>
      <c r="AB1732">
        <v>13</v>
      </c>
      <c r="AC1732">
        <v>0.88939999999999397</v>
      </c>
      <c r="AD1732">
        <v>-1.118027700264</v>
      </c>
      <c r="AE1732">
        <v>-39.622300000000003</v>
      </c>
      <c r="AF1732">
        <v>29.317840625129701</v>
      </c>
      <c r="AG1732">
        <v>-1.118027700264</v>
      </c>
      <c r="AH1732">
        <v>26.621136713642901</v>
      </c>
      <c r="AI1732">
        <v>91.617172162909696</v>
      </c>
      <c r="AJ1732">
        <v>42.240024169830001</v>
      </c>
      <c r="AK1732">
        <v>39.616545593798698</v>
      </c>
      <c r="AL1732">
        <v>95.516363818368404</v>
      </c>
      <c r="AM1732">
        <v>60.456774428778701</v>
      </c>
      <c r="AN1732">
        <v>1.0000000389183299</v>
      </c>
    </row>
    <row r="1733" spans="1:40" x14ac:dyDescent="0.25">
      <c r="A1733" t="str">
        <f>"20190303154128992"</f>
        <v>20190303154128992</v>
      </c>
      <c r="B1733" t="str">
        <f>"1551598888981063"</f>
        <v>1551598888981063</v>
      </c>
      <c r="C1733" t="s">
        <v>40</v>
      </c>
      <c r="D1733">
        <v>6.4642980000000003</v>
      </c>
      <c r="E1733">
        <v>0.61976900000000001</v>
      </c>
      <c r="F1733" t="s">
        <v>41</v>
      </c>
      <c r="G1733">
        <v>-195.68459999999999</v>
      </c>
      <c r="H1733" s="1">
        <v>-3.0107689999999998E-6</v>
      </c>
      <c r="I1733">
        <v>333.08150000000001</v>
      </c>
      <c r="J1733">
        <v>-196.32859999999999</v>
      </c>
      <c r="K1733">
        <v>1.1180289999999999</v>
      </c>
      <c r="L1733">
        <v>361.98239999999998</v>
      </c>
      <c r="M1733">
        <v>0.749475</v>
      </c>
      <c r="N1733">
        <v>-1.4353049999999999E-2</v>
      </c>
      <c r="O1733">
        <v>-0.66187719999999906</v>
      </c>
      <c r="P1733">
        <v>0.32193319999999997</v>
      </c>
      <c r="Q1733">
        <v>-0.10705729999999999</v>
      </c>
      <c r="R1733">
        <v>-0.94069029999999998</v>
      </c>
      <c r="S1733">
        <v>8.0078129999999997E-2</v>
      </c>
      <c r="T1733">
        <v>-0.1217321</v>
      </c>
      <c r="U1733">
        <v>-3.1568909999999999</v>
      </c>
      <c r="V1733">
        <v>0.49124699999999999</v>
      </c>
      <c r="W1733">
        <v>-9.8449839999999997E-2</v>
      </c>
      <c r="X1733">
        <v>0.86543859999999995</v>
      </c>
      <c r="Y1733">
        <v>0.73209569999999902</v>
      </c>
      <c r="Z1733">
        <v>-1.255983E-3</v>
      </c>
      <c r="AA1733">
        <v>0.68120059999999905</v>
      </c>
      <c r="AB1733">
        <v>13</v>
      </c>
      <c r="AC1733">
        <v>0.64400000000000501</v>
      </c>
      <c r="AD1733">
        <v>-1.1180320107690001</v>
      </c>
      <c r="AE1733">
        <v>-28.900899999999901</v>
      </c>
      <c r="AF1733">
        <v>21.204720640830999</v>
      </c>
      <c r="AG1733">
        <v>-1.1180320107690001</v>
      </c>
      <c r="AH1733">
        <v>19.584233102694199</v>
      </c>
      <c r="AI1733">
        <v>92.218144280053096</v>
      </c>
      <c r="AJ1733">
        <v>42.724916046034302</v>
      </c>
      <c r="AK1733">
        <v>28.886542874727201</v>
      </c>
      <c r="AL1733">
        <v>95.649912479997695</v>
      </c>
      <c r="AM1733">
        <v>60.419551589717301</v>
      </c>
      <c r="AN1733">
        <v>0.99999997818749198</v>
      </c>
    </row>
    <row r="1734" spans="1:40" x14ac:dyDescent="0.25">
      <c r="A1734" t="str">
        <f>"20190303154129015"</f>
        <v>20190303154129015</v>
      </c>
      <c r="B1734" t="str">
        <f>"1551598889011319"</f>
        <v>1551598889011319</v>
      </c>
      <c r="C1734" t="s">
        <v>40</v>
      </c>
      <c r="D1734">
        <v>6.4013330000000002</v>
      </c>
      <c r="E1734">
        <v>0.61472919999999998</v>
      </c>
      <c r="F1734" t="s">
        <v>41</v>
      </c>
      <c r="G1734">
        <v>-195.69720000000001</v>
      </c>
      <c r="H1734" s="1">
        <v>-3.5520730000000002E-6</v>
      </c>
      <c r="I1734">
        <v>334.45499999999998</v>
      </c>
      <c r="J1734">
        <v>-196.23570000000001</v>
      </c>
      <c r="K1734">
        <v>1.1180380000000001</v>
      </c>
      <c r="L1734">
        <v>361.88619999999997</v>
      </c>
      <c r="M1734">
        <v>0.74358990000000003</v>
      </c>
      <c r="N1734">
        <v>-1.4343160000000001E-2</v>
      </c>
      <c r="O1734">
        <v>-0.66848229999999997</v>
      </c>
      <c r="P1734">
        <v>0.31233880000000003</v>
      </c>
      <c r="Q1734">
        <v>-0.1100056</v>
      </c>
      <c r="R1734">
        <v>-0.94358030000000004</v>
      </c>
      <c r="S1734">
        <v>7.2250369999999994E-2</v>
      </c>
      <c r="T1734">
        <v>-0.12793299999999999</v>
      </c>
      <c r="U1734">
        <v>-3.1498719999999998</v>
      </c>
      <c r="V1734">
        <v>0.49212820000000002</v>
      </c>
      <c r="W1734">
        <v>-0.1014066</v>
      </c>
      <c r="X1734">
        <v>0.86459619999999904</v>
      </c>
      <c r="Y1734">
        <v>0.72769200000000001</v>
      </c>
      <c r="Z1734" s="1">
        <v>-8.628145E-5</v>
      </c>
      <c r="AA1734">
        <v>0.68590399999999996</v>
      </c>
      <c r="AB1734">
        <v>13</v>
      </c>
      <c r="AC1734">
        <v>0.53849999999999898</v>
      </c>
      <c r="AD1734">
        <v>-1.1180415520729901</v>
      </c>
      <c r="AE1734">
        <v>-27.431199999999901</v>
      </c>
      <c r="AF1734">
        <v>20.006422278253702</v>
      </c>
      <c r="AG1734">
        <v>-1.1180415520729901</v>
      </c>
      <c r="AH1734">
        <v>18.708553203750899</v>
      </c>
      <c r="AI1734">
        <v>92.337392609766198</v>
      </c>
      <c r="AJ1734">
        <v>43.0799527556577</v>
      </c>
      <c r="AK1734">
        <v>27.413808788009501</v>
      </c>
      <c r="AL1734">
        <v>95.820174357295997</v>
      </c>
      <c r="AM1734">
        <v>60.351465866997103</v>
      </c>
      <c r="AN1734">
        <v>1.00000002640661</v>
      </c>
    </row>
    <row r="1735" spans="1:40" x14ac:dyDescent="0.25">
      <c r="A1735" t="str">
        <f>"20190303154129039"</f>
        <v>20190303154129039</v>
      </c>
      <c r="B1735" t="str">
        <f>"1551598889030840"</f>
        <v>1551598889030840</v>
      </c>
      <c r="C1735" t="s">
        <v>40</v>
      </c>
      <c r="D1735">
        <v>6.4117559999999996</v>
      </c>
      <c r="E1735">
        <v>0.6132917</v>
      </c>
      <c r="F1735" t="s">
        <v>41</v>
      </c>
      <c r="G1735">
        <v>-195.73390000000001</v>
      </c>
      <c r="H1735" s="1">
        <v>-2.2937359999999999E-6</v>
      </c>
      <c r="I1735">
        <v>341.37950000000001</v>
      </c>
      <c r="J1735">
        <v>-196.13849999999999</v>
      </c>
      <c r="K1735">
        <v>1.118047</v>
      </c>
      <c r="L1735">
        <v>361.78359999999998</v>
      </c>
      <c r="M1735">
        <v>0.73730509999999905</v>
      </c>
      <c r="N1735">
        <v>-1.4333500000000001E-2</v>
      </c>
      <c r="O1735">
        <v>-0.67540809999999996</v>
      </c>
      <c r="P1735">
        <v>0.30248829999999999</v>
      </c>
      <c r="Q1735">
        <v>-0.11162619999999999</v>
      </c>
      <c r="R1735">
        <v>-0.94659439999999995</v>
      </c>
      <c r="S1735">
        <v>7.6690670000000002E-2</v>
      </c>
      <c r="T1735">
        <v>-0.1708701</v>
      </c>
      <c r="U1735">
        <v>-3.1340330000000001</v>
      </c>
      <c r="V1735">
        <v>0.49290139999999999</v>
      </c>
      <c r="W1735">
        <v>-0.103032399999999</v>
      </c>
      <c r="X1735">
        <v>0.86396319999999904</v>
      </c>
      <c r="Y1735">
        <v>0.72002140000000003</v>
      </c>
      <c r="Z1735">
        <v>5.54581E-3</v>
      </c>
      <c r="AA1735">
        <v>0.69392969999999998</v>
      </c>
      <c r="AB1735">
        <v>13</v>
      </c>
      <c r="AC1735">
        <v>0.40459999999998703</v>
      </c>
      <c r="AD1735">
        <v>-1.118049293736</v>
      </c>
      <c r="AE1735">
        <v>-20.4040999999999</v>
      </c>
      <c r="AF1735">
        <v>14.728087651652899</v>
      </c>
      <c r="AG1735">
        <v>-1.118049293736</v>
      </c>
      <c r="AH1735">
        <v>14.0387169690406</v>
      </c>
      <c r="AI1735">
        <v>93.145181846131294</v>
      </c>
      <c r="AJ1735">
        <v>43.627220756519499</v>
      </c>
      <c r="AK1735">
        <v>20.377737220673499</v>
      </c>
      <c r="AL1735">
        <v>95.913816876106793</v>
      </c>
      <c r="AM1735">
        <v>60.294721730044898</v>
      </c>
      <c r="AN1735">
        <v>0.99999993826297795</v>
      </c>
    </row>
    <row r="1736" spans="1:40" x14ac:dyDescent="0.25">
      <c r="A1736" t="str">
        <f>"20190303154129061"</f>
        <v>20190303154129061</v>
      </c>
      <c r="B1736" t="str">
        <f>"1551598889051338"</f>
        <v>1551598889051338</v>
      </c>
      <c r="C1736" t="s">
        <v>40</v>
      </c>
      <c r="D1736">
        <v>6.4386060000000001</v>
      </c>
      <c r="E1736">
        <v>0.58104639999999996</v>
      </c>
      <c r="F1736" t="s">
        <v>41</v>
      </c>
      <c r="G1736">
        <v>-195.81139999999999</v>
      </c>
      <c r="H1736" s="1">
        <v>-2.9787750000000001E-6</v>
      </c>
      <c r="I1736">
        <v>342.92829999999998</v>
      </c>
      <c r="J1736">
        <v>-196.04839999999999</v>
      </c>
      <c r="K1736">
        <v>1.1180540000000001</v>
      </c>
      <c r="L1736">
        <v>361.68669999999997</v>
      </c>
      <c r="M1736">
        <v>0.73136000000000001</v>
      </c>
      <c r="N1736">
        <v>-1.432516E-2</v>
      </c>
      <c r="O1736">
        <v>-0.68184129999999998</v>
      </c>
      <c r="P1736">
        <v>0.29360350000000002</v>
      </c>
      <c r="Q1736">
        <v>-0.11134570000000001</v>
      </c>
      <c r="R1736">
        <v>-0.9494205</v>
      </c>
      <c r="S1736">
        <v>5.4306029999999998E-2</v>
      </c>
      <c r="T1736">
        <v>-0.18559809999999999</v>
      </c>
      <c r="U1736">
        <v>-3.1300050000000001</v>
      </c>
      <c r="V1736">
        <v>0.49345859999999903</v>
      </c>
      <c r="W1736">
        <v>-0.10275040000000001</v>
      </c>
      <c r="X1736">
        <v>0.86367879999999997</v>
      </c>
      <c r="Y1736">
        <v>0.71882250000000003</v>
      </c>
      <c r="Z1736">
        <v>7.8114959999999898E-3</v>
      </c>
      <c r="AA1736">
        <v>0.69514980000000004</v>
      </c>
      <c r="AB1736">
        <v>13</v>
      </c>
      <c r="AC1736">
        <v>0.23699999999999399</v>
      </c>
      <c r="AD1736">
        <v>-1.1180569787749901</v>
      </c>
      <c r="AE1736">
        <v>-18.758399999999899</v>
      </c>
      <c r="AF1736">
        <v>13.510946623277301</v>
      </c>
      <c r="AG1736">
        <v>-1.1180569787749901</v>
      </c>
      <c r="AH1736">
        <v>12.919025336535499</v>
      </c>
      <c r="AI1736">
        <v>93.422779488630795</v>
      </c>
      <c r="AJ1736">
        <v>43.717027658128998</v>
      </c>
      <c r="AK1736">
        <v>18.726904328021899</v>
      </c>
      <c r="AL1736">
        <v>95.897572580053193</v>
      </c>
      <c r="AM1736">
        <v>60.258726665939598</v>
      </c>
      <c r="AN1736">
        <v>1.00000005209177</v>
      </c>
    </row>
    <row r="1737" spans="1:40" x14ac:dyDescent="0.25">
      <c r="A1737" t="str">
        <f>"20190303154129085"</f>
        <v>20190303154129085</v>
      </c>
      <c r="B1737" t="str">
        <f>"1551598889080614"</f>
        <v>1551598889080614</v>
      </c>
      <c r="C1737" t="s">
        <v>40</v>
      </c>
      <c r="D1737">
        <v>6.4801849999999996</v>
      </c>
      <c r="E1737">
        <v>0.58003309999999997</v>
      </c>
      <c r="F1737" t="s">
        <v>44</v>
      </c>
      <c r="G1737">
        <v>-195.34270000000001</v>
      </c>
      <c r="H1737" s="1">
        <v>-3.5591029999999998E-6</v>
      </c>
      <c r="I1737">
        <v>353.44040000000001</v>
      </c>
      <c r="J1737">
        <v>-195.95</v>
      </c>
      <c r="K1737">
        <v>1.1180699999999999</v>
      </c>
      <c r="L1737">
        <v>361.57900000000001</v>
      </c>
      <c r="M1737">
        <v>0.72473509999999997</v>
      </c>
      <c r="N1737">
        <v>-1.431647E-2</v>
      </c>
      <c r="O1737">
        <v>-0.68887900000000002</v>
      </c>
      <c r="P1737">
        <v>0.28447030000000001</v>
      </c>
      <c r="Q1737">
        <v>-0.110626</v>
      </c>
      <c r="R1737">
        <v>-0.95228089999999999</v>
      </c>
      <c r="S1737">
        <v>0.25942989999999999</v>
      </c>
      <c r="T1737">
        <v>-0.41099930000000001</v>
      </c>
      <c r="U1737">
        <v>-3.031342</v>
      </c>
      <c r="V1737">
        <v>0.49347639999999998</v>
      </c>
      <c r="W1737">
        <v>-0.1020181</v>
      </c>
      <c r="X1737">
        <v>0.86375539999999995</v>
      </c>
      <c r="Y1737">
        <v>0.6616746</v>
      </c>
      <c r="Z1737">
        <v>4.1957510000000003E-2</v>
      </c>
      <c r="AA1737">
        <v>0.74861630000000001</v>
      </c>
      <c r="AB1737">
        <v>13</v>
      </c>
      <c r="AC1737">
        <v>0.60729999999997997</v>
      </c>
      <c r="AD1737">
        <v>-1.118073559103</v>
      </c>
      <c r="AE1737">
        <v>-8.1385999999999896</v>
      </c>
      <c r="AF1737">
        <v>5.3795675080760903</v>
      </c>
      <c r="AG1737">
        <v>-1.118073559103</v>
      </c>
      <c r="AH1737">
        <v>5.9358542448895202</v>
      </c>
      <c r="AI1737">
        <v>97.945415842214004</v>
      </c>
      <c r="AJ1737">
        <v>47.814498866469499</v>
      </c>
      <c r="AK1737">
        <v>8.0885227745297303</v>
      </c>
      <c r="AL1737">
        <v>95.855393411564407</v>
      </c>
      <c r="AM1737">
        <v>60.260025160958499</v>
      </c>
      <c r="AN1737">
        <v>1.00000002055686</v>
      </c>
    </row>
    <row r="1738" spans="1:40" x14ac:dyDescent="0.25">
      <c r="A1738" t="str">
        <f>"20190303154129105"</f>
        <v>20190303154129105</v>
      </c>
      <c r="B1738" t="str">
        <f>"1551598889101111"</f>
        <v>1551598889101111</v>
      </c>
      <c r="C1738" t="s">
        <v>40</v>
      </c>
      <c r="D1738">
        <v>6.4283519999999896</v>
      </c>
      <c r="E1738">
        <v>0.57865390000000005</v>
      </c>
      <c r="F1738" t="s">
        <v>44</v>
      </c>
      <c r="G1738">
        <v>-195.27010000000001</v>
      </c>
      <c r="H1738" s="1">
        <v>-3.289569E-6</v>
      </c>
      <c r="I1738">
        <v>352.93680000000001</v>
      </c>
      <c r="J1738">
        <v>-195.8689</v>
      </c>
      <c r="K1738">
        <v>1.118079</v>
      </c>
      <c r="L1738">
        <v>361.48869999999999</v>
      </c>
      <c r="M1738">
        <v>0.71916400000000003</v>
      </c>
      <c r="N1738">
        <v>-1.43094E-2</v>
      </c>
      <c r="O1738">
        <v>-0.694693</v>
      </c>
      <c r="P1738">
        <v>0.2773098</v>
      </c>
      <c r="Q1738">
        <v>-0.11119759999999999</v>
      </c>
      <c r="R1738">
        <v>-0.95432380000000006</v>
      </c>
      <c r="S1738">
        <v>0.23866270000000001</v>
      </c>
      <c r="T1738">
        <v>-0.39244200000000001</v>
      </c>
      <c r="U1738">
        <v>-3.033417</v>
      </c>
      <c r="V1738">
        <v>0.49295990000000001</v>
      </c>
      <c r="W1738">
        <v>-0.1025727</v>
      </c>
      <c r="X1738">
        <v>0.86398459999999999</v>
      </c>
      <c r="Y1738">
        <v>0.66090979999999999</v>
      </c>
      <c r="Z1738">
        <v>4.0489219999999999E-2</v>
      </c>
      <c r="AA1738">
        <v>0.74937240000000005</v>
      </c>
      <c r="AB1738">
        <v>13</v>
      </c>
      <c r="AC1738">
        <v>0.59879999999998201</v>
      </c>
      <c r="AD1738">
        <v>-1.1180822895689999</v>
      </c>
      <c r="AE1738">
        <v>-8.5518999999999892</v>
      </c>
      <c r="AF1738">
        <v>5.6389071741746797</v>
      </c>
      <c r="AG1738">
        <v>-1.1180822895689999</v>
      </c>
      <c r="AH1738">
        <v>6.2656556245002202</v>
      </c>
      <c r="AI1738">
        <v>97.555604337033898</v>
      </c>
      <c r="AJ1738">
        <v>48.0137114973396</v>
      </c>
      <c r="AK1738">
        <v>8.5032830442152108</v>
      </c>
      <c r="AL1738">
        <v>95.887337315258094</v>
      </c>
      <c r="AM1738">
        <v>60.292405780493603</v>
      </c>
      <c r="AN1738">
        <v>1.0000000054152201</v>
      </c>
    </row>
    <row r="1739" spans="1:40" x14ac:dyDescent="0.25">
      <c r="A1739" t="str">
        <f>"20190303154129129"</f>
        <v>20190303154129129</v>
      </c>
      <c r="B1739" t="str">
        <f>"1551598889120631"</f>
        <v>1551598889120631</v>
      </c>
      <c r="C1739" t="s">
        <v>40</v>
      </c>
      <c r="D1739">
        <v>6.4930009999999996</v>
      </c>
      <c r="E1739">
        <v>0.57733900000000005</v>
      </c>
      <c r="F1739" t="s">
        <v>44</v>
      </c>
      <c r="G1739">
        <v>-195.2097</v>
      </c>
      <c r="H1739" s="1">
        <v>-3.1456980000000002E-6</v>
      </c>
      <c r="I1739">
        <v>352.67750000000001</v>
      </c>
      <c r="J1739">
        <v>-195.77699999999999</v>
      </c>
      <c r="K1739">
        <v>1.1180779999999999</v>
      </c>
      <c r="L1739">
        <v>361.38459999999998</v>
      </c>
      <c r="M1739">
        <v>0.71273169999999897</v>
      </c>
      <c r="N1739">
        <v>-1.430142E-2</v>
      </c>
      <c r="O1739">
        <v>-0.701291</v>
      </c>
      <c r="P1739">
        <v>0.26934609999999998</v>
      </c>
      <c r="Q1739">
        <v>-0.1130732</v>
      </c>
      <c r="R1739">
        <v>-0.95638230000000002</v>
      </c>
      <c r="S1739">
        <v>0.22689819999999999</v>
      </c>
      <c r="T1739">
        <v>-0.38484200000000002</v>
      </c>
      <c r="U1739">
        <v>-3.0328059999999999</v>
      </c>
      <c r="V1739">
        <v>0.4920332</v>
      </c>
      <c r="W1739">
        <v>-0.1044253</v>
      </c>
      <c r="X1739">
        <v>0.86429089999999997</v>
      </c>
      <c r="Y1739">
        <v>0.6569526</v>
      </c>
      <c r="Z1739">
        <v>4.0856129999999997E-2</v>
      </c>
      <c r="AA1739">
        <v>0.7528241</v>
      </c>
      <c r="AB1739">
        <v>13</v>
      </c>
      <c r="AC1739">
        <v>0.56730000000001701</v>
      </c>
      <c r="AD1739">
        <v>-1.118081145698</v>
      </c>
      <c r="AE1739">
        <v>-8.7070999999999596</v>
      </c>
      <c r="AF1739">
        <v>5.7147443937787799</v>
      </c>
      <c r="AG1739">
        <v>-1.118081145698</v>
      </c>
      <c r="AH1739">
        <v>6.4060254958407201</v>
      </c>
      <c r="AI1739">
        <v>97.420578653721094</v>
      </c>
      <c r="AJ1739">
        <v>48.264200981749703</v>
      </c>
      <c r="AK1739">
        <v>8.6571110416785508</v>
      </c>
      <c r="AL1739">
        <v>95.994056434502497</v>
      </c>
      <c r="AM1739">
        <v>60.347521660947102</v>
      </c>
      <c r="AN1739">
        <v>1.0000000365025601</v>
      </c>
    </row>
    <row r="1740" spans="1:40" x14ac:dyDescent="0.25">
      <c r="A1740" t="str">
        <f>"20190303154129152"</f>
        <v>20190303154129152</v>
      </c>
      <c r="B1740" t="str">
        <f>"1551598889141128"</f>
        <v>1551598889141128</v>
      </c>
      <c r="C1740" t="s">
        <v>40</v>
      </c>
      <c r="D1740">
        <v>6.4256760000000002</v>
      </c>
      <c r="E1740">
        <v>0.57620729999999998</v>
      </c>
      <c r="F1740" t="s">
        <v>44</v>
      </c>
      <c r="G1740">
        <v>-195.16069999999999</v>
      </c>
      <c r="H1740" s="1">
        <v>-3.0770540000000002E-6</v>
      </c>
      <c r="I1740">
        <v>352.56270000000001</v>
      </c>
      <c r="J1740">
        <v>-195.68719999999999</v>
      </c>
      <c r="K1740">
        <v>1.118079</v>
      </c>
      <c r="L1740">
        <v>361.2808</v>
      </c>
      <c r="M1740">
        <v>0.70631690000000003</v>
      </c>
      <c r="N1740">
        <v>-1.429361E-2</v>
      </c>
      <c r="O1740">
        <v>-0.70775180000000004</v>
      </c>
      <c r="P1740">
        <v>0.26128449999999998</v>
      </c>
      <c r="Q1740">
        <v>-0.1157164</v>
      </c>
      <c r="R1740">
        <v>-0.95830070000000001</v>
      </c>
      <c r="S1740">
        <v>0.2118073</v>
      </c>
      <c r="T1740">
        <v>-0.38423760000000001</v>
      </c>
      <c r="U1740">
        <v>-3.0317080000000001</v>
      </c>
      <c r="V1740">
        <v>0.49120259999999999</v>
      </c>
      <c r="W1740">
        <v>-0.107048</v>
      </c>
      <c r="X1740">
        <v>0.86444240000000006</v>
      </c>
      <c r="Y1740">
        <v>0.65383159999999996</v>
      </c>
      <c r="Z1740">
        <v>4.2104639999999999E-2</v>
      </c>
      <c r="AA1740">
        <v>0.75546769999999996</v>
      </c>
      <c r="AB1740">
        <v>13</v>
      </c>
      <c r="AC1740">
        <v>0.52649999999999797</v>
      </c>
      <c r="AD1740">
        <v>-1.1180820770540001</v>
      </c>
      <c r="AE1740">
        <v>-8.7180999999999909</v>
      </c>
      <c r="AF1740">
        <v>5.6924131607122197</v>
      </c>
      <c r="AG1740">
        <v>-1.1180820770540001</v>
      </c>
      <c r="AH1740">
        <v>6.4372999830902202</v>
      </c>
      <c r="AI1740">
        <v>97.413280505248906</v>
      </c>
      <c r="AJ1740">
        <v>48.514126139683903</v>
      </c>
      <c r="AK1740">
        <v>8.6655932396791204</v>
      </c>
      <c r="AL1740">
        <v>96.1451736869966</v>
      </c>
      <c r="AM1740">
        <v>60.393437593992402</v>
      </c>
      <c r="AN1740">
        <v>0.99999996573425898</v>
      </c>
    </row>
    <row r="1741" spans="1:40" x14ac:dyDescent="0.25">
      <c r="A1741" t="str">
        <f>"20190303154129173"</f>
        <v>20190303154129173</v>
      </c>
      <c r="B1741" t="str">
        <f>"1551598889170407"</f>
        <v>1551598889170407</v>
      </c>
      <c r="C1741" t="s">
        <v>40</v>
      </c>
      <c r="D1741">
        <v>6.5048459999999997</v>
      </c>
      <c r="E1741">
        <v>0.57475790000000004</v>
      </c>
      <c r="F1741" t="s">
        <v>44</v>
      </c>
      <c r="G1741">
        <v>-195.12549999999999</v>
      </c>
      <c r="H1741" s="1">
        <v>-3.0683360000000001E-6</v>
      </c>
      <c r="I1741">
        <v>352.5609</v>
      </c>
      <c r="J1741">
        <v>-195.60480000000001</v>
      </c>
      <c r="K1741">
        <v>1.118088</v>
      </c>
      <c r="L1741">
        <v>361.18400000000003</v>
      </c>
      <c r="M1741">
        <v>0.70031619999999895</v>
      </c>
      <c r="N1741">
        <v>-1.428627E-2</v>
      </c>
      <c r="O1741">
        <v>-0.71368989999999999</v>
      </c>
      <c r="P1741">
        <v>0.2540963</v>
      </c>
      <c r="Q1741">
        <v>-0.1176783</v>
      </c>
      <c r="R1741">
        <v>-0.9599934</v>
      </c>
      <c r="S1741">
        <v>0.19519039999999999</v>
      </c>
      <c r="T1741">
        <v>-0.38855590000000001</v>
      </c>
      <c r="U1741">
        <v>-3.0303650000000002</v>
      </c>
      <c r="V1741">
        <v>0.49020540000000001</v>
      </c>
      <c r="W1741">
        <v>-0.10898629999999999</v>
      </c>
      <c r="X1741">
        <v>0.86476629999999999</v>
      </c>
      <c r="Y1741">
        <v>0.65154860000000003</v>
      </c>
      <c r="Z1741">
        <v>4.3933920000000001E-2</v>
      </c>
      <c r="AA1741">
        <v>0.75733359999999905</v>
      </c>
      <c r="AB1741">
        <v>13</v>
      </c>
      <c r="AC1741">
        <v>0.47930000000002299</v>
      </c>
      <c r="AD1741">
        <v>-1.1180910683359999</v>
      </c>
      <c r="AE1741">
        <v>-8.6231000000000204</v>
      </c>
      <c r="AF1741">
        <v>5.6034886119910796</v>
      </c>
      <c r="AG1741">
        <v>-1.1180910683359999</v>
      </c>
      <c r="AH1741">
        <v>6.3835511078443004</v>
      </c>
      <c r="AI1741">
        <v>97.498864595896293</v>
      </c>
      <c r="AJ1741">
        <v>48.723301072355802</v>
      </c>
      <c r="AK1741">
        <v>8.5673179588635993</v>
      </c>
      <c r="AL1741">
        <v>96.256883196801198</v>
      </c>
      <c r="AM1741">
        <v>60.452634359384199</v>
      </c>
      <c r="AN1741">
        <v>1.0000000506962601</v>
      </c>
    </row>
    <row r="1742" spans="1:40" x14ac:dyDescent="0.25">
      <c r="A1742" t="str">
        <f>"20190303154129197"</f>
        <v>20190303154129197</v>
      </c>
      <c r="B1742" t="str">
        <f>"1551598889190903"</f>
        <v>1551598889190903</v>
      </c>
      <c r="C1742" t="s">
        <v>40</v>
      </c>
      <c r="D1742">
        <v>6.5190109999999999</v>
      </c>
      <c r="E1742">
        <v>0.57389799999999902</v>
      </c>
      <c r="F1742" t="s">
        <v>44</v>
      </c>
      <c r="G1742">
        <v>-195.08969999999999</v>
      </c>
      <c r="H1742" s="1">
        <v>-3.122832E-6</v>
      </c>
      <c r="I1742">
        <v>352.685</v>
      </c>
      <c r="J1742">
        <v>-195.5164</v>
      </c>
      <c r="K1742">
        <v>1.118109</v>
      </c>
      <c r="L1742">
        <v>361.07819999999998</v>
      </c>
      <c r="M1742">
        <v>0.69375679999999995</v>
      </c>
      <c r="N1742">
        <v>-1.427816E-2</v>
      </c>
      <c r="O1742">
        <v>-0.72006800000000004</v>
      </c>
      <c r="P1742">
        <v>0.24684980000000001</v>
      </c>
      <c r="Q1742">
        <v>-0.11858050000000001</v>
      </c>
      <c r="R1742">
        <v>-0.96177140000000005</v>
      </c>
      <c r="S1742">
        <v>0.1835022</v>
      </c>
      <c r="T1742">
        <v>-0.39830110000000002</v>
      </c>
      <c r="U1742">
        <v>-3.0276489999999998</v>
      </c>
      <c r="V1742">
        <v>0.48873699999999998</v>
      </c>
      <c r="W1742">
        <v>-0.1098534</v>
      </c>
      <c r="X1742">
        <v>0.86548740000000002</v>
      </c>
      <c r="Y1742">
        <v>0.64745629999999998</v>
      </c>
      <c r="Z1742">
        <v>4.6840060000000003E-2</v>
      </c>
      <c r="AA1742">
        <v>0.760661699999999</v>
      </c>
      <c r="AB1742">
        <v>13</v>
      </c>
      <c r="AC1742">
        <v>0.42670000000001002</v>
      </c>
      <c r="AD1742">
        <v>-1.1181121228319999</v>
      </c>
      <c r="AE1742">
        <v>-8.39319999999997</v>
      </c>
      <c r="AF1742">
        <v>5.4202057269195603</v>
      </c>
      <c r="AG1742">
        <v>-1.1181121228319999</v>
      </c>
      <c r="AH1742">
        <v>6.2300685569006404</v>
      </c>
      <c r="AI1742">
        <v>97.710932819490694</v>
      </c>
      <c r="AJ1742">
        <v>48.976489753355601</v>
      </c>
      <c r="AK1742">
        <v>8.3332202098010999</v>
      </c>
      <c r="AL1742">
        <v>96.306864590476494</v>
      </c>
      <c r="AM1742">
        <v>60.546770281965003</v>
      </c>
      <c r="AN1742">
        <v>1.00000003210965</v>
      </c>
    </row>
    <row r="1743" spans="1:40" x14ac:dyDescent="0.25">
      <c r="A1743" t="str">
        <f>"20190303154129219"</f>
        <v>20190303154129219</v>
      </c>
      <c r="B1743" t="str">
        <f>"1551598889210424"</f>
        <v>1551598889210424</v>
      </c>
      <c r="C1743" t="s">
        <v>40</v>
      </c>
      <c r="D1743">
        <v>6.488918</v>
      </c>
      <c r="E1743">
        <v>0.5730885</v>
      </c>
      <c r="F1743" t="s">
        <v>44</v>
      </c>
      <c r="G1743">
        <v>-195.0479</v>
      </c>
      <c r="H1743" s="1">
        <v>-3.077869E-6</v>
      </c>
      <c r="I1743">
        <v>352.61399999999998</v>
      </c>
      <c r="J1743">
        <v>-195.4348</v>
      </c>
      <c r="K1743">
        <v>1.1181299999999901</v>
      </c>
      <c r="L1743">
        <v>360.97879999999998</v>
      </c>
      <c r="M1743">
        <v>0.68759040000000005</v>
      </c>
      <c r="N1743">
        <v>-1.427025E-2</v>
      </c>
      <c r="O1743">
        <v>-0.72595849999999995</v>
      </c>
      <c r="P1743">
        <v>0.24024599999999999</v>
      </c>
      <c r="Q1743">
        <v>-0.1183874</v>
      </c>
      <c r="R1743">
        <v>-0.96346580000000004</v>
      </c>
      <c r="S1743">
        <v>0.16752619999999999</v>
      </c>
      <c r="T1743">
        <v>-0.3998467</v>
      </c>
      <c r="U1743">
        <v>-3.0268860000000002</v>
      </c>
      <c r="V1743">
        <v>0.48731770000000002</v>
      </c>
      <c r="W1743">
        <v>-0.1096234</v>
      </c>
      <c r="X1743">
        <v>0.86631639999999999</v>
      </c>
      <c r="Y1743">
        <v>0.64496799999999999</v>
      </c>
      <c r="Z1743">
        <v>4.8314080000000002E-2</v>
      </c>
      <c r="AA1743">
        <v>0.76268089999999999</v>
      </c>
      <c r="AB1743">
        <v>13</v>
      </c>
      <c r="AC1743">
        <v>0.38689999999999702</v>
      </c>
      <c r="AD1743">
        <v>-1.11813307786899</v>
      </c>
      <c r="AE1743">
        <v>-8.3647999999999403</v>
      </c>
      <c r="AF1743">
        <v>5.3753975593638899</v>
      </c>
      <c r="AG1743">
        <v>-1.11813307786899</v>
      </c>
      <c r="AH1743">
        <v>6.2281255010508696</v>
      </c>
      <c r="AI1743">
        <v>97.739606017260598</v>
      </c>
      <c r="AJ1743">
        <v>49.203037498574702</v>
      </c>
      <c r="AK1743">
        <v>8.30269039275103</v>
      </c>
      <c r="AL1743">
        <v>96.293606896124601</v>
      </c>
      <c r="AM1743">
        <v>60.641506667458202</v>
      </c>
      <c r="AN1743">
        <v>0.99999996773490396</v>
      </c>
    </row>
    <row r="1744" spans="1:40" x14ac:dyDescent="0.25">
      <c r="A1744" t="str">
        <f>"20190303154129242"</f>
        <v>20190303154129242</v>
      </c>
      <c r="B1744" t="str">
        <f>"1551598889230920"</f>
        <v>1551598889230920</v>
      </c>
      <c r="C1744" t="s">
        <v>40</v>
      </c>
      <c r="D1744">
        <v>6.50319</v>
      </c>
      <c r="E1744">
        <v>0.5722682</v>
      </c>
      <c r="F1744" t="s">
        <v>44</v>
      </c>
      <c r="G1744">
        <v>-195.00579999999999</v>
      </c>
      <c r="H1744" s="1">
        <v>-3.0117089999999999E-6</v>
      </c>
      <c r="I1744">
        <v>352.50110000000001</v>
      </c>
      <c r="J1744">
        <v>-195.34899999999999</v>
      </c>
      <c r="K1744">
        <v>1.118155</v>
      </c>
      <c r="L1744">
        <v>360.8723</v>
      </c>
      <c r="M1744">
        <v>0.68098059999999905</v>
      </c>
      <c r="N1744">
        <v>-1.426153E-2</v>
      </c>
      <c r="O1744">
        <v>-0.7321628</v>
      </c>
      <c r="P1744">
        <v>0.23334240000000001</v>
      </c>
      <c r="Q1744">
        <v>-0.1179576</v>
      </c>
      <c r="R1744">
        <v>-0.96521369999999895</v>
      </c>
      <c r="S1744">
        <v>0.1531525</v>
      </c>
      <c r="T1744">
        <v>-0.3991693</v>
      </c>
      <c r="U1744">
        <v>-3.0265200000000001</v>
      </c>
      <c r="V1744">
        <v>0.48571219999999998</v>
      </c>
      <c r="W1744">
        <v>-0.1091509</v>
      </c>
      <c r="X1744">
        <v>0.86727730000000003</v>
      </c>
      <c r="Y1744">
        <v>0.64168269999999905</v>
      </c>
      <c r="Z1744">
        <v>4.9553149999999997E-2</v>
      </c>
      <c r="AA1744">
        <v>0.76536769999999998</v>
      </c>
      <c r="AB1744">
        <v>13</v>
      </c>
      <c r="AC1744">
        <v>0.34320000000002399</v>
      </c>
      <c r="AD1744">
        <v>-1.118158011709</v>
      </c>
      <c r="AE1744">
        <v>-8.3711999999999804</v>
      </c>
      <c r="AF1744">
        <v>5.35452747132158</v>
      </c>
      <c r="AG1744">
        <v>-1.118158011709</v>
      </c>
      <c r="AH1744">
        <v>6.2520806655125103</v>
      </c>
      <c r="AI1744">
        <v>97.735542064704902</v>
      </c>
      <c r="AJ1744">
        <v>49.4219520778638</v>
      </c>
      <c r="AK1744">
        <v>8.3072109897583495</v>
      </c>
      <c r="AL1744">
        <v>96.266370449359798</v>
      </c>
      <c r="AM1744">
        <v>60.749317307690497</v>
      </c>
      <c r="AN1744">
        <v>1.00000008764746</v>
      </c>
    </row>
    <row r="1745" spans="1:40" x14ac:dyDescent="0.25">
      <c r="A1745" t="str">
        <f>"20190303154129263"</f>
        <v>20190303154129263</v>
      </c>
      <c r="B1745" t="str">
        <f>"1551598889251418"</f>
        <v>1551598889251418</v>
      </c>
      <c r="C1745" t="s">
        <v>40</v>
      </c>
      <c r="D1745">
        <v>6.5202600000000004</v>
      </c>
      <c r="E1745">
        <v>0.57159539999999998</v>
      </c>
      <c r="F1745" t="s">
        <v>44</v>
      </c>
      <c r="G1745">
        <v>-194.96350000000001</v>
      </c>
      <c r="H1745" s="1">
        <v>-2.9501430000000001E-6</v>
      </c>
      <c r="I1745">
        <v>352.3974</v>
      </c>
      <c r="J1745">
        <v>-195.2722</v>
      </c>
      <c r="K1745">
        <v>1.1181829999999999</v>
      </c>
      <c r="L1745">
        <v>360.77530000000002</v>
      </c>
      <c r="M1745">
        <v>0.67496709999999904</v>
      </c>
      <c r="N1745">
        <v>-1.4253200000000001E-2</v>
      </c>
      <c r="O1745">
        <v>-0.73771009999999904</v>
      </c>
      <c r="P1745">
        <v>0.22686909999999999</v>
      </c>
      <c r="Q1745">
        <v>-0.1180686</v>
      </c>
      <c r="R1745">
        <v>-0.9667422</v>
      </c>
      <c r="S1745">
        <v>0.13763429999999999</v>
      </c>
      <c r="T1745">
        <v>-0.39925270000000002</v>
      </c>
      <c r="U1745">
        <v>-3.026062</v>
      </c>
      <c r="V1745">
        <v>0.4844251</v>
      </c>
      <c r="W1745">
        <v>-0.1092243</v>
      </c>
      <c r="X1745">
        <v>0.86798759999999997</v>
      </c>
      <c r="Y1745">
        <v>0.63934399999999902</v>
      </c>
      <c r="Z1745">
        <v>5.0730360000000002E-2</v>
      </c>
      <c r="AA1745">
        <v>0.76724550000000002</v>
      </c>
      <c r="AB1745">
        <v>13</v>
      </c>
      <c r="AC1745">
        <v>0.30869999999998698</v>
      </c>
      <c r="AD1745">
        <v>-1.11818595014299</v>
      </c>
      <c r="AE1745">
        <v>-8.3779000000000092</v>
      </c>
      <c r="AF1745">
        <v>5.3327591414604596</v>
      </c>
      <c r="AG1745">
        <v>-1.11818595014299</v>
      </c>
      <c r="AH1745">
        <v>6.2777930480162398</v>
      </c>
      <c r="AI1745">
        <v>97.730689328380294</v>
      </c>
      <c r="AJ1745">
        <v>49.653297470029401</v>
      </c>
      <c r="AK1745">
        <v>8.3126016044105207</v>
      </c>
      <c r="AL1745">
        <v>96.270601494756093</v>
      </c>
      <c r="AM1745">
        <v>60.8340523645453</v>
      </c>
      <c r="AN1745">
        <v>1.00000004948712</v>
      </c>
    </row>
    <row r="1746" spans="1:40" x14ac:dyDescent="0.25">
      <c r="A1746" t="str">
        <f>"20190303154129285"</f>
        <v>20190303154129285</v>
      </c>
      <c r="B1746" t="str">
        <f>"1551598889280696"</f>
        <v>1551598889280696</v>
      </c>
      <c r="C1746" t="s">
        <v>40</v>
      </c>
      <c r="D1746">
        <v>6.5030799999999997</v>
      </c>
      <c r="E1746">
        <v>0.57063059999999999</v>
      </c>
      <c r="F1746" t="s">
        <v>44</v>
      </c>
      <c r="G1746">
        <v>-194.9273</v>
      </c>
      <c r="H1746" s="1">
        <v>-2.8743090000000002E-6</v>
      </c>
      <c r="I1746">
        <v>352.26260000000002</v>
      </c>
      <c r="J1746">
        <v>-195.19210000000001</v>
      </c>
      <c r="K1746">
        <v>1.1182030000000001</v>
      </c>
      <c r="L1746">
        <v>360.67250000000001</v>
      </c>
      <c r="M1746">
        <v>0.66859369999999996</v>
      </c>
      <c r="N1746">
        <v>-1.424316E-2</v>
      </c>
      <c r="O1746">
        <v>-0.74349149999999997</v>
      </c>
      <c r="P1746">
        <v>0.2185134</v>
      </c>
      <c r="Q1746">
        <v>-0.1189552</v>
      </c>
      <c r="R1746">
        <v>-0.96855650000000004</v>
      </c>
      <c r="S1746">
        <v>0.1226196</v>
      </c>
      <c r="T1746">
        <v>-0.39746510000000002</v>
      </c>
      <c r="U1746">
        <v>-3.0258790000000002</v>
      </c>
      <c r="V1746">
        <v>0.48437920000000001</v>
      </c>
      <c r="W1746">
        <v>-0.1100849</v>
      </c>
      <c r="X1746">
        <v>0.86790440000000002</v>
      </c>
      <c r="Y1746">
        <v>0.63656299999999999</v>
      </c>
      <c r="Z1746">
        <v>5.1670979999999998E-2</v>
      </c>
      <c r="AA1746">
        <v>0.76949190000000001</v>
      </c>
      <c r="AB1746">
        <v>13</v>
      </c>
      <c r="AC1746">
        <v>0.26480000000000797</v>
      </c>
      <c r="AD1746">
        <v>-1.118205874309</v>
      </c>
      <c r="AE1746">
        <v>-8.4098999999999897</v>
      </c>
      <c r="AF1746">
        <v>5.3323027089758801</v>
      </c>
      <c r="AG1746">
        <v>-1.118205874309</v>
      </c>
      <c r="AH1746">
        <v>6.3187847949176401</v>
      </c>
      <c r="AI1746">
        <v>97.702197730600304</v>
      </c>
      <c r="AJ1746">
        <v>49.8396147705704</v>
      </c>
      <c r="AK1746">
        <v>8.3433133611277697</v>
      </c>
      <c r="AL1746">
        <v>96.320209887253</v>
      </c>
      <c r="AM1746">
        <v>60.8340254825671</v>
      </c>
      <c r="AN1746">
        <v>0.99999997107000405</v>
      </c>
    </row>
    <row r="1747" spans="1:40" x14ac:dyDescent="0.25">
      <c r="A1747" t="str">
        <f>"20190303154129308"</f>
        <v>20190303154129308</v>
      </c>
      <c r="B1747" t="str">
        <f>"1551598889301192"</f>
        <v>1551598889301192</v>
      </c>
      <c r="C1747" t="s">
        <v>40</v>
      </c>
      <c r="D1747">
        <v>6.3492179999999996</v>
      </c>
      <c r="E1747">
        <v>0.57037450000000001</v>
      </c>
      <c r="F1747" t="s">
        <v>44</v>
      </c>
      <c r="G1747">
        <v>-194.90180000000001</v>
      </c>
      <c r="H1747" s="1">
        <v>-2.8508139999999998E-6</v>
      </c>
      <c r="I1747">
        <v>352.22719999999998</v>
      </c>
      <c r="J1747">
        <v>-195.11199999999999</v>
      </c>
      <c r="K1747">
        <v>1.118239</v>
      </c>
      <c r="L1747">
        <v>360.5677</v>
      </c>
      <c r="M1747">
        <v>0.66213739999999999</v>
      </c>
      <c r="N1747">
        <v>-1.4230349999999999E-2</v>
      </c>
      <c r="O1747">
        <v>-0.74924740000000001</v>
      </c>
      <c r="P1747">
        <v>0.20972869999999999</v>
      </c>
      <c r="Q1747">
        <v>-0.1191343</v>
      </c>
      <c r="R1747">
        <v>-0.97047479999999997</v>
      </c>
      <c r="S1747">
        <v>0.1039886</v>
      </c>
      <c r="T1747">
        <v>-0.40049420000000002</v>
      </c>
      <c r="U1747">
        <v>-3.02475</v>
      </c>
      <c r="V1747">
        <v>0.48473070000000001</v>
      </c>
      <c r="W1747">
        <v>-0.1102282</v>
      </c>
      <c r="X1747">
        <v>0.86768999999999996</v>
      </c>
      <c r="Y1747">
        <v>0.63462289999999999</v>
      </c>
      <c r="Z1747">
        <v>5.336457E-2</v>
      </c>
      <c r="AA1747">
        <v>0.77097729999999998</v>
      </c>
      <c r="AB1747">
        <v>13</v>
      </c>
      <c r="AC1747">
        <v>0.21019999999998601</v>
      </c>
      <c r="AD1747">
        <v>-1.118241850814</v>
      </c>
      <c r="AE1747">
        <v>-8.3405000000000094</v>
      </c>
      <c r="AF1747">
        <v>5.2709195471469297</v>
      </c>
      <c r="AG1747">
        <v>-1.118241850814</v>
      </c>
      <c r="AH1747">
        <v>6.2761783281621097</v>
      </c>
      <c r="AI1747">
        <v>97.769401956720998</v>
      </c>
      <c r="AJ1747">
        <v>49.975469628553697</v>
      </c>
      <c r="AK1747">
        <v>8.2718481681120792</v>
      </c>
      <c r="AL1747">
        <v>96.328470322957202</v>
      </c>
      <c r="AM1747">
        <v>60.810308336834403</v>
      </c>
      <c r="AN1747">
        <v>1.0000000218488601</v>
      </c>
    </row>
    <row r="1748" spans="1:40" x14ac:dyDescent="0.25">
      <c r="A1748" t="str">
        <f>"20190303154129331"</f>
        <v>20190303154129331</v>
      </c>
      <c r="B1748" t="str">
        <f>"1551598889320710"</f>
        <v>1551598889320710</v>
      </c>
      <c r="C1748" t="s">
        <v>40</v>
      </c>
      <c r="D1748">
        <v>6.3110489999999997</v>
      </c>
      <c r="E1748">
        <v>0.57029940000000001</v>
      </c>
      <c r="F1748" t="s">
        <v>44</v>
      </c>
      <c r="G1748">
        <v>-194.8914</v>
      </c>
      <c r="H1748" s="1">
        <v>-2.7745639999999999E-6</v>
      </c>
      <c r="I1748">
        <v>352.09129999999999</v>
      </c>
      <c r="J1748">
        <v>-195.03100000000001</v>
      </c>
      <c r="K1748">
        <v>1.1182920000000001</v>
      </c>
      <c r="L1748">
        <v>360.46010000000001</v>
      </c>
      <c r="M1748">
        <v>0.65555019999999997</v>
      </c>
      <c r="N1748">
        <v>-1.421364E-2</v>
      </c>
      <c r="O1748">
        <v>-0.75501799999999997</v>
      </c>
      <c r="P1748">
        <v>0.2010285</v>
      </c>
      <c r="Q1748">
        <v>-0.11990389999999999</v>
      </c>
      <c r="R1748">
        <v>-0.97221970000000002</v>
      </c>
      <c r="S1748">
        <v>7.8720090000000006E-2</v>
      </c>
      <c r="T1748">
        <v>-0.39910889999999999</v>
      </c>
      <c r="U1748">
        <v>-3.025299</v>
      </c>
      <c r="V1748">
        <v>0.4848518</v>
      </c>
      <c r="W1748">
        <v>-0.11094</v>
      </c>
      <c r="X1748">
        <v>0.86753159999999896</v>
      </c>
      <c r="Y1748">
        <v>0.63431939999999998</v>
      </c>
      <c r="Z1748">
        <v>5.4190629999999997E-2</v>
      </c>
      <c r="AA1748">
        <v>0.7711694</v>
      </c>
      <c r="AB1748">
        <v>13</v>
      </c>
      <c r="AC1748">
        <v>0.139599999999973</v>
      </c>
      <c r="AD1748">
        <v>-1.1182947745639999</v>
      </c>
      <c r="AE1748">
        <v>-8.3688000000000198</v>
      </c>
      <c r="AF1748">
        <v>5.2869332204619903</v>
      </c>
      <c r="AG1748">
        <v>-1.1182947745639999</v>
      </c>
      <c r="AH1748">
        <v>6.2983240631262696</v>
      </c>
      <c r="AI1748">
        <v>97.744323723499605</v>
      </c>
      <c r="AJ1748">
        <v>49.989261915401897</v>
      </c>
      <c r="AK1748">
        <v>8.2988633007537391</v>
      </c>
      <c r="AL1748">
        <v>96.369505183152498</v>
      </c>
      <c r="AM1748">
        <v>60.799759606664601</v>
      </c>
      <c r="AN1748">
        <v>1.00000001428089</v>
      </c>
    </row>
    <row r="1749" spans="1:40" x14ac:dyDescent="0.25">
      <c r="A1749" t="str">
        <f>"20190303154129353"</f>
        <v>20190303154129353</v>
      </c>
      <c r="B1749" t="str">
        <f>"1551598889341207"</f>
        <v>1551598889341207</v>
      </c>
      <c r="C1749" t="s">
        <v>40</v>
      </c>
      <c r="D1749">
        <v>6.4744440000000001</v>
      </c>
      <c r="E1749">
        <v>0.56995090000000004</v>
      </c>
      <c r="F1749" t="s">
        <v>44</v>
      </c>
      <c r="G1749">
        <v>-194.8818</v>
      </c>
      <c r="H1749" s="1">
        <v>-2.6453400000000002E-6</v>
      </c>
      <c r="I1749">
        <v>351.87729999999999</v>
      </c>
      <c r="J1749">
        <v>-194.95249999999999</v>
      </c>
      <c r="K1749">
        <v>1.118358</v>
      </c>
      <c r="L1749">
        <v>360.35419999999999</v>
      </c>
      <c r="M1749">
        <v>0.64913019999999999</v>
      </c>
      <c r="N1749">
        <v>-1.4193010000000001E-2</v>
      </c>
      <c r="O1749">
        <v>-0.76054500000000003</v>
      </c>
      <c r="P1749">
        <v>0.19310169999999999</v>
      </c>
      <c r="Q1749">
        <v>-0.1225301</v>
      </c>
      <c r="R1749">
        <v>-0.97349799999999997</v>
      </c>
      <c r="S1749">
        <v>5.2612300000000001E-2</v>
      </c>
      <c r="T1749">
        <v>-0.3942968</v>
      </c>
      <c r="U1749">
        <v>-3.0261840000000002</v>
      </c>
      <c r="V1749">
        <v>0.48436190000000001</v>
      </c>
      <c r="W1749">
        <v>-0.1134858</v>
      </c>
      <c r="X1749">
        <v>0.86747600000000002</v>
      </c>
      <c r="Y1749">
        <v>0.63446689999999994</v>
      </c>
      <c r="Z1749">
        <v>5.4345669999999999E-2</v>
      </c>
      <c r="AA1749">
        <v>0.77103719999999998</v>
      </c>
      <c r="AB1749">
        <v>13</v>
      </c>
      <c r="AC1749">
        <v>7.0699999999987995E-2</v>
      </c>
      <c r="AD1749">
        <v>-1.1183606453399999</v>
      </c>
      <c r="AE1749">
        <v>-8.4769000000000005</v>
      </c>
      <c r="AF1749">
        <v>5.3561687503073703</v>
      </c>
      <c r="AG1749">
        <v>-1.1183606453399999</v>
      </c>
      <c r="AH1749">
        <v>6.3825268422502699</v>
      </c>
      <c r="AI1749">
        <v>97.644658458445505</v>
      </c>
      <c r="AJ1749">
        <v>49.996877165596501</v>
      </c>
      <c r="AK1749">
        <v>8.4068973531773192</v>
      </c>
      <c r="AL1749">
        <v>96.516295727654494</v>
      </c>
      <c r="AM1749">
        <v>60.822856832643303</v>
      </c>
      <c r="AN1749">
        <v>1.0000000437746199</v>
      </c>
    </row>
    <row r="1750" spans="1:40" x14ac:dyDescent="0.25">
      <c r="A1750" t="str">
        <f>"20190303154129375"</f>
        <v>20190303154129375</v>
      </c>
      <c r="B1750" t="str">
        <f>"1551598889370488"</f>
        <v>1551598889370488</v>
      </c>
      <c r="C1750" t="s">
        <v>40</v>
      </c>
      <c r="D1750">
        <v>6.4693259999999997</v>
      </c>
      <c r="E1750">
        <v>0.56877440000000001</v>
      </c>
      <c r="F1750" t="s">
        <v>44</v>
      </c>
      <c r="G1750">
        <v>-194.86660000000001</v>
      </c>
      <c r="H1750" s="1">
        <v>-2.6338009999999999E-6</v>
      </c>
      <c r="I1750">
        <v>351.86470000000003</v>
      </c>
      <c r="J1750">
        <v>-194.8801</v>
      </c>
      <c r="K1750">
        <v>1.118428</v>
      </c>
      <c r="L1750">
        <v>360.255</v>
      </c>
      <c r="M1750">
        <v>0.64319090000000001</v>
      </c>
      <c r="N1750">
        <v>-1.416981E-2</v>
      </c>
      <c r="O1750">
        <v>-0.76557469999999905</v>
      </c>
      <c r="P1750">
        <v>0.18578500000000001</v>
      </c>
      <c r="Q1750">
        <v>-0.12515960000000001</v>
      </c>
      <c r="R1750">
        <v>-0.97458650000000002</v>
      </c>
      <c r="S1750">
        <v>3.0624390000000001E-2</v>
      </c>
      <c r="T1750">
        <v>-0.39855109999999999</v>
      </c>
      <c r="U1750">
        <v>-3.0254210000000001</v>
      </c>
      <c r="V1750">
        <v>0.48391719999999999</v>
      </c>
      <c r="W1750">
        <v>-0.11602999999999999</v>
      </c>
      <c r="X1750">
        <v>0.86738749999999998</v>
      </c>
      <c r="Y1750">
        <v>0.63404459999999996</v>
      </c>
      <c r="Z1750">
        <v>5.6043599999999999E-2</v>
      </c>
      <c r="AA1750">
        <v>0.77126300000000003</v>
      </c>
      <c r="AB1750">
        <v>13</v>
      </c>
      <c r="AC1750">
        <v>1.3499999999993399E-2</v>
      </c>
      <c r="AD1750">
        <v>-1.1184306338009999</v>
      </c>
      <c r="AE1750">
        <v>-8.3902999999999608</v>
      </c>
      <c r="AF1750">
        <v>5.2927241274527397</v>
      </c>
      <c r="AG1750">
        <v>-1.1184306338009999</v>
      </c>
      <c r="AH1750">
        <v>6.3204231605542898</v>
      </c>
      <c r="AI1750">
        <v>97.726081840332498</v>
      </c>
      <c r="AJ1750">
        <v>50.057184323620099</v>
      </c>
      <c r="AK1750">
        <v>8.3193488146859096</v>
      </c>
      <c r="AL1750">
        <v>96.6630377862584</v>
      </c>
      <c r="AM1750">
        <v>60.842765809360799</v>
      </c>
      <c r="AN1750">
        <v>0.99999994625604305</v>
      </c>
    </row>
    <row r="1751" spans="1:40" x14ac:dyDescent="0.25">
      <c r="A1751" t="str">
        <f>"20190303154129396"</f>
        <v>20190303154129396</v>
      </c>
      <c r="B1751" t="str">
        <f>"1551598889390983"</f>
        <v>1551598889390983</v>
      </c>
      <c r="C1751" t="s">
        <v>40</v>
      </c>
      <c r="D1751">
        <v>6.5300079999999996</v>
      </c>
      <c r="E1751">
        <v>0.55426169999999997</v>
      </c>
      <c r="F1751" t="s">
        <v>44</v>
      </c>
      <c r="G1751">
        <v>-194.83269999999999</v>
      </c>
      <c r="H1751" s="1">
        <v>-2.6715210000000001E-6</v>
      </c>
      <c r="I1751">
        <v>351.9436</v>
      </c>
      <c r="J1751">
        <v>-194.80529999999999</v>
      </c>
      <c r="K1751">
        <v>1.1185099999999999</v>
      </c>
      <c r="L1751">
        <v>360.15100000000001</v>
      </c>
      <c r="M1751">
        <v>0.63705279999999997</v>
      </c>
      <c r="N1751">
        <v>-1.414287E-2</v>
      </c>
      <c r="O1751">
        <v>-0.7706904</v>
      </c>
      <c r="P1751">
        <v>0.179114</v>
      </c>
      <c r="Q1751">
        <v>-0.1281398</v>
      </c>
      <c r="R1751">
        <v>-0.97544790000000003</v>
      </c>
      <c r="S1751">
        <v>1.724243E-2</v>
      </c>
      <c r="T1751">
        <v>-0.40675060000000002</v>
      </c>
      <c r="U1751">
        <v>-3.022675</v>
      </c>
      <c r="V1751">
        <v>0.48268299999999997</v>
      </c>
      <c r="W1751">
        <v>-0.1189069</v>
      </c>
      <c r="X1751">
        <v>0.86768559999999995</v>
      </c>
      <c r="Y1751">
        <v>0.63125339999999996</v>
      </c>
      <c r="Z1751">
        <v>5.8685470000000003E-2</v>
      </c>
      <c r="AA1751">
        <v>0.77335319999999996</v>
      </c>
      <c r="AB1751">
        <v>13</v>
      </c>
      <c r="AC1751">
        <v>-2.7400000000000001E-2</v>
      </c>
      <c r="AD1751">
        <v>-1.1185126715209901</v>
      </c>
      <c r="AE1751">
        <v>-8.2073999999999998</v>
      </c>
      <c r="AF1751">
        <v>5.1544590323474502</v>
      </c>
      <c r="AG1751">
        <v>-1.1185126715209901</v>
      </c>
      <c r="AH1751">
        <v>6.19351235322282</v>
      </c>
      <c r="AI1751">
        <v>97.902800013594998</v>
      </c>
      <c r="AJ1751">
        <v>50.231580920227998</v>
      </c>
      <c r="AK1751">
        <v>8.1350546268617698</v>
      </c>
      <c r="AL1751">
        <v>96.829020779793396</v>
      </c>
      <c r="AM1751">
        <v>60.913341922792199</v>
      </c>
      <c r="AN1751">
        <v>1.0000000149019801</v>
      </c>
    </row>
    <row r="1752" spans="1:40" x14ac:dyDescent="0.25">
      <c r="A1752" t="str">
        <f>"20190303154129419"</f>
        <v>20190303154129419</v>
      </c>
      <c r="B1752" t="str">
        <f>"1551598889410504"</f>
        <v>1551598889410504</v>
      </c>
      <c r="C1752" t="s">
        <v>40</v>
      </c>
      <c r="D1752">
        <v>6.34762</v>
      </c>
      <c r="E1752">
        <v>0.55891239999999998</v>
      </c>
      <c r="F1752" t="s">
        <v>44</v>
      </c>
      <c r="G1752">
        <v>-194.55099999999999</v>
      </c>
      <c r="H1752" s="1">
        <v>-3.197228E-6</v>
      </c>
      <c r="I1752">
        <v>353.07010000000002</v>
      </c>
      <c r="J1752">
        <v>-194.73339999999999</v>
      </c>
      <c r="K1752">
        <v>1.118584</v>
      </c>
      <c r="L1752">
        <v>360.0496</v>
      </c>
      <c r="M1752">
        <v>0.63116249999999996</v>
      </c>
      <c r="N1752">
        <v>-1.4114959999999999E-2</v>
      </c>
      <c r="O1752">
        <v>-0.77552239999999995</v>
      </c>
      <c r="P1752">
        <v>0.17252990000000001</v>
      </c>
      <c r="Q1752">
        <v>-0.13012389999999999</v>
      </c>
      <c r="R1752">
        <v>-0.97637149999999995</v>
      </c>
      <c r="S1752">
        <v>0.10748290000000001</v>
      </c>
      <c r="T1752">
        <v>-0.47289160000000002</v>
      </c>
      <c r="U1752">
        <v>-2.9936829999999999</v>
      </c>
      <c r="V1752">
        <v>0.48177419999999999</v>
      </c>
      <c r="W1752">
        <v>-0.1208019</v>
      </c>
      <c r="X1752">
        <v>0.8679289</v>
      </c>
      <c r="Y1752">
        <v>0.60140760000000004</v>
      </c>
      <c r="Z1752">
        <v>7.4418020000000001E-2</v>
      </c>
      <c r="AA1752">
        <v>0.79546899999999998</v>
      </c>
      <c r="AB1752">
        <v>13</v>
      </c>
      <c r="AC1752">
        <v>0.18240000000000101</v>
      </c>
      <c r="AD1752">
        <v>-1.1185871972279999</v>
      </c>
      <c r="AE1752">
        <v>-6.9794999999999696</v>
      </c>
      <c r="AF1752">
        <v>4.1574533542056198</v>
      </c>
      <c r="AG1752">
        <v>-1.1185871972279999</v>
      </c>
      <c r="AH1752">
        <v>5.3900791207931702</v>
      </c>
      <c r="AI1752">
        <v>99.331742078967594</v>
      </c>
      <c r="AJ1752">
        <v>52.356429210054202</v>
      </c>
      <c r="AK1752">
        <v>6.8984497271929497</v>
      </c>
      <c r="AL1752">
        <v>96.938384563824698</v>
      </c>
      <c r="AM1752">
        <v>60.966007898967398</v>
      </c>
      <c r="AN1752">
        <v>1.00000002714222</v>
      </c>
    </row>
    <row r="1753" spans="1:40" x14ac:dyDescent="0.25">
      <c r="A1753" t="str">
        <f>"20190303154129441"</f>
        <v>20190303154129441</v>
      </c>
      <c r="B1753" t="str">
        <f>"1551598889431013"</f>
        <v>1551598889431013</v>
      </c>
      <c r="C1753" t="s">
        <v>40</v>
      </c>
      <c r="D1753">
        <v>6.3375700000000004</v>
      </c>
      <c r="E1753">
        <v>0.56001040000000002</v>
      </c>
      <c r="F1753" t="s">
        <v>44</v>
      </c>
      <c r="G1753">
        <v>-194.5795</v>
      </c>
      <c r="H1753" s="1">
        <v>-2.3650179999999999E-6</v>
      </c>
      <c r="I1753">
        <v>351.53960000000001</v>
      </c>
      <c r="J1753">
        <v>-194.65539999999999</v>
      </c>
      <c r="K1753">
        <v>1.1186499999999999</v>
      </c>
      <c r="L1753">
        <v>359.93810000000002</v>
      </c>
      <c r="M1753">
        <v>0.62477059999999995</v>
      </c>
      <c r="N1753">
        <v>-1.4085540000000001E-2</v>
      </c>
      <c r="O1753">
        <v>-0.78068139999999997</v>
      </c>
      <c r="P1753">
        <v>0.16673669999999999</v>
      </c>
      <c r="Q1753">
        <v>-0.1305336</v>
      </c>
      <c r="R1753">
        <v>-0.9773231</v>
      </c>
      <c r="S1753">
        <v>5.4443360000000003E-2</v>
      </c>
      <c r="T1753">
        <v>-0.39567790000000003</v>
      </c>
      <c r="U1753">
        <v>-3.0102229999999999</v>
      </c>
      <c r="V1753">
        <v>0.47977940000000002</v>
      </c>
      <c r="W1753">
        <v>-0.1211232</v>
      </c>
      <c r="X1753">
        <v>0.86898850000000005</v>
      </c>
      <c r="Y1753">
        <v>0.60933159999999997</v>
      </c>
      <c r="Z1753">
        <v>6.0268929999999998E-2</v>
      </c>
      <c r="AA1753">
        <v>0.79062159999999904</v>
      </c>
      <c r="AB1753">
        <v>13</v>
      </c>
      <c r="AC1753">
        <v>7.5899999999990003E-2</v>
      </c>
      <c r="AD1753">
        <v>-1.118652365018</v>
      </c>
      <c r="AE1753">
        <v>-8.3985000000000092</v>
      </c>
      <c r="AF1753">
        <v>5.0979591611441801</v>
      </c>
      <c r="AG1753">
        <v>-1.118652365018</v>
      </c>
      <c r="AH1753">
        <v>6.4895043284094696</v>
      </c>
      <c r="AI1753">
        <v>97.719621855750702</v>
      </c>
      <c r="AJ1753">
        <v>51.847889322430397</v>
      </c>
      <c r="AK1753">
        <v>8.3279191369092604</v>
      </c>
      <c r="AL1753">
        <v>96.956929660697199</v>
      </c>
      <c r="AM1753">
        <v>61.096362889707997</v>
      </c>
      <c r="AN1753">
        <v>1.00000005768742</v>
      </c>
    </row>
    <row r="1754" spans="1:40" x14ac:dyDescent="0.25">
      <c r="A1754" t="str">
        <f>"20190303154129463"</f>
        <v>20190303154129463</v>
      </c>
      <c r="B1754" t="str">
        <f>"1551598889461255"</f>
        <v>1551598889461255</v>
      </c>
      <c r="C1754" t="s">
        <v>40</v>
      </c>
      <c r="D1754">
        <v>6.410641</v>
      </c>
      <c r="E1754">
        <v>0.56021639999999995</v>
      </c>
      <c r="F1754" t="s">
        <v>44</v>
      </c>
      <c r="G1754">
        <v>-194.56540000000001</v>
      </c>
      <c r="H1754" s="1">
        <v>-1.889741E-6</v>
      </c>
      <c r="I1754">
        <v>350.74299999999999</v>
      </c>
      <c r="J1754">
        <v>-194.58619999999999</v>
      </c>
      <c r="K1754">
        <v>1.1186860000000001</v>
      </c>
      <c r="L1754">
        <v>359.83769999999998</v>
      </c>
      <c r="M1754">
        <v>0.61907040000000002</v>
      </c>
      <c r="N1754">
        <v>-1.4061260000000001E-2</v>
      </c>
      <c r="O1754">
        <v>-0.78520970000000001</v>
      </c>
      <c r="P1754">
        <v>0.16284219999999999</v>
      </c>
      <c r="Q1754">
        <v>-0.13102159999999999</v>
      </c>
      <c r="R1754">
        <v>-0.97791419999999996</v>
      </c>
      <c r="S1754">
        <v>2.9525760000000002E-2</v>
      </c>
      <c r="T1754">
        <v>-0.36686160000000001</v>
      </c>
      <c r="U1754">
        <v>-3.015533</v>
      </c>
      <c r="V1754">
        <v>0.47688720000000001</v>
      </c>
      <c r="W1754">
        <v>-0.12154239999999999</v>
      </c>
      <c r="X1754">
        <v>0.87052059999999998</v>
      </c>
      <c r="Y1754">
        <v>0.61025529999999995</v>
      </c>
      <c r="Z1754">
        <v>5.55246E-2</v>
      </c>
      <c r="AA1754">
        <v>0.79025659999999998</v>
      </c>
      <c r="AB1754">
        <v>12</v>
      </c>
      <c r="AC1754">
        <v>2.0799999999979901E-2</v>
      </c>
      <c r="AD1754">
        <v>-1.118687889741</v>
      </c>
      <c r="AE1754">
        <v>-9.0946999999999303</v>
      </c>
      <c r="AF1754">
        <v>5.5308008492755798</v>
      </c>
      <c r="AG1754">
        <v>-1.118687889741</v>
      </c>
      <c r="AH1754">
        <v>7.04819102643261</v>
      </c>
      <c r="AI1754">
        <v>97.117406177105806</v>
      </c>
      <c r="AJ1754">
        <v>51.878293573387602</v>
      </c>
      <c r="AK1754">
        <v>9.0287439532908405</v>
      </c>
      <c r="AL1754">
        <v>96.981126975438201</v>
      </c>
      <c r="AM1754">
        <v>61.285261350223799</v>
      </c>
      <c r="AN1754">
        <v>1.0000000357729699</v>
      </c>
    </row>
    <row r="1755" spans="1:40" x14ac:dyDescent="0.25">
      <c r="A1755" t="str">
        <f>"20190303154129497"</f>
        <v>20190303154129497</v>
      </c>
      <c r="B1755" t="str">
        <f>"1551598889490535"</f>
        <v>1551598889490535</v>
      </c>
      <c r="C1755" t="s">
        <v>40</v>
      </c>
      <c r="D1755">
        <v>6.3603459999999998</v>
      </c>
      <c r="E1755">
        <v>0.5596428</v>
      </c>
      <c r="F1755" t="s">
        <v>44</v>
      </c>
      <c r="G1755">
        <v>-194.53290000000001</v>
      </c>
      <c r="H1755" s="1">
        <v>-1.5404539999999999E-6</v>
      </c>
      <c r="I1755">
        <v>350.16759999999999</v>
      </c>
      <c r="J1755">
        <v>-194.47919999999999</v>
      </c>
      <c r="K1755">
        <v>1.1187320000000001</v>
      </c>
      <c r="L1755">
        <v>359.67989999999998</v>
      </c>
      <c r="M1755">
        <v>0.61021429999999999</v>
      </c>
      <c r="N1755">
        <v>-1.4028519999999999E-2</v>
      </c>
      <c r="O1755">
        <v>-0.79211239999999905</v>
      </c>
      <c r="P1755">
        <v>0.15586920000000001</v>
      </c>
      <c r="Q1755">
        <v>-0.12994719999999901</v>
      </c>
      <c r="R1755">
        <v>-0.97919299999999998</v>
      </c>
      <c r="S1755">
        <v>1.664734E-2</v>
      </c>
      <c r="T1755">
        <v>-0.3491515</v>
      </c>
      <c r="U1755">
        <v>-3.0181269999999998</v>
      </c>
      <c r="V1755">
        <v>0.47342260000000003</v>
      </c>
      <c r="W1755">
        <v>-0.1204061</v>
      </c>
      <c r="X1755">
        <v>0.87256710000000004</v>
      </c>
      <c r="Y1755">
        <v>0.60483599999999904</v>
      </c>
      <c r="Z1755">
        <v>5.3564569999999999E-2</v>
      </c>
      <c r="AA1755">
        <v>0.79454659999999999</v>
      </c>
      <c r="AB1755">
        <v>12</v>
      </c>
      <c r="AC1755">
        <v>-5.3700000000020502E-2</v>
      </c>
      <c r="AD1755">
        <v>-1.118733540454</v>
      </c>
      <c r="AE1755">
        <v>-9.5122999999999802</v>
      </c>
      <c r="AF1755">
        <v>5.7678741573880803</v>
      </c>
      <c r="AG1755">
        <v>-1.118733540454</v>
      </c>
      <c r="AH1755">
        <v>7.4004205762759803</v>
      </c>
      <c r="AI1755">
        <v>96.7995017049127</v>
      </c>
      <c r="AJ1755">
        <v>52.067214745165799</v>
      </c>
      <c r="AK1755">
        <v>9.4491355020324992</v>
      </c>
      <c r="AL1755">
        <v>96.915540574440598</v>
      </c>
      <c r="AM1755">
        <v>61.517381266273397</v>
      </c>
      <c r="AN1755">
        <v>0.999999965555189</v>
      </c>
    </row>
    <row r="1756" spans="1:40" x14ac:dyDescent="0.25">
      <c r="A1756" t="str">
        <f>"20190303154129519"</f>
        <v>20190303154129519</v>
      </c>
      <c r="B1756" t="str">
        <f>"1551598889511031"</f>
        <v>1551598889511031</v>
      </c>
      <c r="C1756" t="s">
        <v>40</v>
      </c>
      <c r="D1756">
        <v>6.3496119999999996</v>
      </c>
      <c r="E1756">
        <v>0.55912689999999998</v>
      </c>
      <c r="F1756" t="s">
        <v>44</v>
      </c>
      <c r="G1756">
        <v>-194.47909999999999</v>
      </c>
      <c r="H1756" s="1">
        <v>-1.239533E-6</v>
      </c>
      <c r="I1756">
        <v>349.68329999999997</v>
      </c>
      <c r="J1756">
        <v>-194.40700000000001</v>
      </c>
      <c r="K1756">
        <v>1.1187450000000001</v>
      </c>
      <c r="L1756">
        <v>359.57100000000003</v>
      </c>
      <c r="M1756">
        <v>0.60416190000000003</v>
      </c>
      <c r="N1756">
        <v>-1.4010130000000001E-2</v>
      </c>
      <c r="O1756">
        <v>-0.79673830000000001</v>
      </c>
      <c r="P1756">
        <v>0.15067800000000001</v>
      </c>
      <c r="Q1756">
        <v>-0.12942670000000001</v>
      </c>
      <c r="R1756">
        <v>-0.98007390000000005</v>
      </c>
      <c r="S1756" s="1">
        <v>3.0517579999999999E-5</v>
      </c>
      <c r="T1756">
        <v>-0.33784899999999901</v>
      </c>
      <c r="U1756">
        <v>-3.0188899999999999</v>
      </c>
      <c r="V1756">
        <v>0.4714489</v>
      </c>
      <c r="W1756">
        <v>-0.1198637</v>
      </c>
      <c r="X1756">
        <v>0.87370969999999903</v>
      </c>
      <c r="Y1756">
        <v>0.60320410000000002</v>
      </c>
      <c r="Z1756">
        <v>5.2192080000000002E-2</v>
      </c>
      <c r="AA1756">
        <v>0.79587730000000001</v>
      </c>
      <c r="AB1756">
        <v>12</v>
      </c>
      <c r="AC1756">
        <v>-7.2099999999977599E-2</v>
      </c>
      <c r="AD1756">
        <v>-1.1187462395329999</v>
      </c>
      <c r="AE1756">
        <v>-9.8876999999999899</v>
      </c>
      <c r="AF1756">
        <v>5.9555707945011704</v>
      </c>
      <c r="AG1756">
        <v>-1.1187462395329999</v>
      </c>
      <c r="AH1756">
        <v>7.7360880297692498</v>
      </c>
      <c r="AI1756">
        <v>96.537044017211002</v>
      </c>
      <c r="AJ1756">
        <v>52.409387754995599</v>
      </c>
      <c r="AK1756">
        <v>9.8268751208674399</v>
      </c>
      <c r="AL1756">
        <v>96.8842363467311</v>
      </c>
      <c r="AM1756">
        <v>61.648947337223397</v>
      </c>
      <c r="AN1756">
        <v>1.00000000588149</v>
      </c>
    </row>
    <row r="1757" spans="1:40" x14ac:dyDescent="0.25">
      <c r="A1757" t="str">
        <f>"20190303154129544"</f>
        <v>20190303154129544</v>
      </c>
      <c r="B1757" t="str">
        <f>"1551598889541288"</f>
        <v>1551598889541288</v>
      </c>
      <c r="C1757" t="s">
        <v>40</v>
      </c>
      <c r="D1757">
        <v>6.3532219999999997</v>
      </c>
      <c r="E1757">
        <v>0.55846109999999904</v>
      </c>
      <c r="F1757" t="s">
        <v>41</v>
      </c>
      <c r="G1757">
        <v>-194.44640000000001</v>
      </c>
      <c r="H1757" s="1">
        <v>-5.0155950000000004E-6</v>
      </c>
      <c r="I1757">
        <v>349.40769999999998</v>
      </c>
      <c r="J1757">
        <v>-194.33340000000001</v>
      </c>
      <c r="K1757">
        <v>1.1187510000000001</v>
      </c>
      <c r="L1757">
        <v>359.45839999999998</v>
      </c>
      <c r="M1757">
        <v>0.59792619999999996</v>
      </c>
      <c r="N1757">
        <v>-1.3994609999999999E-2</v>
      </c>
      <c r="O1757">
        <v>-0.80142919999999995</v>
      </c>
      <c r="P1757">
        <v>0.1461297</v>
      </c>
      <c r="Q1757">
        <v>-0.12885050000000001</v>
      </c>
      <c r="R1757">
        <v>-0.98083849999999995</v>
      </c>
      <c r="S1757">
        <v>-1.170349E-2</v>
      </c>
      <c r="T1757">
        <v>-0.332312</v>
      </c>
      <c r="U1757">
        <v>-3.0188899999999999</v>
      </c>
      <c r="V1757">
        <v>0.4687365</v>
      </c>
      <c r="W1757">
        <v>-0.1192612</v>
      </c>
      <c r="X1757">
        <v>0.87525019999999998</v>
      </c>
      <c r="Y1757">
        <v>0.60011000000000003</v>
      </c>
      <c r="Z1757">
        <v>5.1996519999999997E-2</v>
      </c>
      <c r="AA1757">
        <v>0.79822579999999999</v>
      </c>
      <c r="AB1757">
        <v>12</v>
      </c>
      <c r="AC1757">
        <v>-0.112999999999999</v>
      </c>
      <c r="AD1757">
        <v>-1.118756015595</v>
      </c>
      <c r="AE1757">
        <v>-10.050700000000001</v>
      </c>
      <c r="AF1757">
        <v>6.0260798552785202</v>
      </c>
      <c r="AG1757">
        <v>-1.118756015595</v>
      </c>
      <c r="AH1757">
        <v>7.8903885676540098</v>
      </c>
      <c r="AI1757">
        <v>96.429147716098299</v>
      </c>
      <c r="AJ1757">
        <v>52.630155675350302</v>
      </c>
      <c r="AK1757">
        <v>9.9911703615336602</v>
      </c>
      <c r="AL1757">
        <v>96.849466080654807</v>
      </c>
      <c r="AM1757">
        <v>61.828914756085098</v>
      </c>
      <c r="AN1757">
        <v>1.00000002642886</v>
      </c>
    </row>
    <row r="1758" spans="1:40" x14ac:dyDescent="0.25">
      <c r="A1758" t="str">
        <f>"20190303154129567"</f>
        <v>20190303154129567</v>
      </c>
      <c r="B1758" t="str">
        <f>"1551598889560807"</f>
        <v>1551598889560807</v>
      </c>
      <c r="C1758" t="s">
        <v>40</v>
      </c>
      <c r="D1758">
        <v>6.3870440000000004</v>
      </c>
      <c r="E1758">
        <v>0.55783950000000004</v>
      </c>
      <c r="F1758" t="s">
        <v>41</v>
      </c>
      <c r="G1758">
        <v>-194.40289999999999</v>
      </c>
      <c r="H1758" s="1">
        <v>-4.9084399999999997E-6</v>
      </c>
      <c r="I1758">
        <v>349.1155</v>
      </c>
      <c r="J1758">
        <v>-194.26240000000001</v>
      </c>
      <c r="K1758">
        <v>1.118749</v>
      </c>
      <c r="L1758">
        <v>359.34800000000001</v>
      </c>
      <c r="M1758">
        <v>0.59181269999999997</v>
      </c>
      <c r="N1758">
        <v>-1.398247E-2</v>
      </c>
      <c r="O1758">
        <v>-0.80595450000000002</v>
      </c>
      <c r="P1758">
        <v>0.14119479999999901</v>
      </c>
      <c r="Q1758">
        <v>-0.12845580000000001</v>
      </c>
      <c r="R1758">
        <v>-0.98161290000000001</v>
      </c>
      <c r="S1758">
        <v>-2.0278930000000001E-2</v>
      </c>
      <c r="T1758">
        <v>-0.3265228</v>
      </c>
      <c r="U1758">
        <v>-3.018707</v>
      </c>
      <c r="V1758">
        <v>0.46651609999999999</v>
      </c>
      <c r="W1758">
        <v>-0.1188482</v>
      </c>
      <c r="X1758">
        <v>0.87649179999999904</v>
      </c>
      <c r="Y1758">
        <v>0.59632850000000004</v>
      </c>
      <c r="Z1758">
        <v>5.1731079999999999E-2</v>
      </c>
      <c r="AA1758">
        <v>0.80107189999999995</v>
      </c>
      <c r="AB1758">
        <v>12</v>
      </c>
      <c r="AC1758">
        <v>-0.14049999999997401</v>
      </c>
      <c r="AD1758">
        <v>-1.11875390844</v>
      </c>
      <c r="AE1758">
        <v>-10.2325</v>
      </c>
      <c r="AF1758">
        <v>6.0966969459776603</v>
      </c>
      <c r="AG1758">
        <v>-1.11875390844</v>
      </c>
      <c r="AH1758">
        <v>8.0681493323840296</v>
      </c>
      <c r="AI1758">
        <v>96.312941784424396</v>
      </c>
      <c r="AJ1758">
        <v>52.923482506411801</v>
      </c>
      <c r="AK1758">
        <v>10.174298875519201</v>
      </c>
      <c r="AL1758">
        <v>96.825633457420693</v>
      </c>
      <c r="AM1758">
        <v>61.975689419962301</v>
      </c>
      <c r="AN1758">
        <v>1.0000000208348401</v>
      </c>
    </row>
    <row r="1759" spans="1:40" x14ac:dyDescent="0.25">
      <c r="A1759" t="str">
        <f>"20190303154129587"</f>
        <v>20190303154129587</v>
      </c>
      <c r="B1759" t="str">
        <f>"1551598889581304"</f>
        <v>1551598889581304</v>
      </c>
      <c r="C1759" t="s">
        <v>40</v>
      </c>
      <c r="D1759">
        <v>6.37798</v>
      </c>
      <c r="E1759">
        <v>0.55727099999999996</v>
      </c>
      <c r="F1759" t="s">
        <v>41</v>
      </c>
      <c r="G1759">
        <v>-194.36760000000001</v>
      </c>
      <c r="H1759" s="1">
        <v>-4.8405800000000002E-6</v>
      </c>
      <c r="I1759">
        <v>348.93439999999998</v>
      </c>
      <c r="J1759">
        <v>-194.20230000000001</v>
      </c>
      <c r="K1759">
        <v>1.1187579999999999</v>
      </c>
      <c r="L1759">
        <v>359.25310000000002</v>
      </c>
      <c r="M1759">
        <v>0.58655590000000002</v>
      </c>
      <c r="N1759">
        <v>-1.397438E-2</v>
      </c>
      <c r="O1759">
        <v>-0.80978830000000002</v>
      </c>
      <c r="P1759">
        <v>0.1374493</v>
      </c>
      <c r="Q1759">
        <v>-0.12810969999999999</v>
      </c>
      <c r="R1759">
        <v>-0.98218939999999999</v>
      </c>
      <c r="S1759">
        <v>-3.048706E-2</v>
      </c>
      <c r="T1759">
        <v>-0.32424930000000002</v>
      </c>
      <c r="U1759">
        <v>-3.0181580000000001</v>
      </c>
      <c r="V1759">
        <v>0.46418700000000002</v>
      </c>
      <c r="W1759">
        <v>-0.11848110000000001</v>
      </c>
      <c r="X1759">
        <v>0.87777719999999904</v>
      </c>
      <c r="Y1759">
        <v>0.5938348</v>
      </c>
      <c r="Z1759">
        <v>5.1982920000000002E-2</v>
      </c>
      <c r="AA1759">
        <v>0.80290600000000001</v>
      </c>
      <c r="AB1759">
        <v>12</v>
      </c>
      <c r="AC1759">
        <v>-0.165300000000001</v>
      </c>
      <c r="AD1759">
        <v>-1.1187628405800001</v>
      </c>
      <c r="AE1759">
        <v>-10.3187</v>
      </c>
      <c r="AF1759">
        <v>6.1150908693682</v>
      </c>
      <c r="AG1759">
        <v>-1.1187628405800001</v>
      </c>
      <c r="AH1759">
        <v>8.1638681506471702</v>
      </c>
      <c r="AI1759">
        <v>96.259239486359107</v>
      </c>
      <c r="AJ1759">
        <v>53.1651994052609</v>
      </c>
      <c r="AK1759">
        <v>10.261321056045499</v>
      </c>
      <c r="AL1759">
        <v>96.804450119650099</v>
      </c>
      <c r="AM1759">
        <v>62.129174563993203</v>
      </c>
      <c r="AN1759">
        <v>1.00000007743302</v>
      </c>
    </row>
    <row r="1760" spans="1:40" x14ac:dyDescent="0.25">
      <c r="A1760" t="str">
        <f>"20190303154129608"</f>
        <v>20190303154129608</v>
      </c>
      <c r="B1760" t="str">
        <f>"1551598889600824"</f>
        <v>1551598889600824</v>
      </c>
      <c r="C1760" t="s">
        <v>40</v>
      </c>
      <c r="D1760">
        <v>6.3916089999999999</v>
      </c>
      <c r="E1760">
        <v>0.55667040000000001</v>
      </c>
      <c r="F1760" t="s">
        <v>41</v>
      </c>
      <c r="G1760">
        <v>-194.33279999999999</v>
      </c>
      <c r="H1760" s="1">
        <v>-4.7745809999999997E-6</v>
      </c>
      <c r="I1760">
        <v>348.75869999999998</v>
      </c>
      <c r="J1760">
        <v>-194.13640000000001</v>
      </c>
      <c r="K1760">
        <v>1.11876</v>
      </c>
      <c r="L1760">
        <v>359.1474</v>
      </c>
      <c r="M1760">
        <v>0.58069910000000002</v>
      </c>
      <c r="N1760">
        <v>-1.396741E-2</v>
      </c>
      <c r="O1760">
        <v>-0.81399860000000002</v>
      </c>
      <c r="P1760">
        <v>0.13330989999999901</v>
      </c>
      <c r="Q1760">
        <v>-0.12845760000000001</v>
      </c>
      <c r="R1760">
        <v>-0.98271430000000004</v>
      </c>
      <c r="S1760">
        <v>-3.7506100000000001E-2</v>
      </c>
      <c r="T1760">
        <v>-0.3217006</v>
      </c>
      <c r="U1760">
        <v>-3.0176699999999999</v>
      </c>
      <c r="V1760">
        <v>0.46152650000000001</v>
      </c>
      <c r="W1760">
        <v>-0.1188065</v>
      </c>
      <c r="X1760">
        <v>0.879135</v>
      </c>
      <c r="Y1760">
        <v>0.58991979999999999</v>
      </c>
      <c r="Z1760">
        <v>5.2290120000000002E-2</v>
      </c>
      <c r="AA1760">
        <v>0.80576689999999995</v>
      </c>
      <c r="AB1760">
        <v>12</v>
      </c>
      <c r="AC1760">
        <v>-0.19639999999998201</v>
      </c>
      <c r="AD1760">
        <v>-1.1187647745810001</v>
      </c>
      <c r="AE1760">
        <v>-10.3887</v>
      </c>
      <c r="AF1760">
        <v>6.1222060079501901</v>
      </c>
      <c r="AG1760">
        <v>-1.1187647745810001</v>
      </c>
      <c r="AH1760">
        <v>8.2475361627765604</v>
      </c>
      <c r="AI1760">
        <v>96.2161263075606</v>
      </c>
      <c r="AJ1760">
        <v>53.413232737586199</v>
      </c>
      <c r="AK1760">
        <v>10.33222598383</v>
      </c>
      <c r="AL1760">
        <v>96.823227170674997</v>
      </c>
      <c r="AM1760">
        <v>62.3015170882205</v>
      </c>
      <c r="AN1760">
        <v>1.00000002143474</v>
      </c>
    </row>
    <row r="1761" spans="1:40" x14ac:dyDescent="0.25">
      <c r="A1761" t="str">
        <f>"20190303154129632"</f>
        <v>20190303154129632</v>
      </c>
      <c r="B1761" t="str">
        <f>"1551598889621319"</f>
        <v>1551598889621319</v>
      </c>
      <c r="C1761" t="s">
        <v>40</v>
      </c>
      <c r="D1761">
        <v>6.430542</v>
      </c>
      <c r="E1761">
        <v>0.55621239999999905</v>
      </c>
      <c r="F1761" t="s">
        <v>41</v>
      </c>
      <c r="G1761">
        <v>-194.29499999999999</v>
      </c>
      <c r="H1761" s="1">
        <v>-4.7358889999999997E-6</v>
      </c>
      <c r="I1761">
        <v>348.66460000000001</v>
      </c>
      <c r="J1761">
        <v>-194.06809999999999</v>
      </c>
      <c r="K1761">
        <v>1.1187590000000001</v>
      </c>
      <c r="L1761">
        <v>359.03609999999998</v>
      </c>
      <c r="M1761">
        <v>0.57451809999999903</v>
      </c>
      <c r="N1761">
        <v>-1.3961680000000001E-2</v>
      </c>
      <c r="O1761">
        <v>-0.81837280000000001</v>
      </c>
      <c r="P1761">
        <v>0.12838239999999901</v>
      </c>
      <c r="Q1761">
        <v>-0.12828709999999999</v>
      </c>
      <c r="R1761">
        <v>-0.98339240000000006</v>
      </c>
      <c r="S1761">
        <v>-4.5639039999999999E-2</v>
      </c>
      <c r="T1761">
        <v>-0.32197740000000002</v>
      </c>
      <c r="U1761">
        <v>-3.0169069999999998</v>
      </c>
      <c r="V1761">
        <v>0.45929029999999998</v>
      </c>
      <c r="W1761">
        <v>-0.1186194</v>
      </c>
      <c r="X1761">
        <v>0.88033059999999996</v>
      </c>
      <c r="Y1761">
        <v>0.58598859999999997</v>
      </c>
      <c r="Z1761">
        <v>5.3196849999999997E-2</v>
      </c>
      <c r="AA1761">
        <v>0.80857129999999999</v>
      </c>
      <c r="AB1761">
        <v>12</v>
      </c>
      <c r="AC1761">
        <v>-0.22689999999999999</v>
      </c>
      <c r="AD1761">
        <v>-1.1187637358889999</v>
      </c>
      <c r="AE1761">
        <v>-10.3714999999999</v>
      </c>
      <c r="AF1761">
        <v>6.0742575459140902</v>
      </c>
      <c r="AG1761">
        <v>-1.1187637358889999</v>
      </c>
      <c r="AH1761">
        <v>8.2621201345959108</v>
      </c>
      <c r="AI1761">
        <v>96.2262004777985</v>
      </c>
      <c r="AJ1761">
        <v>53.676913743708802</v>
      </c>
      <c r="AK1761">
        <v>10.315564267131901</v>
      </c>
      <c r="AL1761">
        <v>96.812430565582204</v>
      </c>
      <c r="AM1761">
        <v>62.447834135784902</v>
      </c>
      <c r="AN1761">
        <v>1.0000000535133999</v>
      </c>
    </row>
    <row r="1762" spans="1:40" x14ac:dyDescent="0.25">
      <c r="A1762" t="str">
        <f>"20190303154129654"</f>
        <v>20190303154129654</v>
      </c>
      <c r="B1762" t="str">
        <f>"1551598889651280"</f>
        <v>1551598889651280</v>
      </c>
      <c r="C1762" t="s">
        <v>40</v>
      </c>
      <c r="D1762">
        <v>6.3934670000000002</v>
      </c>
      <c r="E1762">
        <v>0.55543880000000001</v>
      </c>
      <c r="F1762" t="s">
        <v>41</v>
      </c>
      <c r="G1762">
        <v>-194.2672</v>
      </c>
      <c r="H1762" s="1">
        <v>-4.6647749999999997E-6</v>
      </c>
      <c r="I1762">
        <v>348.47019999999998</v>
      </c>
      <c r="J1762">
        <v>-194.00630000000001</v>
      </c>
      <c r="K1762">
        <v>1.118757</v>
      </c>
      <c r="L1762">
        <v>358.93380000000002</v>
      </c>
      <c r="M1762">
        <v>0.56882390000000005</v>
      </c>
      <c r="N1762">
        <v>-1.395746E-2</v>
      </c>
      <c r="O1762">
        <v>-0.82234110000000005</v>
      </c>
      <c r="P1762">
        <v>0.1232871</v>
      </c>
      <c r="Q1762">
        <v>-0.12791810000000001</v>
      </c>
      <c r="R1762">
        <v>-0.98409259999999998</v>
      </c>
      <c r="S1762">
        <v>-5.6823730000000003E-2</v>
      </c>
      <c r="T1762">
        <v>-0.31938739999999999</v>
      </c>
      <c r="U1762">
        <v>-3.0163880000000001</v>
      </c>
      <c r="V1762">
        <v>0.45776919999999999</v>
      </c>
      <c r="W1762">
        <v>-0.11824079999999999</v>
      </c>
      <c r="X1762">
        <v>0.88117330000000005</v>
      </c>
      <c r="Y1762">
        <v>0.58338299999999998</v>
      </c>
      <c r="Z1762">
        <v>5.33743E-2</v>
      </c>
      <c r="AA1762">
        <v>0.81044159999999998</v>
      </c>
      <c r="AB1762">
        <v>12</v>
      </c>
      <c r="AC1762">
        <v>-0.26089999999999203</v>
      </c>
      <c r="AD1762">
        <v>-1.1187616647750001</v>
      </c>
      <c r="AE1762">
        <v>-10.4636</v>
      </c>
      <c r="AF1762">
        <v>6.0974332371328899</v>
      </c>
      <c r="AG1762">
        <v>-1.1187616647750001</v>
      </c>
      <c r="AH1762">
        <v>8.3615369602152096</v>
      </c>
      <c r="AI1762">
        <v>96.170129343293794</v>
      </c>
      <c r="AJ1762">
        <v>53.8995722756882</v>
      </c>
      <c r="AK1762">
        <v>10.4089202168576</v>
      </c>
      <c r="AL1762">
        <v>96.790585307122001</v>
      </c>
      <c r="AM1762">
        <v>62.548140143531199</v>
      </c>
      <c r="AN1762">
        <v>0.999999955943084</v>
      </c>
    </row>
    <row r="1763" spans="1:40" x14ac:dyDescent="0.25">
      <c r="A1763" t="str">
        <f>"20190303154129676"</f>
        <v>20190303154129676</v>
      </c>
      <c r="B1763" t="str">
        <f>"1551598889670799"</f>
        <v>1551598889670799</v>
      </c>
      <c r="C1763" t="s">
        <v>40</v>
      </c>
      <c r="D1763">
        <v>6.3164040000000004</v>
      </c>
      <c r="E1763">
        <v>0.55501690000000004</v>
      </c>
      <c r="F1763" t="s">
        <v>41</v>
      </c>
      <c r="G1763">
        <v>-194.2396</v>
      </c>
      <c r="H1763" s="1">
        <v>-4.6280350000000003E-6</v>
      </c>
      <c r="I1763">
        <v>348.3766</v>
      </c>
      <c r="J1763">
        <v>-193.94309999999999</v>
      </c>
      <c r="K1763">
        <v>1.118754</v>
      </c>
      <c r="L1763">
        <v>358.82740000000001</v>
      </c>
      <c r="M1763">
        <v>0.56289359999999999</v>
      </c>
      <c r="N1763">
        <v>-1.3953749999999999E-2</v>
      </c>
      <c r="O1763">
        <v>-0.82641160000000002</v>
      </c>
      <c r="P1763">
        <v>0.117047499999999</v>
      </c>
      <c r="Q1763">
        <v>-0.12725939999999999</v>
      </c>
      <c r="R1763">
        <v>-0.98493900000000001</v>
      </c>
      <c r="S1763">
        <v>-6.6619869999999998E-2</v>
      </c>
      <c r="T1763">
        <v>-0.3195422</v>
      </c>
      <c r="U1763">
        <v>-3.0153500000000002</v>
      </c>
      <c r="V1763">
        <v>0.4570669</v>
      </c>
      <c r="W1763">
        <v>-0.1175808</v>
      </c>
      <c r="X1763">
        <v>0.88162609999999997</v>
      </c>
      <c r="Y1763">
        <v>0.58018619999999899</v>
      </c>
      <c r="Z1763">
        <v>5.417392E-2</v>
      </c>
      <c r="AA1763">
        <v>0.81268019999999996</v>
      </c>
      <c r="AB1763">
        <v>12</v>
      </c>
      <c r="AC1763">
        <v>-0.29650000000000798</v>
      </c>
      <c r="AD1763">
        <v>-1.1187586280349999</v>
      </c>
      <c r="AE1763">
        <v>-10.450799999999999</v>
      </c>
      <c r="AF1763">
        <v>6.0589381341033901</v>
      </c>
      <c r="AG1763">
        <v>-1.1187586280349999</v>
      </c>
      <c r="AH1763">
        <v>8.3746944856931602</v>
      </c>
      <c r="AI1763">
        <v>96.177206921416897</v>
      </c>
      <c r="AJ1763">
        <v>54.114950277235401</v>
      </c>
      <c r="AK1763">
        <v>10.397012066425299</v>
      </c>
      <c r="AL1763">
        <v>96.752504228585295</v>
      </c>
      <c r="AM1763">
        <v>62.596141039064399</v>
      </c>
      <c r="AN1763">
        <v>0.99999998790273004</v>
      </c>
    </row>
    <row r="1764" spans="1:40" x14ac:dyDescent="0.25">
      <c r="A1764" t="str">
        <f>"20190303154129698"</f>
        <v>20190303154129698</v>
      </c>
      <c r="B1764" t="str">
        <f>"1551598889691296"</f>
        <v>1551598889691296</v>
      </c>
      <c r="C1764" t="s">
        <v>40</v>
      </c>
      <c r="D1764">
        <v>6.3504930000000002</v>
      </c>
      <c r="E1764">
        <v>0.55452330000000005</v>
      </c>
      <c r="F1764" t="s">
        <v>41</v>
      </c>
      <c r="G1764">
        <v>-194.23429999999999</v>
      </c>
      <c r="H1764" s="1">
        <v>-4.5620349999999996E-6</v>
      </c>
      <c r="I1764">
        <v>348.18540000000002</v>
      </c>
      <c r="J1764">
        <v>-193.88040000000001</v>
      </c>
      <c r="K1764">
        <v>1.1187530000000001</v>
      </c>
      <c r="L1764">
        <v>358.71980000000002</v>
      </c>
      <c r="M1764">
        <v>0.55688749999999998</v>
      </c>
      <c r="N1764">
        <v>-1.3950499999999999E-2</v>
      </c>
      <c r="O1764">
        <v>-0.83047099999999996</v>
      </c>
      <c r="P1764">
        <v>0.11124870000000001</v>
      </c>
      <c r="Q1764">
        <v>-0.12654009999999999</v>
      </c>
      <c r="R1764">
        <v>-0.98570380000000002</v>
      </c>
      <c r="S1764">
        <v>-8.2473749999999998E-2</v>
      </c>
      <c r="T1764">
        <v>-0.3169302</v>
      </c>
      <c r="U1764">
        <v>-3.0147400000000002</v>
      </c>
      <c r="V1764">
        <v>0.45592109999999902</v>
      </c>
      <c r="W1764">
        <v>-0.1168503</v>
      </c>
      <c r="X1764">
        <v>0.88231619999999999</v>
      </c>
      <c r="Y1764">
        <v>0.57857440000000004</v>
      </c>
      <c r="Z1764">
        <v>5.4295820000000002E-2</v>
      </c>
      <c r="AA1764">
        <v>0.8138204</v>
      </c>
      <c r="AB1764">
        <v>12</v>
      </c>
      <c r="AC1764">
        <v>-0.35389999999998101</v>
      </c>
      <c r="AD1764">
        <v>-1.1187575620350001</v>
      </c>
      <c r="AE1764">
        <v>-10.5344</v>
      </c>
      <c r="AF1764">
        <v>6.0923425370302402</v>
      </c>
      <c r="AG1764">
        <v>-1.1187575620350001</v>
      </c>
      <c r="AH1764">
        <v>8.4569869885879694</v>
      </c>
      <c r="AI1764">
        <v>96.126460290345094</v>
      </c>
      <c r="AJ1764">
        <v>54.231338067444703</v>
      </c>
      <c r="AK1764">
        <v>10.4827899433435</v>
      </c>
      <c r="AL1764">
        <v>96.710359324903294</v>
      </c>
      <c r="AM1764">
        <v>62.673149795322303</v>
      </c>
      <c r="AN1764">
        <v>0.99999995940886899</v>
      </c>
    </row>
    <row r="1765" spans="1:40" x14ac:dyDescent="0.25">
      <c r="A1765" t="str">
        <f>"20190303154129721"</f>
        <v>20190303154129721</v>
      </c>
      <c r="B1765" t="str">
        <f>"1551598889710819"</f>
        <v>1551598889710819</v>
      </c>
      <c r="C1765" t="s">
        <v>40</v>
      </c>
      <c r="D1765">
        <v>6.3784919999999996</v>
      </c>
      <c r="E1765">
        <v>0.55399390000000004</v>
      </c>
      <c r="F1765" t="s">
        <v>41</v>
      </c>
      <c r="G1765">
        <v>-194.22300000000001</v>
      </c>
      <c r="H1765" s="1">
        <v>-4.4975849999999997E-6</v>
      </c>
      <c r="I1765">
        <v>348.00199999999899</v>
      </c>
      <c r="J1765">
        <v>-193.81610000000001</v>
      </c>
      <c r="K1765">
        <v>1.1187530000000001</v>
      </c>
      <c r="L1765">
        <v>358.60770000000002</v>
      </c>
      <c r="M1765">
        <v>0.55061839999999995</v>
      </c>
      <c r="N1765">
        <v>-1.394718E-2</v>
      </c>
      <c r="O1765">
        <v>-0.83464069999999901</v>
      </c>
      <c r="P1765">
        <v>0.1050282</v>
      </c>
      <c r="Q1765">
        <v>-0.1262749</v>
      </c>
      <c r="R1765">
        <v>-0.98641999999999996</v>
      </c>
      <c r="S1765">
        <v>-9.6343990000000004E-2</v>
      </c>
      <c r="T1765">
        <v>-0.31460949999999999</v>
      </c>
      <c r="U1765">
        <v>-3.014008</v>
      </c>
      <c r="V1765">
        <v>0.4548661</v>
      </c>
      <c r="W1765">
        <v>-0.1165717</v>
      </c>
      <c r="X1765">
        <v>0.88289740000000005</v>
      </c>
      <c r="Y1765">
        <v>0.57619790000000004</v>
      </c>
      <c r="Z1765">
        <v>5.4523149999999999E-2</v>
      </c>
      <c r="AA1765">
        <v>0.81548959999999904</v>
      </c>
      <c r="AB1765">
        <v>12</v>
      </c>
      <c r="AC1765">
        <v>-0.406899999999978</v>
      </c>
      <c r="AD1765">
        <v>-1.1187574975849901</v>
      </c>
      <c r="AE1765">
        <v>-10.605700000000001</v>
      </c>
      <c r="AF1765">
        <v>6.1119985902639202</v>
      </c>
      <c r="AG1765">
        <v>-1.1187574975849901</v>
      </c>
      <c r="AH1765">
        <v>8.5339198128105593</v>
      </c>
      <c r="AI1765">
        <v>96.083623295350804</v>
      </c>
      <c r="AJ1765">
        <v>54.389738505771803</v>
      </c>
      <c r="AK1765">
        <v>10.5563219199336</v>
      </c>
      <c r="AL1765">
        <v>96.694286777812806</v>
      </c>
      <c r="AM1765">
        <v>62.742611712404504</v>
      </c>
      <c r="AN1765">
        <v>0.99999997454842904</v>
      </c>
    </row>
    <row r="1766" spans="1:40" x14ac:dyDescent="0.25">
      <c r="A1766" t="str">
        <f>"20190303154129745"</f>
        <v>20190303154129745</v>
      </c>
      <c r="B1766" t="str">
        <f>"1551598889741072"</f>
        <v>1551598889741072</v>
      </c>
      <c r="C1766" t="s">
        <v>40</v>
      </c>
      <c r="D1766">
        <v>6.3751470000000001</v>
      </c>
      <c r="E1766">
        <v>0.55324319999999905</v>
      </c>
      <c r="F1766" t="s">
        <v>41</v>
      </c>
      <c r="G1766">
        <v>-194.21180000000001</v>
      </c>
      <c r="H1766" s="1">
        <v>-4.4490629999999999E-6</v>
      </c>
      <c r="I1766">
        <v>347.86520000000002</v>
      </c>
      <c r="J1766">
        <v>-193.7535</v>
      </c>
      <c r="K1766">
        <v>1.118757</v>
      </c>
      <c r="L1766">
        <v>358.49680000000001</v>
      </c>
      <c r="M1766">
        <v>0.54440669999999902</v>
      </c>
      <c r="N1766">
        <v>-1.394363E-2</v>
      </c>
      <c r="O1766">
        <v>-0.83870560000000005</v>
      </c>
      <c r="P1766">
        <v>9.8879670000000003E-2</v>
      </c>
      <c r="Q1766">
        <v>-0.1272189</v>
      </c>
      <c r="R1766">
        <v>-0.98693390000000003</v>
      </c>
      <c r="S1766">
        <v>-0.1109924</v>
      </c>
      <c r="T1766">
        <v>-0.31378600000000001</v>
      </c>
      <c r="U1766">
        <v>-3.0130309999999998</v>
      </c>
      <c r="V1766">
        <v>0.4537446</v>
      </c>
      <c r="W1766">
        <v>-0.1174997</v>
      </c>
      <c r="X1766">
        <v>0.88335140000000001</v>
      </c>
      <c r="Y1766">
        <v>0.57410969999999995</v>
      </c>
      <c r="Z1766">
        <v>5.5044080000000002E-2</v>
      </c>
      <c r="AA1766">
        <v>0.81692609999999999</v>
      </c>
      <c r="AB1766">
        <v>12</v>
      </c>
      <c r="AC1766">
        <v>-0.45830000000000798</v>
      </c>
      <c r="AD1766">
        <v>-1.118761449063</v>
      </c>
      <c r="AE1766">
        <v>-10.631599999999899</v>
      </c>
      <c r="AF1766">
        <v>6.1054109028790302</v>
      </c>
      <c r="AG1766">
        <v>-1.118761449063</v>
      </c>
      <c r="AH1766">
        <v>8.5733633653638801</v>
      </c>
      <c r="AI1766">
        <v>96.0674264383495</v>
      </c>
      <c r="AJ1766">
        <v>54.543918110893301</v>
      </c>
      <c r="AK1766">
        <v>10.584433327649901</v>
      </c>
      <c r="AL1766">
        <v>96.747824896868096</v>
      </c>
      <c r="AM1766">
        <v>62.812128577975201</v>
      </c>
      <c r="AN1766">
        <v>1.0000000187056</v>
      </c>
    </row>
    <row r="1767" spans="1:40" x14ac:dyDescent="0.25">
      <c r="A1767" t="str">
        <f>"20190303154129766"</f>
        <v>20190303154129766</v>
      </c>
      <c r="B1767" t="str">
        <f>"1551598889760705"</f>
        <v>1551598889760705</v>
      </c>
      <c r="C1767" t="s">
        <v>40</v>
      </c>
      <c r="D1767">
        <v>6.3420620000000003</v>
      </c>
      <c r="E1767">
        <v>0.53148119999999999</v>
      </c>
      <c r="F1767" t="s">
        <v>41</v>
      </c>
      <c r="G1767">
        <v>-194.19220000000001</v>
      </c>
      <c r="H1767" s="1">
        <v>-4.4325880000000002E-6</v>
      </c>
      <c r="I1767">
        <v>347.827</v>
      </c>
      <c r="J1767">
        <v>-193.69489999999999</v>
      </c>
      <c r="K1767">
        <v>1.1187659999999999</v>
      </c>
      <c r="L1767">
        <v>358.39100000000002</v>
      </c>
      <c r="M1767">
        <v>0.53847599999999995</v>
      </c>
      <c r="N1767">
        <v>-1.3939999999999999E-2</v>
      </c>
      <c r="O1767">
        <v>-0.84252549999999904</v>
      </c>
      <c r="P1767">
        <v>9.3757960000000001E-2</v>
      </c>
      <c r="Q1767">
        <v>-0.1281736</v>
      </c>
      <c r="R1767">
        <v>-0.98731009999999997</v>
      </c>
      <c r="S1767">
        <v>-0.1238098</v>
      </c>
      <c r="T1767">
        <v>-0.31575619999999999</v>
      </c>
      <c r="U1767">
        <v>-3.0114139999999998</v>
      </c>
      <c r="V1767">
        <v>0.4520284</v>
      </c>
      <c r="W1767">
        <v>-0.11842809999999999</v>
      </c>
      <c r="X1767">
        <v>0.88410699999999998</v>
      </c>
      <c r="Y1767">
        <v>0.57182109999999997</v>
      </c>
      <c r="Z1767">
        <v>5.6166679999999997E-2</v>
      </c>
      <c r="AA1767">
        <v>0.8184534</v>
      </c>
      <c r="AB1767">
        <v>12</v>
      </c>
      <c r="AC1767">
        <v>-0.497300000000024</v>
      </c>
      <c r="AD1767">
        <v>-1.1187704325879999</v>
      </c>
      <c r="AE1767">
        <v>-10.563999999999901</v>
      </c>
      <c r="AF1767">
        <v>6.0404442408734402</v>
      </c>
      <c r="AG1767">
        <v>-1.1187704325879999</v>
      </c>
      <c r="AH1767">
        <v>8.5379473420705096</v>
      </c>
      <c r="AI1767">
        <v>96.105754414424894</v>
      </c>
      <c r="AJ1767">
        <v>54.721279746888598</v>
      </c>
      <c r="AK1767">
        <v>10.518324901043</v>
      </c>
      <c r="AL1767">
        <v>96.801392179159095</v>
      </c>
      <c r="AM1767">
        <v>62.920136304476998</v>
      </c>
      <c r="AN1767">
        <v>1.00000003836258</v>
      </c>
    </row>
    <row r="1768" spans="1:40" x14ac:dyDescent="0.25">
      <c r="A1768" t="str">
        <f>"20190303154129788"</f>
        <v>20190303154129788</v>
      </c>
      <c r="B1768" t="str">
        <f>"1551598889781201"</f>
        <v>1551598889781201</v>
      </c>
      <c r="C1768" t="s">
        <v>40</v>
      </c>
      <c r="D1768">
        <v>6.235951</v>
      </c>
      <c r="E1768">
        <v>0.49909429999999999</v>
      </c>
      <c r="F1768" t="s">
        <v>41</v>
      </c>
      <c r="G1768">
        <v>-193.56110000000001</v>
      </c>
      <c r="H1768" s="1">
        <v>-3.9551179999999997E-6</v>
      </c>
      <c r="I1768">
        <v>346.75290000000001</v>
      </c>
      <c r="J1768">
        <v>-193.63749999999999</v>
      </c>
      <c r="K1768">
        <v>1.118776</v>
      </c>
      <c r="L1768">
        <v>358.28559999999999</v>
      </c>
      <c r="M1768">
        <v>0.53256709999999996</v>
      </c>
      <c r="N1768">
        <v>-1.393602E-2</v>
      </c>
      <c r="O1768">
        <v>-0.8462731</v>
      </c>
      <c r="P1768">
        <v>8.8984709999999995E-2</v>
      </c>
      <c r="Q1768">
        <v>-0.127414</v>
      </c>
      <c r="R1768">
        <v>-0.98785000000000001</v>
      </c>
      <c r="S1768">
        <v>3.4469600000000003E-2</v>
      </c>
      <c r="T1768">
        <v>-0.28818510000000003</v>
      </c>
      <c r="U1768">
        <v>-2.9978639999999999</v>
      </c>
      <c r="V1768">
        <v>0.4501772</v>
      </c>
      <c r="W1768">
        <v>-0.1176354</v>
      </c>
      <c r="X1768">
        <v>0.88515679999999997</v>
      </c>
      <c r="Y1768">
        <v>0.52224609999999905</v>
      </c>
      <c r="Z1768">
        <v>5.2811329999999997E-2</v>
      </c>
      <c r="AA1768">
        <v>0.85115799999999997</v>
      </c>
      <c r="AB1768">
        <v>12</v>
      </c>
      <c r="AC1768">
        <v>7.6399999999978194E-2</v>
      </c>
      <c r="AD1768">
        <v>-1.118779955118</v>
      </c>
      <c r="AE1768">
        <v>-11.532699999999901</v>
      </c>
      <c r="AF1768">
        <v>6.0212092724473996</v>
      </c>
      <c r="AG1768">
        <v>-1.118779955118</v>
      </c>
      <c r="AH1768">
        <v>9.7100775425889907</v>
      </c>
      <c r="AI1768">
        <v>95.592580442023703</v>
      </c>
      <c r="AJ1768">
        <v>58.1969905049273</v>
      </c>
      <c r="AK1768">
        <v>11.4800799463101</v>
      </c>
      <c r="AL1768">
        <v>96.7556538176174</v>
      </c>
      <c r="AM1768">
        <v>63.042808156287002</v>
      </c>
      <c r="AN1768">
        <v>1.00000007965961</v>
      </c>
    </row>
    <row r="1769" spans="1:40" x14ac:dyDescent="0.25">
      <c r="A1769" t="str">
        <f>"20190303154129810"</f>
        <v>20190303154129810</v>
      </c>
      <c r="B1769" t="str">
        <f>"1551598889800730"</f>
        <v>1551598889800730</v>
      </c>
      <c r="C1769" t="s">
        <v>40</v>
      </c>
      <c r="D1769">
        <v>6.3103870000000004</v>
      </c>
      <c r="E1769">
        <v>0.49557980000000001</v>
      </c>
      <c r="F1769" t="s">
        <v>41</v>
      </c>
      <c r="G1769">
        <v>-192.3878</v>
      </c>
      <c r="H1769" s="1">
        <v>-2.9191780000000002E-6</v>
      </c>
      <c r="I1769">
        <v>344.9128</v>
      </c>
      <c r="J1769">
        <v>-193.5805</v>
      </c>
      <c r="K1769">
        <v>1.118792</v>
      </c>
      <c r="L1769">
        <v>358.17950000000002</v>
      </c>
      <c r="M1769">
        <v>0.52660969999999996</v>
      </c>
      <c r="N1769">
        <v>-1.393166E-2</v>
      </c>
      <c r="O1769">
        <v>-0.84999309999999995</v>
      </c>
      <c r="P1769">
        <v>8.4663139999999998E-2</v>
      </c>
      <c r="Q1769">
        <v>-0.1261014</v>
      </c>
      <c r="R1769">
        <v>-0.98839809999999995</v>
      </c>
      <c r="S1769">
        <v>0.27844239999999998</v>
      </c>
      <c r="T1769">
        <v>-0.24928449999999999</v>
      </c>
      <c r="U1769">
        <v>-2.9797060000000002</v>
      </c>
      <c r="V1769">
        <v>0.44793359999999899</v>
      </c>
      <c r="W1769">
        <v>-0.1162831</v>
      </c>
      <c r="X1769">
        <v>0.88647260000000005</v>
      </c>
      <c r="Y1769">
        <v>0.44497589999999998</v>
      </c>
      <c r="Z1769">
        <v>4.6793380000000002E-2</v>
      </c>
      <c r="AA1769">
        <v>0.89431919999999898</v>
      </c>
      <c r="AB1769">
        <v>12</v>
      </c>
      <c r="AC1769">
        <v>1.1927000000000001</v>
      </c>
      <c r="AD1769">
        <v>-1.118794919178</v>
      </c>
      <c r="AE1769">
        <v>-13.2667</v>
      </c>
      <c r="AF1769">
        <v>5.9313216709436496</v>
      </c>
      <c r="AG1769">
        <v>-1.118794919178</v>
      </c>
      <c r="AH1769">
        <v>11.822441602873299</v>
      </c>
      <c r="AI1769">
        <v>94.834847004669399</v>
      </c>
      <c r="AJ1769">
        <v>63.357069035247399</v>
      </c>
      <c r="AK1769">
        <v>13.274125368126301</v>
      </c>
      <c r="AL1769">
        <v>96.6776380211939</v>
      </c>
      <c r="AM1769">
        <v>63.1925818285387</v>
      </c>
      <c r="AN1769">
        <v>0.99999996995266405</v>
      </c>
    </row>
    <row r="1770" spans="1:40" x14ac:dyDescent="0.25">
      <c r="A1770" t="str">
        <f>"20190303154129832"</f>
        <v>20190303154129832</v>
      </c>
      <c r="B1770" t="str">
        <f>"1551598889821216"</f>
        <v>1551598889821216</v>
      </c>
      <c r="C1770" t="s">
        <v>40</v>
      </c>
      <c r="D1770">
        <v>6.2134549999999997</v>
      </c>
      <c r="E1770">
        <v>0.49522749999999999</v>
      </c>
      <c r="F1770" t="s">
        <v>41</v>
      </c>
      <c r="G1770">
        <v>-192.45310000000001</v>
      </c>
      <c r="H1770" s="1">
        <v>-3.6981490000000001E-6</v>
      </c>
      <c r="I1770">
        <v>346.68810000000002</v>
      </c>
      <c r="J1770">
        <v>-193.52189999999999</v>
      </c>
      <c r="K1770">
        <v>1.1188039999999999</v>
      </c>
      <c r="L1770">
        <v>358.06819999999999</v>
      </c>
      <c r="M1770">
        <v>0.52036170000000004</v>
      </c>
      <c r="N1770">
        <v>-1.39271E-2</v>
      </c>
      <c r="O1770">
        <v>-0.85383240000000005</v>
      </c>
      <c r="P1770">
        <v>8.0123570000000005E-2</v>
      </c>
      <c r="Q1770">
        <v>-0.12567059999999999</v>
      </c>
      <c r="R1770">
        <v>-0.98883140000000003</v>
      </c>
      <c r="S1770">
        <v>0.29171750000000002</v>
      </c>
      <c r="T1770">
        <v>-0.28948190000000001</v>
      </c>
      <c r="U1770">
        <v>-2.973328</v>
      </c>
      <c r="V1770">
        <v>0.4455402</v>
      </c>
      <c r="W1770">
        <v>-0.1158119</v>
      </c>
      <c r="X1770">
        <v>0.88773959999999996</v>
      </c>
      <c r="Y1770">
        <v>0.4342432</v>
      </c>
      <c r="Z1770">
        <v>5.7421449999999999E-2</v>
      </c>
      <c r="AA1770">
        <v>0.89896359999999997</v>
      </c>
      <c r="AB1770">
        <v>12</v>
      </c>
      <c r="AC1770">
        <v>1.06879999999998</v>
      </c>
      <c r="AD1770">
        <v>-1.1188076981490001</v>
      </c>
      <c r="AE1770">
        <v>-11.380099999999899</v>
      </c>
      <c r="AF1770">
        <v>4.9621363458579504</v>
      </c>
      <c r="AG1770">
        <v>-1.1188076981490001</v>
      </c>
      <c r="AH1770">
        <v>10.176358623649801</v>
      </c>
      <c r="AI1770">
        <v>95.643628251606202</v>
      </c>
      <c r="AJ1770">
        <v>64.005482740266302</v>
      </c>
      <c r="AK1770">
        <v>11.376853810146899</v>
      </c>
      <c r="AL1770">
        <v>96.650456189501895</v>
      </c>
      <c r="AM1770">
        <v>63.348766056649403</v>
      </c>
      <c r="AN1770">
        <v>1.0000000317029001</v>
      </c>
    </row>
    <row r="1771" spans="1:40" x14ac:dyDescent="0.25">
      <c r="A1771" t="str">
        <f>"20190303154129855"</f>
        <v>20190303154129855</v>
      </c>
      <c r="B1771" t="str">
        <f>"1551598889851474"</f>
        <v>1551598889851474</v>
      </c>
      <c r="C1771" t="s">
        <v>40</v>
      </c>
      <c r="D1771">
        <v>6.6311899999999904</v>
      </c>
      <c r="E1771">
        <v>0.49449280000000001</v>
      </c>
      <c r="F1771" t="s">
        <v>41</v>
      </c>
      <c r="G1771">
        <v>-192.42699999999999</v>
      </c>
      <c r="H1771" s="1">
        <v>-3.6011600000000001E-6</v>
      </c>
      <c r="I1771">
        <v>346.47820000000002</v>
      </c>
      <c r="J1771">
        <v>-193.46610000000001</v>
      </c>
      <c r="K1771">
        <v>1.1188180000000001</v>
      </c>
      <c r="L1771">
        <v>357.96069999999997</v>
      </c>
      <c r="M1771">
        <v>0.51431709999999997</v>
      </c>
      <c r="N1771">
        <v>-1.392257E-2</v>
      </c>
      <c r="O1771">
        <v>-0.85748719999999901</v>
      </c>
      <c r="P1771">
        <v>7.5859120000000002E-2</v>
      </c>
      <c r="Q1771">
        <v>-0.12594659999999999</v>
      </c>
      <c r="R1771">
        <v>-0.98913269999999998</v>
      </c>
      <c r="S1771">
        <v>0.28099059999999998</v>
      </c>
      <c r="T1771">
        <v>-0.28714220000000001</v>
      </c>
      <c r="U1771">
        <v>-2.9745789999999999</v>
      </c>
      <c r="V1771">
        <v>0.44308350000000002</v>
      </c>
      <c r="W1771">
        <v>-0.11604929999999999</v>
      </c>
      <c r="X1771">
        <v>0.88893739999999999</v>
      </c>
      <c r="Y1771">
        <v>0.4311373</v>
      </c>
      <c r="Z1771">
        <v>5.7403250000000003E-2</v>
      </c>
      <c r="AA1771">
        <v>0.90045849999999905</v>
      </c>
      <c r="AB1771">
        <v>12</v>
      </c>
      <c r="AC1771">
        <v>1.0390999999999899</v>
      </c>
      <c r="AD1771">
        <v>-1.1188216011600001</v>
      </c>
      <c r="AE1771">
        <v>-11.4824999999999</v>
      </c>
      <c r="AF1771">
        <v>4.96833055433863</v>
      </c>
      <c r="AG1771">
        <v>-1.1188216011600001</v>
      </c>
      <c r="AH1771">
        <v>10.284679247049599</v>
      </c>
      <c r="AI1771">
        <v>95.594525702917295</v>
      </c>
      <c r="AJ1771">
        <v>64.215706089438598</v>
      </c>
      <c r="AK1771">
        <v>11.4765281111967</v>
      </c>
      <c r="AL1771">
        <v>96.6641503238952</v>
      </c>
      <c r="AM1771">
        <v>63.506418937977699</v>
      </c>
      <c r="AN1771">
        <v>1.0000000645607401</v>
      </c>
    </row>
    <row r="1772" spans="1:40" x14ac:dyDescent="0.25">
      <c r="A1772" t="str">
        <f>"20190303154129877"</f>
        <v>20190303154129877</v>
      </c>
      <c r="B1772" t="str">
        <f>"1551598889870994"</f>
        <v>1551598889870994</v>
      </c>
      <c r="C1772" t="s">
        <v>40</v>
      </c>
      <c r="D1772">
        <v>6.2216100000000001</v>
      </c>
      <c r="E1772">
        <v>0.49407849999999998</v>
      </c>
      <c r="F1772" t="s">
        <v>41</v>
      </c>
      <c r="G1772">
        <v>-192.4307</v>
      </c>
      <c r="H1772" s="1">
        <v>-3.6994710000000002E-6</v>
      </c>
      <c r="I1772">
        <v>346.70510000000002</v>
      </c>
      <c r="J1772">
        <v>-193.41210000000001</v>
      </c>
      <c r="K1772">
        <v>1.1188309999999999</v>
      </c>
      <c r="L1772">
        <v>357.8544</v>
      </c>
      <c r="M1772">
        <v>0.50834049999999997</v>
      </c>
      <c r="N1772">
        <v>-1.3918E-2</v>
      </c>
      <c r="O1772">
        <v>-0.86104360000000002</v>
      </c>
      <c r="P1772">
        <v>7.139305E-2</v>
      </c>
      <c r="Q1772">
        <v>-0.1253812</v>
      </c>
      <c r="R1772">
        <v>-0.98953670000000005</v>
      </c>
      <c r="S1772">
        <v>0.2736053</v>
      </c>
      <c r="T1772">
        <v>-0.29564980000000002</v>
      </c>
      <c r="U1772">
        <v>-2.9743040000000001</v>
      </c>
      <c r="V1772">
        <v>0.44095879999999998</v>
      </c>
      <c r="W1772">
        <v>-0.115449499999999</v>
      </c>
      <c r="X1772">
        <v>0.89007119999999995</v>
      </c>
      <c r="Y1772">
        <v>0.42707440000000002</v>
      </c>
      <c r="Z1772">
        <v>6.0104909999999998E-2</v>
      </c>
      <c r="AA1772">
        <v>0.90221669999999998</v>
      </c>
      <c r="AB1772">
        <v>12</v>
      </c>
      <c r="AC1772">
        <v>0.98140000000000704</v>
      </c>
      <c r="AD1772">
        <v>-1.1188346994709999</v>
      </c>
      <c r="AE1772">
        <v>-11.149299999999901</v>
      </c>
      <c r="AF1772">
        <v>4.7753611103906897</v>
      </c>
      <c r="AG1772">
        <v>-1.1188346994709999</v>
      </c>
      <c r="AH1772">
        <v>9.9999706600241698</v>
      </c>
      <c r="AI1772">
        <v>95.765195448713797</v>
      </c>
      <c r="AJ1772">
        <v>64.473774444510994</v>
      </c>
      <c r="AK1772">
        <v>11.1380105055039</v>
      </c>
      <c r="AL1772">
        <v>96.629552219536194</v>
      </c>
      <c r="AM1772">
        <v>63.645279072320697</v>
      </c>
      <c r="AN1772">
        <v>0.99999999570856402</v>
      </c>
    </row>
    <row r="1773" spans="1:40" x14ac:dyDescent="0.25">
      <c r="A1773" t="str">
        <f>"20190303154129900"</f>
        <v>20190303154129900</v>
      </c>
      <c r="B1773" t="str">
        <f>"1551598889891489"</f>
        <v>1551598889891489</v>
      </c>
      <c r="C1773" t="s">
        <v>40</v>
      </c>
      <c r="D1773">
        <v>6.205813</v>
      </c>
      <c r="E1773">
        <v>0.4936835</v>
      </c>
      <c r="F1773" t="s">
        <v>41</v>
      </c>
      <c r="G1773">
        <v>-192.41800000000001</v>
      </c>
      <c r="H1773" s="1">
        <v>-3.6627539999999999E-6</v>
      </c>
      <c r="I1773">
        <v>346.62740000000002</v>
      </c>
      <c r="J1773">
        <v>-193.35669999999999</v>
      </c>
      <c r="K1773">
        <v>1.118841</v>
      </c>
      <c r="L1773">
        <v>357.74340000000001</v>
      </c>
      <c r="M1773">
        <v>0.50209289999999995</v>
      </c>
      <c r="N1773">
        <v>-1.39136E-2</v>
      </c>
      <c r="O1773">
        <v>-0.86470179999999996</v>
      </c>
      <c r="P1773">
        <v>6.6600709999999994E-2</v>
      </c>
      <c r="Q1773">
        <v>-0.1245053</v>
      </c>
      <c r="R1773">
        <v>-0.98998120000000001</v>
      </c>
      <c r="S1773">
        <v>0.26344299999999998</v>
      </c>
      <c r="T1773">
        <v>-0.29648940000000001</v>
      </c>
      <c r="U1773">
        <v>-2.9751280000000002</v>
      </c>
      <c r="V1773">
        <v>0.43889</v>
      </c>
      <c r="W1773">
        <v>-0.1145398</v>
      </c>
      <c r="X1773">
        <v>0.89121059999999996</v>
      </c>
      <c r="Y1773">
        <v>0.4236145</v>
      </c>
      <c r="Z1773">
        <v>6.0900490000000002E-2</v>
      </c>
      <c r="AA1773">
        <v>0.90379299999999996</v>
      </c>
      <c r="AB1773">
        <v>12</v>
      </c>
      <c r="AC1773">
        <v>0.93869999999998199</v>
      </c>
      <c r="AD1773">
        <v>-1.1188446627540001</v>
      </c>
      <c r="AE1773">
        <v>-11.1159999999999</v>
      </c>
      <c r="AF1773">
        <v>4.72252657920333</v>
      </c>
      <c r="AG1773">
        <v>-1.1188446627540001</v>
      </c>
      <c r="AH1773">
        <v>9.9838872889886794</v>
      </c>
      <c r="AI1773">
        <v>95.784536581726798</v>
      </c>
      <c r="AJ1773">
        <v>64.685157210991406</v>
      </c>
      <c r="AK1773">
        <v>11.1009943730228</v>
      </c>
      <c r="AL1773">
        <v>96.577081703790199</v>
      </c>
      <c r="AM1773">
        <v>63.781369135136003</v>
      </c>
      <c r="AN1773">
        <v>1.00000006571819</v>
      </c>
    </row>
    <row r="1774" spans="1:40" x14ac:dyDescent="0.25">
      <c r="A1774" t="str">
        <f>"20190303154129922"</f>
        <v>20190303154129922</v>
      </c>
      <c r="B1774" t="str">
        <f>"1551598889911009"</f>
        <v>1551598889911009</v>
      </c>
      <c r="C1774" t="s">
        <v>40</v>
      </c>
      <c r="D1774">
        <v>6.1975189999999998</v>
      </c>
      <c r="E1774">
        <v>0.49323450000000002</v>
      </c>
      <c r="F1774" t="s">
        <v>41</v>
      </c>
      <c r="G1774">
        <v>-192.40289999999999</v>
      </c>
      <c r="H1774" s="1">
        <v>-3.5956069999999999E-6</v>
      </c>
      <c r="I1774">
        <v>346.48020000000002</v>
      </c>
      <c r="J1774">
        <v>-193.304</v>
      </c>
      <c r="K1774">
        <v>1.1188469999999999</v>
      </c>
      <c r="L1774">
        <v>357.6361</v>
      </c>
      <c r="M1774">
        <v>0.49604559999999998</v>
      </c>
      <c r="N1774">
        <v>-1.3909410000000001E-2</v>
      </c>
      <c r="O1774">
        <v>-0.86818530000000005</v>
      </c>
      <c r="P1774">
        <v>6.2412639999999998E-2</v>
      </c>
      <c r="Q1774">
        <v>-0.1230049</v>
      </c>
      <c r="R1774">
        <v>-0.99044180000000004</v>
      </c>
      <c r="S1774">
        <v>0.25201420000000002</v>
      </c>
      <c r="T1774">
        <v>-0.29564430000000003</v>
      </c>
      <c r="U1774">
        <v>-2.9761959999999998</v>
      </c>
      <c r="V1774">
        <v>0.43654609999999999</v>
      </c>
      <c r="W1774">
        <v>-0.1130023</v>
      </c>
      <c r="X1774">
        <v>0.89255699999999905</v>
      </c>
      <c r="Y1774">
        <v>0.42077320000000001</v>
      </c>
      <c r="Z1774">
        <v>6.122905E-2</v>
      </c>
      <c r="AA1774">
        <v>0.90509720000000005</v>
      </c>
      <c r="AB1774">
        <v>12</v>
      </c>
      <c r="AC1774">
        <v>0.901100000000013</v>
      </c>
      <c r="AD1774">
        <v>-1.1188505956069901</v>
      </c>
      <c r="AE1774">
        <v>-11.1558999999999</v>
      </c>
      <c r="AF1774">
        <v>4.7049538298793001</v>
      </c>
      <c r="AG1774">
        <v>-1.1188505956069901</v>
      </c>
      <c r="AH1774">
        <v>10.033089158725</v>
      </c>
      <c r="AI1774">
        <v>95.765370498908595</v>
      </c>
      <c r="AJ1774">
        <v>64.876067446906006</v>
      </c>
      <c r="AK1774">
        <v>11.1378317128385</v>
      </c>
      <c r="AL1774">
        <v>96.488414095604199</v>
      </c>
      <c r="AM1774">
        <v>63.936925859909202</v>
      </c>
      <c r="AN1774">
        <v>1.00000000773975</v>
      </c>
    </row>
    <row r="1775" spans="1:40" x14ac:dyDescent="0.25">
      <c r="A1775" t="str">
        <f>"20190303154129946"</f>
        <v>20190303154129946</v>
      </c>
      <c r="B1775" t="str">
        <f>"1551598889941265"</f>
        <v>1551598889941265</v>
      </c>
      <c r="C1775" t="s">
        <v>40</v>
      </c>
      <c r="D1775">
        <v>6.1810729999999996</v>
      </c>
      <c r="E1775">
        <v>0.49274780000000001</v>
      </c>
      <c r="F1775" t="s">
        <v>41</v>
      </c>
      <c r="G1775">
        <v>-192.3766</v>
      </c>
      <c r="H1775" s="1">
        <v>-3.4976729999999999E-6</v>
      </c>
      <c r="I1775">
        <v>346.26830000000001</v>
      </c>
      <c r="J1775">
        <v>-193.24930000000001</v>
      </c>
      <c r="K1775">
        <v>1.11886</v>
      </c>
      <c r="L1775">
        <v>357.5224</v>
      </c>
      <c r="M1775">
        <v>0.4896295</v>
      </c>
      <c r="N1775">
        <v>-1.390514E-2</v>
      </c>
      <c r="O1775">
        <v>-0.87181960000000003</v>
      </c>
      <c r="P1775">
        <v>5.7478960000000003E-2</v>
      </c>
      <c r="Q1775">
        <v>-0.12174550000000001</v>
      </c>
      <c r="R1775">
        <v>-0.99089559999999999</v>
      </c>
      <c r="S1775">
        <v>0.2429047</v>
      </c>
      <c r="T1775">
        <v>-0.2930295</v>
      </c>
      <c r="U1775">
        <v>-2.9772639999999999</v>
      </c>
      <c r="V1775">
        <v>0.43449719999999997</v>
      </c>
      <c r="W1775">
        <v>-0.1117103</v>
      </c>
      <c r="X1775">
        <v>0.89371859999999903</v>
      </c>
      <c r="Y1775">
        <v>0.41686909999999999</v>
      </c>
      <c r="Z1775">
        <v>6.1153779999999998E-2</v>
      </c>
      <c r="AA1775">
        <v>0.90690700000000002</v>
      </c>
      <c r="AB1775">
        <v>12</v>
      </c>
      <c r="AC1775">
        <v>0.87270000000000802</v>
      </c>
      <c r="AD1775">
        <v>-1.1188634976730001</v>
      </c>
      <c r="AE1775">
        <v>-11.2540999999999</v>
      </c>
      <c r="AF1775">
        <v>4.7037481179089902</v>
      </c>
      <c r="AG1775">
        <v>-1.1188634976730001</v>
      </c>
      <c r="AH1775">
        <v>10.140208840701099</v>
      </c>
      <c r="AI1775">
        <v>95.715958592948695</v>
      </c>
      <c r="AJ1775">
        <v>65.114785190642706</v>
      </c>
      <c r="AK1775">
        <v>11.2339190497435</v>
      </c>
      <c r="AL1775">
        <v>96.413916452341198</v>
      </c>
      <c r="AM1775">
        <v>64.072471627319004</v>
      </c>
      <c r="AN1775">
        <v>0.99999997195994395</v>
      </c>
    </row>
    <row r="1776" spans="1:40" x14ac:dyDescent="0.25">
      <c r="A1776" t="str">
        <f>"20190303154129969"</f>
        <v>20190303154129969</v>
      </c>
      <c r="B1776" t="str">
        <f>"1551598889961291"</f>
        <v>1551598889961291</v>
      </c>
      <c r="C1776" t="s">
        <v>40</v>
      </c>
      <c r="D1776">
        <v>6.1587300000000003</v>
      </c>
      <c r="E1776">
        <v>0.49253140000000001</v>
      </c>
      <c r="F1776" t="s">
        <v>41</v>
      </c>
      <c r="G1776">
        <v>-192.36179999999999</v>
      </c>
      <c r="H1776" s="1">
        <v>-3.4316299999999999E-6</v>
      </c>
      <c r="I1776">
        <v>346.12349999999998</v>
      </c>
      <c r="J1776">
        <v>-193.19669999999999</v>
      </c>
      <c r="K1776">
        <v>1.118873</v>
      </c>
      <c r="L1776">
        <v>357.41149999999999</v>
      </c>
      <c r="M1776">
        <v>0.48334769999999999</v>
      </c>
      <c r="N1776">
        <v>-1.390124E-2</v>
      </c>
      <c r="O1776">
        <v>-0.87531819999999905</v>
      </c>
      <c r="P1776">
        <v>5.2582520000000001E-2</v>
      </c>
      <c r="Q1776">
        <v>-0.12130059999999999</v>
      </c>
      <c r="R1776">
        <v>-0.99122239999999995</v>
      </c>
      <c r="S1776">
        <v>0.23187260000000001</v>
      </c>
      <c r="T1776">
        <v>-0.29232619999999998</v>
      </c>
      <c r="U1776">
        <v>-2.9782099999999998</v>
      </c>
      <c r="V1776">
        <v>0.4325193</v>
      </c>
      <c r="W1776">
        <v>-0.11123669999999999</v>
      </c>
      <c r="X1776">
        <v>0.89473649999999905</v>
      </c>
      <c r="Y1776">
        <v>0.4137014</v>
      </c>
      <c r="Z1776">
        <v>6.1520329999999998E-2</v>
      </c>
      <c r="AA1776">
        <v>0.90833160000000002</v>
      </c>
      <c r="AB1776">
        <v>12</v>
      </c>
      <c r="AC1776">
        <v>0.83490000000000397</v>
      </c>
      <c r="AD1776">
        <v>-1.1188764316299999</v>
      </c>
      <c r="AE1776">
        <v>-11.288</v>
      </c>
      <c r="AF1776">
        <v>4.67995172987942</v>
      </c>
      <c r="AG1776">
        <v>-1.1188764316299999</v>
      </c>
      <c r="AH1776">
        <v>10.1856031169731</v>
      </c>
      <c r="AI1776">
        <v>95.700198979960007</v>
      </c>
      <c r="AJ1776">
        <v>65.322765129556004</v>
      </c>
      <c r="AK1776">
        <v>11.2650052605292</v>
      </c>
      <c r="AL1776">
        <v>96.386610958008703</v>
      </c>
      <c r="AM1776">
        <v>64.200686409704701</v>
      </c>
      <c r="AN1776">
        <v>0.99999997636581395</v>
      </c>
    </row>
    <row r="1777" spans="1:40" x14ac:dyDescent="0.25">
      <c r="A1777" t="str">
        <f>"20190303154129990"</f>
        <v>20190303154129990</v>
      </c>
      <c r="B1777" t="str">
        <f>"1551598889980812"</f>
        <v>1551598889980812</v>
      </c>
      <c r="C1777" t="s">
        <v>40</v>
      </c>
      <c r="D1777">
        <v>6.174175</v>
      </c>
      <c r="E1777">
        <v>0.49212679999999998</v>
      </c>
      <c r="F1777" t="s">
        <v>41</v>
      </c>
      <c r="G1777">
        <v>-192.35910000000001</v>
      </c>
      <c r="H1777" s="1">
        <v>-3.3837880000000002E-6</v>
      </c>
      <c r="I1777">
        <v>346.0136</v>
      </c>
      <c r="J1777">
        <v>-193.1463</v>
      </c>
      <c r="K1777">
        <v>1.1188739999999999</v>
      </c>
      <c r="L1777">
        <v>357.30259999999998</v>
      </c>
      <c r="M1777">
        <v>0.47717789999999999</v>
      </c>
      <c r="N1777">
        <v>-1.389778E-2</v>
      </c>
      <c r="O1777">
        <v>-0.8786969</v>
      </c>
      <c r="P1777">
        <v>4.6213320000000002E-2</v>
      </c>
      <c r="Q1777">
        <v>-0.12169240000000001</v>
      </c>
      <c r="R1777">
        <v>-0.99149169999999998</v>
      </c>
      <c r="S1777">
        <v>0.21894839999999999</v>
      </c>
      <c r="T1777">
        <v>-0.29245139999999997</v>
      </c>
      <c r="U1777">
        <v>-2.9791560000000001</v>
      </c>
      <c r="V1777">
        <v>0.43195030000000001</v>
      </c>
      <c r="W1777">
        <v>-0.1116206</v>
      </c>
      <c r="X1777">
        <v>0.89496359999999997</v>
      </c>
      <c r="Y1777">
        <v>0.41124359999999999</v>
      </c>
      <c r="Z1777">
        <v>6.2061989999999997E-2</v>
      </c>
      <c r="AA1777">
        <v>0.9094103</v>
      </c>
      <c r="AB1777">
        <v>12</v>
      </c>
      <c r="AC1777">
        <v>0.78719999999998402</v>
      </c>
      <c r="AD1777">
        <v>-1.1188773837879999</v>
      </c>
      <c r="AE1777">
        <v>-11.2889999999999</v>
      </c>
      <c r="AF1777">
        <v>4.6501459004920003</v>
      </c>
      <c r="AG1777">
        <v>-1.1188773837879999</v>
      </c>
      <c r="AH1777">
        <v>10.196559034648899</v>
      </c>
      <c r="AI1777">
        <v>95.701438735032298</v>
      </c>
      <c r="AJ1777">
        <v>65.484618629563002</v>
      </c>
      <c r="AK1777">
        <v>11.2625734023311</v>
      </c>
      <c r="AL1777">
        <v>96.408744285034004</v>
      </c>
      <c r="AM1777">
        <v>64.235921359487705</v>
      </c>
      <c r="AN1777">
        <v>1.0000000326697001</v>
      </c>
    </row>
    <row r="1778" spans="1:40" x14ac:dyDescent="0.25">
      <c r="A1778" t="str">
        <f>"20190303154130012"</f>
        <v>20190303154130012</v>
      </c>
      <c r="B1778" t="str">
        <f>"1551598890001307"</f>
        <v>1551598890001307</v>
      </c>
      <c r="C1778" t="s">
        <v>40</v>
      </c>
      <c r="D1778">
        <v>6.1948189999999999</v>
      </c>
      <c r="E1778">
        <v>0.49179859999999997</v>
      </c>
      <c r="F1778" t="s">
        <v>41</v>
      </c>
      <c r="G1778">
        <v>-192.37629999999999</v>
      </c>
      <c r="H1778" s="1">
        <v>-3.3816299999999999E-6</v>
      </c>
      <c r="I1778">
        <v>345.99799999999999</v>
      </c>
      <c r="J1778">
        <v>-193.09809999999999</v>
      </c>
      <c r="K1778">
        <v>1.1188750000000001</v>
      </c>
      <c r="L1778">
        <v>357.1968</v>
      </c>
      <c r="M1778">
        <v>0.47115469999999998</v>
      </c>
      <c r="N1778">
        <v>-1.389519E-2</v>
      </c>
      <c r="O1778">
        <v>-0.88194150000000004</v>
      </c>
      <c r="P1778">
        <v>4.1589790000000001E-2</v>
      </c>
      <c r="Q1778">
        <v>-0.1208378</v>
      </c>
      <c r="R1778">
        <v>-0.99180100000000004</v>
      </c>
      <c r="S1778">
        <v>0.20298769999999999</v>
      </c>
      <c r="T1778">
        <v>-0.29494870000000001</v>
      </c>
      <c r="U1778">
        <v>-2.9800420000000001</v>
      </c>
      <c r="V1778">
        <v>0.43005670000000001</v>
      </c>
      <c r="W1778">
        <v>-0.1107416</v>
      </c>
      <c r="X1778">
        <v>0.89598409999999995</v>
      </c>
      <c r="Y1778">
        <v>0.40987669999999998</v>
      </c>
      <c r="Z1778">
        <v>6.3172030000000004E-2</v>
      </c>
      <c r="AA1778">
        <v>0.90995079999999995</v>
      </c>
      <c r="AB1778">
        <v>12</v>
      </c>
      <c r="AC1778">
        <v>0.721800000000001</v>
      </c>
      <c r="AD1778">
        <v>-1.1188783816299901</v>
      </c>
      <c r="AE1778">
        <v>-11.198799999999901</v>
      </c>
      <c r="AF1778">
        <v>4.5945547243598597</v>
      </c>
      <c r="AG1778">
        <v>-1.1188783816299901</v>
      </c>
      <c r="AH1778">
        <v>10.117176065833</v>
      </c>
      <c r="AI1778">
        <v>95.750006251413396</v>
      </c>
      <c r="AJ1778">
        <v>65.575580996252498</v>
      </c>
      <c r="AK1778">
        <v>11.1677694055295</v>
      </c>
      <c r="AL1778">
        <v>96.358067394052398</v>
      </c>
      <c r="AM1778">
        <v>64.359808490878393</v>
      </c>
      <c r="AN1778">
        <v>0.99999998731912998</v>
      </c>
    </row>
    <row r="1779" spans="1:40" x14ac:dyDescent="0.25">
      <c r="A1779" t="str">
        <f>"20190303154130034"</f>
        <v>20190303154130034</v>
      </c>
      <c r="B1779" t="str">
        <f>"1551598890031564"</f>
        <v>1551598890031564</v>
      </c>
      <c r="C1779" t="s">
        <v>40</v>
      </c>
      <c r="D1779">
        <v>6.1569599999999998</v>
      </c>
      <c r="E1779">
        <v>0.49136200000000002</v>
      </c>
      <c r="F1779" t="s">
        <v>41</v>
      </c>
      <c r="G1779">
        <v>-192.36859999999999</v>
      </c>
      <c r="H1779" s="1">
        <v>-3.3180339999999999E-6</v>
      </c>
      <c r="I1779">
        <v>345.85449999999997</v>
      </c>
      <c r="J1779">
        <v>-193.05080000000001</v>
      </c>
      <c r="K1779">
        <v>1.118879</v>
      </c>
      <c r="L1779">
        <v>357.09120000000001</v>
      </c>
      <c r="M1779">
        <v>0.46512369999999997</v>
      </c>
      <c r="N1779">
        <v>-1.389308E-2</v>
      </c>
      <c r="O1779">
        <v>-0.88513679999999995</v>
      </c>
      <c r="P1779">
        <v>3.7924989999999999E-2</v>
      </c>
      <c r="Q1779">
        <v>-0.1211639</v>
      </c>
      <c r="R1779">
        <v>-0.99190780000000001</v>
      </c>
      <c r="S1779">
        <v>0.1917114</v>
      </c>
      <c r="T1779">
        <v>-0.29405759999999997</v>
      </c>
      <c r="U1779">
        <v>-2.9809269999999999</v>
      </c>
      <c r="V1779">
        <v>0.42723369999999999</v>
      </c>
      <c r="W1779">
        <v>-0.1110375</v>
      </c>
      <c r="X1779">
        <v>0.89729709999999996</v>
      </c>
      <c r="Y1779">
        <v>0.40710269999999998</v>
      </c>
      <c r="Z1779">
        <v>6.3435829999999999E-2</v>
      </c>
      <c r="AA1779">
        <v>0.91117689999999996</v>
      </c>
      <c r="AB1779">
        <v>12</v>
      </c>
      <c r="AC1779">
        <v>0.68220000000002201</v>
      </c>
      <c r="AD1779">
        <v>-1.118882318034</v>
      </c>
      <c r="AE1779">
        <v>-11.236700000000001</v>
      </c>
      <c r="AF1779">
        <v>4.5778383861255501</v>
      </c>
      <c r="AG1779">
        <v>-1.118882318034</v>
      </c>
      <c r="AH1779">
        <v>10.163908808599301</v>
      </c>
      <c r="AI1779">
        <v>95.731738368770607</v>
      </c>
      <c r="AJ1779">
        <v>65.753133699421198</v>
      </c>
      <c r="AK1779">
        <v>11.2032827421527</v>
      </c>
      <c r="AL1779">
        <v>96.375126193040401</v>
      </c>
      <c r="AM1779">
        <v>64.539290503084601</v>
      </c>
      <c r="AN1779">
        <v>1.00000002324517</v>
      </c>
    </row>
    <row r="1780" spans="1:40" x14ac:dyDescent="0.25">
      <c r="A1780" t="str">
        <f>"20190303154130056"</f>
        <v>20190303154130056</v>
      </c>
      <c r="B1780" t="str">
        <f>"1551598890051084"</f>
        <v>1551598890051084</v>
      </c>
      <c r="C1780" t="s">
        <v>40</v>
      </c>
      <c r="D1780">
        <v>6.1197220000000003</v>
      </c>
      <c r="E1780">
        <v>0.49107679999999998</v>
      </c>
      <c r="F1780" t="s">
        <v>41</v>
      </c>
      <c r="G1780">
        <v>-192.3553</v>
      </c>
      <c r="H1780" s="1">
        <v>-3.3036649999999999E-6</v>
      </c>
      <c r="I1780">
        <v>345.82920000000001</v>
      </c>
      <c r="J1780">
        <v>-193.0033</v>
      </c>
      <c r="K1780">
        <v>1.1188800000000001</v>
      </c>
      <c r="L1780">
        <v>356.98289999999997</v>
      </c>
      <c r="M1780">
        <v>0.45890589999999998</v>
      </c>
      <c r="N1780">
        <v>-1.3883309999999999E-2</v>
      </c>
      <c r="O1780">
        <v>-0.88837670000000002</v>
      </c>
      <c r="P1780">
        <v>3.3792660000000002E-2</v>
      </c>
      <c r="Q1780">
        <v>-0.1204119</v>
      </c>
      <c r="R1780">
        <v>-0.99214919999999995</v>
      </c>
      <c r="S1780">
        <v>0.18411250000000001</v>
      </c>
      <c r="T1780">
        <v>-0.2961915</v>
      </c>
      <c r="U1780">
        <v>-2.981293</v>
      </c>
      <c r="V1780">
        <v>0.42472710000000002</v>
      </c>
      <c r="W1780">
        <v>-0.1102696</v>
      </c>
      <c r="X1780">
        <v>0.89858079999999996</v>
      </c>
      <c r="Y1780">
        <v>0.40302369999999998</v>
      </c>
      <c r="Z1780">
        <v>6.4546820000000005E-2</v>
      </c>
      <c r="AA1780">
        <v>0.91291049999999996</v>
      </c>
      <c r="AB1780">
        <v>12</v>
      </c>
      <c r="AC1780">
        <v>0.64799999999999602</v>
      </c>
      <c r="AD1780">
        <v>-1.1188833036650001</v>
      </c>
      <c r="AE1780">
        <v>-11.153699999999899</v>
      </c>
      <c r="AF1780">
        <v>4.4981542027451704</v>
      </c>
      <c r="AG1780">
        <v>-1.1188833036650001</v>
      </c>
      <c r="AH1780">
        <v>10.105686821930499</v>
      </c>
      <c r="AI1780">
        <v>95.775852426452602</v>
      </c>
      <c r="AJ1780">
        <v>66.005618925688495</v>
      </c>
      <c r="AK1780">
        <v>11.118012287357599</v>
      </c>
      <c r="AL1780">
        <v>96.330857220080802</v>
      </c>
      <c r="AM1780">
        <v>64.701568658282895</v>
      </c>
      <c r="AN1780">
        <v>0.99999997414360398</v>
      </c>
    </row>
    <row r="1781" spans="1:40" x14ac:dyDescent="0.25">
      <c r="A1781" t="str">
        <f>"20190303154130079"</f>
        <v>20190303154130079</v>
      </c>
      <c r="B1781" t="str">
        <f>"1551598890071580"</f>
        <v>1551598890071580</v>
      </c>
      <c r="C1781" t="s">
        <v>40</v>
      </c>
      <c r="D1781">
        <v>6.1138879999999904</v>
      </c>
      <c r="E1781">
        <v>0.49076920000000002</v>
      </c>
      <c r="F1781" t="s">
        <v>41</v>
      </c>
      <c r="G1781">
        <v>-192.34289999999999</v>
      </c>
      <c r="H1781" s="1">
        <v>-3.232355E-6</v>
      </c>
      <c r="I1781">
        <v>345.67070000000001</v>
      </c>
      <c r="J1781">
        <v>-192.95590000000001</v>
      </c>
      <c r="K1781">
        <v>1.1188560000000001</v>
      </c>
      <c r="L1781">
        <v>356.8725</v>
      </c>
      <c r="M1781">
        <v>0.45252290000000001</v>
      </c>
      <c r="N1781">
        <v>-1.3843599999999999E-2</v>
      </c>
      <c r="O1781">
        <v>-0.89164539999999903</v>
      </c>
      <c r="P1781">
        <v>2.9222390000000001E-2</v>
      </c>
      <c r="Q1781">
        <v>-0.1203941</v>
      </c>
      <c r="R1781">
        <v>-0.99229599999999996</v>
      </c>
      <c r="S1781">
        <v>0.17408750000000001</v>
      </c>
      <c r="T1781">
        <v>-0.29494399999999998</v>
      </c>
      <c r="U1781">
        <v>-2.9819640000000001</v>
      </c>
      <c r="V1781">
        <v>0.42242049999999998</v>
      </c>
      <c r="W1781">
        <v>-0.1102771</v>
      </c>
      <c r="X1781">
        <v>0.89966650000000004</v>
      </c>
      <c r="Y1781">
        <v>0.39953850000000002</v>
      </c>
      <c r="Z1781">
        <v>6.4784060000000004E-2</v>
      </c>
      <c r="AA1781">
        <v>0.91442440000000003</v>
      </c>
      <c r="AB1781">
        <v>12</v>
      </c>
      <c r="AC1781">
        <v>0.61300000000002797</v>
      </c>
      <c r="AD1781">
        <v>-1.118859232355</v>
      </c>
      <c r="AE1781">
        <v>-11.201799999999899</v>
      </c>
      <c r="AF1781">
        <v>4.4783806283714398</v>
      </c>
      <c r="AG1781">
        <v>-1.118859232355</v>
      </c>
      <c r="AH1781">
        <v>10.165302401176501</v>
      </c>
      <c r="AI1781">
        <v>95.751711541889193</v>
      </c>
      <c r="AJ1781">
        <v>66.223842058637402</v>
      </c>
      <c r="AK1781">
        <v>11.1642783887613</v>
      </c>
      <c r="AL1781">
        <v>96.331289637100397</v>
      </c>
      <c r="AM1781">
        <v>64.848531553479006</v>
      </c>
      <c r="AN1781">
        <v>0.99999996441345396</v>
      </c>
    </row>
    <row r="1782" spans="1:40" x14ac:dyDescent="0.25">
      <c r="A1782" t="str">
        <f>"20190303154130100"</f>
        <v>20190303154130100</v>
      </c>
      <c r="B1782" t="str">
        <f>"1551598890091099"</f>
        <v>1551598890091099</v>
      </c>
      <c r="C1782" t="s">
        <v>40</v>
      </c>
      <c r="D1782">
        <v>6.1568160000000001</v>
      </c>
      <c r="E1782">
        <v>0.49046279999999998</v>
      </c>
      <c r="F1782" t="s">
        <v>41</v>
      </c>
      <c r="G1782">
        <v>-192.34100000000001</v>
      </c>
      <c r="H1782" s="1">
        <v>-3.2010610000000001E-6</v>
      </c>
      <c r="I1782">
        <v>345.59890000000001</v>
      </c>
      <c r="J1782">
        <v>-192.91030000000001</v>
      </c>
      <c r="K1782">
        <v>1.1188180000000001</v>
      </c>
      <c r="L1782">
        <v>356.7638</v>
      </c>
      <c r="M1782">
        <v>0.44620929999999998</v>
      </c>
      <c r="N1782">
        <v>-1.377514E-2</v>
      </c>
      <c r="O1782">
        <v>-0.89482269999999897</v>
      </c>
      <c r="P1782">
        <v>2.498177E-2</v>
      </c>
      <c r="Q1782">
        <v>-0.120979</v>
      </c>
      <c r="R1782">
        <v>-0.99234100000000003</v>
      </c>
      <c r="S1782">
        <v>0.1627045</v>
      </c>
      <c r="T1782">
        <v>-0.29601339999999998</v>
      </c>
      <c r="U1782">
        <v>-2.982605</v>
      </c>
      <c r="V1782">
        <v>0.41986770000000001</v>
      </c>
      <c r="W1782">
        <v>-0.11091479999999999</v>
      </c>
      <c r="X1782">
        <v>0.90078250000000004</v>
      </c>
      <c r="Y1782">
        <v>0.39655600000000002</v>
      </c>
      <c r="Z1782">
        <v>6.5635369999999998E-2</v>
      </c>
      <c r="AA1782">
        <v>0.91566119999999995</v>
      </c>
      <c r="AB1782">
        <v>12</v>
      </c>
      <c r="AC1782">
        <v>0.56930000000002601</v>
      </c>
      <c r="AD1782">
        <v>-1.1188212010609999</v>
      </c>
      <c r="AE1782">
        <v>-11.1648999999999</v>
      </c>
      <c r="AF1782">
        <v>4.4285286023386199</v>
      </c>
      <c r="AG1782">
        <v>-1.1188212010609999</v>
      </c>
      <c r="AH1782">
        <v>10.144004293457799</v>
      </c>
      <c r="AI1782">
        <v>95.771918266277595</v>
      </c>
      <c r="AJ1782">
        <v>66.415548749781294</v>
      </c>
      <c r="AK1782">
        <v>11.1249471714415</v>
      </c>
      <c r="AL1782">
        <v>96.368052164902906</v>
      </c>
      <c r="AM1782">
        <v>65.009095579035701</v>
      </c>
      <c r="AN1782">
        <v>1.0000000453342801</v>
      </c>
    </row>
    <row r="1783" spans="1:40" x14ac:dyDescent="0.25">
      <c r="A1783" t="str">
        <f>"20190303154130123"</f>
        <v>20190303154130123</v>
      </c>
      <c r="B1783" t="str">
        <f>"1551598890121356"</f>
        <v>1551598890121356</v>
      </c>
      <c r="C1783" t="s">
        <v>40</v>
      </c>
      <c r="D1783">
        <v>6.130395</v>
      </c>
      <c r="E1783">
        <v>0.49013269999999998</v>
      </c>
      <c r="F1783" t="s">
        <v>41</v>
      </c>
      <c r="G1783">
        <v>-192.34030000000001</v>
      </c>
      <c r="H1783" s="1">
        <v>-3.2034870000000002E-6</v>
      </c>
      <c r="I1783">
        <v>345.60500000000002</v>
      </c>
      <c r="J1783">
        <v>-192.86490000000001</v>
      </c>
      <c r="K1783">
        <v>1.118779</v>
      </c>
      <c r="L1783">
        <v>356.65350000000001</v>
      </c>
      <c r="M1783">
        <v>0.43975979999999998</v>
      </c>
      <c r="N1783">
        <v>-1.367587E-2</v>
      </c>
      <c r="O1783">
        <v>-0.89801149999999996</v>
      </c>
      <c r="P1783">
        <v>2.1112700000000002E-2</v>
      </c>
      <c r="Q1783">
        <v>-0.1203394</v>
      </c>
      <c r="R1783">
        <v>-0.99250859999999996</v>
      </c>
      <c r="S1783">
        <v>0.15235899999999999</v>
      </c>
      <c r="T1783">
        <v>-0.29907050000000002</v>
      </c>
      <c r="U1783">
        <v>-2.9828489999999999</v>
      </c>
      <c r="V1783">
        <v>0.4169329</v>
      </c>
      <c r="W1783">
        <v>-0.1103497</v>
      </c>
      <c r="X1783">
        <v>0.90221390000000001</v>
      </c>
      <c r="Y1783">
        <v>0.39312829999999999</v>
      </c>
      <c r="Z1783">
        <v>6.7073930000000004E-2</v>
      </c>
      <c r="AA1783">
        <v>0.91703389999999996</v>
      </c>
      <c r="AB1783">
        <v>12</v>
      </c>
      <c r="AC1783">
        <v>0.52459999999999196</v>
      </c>
      <c r="AD1783">
        <v>-1.1187822034870001</v>
      </c>
      <c r="AE1783">
        <v>-11.048499999999899</v>
      </c>
      <c r="AF1783">
        <v>4.3435610950827197</v>
      </c>
      <c r="AG1783">
        <v>-1.1187822034870001</v>
      </c>
      <c r="AH1783">
        <v>10.0505017961893</v>
      </c>
      <c r="AI1783">
        <v>95.834339736139796</v>
      </c>
      <c r="AJ1783">
        <v>66.627275982372694</v>
      </c>
      <c r="AK1783">
        <v>11.0059430745738</v>
      </c>
      <c r="AL1783">
        <v>96.335474561471003</v>
      </c>
      <c r="AM1783">
        <v>65.197302224273898</v>
      </c>
      <c r="AN1783">
        <v>1.0000000103728499</v>
      </c>
    </row>
    <row r="1784" spans="1:40" x14ac:dyDescent="0.25">
      <c r="A1784" t="str">
        <f>"20190303154130144"</f>
        <v>20190303154130144</v>
      </c>
      <c r="B1784" t="str">
        <f>"1551598890140876"</f>
        <v>1551598890140876</v>
      </c>
      <c r="C1784" t="s">
        <v>40</v>
      </c>
      <c r="D1784">
        <v>6.1017409999999996</v>
      </c>
      <c r="E1784">
        <v>0.48999979999999999</v>
      </c>
      <c r="F1784" t="s">
        <v>41</v>
      </c>
      <c r="G1784">
        <v>-192.32550000000001</v>
      </c>
      <c r="H1784" s="1">
        <v>-3.1300780000000001E-6</v>
      </c>
      <c r="I1784">
        <v>345.44310000000002</v>
      </c>
      <c r="J1784">
        <v>-192.82249999999999</v>
      </c>
      <c r="K1784">
        <v>1.118736</v>
      </c>
      <c r="L1784">
        <v>356.54840000000002</v>
      </c>
      <c r="M1784">
        <v>0.43358170000000001</v>
      </c>
      <c r="N1784">
        <v>-1.35554E-2</v>
      </c>
      <c r="O1784">
        <v>-0.90101240000000005</v>
      </c>
      <c r="P1784">
        <v>1.7766029999999999E-2</v>
      </c>
      <c r="Q1784">
        <v>-0.1194173</v>
      </c>
      <c r="R1784">
        <v>-0.99268520000000005</v>
      </c>
      <c r="S1784">
        <v>0.14353940000000001</v>
      </c>
      <c r="T1784">
        <v>-0.29774729999999999</v>
      </c>
      <c r="U1784">
        <v>-2.9834900000000002</v>
      </c>
      <c r="V1784">
        <v>0.41382839999999999</v>
      </c>
      <c r="W1784">
        <v>-0.1095174</v>
      </c>
      <c r="X1784">
        <v>0.90374330000000003</v>
      </c>
      <c r="Y1784">
        <v>0.3895363</v>
      </c>
      <c r="Z1784">
        <v>6.7332020000000006E-2</v>
      </c>
      <c r="AA1784">
        <v>0.91854659999999999</v>
      </c>
      <c r="AB1784">
        <v>12</v>
      </c>
      <c r="AC1784">
        <v>0.49699999999998501</v>
      </c>
      <c r="AD1784">
        <v>-1.1187391300780001</v>
      </c>
      <c r="AE1784">
        <v>-11.1053</v>
      </c>
      <c r="AF1784">
        <v>4.3238600819295998</v>
      </c>
      <c r="AG1784">
        <v>-1.1187391300780001</v>
      </c>
      <c r="AH1784">
        <v>10.119945542960799</v>
      </c>
      <c r="AI1784">
        <v>95.804619440991203</v>
      </c>
      <c r="AJ1784">
        <v>66.864861222283594</v>
      </c>
      <c r="AK1784">
        <v>11.0616744230593</v>
      </c>
      <c r="AL1784">
        <v>96.287496683738695</v>
      </c>
      <c r="AM1784">
        <v>65.396728943040898</v>
      </c>
      <c r="AN1784">
        <v>0.99999997892210402</v>
      </c>
    </row>
    <row r="1785" spans="1:40" x14ac:dyDescent="0.25">
      <c r="A1785" t="str">
        <f>"20190303154130169"</f>
        <v>20190303154130169</v>
      </c>
      <c r="B1785" t="str">
        <f>"1551598890161371"</f>
        <v>1551598890161371</v>
      </c>
      <c r="C1785" t="s">
        <v>40</v>
      </c>
      <c r="D1785">
        <v>6.1021830000000001</v>
      </c>
      <c r="E1785">
        <v>0.48983110000000002</v>
      </c>
      <c r="F1785" t="s">
        <v>41</v>
      </c>
      <c r="G1785">
        <v>-192.31200000000001</v>
      </c>
      <c r="H1785" s="1">
        <v>-3.0278090000000001E-6</v>
      </c>
      <c r="I1785">
        <v>345.21300000000002</v>
      </c>
      <c r="J1785">
        <v>-192.77529999999999</v>
      </c>
      <c r="K1785">
        <v>1.118681</v>
      </c>
      <c r="L1785">
        <v>356.42849999999999</v>
      </c>
      <c r="M1785">
        <v>0.42647740000000001</v>
      </c>
      <c r="N1785">
        <v>-1.3388829999999999E-2</v>
      </c>
      <c r="O1785">
        <v>-0.90439910000000001</v>
      </c>
      <c r="P1785">
        <v>1.327275E-2</v>
      </c>
      <c r="Q1785">
        <v>-0.1189689</v>
      </c>
      <c r="R1785">
        <v>-0.99280930000000001</v>
      </c>
      <c r="S1785">
        <v>0.1343994</v>
      </c>
      <c r="T1785">
        <v>-0.29453220000000002</v>
      </c>
      <c r="U1785">
        <v>-2.984283</v>
      </c>
      <c r="V1785">
        <v>0.41082730000000001</v>
      </c>
      <c r="W1785">
        <v>-0.10920539999999899</v>
      </c>
      <c r="X1785">
        <v>0.90514919999999999</v>
      </c>
      <c r="Y1785">
        <v>0.38511780000000001</v>
      </c>
      <c r="Z1785">
        <v>6.7187380000000005E-2</v>
      </c>
      <c r="AA1785">
        <v>0.92041839999999997</v>
      </c>
      <c r="AB1785">
        <v>12</v>
      </c>
      <c r="AC1785">
        <v>0.46329999999997501</v>
      </c>
      <c r="AD1785">
        <v>-1.118684027809</v>
      </c>
      <c r="AE1785">
        <v>-11.215499999999899</v>
      </c>
      <c r="AF1785">
        <v>4.32161811171905</v>
      </c>
      <c r="AG1785">
        <v>-1.118684027809</v>
      </c>
      <c r="AH1785">
        <v>10.2400974969629</v>
      </c>
      <c r="AI1785">
        <v>95.747423872789597</v>
      </c>
      <c r="AJ1785">
        <v>67.118844781156099</v>
      </c>
      <c r="AK1785">
        <v>11.170829593406101</v>
      </c>
      <c r="AL1785">
        <v>96.269512512499801</v>
      </c>
      <c r="AM1785">
        <v>65.587747623254799</v>
      </c>
      <c r="AN1785">
        <v>0.99999998203754403</v>
      </c>
    </row>
    <row r="1786" spans="1:40" x14ac:dyDescent="0.25">
      <c r="A1786" t="str">
        <f>"20190303154130193"</f>
        <v>20190303154130193</v>
      </c>
      <c r="B1786" t="str">
        <f>"1551598890180891"</f>
        <v>1551598890180891</v>
      </c>
      <c r="C1786" t="s">
        <v>40</v>
      </c>
      <c r="D1786">
        <v>6.115208</v>
      </c>
      <c r="E1786">
        <v>0.48959619999999998</v>
      </c>
      <c r="F1786" t="s">
        <v>41</v>
      </c>
      <c r="G1786">
        <v>-192.31</v>
      </c>
      <c r="H1786" s="1">
        <v>-2.961856E-6</v>
      </c>
      <c r="I1786">
        <v>345.06049999999999</v>
      </c>
      <c r="J1786">
        <v>-192.72890000000001</v>
      </c>
      <c r="K1786">
        <v>1.1186290000000001</v>
      </c>
      <c r="L1786">
        <v>356.3082</v>
      </c>
      <c r="M1786">
        <v>0.41929230000000001</v>
      </c>
      <c r="N1786">
        <v>-1.3196889999999999E-2</v>
      </c>
      <c r="O1786">
        <v>-0.90775550000000005</v>
      </c>
      <c r="P1786">
        <v>9.5720570000000001E-3</v>
      </c>
      <c r="Q1786">
        <v>-0.1195093</v>
      </c>
      <c r="R1786">
        <v>-0.99278719999999998</v>
      </c>
      <c r="S1786">
        <v>0.1221619</v>
      </c>
      <c r="T1786">
        <v>-0.29373349999999998</v>
      </c>
      <c r="U1786">
        <v>-2.9848940000000002</v>
      </c>
      <c r="V1786">
        <v>0.40698790000000001</v>
      </c>
      <c r="W1786">
        <v>-0.109898</v>
      </c>
      <c r="X1786">
        <v>0.9067984</v>
      </c>
      <c r="Y1786">
        <v>0.38158449999999999</v>
      </c>
      <c r="Z1786">
        <v>6.7693989999999996E-2</v>
      </c>
      <c r="AA1786">
        <v>0.92185189999999995</v>
      </c>
      <c r="AB1786">
        <v>12</v>
      </c>
      <c r="AC1786">
        <v>0.41890000000000699</v>
      </c>
      <c r="AD1786">
        <v>-1.1186319618559999</v>
      </c>
      <c r="AE1786">
        <v>-11.2477</v>
      </c>
      <c r="AF1786">
        <v>4.2937806917390899</v>
      </c>
      <c r="AG1786">
        <v>-1.1186319618559999</v>
      </c>
      <c r="AH1786">
        <v>10.2851155871562</v>
      </c>
      <c r="AI1786">
        <v>95.7314149745268</v>
      </c>
      <c r="AJ1786">
        <v>67.340673706194707</v>
      </c>
      <c r="AK1786">
        <v>11.201405837483099</v>
      </c>
      <c r="AL1786">
        <v>96.309435563734795</v>
      </c>
      <c r="AM1786">
        <v>65.828574631821496</v>
      </c>
      <c r="AN1786">
        <v>1.0000000296964799</v>
      </c>
    </row>
    <row r="1787" spans="1:40" x14ac:dyDescent="0.25">
      <c r="A1787" t="str">
        <f>"20190303154130215"</f>
        <v>20190303154130215</v>
      </c>
      <c r="B1787" t="str">
        <f>"1551598890211148"</f>
        <v>1551598890211148</v>
      </c>
      <c r="C1787" t="s">
        <v>40</v>
      </c>
      <c r="D1787">
        <v>6.1104770000000004</v>
      </c>
      <c r="E1787">
        <v>0.48024319999999998</v>
      </c>
      <c r="F1787" t="s">
        <v>41</v>
      </c>
      <c r="G1787">
        <v>-192.30269999999999</v>
      </c>
      <c r="H1787" s="1">
        <v>-2.946151E-6</v>
      </c>
      <c r="I1787">
        <v>345.02839999999998</v>
      </c>
      <c r="J1787">
        <v>-192.68809999999999</v>
      </c>
      <c r="K1787">
        <v>1.118571</v>
      </c>
      <c r="L1787">
        <v>356.19979999999998</v>
      </c>
      <c r="M1787">
        <v>0.41278049999999999</v>
      </c>
      <c r="N1787">
        <v>-1.3005579999999999E-2</v>
      </c>
      <c r="O1787">
        <v>-0.91073789999999999</v>
      </c>
      <c r="P1787">
        <v>7.4506939999999999E-3</v>
      </c>
      <c r="Q1787">
        <v>-0.1201779</v>
      </c>
      <c r="R1787">
        <v>-0.99272470000000002</v>
      </c>
      <c r="S1787">
        <v>0.11277769999999999</v>
      </c>
      <c r="T1787">
        <v>-0.29603800000000002</v>
      </c>
      <c r="U1787">
        <v>-2.9851070000000002</v>
      </c>
      <c r="V1787">
        <v>0.40238879999999999</v>
      </c>
      <c r="W1787">
        <v>-0.1107099</v>
      </c>
      <c r="X1787">
        <v>0.90875010000000001</v>
      </c>
      <c r="Y1787">
        <v>0.37786829999999999</v>
      </c>
      <c r="Z1787">
        <v>6.9010429999999998E-2</v>
      </c>
      <c r="AA1787">
        <v>0.92328390000000005</v>
      </c>
      <c r="AB1787">
        <v>12</v>
      </c>
      <c r="AC1787">
        <v>0.38540000000000402</v>
      </c>
      <c r="AD1787">
        <v>-1.118573946151</v>
      </c>
      <c r="AE1787">
        <v>-11.1714</v>
      </c>
      <c r="AF1787">
        <v>4.2184545392717103</v>
      </c>
      <c r="AG1787">
        <v>-1.118573946151</v>
      </c>
      <c r="AH1787">
        <v>10.2317168323377</v>
      </c>
      <c r="AI1787">
        <v>95.771336837152504</v>
      </c>
      <c r="AJ1787">
        <v>67.594040010761006</v>
      </c>
      <c r="AK1787">
        <v>11.123605337751499</v>
      </c>
      <c r="AL1787">
        <v>96.356239248780298</v>
      </c>
      <c r="AM1787">
        <v>66.116540152615698</v>
      </c>
      <c r="AN1787">
        <v>1.00000008628672</v>
      </c>
    </row>
    <row r="1788" spans="1:40" x14ac:dyDescent="0.25">
      <c r="A1788" t="str">
        <f>"20190303154130237"</f>
        <v>20190303154130237</v>
      </c>
      <c r="B1788" t="str">
        <f>"1551598890230668"</f>
        <v>1551598890230668</v>
      </c>
      <c r="C1788" t="s">
        <v>40</v>
      </c>
      <c r="D1788">
        <v>6.0716970000000003</v>
      </c>
      <c r="E1788">
        <v>0.4802688</v>
      </c>
      <c r="F1788" t="s">
        <v>41</v>
      </c>
      <c r="G1788">
        <v>-192.1113</v>
      </c>
      <c r="H1788" s="1">
        <v>-3.6011539999999999E-6</v>
      </c>
      <c r="I1788">
        <v>346.67399999999998</v>
      </c>
      <c r="J1788">
        <v>-192.64760000000001</v>
      </c>
      <c r="K1788">
        <v>1.1185080000000001</v>
      </c>
      <c r="L1788">
        <v>356.08960000000002</v>
      </c>
      <c r="M1788">
        <v>0.40612130000000002</v>
      </c>
      <c r="N1788">
        <v>-1.2788239999999999E-2</v>
      </c>
      <c r="O1788">
        <v>-0.91372969999999998</v>
      </c>
      <c r="P1788">
        <v>5.4546550000000001E-3</v>
      </c>
      <c r="Q1788">
        <v>-0.1201117</v>
      </c>
      <c r="R1788">
        <v>-0.99274560000000001</v>
      </c>
      <c r="S1788">
        <v>0.18035889999999999</v>
      </c>
      <c r="T1788">
        <v>-0.34972379999999997</v>
      </c>
      <c r="U1788">
        <v>-2.9782410000000001</v>
      </c>
      <c r="V1788">
        <v>0.39757890000000001</v>
      </c>
      <c r="W1788">
        <v>-0.1108118</v>
      </c>
      <c r="X1788">
        <v>0.91085229999999995</v>
      </c>
      <c r="Y1788">
        <v>0.35002050000000001</v>
      </c>
      <c r="Z1788">
        <v>8.5320220000000002E-2</v>
      </c>
      <c r="AA1788">
        <v>0.93284840000000002</v>
      </c>
      <c r="AB1788">
        <v>12</v>
      </c>
      <c r="AC1788">
        <v>0.53630000000001099</v>
      </c>
      <c r="AD1788">
        <v>-1.1185116011539999</v>
      </c>
      <c r="AE1788">
        <v>-9.41559999999998</v>
      </c>
      <c r="AF1788">
        <v>3.2878671344221901</v>
      </c>
      <c r="AG1788">
        <v>-1.1185116011539999</v>
      </c>
      <c r="AH1788">
        <v>8.6994686527300704</v>
      </c>
      <c r="AI1788">
        <v>96.857994431023002</v>
      </c>
      <c r="AJ1788">
        <v>69.296473787678195</v>
      </c>
      <c r="AK1788">
        <v>9.3670642858562001</v>
      </c>
      <c r="AL1788">
        <v>96.362113908799898</v>
      </c>
      <c r="AM1788">
        <v>66.419160314061202</v>
      </c>
      <c r="AN1788">
        <v>1.0000000745798601</v>
      </c>
    </row>
    <row r="1789" spans="1:40" x14ac:dyDescent="0.25">
      <c r="A1789" t="str">
        <f>"20190303154130258"</f>
        <v>20190303154130258</v>
      </c>
      <c r="B1789" t="str">
        <f>"1551598890251164"</f>
        <v>1551598890251164</v>
      </c>
      <c r="C1789" t="s">
        <v>40</v>
      </c>
      <c r="D1789">
        <v>6.125896</v>
      </c>
      <c r="E1789">
        <v>0.48014400000000002</v>
      </c>
      <c r="F1789" t="s">
        <v>41</v>
      </c>
      <c r="G1789">
        <v>-192.09229999999999</v>
      </c>
      <c r="H1789" s="1">
        <v>-3.5568629999999998E-6</v>
      </c>
      <c r="I1789">
        <v>346.58249999999998</v>
      </c>
      <c r="J1789">
        <v>-192.6078</v>
      </c>
      <c r="K1789">
        <v>1.118441</v>
      </c>
      <c r="L1789">
        <v>355.97859999999997</v>
      </c>
      <c r="M1789">
        <v>0.39937309999999998</v>
      </c>
      <c r="N1789">
        <v>-1.2544029999999999E-2</v>
      </c>
      <c r="O1789">
        <v>-0.91670269999999998</v>
      </c>
      <c r="P1789">
        <v>3.3043450000000002E-3</v>
      </c>
      <c r="Q1789">
        <v>-0.1195032</v>
      </c>
      <c r="R1789">
        <v>-0.99282840000000006</v>
      </c>
      <c r="S1789">
        <v>0.17398069999999999</v>
      </c>
      <c r="T1789">
        <v>-0.35043730000000001</v>
      </c>
      <c r="U1789">
        <v>-2.9786380000000001</v>
      </c>
      <c r="V1789">
        <v>0.3928605</v>
      </c>
      <c r="W1789">
        <v>-0.1104002</v>
      </c>
      <c r="X1789">
        <v>0.91294710000000001</v>
      </c>
      <c r="Y1789">
        <v>0.34512500000000002</v>
      </c>
      <c r="Z1789">
        <v>8.6361800000000002E-2</v>
      </c>
      <c r="AA1789">
        <v>0.93457500000000004</v>
      </c>
      <c r="AB1789">
        <v>12</v>
      </c>
      <c r="AC1789">
        <v>0.51550000000000296</v>
      </c>
      <c r="AD1789">
        <v>-1.1184445568629999</v>
      </c>
      <c r="AE1789">
        <v>-9.3960999999999899</v>
      </c>
      <c r="AF1789">
        <v>3.2345550298474199</v>
      </c>
      <c r="AG1789">
        <v>-1.1184445568629999</v>
      </c>
      <c r="AH1789">
        <v>8.6971422975951906</v>
      </c>
      <c r="AI1789">
        <v>96.872881110330198</v>
      </c>
      <c r="AJ1789">
        <v>69.599324014765799</v>
      </c>
      <c r="AK1789">
        <v>9.3463120326954101</v>
      </c>
      <c r="AL1789">
        <v>96.338385902703195</v>
      </c>
      <c r="AM1789">
        <v>66.7167649464334</v>
      </c>
      <c r="AN1789">
        <v>0.99999999200934997</v>
      </c>
    </row>
    <row r="1790" spans="1:40" x14ac:dyDescent="0.25">
      <c r="A1790" t="str">
        <f>"20190303154130280"</f>
        <v>20190303154130280</v>
      </c>
      <c r="B1790" t="str">
        <f>"1551598890270684"</f>
        <v>1551598890270684</v>
      </c>
      <c r="C1790" t="s">
        <v>40</v>
      </c>
      <c r="D1790">
        <v>6.1012810000000002</v>
      </c>
      <c r="E1790">
        <v>0.48054780000000002</v>
      </c>
      <c r="F1790" t="s">
        <v>41</v>
      </c>
      <c r="G1790">
        <v>-192.07050000000001</v>
      </c>
      <c r="H1790" s="1">
        <v>-3.5054150000000001E-6</v>
      </c>
      <c r="I1790">
        <v>346.47609999999997</v>
      </c>
      <c r="J1790">
        <v>-192.5693</v>
      </c>
      <c r="K1790">
        <v>1.118382</v>
      </c>
      <c r="L1790">
        <v>355.86840000000001</v>
      </c>
      <c r="M1790">
        <v>0.39265159999999999</v>
      </c>
      <c r="N1790">
        <v>-1.229018E-2</v>
      </c>
      <c r="O1790">
        <v>-0.91960529999999996</v>
      </c>
      <c r="P1790">
        <v>1.7171409999999999E-3</v>
      </c>
      <c r="Q1790">
        <v>-0.1193346</v>
      </c>
      <c r="R1790">
        <v>-0.99285290000000004</v>
      </c>
      <c r="S1790">
        <v>0.16842650000000001</v>
      </c>
      <c r="T1790">
        <v>-0.35061619999999999</v>
      </c>
      <c r="U1790">
        <v>-2.978882</v>
      </c>
      <c r="V1790">
        <v>0.38763760000000003</v>
      </c>
      <c r="W1790">
        <v>-0.11043070000000001</v>
      </c>
      <c r="X1790">
        <v>0.91517329999999997</v>
      </c>
      <c r="Y1790">
        <v>0.34000839999999999</v>
      </c>
      <c r="Z1790">
        <v>8.7262019999999996E-2</v>
      </c>
      <c r="AA1790">
        <v>0.93636509999999995</v>
      </c>
      <c r="AB1790">
        <v>12</v>
      </c>
      <c r="AC1790">
        <v>0.49879999999998798</v>
      </c>
      <c r="AD1790">
        <v>-1.118385505415</v>
      </c>
      <c r="AE1790">
        <v>-9.3923000000000307</v>
      </c>
      <c r="AF1790">
        <v>3.18442177051024</v>
      </c>
      <c r="AG1790">
        <v>-1.118385505415</v>
      </c>
      <c r="AH1790">
        <v>8.7105716181253907</v>
      </c>
      <c r="AI1790">
        <v>96.876003950290496</v>
      </c>
      <c r="AJ1790">
        <v>69.918534757464499</v>
      </c>
      <c r="AK1790">
        <v>9.3415944070438801</v>
      </c>
      <c r="AL1790">
        <v>96.340144068436203</v>
      </c>
      <c r="AM1790">
        <v>67.044066651509596</v>
      </c>
      <c r="AN1790">
        <v>1.00000000873457</v>
      </c>
    </row>
    <row r="1791" spans="1:40" x14ac:dyDescent="0.25">
      <c r="A1791" t="str">
        <f>"20190303154130303"</f>
        <v>20190303154130303</v>
      </c>
      <c r="B1791" t="str">
        <f>"1551598890291180"</f>
        <v>1551598890291180</v>
      </c>
      <c r="C1791" t="s">
        <v>40</v>
      </c>
      <c r="D1791">
        <v>6.1400160000000001</v>
      </c>
      <c r="E1791">
        <v>0.48087570000000002</v>
      </c>
      <c r="F1791" t="s">
        <v>41</v>
      </c>
      <c r="G1791">
        <v>-192.0574</v>
      </c>
      <c r="H1791" s="1">
        <v>-3.4518079999999999E-6</v>
      </c>
      <c r="I1791">
        <v>346.35930000000002</v>
      </c>
      <c r="J1791">
        <v>-192.52860000000001</v>
      </c>
      <c r="K1791">
        <v>1.1183179999999999</v>
      </c>
      <c r="L1791">
        <v>355.74919999999997</v>
      </c>
      <c r="M1791">
        <v>0.38535000000000003</v>
      </c>
      <c r="N1791">
        <v>-1.200089E-2</v>
      </c>
      <c r="O1791">
        <v>-0.92269250000000003</v>
      </c>
      <c r="P1791">
        <v>-4.6552289999999999E-4</v>
      </c>
      <c r="Q1791">
        <v>-0.118808399999999</v>
      </c>
      <c r="R1791">
        <v>-0.99291689999999999</v>
      </c>
      <c r="S1791">
        <v>0.16036989999999901</v>
      </c>
      <c r="T1791">
        <v>-0.35039500000000001</v>
      </c>
      <c r="U1791">
        <v>-2.9792480000000001</v>
      </c>
      <c r="V1791">
        <v>0.38241439999999999</v>
      </c>
      <c r="W1791">
        <v>-0.1101365</v>
      </c>
      <c r="X1791">
        <v>0.91740350000000004</v>
      </c>
      <c r="Y1791">
        <v>0.33509870000000003</v>
      </c>
      <c r="Z1791">
        <v>8.8106569999999995E-2</v>
      </c>
      <c r="AA1791">
        <v>0.93805439999999995</v>
      </c>
      <c r="AB1791">
        <v>12</v>
      </c>
      <c r="AC1791">
        <v>0.47120000000001</v>
      </c>
      <c r="AD1791">
        <v>-1.118321451808</v>
      </c>
      <c r="AE1791">
        <v>-9.3898999999999493</v>
      </c>
      <c r="AF1791">
        <v>3.1394351996538301</v>
      </c>
      <c r="AG1791">
        <v>-1.118321451808</v>
      </c>
      <c r="AH1791">
        <v>8.7227870274363806</v>
      </c>
      <c r="AI1791">
        <v>96.878447302545098</v>
      </c>
      <c r="AJ1791">
        <v>70.205590375672003</v>
      </c>
      <c r="AK1791">
        <v>9.3377572129720701</v>
      </c>
      <c r="AL1791">
        <v>96.323184241168505</v>
      </c>
      <c r="AM1791">
        <v>67.371464578893395</v>
      </c>
      <c r="AN1791">
        <v>1.0000000018859301</v>
      </c>
    </row>
    <row r="1792" spans="1:40" x14ac:dyDescent="0.25">
      <c r="A1792" t="str">
        <f>"20190303154130325"</f>
        <v>20190303154130325</v>
      </c>
      <c r="B1792" t="str">
        <f>"1551598890321437"</f>
        <v>1551598890321437</v>
      </c>
      <c r="C1792" t="s">
        <v>40</v>
      </c>
      <c r="D1792">
        <v>6.1302949999999896</v>
      </c>
      <c r="E1792">
        <v>0.48116900000000001</v>
      </c>
      <c r="F1792" t="s">
        <v>41</v>
      </c>
      <c r="G1792">
        <v>-192.04470000000001</v>
      </c>
      <c r="H1792" s="1">
        <v>-3.3831770000000001E-6</v>
      </c>
      <c r="I1792">
        <v>346.2072</v>
      </c>
      <c r="J1792">
        <v>-192.49100000000001</v>
      </c>
      <c r="K1792">
        <v>1.118255</v>
      </c>
      <c r="L1792">
        <v>355.6361</v>
      </c>
      <c r="M1792">
        <v>0.37839990000000001</v>
      </c>
      <c r="N1792">
        <v>-1.1702860000000001E-2</v>
      </c>
      <c r="O1792">
        <v>-0.92556830000000001</v>
      </c>
      <c r="P1792">
        <v>-2.274519E-3</v>
      </c>
      <c r="Q1792">
        <v>-0.1189262</v>
      </c>
      <c r="R1792">
        <v>-0.99290060000000002</v>
      </c>
      <c r="S1792">
        <v>0.15109249999999999</v>
      </c>
      <c r="T1792">
        <v>-0.34921340000000001</v>
      </c>
      <c r="U1792">
        <v>-2.9796450000000001</v>
      </c>
      <c r="V1792">
        <v>0.3771718</v>
      </c>
      <c r="W1792">
        <v>-0.1104957</v>
      </c>
      <c r="X1792">
        <v>0.91952820000000002</v>
      </c>
      <c r="Y1792">
        <v>0.3309453</v>
      </c>
      <c r="Z1792">
        <v>8.8632299999999997E-2</v>
      </c>
      <c r="AA1792">
        <v>0.93947829999999999</v>
      </c>
      <c r="AB1792">
        <v>12</v>
      </c>
      <c r="AC1792">
        <v>0.44629999999997899</v>
      </c>
      <c r="AD1792">
        <v>-1.1182583831769899</v>
      </c>
      <c r="AE1792">
        <v>-9.4289000000000005</v>
      </c>
      <c r="AF1792">
        <v>3.1113637840872101</v>
      </c>
      <c r="AG1792">
        <v>-1.1182583831769899</v>
      </c>
      <c r="AH1792">
        <v>8.7734504146665699</v>
      </c>
      <c r="AI1792">
        <v>96.850058774521699</v>
      </c>
      <c r="AJ1792">
        <v>70.473763256527405</v>
      </c>
      <c r="AK1792">
        <v>9.3757409620300507</v>
      </c>
      <c r="AL1792">
        <v>96.343891354671598</v>
      </c>
      <c r="AM1792">
        <v>67.697557103239305</v>
      </c>
      <c r="AN1792">
        <v>0.99999998851448502</v>
      </c>
    </row>
    <row r="1793" spans="1:40" x14ac:dyDescent="0.25">
      <c r="A1793" t="str">
        <f>"20190303154130347"</f>
        <v>20190303154130347</v>
      </c>
      <c r="B1793" t="str">
        <f>"1551598890340955"</f>
        <v>1551598890340955</v>
      </c>
      <c r="C1793" t="s">
        <v>40</v>
      </c>
      <c r="D1793">
        <v>6.1551039999999997</v>
      </c>
      <c r="E1793">
        <v>0.48134589999999999</v>
      </c>
      <c r="F1793" t="s">
        <v>41</v>
      </c>
      <c r="G1793">
        <v>-192.0326</v>
      </c>
      <c r="H1793" s="1">
        <v>-3.3404650000000001E-6</v>
      </c>
      <c r="I1793">
        <v>346.11520000000002</v>
      </c>
      <c r="J1793">
        <v>-192.4539</v>
      </c>
      <c r="K1793">
        <v>1.1181700000000001</v>
      </c>
      <c r="L1793">
        <v>355.52199999999999</v>
      </c>
      <c r="M1793">
        <v>0.37135679999999999</v>
      </c>
      <c r="N1793">
        <v>-1.136817E-2</v>
      </c>
      <c r="O1793">
        <v>-0.92842069999999999</v>
      </c>
      <c r="P1793">
        <v>-4.1379759999999998E-3</v>
      </c>
      <c r="Q1793">
        <v>-0.1191402</v>
      </c>
      <c r="R1793">
        <v>-0.99286909999999895</v>
      </c>
      <c r="S1793">
        <v>0.14347839999999901</v>
      </c>
      <c r="T1793">
        <v>-0.34999469999999999</v>
      </c>
      <c r="U1793">
        <v>-2.979889</v>
      </c>
      <c r="V1793">
        <v>0.3718902</v>
      </c>
      <c r="W1793">
        <v>-0.1109897</v>
      </c>
      <c r="X1793">
        <v>0.92161760000000004</v>
      </c>
      <c r="Y1793">
        <v>0.32618809999999998</v>
      </c>
      <c r="Z1793">
        <v>8.9762750000000002E-2</v>
      </c>
      <c r="AA1793">
        <v>0.94103349999999997</v>
      </c>
      <c r="AB1793">
        <v>12</v>
      </c>
      <c r="AC1793">
        <v>0.42130000000000201</v>
      </c>
      <c r="AD1793">
        <v>-1.1181733404650001</v>
      </c>
      <c r="AE1793">
        <v>-9.4067999999999703</v>
      </c>
      <c r="AF1793">
        <v>3.0591966653784599</v>
      </c>
      <c r="AG1793">
        <v>-1.1181733404650001</v>
      </c>
      <c r="AH1793">
        <v>8.7668688172453795</v>
      </c>
      <c r="AI1793">
        <v>96.866727882954805</v>
      </c>
      <c r="AJ1793">
        <v>70.763579345186599</v>
      </c>
      <c r="AK1793">
        <v>9.3523785592531894</v>
      </c>
      <c r="AL1793">
        <v>96.372370457894803</v>
      </c>
      <c r="AM1793">
        <v>68.024988700446698</v>
      </c>
      <c r="AN1793">
        <v>1.00000001749594</v>
      </c>
    </row>
    <row r="1794" spans="1:40" x14ac:dyDescent="0.25">
      <c r="A1794" t="str">
        <f>"20190303154130370"</f>
        <v>20190303154130370</v>
      </c>
      <c r="B1794" t="str">
        <f>"1551598890361453"</f>
        <v>1551598890361453</v>
      </c>
      <c r="C1794" t="s">
        <v>40</v>
      </c>
      <c r="D1794">
        <v>6.1277619999999997</v>
      </c>
      <c r="E1794">
        <v>0.4814676</v>
      </c>
      <c r="F1794" t="s">
        <v>41</v>
      </c>
      <c r="G1794">
        <v>-192.01609999999999</v>
      </c>
      <c r="H1794" s="1">
        <v>-3.2728970000000002E-6</v>
      </c>
      <c r="I1794">
        <v>345.96789999999999</v>
      </c>
      <c r="J1794">
        <v>-192.416</v>
      </c>
      <c r="K1794">
        <v>1.1180749999999999</v>
      </c>
      <c r="L1794">
        <v>355.40190000000001</v>
      </c>
      <c r="M1794">
        <v>0.36392330000000001</v>
      </c>
      <c r="N1794">
        <v>-1.097798E-2</v>
      </c>
      <c r="O1794">
        <v>-0.93136439999999998</v>
      </c>
      <c r="P1794">
        <v>-6.7385860000000004E-3</v>
      </c>
      <c r="Q1794">
        <v>-0.1185607</v>
      </c>
      <c r="R1794">
        <v>-0.99292429999999998</v>
      </c>
      <c r="S1794">
        <v>0.13658139999999999</v>
      </c>
      <c r="T1794">
        <v>-0.34879640000000001</v>
      </c>
      <c r="U1794">
        <v>-2.9802550000000001</v>
      </c>
      <c r="V1794">
        <v>0.36695299999999997</v>
      </c>
      <c r="W1794">
        <v>-0.11075169999999999</v>
      </c>
      <c r="X1794">
        <v>0.92362310000000003</v>
      </c>
      <c r="Y1794">
        <v>0.32082369999999999</v>
      </c>
      <c r="Z1794">
        <v>9.0405440000000004E-2</v>
      </c>
      <c r="AA1794">
        <v>0.94281440000000005</v>
      </c>
      <c r="AB1794">
        <v>12</v>
      </c>
      <c r="AC1794">
        <v>0.39990000000000198</v>
      </c>
      <c r="AD1794">
        <v>-1.118078272897</v>
      </c>
      <c r="AE1794">
        <v>-9.4340000000000206</v>
      </c>
      <c r="AF1794">
        <v>3.01865969302834</v>
      </c>
      <c r="AG1794">
        <v>-1.118078272897</v>
      </c>
      <c r="AH1794">
        <v>8.8090514676850997</v>
      </c>
      <c r="AI1794">
        <v>96.846709377792706</v>
      </c>
      <c r="AJ1794">
        <v>71.084589733250596</v>
      </c>
      <c r="AK1794">
        <v>9.3787948653845401</v>
      </c>
      <c r="AL1794">
        <v>96.358649345586798</v>
      </c>
      <c r="AM1794">
        <v>68.332207089529902</v>
      </c>
      <c r="AN1794">
        <v>1.00000003705774</v>
      </c>
    </row>
    <row r="1795" spans="1:40" x14ac:dyDescent="0.25">
      <c r="A1795" t="str">
        <f>"20190303154130397"</f>
        <v>20190303154130397</v>
      </c>
      <c r="B1795" t="str">
        <f>"1551598890390732"</f>
        <v>1551598890390732</v>
      </c>
      <c r="C1795" t="s">
        <v>40</v>
      </c>
      <c r="D1795">
        <v>6.1898519999999904</v>
      </c>
      <c r="E1795">
        <v>0.48815819999999999</v>
      </c>
      <c r="F1795" t="s">
        <v>41</v>
      </c>
      <c r="G1795">
        <v>-192.0043</v>
      </c>
      <c r="H1795" s="1">
        <v>-3.1946790000000001E-6</v>
      </c>
      <c r="I1795">
        <v>345.7928</v>
      </c>
      <c r="J1795">
        <v>-192.3734</v>
      </c>
      <c r="K1795">
        <v>1.1179490000000001</v>
      </c>
      <c r="L1795">
        <v>355.26319999999998</v>
      </c>
      <c r="M1795">
        <v>0.35531220000000002</v>
      </c>
      <c r="N1795">
        <v>-1.049185E-2</v>
      </c>
      <c r="O1795">
        <v>-0.93468890000000004</v>
      </c>
      <c r="P1795">
        <v>-9.2713699999999993E-3</v>
      </c>
      <c r="Q1795">
        <v>-0.1176087</v>
      </c>
      <c r="R1795">
        <v>-0.99301709999999999</v>
      </c>
      <c r="S1795">
        <v>0.1277008</v>
      </c>
      <c r="T1795">
        <v>-0.34683920000000001</v>
      </c>
      <c r="U1795">
        <v>-2.9808349999999999</v>
      </c>
      <c r="V1795">
        <v>0.3608131</v>
      </c>
      <c r="W1795">
        <v>-0.1102283</v>
      </c>
      <c r="X1795">
        <v>0.92610130000000002</v>
      </c>
      <c r="Y1795">
        <v>0.31490949999999901</v>
      </c>
      <c r="Z1795">
        <v>9.0986570000000003E-2</v>
      </c>
      <c r="AA1795">
        <v>0.94475050000000005</v>
      </c>
      <c r="AB1795">
        <v>12</v>
      </c>
      <c r="AC1795">
        <v>0.36910000000000298</v>
      </c>
      <c r="AD1795">
        <v>-1.1179521946789901</v>
      </c>
      <c r="AE1795">
        <v>-9.4703999999999802</v>
      </c>
      <c r="AF1795">
        <v>2.9786757823427998</v>
      </c>
      <c r="AG1795">
        <v>-1.1179521946789901</v>
      </c>
      <c r="AH1795">
        <v>8.8602362126600607</v>
      </c>
      <c r="AI1795">
        <v>96.820105326191694</v>
      </c>
      <c r="AJ1795">
        <v>71.418143428734695</v>
      </c>
      <c r="AK1795">
        <v>9.4141442664766792</v>
      </c>
      <c r="AL1795">
        <v>96.328476261084603</v>
      </c>
      <c r="AM1795">
        <v>68.713895058205907</v>
      </c>
      <c r="AN1795">
        <v>0.99999999455709399</v>
      </c>
    </row>
    <row r="1796" spans="1:40" x14ac:dyDescent="0.25">
      <c r="A1796" t="str">
        <f>"20190303154130415"</f>
        <v>20190303154130415</v>
      </c>
      <c r="B1796" t="str">
        <f>"1551598890411228"</f>
        <v>1551598890411228</v>
      </c>
      <c r="C1796" t="s">
        <v>40</v>
      </c>
      <c r="D1796">
        <v>6.1395169999999997</v>
      </c>
      <c r="E1796">
        <v>0.48844120000000002</v>
      </c>
      <c r="F1796" t="s">
        <v>41</v>
      </c>
      <c r="G1796">
        <v>-192.13640000000001</v>
      </c>
      <c r="H1796" s="1">
        <v>-2.7750399999999999E-6</v>
      </c>
      <c r="I1796">
        <v>344.73270000000002</v>
      </c>
      <c r="J1796">
        <v>-192.3425</v>
      </c>
      <c r="K1796">
        <v>1.117856</v>
      </c>
      <c r="L1796">
        <v>355.15980000000002</v>
      </c>
      <c r="M1796">
        <v>0.34888570000000002</v>
      </c>
      <c r="N1796">
        <v>-1.011302E-2</v>
      </c>
      <c r="O1796">
        <v>-0.93711080000000002</v>
      </c>
      <c r="P1796">
        <v>-9.7305220000000001E-3</v>
      </c>
      <c r="Q1796">
        <v>-0.1169149</v>
      </c>
      <c r="R1796">
        <v>-0.99309460000000005</v>
      </c>
      <c r="S1796">
        <v>6.7138669999999998E-2</v>
      </c>
      <c r="T1796">
        <v>-0.31681199999999998</v>
      </c>
      <c r="U1796">
        <v>-2.9841920000000002</v>
      </c>
      <c r="V1796">
        <v>0.35490090000000002</v>
      </c>
      <c r="W1796">
        <v>-0.1098587</v>
      </c>
      <c r="X1796">
        <v>0.9284268</v>
      </c>
      <c r="Y1796">
        <v>0.32756479999999999</v>
      </c>
      <c r="Z1796">
        <v>8.2706210000000002E-2</v>
      </c>
      <c r="AA1796">
        <v>0.94120190000000004</v>
      </c>
      <c r="AB1796">
        <v>12</v>
      </c>
      <c r="AC1796">
        <v>0.20609999999999201</v>
      </c>
      <c r="AD1796">
        <v>-1.11785877504</v>
      </c>
      <c r="AE1796">
        <v>-10.4270999999999</v>
      </c>
      <c r="AF1796">
        <v>3.4057749504742998</v>
      </c>
      <c r="AG1796">
        <v>-1.11785877504</v>
      </c>
      <c r="AH1796">
        <v>9.7319469507559102</v>
      </c>
      <c r="AI1796">
        <v>96.187700814001104</v>
      </c>
      <c r="AJ1796">
        <v>70.712085764288005</v>
      </c>
      <c r="AK1796">
        <v>10.3710993971969</v>
      </c>
      <c r="AL1796">
        <v>96.307170609027494</v>
      </c>
      <c r="AM1796">
        <v>69.080118945934203</v>
      </c>
      <c r="AN1796">
        <v>0.99999995287236798</v>
      </c>
    </row>
    <row r="1797" spans="1:40" x14ac:dyDescent="0.25">
      <c r="A1797" t="str">
        <f>"20190303154130436"</f>
        <v>20190303154130436</v>
      </c>
      <c r="B1797" t="str">
        <f>"1551598890430748"</f>
        <v>1551598890430748</v>
      </c>
      <c r="C1797" t="s">
        <v>40</v>
      </c>
      <c r="D1797">
        <v>6.1322489999999998</v>
      </c>
      <c r="E1797">
        <v>0.48861310000000002</v>
      </c>
      <c r="F1797" t="s">
        <v>41</v>
      </c>
      <c r="G1797">
        <v>-192.11879999999999</v>
      </c>
      <c r="H1797" s="1">
        <v>-2.7265309999999999E-6</v>
      </c>
      <c r="I1797">
        <v>344.63060000000002</v>
      </c>
      <c r="J1797">
        <v>-192.30969999999999</v>
      </c>
      <c r="K1797">
        <v>1.1177569999999999</v>
      </c>
      <c r="L1797">
        <v>355.04680000000002</v>
      </c>
      <c r="M1797">
        <v>0.34185490000000002</v>
      </c>
      <c r="N1797">
        <v>-9.6992650000000003E-3</v>
      </c>
      <c r="O1797">
        <v>-0.9397027</v>
      </c>
      <c r="P1797">
        <v>-1.0704999999999999E-2</v>
      </c>
      <c r="Q1797">
        <v>-0.1157194</v>
      </c>
      <c r="R1797">
        <v>-0.99322449999999995</v>
      </c>
      <c r="S1797">
        <v>6.3415529999999998E-2</v>
      </c>
      <c r="T1797">
        <v>-0.3168204</v>
      </c>
      <c r="U1797">
        <v>-2.9841609999999998</v>
      </c>
      <c r="V1797">
        <v>0.34889599999999998</v>
      </c>
      <c r="W1797">
        <v>-0.1090232</v>
      </c>
      <c r="X1797">
        <v>0.93079840000000003</v>
      </c>
      <c r="Y1797">
        <v>0.32166919999999999</v>
      </c>
      <c r="Z1797">
        <v>8.3632390000000001E-2</v>
      </c>
      <c r="AA1797">
        <v>0.94315139999999997</v>
      </c>
      <c r="AB1797">
        <v>12</v>
      </c>
      <c r="AC1797">
        <v>0.19089999999999899</v>
      </c>
      <c r="AD1797">
        <v>-1.117759726531</v>
      </c>
      <c r="AE1797">
        <v>-10.4162</v>
      </c>
      <c r="AF1797">
        <v>3.3431144999379399</v>
      </c>
      <c r="AG1797">
        <v>-1.117759726531</v>
      </c>
      <c r="AH1797">
        <v>9.7417129514598795</v>
      </c>
      <c r="AI1797">
        <v>96.193886969593706</v>
      </c>
      <c r="AJ1797">
        <v>71.059049585485397</v>
      </c>
      <c r="AK1797">
        <v>10.3598635413113</v>
      </c>
      <c r="AL1797">
        <v>96.259009968326893</v>
      </c>
      <c r="AM1797">
        <v>69.452233687464101</v>
      </c>
      <c r="AN1797">
        <v>1.0000000691983899</v>
      </c>
    </row>
    <row r="1798" spans="1:40" x14ac:dyDescent="0.25">
      <c r="A1798" t="str">
        <f>"20190303154130458"</f>
        <v>20190303154130458</v>
      </c>
      <c r="B1798" t="str">
        <f>"1551598890451244"</f>
        <v>1551598890451244</v>
      </c>
      <c r="C1798" t="s">
        <v>40</v>
      </c>
      <c r="D1798">
        <v>6.1706029999999998</v>
      </c>
      <c r="E1798">
        <v>0.48857260000000002</v>
      </c>
      <c r="F1798" t="s">
        <v>41</v>
      </c>
      <c r="G1798">
        <v>-192.0959</v>
      </c>
      <c r="H1798" s="1">
        <v>-2.5704180000000001E-6</v>
      </c>
      <c r="I1798">
        <v>344.28089999999997</v>
      </c>
      <c r="J1798">
        <v>-192.27520000000001</v>
      </c>
      <c r="K1798">
        <v>1.1176600000000001</v>
      </c>
      <c r="L1798">
        <v>354.92430000000002</v>
      </c>
      <c r="M1798">
        <v>0.33424320000000002</v>
      </c>
      <c r="N1798">
        <v>-9.2568640000000001E-3</v>
      </c>
      <c r="O1798">
        <v>-0.94244159999999999</v>
      </c>
      <c r="P1798">
        <v>-1.260609E-2</v>
      </c>
      <c r="Q1798">
        <v>-0.1149163</v>
      </c>
      <c r="R1798">
        <v>-0.99329540000000005</v>
      </c>
      <c r="S1798">
        <v>5.9265140000000001E-2</v>
      </c>
      <c r="T1798">
        <v>-0.3099169</v>
      </c>
      <c r="U1798">
        <v>-2.9850159999999999</v>
      </c>
      <c r="V1798">
        <v>0.34316829999999998</v>
      </c>
      <c r="W1798">
        <v>-0.1086154</v>
      </c>
      <c r="X1798">
        <v>0.93297280000000005</v>
      </c>
      <c r="Y1798">
        <v>0.31533860000000002</v>
      </c>
      <c r="Z1798">
        <v>8.2561889999999999E-2</v>
      </c>
      <c r="AA1798">
        <v>0.94538089999999997</v>
      </c>
      <c r="AB1798">
        <v>12</v>
      </c>
      <c r="AC1798">
        <v>0.17930000000001201</v>
      </c>
      <c r="AD1798">
        <v>-1.1176625704180001</v>
      </c>
      <c r="AE1798">
        <v>-10.6434</v>
      </c>
      <c r="AF1798">
        <v>3.3516998614674098</v>
      </c>
      <c r="AG1798">
        <v>-1.1176625704180001</v>
      </c>
      <c r="AH1798">
        <v>9.9811118738126101</v>
      </c>
      <c r="AI1798">
        <v>96.059397385573504</v>
      </c>
      <c r="AJ1798">
        <v>71.437729595547395</v>
      </c>
      <c r="AK1798">
        <v>10.5879958358622</v>
      </c>
      <c r="AL1798">
        <v>96.235505499356407</v>
      </c>
      <c r="AM1798">
        <v>69.805347099570398</v>
      </c>
      <c r="AN1798">
        <v>1.0000000163909399</v>
      </c>
    </row>
    <row r="1799" spans="1:40" x14ac:dyDescent="0.25">
      <c r="A1799" t="str">
        <f>"20190303154130480"</f>
        <v>20190303154130480</v>
      </c>
      <c r="B1799" t="str">
        <f>"1551598890470767"</f>
        <v>1551598890470767</v>
      </c>
      <c r="C1799" t="s">
        <v>40</v>
      </c>
      <c r="D1799">
        <v>6.1629579999999997</v>
      </c>
      <c r="E1799">
        <v>0.48811969999999999</v>
      </c>
      <c r="F1799" t="s">
        <v>41</v>
      </c>
      <c r="G1799">
        <v>-192.08160000000001</v>
      </c>
      <c r="H1799" s="1">
        <v>-2.5253190000000001E-6</v>
      </c>
      <c r="I1799">
        <v>344.18459999999999</v>
      </c>
      <c r="J1799">
        <v>-192.24109999999999</v>
      </c>
      <c r="K1799">
        <v>1.117561</v>
      </c>
      <c r="L1799">
        <v>354.7998</v>
      </c>
      <c r="M1799">
        <v>0.32651289999999999</v>
      </c>
      <c r="N1799">
        <v>-8.8207310000000001E-3</v>
      </c>
      <c r="O1799">
        <v>-0.94515170000000004</v>
      </c>
      <c r="P1799">
        <v>-1.445113E-2</v>
      </c>
      <c r="Q1799">
        <v>-0.1136789</v>
      </c>
      <c r="R1799">
        <v>-0.99341239999999997</v>
      </c>
      <c r="S1799">
        <v>5.3802490000000001E-2</v>
      </c>
      <c r="T1799">
        <v>-0.31064009999999997</v>
      </c>
      <c r="U1799">
        <v>-2.9849549999999998</v>
      </c>
      <c r="V1799">
        <v>0.3372965</v>
      </c>
      <c r="W1799">
        <v>-0.10776819999999999</v>
      </c>
      <c r="X1799">
        <v>0.93520959999999997</v>
      </c>
      <c r="Y1799">
        <v>0.30930360000000001</v>
      </c>
      <c r="Z1799">
        <v>8.3727239999999994E-2</v>
      </c>
      <c r="AA1799">
        <v>0.94727030000000001</v>
      </c>
      <c r="AB1799">
        <v>12</v>
      </c>
      <c r="AC1799">
        <v>0.15949999999997999</v>
      </c>
      <c r="AD1799">
        <v>-1.1175635253189999</v>
      </c>
      <c r="AE1799">
        <v>-10.6152</v>
      </c>
      <c r="AF1799">
        <v>3.2790406856772498</v>
      </c>
      <c r="AG1799">
        <v>-1.1175635253189999</v>
      </c>
      <c r="AH1799">
        <v>9.9749096125853303</v>
      </c>
      <c r="AI1799">
        <v>96.075356768590794</v>
      </c>
      <c r="AJ1799">
        <v>71.802813340829204</v>
      </c>
      <c r="AK1799">
        <v>10.5593502560857</v>
      </c>
      <c r="AL1799">
        <v>96.186678280106904</v>
      </c>
      <c r="AM1799">
        <v>70.167447730074997</v>
      </c>
      <c r="AN1799">
        <v>0.99999995488782301</v>
      </c>
    </row>
    <row r="1800" spans="1:40" x14ac:dyDescent="0.25">
      <c r="A1800" t="str">
        <f>"20190303154130503"</f>
        <v>20190303154130503</v>
      </c>
      <c r="B1800" t="str">
        <f>"1551598890501021"</f>
        <v>1551598890501021</v>
      </c>
      <c r="C1800" t="s">
        <v>40</v>
      </c>
      <c r="D1800">
        <v>6.2189509999999997</v>
      </c>
      <c r="E1800">
        <v>0.48774020000000001</v>
      </c>
      <c r="F1800" t="s">
        <v>41</v>
      </c>
      <c r="G1800">
        <v>-192.0583</v>
      </c>
      <c r="H1800" s="1">
        <v>-2.5439220000000001E-6</v>
      </c>
      <c r="I1800">
        <v>344.24250000000001</v>
      </c>
      <c r="J1800">
        <v>-192.20570000000001</v>
      </c>
      <c r="K1800">
        <v>1.117461</v>
      </c>
      <c r="L1800">
        <v>354.66570000000002</v>
      </c>
      <c r="M1800">
        <v>0.31818629999999998</v>
      </c>
      <c r="N1800">
        <v>-8.3747470000000001E-3</v>
      </c>
      <c r="O1800">
        <v>-0.94799140000000004</v>
      </c>
      <c r="P1800">
        <v>-1.478763E-2</v>
      </c>
      <c r="Q1800">
        <v>-0.1121041</v>
      </c>
      <c r="R1800">
        <v>-0.99358659999999999</v>
      </c>
      <c r="S1800">
        <v>5.1696779999999998E-2</v>
      </c>
      <c r="T1800">
        <v>-0.315924599999999</v>
      </c>
      <c r="U1800">
        <v>-2.984467</v>
      </c>
      <c r="V1800">
        <v>0.32943210000000001</v>
      </c>
      <c r="W1800">
        <v>-0.10657759999999999</v>
      </c>
      <c r="X1800">
        <v>0.93814489999999995</v>
      </c>
      <c r="Y1800">
        <v>0.30160879999999901</v>
      </c>
      <c r="Z1800">
        <v>8.6317889999999994E-2</v>
      </c>
      <c r="AA1800">
        <v>0.94951640000000004</v>
      </c>
      <c r="AB1800">
        <v>13</v>
      </c>
      <c r="AC1800">
        <v>0.147400000000004</v>
      </c>
      <c r="AD1800">
        <v>-1.117463543922</v>
      </c>
      <c r="AE1800">
        <v>-10.4232</v>
      </c>
      <c r="AF1800">
        <v>3.1408037291308499</v>
      </c>
      <c r="AG1800">
        <v>-1.117463543922</v>
      </c>
      <c r="AH1800">
        <v>9.8155553280468197</v>
      </c>
      <c r="AI1800">
        <v>96.188427960256604</v>
      </c>
      <c r="AJ1800">
        <v>72.256249587266694</v>
      </c>
      <c r="AK1800">
        <v>10.366219138859901</v>
      </c>
      <c r="AL1800">
        <v>96.118066014942301</v>
      </c>
      <c r="AM1800">
        <v>70.651138457742206</v>
      </c>
      <c r="AN1800">
        <v>1.0000000733640799</v>
      </c>
    </row>
    <row r="1801" spans="1:40" x14ac:dyDescent="0.25">
      <c r="A1801" t="str">
        <f>"20190303154130537"</f>
        <v>20190303154130537</v>
      </c>
      <c r="B1801" t="str">
        <f>"1551598890531276"</f>
        <v>1551598890531276</v>
      </c>
      <c r="C1801" t="s">
        <v>40</v>
      </c>
      <c r="D1801">
        <v>6.1884259999999998</v>
      </c>
      <c r="E1801">
        <v>0.48956159999999999</v>
      </c>
      <c r="F1801" t="s">
        <v>41</v>
      </c>
      <c r="G1801">
        <v>-192.01750000000001</v>
      </c>
      <c r="H1801" s="1">
        <v>-2.5202130000000002E-6</v>
      </c>
      <c r="I1801">
        <v>344.21249999999998</v>
      </c>
      <c r="J1801">
        <v>-192.1591</v>
      </c>
      <c r="K1801">
        <v>1.117327</v>
      </c>
      <c r="L1801">
        <v>354.4828</v>
      </c>
      <c r="M1801">
        <v>0.30684889999999998</v>
      </c>
      <c r="N1801">
        <v>-7.817648E-3</v>
      </c>
      <c r="O1801">
        <v>-0.95172630000000003</v>
      </c>
      <c r="P1801">
        <v>-1.892108E-2</v>
      </c>
      <c r="Q1801">
        <v>-0.1109938</v>
      </c>
      <c r="R1801">
        <v>-0.99364129999999995</v>
      </c>
      <c r="S1801">
        <v>5.3710939999999999E-2</v>
      </c>
      <c r="T1801">
        <v>-0.31900840000000003</v>
      </c>
      <c r="U1801">
        <v>-2.9841310000000001</v>
      </c>
      <c r="V1801">
        <v>0.32215549999999998</v>
      </c>
      <c r="W1801">
        <v>-0.1059808</v>
      </c>
      <c r="X1801">
        <v>0.94073580000000001</v>
      </c>
      <c r="Y1801">
        <v>0.28958430000000002</v>
      </c>
      <c r="Z1801">
        <v>8.8586139999999994E-2</v>
      </c>
      <c r="AA1801">
        <v>0.95304429999999996</v>
      </c>
      <c r="AB1801">
        <v>13</v>
      </c>
      <c r="AC1801">
        <v>0.14159999999998199</v>
      </c>
      <c r="AD1801">
        <v>-1.117329520213</v>
      </c>
      <c r="AE1801">
        <v>-10.270300000000001</v>
      </c>
      <c r="AF1801">
        <v>2.98147618706524</v>
      </c>
      <c r="AG1801">
        <v>-1.117329520213</v>
      </c>
      <c r="AH1801">
        <v>9.7034371527485792</v>
      </c>
      <c r="AI1801">
        <v>96.281217647050596</v>
      </c>
      <c r="AJ1801">
        <v>72.919911285411601</v>
      </c>
      <c r="AK1801">
        <v>10.21245896384</v>
      </c>
      <c r="AL1801">
        <v>96.083677754808093</v>
      </c>
      <c r="AM1801">
        <v>71.096203383445399</v>
      </c>
      <c r="AN1801">
        <v>0.99999997077526404</v>
      </c>
    </row>
    <row r="1802" spans="1:40" x14ac:dyDescent="0.25">
      <c r="A1802" t="str">
        <f>"20190303154130557"</f>
        <v>20190303154130557</v>
      </c>
      <c r="B1802" t="str">
        <f>"1551598890550796"</f>
        <v>1551598890550796</v>
      </c>
      <c r="C1802" t="s">
        <v>40</v>
      </c>
      <c r="D1802">
        <v>6.168774</v>
      </c>
      <c r="E1802">
        <v>0.49012040000000001</v>
      </c>
      <c r="F1802" t="s">
        <v>41</v>
      </c>
      <c r="G1802">
        <v>-192.08</v>
      </c>
      <c r="H1802" s="1">
        <v>-3.0604040000000001E-6</v>
      </c>
      <c r="I1802">
        <v>345.43299999999999</v>
      </c>
      <c r="J1802">
        <v>-192.12780000000001</v>
      </c>
      <c r="K1802">
        <v>1.11724</v>
      </c>
      <c r="L1802">
        <v>354.35419999999999</v>
      </c>
      <c r="M1802">
        <v>0.29890489999999997</v>
      </c>
      <c r="N1802">
        <v>-7.472294E-3</v>
      </c>
      <c r="O1802">
        <v>-0.95425369999999998</v>
      </c>
      <c r="P1802">
        <v>-2.1060120000000002E-2</v>
      </c>
      <c r="Q1802">
        <v>-0.110795699999999</v>
      </c>
      <c r="R1802">
        <v>-0.99362030000000001</v>
      </c>
      <c r="S1802">
        <v>2.604675E-2</v>
      </c>
      <c r="T1802">
        <v>-0.36775459999999999</v>
      </c>
      <c r="U1802">
        <v>-2.9786380000000001</v>
      </c>
      <c r="V1802">
        <v>0.31632919999999998</v>
      </c>
      <c r="W1802">
        <v>-0.1060917</v>
      </c>
      <c r="X1802">
        <v>0.94269849999999999</v>
      </c>
      <c r="Y1802">
        <v>0.29041260000000002</v>
      </c>
      <c r="Z1802">
        <v>0.10410320000000001</v>
      </c>
      <c r="AA1802">
        <v>0.95122189999999995</v>
      </c>
      <c r="AB1802">
        <v>13</v>
      </c>
      <c r="AC1802">
        <v>4.7799999999995103E-2</v>
      </c>
      <c r="AD1802">
        <v>-1.117243060404</v>
      </c>
      <c r="AE1802">
        <v>-8.9211999999999403</v>
      </c>
      <c r="AF1802">
        <v>2.58057823586558</v>
      </c>
      <c r="AG1802">
        <v>-1.117243060404</v>
      </c>
      <c r="AH1802">
        <v>8.3959377512554507</v>
      </c>
      <c r="AI1802">
        <v>97.248917978746803</v>
      </c>
      <c r="AJ1802">
        <v>72.9146482832044</v>
      </c>
      <c r="AK1802">
        <v>8.8543428220506808</v>
      </c>
      <c r="AL1802">
        <v>96.090067479535605</v>
      </c>
      <c r="AM1802">
        <v>71.450455204578802</v>
      </c>
      <c r="AN1802">
        <v>1.00000003674188</v>
      </c>
    </row>
    <row r="1803" spans="1:40" x14ac:dyDescent="0.25">
      <c r="A1803" t="str">
        <f>"20190303154130583"</f>
        <v>20190303154130583</v>
      </c>
      <c r="B1803" t="str">
        <f>"1551598890581052"</f>
        <v>1551598890581052</v>
      </c>
      <c r="C1803" t="s">
        <v>40</v>
      </c>
      <c r="D1803">
        <v>6.170992</v>
      </c>
      <c r="E1803">
        <v>0.48984939999999999</v>
      </c>
      <c r="F1803" t="s">
        <v>41</v>
      </c>
      <c r="G1803">
        <v>-192.08260000000001</v>
      </c>
      <c r="H1803" s="1">
        <v>-3.0826579999999998E-6</v>
      </c>
      <c r="I1803">
        <v>345.48320000000001</v>
      </c>
      <c r="J1803">
        <v>-192.09280000000001</v>
      </c>
      <c r="K1803">
        <v>1.117151</v>
      </c>
      <c r="L1803">
        <v>354.2047</v>
      </c>
      <c r="M1803">
        <v>0.28968680000000002</v>
      </c>
      <c r="N1803">
        <v>-7.1152269999999896E-3</v>
      </c>
      <c r="O1803">
        <v>-0.95709529999999998</v>
      </c>
      <c r="P1803">
        <v>-2.4638230000000001E-2</v>
      </c>
      <c r="Q1803">
        <v>-0.1090802</v>
      </c>
      <c r="R1803">
        <v>-0.99372780000000005</v>
      </c>
      <c r="S1803">
        <v>1.5182499999999899E-2</v>
      </c>
      <c r="T1803">
        <v>-0.3750291</v>
      </c>
      <c r="U1803">
        <v>-2.9777830000000001</v>
      </c>
      <c r="V1803">
        <v>0.31067990000000001</v>
      </c>
      <c r="W1803">
        <v>-0.10470119999999999</v>
      </c>
      <c r="X1803">
        <v>0.94473050000000003</v>
      </c>
      <c r="Y1803">
        <v>0.28465590000000002</v>
      </c>
      <c r="Z1803">
        <v>0.1072983</v>
      </c>
      <c r="AA1803">
        <v>0.95260599999999995</v>
      </c>
      <c r="AB1803">
        <v>13</v>
      </c>
      <c r="AC1803">
        <v>1.0199999999997499E-2</v>
      </c>
      <c r="AD1803">
        <v>-1.117154082658</v>
      </c>
      <c r="AE1803">
        <v>-8.72149999999999</v>
      </c>
      <c r="AF1803">
        <v>2.4761762229835398</v>
      </c>
      <c r="AG1803">
        <v>-1.117154082658</v>
      </c>
      <c r="AH1803">
        <v>8.2156719538576706</v>
      </c>
      <c r="AI1803">
        <v>97.417817145362605</v>
      </c>
      <c r="AJ1803">
        <v>73.227367801446803</v>
      </c>
      <c r="AK1803">
        <v>8.6531351304063193</v>
      </c>
      <c r="AL1803">
        <v>96.009951514055501</v>
      </c>
      <c r="AM1803">
        <v>71.796261054761402</v>
      </c>
      <c r="AN1803">
        <v>1.00000002958784</v>
      </c>
    </row>
    <row r="1804" spans="1:40" x14ac:dyDescent="0.25">
      <c r="A1804" t="str">
        <f>"20190303154130605"</f>
        <v>20190303154130605</v>
      </c>
      <c r="B1804" t="str">
        <f>"1551598890600572"</f>
        <v>1551598890600572</v>
      </c>
      <c r="C1804" t="s">
        <v>40</v>
      </c>
      <c r="D1804">
        <v>6.1592320000000003</v>
      </c>
      <c r="E1804">
        <v>0.48986380000000002</v>
      </c>
      <c r="F1804" t="s">
        <v>41</v>
      </c>
      <c r="G1804">
        <v>-192.0728</v>
      </c>
      <c r="H1804" s="1">
        <v>-2.9492760000000001E-6</v>
      </c>
      <c r="I1804">
        <v>345.17840000000001</v>
      </c>
      <c r="J1804">
        <v>-192.06360000000001</v>
      </c>
      <c r="K1804">
        <v>1.1170899999999999</v>
      </c>
      <c r="L1804">
        <v>354.07470000000001</v>
      </c>
      <c r="M1804">
        <v>0.28170410000000001</v>
      </c>
      <c r="N1804">
        <v>-6.8402799999999998E-3</v>
      </c>
      <c r="O1804">
        <v>-0.95947720000000003</v>
      </c>
      <c r="P1804">
        <v>-2.6677800000000002E-2</v>
      </c>
      <c r="Q1804">
        <v>-0.10692740000000001</v>
      </c>
      <c r="R1804">
        <v>-0.99390940000000005</v>
      </c>
      <c r="S1804">
        <v>6.6223139999999998E-3</v>
      </c>
      <c r="T1804">
        <v>-0.36865219999999999</v>
      </c>
      <c r="U1804">
        <v>-2.9786380000000001</v>
      </c>
      <c r="V1804">
        <v>0.30481649999999999</v>
      </c>
      <c r="W1804">
        <v>-0.1027825</v>
      </c>
      <c r="X1804">
        <v>0.94684880000000005</v>
      </c>
      <c r="Y1804">
        <v>0.27941949999999999</v>
      </c>
      <c r="Z1804">
        <v>0.1061503</v>
      </c>
      <c r="AA1804">
        <v>0.9542834</v>
      </c>
      <c r="AB1804">
        <v>13</v>
      </c>
      <c r="AC1804">
        <v>-9.1999999999927695E-3</v>
      </c>
      <c r="AD1804">
        <v>-1.117092949276</v>
      </c>
      <c r="AE1804">
        <v>-8.8962999999999894</v>
      </c>
      <c r="AF1804">
        <v>2.4759700603286201</v>
      </c>
      <c r="AG1804">
        <v>-1.117092949276</v>
      </c>
      <c r="AH1804">
        <v>8.40094211824238</v>
      </c>
      <c r="AI1804">
        <v>97.268719010368102</v>
      </c>
      <c r="AJ1804">
        <v>73.5784217500468</v>
      </c>
      <c r="AK1804">
        <v>8.8291649022444094</v>
      </c>
      <c r="AL1804">
        <v>95.899421898825906</v>
      </c>
      <c r="AM1804">
        <v>72.155214397518705</v>
      </c>
      <c r="AN1804">
        <v>0.99999999551996999</v>
      </c>
    </row>
    <row r="1805" spans="1:40" x14ac:dyDescent="0.25">
      <c r="A1805" t="str">
        <f>"20190303154130626"</f>
        <v>20190303154130626</v>
      </c>
      <c r="B1805" t="str">
        <f>"1551598890621068"</f>
        <v>1551598890621068</v>
      </c>
      <c r="C1805" t="s">
        <v>40</v>
      </c>
      <c r="D1805">
        <v>6.2097689999999997</v>
      </c>
      <c r="E1805">
        <v>0.4901471</v>
      </c>
      <c r="F1805" t="s">
        <v>41</v>
      </c>
      <c r="G1805">
        <v>-192.0625</v>
      </c>
      <c r="H1805" s="1">
        <v>-2.8174360000000001E-6</v>
      </c>
      <c r="I1805">
        <v>344.87740000000002</v>
      </c>
      <c r="J1805">
        <v>-192.03569999999999</v>
      </c>
      <c r="K1805">
        <v>1.1170389999999999</v>
      </c>
      <c r="L1805">
        <v>353.94600000000003</v>
      </c>
      <c r="M1805">
        <v>0.27383170000000001</v>
      </c>
      <c r="N1805">
        <v>-6.5986609999999996E-3</v>
      </c>
      <c r="O1805">
        <v>-0.96175520000000003</v>
      </c>
      <c r="P1805">
        <v>-2.768033E-2</v>
      </c>
      <c r="Q1805">
        <v>-0.105395699999999</v>
      </c>
      <c r="R1805">
        <v>-0.99404539999999997</v>
      </c>
      <c r="S1805">
        <v>3.509521E-4</v>
      </c>
      <c r="T1805">
        <v>-0.3618847</v>
      </c>
      <c r="U1805">
        <v>-2.979492</v>
      </c>
      <c r="V1805">
        <v>0.29805510000000002</v>
      </c>
      <c r="W1805">
        <v>-0.1014388</v>
      </c>
      <c r="X1805">
        <v>0.94914350000000003</v>
      </c>
      <c r="Y1805">
        <v>0.2735687</v>
      </c>
      <c r="Z1805">
        <v>0.1048231</v>
      </c>
      <c r="AA1805">
        <v>0.95612359999999996</v>
      </c>
      <c r="AB1805">
        <v>13</v>
      </c>
      <c r="AC1805">
        <v>-2.6800000000008602E-2</v>
      </c>
      <c r="AD1805">
        <v>-1.117041817436</v>
      </c>
      <c r="AE1805">
        <v>-9.0685999999999396</v>
      </c>
      <c r="AF1805">
        <v>2.4715991930307202</v>
      </c>
      <c r="AG1805">
        <v>-1.117041817436</v>
      </c>
      <c r="AH1805">
        <v>8.58437678683892</v>
      </c>
      <c r="AI1805">
        <v>97.127567391203002</v>
      </c>
      <c r="AJ1805">
        <v>73.937921959791694</v>
      </c>
      <c r="AK1805">
        <v>9.0026723705414202</v>
      </c>
      <c r="AL1805">
        <v>95.822028833751403</v>
      </c>
      <c r="AM1805">
        <v>72.566390401526206</v>
      </c>
      <c r="AN1805">
        <v>1.00000002818684</v>
      </c>
    </row>
    <row r="1806" spans="1:40" x14ac:dyDescent="0.25">
      <c r="A1806" t="str">
        <f>"20190303154130648"</f>
        <v>20190303154130648</v>
      </c>
      <c r="B1806" t="str">
        <f>"1551598890640588"</f>
        <v>1551598890640588</v>
      </c>
      <c r="C1806" t="s">
        <v>40</v>
      </c>
      <c r="D1806">
        <v>6.231681</v>
      </c>
      <c r="E1806">
        <v>0.49028450000000001</v>
      </c>
      <c r="F1806" t="s">
        <v>41</v>
      </c>
      <c r="G1806">
        <v>-192.05080000000001</v>
      </c>
      <c r="H1806" s="1">
        <v>-2.7204779999999999E-6</v>
      </c>
      <c r="I1806">
        <v>344.65870000000001</v>
      </c>
      <c r="J1806">
        <v>-192.00720000000001</v>
      </c>
      <c r="K1806">
        <v>1.1169819999999999</v>
      </c>
      <c r="L1806">
        <v>353.80950000000001</v>
      </c>
      <c r="M1806">
        <v>0.26553549999999998</v>
      </c>
      <c r="N1806">
        <v>-6.3722099999999997E-3</v>
      </c>
      <c r="O1806">
        <v>-0.9640801</v>
      </c>
      <c r="P1806">
        <v>-2.9104359999999999E-2</v>
      </c>
      <c r="Q1806">
        <v>-0.1062343</v>
      </c>
      <c r="R1806">
        <v>-0.99391549999999995</v>
      </c>
      <c r="S1806">
        <v>-4.8522950000000004E-3</v>
      </c>
      <c r="T1806">
        <v>-0.35839759999999998</v>
      </c>
      <c r="U1806">
        <v>-2.979797</v>
      </c>
      <c r="V1806">
        <v>0.291195599999999</v>
      </c>
      <c r="W1806">
        <v>-0.10244640000000001</v>
      </c>
      <c r="X1806">
        <v>0.95116230000000002</v>
      </c>
      <c r="Y1806">
        <v>0.26695669999999999</v>
      </c>
      <c r="Z1806">
        <v>0.10450189999999999</v>
      </c>
      <c r="AA1806">
        <v>0.95802580000000004</v>
      </c>
      <c r="AB1806">
        <v>13</v>
      </c>
      <c r="AC1806">
        <v>-4.35999999999978E-2</v>
      </c>
      <c r="AD1806">
        <v>-1.1169847204779999</v>
      </c>
      <c r="AE1806">
        <v>-9.1508000000000003</v>
      </c>
      <c r="AF1806">
        <v>2.4356565239949202</v>
      </c>
      <c r="AG1806">
        <v>-1.1169847204779999</v>
      </c>
      <c r="AH1806">
        <v>8.68135871858874</v>
      </c>
      <c r="AI1806">
        <v>97.061904196748202</v>
      </c>
      <c r="AJ1806">
        <v>74.327916020792998</v>
      </c>
      <c r="AK1806">
        <v>9.0854866005887107</v>
      </c>
      <c r="AL1806">
        <v>95.880062970296194</v>
      </c>
      <c r="AM1806">
        <v>72.978181900725502</v>
      </c>
      <c r="AN1806">
        <v>0.99999993163680201</v>
      </c>
    </row>
    <row r="1807" spans="1:40" x14ac:dyDescent="0.25">
      <c r="A1807" t="str">
        <f>"20190303154130671"</f>
        <v>20190303154130671</v>
      </c>
      <c r="B1807" t="str">
        <f>"1551598890661084"</f>
        <v>1551598890661084</v>
      </c>
      <c r="C1807" t="s">
        <v>40</v>
      </c>
      <c r="D1807">
        <v>6.1753609999999997</v>
      </c>
      <c r="E1807">
        <v>0.49035380000000001</v>
      </c>
      <c r="F1807" t="s">
        <v>41</v>
      </c>
      <c r="G1807">
        <v>-192.03960000000001</v>
      </c>
      <c r="H1807" s="1">
        <v>-2.6853080000000002E-6</v>
      </c>
      <c r="I1807">
        <v>344.58359999999999</v>
      </c>
      <c r="J1807">
        <v>-191.97829999999999</v>
      </c>
      <c r="K1807">
        <v>1.116938</v>
      </c>
      <c r="L1807">
        <v>353.66500000000002</v>
      </c>
      <c r="M1807">
        <v>0.25682670000000002</v>
      </c>
      <c r="N1807">
        <v>-6.1615469999999999E-3</v>
      </c>
      <c r="O1807">
        <v>-0.96643809999999997</v>
      </c>
      <c r="P1807">
        <v>-3.1320220000000003E-2</v>
      </c>
      <c r="Q1807">
        <v>-0.1080426</v>
      </c>
      <c r="R1807">
        <v>-0.99365320000000001</v>
      </c>
      <c r="S1807">
        <v>-1.0467529999999999E-2</v>
      </c>
      <c r="T1807">
        <v>-0.3607301</v>
      </c>
      <c r="U1807">
        <v>-2.979492</v>
      </c>
      <c r="V1807">
        <v>0.28466140000000001</v>
      </c>
      <c r="W1807">
        <v>-0.104407399999999</v>
      </c>
      <c r="X1807">
        <v>0.95292549999999998</v>
      </c>
      <c r="Y1807">
        <v>0.26006889999999999</v>
      </c>
      <c r="Z1807">
        <v>0.1059689</v>
      </c>
      <c r="AA1807">
        <v>0.95975770000000005</v>
      </c>
      <c r="AB1807">
        <v>14</v>
      </c>
      <c r="AC1807">
        <v>-6.1300000000017001E-2</v>
      </c>
      <c r="AD1807">
        <v>-1.1169406853079999</v>
      </c>
      <c r="AE1807">
        <v>-9.0814000000000306</v>
      </c>
      <c r="AF1807">
        <v>2.3559957546485801</v>
      </c>
      <c r="AG1807">
        <v>-1.1169406853079999</v>
      </c>
      <c r="AH1807">
        <v>8.6304835951760204</v>
      </c>
      <c r="AI1807">
        <v>97.116537445502303</v>
      </c>
      <c r="AJ1807">
        <v>74.731118108781004</v>
      </c>
      <c r="AK1807">
        <v>9.0157373285284201</v>
      </c>
      <c r="AL1807">
        <v>95.993025343277907</v>
      </c>
      <c r="AM1807">
        <v>73.367869658519993</v>
      </c>
      <c r="AN1807">
        <v>1.00000001318748</v>
      </c>
    </row>
    <row r="1808" spans="1:40" x14ac:dyDescent="0.25">
      <c r="A1808" t="str">
        <f>"20190303154130693"</f>
        <v>20190303154130693</v>
      </c>
      <c r="B1808" t="str">
        <f>"1551598890691340"</f>
        <v>1551598890691340</v>
      </c>
      <c r="C1808" t="s">
        <v>40</v>
      </c>
      <c r="D1808">
        <v>6.2133789999999998</v>
      </c>
      <c r="E1808">
        <v>0.49059059999999999</v>
      </c>
      <c r="F1808" t="s">
        <v>41</v>
      </c>
      <c r="G1808">
        <v>-192.03210000000001</v>
      </c>
      <c r="H1808" s="1">
        <v>-2.6925259999999999E-6</v>
      </c>
      <c r="I1808">
        <v>344.60509999999999</v>
      </c>
      <c r="J1808">
        <v>-191.95179999999999</v>
      </c>
      <c r="K1808">
        <v>1.116905</v>
      </c>
      <c r="L1808">
        <v>353.52690000000001</v>
      </c>
      <c r="M1808">
        <v>0.2485715</v>
      </c>
      <c r="N1808">
        <v>-5.9850529999999997E-3</v>
      </c>
      <c r="O1808">
        <v>-0.96859499999999998</v>
      </c>
      <c r="P1808">
        <v>-3.2264929999999997E-2</v>
      </c>
      <c r="Q1808">
        <v>-0.1092106</v>
      </c>
      <c r="R1808">
        <v>-0.99349469999999995</v>
      </c>
      <c r="S1808">
        <v>-1.768494E-2</v>
      </c>
      <c r="T1808">
        <v>-0.36722490000000002</v>
      </c>
      <c r="U1808">
        <v>-2.9786990000000002</v>
      </c>
      <c r="V1808">
        <v>0.27738819999999997</v>
      </c>
      <c r="W1808">
        <v>-0.1056831</v>
      </c>
      <c r="X1808">
        <v>0.95492770000000005</v>
      </c>
      <c r="Y1808">
        <v>0.25415520000000003</v>
      </c>
      <c r="Z1808">
        <v>0.1086526</v>
      </c>
      <c r="AA1808">
        <v>0.96104100000000003</v>
      </c>
      <c r="AB1808">
        <v>14</v>
      </c>
      <c r="AC1808">
        <v>-8.0300000000022395E-2</v>
      </c>
      <c r="AD1808">
        <v>-1.116907692526</v>
      </c>
      <c r="AE1808">
        <v>-8.9218000000000099</v>
      </c>
      <c r="AF1808">
        <v>2.2601066879263398</v>
      </c>
      <c r="AG1808">
        <v>-1.116907692526</v>
      </c>
      <c r="AH1808">
        <v>8.4887785485450191</v>
      </c>
      <c r="AI1808">
        <v>97.246008428804203</v>
      </c>
      <c r="AJ1808">
        <v>75.091066298540298</v>
      </c>
      <c r="AK1808">
        <v>8.8552202841415095</v>
      </c>
      <c r="AL1808">
        <v>96.066524158378101</v>
      </c>
      <c r="AM1808">
        <v>73.802431398848796</v>
      </c>
      <c r="AN1808">
        <v>1.0000000216760601</v>
      </c>
    </row>
    <row r="1809" spans="1:40" x14ac:dyDescent="0.25">
      <c r="A1809" t="str">
        <f>"20190303154130716"</f>
        <v>20190303154130716</v>
      </c>
      <c r="B1809" t="str">
        <f>"1551598890710861"</f>
        <v>1551598890710861</v>
      </c>
      <c r="C1809" t="s">
        <v>40</v>
      </c>
      <c r="D1809">
        <v>6.2128569999999996</v>
      </c>
      <c r="E1809">
        <v>0.49084830000000002</v>
      </c>
      <c r="F1809" t="s">
        <v>41</v>
      </c>
      <c r="G1809">
        <v>-192.0189</v>
      </c>
      <c r="H1809" s="1">
        <v>-2.6778130000000002E-6</v>
      </c>
      <c r="I1809">
        <v>344.57900000000001</v>
      </c>
      <c r="J1809">
        <v>-191.92599999999999</v>
      </c>
      <c r="K1809">
        <v>1.116881</v>
      </c>
      <c r="L1809">
        <v>353.38650000000001</v>
      </c>
      <c r="M1809">
        <v>0.2402628</v>
      </c>
      <c r="N1809">
        <v>-5.8270559999999997E-3</v>
      </c>
      <c r="O1809">
        <v>-0.97069039999999995</v>
      </c>
      <c r="P1809">
        <v>-3.2318149999999997E-2</v>
      </c>
      <c r="Q1809">
        <v>-0.1092076</v>
      </c>
      <c r="R1809">
        <v>-0.99349350000000003</v>
      </c>
      <c r="S1809">
        <v>-2.2323610000000001E-2</v>
      </c>
      <c r="T1809">
        <v>-0.37173299999999998</v>
      </c>
      <c r="U1809">
        <v>-2.9780579999999999</v>
      </c>
      <c r="V1809">
        <v>0.26924900000000002</v>
      </c>
      <c r="W1809">
        <v>-0.10575909999999999</v>
      </c>
      <c r="X1809">
        <v>0.95724609999999999</v>
      </c>
      <c r="Y1809">
        <v>0.24736440000000001</v>
      </c>
      <c r="Z1809">
        <v>0.1107163</v>
      </c>
      <c r="AA1809">
        <v>0.96257610000000005</v>
      </c>
      <c r="AB1809">
        <v>14</v>
      </c>
      <c r="AC1809">
        <v>-9.2900000000014402E-2</v>
      </c>
      <c r="AD1809">
        <v>-1.116883677813</v>
      </c>
      <c r="AE1809">
        <v>-8.8074999999999992</v>
      </c>
      <c r="AF1809">
        <v>2.1714147468734599</v>
      </c>
      <c r="AG1809">
        <v>-1.116883677813</v>
      </c>
      <c r="AH1809">
        <v>8.3922401330543508</v>
      </c>
      <c r="AI1809">
        <v>97.341676764395203</v>
      </c>
      <c r="AJ1809">
        <v>75.493384182238202</v>
      </c>
      <c r="AK1809">
        <v>8.7402611862319493</v>
      </c>
      <c r="AL1809">
        <v>96.070902983805397</v>
      </c>
      <c r="AM1809">
        <v>74.290056792074594</v>
      </c>
      <c r="AN1809">
        <v>1.0000000535994999</v>
      </c>
    </row>
    <row r="1810" spans="1:40" x14ac:dyDescent="0.25">
      <c r="A1810" t="str">
        <f>"20190303154130738"</f>
        <v>20190303154130738</v>
      </c>
      <c r="B1810" t="str">
        <f>"1551598890731356"</f>
        <v>1551598890731356</v>
      </c>
      <c r="C1810" t="s">
        <v>40</v>
      </c>
      <c r="D1810">
        <v>6.2230740000000004</v>
      </c>
      <c r="E1810">
        <v>0.49116029999999999</v>
      </c>
      <c r="F1810" t="s">
        <v>41</v>
      </c>
      <c r="G1810">
        <v>-191.99950000000001</v>
      </c>
      <c r="H1810" s="1">
        <v>-2.6364139999999998E-6</v>
      </c>
      <c r="I1810">
        <v>344.49450000000002</v>
      </c>
      <c r="J1810">
        <v>-191.90110000000001</v>
      </c>
      <c r="K1810">
        <v>1.1168579999999999</v>
      </c>
      <c r="L1810">
        <v>353.24470000000002</v>
      </c>
      <c r="M1810">
        <v>0.23196620000000001</v>
      </c>
      <c r="N1810">
        <v>-5.6889289999999997E-3</v>
      </c>
      <c r="O1810">
        <v>-0.97270749999999995</v>
      </c>
      <c r="P1810">
        <v>-3.1934240000000003E-2</v>
      </c>
      <c r="Q1810">
        <v>-0.1081809</v>
      </c>
      <c r="R1810">
        <v>-0.99361820000000001</v>
      </c>
      <c r="S1810">
        <v>-2.4612430000000001E-2</v>
      </c>
      <c r="T1810">
        <v>-0.37401830000000003</v>
      </c>
      <c r="U1810">
        <v>-2.977722</v>
      </c>
      <c r="V1810">
        <v>0.26073210000000002</v>
      </c>
      <c r="W1810">
        <v>-0.10478800000000001</v>
      </c>
      <c r="X1810">
        <v>0.95970739999999999</v>
      </c>
      <c r="Y1810">
        <v>0.23983090000000001</v>
      </c>
      <c r="Z1810">
        <v>0.1120656</v>
      </c>
      <c r="AA1810">
        <v>0.96432490000000004</v>
      </c>
      <c r="AB1810">
        <v>14</v>
      </c>
      <c r="AC1810">
        <v>-9.8399999999998003E-2</v>
      </c>
      <c r="AD1810">
        <v>-1.1168606364139999</v>
      </c>
      <c r="AE1810">
        <v>-8.7501999999999995</v>
      </c>
      <c r="AF1810">
        <v>2.09143055245926</v>
      </c>
      <c r="AG1810">
        <v>-1.1168606364139999</v>
      </c>
      <c r="AH1810">
        <v>8.3526346355202694</v>
      </c>
      <c r="AI1810">
        <v>97.390530063160199</v>
      </c>
      <c r="AJ1810">
        <v>75.942634809600804</v>
      </c>
      <c r="AK1810">
        <v>8.6826243032520996</v>
      </c>
      <c r="AL1810">
        <v>96.014952334272806</v>
      </c>
      <c r="AM1810">
        <v>74.800813368450505</v>
      </c>
      <c r="AN1810">
        <v>1.00000002326458</v>
      </c>
    </row>
    <row r="1811" spans="1:40" x14ac:dyDescent="0.25">
      <c r="A1811" t="str">
        <f>"20190303154130760"</f>
        <v>20190303154130760</v>
      </c>
      <c r="B1811" t="str">
        <f>"1551598890750876"</f>
        <v>1551598890750876</v>
      </c>
      <c r="C1811" t="s">
        <v>40</v>
      </c>
      <c r="D1811">
        <v>6.2401039999999997</v>
      </c>
      <c r="E1811">
        <v>0.49151060000000002</v>
      </c>
      <c r="F1811" t="s">
        <v>42</v>
      </c>
      <c r="G1811">
        <v>-191.90870000000001</v>
      </c>
      <c r="H1811">
        <v>1.009493</v>
      </c>
      <c r="I1811">
        <v>352.3877</v>
      </c>
      <c r="J1811">
        <v>-191.87639999999999</v>
      </c>
      <c r="K1811">
        <v>1.116835</v>
      </c>
      <c r="L1811">
        <v>353.09710000000001</v>
      </c>
      <c r="M1811">
        <v>0.2234179</v>
      </c>
      <c r="N1811">
        <v>-5.5638179999999999E-3</v>
      </c>
      <c r="O1811">
        <v>-0.97470679999999998</v>
      </c>
      <c r="P1811">
        <v>-3.0963290000000001E-2</v>
      </c>
      <c r="Q1811">
        <v>-0.10688979999999999</v>
      </c>
      <c r="R1811">
        <v>-0.99378889999999998</v>
      </c>
      <c r="S1811">
        <v>-2.601624E-2</v>
      </c>
      <c r="T1811">
        <v>-0.3728919</v>
      </c>
      <c r="U1811">
        <v>-2.977814</v>
      </c>
      <c r="V1811">
        <v>0.25139929999999999</v>
      </c>
      <c r="W1811">
        <v>-0.10353850000000001</v>
      </c>
      <c r="X1811">
        <v>0.96232960000000001</v>
      </c>
      <c r="Y1811">
        <v>0.23176260000000001</v>
      </c>
      <c r="Z1811">
        <v>0.11233</v>
      </c>
      <c r="AA1811">
        <v>0.96626500000000004</v>
      </c>
      <c r="AB1811">
        <v>14</v>
      </c>
      <c r="AC1811">
        <v>-3.2300000000020597E-2</v>
      </c>
      <c r="AD1811">
        <v>-0.10734200000000001</v>
      </c>
      <c r="AE1811">
        <v>-0.70940000000001602</v>
      </c>
      <c r="AF1811">
        <v>0.185734879351065</v>
      </c>
      <c r="AG1811">
        <v>-0.10734200000000001</v>
      </c>
      <c r="AH1811">
        <v>0.66896637017552896</v>
      </c>
      <c r="AI1811">
        <v>98.788960883959703</v>
      </c>
      <c r="AJ1811">
        <v>74.482974834627996</v>
      </c>
      <c r="AK1811">
        <v>0.70252099954191904</v>
      </c>
      <c r="AL1811">
        <v>95.942969560461407</v>
      </c>
      <c r="AM1811">
        <v>75.359238235295706</v>
      </c>
      <c r="AN1811">
        <v>1.0000000440294401</v>
      </c>
    </row>
    <row r="1812" spans="1:40" x14ac:dyDescent="0.25">
      <c r="A1812" t="str">
        <f>"20190303154130786"</f>
        <v>20190303154130786</v>
      </c>
      <c r="B1812" t="str">
        <f>"1551598890781134"</f>
        <v>1551598890781134</v>
      </c>
      <c r="C1812" t="s">
        <v>40</v>
      </c>
      <c r="D1812">
        <v>6.2403139999999997</v>
      </c>
      <c r="E1812">
        <v>0.49215560000000003</v>
      </c>
      <c r="F1812" t="s">
        <v>42</v>
      </c>
      <c r="G1812">
        <v>-191.88390000000001</v>
      </c>
      <c r="H1812">
        <v>1.012974</v>
      </c>
      <c r="I1812">
        <v>352.25920000000002</v>
      </c>
      <c r="J1812">
        <v>-191.85130000000001</v>
      </c>
      <c r="K1812">
        <v>1.1168049999999901</v>
      </c>
      <c r="L1812">
        <v>352.9391</v>
      </c>
      <c r="M1812">
        <v>0.21435399999999999</v>
      </c>
      <c r="N1812">
        <v>-5.4487349999999997E-3</v>
      </c>
      <c r="O1812">
        <v>-0.97674090000000002</v>
      </c>
      <c r="P1812">
        <v>-2.9875840000000001E-2</v>
      </c>
      <c r="Q1812">
        <v>-0.1070971</v>
      </c>
      <c r="R1812">
        <v>-0.99380000000000002</v>
      </c>
      <c r="S1812">
        <v>-2.598572E-2</v>
      </c>
      <c r="T1812">
        <v>-0.36894909999999997</v>
      </c>
      <c r="U1812">
        <v>-2.9782709999999999</v>
      </c>
      <c r="V1812">
        <v>0.24138589999999999</v>
      </c>
      <c r="W1812">
        <v>-0.1037781</v>
      </c>
      <c r="X1812">
        <v>0.96486419999999995</v>
      </c>
      <c r="Y1812">
        <v>0.2227153</v>
      </c>
      <c r="Z1812">
        <v>0.1117026</v>
      </c>
      <c r="AA1812">
        <v>0.96846290000000002</v>
      </c>
      <c r="AB1812">
        <v>14</v>
      </c>
      <c r="AC1812">
        <v>-3.26000000000021E-2</v>
      </c>
      <c r="AD1812">
        <v>-0.10383099999999899</v>
      </c>
      <c r="AE1812">
        <v>-0.67989999999997497</v>
      </c>
      <c r="AF1812">
        <v>0.173545535729525</v>
      </c>
      <c r="AG1812">
        <v>-0.10383099999999899</v>
      </c>
      <c r="AH1812">
        <v>0.642165740422727</v>
      </c>
      <c r="AI1812">
        <v>98.871666375135604</v>
      </c>
      <c r="AJ1812">
        <v>74.877054717314707</v>
      </c>
      <c r="AK1812">
        <v>0.67325757901810301</v>
      </c>
      <c r="AL1812">
        <v>95.9567723320516</v>
      </c>
      <c r="AM1812">
        <v>75.954264153288705</v>
      </c>
      <c r="AN1812">
        <v>0.99999998560002901</v>
      </c>
    </row>
    <row r="1813" spans="1:40" x14ac:dyDescent="0.25">
      <c r="A1813" t="str">
        <f>"20190303154130807"</f>
        <v>20190303154130807</v>
      </c>
      <c r="B1813" t="str">
        <f>"1551598890800652"</f>
        <v>1551598890800652</v>
      </c>
      <c r="C1813" t="s">
        <v>40</v>
      </c>
      <c r="D1813">
        <v>6.2517149999999999</v>
      </c>
      <c r="E1813">
        <v>0.49255189999999999</v>
      </c>
      <c r="F1813" t="s">
        <v>42</v>
      </c>
      <c r="G1813">
        <v>-191.85900000000001</v>
      </c>
      <c r="H1813">
        <v>1.0161439999999999</v>
      </c>
      <c r="I1813">
        <v>352.12990000000002</v>
      </c>
      <c r="J1813">
        <v>-191.82910000000001</v>
      </c>
      <c r="K1813">
        <v>1.1167720000000001</v>
      </c>
      <c r="L1813">
        <v>352.79180000000002</v>
      </c>
      <c r="M1813">
        <v>0.2059898</v>
      </c>
      <c r="N1813">
        <v>-5.3562999999999996E-3</v>
      </c>
      <c r="O1813">
        <v>-0.97853950000000001</v>
      </c>
      <c r="P1813">
        <v>-2.7912289999999999E-2</v>
      </c>
      <c r="Q1813">
        <v>-0.1074481</v>
      </c>
      <c r="R1813">
        <v>-0.99381920000000001</v>
      </c>
      <c r="S1813">
        <v>-2.7908329999999999E-2</v>
      </c>
      <c r="T1813">
        <v>-0.37034889999999998</v>
      </c>
      <c r="U1813">
        <v>-2.9779969999999998</v>
      </c>
      <c r="V1813">
        <v>0.23119980000000001</v>
      </c>
      <c r="W1813">
        <v>-0.1041386</v>
      </c>
      <c r="X1813">
        <v>0.96731679999999998</v>
      </c>
      <c r="Y1813">
        <v>0.21499889999999999</v>
      </c>
      <c r="Z1813">
        <v>0.1126815</v>
      </c>
      <c r="AA1813">
        <v>0.97009190000000001</v>
      </c>
      <c r="AB1813">
        <v>14</v>
      </c>
      <c r="AC1813">
        <v>-2.98999999999978E-2</v>
      </c>
      <c r="AD1813">
        <v>-0.100627999999999</v>
      </c>
      <c r="AE1813">
        <v>-0.66190000000000204</v>
      </c>
      <c r="AF1813">
        <v>0.16187166048160101</v>
      </c>
      <c r="AG1813">
        <v>-0.100627999999999</v>
      </c>
      <c r="AH1813">
        <v>0.62708128902542204</v>
      </c>
      <c r="AI1813">
        <v>98.831837830673706</v>
      </c>
      <c r="AJ1813">
        <v>75.525916955772104</v>
      </c>
      <c r="AK1813">
        <v>0.655407790537201</v>
      </c>
      <c r="AL1813">
        <v>95.977539939706801</v>
      </c>
      <c r="AM1813">
        <v>76.557833190972602</v>
      </c>
      <c r="AN1813">
        <v>0.99999999354611901</v>
      </c>
    </row>
    <row r="1814" spans="1:40" x14ac:dyDescent="0.25">
      <c r="A1814" t="str">
        <f>"20190303154130830"</f>
        <v>20190303154130830</v>
      </c>
      <c r="B1814" t="str">
        <f>"1551598890821148"</f>
        <v>1551598890821148</v>
      </c>
      <c r="C1814" t="s">
        <v>40</v>
      </c>
      <c r="D1814">
        <v>6.2517329999999998</v>
      </c>
      <c r="E1814">
        <v>0.50045260000000003</v>
      </c>
      <c r="F1814" t="s">
        <v>42</v>
      </c>
      <c r="G1814">
        <v>-191.83600000000001</v>
      </c>
      <c r="H1814">
        <v>1.017611</v>
      </c>
      <c r="I1814">
        <v>351.9984</v>
      </c>
      <c r="J1814">
        <v>-191.80690000000001</v>
      </c>
      <c r="K1814">
        <v>1.116735</v>
      </c>
      <c r="L1814">
        <v>352.63549999999998</v>
      </c>
      <c r="M1814">
        <v>0.1972081</v>
      </c>
      <c r="N1814">
        <v>-5.2713990000000004E-3</v>
      </c>
      <c r="O1814">
        <v>-0.98034750000000004</v>
      </c>
      <c r="P1814">
        <v>-2.706546E-2</v>
      </c>
      <c r="Q1814">
        <v>-0.10814120000000001</v>
      </c>
      <c r="R1814">
        <v>-0.99376699999999996</v>
      </c>
      <c r="S1814">
        <v>-2.528381E-2</v>
      </c>
      <c r="T1814">
        <v>-0.37182890000000002</v>
      </c>
      <c r="U1814">
        <v>-2.9777830000000001</v>
      </c>
      <c r="V1814">
        <v>0.2216698</v>
      </c>
      <c r="W1814">
        <v>-0.10483960000000001</v>
      </c>
      <c r="X1814">
        <v>0.96946949999999998</v>
      </c>
      <c r="Y1814">
        <v>0.20538400000000001</v>
      </c>
      <c r="Z1814">
        <v>0.1137036</v>
      </c>
      <c r="AA1814">
        <v>0.97205390000000003</v>
      </c>
      <c r="AB1814">
        <v>15</v>
      </c>
      <c r="AC1814">
        <v>-2.9099999999971201E-2</v>
      </c>
      <c r="AD1814">
        <v>-9.9124000000000004E-2</v>
      </c>
      <c r="AE1814">
        <v>-0.63709999999997502</v>
      </c>
      <c r="AF1814">
        <v>0.15053510260104599</v>
      </c>
      <c r="AG1814">
        <v>-9.9124000000000004E-2</v>
      </c>
      <c r="AH1814">
        <v>0.60425248518870001</v>
      </c>
      <c r="AI1814">
        <v>99.044390828033301</v>
      </c>
      <c r="AJ1814">
        <v>76.010888302628501</v>
      </c>
      <c r="AK1814">
        <v>0.63056121855679304</v>
      </c>
      <c r="AL1814">
        <v>96.017925452503107</v>
      </c>
      <c r="AM1814">
        <v>77.120686588801703</v>
      </c>
      <c r="AN1814">
        <v>0.999999976695224</v>
      </c>
    </row>
    <row r="1815" spans="1:40" x14ac:dyDescent="0.25">
      <c r="A1815" t="str">
        <f>"20190303154130850"</f>
        <v>20190303154130850</v>
      </c>
      <c r="B1815" t="str">
        <f>"1551598890840669"</f>
        <v>1551598890840669</v>
      </c>
      <c r="C1815" t="s">
        <v>40</v>
      </c>
      <c r="D1815">
        <v>6.2601019999999998</v>
      </c>
      <c r="E1815">
        <v>0.50082609999999905</v>
      </c>
      <c r="F1815" t="s">
        <v>42</v>
      </c>
      <c r="G1815">
        <v>-191.82919999999999</v>
      </c>
      <c r="H1815">
        <v>1.016049</v>
      </c>
      <c r="I1815">
        <v>351.86309999999997</v>
      </c>
      <c r="J1815">
        <v>-191.7886</v>
      </c>
      <c r="K1815">
        <v>1.116717</v>
      </c>
      <c r="L1815">
        <v>352.50029999999998</v>
      </c>
      <c r="M1815">
        <v>0.189695</v>
      </c>
      <c r="N1815">
        <v>-5.2072619999999998E-3</v>
      </c>
      <c r="O1815">
        <v>-0.98182950000000002</v>
      </c>
      <c r="P1815">
        <v>-2.4405340000000001E-2</v>
      </c>
      <c r="Q1815">
        <v>-0.1081445</v>
      </c>
      <c r="R1815">
        <v>-0.99383589999999999</v>
      </c>
      <c r="S1815">
        <v>-8.5769650000000003E-2</v>
      </c>
      <c r="T1815">
        <v>-0.38753219999999999</v>
      </c>
      <c r="U1815">
        <v>-2.9742739999999999</v>
      </c>
      <c r="V1815">
        <v>0.21163969999999999</v>
      </c>
      <c r="W1815">
        <v>-0.1048215</v>
      </c>
      <c r="X1815">
        <v>0.97171039999999997</v>
      </c>
      <c r="Y1815">
        <v>0.2176157</v>
      </c>
      <c r="Z1815">
        <v>0.11893579999999999</v>
      </c>
      <c r="AA1815">
        <v>0.96876090000000004</v>
      </c>
      <c r="AB1815">
        <v>15</v>
      </c>
      <c r="AC1815">
        <v>-4.0599999999983503E-2</v>
      </c>
      <c r="AD1815">
        <v>-0.10066799999999899</v>
      </c>
      <c r="AE1815">
        <v>-0.63720000000000698</v>
      </c>
      <c r="AF1815">
        <v>0.15683931087428801</v>
      </c>
      <c r="AG1815">
        <v>-0.10066799999999899</v>
      </c>
      <c r="AH1815">
        <v>0.60294028827712498</v>
      </c>
      <c r="AI1815">
        <v>99.1787745598497</v>
      </c>
      <c r="AJ1815">
        <v>75.419122843141295</v>
      </c>
      <c r="AK1815">
        <v>0.63108605347228597</v>
      </c>
      <c r="AL1815">
        <v>96.016882479354294</v>
      </c>
      <c r="AM1815">
        <v>77.7128021989041</v>
      </c>
      <c r="AN1815">
        <v>1.0000000054732401</v>
      </c>
    </row>
    <row r="1816" spans="1:40" x14ac:dyDescent="0.25">
      <c r="A1816" t="str">
        <f>"20190303154130872"</f>
        <v>20190303154130872</v>
      </c>
      <c r="B1816" t="str">
        <f>"1551598890861164"</f>
        <v>1551598890861164</v>
      </c>
      <c r="C1816" t="s">
        <v>40</v>
      </c>
      <c r="D1816">
        <v>6.2320690000000001</v>
      </c>
      <c r="E1816">
        <v>0.50089629999999996</v>
      </c>
      <c r="F1816" t="s">
        <v>42</v>
      </c>
      <c r="G1816">
        <v>-191.80969999999999</v>
      </c>
      <c r="H1816">
        <v>1.0167079999999999</v>
      </c>
      <c r="I1816">
        <v>351.7287</v>
      </c>
      <c r="J1816">
        <v>-191.76900000000001</v>
      </c>
      <c r="K1816">
        <v>1.1166990000000001</v>
      </c>
      <c r="L1816">
        <v>352.34589999999997</v>
      </c>
      <c r="M1816">
        <v>0.1812127</v>
      </c>
      <c r="N1816">
        <v>-5.1425619999999998E-3</v>
      </c>
      <c r="O1816">
        <v>-0.98343060000000004</v>
      </c>
      <c r="P1816">
        <v>-2.2795039999999999E-2</v>
      </c>
      <c r="Q1816">
        <v>-0.10854999999999999</v>
      </c>
      <c r="R1816">
        <v>-0.99383010000000005</v>
      </c>
      <c r="S1816">
        <v>-8.0703739999999996E-2</v>
      </c>
      <c r="T1816">
        <v>-0.38525860000000001</v>
      </c>
      <c r="U1816">
        <v>-2.974701</v>
      </c>
      <c r="V1816">
        <v>0.20165669999999999</v>
      </c>
      <c r="W1816">
        <v>-0.1052046</v>
      </c>
      <c r="X1816">
        <v>0.97378980000000004</v>
      </c>
      <c r="Y1816">
        <v>0.20753569999999999</v>
      </c>
      <c r="Z1816">
        <v>0.1187194</v>
      </c>
      <c r="AA1816">
        <v>0.97099669999999905</v>
      </c>
      <c r="AB1816">
        <v>15</v>
      </c>
      <c r="AC1816">
        <v>-4.0699999999986802E-2</v>
      </c>
      <c r="AD1816">
        <v>-9.9990999999999899E-2</v>
      </c>
      <c r="AE1816">
        <v>-0.617199999999968</v>
      </c>
      <c r="AF1816">
        <v>0.148004330164307</v>
      </c>
      <c r="AG1816">
        <v>-9.9990999999999899E-2</v>
      </c>
      <c r="AH1816">
        <v>0.58433555715055596</v>
      </c>
      <c r="AI1816">
        <v>99.418511441014701</v>
      </c>
      <c r="AJ1816">
        <v>75.786666047428497</v>
      </c>
      <c r="AK1816">
        <v>0.611024979177476</v>
      </c>
      <c r="AL1816">
        <v>96.038954543988595</v>
      </c>
      <c r="AM1816">
        <v>78.300308774950295</v>
      </c>
      <c r="AN1816">
        <v>1.00000000355004</v>
      </c>
    </row>
    <row r="1817" spans="1:40" x14ac:dyDescent="0.25">
      <c r="A1817" t="str">
        <f>"20190303154130894"</f>
        <v>20190303154130894</v>
      </c>
      <c r="B1817" t="str">
        <f>"1551598890891421"</f>
        <v>1551598890891421</v>
      </c>
      <c r="C1817" t="s">
        <v>40</v>
      </c>
      <c r="D1817">
        <v>6.2057659999999997</v>
      </c>
      <c r="E1817">
        <v>0.50421009999999999</v>
      </c>
      <c r="F1817" t="s">
        <v>42</v>
      </c>
      <c r="G1817">
        <v>-191.7884</v>
      </c>
      <c r="H1817">
        <v>1.0202310000000001</v>
      </c>
      <c r="I1817">
        <v>351.59210000000002</v>
      </c>
      <c r="J1817">
        <v>-191.75110000000001</v>
      </c>
      <c r="K1817">
        <v>1.116684</v>
      </c>
      <c r="L1817">
        <v>352.19670000000002</v>
      </c>
      <c r="M1817">
        <v>0.17312249999999901</v>
      </c>
      <c r="N1817">
        <v>-5.0872299999999999E-3</v>
      </c>
      <c r="O1817">
        <v>-0.98488719999999996</v>
      </c>
      <c r="P1817">
        <v>-2.1646499999999999E-2</v>
      </c>
      <c r="Q1817">
        <v>-0.1088146</v>
      </c>
      <c r="R1817">
        <v>-0.99382630000000005</v>
      </c>
      <c r="S1817">
        <v>-7.6324459999999997E-2</v>
      </c>
      <c r="T1817">
        <v>-0.38063819999999998</v>
      </c>
      <c r="U1817">
        <v>-2.9752809999999998</v>
      </c>
      <c r="V1817">
        <v>0.19251470000000001</v>
      </c>
      <c r="W1817">
        <v>-0.10544000000000001</v>
      </c>
      <c r="X1817">
        <v>0.97561290000000001</v>
      </c>
      <c r="Y1817">
        <v>0.19806270000000001</v>
      </c>
      <c r="Z1817">
        <v>0.1176938</v>
      </c>
      <c r="AA1817">
        <v>0.97309780000000001</v>
      </c>
      <c r="AB1817">
        <v>15</v>
      </c>
      <c r="AC1817">
        <v>-3.72999999999876E-2</v>
      </c>
      <c r="AD1817">
        <v>-9.6453000000000094E-2</v>
      </c>
      <c r="AE1817">
        <v>-0.60460000000000402</v>
      </c>
      <c r="AF1817">
        <v>0.137911384297044</v>
      </c>
      <c r="AG1817">
        <v>-9.6453000000000094E-2</v>
      </c>
      <c r="AH1817">
        <v>0.57444840408554798</v>
      </c>
      <c r="AI1817">
        <v>99.2726558006826</v>
      </c>
      <c r="AJ1817">
        <v>76.500139167015107</v>
      </c>
      <c r="AK1817">
        <v>0.59859310059852799</v>
      </c>
      <c r="AL1817">
        <v>96.052517323617096</v>
      </c>
      <c r="AM1817">
        <v>78.837407881203902</v>
      </c>
      <c r="AN1817">
        <v>1.00000001698125</v>
      </c>
    </row>
    <row r="1818" spans="1:40" x14ac:dyDescent="0.25">
      <c r="A1818" t="str">
        <f>"20190303154130917"</f>
        <v>20190303154130917</v>
      </c>
      <c r="B1818" t="str">
        <f>"1551598890910940"</f>
        <v>1551598890910940</v>
      </c>
      <c r="C1818" t="s">
        <v>40</v>
      </c>
      <c r="D1818">
        <v>6.1688169999999998</v>
      </c>
      <c r="E1818">
        <v>0.50534040000000002</v>
      </c>
      <c r="F1818" t="s">
        <v>41</v>
      </c>
      <c r="G1818">
        <v>-192.26410000000001</v>
      </c>
      <c r="H1818" s="1">
        <v>-3.5000450000000001E-6</v>
      </c>
      <c r="I1818">
        <v>336.34350000000001</v>
      </c>
      <c r="J1818">
        <v>-191.73320000000001</v>
      </c>
      <c r="K1818">
        <v>1.1166860000000001</v>
      </c>
      <c r="L1818">
        <v>352.0367</v>
      </c>
      <c r="M1818">
        <v>0.16459260000000001</v>
      </c>
      <c r="N1818">
        <v>-5.0333009999999996E-3</v>
      </c>
      <c r="O1818">
        <v>-0.98634880000000003</v>
      </c>
      <c r="P1818">
        <v>-2.2387770000000001E-2</v>
      </c>
      <c r="Q1818">
        <v>-0.1082963</v>
      </c>
      <c r="R1818">
        <v>-0.99386640000000004</v>
      </c>
      <c r="S1818">
        <v>-9.6862790000000004E-2</v>
      </c>
      <c r="T1818">
        <v>-0.21085380000000001</v>
      </c>
      <c r="U1818">
        <v>-2.9934080000000001</v>
      </c>
      <c r="V1818">
        <v>0.1848149</v>
      </c>
      <c r="W1818">
        <v>-0.1048962</v>
      </c>
      <c r="X1818">
        <v>0.97715929999999995</v>
      </c>
      <c r="Y1818">
        <v>0.19630249999999999</v>
      </c>
      <c r="Z1818">
        <v>6.3090980000000005E-2</v>
      </c>
      <c r="AA1818">
        <v>0.97851160000000004</v>
      </c>
      <c r="AB1818">
        <v>15</v>
      </c>
      <c r="AC1818">
        <v>-0.53090000000000204</v>
      </c>
      <c r="AD1818">
        <v>-1.1166895000449999</v>
      </c>
      <c r="AE1818">
        <v>-15.6931999999999</v>
      </c>
      <c r="AF1818">
        <v>3.09104321781248</v>
      </c>
      <c r="AG1818">
        <v>-1.1166895000449999</v>
      </c>
      <c r="AH1818">
        <v>15.314327789625599</v>
      </c>
      <c r="AI1818">
        <v>94.088351043016601</v>
      </c>
      <c r="AJ1818">
        <v>78.588736560151901</v>
      </c>
      <c r="AK1818">
        <v>15.663019480993899</v>
      </c>
      <c r="AL1818">
        <v>96.021186058965696</v>
      </c>
      <c r="AM1818">
        <v>79.289881560998793</v>
      </c>
      <c r="AN1818">
        <v>1.0000000288064601</v>
      </c>
    </row>
    <row r="1819" spans="1:40" x14ac:dyDescent="0.25">
      <c r="A1819" t="str">
        <f>"20190303154130939"</f>
        <v>20190303154130939</v>
      </c>
      <c r="B1819" t="str">
        <f>"1551598890931437"</f>
        <v>1551598890931437</v>
      </c>
      <c r="C1819" t="s">
        <v>40</v>
      </c>
      <c r="D1819">
        <v>6.1537790000000001</v>
      </c>
      <c r="E1819">
        <v>0.50595249999999903</v>
      </c>
      <c r="F1819" t="s">
        <v>41</v>
      </c>
      <c r="G1819">
        <v>-192.3075</v>
      </c>
      <c r="H1819" s="1">
        <v>-3.4145300000000001E-6</v>
      </c>
      <c r="I1819">
        <v>336.1173</v>
      </c>
      <c r="J1819">
        <v>-191.71690000000001</v>
      </c>
      <c r="K1819">
        <v>1.116717</v>
      </c>
      <c r="L1819">
        <v>351.8809</v>
      </c>
      <c r="M1819">
        <v>0.1564738</v>
      </c>
      <c r="N1819">
        <v>-4.9841909999999998E-3</v>
      </c>
      <c r="O1819">
        <v>-0.98766960000000004</v>
      </c>
      <c r="P1819">
        <v>-2.229012E-2</v>
      </c>
      <c r="Q1819">
        <v>-0.1079175</v>
      </c>
      <c r="R1819">
        <v>-0.99391019999999997</v>
      </c>
      <c r="S1819">
        <v>-0.1079712</v>
      </c>
      <c r="T1819">
        <v>-0.20996239999999999</v>
      </c>
      <c r="U1819">
        <v>-2.9931950000000001</v>
      </c>
      <c r="V1819">
        <v>0.1766981</v>
      </c>
      <c r="W1819">
        <v>-0.1044751</v>
      </c>
      <c r="X1819">
        <v>0.97870460000000004</v>
      </c>
      <c r="Y1819">
        <v>0.1918666</v>
      </c>
      <c r="Z1819">
        <v>6.3022330000000001E-2</v>
      </c>
      <c r="AA1819">
        <v>0.97939540000000003</v>
      </c>
      <c r="AB1819">
        <v>15</v>
      </c>
      <c r="AC1819">
        <v>-0.59059999999999402</v>
      </c>
      <c r="AD1819">
        <v>-1.11672041453</v>
      </c>
      <c r="AE1819">
        <v>-15.763599999999901</v>
      </c>
      <c r="AF1819">
        <v>3.0347371174779698</v>
      </c>
      <c r="AG1819">
        <v>-1.11672041453</v>
      </c>
      <c r="AH1819">
        <v>15.3998298535899</v>
      </c>
      <c r="AI1819">
        <v>94.069555197030994</v>
      </c>
      <c r="AJ1819">
        <v>78.851962419708798</v>
      </c>
      <c r="AK1819">
        <v>15.735674544675399</v>
      </c>
      <c r="AL1819">
        <v>95.996925800152397</v>
      </c>
      <c r="AM1819">
        <v>79.765903238617895</v>
      </c>
      <c r="AN1819">
        <v>0.99999997956238895</v>
      </c>
    </row>
    <row r="1820" spans="1:40" x14ac:dyDescent="0.25">
      <c r="A1820" t="str">
        <f>"20190303154130962"</f>
        <v>20190303154130962</v>
      </c>
      <c r="B1820" t="str">
        <f>"1551598890950956"</f>
        <v>1551598890950956</v>
      </c>
      <c r="C1820" t="s">
        <v>40</v>
      </c>
      <c r="D1820">
        <v>6.1554919999999997</v>
      </c>
      <c r="E1820">
        <v>0.50649330000000004</v>
      </c>
      <c r="F1820" t="s">
        <v>41</v>
      </c>
      <c r="G1820">
        <v>-192.32320000000001</v>
      </c>
      <c r="H1820" s="1">
        <v>-3.2571839999999999E-6</v>
      </c>
      <c r="I1820">
        <v>335.74079999999998</v>
      </c>
      <c r="J1820">
        <v>-191.7012</v>
      </c>
      <c r="K1820">
        <v>1.1167530000000001</v>
      </c>
      <c r="L1820">
        <v>351.71859999999998</v>
      </c>
      <c r="M1820">
        <v>0.14819160000000001</v>
      </c>
      <c r="N1820">
        <v>-4.9374060000000001E-3</v>
      </c>
      <c r="O1820">
        <v>-0.98894629999999994</v>
      </c>
      <c r="P1820">
        <v>-2.1898790000000001E-2</v>
      </c>
      <c r="Q1820">
        <v>-0.10792450000000001</v>
      </c>
      <c r="R1820">
        <v>-0.99391790000000002</v>
      </c>
      <c r="S1820">
        <v>-0.11242679999999999</v>
      </c>
      <c r="T1820">
        <v>-0.20711019999999999</v>
      </c>
      <c r="U1820">
        <v>-2.9933779999999999</v>
      </c>
      <c r="V1820">
        <v>0.16811970000000001</v>
      </c>
      <c r="W1820">
        <v>-0.1044331</v>
      </c>
      <c r="X1820">
        <v>0.98021910000000001</v>
      </c>
      <c r="Y1820">
        <v>0.1850958</v>
      </c>
      <c r="Z1820">
        <v>6.2320680000000003E-2</v>
      </c>
      <c r="AA1820">
        <v>0.98074240000000001</v>
      </c>
      <c r="AB1820">
        <v>15</v>
      </c>
      <c r="AC1820">
        <v>-0.62200000000001399</v>
      </c>
      <c r="AD1820">
        <v>-1.116756257184</v>
      </c>
      <c r="AE1820">
        <v>-15.9778</v>
      </c>
      <c r="AF1820">
        <v>2.9684572546402501</v>
      </c>
      <c r="AG1820">
        <v>-1.116756257184</v>
      </c>
      <c r="AH1820">
        <v>15.632948580857899</v>
      </c>
      <c r="AI1820">
        <v>94.014550719338402</v>
      </c>
      <c r="AJ1820">
        <v>79.248410832405696</v>
      </c>
      <c r="AK1820">
        <v>15.951425150823701</v>
      </c>
      <c r="AL1820">
        <v>95.994506048517906</v>
      </c>
      <c r="AM1820">
        <v>80.267757335093293</v>
      </c>
      <c r="AN1820">
        <v>0.99999999495425496</v>
      </c>
    </row>
    <row r="1821" spans="1:40" x14ac:dyDescent="0.25">
      <c r="A1821" t="str">
        <f>"20190303154130987"</f>
        <v>20190303154130987</v>
      </c>
      <c r="B1821" t="str">
        <f>"1551598890981212"</f>
        <v>1551598890981212</v>
      </c>
      <c r="C1821" t="s">
        <v>40</v>
      </c>
      <c r="D1821">
        <v>6.1315119999999999</v>
      </c>
      <c r="E1821">
        <v>0.50713900000000001</v>
      </c>
      <c r="F1821" t="s">
        <v>41</v>
      </c>
      <c r="G1821">
        <v>-192.3271</v>
      </c>
      <c r="H1821" s="1">
        <v>-3.1327999999999999E-6</v>
      </c>
      <c r="I1821">
        <v>335.44839999999999</v>
      </c>
      <c r="J1821">
        <v>-191.68559999999999</v>
      </c>
      <c r="K1821">
        <v>1.1167929999999999</v>
      </c>
      <c r="L1821">
        <v>351.54590000000002</v>
      </c>
      <c r="M1821">
        <v>0.13960220000000001</v>
      </c>
      <c r="N1821">
        <v>-4.8926839999999996E-3</v>
      </c>
      <c r="O1821">
        <v>-0.99019550000000001</v>
      </c>
      <c r="P1821">
        <v>-2.1885330000000001E-2</v>
      </c>
      <c r="Q1821">
        <v>-0.1079585</v>
      </c>
      <c r="R1821">
        <v>-0.99391430000000003</v>
      </c>
      <c r="S1821">
        <v>-0.1151581</v>
      </c>
      <c r="T1821">
        <v>-0.20546829999999999</v>
      </c>
      <c r="U1821">
        <v>-2.9935</v>
      </c>
      <c r="V1821">
        <v>0.1596108</v>
      </c>
      <c r="W1821">
        <v>-0.1044128</v>
      </c>
      <c r="X1821">
        <v>0.98164269999999998</v>
      </c>
      <c r="Y1821">
        <v>0.1774559</v>
      </c>
      <c r="Z1821">
        <v>6.2007659999999999E-2</v>
      </c>
      <c r="AA1821">
        <v>0.98217330000000003</v>
      </c>
      <c r="AB1821">
        <v>16</v>
      </c>
      <c r="AC1821">
        <v>-0.64150000000000695</v>
      </c>
      <c r="AD1821">
        <v>-1.1167961328</v>
      </c>
      <c r="AE1821">
        <v>-16.0975</v>
      </c>
      <c r="AF1821">
        <v>2.8687058906973699</v>
      </c>
      <c r="AG1821">
        <v>-1.1167961328</v>
      </c>
      <c r="AH1821">
        <v>15.7745032936601</v>
      </c>
      <c r="AI1821">
        <v>93.984507417973305</v>
      </c>
      <c r="AJ1821">
        <v>79.692993408938705</v>
      </c>
      <c r="AK1821">
        <v>16.072077067114002</v>
      </c>
      <c r="AL1821">
        <v>95.993336427700399</v>
      </c>
      <c r="AM1821">
        <v>80.764776357377698</v>
      </c>
      <c r="AN1821">
        <v>1.00000001537188</v>
      </c>
    </row>
    <row r="1822" spans="1:40" x14ac:dyDescent="0.25">
      <c r="A1822" t="str">
        <f>"20190303154131008"</f>
        <v>20190303154131008</v>
      </c>
      <c r="B1822" t="str">
        <f>"1551598891000732"</f>
        <v>1551598891000732</v>
      </c>
      <c r="C1822" t="s">
        <v>40</v>
      </c>
      <c r="D1822">
        <v>6.1221690000000004</v>
      </c>
      <c r="E1822">
        <v>0.50755050000000002</v>
      </c>
      <c r="F1822" t="s">
        <v>41</v>
      </c>
      <c r="G1822">
        <v>-192.34790000000001</v>
      </c>
      <c r="H1822" s="1">
        <v>-2.962836E-6</v>
      </c>
      <c r="I1822">
        <v>335.03930000000003</v>
      </c>
      <c r="J1822">
        <v>-191.67240000000001</v>
      </c>
      <c r="K1822">
        <v>1.1168559999999901</v>
      </c>
      <c r="L1822">
        <v>351.3888</v>
      </c>
      <c r="M1822">
        <v>0.13203819999999999</v>
      </c>
      <c r="N1822">
        <v>-4.8591980000000003E-3</v>
      </c>
      <c r="O1822">
        <v>-0.99123280000000002</v>
      </c>
      <c r="P1822">
        <v>-2.186128E-2</v>
      </c>
      <c r="Q1822">
        <v>-0.10870589999999999</v>
      </c>
      <c r="R1822">
        <v>-0.99383379999999999</v>
      </c>
      <c r="S1822">
        <v>-0.1201324</v>
      </c>
      <c r="T1822">
        <v>-0.20254730000000001</v>
      </c>
      <c r="U1822">
        <v>-2.9937130000000001</v>
      </c>
      <c r="V1822">
        <v>0.1520947</v>
      </c>
      <c r="W1822">
        <v>-0.1051</v>
      </c>
      <c r="X1822">
        <v>0.98276200000000002</v>
      </c>
      <c r="Y1822">
        <v>0.17157</v>
      </c>
      <c r="Z1822">
        <v>6.1227650000000002E-2</v>
      </c>
      <c r="AA1822">
        <v>0.98326749999999996</v>
      </c>
      <c r="AB1822">
        <v>16</v>
      </c>
      <c r="AC1822">
        <v>-0.67549999999999899</v>
      </c>
      <c r="AD1822">
        <v>-1.1168589628359999</v>
      </c>
      <c r="AE1822">
        <v>-16.3494999999999</v>
      </c>
      <c r="AF1822">
        <v>2.8152545795978199</v>
      </c>
      <c r="AG1822">
        <v>-1.1168589628359999</v>
      </c>
      <c r="AH1822">
        <v>16.042424047604602</v>
      </c>
      <c r="AI1822">
        <v>93.922701784647202</v>
      </c>
      <c r="AJ1822">
        <v>80.046621463263193</v>
      </c>
      <c r="AK1822">
        <v>16.325820090089699</v>
      </c>
      <c r="AL1822">
        <v>96.032928148530502</v>
      </c>
      <c r="AM1822">
        <v>81.202556212294397</v>
      </c>
      <c r="AN1822">
        <v>0.99999997820604403</v>
      </c>
    </row>
    <row r="1823" spans="1:40" x14ac:dyDescent="0.25">
      <c r="A1823" t="str">
        <f>"20190303154131030"</f>
        <v>20190303154131030</v>
      </c>
      <c r="B1823" t="str">
        <f>"1551598891021228"</f>
        <v>1551598891021228</v>
      </c>
      <c r="C1823" t="s">
        <v>40</v>
      </c>
      <c r="D1823">
        <v>6.1059530000000004</v>
      </c>
      <c r="E1823">
        <v>0.50791489999999995</v>
      </c>
      <c r="F1823" t="s">
        <v>41</v>
      </c>
      <c r="G1823">
        <v>-192.35140000000001</v>
      </c>
      <c r="H1823" s="1">
        <v>-2.8898689999999998E-6</v>
      </c>
      <c r="I1823">
        <v>334.86709999999999</v>
      </c>
      <c r="J1823">
        <v>-191.65989999999999</v>
      </c>
      <c r="K1823">
        <v>1.11696</v>
      </c>
      <c r="L1823">
        <v>351.22829999999999</v>
      </c>
      <c r="M1823">
        <v>0.124611</v>
      </c>
      <c r="N1823">
        <v>-4.8328449999999997E-3</v>
      </c>
      <c r="O1823">
        <v>-0.99219400000000002</v>
      </c>
      <c r="P1823">
        <v>-2.6327509999999998E-2</v>
      </c>
      <c r="Q1823">
        <v>-0.10911659999999999</v>
      </c>
      <c r="R1823">
        <v>-0.99368029999999996</v>
      </c>
      <c r="S1823">
        <v>-0.1230469</v>
      </c>
      <c r="T1823">
        <v>-0.20238139999999999</v>
      </c>
      <c r="U1823">
        <v>-2.9938349999999998</v>
      </c>
      <c r="V1823">
        <v>0.14917169999999999</v>
      </c>
      <c r="W1823">
        <v>-0.1054718</v>
      </c>
      <c r="X1823">
        <v>0.98317019999999999</v>
      </c>
      <c r="Y1823">
        <v>0.16514379999999901</v>
      </c>
      <c r="Z1823">
        <v>6.1330790000000003E-2</v>
      </c>
      <c r="AA1823">
        <v>0.98436080000000004</v>
      </c>
      <c r="AB1823">
        <v>16</v>
      </c>
      <c r="AC1823">
        <v>-0.69150000000001899</v>
      </c>
      <c r="AD1823">
        <v>-1.1169628898690001</v>
      </c>
      <c r="AE1823">
        <v>-16.361199999999901</v>
      </c>
      <c r="AF1823">
        <v>2.7123006422234699</v>
      </c>
      <c r="AG1823">
        <v>-1.1169628898690001</v>
      </c>
      <c r="AH1823">
        <v>16.0727270934647</v>
      </c>
      <c r="AI1823">
        <v>93.920090418675699</v>
      </c>
      <c r="AJ1823">
        <v>80.421480220245599</v>
      </c>
      <c r="AK1823">
        <v>16.3381987101438</v>
      </c>
      <c r="AL1823">
        <v>96.054349227199197</v>
      </c>
      <c r="AM1823">
        <v>81.372587101402104</v>
      </c>
      <c r="AN1823">
        <v>1.0000000694220801</v>
      </c>
    </row>
    <row r="1824" spans="1:40" x14ac:dyDescent="0.25">
      <c r="A1824" t="str">
        <f>"20190303154131052"</f>
        <v>20190303154131052</v>
      </c>
      <c r="B1824" t="str">
        <f>"1551598891040748"</f>
        <v>1551598891040748</v>
      </c>
      <c r="C1824" t="s">
        <v>40</v>
      </c>
      <c r="D1824">
        <v>6.0762679999999998</v>
      </c>
      <c r="E1824">
        <v>0.50803779999999998</v>
      </c>
      <c r="F1824" t="s">
        <v>41</v>
      </c>
      <c r="G1824">
        <v>-192.4325</v>
      </c>
      <c r="H1824" s="1">
        <v>-2.8044490000000001E-6</v>
      </c>
      <c r="I1824">
        <v>334.61759999999998</v>
      </c>
      <c r="J1824">
        <v>-191.64789999999999</v>
      </c>
      <c r="K1824">
        <v>1.1170979999999999</v>
      </c>
      <c r="L1824">
        <v>351.06450000000001</v>
      </c>
      <c r="M1824">
        <v>0.117383</v>
      </c>
      <c r="N1824">
        <v>-4.8110119999999999E-3</v>
      </c>
      <c r="O1824">
        <v>-0.99307520000000005</v>
      </c>
      <c r="P1824">
        <v>-2.705157E-2</v>
      </c>
      <c r="Q1824">
        <v>-0.1088871</v>
      </c>
      <c r="R1824">
        <v>-0.99368610000000002</v>
      </c>
      <c r="S1824">
        <v>-0.13923650000000001</v>
      </c>
      <c r="T1824">
        <v>-0.20127990000000001</v>
      </c>
      <c r="U1824">
        <v>-2.9932859999999999</v>
      </c>
      <c r="V1824">
        <v>0.14277210000000001</v>
      </c>
      <c r="W1824">
        <v>-0.10515969999999999</v>
      </c>
      <c r="X1824">
        <v>0.98415319999999995</v>
      </c>
      <c r="Y1824">
        <v>0.16328480000000001</v>
      </c>
      <c r="Z1824">
        <v>6.109643E-2</v>
      </c>
      <c r="AA1824">
        <v>0.98468540000000004</v>
      </c>
      <c r="AB1824">
        <v>16</v>
      </c>
      <c r="AC1824">
        <v>-0.78460000000001096</v>
      </c>
      <c r="AD1824">
        <v>-1.1171008044489901</v>
      </c>
      <c r="AE1824">
        <v>-16.446899999999999</v>
      </c>
      <c r="AF1824">
        <v>2.6973686060326401</v>
      </c>
      <c r="AG1824">
        <v>-1.1171008044489901</v>
      </c>
      <c r="AH1824">
        <v>16.166682337321099</v>
      </c>
      <c r="AI1824">
        <v>93.899066244348703</v>
      </c>
      <c r="AJ1824">
        <v>80.527603765951</v>
      </c>
      <c r="AK1824">
        <v>16.4281870393528</v>
      </c>
      <c r="AL1824">
        <v>96.036367768186395</v>
      </c>
      <c r="AM1824">
        <v>81.745627945199203</v>
      </c>
      <c r="AN1824">
        <v>0.99999997805636898</v>
      </c>
    </row>
    <row r="1825" spans="1:40" x14ac:dyDescent="0.25">
      <c r="A1825" t="str">
        <f>"20190303154131074"</f>
        <v>20190303154131074</v>
      </c>
      <c r="B1825" t="str">
        <f>"1551598891071248"</f>
        <v>1551598891071248</v>
      </c>
      <c r="C1825" t="s">
        <v>40</v>
      </c>
      <c r="D1825">
        <v>6.0718379999999996</v>
      </c>
      <c r="E1825">
        <v>0.51136419999999905</v>
      </c>
      <c r="F1825" t="s">
        <v>41</v>
      </c>
      <c r="G1825">
        <v>-192.4462</v>
      </c>
      <c r="H1825" s="1">
        <v>-2.6765909999999999E-6</v>
      </c>
      <c r="I1825">
        <v>334.31119999999999</v>
      </c>
      <c r="J1825">
        <v>-191.637</v>
      </c>
      <c r="K1825">
        <v>1.117273</v>
      </c>
      <c r="L1825">
        <v>350.90539999999999</v>
      </c>
      <c r="M1825">
        <v>0.11072709999999999</v>
      </c>
      <c r="N1825">
        <v>-4.7942690000000003E-3</v>
      </c>
      <c r="O1825">
        <v>-0.99383929999999998</v>
      </c>
      <c r="P1825">
        <v>-2.8035040000000001E-2</v>
      </c>
      <c r="Q1825">
        <v>-0.10877340000000001</v>
      </c>
      <c r="R1825">
        <v>-0.99367139999999998</v>
      </c>
      <c r="S1825">
        <v>-0.1426239</v>
      </c>
      <c r="T1825">
        <v>-0.19958970000000001</v>
      </c>
      <c r="U1825">
        <v>-2.9932859999999999</v>
      </c>
      <c r="V1825">
        <v>0.13719919999999999</v>
      </c>
      <c r="W1825">
        <v>-0.1049619</v>
      </c>
      <c r="X1825">
        <v>0.98496669999999997</v>
      </c>
      <c r="Y1825">
        <v>0.15778739999999999</v>
      </c>
      <c r="Z1825">
        <v>6.0666709999999999E-2</v>
      </c>
      <c r="AA1825">
        <v>0.98560780000000003</v>
      </c>
      <c r="AB1825">
        <v>16</v>
      </c>
      <c r="AC1825">
        <v>-0.80920000000000403</v>
      </c>
      <c r="AD1825">
        <v>-1.1172756765909999</v>
      </c>
      <c r="AE1825">
        <v>-16.594200000000001</v>
      </c>
      <c r="AF1825">
        <v>2.6297796016494202</v>
      </c>
      <c r="AG1825">
        <v>-1.1172756765909999</v>
      </c>
      <c r="AH1825">
        <v>16.3287097591598</v>
      </c>
      <c r="AI1825">
        <v>93.864659535698706</v>
      </c>
      <c r="AJ1825">
        <v>80.850933937835705</v>
      </c>
      <c r="AK1825">
        <v>16.576815378402198</v>
      </c>
      <c r="AL1825">
        <v>96.024971397706196</v>
      </c>
      <c r="AM1825">
        <v>82.070109554227201</v>
      </c>
      <c r="AN1825">
        <v>1.00000001052057</v>
      </c>
    </row>
    <row r="1826" spans="1:40" x14ac:dyDescent="0.25">
      <c r="A1826" t="str">
        <f>"20190303154131094"</f>
        <v>20190303154131094</v>
      </c>
      <c r="B1826" t="str">
        <f>"1551598891090767"</f>
        <v>1551598891090767</v>
      </c>
      <c r="C1826" t="s">
        <v>40</v>
      </c>
      <c r="D1826">
        <v>6.0781489999999998</v>
      </c>
      <c r="E1826">
        <v>0.51137949999999999</v>
      </c>
      <c r="F1826" t="s">
        <v>41</v>
      </c>
      <c r="G1826">
        <v>-192.74420000000001</v>
      </c>
      <c r="H1826" s="1">
        <v>-1.5740600000000001E-6</v>
      </c>
      <c r="I1826">
        <v>331.55619999999999</v>
      </c>
      <c r="J1826">
        <v>-191.6268</v>
      </c>
      <c r="K1826">
        <v>1.1174599999999999</v>
      </c>
      <c r="L1826">
        <v>350.7466</v>
      </c>
      <c r="M1826">
        <v>0.1044534</v>
      </c>
      <c r="N1826">
        <v>-4.7829600000000002E-3</v>
      </c>
      <c r="O1826">
        <v>-0.99451829999999997</v>
      </c>
      <c r="P1826">
        <v>-2.878093E-2</v>
      </c>
      <c r="Q1826">
        <v>-0.10872469999999999</v>
      </c>
      <c r="R1826">
        <v>-0.99365530000000002</v>
      </c>
      <c r="S1826">
        <v>-0.171402</v>
      </c>
      <c r="T1826">
        <v>-0.17295859999999999</v>
      </c>
      <c r="U1826">
        <v>-2.9953310000000002</v>
      </c>
      <c r="V1826">
        <v>0.131772</v>
      </c>
      <c r="W1826">
        <v>-0.10482519999999999</v>
      </c>
      <c r="X1826">
        <v>0.98572199999999999</v>
      </c>
      <c r="Y1826">
        <v>0.16099829999999901</v>
      </c>
      <c r="Z1826">
        <v>5.196112E-2</v>
      </c>
      <c r="AA1826">
        <v>0.98558590000000001</v>
      </c>
      <c r="AB1826">
        <v>16</v>
      </c>
      <c r="AC1826">
        <v>-1.1173999999999999</v>
      </c>
      <c r="AD1826">
        <v>-1.11746157406</v>
      </c>
      <c r="AE1826">
        <v>-19.1904</v>
      </c>
      <c r="AF1826">
        <v>3.1053190400646198</v>
      </c>
      <c r="AG1826">
        <v>-1.11746157406</v>
      </c>
      <c r="AH1826">
        <v>18.904819238912101</v>
      </c>
      <c r="AI1826">
        <v>93.338178705451796</v>
      </c>
      <c r="AJ1826">
        <v>80.671855324523705</v>
      </c>
      <c r="AK1826">
        <v>19.190724769169801</v>
      </c>
      <c r="AL1826">
        <v>96.017095548838498</v>
      </c>
      <c r="AM1826">
        <v>82.385802920260502</v>
      </c>
      <c r="AN1826">
        <v>1.0000000219115099</v>
      </c>
    </row>
    <row r="1827" spans="1:40" x14ac:dyDescent="0.25">
      <c r="A1827" t="str">
        <f>"20190303154131118"</f>
        <v>20190303154131118</v>
      </c>
      <c r="B1827" t="str">
        <f>"1551598891111263"</f>
        <v>1551598891111263</v>
      </c>
      <c r="C1827" t="s">
        <v>40</v>
      </c>
      <c r="D1827">
        <v>6.0680009999999998</v>
      </c>
      <c r="E1827">
        <v>0.51128450000000003</v>
      </c>
      <c r="F1827" t="s">
        <v>41</v>
      </c>
      <c r="G1827">
        <v>-192.76509999999999</v>
      </c>
      <c r="H1827" s="1">
        <v>-1.3945040000000001E-6</v>
      </c>
      <c r="I1827">
        <v>331.12470000000002</v>
      </c>
      <c r="J1827">
        <v>-191.6163</v>
      </c>
      <c r="K1827">
        <v>1.1176740000000001</v>
      </c>
      <c r="L1827">
        <v>350.57560000000001</v>
      </c>
      <c r="M1827">
        <v>9.8133090000000006E-2</v>
      </c>
      <c r="N1827">
        <v>-4.7762239999999999E-3</v>
      </c>
      <c r="O1827">
        <v>-0.99516190000000004</v>
      </c>
      <c r="P1827">
        <v>-2.9878439999999999E-2</v>
      </c>
      <c r="Q1827">
        <v>-0.1073865</v>
      </c>
      <c r="R1827">
        <v>-0.99376830000000005</v>
      </c>
      <c r="S1827">
        <v>-0.173782299999999</v>
      </c>
      <c r="T1827">
        <v>-0.17059240000000001</v>
      </c>
      <c r="U1827">
        <v>-2.9954830000000001</v>
      </c>
      <c r="V1827">
        <v>0.12667200000000001</v>
      </c>
      <c r="W1827">
        <v>-0.1033965</v>
      </c>
      <c r="X1827">
        <v>0.98654109999999995</v>
      </c>
      <c r="Y1827">
        <v>0.1555069</v>
      </c>
      <c r="Z1827">
        <v>5.1270250000000003E-2</v>
      </c>
      <c r="AA1827">
        <v>0.98650340000000003</v>
      </c>
      <c r="AB1827">
        <v>16</v>
      </c>
      <c r="AC1827">
        <v>-1.1487999999999901</v>
      </c>
      <c r="AD1827">
        <v>-1.1176753945039899</v>
      </c>
      <c r="AE1827">
        <v>-19.450899999999901</v>
      </c>
      <c r="AF1827">
        <v>3.0420442014523199</v>
      </c>
      <c r="AG1827">
        <v>-1.1176753945039899</v>
      </c>
      <c r="AH1827">
        <v>19.181165233282901</v>
      </c>
      <c r="AI1827">
        <v>93.293747646835101</v>
      </c>
      <c r="AJ1827">
        <v>80.9882101593697</v>
      </c>
      <c r="AK1827">
        <v>19.453028836599501</v>
      </c>
      <c r="AL1827">
        <v>95.934789997547497</v>
      </c>
      <c r="AM1827">
        <v>82.683248943406298</v>
      </c>
      <c r="AN1827">
        <v>0.99999998689272895</v>
      </c>
    </row>
    <row r="1828" spans="1:40" x14ac:dyDescent="0.25">
      <c r="A1828" t="str">
        <f>"20190303154131140"</f>
        <v>20190303154131140</v>
      </c>
      <c r="B1828" t="str">
        <f>"1551598891130784"</f>
        <v>1551598891130784</v>
      </c>
      <c r="C1828" t="s">
        <v>40</v>
      </c>
      <c r="D1828">
        <v>6.0354099999999997</v>
      </c>
      <c r="E1828">
        <v>0.51024780000000003</v>
      </c>
      <c r="F1828" t="s">
        <v>41</v>
      </c>
      <c r="G1828">
        <v>-192.7824</v>
      </c>
      <c r="H1828" s="1">
        <v>-1.238628E-6</v>
      </c>
      <c r="I1828">
        <v>330.75060000000002</v>
      </c>
      <c r="J1828">
        <v>-191.6061</v>
      </c>
      <c r="K1828">
        <v>1.117877</v>
      </c>
      <c r="L1828">
        <v>350.39870000000002</v>
      </c>
      <c r="M1828">
        <v>9.2047619999999997E-2</v>
      </c>
      <c r="N1828">
        <v>-4.7731359999999999E-3</v>
      </c>
      <c r="O1828">
        <v>-0.99574320000000005</v>
      </c>
      <c r="P1828">
        <v>-3.0459389999999999E-2</v>
      </c>
      <c r="Q1828">
        <v>-0.1035457</v>
      </c>
      <c r="R1828">
        <v>-0.99415830000000005</v>
      </c>
      <c r="S1828">
        <v>-0.176178</v>
      </c>
      <c r="T1828">
        <v>-0.1688615</v>
      </c>
      <c r="U1828">
        <v>-2.995209</v>
      </c>
      <c r="V1828">
        <v>0.1213221</v>
      </c>
      <c r="W1828">
        <v>-9.9469100000000005E-2</v>
      </c>
      <c r="X1828">
        <v>0.98761670000000001</v>
      </c>
      <c r="Y1828">
        <v>0.15026020000000001</v>
      </c>
      <c r="Z1828">
        <v>5.0782609999999999E-2</v>
      </c>
      <c r="AA1828">
        <v>0.98734140000000004</v>
      </c>
      <c r="AB1828">
        <v>17</v>
      </c>
      <c r="AC1828">
        <v>-1.1762999999999899</v>
      </c>
      <c r="AD1828">
        <v>-1.117878238628</v>
      </c>
      <c r="AE1828">
        <v>-19.648099999999999</v>
      </c>
      <c r="AF1828">
        <v>2.9703067548679098</v>
      </c>
      <c r="AG1828">
        <v>-1.117878238628</v>
      </c>
      <c r="AH1828">
        <v>19.393852890698302</v>
      </c>
      <c r="AI1828">
        <v>93.260985905612699</v>
      </c>
      <c r="AJ1828">
        <v>81.292407364098693</v>
      </c>
      <c r="AK1828">
        <v>19.651816809660598</v>
      </c>
      <c r="AL1828">
        <v>95.708600010826004</v>
      </c>
      <c r="AM1828">
        <v>82.996684195378606</v>
      </c>
      <c r="AN1828">
        <v>0.99999994996105301</v>
      </c>
    </row>
    <row r="1829" spans="1:40" x14ac:dyDescent="0.25">
      <c r="A1829" t="str">
        <f>"20190303154131163"</f>
        <v>20190303154131163</v>
      </c>
      <c r="B1829" t="str">
        <f>"1551598891161039"</f>
        <v>1551598891161039</v>
      </c>
      <c r="C1829" t="s">
        <v>40</v>
      </c>
      <c r="D1829">
        <v>5.9994239999999897</v>
      </c>
      <c r="E1829">
        <v>0.50994220000000001</v>
      </c>
      <c r="F1829" t="s">
        <v>41</v>
      </c>
      <c r="G1829">
        <v>-192.8706</v>
      </c>
      <c r="H1829" s="1">
        <v>-4.2759059999999997E-6</v>
      </c>
      <c r="I1829">
        <v>328.05540000000002</v>
      </c>
      <c r="J1829">
        <v>-191.5967</v>
      </c>
      <c r="K1829">
        <v>1.11802</v>
      </c>
      <c r="L1829">
        <v>350.22359999999998</v>
      </c>
      <c r="M1829">
        <v>8.6370719999999998E-2</v>
      </c>
      <c r="N1829">
        <v>-4.7734980000000002E-3</v>
      </c>
      <c r="O1829">
        <v>-0.99625180000000002</v>
      </c>
      <c r="P1829">
        <v>-2.970356E-2</v>
      </c>
      <c r="Q1829">
        <v>-9.9453929999999996E-2</v>
      </c>
      <c r="R1829">
        <v>-0.99459909999999996</v>
      </c>
      <c r="S1829">
        <v>-0.16960140000000001</v>
      </c>
      <c r="T1829">
        <v>-0.1499376</v>
      </c>
      <c r="U1829">
        <v>-2.996826</v>
      </c>
      <c r="V1829">
        <v>0.1150294</v>
      </c>
      <c r="W1829">
        <v>-9.5303150000000003E-2</v>
      </c>
      <c r="X1829">
        <v>0.98877979999999999</v>
      </c>
      <c r="Y1829">
        <v>0.1424502</v>
      </c>
      <c r="Z1829">
        <v>4.4615370000000001E-2</v>
      </c>
      <c r="AA1829">
        <v>0.98879589999999995</v>
      </c>
      <c r="AB1829">
        <v>17</v>
      </c>
      <c r="AC1829">
        <v>-1.27389999999999</v>
      </c>
      <c r="AD1829">
        <v>-1.118024275906</v>
      </c>
      <c r="AE1829">
        <v>-22.168199999999899</v>
      </c>
      <c r="AF1829">
        <v>3.1757930755484498</v>
      </c>
      <c r="AG1829">
        <v>-1.118024275906</v>
      </c>
      <c r="AH1829">
        <v>21.919757502688</v>
      </c>
      <c r="AI1829">
        <v>92.889739562803697</v>
      </c>
      <c r="AJ1829">
        <v>81.756196752233507</v>
      </c>
      <c r="AK1829">
        <v>22.176821434030199</v>
      </c>
      <c r="AL1829">
        <v>95.468768342609906</v>
      </c>
      <c r="AM1829">
        <v>83.364340628429602</v>
      </c>
      <c r="AN1829">
        <v>0.99999997307615995</v>
      </c>
    </row>
    <row r="1830" spans="1:40" x14ac:dyDescent="0.25">
      <c r="A1830" t="str">
        <f>"20190303154131188"</f>
        <v>20190303154131188</v>
      </c>
      <c r="B1830" t="str">
        <f>"1551598891181537"</f>
        <v>1551598891181537</v>
      </c>
      <c r="C1830" t="s">
        <v>40</v>
      </c>
      <c r="D1830">
        <v>6.0533979999999996</v>
      </c>
      <c r="E1830">
        <v>0.5092951</v>
      </c>
      <c r="F1830" t="s">
        <v>41</v>
      </c>
      <c r="G1830">
        <v>-193.19309999999999</v>
      </c>
      <c r="H1830" s="1">
        <v>-1.4655179999999899E-6</v>
      </c>
      <c r="I1830">
        <v>321.02480000000003</v>
      </c>
      <c r="J1830">
        <v>-191.5874</v>
      </c>
      <c r="K1830">
        <v>1.118123</v>
      </c>
      <c r="L1830">
        <v>350.03989999999999</v>
      </c>
      <c r="M1830">
        <v>8.0751080000000003E-2</v>
      </c>
      <c r="N1830">
        <v>-4.7769309999999999E-3</v>
      </c>
      <c r="O1830">
        <v>-0.99672289999999997</v>
      </c>
      <c r="P1830">
        <v>-2.879466E-2</v>
      </c>
      <c r="Q1830">
        <v>-9.6806929999999999E-2</v>
      </c>
      <c r="R1830">
        <v>-0.99488679999999996</v>
      </c>
      <c r="S1830">
        <v>-0.16401669999999999</v>
      </c>
      <c r="T1830">
        <v>-0.1148665</v>
      </c>
      <c r="U1830">
        <v>-2.999908</v>
      </c>
      <c r="V1830">
        <v>0.1086038</v>
      </c>
      <c r="W1830">
        <v>-9.2593620000000001E-2</v>
      </c>
      <c r="X1830">
        <v>0.98976339999999996</v>
      </c>
      <c r="Y1830">
        <v>0.1350016</v>
      </c>
      <c r="Z1830">
        <v>3.3086619999999997E-2</v>
      </c>
      <c r="AA1830">
        <v>0.99029279999999997</v>
      </c>
      <c r="AB1830">
        <v>17</v>
      </c>
      <c r="AC1830">
        <v>-1.6056999999999799</v>
      </c>
      <c r="AD1830">
        <v>-1.118124465518</v>
      </c>
      <c r="AE1830">
        <v>-29.015099999999901</v>
      </c>
      <c r="AF1830">
        <v>3.9376537881368399</v>
      </c>
      <c r="AG1830">
        <v>-1.118124465518</v>
      </c>
      <c r="AH1830">
        <v>28.748118552044001</v>
      </c>
      <c r="AI1830">
        <v>92.206746156915699</v>
      </c>
      <c r="AJ1830">
        <v>82.200681981268303</v>
      </c>
      <c r="AK1830">
        <v>29.038072249341798</v>
      </c>
      <c r="AL1830">
        <v>95.312833953715398</v>
      </c>
      <c r="AM1830">
        <v>83.738154917447702</v>
      </c>
      <c r="AN1830">
        <v>0.99999997590935097</v>
      </c>
    </row>
    <row r="1831" spans="1:40" x14ac:dyDescent="0.25">
      <c r="A1831" t="str">
        <f>"20190303154131209"</f>
        <v>20190303154131209</v>
      </c>
      <c r="B1831" t="str">
        <f>"1551598891201055"</f>
        <v>1551598891201055</v>
      </c>
      <c r="C1831" t="s">
        <v>40</v>
      </c>
      <c r="D1831">
        <v>5.9739690000000003</v>
      </c>
      <c r="E1831">
        <v>0.50871880000000003</v>
      </c>
      <c r="F1831" t="s">
        <v>41</v>
      </c>
      <c r="G1831">
        <v>-193.39250000000001</v>
      </c>
      <c r="H1831" s="1">
        <v>-3.585759E-6</v>
      </c>
      <c r="I1831">
        <v>315.26760000000002</v>
      </c>
      <c r="J1831">
        <v>-191.57939999999999</v>
      </c>
      <c r="K1831">
        <v>1.1181970000000001</v>
      </c>
      <c r="L1831">
        <v>349.87119999999999</v>
      </c>
      <c r="M1831">
        <v>7.5885480000000005E-2</v>
      </c>
      <c r="N1831">
        <v>-4.7824709999999999E-3</v>
      </c>
      <c r="O1831">
        <v>-0.99710509999999997</v>
      </c>
      <c r="P1831">
        <v>-2.7257710000000001E-2</v>
      </c>
      <c r="Q1831">
        <v>-9.5750000000000002E-2</v>
      </c>
      <c r="R1831">
        <v>-0.99503220000000003</v>
      </c>
      <c r="S1831">
        <v>-0.15582279999999901</v>
      </c>
      <c r="T1831">
        <v>-9.6516130000000006E-2</v>
      </c>
      <c r="U1831">
        <v>-3.0015260000000001</v>
      </c>
      <c r="V1831">
        <v>0.1022705</v>
      </c>
      <c r="W1831">
        <v>-9.1483250000000002E-2</v>
      </c>
      <c r="X1831">
        <v>0.990541</v>
      </c>
      <c r="Y1831">
        <v>0.12744910000000001</v>
      </c>
      <c r="Z1831">
        <v>2.7057729999999999E-2</v>
      </c>
      <c r="AA1831">
        <v>0.99147600000000002</v>
      </c>
      <c r="AB1831">
        <v>17</v>
      </c>
      <c r="AC1831">
        <v>-1.8131000000000199</v>
      </c>
      <c r="AD1831">
        <v>-1.1182005857589901</v>
      </c>
      <c r="AE1831">
        <v>-34.603599999999901</v>
      </c>
      <c r="AF1831">
        <v>4.4292001799086496</v>
      </c>
      <c r="AG1831">
        <v>-1.1182005857589901</v>
      </c>
      <c r="AH1831">
        <v>34.330479258685997</v>
      </c>
      <c r="AI1831">
        <v>91.850234433167998</v>
      </c>
      <c r="AJ1831">
        <v>82.648505603065104</v>
      </c>
      <c r="AK1831">
        <v>34.633076573050303</v>
      </c>
      <c r="AL1831">
        <v>95.248943349597795</v>
      </c>
      <c r="AM1831">
        <v>84.105262783649295</v>
      </c>
      <c r="AN1831">
        <v>0.999999956440905</v>
      </c>
    </row>
    <row r="1832" spans="1:40" x14ac:dyDescent="0.25">
      <c r="A1832" t="str">
        <f>"20190303154131232"</f>
        <v>20190303154131232</v>
      </c>
      <c r="B1832" t="str">
        <f>"1551598891220577"</f>
        <v>1551598891220577</v>
      </c>
      <c r="C1832" t="s">
        <v>40</v>
      </c>
      <c r="D1832">
        <v>5.9941370000000003</v>
      </c>
      <c r="E1832">
        <v>0.50846270000000005</v>
      </c>
      <c r="F1832" t="s">
        <v>41</v>
      </c>
      <c r="G1832">
        <v>-193.48650000000001</v>
      </c>
      <c r="H1832" s="1">
        <v>-1.492803E-6</v>
      </c>
      <c r="I1832">
        <v>310.78719999999998</v>
      </c>
      <c r="J1832">
        <v>-191.57149999999999</v>
      </c>
      <c r="K1832">
        <v>1.1182570000000001</v>
      </c>
      <c r="L1832">
        <v>349.69009999999997</v>
      </c>
      <c r="M1832">
        <v>7.0952119999999994E-2</v>
      </c>
      <c r="N1832">
        <v>-4.7897800000000004E-3</v>
      </c>
      <c r="O1832">
        <v>-0.99746820000000003</v>
      </c>
      <c r="P1832">
        <v>-2.5326290000000001E-2</v>
      </c>
      <c r="Q1832">
        <v>-9.5533129999999994E-2</v>
      </c>
      <c r="R1832">
        <v>-0.99510419999999999</v>
      </c>
      <c r="S1832">
        <v>-0.146514899999999</v>
      </c>
      <c r="T1832">
        <v>-8.5908059999999994E-2</v>
      </c>
      <c r="U1832">
        <v>-3.0027159999999999</v>
      </c>
      <c r="V1832">
        <v>9.5464179999999996E-2</v>
      </c>
      <c r="W1832">
        <v>-9.1210890000000003E-2</v>
      </c>
      <c r="X1832">
        <v>0.9912453</v>
      </c>
      <c r="Y1832">
        <v>0.1194587</v>
      </c>
      <c r="Z1832">
        <v>2.3574540000000001E-2</v>
      </c>
      <c r="AA1832">
        <v>0.99255930000000003</v>
      </c>
      <c r="AB1832">
        <v>17</v>
      </c>
      <c r="AC1832">
        <v>-1.91500000000002</v>
      </c>
      <c r="AD1832">
        <v>-1.1182584928029999</v>
      </c>
      <c r="AE1832">
        <v>-38.902899999999903</v>
      </c>
      <c r="AF1832">
        <v>4.6666019724064602</v>
      </c>
      <c r="AG1832">
        <v>-1.1182584928029999</v>
      </c>
      <c r="AH1832">
        <v>38.637129347117998</v>
      </c>
      <c r="AI1832">
        <v>91.645870548793297</v>
      </c>
      <c r="AJ1832">
        <v>83.113160493098604</v>
      </c>
      <c r="AK1832">
        <v>38.933988239217399</v>
      </c>
      <c r="AL1832">
        <v>95.233272312575096</v>
      </c>
      <c r="AM1832">
        <v>84.498962624828295</v>
      </c>
      <c r="AN1832">
        <v>1.0000000404448699</v>
      </c>
    </row>
    <row r="1833" spans="1:40" x14ac:dyDescent="0.25">
      <c r="A1833" t="str">
        <f>"20190303154131253"</f>
        <v>20190303154131253</v>
      </c>
      <c r="B1833" t="str">
        <f>"1551598891250831"</f>
        <v>1551598891250831</v>
      </c>
      <c r="C1833" t="s">
        <v>40</v>
      </c>
      <c r="D1833">
        <v>6.0285919999999997</v>
      </c>
      <c r="E1833">
        <v>0.50815699999999997</v>
      </c>
      <c r="F1833" t="s">
        <v>41</v>
      </c>
      <c r="G1833">
        <v>-193.5249</v>
      </c>
      <c r="H1833" s="1">
        <v>-4.1663019999999999E-6</v>
      </c>
      <c r="I1833">
        <v>307.39229999999998</v>
      </c>
      <c r="J1833">
        <v>-191.56460000000001</v>
      </c>
      <c r="K1833">
        <v>1.118323</v>
      </c>
      <c r="L1833">
        <v>349.52280000000002</v>
      </c>
      <c r="M1833">
        <v>6.6640340000000006E-2</v>
      </c>
      <c r="N1833">
        <v>-4.7973349999999998E-3</v>
      </c>
      <c r="O1833">
        <v>-0.99776549999999997</v>
      </c>
      <c r="P1833">
        <v>-2.1907260000000001E-2</v>
      </c>
      <c r="Q1833">
        <v>-9.5113340000000005E-2</v>
      </c>
      <c r="R1833">
        <v>-0.99522569999999999</v>
      </c>
      <c r="S1833">
        <v>-0.1387177</v>
      </c>
      <c r="T1833">
        <v>-7.9407809999999995E-2</v>
      </c>
      <c r="U1833">
        <v>-3.003571</v>
      </c>
      <c r="V1833">
        <v>8.7792830000000002E-2</v>
      </c>
      <c r="W1833">
        <v>-9.0733090000000002E-2</v>
      </c>
      <c r="X1833">
        <v>0.99199800000000005</v>
      </c>
      <c r="Y1833">
        <v>0.1125835</v>
      </c>
      <c r="Z1833">
        <v>2.1439059999999999E-2</v>
      </c>
      <c r="AA1833">
        <v>0.99341089999999999</v>
      </c>
      <c r="AB1833">
        <v>17</v>
      </c>
      <c r="AC1833">
        <v>-1.9602999999999799</v>
      </c>
      <c r="AD1833">
        <v>-1.118327166302</v>
      </c>
      <c r="AE1833">
        <v>-42.130499999999998</v>
      </c>
      <c r="AF1833">
        <v>4.7602186881756996</v>
      </c>
      <c r="AG1833">
        <v>-1.118327166302</v>
      </c>
      <c r="AH1833">
        <v>41.876765020050897</v>
      </c>
      <c r="AI1833">
        <v>91.519947643159995</v>
      </c>
      <c r="AJ1833">
        <v>83.514906405902295</v>
      </c>
      <c r="AK1833">
        <v>42.1612830231091</v>
      </c>
      <c r="AL1833">
        <v>95.205782334555494</v>
      </c>
      <c r="AM1833">
        <v>84.942442206146595</v>
      </c>
      <c r="AN1833">
        <v>1.00000005331217</v>
      </c>
    </row>
    <row r="1834" spans="1:40" x14ac:dyDescent="0.25">
      <c r="A1834" t="str">
        <f>"20190303154131274"</f>
        <v>20190303154131274</v>
      </c>
      <c r="B1834" t="str">
        <f>"1551598891271443"</f>
        <v>1551598891271443</v>
      </c>
      <c r="C1834" t="s">
        <v>40</v>
      </c>
      <c r="D1834">
        <v>5.903975</v>
      </c>
      <c r="E1834">
        <v>0.50810370000000005</v>
      </c>
      <c r="F1834" t="s">
        <v>41</v>
      </c>
      <c r="G1834">
        <v>-193.52279999999999</v>
      </c>
      <c r="H1834" s="1">
        <v>-2.3373679999999998E-6</v>
      </c>
      <c r="I1834">
        <v>302.85270000000003</v>
      </c>
      <c r="J1834">
        <v>-191.5583</v>
      </c>
      <c r="K1834">
        <v>1.1183920000000001</v>
      </c>
      <c r="L1834">
        <v>349.3569</v>
      </c>
      <c r="M1834">
        <v>6.2568239999999997E-2</v>
      </c>
      <c r="N1834">
        <v>-4.805569E-3</v>
      </c>
      <c r="O1834">
        <v>-0.9980291</v>
      </c>
      <c r="P1834">
        <v>-1.7439909999999999E-2</v>
      </c>
      <c r="Q1834">
        <v>-9.4310169999999999E-2</v>
      </c>
      <c r="R1834">
        <v>-0.9953902</v>
      </c>
      <c r="S1834">
        <v>-0.12606809999999999</v>
      </c>
      <c r="T1834">
        <v>-7.1999670000000002E-2</v>
      </c>
      <c r="U1834">
        <v>-3.0047000000000001</v>
      </c>
      <c r="V1834">
        <v>7.9315189999999994E-2</v>
      </c>
      <c r="W1834">
        <v>-8.986914E-2</v>
      </c>
      <c r="X1834">
        <v>0.99279030000000001</v>
      </c>
      <c r="Y1834">
        <v>0.1043371</v>
      </c>
      <c r="Z1834">
        <v>1.8998419999999999E-2</v>
      </c>
      <c r="AA1834">
        <v>0.99436049999999998</v>
      </c>
      <c r="AB1834">
        <v>17</v>
      </c>
      <c r="AC1834">
        <v>-1.9644999999999799</v>
      </c>
      <c r="AD1834">
        <v>-1.1183943373680001</v>
      </c>
      <c r="AE1834">
        <v>-46.504199999999898</v>
      </c>
      <c r="AF1834">
        <v>4.8675602072648996</v>
      </c>
      <c r="AG1834">
        <v>-1.1183943373680001</v>
      </c>
      <c r="AH1834">
        <v>46.263455215572598</v>
      </c>
      <c r="AI1834">
        <v>91.377226169564807</v>
      </c>
      <c r="AJ1834">
        <v>83.993783368181397</v>
      </c>
      <c r="AK1834">
        <v>46.532260172363202</v>
      </c>
      <c r="AL1834">
        <v>95.156079009614501</v>
      </c>
      <c r="AM1834">
        <v>85.432273988016505</v>
      </c>
      <c r="AN1834">
        <v>0.99999997073158198</v>
      </c>
    </row>
    <row r="1835" spans="1:40" x14ac:dyDescent="0.25">
      <c r="A1835" t="str">
        <f>"20190303154131296"</f>
        <v>20190303154131296</v>
      </c>
      <c r="B1835" t="str">
        <f>"1551598891290963"</f>
        <v>1551598891290963</v>
      </c>
      <c r="C1835" t="s">
        <v>40</v>
      </c>
      <c r="D1835">
        <v>5.8938569999999997</v>
      </c>
      <c r="E1835">
        <v>0.50794450000000002</v>
      </c>
      <c r="F1835" t="s">
        <v>46</v>
      </c>
      <c r="G1835">
        <v>-193.4196</v>
      </c>
      <c r="H1835" s="1">
        <v>7.1352639999999995E-8</v>
      </c>
      <c r="I1835">
        <v>299.21120000000002</v>
      </c>
      <c r="J1835">
        <v>-191.5522</v>
      </c>
      <c r="K1835">
        <v>1.11846</v>
      </c>
      <c r="L1835">
        <v>349.18329999999997</v>
      </c>
      <c r="M1835">
        <v>5.8505210000000002E-2</v>
      </c>
      <c r="N1835">
        <v>-4.8155230000000004E-3</v>
      </c>
      <c r="O1835">
        <v>-0.99827580000000005</v>
      </c>
      <c r="P1835">
        <v>-1.269925E-2</v>
      </c>
      <c r="Q1835">
        <v>-9.2402189999999995E-2</v>
      </c>
      <c r="R1835">
        <v>-0.9956412</v>
      </c>
      <c r="S1835">
        <v>-0.111557</v>
      </c>
      <c r="T1835">
        <v>-6.7033049999999997E-2</v>
      </c>
      <c r="U1835">
        <v>-3.005585</v>
      </c>
      <c r="V1835">
        <v>7.0579649999999994E-2</v>
      </c>
      <c r="W1835">
        <v>-8.789951E-2</v>
      </c>
      <c r="X1835">
        <v>0.9936258</v>
      </c>
      <c r="Y1835">
        <v>9.5481250000000004E-2</v>
      </c>
      <c r="Z1835">
        <v>1.7361599999999901E-2</v>
      </c>
      <c r="AA1835">
        <v>0.99527980000000005</v>
      </c>
      <c r="AB1835">
        <v>17</v>
      </c>
      <c r="AC1835">
        <v>-1.8673999999999999</v>
      </c>
      <c r="AD1835">
        <v>-1.11845992864736</v>
      </c>
      <c r="AE1835">
        <v>-49.972099999999898</v>
      </c>
      <c r="AF1835">
        <v>4.7854685695719796</v>
      </c>
      <c r="AG1835">
        <v>-1.11845992864736</v>
      </c>
      <c r="AH1835">
        <v>49.7523589651694</v>
      </c>
      <c r="AI1835">
        <v>91.2819089071495</v>
      </c>
      <c r="AJ1835">
        <v>84.505863544261302</v>
      </c>
      <c r="AK1835">
        <v>49.994488542652597</v>
      </c>
      <c r="AL1835">
        <v>95.042778802650602</v>
      </c>
      <c r="AM1835">
        <v>85.936966163907201</v>
      </c>
      <c r="AN1835">
        <v>1.0000000206390001</v>
      </c>
    </row>
    <row r="1836" spans="1:40" x14ac:dyDescent="0.25">
      <c r="A1836" t="str">
        <f>"20190303154131319"</f>
        <v>20190303154131319</v>
      </c>
      <c r="B1836" t="str">
        <f>"1551598891311459"</f>
        <v>1551598891311459</v>
      </c>
      <c r="C1836" t="s">
        <v>40</v>
      </c>
      <c r="D1836">
        <v>5.9322839999999903</v>
      </c>
      <c r="E1836">
        <v>0.50792280000000001</v>
      </c>
      <c r="F1836" t="s">
        <v>46</v>
      </c>
      <c r="G1836">
        <v>-193.31790000000001</v>
      </c>
      <c r="H1836" s="1">
        <v>1.674376E-6</v>
      </c>
      <c r="I1836">
        <v>293.4529</v>
      </c>
      <c r="J1836">
        <v>-191.54650000000001</v>
      </c>
      <c r="K1836">
        <v>1.118525</v>
      </c>
      <c r="L1836">
        <v>349.00540000000001</v>
      </c>
      <c r="M1836">
        <v>5.4543979999999999E-2</v>
      </c>
      <c r="N1836">
        <v>-4.8271E-3</v>
      </c>
      <c r="O1836">
        <v>-0.99849980000000005</v>
      </c>
      <c r="P1836">
        <v>-8.8501629999999994E-3</v>
      </c>
      <c r="Q1836">
        <v>-8.9696559999999995E-2</v>
      </c>
      <c r="R1836">
        <v>-0.99592999999999998</v>
      </c>
      <c r="S1836">
        <v>-9.5245360000000001E-2</v>
      </c>
      <c r="T1836">
        <v>-6.033409E-2</v>
      </c>
      <c r="U1836">
        <v>-3.0063170000000001</v>
      </c>
      <c r="V1836">
        <v>6.2834139999999997E-2</v>
      </c>
      <c r="W1836">
        <v>-8.5138729999999996E-2</v>
      </c>
      <c r="X1836">
        <v>0.99438590000000004</v>
      </c>
      <c r="Y1836">
        <v>8.6127129999999996E-2</v>
      </c>
      <c r="Z1836">
        <v>1.514742E-2</v>
      </c>
      <c r="AA1836">
        <v>0.99616899999999997</v>
      </c>
      <c r="AB1836">
        <v>18</v>
      </c>
      <c r="AC1836">
        <v>-1.7714000000000001</v>
      </c>
      <c r="AD1836">
        <v>-1.1185233256239999</v>
      </c>
      <c r="AE1836">
        <v>-55.552500000000002</v>
      </c>
      <c r="AF1836">
        <v>4.7969097424510396</v>
      </c>
      <c r="AG1836">
        <v>-1.1185233256239999</v>
      </c>
      <c r="AH1836">
        <v>55.350764235780296</v>
      </c>
      <c r="AI1836">
        <v>91.153348551121198</v>
      </c>
      <c r="AJ1836">
        <v>85.046903304931604</v>
      </c>
      <c r="AK1836">
        <v>55.569492880465603</v>
      </c>
      <c r="AL1836">
        <v>94.884002307622396</v>
      </c>
      <c r="AM1836">
        <v>86.384350481340405</v>
      </c>
      <c r="AN1836">
        <v>1.0000000253071799</v>
      </c>
    </row>
    <row r="1837" spans="1:40" x14ac:dyDescent="0.25">
      <c r="A1837" t="str">
        <f>"20190303154131341"</f>
        <v>20190303154131341</v>
      </c>
      <c r="B1837" t="str">
        <f>"1551598891330990"</f>
        <v>1551598891330990</v>
      </c>
      <c r="C1837" t="s">
        <v>40</v>
      </c>
      <c r="D1837">
        <v>5.9131109999999998</v>
      </c>
      <c r="E1837">
        <v>0.50790270000000004</v>
      </c>
      <c r="F1837" t="s">
        <v>46</v>
      </c>
      <c r="G1837">
        <v>-193.3083</v>
      </c>
      <c r="H1837" s="1">
        <v>3.3001290000000001E-6</v>
      </c>
      <c r="I1837">
        <v>285.50450000000001</v>
      </c>
      <c r="J1837">
        <v>-191.54089999999999</v>
      </c>
      <c r="K1837">
        <v>1.1185480000000001</v>
      </c>
      <c r="L1837">
        <v>348.81540000000001</v>
      </c>
      <c r="M1837">
        <v>5.0481150000000002E-2</v>
      </c>
      <c r="N1837">
        <v>-4.8422489999999999E-3</v>
      </c>
      <c r="O1837">
        <v>-0.99871330000000003</v>
      </c>
      <c r="P1837">
        <v>-7.1077319999999899E-3</v>
      </c>
      <c r="Q1837">
        <v>-8.8426660000000004E-2</v>
      </c>
      <c r="R1837">
        <v>-0.99605739999999998</v>
      </c>
      <c r="S1837">
        <v>-8.3419800000000002E-2</v>
      </c>
      <c r="T1837">
        <v>-5.2962059999999998E-2</v>
      </c>
      <c r="U1837">
        <v>-3.0067750000000002</v>
      </c>
      <c r="V1837">
        <v>5.7068250000000001E-2</v>
      </c>
      <c r="W1837">
        <v>-8.3824410000000002E-2</v>
      </c>
      <c r="X1837">
        <v>0.99484499999999998</v>
      </c>
      <c r="Y1837">
        <v>7.8153749999999994E-2</v>
      </c>
      <c r="Z1837">
        <v>1.2702420000000001E-2</v>
      </c>
      <c r="AA1837">
        <v>0.99686039999999998</v>
      </c>
      <c r="AB1837">
        <v>18</v>
      </c>
      <c r="AC1837">
        <v>-1.7674000000000001</v>
      </c>
      <c r="AD1837">
        <v>-1.11854469987099</v>
      </c>
      <c r="AE1837">
        <v>-63.310899999999997</v>
      </c>
      <c r="AF1837">
        <v>4.9596440682088998</v>
      </c>
      <c r="AG1837">
        <v>-1.11854469987099</v>
      </c>
      <c r="AH1837">
        <v>63.121268824318399</v>
      </c>
      <c r="AI1837">
        <v>91.012088731759206</v>
      </c>
      <c r="AJ1837">
        <v>85.507314049156605</v>
      </c>
      <c r="AK1837">
        <v>63.325696123459998</v>
      </c>
      <c r="AL1837">
        <v>94.8084275218784</v>
      </c>
      <c r="AM1837">
        <v>86.7168851369224</v>
      </c>
      <c r="AN1837">
        <v>0.99999994544745296</v>
      </c>
    </row>
    <row r="1838" spans="1:40" x14ac:dyDescent="0.25">
      <c r="A1838" t="str">
        <f>"20190303154131364"</f>
        <v>20190303154131364</v>
      </c>
      <c r="B1838" t="str">
        <f>"1551598891361119"</f>
        <v>1551598891361119</v>
      </c>
      <c r="C1838" t="s">
        <v>40</v>
      </c>
      <c r="D1838">
        <v>5.9291429999999998</v>
      </c>
      <c r="E1838">
        <v>0.50819899999999996</v>
      </c>
      <c r="F1838" t="s">
        <v>46</v>
      </c>
      <c r="G1838">
        <v>-193.28479999999999</v>
      </c>
      <c r="H1838" s="1">
        <v>3.6007029999999898E-6</v>
      </c>
      <c r="I1838">
        <v>282.11399999999998</v>
      </c>
      <c r="J1838">
        <v>-191.5361</v>
      </c>
      <c r="K1838">
        <v>1.118544</v>
      </c>
      <c r="L1838">
        <v>348.63720000000001</v>
      </c>
      <c r="M1838">
        <v>4.6822879999999997E-2</v>
      </c>
      <c r="N1838">
        <v>-4.8616670000000001E-3</v>
      </c>
      <c r="O1838">
        <v>-0.99889139999999998</v>
      </c>
      <c r="P1838">
        <v>-6.9426059999999996E-3</v>
      </c>
      <c r="Q1838">
        <v>-9.1044609999999998E-2</v>
      </c>
      <c r="R1838">
        <v>-0.99582269999999995</v>
      </c>
      <c r="S1838">
        <v>-7.8613279999999994E-2</v>
      </c>
      <c r="T1838">
        <v>-5.0422910000000001E-2</v>
      </c>
      <c r="U1838">
        <v>-3.0068359999999998</v>
      </c>
      <c r="V1838">
        <v>5.3244069999999998E-2</v>
      </c>
      <c r="W1838">
        <v>-8.6406280000000002E-2</v>
      </c>
      <c r="X1838">
        <v>0.99483619999999995</v>
      </c>
      <c r="Y1838">
        <v>7.290903E-2</v>
      </c>
      <c r="Z1838">
        <v>1.185015E-2</v>
      </c>
      <c r="AA1838">
        <v>0.99726820000000005</v>
      </c>
      <c r="AB1838">
        <v>18</v>
      </c>
      <c r="AC1838">
        <v>-1.7486999999999799</v>
      </c>
      <c r="AD1838">
        <v>-1.118540399297</v>
      </c>
      <c r="AE1838">
        <v>-66.523199999999903</v>
      </c>
      <c r="AF1838">
        <v>4.86025339884754</v>
      </c>
      <c r="AG1838">
        <v>-1.118540399297</v>
      </c>
      <c r="AH1838">
        <v>66.349610561096497</v>
      </c>
      <c r="AI1838">
        <v>90.963236519209801</v>
      </c>
      <c r="AJ1838">
        <v>85.810442297241707</v>
      </c>
      <c r="AK1838">
        <v>66.536786947785799</v>
      </c>
      <c r="AL1838">
        <v>94.956896232261201</v>
      </c>
      <c r="AM1838">
        <v>86.936427642693005</v>
      </c>
      <c r="AN1838">
        <v>1.0000000205220201</v>
      </c>
    </row>
    <row r="1839" spans="1:40" x14ac:dyDescent="0.25">
      <c r="A1839" t="str">
        <f>"20190303154131386"</f>
        <v>20190303154131386</v>
      </c>
      <c r="B1839" t="str">
        <f>"1551598891381615"</f>
        <v>1551598891381615</v>
      </c>
      <c r="C1839" t="s">
        <v>40</v>
      </c>
      <c r="D1839">
        <v>5.9330040000000004</v>
      </c>
      <c r="E1839">
        <v>0.50831400000000004</v>
      </c>
      <c r="F1839" t="s">
        <v>46</v>
      </c>
      <c r="G1839">
        <v>-193.04349999999999</v>
      </c>
      <c r="H1839" s="1">
        <v>1.811778E-6</v>
      </c>
      <c r="I1839">
        <v>292.94260000000003</v>
      </c>
      <c r="J1839">
        <v>-191.5318</v>
      </c>
      <c r="K1839">
        <v>1.118541</v>
      </c>
      <c r="L1839">
        <v>348.45679999999999</v>
      </c>
      <c r="M1839">
        <v>4.3295170000000001E-2</v>
      </c>
      <c r="N1839">
        <v>-4.8871599999999998E-3</v>
      </c>
      <c r="O1839">
        <v>-0.99905060000000001</v>
      </c>
      <c r="P1839">
        <v>-6.7604419999999898E-3</v>
      </c>
      <c r="Q1839">
        <v>-9.4614290000000004E-2</v>
      </c>
      <c r="R1839">
        <v>-0.99549129999999997</v>
      </c>
      <c r="S1839">
        <v>-8.1375119999999995E-2</v>
      </c>
      <c r="T1839">
        <v>-6.0381049999999999E-2</v>
      </c>
      <c r="U1839">
        <v>-3.0065</v>
      </c>
      <c r="V1839">
        <v>4.9528669999999997E-2</v>
      </c>
      <c r="W1839">
        <v>-8.9934269999999997E-2</v>
      </c>
      <c r="X1839">
        <v>0.99471540000000003</v>
      </c>
      <c r="Y1839">
        <v>7.0303560000000001E-2</v>
      </c>
      <c r="Z1839">
        <v>1.513342E-2</v>
      </c>
      <c r="AA1839">
        <v>0.99741080000000004</v>
      </c>
      <c r="AB1839">
        <v>18</v>
      </c>
      <c r="AC1839">
        <v>-1.5116999999999901</v>
      </c>
      <c r="AD1839">
        <v>-1.1185391882219999</v>
      </c>
      <c r="AE1839">
        <v>-55.514199999999903</v>
      </c>
      <c r="AF1839">
        <v>3.9122202945679199</v>
      </c>
      <c r="AG1839">
        <v>-1.1185391882219999</v>
      </c>
      <c r="AH1839">
        <v>55.374230765564803</v>
      </c>
      <c r="AI1839">
        <v>91.154319871001505</v>
      </c>
      <c r="AJ1839">
        <v>85.9587362787844</v>
      </c>
      <c r="AK1839">
        <v>55.523526819059697</v>
      </c>
      <c r="AL1839">
        <v>95.159825733010507</v>
      </c>
      <c r="AM1839">
        <v>87.149494145070307</v>
      </c>
      <c r="AN1839">
        <v>0.99999999453478094</v>
      </c>
    </row>
    <row r="1840" spans="1:40" x14ac:dyDescent="0.25">
      <c r="A1840" t="str">
        <f>"20190303154131410"</f>
        <v>20190303154131410</v>
      </c>
      <c r="B1840" t="str">
        <f>"1551598891401135"</f>
        <v>1551598891401135</v>
      </c>
      <c r="C1840" t="s">
        <v>40</v>
      </c>
      <c r="D1840">
        <v>5.9115880000000001</v>
      </c>
      <c r="E1840">
        <v>0.50844929999999999</v>
      </c>
      <c r="F1840" t="s">
        <v>41</v>
      </c>
      <c r="G1840">
        <v>-192.7912</v>
      </c>
      <c r="H1840" s="1">
        <v>-1.8603650000000001E-6</v>
      </c>
      <c r="I1840">
        <v>302.19450000000001</v>
      </c>
      <c r="J1840">
        <v>-191.52760000000001</v>
      </c>
      <c r="K1840">
        <v>1.1185929999999999</v>
      </c>
      <c r="L1840">
        <v>348.2593</v>
      </c>
      <c r="M1840">
        <v>3.9670610000000002E-2</v>
      </c>
      <c r="N1840">
        <v>-4.9230350000000001E-3</v>
      </c>
      <c r="O1840">
        <v>-0.99920089999999995</v>
      </c>
      <c r="P1840">
        <v>-8.5971160000000001E-3</v>
      </c>
      <c r="Q1840">
        <v>-9.7577999999999998E-2</v>
      </c>
      <c r="R1840">
        <v>-0.99519120000000005</v>
      </c>
      <c r="S1840">
        <v>-8.1832890000000005E-2</v>
      </c>
      <c r="T1840">
        <v>-7.26831E-2</v>
      </c>
      <c r="U1840">
        <v>-3.0061339999999999</v>
      </c>
      <c r="V1840">
        <v>4.7748539999999999E-2</v>
      </c>
      <c r="W1840">
        <v>-9.2849349999999997E-2</v>
      </c>
      <c r="X1840">
        <v>0.99453460000000005</v>
      </c>
      <c r="Y1840">
        <v>6.6837049999999995E-2</v>
      </c>
      <c r="Z1840">
        <v>1.9186620000000001E-2</v>
      </c>
      <c r="AA1840">
        <v>0.99757940000000001</v>
      </c>
      <c r="AB1840">
        <v>18</v>
      </c>
      <c r="AC1840">
        <v>-1.2635999999999901</v>
      </c>
      <c r="AD1840">
        <v>-1.118594860365</v>
      </c>
      <c r="AE1840">
        <v>-46.064799999999899</v>
      </c>
      <c r="AF1840">
        <v>3.0882260932994199</v>
      </c>
      <c r="AG1840">
        <v>-1.118594860365</v>
      </c>
      <c r="AH1840">
        <v>45.951333438163999</v>
      </c>
      <c r="AI1840">
        <v>91.391340328881498</v>
      </c>
      <c r="AJ1840">
        <v>86.155135687063293</v>
      </c>
      <c r="AK1840">
        <v>46.068573231762898</v>
      </c>
      <c r="AL1840">
        <v>95.327549480965303</v>
      </c>
      <c r="AM1840">
        <v>87.251286503277996</v>
      </c>
      <c r="AN1840">
        <v>0.99999999773235704</v>
      </c>
    </row>
    <row r="1841" spans="1:40" x14ac:dyDescent="0.25">
      <c r="A1841" t="str">
        <f>"20190303154131430"</f>
        <v>20190303154131430</v>
      </c>
      <c r="B1841" t="str">
        <f>"1551598891420655"</f>
        <v>1551598891420655</v>
      </c>
      <c r="C1841" t="s">
        <v>40</v>
      </c>
      <c r="D1841">
        <v>5.9203089999999996</v>
      </c>
      <c r="E1841">
        <v>0.50860859999999997</v>
      </c>
      <c r="F1841" t="s">
        <v>41</v>
      </c>
      <c r="G1841">
        <v>-192.7276</v>
      </c>
      <c r="H1841" s="1">
        <v>-4.029956E-6</v>
      </c>
      <c r="I1841">
        <v>307.40730000000002</v>
      </c>
      <c r="J1841">
        <v>-191.52430000000001</v>
      </c>
      <c r="K1841">
        <v>1.118692</v>
      </c>
      <c r="L1841">
        <v>348.08940000000001</v>
      </c>
      <c r="M1841">
        <v>3.6794460000000001E-2</v>
      </c>
      <c r="N1841">
        <v>-4.9607849999999997E-3</v>
      </c>
      <c r="O1841">
        <v>-0.9993107</v>
      </c>
      <c r="P1841">
        <v>-9.5554460000000004E-3</v>
      </c>
      <c r="Q1841">
        <v>-9.8392229999999997E-2</v>
      </c>
      <c r="R1841">
        <v>-0.99510209999999999</v>
      </c>
      <c r="S1841">
        <v>-8.8287350000000001E-2</v>
      </c>
      <c r="T1841">
        <v>-8.2300419999999999E-2</v>
      </c>
      <c r="U1841">
        <v>-3.0056759999999998</v>
      </c>
      <c r="V1841">
        <v>4.586134E-2</v>
      </c>
      <c r="W1841">
        <v>-9.3608339999999998E-2</v>
      </c>
      <c r="X1841">
        <v>0.99455229999999994</v>
      </c>
      <c r="Y1841">
        <v>6.6107399999999997E-2</v>
      </c>
      <c r="Z1841">
        <v>2.2345839999999999E-2</v>
      </c>
      <c r="AA1841">
        <v>0.99756230000000001</v>
      </c>
      <c r="AB1841">
        <v>18</v>
      </c>
      <c r="AC1841">
        <v>-1.2032999999999801</v>
      </c>
      <c r="AD1841">
        <v>-1.118696029956</v>
      </c>
      <c r="AE1841">
        <v>-40.682099999999899</v>
      </c>
      <c r="AF1841">
        <v>2.6973413976002201</v>
      </c>
      <c r="AG1841">
        <v>-1.118696029956</v>
      </c>
      <c r="AH1841">
        <v>40.579618193343499</v>
      </c>
      <c r="AI1841">
        <v>91.575650758026796</v>
      </c>
      <c r="AJ1841">
        <v>86.197123694864104</v>
      </c>
      <c r="AK1841">
        <v>40.684549206549903</v>
      </c>
      <c r="AL1841">
        <v>95.371226455414899</v>
      </c>
      <c r="AM1841">
        <v>87.359815929255504</v>
      </c>
      <c r="AN1841">
        <v>1.0000000306297201</v>
      </c>
    </row>
    <row r="1842" spans="1:40" x14ac:dyDescent="0.25">
      <c r="A1842" t="str">
        <f>"20190303154131475"</f>
        <v>20190303154131475</v>
      </c>
      <c r="B1842" t="str">
        <f>"1551598891471407"</f>
        <v>1551598891471407</v>
      </c>
      <c r="C1842" t="s">
        <v>40</v>
      </c>
      <c r="D1842">
        <v>3.6948759999999998</v>
      </c>
      <c r="E1842">
        <v>0.50781569999999998</v>
      </c>
      <c r="F1842" t="s">
        <v>41</v>
      </c>
      <c r="G1842">
        <v>-192.72210000000001</v>
      </c>
      <c r="H1842" s="1">
        <v>-4.5938659999999997E-6</v>
      </c>
      <c r="I1842">
        <v>309.06720000000001</v>
      </c>
      <c r="J1842">
        <v>-191.51759999999999</v>
      </c>
      <c r="K1842">
        <v>1.1190990000000001</v>
      </c>
      <c r="L1842">
        <v>347.71559999999999</v>
      </c>
      <c r="M1842">
        <v>3.1413469999999999E-2</v>
      </c>
      <c r="N1842">
        <v>-5.0783269999999997E-3</v>
      </c>
      <c r="O1842">
        <v>-0.99949370000000004</v>
      </c>
      <c r="P1842">
        <v>-1.29062E-2</v>
      </c>
      <c r="Q1842">
        <v>-9.7773440000000003E-2</v>
      </c>
      <c r="R1842">
        <v>-0.99512529999999999</v>
      </c>
      <c r="S1842">
        <v>-9.2254639999999999E-2</v>
      </c>
      <c r="T1842">
        <v>-8.6159589999999994E-2</v>
      </c>
      <c r="U1842">
        <v>-3.0054020000000001</v>
      </c>
      <c r="V1842">
        <v>4.3943660000000002E-2</v>
      </c>
      <c r="W1842">
        <v>-9.2826160000000005E-2</v>
      </c>
      <c r="X1842">
        <v>0.99471220000000005</v>
      </c>
      <c r="Y1842">
        <v>6.2051950000000002E-2</v>
      </c>
      <c r="Z1842">
        <v>2.3521859999999999E-2</v>
      </c>
      <c r="AA1842">
        <v>0.99779569999999995</v>
      </c>
      <c r="AB1842">
        <v>18</v>
      </c>
      <c r="AC1842">
        <v>-1.2045000000000201</v>
      </c>
      <c r="AD1842">
        <v>-1.1191035938659999</v>
      </c>
      <c r="AE1842">
        <v>-38.648399999999903</v>
      </c>
      <c r="AF1842">
        <v>2.41597767812106</v>
      </c>
      <c r="AG1842">
        <v>-1.1191035938659999</v>
      </c>
      <c r="AH1842">
        <v>38.5591889515619</v>
      </c>
      <c r="AI1842">
        <v>91.659177316262401</v>
      </c>
      <c r="AJ1842">
        <v>86.414742907239798</v>
      </c>
      <c r="AK1842">
        <v>38.651007666000602</v>
      </c>
      <c r="AL1842">
        <v>95.326214743964997</v>
      </c>
      <c r="AM1842">
        <v>87.470474132805293</v>
      </c>
      <c r="AN1842">
        <v>1.00000005103168</v>
      </c>
    </row>
    <row r="1843" spans="1:40" x14ac:dyDescent="0.25">
      <c r="A1843" t="str">
        <f>"20190303154131575"</f>
        <v>20190303154131575</v>
      </c>
      <c r="B1843" t="str">
        <f>"1551598891570959"</f>
        <v>1551598891570959</v>
      </c>
      <c r="C1843" t="s">
        <v>40</v>
      </c>
      <c r="D1843">
        <v>5.8401319999999997</v>
      </c>
      <c r="E1843">
        <v>0.50927349999999905</v>
      </c>
      <c r="F1843" t="s">
        <v>41</v>
      </c>
      <c r="G1843">
        <v>-192.95820000000001</v>
      </c>
      <c r="H1843" s="1">
        <v>-1.9391950000000001E-6</v>
      </c>
      <c r="I1843">
        <v>302.2747</v>
      </c>
      <c r="J1843">
        <v>-191.50110000000001</v>
      </c>
      <c r="K1843">
        <v>1.1202780000000001</v>
      </c>
      <c r="L1843">
        <v>346.86529999999999</v>
      </c>
      <c r="M1843">
        <v>2.5247169999999999E-2</v>
      </c>
      <c r="N1843">
        <v>-5.7190359999999898E-3</v>
      </c>
      <c r="O1843">
        <v>-0.99966500000000003</v>
      </c>
      <c r="P1843">
        <v>-9.1775490000000001E-3</v>
      </c>
      <c r="Q1843">
        <v>-8.9757809999999993E-2</v>
      </c>
      <c r="R1843">
        <v>-0.99592170000000002</v>
      </c>
      <c r="S1843">
        <v>-9.5306399999999999E-2</v>
      </c>
      <c r="T1843">
        <v>-7.4035409999999996E-2</v>
      </c>
      <c r="U1843">
        <v>-3.006195</v>
      </c>
      <c r="V1843">
        <v>3.4328459999999998E-2</v>
      </c>
      <c r="W1843">
        <v>-8.4060010000000004E-2</v>
      </c>
      <c r="X1843">
        <v>0.99586920000000001</v>
      </c>
      <c r="Y1843">
        <v>5.6901640000000003E-2</v>
      </c>
      <c r="Z1843">
        <v>1.886227E-2</v>
      </c>
      <c r="AA1843">
        <v>0.99820160000000002</v>
      </c>
      <c r="AB1843">
        <v>19</v>
      </c>
      <c r="AC1843">
        <v>-1.4570999999999901</v>
      </c>
      <c r="AD1843">
        <v>-1.120279939195</v>
      </c>
      <c r="AE1843">
        <v>-44.590600000000002</v>
      </c>
      <c r="AF1843">
        <v>2.58081298435506</v>
      </c>
      <c r="AG1843">
        <v>-1.120279939195</v>
      </c>
      <c r="AH1843">
        <v>44.511531885713602</v>
      </c>
      <c r="AI1843">
        <v>91.439317174733205</v>
      </c>
      <c r="AJ1843">
        <v>86.681661637026593</v>
      </c>
      <c r="AK1843">
        <v>44.600359792441999</v>
      </c>
      <c r="AL1843">
        <v>94.821973975456103</v>
      </c>
      <c r="AM1843">
        <v>88.025747367067297</v>
      </c>
      <c r="AN1843">
        <v>0.99999999597790501</v>
      </c>
    </row>
    <row r="1844" spans="1:40" x14ac:dyDescent="0.25">
      <c r="A1844" t="str">
        <f>"20190303154131599"</f>
        <v>20190303154131599</v>
      </c>
      <c r="B1844" t="str">
        <f>"1551598891591455"</f>
        <v>1551598891591455</v>
      </c>
      <c r="C1844" t="s">
        <v>40</v>
      </c>
      <c r="D1844">
        <v>5.8823600000000003</v>
      </c>
      <c r="E1844">
        <v>0.50950569999999995</v>
      </c>
      <c r="F1844" t="s">
        <v>46</v>
      </c>
      <c r="G1844">
        <v>-193.6413</v>
      </c>
      <c r="H1844" s="1">
        <v>3.736533E-6</v>
      </c>
      <c r="I1844">
        <v>279.83690000000001</v>
      </c>
      <c r="J1844">
        <v>-191.4966</v>
      </c>
      <c r="K1844">
        <v>1.1204130000000001</v>
      </c>
      <c r="L1844">
        <v>346.6662</v>
      </c>
      <c r="M1844">
        <v>2.480475E-2</v>
      </c>
      <c r="N1844">
        <v>-5.9902610000000002E-3</v>
      </c>
      <c r="O1844">
        <v>-0.99967439999999996</v>
      </c>
      <c r="P1844">
        <v>-8.3766050000000005E-3</v>
      </c>
      <c r="Q1844">
        <v>-9.4167920000000002E-2</v>
      </c>
      <c r="R1844">
        <v>-0.99552149999999995</v>
      </c>
      <c r="S1844">
        <v>-9.6008300000000005E-2</v>
      </c>
      <c r="T1844">
        <v>-5.0255059999999997E-2</v>
      </c>
      <c r="U1844">
        <v>-3.006866</v>
      </c>
      <c r="V1844">
        <v>3.3099829999999997E-2</v>
      </c>
      <c r="W1844">
        <v>-8.8193980000000005E-2</v>
      </c>
      <c r="X1844">
        <v>0.99555320000000003</v>
      </c>
      <c r="Y1844">
        <v>5.6690480000000001E-2</v>
      </c>
      <c r="Z1844">
        <v>1.0693599999999999E-2</v>
      </c>
      <c r="AA1844">
        <v>0.99833450000000001</v>
      </c>
      <c r="AB1844">
        <v>19</v>
      </c>
      <c r="AC1844">
        <v>-2.1446999999999998</v>
      </c>
      <c r="AD1844">
        <v>-1.120409263467</v>
      </c>
      <c r="AE1844">
        <v>-66.829299999999904</v>
      </c>
      <c r="AF1844">
        <v>3.80068667939344</v>
      </c>
      <c r="AG1844">
        <v>-1.120409263467</v>
      </c>
      <c r="AH1844">
        <v>66.736798548724806</v>
      </c>
      <c r="AI1844">
        <v>90.960262887451407</v>
      </c>
      <c r="AJ1844">
        <v>86.740503882667895</v>
      </c>
      <c r="AK1844">
        <v>66.854325340142793</v>
      </c>
      <c r="AL1844">
        <v>95.059716699911405</v>
      </c>
      <c r="AM1844">
        <v>88.0957499510681</v>
      </c>
      <c r="AN1844">
        <v>0.99999997544225405</v>
      </c>
    </row>
    <row r="1845" spans="1:40" x14ac:dyDescent="0.25">
      <c r="A1845" t="str">
        <f>"20190303154131622"</f>
        <v>20190303154131622</v>
      </c>
      <c r="B1845" t="str">
        <f>"1551598891610975"</f>
        <v>1551598891610975</v>
      </c>
      <c r="C1845" t="s">
        <v>40</v>
      </c>
      <c r="D1845">
        <v>5.8844799999999999</v>
      </c>
      <c r="E1845">
        <v>0.50978619999999997</v>
      </c>
      <c r="F1845" t="s">
        <v>46</v>
      </c>
      <c r="G1845">
        <v>-193.09469999999999</v>
      </c>
      <c r="H1845" s="1">
        <v>7.5666720000000002E-7</v>
      </c>
      <c r="I1845">
        <v>296.68880000000001</v>
      </c>
      <c r="J1845">
        <v>-191.49209999999999</v>
      </c>
      <c r="K1845">
        <v>1.120492</v>
      </c>
      <c r="L1845">
        <v>346.46809999999999</v>
      </c>
      <c r="M1845">
        <v>2.4576819999999999E-2</v>
      </c>
      <c r="N1845">
        <v>-6.3560329999999996E-3</v>
      </c>
      <c r="O1845">
        <v>-0.99967799999999996</v>
      </c>
      <c r="P1845">
        <v>-7.5057639999999998E-3</v>
      </c>
      <c r="Q1845">
        <v>-9.9790299999999998E-2</v>
      </c>
      <c r="R1845">
        <v>-0.99498059999999999</v>
      </c>
      <c r="S1845">
        <v>-9.6130370000000007E-2</v>
      </c>
      <c r="T1845">
        <v>-6.739676E-2</v>
      </c>
      <c r="U1845">
        <v>-3.0063170000000001</v>
      </c>
      <c r="V1845">
        <v>3.2001389999999998E-2</v>
      </c>
      <c r="W1845">
        <v>-9.3452199999999999E-2</v>
      </c>
      <c r="X1845">
        <v>0.99510929999999997</v>
      </c>
      <c r="Y1845">
        <v>5.6505619999999999E-2</v>
      </c>
      <c r="Z1845">
        <v>1.6021589999999999E-2</v>
      </c>
      <c r="AA1845">
        <v>0.99827370000000004</v>
      </c>
      <c r="AB1845">
        <v>19</v>
      </c>
      <c r="AC1845">
        <v>-1.60259999999999</v>
      </c>
      <c r="AD1845">
        <v>-1.1204912433328</v>
      </c>
      <c r="AE1845">
        <v>-49.7792999999999</v>
      </c>
      <c r="AF1845">
        <v>2.8241277953641002</v>
      </c>
      <c r="AG1845">
        <v>-1.1204912433328</v>
      </c>
      <c r="AH1845">
        <v>49.699720736428603</v>
      </c>
      <c r="AI1845">
        <v>91.289447886061595</v>
      </c>
      <c r="AJ1845">
        <v>86.747732613365102</v>
      </c>
      <c r="AK1845">
        <v>49.792503850579003</v>
      </c>
      <c r="AL1845">
        <v>95.362241279492096</v>
      </c>
      <c r="AM1845">
        <v>88.158078810253699</v>
      </c>
      <c r="AN1845">
        <v>0.99999996079663001</v>
      </c>
    </row>
    <row r="1846" spans="1:40" x14ac:dyDescent="0.25">
      <c r="A1846" t="str">
        <f>"20190303154131643"</f>
        <v>20190303154131643</v>
      </c>
      <c r="B1846" t="str">
        <f>"1551598891631475"</f>
        <v>1551598891631475</v>
      </c>
      <c r="C1846" t="s">
        <v>40</v>
      </c>
      <c r="D1846">
        <v>5.8885170000000002</v>
      </c>
      <c r="E1846">
        <v>0.50986849999999995</v>
      </c>
      <c r="F1846" t="s">
        <v>41</v>
      </c>
      <c r="G1846">
        <v>-192.71119999999999</v>
      </c>
      <c r="H1846" s="1">
        <v>-4.2928529999999998E-6</v>
      </c>
      <c r="I1846">
        <v>308.1884</v>
      </c>
      <c r="J1846">
        <v>-191.4879</v>
      </c>
      <c r="K1846">
        <v>1.120536</v>
      </c>
      <c r="L1846">
        <v>346.28890000000001</v>
      </c>
      <c r="M1846">
        <v>2.4465799999999999E-2</v>
      </c>
      <c r="N1846">
        <v>-6.7475599999999997E-3</v>
      </c>
      <c r="O1846">
        <v>-0.99967819999999996</v>
      </c>
      <c r="P1846">
        <v>-5.8034280000000002E-3</v>
      </c>
      <c r="Q1846">
        <v>-0.1038603</v>
      </c>
      <c r="R1846">
        <v>-0.99457530000000005</v>
      </c>
      <c r="S1846">
        <v>-9.5718380000000006E-2</v>
      </c>
      <c r="T1846">
        <v>-8.7977169999999993E-2</v>
      </c>
      <c r="U1846">
        <v>-3.005585</v>
      </c>
      <c r="V1846">
        <v>3.0179999999999998E-2</v>
      </c>
      <c r="W1846">
        <v>-9.7136089999999994E-2</v>
      </c>
      <c r="X1846">
        <v>0.99481339999999996</v>
      </c>
      <c r="Y1846">
        <v>5.6260249999999998E-2</v>
      </c>
      <c r="Z1846">
        <v>2.2467029999999999E-2</v>
      </c>
      <c r="AA1846">
        <v>0.99816329999999998</v>
      </c>
      <c r="AB1846">
        <v>19</v>
      </c>
      <c r="AC1846">
        <v>-1.2232999999999901</v>
      </c>
      <c r="AD1846">
        <v>-1.1205402928529999</v>
      </c>
      <c r="AE1846">
        <v>-38.100499999999997</v>
      </c>
      <c r="AF1846">
        <v>2.1532534108120802</v>
      </c>
      <c r="AG1846">
        <v>-1.1205402928529999</v>
      </c>
      <c r="AH1846">
        <v>38.026307904299003</v>
      </c>
      <c r="AI1846">
        <v>91.685177067233496</v>
      </c>
      <c r="AJ1846">
        <v>86.759066790528607</v>
      </c>
      <c r="AK1846">
        <v>38.103703279755202</v>
      </c>
      <c r="AL1846">
        <v>95.574277616715406</v>
      </c>
      <c r="AM1846">
        <v>88.262330975709503</v>
      </c>
      <c r="AN1846">
        <v>0.99999997660002304</v>
      </c>
    </row>
    <row r="1847" spans="1:40" x14ac:dyDescent="0.25">
      <c r="A1847" t="str">
        <f>"20190303154131664"</f>
        <v>20190303154131664</v>
      </c>
      <c r="B1847" t="str">
        <f>"1551598891660753"</f>
        <v>1551598891660753</v>
      </c>
      <c r="C1847" t="s">
        <v>40</v>
      </c>
      <c r="D1847">
        <v>5.8679999999999897</v>
      </c>
      <c r="E1847">
        <v>0.50999220000000001</v>
      </c>
      <c r="F1847" t="s">
        <v>41</v>
      </c>
      <c r="G1847">
        <v>-192.47970000000001</v>
      </c>
      <c r="H1847" s="1">
        <v>-2.5408400000000001E-6</v>
      </c>
      <c r="I1847">
        <v>313.57100000000003</v>
      </c>
      <c r="J1847">
        <v>-191.4836</v>
      </c>
      <c r="K1847">
        <v>1.1205449999999999</v>
      </c>
      <c r="L1847">
        <v>346.10539999999997</v>
      </c>
      <c r="M1847">
        <v>2.4376910000000002E-2</v>
      </c>
      <c r="N1847">
        <v>-7.1931679999999998E-3</v>
      </c>
      <c r="O1847">
        <v>-0.99967700000000004</v>
      </c>
      <c r="P1847">
        <v>-3.9445900000000004E-3</v>
      </c>
      <c r="Q1847">
        <v>-0.1059606</v>
      </c>
      <c r="R1847">
        <v>-0.99436259999999999</v>
      </c>
      <c r="S1847">
        <v>-9.1094969999999997E-2</v>
      </c>
      <c r="T1847">
        <v>-0.10291889999999899</v>
      </c>
      <c r="U1847">
        <v>-3.0050659999999998</v>
      </c>
      <c r="V1847">
        <v>2.821823E-2</v>
      </c>
      <c r="W1847">
        <v>-9.8798129999999998E-2</v>
      </c>
      <c r="X1847">
        <v>0.99470729999999996</v>
      </c>
      <c r="Y1847">
        <v>5.4638039999999999E-2</v>
      </c>
      <c r="Z1847">
        <v>2.6987230000000001E-2</v>
      </c>
      <c r="AA1847">
        <v>0.99814150000000001</v>
      </c>
      <c r="AB1847">
        <v>19</v>
      </c>
      <c r="AC1847">
        <v>-0.99610000000001198</v>
      </c>
      <c r="AD1847">
        <v>-1.1205475408399901</v>
      </c>
      <c r="AE1847">
        <v>-32.534399999999998</v>
      </c>
      <c r="AF1847">
        <v>1.7867950158914501</v>
      </c>
      <c r="AG1847">
        <v>-1.1205475408399901</v>
      </c>
      <c r="AH1847">
        <v>32.461977231506999</v>
      </c>
      <c r="AI1847">
        <v>91.974009188178101</v>
      </c>
      <c r="AJ1847">
        <v>86.849464505396398</v>
      </c>
      <c r="AK1847">
        <v>32.530420055679798</v>
      </c>
      <c r="AL1847">
        <v>95.669965805464798</v>
      </c>
      <c r="AM1847">
        <v>88.375047631607302</v>
      </c>
      <c r="AN1847">
        <v>0.99999997583455902</v>
      </c>
    </row>
    <row r="1848" spans="1:40" x14ac:dyDescent="0.25">
      <c r="A1848" t="str">
        <f>"20190303154131687"</f>
        <v>20190303154131687</v>
      </c>
      <c r="B1848" t="str">
        <f>"1551598891681247"</f>
        <v>1551598891681247</v>
      </c>
      <c r="C1848" t="s">
        <v>40</v>
      </c>
      <c r="D1848">
        <v>5.9232120000000004</v>
      </c>
      <c r="E1848">
        <v>0.50996430000000004</v>
      </c>
      <c r="F1848" t="s">
        <v>41</v>
      </c>
      <c r="G1848">
        <v>-192.33680000000001</v>
      </c>
      <c r="H1848" s="1">
        <v>-3.7789080000000002E-6</v>
      </c>
      <c r="I1848">
        <v>316.27050000000003</v>
      </c>
      <c r="J1848">
        <v>-191.47909999999999</v>
      </c>
      <c r="K1848">
        <v>1.120544</v>
      </c>
      <c r="L1848">
        <v>345.91239999999999</v>
      </c>
      <c r="M1848">
        <v>2.4242550000000002E-2</v>
      </c>
      <c r="N1848">
        <v>-7.7171030000000003E-3</v>
      </c>
      <c r="O1848">
        <v>-0.99967649999999997</v>
      </c>
      <c r="P1848">
        <v>-2.0321100000000002E-3</v>
      </c>
      <c r="Q1848">
        <v>-0.106213</v>
      </c>
      <c r="R1848">
        <v>-0.99434149999999999</v>
      </c>
      <c r="S1848">
        <v>-8.5922239999999997E-2</v>
      </c>
      <c r="T1848">
        <v>-0.11284909999999999</v>
      </c>
      <c r="U1848">
        <v>-3.0046390000000001</v>
      </c>
      <c r="V1848">
        <v>2.6154719999999999E-2</v>
      </c>
      <c r="W1848">
        <v>-9.853452E-2</v>
      </c>
      <c r="X1848">
        <v>0.99478979999999995</v>
      </c>
      <c r="Y1848">
        <v>5.278791E-2</v>
      </c>
      <c r="Z1848">
        <v>2.9766029999999999E-2</v>
      </c>
      <c r="AA1848">
        <v>0.99816199999999999</v>
      </c>
      <c r="AB1848">
        <v>19</v>
      </c>
      <c r="AC1848">
        <v>-0.857700000000022</v>
      </c>
      <c r="AD1848">
        <v>-1.1205477789080001</v>
      </c>
      <c r="AE1848">
        <v>-29.6418999999999</v>
      </c>
      <c r="AF1848">
        <v>1.57381723589334</v>
      </c>
      <c r="AG1848">
        <v>-1.1205477789080001</v>
      </c>
      <c r="AH1848">
        <v>29.5701724362888</v>
      </c>
      <c r="AI1848">
        <v>92.167093974868394</v>
      </c>
      <c r="AJ1848">
        <v>86.953413597244705</v>
      </c>
      <c r="AK1848">
        <v>29.633218285037199</v>
      </c>
      <c r="AL1848">
        <v>95.654788245281793</v>
      </c>
      <c r="AM1848">
        <v>88.493943223434798</v>
      </c>
      <c r="AN1848">
        <v>0.99999993359697203</v>
      </c>
    </row>
    <row r="1849" spans="1:40" x14ac:dyDescent="0.25">
      <c r="A1849" t="str">
        <f>"20190303154131710"</f>
        <v>20190303154131710</v>
      </c>
      <c r="B1849" t="str">
        <f>"1551598891700768"</f>
        <v>1551598891700768</v>
      </c>
      <c r="C1849" t="s">
        <v>40</v>
      </c>
      <c r="D1849">
        <v>5.8322900000000004</v>
      </c>
      <c r="E1849">
        <v>0.50982550000000004</v>
      </c>
      <c r="F1849" t="s">
        <v>41</v>
      </c>
      <c r="G1849">
        <v>-192.2465</v>
      </c>
      <c r="H1849" s="1">
        <v>-4.0418239999999998E-6</v>
      </c>
      <c r="I1849">
        <v>316.8775</v>
      </c>
      <c r="J1849">
        <v>-191.47450000000001</v>
      </c>
      <c r="K1849">
        <v>1.1205620000000001</v>
      </c>
      <c r="L1849">
        <v>345.7079</v>
      </c>
      <c r="M1849">
        <v>2.4008120000000001E-2</v>
      </c>
      <c r="N1849">
        <v>-8.3435890000000002E-3</v>
      </c>
      <c r="O1849">
        <v>-0.99967689999999998</v>
      </c>
      <c r="P1849">
        <v>-1.0759000000000001E-3</v>
      </c>
      <c r="Q1849">
        <v>-0.1067834</v>
      </c>
      <c r="R1849">
        <v>-0.994282</v>
      </c>
      <c r="S1849">
        <v>-7.9406740000000003E-2</v>
      </c>
      <c r="T1849">
        <v>-0.1159525</v>
      </c>
      <c r="U1849">
        <v>-3.004486</v>
      </c>
      <c r="V1849">
        <v>2.4944899999999999E-2</v>
      </c>
      <c r="W1849">
        <v>-9.848701E-2</v>
      </c>
      <c r="X1849">
        <v>0.99482570000000003</v>
      </c>
      <c r="Y1849">
        <v>5.039122E-2</v>
      </c>
      <c r="Z1849">
        <v>3.0175150000000001E-2</v>
      </c>
      <c r="AA1849">
        <v>0.99827359999999998</v>
      </c>
      <c r="AB1849">
        <v>19</v>
      </c>
      <c r="AC1849">
        <v>-0.77199999999999103</v>
      </c>
      <c r="AD1849">
        <v>-1.120566041824</v>
      </c>
      <c r="AE1849">
        <v>-28.830400000000001</v>
      </c>
      <c r="AF1849">
        <v>1.4617586210926501</v>
      </c>
      <c r="AG1849">
        <v>-1.120566041824</v>
      </c>
      <c r="AH1849">
        <v>28.7601381887599</v>
      </c>
      <c r="AI1849">
        <v>92.228383023919903</v>
      </c>
      <c r="AJ1849">
        <v>87.090396707305302</v>
      </c>
      <c r="AK1849">
        <v>28.819055417501001</v>
      </c>
      <c r="AL1849">
        <v>95.652052121797595</v>
      </c>
      <c r="AM1849">
        <v>88.563629724484699</v>
      </c>
      <c r="AN1849">
        <v>1.0000000562776099</v>
      </c>
    </row>
    <row r="1850" spans="1:40" x14ac:dyDescent="0.25">
      <c r="A1850" t="str">
        <f>"20190303154131732"</f>
        <v>20190303154131732</v>
      </c>
      <c r="B1850" t="str">
        <f>"1551598891721263"</f>
        <v>1551598891721263</v>
      </c>
      <c r="C1850" t="s">
        <v>40</v>
      </c>
      <c r="D1850">
        <v>5.6980449999999996</v>
      </c>
      <c r="E1850">
        <v>0.50957719999999995</v>
      </c>
      <c r="F1850" t="s">
        <v>41</v>
      </c>
      <c r="G1850">
        <v>-192.172</v>
      </c>
      <c r="H1850" s="1">
        <v>-4.4023540000000004E-6</v>
      </c>
      <c r="I1850">
        <v>317.74689999999998</v>
      </c>
      <c r="J1850">
        <v>-191.47040000000001</v>
      </c>
      <c r="K1850">
        <v>1.1205860000000001</v>
      </c>
      <c r="L1850">
        <v>345.5224</v>
      </c>
      <c r="M1850">
        <v>2.3690269999999999E-2</v>
      </c>
      <c r="N1850">
        <v>-8.9553749999999998E-3</v>
      </c>
      <c r="O1850">
        <v>-0.99967910000000004</v>
      </c>
      <c r="P1850">
        <v>-1.7324969999999999E-4</v>
      </c>
      <c r="Q1850">
        <v>-0.105736</v>
      </c>
      <c r="R1850">
        <v>-0.99439420000000001</v>
      </c>
      <c r="S1850">
        <v>-7.4935909999999994E-2</v>
      </c>
      <c r="T1850">
        <v>-0.120397699999999</v>
      </c>
      <c r="U1850">
        <v>-3.0042420000000001</v>
      </c>
      <c r="V1850">
        <v>2.3711840000000001E-2</v>
      </c>
      <c r="W1850">
        <v>-9.683398E-2</v>
      </c>
      <c r="X1850">
        <v>0.99501810000000002</v>
      </c>
      <c r="Y1850">
        <v>4.8589769999999997E-2</v>
      </c>
      <c r="Z1850">
        <v>3.104459E-2</v>
      </c>
      <c r="AA1850">
        <v>0.99833629999999995</v>
      </c>
      <c r="AB1850">
        <v>19</v>
      </c>
      <c r="AC1850">
        <v>-0.70159999999998401</v>
      </c>
      <c r="AD1850">
        <v>-1.1205904023540001</v>
      </c>
      <c r="AE1850">
        <v>-27.775500000000001</v>
      </c>
      <c r="AF1850">
        <v>1.35723091374227</v>
      </c>
      <c r="AG1850">
        <v>-1.1205904023540001</v>
      </c>
      <c r="AH1850">
        <v>27.7060144362686</v>
      </c>
      <c r="AI1850">
        <v>92.313337121514294</v>
      </c>
      <c r="AJ1850">
        <v>87.195501023188299</v>
      </c>
      <c r="AK1850">
        <v>27.761862951642701</v>
      </c>
      <c r="AL1850">
        <v>95.556885619121203</v>
      </c>
      <c r="AM1850">
        <v>88.634867782531899</v>
      </c>
      <c r="AN1850">
        <v>1.0000000451832101</v>
      </c>
    </row>
    <row r="1851" spans="1:40" x14ac:dyDescent="0.25">
      <c r="A1851" t="str">
        <f>"20190303154131754"</f>
        <v>20190303154131754</v>
      </c>
      <c r="B1851" t="str">
        <f>"1551598891740783"</f>
        <v>1551598891740783</v>
      </c>
      <c r="C1851" t="s">
        <v>40</v>
      </c>
      <c r="D1851">
        <v>5.8402139999999996</v>
      </c>
      <c r="E1851">
        <v>0.50946009999999997</v>
      </c>
      <c r="F1851" t="s">
        <v>41</v>
      </c>
      <c r="G1851">
        <v>-192.12180000000001</v>
      </c>
      <c r="H1851" s="1">
        <v>-4.4141419999999997E-6</v>
      </c>
      <c r="I1851">
        <v>317.80070000000001</v>
      </c>
      <c r="J1851">
        <v>-191.4665</v>
      </c>
      <c r="K1851">
        <v>1.120592</v>
      </c>
      <c r="L1851">
        <v>345.33769999999998</v>
      </c>
      <c r="M1851">
        <v>2.3264150000000001E-2</v>
      </c>
      <c r="N1851">
        <v>-9.5561569999999992E-3</v>
      </c>
      <c r="O1851">
        <v>-0.99968400000000002</v>
      </c>
      <c r="P1851">
        <v>-2.5060529999999998E-4</v>
      </c>
      <c r="Q1851">
        <v>-0.1057597</v>
      </c>
      <c r="R1851">
        <v>-0.99439200000000005</v>
      </c>
      <c r="S1851">
        <v>-7.0587159999999996E-2</v>
      </c>
      <c r="T1851">
        <v>-0.1214315</v>
      </c>
      <c r="U1851">
        <v>-3.0040279999999999</v>
      </c>
      <c r="V1851">
        <v>2.3348020000000001E-2</v>
      </c>
      <c r="W1851">
        <v>-9.6263959999999996E-2</v>
      </c>
      <c r="X1851">
        <v>0.99508200000000002</v>
      </c>
      <c r="Y1851">
        <v>4.6721140000000001E-2</v>
      </c>
      <c r="Z1851">
        <v>3.079308E-2</v>
      </c>
      <c r="AA1851">
        <v>0.99843320000000002</v>
      </c>
      <c r="AB1851">
        <v>19</v>
      </c>
      <c r="AC1851">
        <v>-0.65530000000001098</v>
      </c>
      <c r="AD1851">
        <v>-1.120596414142</v>
      </c>
      <c r="AE1851">
        <v>-27.5369999999999</v>
      </c>
      <c r="AF1851">
        <v>1.29363550329642</v>
      </c>
      <c r="AG1851">
        <v>-1.120596414142</v>
      </c>
      <c r="AH1851">
        <v>27.4688376698778</v>
      </c>
      <c r="AI1851">
        <v>92.333513299411806</v>
      </c>
      <c r="AJ1851">
        <v>87.303667112275406</v>
      </c>
      <c r="AK1851">
        <v>27.522105153364901</v>
      </c>
      <c r="AL1851">
        <v>95.5240726505601</v>
      </c>
      <c r="AM1851">
        <v>88.655892080205803</v>
      </c>
      <c r="AN1851">
        <v>1.0000000333784</v>
      </c>
    </row>
    <row r="1852" spans="1:40" x14ac:dyDescent="0.25">
      <c r="A1852" t="str">
        <f>"20190303154131777"</f>
        <v>20190303154131777</v>
      </c>
      <c r="B1852" t="str">
        <f>"1551598891771040"</f>
        <v>1551598891771040</v>
      </c>
      <c r="C1852" t="s">
        <v>40</v>
      </c>
      <c r="D1852">
        <v>5.8700169999999998</v>
      </c>
      <c r="E1852">
        <v>0.50931599999999999</v>
      </c>
      <c r="F1852" t="s">
        <v>41</v>
      </c>
      <c r="G1852">
        <v>-192.09909999999999</v>
      </c>
      <c r="H1852" s="1">
        <v>-4.571347E-6</v>
      </c>
      <c r="I1852">
        <v>318.22059999999999</v>
      </c>
      <c r="J1852">
        <v>-191.46250000000001</v>
      </c>
      <c r="K1852">
        <v>1.120568</v>
      </c>
      <c r="L1852">
        <v>345.14069999999998</v>
      </c>
      <c r="M1852">
        <v>2.2688690000000001E-2</v>
      </c>
      <c r="N1852">
        <v>-1.0143950000000001E-2</v>
      </c>
      <c r="O1852">
        <v>-0.9996912</v>
      </c>
      <c r="P1852">
        <v>-6.7461050000000003E-4</v>
      </c>
      <c r="Q1852">
        <v>-0.10666390000000001</v>
      </c>
      <c r="R1852">
        <v>-0.99429529999999999</v>
      </c>
      <c r="S1852">
        <v>-7.0068359999999996E-2</v>
      </c>
      <c r="T1852">
        <v>-0.1241244</v>
      </c>
      <c r="U1852">
        <v>-3.0036619999999998</v>
      </c>
      <c r="V1852">
        <v>2.3178170000000001E-2</v>
      </c>
      <c r="W1852">
        <v>-9.6588660000000007E-2</v>
      </c>
      <c r="X1852">
        <v>0.99505449999999995</v>
      </c>
      <c r="Y1852">
        <v>4.597569E-2</v>
      </c>
      <c r="Z1852">
        <v>3.110564E-2</v>
      </c>
      <c r="AA1852">
        <v>0.99845810000000002</v>
      </c>
      <c r="AB1852">
        <v>19</v>
      </c>
      <c r="AC1852">
        <v>-0.63659999999998695</v>
      </c>
      <c r="AD1852">
        <v>-1.1205725713470001</v>
      </c>
      <c r="AE1852">
        <v>-26.920099999999898</v>
      </c>
      <c r="AF1852">
        <v>1.24509310368431</v>
      </c>
      <c r="AG1852">
        <v>-1.1205725713470001</v>
      </c>
      <c r="AH1852">
        <v>26.852223920816801</v>
      </c>
      <c r="AI1852">
        <v>92.387067029301505</v>
      </c>
      <c r="AJ1852">
        <v>87.345191241056</v>
      </c>
      <c r="AK1852">
        <v>26.904420997638699</v>
      </c>
      <c r="AL1852">
        <v>95.542763720809205</v>
      </c>
      <c r="AM1852">
        <v>88.665629660038505</v>
      </c>
      <c r="AN1852">
        <v>1.0000000273876899</v>
      </c>
    </row>
    <row r="1853" spans="1:40" x14ac:dyDescent="0.25">
      <c r="A1853" t="str">
        <f>"20190303154131799"</f>
        <v>20190303154131799</v>
      </c>
      <c r="B1853" t="str">
        <f>"1551598891791536"</f>
        <v>1551598891791536</v>
      </c>
      <c r="C1853" t="s">
        <v>40</v>
      </c>
      <c r="D1853">
        <v>5.8203459999999998</v>
      </c>
      <c r="E1853">
        <v>0.50921309999999997</v>
      </c>
      <c r="F1853" t="s">
        <v>41</v>
      </c>
      <c r="G1853">
        <v>-192.06890000000001</v>
      </c>
      <c r="H1853" s="1">
        <v>-4.9243550000000001E-6</v>
      </c>
      <c r="I1853">
        <v>319.15370000000001</v>
      </c>
      <c r="J1853">
        <v>-191.4589</v>
      </c>
      <c r="K1853">
        <v>1.12053</v>
      </c>
      <c r="L1853">
        <v>344.95479999999998</v>
      </c>
      <c r="M1853">
        <v>2.204559E-2</v>
      </c>
      <c r="N1853">
        <v>-1.063685E-2</v>
      </c>
      <c r="O1853">
        <v>-0.99970049999999999</v>
      </c>
      <c r="P1853">
        <v>-1.5603349999999999E-3</v>
      </c>
      <c r="Q1853">
        <v>-0.10820059999999999</v>
      </c>
      <c r="R1853">
        <v>-0.99412820000000002</v>
      </c>
      <c r="S1853">
        <v>-7.0083619999999999E-2</v>
      </c>
      <c r="T1853">
        <v>-0.12950159999999999</v>
      </c>
      <c r="U1853">
        <v>-3.0032350000000001</v>
      </c>
      <c r="V1853">
        <v>2.3401959999999999E-2</v>
      </c>
      <c r="W1853">
        <v>-9.7641130000000007E-2</v>
      </c>
      <c r="X1853">
        <v>0.99494649999999996</v>
      </c>
      <c r="Y1853">
        <v>4.533964E-2</v>
      </c>
      <c r="Z1853">
        <v>3.2404820000000001E-2</v>
      </c>
      <c r="AA1853">
        <v>0.9984459</v>
      </c>
      <c r="AB1853">
        <v>19</v>
      </c>
      <c r="AC1853">
        <v>-0.61000000000001298</v>
      </c>
      <c r="AD1853">
        <v>-1.120534924355</v>
      </c>
      <c r="AE1853">
        <v>-25.801099999999899</v>
      </c>
      <c r="AF1853">
        <v>1.1764665738933999</v>
      </c>
      <c r="AG1853">
        <v>-1.120534924355</v>
      </c>
      <c r="AH1853">
        <v>25.732871458765601</v>
      </c>
      <c r="AI1853">
        <v>92.490764554491406</v>
      </c>
      <c r="AJ1853">
        <v>87.382349478788896</v>
      </c>
      <c r="AK1853">
        <v>25.7841103323256</v>
      </c>
      <c r="AL1853">
        <v>95.603352412668798</v>
      </c>
      <c r="AM1853">
        <v>88.652604577561803</v>
      </c>
      <c r="AN1853">
        <v>0.99999998993088401</v>
      </c>
    </row>
    <row r="1854" spans="1:40" x14ac:dyDescent="0.25">
      <c r="A1854" t="str">
        <f>"20190303154131825"</f>
        <v>20190303154131825</v>
      </c>
      <c r="B1854" t="str">
        <f>"1551598891820815"</f>
        <v>1551598891820815</v>
      </c>
      <c r="C1854" t="s">
        <v>40</v>
      </c>
      <c r="D1854">
        <v>5.8480480000000004</v>
      </c>
      <c r="E1854">
        <v>0.50893500000000003</v>
      </c>
      <c r="F1854" t="s">
        <v>41</v>
      </c>
      <c r="G1854">
        <v>-192.05019999999999</v>
      </c>
      <c r="H1854" s="1">
        <v>-8.5354609999999905E-7</v>
      </c>
      <c r="I1854">
        <v>320.30720000000002</v>
      </c>
      <c r="J1854">
        <v>-191.45509999999999</v>
      </c>
      <c r="K1854">
        <v>1.1204889999999901</v>
      </c>
      <c r="L1854">
        <v>344.74329999999998</v>
      </c>
      <c r="M1854">
        <v>2.123483E-2</v>
      </c>
      <c r="N1854">
        <v>-1.113511E-2</v>
      </c>
      <c r="O1854">
        <v>-0.99971259999999995</v>
      </c>
      <c r="P1854">
        <v>-2.6302080000000002E-3</v>
      </c>
      <c r="Q1854">
        <v>-0.1087431</v>
      </c>
      <c r="R1854">
        <v>-0.99406640000000002</v>
      </c>
      <c r="S1854">
        <v>-7.2036740000000002E-2</v>
      </c>
      <c r="T1854">
        <v>-0.1365094</v>
      </c>
      <c r="U1854">
        <v>-3.0027159999999999</v>
      </c>
      <c r="V1854">
        <v>2.3646810000000001E-2</v>
      </c>
      <c r="W1854">
        <v>-9.7693000000000002E-2</v>
      </c>
      <c r="X1854">
        <v>0.99493560000000003</v>
      </c>
      <c r="Y1854">
        <v>4.5179950000000003E-2</v>
      </c>
      <c r="Z1854">
        <v>3.4240739999999999E-2</v>
      </c>
      <c r="AA1854">
        <v>0.9983919</v>
      </c>
      <c r="AB1854">
        <v>19</v>
      </c>
      <c r="AC1854">
        <v>-0.59510000000000196</v>
      </c>
      <c r="AD1854">
        <v>-1.1204898535461001</v>
      </c>
      <c r="AE1854">
        <v>-24.4360999999999</v>
      </c>
      <c r="AF1854">
        <v>1.111558596381</v>
      </c>
      <c r="AG1854">
        <v>-1.1204898535461001</v>
      </c>
      <c r="AH1854">
        <v>24.366749110529099</v>
      </c>
      <c r="AI1854">
        <v>92.630124809974106</v>
      </c>
      <c r="AJ1854">
        <v>87.388100754620098</v>
      </c>
      <c r="AK1854">
        <v>24.417811577628299</v>
      </c>
      <c r="AL1854">
        <v>95.606338727834995</v>
      </c>
      <c r="AM1854">
        <v>88.638497418914199</v>
      </c>
      <c r="AN1854">
        <v>0.99999997100976701</v>
      </c>
    </row>
    <row r="1855" spans="1:40" x14ac:dyDescent="0.25">
      <c r="A1855" t="str">
        <f>"20190303154131846"</f>
        <v>20190303154131846</v>
      </c>
      <c r="B1855" t="str">
        <f>"1551598891841311"</f>
        <v>1551598891841311</v>
      </c>
      <c r="C1855" t="s">
        <v>40</v>
      </c>
      <c r="D1855">
        <v>5.904471</v>
      </c>
      <c r="E1855">
        <v>0.5088743</v>
      </c>
      <c r="F1855" t="s">
        <v>41</v>
      </c>
      <c r="G1855">
        <v>-192.03229999999999</v>
      </c>
      <c r="H1855" s="1">
        <v>-1.2143110000000001E-6</v>
      </c>
      <c r="I1855">
        <v>321.1592</v>
      </c>
      <c r="J1855">
        <v>-191.4521</v>
      </c>
      <c r="K1855">
        <v>1.120463</v>
      </c>
      <c r="L1855">
        <v>344.56259999999997</v>
      </c>
      <c r="M1855">
        <v>2.049496E-2</v>
      </c>
      <c r="N1855">
        <v>-1.151538E-2</v>
      </c>
      <c r="O1855">
        <v>-0.99972369999999999</v>
      </c>
      <c r="P1855">
        <v>-3.5501970000000002E-3</v>
      </c>
      <c r="Q1855">
        <v>-0.10903409999999999</v>
      </c>
      <c r="R1855">
        <v>-0.99403189999999997</v>
      </c>
      <c r="S1855">
        <v>-7.3471069999999999E-2</v>
      </c>
      <c r="T1855">
        <v>-0.1426299</v>
      </c>
      <c r="U1855">
        <v>-3.002075</v>
      </c>
      <c r="V1855">
        <v>2.381964E-2</v>
      </c>
      <c r="W1855">
        <v>-9.7608890000000004E-2</v>
      </c>
      <c r="X1855">
        <v>0.99493969999999998</v>
      </c>
      <c r="Y1855">
        <v>4.4920090000000003E-2</v>
      </c>
      <c r="Z1855">
        <v>3.5902469999999999E-2</v>
      </c>
      <c r="AA1855">
        <v>0.99834529999999999</v>
      </c>
      <c r="AB1855">
        <v>19</v>
      </c>
      <c r="AC1855">
        <v>-0.58019999999998995</v>
      </c>
      <c r="AD1855">
        <v>-1.120464214311</v>
      </c>
      <c r="AE1855">
        <v>-23.403399999999898</v>
      </c>
      <c r="AF1855">
        <v>1.0573395741032801</v>
      </c>
      <c r="AG1855">
        <v>-1.120464214311</v>
      </c>
      <c r="AH1855">
        <v>23.333142047474201</v>
      </c>
      <c r="AI1855">
        <v>92.746433902128999</v>
      </c>
      <c r="AJ1855">
        <v>87.405421035732999</v>
      </c>
      <c r="AK1855">
        <v>23.3839458782757</v>
      </c>
      <c r="AL1855">
        <v>95.601496618904903</v>
      </c>
      <c r="AM1855">
        <v>88.628555893703606</v>
      </c>
      <c r="AN1855">
        <v>0.999999938646423</v>
      </c>
    </row>
    <row r="1856" spans="1:40" x14ac:dyDescent="0.25">
      <c r="A1856" t="str">
        <f>"20190303154131865"</f>
        <v>20190303154131865</v>
      </c>
      <c r="B1856" t="str">
        <f>"1551598891860832"</f>
        <v>1551598891860832</v>
      </c>
      <c r="C1856" t="s">
        <v>40</v>
      </c>
      <c r="D1856">
        <v>5.8892160000000002</v>
      </c>
      <c r="E1856">
        <v>0.50879410000000003</v>
      </c>
      <c r="F1856" t="s">
        <v>41</v>
      </c>
      <c r="G1856">
        <v>-192.03540000000001</v>
      </c>
      <c r="H1856" s="1">
        <v>-1.3566770000000001E-6</v>
      </c>
      <c r="I1856">
        <v>321.48919999999998</v>
      </c>
      <c r="J1856">
        <v>-191.4495</v>
      </c>
      <c r="K1856">
        <v>1.1204540000000001</v>
      </c>
      <c r="L1856">
        <v>344.39600000000002</v>
      </c>
      <c r="M1856">
        <v>1.9784619999999999E-2</v>
      </c>
      <c r="N1856">
        <v>-1.182837E-2</v>
      </c>
      <c r="O1856">
        <v>-0.99973449999999997</v>
      </c>
      <c r="P1856">
        <v>-3.9368220000000004E-3</v>
      </c>
      <c r="Q1856">
        <v>-0.1096255</v>
      </c>
      <c r="R1856">
        <v>-0.9939654</v>
      </c>
      <c r="S1856">
        <v>-7.5881959999999998E-2</v>
      </c>
      <c r="T1856">
        <v>-0.14576839999999999</v>
      </c>
      <c r="U1856">
        <v>-3.00177</v>
      </c>
      <c r="V1856">
        <v>2.3492519999999999E-2</v>
      </c>
      <c r="W1856">
        <v>-9.7890569999999996E-2</v>
      </c>
      <c r="X1856">
        <v>0.99491980000000002</v>
      </c>
      <c r="Y1856">
        <v>4.5012690000000001E-2</v>
      </c>
      <c r="Z1856">
        <v>3.663632E-2</v>
      </c>
      <c r="AA1856">
        <v>0.99831440000000005</v>
      </c>
      <c r="AB1856">
        <v>19</v>
      </c>
      <c r="AC1856">
        <v>-0.58590000000000897</v>
      </c>
      <c r="AD1856">
        <v>-1.1204553566769999</v>
      </c>
      <c r="AE1856">
        <v>-22.906799999999901</v>
      </c>
      <c r="AF1856">
        <v>1.03654089996649</v>
      </c>
      <c r="AG1856">
        <v>-1.1204553566769999</v>
      </c>
      <c r="AH1856">
        <v>22.836122351171401</v>
      </c>
      <c r="AI1856">
        <v>92.806082768740893</v>
      </c>
      <c r="AJ1856">
        <v>87.401105063468805</v>
      </c>
      <c r="AK1856">
        <v>22.887077604650099</v>
      </c>
      <c r="AL1856">
        <v>95.617713375431094</v>
      </c>
      <c r="AM1856">
        <v>88.647356126614099</v>
      </c>
      <c r="AN1856">
        <v>0.99999993531145503</v>
      </c>
    </row>
    <row r="1857" spans="1:40" x14ac:dyDescent="0.25">
      <c r="A1857" t="str">
        <f>"20190303154131888"</f>
        <v>20190303154131888</v>
      </c>
      <c r="B1857" t="str">
        <f>"1551598891881328"</f>
        <v>1551598891881328</v>
      </c>
      <c r="C1857" t="s">
        <v>40</v>
      </c>
      <c r="D1857">
        <v>5.8540789999999996</v>
      </c>
      <c r="E1857">
        <v>0.50872329999999999</v>
      </c>
      <c r="F1857" t="s">
        <v>41</v>
      </c>
      <c r="G1857">
        <v>-192.02170000000001</v>
      </c>
      <c r="H1857" s="1">
        <v>-1.5361129999999999E-6</v>
      </c>
      <c r="I1857">
        <v>321.91590000000002</v>
      </c>
      <c r="J1857">
        <v>-191.44669999999999</v>
      </c>
      <c r="K1857">
        <v>1.120457</v>
      </c>
      <c r="L1857">
        <v>344.20549999999997</v>
      </c>
      <c r="M1857">
        <v>1.895237E-2</v>
      </c>
      <c r="N1857">
        <v>-1.2143660000000001E-2</v>
      </c>
      <c r="O1857">
        <v>-0.99974689999999999</v>
      </c>
      <c r="P1857">
        <v>-3.2245490000000002E-3</v>
      </c>
      <c r="Q1857">
        <v>-0.1091782</v>
      </c>
      <c r="R1857">
        <v>-0.99401709999999999</v>
      </c>
      <c r="S1857">
        <v>-7.6400759999999998E-2</v>
      </c>
      <c r="T1857">
        <v>-0.14959649999999999</v>
      </c>
      <c r="U1857">
        <v>-3.001404</v>
      </c>
      <c r="V1857">
        <v>2.1952719999999998E-2</v>
      </c>
      <c r="W1857">
        <v>-9.7127329999999998E-2</v>
      </c>
      <c r="X1857">
        <v>0.99502979999999996</v>
      </c>
      <c r="Y1857">
        <v>4.435513E-2</v>
      </c>
      <c r="Z1857">
        <v>3.7599220000000003E-2</v>
      </c>
      <c r="AA1857">
        <v>0.99830799999999997</v>
      </c>
      <c r="AB1857">
        <v>19</v>
      </c>
      <c r="AC1857">
        <v>-0.57500000000001705</v>
      </c>
      <c r="AD1857">
        <v>-1.1204585361129999</v>
      </c>
      <c r="AE1857">
        <v>-22.289599999999901</v>
      </c>
      <c r="AF1857">
        <v>0.99485627045802405</v>
      </c>
      <c r="AG1857">
        <v>-1.1204585361129999</v>
      </c>
      <c r="AH1857">
        <v>22.218590824893301</v>
      </c>
      <c r="AI1857">
        <v>92.884031410478698</v>
      </c>
      <c r="AJ1857">
        <v>87.436245243562894</v>
      </c>
      <c r="AK1857">
        <v>22.269058008233099</v>
      </c>
      <c r="AL1857">
        <v>95.5737733495464</v>
      </c>
      <c r="AM1857">
        <v>88.736124096645995</v>
      </c>
      <c r="AN1857">
        <v>0.99999997151818298</v>
      </c>
    </row>
    <row r="1858" spans="1:40" x14ac:dyDescent="0.25">
      <c r="A1858" t="str">
        <f>"20190303154131910"</f>
        <v>20190303154131910</v>
      </c>
      <c r="B1858" t="str">
        <f>"1551598891900848"</f>
        <v>1551598891900848</v>
      </c>
      <c r="C1858" t="s">
        <v>40</v>
      </c>
      <c r="D1858">
        <v>5.8703440000000002</v>
      </c>
      <c r="E1858">
        <v>0.50871120000000003</v>
      </c>
      <c r="F1858" t="s">
        <v>41</v>
      </c>
      <c r="G1858">
        <v>-191.99870000000001</v>
      </c>
      <c r="H1858" s="1">
        <v>-1.4819829999999999E-6</v>
      </c>
      <c r="I1858">
        <v>321.80399999999997</v>
      </c>
      <c r="J1858">
        <v>-191.44409999999999</v>
      </c>
      <c r="K1858">
        <v>1.120479</v>
      </c>
      <c r="L1858">
        <v>344.02050000000003</v>
      </c>
      <c r="M1858">
        <v>1.813975E-2</v>
      </c>
      <c r="N1858">
        <v>-1.241036E-2</v>
      </c>
      <c r="O1858">
        <v>-0.99975849999999999</v>
      </c>
      <c r="P1858">
        <v>-3.0623180000000001E-3</v>
      </c>
      <c r="Q1858">
        <v>-0.1090961</v>
      </c>
      <c r="R1858">
        <v>-0.99402670000000004</v>
      </c>
      <c r="S1858">
        <v>-7.3959349999999993E-2</v>
      </c>
      <c r="T1858">
        <v>-0.15012029999999901</v>
      </c>
      <c r="U1858">
        <v>-3.0013730000000001</v>
      </c>
      <c r="V1858">
        <v>2.0984550000000001E-2</v>
      </c>
      <c r="W1858">
        <v>-9.6778149999999993E-2</v>
      </c>
      <c r="X1858">
        <v>0.99508479999999999</v>
      </c>
      <c r="Y1858">
        <v>4.2732039999999999E-2</v>
      </c>
      <c r="Z1858">
        <v>3.7510559999999998E-2</v>
      </c>
      <c r="AA1858">
        <v>0.9983822</v>
      </c>
      <c r="AB1858">
        <v>19</v>
      </c>
      <c r="AC1858">
        <v>-0.55460000000002196</v>
      </c>
      <c r="AD1858">
        <v>-1.1204804819830001</v>
      </c>
      <c r="AE1858">
        <v>-22.2165</v>
      </c>
      <c r="AF1858">
        <v>0.95511354011693905</v>
      </c>
      <c r="AG1858">
        <v>-1.1204804819830001</v>
      </c>
      <c r="AH1858">
        <v>22.146485063688399</v>
      </c>
      <c r="AI1858">
        <v>92.893670968817801</v>
      </c>
      <c r="AJ1858">
        <v>87.530529807508401</v>
      </c>
      <c r="AK1858">
        <v>22.1953715684418</v>
      </c>
      <c r="AL1858">
        <v>95.5536716160628</v>
      </c>
      <c r="AM1858">
        <v>88.791914048147007</v>
      </c>
      <c r="AN1858">
        <v>1.0000000604235799</v>
      </c>
    </row>
    <row r="1859" spans="1:40" x14ac:dyDescent="0.25">
      <c r="A1859" t="str">
        <f>"20190303154131934"</f>
        <v>20190303154131934</v>
      </c>
      <c r="B1859" t="str">
        <f>"1551598891921343"</f>
        <v>1551598891921343</v>
      </c>
      <c r="C1859" t="s">
        <v>40</v>
      </c>
      <c r="D1859">
        <v>5.9027560000000001</v>
      </c>
      <c r="E1859">
        <v>0.50865830000000001</v>
      </c>
      <c r="F1859" t="s">
        <v>41</v>
      </c>
      <c r="G1859">
        <v>-191.98740000000001</v>
      </c>
      <c r="H1859" s="1">
        <v>-1.5434379999999999E-6</v>
      </c>
      <c r="I1859">
        <v>321.95429999999999</v>
      </c>
      <c r="J1859">
        <v>-191.44149999999999</v>
      </c>
      <c r="K1859">
        <v>1.120509</v>
      </c>
      <c r="L1859">
        <v>343.82119999999998</v>
      </c>
      <c r="M1859">
        <v>1.7275390000000002E-2</v>
      </c>
      <c r="N1859">
        <v>-1.266078E-2</v>
      </c>
      <c r="O1859">
        <v>-0.99977059999999995</v>
      </c>
      <c r="P1859">
        <v>-3.2899019999999999E-3</v>
      </c>
      <c r="Q1859">
        <v>-0.1084432</v>
      </c>
      <c r="R1859">
        <v>-0.99409729999999996</v>
      </c>
      <c r="S1859">
        <v>-7.388306E-2</v>
      </c>
      <c r="T1859">
        <v>-0.15238860000000001</v>
      </c>
      <c r="U1859">
        <v>-3.0010680000000001</v>
      </c>
      <c r="V1859">
        <v>2.0358500000000002E-2</v>
      </c>
      <c r="W1859">
        <v>-9.5873539999999993E-2</v>
      </c>
      <c r="X1859">
        <v>0.99518530000000005</v>
      </c>
      <c r="Y1859">
        <v>4.1844729999999997E-2</v>
      </c>
      <c r="Z1859">
        <v>3.8020310000000002E-2</v>
      </c>
      <c r="AA1859">
        <v>0.99840039999999997</v>
      </c>
      <c r="AB1859">
        <v>19</v>
      </c>
      <c r="AC1859">
        <v>-0.54590000000001704</v>
      </c>
      <c r="AD1859">
        <v>-1.1205105434379901</v>
      </c>
      <c r="AE1859">
        <v>-21.866899999999902</v>
      </c>
      <c r="AF1859">
        <v>0.92119069745612603</v>
      </c>
      <c r="AG1859">
        <v>-1.1205105434379901</v>
      </c>
      <c r="AH1859">
        <v>21.797006493064298</v>
      </c>
      <c r="AI1859">
        <v>92.940172303826202</v>
      </c>
      <c r="AJ1859">
        <v>87.579991127959005</v>
      </c>
      <c r="AK1859">
        <v>21.845219802916201</v>
      </c>
      <c r="AL1859">
        <v>95.501599511027706</v>
      </c>
      <c r="AM1859">
        <v>88.828064028017096</v>
      </c>
      <c r="AN1859">
        <v>0.99999999276523499</v>
      </c>
    </row>
    <row r="1860" spans="1:40" x14ac:dyDescent="0.25">
      <c r="A1860" t="str">
        <f>"20190303154131954"</f>
        <v>20190303154131954</v>
      </c>
      <c r="B1860" t="str">
        <f>"1551598891951600"</f>
        <v>1551598891951600</v>
      </c>
      <c r="C1860" t="s">
        <v>40</v>
      </c>
      <c r="D1860">
        <v>5.8716689999999998</v>
      </c>
      <c r="E1860">
        <v>0.50860939999999999</v>
      </c>
      <c r="F1860" t="s">
        <v>41</v>
      </c>
      <c r="G1860">
        <v>-191.9922</v>
      </c>
      <c r="H1860" s="1">
        <v>-1.4621219999999999E-6</v>
      </c>
      <c r="I1860">
        <v>321.76179999999999</v>
      </c>
      <c r="J1860">
        <v>-191.43940000000001</v>
      </c>
      <c r="K1860">
        <v>1.120544</v>
      </c>
      <c r="L1860">
        <v>343.64960000000002</v>
      </c>
      <c r="M1860">
        <v>1.6552239999999999E-2</v>
      </c>
      <c r="N1860">
        <v>-1.2847870000000001E-2</v>
      </c>
      <c r="O1860">
        <v>-0.99978060000000002</v>
      </c>
      <c r="P1860">
        <v>-3.752249E-3</v>
      </c>
      <c r="Q1860">
        <v>-0.1081809</v>
      </c>
      <c r="R1860">
        <v>-0.99412420000000001</v>
      </c>
      <c r="S1860">
        <v>-7.4905399999999997E-2</v>
      </c>
      <c r="T1860">
        <v>-0.15243319999999999</v>
      </c>
      <c r="U1860">
        <v>-3.0009459999999999</v>
      </c>
      <c r="V1860">
        <v>2.0106530000000001E-2</v>
      </c>
      <c r="W1860">
        <v>-9.5423640000000004E-2</v>
      </c>
      <c r="X1860">
        <v>0.9952337</v>
      </c>
      <c r="Y1860">
        <v>4.1463010000000002E-2</v>
      </c>
      <c r="Z1860">
        <v>3.7851349999999999E-2</v>
      </c>
      <c r="AA1860">
        <v>0.99842280000000005</v>
      </c>
      <c r="AB1860">
        <v>19</v>
      </c>
      <c r="AC1860">
        <v>-0.55279999999998997</v>
      </c>
      <c r="AD1860">
        <v>-1.1205454621219999</v>
      </c>
      <c r="AE1860">
        <v>-21.887799999999999</v>
      </c>
      <c r="AF1860">
        <v>0.91265574767297697</v>
      </c>
      <c r="AG1860">
        <v>-1.1205454621219999</v>
      </c>
      <c r="AH1860">
        <v>21.818501872051701</v>
      </c>
      <c r="AI1860">
        <v>92.937425391260405</v>
      </c>
      <c r="AJ1860">
        <v>87.604745885221206</v>
      </c>
      <c r="AK1860">
        <v>21.866311682292601</v>
      </c>
      <c r="AL1860">
        <v>95.475703202113905</v>
      </c>
      <c r="AM1860">
        <v>88.842620970085406</v>
      </c>
      <c r="AN1860">
        <v>1.00000003061758</v>
      </c>
    </row>
    <row r="1861" spans="1:40" x14ac:dyDescent="0.25">
      <c r="A1861" t="str">
        <f>"20190303154131977"</f>
        <v>20190303154131977</v>
      </c>
      <c r="B1861" t="str">
        <f>"1551598891971120"</f>
        <v>1551598891971120</v>
      </c>
      <c r="C1861" t="s">
        <v>40</v>
      </c>
      <c r="D1861">
        <v>5.8608919999999998</v>
      </c>
      <c r="E1861">
        <v>0.50857129999999995</v>
      </c>
      <c r="F1861" t="s">
        <v>41</v>
      </c>
      <c r="G1861">
        <v>-191.9982</v>
      </c>
      <c r="H1861" s="1">
        <v>-1.4655950000000001E-6</v>
      </c>
      <c r="I1861">
        <v>321.76609999999999</v>
      </c>
      <c r="J1861">
        <v>-191.43729999999999</v>
      </c>
      <c r="K1861">
        <v>1.1205849999999999</v>
      </c>
      <c r="L1861">
        <v>343.45859999999999</v>
      </c>
      <c r="M1861">
        <v>1.5776800000000001E-2</v>
      </c>
      <c r="N1861">
        <v>-1.302881E-2</v>
      </c>
      <c r="O1861">
        <v>-0.99979079999999998</v>
      </c>
      <c r="P1861">
        <v>-3.9607469999999997E-3</v>
      </c>
      <c r="Q1861">
        <v>-0.10810989999999999</v>
      </c>
      <c r="R1861">
        <v>-0.99413130000000005</v>
      </c>
      <c r="S1861">
        <v>-7.6614379999999996E-2</v>
      </c>
      <c r="T1861">
        <v>-0.15365290000000001</v>
      </c>
      <c r="U1861">
        <v>-3.0007320000000002</v>
      </c>
      <c r="V1861">
        <v>1.9549049999999998E-2</v>
      </c>
      <c r="W1861">
        <v>-9.5170740000000004E-2</v>
      </c>
      <c r="X1861">
        <v>0.99526899999999996</v>
      </c>
      <c r="Y1861">
        <v>4.125761E-2</v>
      </c>
      <c r="Z1861">
        <v>3.8079790000000002E-2</v>
      </c>
      <c r="AA1861">
        <v>0.99842260000000005</v>
      </c>
      <c r="AB1861">
        <v>19</v>
      </c>
      <c r="AC1861">
        <v>-0.56090000000000295</v>
      </c>
      <c r="AD1861">
        <v>-1.120586465595</v>
      </c>
      <c r="AE1861">
        <v>-21.6924999999999</v>
      </c>
      <c r="AF1861">
        <v>0.90069548737733895</v>
      </c>
      <c r="AG1861">
        <v>-1.120586465595</v>
      </c>
      <c r="AH1861">
        <v>21.623285944695301</v>
      </c>
      <c r="AI1861">
        <v>92.964027414253593</v>
      </c>
      <c r="AJ1861">
        <v>87.614782747743504</v>
      </c>
      <c r="AK1861">
        <v>21.671028158209602</v>
      </c>
      <c r="AL1861">
        <v>95.461146971858099</v>
      </c>
      <c r="AM1861">
        <v>88.874742359012501</v>
      </c>
      <c r="AN1861">
        <v>1.00000000873452</v>
      </c>
    </row>
    <row r="1862" spans="1:40" x14ac:dyDescent="0.25">
      <c r="A1862" t="str">
        <f>"20190303154132000"</f>
        <v>20190303154132000</v>
      </c>
      <c r="B1862" t="str">
        <f>"1551598891991616"</f>
        <v>1551598891991616</v>
      </c>
      <c r="C1862" t="s">
        <v>40</v>
      </c>
      <c r="D1862">
        <v>5.8656379999999997</v>
      </c>
      <c r="E1862">
        <v>0.50851029999999997</v>
      </c>
      <c r="F1862" t="s">
        <v>41</v>
      </c>
      <c r="G1862">
        <v>-191.9982</v>
      </c>
      <c r="H1862" s="1">
        <v>-1.4509529999999999E-6</v>
      </c>
      <c r="I1862">
        <v>321.73200000000003</v>
      </c>
      <c r="J1862">
        <v>-191.43520000000001</v>
      </c>
      <c r="K1862">
        <v>1.1206130000000001</v>
      </c>
      <c r="L1862">
        <v>343.26920000000001</v>
      </c>
      <c r="M1862">
        <v>1.503498E-2</v>
      </c>
      <c r="N1862">
        <v>-1.3182910000000001E-2</v>
      </c>
      <c r="O1862">
        <v>-0.99980009999999997</v>
      </c>
      <c r="P1862">
        <v>-4.7049939999999997E-3</v>
      </c>
      <c r="Q1862">
        <v>-0.1082087</v>
      </c>
      <c r="R1862">
        <v>-0.99411719999999903</v>
      </c>
      <c r="S1862">
        <v>-7.7468869999999995E-2</v>
      </c>
      <c r="T1862">
        <v>-0.15476119999999999</v>
      </c>
      <c r="U1862">
        <v>-3.00061</v>
      </c>
      <c r="V1862">
        <v>1.9560359999999999E-2</v>
      </c>
      <c r="W1862">
        <v>-9.5115340000000007E-2</v>
      </c>
      <c r="X1862">
        <v>0.99527410000000005</v>
      </c>
      <c r="Y1862">
        <v>4.0801110000000002E-2</v>
      </c>
      <c r="Z1862">
        <v>3.8296940000000002E-2</v>
      </c>
      <c r="AA1862">
        <v>0.99843309999999996</v>
      </c>
      <c r="AB1862">
        <v>19</v>
      </c>
      <c r="AC1862">
        <v>-0.56299999999998795</v>
      </c>
      <c r="AD1862">
        <v>-1.1206144509529901</v>
      </c>
      <c r="AE1862">
        <v>-21.537199999999899</v>
      </c>
      <c r="AF1862">
        <v>0.88438320927617597</v>
      </c>
      <c r="AG1862">
        <v>-1.1206144509529901</v>
      </c>
      <c r="AH1862">
        <v>21.468218866803898</v>
      </c>
      <c r="AI1862">
        <v>92.985529271603298</v>
      </c>
      <c r="AJ1862">
        <v>87.641034348350104</v>
      </c>
      <c r="AK1862">
        <v>21.515629940151101</v>
      </c>
      <c r="AL1862">
        <v>95.457958177722901</v>
      </c>
      <c r="AM1862">
        <v>88.874097282572393</v>
      </c>
      <c r="AN1862">
        <v>1.0000000348587199</v>
      </c>
    </row>
    <row r="1863" spans="1:40" x14ac:dyDescent="0.25">
      <c r="A1863" t="str">
        <f>"20190303154132025"</f>
        <v>20190303154132025</v>
      </c>
      <c r="B1863" t="str">
        <f>"1551598892020897"</f>
        <v>1551598892020897</v>
      </c>
      <c r="C1863" t="s">
        <v>40</v>
      </c>
      <c r="D1863">
        <v>5.8738130000000002</v>
      </c>
      <c r="E1863">
        <v>0.50841329999999996</v>
      </c>
      <c r="F1863" t="s">
        <v>41</v>
      </c>
      <c r="G1863">
        <v>-192.0042</v>
      </c>
      <c r="H1863" s="1">
        <v>-1.4929299999999999E-6</v>
      </c>
      <c r="I1863">
        <v>321.8261</v>
      </c>
      <c r="J1863">
        <v>-191.4331</v>
      </c>
      <c r="K1863">
        <v>1.120638</v>
      </c>
      <c r="L1863">
        <v>343.0641</v>
      </c>
      <c r="M1863">
        <v>1.425271E-2</v>
      </c>
      <c r="N1863">
        <v>-1.332531E-2</v>
      </c>
      <c r="O1863">
        <v>-0.99980979999999997</v>
      </c>
      <c r="P1863">
        <v>-6.1608359999999899E-3</v>
      </c>
      <c r="Q1863">
        <v>-0.1074359</v>
      </c>
      <c r="R1863">
        <v>-0.99419310000000005</v>
      </c>
      <c r="S1863">
        <v>-7.9605099999999998E-2</v>
      </c>
      <c r="T1863">
        <v>-0.15679589999999999</v>
      </c>
      <c r="U1863">
        <v>-3.000305</v>
      </c>
      <c r="V1863">
        <v>2.0244999999999999E-2</v>
      </c>
      <c r="W1863">
        <v>-9.4199519999999995E-2</v>
      </c>
      <c r="X1863">
        <v>0.99534750000000005</v>
      </c>
      <c r="Y1863">
        <v>4.0731459999999997E-2</v>
      </c>
      <c r="Z1863">
        <v>3.8835700000000001E-2</v>
      </c>
      <c r="AA1863">
        <v>0.9984151</v>
      </c>
      <c r="AB1863">
        <v>19</v>
      </c>
      <c r="AC1863">
        <v>-0.57110000000000105</v>
      </c>
      <c r="AD1863">
        <v>-1.1206394929299901</v>
      </c>
      <c r="AE1863">
        <v>-21.238</v>
      </c>
      <c r="AF1863">
        <v>0.87134359630632996</v>
      </c>
      <c r="AG1863">
        <v>-1.1206394929299901</v>
      </c>
      <c r="AH1863">
        <v>21.168805753815001</v>
      </c>
      <c r="AI1863">
        <v>93.027750464359499</v>
      </c>
      <c r="AJ1863">
        <v>87.642940066412194</v>
      </c>
      <c r="AK1863">
        <v>21.216347696497898</v>
      </c>
      <c r="AL1863">
        <v>95.405248926099006</v>
      </c>
      <c r="AM1863">
        <v>88.834785702285004</v>
      </c>
      <c r="AN1863">
        <v>1.0000000276747301</v>
      </c>
    </row>
    <row r="1864" spans="1:40" x14ac:dyDescent="0.25">
      <c r="A1864" t="str">
        <f>"20190303154132047"</f>
        <v>20190303154132047</v>
      </c>
      <c r="B1864" t="str">
        <f>"1551598892041392"</f>
        <v>1551598892041392</v>
      </c>
      <c r="C1864" t="s">
        <v>40</v>
      </c>
      <c r="D1864">
        <v>5.8835169999999897</v>
      </c>
      <c r="E1864">
        <v>0.50835339999999996</v>
      </c>
      <c r="F1864" t="s">
        <v>41</v>
      </c>
      <c r="G1864">
        <v>-192.0301</v>
      </c>
      <c r="H1864" s="1">
        <v>-1.4120859999999901E-6</v>
      </c>
      <c r="I1864">
        <v>321.6216</v>
      </c>
      <c r="J1864">
        <v>-191.4314</v>
      </c>
      <c r="K1864">
        <v>1.120654</v>
      </c>
      <c r="L1864">
        <v>342.88010000000003</v>
      </c>
      <c r="M1864">
        <v>1.3563230000000001E-2</v>
      </c>
      <c r="N1864">
        <v>-1.3434689999999999E-2</v>
      </c>
      <c r="O1864">
        <v>-0.99981810000000004</v>
      </c>
      <c r="P1864">
        <v>-8.6368839999999992E-3</v>
      </c>
      <c r="Q1864">
        <v>-0.106919899999999</v>
      </c>
      <c r="R1864">
        <v>-0.99423070000000002</v>
      </c>
      <c r="S1864">
        <v>-8.3526610000000001E-2</v>
      </c>
      <c r="T1864">
        <v>-0.15679089999999901</v>
      </c>
      <c r="U1864">
        <v>-3.0000610000000001</v>
      </c>
      <c r="V1864">
        <v>2.2039679999999999E-2</v>
      </c>
      <c r="W1864">
        <v>-9.3575320000000003E-2</v>
      </c>
      <c r="X1864">
        <v>0.99536820000000004</v>
      </c>
      <c r="Y1864">
        <v>4.1348360000000001E-2</v>
      </c>
      <c r="Z1864">
        <v>3.8728110000000003E-2</v>
      </c>
      <c r="AA1864">
        <v>0.998394</v>
      </c>
      <c r="AB1864">
        <v>18</v>
      </c>
      <c r="AC1864">
        <v>-0.598700000000007</v>
      </c>
      <c r="AD1864">
        <v>-1.1206554120859999</v>
      </c>
      <c r="AE1864">
        <v>-21.258500000000002</v>
      </c>
      <c r="AF1864">
        <v>0.88454861108485205</v>
      </c>
      <c r="AG1864">
        <v>-1.1206554120859999</v>
      </c>
      <c r="AH1864">
        <v>21.189585263477799</v>
      </c>
      <c r="AI1864">
        <v>93.024756896896605</v>
      </c>
      <c r="AJ1864">
        <v>87.609604274866001</v>
      </c>
      <c r="AK1864">
        <v>21.2376274201287</v>
      </c>
      <c r="AL1864">
        <v>95.369326530231504</v>
      </c>
      <c r="AM1864">
        <v>88.731550460411</v>
      </c>
      <c r="AN1864">
        <v>0.99999997078942104</v>
      </c>
    </row>
    <row r="1865" spans="1:40" x14ac:dyDescent="0.25">
      <c r="A1865" t="str">
        <f>"20190303154132067"</f>
        <v>20190303154132067</v>
      </c>
      <c r="B1865" t="str">
        <f>"1551598892060913"</f>
        <v>1551598892060913</v>
      </c>
      <c r="C1865" t="s">
        <v>40</v>
      </c>
      <c r="D1865">
        <v>5.815423</v>
      </c>
      <c r="E1865">
        <v>0.50824259999999999</v>
      </c>
      <c r="F1865" t="s">
        <v>41</v>
      </c>
      <c r="G1865">
        <v>-192.07980000000001</v>
      </c>
      <c r="H1865" s="1">
        <v>-1.353009E-6</v>
      </c>
      <c r="I1865">
        <v>321.45310000000001</v>
      </c>
      <c r="J1865">
        <v>-191.4299</v>
      </c>
      <c r="K1865">
        <v>1.120663</v>
      </c>
      <c r="L1865">
        <v>342.71910000000003</v>
      </c>
      <c r="M1865">
        <v>1.2968240000000001E-2</v>
      </c>
      <c r="N1865">
        <v>-1.351783E-2</v>
      </c>
      <c r="O1865">
        <v>-0.99982479999999996</v>
      </c>
      <c r="P1865">
        <v>-1.1220859999999999E-2</v>
      </c>
      <c r="Q1865">
        <v>-0.10753939999999999</v>
      </c>
      <c r="R1865">
        <v>-0.99413790000000002</v>
      </c>
      <c r="S1865">
        <v>-9.0774540000000001E-2</v>
      </c>
      <c r="T1865">
        <v>-0.15689040000000001</v>
      </c>
      <c r="U1865">
        <v>-2.9997560000000001</v>
      </c>
      <c r="V1865">
        <v>2.4032359999999999E-2</v>
      </c>
      <c r="W1865">
        <v>-9.4114809999999993E-2</v>
      </c>
      <c r="X1865">
        <v>0.99527129999999997</v>
      </c>
      <c r="Y1865">
        <v>4.3165889999999998E-2</v>
      </c>
      <c r="Z1865">
        <v>3.8680020000000002E-2</v>
      </c>
      <c r="AA1865">
        <v>0.99831890000000001</v>
      </c>
      <c r="AB1865">
        <v>18</v>
      </c>
      <c r="AC1865">
        <v>-0.64990000000000203</v>
      </c>
      <c r="AD1865">
        <v>-1.1206643530089999</v>
      </c>
      <c r="AE1865">
        <v>-21.265999999999998</v>
      </c>
      <c r="AF1865">
        <v>0.92309200149421899</v>
      </c>
      <c r="AG1865">
        <v>-1.1206643530089999</v>
      </c>
      <c r="AH1865">
        <v>21.196973005122501</v>
      </c>
      <c r="AI1865">
        <v>93.023496980607305</v>
      </c>
      <c r="AJ1865">
        <v>87.506442087581107</v>
      </c>
      <c r="AK1865">
        <v>21.246638605088101</v>
      </c>
      <c r="AL1865">
        <v>95.400373587508398</v>
      </c>
      <c r="AM1865">
        <v>88.616773858515899</v>
      </c>
      <c r="AN1865">
        <v>1.00000005619609</v>
      </c>
    </row>
    <row r="1866" spans="1:40" x14ac:dyDescent="0.25">
      <c r="A1866" t="str">
        <f>"20190303154132090"</f>
        <v>20190303154132090</v>
      </c>
      <c r="B1866" t="str">
        <f>"1551598892081408"</f>
        <v>1551598892081408</v>
      </c>
      <c r="C1866" t="s">
        <v>40</v>
      </c>
      <c r="D1866">
        <v>5.8684070000000004</v>
      </c>
      <c r="E1866">
        <v>0.50818989999999997</v>
      </c>
      <c r="F1866" t="s">
        <v>41</v>
      </c>
      <c r="G1866">
        <v>-192.11320000000001</v>
      </c>
      <c r="H1866" s="1">
        <v>-1.4514369999999999E-6</v>
      </c>
      <c r="I1866">
        <v>321.66180000000003</v>
      </c>
      <c r="J1866">
        <v>-191.42840000000001</v>
      </c>
      <c r="K1866">
        <v>1.120665</v>
      </c>
      <c r="L1866">
        <v>342.53649999999999</v>
      </c>
      <c r="M1866">
        <v>1.230678E-2</v>
      </c>
      <c r="N1866">
        <v>-1.3599750000000001E-2</v>
      </c>
      <c r="O1866">
        <v>-0.9998321</v>
      </c>
      <c r="P1866">
        <v>-1.444784E-2</v>
      </c>
      <c r="Q1866">
        <v>-0.1086095</v>
      </c>
      <c r="R1866">
        <v>-0.99397990000000003</v>
      </c>
      <c r="S1866">
        <v>-9.732056E-2</v>
      </c>
      <c r="T1866">
        <v>-0.1596255</v>
      </c>
      <c r="U1866">
        <v>-2.9993590000000001</v>
      </c>
      <c r="V1866">
        <v>2.6601050000000001E-2</v>
      </c>
      <c r="W1866">
        <v>-9.5107319999999995E-2</v>
      </c>
      <c r="X1866">
        <v>0.99511150000000004</v>
      </c>
      <c r="Y1866">
        <v>4.468341E-2</v>
      </c>
      <c r="Z1866">
        <v>3.9510009999999998E-2</v>
      </c>
      <c r="AA1866">
        <v>0.99821959999999998</v>
      </c>
      <c r="AB1866">
        <v>18</v>
      </c>
      <c r="AC1866">
        <v>-0.68479999999999497</v>
      </c>
      <c r="AD1866">
        <v>-1.1206664514369999</v>
      </c>
      <c r="AE1866">
        <v>-20.874699999999901</v>
      </c>
      <c r="AF1866">
        <v>0.93896883585938296</v>
      </c>
      <c r="AG1866">
        <v>-1.1206664514369999</v>
      </c>
      <c r="AH1866">
        <v>20.804792904796098</v>
      </c>
      <c r="AI1866">
        <v>93.080172814481898</v>
      </c>
      <c r="AJ1866">
        <v>87.415861430282703</v>
      </c>
      <c r="AK1866">
        <v>20.856101351440198</v>
      </c>
      <c r="AL1866">
        <v>95.457496994761996</v>
      </c>
      <c r="AM1866">
        <v>88.468749470383898</v>
      </c>
      <c r="AN1866">
        <v>0.99999995780546602</v>
      </c>
    </row>
    <row r="1867" spans="1:40" x14ac:dyDescent="0.25">
      <c r="A1867" t="str">
        <f>"20190303154132111"</f>
        <v>20190303154132111</v>
      </c>
      <c r="B1867" t="str">
        <f>"1551598892100935"</f>
        <v>1551598892100935</v>
      </c>
      <c r="C1867" t="s">
        <v>40</v>
      </c>
      <c r="D1867">
        <v>5.8325950000000004</v>
      </c>
      <c r="E1867">
        <v>0.50809009999999999</v>
      </c>
      <c r="F1867" t="s">
        <v>41</v>
      </c>
      <c r="G1867">
        <v>-192.15899999999999</v>
      </c>
      <c r="H1867" s="1">
        <v>-1.5962979999999901E-6</v>
      </c>
      <c r="I1867">
        <v>321.971</v>
      </c>
      <c r="J1867">
        <v>-191.42699999999999</v>
      </c>
      <c r="K1867">
        <v>1.1206780000000001</v>
      </c>
      <c r="L1867">
        <v>342.35469999999998</v>
      </c>
      <c r="M1867">
        <v>1.16643999999999E-2</v>
      </c>
      <c r="N1867">
        <v>-1.366971E-2</v>
      </c>
      <c r="O1867">
        <v>-0.99983880000000003</v>
      </c>
      <c r="P1867">
        <v>-1.7558130000000002E-2</v>
      </c>
      <c r="Q1867">
        <v>-0.1096757</v>
      </c>
      <c r="R1867">
        <v>-0.99381249999999999</v>
      </c>
      <c r="S1867">
        <v>-0.1065369</v>
      </c>
      <c r="T1867">
        <v>-0.16341149999999999</v>
      </c>
      <c r="U1867">
        <v>-2.9987789999999999</v>
      </c>
      <c r="V1867">
        <v>2.907264E-2</v>
      </c>
      <c r="W1867">
        <v>-9.610755E-2</v>
      </c>
      <c r="X1867">
        <v>0.99494629999999995</v>
      </c>
      <c r="Y1867">
        <v>4.7108700000000003E-2</v>
      </c>
      <c r="Z1867">
        <v>4.0701719999999997E-2</v>
      </c>
      <c r="AA1867">
        <v>0.99806019999999895</v>
      </c>
      <c r="AB1867">
        <v>18</v>
      </c>
      <c r="AC1867">
        <v>-0.73199999999999898</v>
      </c>
      <c r="AD1867">
        <v>-1.1206795962980001</v>
      </c>
      <c r="AE1867">
        <v>-20.383699999999902</v>
      </c>
      <c r="AF1867">
        <v>0.96681732738753301</v>
      </c>
      <c r="AG1867">
        <v>-1.1206795962980001</v>
      </c>
      <c r="AH1867">
        <v>20.312454234620699</v>
      </c>
      <c r="AI1867">
        <v>93.154359754136394</v>
      </c>
      <c r="AJ1867">
        <v>87.274934065937401</v>
      </c>
      <c r="AK1867">
        <v>20.366306870310499</v>
      </c>
      <c r="AL1867">
        <v>95.5150694037915</v>
      </c>
      <c r="AM1867">
        <v>88.326275770059894</v>
      </c>
      <c r="AN1867">
        <v>1.0000000097236299</v>
      </c>
    </row>
    <row r="1868" spans="1:40" x14ac:dyDescent="0.25">
      <c r="A1868" t="str">
        <f>"20190303154132134"</f>
        <v>20190303154132134</v>
      </c>
      <c r="B1868" t="str">
        <f>"1551598892131184"</f>
        <v>1551598892131184</v>
      </c>
      <c r="C1868" t="s">
        <v>40</v>
      </c>
      <c r="D1868">
        <v>5.9942330000000004</v>
      </c>
      <c r="E1868">
        <v>0.50809209999999905</v>
      </c>
      <c r="F1868" t="s">
        <v>41</v>
      </c>
      <c r="G1868">
        <v>-192.19759999999999</v>
      </c>
      <c r="H1868" s="1">
        <v>-1.7348929999999999E-6</v>
      </c>
      <c r="I1868">
        <v>322.27019999999999</v>
      </c>
      <c r="J1868">
        <v>-191.42570000000001</v>
      </c>
      <c r="K1868">
        <v>1.120698</v>
      </c>
      <c r="L1868">
        <v>342.17140000000001</v>
      </c>
      <c r="M1868">
        <v>1.1032510000000001E-2</v>
      </c>
      <c r="N1868">
        <v>-1.3729959999999999E-2</v>
      </c>
      <c r="O1868">
        <v>-0.99984510000000004</v>
      </c>
      <c r="P1868">
        <v>-2.0740620000000001E-2</v>
      </c>
      <c r="Q1868">
        <v>-0.110607</v>
      </c>
      <c r="R1868">
        <v>-0.99364819999999998</v>
      </c>
      <c r="S1868">
        <v>-0.115036</v>
      </c>
      <c r="T1868">
        <v>-0.1672939</v>
      </c>
      <c r="U1868">
        <v>-2.9981990000000001</v>
      </c>
      <c r="V1868">
        <v>3.1627799999999998E-2</v>
      </c>
      <c r="W1868">
        <v>-9.6982250000000006E-2</v>
      </c>
      <c r="X1868">
        <v>0.99478350000000004</v>
      </c>
      <c r="Y1868">
        <v>4.9305990000000001E-2</v>
      </c>
      <c r="Z1868">
        <v>4.1935300000000002E-2</v>
      </c>
      <c r="AA1868">
        <v>0.99790299999999998</v>
      </c>
      <c r="AB1868">
        <v>18</v>
      </c>
      <c r="AC1868">
        <v>-0.77189999999998704</v>
      </c>
      <c r="AD1868">
        <v>-1.1206997348929999</v>
      </c>
      <c r="AE1868">
        <v>-19.901199999999999</v>
      </c>
      <c r="AF1868">
        <v>0.98830447231533203</v>
      </c>
      <c r="AG1868">
        <v>-1.1206997348929999</v>
      </c>
      <c r="AH1868">
        <v>19.8286860403011</v>
      </c>
      <c r="AI1868">
        <v>93.230862917170299</v>
      </c>
      <c r="AJ1868">
        <v>87.146616059599907</v>
      </c>
      <c r="AK1868">
        <v>19.884906429516299</v>
      </c>
      <c r="AL1868">
        <v>95.565421048363802</v>
      </c>
      <c r="AM1868">
        <v>88.178971370916997</v>
      </c>
      <c r="AN1868">
        <v>1.00000004321007</v>
      </c>
    </row>
    <row r="1869" spans="1:40" x14ac:dyDescent="0.25">
      <c r="A1869" t="str">
        <f>"20190303154132156"</f>
        <v>20190303154132156</v>
      </c>
      <c r="B1869" t="str">
        <f>"1551598892151681"</f>
        <v>1551598892151681</v>
      </c>
      <c r="C1869" t="s">
        <v>40</v>
      </c>
      <c r="D1869">
        <v>6.0112209999999999</v>
      </c>
      <c r="E1869">
        <v>0.50844290000000003</v>
      </c>
      <c r="F1869" t="s">
        <v>41</v>
      </c>
      <c r="G1869">
        <v>-192.23670000000001</v>
      </c>
      <c r="H1869" s="1">
        <v>-1.9371859999999999E-6</v>
      </c>
      <c r="I1869">
        <v>322.71749999999997</v>
      </c>
      <c r="J1869">
        <v>-191.42439999999999</v>
      </c>
      <c r="K1869">
        <v>1.120716</v>
      </c>
      <c r="L1869">
        <v>341.98919999999998</v>
      </c>
      <c r="M1869">
        <v>1.0419599999999999E-2</v>
      </c>
      <c r="N1869">
        <v>-1.378097E-2</v>
      </c>
      <c r="O1869">
        <v>-0.99985100000000005</v>
      </c>
      <c r="P1869">
        <v>-2.2965340000000001E-2</v>
      </c>
      <c r="Q1869">
        <v>-0.1110652</v>
      </c>
      <c r="R1869">
        <v>-0.99354830000000005</v>
      </c>
      <c r="S1869">
        <v>-0.1249542</v>
      </c>
      <c r="T1869">
        <v>-0.1726676</v>
      </c>
      <c r="U1869">
        <v>-2.9972840000000001</v>
      </c>
      <c r="V1869">
        <v>3.3245759999999999E-2</v>
      </c>
      <c r="W1869">
        <v>-9.7391140000000001E-2</v>
      </c>
      <c r="X1869">
        <v>0.99469079999999999</v>
      </c>
      <c r="Y1869">
        <v>5.1996929999999997E-2</v>
      </c>
      <c r="Z1869">
        <v>4.3677609999999999E-2</v>
      </c>
      <c r="AA1869">
        <v>0.99769160000000001</v>
      </c>
      <c r="AB1869">
        <v>18</v>
      </c>
      <c r="AC1869">
        <v>-0.81230000000002101</v>
      </c>
      <c r="AD1869">
        <v>-1.1207179371860001</v>
      </c>
      <c r="AE1869">
        <v>-19.271699999999999</v>
      </c>
      <c r="AF1869">
        <v>1.00966983796716</v>
      </c>
      <c r="AG1869">
        <v>-1.1207179371860001</v>
      </c>
      <c r="AH1869">
        <v>19.1973817184242</v>
      </c>
      <c r="AI1869">
        <v>93.336459356816903</v>
      </c>
      <c r="AJ1869">
        <v>86.989351500645995</v>
      </c>
      <c r="AK1869">
        <v>19.256554902664199</v>
      </c>
      <c r="AL1869">
        <v>95.588960104376397</v>
      </c>
      <c r="AM1869">
        <v>88.085703714965305</v>
      </c>
      <c r="AN1869">
        <v>1.0000000511565501</v>
      </c>
    </row>
    <row r="1870" spans="1:40" x14ac:dyDescent="0.25">
      <c r="A1870" t="str">
        <f>"20190303154132178"</f>
        <v>20190303154132178</v>
      </c>
      <c r="B1870" t="str">
        <f>"1551598892171200"</f>
        <v>1551598892171200</v>
      </c>
      <c r="C1870" t="s">
        <v>40</v>
      </c>
      <c r="D1870">
        <v>6.0205789999999997</v>
      </c>
      <c r="E1870">
        <v>0.50870939999999998</v>
      </c>
      <c r="F1870" t="s">
        <v>41</v>
      </c>
      <c r="G1870">
        <v>-192.28149999999999</v>
      </c>
      <c r="H1870" s="1">
        <v>-2.0289339999999998E-6</v>
      </c>
      <c r="I1870">
        <v>322.90359999999998</v>
      </c>
      <c r="J1870">
        <v>-191.42330000000001</v>
      </c>
      <c r="K1870">
        <v>1.120743</v>
      </c>
      <c r="L1870">
        <v>341.81110000000001</v>
      </c>
      <c r="M1870">
        <v>9.8354319999999999E-3</v>
      </c>
      <c r="N1870">
        <v>-1.382329E-2</v>
      </c>
      <c r="O1870">
        <v>-0.99985610000000003</v>
      </c>
      <c r="P1870">
        <v>-2.4427339999999999E-2</v>
      </c>
      <c r="Q1870">
        <v>-0.11159230000000001</v>
      </c>
      <c r="R1870">
        <v>-0.99345410000000001</v>
      </c>
      <c r="S1870">
        <v>-0.134567299999999</v>
      </c>
      <c r="T1870">
        <v>-0.17596609999999999</v>
      </c>
      <c r="U1870">
        <v>-2.9966740000000001</v>
      </c>
      <c r="V1870">
        <v>3.412921E-2</v>
      </c>
      <c r="W1870">
        <v>-9.7876909999999998E-2</v>
      </c>
      <c r="X1870">
        <v>0.99461319999999998</v>
      </c>
      <c r="Y1870">
        <v>5.4612349999999997E-2</v>
      </c>
      <c r="Z1870">
        <v>4.473394E-2</v>
      </c>
      <c r="AA1870">
        <v>0.99750510000000003</v>
      </c>
      <c r="AB1870">
        <v>18</v>
      </c>
      <c r="AC1870">
        <v>-0.85819999999998198</v>
      </c>
      <c r="AD1870">
        <v>-1.120745028934</v>
      </c>
      <c r="AE1870">
        <v>-18.907499999999999</v>
      </c>
      <c r="AF1870">
        <v>1.04049138213351</v>
      </c>
      <c r="AG1870">
        <v>-1.120745028934</v>
      </c>
      <c r="AH1870">
        <v>18.832112292028299</v>
      </c>
      <c r="AI1870">
        <v>93.400620539242695</v>
      </c>
      <c r="AJ1870">
        <v>86.837571246708706</v>
      </c>
      <c r="AK1870">
        <v>18.8941034483179</v>
      </c>
      <c r="AL1870">
        <v>95.616926263721297</v>
      </c>
      <c r="AM1870">
        <v>88.0347206886306</v>
      </c>
      <c r="AN1870">
        <v>1.0000000550503001</v>
      </c>
    </row>
    <row r="1871" spans="1:40" x14ac:dyDescent="0.25">
      <c r="A1871" t="str">
        <f>"20190303154132202"</f>
        <v>20190303154132202</v>
      </c>
      <c r="B1871" t="str">
        <f>"1551598892191697"</f>
        <v>1551598892191697</v>
      </c>
      <c r="C1871" t="s">
        <v>40</v>
      </c>
      <c r="D1871">
        <v>6.0042960000000001</v>
      </c>
      <c r="E1871">
        <v>0.50897460000000005</v>
      </c>
      <c r="F1871" t="s">
        <v>41</v>
      </c>
      <c r="G1871">
        <v>-192.30449999999999</v>
      </c>
      <c r="H1871" s="1">
        <v>-2.115709E-6</v>
      </c>
      <c r="I1871">
        <v>323.09160000000003</v>
      </c>
      <c r="J1871">
        <v>-191.4221</v>
      </c>
      <c r="K1871">
        <v>1.120765</v>
      </c>
      <c r="L1871">
        <v>341.61329999999998</v>
      </c>
      <c r="M1871">
        <v>9.2007300000000007E-3</v>
      </c>
      <c r="N1871">
        <v>-1.386284E-2</v>
      </c>
      <c r="O1871">
        <v>-0.99986180000000002</v>
      </c>
      <c r="P1871">
        <v>-2.5113770000000001E-2</v>
      </c>
      <c r="Q1871">
        <v>-0.1114031</v>
      </c>
      <c r="R1871">
        <v>-0.99345830000000002</v>
      </c>
      <c r="S1871">
        <v>-0.141037</v>
      </c>
      <c r="T1871">
        <v>-0.17938080000000001</v>
      </c>
      <c r="U1871">
        <v>-2.9961549999999999</v>
      </c>
      <c r="V1871">
        <v>3.4187589999999997E-2</v>
      </c>
      <c r="W1871">
        <v>-9.7647339999999999E-2</v>
      </c>
      <c r="X1871">
        <v>0.99463369999999995</v>
      </c>
      <c r="Y1871">
        <v>5.6131960000000002E-2</v>
      </c>
      <c r="Z1871">
        <v>4.5832680000000001E-2</v>
      </c>
      <c r="AA1871">
        <v>0.9973708</v>
      </c>
      <c r="AB1871">
        <v>18</v>
      </c>
      <c r="AC1871">
        <v>-0.88239999999998897</v>
      </c>
      <c r="AD1871">
        <v>-1.120767115709</v>
      </c>
      <c r="AE1871">
        <v>-18.5216999999999</v>
      </c>
      <c r="AF1871">
        <v>1.04895998476163</v>
      </c>
      <c r="AG1871">
        <v>-1.120767115709</v>
      </c>
      <c r="AH1871">
        <v>18.445409887036</v>
      </c>
      <c r="AI1871">
        <v>93.471496142034695</v>
      </c>
      <c r="AJ1871">
        <v>86.745189358026394</v>
      </c>
      <c r="AK1871">
        <v>18.509175613139799</v>
      </c>
      <c r="AL1871">
        <v>95.603709895192793</v>
      </c>
      <c r="AM1871">
        <v>88.031402149811797</v>
      </c>
      <c r="AN1871">
        <v>0.99999999574738596</v>
      </c>
    </row>
    <row r="1872" spans="1:40" x14ac:dyDescent="0.25">
      <c r="A1872" t="str">
        <f>"20190303154132226"</f>
        <v>20190303154132226</v>
      </c>
      <c r="B1872" t="str">
        <f>"1551598892220976"</f>
        <v>1551598892220976</v>
      </c>
      <c r="C1872" t="s">
        <v>40</v>
      </c>
      <c r="D1872">
        <v>6.0118650000000002</v>
      </c>
      <c r="E1872">
        <v>0.50928960000000001</v>
      </c>
      <c r="F1872" t="s">
        <v>41</v>
      </c>
      <c r="G1872">
        <v>-192.3272</v>
      </c>
      <c r="H1872" s="1">
        <v>-2.0790579999999998E-6</v>
      </c>
      <c r="I1872">
        <v>322.99200000000002</v>
      </c>
      <c r="J1872">
        <v>-191.4211</v>
      </c>
      <c r="K1872">
        <v>1.120779</v>
      </c>
      <c r="L1872">
        <v>341.41840000000002</v>
      </c>
      <c r="M1872">
        <v>8.5868190000000007E-3</v>
      </c>
      <c r="N1872">
        <v>-1.3895619999999999E-2</v>
      </c>
      <c r="O1872">
        <v>-0.99986649999999999</v>
      </c>
      <c r="P1872">
        <v>-2.572752E-2</v>
      </c>
      <c r="Q1872">
        <v>-0.1114964</v>
      </c>
      <c r="R1872">
        <v>-0.99343190000000003</v>
      </c>
      <c r="S1872">
        <v>-0.14561459999999901</v>
      </c>
      <c r="T1872">
        <v>-0.1803129</v>
      </c>
      <c r="U1872">
        <v>-2.9958499999999999</v>
      </c>
      <c r="V1872">
        <v>3.4191979999999997E-2</v>
      </c>
      <c r="W1872">
        <v>-9.77079E-2</v>
      </c>
      <c r="X1872">
        <v>0.99462759999999995</v>
      </c>
      <c r="Y1872">
        <v>5.7042879999999997E-2</v>
      </c>
      <c r="Z1872">
        <v>4.611208E-2</v>
      </c>
      <c r="AA1872">
        <v>0.99730629999999998</v>
      </c>
      <c r="AB1872">
        <v>18</v>
      </c>
      <c r="AC1872">
        <v>-0.90610000000000901</v>
      </c>
      <c r="AD1872">
        <v>-1.120781079058</v>
      </c>
      <c r="AE1872">
        <v>-18.426400000000001</v>
      </c>
      <c r="AF1872">
        <v>1.0603924231875701</v>
      </c>
      <c r="AG1872">
        <v>-1.120781079058</v>
      </c>
      <c r="AH1872">
        <v>18.350213672108801</v>
      </c>
      <c r="AI1872">
        <v>93.489321769742304</v>
      </c>
      <c r="AJ1872">
        <v>86.692762279967297</v>
      </c>
      <c r="AK1872">
        <v>18.414964679042299</v>
      </c>
      <c r="AL1872">
        <v>95.607196409812701</v>
      </c>
      <c r="AM1872">
        <v>88.031137497378793</v>
      </c>
      <c r="AN1872">
        <v>0.99999999395024497</v>
      </c>
    </row>
    <row r="1873" spans="1:40" x14ac:dyDescent="0.25">
      <c r="A1873" t="str">
        <f>"20190303154132249"</f>
        <v>20190303154132249</v>
      </c>
      <c r="B1873" t="str">
        <f>"1551598892241473"</f>
        <v>1551598892241473</v>
      </c>
      <c r="C1873" t="s">
        <v>40</v>
      </c>
      <c r="D1873">
        <v>6.0058590000000001</v>
      </c>
      <c r="E1873">
        <v>0.50948629999999995</v>
      </c>
      <c r="F1873" t="s">
        <v>41</v>
      </c>
      <c r="G1873">
        <v>-192.34010000000001</v>
      </c>
      <c r="H1873" s="1">
        <v>-2.138962E-6</v>
      </c>
      <c r="I1873">
        <v>323.12369999999999</v>
      </c>
      <c r="J1873">
        <v>-191.42019999999999</v>
      </c>
      <c r="K1873">
        <v>1.1207929999999999</v>
      </c>
      <c r="L1873">
        <v>341.23680000000002</v>
      </c>
      <c r="M1873">
        <v>8.021004E-3</v>
      </c>
      <c r="N1873">
        <v>-1.392126E-2</v>
      </c>
      <c r="O1873">
        <v>-0.99987110000000001</v>
      </c>
      <c r="P1873">
        <v>-2.6338049999999998E-2</v>
      </c>
      <c r="Q1873">
        <v>-0.111107399999999</v>
      </c>
      <c r="R1873">
        <v>-0.99345939999999999</v>
      </c>
      <c r="S1873">
        <v>-0.15046689999999999</v>
      </c>
      <c r="T1873">
        <v>-0.18350169999999999</v>
      </c>
      <c r="U1873">
        <v>-2.9953310000000002</v>
      </c>
      <c r="V1873">
        <v>3.4240689999999997E-2</v>
      </c>
      <c r="W1873">
        <v>-9.7293000000000004E-2</v>
      </c>
      <c r="X1873">
        <v>0.99466659999999996</v>
      </c>
      <c r="Y1873">
        <v>5.8094449999999999E-2</v>
      </c>
      <c r="Z1873">
        <v>4.7151060000000002E-2</v>
      </c>
      <c r="AA1873">
        <v>0.997197</v>
      </c>
      <c r="AB1873">
        <v>18</v>
      </c>
      <c r="AC1873">
        <v>-0.91990000000001204</v>
      </c>
      <c r="AD1873">
        <v>-1.1207951389619999</v>
      </c>
      <c r="AE1873">
        <v>-18.113099999999999</v>
      </c>
      <c r="AF1873">
        <v>1.06111731099314</v>
      </c>
      <c r="AG1873">
        <v>-1.1207951389619999</v>
      </c>
      <c r="AH1873">
        <v>18.036257740316898</v>
      </c>
      <c r="AI1873">
        <v>93.5497353419684</v>
      </c>
      <c r="AJ1873">
        <v>86.633029736195596</v>
      </c>
      <c r="AK1873">
        <v>18.102175144616002</v>
      </c>
      <c r="AL1873">
        <v>95.583310558223602</v>
      </c>
      <c r="AM1873">
        <v>88.028412108248801</v>
      </c>
      <c r="AN1873">
        <v>0.99999999892811797</v>
      </c>
    </row>
    <row r="1874" spans="1:40" x14ac:dyDescent="0.25">
      <c r="A1874" t="str">
        <f>"20190303154132269"</f>
        <v>20190303154132269</v>
      </c>
      <c r="B1874" t="str">
        <f>"1551598892260993"</f>
        <v>1551598892260993</v>
      </c>
      <c r="C1874" t="s">
        <v>40</v>
      </c>
      <c r="D1874">
        <v>5.9866330000000003</v>
      </c>
      <c r="E1874">
        <v>0.50970329999999997</v>
      </c>
      <c r="F1874" t="s">
        <v>41</v>
      </c>
      <c r="G1874">
        <v>-192.3586</v>
      </c>
      <c r="H1874" s="1">
        <v>-2.0938549999999998E-6</v>
      </c>
      <c r="I1874">
        <v>323.00709999999998</v>
      </c>
      <c r="J1874">
        <v>-191.4196</v>
      </c>
      <c r="K1874">
        <v>1.120806</v>
      </c>
      <c r="L1874">
        <v>341.07080000000002</v>
      </c>
      <c r="M1874">
        <v>7.5056430000000002E-3</v>
      </c>
      <c r="N1874">
        <v>-1.394101E-2</v>
      </c>
      <c r="O1874">
        <v>-0.99987470000000001</v>
      </c>
      <c r="P1874">
        <v>-2.7168100000000001E-2</v>
      </c>
      <c r="Q1874">
        <v>-0.1108778</v>
      </c>
      <c r="R1874">
        <v>-0.99346279999999998</v>
      </c>
      <c r="S1874">
        <v>-0.1541595</v>
      </c>
      <c r="T1874">
        <v>-0.18414150000000001</v>
      </c>
      <c r="U1874">
        <v>-2.9950559999999999</v>
      </c>
      <c r="V1874">
        <v>3.4558400000000003E-2</v>
      </c>
      <c r="W1874">
        <v>-9.7043980000000002E-2</v>
      </c>
      <c r="X1874">
        <v>0.99467989999999995</v>
      </c>
      <c r="Y1874">
        <v>5.8809750000000001E-2</v>
      </c>
      <c r="Z1874">
        <v>4.7346449999999998E-2</v>
      </c>
      <c r="AA1874">
        <v>0.99714579999999997</v>
      </c>
      <c r="AB1874">
        <v>18</v>
      </c>
      <c r="AC1874">
        <v>-0.93899999999999195</v>
      </c>
      <c r="AD1874">
        <v>-1.120808093855</v>
      </c>
      <c r="AE1874">
        <v>-18.063700000000001</v>
      </c>
      <c r="AF1874">
        <v>1.07045635848661</v>
      </c>
      <c r="AG1874">
        <v>-1.120808093855</v>
      </c>
      <c r="AH1874">
        <v>17.9870808174011</v>
      </c>
      <c r="AI1874">
        <v>93.559314120679005</v>
      </c>
      <c r="AJ1874">
        <v>86.594201274824201</v>
      </c>
      <c r="AK1874">
        <v>18.053729917399199</v>
      </c>
      <c r="AL1874">
        <v>95.568975142169904</v>
      </c>
      <c r="AM1874">
        <v>88.010159507744106</v>
      </c>
      <c r="AN1874">
        <v>0.99999996026440396</v>
      </c>
    </row>
    <row r="1875" spans="1:40" x14ac:dyDescent="0.25">
      <c r="A1875" t="str">
        <f>"20190303154132291"</f>
        <v>20190303154132291</v>
      </c>
      <c r="B1875" t="str">
        <f>"1551598892281488"</f>
        <v>1551598892281488</v>
      </c>
      <c r="C1875" t="s">
        <v>40</v>
      </c>
      <c r="D1875">
        <v>6.0288830000000004</v>
      </c>
      <c r="E1875">
        <v>0.5098857</v>
      </c>
      <c r="F1875" t="s">
        <v>41</v>
      </c>
      <c r="G1875">
        <v>-192.38300000000001</v>
      </c>
      <c r="H1875" s="1">
        <v>-2.0435079999999998E-6</v>
      </c>
      <c r="I1875">
        <v>322.87459999999999</v>
      </c>
      <c r="J1875">
        <v>-191.41890000000001</v>
      </c>
      <c r="K1875">
        <v>1.1208049999999901</v>
      </c>
      <c r="L1875">
        <v>340.8999</v>
      </c>
      <c r="M1875">
        <v>6.9746529999999999E-3</v>
      </c>
      <c r="N1875">
        <v>-1.394637E-2</v>
      </c>
      <c r="O1875">
        <v>-0.9998785</v>
      </c>
      <c r="P1875">
        <v>-2.8032100000000001E-2</v>
      </c>
      <c r="Q1875">
        <v>-0.1103147</v>
      </c>
      <c r="R1875">
        <v>-0.99350139999999998</v>
      </c>
      <c r="S1875">
        <v>-0.1585693</v>
      </c>
      <c r="T1875">
        <v>-0.18446899999999999</v>
      </c>
      <c r="U1875">
        <v>-2.9948429999999999</v>
      </c>
      <c r="V1875">
        <v>3.489515E-2</v>
      </c>
      <c r="W1875">
        <v>-9.6475259999999993E-2</v>
      </c>
      <c r="X1875">
        <v>0.99472349999999998</v>
      </c>
      <c r="Y1875">
        <v>5.9746689999999998E-2</v>
      </c>
      <c r="Z1875">
        <v>4.74505E-2</v>
      </c>
      <c r="AA1875">
        <v>0.9970852</v>
      </c>
      <c r="AB1875">
        <v>18</v>
      </c>
      <c r="AC1875">
        <v>-0.96409999999997298</v>
      </c>
      <c r="AD1875">
        <v>-1.12080704350799</v>
      </c>
      <c r="AE1875">
        <v>-18.025300000000001</v>
      </c>
      <c r="AF1875">
        <v>1.0856235918613599</v>
      </c>
      <c r="AG1875">
        <v>-1.12080704350799</v>
      </c>
      <c r="AH1875">
        <v>17.948938359771699</v>
      </c>
      <c r="AI1875">
        <v>93.5666483969962</v>
      </c>
      <c r="AJ1875">
        <v>86.5387387429207</v>
      </c>
      <c r="AK1875">
        <v>18.0166360693351</v>
      </c>
      <c r="AL1875">
        <v>95.536236077259204</v>
      </c>
      <c r="AM1875">
        <v>87.9908735660959</v>
      </c>
      <c r="AN1875">
        <v>0.99999999436891995</v>
      </c>
    </row>
    <row r="1876" spans="1:40" x14ac:dyDescent="0.25">
      <c r="A1876" t="str">
        <f>"20190303154132312"</f>
        <v>20190303154132312</v>
      </c>
      <c r="B1876" t="str">
        <f>"1551598892301014"</f>
        <v>1551598892301014</v>
      </c>
      <c r="C1876" t="s">
        <v>40</v>
      </c>
      <c r="D1876">
        <v>6.0439720000000001</v>
      </c>
      <c r="E1876">
        <v>0.51004090000000002</v>
      </c>
      <c r="F1876" t="s">
        <v>41</v>
      </c>
      <c r="G1876">
        <v>-192.40870000000001</v>
      </c>
      <c r="H1876" s="1">
        <v>-1.9649340000000001E-6</v>
      </c>
      <c r="I1876">
        <v>322.6755</v>
      </c>
      <c r="J1876">
        <v>-191.41829999999999</v>
      </c>
      <c r="K1876">
        <v>1.1207940000000001</v>
      </c>
      <c r="L1876">
        <v>340.72269999999997</v>
      </c>
      <c r="M1876">
        <v>6.4224540000000002E-3</v>
      </c>
      <c r="N1876">
        <v>-1.3906899999999899E-2</v>
      </c>
      <c r="O1876">
        <v>-0.99988279999999996</v>
      </c>
      <c r="P1876">
        <v>-2.9069620000000001E-2</v>
      </c>
      <c r="Q1876">
        <v>-0.1097233</v>
      </c>
      <c r="R1876">
        <v>-0.99353720000000001</v>
      </c>
      <c r="S1876">
        <v>-0.16264339999999999</v>
      </c>
      <c r="T1876">
        <v>-0.18416859999999999</v>
      </c>
      <c r="U1876">
        <v>-2.9945979999999999</v>
      </c>
      <c r="V1876">
        <v>3.5384520000000003E-2</v>
      </c>
      <c r="W1876">
        <v>-9.5922919999999995E-2</v>
      </c>
      <c r="X1876">
        <v>0.99475959999999997</v>
      </c>
      <c r="Y1876">
        <v>6.0552189999999999E-2</v>
      </c>
      <c r="Z1876">
        <v>4.7392030000000002E-2</v>
      </c>
      <c r="AA1876">
        <v>0.99703929999999996</v>
      </c>
      <c r="AB1876">
        <v>18</v>
      </c>
      <c r="AC1876">
        <v>-0.99040000000002204</v>
      </c>
      <c r="AD1876">
        <v>-1.120795964934</v>
      </c>
      <c r="AE1876">
        <v>-18.047199999999901</v>
      </c>
      <c r="AF1876">
        <v>1.1020603504859801</v>
      </c>
      <c r="AG1876">
        <v>-1.120795964934</v>
      </c>
      <c r="AH1876">
        <v>17.9713614667819</v>
      </c>
      <c r="AI1876">
        <v>93.561993681753194</v>
      </c>
      <c r="AJ1876">
        <v>86.490837144707996</v>
      </c>
      <c r="AK1876">
        <v>18.039970997228899</v>
      </c>
      <c r="AL1876">
        <v>95.504442022741003</v>
      </c>
      <c r="AM1876">
        <v>87.962795002878295</v>
      </c>
      <c r="AN1876">
        <v>0.99999996631455701</v>
      </c>
    </row>
    <row r="1877" spans="1:40" x14ac:dyDescent="0.25">
      <c r="A1877" t="str">
        <f>"20190303154132334"</f>
        <v>20190303154132334</v>
      </c>
      <c r="B1877" t="str">
        <f>"1551598892331265"</f>
        <v>1551598892331265</v>
      </c>
      <c r="C1877" t="s">
        <v>40</v>
      </c>
      <c r="D1877">
        <v>5.9909369999999997</v>
      </c>
      <c r="E1877">
        <v>0.51024929999999902</v>
      </c>
      <c r="F1877" t="s">
        <v>41</v>
      </c>
      <c r="G1877">
        <v>-192.43729999999999</v>
      </c>
      <c r="H1877" s="1">
        <v>-1.881282E-6</v>
      </c>
      <c r="I1877">
        <v>322.46269999999998</v>
      </c>
      <c r="J1877">
        <v>-191.4179</v>
      </c>
      <c r="K1877">
        <v>1.120757</v>
      </c>
      <c r="L1877">
        <v>340.54790000000003</v>
      </c>
      <c r="M1877">
        <v>5.8739710000000004E-3</v>
      </c>
      <c r="N1877">
        <v>-1.379448E-2</v>
      </c>
      <c r="O1877">
        <v>-0.99988750000000004</v>
      </c>
      <c r="P1877">
        <v>-3.0219849999999999E-2</v>
      </c>
      <c r="Q1877">
        <v>-0.110568899999999</v>
      </c>
      <c r="R1877">
        <v>-0.99340899999999999</v>
      </c>
      <c r="S1877">
        <v>-0.167099</v>
      </c>
      <c r="T1877">
        <v>-0.18379190000000001</v>
      </c>
      <c r="U1877">
        <v>-2.9943240000000002</v>
      </c>
      <c r="V1877">
        <v>3.5987619999999998E-2</v>
      </c>
      <c r="W1877">
        <v>-9.6882650000000001E-2</v>
      </c>
      <c r="X1877">
        <v>0.994645</v>
      </c>
      <c r="Y1877">
        <v>6.1488590000000003E-2</v>
      </c>
      <c r="Z1877">
        <v>4.7381180000000002E-2</v>
      </c>
      <c r="AA1877">
        <v>0.99698249999999999</v>
      </c>
      <c r="AB1877">
        <v>18</v>
      </c>
      <c r="AC1877">
        <v>-1.0193999999999901</v>
      </c>
      <c r="AD1877">
        <v>-1.120758881282</v>
      </c>
      <c r="AE1877">
        <v>-18.0852</v>
      </c>
      <c r="AF1877">
        <v>1.12133173324095</v>
      </c>
      <c r="AG1877">
        <v>-1.120758881282</v>
      </c>
      <c r="AH1877">
        <v>18.0099528681585</v>
      </c>
      <c r="AI1877">
        <v>93.554058558709997</v>
      </c>
      <c r="AJ1877">
        <v>86.437261686489904</v>
      </c>
      <c r="AK1877">
        <v>18.079598658135001</v>
      </c>
      <c r="AL1877">
        <v>95.559687538787898</v>
      </c>
      <c r="AM1877">
        <v>87.927864020631404</v>
      </c>
      <c r="AN1877">
        <v>1.0000000163446401</v>
      </c>
    </row>
    <row r="1878" spans="1:40" x14ac:dyDescent="0.25">
      <c r="A1878" t="str">
        <f>"20190303154132355"</f>
        <v>20190303154132355</v>
      </c>
      <c r="B1878" t="str">
        <f>"1551598892350785"</f>
        <v>1551598892350785</v>
      </c>
      <c r="C1878" t="s">
        <v>40</v>
      </c>
      <c r="D1878">
        <v>5.9660089999999997</v>
      </c>
      <c r="E1878">
        <v>0.51037250000000001</v>
      </c>
      <c r="F1878" t="s">
        <v>41</v>
      </c>
      <c r="G1878">
        <v>-192.4434</v>
      </c>
      <c r="H1878" s="1">
        <v>-1.987252E-6</v>
      </c>
      <c r="I1878">
        <v>322.70600000000002</v>
      </c>
      <c r="J1878">
        <v>-191.41749999999999</v>
      </c>
      <c r="K1878">
        <v>1.1207039999999999</v>
      </c>
      <c r="L1878">
        <v>340.37970000000001</v>
      </c>
      <c r="M1878">
        <v>5.3539310000000001E-3</v>
      </c>
      <c r="N1878">
        <v>-1.361333E-2</v>
      </c>
      <c r="O1878">
        <v>-0.99989300000000003</v>
      </c>
      <c r="P1878">
        <v>-3.1238229999999999E-2</v>
      </c>
      <c r="Q1878">
        <v>-0.1119694</v>
      </c>
      <c r="R1878">
        <v>-0.99322069999999996</v>
      </c>
      <c r="S1878">
        <v>-0.17207339999999999</v>
      </c>
      <c r="T1878">
        <v>-0.1880558</v>
      </c>
      <c r="U1878">
        <v>-2.993744</v>
      </c>
      <c r="V1878">
        <v>3.6487489999999997E-2</v>
      </c>
      <c r="W1878">
        <v>-9.8465869999999997E-2</v>
      </c>
      <c r="X1878">
        <v>0.99447129999999995</v>
      </c>
      <c r="Y1878">
        <v>6.2626299999999996E-2</v>
      </c>
      <c r="Z1878">
        <v>4.898388E-2</v>
      </c>
      <c r="AA1878">
        <v>0.99683429999999995</v>
      </c>
      <c r="AB1878">
        <v>18</v>
      </c>
      <c r="AC1878">
        <v>-1.0259</v>
      </c>
      <c r="AD1878">
        <v>-1.120705987252</v>
      </c>
      <c r="AE1878">
        <v>-17.6737</v>
      </c>
      <c r="AF1878">
        <v>1.1160453429532999</v>
      </c>
      <c r="AG1878">
        <v>-1.120705987252</v>
      </c>
      <c r="AH1878">
        <v>17.597432796511601</v>
      </c>
      <c r="AI1878">
        <v>93.636717560550693</v>
      </c>
      <c r="AJ1878">
        <v>86.371109246676198</v>
      </c>
      <c r="AK1878">
        <v>17.668366651876301</v>
      </c>
      <c r="AL1878">
        <v>95.650835204156195</v>
      </c>
      <c r="AM1878">
        <v>87.898740929319899</v>
      </c>
      <c r="AN1878">
        <v>1.0000000155025199</v>
      </c>
    </row>
    <row r="1879" spans="1:40" x14ac:dyDescent="0.25">
      <c r="A1879" t="str">
        <f>"20190303154132380"</f>
        <v>20190303154132380</v>
      </c>
      <c r="B1879" t="str">
        <f>"1551598892371281"</f>
        <v>1551598892371281</v>
      </c>
      <c r="C1879" t="s">
        <v>40</v>
      </c>
      <c r="D1879">
        <v>5.9728199999999996</v>
      </c>
      <c r="E1879">
        <v>0.5105113</v>
      </c>
      <c r="F1879" t="s">
        <v>41</v>
      </c>
      <c r="G1879">
        <v>-192.43870000000001</v>
      </c>
      <c r="H1879" s="1">
        <v>-2.1295039999999998E-6</v>
      </c>
      <c r="I1879">
        <v>323.04050000000001</v>
      </c>
      <c r="J1879">
        <v>-191.41720000000001</v>
      </c>
      <c r="K1879">
        <v>1.12064599999999</v>
      </c>
      <c r="L1879">
        <v>340.18259999999998</v>
      </c>
      <c r="M1879">
        <v>4.754131E-3</v>
      </c>
      <c r="N1879">
        <v>-1.3330939999999999E-2</v>
      </c>
      <c r="O1879">
        <v>-0.99989989999999995</v>
      </c>
      <c r="P1879">
        <v>-3.2358079999999997E-2</v>
      </c>
      <c r="Q1879">
        <v>-0.1139049</v>
      </c>
      <c r="R1879">
        <v>-0.99296470000000003</v>
      </c>
      <c r="S1879">
        <v>-0.1762695</v>
      </c>
      <c r="T1879">
        <v>-0.19346150000000001</v>
      </c>
      <c r="U1879">
        <v>-2.9931640000000002</v>
      </c>
      <c r="V1879">
        <v>3.70114E-2</v>
      </c>
      <c r="W1879">
        <v>-0.1006847</v>
      </c>
      <c r="X1879">
        <v>0.99422969999999999</v>
      </c>
      <c r="Y1879">
        <v>6.3424889999999998E-2</v>
      </c>
      <c r="Z1879">
        <v>5.1067510000000003E-2</v>
      </c>
      <c r="AA1879">
        <v>0.99667919999999999</v>
      </c>
      <c r="AB1879">
        <v>18</v>
      </c>
      <c r="AC1879">
        <v>-1.0215000000000001</v>
      </c>
      <c r="AD1879">
        <v>-1.1206481295039901</v>
      </c>
      <c r="AE1879">
        <v>-17.1420999999999</v>
      </c>
      <c r="AF1879">
        <v>1.0983141544483399</v>
      </c>
      <c r="AG1879">
        <v>-1.1206481295039901</v>
      </c>
      <c r="AH1879">
        <v>17.0643784026202</v>
      </c>
      <c r="AI1879">
        <v>93.749584335180003</v>
      </c>
      <c r="AJ1879">
        <v>86.317352826043603</v>
      </c>
      <c r="AK1879">
        <v>17.136369407778101</v>
      </c>
      <c r="AL1879">
        <v>95.778600047897797</v>
      </c>
      <c r="AM1879">
        <v>87.868079921712393</v>
      </c>
      <c r="AN1879">
        <v>0.99999997445306898</v>
      </c>
    </row>
    <row r="1880" spans="1:40" x14ac:dyDescent="0.25">
      <c r="A1880" t="str">
        <f>"20190303154132402"</f>
        <v>20190303154132402</v>
      </c>
      <c r="B1880" t="str">
        <f>"1551598892390800"</f>
        <v>1551598892390800</v>
      </c>
      <c r="C1880" t="s">
        <v>40</v>
      </c>
      <c r="D1880">
        <v>5.9911560000000001</v>
      </c>
      <c r="E1880">
        <v>0.51063599999999998</v>
      </c>
      <c r="F1880" t="s">
        <v>41</v>
      </c>
      <c r="G1880">
        <v>-192.4288</v>
      </c>
      <c r="H1880" s="1">
        <v>-2.2968359999999999E-6</v>
      </c>
      <c r="I1880">
        <v>323.43669999999997</v>
      </c>
      <c r="J1880">
        <v>-191.417</v>
      </c>
      <c r="K1880">
        <v>1.1206</v>
      </c>
      <c r="L1880">
        <v>340.00299999999999</v>
      </c>
      <c r="M1880">
        <v>4.2183000000000003E-3</v>
      </c>
      <c r="N1880">
        <v>-1.3039490000000001E-2</v>
      </c>
      <c r="O1880">
        <v>-0.99990610000000002</v>
      </c>
      <c r="P1880">
        <v>-3.3066749999999999E-2</v>
      </c>
      <c r="Q1880">
        <v>-0.114383</v>
      </c>
      <c r="R1880">
        <v>-0.99288639999999995</v>
      </c>
      <c r="S1880">
        <v>-0.18075559999999999</v>
      </c>
      <c r="T1880">
        <v>-0.2002544</v>
      </c>
      <c r="U1880">
        <v>-2.9924010000000001</v>
      </c>
      <c r="V1880">
        <v>3.7190380000000002E-2</v>
      </c>
      <c r="W1880">
        <v>-0.10145220000000001</v>
      </c>
      <c r="X1880">
        <v>0.99414499999999995</v>
      </c>
      <c r="Y1880">
        <v>6.4385159999999997E-2</v>
      </c>
      <c r="Z1880">
        <v>5.3623259999999999E-2</v>
      </c>
      <c r="AA1880">
        <v>0.99648340000000002</v>
      </c>
      <c r="AB1880">
        <v>18</v>
      </c>
      <c r="AC1880">
        <v>-1.01179999999999</v>
      </c>
      <c r="AD1880">
        <v>-1.1206022968359901</v>
      </c>
      <c r="AE1880">
        <v>-16.566299999999998</v>
      </c>
      <c r="AF1880">
        <v>1.0767699575249801</v>
      </c>
      <c r="AG1880">
        <v>-1.1206022968359901</v>
      </c>
      <c r="AH1880">
        <v>16.486727149360899</v>
      </c>
      <c r="AI1880">
        <v>93.880170117317405</v>
      </c>
      <c r="AJ1880">
        <v>86.263243953418097</v>
      </c>
      <c r="AK1880">
        <v>16.559811446588899</v>
      </c>
      <c r="AL1880">
        <v>95.822800876810206</v>
      </c>
      <c r="AM1880">
        <v>87.857597604547195</v>
      </c>
      <c r="AN1880">
        <v>0.99999997713719102</v>
      </c>
    </row>
    <row r="1881" spans="1:40" x14ac:dyDescent="0.25">
      <c r="A1881" t="str">
        <f>"20190303154132426"</f>
        <v>20190303154132426</v>
      </c>
      <c r="B1881" t="str">
        <f>"1551598892421056"</f>
        <v>1551598892421056</v>
      </c>
      <c r="C1881" t="s">
        <v>40</v>
      </c>
      <c r="D1881">
        <v>5.913392</v>
      </c>
      <c r="E1881">
        <v>0.5109032</v>
      </c>
      <c r="F1881" t="s">
        <v>41</v>
      </c>
      <c r="G1881">
        <v>-192.4341</v>
      </c>
      <c r="H1881" s="1">
        <v>-2.3135119999999999E-6</v>
      </c>
      <c r="I1881">
        <v>323.47230000000002</v>
      </c>
      <c r="J1881">
        <v>-191.4169</v>
      </c>
      <c r="K1881">
        <v>1.1205719999999999</v>
      </c>
      <c r="L1881">
        <v>339.80309999999997</v>
      </c>
      <c r="M1881">
        <v>3.6356880000000002E-3</v>
      </c>
      <c r="N1881">
        <v>-1.2696819999999999E-2</v>
      </c>
      <c r="O1881">
        <v>-0.99991289999999999</v>
      </c>
      <c r="P1881">
        <v>-3.3306080000000002E-2</v>
      </c>
      <c r="Q1881">
        <v>-0.1130148</v>
      </c>
      <c r="R1881">
        <v>-0.99303509999999995</v>
      </c>
      <c r="S1881">
        <v>-0.184082</v>
      </c>
      <c r="T1881">
        <v>-0.2028257</v>
      </c>
      <c r="U1881">
        <v>-2.9920040000000001</v>
      </c>
      <c r="V1881">
        <v>3.6855720000000002E-2</v>
      </c>
      <c r="W1881">
        <v>-0.1004212</v>
      </c>
      <c r="X1881">
        <v>0.99426219999999998</v>
      </c>
      <c r="Y1881">
        <v>6.4911780000000002E-2</v>
      </c>
      <c r="Z1881">
        <v>5.482385E-2</v>
      </c>
      <c r="AA1881">
        <v>0.99638380000000004</v>
      </c>
      <c r="AB1881">
        <v>18</v>
      </c>
      <c r="AC1881">
        <v>-1.0172000000000001</v>
      </c>
      <c r="AD1881">
        <v>-1.1205743135120001</v>
      </c>
      <c r="AE1881">
        <v>-16.330799999999901</v>
      </c>
      <c r="AF1881">
        <v>1.07154606044726</v>
      </c>
      <c r="AG1881">
        <v>-1.1205743135120001</v>
      </c>
      <c r="AH1881">
        <v>16.250775307360499</v>
      </c>
      <c r="AI1881">
        <v>93.936073390961099</v>
      </c>
      <c r="AJ1881">
        <v>86.227483401649195</v>
      </c>
      <c r="AK1881">
        <v>16.324570311100999</v>
      </c>
      <c r="AL1881">
        <v>95.763425311347007</v>
      </c>
      <c r="AM1881">
        <v>87.877108464814995</v>
      </c>
      <c r="AN1881">
        <v>1.0000000419274899</v>
      </c>
    </row>
    <row r="1882" spans="1:40" x14ac:dyDescent="0.25">
      <c r="A1882" t="str">
        <f>"20190303154132448"</f>
        <v>20190303154132448</v>
      </c>
      <c r="B1882" t="str">
        <f>"1551598892441552"</f>
        <v>1551598892441552</v>
      </c>
      <c r="C1882" t="s">
        <v>40</v>
      </c>
      <c r="D1882">
        <v>5.8286410000000002</v>
      </c>
      <c r="E1882">
        <v>0.51110699999999998</v>
      </c>
      <c r="F1882" t="s">
        <v>41</v>
      </c>
      <c r="G1882">
        <v>-192.4684</v>
      </c>
      <c r="H1882" s="1">
        <v>-2.098311E-6</v>
      </c>
      <c r="I1882">
        <v>322.94940000000003</v>
      </c>
      <c r="J1882">
        <v>-191.41679999999999</v>
      </c>
      <c r="K1882">
        <v>1.1205459999999901</v>
      </c>
      <c r="L1882">
        <v>339.63159999999999</v>
      </c>
      <c r="M1882">
        <v>3.1525279999999999E-3</v>
      </c>
      <c r="N1882">
        <v>-1.237545E-2</v>
      </c>
      <c r="O1882">
        <v>-0.99991859999999999</v>
      </c>
      <c r="P1882">
        <v>-3.3283100000000003E-2</v>
      </c>
      <c r="Q1882">
        <v>-0.110794</v>
      </c>
      <c r="R1882">
        <v>-0.993286</v>
      </c>
      <c r="S1882">
        <v>-0.18667600000000001</v>
      </c>
      <c r="T1882">
        <v>-0.19893939999999999</v>
      </c>
      <c r="U1882">
        <v>-2.9920960000000001</v>
      </c>
      <c r="V1882">
        <v>3.6356869999999999E-2</v>
      </c>
      <c r="W1882">
        <v>-9.8515800000000001E-2</v>
      </c>
      <c r="X1882">
        <v>0.99447110000000005</v>
      </c>
      <c r="Y1882">
        <v>6.5292840000000005E-2</v>
      </c>
      <c r="Z1882">
        <v>5.3851980000000001E-2</v>
      </c>
      <c r="AA1882">
        <v>0.99641199999999996</v>
      </c>
      <c r="AB1882">
        <v>18</v>
      </c>
      <c r="AC1882">
        <v>-1.0516000000000001</v>
      </c>
      <c r="AD1882">
        <v>-1.1205480983110001</v>
      </c>
      <c r="AE1882">
        <v>-16.682199999999899</v>
      </c>
      <c r="AF1882">
        <v>1.09924987894027</v>
      </c>
      <c r="AG1882">
        <v>-1.1205480983110001</v>
      </c>
      <c r="AH1882">
        <v>16.6041826203931</v>
      </c>
      <c r="AI1882">
        <v>93.852395273027497</v>
      </c>
      <c r="AJ1882">
        <v>86.212363656872697</v>
      </c>
      <c r="AK1882">
        <v>16.678215097196201</v>
      </c>
      <c r="AL1882">
        <v>95.653710179143999</v>
      </c>
      <c r="AM1882">
        <v>87.9062560089708</v>
      </c>
      <c r="AN1882">
        <v>0.99999997679052299</v>
      </c>
    </row>
    <row r="1883" spans="1:40" x14ac:dyDescent="0.25">
      <c r="A1883" t="str">
        <f>"20190303154132535"</f>
        <v>20190303154132535</v>
      </c>
      <c r="B1883" t="str">
        <f>"1551598892531344"</f>
        <v>1551598892531344</v>
      </c>
      <c r="C1883" t="s">
        <v>40</v>
      </c>
      <c r="D1883">
        <v>6.0432610000000002</v>
      </c>
      <c r="E1883">
        <v>0.57988499999999998</v>
      </c>
      <c r="F1883" t="s">
        <v>41</v>
      </c>
      <c r="G1883">
        <v>-192.51580000000001</v>
      </c>
      <c r="H1883" s="1">
        <v>-1.7806740000000001E-6</v>
      </c>
      <c r="I1883">
        <v>322.17950000000002</v>
      </c>
      <c r="J1883">
        <v>-191.41730000000001</v>
      </c>
      <c r="K1883">
        <v>1.120325</v>
      </c>
      <c r="L1883">
        <v>338.91579999999999</v>
      </c>
      <c r="M1883">
        <v>1.2986219999999999E-3</v>
      </c>
      <c r="N1883">
        <v>-1.0591440000000001E-2</v>
      </c>
      <c r="O1883">
        <v>-0.99994320000000003</v>
      </c>
      <c r="P1883">
        <v>-3.4358239999999998E-2</v>
      </c>
      <c r="Q1883">
        <v>-0.10486769999999999</v>
      </c>
      <c r="R1883">
        <v>-0.99389269999999996</v>
      </c>
      <c r="S1883">
        <v>-0.188446</v>
      </c>
      <c r="T1883">
        <v>-0.1921399</v>
      </c>
      <c r="U1883">
        <v>-2.9924930000000001</v>
      </c>
      <c r="V1883">
        <v>3.5596599999999999E-2</v>
      </c>
      <c r="W1883">
        <v>-9.4355369999999994E-2</v>
      </c>
      <c r="X1883">
        <v>0.99490199999999995</v>
      </c>
      <c r="Y1883">
        <v>6.4029630000000004E-2</v>
      </c>
      <c r="Z1883">
        <v>5.337273E-2</v>
      </c>
      <c r="AA1883">
        <v>0.99651970000000001</v>
      </c>
      <c r="AB1883">
        <v>18</v>
      </c>
      <c r="AC1883">
        <v>-1.0985</v>
      </c>
      <c r="AD1883">
        <v>-1.120326780674</v>
      </c>
      <c r="AE1883">
        <v>-16.7362999999999</v>
      </c>
      <c r="AF1883">
        <v>1.1152584318104499</v>
      </c>
      <c r="AG1883">
        <v>-1.120326780674</v>
      </c>
      <c r="AH1883">
        <v>16.6605244570186</v>
      </c>
      <c r="AI1883">
        <v>93.838463456725904</v>
      </c>
      <c r="AJ1883">
        <v>86.170323885254504</v>
      </c>
      <c r="AK1883">
        <v>16.735352062270302</v>
      </c>
      <c r="AL1883">
        <v>95.414218456064901</v>
      </c>
      <c r="AM1883">
        <v>87.950888310416701</v>
      </c>
      <c r="AN1883">
        <v>1.00000002169169</v>
      </c>
    </row>
    <row r="1884" spans="1:40" x14ac:dyDescent="0.25">
      <c r="A1884" t="str">
        <f>"20190303154132581"</f>
        <v>20190303154132581</v>
      </c>
      <c r="B1884" t="str">
        <f>"1551598892571361"</f>
        <v>1551598892571361</v>
      </c>
      <c r="C1884" t="s">
        <v>40</v>
      </c>
      <c r="D1884">
        <v>5.8200859999999999</v>
      </c>
      <c r="E1884">
        <v>0.54847259999999998</v>
      </c>
      <c r="F1884" t="s">
        <v>47</v>
      </c>
      <c r="G1884">
        <v>-249.7217</v>
      </c>
      <c r="H1884">
        <v>58.94511</v>
      </c>
      <c r="I1884">
        <v>97.150040000000004</v>
      </c>
      <c r="J1884">
        <v>-191.4179</v>
      </c>
      <c r="K1884">
        <v>1.1201920000000001</v>
      </c>
      <c r="L1884">
        <v>338.53840000000002</v>
      </c>
      <c r="M1884">
        <v>3.758112E-4</v>
      </c>
      <c r="N1884">
        <v>-9.504317E-3</v>
      </c>
      <c r="O1884">
        <v>-0.99995489999999998</v>
      </c>
      <c r="P1884">
        <v>-3.6294779999999999E-2</v>
      </c>
      <c r="Q1884">
        <v>-0.1027724</v>
      </c>
      <c r="R1884">
        <v>-0.9940426</v>
      </c>
      <c r="S1884">
        <v>-0.74043269999999906</v>
      </c>
      <c r="T1884">
        <v>0.73434080000000002</v>
      </c>
      <c r="U1884">
        <v>-3.0702820000000002</v>
      </c>
      <c r="V1884">
        <v>3.6616599999999999E-2</v>
      </c>
      <c r="W1884">
        <v>-9.3340560000000003E-2</v>
      </c>
      <c r="X1884">
        <v>0.99496070000000003</v>
      </c>
      <c r="Y1884">
        <v>0.2284419</v>
      </c>
      <c r="Z1884">
        <v>-0.23570450000000001</v>
      </c>
      <c r="AA1884">
        <v>0.94459389999999999</v>
      </c>
      <c r="AB1884">
        <v>19</v>
      </c>
      <c r="AC1884">
        <v>-58.303800000000003</v>
      </c>
      <c r="AD1884">
        <v>57.824917999999997</v>
      </c>
      <c r="AE1884">
        <v>-241.38836000000001</v>
      </c>
      <c r="AF1884">
        <v>55.391120160338197</v>
      </c>
      <c r="AG1884">
        <v>57.824917999999997</v>
      </c>
      <c r="AH1884">
        <v>228.95226792595099</v>
      </c>
      <c r="AI1884">
        <v>76.207695009167395</v>
      </c>
      <c r="AJ1884">
        <v>76.399589299329804</v>
      </c>
      <c r="AK1884">
        <v>242.551104558936</v>
      </c>
      <c r="AL1884">
        <v>95.355816405223294</v>
      </c>
      <c r="AM1884">
        <v>87.892348664037598</v>
      </c>
      <c r="AN1884">
        <v>1.0000000150405799</v>
      </c>
    </row>
    <row r="1885" spans="1:40" x14ac:dyDescent="0.25">
      <c r="A1885" t="str">
        <f>"20190303154132602"</f>
        <v>20190303154132602</v>
      </c>
      <c r="B1885" t="str">
        <f>"1551598892590884"</f>
        <v>1551598892590884</v>
      </c>
      <c r="C1885" t="s">
        <v>40</v>
      </c>
      <c r="D1885">
        <v>5.9831459999999996</v>
      </c>
      <c r="E1885">
        <v>0.54388309999999995</v>
      </c>
      <c r="F1885" t="s">
        <v>48</v>
      </c>
      <c r="G1885">
        <v>-227.5402</v>
      </c>
      <c r="H1885">
        <v>5.468985</v>
      </c>
      <c r="I1885">
        <v>119.3841</v>
      </c>
      <c r="J1885">
        <v>-191.41839999999999</v>
      </c>
      <c r="K1885">
        <v>1.1201299999999901</v>
      </c>
      <c r="L1885">
        <v>338.34859999999998</v>
      </c>
      <c r="M1885" s="1">
        <v>-8.1755159999999895E-5</v>
      </c>
      <c r="N1885">
        <v>-8.9721079999999995E-3</v>
      </c>
      <c r="O1885">
        <v>-0.99995959999999995</v>
      </c>
      <c r="P1885">
        <v>-3.7320190000000003E-2</v>
      </c>
      <c r="Q1885">
        <v>-0.10239230000000001</v>
      </c>
      <c r="R1885">
        <v>-0.99404349999999997</v>
      </c>
      <c r="S1885">
        <v>-0.49546810000000002</v>
      </c>
      <c r="T1885">
        <v>5.9649939999999999E-2</v>
      </c>
      <c r="U1885">
        <v>-3.0060120000000001</v>
      </c>
      <c r="V1885">
        <v>3.7186570000000002E-2</v>
      </c>
      <c r="W1885">
        <v>-9.3490290000000004E-2</v>
      </c>
      <c r="X1885">
        <v>0.99492550000000002</v>
      </c>
      <c r="Y1885">
        <v>0.1624921</v>
      </c>
      <c r="Z1885">
        <v>-2.8545290000000001E-2</v>
      </c>
      <c r="AA1885">
        <v>0.98629679999999997</v>
      </c>
      <c r="AB1885">
        <v>19</v>
      </c>
      <c r="AC1885">
        <v>-36.1218</v>
      </c>
      <c r="AD1885">
        <v>4.3488550000000004</v>
      </c>
      <c r="AE1885">
        <v>-218.96449999999999</v>
      </c>
      <c r="AF1885">
        <v>36.0900387744989</v>
      </c>
      <c r="AG1885">
        <v>4.3488550000000004</v>
      </c>
      <c r="AH1885">
        <v>218.88339931053599</v>
      </c>
      <c r="AI1885">
        <v>88.876935975477195</v>
      </c>
      <c r="AJ1885">
        <v>80.637169697454297</v>
      </c>
      <c r="AK1885">
        <v>221.881378065604</v>
      </c>
      <c r="AL1885">
        <v>95.364432991915905</v>
      </c>
      <c r="AM1885">
        <v>87.859495818108002</v>
      </c>
      <c r="AN1885">
        <v>1.0000000129314399</v>
      </c>
    </row>
    <row r="1886" spans="1:40" x14ac:dyDescent="0.25">
      <c r="A1886" t="str">
        <f>"20190303154132638"</f>
        <v>20190303154132638</v>
      </c>
      <c r="B1886" t="str">
        <f>"1551598892630897"</f>
        <v>1551598892630897</v>
      </c>
      <c r="C1886" t="s">
        <v>40</v>
      </c>
      <c r="D1886">
        <v>5.9082499999999998</v>
      </c>
      <c r="E1886">
        <v>0.53413920000000004</v>
      </c>
      <c r="F1886" t="s">
        <v>48</v>
      </c>
      <c r="G1886">
        <v>-226.2859</v>
      </c>
      <c r="H1886">
        <v>5.9519820000000001</v>
      </c>
      <c r="I1886">
        <v>111.51519999999999</v>
      </c>
      <c r="J1886">
        <v>-191.41929999999999</v>
      </c>
      <c r="K1886">
        <v>1.1200369999999999</v>
      </c>
      <c r="L1886">
        <v>338.05360000000002</v>
      </c>
      <c r="M1886">
        <v>-7.8656029999999897E-4</v>
      </c>
      <c r="N1886">
        <v>-8.1775609999999999E-3</v>
      </c>
      <c r="O1886">
        <v>-0.99996629999999997</v>
      </c>
      <c r="P1886">
        <v>-3.8841849999999997E-2</v>
      </c>
      <c r="Q1886">
        <v>-0.1004635</v>
      </c>
      <c r="R1886">
        <v>-0.99418229999999996</v>
      </c>
      <c r="S1886">
        <v>-0.46224979999999899</v>
      </c>
      <c r="T1886">
        <v>6.4057470000000005E-2</v>
      </c>
      <c r="U1886">
        <v>-3.0072019999999999</v>
      </c>
      <c r="V1886">
        <v>3.8006970000000001E-2</v>
      </c>
      <c r="W1886">
        <v>-9.2351660000000002E-2</v>
      </c>
      <c r="X1886">
        <v>0.99500080000000002</v>
      </c>
      <c r="Y1886">
        <v>0.15109529999999999</v>
      </c>
      <c r="Z1886">
        <v>-2.9225210000000001E-2</v>
      </c>
      <c r="AA1886">
        <v>0.9880871</v>
      </c>
      <c r="AB1886">
        <v>19</v>
      </c>
      <c r="AC1886">
        <v>-34.866599999999998</v>
      </c>
      <c r="AD1886">
        <v>4.8319449999999904</v>
      </c>
      <c r="AE1886">
        <v>-226.5384</v>
      </c>
      <c r="AF1886">
        <v>34.6729878204549</v>
      </c>
      <c r="AG1886">
        <v>4.8319449999999904</v>
      </c>
      <c r="AH1886">
        <v>226.465110140148</v>
      </c>
      <c r="AI1886">
        <v>88.79177593467</v>
      </c>
      <c r="AJ1886">
        <v>81.295313837929797</v>
      </c>
      <c r="AK1886">
        <v>229.15499097263799</v>
      </c>
      <c r="AL1886">
        <v>95.298911012371804</v>
      </c>
      <c r="AM1886">
        <v>87.812483385409294</v>
      </c>
      <c r="AN1886">
        <v>0.99999997543698804</v>
      </c>
    </row>
    <row r="1887" spans="1:40" x14ac:dyDescent="0.25">
      <c r="A1887" t="str">
        <f>"20190303154132659"</f>
        <v>20190303154132659</v>
      </c>
      <c r="B1887" t="str">
        <f>"1551598892651393"</f>
        <v>1551598892651393</v>
      </c>
      <c r="C1887" t="s">
        <v>40</v>
      </c>
      <c r="D1887">
        <v>6.0002680000000002</v>
      </c>
      <c r="E1887">
        <v>0.53142419999999901</v>
      </c>
      <c r="F1887" t="s">
        <v>49</v>
      </c>
      <c r="G1887">
        <v>-202.9665</v>
      </c>
      <c r="H1887">
        <v>0.60864449999999903</v>
      </c>
      <c r="I1887">
        <v>249.03639999999999</v>
      </c>
      <c r="J1887">
        <v>-191.41990000000001</v>
      </c>
      <c r="K1887">
        <v>1.1199840000000001</v>
      </c>
      <c r="L1887">
        <v>337.86989999999997</v>
      </c>
      <c r="M1887">
        <v>-1.2225809999999999E-3</v>
      </c>
      <c r="N1887">
        <v>-7.6995859999999996E-3</v>
      </c>
      <c r="O1887">
        <v>-0.99996969999999996</v>
      </c>
      <c r="P1887">
        <v>-3.932443E-2</v>
      </c>
      <c r="Q1887">
        <v>-0.10001450000000001</v>
      </c>
      <c r="R1887">
        <v>-0.9942086</v>
      </c>
      <c r="S1887">
        <v>-0.38923649999999999</v>
      </c>
      <c r="T1887">
        <v>-1.7238139999999999E-2</v>
      </c>
      <c r="U1887">
        <v>-3.00061</v>
      </c>
      <c r="V1887">
        <v>3.8055199999999997E-2</v>
      </c>
      <c r="W1887">
        <v>-9.2378290000000002E-2</v>
      </c>
      <c r="X1887">
        <v>0.99499649999999995</v>
      </c>
      <c r="Y1887">
        <v>0.1274219</v>
      </c>
      <c r="Z1887">
        <v>-2.001526E-3</v>
      </c>
      <c r="AA1887">
        <v>0.99184660000000002</v>
      </c>
      <c r="AB1887">
        <v>19</v>
      </c>
      <c r="AC1887">
        <v>-11.5465999999999</v>
      </c>
      <c r="AD1887">
        <v>-0.51133949999999995</v>
      </c>
      <c r="AE1887">
        <v>-88.833499999999901</v>
      </c>
      <c r="AF1887">
        <v>11.4376093412326</v>
      </c>
      <c r="AG1887">
        <v>-0.51133949999999995</v>
      </c>
      <c r="AH1887">
        <v>88.844655864918707</v>
      </c>
      <c r="AI1887">
        <v>90.327059378951503</v>
      </c>
      <c r="AJ1887">
        <v>82.664251820404999</v>
      </c>
      <c r="AK1887">
        <v>89.579312630108703</v>
      </c>
      <c r="AL1887">
        <v>95.300443267434005</v>
      </c>
      <c r="AM1887">
        <v>87.809700720973495</v>
      </c>
      <c r="AN1887">
        <v>0.99999999086130698</v>
      </c>
    </row>
    <row r="1888" spans="1:40" x14ac:dyDescent="0.25">
      <c r="A1888" t="str">
        <f>"20190303154132680"</f>
        <v>20190303154132680</v>
      </c>
      <c r="B1888" t="str">
        <f>"1551598892670916"</f>
        <v>1551598892670916</v>
      </c>
      <c r="C1888" t="s">
        <v>40</v>
      </c>
      <c r="D1888">
        <v>5.9741229999999996</v>
      </c>
      <c r="E1888">
        <v>0.52985859999999996</v>
      </c>
      <c r="F1888" t="s">
        <v>41</v>
      </c>
      <c r="G1888">
        <v>-201.39160000000001</v>
      </c>
      <c r="H1888">
        <v>7.9986249999999995E-2</v>
      </c>
      <c r="I1888">
        <v>256.7527</v>
      </c>
      <c r="J1888">
        <v>-191.42060000000001</v>
      </c>
      <c r="K1888">
        <v>1.119928</v>
      </c>
      <c r="L1888">
        <v>337.67919999999998</v>
      </c>
      <c r="M1888">
        <v>-1.6735739999999999E-3</v>
      </c>
      <c r="N1888">
        <v>-7.2259730000000001E-3</v>
      </c>
      <c r="O1888">
        <v>-0.9999728</v>
      </c>
      <c r="P1888">
        <v>-4.0438960000000003E-2</v>
      </c>
      <c r="Q1888">
        <v>-9.9813769999999996E-2</v>
      </c>
      <c r="R1888">
        <v>-0.99418439999999997</v>
      </c>
      <c r="S1888">
        <v>-0.36866759999999998</v>
      </c>
      <c r="T1888">
        <v>-3.8450239999999997E-2</v>
      </c>
      <c r="U1888">
        <v>-2.9990230000000002</v>
      </c>
      <c r="V1888">
        <v>3.8720379999999999E-2</v>
      </c>
      <c r="W1888">
        <v>-9.2649570000000001E-2</v>
      </c>
      <c r="X1888">
        <v>0.99494559999999999</v>
      </c>
      <c r="Y1888">
        <v>0.120339</v>
      </c>
      <c r="Z1888">
        <v>5.5003999999999999E-3</v>
      </c>
      <c r="AA1888">
        <v>0.99271759999999998</v>
      </c>
      <c r="AB1888">
        <v>19</v>
      </c>
      <c r="AC1888">
        <v>-9.9710000000000001</v>
      </c>
      <c r="AD1888">
        <v>-1.0399417500000001</v>
      </c>
      <c r="AE1888">
        <v>-80.926499999999905</v>
      </c>
      <c r="AF1888">
        <v>9.8339464198939694</v>
      </c>
      <c r="AG1888">
        <v>-1.0399417500000001</v>
      </c>
      <c r="AH1888">
        <v>80.929909866590407</v>
      </c>
      <c r="AI1888">
        <v>90.730829830540401</v>
      </c>
      <c r="AJ1888">
        <v>83.071846616170404</v>
      </c>
      <c r="AK1888">
        <v>81.531823799343499</v>
      </c>
      <c r="AL1888">
        <v>95.316053476794806</v>
      </c>
      <c r="AM1888">
        <v>87.771340098640096</v>
      </c>
      <c r="AN1888">
        <v>0.99999997880394398</v>
      </c>
    </row>
    <row r="1889" spans="1:40" x14ac:dyDescent="0.25">
      <c r="A1889" t="str">
        <f>"20190303154132703"</f>
        <v>20190303154132703</v>
      </c>
      <c r="B1889" t="str">
        <f>"1551598892691408"</f>
        <v>1551598892691408</v>
      </c>
      <c r="C1889" t="s">
        <v>40</v>
      </c>
      <c r="D1889">
        <v>6.0034369999999999</v>
      </c>
      <c r="E1889">
        <v>0.52823279999999995</v>
      </c>
      <c r="F1889" t="s">
        <v>46</v>
      </c>
      <c r="G1889">
        <v>-198.98070000000001</v>
      </c>
      <c r="H1889" s="1">
        <v>4.1699679999999998E-6</v>
      </c>
      <c r="I1889">
        <v>274.63350000000003</v>
      </c>
      <c r="J1889">
        <v>-191.42150000000001</v>
      </c>
      <c r="K1889">
        <v>1.119882</v>
      </c>
      <c r="L1889">
        <v>337.48419999999999</v>
      </c>
      <c r="M1889">
        <v>-2.1338360000000001E-3</v>
      </c>
      <c r="N1889">
        <v>-6.7706379999999998E-3</v>
      </c>
      <c r="O1889">
        <v>-0.9999749</v>
      </c>
      <c r="P1889">
        <v>-4.0845010000000001E-2</v>
      </c>
      <c r="Q1889">
        <v>-9.9873240000000002E-2</v>
      </c>
      <c r="R1889">
        <v>-0.99416170000000004</v>
      </c>
      <c r="S1889">
        <v>-0.35945129999999997</v>
      </c>
      <c r="T1889">
        <v>-5.3248289999999997E-2</v>
      </c>
      <c r="U1889">
        <v>-2.9975890000000001</v>
      </c>
      <c r="V1889">
        <v>3.8667699999999999E-2</v>
      </c>
      <c r="W1889">
        <v>-9.3162480000000006E-2</v>
      </c>
      <c r="X1889">
        <v>0.99489970000000005</v>
      </c>
      <c r="Y1889">
        <v>0.1169249</v>
      </c>
      <c r="Z1889">
        <v>1.0867659999999999E-2</v>
      </c>
      <c r="AA1889">
        <v>0.99308129999999994</v>
      </c>
      <c r="AB1889">
        <v>19</v>
      </c>
      <c r="AC1889">
        <v>-7.5591999999999997</v>
      </c>
      <c r="AD1889">
        <v>-1.119877830032</v>
      </c>
      <c r="AE1889">
        <v>-62.850699999999897</v>
      </c>
      <c r="AF1889">
        <v>7.4227436475022497</v>
      </c>
      <c r="AG1889">
        <v>-1.119877830032</v>
      </c>
      <c r="AH1889">
        <v>62.847018991631103</v>
      </c>
      <c r="AI1889">
        <v>91.013806568003503</v>
      </c>
      <c r="AJ1889">
        <v>83.264108020455396</v>
      </c>
      <c r="AK1889">
        <v>63.293752027709402</v>
      </c>
      <c r="AL1889">
        <v>95.3455689966314</v>
      </c>
      <c r="AM1889">
        <v>87.774266615381407</v>
      </c>
      <c r="AN1889">
        <v>0.99999992588156195</v>
      </c>
    </row>
    <row r="1890" spans="1:40" x14ac:dyDescent="0.25">
      <c r="A1890" t="str">
        <f>"20190303154132726"</f>
        <v>20190303154132726</v>
      </c>
      <c r="B1890" t="str">
        <f>"1551598892721665"</f>
        <v>1551598892721665</v>
      </c>
      <c r="C1890" t="s">
        <v>40</v>
      </c>
      <c r="D1890">
        <v>6.0425620000000002</v>
      </c>
      <c r="E1890">
        <v>0.52583269999999904</v>
      </c>
      <c r="F1890" t="s">
        <v>46</v>
      </c>
      <c r="G1890">
        <v>-196.83709999999999</v>
      </c>
      <c r="H1890" s="1">
        <v>1.885577E-6</v>
      </c>
      <c r="I1890">
        <v>290.83030000000002</v>
      </c>
      <c r="J1890">
        <v>-191.42250000000001</v>
      </c>
      <c r="K1890">
        <v>1.1198399999999999</v>
      </c>
      <c r="L1890">
        <v>337.2799</v>
      </c>
      <c r="M1890">
        <v>-2.6153209999999999E-3</v>
      </c>
      <c r="N1890">
        <v>-6.3300550000000002E-3</v>
      </c>
      <c r="O1890">
        <v>-0.99997659999999999</v>
      </c>
      <c r="P1890">
        <v>-4.1168089999999997E-2</v>
      </c>
      <c r="Q1890">
        <v>-9.9614060000000004E-2</v>
      </c>
      <c r="R1890">
        <v>-0.99417440000000001</v>
      </c>
      <c r="S1890">
        <v>-0.34779359999999998</v>
      </c>
      <c r="T1890">
        <v>-7.1918850000000006E-2</v>
      </c>
      <c r="U1890">
        <v>-2.996124</v>
      </c>
      <c r="V1890">
        <v>3.8510910000000002E-2</v>
      </c>
      <c r="W1890">
        <v>-9.3341729999999998E-2</v>
      </c>
      <c r="X1890">
        <v>0.99488909999999997</v>
      </c>
      <c r="Y1890">
        <v>0.11268019999999999</v>
      </c>
      <c r="Z1890">
        <v>1.7512750000000001E-2</v>
      </c>
      <c r="AA1890">
        <v>0.99347700000000005</v>
      </c>
      <c r="AB1890">
        <v>20</v>
      </c>
      <c r="AC1890">
        <v>-5.4145999999999699</v>
      </c>
      <c r="AD1890">
        <v>-1.1198381144230001</v>
      </c>
      <c r="AE1890">
        <v>-46.449599999999897</v>
      </c>
      <c r="AF1890">
        <v>5.2900649267497704</v>
      </c>
      <c r="AG1890">
        <v>-1.1198381144230001</v>
      </c>
      <c r="AH1890">
        <v>46.4369737091872</v>
      </c>
      <c r="AI1890">
        <v>91.372558806542699</v>
      </c>
      <c r="AJ1890">
        <v>83.500925606171506</v>
      </c>
      <c r="AK1890">
        <v>46.750736374943699</v>
      </c>
      <c r="AL1890">
        <v>95.3558835741796</v>
      </c>
      <c r="AM1890">
        <v>87.7832589153399</v>
      </c>
      <c r="AN1890">
        <v>1.00000004502361</v>
      </c>
    </row>
    <row r="1891" spans="1:40" x14ac:dyDescent="0.25">
      <c r="A1891" t="str">
        <f>"20190303154132748"</f>
        <v>20190303154132748</v>
      </c>
      <c r="B1891" t="str">
        <f>"1551598892741185"</f>
        <v>1551598892741185</v>
      </c>
      <c r="C1891" t="s">
        <v>40</v>
      </c>
      <c r="D1891">
        <v>6.0094459999999996</v>
      </c>
      <c r="E1891">
        <v>0.52467730000000001</v>
      </c>
      <c r="F1891" t="s">
        <v>41</v>
      </c>
      <c r="G1891">
        <v>-195.1454</v>
      </c>
      <c r="H1891" s="1">
        <v>-3.0197449999999998E-6</v>
      </c>
      <c r="I1891">
        <v>303.43689999999998</v>
      </c>
      <c r="J1891">
        <v>-191.42349999999999</v>
      </c>
      <c r="K1891">
        <v>1.1197969999999999</v>
      </c>
      <c r="L1891">
        <v>337.08460000000002</v>
      </c>
      <c r="M1891">
        <v>-3.0746229999999999E-3</v>
      </c>
      <c r="N1891">
        <v>-5.9485959999999996E-3</v>
      </c>
      <c r="O1891">
        <v>-0.99997780000000003</v>
      </c>
      <c r="P1891">
        <v>-4.0707899999999998E-2</v>
      </c>
      <c r="Q1891">
        <v>-9.8443310000000006E-2</v>
      </c>
      <c r="R1891">
        <v>-0.99431000000000003</v>
      </c>
      <c r="S1891">
        <v>-0.32936100000000001</v>
      </c>
      <c r="T1891">
        <v>-9.9070069999999996E-2</v>
      </c>
      <c r="U1891">
        <v>-2.9940190000000002</v>
      </c>
      <c r="V1891">
        <v>3.7593090000000003E-2</v>
      </c>
      <c r="W1891">
        <v>-9.2549450000000005E-2</v>
      </c>
      <c r="X1891">
        <v>0.99499820000000005</v>
      </c>
      <c r="Y1891">
        <v>0.106238</v>
      </c>
      <c r="Z1891">
        <v>2.6933430000000001E-2</v>
      </c>
      <c r="AA1891">
        <v>0.99397590000000002</v>
      </c>
      <c r="AB1891">
        <v>20</v>
      </c>
      <c r="AC1891">
        <v>-3.7219000000000002</v>
      </c>
      <c r="AD1891">
        <v>-1.119800019745</v>
      </c>
      <c r="AE1891">
        <v>-33.6477</v>
      </c>
      <c r="AF1891">
        <v>3.6144717256434999</v>
      </c>
      <c r="AG1891">
        <v>-1.119800019745</v>
      </c>
      <c r="AH1891">
        <v>33.622195868591199</v>
      </c>
      <c r="AI1891">
        <v>91.896632650808897</v>
      </c>
      <c r="AJ1891">
        <v>83.864122337326293</v>
      </c>
      <c r="AK1891">
        <v>33.834456002211802</v>
      </c>
      <c r="AL1891">
        <v>95.310291999536702</v>
      </c>
      <c r="AM1891">
        <v>87.836276111585093</v>
      </c>
      <c r="AN1891">
        <v>1.0000000295571401</v>
      </c>
    </row>
    <row r="1892" spans="1:40" x14ac:dyDescent="0.25">
      <c r="A1892" t="str">
        <f>"20190303154132770"</f>
        <v>20190303154132770</v>
      </c>
      <c r="B1892" t="str">
        <f>"1551598892761681"</f>
        <v>1551598892761681</v>
      </c>
      <c r="C1892" t="s">
        <v>40</v>
      </c>
      <c r="D1892">
        <v>6.1033549999999996</v>
      </c>
      <c r="E1892">
        <v>0.52365539999999999</v>
      </c>
      <c r="F1892" t="s">
        <v>41</v>
      </c>
      <c r="G1892">
        <v>-194.68020000000001</v>
      </c>
      <c r="H1892" s="1">
        <v>-4.0681430000000002E-6</v>
      </c>
      <c r="I1892">
        <v>306.50170000000003</v>
      </c>
      <c r="J1892">
        <v>-191.4246</v>
      </c>
      <c r="K1892">
        <v>1.1197629999999901</v>
      </c>
      <c r="L1892">
        <v>336.88499999999999</v>
      </c>
      <c r="M1892">
        <v>-3.5432250000000001E-3</v>
      </c>
      <c r="N1892">
        <v>-5.6014860000000001E-3</v>
      </c>
      <c r="O1892">
        <v>-0.99997820000000004</v>
      </c>
      <c r="P1892">
        <v>-4.0101539999999998E-2</v>
      </c>
      <c r="Q1892">
        <v>-9.7592189999999995E-2</v>
      </c>
      <c r="R1892">
        <v>-0.99441869999999999</v>
      </c>
      <c r="S1892">
        <v>-0.31874079999999999</v>
      </c>
      <c r="T1892">
        <v>-0.10959770000000001</v>
      </c>
      <c r="U1892">
        <v>-2.9932249999999998</v>
      </c>
      <c r="V1892">
        <v>3.6519549999999998E-2</v>
      </c>
      <c r="W1892">
        <v>-9.2042799999999994E-2</v>
      </c>
      <c r="X1892">
        <v>0.99508509999999994</v>
      </c>
      <c r="Y1892">
        <v>0.1023025</v>
      </c>
      <c r="Z1892">
        <v>3.07944E-2</v>
      </c>
      <c r="AA1892">
        <v>0.99427659999999995</v>
      </c>
      <c r="AB1892">
        <v>20</v>
      </c>
      <c r="AC1892">
        <v>-3.25560000000001</v>
      </c>
      <c r="AD1892">
        <v>-1.1197670681430001</v>
      </c>
      <c r="AE1892">
        <v>-30.383299999999899</v>
      </c>
      <c r="AF1892">
        <v>3.1437015031525299</v>
      </c>
      <c r="AG1892">
        <v>-1.1197670681430001</v>
      </c>
      <c r="AH1892">
        <v>30.353884048323</v>
      </c>
      <c r="AI1892">
        <v>92.101476031821704</v>
      </c>
      <c r="AJ1892">
        <v>84.087052416206404</v>
      </c>
      <c r="AK1892">
        <v>30.536781334103601</v>
      </c>
      <c r="AL1892">
        <v>95.281139048076099</v>
      </c>
      <c r="AM1892">
        <v>87.898192396990595</v>
      </c>
      <c r="AN1892">
        <v>0.999999955403025</v>
      </c>
    </row>
    <row r="1893" spans="1:40" x14ac:dyDescent="0.25">
      <c r="A1893" t="str">
        <f>"20190303154132792"</f>
        <v>20190303154132792</v>
      </c>
      <c r="B1893" t="str">
        <f>"1551598892781200"</f>
        <v>1551598892781200</v>
      </c>
      <c r="C1893" t="s">
        <v>40</v>
      </c>
      <c r="D1893">
        <v>6.0914010000000003</v>
      </c>
      <c r="E1893">
        <v>0.52281449999999996</v>
      </c>
      <c r="F1893" t="s">
        <v>41</v>
      </c>
      <c r="G1893">
        <v>-194.34800000000001</v>
      </c>
      <c r="H1893" s="1">
        <v>-4.6982409999999998E-6</v>
      </c>
      <c r="I1893">
        <v>308.52640000000002</v>
      </c>
      <c r="J1893">
        <v>-191.42580000000001</v>
      </c>
      <c r="K1893">
        <v>1.1197349999999999</v>
      </c>
      <c r="L1893">
        <v>336.68369999999999</v>
      </c>
      <c r="M1893">
        <v>-4.0145900000000002E-3</v>
      </c>
      <c r="N1893">
        <v>-5.2950410000000003E-3</v>
      </c>
      <c r="O1893">
        <v>-0.99997800000000003</v>
      </c>
      <c r="P1893">
        <v>-4.0172960000000001E-2</v>
      </c>
      <c r="Q1893">
        <v>-9.65313E-2</v>
      </c>
      <c r="R1893">
        <v>-0.99451889999999998</v>
      </c>
      <c r="S1893">
        <v>-0.3085175</v>
      </c>
      <c r="T1893">
        <v>-0.1181724</v>
      </c>
      <c r="U1893">
        <v>-2.9927670000000002</v>
      </c>
      <c r="V1893">
        <v>3.6121060000000003E-2</v>
      </c>
      <c r="W1893">
        <v>-9.1286439999999996E-2</v>
      </c>
      <c r="X1893">
        <v>0.99516930000000003</v>
      </c>
      <c r="Y1893">
        <v>9.8479209999999998E-2</v>
      </c>
      <c r="Z1893">
        <v>3.3964649999999999E-2</v>
      </c>
      <c r="AA1893">
        <v>0.99455930000000003</v>
      </c>
      <c r="AB1893">
        <v>20</v>
      </c>
      <c r="AC1893">
        <v>-2.9221999999999699</v>
      </c>
      <c r="AD1893">
        <v>-1.1197396982409999</v>
      </c>
      <c r="AE1893">
        <v>-28.1572999999999</v>
      </c>
      <c r="AF1893">
        <v>2.80474659141391</v>
      </c>
      <c r="AG1893">
        <v>-1.1197396982409999</v>
      </c>
      <c r="AH1893">
        <v>28.124801004920101</v>
      </c>
      <c r="AI1893">
        <v>92.268685620777404</v>
      </c>
      <c r="AJ1893">
        <v>84.305005986595901</v>
      </c>
      <c r="AK1893">
        <v>28.286478253756201</v>
      </c>
      <c r="AL1893">
        <v>95.237619668467701</v>
      </c>
      <c r="AM1893">
        <v>87.921282173595301</v>
      </c>
      <c r="AN1893">
        <v>0.99999994038294104</v>
      </c>
    </row>
    <row r="1894" spans="1:40" x14ac:dyDescent="0.25">
      <c r="A1894" t="str">
        <f>"20190303154132817"</f>
        <v>20190303154132817</v>
      </c>
      <c r="B1894" t="str">
        <f>"1551598892811457"</f>
        <v>1551598892811457</v>
      </c>
      <c r="C1894" t="s">
        <v>40</v>
      </c>
      <c r="D1894">
        <v>6.0908540000000002</v>
      </c>
      <c r="E1894">
        <v>0.52190379999999903</v>
      </c>
      <c r="F1894" t="s">
        <v>41</v>
      </c>
      <c r="G1894">
        <v>-194.13650000000001</v>
      </c>
      <c r="H1894" s="1">
        <v>-1.2113059999999999E-6</v>
      </c>
      <c r="I1894">
        <v>309.82580000000002</v>
      </c>
      <c r="J1894">
        <v>-191.4272</v>
      </c>
      <c r="K1894">
        <v>1.11971</v>
      </c>
      <c r="L1894">
        <v>336.47469999999998</v>
      </c>
      <c r="M1894">
        <v>-4.5038650000000001E-3</v>
      </c>
      <c r="N1894">
        <v>-5.0200260000000003E-3</v>
      </c>
      <c r="O1894">
        <v>-0.99997740000000002</v>
      </c>
      <c r="P1894">
        <v>-4.0173500000000001E-2</v>
      </c>
      <c r="Q1894">
        <v>-9.5750790000000002E-2</v>
      </c>
      <c r="R1894">
        <v>-0.9945946</v>
      </c>
      <c r="S1894">
        <v>-0.3019867</v>
      </c>
      <c r="T1894">
        <v>-0.12474880000000001</v>
      </c>
      <c r="U1894">
        <v>-2.9922179999999998</v>
      </c>
      <c r="V1894">
        <v>3.5633749999999999E-2</v>
      </c>
      <c r="W1894">
        <v>-9.0779310000000002E-2</v>
      </c>
      <c r="X1894">
        <v>0.99523329999999999</v>
      </c>
      <c r="Y1894">
        <v>9.5853930000000004E-2</v>
      </c>
      <c r="Z1894">
        <v>3.6438199999999997E-2</v>
      </c>
      <c r="AA1894">
        <v>0.99472830000000001</v>
      </c>
      <c r="AB1894">
        <v>20</v>
      </c>
      <c r="AC1894">
        <v>-2.70930000000001</v>
      </c>
      <c r="AD1894">
        <v>-1.1197112113059999</v>
      </c>
      <c r="AE1894">
        <v>-26.648899999999902</v>
      </c>
      <c r="AF1894">
        <v>2.5847314664171801</v>
      </c>
      <c r="AG1894">
        <v>-1.1197112113059999</v>
      </c>
      <c r="AH1894">
        <v>26.6143268114674</v>
      </c>
      <c r="AI1894">
        <v>92.3978444478916</v>
      </c>
      <c r="AJ1894">
        <v>84.452941885294507</v>
      </c>
      <c r="AK1894">
        <v>26.762977815964401</v>
      </c>
      <c r="AL1894">
        <v>95.208441879623507</v>
      </c>
      <c r="AM1894">
        <v>87.949433853881402</v>
      </c>
      <c r="AN1894">
        <v>0.999999984346014</v>
      </c>
    </row>
    <row r="1895" spans="1:40" x14ac:dyDescent="0.25">
      <c r="A1895" t="str">
        <f>"20190303154132862"</f>
        <v>20190303154132862</v>
      </c>
      <c r="B1895" t="str">
        <f>"1551598892851473"</f>
        <v>1551598892851473</v>
      </c>
      <c r="C1895" t="s">
        <v>40</v>
      </c>
      <c r="D1895">
        <v>6.0773570000000001</v>
      </c>
      <c r="E1895">
        <v>0.521069</v>
      </c>
      <c r="F1895" t="s">
        <v>41</v>
      </c>
      <c r="G1895">
        <v>-193.8751</v>
      </c>
      <c r="H1895" s="1">
        <v>-1.995299E-6</v>
      </c>
      <c r="I1895">
        <v>311.63139999999999</v>
      </c>
      <c r="J1895">
        <v>-191.43039999999999</v>
      </c>
      <c r="K1895">
        <v>1.1196649999999999</v>
      </c>
      <c r="L1895">
        <v>336.04849999999999</v>
      </c>
      <c r="M1895">
        <v>-5.5020160000000002E-3</v>
      </c>
      <c r="N1895">
        <v>-4.5859949999999998E-3</v>
      </c>
      <c r="O1895">
        <v>-0.99997449999999999</v>
      </c>
      <c r="P1895">
        <v>-4.0058000000000003E-2</v>
      </c>
      <c r="Q1895">
        <v>-9.5821000000000003E-2</v>
      </c>
      <c r="R1895">
        <v>-0.99459240000000004</v>
      </c>
      <c r="S1895">
        <v>-0.29475400000000002</v>
      </c>
      <c r="T1895">
        <v>-0.13482829999999901</v>
      </c>
      <c r="U1895">
        <v>-2.9914550000000002</v>
      </c>
      <c r="V1895">
        <v>3.4522860000000002E-2</v>
      </c>
      <c r="W1895">
        <v>-9.1281440000000005E-2</v>
      </c>
      <c r="X1895">
        <v>0.99522659999999996</v>
      </c>
      <c r="Y1895">
        <v>9.2490230000000007E-2</v>
      </c>
      <c r="Z1895">
        <v>4.0239049999999998E-2</v>
      </c>
      <c r="AA1895">
        <v>0.99490020000000001</v>
      </c>
      <c r="AB1895">
        <v>21</v>
      </c>
      <c r="AC1895">
        <v>-2.4447000000000099</v>
      </c>
      <c r="AD1895">
        <v>-1.1196669952989999</v>
      </c>
      <c r="AE1895">
        <v>-24.417100000000001</v>
      </c>
      <c r="AF1895">
        <v>2.30551849379717</v>
      </c>
      <c r="AG1895">
        <v>-1.1196669952989999</v>
      </c>
      <c r="AH1895">
        <v>24.3794260564983</v>
      </c>
      <c r="AI1895">
        <v>92.617895569321703</v>
      </c>
      <c r="AJ1895">
        <v>84.597707402903694</v>
      </c>
      <c r="AK1895">
        <v>24.513781522846902</v>
      </c>
      <c r="AL1895">
        <v>95.237331374683293</v>
      </c>
      <c r="AM1895">
        <v>88.013295290285498</v>
      </c>
      <c r="AN1895">
        <v>1.0000000572493</v>
      </c>
    </row>
    <row r="1896" spans="1:40" x14ac:dyDescent="0.25">
      <c r="A1896" t="str">
        <f>"20190303154132882"</f>
        <v>20190303154132882</v>
      </c>
      <c r="B1896" t="str">
        <f>"1551598892870992"</f>
        <v>1551598892870992</v>
      </c>
      <c r="C1896" t="s">
        <v>40</v>
      </c>
      <c r="D1896">
        <v>6.1030360000000003</v>
      </c>
      <c r="E1896">
        <v>0.5205632</v>
      </c>
      <c r="F1896" t="s">
        <v>41</v>
      </c>
      <c r="G1896">
        <v>-193.64879999999999</v>
      </c>
      <c r="H1896" s="1">
        <v>-2.577304E-6</v>
      </c>
      <c r="I1896">
        <v>312.99</v>
      </c>
      <c r="J1896">
        <v>-191.43190000000001</v>
      </c>
      <c r="K1896">
        <v>1.11965</v>
      </c>
      <c r="L1896">
        <v>335.85730000000001</v>
      </c>
      <c r="M1896">
        <v>-5.9499210000000004E-3</v>
      </c>
      <c r="N1896">
        <v>-4.4342519999999996E-3</v>
      </c>
      <c r="O1896">
        <v>-0.99997259999999999</v>
      </c>
      <c r="P1896">
        <v>-3.9848880000000003E-2</v>
      </c>
      <c r="Q1896">
        <v>-9.4649150000000001E-2</v>
      </c>
      <c r="R1896">
        <v>-0.99471310000000002</v>
      </c>
      <c r="S1896">
        <v>-0.28773500000000002</v>
      </c>
      <c r="T1896">
        <v>-0.14522119999999999</v>
      </c>
      <c r="U1896">
        <v>-2.9906920000000001</v>
      </c>
      <c r="V1896">
        <v>3.3867250000000002E-2</v>
      </c>
      <c r="W1896">
        <v>-9.0259889999999995E-2</v>
      </c>
      <c r="X1896">
        <v>0.99534230000000001</v>
      </c>
      <c r="Y1896">
        <v>8.9740990000000007E-2</v>
      </c>
      <c r="Z1896">
        <v>4.3861980000000002E-2</v>
      </c>
      <c r="AA1896">
        <v>0.99499879999999996</v>
      </c>
      <c r="AB1896">
        <v>21</v>
      </c>
      <c r="AC1896">
        <v>-2.2168999999999799</v>
      </c>
      <c r="AD1896">
        <v>-1.119652577304</v>
      </c>
      <c r="AE1896">
        <v>-22.8673</v>
      </c>
      <c r="AF1896">
        <v>2.0758704984627099</v>
      </c>
      <c r="AG1896">
        <v>-1.119652577304</v>
      </c>
      <c r="AH1896">
        <v>22.825872970273</v>
      </c>
      <c r="AI1896">
        <v>92.796693220890504</v>
      </c>
      <c r="AJ1896">
        <v>84.803601522335398</v>
      </c>
      <c r="AK1896">
        <v>22.947403710992901</v>
      </c>
      <c r="AL1896">
        <v>95.178558199120701</v>
      </c>
      <c r="AM1896">
        <v>88.051221016103895</v>
      </c>
      <c r="AN1896">
        <v>1.0000000662673301</v>
      </c>
    </row>
    <row r="1897" spans="1:40" x14ac:dyDescent="0.25">
      <c r="A1897" t="str">
        <f>"20190303154132904"</f>
        <v>20190303154132904</v>
      </c>
      <c r="B1897" t="str">
        <f>"1551598892901248"</f>
        <v>1551598892901248</v>
      </c>
      <c r="C1897" t="s">
        <v>40</v>
      </c>
      <c r="D1897">
        <v>5.9945550000000001</v>
      </c>
      <c r="E1897">
        <v>0.52016909999999905</v>
      </c>
      <c r="F1897" t="s">
        <v>41</v>
      </c>
      <c r="G1897">
        <v>-193.57069999999999</v>
      </c>
      <c r="H1897" s="1">
        <v>-2.680256E-6</v>
      </c>
      <c r="I1897">
        <v>313.2518</v>
      </c>
      <c r="J1897">
        <v>-191.43369999999999</v>
      </c>
      <c r="K1897">
        <v>1.119637</v>
      </c>
      <c r="L1897">
        <v>335.65410000000003</v>
      </c>
      <c r="M1897">
        <v>-6.4258550000000003E-3</v>
      </c>
      <c r="N1897">
        <v>-4.3005140000000001E-3</v>
      </c>
      <c r="O1897">
        <v>-0.99997020000000003</v>
      </c>
      <c r="P1897">
        <v>-3.9007670000000001E-2</v>
      </c>
      <c r="Q1897">
        <v>-9.5022339999999997E-2</v>
      </c>
      <c r="R1897">
        <v>-0.99471089999999995</v>
      </c>
      <c r="S1897">
        <v>-0.28294370000000002</v>
      </c>
      <c r="T1897">
        <v>-0.14812030000000001</v>
      </c>
      <c r="U1897">
        <v>-2.9905089999999999</v>
      </c>
      <c r="V1897">
        <v>3.2551299999999998E-2</v>
      </c>
      <c r="W1897">
        <v>-9.0765559999999995E-2</v>
      </c>
      <c r="X1897">
        <v>0.99534020000000001</v>
      </c>
      <c r="Y1897">
        <v>8.7688580000000002E-2</v>
      </c>
      <c r="Z1897">
        <v>4.4968519999999998E-2</v>
      </c>
      <c r="AA1897">
        <v>0.99513240000000003</v>
      </c>
      <c r="AB1897">
        <v>21</v>
      </c>
      <c r="AC1897">
        <v>-2.137</v>
      </c>
      <c r="AD1897">
        <v>-1.119639680256</v>
      </c>
      <c r="AE1897">
        <v>-22.4023</v>
      </c>
      <c r="AF1897">
        <v>1.9880794292861199</v>
      </c>
      <c r="AG1897">
        <v>-1.119639680256</v>
      </c>
      <c r="AH1897">
        <v>22.3602201928901</v>
      </c>
      <c r="AI1897">
        <v>92.8553230592387</v>
      </c>
      <c r="AJ1897">
        <v>84.919110052769</v>
      </c>
      <c r="AK1897">
        <v>22.476331994017301</v>
      </c>
      <c r="AL1897">
        <v>95.207650485922301</v>
      </c>
      <c r="AM1897">
        <v>88.126884030850803</v>
      </c>
      <c r="AN1897">
        <v>1.0000000438749199</v>
      </c>
    </row>
    <row r="1898" spans="1:40" x14ac:dyDescent="0.25">
      <c r="A1898" t="str">
        <f>"20190303154132926"</f>
        <v>20190303154132926</v>
      </c>
      <c r="B1898" t="str">
        <f>"1551598892920769"</f>
        <v>1551598892920769</v>
      </c>
      <c r="C1898" t="s">
        <v>40</v>
      </c>
      <c r="D1898">
        <v>6.1529150000000001</v>
      </c>
      <c r="E1898">
        <v>0.49463940000000001</v>
      </c>
      <c r="F1898" t="s">
        <v>41</v>
      </c>
      <c r="G1898">
        <v>-193.44479999999999</v>
      </c>
      <c r="H1898" s="1">
        <v>-2.9739419999999999E-6</v>
      </c>
      <c r="I1898">
        <v>313.94400000000002</v>
      </c>
      <c r="J1898">
        <v>-191.43559999999999</v>
      </c>
      <c r="K1898">
        <v>1.1196170000000001</v>
      </c>
      <c r="L1898">
        <v>335.4391</v>
      </c>
      <c r="M1898">
        <v>-6.929139E-3</v>
      </c>
      <c r="N1898">
        <v>-4.1878210000000004E-3</v>
      </c>
      <c r="O1898">
        <v>-0.9999673</v>
      </c>
      <c r="P1898">
        <v>-3.8958399999999997E-2</v>
      </c>
      <c r="Q1898">
        <v>-9.5328419999999997E-2</v>
      </c>
      <c r="R1898">
        <v>-0.9946834</v>
      </c>
      <c r="S1898">
        <v>-0.27700809999999998</v>
      </c>
      <c r="T1898">
        <v>-0.15421799999999999</v>
      </c>
      <c r="U1898">
        <v>-2.990326</v>
      </c>
      <c r="V1898">
        <v>3.2000250000000001E-2</v>
      </c>
      <c r="W1898">
        <v>-9.1183790000000001E-2</v>
      </c>
      <c r="X1898">
        <v>0.99531979999999998</v>
      </c>
      <c r="Y1898">
        <v>8.5225620000000002E-2</v>
      </c>
      <c r="Z1898">
        <v>4.7117390000000002E-2</v>
      </c>
      <c r="AA1898">
        <v>0.99524699999999999</v>
      </c>
      <c r="AB1898">
        <v>21</v>
      </c>
      <c r="AC1898">
        <v>-2.0091999999999901</v>
      </c>
      <c r="AD1898">
        <v>-1.1196199739420001</v>
      </c>
      <c r="AE1898">
        <v>-21.495099999999901</v>
      </c>
      <c r="AF1898">
        <v>1.8552181780035</v>
      </c>
      <c r="AG1898">
        <v>-1.1196199739420001</v>
      </c>
      <c r="AH1898">
        <v>21.450812450737001</v>
      </c>
      <c r="AI1898">
        <v>92.976735922615603</v>
      </c>
      <c r="AJ1898">
        <v>85.0569554073804</v>
      </c>
      <c r="AK1898">
        <v>21.559980013226799</v>
      </c>
      <c r="AL1898">
        <v>95.231713301660307</v>
      </c>
      <c r="AM1898">
        <v>88.158533646132696</v>
      </c>
      <c r="AN1898">
        <v>1.00000000191543</v>
      </c>
    </row>
    <row r="1899" spans="1:40" x14ac:dyDescent="0.25">
      <c r="A1899" t="str">
        <f>"20190303154132950"</f>
        <v>20190303154132950</v>
      </c>
      <c r="B1899" t="str">
        <f>"1551598892941265"</f>
        <v>1551598892941265</v>
      </c>
      <c r="C1899" t="s">
        <v>40</v>
      </c>
      <c r="D1899">
        <v>6.0978949999999896</v>
      </c>
      <c r="E1899">
        <v>0.4892321</v>
      </c>
      <c r="F1899" t="s">
        <v>42</v>
      </c>
      <c r="G1899">
        <v>-191.45599999999999</v>
      </c>
      <c r="H1899">
        <v>1.048387</v>
      </c>
      <c r="I1899">
        <v>334.62099999999998</v>
      </c>
      <c r="J1899">
        <v>-191.4376</v>
      </c>
      <c r="K1899">
        <v>1.119607</v>
      </c>
      <c r="L1899">
        <v>335.22550000000001</v>
      </c>
      <c r="M1899">
        <v>-7.4285009999999997E-3</v>
      </c>
      <c r="N1899">
        <v>-4.1023530000000004E-3</v>
      </c>
      <c r="O1899">
        <v>-0.99996399999999996</v>
      </c>
      <c r="P1899">
        <v>-3.9516330000000002E-2</v>
      </c>
      <c r="Q1899">
        <v>-9.5418740000000002E-2</v>
      </c>
      <c r="R1899">
        <v>-0.9946526</v>
      </c>
      <c r="S1899">
        <v>-7.4020390000000005E-2</v>
      </c>
      <c r="T1899">
        <v>-0.2603066</v>
      </c>
      <c r="U1899">
        <v>-2.9881899999999999</v>
      </c>
      <c r="V1899">
        <v>3.2060499999999999E-2</v>
      </c>
      <c r="W1899">
        <v>-9.1359590000000004E-2</v>
      </c>
      <c r="X1899">
        <v>0.99530169999999996</v>
      </c>
      <c r="Y1899">
        <v>1.7248409999999999E-2</v>
      </c>
      <c r="Z1899">
        <v>8.2672700000000002E-2</v>
      </c>
      <c r="AA1899">
        <v>0.99642750000000002</v>
      </c>
      <c r="AB1899">
        <v>21</v>
      </c>
      <c r="AC1899">
        <v>-1.8399999999985501E-2</v>
      </c>
      <c r="AD1899">
        <v>-7.1219999999999797E-2</v>
      </c>
      <c r="AE1899">
        <v>-0.60450000000003001</v>
      </c>
      <c r="AF1899">
        <v>1.3718677132829E-2</v>
      </c>
      <c r="AG1899">
        <v>-7.1219999999999797E-2</v>
      </c>
      <c r="AH1899">
        <v>0.59634991480066302</v>
      </c>
      <c r="AI1899">
        <v>96.808595735089696</v>
      </c>
      <c r="AJ1899">
        <v>88.682176907136807</v>
      </c>
      <c r="AK1899">
        <v>0.60074429783813499</v>
      </c>
      <c r="AL1899">
        <v>95.241828327500798</v>
      </c>
      <c r="AM1899">
        <v>88.155035403483197</v>
      </c>
      <c r="AN1899">
        <v>0.99999996218405296</v>
      </c>
    </row>
    <row r="1900" spans="1:40" x14ac:dyDescent="0.25">
      <c r="A1900" t="str">
        <f>"20190303154132972"</f>
        <v>20190303154132972</v>
      </c>
      <c r="B1900" t="str">
        <f>"1551598892961700"</f>
        <v>1551598892961700</v>
      </c>
      <c r="C1900" t="s">
        <v>40</v>
      </c>
      <c r="D1900">
        <v>6.086309</v>
      </c>
      <c r="E1900">
        <v>0.48726809999999998</v>
      </c>
      <c r="F1900" t="s">
        <v>42</v>
      </c>
      <c r="G1900">
        <v>-191.44649999999999</v>
      </c>
      <c r="H1900">
        <v>1.048513</v>
      </c>
      <c r="I1900">
        <v>334.42469999999997</v>
      </c>
      <c r="J1900">
        <v>-191.43979999999999</v>
      </c>
      <c r="K1900">
        <v>1.1195949999999999</v>
      </c>
      <c r="L1900">
        <v>335.0043</v>
      </c>
      <c r="M1900">
        <v>-7.9452689999999996E-3</v>
      </c>
      <c r="N1900">
        <v>-4.0366380000000004E-3</v>
      </c>
      <c r="O1900">
        <v>-0.99996039999999997</v>
      </c>
      <c r="P1900">
        <v>-3.9756409999999999E-2</v>
      </c>
      <c r="Q1900">
        <v>-9.5028979999999999E-2</v>
      </c>
      <c r="R1900">
        <v>-0.99468040000000002</v>
      </c>
      <c r="S1900">
        <v>-3.2653809999999998E-2</v>
      </c>
      <c r="T1900">
        <v>-0.26547599999999999</v>
      </c>
      <c r="U1900">
        <v>-2.9893190000000001</v>
      </c>
      <c r="V1900">
        <v>3.1785500000000001E-2</v>
      </c>
      <c r="W1900">
        <v>-9.1035190000000002E-2</v>
      </c>
      <c r="X1900">
        <v>0.99534029999999996</v>
      </c>
      <c r="Y1900">
        <v>2.9380779999999998E-3</v>
      </c>
      <c r="Z1900">
        <v>8.4431699999999998E-2</v>
      </c>
      <c r="AA1900">
        <v>0.99642489999999995</v>
      </c>
      <c r="AB1900">
        <v>21</v>
      </c>
      <c r="AC1900">
        <v>-6.6999999999950398E-3</v>
      </c>
      <c r="AD1900">
        <v>-7.1082000000000006E-2</v>
      </c>
      <c r="AE1900">
        <v>-0.57960000000002698</v>
      </c>
      <c r="AF1900">
        <v>2.0636395578802801E-3</v>
      </c>
      <c r="AG1900">
        <v>-7.1082000000000006E-2</v>
      </c>
      <c r="AH1900">
        <v>0.57104724536041596</v>
      </c>
      <c r="AI1900">
        <v>97.095439412001099</v>
      </c>
      <c r="AJ1900">
        <v>89.792946514737693</v>
      </c>
      <c r="AK1900">
        <v>0.57545796177126995</v>
      </c>
      <c r="AL1900">
        <v>95.223163503662704</v>
      </c>
      <c r="AM1900">
        <v>88.170920739089794</v>
      </c>
      <c r="AN1900">
        <v>1.00000001831633</v>
      </c>
    </row>
    <row r="1901" spans="1:40" x14ac:dyDescent="0.25">
      <c r="A1901" t="str">
        <f>"20190303154132995"</f>
        <v>20190303154132995</v>
      </c>
      <c r="B1901" t="str">
        <f>"1551598892990917"</f>
        <v>1551598892990917</v>
      </c>
      <c r="C1901" t="s">
        <v>40</v>
      </c>
      <c r="D1901">
        <v>6.0900169999999996</v>
      </c>
      <c r="E1901">
        <v>0.4853189</v>
      </c>
      <c r="F1901" t="s">
        <v>41</v>
      </c>
      <c r="G1901">
        <v>-191.5119</v>
      </c>
      <c r="H1901" s="1">
        <v>-1.805819E-6</v>
      </c>
      <c r="I1901">
        <v>322.86079999999998</v>
      </c>
      <c r="J1901">
        <v>-191.44220000000001</v>
      </c>
      <c r="K1901">
        <v>1.119591</v>
      </c>
      <c r="L1901">
        <v>334.78019999999998</v>
      </c>
      <c r="M1901">
        <v>-8.4691799999999998E-3</v>
      </c>
      <c r="N1901">
        <v>-3.9907550000000003E-3</v>
      </c>
      <c r="O1901">
        <v>-0.99995610000000001</v>
      </c>
      <c r="P1901">
        <v>-4.0000239999999999E-2</v>
      </c>
      <c r="Q1901">
        <v>-9.4363470000000005E-2</v>
      </c>
      <c r="R1901">
        <v>-0.99473400000000001</v>
      </c>
      <c r="S1901">
        <v>-1.773071E-2</v>
      </c>
      <c r="T1901">
        <v>-0.2755783</v>
      </c>
      <c r="U1901">
        <v>-2.9890140000000001</v>
      </c>
      <c r="V1901">
        <v>3.1507170000000001E-2</v>
      </c>
      <c r="W1901">
        <v>-9.0415159999999994E-2</v>
      </c>
      <c r="X1901">
        <v>0.99540569999999895</v>
      </c>
      <c r="Y1901">
        <v>-2.5598919999999998E-3</v>
      </c>
      <c r="Z1901">
        <v>8.7827269999999999E-2</v>
      </c>
      <c r="AA1901">
        <v>0.99613240000000003</v>
      </c>
      <c r="AB1901">
        <v>21</v>
      </c>
      <c r="AC1901">
        <v>-6.9699999999983206E-2</v>
      </c>
      <c r="AD1901">
        <v>-1.1195928058189999</v>
      </c>
      <c r="AE1901">
        <v>-11.9193999999999</v>
      </c>
      <c r="AF1901">
        <v>-3.0977552504602799E-2</v>
      </c>
      <c r="AG1901">
        <v>-1.1195928058189999</v>
      </c>
      <c r="AH1901">
        <v>11.8153209770167</v>
      </c>
      <c r="AI1901">
        <v>95.413035889453198</v>
      </c>
      <c r="AJ1901">
        <v>90.150218428668893</v>
      </c>
      <c r="AK1901">
        <v>11.868287890404901</v>
      </c>
      <c r="AL1901">
        <v>95.187491096034094</v>
      </c>
      <c r="AM1901">
        <v>88.187045392936099</v>
      </c>
      <c r="AN1901">
        <v>1.0000000552558601</v>
      </c>
    </row>
    <row r="1902" spans="1:40" x14ac:dyDescent="0.25">
      <c r="A1902" t="str">
        <f>"20190303154133017"</f>
        <v>20190303154133017</v>
      </c>
      <c r="B1902" t="str">
        <f>"1551598893011415"</f>
        <v>1551598893011415</v>
      </c>
      <c r="C1902" t="s">
        <v>40</v>
      </c>
      <c r="D1902">
        <v>6.0343450000000001</v>
      </c>
      <c r="E1902">
        <v>0.48458010000000001</v>
      </c>
      <c r="F1902" t="s">
        <v>41</v>
      </c>
      <c r="G1902">
        <v>-191.45439999999999</v>
      </c>
      <c r="H1902" s="1">
        <v>-1.7493370000000001E-6</v>
      </c>
      <c r="I1902">
        <v>322.76479999999998</v>
      </c>
      <c r="J1902">
        <v>-191.44450000000001</v>
      </c>
      <c r="K1902">
        <v>1.1195820000000001</v>
      </c>
      <c r="L1902">
        <v>334.57159999999999</v>
      </c>
      <c r="M1902">
        <v>-8.9559979999999997E-3</v>
      </c>
      <c r="N1902">
        <v>-3.9687809999999898E-3</v>
      </c>
      <c r="O1902">
        <v>-0.99995210000000001</v>
      </c>
      <c r="P1902">
        <v>-4.0687679999999997E-2</v>
      </c>
      <c r="Q1902">
        <v>-9.3933299999999997E-2</v>
      </c>
      <c r="R1902">
        <v>-0.99474680000000004</v>
      </c>
      <c r="S1902">
        <v>-3.0364989999999998E-3</v>
      </c>
      <c r="T1902">
        <v>-0.27854509999999899</v>
      </c>
      <c r="U1902">
        <v>-2.9893190000000001</v>
      </c>
      <c r="V1902">
        <v>3.1709550000000003E-2</v>
      </c>
      <c r="W1902">
        <v>-9.0007160000000003E-2</v>
      </c>
      <c r="X1902">
        <v>0.99543619999999999</v>
      </c>
      <c r="Y1902">
        <v>-7.9428099999999998E-3</v>
      </c>
      <c r="Z1902">
        <v>8.8818800000000003E-2</v>
      </c>
      <c r="AA1902">
        <v>0.99601609999999996</v>
      </c>
      <c r="AB1902">
        <v>22</v>
      </c>
      <c r="AC1902">
        <v>-9.8999999999875802E-3</v>
      </c>
      <c r="AD1902">
        <v>-1.119583749337</v>
      </c>
      <c r="AE1902">
        <v>-11.806800000000001</v>
      </c>
      <c r="AF1902">
        <v>-9.4988774755046607E-2</v>
      </c>
      <c r="AG1902">
        <v>-1.119583749337</v>
      </c>
      <c r="AH1902">
        <v>11.7011998485427</v>
      </c>
      <c r="AI1902">
        <v>95.465306508747801</v>
      </c>
      <c r="AJ1902">
        <v>90.465109255255001</v>
      </c>
      <c r="AK1902">
        <v>11.755023119273099</v>
      </c>
      <c r="AL1902">
        <v>95.164018967550106</v>
      </c>
      <c r="AM1902">
        <v>88.175463955615101</v>
      </c>
      <c r="AN1902">
        <v>1.00000000634145</v>
      </c>
    </row>
    <row r="1903" spans="1:40" x14ac:dyDescent="0.25">
      <c r="A1903" t="str">
        <f>"20190303154133040"</f>
        <v>20190303154133040</v>
      </c>
      <c r="B1903" t="str">
        <f>"1551598893031910"</f>
        <v>1551598893031910</v>
      </c>
      <c r="C1903" t="s">
        <v>40</v>
      </c>
      <c r="D1903">
        <v>6.0545269999999896</v>
      </c>
      <c r="E1903">
        <v>0.48384709999999997</v>
      </c>
      <c r="F1903" t="s">
        <v>42</v>
      </c>
      <c r="G1903">
        <v>-191.4443</v>
      </c>
      <c r="H1903">
        <v>1.032745</v>
      </c>
      <c r="I1903">
        <v>333.66210000000001</v>
      </c>
      <c r="J1903">
        <v>-191.44720000000001</v>
      </c>
      <c r="K1903">
        <v>1.1195729999999999</v>
      </c>
      <c r="L1903">
        <v>334.34109999999998</v>
      </c>
      <c r="M1903">
        <v>-9.4936540000000007E-3</v>
      </c>
      <c r="N1903">
        <v>-3.9711520000000004E-3</v>
      </c>
      <c r="O1903">
        <v>-0.99994740000000004</v>
      </c>
      <c r="P1903">
        <v>-4.1709910000000003E-2</v>
      </c>
      <c r="Q1903">
        <v>-9.3711610000000001E-2</v>
      </c>
      <c r="R1903">
        <v>-0.99472539999999998</v>
      </c>
      <c r="S1903">
        <v>9.307861E-4</v>
      </c>
      <c r="T1903">
        <v>-0.28546139999999998</v>
      </c>
      <c r="U1903">
        <v>-2.9888919999999999</v>
      </c>
      <c r="V1903">
        <v>3.2196179999999998E-2</v>
      </c>
      <c r="W1903">
        <v>-8.9783760000000004E-2</v>
      </c>
      <c r="X1903">
        <v>0.99544069999999996</v>
      </c>
      <c r="Y1903">
        <v>-9.8018989999999993E-3</v>
      </c>
      <c r="Z1903">
        <v>9.1112209999999999E-2</v>
      </c>
      <c r="AA1903">
        <v>0.99579240000000002</v>
      </c>
      <c r="AB1903">
        <v>22</v>
      </c>
      <c r="AC1903">
        <v>2.9000000000110001E-3</v>
      </c>
      <c r="AD1903">
        <v>-8.6827999999999905E-2</v>
      </c>
      <c r="AE1903">
        <v>-0.67899999999997296</v>
      </c>
      <c r="AF1903">
        <v>-9.1957397705940205E-3</v>
      </c>
      <c r="AG1903">
        <v>-8.6827999999999905E-2</v>
      </c>
      <c r="AH1903">
        <v>0.66801839987449496</v>
      </c>
      <c r="AI1903">
        <v>97.405004459801802</v>
      </c>
      <c r="AJ1903">
        <v>90.788666602811801</v>
      </c>
      <c r="AK1903">
        <v>0.67370041248674395</v>
      </c>
      <c r="AL1903">
        <v>95.151167334384596</v>
      </c>
      <c r="AM1903">
        <v>88.147491479692704</v>
      </c>
      <c r="AN1903">
        <v>0.99999995239140804</v>
      </c>
    </row>
    <row r="1904" spans="1:40" x14ac:dyDescent="0.25">
      <c r="A1904" t="str">
        <f>"20190303154133083"</f>
        <v>20190303154133083</v>
      </c>
      <c r="B1904" t="str">
        <f>"1551598893070953"</f>
        <v>1551598893070953</v>
      </c>
      <c r="C1904" t="s">
        <v>40</v>
      </c>
      <c r="D1904">
        <v>6.0603109999999996</v>
      </c>
      <c r="E1904">
        <v>0.48313699999999998</v>
      </c>
      <c r="F1904" t="s">
        <v>42</v>
      </c>
      <c r="G1904">
        <v>-191.44630000000001</v>
      </c>
      <c r="H1904">
        <v>1.034789</v>
      </c>
      <c r="I1904">
        <v>333.46319999999997</v>
      </c>
      <c r="J1904">
        <v>-191.45249999999999</v>
      </c>
      <c r="K1904">
        <v>1.119561</v>
      </c>
      <c r="L1904">
        <v>333.91539999999998</v>
      </c>
      <c r="M1904">
        <v>-1.048543E-2</v>
      </c>
      <c r="N1904">
        <v>-4.0389509999999998E-3</v>
      </c>
      <c r="O1904">
        <v>-0.99993690000000002</v>
      </c>
      <c r="P1904">
        <v>-4.3647529999999997E-2</v>
      </c>
      <c r="Q1904">
        <v>-9.3948900000000002E-2</v>
      </c>
      <c r="R1904">
        <v>-0.99461980000000005</v>
      </c>
      <c r="S1904">
        <v>3.6010740000000001E-3</v>
      </c>
      <c r="T1904">
        <v>-0.28875709999999999</v>
      </c>
      <c r="U1904">
        <v>-2.988861</v>
      </c>
      <c r="V1904">
        <v>3.3146090000000003E-2</v>
      </c>
      <c r="W1904">
        <v>-8.9955110000000005E-2</v>
      </c>
      <c r="X1904">
        <v>0.99539409999999895</v>
      </c>
      <c r="Y1904">
        <v>-1.168278E-2</v>
      </c>
      <c r="Z1904">
        <v>9.2131060000000001E-2</v>
      </c>
      <c r="AA1904">
        <v>0.99567839999999996</v>
      </c>
      <c r="AB1904">
        <v>22</v>
      </c>
      <c r="AC1904">
        <v>6.1999999999784398E-3</v>
      </c>
      <c r="AD1904">
        <v>-8.4772E-2</v>
      </c>
      <c r="AE1904">
        <v>-0.45220000000000399</v>
      </c>
      <c r="AF1904">
        <v>-1.0569819579504E-2</v>
      </c>
      <c r="AG1904">
        <v>-8.4772E-2</v>
      </c>
      <c r="AH1904">
        <v>0.43676365649793703</v>
      </c>
      <c r="AI1904">
        <v>100.980902884649</v>
      </c>
      <c r="AJ1904">
        <v>91.386305520504706</v>
      </c>
      <c r="AK1904">
        <v>0.44503989114167197</v>
      </c>
      <c r="AL1904">
        <v>95.161024609741602</v>
      </c>
      <c r="AM1904">
        <v>88.092785985177002</v>
      </c>
      <c r="AN1904">
        <v>0.99999999970610398</v>
      </c>
    </row>
    <row r="1905" spans="1:40" x14ac:dyDescent="0.25">
      <c r="A1905" t="str">
        <f>"20190303154133106"</f>
        <v>20190303154133106</v>
      </c>
      <c r="B1905" t="str">
        <f>"1551598893101206"</f>
        <v>1551598893101206</v>
      </c>
      <c r="C1905" t="s">
        <v>40</v>
      </c>
      <c r="D1905">
        <v>6.0493769999999998</v>
      </c>
      <c r="E1905">
        <v>0.48282940000000002</v>
      </c>
      <c r="F1905" t="s">
        <v>42</v>
      </c>
      <c r="G1905">
        <v>-191.45169999999999</v>
      </c>
      <c r="H1905">
        <v>1.035104</v>
      </c>
      <c r="I1905">
        <v>333.06549999999999</v>
      </c>
      <c r="J1905">
        <v>-191.4554</v>
      </c>
      <c r="K1905">
        <v>1.119572</v>
      </c>
      <c r="L1905">
        <v>333.6925</v>
      </c>
      <c r="M1905">
        <v>-1.100364E-2</v>
      </c>
      <c r="N1905">
        <v>-4.1278010000000004E-3</v>
      </c>
      <c r="O1905">
        <v>-0.99993089999999996</v>
      </c>
      <c r="P1905">
        <v>-4.4867839999999999E-2</v>
      </c>
      <c r="Q1905">
        <v>-9.4256389999999995E-2</v>
      </c>
      <c r="R1905">
        <v>-0.99453630000000004</v>
      </c>
      <c r="S1905">
        <v>3.28064E-3</v>
      </c>
      <c r="T1905">
        <v>-0.29707620000000001</v>
      </c>
      <c r="U1905">
        <v>-2.9882810000000002</v>
      </c>
      <c r="V1905">
        <v>3.3850570000000003E-2</v>
      </c>
      <c r="W1905">
        <v>-9.017522E-2</v>
      </c>
      <c r="X1905">
        <v>0.99535050000000003</v>
      </c>
      <c r="Y1905">
        <v>-1.2093970000000001E-2</v>
      </c>
      <c r="Z1905">
        <v>9.4805070000000005E-2</v>
      </c>
      <c r="AA1905">
        <v>0.99542240000000004</v>
      </c>
      <c r="AB1905">
        <v>22</v>
      </c>
      <c r="AC1905">
        <v>3.70000000000914E-3</v>
      </c>
      <c r="AD1905">
        <v>-8.4467999999999904E-2</v>
      </c>
      <c r="AE1905">
        <v>-0.62700000000000899</v>
      </c>
      <c r="AF1905">
        <v>-1.04101908008547E-2</v>
      </c>
      <c r="AG1905">
        <v>-8.4467999999999904E-2</v>
      </c>
      <c r="AH1905">
        <v>0.61574661603351899</v>
      </c>
      <c r="AI1905">
        <v>97.809967940358007</v>
      </c>
      <c r="AJ1905">
        <v>90.9685853914403</v>
      </c>
      <c r="AK1905">
        <v>0.62160044261023495</v>
      </c>
      <c r="AL1905">
        <v>95.173687317908701</v>
      </c>
      <c r="AM1905">
        <v>88.052196106441599</v>
      </c>
      <c r="AN1905">
        <v>1.0000000246208101</v>
      </c>
    </row>
    <row r="1906" spans="1:40" x14ac:dyDescent="0.25">
      <c r="A1906" t="str">
        <f>"20190303154133128"</f>
        <v>20190303154133128</v>
      </c>
      <c r="B1906" t="str">
        <f>"1551598893120726"</f>
        <v>1551598893120726</v>
      </c>
      <c r="C1906" t="s">
        <v>40</v>
      </c>
      <c r="D1906">
        <v>6.0174699999999897</v>
      </c>
      <c r="E1906">
        <v>0.48258580000000001</v>
      </c>
      <c r="F1906" t="s">
        <v>42</v>
      </c>
      <c r="G1906">
        <v>-191.45480000000001</v>
      </c>
      <c r="H1906">
        <v>1.0362119999999999</v>
      </c>
      <c r="I1906">
        <v>332.86450000000002</v>
      </c>
      <c r="J1906">
        <v>-191.45849999999999</v>
      </c>
      <c r="K1906">
        <v>1.119599</v>
      </c>
      <c r="L1906">
        <v>333.46550000000002</v>
      </c>
      <c r="M1906">
        <v>-1.153009E-2</v>
      </c>
      <c r="N1906">
        <v>-4.2936340000000002E-3</v>
      </c>
      <c r="O1906">
        <v>-0.9999247</v>
      </c>
      <c r="P1906">
        <v>-4.496729E-2</v>
      </c>
      <c r="Q1906">
        <v>-9.4061019999999995E-2</v>
      </c>
      <c r="R1906">
        <v>-0.99455079999999996</v>
      </c>
      <c r="S1906">
        <v>2.1820070000000001E-3</v>
      </c>
      <c r="T1906">
        <v>-0.30089549999999998</v>
      </c>
      <c r="U1906">
        <v>-2.9880369999999998</v>
      </c>
      <c r="V1906">
        <v>3.3425440000000001E-2</v>
      </c>
      <c r="W1906">
        <v>-8.9814599999999994E-2</v>
      </c>
      <c r="X1906">
        <v>0.99539739999999999</v>
      </c>
      <c r="Y1906">
        <v>-1.2254269999999999E-2</v>
      </c>
      <c r="Z1906">
        <v>9.5906610000000003E-2</v>
      </c>
      <c r="AA1906">
        <v>0.9953149</v>
      </c>
      <c r="AB1906">
        <v>22</v>
      </c>
      <c r="AC1906">
        <v>3.69999999998071E-3</v>
      </c>
      <c r="AD1906">
        <v>-8.3386999999999795E-2</v>
      </c>
      <c r="AE1906">
        <v>-0.60099999999999898</v>
      </c>
      <c r="AF1906">
        <v>-1.04286475669291E-2</v>
      </c>
      <c r="AG1906">
        <v>-8.3386999999999795E-2</v>
      </c>
      <c r="AH1906">
        <v>0.58956818467079597</v>
      </c>
      <c r="AI1906">
        <v>98.049126400122702</v>
      </c>
      <c r="AJ1906">
        <v>91.013377587707495</v>
      </c>
      <c r="AK1906">
        <v>0.59552732333209801</v>
      </c>
      <c r="AL1906">
        <v>95.152941500125806</v>
      </c>
      <c r="AM1906">
        <v>88.076730679917901</v>
      </c>
      <c r="AN1906">
        <v>0.99999995316955503</v>
      </c>
    </row>
    <row r="1907" spans="1:40" x14ac:dyDescent="0.25">
      <c r="A1907" t="str">
        <f>"20190303154133150"</f>
        <v>20190303154133150</v>
      </c>
      <c r="B1907" t="str">
        <f>"1551598893141222"</f>
        <v>1551598893141222</v>
      </c>
      <c r="C1907" t="s">
        <v>40</v>
      </c>
      <c r="D1907">
        <v>6.0204589999999998</v>
      </c>
      <c r="E1907">
        <v>0.48212680000000002</v>
      </c>
      <c r="F1907" t="s">
        <v>42</v>
      </c>
      <c r="G1907">
        <v>-191.45760000000001</v>
      </c>
      <c r="H1907">
        <v>1.0388630000000001</v>
      </c>
      <c r="I1907">
        <v>332.66129999999998</v>
      </c>
      <c r="J1907">
        <v>-191.4616</v>
      </c>
      <c r="K1907">
        <v>1.119645</v>
      </c>
      <c r="L1907">
        <v>333.24439999999998</v>
      </c>
      <c r="M1907">
        <v>-1.204179E-2</v>
      </c>
      <c r="N1907">
        <v>-4.558477E-3</v>
      </c>
      <c r="O1907">
        <v>-0.99991730000000001</v>
      </c>
      <c r="P1907">
        <v>-4.4651789999999997E-2</v>
      </c>
      <c r="Q1907">
        <v>-9.4368289999999994E-2</v>
      </c>
      <c r="R1907">
        <v>-0.99453570000000002</v>
      </c>
      <c r="S1907">
        <v>3.7078860000000001E-3</v>
      </c>
      <c r="T1907">
        <v>-0.300236</v>
      </c>
      <c r="U1907">
        <v>-2.9882200000000001</v>
      </c>
      <c r="V1907">
        <v>3.2600150000000001E-2</v>
      </c>
      <c r="W1907">
        <v>-8.9857899999999893E-2</v>
      </c>
      <c r="X1907">
        <v>0.99542090000000005</v>
      </c>
      <c r="Y1907">
        <v>-1.327381E-2</v>
      </c>
      <c r="Z1907">
        <v>9.5417849999999999E-2</v>
      </c>
      <c r="AA1907">
        <v>0.99534880000000003</v>
      </c>
      <c r="AB1907">
        <v>22</v>
      </c>
      <c r="AC1907">
        <v>3.9999999999906699E-3</v>
      </c>
      <c r="AD1907">
        <v>-8.0782000000000104E-2</v>
      </c>
      <c r="AE1907">
        <v>-0.58310000000000095</v>
      </c>
      <c r="AF1907">
        <v>-1.08138095018614E-2</v>
      </c>
      <c r="AG1907">
        <v>-8.0782000000000104E-2</v>
      </c>
      <c r="AH1907">
        <v>0.57203107162098998</v>
      </c>
      <c r="AI1907">
        <v>98.036716478874197</v>
      </c>
      <c r="AJ1907">
        <v>91.083003851272295</v>
      </c>
      <c r="AK1907">
        <v>0.57780811425576295</v>
      </c>
      <c r="AL1907">
        <v>95.155432288923805</v>
      </c>
      <c r="AM1907">
        <v>88.124227012371605</v>
      </c>
      <c r="AN1907">
        <v>0.99999999006462104</v>
      </c>
    </row>
    <row r="1908" spans="1:40" x14ac:dyDescent="0.25">
      <c r="A1908" t="str">
        <f>"20190303154133173"</f>
        <v>20190303154133173</v>
      </c>
      <c r="B1908" t="str">
        <f>"1551598893160742"</f>
        <v>1551598893160742</v>
      </c>
      <c r="C1908" t="s">
        <v>40</v>
      </c>
      <c r="D1908">
        <v>6.0428660000000001</v>
      </c>
      <c r="E1908">
        <v>0.48180329999999899</v>
      </c>
      <c r="F1908" t="s">
        <v>42</v>
      </c>
      <c r="G1908">
        <v>-191.45939999999999</v>
      </c>
      <c r="H1908">
        <v>1.04</v>
      </c>
      <c r="I1908">
        <v>332.45859999999999</v>
      </c>
      <c r="J1908">
        <v>-191.465</v>
      </c>
      <c r="K1908">
        <v>1.1197239999999999</v>
      </c>
      <c r="L1908">
        <v>333.01240000000001</v>
      </c>
      <c r="M1908">
        <v>-1.2577110000000001E-2</v>
      </c>
      <c r="N1908">
        <v>-4.9655819999999996E-3</v>
      </c>
      <c r="O1908">
        <v>-0.99990869999999998</v>
      </c>
      <c r="P1908">
        <v>-4.4554200000000002E-2</v>
      </c>
      <c r="Q1908">
        <v>-9.5491870000000006E-2</v>
      </c>
      <c r="R1908">
        <v>-0.99443289999999995</v>
      </c>
      <c r="S1908">
        <v>8.560181E-3</v>
      </c>
      <c r="T1908">
        <v>-0.30293809999999999</v>
      </c>
      <c r="U1908">
        <v>-2.9881289999999998</v>
      </c>
      <c r="V1908">
        <v>3.1969879999999999E-2</v>
      </c>
      <c r="W1908">
        <v>-9.0576390000000007E-2</v>
      </c>
      <c r="X1908">
        <v>0.99537620000000004</v>
      </c>
      <c r="Y1908">
        <v>-1.5424429999999999E-2</v>
      </c>
      <c r="Z1908">
        <v>9.5903779999999994E-2</v>
      </c>
      <c r="AA1908">
        <v>0.99527109999999996</v>
      </c>
      <c r="AB1908">
        <v>22</v>
      </c>
      <c r="AC1908">
        <v>5.6000000000153696E-3</v>
      </c>
      <c r="AD1908">
        <v>-7.9723999999999906E-2</v>
      </c>
      <c r="AE1908">
        <v>-0.55380000000002305</v>
      </c>
      <c r="AF1908">
        <v>-1.23097648738923E-2</v>
      </c>
      <c r="AG1908">
        <v>-7.9723999999999906E-2</v>
      </c>
      <c r="AH1908">
        <v>0.54244531050691802</v>
      </c>
      <c r="AI1908">
        <v>98.358866989531805</v>
      </c>
      <c r="AJ1908">
        <v>91.299995644165904</v>
      </c>
      <c r="AK1908">
        <v>0.54841075972139497</v>
      </c>
      <c r="AL1908">
        <v>95.196767411232202</v>
      </c>
      <c r="AM1908">
        <v>88.160384268169196</v>
      </c>
      <c r="AN1908">
        <v>0.99999996758954202</v>
      </c>
    </row>
    <row r="1909" spans="1:40" x14ac:dyDescent="0.25">
      <c r="A1909" t="str">
        <f>"20190303154133196"</f>
        <v>20190303154133196</v>
      </c>
      <c r="B1909" t="str">
        <f>"1551598893190998"</f>
        <v>1551598893190998</v>
      </c>
      <c r="C1909" t="s">
        <v>40</v>
      </c>
      <c r="D1909">
        <v>6.0009690000000004</v>
      </c>
      <c r="E1909">
        <v>0.48151119999999997</v>
      </c>
      <c r="F1909" t="s">
        <v>41</v>
      </c>
      <c r="G1909">
        <v>-191.42359999999999</v>
      </c>
      <c r="H1909" s="1">
        <v>-1.418713E-6</v>
      </c>
      <c r="I1909">
        <v>322.01319999999998</v>
      </c>
      <c r="J1909">
        <v>-191.46860000000001</v>
      </c>
      <c r="K1909">
        <v>1.1198300000000001</v>
      </c>
      <c r="L1909">
        <v>332.7758</v>
      </c>
      <c r="M1909">
        <v>-1.3120410000000001E-2</v>
      </c>
      <c r="N1909">
        <v>-5.5288439999999998E-3</v>
      </c>
      <c r="O1909">
        <v>-0.99989899999999998</v>
      </c>
      <c r="P1909">
        <v>-4.447073E-2</v>
      </c>
      <c r="Q1909">
        <v>-9.5763210000000001E-2</v>
      </c>
      <c r="R1909">
        <v>-0.99441049999999997</v>
      </c>
      <c r="S1909">
        <v>1.126099E-2</v>
      </c>
      <c r="T1909">
        <v>-0.30419230000000003</v>
      </c>
      <c r="U1909">
        <v>-2.9880979999999999</v>
      </c>
      <c r="V1909">
        <v>3.1345599999999897E-2</v>
      </c>
      <c r="W1909">
        <v>-9.0286829999999998E-2</v>
      </c>
      <c r="X1909">
        <v>0.99542240000000004</v>
      </c>
      <c r="Y1909">
        <v>-1.6866450000000002E-2</v>
      </c>
      <c r="Z1909">
        <v>9.5755149999999997E-2</v>
      </c>
      <c r="AA1909">
        <v>0.99526199999999998</v>
      </c>
      <c r="AB1909">
        <v>22</v>
      </c>
      <c r="AC1909">
        <v>4.5000000000015902E-2</v>
      </c>
      <c r="AD1909">
        <v>-1.1198314187129901</v>
      </c>
      <c r="AE1909">
        <v>-10.762600000000001</v>
      </c>
      <c r="AF1909">
        <v>-0.18421368267826699</v>
      </c>
      <c r="AG1909">
        <v>-1.1198314187129901</v>
      </c>
      <c r="AH1909">
        <v>10.6458326087134</v>
      </c>
      <c r="AI1909">
        <v>96.003948231439907</v>
      </c>
      <c r="AJ1909">
        <v>90.991337520331498</v>
      </c>
      <c r="AK1909">
        <v>10.7061528580517</v>
      </c>
      <c r="AL1909">
        <v>95.180108386566204</v>
      </c>
      <c r="AM1909">
        <v>88.196366378145399</v>
      </c>
      <c r="AN1909">
        <v>1.0000000063662799</v>
      </c>
    </row>
    <row r="1910" spans="1:40" x14ac:dyDescent="0.25">
      <c r="A1910" t="str">
        <f>"20190303154133219"</f>
        <v>20190303154133219</v>
      </c>
      <c r="B1910" t="str">
        <f>"1551598893211494"</f>
        <v>1551598893211494</v>
      </c>
      <c r="C1910" t="s">
        <v>40</v>
      </c>
      <c r="D1910">
        <v>6.0368300000000001</v>
      </c>
      <c r="E1910">
        <v>0.4813441</v>
      </c>
      <c r="F1910" t="s">
        <v>42</v>
      </c>
      <c r="G1910">
        <v>-191.46449999999999</v>
      </c>
      <c r="H1910">
        <v>1.026872</v>
      </c>
      <c r="I1910">
        <v>331.86329999999998</v>
      </c>
      <c r="J1910">
        <v>-191.47219999999999</v>
      </c>
      <c r="K1910">
        <v>1.119953</v>
      </c>
      <c r="L1910">
        <v>332.55509999999998</v>
      </c>
      <c r="M1910">
        <v>-1.3605320000000001E-2</v>
      </c>
      <c r="N1910">
        <v>-6.1840810000000001E-3</v>
      </c>
      <c r="O1910">
        <v>-0.99988849999999996</v>
      </c>
      <c r="P1910">
        <v>-4.4588419999999997E-2</v>
      </c>
      <c r="Q1910">
        <v>-9.6113130000000005E-2</v>
      </c>
      <c r="R1910">
        <v>-0.99437149999999996</v>
      </c>
      <c r="S1910">
        <v>1.390076E-2</v>
      </c>
      <c r="T1910">
        <v>-0.30456299999999997</v>
      </c>
      <c r="U1910">
        <v>-2.9881289999999998</v>
      </c>
      <c r="V1910">
        <v>3.098134E-2</v>
      </c>
      <c r="W1910">
        <v>-8.9984339999999996E-2</v>
      </c>
      <c r="X1910">
        <v>0.99546120000000005</v>
      </c>
      <c r="Y1910">
        <v>-1.8229720000000001E-2</v>
      </c>
      <c r="Z1910">
        <v>9.522166E-2</v>
      </c>
      <c r="AA1910">
        <v>0.99528910000000004</v>
      </c>
      <c r="AB1910">
        <v>23</v>
      </c>
      <c r="AC1910">
        <v>7.6999999999998103E-3</v>
      </c>
      <c r="AD1910">
        <v>-9.30809999999999E-2</v>
      </c>
      <c r="AE1910">
        <v>-0.69179999999999997</v>
      </c>
      <c r="AF1910">
        <v>-1.68073921219789E-2</v>
      </c>
      <c r="AG1910">
        <v>-9.30809999999999E-2</v>
      </c>
      <c r="AH1910">
        <v>0.67933444103971996</v>
      </c>
      <c r="AI1910">
        <v>97.799609400430995</v>
      </c>
      <c r="AJ1910">
        <v>91.417263956597495</v>
      </c>
      <c r="AK1910">
        <v>0.68588763203143599</v>
      </c>
      <c r="AL1910">
        <v>95.162706117275704</v>
      </c>
      <c r="AM1910">
        <v>88.217381824313193</v>
      </c>
      <c r="AN1910">
        <v>1.00000001278943</v>
      </c>
    </row>
    <row r="1911" spans="1:40" x14ac:dyDescent="0.25">
      <c r="A1911" t="str">
        <f>"20190303154133243"</f>
        <v>20190303154133243</v>
      </c>
      <c r="B1911" t="str">
        <f>"1551598893231014"</f>
        <v>1551598893231014</v>
      </c>
      <c r="C1911" t="s">
        <v>40</v>
      </c>
      <c r="D1911">
        <v>5.9839000000000002</v>
      </c>
      <c r="E1911">
        <v>0.48123729999999998</v>
      </c>
      <c r="F1911" t="s">
        <v>42</v>
      </c>
      <c r="G1911">
        <v>-191.46770000000001</v>
      </c>
      <c r="H1911">
        <v>1.0286139999999999</v>
      </c>
      <c r="I1911">
        <v>331.66059999999999</v>
      </c>
      <c r="J1911">
        <v>-191.47620000000001</v>
      </c>
      <c r="K1911">
        <v>1.1200969999999999</v>
      </c>
      <c r="L1911">
        <v>332.30959999999999</v>
      </c>
      <c r="M1911">
        <v>-1.4139540000000001E-2</v>
      </c>
      <c r="N1911">
        <v>-6.9858239999999999E-3</v>
      </c>
      <c r="O1911">
        <v>-0.99987559999999998</v>
      </c>
      <c r="P1911">
        <v>-4.4924579999999999E-2</v>
      </c>
      <c r="Q1911">
        <v>-9.6125050000000004E-2</v>
      </c>
      <c r="R1911">
        <v>-0.99435499999999999</v>
      </c>
      <c r="S1911">
        <v>1.490784E-2</v>
      </c>
      <c r="T1911">
        <v>-0.30514609999999998</v>
      </c>
      <c r="U1911">
        <v>-2.9881899999999999</v>
      </c>
      <c r="V1911">
        <v>3.0789179999999999E-2</v>
      </c>
      <c r="W1911">
        <v>-8.9197079999999998E-2</v>
      </c>
      <c r="X1911">
        <v>0.99553800000000003</v>
      </c>
      <c r="Y1911">
        <v>-1.909841E-2</v>
      </c>
      <c r="Z1911">
        <v>9.4611570000000006E-2</v>
      </c>
      <c r="AA1911">
        <v>0.99533099999999997</v>
      </c>
      <c r="AB1911">
        <v>22</v>
      </c>
      <c r="AC1911">
        <v>8.4999999999979502E-3</v>
      </c>
      <c r="AD1911">
        <v>-9.1482999999999898E-2</v>
      </c>
      <c r="AE1911">
        <v>-0.64900000000000002</v>
      </c>
      <c r="AF1911">
        <v>-1.73316207535286E-2</v>
      </c>
      <c r="AG1911">
        <v>-9.1482999999999898E-2</v>
      </c>
      <c r="AH1911">
        <v>0.63617645824065705</v>
      </c>
      <c r="AI1911">
        <v>98.180115480146398</v>
      </c>
      <c r="AJ1911">
        <v>91.560546828205005</v>
      </c>
      <c r="AK1911">
        <v>0.64295412774673999</v>
      </c>
      <c r="AL1911">
        <v>95.117417380089705</v>
      </c>
      <c r="AM1911">
        <v>88.228567923845901</v>
      </c>
      <c r="AN1911">
        <v>1.00000000106479</v>
      </c>
    </row>
    <row r="1912" spans="1:40" x14ac:dyDescent="0.25">
      <c r="A1912" t="str">
        <f>"20190303154133264"</f>
        <v>20190303154133264</v>
      </c>
      <c r="B1912" t="str">
        <f>"1551598893261270"</f>
        <v>1551598893261270</v>
      </c>
      <c r="C1912" t="s">
        <v>40</v>
      </c>
      <c r="D1912">
        <v>6.0547510000000004</v>
      </c>
      <c r="E1912">
        <v>0.48094340000000002</v>
      </c>
      <c r="F1912" t="s">
        <v>42</v>
      </c>
      <c r="G1912">
        <v>-191.47210000000001</v>
      </c>
      <c r="H1912">
        <v>1.0329410000000001</v>
      </c>
      <c r="I1912">
        <v>331.45600000000002</v>
      </c>
      <c r="J1912">
        <v>-191.47980000000001</v>
      </c>
      <c r="K1912">
        <v>1.120223</v>
      </c>
      <c r="L1912">
        <v>332.09190000000001</v>
      </c>
      <c r="M1912">
        <v>-1.4606640000000001E-2</v>
      </c>
      <c r="N1912">
        <v>-7.7246789999999999E-3</v>
      </c>
      <c r="O1912">
        <v>-0.99986339999999996</v>
      </c>
      <c r="P1912">
        <v>-4.5644570000000002E-2</v>
      </c>
      <c r="Q1912">
        <v>-9.6372349999999996E-2</v>
      </c>
      <c r="R1912">
        <v>-0.99429820000000002</v>
      </c>
      <c r="S1912">
        <v>1.467896E-2</v>
      </c>
      <c r="T1912">
        <v>-0.30521039999999999</v>
      </c>
      <c r="U1912">
        <v>-2.988159</v>
      </c>
      <c r="V1912">
        <v>3.10491E-2</v>
      </c>
      <c r="W1912">
        <v>-8.8707930000000004E-2</v>
      </c>
      <c r="X1912">
        <v>0.99557359999999995</v>
      </c>
      <c r="Y1912">
        <v>-1.9488720000000001E-2</v>
      </c>
      <c r="Z1912">
        <v>9.3896789999999994E-2</v>
      </c>
      <c r="AA1912">
        <v>0.99539120000000003</v>
      </c>
      <c r="AB1912">
        <v>22</v>
      </c>
      <c r="AC1912">
        <v>7.6999999999998103E-3</v>
      </c>
      <c r="AD1912">
        <v>-8.7281999999999998E-2</v>
      </c>
      <c r="AE1912">
        <v>-0.63590000000004898</v>
      </c>
      <c r="AF1912">
        <v>-1.6673738189065802E-2</v>
      </c>
      <c r="AG1912">
        <v>-8.7281999999999998E-2</v>
      </c>
      <c r="AH1912">
        <v>0.62396613158684699</v>
      </c>
      <c r="AI1912">
        <v>97.960207494760795</v>
      </c>
      <c r="AJ1912">
        <v>91.530704123741003</v>
      </c>
      <c r="AK1912">
        <v>0.63026176659912703</v>
      </c>
      <c r="AL1912">
        <v>95.089279774973093</v>
      </c>
      <c r="AM1912">
        <v>88.213687109280002</v>
      </c>
      <c r="AN1912">
        <v>0.99999996823632598</v>
      </c>
    </row>
    <row r="1913" spans="1:40" x14ac:dyDescent="0.25">
      <c r="A1913" t="str">
        <f>"20190303154133286"</f>
        <v>20190303154133286</v>
      </c>
      <c r="B1913" t="str">
        <f>"1551598893281298"</f>
        <v>1551598893281298</v>
      </c>
      <c r="C1913" t="s">
        <v>40</v>
      </c>
      <c r="D1913">
        <v>6.0131379999999996</v>
      </c>
      <c r="E1913">
        <v>0.48096559999999999</v>
      </c>
      <c r="F1913" t="s">
        <v>42</v>
      </c>
      <c r="G1913">
        <v>-191.47569999999999</v>
      </c>
      <c r="H1913">
        <v>1.0346489999999999</v>
      </c>
      <c r="I1913">
        <v>331.25380000000001</v>
      </c>
      <c r="J1913">
        <v>-191.48339999999999</v>
      </c>
      <c r="K1913">
        <v>1.1203369999999999</v>
      </c>
      <c r="L1913">
        <v>331.87979999999999</v>
      </c>
      <c r="M1913">
        <v>-1.5042929999999999E-2</v>
      </c>
      <c r="N1913">
        <v>-8.4428430000000002E-3</v>
      </c>
      <c r="O1913">
        <v>-0.99985139999999995</v>
      </c>
      <c r="P1913">
        <v>-4.670531E-2</v>
      </c>
      <c r="Q1913">
        <v>-9.6956390000000003E-2</v>
      </c>
      <c r="R1913">
        <v>-0.99419250000000003</v>
      </c>
      <c r="S1913">
        <v>1.4892580000000001E-2</v>
      </c>
      <c r="T1913">
        <v>-0.30524459999999998</v>
      </c>
      <c r="U1913">
        <v>-2.9883120000000001</v>
      </c>
      <c r="V1913">
        <v>3.1681550000000003E-2</v>
      </c>
      <c r="W1913">
        <v>-8.8576489999999994E-2</v>
      </c>
      <c r="X1913">
        <v>0.99556540000000004</v>
      </c>
      <c r="Y1913">
        <v>-1.9995240000000001E-2</v>
      </c>
      <c r="Z1913">
        <v>9.3186329999999998E-2</v>
      </c>
      <c r="AA1913">
        <v>0.99544790000000005</v>
      </c>
      <c r="AB1913">
        <v>22</v>
      </c>
      <c r="AC1913">
        <v>7.6999999999998103E-3</v>
      </c>
      <c r="AD1913">
        <v>-8.5688000000000195E-2</v>
      </c>
      <c r="AE1913">
        <v>-0.62599999999997602</v>
      </c>
      <c r="AF1913">
        <v>-1.68015793868889E-2</v>
      </c>
      <c r="AG1913">
        <v>-8.5688000000000195E-2</v>
      </c>
      <c r="AH1913">
        <v>0.61430506563250697</v>
      </c>
      <c r="AI1913">
        <v>97.937889367157496</v>
      </c>
      <c r="AJ1913">
        <v>91.566680318306894</v>
      </c>
      <c r="AK1913">
        <v>0.62048000779690904</v>
      </c>
      <c r="AL1913">
        <v>95.081718941830502</v>
      </c>
      <c r="AM1913">
        <v>88.177310371900205</v>
      </c>
      <c r="AN1913">
        <v>0.99999999043414101</v>
      </c>
    </row>
    <row r="1914" spans="1:40" x14ac:dyDescent="0.25">
      <c r="A1914" t="str">
        <f>"20190303154133306"</f>
        <v>20190303154133306</v>
      </c>
      <c r="B1914" t="str">
        <f>"1551598893300818"</f>
        <v>1551598893300818</v>
      </c>
      <c r="C1914" t="s">
        <v>40</v>
      </c>
      <c r="D1914">
        <v>6.0203810000000004</v>
      </c>
      <c r="E1914">
        <v>0.48083979999999998</v>
      </c>
      <c r="F1914" t="s">
        <v>42</v>
      </c>
      <c r="G1914">
        <v>-191.4804</v>
      </c>
      <c r="H1914">
        <v>1.0353870000000001</v>
      </c>
      <c r="I1914">
        <v>331.0532</v>
      </c>
      <c r="J1914">
        <v>-191.4871</v>
      </c>
      <c r="K1914">
        <v>1.1204369999999999</v>
      </c>
      <c r="L1914">
        <v>331.66930000000002</v>
      </c>
      <c r="M1914">
        <v>-1.5444380000000001E-2</v>
      </c>
      <c r="N1914">
        <v>-9.1261899999999993E-3</v>
      </c>
      <c r="O1914">
        <v>-0.99983920000000004</v>
      </c>
      <c r="P1914">
        <v>-4.8324680000000002E-2</v>
      </c>
      <c r="Q1914">
        <v>-9.7762970000000005E-2</v>
      </c>
      <c r="R1914">
        <v>-0.99403609999999998</v>
      </c>
      <c r="S1914">
        <v>1.135254E-2</v>
      </c>
      <c r="T1914">
        <v>-0.307172099999999</v>
      </c>
      <c r="U1914">
        <v>-2.9881289999999998</v>
      </c>
      <c r="V1914">
        <v>3.2908529999999998E-2</v>
      </c>
      <c r="W1914">
        <v>-8.8702749999999997E-2</v>
      </c>
      <c r="X1914">
        <v>0.99551440000000002</v>
      </c>
      <c r="Y1914">
        <v>-1.921732E-2</v>
      </c>
      <c r="Z1914">
        <v>9.3147629999999995E-2</v>
      </c>
      <c r="AA1914">
        <v>0.99546679999999999</v>
      </c>
      <c r="AB1914">
        <v>22</v>
      </c>
      <c r="AC1914">
        <v>6.6999999999950398E-3</v>
      </c>
      <c r="AD1914">
        <v>-8.5050000000000001E-2</v>
      </c>
      <c r="AE1914">
        <v>-0.61610000000001697</v>
      </c>
      <c r="AF1914">
        <v>-1.5911691022383299E-2</v>
      </c>
      <c r="AG1914">
        <v>-8.5050000000000001E-2</v>
      </c>
      <c r="AH1914">
        <v>0.60440643808508798</v>
      </c>
      <c r="AI1914">
        <v>98.007135289916206</v>
      </c>
      <c r="AJ1914">
        <v>91.508028628064395</v>
      </c>
      <c r="AK1914">
        <v>0.61056844563889401</v>
      </c>
      <c r="AL1914">
        <v>95.088981468039407</v>
      </c>
      <c r="AM1914">
        <v>88.106673769217096</v>
      </c>
      <c r="AN1914">
        <v>1.00000003490584</v>
      </c>
    </row>
    <row r="1915" spans="1:40" x14ac:dyDescent="0.25">
      <c r="A1915" t="str">
        <f>"20190303154133329"</f>
        <v>20190303154133329</v>
      </c>
      <c r="B1915" t="str">
        <f>"1551598893321313"</f>
        <v>1551598893321313</v>
      </c>
      <c r="C1915" t="s">
        <v>40</v>
      </c>
      <c r="D1915">
        <v>6.0340550000000004</v>
      </c>
      <c r="E1915">
        <v>0.48071849999999999</v>
      </c>
      <c r="F1915" t="s">
        <v>42</v>
      </c>
      <c r="G1915">
        <v>-191.48490000000001</v>
      </c>
      <c r="H1915">
        <v>1.03582</v>
      </c>
      <c r="I1915">
        <v>330.85329999999999</v>
      </c>
      <c r="J1915">
        <v>-191.49100000000001</v>
      </c>
      <c r="K1915">
        <v>1.12053</v>
      </c>
      <c r="L1915">
        <v>331.44850000000002</v>
      </c>
      <c r="M1915">
        <v>-1.5821419999999999E-2</v>
      </c>
      <c r="N1915">
        <v>-9.7883789999999998E-3</v>
      </c>
      <c r="O1915">
        <v>-0.99982729999999997</v>
      </c>
      <c r="P1915">
        <v>-4.9706119999999999E-2</v>
      </c>
      <c r="Q1915">
        <v>-9.8221790000000003E-2</v>
      </c>
      <c r="R1915">
        <v>-0.9939228</v>
      </c>
      <c r="S1915">
        <v>7.7514649999999999E-3</v>
      </c>
      <c r="T1915">
        <v>-0.30983640000000001</v>
      </c>
      <c r="U1915">
        <v>-2.9879150000000001</v>
      </c>
      <c r="V1915">
        <v>3.392245E-2</v>
      </c>
      <c r="W1915">
        <v>-8.8501469999999999E-2</v>
      </c>
      <c r="X1915">
        <v>0.9954982</v>
      </c>
      <c r="Y1915">
        <v>-1.8394509999999999E-2</v>
      </c>
      <c r="Z1915">
        <v>9.3373910000000004E-2</v>
      </c>
      <c r="AA1915">
        <v>0.99546120000000005</v>
      </c>
      <c r="AB1915">
        <v>22</v>
      </c>
      <c r="AC1915">
        <v>6.0999999999751201E-3</v>
      </c>
      <c r="AD1915">
        <v>-8.4709999999999994E-2</v>
      </c>
      <c r="AE1915">
        <v>-0.59520000000003304</v>
      </c>
      <c r="AF1915">
        <v>-1.5208567993692501E-2</v>
      </c>
      <c r="AG1915">
        <v>-8.4709999999999994E-2</v>
      </c>
      <c r="AH1915">
        <v>0.58321685527207701</v>
      </c>
      <c r="AI1915">
        <v>98.261429737495604</v>
      </c>
      <c r="AJ1915">
        <v>91.493765678000798</v>
      </c>
      <c r="AK1915">
        <v>0.58953285312514203</v>
      </c>
      <c r="AL1915">
        <v>95.077403847984797</v>
      </c>
      <c r="AM1915">
        <v>88.048352618788698</v>
      </c>
      <c r="AN1915">
        <v>0.99999995450470003</v>
      </c>
    </row>
    <row r="1916" spans="1:40" x14ac:dyDescent="0.25">
      <c r="A1916" t="str">
        <f>"20190303154133353"</f>
        <v>20190303154133353</v>
      </c>
      <c r="B1916" t="str">
        <f>"1551598893340833"</f>
        <v>1551598893340833</v>
      </c>
      <c r="C1916" t="s">
        <v>40</v>
      </c>
      <c r="D1916">
        <v>5.9960100000000001</v>
      </c>
      <c r="E1916">
        <v>0.4806433</v>
      </c>
      <c r="F1916" t="s">
        <v>42</v>
      </c>
      <c r="G1916">
        <v>-191.48990000000001</v>
      </c>
      <c r="H1916">
        <v>1.037274</v>
      </c>
      <c r="I1916">
        <v>330.65</v>
      </c>
      <c r="J1916">
        <v>-191.49520000000001</v>
      </c>
      <c r="K1916">
        <v>1.120611</v>
      </c>
      <c r="L1916">
        <v>331.21100000000001</v>
      </c>
      <c r="M1916">
        <v>-1.6172880000000001E-2</v>
      </c>
      <c r="N1916">
        <v>-1.0430149999999999E-2</v>
      </c>
      <c r="O1916">
        <v>-0.99981500000000001</v>
      </c>
      <c r="P1916">
        <v>-5.1144620000000002E-2</v>
      </c>
      <c r="Q1916">
        <v>-9.8984039999999995E-2</v>
      </c>
      <c r="R1916">
        <v>-0.99377420000000005</v>
      </c>
      <c r="S1916">
        <v>4.6691889999999998E-3</v>
      </c>
      <c r="T1916">
        <v>-0.31174180000000001</v>
      </c>
      <c r="U1916">
        <v>-2.9877929999999999</v>
      </c>
      <c r="V1916">
        <v>3.5020740000000002E-2</v>
      </c>
      <c r="W1916">
        <v>-8.862362E-2</v>
      </c>
      <c r="X1916">
        <v>0.99544940000000004</v>
      </c>
      <c r="Y1916">
        <v>-1.7718859999999999E-2</v>
      </c>
      <c r="Z1916">
        <v>9.336701E-2</v>
      </c>
      <c r="AA1916">
        <v>0.99547410000000003</v>
      </c>
      <c r="AB1916">
        <v>22</v>
      </c>
      <c r="AC1916">
        <v>5.3000000000054098E-3</v>
      </c>
      <c r="AD1916">
        <v>-8.3336999999999994E-2</v>
      </c>
      <c r="AE1916">
        <v>-0.56100000000003503</v>
      </c>
      <c r="AF1916">
        <v>-1.4062490164508499E-2</v>
      </c>
      <c r="AG1916">
        <v>-8.3336999999999994E-2</v>
      </c>
      <c r="AH1916">
        <v>0.54873290287983001</v>
      </c>
      <c r="AI1916">
        <v>98.632825888234294</v>
      </c>
      <c r="AJ1916">
        <v>91.468009325340205</v>
      </c>
      <c r="AK1916">
        <v>0.55520321315852605</v>
      </c>
      <c r="AL1916">
        <v>95.084429634099195</v>
      </c>
      <c r="AM1916">
        <v>87.985117690721495</v>
      </c>
      <c r="AN1916">
        <v>1.0000000531062001</v>
      </c>
    </row>
    <row r="1917" spans="1:40" x14ac:dyDescent="0.25">
      <c r="A1917" t="str">
        <f>"20190303154133373"</f>
        <v>20190303154133373</v>
      </c>
      <c r="B1917" t="str">
        <f>"1551598893361330"</f>
        <v>1551598893361330</v>
      </c>
      <c r="C1917" t="s">
        <v>40</v>
      </c>
      <c r="D1917">
        <v>5.9965679999999999</v>
      </c>
      <c r="E1917">
        <v>0.48056209999999999</v>
      </c>
      <c r="F1917" t="s">
        <v>41</v>
      </c>
      <c r="G1917">
        <v>-191.4923</v>
      </c>
      <c r="H1917" s="1">
        <v>-8.1318119999999904E-7</v>
      </c>
      <c r="I1917">
        <v>320.5591</v>
      </c>
      <c r="J1917">
        <v>-191.49879999999999</v>
      </c>
      <c r="K1917">
        <v>1.1206719999999999</v>
      </c>
      <c r="L1917">
        <v>331.01029999999997</v>
      </c>
      <c r="M1917">
        <v>-1.6420939999999998E-2</v>
      </c>
      <c r="N1917">
        <v>-1.0911850000000001E-2</v>
      </c>
      <c r="O1917">
        <v>-0.99980550000000001</v>
      </c>
      <c r="P1917">
        <v>-5.182134E-2</v>
      </c>
      <c r="Q1917">
        <v>-9.9761509999999998E-2</v>
      </c>
      <c r="R1917">
        <v>-0.99366089999999996</v>
      </c>
      <c r="S1917">
        <v>8.2397459999999998E-4</v>
      </c>
      <c r="T1917">
        <v>-0.31429759999999901</v>
      </c>
      <c r="U1917">
        <v>-2.9875180000000001</v>
      </c>
      <c r="V1917">
        <v>3.5459270000000001E-2</v>
      </c>
      <c r="W1917">
        <v>-8.8919949999999998E-2</v>
      </c>
      <c r="X1917">
        <v>0.99540740000000005</v>
      </c>
      <c r="Y1917">
        <v>-1.668592E-2</v>
      </c>
      <c r="Z1917">
        <v>9.3739550000000005E-2</v>
      </c>
      <c r="AA1917">
        <v>0.99545689999999998</v>
      </c>
      <c r="AB1917">
        <v>22</v>
      </c>
      <c r="AC1917">
        <v>6.4999999999883996E-3</v>
      </c>
      <c r="AD1917">
        <v>-1.1206728131811901</v>
      </c>
      <c r="AE1917">
        <v>-10.451199999999901</v>
      </c>
      <c r="AF1917">
        <v>-0.176103044602409</v>
      </c>
      <c r="AG1917">
        <v>-1.1206728131811901</v>
      </c>
      <c r="AH1917">
        <v>10.330898466484699</v>
      </c>
      <c r="AI1917">
        <v>96.190217262954505</v>
      </c>
      <c r="AJ1917">
        <v>90.976583413626699</v>
      </c>
      <c r="AK1917">
        <v>10.3929968229255</v>
      </c>
      <c r="AL1917">
        <v>95.101475636200405</v>
      </c>
      <c r="AM1917">
        <v>87.959822498928105</v>
      </c>
      <c r="AN1917">
        <v>1.0000000046558399</v>
      </c>
    </row>
    <row r="1918" spans="1:40" x14ac:dyDescent="0.25">
      <c r="A1918" t="str">
        <f>"20190303154133396"</f>
        <v>20190303154133396</v>
      </c>
      <c r="B1918" t="str">
        <f>"1551598893390894"</f>
        <v>1551598893390894</v>
      </c>
      <c r="C1918" t="s">
        <v>40</v>
      </c>
      <c r="D1918">
        <v>5.9882669999999996</v>
      </c>
      <c r="E1918">
        <v>0.4804002</v>
      </c>
      <c r="F1918" t="s">
        <v>41</v>
      </c>
      <c r="G1918">
        <v>-191.50069999999999</v>
      </c>
      <c r="H1918" s="1">
        <v>-7.6600180000000002E-7</v>
      </c>
      <c r="I1918">
        <v>320.44389999999999</v>
      </c>
      <c r="J1918">
        <v>-191.50280000000001</v>
      </c>
      <c r="K1918">
        <v>1.1207339999999999</v>
      </c>
      <c r="L1918">
        <v>330.78449999999998</v>
      </c>
      <c r="M1918">
        <v>-1.6648159999999999E-2</v>
      </c>
      <c r="N1918">
        <v>-1.139631E-2</v>
      </c>
      <c r="O1918">
        <v>-0.99979640000000003</v>
      </c>
      <c r="P1918">
        <v>-5.2246460000000002E-2</v>
      </c>
      <c r="Q1918">
        <v>-0.1003506</v>
      </c>
      <c r="R1918">
        <v>-0.99357949999999995</v>
      </c>
      <c r="S1918">
        <v>-5.3405759999999999E-4</v>
      </c>
      <c r="T1918">
        <v>-0.3168377</v>
      </c>
      <c r="U1918">
        <v>-2.9873349999999999</v>
      </c>
      <c r="V1918">
        <v>3.5668159999999997E-2</v>
      </c>
      <c r="W1918">
        <v>-8.9024080000000005E-2</v>
      </c>
      <c r="X1918">
        <v>0.99539069999999996</v>
      </c>
      <c r="Y1918">
        <v>-1.6460289999999999E-2</v>
      </c>
      <c r="Z1918">
        <v>9.4100139999999999E-2</v>
      </c>
      <c r="AA1918">
        <v>0.9954267</v>
      </c>
      <c r="AB1918">
        <v>22</v>
      </c>
      <c r="AC1918">
        <v>2.1000000000128598E-3</v>
      </c>
      <c r="AD1918">
        <v>-1.1207347660018001</v>
      </c>
      <c r="AE1918">
        <v>-10.340599999999901</v>
      </c>
      <c r="AF1918">
        <v>-0.172239623617232</v>
      </c>
      <c r="AG1918">
        <v>-1.1207347660018001</v>
      </c>
      <c r="AH1918">
        <v>10.2190916064635</v>
      </c>
      <c r="AI1918">
        <v>96.257773242464395</v>
      </c>
      <c r="AJ1918">
        <v>90.965611185862997</v>
      </c>
      <c r="AK1918">
        <v>10.2818065613471</v>
      </c>
      <c r="AL1918">
        <v>95.1074652406393</v>
      </c>
      <c r="AM1918">
        <v>87.947779691055899</v>
      </c>
      <c r="AN1918">
        <v>1.0000000750520499</v>
      </c>
    </row>
    <row r="1919" spans="1:40" x14ac:dyDescent="0.25">
      <c r="A1919" t="str">
        <f>"20190303154133418"</f>
        <v>20190303154133418</v>
      </c>
      <c r="B1919" t="str">
        <f>"1551598893411390"</f>
        <v>1551598893411390</v>
      </c>
      <c r="C1919" t="s">
        <v>40</v>
      </c>
      <c r="D1919">
        <v>6.0277089999999998</v>
      </c>
      <c r="E1919">
        <v>0.48022140000000002</v>
      </c>
      <c r="F1919" t="s">
        <v>42</v>
      </c>
      <c r="G1919">
        <v>-191.50309999999999</v>
      </c>
      <c r="H1919">
        <v>1.023269</v>
      </c>
      <c r="I1919">
        <v>329.87139999999999</v>
      </c>
      <c r="J1919">
        <v>-191.50659999999999</v>
      </c>
      <c r="K1919">
        <v>1.120789</v>
      </c>
      <c r="L1919">
        <v>330.57080000000002</v>
      </c>
      <c r="M1919">
        <v>-1.680742E-2</v>
      </c>
      <c r="N1919">
        <v>-1.179733E-2</v>
      </c>
      <c r="O1919">
        <v>-0.9997895</v>
      </c>
      <c r="P1919">
        <v>-5.2251640000000002E-2</v>
      </c>
      <c r="Q1919">
        <v>-0.1008483</v>
      </c>
      <c r="R1919">
        <v>-0.99352910000000005</v>
      </c>
      <c r="S1919">
        <v>-5.3405759999999999E-4</v>
      </c>
      <c r="T1919">
        <v>-0.3189517</v>
      </c>
      <c r="U1919">
        <v>-2.9872130000000001</v>
      </c>
      <c r="V1919">
        <v>3.5523970000000002E-2</v>
      </c>
      <c r="W1919">
        <v>-8.9119710000000005E-2</v>
      </c>
      <c r="X1919">
        <v>0.99538720000000003</v>
      </c>
      <c r="Y1919">
        <v>-1.6619020000000002E-2</v>
      </c>
      <c r="Z1919">
        <v>9.4401059999999995E-2</v>
      </c>
      <c r="AA1919">
        <v>0.99539549999999999</v>
      </c>
      <c r="AB1919">
        <v>22</v>
      </c>
      <c r="AC1919">
        <v>3.5000000000024998E-3</v>
      </c>
      <c r="AD1919">
        <v>-9.7519999999999996E-2</v>
      </c>
      <c r="AE1919">
        <v>-0.699400000000025</v>
      </c>
      <c r="AF1919">
        <v>-1.49644997202465E-2</v>
      </c>
      <c r="AG1919">
        <v>-9.7519999999999996E-2</v>
      </c>
      <c r="AH1919">
        <v>0.68590743209589899</v>
      </c>
      <c r="AI1919">
        <v>98.089987792452703</v>
      </c>
      <c r="AJ1919">
        <v>91.249828531143805</v>
      </c>
      <c r="AK1919">
        <v>0.69296687659387202</v>
      </c>
      <c r="AL1919">
        <v>95.112966806274699</v>
      </c>
      <c r="AM1919">
        <v>87.956061644149202</v>
      </c>
      <c r="AN1919">
        <v>0.99999997653944195</v>
      </c>
    </row>
    <row r="1920" spans="1:40" x14ac:dyDescent="0.25">
      <c r="A1920" t="str">
        <f>"20190303154133442"</f>
        <v>20190303154133442</v>
      </c>
      <c r="B1920" t="str">
        <f>"1551598893430910"</f>
        <v>1551598893430910</v>
      </c>
      <c r="C1920" t="s">
        <v>40</v>
      </c>
      <c r="D1920">
        <v>6.0021800000000001</v>
      </c>
      <c r="E1920">
        <v>0.48007480000000002</v>
      </c>
      <c r="F1920" t="s">
        <v>42</v>
      </c>
      <c r="G1920">
        <v>-191.50640000000001</v>
      </c>
      <c r="H1920">
        <v>1.0246139999999999</v>
      </c>
      <c r="I1920">
        <v>329.67360000000002</v>
      </c>
      <c r="J1920">
        <v>-191.51079999999999</v>
      </c>
      <c r="K1920">
        <v>1.1208389999999999</v>
      </c>
      <c r="L1920">
        <v>330.32859999999999</v>
      </c>
      <c r="M1920">
        <v>-1.69366E-2</v>
      </c>
      <c r="N1920">
        <v>-1.2192679999999999E-2</v>
      </c>
      <c r="O1920">
        <v>-0.99978230000000001</v>
      </c>
      <c r="P1920">
        <v>-5.1941920000000003E-2</v>
      </c>
      <c r="Q1920">
        <v>-0.101288</v>
      </c>
      <c r="R1920">
        <v>-0.99350059999999996</v>
      </c>
      <c r="S1920">
        <v>9.6130369999999996E-4</v>
      </c>
      <c r="T1920">
        <v>-0.32034279999999998</v>
      </c>
      <c r="U1920">
        <v>-2.9870909999999999</v>
      </c>
      <c r="V1920">
        <v>3.5094E-2</v>
      </c>
      <c r="W1920">
        <v>-8.9163060000000002E-2</v>
      </c>
      <c r="X1920">
        <v>0.99539860000000002</v>
      </c>
      <c r="Y1920">
        <v>-1.7245650000000001E-2</v>
      </c>
      <c r="Z1920">
        <v>9.4469010000000006E-2</v>
      </c>
      <c r="AA1920">
        <v>0.9953784</v>
      </c>
      <c r="AB1920">
        <v>22</v>
      </c>
      <c r="AC1920">
        <v>4.3999999999755303E-3</v>
      </c>
      <c r="AD1920">
        <v>-9.6225000000000005E-2</v>
      </c>
      <c r="AE1920">
        <v>-0.65499999999997205</v>
      </c>
      <c r="AF1920">
        <v>-1.5166358843907501E-2</v>
      </c>
      <c r="AG1920">
        <v>-9.6225000000000005E-2</v>
      </c>
      <c r="AH1920">
        <v>0.64099806447380203</v>
      </c>
      <c r="AI1920">
        <v>98.534993747606094</v>
      </c>
      <c r="AJ1920">
        <v>91.355396060213494</v>
      </c>
      <c r="AK1920">
        <v>0.64835776213811402</v>
      </c>
      <c r="AL1920">
        <v>95.115460352201097</v>
      </c>
      <c r="AM1920">
        <v>87.980803278078398</v>
      </c>
      <c r="AN1920">
        <v>1.0000000064932599</v>
      </c>
    </row>
    <row r="1921" spans="1:40" x14ac:dyDescent="0.25">
      <c r="A1921" t="str">
        <f>"20190303154133465"</f>
        <v>20190303154133465</v>
      </c>
      <c r="B1921" t="str">
        <f>"1551598893461166"</f>
        <v>1551598893461166</v>
      </c>
      <c r="C1921" t="s">
        <v>40</v>
      </c>
      <c r="D1921">
        <v>6.0297799999999997</v>
      </c>
      <c r="E1921">
        <v>0.47996810000000001</v>
      </c>
      <c r="F1921" t="s">
        <v>42</v>
      </c>
      <c r="G1921">
        <v>-191.51009999999999</v>
      </c>
      <c r="H1921">
        <v>1.028869</v>
      </c>
      <c r="I1921">
        <v>329.4735</v>
      </c>
      <c r="J1921">
        <v>-191.5147</v>
      </c>
      <c r="K1921">
        <v>1.1208769999999999</v>
      </c>
      <c r="L1921">
        <v>330.10860000000002</v>
      </c>
      <c r="M1921">
        <v>-1.701188E-2</v>
      </c>
      <c r="N1921">
        <v>-1.250535E-2</v>
      </c>
      <c r="O1921">
        <v>-0.99977709999999997</v>
      </c>
      <c r="P1921">
        <v>-5.1451660000000003E-2</v>
      </c>
      <c r="Q1921">
        <v>-0.10121380000000001</v>
      </c>
      <c r="R1921">
        <v>-0.99353329999999995</v>
      </c>
      <c r="S1921">
        <v>2.8839109999999999E-3</v>
      </c>
      <c r="T1921">
        <v>-0.3214612</v>
      </c>
      <c r="U1921">
        <v>-2.9870000000000001</v>
      </c>
      <c r="V1921">
        <v>3.4533960000000002E-2</v>
      </c>
      <c r="W1921">
        <v>-8.877504E-2</v>
      </c>
      <c r="X1921">
        <v>0.99545289999999997</v>
      </c>
      <c r="Y1921">
        <v>-1.7960750000000001E-2</v>
      </c>
      <c r="Z1921">
        <v>9.452837E-2</v>
      </c>
      <c r="AA1921">
        <v>0.99536009999999997</v>
      </c>
      <c r="AB1921">
        <v>22</v>
      </c>
      <c r="AC1921">
        <v>4.6000000000105904E-3</v>
      </c>
      <c r="AD1921">
        <v>-9.2008000000000006E-2</v>
      </c>
      <c r="AE1921">
        <v>-0.63510000000002198</v>
      </c>
      <c r="AF1921">
        <v>-1.50877811569082E-2</v>
      </c>
      <c r="AG1921">
        <v>-9.2008000000000006E-2</v>
      </c>
      <c r="AH1921">
        <v>0.62187863700968904</v>
      </c>
      <c r="AI1921">
        <v>98.413514262219493</v>
      </c>
      <c r="AJ1921">
        <v>91.389815592913905</v>
      </c>
      <c r="AK1921">
        <v>0.62882919173116303</v>
      </c>
      <c r="AL1921">
        <v>95.093139763160593</v>
      </c>
      <c r="AM1921">
        <v>88.013108452929899</v>
      </c>
      <c r="AN1921">
        <v>1.00000003911934</v>
      </c>
    </row>
    <row r="1922" spans="1:40" x14ac:dyDescent="0.25">
      <c r="A1922" t="str">
        <f>"20190303154133484"</f>
        <v>20190303154133484</v>
      </c>
      <c r="B1922" t="str">
        <f>"1551598893481662"</f>
        <v>1551598893481662</v>
      </c>
      <c r="C1922" t="s">
        <v>40</v>
      </c>
      <c r="D1922">
        <v>5.9664630000000001</v>
      </c>
      <c r="E1922">
        <v>0.51250010000000001</v>
      </c>
      <c r="F1922" t="s">
        <v>42</v>
      </c>
      <c r="G1922">
        <v>-191.51329999999999</v>
      </c>
      <c r="H1922">
        <v>1.0312889999999999</v>
      </c>
      <c r="I1922">
        <v>329.27519999999998</v>
      </c>
      <c r="J1922">
        <v>-191.518</v>
      </c>
      <c r="K1922">
        <v>1.1209039999999999</v>
      </c>
      <c r="L1922">
        <v>329.916</v>
      </c>
      <c r="M1922">
        <v>-1.7045390000000001E-2</v>
      </c>
      <c r="N1922">
        <v>-1.2745569999999999E-2</v>
      </c>
      <c r="O1922">
        <v>-0.99977349999999998</v>
      </c>
      <c r="P1922">
        <v>-5.061181E-2</v>
      </c>
      <c r="Q1922">
        <v>-0.101104</v>
      </c>
      <c r="R1922">
        <v>-0.99358769999999996</v>
      </c>
      <c r="S1922">
        <v>5.1269530000000001E-3</v>
      </c>
      <c r="T1922">
        <v>-0.3211869</v>
      </c>
      <c r="U1922">
        <v>-2.9870909999999999</v>
      </c>
      <c r="V1922">
        <v>3.3663890000000002E-2</v>
      </c>
      <c r="W1922">
        <v>-8.8423970000000005E-2</v>
      </c>
      <c r="X1922">
        <v>0.99551389999999995</v>
      </c>
      <c r="Y1922">
        <v>-1.874089E-2</v>
      </c>
      <c r="Z1922">
        <v>9.4194630000000001E-2</v>
      </c>
      <c r="AA1922">
        <v>0.99537739999999997</v>
      </c>
      <c r="AB1922">
        <v>22</v>
      </c>
      <c r="AC1922">
        <v>4.7000000000139101E-3</v>
      </c>
      <c r="AD1922">
        <v>-8.9615000000000195E-2</v>
      </c>
      <c r="AE1922">
        <v>-0.64080000000001203</v>
      </c>
      <c r="AF1922">
        <v>-1.5323220141086001E-2</v>
      </c>
      <c r="AG1922">
        <v>-8.9615000000000195E-2</v>
      </c>
      <c r="AH1922">
        <v>0.62833860929949203</v>
      </c>
      <c r="AI1922">
        <v>98.114526368966906</v>
      </c>
      <c r="AJ1922">
        <v>91.396988575486603</v>
      </c>
      <c r="AK1922">
        <v>0.63488192385427999</v>
      </c>
      <c r="AL1922">
        <v>95.072945764400103</v>
      </c>
      <c r="AM1922">
        <v>88.063247401219996</v>
      </c>
      <c r="AN1922">
        <v>0.99999999052685096</v>
      </c>
    </row>
    <row r="1923" spans="1:40" x14ac:dyDescent="0.25">
      <c r="A1923" t="str">
        <f>"20190303154133508"</f>
        <v>20190303154133508</v>
      </c>
      <c r="B1923" t="str">
        <f>"1551598893501182"</f>
        <v>1551598893501182</v>
      </c>
      <c r="C1923" t="s">
        <v>40</v>
      </c>
      <c r="D1923">
        <v>5.9686360000000001</v>
      </c>
      <c r="E1923">
        <v>0.51441709999999996</v>
      </c>
      <c r="F1923" t="s">
        <v>41</v>
      </c>
      <c r="G1923">
        <v>-192.982</v>
      </c>
      <c r="H1923" s="1">
        <v>-2.1899119999999999E-6</v>
      </c>
      <c r="I1923">
        <v>312.54590000000002</v>
      </c>
      <c r="J1923">
        <v>-191.52189999999999</v>
      </c>
      <c r="K1923">
        <v>1.1209290000000001</v>
      </c>
      <c r="L1923">
        <v>329.69229999999999</v>
      </c>
      <c r="M1923">
        <v>-1.7053220000000001E-2</v>
      </c>
      <c r="N1923">
        <v>-1.2989479999999999E-2</v>
      </c>
      <c r="O1923">
        <v>-0.99977039999999995</v>
      </c>
      <c r="P1923">
        <v>-5.0103519999999999E-2</v>
      </c>
      <c r="Q1923">
        <v>-0.10142909999999999</v>
      </c>
      <c r="R1923">
        <v>-0.99358060000000004</v>
      </c>
      <c r="S1923">
        <v>-0.2517395</v>
      </c>
      <c r="T1923">
        <v>-0.1927488</v>
      </c>
      <c r="U1923">
        <v>-2.9869379999999999</v>
      </c>
      <c r="V1923">
        <v>3.3151609999999998E-2</v>
      </c>
      <c r="W1923">
        <v>-8.8505029999999998E-2</v>
      </c>
      <c r="X1923">
        <v>0.99552390000000002</v>
      </c>
      <c r="Y1923">
        <v>6.6831950000000001E-2</v>
      </c>
      <c r="Z1923">
        <v>5.1238590000000001E-2</v>
      </c>
      <c r="AA1923">
        <v>0.99644770000000005</v>
      </c>
      <c r="AB1923">
        <v>22</v>
      </c>
      <c r="AC1923">
        <v>-1.4601000000000099</v>
      </c>
      <c r="AD1923">
        <v>-1.120931189912</v>
      </c>
      <c r="AE1923">
        <v>-17.1463999999999</v>
      </c>
      <c r="AF1923">
        <v>1.16252907259575</v>
      </c>
      <c r="AG1923">
        <v>-1.120931189912</v>
      </c>
      <c r="AH1923">
        <v>17.096268058133202</v>
      </c>
      <c r="AI1923">
        <v>93.742658535554597</v>
      </c>
      <c r="AJ1923">
        <v>86.109932825123295</v>
      </c>
      <c r="AK1923">
        <v>17.172371475503699</v>
      </c>
      <c r="AL1923">
        <v>95.077608380061307</v>
      </c>
      <c r="AM1923">
        <v>88.092717128129905</v>
      </c>
      <c r="AN1923">
        <v>1.00000000252605</v>
      </c>
    </row>
    <row r="1924" spans="1:40" x14ac:dyDescent="0.25">
      <c r="A1924" t="str">
        <f>"20190303154133530"</f>
        <v>20190303154133530</v>
      </c>
      <c r="B1924" t="str">
        <f>"1551598893521679"</f>
        <v>1551598893521679</v>
      </c>
      <c r="C1924" t="s">
        <v>40</v>
      </c>
      <c r="D1924">
        <v>6.0434340000000004</v>
      </c>
      <c r="E1924">
        <v>0.51437179999999905</v>
      </c>
      <c r="F1924" t="s">
        <v>41</v>
      </c>
      <c r="G1924">
        <v>-192.99029999999999</v>
      </c>
      <c r="H1924" s="1">
        <v>-2.4931310000000001E-6</v>
      </c>
      <c r="I1924">
        <v>313.18259999999998</v>
      </c>
      <c r="J1924">
        <v>-191.5256</v>
      </c>
      <c r="K1924">
        <v>1.1209480000000001</v>
      </c>
      <c r="L1924">
        <v>329.47149999999999</v>
      </c>
      <c r="M1924">
        <v>-1.7041520000000001E-2</v>
      </c>
      <c r="N1924">
        <v>-1.319769E-2</v>
      </c>
      <c r="O1924">
        <v>-0.99976779999999998</v>
      </c>
      <c r="P1924">
        <v>-4.9632460000000003E-2</v>
      </c>
      <c r="Q1924">
        <v>-0.1016594</v>
      </c>
      <c r="R1924">
        <v>-0.99358049999999998</v>
      </c>
      <c r="S1924">
        <v>-0.26551819999999998</v>
      </c>
      <c r="T1924">
        <v>-0.20268630000000001</v>
      </c>
      <c r="U1924">
        <v>-2.9852599999999998</v>
      </c>
      <c r="V1924">
        <v>3.2694719999999997E-2</v>
      </c>
      <c r="W1924">
        <v>-8.8527170000000002E-2</v>
      </c>
      <c r="X1924">
        <v>0.99553700000000001</v>
      </c>
      <c r="Y1924">
        <v>7.1435529999999997E-2</v>
      </c>
      <c r="Z1924">
        <v>5.4342500000000002E-2</v>
      </c>
      <c r="AA1924">
        <v>0.99596379999999995</v>
      </c>
      <c r="AB1924">
        <v>22</v>
      </c>
      <c r="AC1924">
        <v>-1.4646999999999899</v>
      </c>
      <c r="AD1924">
        <v>-1.1209504931309999</v>
      </c>
      <c r="AE1924">
        <v>-16.288900000000002</v>
      </c>
      <c r="AF1924">
        <v>1.18132590458939</v>
      </c>
      <c r="AG1924">
        <v>-1.1209504931309999</v>
      </c>
      <c r="AH1924">
        <v>16.235227648269099</v>
      </c>
      <c r="AI1924">
        <v>93.939299170382895</v>
      </c>
      <c r="AJ1924">
        <v>85.838314315200506</v>
      </c>
      <c r="AK1924">
        <v>16.316699350420901</v>
      </c>
      <c r="AL1924">
        <v>95.0788821166703</v>
      </c>
      <c r="AM1924">
        <v>88.1190087038229</v>
      </c>
      <c r="AN1924">
        <v>0.99999996145654202</v>
      </c>
    </row>
    <row r="1925" spans="1:40" x14ac:dyDescent="0.25">
      <c r="A1925" t="str">
        <f>"20190303154133552"</f>
        <v>20190303154133552</v>
      </c>
      <c r="B1925" t="str">
        <f>"1551598893541198"</f>
        <v>1551598893541198</v>
      </c>
      <c r="C1925" t="s">
        <v>40</v>
      </c>
      <c r="D1925">
        <v>6.0338000000000003</v>
      </c>
      <c r="E1925">
        <v>0.5143008</v>
      </c>
      <c r="F1925" t="s">
        <v>41</v>
      </c>
      <c r="G1925">
        <v>-192.87479999999999</v>
      </c>
      <c r="H1925" s="1">
        <v>-2.9442920000000001E-6</v>
      </c>
      <c r="I1925">
        <v>314.20209999999997</v>
      </c>
      <c r="J1925">
        <v>-191.52940000000001</v>
      </c>
      <c r="K1925">
        <v>1.1209659999999999</v>
      </c>
      <c r="L1925">
        <v>329.24700000000001</v>
      </c>
      <c r="M1925">
        <v>-1.7020859999999999E-2</v>
      </c>
      <c r="N1925">
        <v>-1.338045E-2</v>
      </c>
      <c r="O1925">
        <v>-0.99976560000000003</v>
      </c>
      <c r="P1925">
        <v>-4.9867309999999998E-2</v>
      </c>
      <c r="Q1925">
        <v>-0.10171819999999999</v>
      </c>
      <c r="R1925">
        <v>-0.99356259999999996</v>
      </c>
      <c r="S1925">
        <v>-0.26364140000000003</v>
      </c>
      <c r="T1925">
        <v>-0.21904650000000001</v>
      </c>
      <c r="U1925">
        <v>-2.9838260000000001</v>
      </c>
      <c r="V1925">
        <v>3.2951599999999998E-2</v>
      </c>
      <c r="W1925">
        <v>-8.840373E-2</v>
      </c>
      <c r="X1925">
        <v>0.99553950000000002</v>
      </c>
      <c r="Y1925">
        <v>7.0847339999999995E-2</v>
      </c>
      <c r="Z1925">
        <v>5.9623900000000001E-2</v>
      </c>
      <c r="AA1925">
        <v>0.99570360000000002</v>
      </c>
      <c r="AB1925">
        <v>22</v>
      </c>
      <c r="AC1925">
        <v>-1.3453999999999799</v>
      </c>
      <c r="AD1925">
        <v>-1.1209689442919999</v>
      </c>
      <c r="AE1925">
        <v>-15.044899999999901</v>
      </c>
      <c r="AF1925">
        <v>1.0831396794077399</v>
      </c>
      <c r="AG1925">
        <v>-1.1209689442919999</v>
      </c>
      <c r="AH1925">
        <v>14.983103580241799</v>
      </c>
      <c r="AI1925">
        <v>94.267548199473396</v>
      </c>
      <c r="AJ1925">
        <v>85.865238247567504</v>
      </c>
      <c r="AK1925">
        <v>15.063968794292901</v>
      </c>
      <c r="AL1925">
        <v>95.071781684883405</v>
      </c>
      <c r="AM1925">
        <v>88.104245393185806</v>
      </c>
      <c r="AN1925">
        <v>0.99999996174035999</v>
      </c>
    </row>
    <row r="1926" spans="1:40" x14ac:dyDescent="0.25">
      <c r="A1926" t="str">
        <f>"20190303154133574"</f>
        <v>20190303154133574</v>
      </c>
      <c r="B1926" t="str">
        <f>"1551598893571455"</f>
        <v>1551598893571455</v>
      </c>
      <c r="C1926" t="s">
        <v>40</v>
      </c>
      <c r="D1926">
        <v>6.0570930000000001</v>
      </c>
      <c r="E1926">
        <v>0.51451020000000003</v>
      </c>
      <c r="F1926" t="s">
        <v>41</v>
      </c>
      <c r="G1926">
        <v>-192.82149999999999</v>
      </c>
      <c r="H1926" s="1">
        <v>-3.1379329999999999E-6</v>
      </c>
      <c r="I1926">
        <v>314.64170000000001</v>
      </c>
      <c r="J1926">
        <v>-191.53290000000001</v>
      </c>
      <c r="K1926">
        <v>1.1209739999999999</v>
      </c>
      <c r="L1926">
        <v>329.04230000000001</v>
      </c>
      <c r="M1926">
        <v>-1.6996819999999999E-2</v>
      </c>
      <c r="N1926">
        <v>-1.352387E-2</v>
      </c>
      <c r="O1926">
        <v>-0.99976419999999999</v>
      </c>
      <c r="P1926">
        <v>-4.9834530000000002E-2</v>
      </c>
      <c r="Q1926">
        <v>-0.10166310000000001</v>
      </c>
      <c r="R1926">
        <v>-0.99356999999999995</v>
      </c>
      <c r="S1926">
        <v>-0.2638702</v>
      </c>
      <c r="T1926">
        <v>-0.22893350000000001</v>
      </c>
      <c r="U1926">
        <v>-2.9828190000000001</v>
      </c>
      <c r="V1926">
        <v>3.2942770000000003E-2</v>
      </c>
      <c r="W1926">
        <v>-8.820567E-2</v>
      </c>
      <c r="X1926">
        <v>0.99555740000000004</v>
      </c>
      <c r="Y1926">
        <v>7.0957329999999999E-2</v>
      </c>
      <c r="Z1926">
        <v>6.2783469999999994E-2</v>
      </c>
      <c r="AA1926">
        <v>0.99550150000000004</v>
      </c>
      <c r="AB1926">
        <v>22</v>
      </c>
      <c r="AC1926">
        <v>-1.28859999999997</v>
      </c>
      <c r="AD1926">
        <v>-1.120977137933</v>
      </c>
      <c r="AE1926">
        <v>-14.400599999999899</v>
      </c>
      <c r="AF1926">
        <v>1.0373909835727</v>
      </c>
      <c r="AG1926">
        <v>-1.120977137933</v>
      </c>
      <c r="AH1926">
        <v>14.334255883546501</v>
      </c>
      <c r="AI1926">
        <v>94.459965101868207</v>
      </c>
      <c r="AJ1926">
        <v>85.860637702515305</v>
      </c>
      <c r="AK1926">
        <v>14.4153966831147</v>
      </c>
      <c r="AL1926">
        <v>95.060388975866701</v>
      </c>
      <c r="AM1926">
        <v>88.104787077158406</v>
      </c>
      <c r="AN1926">
        <v>1.0000000015050901</v>
      </c>
    </row>
    <row r="1927" spans="1:40" x14ac:dyDescent="0.25">
      <c r="A1927" t="str">
        <f>"20190303154133596"</f>
        <v>20190303154133596</v>
      </c>
      <c r="B1927" t="str">
        <f>"1551598893590975"</f>
        <v>1551598893590975</v>
      </c>
      <c r="C1927" t="s">
        <v>40</v>
      </c>
      <c r="D1927">
        <v>6.0486050000000002</v>
      </c>
      <c r="E1927">
        <v>0.51451979999999997</v>
      </c>
      <c r="F1927" t="s">
        <v>41</v>
      </c>
      <c r="G1927">
        <v>-192.80529999999999</v>
      </c>
      <c r="H1927" s="1">
        <v>-3.1806239999999999E-6</v>
      </c>
      <c r="I1927">
        <v>314.74110000000002</v>
      </c>
      <c r="J1927">
        <v>-191.53659999999999</v>
      </c>
      <c r="K1927">
        <v>1.120984</v>
      </c>
      <c r="L1927">
        <v>328.82310000000001</v>
      </c>
      <c r="M1927">
        <v>-1.6963499999999999E-2</v>
      </c>
      <c r="N1927">
        <v>-1.365617E-2</v>
      </c>
      <c r="O1927">
        <v>-0.99976299999999996</v>
      </c>
      <c r="P1927">
        <v>-4.9451700000000001E-2</v>
      </c>
      <c r="Q1927">
        <v>-0.1016065</v>
      </c>
      <c r="R1927">
        <v>-0.99359509999999995</v>
      </c>
      <c r="S1927">
        <v>-0.26531979999999999</v>
      </c>
      <c r="T1927">
        <v>-0.23375380000000001</v>
      </c>
      <c r="U1927">
        <v>-2.9821780000000002</v>
      </c>
      <c r="V1927">
        <v>3.2592549999999998E-2</v>
      </c>
      <c r="W1927">
        <v>-8.8017189999999995E-2</v>
      </c>
      <c r="X1927">
        <v>0.99558559999999996</v>
      </c>
      <c r="Y1927">
        <v>7.1479470000000003E-2</v>
      </c>
      <c r="Z1927">
        <v>6.426279E-2</v>
      </c>
      <c r="AA1927">
        <v>0.99536979999999997</v>
      </c>
      <c r="AB1927">
        <v>22</v>
      </c>
      <c r="AC1927">
        <v>-1.2686999999999899</v>
      </c>
      <c r="AD1927">
        <v>-1.1209871806239999</v>
      </c>
      <c r="AE1927">
        <v>-14.081999999999899</v>
      </c>
      <c r="AF1927">
        <v>1.0231836193707999</v>
      </c>
      <c r="AG1927">
        <v>-1.1209871806239999</v>
      </c>
      <c r="AH1927">
        <v>14.0134112157868</v>
      </c>
      <c r="AI1927">
        <v>94.561481703680698</v>
      </c>
      <c r="AJ1927">
        <v>85.823982004462195</v>
      </c>
      <c r="AK1927">
        <v>14.095361324947</v>
      </c>
      <c r="AL1927">
        <v>95.049547742137307</v>
      </c>
      <c r="AM1927">
        <v>88.124974010724699</v>
      </c>
      <c r="AN1927">
        <v>0.99999999348917901</v>
      </c>
    </row>
    <row r="1928" spans="1:40" x14ac:dyDescent="0.25">
      <c r="A1928" t="str">
        <f>"20190303154133619"</f>
        <v>20190303154133619</v>
      </c>
      <c r="B1928" t="str">
        <f>"1551598893611473"</f>
        <v>1551598893611473</v>
      </c>
      <c r="C1928" t="s">
        <v>40</v>
      </c>
      <c r="D1928">
        <v>6.0394629999999996</v>
      </c>
      <c r="E1928">
        <v>0.51459739999999998</v>
      </c>
      <c r="F1928" t="s">
        <v>42</v>
      </c>
      <c r="G1928">
        <v>-191.61760000000001</v>
      </c>
      <c r="H1928">
        <v>1.048557</v>
      </c>
      <c r="I1928">
        <v>327.90870000000001</v>
      </c>
      <c r="J1928">
        <v>-191.5402</v>
      </c>
      <c r="K1928">
        <v>1.120997</v>
      </c>
      <c r="L1928">
        <v>328.60860000000002</v>
      </c>
      <c r="M1928">
        <v>-1.6923460000000001E-2</v>
      </c>
      <c r="N1928">
        <v>-1.376691E-2</v>
      </c>
      <c r="O1928">
        <v>-0.99976229999999999</v>
      </c>
      <c r="P1928">
        <v>-4.9697749999999999E-2</v>
      </c>
      <c r="Q1928">
        <v>-0.1022829</v>
      </c>
      <c r="R1928">
        <v>-0.99351350000000005</v>
      </c>
      <c r="S1928">
        <v>-0.26406859999999999</v>
      </c>
      <c r="T1928">
        <v>-0.23628959999999999</v>
      </c>
      <c r="U1928">
        <v>-2.982056</v>
      </c>
      <c r="V1928">
        <v>3.2879930000000002E-2</v>
      </c>
      <c r="W1928">
        <v>-8.8584330000000003E-2</v>
      </c>
      <c r="X1928">
        <v>0.99552580000000002</v>
      </c>
      <c r="Y1928">
        <v>7.1103810000000003E-2</v>
      </c>
      <c r="Z1928">
        <v>6.4998470000000003E-2</v>
      </c>
      <c r="AA1928">
        <v>0.99534889999999998</v>
      </c>
      <c r="AB1928">
        <v>22</v>
      </c>
      <c r="AC1928">
        <v>-7.7400000000011404E-2</v>
      </c>
      <c r="AD1928">
        <v>-7.2440000000000004E-2</v>
      </c>
      <c r="AE1928">
        <v>-0.69990000000001296</v>
      </c>
      <c r="AF1928">
        <v>6.4856690744572398E-2</v>
      </c>
      <c r="AG1928">
        <v>-7.2440000000000004E-2</v>
      </c>
      <c r="AH1928">
        <v>0.69376765258196604</v>
      </c>
      <c r="AI1928">
        <v>95.935265916928003</v>
      </c>
      <c r="AJ1928">
        <v>84.659241018084501</v>
      </c>
      <c r="AK1928">
        <v>0.70054799957135605</v>
      </c>
      <c r="AL1928">
        <v>95.082170140469003</v>
      </c>
      <c r="AM1928">
        <v>88.108339663162596</v>
      </c>
      <c r="AN1928">
        <v>0.99999994589199503</v>
      </c>
    </row>
    <row r="1929" spans="1:40" x14ac:dyDescent="0.25">
      <c r="A1929" t="str">
        <f>"20190303154133643"</f>
        <v>20190303154133643</v>
      </c>
      <c r="B1929" t="str">
        <f>"1551598893641727"</f>
        <v>1551598893641727</v>
      </c>
      <c r="C1929" t="s">
        <v>40</v>
      </c>
      <c r="D1929">
        <v>6.0121669999999998</v>
      </c>
      <c r="E1929">
        <v>0.51468059999999904</v>
      </c>
      <c r="F1929" t="s">
        <v>42</v>
      </c>
      <c r="G1929">
        <v>-191.6198</v>
      </c>
      <c r="H1929">
        <v>1.0490969999999999</v>
      </c>
      <c r="I1929">
        <v>327.71530000000001</v>
      </c>
      <c r="J1929">
        <v>-191.54419999999999</v>
      </c>
      <c r="K1929">
        <v>1.12101299999999</v>
      </c>
      <c r="L1929">
        <v>328.36939999999998</v>
      </c>
      <c r="M1929">
        <v>-1.6874380000000001E-2</v>
      </c>
      <c r="N1929">
        <v>-1.387184E-2</v>
      </c>
      <c r="O1929">
        <v>-0.99976129999999996</v>
      </c>
      <c r="P1929">
        <v>-5.0139719999999999E-2</v>
      </c>
      <c r="Q1929">
        <v>-0.102294</v>
      </c>
      <c r="R1929">
        <v>-0.99348990000000004</v>
      </c>
      <c r="S1929">
        <v>-0.2654572</v>
      </c>
      <c r="T1929">
        <v>-0.24010339999999999</v>
      </c>
      <c r="U1929">
        <v>-2.9815670000000001</v>
      </c>
      <c r="V1929">
        <v>3.337155E-2</v>
      </c>
      <c r="W1929">
        <v>-8.8490910000000006E-2</v>
      </c>
      <c r="X1929">
        <v>0.99551780000000001</v>
      </c>
      <c r="Y1929">
        <v>7.1618790000000002E-2</v>
      </c>
      <c r="Z1929">
        <v>6.6167539999999997E-2</v>
      </c>
      <c r="AA1929">
        <v>0.99523499999999998</v>
      </c>
      <c r="AB1929">
        <v>22</v>
      </c>
      <c r="AC1929">
        <v>-7.5600000000008494E-2</v>
      </c>
      <c r="AD1929">
        <v>-7.19159999999998E-2</v>
      </c>
      <c r="AE1929">
        <v>-0.65409999999997104</v>
      </c>
      <c r="AF1929">
        <v>6.3789699133745298E-2</v>
      </c>
      <c r="AG1929">
        <v>-7.19159999999998E-2</v>
      </c>
      <c r="AH1929">
        <v>0.64755803365543496</v>
      </c>
      <c r="AI1929">
        <v>96.306863321299701</v>
      </c>
      <c r="AJ1929">
        <v>84.3740536319565</v>
      </c>
      <c r="AK1929">
        <v>0.65465444604254097</v>
      </c>
      <c r="AL1929">
        <v>95.076796211049796</v>
      </c>
      <c r="AM1929">
        <v>88.080061193910595</v>
      </c>
      <c r="AN1929">
        <v>0.99999999580943499</v>
      </c>
    </row>
    <row r="1930" spans="1:40" x14ac:dyDescent="0.25">
      <c r="A1930" t="str">
        <f>"20190303154133675"</f>
        <v>20190303154133675</v>
      </c>
      <c r="B1930" t="str">
        <f>"1551598893671008"</f>
        <v>1551598893671008</v>
      </c>
      <c r="C1930" t="s">
        <v>40</v>
      </c>
      <c r="D1930">
        <v>6.0262630000000001</v>
      </c>
      <c r="E1930">
        <v>0.51480930000000003</v>
      </c>
      <c r="F1930" t="s">
        <v>42</v>
      </c>
      <c r="G1930">
        <v>-191.6207</v>
      </c>
      <c r="H1930">
        <v>1.051804</v>
      </c>
      <c r="I1930">
        <v>327.52</v>
      </c>
      <c r="J1930">
        <v>-191.54920000000001</v>
      </c>
      <c r="K1930">
        <v>1.121035</v>
      </c>
      <c r="L1930">
        <v>328.06720000000001</v>
      </c>
      <c r="M1930">
        <v>-1.6804719999999999E-2</v>
      </c>
      <c r="N1930">
        <v>-1.398251E-2</v>
      </c>
      <c r="O1930">
        <v>-0.99976129999999996</v>
      </c>
      <c r="P1930">
        <v>-4.9892319999999997E-2</v>
      </c>
      <c r="Q1930">
        <v>-0.1022979</v>
      </c>
      <c r="R1930">
        <v>-0.99350210000000005</v>
      </c>
      <c r="S1930">
        <v>-0.26773069999999999</v>
      </c>
      <c r="T1930">
        <v>-0.2431179</v>
      </c>
      <c r="U1930">
        <v>-2.9810789999999998</v>
      </c>
      <c r="V1930">
        <v>3.3194330000000001E-2</v>
      </c>
      <c r="W1930">
        <v>-8.838414E-2</v>
      </c>
      <c r="X1930">
        <v>0.99553320000000001</v>
      </c>
      <c r="Y1930">
        <v>7.2448810000000002E-2</v>
      </c>
      <c r="Z1930">
        <v>6.7064170000000006E-2</v>
      </c>
      <c r="AA1930">
        <v>0.99511490000000002</v>
      </c>
      <c r="AB1930">
        <v>22</v>
      </c>
      <c r="AC1930">
        <v>-7.1499999999986102E-2</v>
      </c>
      <c r="AD1930">
        <v>-6.9230999999999807E-2</v>
      </c>
      <c r="AE1930">
        <v>-0.54720000000003199</v>
      </c>
      <c r="AF1930">
        <v>6.1328262158635703E-2</v>
      </c>
      <c r="AG1930">
        <v>-6.9230999999999807E-2</v>
      </c>
      <c r="AH1930">
        <v>0.539828409532496</v>
      </c>
      <c r="AI1930">
        <v>97.261871581230395</v>
      </c>
      <c r="AJ1930">
        <v>83.518589787576005</v>
      </c>
      <c r="AK1930">
        <v>0.54769407413152005</v>
      </c>
      <c r="AL1930">
        <v>95.070654726168399</v>
      </c>
      <c r="AM1930">
        <v>88.090279001179795</v>
      </c>
      <c r="AN1930">
        <v>0.99999998602496398</v>
      </c>
    </row>
    <row r="1931" spans="1:40" x14ac:dyDescent="0.25">
      <c r="A1931" t="str">
        <f>"20190303154133697"</f>
        <v>20190303154133697</v>
      </c>
      <c r="B1931" t="str">
        <f>"1551598893691503"</f>
        <v>1551598893691503</v>
      </c>
      <c r="C1931" t="s">
        <v>40</v>
      </c>
      <c r="D1931">
        <v>6.015657</v>
      </c>
      <c r="E1931">
        <v>0.51525189999999998</v>
      </c>
      <c r="F1931" t="s">
        <v>41</v>
      </c>
      <c r="G1931">
        <v>-192.7714</v>
      </c>
      <c r="H1931" s="1">
        <v>-3.0397249999999999E-6</v>
      </c>
      <c r="I1931">
        <v>314.4622</v>
      </c>
      <c r="J1931">
        <v>-191.55260000000001</v>
      </c>
      <c r="K1931">
        <v>1.1210500000000001</v>
      </c>
      <c r="L1931">
        <v>327.86070000000001</v>
      </c>
      <c r="M1931">
        <v>-1.6745799999999901E-2</v>
      </c>
      <c r="N1931">
        <v>-1.404443E-2</v>
      </c>
      <c r="O1931">
        <v>-0.99976129999999996</v>
      </c>
      <c r="P1931">
        <v>-4.9366180000000003E-2</v>
      </c>
      <c r="Q1931">
        <v>-0.102212</v>
      </c>
      <c r="R1931">
        <v>-0.99353720000000001</v>
      </c>
      <c r="S1931">
        <v>-0.26779170000000002</v>
      </c>
      <c r="T1931">
        <v>-0.24562510000000001</v>
      </c>
      <c r="U1931">
        <v>-2.9809269999999999</v>
      </c>
      <c r="V1931">
        <v>3.2727109999999997E-2</v>
      </c>
      <c r="W1931">
        <v>-8.8236010000000004E-2</v>
      </c>
      <c r="X1931">
        <v>0.99556180000000005</v>
      </c>
      <c r="Y1931">
        <v>7.2526919999999995E-2</v>
      </c>
      <c r="Z1931">
        <v>6.7836960000000002E-2</v>
      </c>
      <c r="AA1931">
        <v>0.99505679999999996</v>
      </c>
      <c r="AB1931">
        <v>22</v>
      </c>
      <c r="AC1931">
        <v>-1.2187999999999799</v>
      </c>
      <c r="AD1931">
        <v>-1.121053039725</v>
      </c>
      <c r="AE1931">
        <v>-13.3985</v>
      </c>
      <c r="AF1931">
        <v>0.98738275105295803</v>
      </c>
      <c r="AG1931">
        <v>-1.121053039725</v>
      </c>
      <c r="AH1931">
        <v>13.324517581863899</v>
      </c>
      <c r="AI1931">
        <v>94.796142903120995</v>
      </c>
      <c r="AJ1931">
        <v>85.761973915701404</v>
      </c>
      <c r="AK1931">
        <v>13.407999604876</v>
      </c>
      <c r="AL1931">
        <v>95.062134256610406</v>
      </c>
      <c r="AM1931">
        <v>88.117193453463301</v>
      </c>
      <c r="AN1931">
        <v>0.99999997740445501</v>
      </c>
    </row>
    <row r="1932" spans="1:40" x14ac:dyDescent="0.25">
      <c r="A1932" t="str">
        <f>"20190303154133719"</f>
        <v>20190303154133719</v>
      </c>
      <c r="B1932" t="str">
        <f>"1551598893711023"</f>
        <v>1551598893711023</v>
      </c>
      <c r="C1932" t="s">
        <v>40</v>
      </c>
      <c r="D1932">
        <v>5.9585229999999996</v>
      </c>
      <c r="E1932">
        <v>0.51542679999999996</v>
      </c>
      <c r="F1932" t="s">
        <v>42</v>
      </c>
      <c r="G1932">
        <v>-191.63509999999999</v>
      </c>
      <c r="H1932">
        <v>1.0469389999999901</v>
      </c>
      <c r="I1932">
        <v>326.94940000000003</v>
      </c>
      <c r="J1932">
        <v>-191.55619999999999</v>
      </c>
      <c r="K1932">
        <v>1.121065</v>
      </c>
      <c r="L1932">
        <v>327.63940000000002</v>
      </c>
      <c r="M1932">
        <v>-1.6670339999999999E-2</v>
      </c>
      <c r="N1932">
        <v>-1.410077E-2</v>
      </c>
      <c r="O1932">
        <v>-0.99976180000000003</v>
      </c>
      <c r="P1932">
        <v>-4.9109760000000002E-2</v>
      </c>
      <c r="Q1932">
        <v>-0.10255209999999999</v>
      </c>
      <c r="R1932">
        <v>-0.99351469999999997</v>
      </c>
      <c r="S1932">
        <v>-0.26966859999999998</v>
      </c>
      <c r="T1932">
        <v>-0.24256150000000001</v>
      </c>
      <c r="U1932">
        <v>-2.9811399999999999</v>
      </c>
      <c r="V1932">
        <v>3.254729E-2</v>
      </c>
      <c r="W1932">
        <v>-8.8519990000000007E-2</v>
      </c>
      <c r="X1932">
        <v>0.9955425</v>
      </c>
      <c r="Y1932">
        <v>7.3223650000000001E-2</v>
      </c>
      <c r="Z1932">
        <v>6.675586E-2</v>
      </c>
      <c r="AA1932">
        <v>0.99507889999999999</v>
      </c>
      <c r="AB1932">
        <v>21</v>
      </c>
      <c r="AC1932">
        <v>-7.8900000000004397E-2</v>
      </c>
      <c r="AD1932">
        <v>-7.4126000000000095E-2</v>
      </c>
      <c r="AE1932">
        <v>-0.68999999999999695</v>
      </c>
      <c r="AF1932">
        <v>6.6626348384473094E-2</v>
      </c>
      <c r="AG1932">
        <v>-7.4126000000000095E-2</v>
      </c>
      <c r="AH1932">
        <v>0.68343381962886895</v>
      </c>
      <c r="AI1932">
        <v>96.161184983059002</v>
      </c>
      <c r="AJ1932">
        <v>84.431964578423802</v>
      </c>
      <c r="AK1932">
        <v>0.69066310165489098</v>
      </c>
      <c r="AL1932">
        <v>95.078468955954904</v>
      </c>
      <c r="AM1932">
        <v>88.127494926160495</v>
      </c>
      <c r="AN1932">
        <v>0.99999999201109702</v>
      </c>
    </row>
    <row r="1933" spans="1:40" x14ac:dyDescent="0.25">
      <c r="A1933" t="str">
        <f>"20190303154133742"</f>
        <v>20190303154133742</v>
      </c>
      <c r="B1933" t="str">
        <f>"1551598893731518"</f>
        <v>1551598893731518</v>
      </c>
      <c r="C1933" t="s">
        <v>40</v>
      </c>
      <c r="D1933">
        <v>5.9862510000000002</v>
      </c>
      <c r="E1933">
        <v>0.51548240000000001</v>
      </c>
      <c r="F1933" t="s">
        <v>42</v>
      </c>
      <c r="G1933">
        <v>-191.63630000000001</v>
      </c>
      <c r="H1933">
        <v>1.04881</v>
      </c>
      <c r="I1933">
        <v>326.75659999999999</v>
      </c>
      <c r="J1933">
        <v>-191.55959999999999</v>
      </c>
      <c r="K1933">
        <v>1.121073</v>
      </c>
      <c r="L1933">
        <v>327.42860000000002</v>
      </c>
      <c r="M1933">
        <v>-1.6587810000000001E-2</v>
      </c>
      <c r="N1933">
        <v>-1.4146479999999999E-2</v>
      </c>
      <c r="O1933">
        <v>-0.9997625</v>
      </c>
      <c r="P1933">
        <v>-4.9104299999999997E-2</v>
      </c>
      <c r="Q1933">
        <v>-0.10341980000000001</v>
      </c>
      <c r="R1933">
        <v>-0.99342540000000001</v>
      </c>
      <c r="S1933">
        <v>-0.27021790000000001</v>
      </c>
      <c r="T1933">
        <v>-0.24409990000000001</v>
      </c>
      <c r="U1933">
        <v>-2.9810490000000001</v>
      </c>
      <c r="V1933">
        <v>3.2626469999999998E-2</v>
      </c>
      <c r="W1933">
        <v>-8.9342930000000001E-2</v>
      </c>
      <c r="X1933">
        <v>0.99546639999999997</v>
      </c>
      <c r="Y1933">
        <v>7.34871E-2</v>
      </c>
      <c r="Z1933">
        <v>6.7221089999999997E-2</v>
      </c>
      <c r="AA1933">
        <v>0.99502809999999997</v>
      </c>
      <c r="AB1933">
        <v>21</v>
      </c>
      <c r="AC1933">
        <v>-7.6700000000016602E-2</v>
      </c>
      <c r="AD1933">
        <v>-7.2262999999999897E-2</v>
      </c>
      <c r="AE1933">
        <v>-0.67200000000002502</v>
      </c>
      <c r="AF1933">
        <v>6.4801618615462103E-2</v>
      </c>
      <c r="AG1933">
        <v>-7.2262999999999897E-2</v>
      </c>
      <c r="AH1933">
        <v>0.66558237537459697</v>
      </c>
      <c r="AI1933">
        <v>96.167458146339499</v>
      </c>
      <c r="AJ1933">
        <v>84.439164683637202</v>
      </c>
      <c r="AK1933">
        <v>0.67262254597469096</v>
      </c>
      <c r="AL1933">
        <v>95.125807474755305</v>
      </c>
      <c r="AM1933">
        <v>88.122799418906496</v>
      </c>
      <c r="AN1933">
        <v>0.99999999960730201</v>
      </c>
    </row>
    <row r="1934" spans="1:40" x14ac:dyDescent="0.25">
      <c r="A1934" t="str">
        <f>"20190303154133764"</f>
        <v>20190303154133764</v>
      </c>
      <c r="B1934" t="str">
        <f>"1551598893760799"</f>
        <v>1551598893760799</v>
      </c>
      <c r="C1934" t="s">
        <v>40</v>
      </c>
      <c r="D1934">
        <v>5.9843950000000001</v>
      </c>
      <c r="E1934">
        <v>0.51551919999999996</v>
      </c>
      <c r="F1934" t="s">
        <v>42</v>
      </c>
      <c r="G1934">
        <v>-191.63810000000001</v>
      </c>
      <c r="H1934">
        <v>1.0498019999999999</v>
      </c>
      <c r="I1934">
        <v>326.565</v>
      </c>
      <c r="J1934">
        <v>-191.56299999999999</v>
      </c>
      <c r="K1934">
        <v>1.1210850000000001</v>
      </c>
      <c r="L1934">
        <v>327.21730000000002</v>
      </c>
      <c r="M1934">
        <v>-1.6494370000000001E-2</v>
      </c>
      <c r="N1934">
        <v>-1.4185359999999999E-2</v>
      </c>
      <c r="O1934">
        <v>-0.99976330000000002</v>
      </c>
      <c r="P1934">
        <v>-4.9564509999999999E-2</v>
      </c>
      <c r="Q1934">
        <v>-0.1043198</v>
      </c>
      <c r="R1934">
        <v>-0.99330790000000002</v>
      </c>
      <c r="S1934">
        <v>-0.27061459999999998</v>
      </c>
      <c r="T1934">
        <v>-0.2461286</v>
      </c>
      <c r="U1934">
        <v>-2.9808349999999999</v>
      </c>
      <c r="V1934">
        <v>3.3182660000000003E-2</v>
      </c>
      <c r="W1934">
        <v>-9.0205320000000005E-2</v>
      </c>
      <c r="X1934">
        <v>0.99537019999999998</v>
      </c>
      <c r="Y1934">
        <v>7.3713479999999998E-2</v>
      </c>
      <c r="Z1934">
        <v>6.7859119999999995E-2</v>
      </c>
      <c r="AA1934">
        <v>0.99496810000000002</v>
      </c>
      <c r="AB1934">
        <v>21</v>
      </c>
      <c r="AC1934">
        <v>-7.5100000000020303E-2</v>
      </c>
      <c r="AD1934">
        <v>-7.1282999999999902E-2</v>
      </c>
      <c r="AE1934">
        <v>-0.65230000000002497</v>
      </c>
      <c r="AF1934">
        <v>6.3580079832596906E-2</v>
      </c>
      <c r="AG1934">
        <v>-7.1282999999999902E-2</v>
      </c>
      <c r="AH1934">
        <v>0.64583838466026</v>
      </c>
      <c r="AI1934">
        <v>96.268344056154902</v>
      </c>
      <c r="AJ1934">
        <v>84.377587491197602</v>
      </c>
      <c r="AK1934">
        <v>0.65286362415216104</v>
      </c>
      <c r="AL1934">
        <v>95.175419303795195</v>
      </c>
      <c r="AM1934">
        <v>88.090637506228902</v>
      </c>
      <c r="AN1934">
        <v>0.99999996186450801</v>
      </c>
    </row>
    <row r="1935" spans="1:40" x14ac:dyDescent="0.25">
      <c r="A1935" t="str">
        <f>"20190303154133787"</f>
        <v>20190303154133787</v>
      </c>
      <c r="B1935" t="str">
        <f>"1551598893781295"</f>
        <v>1551598893781295</v>
      </c>
      <c r="C1935" t="s">
        <v>40</v>
      </c>
      <c r="D1935">
        <v>5.9775600000000004</v>
      </c>
      <c r="E1935">
        <v>0.5155902</v>
      </c>
      <c r="F1935" t="s">
        <v>42</v>
      </c>
      <c r="G1935">
        <v>-191.6403</v>
      </c>
      <c r="H1935">
        <v>1.050883</v>
      </c>
      <c r="I1935">
        <v>326.37369999999999</v>
      </c>
      <c r="J1935">
        <v>-191.56639999999999</v>
      </c>
      <c r="K1935">
        <v>1.121097</v>
      </c>
      <c r="L1935">
        <v>327.00389999999999</v>
      </c>
      <c r="M1935">
        <v>-1.638767E-2</v>
      </c>
      <c r="N1935">
        <v>-1.421875E-2</v>
      </c>
      <c r="O1935">
        <v>-0.99976469999999995</v>
      </c>
      <c r="P1935">
        <v>-4.9985799999999997E-2</v>
      </c>
      <c r="Q1935">
        <v>-0.10477499999999999</v>
      </c>
      <c r="R1935">
        <v>-0.99323910000000004</v>
      </c>
      <c r="S1935">
        <v>-0.27233889999999999</v>
      </c>
      <c r="T1935">
        <v>-0.2483052</v>
      </c>
      <c r="U1935">
        <v>-2.9805299999999999</v>
      </c>
      <c r="V1935">
        <v>3.3712480000000003E-2</v>
      </c>
      <c r="W1935">
        <v>-9.0627630000000001E-2</v>
      </c>
      <c r="X1935">
        <v>0.99531409999999998</v>
      </c>
      <c r="Y1935">
        <v>7.4394619999999995E-2</v>
      </c>
      <c r="Z1935">
        <v>6.8551119999999993E-2</v>
      </c>
      <c r="AA1935">
        <v>0.99486989999999997</v>
      </c>
      <c r="AB1935">
        <v>21</v>
      </c>
      <c r="AC1935">
        <v>-7.3900000000008903E-2</v>
      </c>
      <c r="AD1935">
        <v>-7.0213999999999999E-2</v>
      </c>
      <c r="AE1935">
        <v>-0.63020000000000198</v>
      </c>
      <c r="AF1935">
        <v>6.27926246706728E-2</v>
      </c>
      <c r="AG1935">
        <v>-7.0213999999999999E-2</v>
      </c>
      <c r="AH1935">
        <v>0.62368943912193398</v>
      </c>
      <c r="AI1935">
        <v>96.391185710226694</v>
      </c>
      <c r="AJ1935">
        <v>84.250873018516401</v>
      </c>
      <c r="AK1935">
        <v>0.63076258289570797</v>
      </c>
      <c r="AL1935">
        <v>95.199715055772003</v>
      </c>
      <c r="AM1935">
        <v>88.060065004237799</v>
      </c>
      <c r="AN1935">
        <v>1.0000000281429799</v>
      </c>
    </row>
    <row r="1936" spans="1:40" x14ac:dyDescent="0.25">
      <c r="A1936" t="str">
        <f>"20190303154133809"</f>
        <v>20190303154133809</v>
      </c>
      <c r="B1936" t="str">
        <f>"1551598893800815"</f>
        <v>1551598893800815</v>
      </c>
      <c r="C1936" t="s">
        <v>40</v>
      </c>
      <c r="D1936">
        <v>5.9707949999999999</v>
      </c>
      <c r="E1936">
        <v>0.51571429999999996</v>
      </c>
      <c r="F1936" t="s">
        <v>42</v>
      </c>
      <c r="G1936">
        <v>-191.642</v>
      </c>
      <c r="H1936">
        <v>1.0521929999999999</v>
      </c>
      <c r="I1936">
        <v>326.18259999999998</v>
      </c>
      <c r="J1936">
        <v>-191.56979999999999</v>
      </c>
      <c r="K1936">
        <v>1.1211199999999999</v>
      </c>
      <c r="L1936">
        <v>326.791</v>
      </c>
      <c r="M1936">
        <v>-1.6266409999999999E-2</v>
      </c>
      <c r="N1936">
        <v>-1.4246719999999999E-2</v>
      </c>
      <c r="O1936">
        <v>-0.99976640000000006</v>
      </c>
      <c r="P1936">
        <v>-5.0977620000000001E-2</v>
      </c>
      <c r="Q1936">
        <v>-0.1053737</v>
      </c>
      <c r="R1936">
        <v>-0.99312540000000005</v>
      </c>
      <c r="S1936">
        <v>-0.27427669999999998</v>
      </c>
      <c r="T1936">
        <v>-0.2500386</v>
      </c>
      <c r="U1936">
        <v>-2.9802249999999999</v>
      </c>
      <c r="V1936">
        <v>3.4828369999999997E-2</v>
      </c>
      <c r="W1936">
        <v>-9.1199080000000002E-2</v>
      </c>
      <c r="X1936">
        <v>0.99522350000000004</v>
      </c>
      <c r="Y1936">
        <v>7.5161850000000002E-2</v>
      </c>
      <c r="Z1936">
        <v>6.9101159999999995E-2</v>
      </c>
      <c r="AA1936">
        <v>0.99477420000000005</v>
      </c>
      <c r="AB1936">
        <v>21</v>
      </c>
      <c r="AC1936">
        <v>-7.2200000000009298E-2</v>
      </c>
      <c r="AD1936">
        <v>-6.8927000000000099E-2</v>
      </c>
      <c r="AE1936">
        <v>-0.60840000000001704</v>
      </c>
      <c r="AF1936">
        <v>6.1514378844907798E-2</v>
      </c>
      <c r="AG1936">
        <v>-6.8927000000000099E-2</v>
      </c>
      <c r="AH1936">
        <v>0.60187616468729599</v>
      </c>
      <c r="AI1936">
        <v>96.499499342512706</v>
      </c>
      <c r="AJ1936">
        <v>84.164383321465905</v>
      </c>
      <c r="AK1936">
        <v>0.60892517418182401</v>
      </c>
      <c r="AL1936">
        <v>95.232592760704094</v>
      </c>
      <c r="AM1936">
        <v>87.995721988146201</v>
      </c>
      <c r="AN1936">
        <v>1.0000000512509699</v>
      </c>
    </row>
    <row r="1937" spans="1:40" x14ac:dyDescent="0.25">
      <c r="A1937" t="str">
        <f>"20190303154133832"</f>
        <v>20190303154133832</v>
      </c>
      <c r="B1937" t="str">
        <f>"1551598893821314"</f>
        <v>1551598893821314</v>
      </c>
      <c r="C1937" t="s">
        <v>40</v>
      </c>
      <c r="D1937">
        <v>5.9718999999999998</v>
      </c>
      <c r="E1937">
        <v>0.51581469999999996</v>
      </c>
      <c r="F1937" t="s">
        <v>42</v>
      </c>
      <c r="G1937">
        <v>-191.6447</v>
      </c>
      <c r="H1937">
        <v>1.0534059999999901</v>
      </c>
      <c r="I1937">
        <v>325.9898</v>
      </c>
      <c r="J1937">
        <v>-191.57320000000001</v>
      </c>
      <c r="K1937">
        <v>1.121138</v>
      </c>
      <c r="L1937">
        <v>326.57209999999998</v>
      </c>
      <c r="M1937">
        <v>-1.612425E-2</v>
      </c>
      <c r="N1937">
        <v>-1.4270720000000001E-2</v>
      </c>
      <c r="O1937">
        <v>-0.99976830000000005</v>
      </c>
      <c r="P1937">
        <v>-5.1639749999999998E-2</v>
      </c>
      <c r="Q1937">
        <v>-0.1040079</v>
      </c>
      <c r="R1937">
        <v>-0.99323510000000004</v>
      </c>
      <c r="S1937">
        <v>-0.27810669999999998</v>
      </c>
      <c r="T1937">
        <v>-0.25200889999999998</v>
      </c>
      <c r="U1937">
        <v>-2.979797</v>
      </c>
      <c r="V1937">
        <v>3.5631929999999999E-2</v>
      </c>
      <c r="W1937">
        <v>-8.9806910000000004E-2</v>
      </c>
      <c r="X1937">
        <v>0.99532160000000003</v>
      </c>
      <c r="Y1937">
        <v>7.6578759999999996E-2</v>
      </c>
      <c r="Z1937">
        <v>6.9732500000000003E-2</v>
      </c>
      <c r="AA1937">
        <v>0.99462209999999995</v>
      </c>
      <c r="AB1937">
        <v>21</v>
      </c>
      <c r="AC1937">
        <v>-7.1499999999986102E-2</v>
      </c>
      <c r="AD1937">
        <v>-6.7732000000000098E-2</v>
      </c>
      <c r="AE1937">
        <v>-0.58229999999997495</v>
      </c>
      <c r="AF1937">
        <v>6.1283750607687697E-2</v>
      </c>
      <c r="AG1937">
        <v>-6.7732000000000098E-2</v>
      </c>
      <c r="AH1937">
        <v>0.57570377094150404</v>
      </c>
      <c r="AI1937">
        <v>96.672690401334407</v>
      </c>
      <c r="AJ1937">
        <v>83.923738270877905</v>
      </c>
      <c r="AK1937">
        <v>0.58290492688672102</v>
      </c>
      <c r="AL1937">
        <v>95.152498858230004</v>
      </c>
      <c r="AM1937">
        <v>87.949720249030506</v>
      </c>
      <c r="AN1937">
        <v>1.00000000147291</v>
      </c>
    </row>
    <row r="1938" spans="1:40" x14ac:dyDescent="0.25">
      <c r="A1938" t="str">
        <f>"20190303154133856"</f>
        <v>20190303154133856</v>
      </c>
      <c r="B1938" t="str">
        <f>"1551598893851567"</f>
        <v>1551598893851567</v>
      </c>
      <c r="C1938" t="s">
        <v>40</v>
      </c>
      <c r="D1938">
        <v>5.9593299999999996</v>
      </c>
      <c r="E1938">
        <v>0.51592369999999999</v>
      </c>
      <c r="F1938" t="s">
        <v>41</v>
      </c>
      <c r="G1938">
        <v>-192.845</v>
      </c>
      <c r="H1938" s="1">
        <v>-2.407237E-6</v>
      </c>
      <c r="I1938">
        <v>313.08269999999999</v>
      </c>
      <c r="J1938">
        <v>-191.57660000000001</v>
      </c>
      <c r="K1938">
        <v>1.1211629999999999</v>
      </c>
      <c r="L1938">
        <v>326.34710000000001</v>
      </c>
      <c r="M1938">
        <v>-1.595798E-2</v>
      </c>
      <c r="N1938">
        <v>-1.4291160000000001E-2</v>
      </c>
      <c r="O1938">
        <v>-0.99977090000000002</v>
      </c>
      <c r="P1938">
        <v>-5.1648609999999998E-2</v>
      </c>
      <c r="Q1938">
        <v>-0.10284359999999999</v>
      </c>
      <c r="R1938">
        <v>-0.99335640000000003</v>
      </c>
      <c r="S1938">
        <v>-0.28094479999999999</v>
      </c>
      <c r="T1938">
        <v>-0.247668</v>
      </c>
      <c r="U1938">
        <v>-2.979889</v>
      </c>
      <c r="V1938">
        <v>3.5806619999999997E-2</v>
      </c>
      <c r="W1938">
        <v>-8.8619519999999993E-2</v>
      </c>
      <c r="X1938">
        <v>0.99542180000000002</v>
      </c>
      <c r="Y1938">
        <v>7.7690209999999996E-2</v>
      </c>
      <c r="Z1938">
        <v>6.8265069999999997E-2</v>
      </c>
      <c r="AA1938">
        <v>0.99463769999999996</v>
      </c>
      <c r="AB1938">
        <v>21</v>
      </c>
      <c r="AC1938">
        <v>-1.26839999999998</v>
      </c>
      <c r="AD1938">
        <v>-1.1211654072370001</v>
      </c>
      <c r="AE1938">
        <v>-13.2644</v>
      </c>
      <c r="AF1938">
        <v>1.0491165189645</v>
      </c>
      <c r="AG1938">
        <v>-1.1211654072370001</v>
      </c>
      <c r="AH1938">
        <v>13.189576356822601</v>
      </c>
      <c r="AI1938">
        <v>94.843460089099295</v>
      </c>
      <c r="AJ1938">
        <v>85.4521921072227</v>
      </c>
      <c r="AK1938">
        <v>13.2786513552094</v>
      </c>
      <c r="AL1938">
        <v>95.084193826441705</v>
      </c>
      <c r="AM1938">
        <v>87.939884352669907</v>
      </c>
      <c r="AN1938">
        <v>1.0000000466380401</v>
      </c>
    </row>
    <row r="1939" spans="1:40" x14ac:dyDescent="0.25">
      <c r="A1939" t="str">
        <f>"20190303154133878"</f>
        <v>20190303154133878</v>
      </c>
      <c r="B1939" t="str">
        <f>"1551598893871086"</f>
        <v>1551598893871086</v>
      </c>
      <c r="C1939" t="s">
        <v>40</v>
      </c>
      <c r="D1939">
        <v>6.0138030000000002</v>
      </c>
      <c r="E1939">
        <v>0.51583769999999995</v>
      </c>
      <c r="F1939" t="s">
        <v>42</v>
      </c>
      <c r="G1939">
        <v>-191.66309999999999</v>
      </c>
      <c r="H1939">
        <v>1.0463359999999999</v>
      </c>
      <c r="I1939">
        <v>325.4323</v>
      </c>
      <c r="J1939">
        <v>-191.5797</v>
      </c>
      <c r="K1939">
        <v>1.121192</v>
      </c>
      <c r="L1939">
        <v>326.14190000000002</v>
      </c>
      <c r="M1939">
        <v>-1.578506E-2</v>
      </c>
      <c r="N1939">
        <v>-1.4306259999999999E-2</v>
      </c>
      <c r="O1939">
        <v>-0.99977329999999998</v>
      </c>
      <c r="P1939">
        <v>-5.0756620000000002E-2</v>
      </c>
      <c r="Q1939">
        <v>-0.1009534</v>
      </c>
      <c r="R1939">
        <v>-0.99359600000000003</v>
      </c>
      <c r="S1939">
        <v>-0.2817383</v>
      </c>
      <c r="T1939">
        <v>-0.24375459999999999</v>
      </c>
      <c r="U1939">
        <v>-2.9802249999999999</v>
      </c>
      <c r="V1939">
        <v>3.5085119999999997E-2</v>
      </c>
      <c r="W1939">
        <v>-8.6710430000000005E-2</v>
      </c>
      <c r="X1939">
        <v>0.99561549999999999</v>
      </c>
      <c r="Y1939">
        <v>7.8123449999999997E-2</v>
      </c>
      <c r="Z1939">
        <v>6.6942470000000004E-2</v>
      </c>
      <c r="AA1939">
        <v>0.99469359999999996</v>
      </c>
      <c r="AB1939">
        <v>21</v>
      </c>
      <c r="AC1939">
        <v>-8.3399999999983196E-2</v>
      </c>
      <c r="AD1939">
        <v>-7.4855999999999798E-2</v>
      </c>
      <c r="AE1939">
        <v>-0.70960000000002299</v>
      </c>
      <c r="AF1939">
        <v>7.1403615549616897E-2</v>
      </c>
      <c r="AG1939">
        <v>-7.4855999999999798E-2</v>
      </c>
      <c r="AH1939">
        <v>0.70311041652074502</v>
      </c>
      <c r="AI1939">
        <v>96.046185172318104</v>
      </c>
      <c r="AJ1939">
        <v>84.201269227611206</v>
      </c>
      <c r="AK1939">
        <v>0.71068006505707804</v>
      </c>
      <c r="AL1939">
        <v>94.974388776424604</v>
      </c>
      <c r="AM1939">
        <v>87.981753199680199</v>
      </c>
      <c r="AN1939">
        <v>0.99999994407822301</v>
      </c>
    </row>
    <row r="1940" spans="1:40" x14ac:dyDescent="0.25">
      <c r="A1940" t="str">
        <f>"20190303154133899"</f>
        <v>20190303154133899</v>
      </c>
      <c r="B1940" t="str">
        <f>"1551598893891583"</f>
        <v>1551598893891583</v>
      </c>
      <c r="C1940" t="s">
        <v>40</v>
      </c>
      <c r="D1940">
        <v>5.8792249999999999</v>
      </c>
      <c r="E1940">
        <v>0.51520440000000001</v>
      </c>
      <c r="F1940" t="s">
        <v>42</v>
      </c>
      <c r="G1940">
        <v>-191.66390000000001</v>
      </c>
      <c r="H1940">
        <v>1.0487709999999999</v>
      </c>
      <c r="I1940">
        <v>325.24209999999999</v>
      </c>
      <c r="J1940">
        <v>-191.58260000000001</v>
      </c>
      <c r="K1940">
        <v>1.1212219999999999</v>
      </c>
      <c r="L1940">
        <v>325.94450000000001</v>
      </c>
      <c r="M1940">
        <v>-1.5603540000000001E-2</v>
      </c>
      <c r="N1940">
        <v>-1.431819E-2</v>
      </c>
      <c r="O1940">
        <v>-0.99977590000000005</v>
      </c>
      <c r="P1940">
        <v>-5.0023980000000003E-2</v>
      </c>
      <c r="Q1940">
        <v>-9.9509269999999997E-2</v>
      </c>
      <c r="R1940">
        <v>-0.99377879999999996</v>
      </c>
      <c r="S1940">
        <v>-0.27844239999999998</v>
      </c>
      <c r="T1940">
        <v>-0.2401025</v>
      </c>
      <c r="U1940">
        <v>-2.9807429999999999</v>
      </c>
      <c r="V1940">
        <v>3.4532130000000001E-2</v>
      </c>
      <c r="W1940">
        <v>-8.5251499999999994E-2</v>
      </c>
      <c r="X1940">
        <v>0.99576089999999995</v>
      </c>
      <c r="Y1940">
        <v>7.7206789999999997E-2</v>
      </c>
      <c r="Z1940">
        <v>6.5713839999999996E-2</v>
      </c>
      <c r="AA1940">
        <v>0.99484709999999998</v>
      </c>
      <c r="AB1940">
        <v>21</v>
      </c>
      <c r="AC1940">
        <v>-8.1299999999998804E-2</v>
      </c>
      <c r="AD1940">
        <v>-7.2451000000000002E-2</v>
      </c>
      <c r="AE1940">
        <v>-0.70240000000001102</v>
      </c>
      <c r="AF1940">
        <v>6.9598352098126204E-2</v>
      </c>
      <c r="AG1940">
        <v>-7.2451000000000002E-2</v>
      </c>
      <c r="AH1940">
        <v>0.69627312861868995</v>
      </c>
      <c r="AI1940">
        <v>95.911309607047201</v>
      </c>
      <c r="AJ1940">
        <v>84.291766435527094</v>
      </c>
      <c r="AK1940">
        <v>0.70348372237901302</v>
      </c>
      <c r="AL1940">
        <v>94.890487115719296</v>
      </c>
      <c r="AM1940">
        <v>88.013827699542404</v>
      </c>
      <c r="AN1940">
        <v>1.0000000281116901</v>
      </c>
    </row>
    <row r="1941" spans="1:40" x14ac:dyDescent="0.25">
      <c r="A1941" t="str">
        <f>"20190303154133920"</f>
        <v>20190303154133920</v>
      </c>
      <c r="B1941" t="str">
        <f>"1551598893911102"</f>
        <v>1551598893911102</v>
      </c>
      <c r="C1941" t="s">
        <v>40</v>
      </c>
      <c r="D1941">
        <v>5.8834200000000001</v>
      </c>
      <c r="E1941">
        <v>0.4877264</v>
      </c>
      <c r="F1941" t="s">
        <v>42</v>
      </c>
      <c r="G1941">
        <v>-191.66390000000001</v>
      </c>
      <c r="H1941">
        <v>1.0515019999999999</v>
      </c>
      <c r="I1941">
        <v>325.05200000000002</v>
      </c>
      <c r="J1941">
        <v>-191.5856</v>
      </c>
      <c r="K1941">
        <v>1.121251</v>
      </c>
      <c r="L1941">
        <v>325.73829999999998</v>
      </c>
      <c r="M1941">
        <v>-1.539628E-2</v>
      </c>
      <c r="N1941">
        <v>-1.4328469999999999E-2</v>
      </c>
      <c r="O1941">
        <v>-0.99977899999999997</v>
      </c>
      <c r="P1941">
        <v>-4.9199769999999997E-2</v>
      </c>
      <c r="Q1941">
        <v>-9.8417530000000003E-2</v>
      </c>
      <c r="R1941">
        <v>-0.9939287</v>
      </c>
      <c r="S1941">
        <v>-0.27111819999999998</v>
      </c>
      <c r="T1941">
        <v>-0.23315640000000001</v>
      </c>
      <c r="U1941">
        <v>-2.9817809999999998</v>
      </c>
      <c r="V1941">
        <v>3.3913649999999997E-2</v>
      </c>
      <c r="W1941">
        <v>-8.4147079999999999E-2</v>
      </c>
      <c r="X1941">
        <v>0.99587610000000004</v>
      </c>
      <c r="Y1941">
        <v>7.4974460000000007E-2</v>
      </c>
      <c r="Z1941">
        <v>6.3390009999999997E-2</v>
      </c>
      <c r="AA1941">
        <v>0.99516859999999996</v>
      </c>
      <c r="AB1941">
        <v>21</v>
      </c>
      <c r="AC1941">
        <v>-7.8300000000012901E-2</v>
      </c>
      <c r="AD1941">
        <v>-6.9749000000000005E-2</v>
      </c>
      <c r="AE1941">
        <v>-0.68629999999996005</v>
      </c>
      <c r="AF1941">
        <v>6.7039628932537995E-2</v>
      </c>
      <c r="AG1941">
        <v>-6.9749000000000005E-2</v>
      </c>
      <c r="AH1941">
        <v>0.68048602735468999</v>
      </c>
      <c r="AI1941">
        <v>95.824309968827905</v>
      </c>
      <c r="AJ1941">
        <v>84.373531922273699</v>
      </c>
      <c r="AK1941">
        <v>0.68732850099015996</v>
      </c>
      <c r="AL1941">
        <v>94.826980260120195</v>
      </c>
      <c r="AM1941">
        <v>88.049598332174199</v>
      </c>
      <c r="AN1941">
        <v>1.0000000366400199</v>
      </c>
    </row>
    <row r="1942" spans="1:40" x14ac:dyDescent="0.25">
      <c r="A1942" t="str">
        <f>"20190303154133943"</f>
        <v>20190303154133943</v>
      </c>
      <c r="B1942" t="str">
        <f>"1551598893931598"</f>
        <v>1551598893931598</v>
      </c>
      <c r="C1942" t="s">
        <v>40</v>
      </c>
      <c r="D1942">
        <v>5.8434920000000004</v>
      </c>
      <c r="E1942">
        <v>0.48773290000000002</v>
      </c>
      <c r="F1942" t="s">
        <v>41</v>
      </c>
      <c r="G1942">
        <v>-191.90989999999999</v>
      </c>
      <c r="H1942" s="1">
        <v>-3.3332469999999999E-6</v>
      </c>
      <c r="I1942">
        <v>306.17439999999999</v>
      </c>
      <c r="J1942">
        <v>-191.58850000000001</v>
      </c>
      <c r="K1942">
        <v>1.1212740000000001</v>
      </c>
      <c r="L1942">
        <v>325.529</v>
      </c>
      <c r="M1942">
        <v>-1.516676E-2</v>
      </c>
      <c r="N1942">
        <v>-1.433682E-2</v>
      </c>
      <c r="O1942">
        <v>-0.99978210000000001</v>
      </c>
      <c r="P1942">
        <v>-4.8330049999999999E-2</v>
      </c>
      <c r="Q1942">
        <v>-9.6754989999999999E-2</v>
      </c>
      <c r="R1942">
        <v>-0.99413410000000002</v>
      </c>
      <c r="S1942">
        <v>-4.9713130000000001E-2</v>
      </c>
      <c r="T1942">
        <v>-0.1718711</v>
      </c>
      <c r="U1942">
        <v>-2.99884</v>
      </c>
      <c r="V1942">
        <v>3.3270679999999997E-2</v>
      </c>
      <c r="W1942">
        <v>-8.247314E-2</v>
      </c>
      <c r="X1942">
        <v>0.99603779999999997</v>
      </c>
      <c r="Y1942">
        <v>1.3910579999999999E-3</v>
      </c>
      <c r="Z1942">
        <v>4.2887380000000003E-2</v>
      </c>
      <c r="AA1942">
        <v>0.99907889999999999</v>
      </c>
      <c r="AB1942">
        <v>21</v>
      </c>
      <c r="AC1942">
        <v>-0.32139999999998198</v>
      </c>
      <c r="AD1942">
        <v>-1.1212773332470001</v>
      </c>
      <c r="AE1942">
        <v>-19.354600000000001</v>
      </c>
      <c r="AF1942">
        <v>2.76933312678629E-2</v>
      </c>
      <c r="AG1942">
        <v>-1.1212773332470001</v>
      </c>
      <c r="AH1942">
        <v>19.292515278598898</v>
      </c>
      <c r="AI1942">
        <v>93.3262745079941</v>
      </c>
      <c r="AJ1942">
        <v>89.917755155842102</v>
      </c>
      <c r="AK1942">
        <v>19.325091864040999</v>
      </c>
      <c r="AL1942">
        <v>94.730736019109003</v>
      </c>
      <c r="AM1942">
        <v>88.086858713088603</v>
      </c>
      <c r="AN1942">
        <v>1.00000002799898</v>
      </c>
    </row>
    <row r="1943" spans="1:40" x14ac:dyDescent="0.25">
      <c r="A1943" t="str">
        <f>"20190303154133966"</f>
        <v>20190303154133966</v>
      </c>
      <c r="B1943" t="str">
        <f>"1551598893960879"</f>
        <v>1551598893960879</v>
      </c>
      <c r="C1943" t="s">
        <v>40</v>
      </c>
      <c r="D1943">
        <v>5.8715699999999904</v>
      </c>
      <c r="E1943">
        <v>0.4878345</v>
      </c>
      <c r="F1943" t="s">
        <v>41</v>
      </c>
      <c r="G1943">
        <v>-191.90379999999999</v>
      </c>
      <c r="H1943" s="1">
        <v>-3.0038279999999999E-6</v>
      </c>
      <c r="I1943">
        <v>305.41030000000001</v>
      </c>
      <c r="J1943">
        <v>-191.5916</v>
      </c>
      <c r="K1943">
        <v>1.121297</v>
      </c>
      <c r="L1943">
        <v>325.30860000000001</v>
      </c>
      <c r="M1943">
        <v>-1.490525E-2</v>
      </c>
      <c r="N1943">
        <v>-1.4343730000000001E-2</v>
      </c>
      <c r="O1943">
        <v>-0.99978630000000002</v>
      </c>
      <c r="P1943">
        <v>-4.7932130000000003E-2</v>
      </c>
      <c r="Q1943">
        <v>-9.5631339999999995E-2</v>
      </c>
      <c r="R1943">
        <v>-0.99426250000000005</v>
      </c>
      <c r="S1943">
        <v>-4.6997070000000002E-2</v>
      </c>
      <c r="T1943">
        <v>-0.16714999999999999</v>
      </c>
      <c r="U1943">
        <v>-2.9991150000000002</v>
      </c>
      <c r="V1943">
        <v>3.313265E-2</v>
      </c>
      <c r="W1943">
        <v>-8.1340369999999995E-2</v>
      </c>
      <c r="X1943">
        <v>0.99613549999999995</v>
      </c>
      <c r="Y1943">
        <v>7.4794100000000001E-4</v>
      </c>
      <c r="Z1943">
        <v>4.1308530000000003E-2</v>
      </c>
      <c r="AA1943">
        <v>0.99914619999999998</v>
      </c>
      <c r="AB1943">
        <v>21</v>
      </c>
      <c r="AC1943">
        <v>-0.31219999999998999</v>
      </c>
      <c r="AD1943">
        <v>-1.1213000038280001</v>
      </c>
      <c r="AE1943">
        <v>-19.898299999999999</v>
      </c>
      <c r="AF1943">
        <v>1.54965446462154E-2</v>
      </c>
      <c r="AG1943">
        <v>-1.1213000038280001</v>
      </c>
      <c r="AH1943">
        <v>19.837763698082298</v>
      </c>
      <c r="AI1943">
        <v>93.235115123977096</v>
      </c>
      <c r="AJ1943">
        <v>89.955242615136598</v>
      </c>
      <c r="AK1943">
        <v>19.869434375000001</v>
      </c>
      <c r="AL1943">
        <v>94.665614486181497</v>
      </c>
      <c r="AM1943">
        <v>88.094976620194402</v>
      </c>
      <c r="AN1943">
        <v>0.99999998132400403</v>
      </c>
    </row>
    <row r="1944" spans="1:40" x14ac:dyDescent="0.25">
      <c r="A1944" t="str">
        <f>"20190303154133988"</f>
        <v>20190303154133988</v>
      </c>
      <c r="B1944" t="str">
        <f>"1551598893981376"</f>
        <v>1551598893981376</v>
      </c>
      <c r="C1944" t="s">
        <v>40</v>
      </c>
      <c r="D1944">
        <v>5.8917440000000001</v>
      </c>
      <c r="E1944">
        <v>0.48771100000000001</v>
      </c>
      <c r="F1944" t="s">
        <v>41</v>
      </c>
      <c r="G1944">
        <v>-191.8878</v>
      </c>
      <c r="H1944" s="1">
        <v>-3.3871690000000001E-6</v>
      </c>
      <c r="I1944">
        <v>306.31380000000001</v>
      </c>
      <c r="J1944">
        <v>-191.5943</v>
      </c>
      <c r="K1944">
        <v>1.1213059999999999</v>
      </c>
      <c r="L1944">
        <v>325.10809999999998</v>
      </c>
      <c r="M1944">
        <v>-1.4651040000000001E-2</v>
      </c>
      <c r="N1944">
        <v>-1.434851E-2</v>
      </c>
      <c r="O1944">
        <v>-0.99979010000000001</v>
      </c>
      <c r="P1944">
        <v>-4.7755840000000001E-2</v>
      </c>
      <c r="Q1944">
        <v>-9.5555340000000002E-2</v>
      </c>
      <c r="R1944">
        <v>-0.99427829999999995</v>
      </c>
      <c r="S1944">
        <v>-4.6752929999999998E-2</v>
      </c>
      <c r="T1944">
        <v>-0.17697950000000001</v>
      </c>
      <c r="U1944">
        <v>-2.9980159999999998</v>
      </c>
      <c r="V1944">
        <v>3.3210879999999998E-2</v>
      </c>
      <c r="W1944">
        <v>-8.1258800000000006E-2</v>
      </c>
      <c r="X1944">
        <v>0.99613960000000001</v>
      </c>
      <c r="Y1944">
        <v>9.242861E-4</v>
      </c>
      <c r="Z1944">
        <v>4.4588570000000001E-2</v>
      </c>
      <c r="AA1944">
        <v>0.99900500000000003</v>
      </c>
      <c r="AB1944">
        <v>21</v>
      </c>
      <c r="AC1944">
        <v>-0.29349999999999399</v>
      </c>
      <c r="AD1944">
        <v>-1.1213093871690001</v>
      </c>
      <c r="AE1944">
        <v>-18.7942999999999</v>
      </c>
      <c r="AF1944">
        <v>1.80200796818323E-2</v>
      </c>
      <c r="AG1944">
        <v>-1.1213093871690001</v>
      </c>
      <c r="AH1944">
        <v>18.7299284727452</v>
      </c>
      <c r="AI1944">
        <v>93.426050223308195</v>
      </c>
      <c r="AJ1944">
        <v>89.944875700129003</v>
      </c>
      <c r="AK1944">
        <v>18.7634719617446</v>
      </c>
      <c r="AL1944">
        <v>94.660925124669603</v>
      </c>
      <c r="AM1944">
        <v>88.090489820273802</v>
      </c>
      <c r="AN1944">
        <v>1.00000002890798</v>
      </c>
    </row>
    <row r="1945" spans="1:40" x14ac:dyDescent="0.25">
      <c r="A1945" t="str">
        <f>"20190303154134011"</f>
        <v>20190303154134011</v>
      </c>
      <c r="B1945" t="str">
        <f>"1551598894000894"</f>
        <v>1551598894000894</v>
      </c>
      <c r="C1945" t="s">
        <v>40</v>
      </c>
      <c r="D1945">
        <v>5.8509419999999999</v>
      </c>
      <c r="E1945">
        <v>0.48759829999999998</v>
      </c>
      <c r="F1945" t="s">
        <v>41</v>
      </c>
      <c r="G1945">
        <v>-191.8742</v>
      </c>
      <c r="H1945" s="1">
        <v>-3.4567450000000001E-6</v>
      </c>
      <c r="I1945">
        <v>306.48450000000003</v>
      </c>
      <c r="J1945">
        <v>-191.59700000000001</v>
      </c>
      <c r="K1945">
        <v>1.1213200000000001</v>
      </c>
      <c r="L1945">
        <v>324.89600000000002</v>
      </c>
      <c r="M1945">
        <v>-1.4365899999999999E-2</v>
      </c>
      <c r="N1945">
        <v>-1.435226E-2</v>
      </c>
      <c r="O1945">
        <v>-0.99979390000000001</v>
      </c>
      <c r="P1945">
        <v>-4.780065E-2</v>
      </c>
      <c r="Q1945">
        <v>-9.5723539999999996E-2</v>
      </c>
      <c r="R1945">
        <v>-0.99426009999999998</v>
      </c>
      <c r="S1945">
        <v>-4.5059200000000001E-2</v>
      </c>
      <c r="T1945">
        <v>-0.18049090000000001</v>
      </c>
      <c r="U1945">
        <v>-2.9977420000000001</v>
      </c>
      <c r="V1945">
        <v>3.3541649999999999E-2</v>
      </c>
      <c r="W1945">
        <v>-8.1422709999999995E-2</v>
      </c>
      <c r="X1945">
        <v>0.99611510000000003</v>
      </c>
      <c r="Y1945">
        <v>6.4594659999999999E-4</v>
      </c>
      <c r="Z1945">
        <v>4.5756459999999999E-2</v>
      </c>
      <c r="AA1945">
        <v>0.99895239999999996</v>
      </c>
      <c r="AB1945">
        <v>21</v>
      </c>
      <c r="AC1945">
        <v>-0.27719999999999301</v>
      </c>
      <c r="AD1945">
        <v>-1.1213234567449999</v>
      </c>
      <c r="AE1945">
        <v>-18.411499999999901</v>
      </c>
      <c r="AF1945">
        <v>1.25996779948233E-2</v>
      </c>
      <c r="AG1945">
        <v>-1.1213234567449999</v>
      </c>
      <c r="AH1945">
        <v>18.345549877399701</v>
      </c>
      <c r="AI1945">
        <v>93.497701507077295</v>
      </c>
      <c r="AJ1945">
        <v>89.960649407423304</v>
      </c>
      <c r="AK1945">
        <v>18.379791221629599</v>
      </c>
      <c r="AL1945">
        <v>94.670347851745007</v>
      </c>
      <c r="AM1945">
        <v>88.071438587843701</v>
      </c>
      <c r="AN1945">
        <v>0.99999999621823799</v>
      </c>
    </row>
    <row r="1946" spans="1:40" x14ac:dyDescent="0.25">
      <c r="A1946" t="str">
        <f>"20190303154134034"</f>
        <v>20190303154134034</v>
      </c>
      <c r="B1946" t="str">
        <f>"1551598894021391"</f>
        <v>1551598894021391</v>
      </c>
      <c r="C1946" t="s">
        <v>40</v>
      </c>
      <c r="D1946">
        <v>5.8978999999999999</v>
      </c>
      <c r="E1946">
        <v>0.48735279999999997</v>
      </c>
      <c r="F1946" t="s">
        <v>41</v>
      </c>
      <c r="G1946">
        <v>-191.86109999999999</v>
      </c>
      <c r="H1946" s="1">
        <v>-3.697823E-6</v>
      </c>
      <c r="I1946">
        <v>307.05450000000002</v>
      </c>
      <c r="J1946">
        <v>-191.59960000000001</v>
      </c>
      <c r="K1946">
        <v>1.12134</v>
      </c>
      <c r="L1946">
        <v>324.69060000000002</v>
      </c>
      <c r="M1946">
        <v>-1.4074110000000001E-2</v>
      </c>
      <c r="N1946">
        <v>-1.4354759999999999E-2</v>
      </c>
      <c r="O1946">
        <v>-0.99979819999999997</v>
      </c>
      <c r="P1946">
        <v>-4.7694739999999999E-2</v>
      </c>
      <c r="Q1946">
        <v>-9.5452229999999999E-2</v>
      </c>
      <c r="R1946">
        <v>-0.99429109999999998</v>
      </c>
      <c r="S1946">
        <v>-4.4357300000000002E-2</v>
      </c>
      <c r="T1946">
        <v>-0.1883619</v>
      </c>
      <c r="U1946">
        <v>-2.9970400000000001</v>
      </c>
      <c r="V1946">
        <v>3.3727390000000003E-2</v>
      </c>
      <c r="W1946">
        <v>-8.1147830000000004E-2</v>
      </c>
      <c r="X1946">
        <v>0.99613119999999999</v>
      </c>
      <c r="Y1946">
        <v>7.0554190000000005E-4</v>
      </c>
      <c r="Z1946">
        <v>4.8381349999999997E-2</v>
      </c>
      <c r="AA1946">
        <v>0.99882870000000001</v>
      </c>
      <c r="AB1946">
        <v>21</v>
      </c>
      <c r="AC1946">
        <v>-0.26149999999998302</v>
      </c>
      <c r="AD1946">
        <v>-1.121343697823</v>
      </c>
      <c r="AE1946">
        <v>-17.636099999999999</v>
      </c>
      <c r="AF1946">
        <v>1.31828949929951E-2</v>
      </c>
      <c r="AG1946">
        <v>-1.121343697823</v>
      </c>
      <c r="AH1946">
        <v>17.567030859953199</v>
      </c>
      <c r="AI1946">
        <v>93.652364211873902</v>
      </c>
      <c r="AJ1946">
        <v>89.957003314384906</v>
      </c>
      <c r="AK1946">
        <v>17.6027883788881</v>
      </c>
      <c r="AL1946">
        <v>94.654546372280393</v>
      </c>
      <c r="AM1946">
        <v>88.060798450723794</v>
      </c>
      <c r="AN1946">
        <v>0.99999993738167803</v>
      </c>
    </row>
    <row r="1947" spans="1:40" x14ac:dyDescent="0.25">
      <c r="A1947" t="str">
        <f>"20190303154134057"</f>
        <v>20190303154134057</v>
      </c>
      <c r="B1947" t="str">
        <f>"1551598894051647"</f>
        <v>1551598894051647</v>
      </c>
      <c r="C1947" t="s">
        <v>40</v>
      </c>
      <c r="D1947">
        <v>5.893726</v>
      </c>
      <c r="E1947">
        <v>0.48725800000000002</v>
      </c>
      <c r="F1947" t="s">
        <v>41</v>
      </c>
      <c r="G1947">
        <v>-191.84270000000001</v>
      </c>
      <c r="H1947" s="1">
        <v>-3.8525090000000004E-6</v>
      </c>
      <c r="I1947">
        <v>307.42649999999998</v>
      </c>
      <c r="J1947">
        <v>-191.60230000000001</v>
      </c>
      <c r="K1947">
        <v>1.1213569999999999</v>
      </c>
      <c r="L1947">
        <v>324.47199999999998</v>
      </c>
      <c r="M1947">
        <v>-1.3746680000000001E-2</v>
      </c>
      <c r="N1947">
        <v>-1.435637E-2</v>
      </c>
      <c r="O1947">
        <v>-0.99980270000000004</v>
      </c>
      <c r="P1947">
        <v>-4.7828599999999999E-2</v>
      </c>
      <c r="Q1947">
        <v>-9.4874890000000003E-2</v>
      </c>
      <c r="R1947">
        <v>-0.99434</v>
      </c>
      <c r="S1947">
        <v>-4.219055E-2</v>
      </c>
      <c r="T1947">
        <v>-0.19463279999999999</v>
      </c>
      <c r="U1947">
        <v>-2.9965519999999999</v>
      </c>
      <c r="V1947">
        <v>3.4187910000000002E-2</v>
      </c>
      <c r="W1947">
        <v>-8.0567449999999999E-2</v>
      </c>
      <c r="X1947">
        <v>0.99616269999999996</v>
      </c>
      <c r="Y1947">
        <v>3.1211630000000003E-4</v>
      </c>
      <c r="Z1947">
        <v>5.0471830000000002E-2</v>
      </c>
      <c r="AA1947">
        <v>0.99872539999999999</v>
      </c>
      <c r="AB1947">
        <v>21</v>
      </c>
      <c r="AC1947">
        <v>-0.24039999999999301</v>
      </c>
      <c r="AD1947">
        <v>-1.121360852509</v>
      </c>
      <c r="AE1947">
        <v>-17.045500000000001</v>
      </c>
      <c r="AF1947">
        <v>6.0081582701441401E-3</v>
      </c>
      <c r="AG1947">
        <v>-1.121360852509</v>
      </c>
      <c r="AH1947">
        <v>16.9737490028004</v>
      </c>
      <c r="AI1947">
        <v>93.779719616312505</v>
      </c>
      <c r="AJ1947">
        <v>89.979719147661896</v>
      </c>
      <c r="AK1947">
        <v>17.010750761491199</v>
      </c>
      <c r="AL1947">
        <v>94.621183394261905</v>
      </c>
      <c r="AM1947">
        <v>88.034402975041402</v>
      </c>
      <c r="AN1947">
        <v>1.00000002603047</v>
      </c>
    </row>
    <row r="1948" spans="1:40" x14ac:dyDescent="0.25">
      <c r="A1948" t="str">
        <f>"20190303154134079"</f>
        <v>20190303154134079</v>
      </c>
      <c r="B1948" t="str">
        <f>"1551598894071167"</f>
        <v>1551598894071167</v>
      </c>
      <c r="C1948" t="s">
        <v>40</v>
      </c>
      <c r="D1948">
        <v>5.9520030000000004</v>
      </c>
      <c r="E1948">
        <v>0.48672130000000002</v>
      </c>
      <c r="F1948" t="s">
        <v>41</v>
      </c>
      <c r="G1948">
        <v>-191.83410000000001</v>
      </c>
      <c r="H1948" s="1">
        <v>-4.0214750000000003E-6</v>
      </c>
      <c r="I1948">
        <v>307.84809999999999</v>
      </c>
      <c r="J1948">
        <v>-191.60480000000001</v>
      </c>
      <c r="K1948">
        <v>1.1213709999999999</v>
      </c>
      <c r="L1948">
        <v>324.26179999999999</v>
      </c>
      <c r="M1948">
        <v>-1.3416590000000001E-2</v>
      </c>
      <c r="N1948">
        <v>-1.435696E-2</v>
      </c>
      <c r="O1948">
        <v>-0.999807</v>
      </c>
      <c r="P1948">
        <v>-4.7417319999999999E-2</v>
      </c>
      <c r="Q1948">
        <v>-9.4450950000000006E-2</v>
      </c>
      <c r="R1948">
        <v>-0.9943997</v>
      </c>
      <c r="S1948">
        <v>-4.1763309999999998E-2</v>
      </c>
      <c r="T1948">
        <v>-0.20207800000000001</v>
      </c>
      <c r="U1948">
        <v>-2.9957579999999999</v>
      </c>
      <c r="V1948">
        <v>3.4105549999999998E-2</v>
      </c>
      <c r="W1948">
        <v>-8.0141809999999994E-2</v>
      </c>
      <c r="X1948">
        <v>0.99619979999999997</v>
      </c>
      <c r="Y1948">
        <v>5.0166580000000004E-4</v>
      </c>
      <c r="Z1948">
        <v>5.2959440000000003E-2</v>
      </c>
      <c r="AA1948">
        <v>0.9985965</v>
      </c>
      <c r="AB1948">
        <v>21</v>
      </c>
      <c r="AC1948">
        <v>-0.22929999999999401</v>
      </c>
      <c r="AD1948">
        <v>-1.12137502147499</v>
      </c>
      <c r="AE1948">
        <v>-16.413699999999999</v>
      </c>
      <c r="AF1948">
        <v>8.9987987485791697E-3</v>
      </c>
      <c r="AG1948">
        <v>-1.12137502147499</v>
      </c>
      <c r="AH1948">
        <v>16.339050677918198</v>
      </c>
      <c r="AI1948">
        <v>93.926143127018605</v>
      </c>
      <c r="AJ1948">
        <v>89.968444119122097</v>
      </c>
      <c r="AK1948">
        <v>16.3774888176651</v>
      </c>
      <c r="AL1948">
        <v>94.596717161404797</v>
      </c>
      <c r="AM1948">
        <v>88.039207442061993</v>
      </c>
      <c r="AN1948">
        <v>0.99999996988545803</v>
      </c>
    </row>
    <row r="1949" spans="1:40" x14ac:dyDescent="0.25">
      <c r="A1949" t="str">
        <f>"20190303154134100"</f>
        <v>20190303154134100</v>
      </c>
      <c r="B1949" t="str">
        <f>"1551598894091663"</f>
        <v>1551598894091663</v>
      </c>
      <c r="C1949" t="s">
        <v>40</v>
      </c>
      <c r="D1949">
        <v>5.897392</v>
      </c>
      <c r="E1949">
        <v>0.48673820000000001</v>
      </c>
      <c r="F1949" t="s">
        <v>41</v>
      </c>
      <c r="G1949">
        <v>-191.79750000000001</v>
      </c>
      <c r="H1949" s="1">
        <v>-4.2019469999999998E-6</v>
      </c>
      <c r="I1949">
        <v>308.39749999999998</v>
      </c>
      <c r="J1949">
        <v>-191.6069</v>
      </c>
      <c r="K1949">
        <v>1.1213770000000001</v>
      </c>
      <c r="L1949">
        <v>324.07859999999999</v>
      </c>
      <c r="M1949">
        <v>-1.312026E-2</v>
      </c>
      <c r="N1949">
        <v>-1.4356839999999999E-2</v>
      </c>
      <c r="O1949">
        <v>-0.99981109999999895</v>
      </c>
      <c r="P1949">
        <v>-4.7115999999999998E-2</v>
      </c>
      <c r="Q1949">
        <v>-9.4167020000000004E-2</v>
      </c>
      <c r="R1949">
        <v>-0.99444129999999997</v>
      </c>
      <c r="S1949">
        <v>-3.6376949999999998E-2</v>
      </c>
      <c r="T1949">
        <v>-0.21170659999999999</v>
      </c>
      <c r="U1949">
        <v>-2.9950559999999999</v>
      </c>
      <c r="V1949">
        <v>3.4099299999999999E-2</v>
      </c>
      <c r="W1949">
        <v>-7.9857259999999999E-2</v>
      </c>
      <c r="X1949">
        <v>0.99622290000000002</v>
      </c>
      <c r="Y1949">
        <v>-9.9550269999999991E-4</v>
      </c>
      <c r="Z1949">
        <v>5.6170520000000002E-2</v>
      </c>
      <c r="AA1949">
        <v>0.99842070000000005</v>
      </c>
      <c r="AB1949">
        <v>21</v>
      </c>
      <c r="AC1949">
        <v>-0.19060000000001701</v>
      </c>
      <c r="AD1949">
        <v>-1.121381201947</v>
      </c>
      <c r="AE1949">
        <v>-15.681100000000001</v>
      </c>
      <c r="AF1949">
        <v>-1.5100462871689001E-2</v>
      </c>
      <c r="AG1949">
        <v>-1.121381201947</v>
      </c>
      <c r="AH1949">
        <v>15.6024730284981</v>
      </c>
      <c r="AI1949">
        <v>94.110892632797203</v>
      </c>
      <c r="AJ1949">
        <v>90.055452268337405</v>
      </c>
      <c r="AK1949">
        <v>15.6427263745509</v>
      </c>
      <c r="AL1949">
        <v>94.580361061562002</v>
      </c>
      <c r="AM1949">
        <v>88.039611908213203</v>
      </c>
      <c r="AN1949">
        <v>1.0000000053597999</v>
      </c>
    </row>
    <row r="1950" spans="1:40" x14ac:dyDescent="0.25">
      <c r="A1950" t="str">
        <f>"20190303154134122"</f>
        <v>20190303154134122</v>
      </c>
      <c r="B1950" t="str">
        <f>"1551598894111183"</f>
        <v>1551598894111183</v>
      </c>
      <c r="C1950" t="s">
        <v>40</v>
      </c>
      <c r="D1950">
        <v>5.4884750000000002</v>
      </c>
      <c r="E1950">
        <v>0.48673559999999999</v>
      </c>
      <c r="F1950" t="s">
        <v>41</v>
      </c>
      <c r="G1950">
        <v>-191.7946</v>
      </c>
      <c r="H1950" s="1">
        <v>-4.1543589999999999E-6</v>
      </c>
      <c r="I1950">
        <v>308.25920000000002</v>
      </c>
      <c r="J1950">
        <v>-191.60929999999999</v>
      </c>
      <c r="K1950">
        <v>1.121383</v>
      </c>
      <c r="L1950">
        <v>323.86739999999998</v>
      </c>
      <c r="M1950">
        <v>-1.277024E-2</v>
      </c>
      <c r="N1950">
        <v>-1.435608E-2</v>
      </c>
      <c r="O1950">
        <v>-0.99981560000000003</v>
      </c>
      <c r="P1950">
        <v>-4.6898339999999997E-2</v>
      </c>
      <c r="Q1950">
        <v>-9.2757870000000006E-2</v>
      </c>
      <c r="R1950">
        <v>-0.99458400000000002</v>
      </c>
      <c r="S1950">
        <v>-3.5522459999999999E-2</v>
      </c>
      <c r="T1950">
        <v>-0.2123024</v>
      </c>
      <c r="U1950">
        <v>-2.9949650000000001</v>
      </c>
      <c r="V1950">
        <v>3.4228019999999998E-2</v>
      </c>
      <c r="W1950">
        <v>-7.84469E-2</v>
      </c>
      <c r="X1950">
        <v>0.99633059999999996</v>
      </c>
      <c r="Y1950">
        <v>-9.3002679999999998E-4</v>
      </c>
      <c r="Z1950">
        <v>5.6371539999999998E-2</v>
      </c>
      <c r="AA1950">
        <v>0.99840949999999995</v>
      </c>
      <c r="AB1950">
        <v>21</v>
      </c>
      <c r="AC1950">
        <v>-0.18530000000001201</v>
      </c>
      <c r="AD1950">
        <v>-1.1213871543589999</v>
      </c>
      <c r="AE1950">
        <v>-15.608199999999901</v>
      </c>
      <c r="AF1950">
        <v>-1.3983902282547299E-2</v>
      </c>
      <c r="AG1950">
        <v>-1.1213871543589999</v>
      </c>
      <c r="AH1950">
        <v>15.5291457213839</v>
      </c>
      <c r="AI1950">
        <v>94.130259006047694</v>
      </c>
      <c r="AJ1950">
        <v>90.051594490754397</v>
      </c>
      <c r="AK1950">
        <v>15.569588033582001</v>
      </c>
      <c r="AL1950">
        <v>94.499298764865898</v>
      </c>
      <c r="AM1950">
        <v>88.032430072782105</v>
      </c>
      <c r="AN1950">
        <v>1.0000000689845401</v>
      </c>
    </row>
    <row r="1951" spans="1:40" x14ac:dyDescent="0.25">
      <c r="A1951" t="str">
        <f>"20190303154134144"</f>
        <v>20190303154134144</v>
      </c>
      <c r="B1951" t="str">
        <f>"1551598894141440"</f>
        <v>1551598894141440</v>
      </c>
      <c r="C1951" t="s">
        <v>40</v>
      </c>
      <c r="D1951">
        <v>5.9143759999999999</v>
      </c>
      <c r="E1951">
        <v>0.48673110000000003</v>
      </c>
      <c r="F1951" t="s">
        <v>41</v>
      </c>
      <c r="G1951">
        <v>-191.79220000000001</v>
      </c>
      <c r="H1951" s="1">
        <v>-4.08671E-6</v>
      </c>
      <c r="I1951">
        <v>308.0616</v>
      </c>
      <c r="J1951">
        <v>-191.6114</v>
      </c>
      <c r="K1951">
        <v>1.121394</v>
      </c>
      <c r="L1951">
        <v>323.6678</v>
      </c>
      <c r="M1951">
        <v>-1.243257E-2</v>
      </c>
      <c r="N1951">
        <v>-1.4354799999999999E-2</v>
      </c>
      <c r="O1951">
        <v>-0.99981969999999998</v>
      </c>
      <c r="P1951">
        <v>-4.6532240000000002E-2</v>
      </c>
      <c r="Q1951">
        <v>-9.164282E-2</v>
      </c>
      <c r="R1951">
        <v>-0.99470420000000004</v>
      </c>
      <c r="S1951">
        <v>-3.4652710000000003E-2</v>
      </c>
      <c r="T1951">
        <v>-0.21248249999999999</v>
      </c>
      <c r="U1951">
        <v>-2.994904</v>
      </c>
      <c r="V1951">
        <v>3.4196219999999999E-2</v>
      </c>
      <c r="W1951">
        <v>-7.733168E-2</v>
      </c>
      <c r="X1951">
        <v>0.99641880000000005</v>
      </c>
      <c r="Y1951">
        <v>-8.8204259999999997E-4</v>
      </c>
      <c r="Z1951">
        <v>5.643447E-2</v>
      </c>
      <c r="AA1951">
        <v>0.99840589999999996</v>
      </c>
      <c r="AB1951">
        <v>21</v>
      </c>
      <c r="AC1951">
        <v>-0.18080000000000401</v>
      </c>
      <c r="AD1951">
        <v>-1.12139808671</v>
      </c>
      <c r="AE1951">
        <v>-15.606199999999999</v>
      </c>
      <c r="AF1951">
        <v>-1.31910381051983E-2</v>
      </c>
      <c r="AG1951">
        <v>-1.12139808671</v>
      </c>
      <c r="AH1951">
        <v>15.5270817895008</v>
      </c>
      <c r="AI1951">
        <v>94.130846434045907</v>
      </c>
      <c r="AJ1951">
        <v>90.048675639069998</v>
      </c>
      <c r="AK1951">
        <v>15.567529558995799</v>
      </c>
      <c r="AL1951">
        <v>94.435206973053695</v>
      </c>
      <c r="AM1951">
        <v>88.034430500356194</v>
      </c>
      <c r="AN1951">
        <v>0.99999999759367497</v>
      </c>
    </row>
    <row r="1952" spans="1:40" x14ac:dyDescent="0.25">
      <c r="A1952" t="str">
        <f>"20190303154134166"</f>
        <v>20190303154134166</v>
      </c>
      <c r="B1952" t="str">
        <f>"1551598894160959"</f>
        <v>1551598894160959</v>
      </c>
      <c r="C1952" t="s">
        <v>40</v>
      </c>
      <c r="D1952">
        <v>5.8952010000000001</v>
      </c>
      <c r="E1952">
        <v>0.48669079999999898</v>
      </c>
      <c r="F1952" t="s">
        <v>41</v>
      </c>
      <c r="G1952">
        <v>-191.78399999999999</v>
      </c>
      <c r="H1952" s="1">
        <v>-4.172099E-6</v>
      </c>
      <c r="I1952">
        <v>308.3168</v>
      </c>
      <c r="J1952">
        <v>-191.61349999999999</v>
      </c>
      <c r="K1952">
        <v>1.1214</v>
      </c>
      <c r="L1952">
        <v>323.4683</v>
      </c>
      <c r="M1952">
        <v>-1.2091080000000001E-2</v>
      </c>
      <c r="N1952">
        <v>-1.435295E-2</v>
      </c>
      <c r="O1952">
        <v>-0.99982420000000005</v>
      </c>
      <c r="P1952">
        <v>-4.6206869999999997E-2</v>
      </c>
      <c r="Q1952">
        <v>-9.1347570000000003E-2</v>
      </c>
      <c r="R1952">
        <v>-0.99474680000000004</v>
      </c>
      <c r="S1952">
        <v>-3.3660889999999999E-2</v>
      </c>
      <c r="T1952">
        <v>-0.21872849999999999</v>
      </c>
      <c r="U1952">
        <v>-2.994202</v>
      </c>
      <c r="V1952">
        <v>3.421014E-2</v>
      </c>
      <c r="W1952">
        <v>-7.7037919999999996E-2</v>
      </c>
      <c r="X1952">
        <v>0.99644109999999997</v>
      </c>
      <c r="Y1952">
        <v>-8.6979709999999999E-4</v>
      </c>
      <c r="Z1952">
        <v>5.8524970000000003E-2</v>
      </c>
      <c r="AA1952">
        <v>0.9982856</v>
      </c>
      <c r="AB1952">
        <v>21</v>
      </c>
      <c r="AC1952">
        <v>-0.17050000000003199</v>
      </c>
      <c r="AD1952">
        <v>-1.121404172099</v>
      </c>
      <c r="AE1952">
        <v>-15.1515</v>
      </c>
      <c r="AF1952">
        <v>-1.26599387898909E-2</v>
      </c>
      <c r="AG1952">
        <v>-1.121404172099</v>
      </c>
      <c r="AH1952">
        <v>15.069913112025301</v>
      </c>
      <c r="AI1952">
        <v>94.255731312747798</v>
      </c>
      <c r="AJ1952">
        <v>90.048133050637006</v>
      </c>
      <c r="AK1952">
        <v>15.1115845891569</v>
      </c>
      <c r="AL1952">
        <v>94.418325303276305</v>
      </c>
      <c r="AM1952">
        <v>88.033674990740394</v>
      </c>
      <c r="AN1952">
        <v>1.00000002028297</v>
      </c>
    </row>
    <row r="1953" spans="1:40" x14ac:dyDescent="0.25">
      <c r="A1953" t="str">
        <f>"20190303154134190"</f>
        <v>20190303154134190</v>
      </c>
      <c r="B1953" t="str">
        <f>"1551598894181455"</f>
        <v>1551598894181455</v>
      </c>
      <c r="C1953" t="s">
        <v>40</v>
      </c>
      <c r="D1953">
        <v>5.8860489999999999</v>
      </c>
      <c r="E1953">
        <v>0.4866762</v>
      </c>
      <c r="F1953" t="s">
        <v>41</v>
      </c>
      <c r="G1953">
        <v>-191.77590000000001</v>
      </c>
      <c r="H1953" s="1">
        <v>-4.22609699999999E-6</v>
      </c>
      <c r="I1953">
        <v>308.47969999999998</v>
      </c>
      <c r="J1953">
        <v>-191.6157</v>
      </c>
      <c r="K1953">
        <v>1.1214109999999999</v>
      </c>
      <c r="L1953">
        <v>323.24939999999998</v>
      </c>
      <c r="M1953">
        <v>-1.171463E-2</v>
      </c>
      <c r="N1953">
        <v>-1.435057E-2</v>
      </c>
      <c r="O1953">
        <v>-0.99982870000000001</v>
      </c>
      <c r="P1953">
        <v>-4.6107799999999997E-2</v>
      </c>
      <c r="Q1953">
        <v>-9.0491699999999994E-2</v>
      </c>
      <c r="R1953">
        <v>-0.99482979999999999</v>
      </c>
      <c r="S1953">
        <v>-3.2440190000000001E-2</v>
      </c>
      <c r="T1953">
        <v>-0.2239833</v>
      </c>
      <c r="U1953">
        <v>-2.993744</v>
      </c>
      <c r="V1953">
        <v>3.4484239999999999E-2</v>
      </c>
      <c r="W1953">
        <v>-7.6183479999999998E-2</v>
      </c>
      <c r="X1953">
        <v>0.99649730000000003</v>
      </c>
      <c r="Y1953">
        <v>-8.9967289999999902E-4</v>
      </c>
      <c r="Z1953">
        <v>6.0281389999999997E-2</v>
      </c>
      <c r="AA1953">
        <v>0.99818099999999998</v>
      </c>
      <c r="AB1953">
        <v>21</v>
      </c>
      <c r="AC1953">
        <v>-0.16020000000000301</v>
      </c>
      <c r="AD1953">
        <v>-1.1214152260969901</v>
      </c>
      <c r="AE1953">
        <v>-14.7697</v>
      </c>
      <c r="AF1953">
        <v>-1.27766851007283E-2</v>
      </c>
      <c r="AG1953">
        <v>-1.1214152260969901</v>
      </c>
      <c r="AH1953">
        <v>14.6859107783618</v>
      </c>
      <c r="AI1953">
        <v>94.366626603854101</v>
      </c>
      <c r="AJ1953">
        <v>90.049847092140993</v>
      </c>
      <c r="AK1953">
        <v>14.728669686804899</v>
      </c>
      <c r="AL1953">
        <v>94.369225384433904</v>
      </c>
      <c r="AM1953">
        <v>88.018044525287394</v>
      </c>
      <c r="AN1953">
        <v>0.99999997717028799</v>
      </c>
    </row>
    <row r="1954" spans="1:40" x14ac:dyDescent="0.25">
      <c r="A1954" t="str">
        <f>"20190303154134213"</f>
        <v>20190303154134213</v>
      </c>
      <c r="B1954" t="str">
        <f>"1551598894200975"</f>
        <v>1551598894200975</v>
      </c>
      <c r="C1954" t="s">
        <v>40</v>
      </c>
      <c r="D1954">
        <v>5.9208189999999998</v>
      </c>
      <c r="E1954">
        <v>0.48664619999999997</v>
      </c>
      <c r="F1954" t="s">
        <v>41</v>
      </c>
      <c r="G1954">
        <v>-191.77420000000001</v>
      </c>
      <c r="H1954" s="1">
        <v>-4.2128240000000004E-6</v>
      </c>
      <c r="I1954">
        <v>308.44159999999999</v>
      </c>
      <c r="J1954">
        <v>-191.61770000000001</v>
      </c>
      <c r="K1954">
        <v>1.121416</v>
      </c>
      <c r="L1954">
        <v>323.04169999999999</v>
      </c>
      <c r="M1954">
        <v>-1.1357570000000001E-2</v>
      </c>
      <c r="N1954">
        <v>-1.434791E-2</v>
      </c>
      <c r="O1954">
        <v>-0.99983250000000001</v>
      </c>
      <c r="P1954">
        <v>-4.5928410000000003E-2</v>
      </c>
      <c r="Q1954">
        <v>-8.9801660000000005E-2</v>
      </c>
      <c r="R1954">
        <v>-0.99490029999999996</v>
      </c>
      <c r="S1954">
        <v>-3.2043460000000003E-2</v>
      </c>
      <c r="T1954">
        <v>-0.2267034</v>
      </c>
      <c r="U1954">
        <v>-2.9935299999999998</v>
      </c>
      <c r="V1954">
        <v>3.4658840000000003E-2</v>
      </c>
      <c r="W1954">
        <v>-7.5495430000000002E-2</v>
      </c>
      <c r="X1954">
        <v>0.99654359999999997</v>
      </c>
      <c r="Y1954">
        <v>-6.7479379999999998E-4</v>
      </c>
      <c r="Z1954">
        <v>6.1191580000000002E-2</v>
      </c>
      <c r="AA1954">
        <v>0.99812579999999995</v>
      </c>
      <c r="AB1954">
        <v>20</v>
      </c>
      <c r="AC1954">
        <v>-0.15649999999999401</v>
      </c>
      <c r="AD1954">
        <v>-1.1214202128240001</v>
      </c>
      <c r="AE1954">
        <v>-14.6000999999999</v>
      </c>
      <c r="AF1954">
        <v>-9.2940094233019098E-3</v>
      </c>
      <c r="AG1954">
        <v>-1.1214202128240001</v>
      </c>
      <c r="AH1954">
        <v>14.515310565724601</v>
      </c>
      <c r="AI1954">
        <v>94.417766436606598</v>
      </c>
      <c r="AJ1954">
        <v>90.036685914471306</v>
      </c>
      <c r="AK1954">
        <v>14.558568284408199</v>
      </c>
      <c r="AL1954">
        <v>94.329689186057607</v>
      </c>
      <c r="AM1954">
        <v>88.008110061205002</v>
      </c>
      <c r="AN1954">
        <v>0.99999997092099402</v>
      </c>
    </row>
    <row r="1955" spans="1:40" x14ac:dyDescent="0.25">
      <c r="A1955" t="str">
        <f>"20190303154134235"</f>
        <v>20190303154134235</v>
      </c>
      <c r="B1955" t="str">
        <f>"1551598894231232"</f>
        <v>1551598894231232</v>
      </c>
      <c r="C1955" t="s">
        <v>40</v>
      </c>
      <c r="D1955">
        <v>5.8135009999999996</v>
      </c>
      <c r="E1955">
        <v>0.48700500000000002</v>
      </c>
      <c r="F1955" t="s">
        <v>41</v>
      </c>
      <c r="G1955">
        <v>-191.77109999999999</v>
      </c>
      <c r="H1955" s="1">
        <v>-4.151231E-6</v>
      </c>
      <c r="I1955">
        <v>308.26220000000001</v>
      </c>
      <c r="J1955">
        <v>-191.61959999999999</v>
      </c>
      <c r="K1955">
        <v>1.1214200000000001</v>
      </c>
      <c r="L1955">
        <v>322.84269999999998</v>
      </c>
      <c r="M1955">
        <v>-1.10163E-2</v>
      </c>
      <c r="N1955">
        <v>-1.4345159999999999E-2</v>
      </c>
      <c r="O1955">
        <v>-0.99983659999999996</v>
      </c>
      <c r="P1955">
        <v>-4.5839919999999999E-2</v>
      </c>
      <c r="Q1955">
        <v>-8.9318480000000006E-2</v>
      </c>
      <c r="R1955">
        <v>-0.99494800000000005</v>
      </c>
      <c r="S1955">
        <v>-3.106689E-2</v>
      </c>
      <c r="T1955">
        <v>-0.2271292</v>
      </c>
      <c r="U1955">
        <v>-2.9934080000000001</v>
      </c>
      <c r="V1955">
        <v>3.490886E-2</v>
      </c>
      <c r="W1955">
        <v>-7.5014629999999999E-2</v>
      </c>
      <c r="X1955">
        <v>0.99657119999999999</v>
      </c>
      <c r="Y1955">
        <v>-6.5872539999999903E-4</v>
      </c>
      <c r="Z1955">
        <v>6.1339049999999999E-2</v>
      </c>
      <c r="AA1955">
        <v>0.99811680000000003</v>
      </c>
      <c r="AB1955">
        <v>20</v>
      </c>
      <c r="AC1955">
        <v>-0.151499999999998</v>
      </c>
      <c r="AD1955">
        <v>-1.1214241512309999</v>
      </c>
      <c r="AE1955">
        <v>-14.580499999999899</v>
      </c>
      <c r="AF1955">
        <v>-9.0950604939870894E-3</v>
      </c>
      <c r="AG1955">
        <v>-1.1214241512309999</v>
      </c>
      <c r="AH1955">
        <v>14.495544365592901</v>
      </c>
      <c r="AI1955">
        <v>94.423782140311602</v>
      </c>
      <c r="AJ1955">
        <v>90.035949564858996</v>
      </c>
      <c r="AK1955">
        <v>14.538861073067601</v>
      </c>
      <c r="AL1955">
        <v>94.302062953262194</v>
      </c>
      <c r="AM1955">
        <v>87.993808294863896</v>
      </c>
      <c r="AN1955">
        <v>0.99999998994498795</v>
      </c>
    </row>
    <row r="1956" spans="1:40" x14ac:dyDescent="0.25">
      <c r="A1956" t="str">
        <f>"20190303154134259"</f>
        <v>20190303154134259</v>
      </c>
      <c r="B1956" t="str">
        <f>"1551598894251729"</f>
        <v>1551598894251729</v>
      </c>
      <c r="C1956" t="s">
        <v>40</v>
      </c>
      <c r="D1956">
        <v>6.0218540000000003</v>
      </c>
      <c r="E1956">
        <v>0.52303929999999998</v>
      </c>
      <c r="F1956" t="s">
        <v>41</v>
      </c>
      <c r="G1956">
        <v>-191.78819999999999</v>
      </c>
      <c r="H1956" s="1">
        <v>-4.0278879999999997E-6</v>
      </c>
      <c r="I1956">
        <v>307.89080000000001</v>
      </c>
      <c r="J1956">
        <v>-191.6215</v>
      </c>
      <c r="K1956">
        <v>1.1214230000000001</v>
      </c>
      <c r="L1956">
        <v>322.6268</v>
      </c>
      <c r="M1956">
        <v>-1.064765E-2</v>
      </c>
      <c r="N1956">
        <v>-1.4341710000000001E-2</v>
      </c>
      <c r="O1956">
        <v>-0.99984039999999996</v>
      </c>
      <c r="P1956">
        <v>-4.5874579999999998E-2</v>
      </c>
      <c r="Q1956">
        <v>-8.8592400000000002E-2</v>
      </c>
      <c r="R1956">
        <v>-0.99501099999999998</v>
      </c>
      <c r="S1956">
        <v>-3.3767699999999998E-2</v>
      </c>
      <c r="T1956">
        <v>-0.2245193</v>
      </c>
      <c r="U1956">
        <v>-2.9935</v>
      </c>
      <c r="V1956">
        <v>3.5308989999999998E-2</v>
      </c>
      <c r="W1956">
        <v>-7.4291430000000006E-2</v>
      </c>
      <c r="X1956">
        <v>0.99661129999999998</v>
      </c>
      <c r="Y1956">
        <v>6.0986220000000004E-4</v>
      </c>
      <c r="Z1956">
        <v>6.0475099999999997E-2</v>
      </c>
      <c r="AA1956">
        <v>0.99816950000000004</v>
      </c>
      <c r="AB1956">
        <v>20</v>
      </c>
      <c r="AC1956">
        <v>-0.16669999999999099</v>
      </c>
      <c r="AD1956">
        <v>-1.1214270278880001</v>
      </c>
      <c r="AE1956">
        <v>-14.735999999999899</v>
      </c>
      <c r="AF1956">
        <v>9.7143771914105503E-3</v>
      </c>
      <c r="AG1956">
        <v>-1.1214270278880001</v>
      </c>
      <c r="AH1956">
        <v>14.652094486254301</v>
      </c>
      <c r="AI1956">
        <v>94.376712017011698</v>
      </c>
      <c r="AJ1956">
        <v>89.962012753013994</v>
      </c>
      <c r="AK1956">
        <v>14.6949503497673</v>
      </c>
      <c r="AL1956">
        <v>94.260510599988294</v>
      </c>
      <c r="AM1956">
        <v>87.970913751092795</v>
      </c>
      <c r="AN1956">
        <v>1.0000000123169701</v>
      </c>
    </row>
    <row r="1957" spans="1:40" x14ac:dyDescent="0.25">
      <c r="A1957" t="str">
        <f>"20190303154134281"</f>
        <v>20190303154134281</v>
      </c>
      <c r="B1957" t="str">
        <f>"1551598894271246"</f>
        <v>1551598894271246</v>
      </c>
      <c r="C1957" t="s">
        <v>40</v>
      </c>
      <c r="D1957">
        <v>5.9004729999999999</v>
      </c>
      <c r="E1957">
        <v>0.52643379999999995</v>
      </c>
      <c r="F1957" t="s">
        <v>41</v>
      </c>
      <c r="G1957">
        <v>-193.3477</v>
      </c>
      <c r="H1957" s="1">
        <v>-3.8624499999999998E-6</v>
      </c>
      <c r="I1957">
        <v>306.59179999999998</v>
      </c>
      <c r="J1957">
        <v>-191.6232</v>
      </c>
      <c r="K1957">
        <v>1.1214230000000001</v>
      </c>
      <c r="L1957">
        <v>322.4341</v>
      </c>
      <c r="M1957">
        <v>-1.03196E-2</v>
      </c>
      <c r="N1957">
        <v>-1.4338409999999999E-2</v>
      </c>
      <c r="O1957">
        <v>-0.99984399999999996</v>
      </c>
      <c r="P1957">
        <v>-4.5831120000000003E-2</v>
      </c>
      <c r="Q1957">
        <v>-8.7944830000000002E-2</v>
      </c>
      <c r="R1957">
        <v>-0.99507069999999997</v>
      </c>
      <c r="S1957">
        <v>-0.32098389999999999</v>
      </c>
      <c r="T1957">
        <v>-0.20852580000000001</v>
      </c>
      <c r="U1957">
        <v>-2.9816590000000001</v>
      </c>
      <c r="V1957">
        <v>3.5590740000000003E-2</v>
      </c>
      <c r="W1957">
        <v>-7.3646660000000003E-2</v>
      </c>
      <c r="X1957">
        <v>0.99664909999999995</v>
      </c>
      <c r="Y1957">
        <v>9.6546839999999995E-2</v>
      </c>
      <c r="Z1957">
        <v>5.5094919999999999E-2</v>
      </c>
      <c r="AA1957">
        <v>0.99380239999999997</v>
      </c>
      <c r="AB1957">
        <v>20</v>
      </c>
      <c r="AC1957">
        <v>-1.7244999999999999</v>
      </c>
      <c r="AD1957">
        <v>-1.1214268624499999</v>
      </c>
      <c r="AE1957">
        <v>-15.8423</v>
      </c>
      <c r="AF1957">
        <v>1.5532134831006601</v>
      </c>
      <c r="AG1957">
        <v>-1.1214268624499999</v>
      </c>
      <c r="AH1957">
        <v>15.781104576796199</v>
      </c>
      <c r="AI1957">
        <v>94.045203478205806</v>
      </c>
      <c r="AJ1957">
        <v>84.378918175274407</v>
      </c>
      <c r="AK1957">
        <v>15.896959835002701</v>
      </c>
      <c r="AL1957">
        <v>94.223466656267604</v>
      </c>
      <c r="AM1957">
        <v>87.954813748915697</v>
      </c>
      <c r="AN1957">
        <v>0.99999997991685596</v>
      </c>
    </row>
    <row r="1958" spans="1:40" x14ac:dyDescent="0.25">
      <c r="A1958" t="str">
        <f>"20190303154134303"</f>
        <v>20190303154134303</v>
      </c>
      <c r="B1958" t="str">
        <f>"1551598894291742"</f>
        <v>1551598894291742</v>
      </c>
      <c r="C1958" t="s">
        <v>40</v>
      </c>
      <c r="D1958">
        <v>5.9237609999999998</v>
      </c>
      <c r="E1958">
        <v>0.52737679999999998</v>
      </c>
      <c r="F1958" t="s">
        <v>42</v>
      </c>
      <c r="G1958">
        <v>-191.7252</v>
      </c>
      <c r="H1958">
        <v>1.042878</v>
      </c>
      <c r="I1958">
        <v>321.5643</v>
      </c>
      <c r="J1958">
        <v>-191.62479999999999</v>
      </c>
      <c r="K1958">
        <v>1.121424</v>
      </c>
      <c r="L1958">
        <v>322.23079999999999</v>
      </c>
      <c r="M1958">
        <v>-9.9745630000000005E-3</v>
      </c>
      <c r="N1958">
        <v>-1.433473E-2</v>
      </c>
      <c r="O1958">
        <v>-0.9998475</v>
      </c>
      <c r="P1958">
        <v>-4.5714579999999998E-2</v>
      </c>
      <c r="Q1958">
        <v>-8.7469060000000001E-2</v>
      </c>
      <c r="R1958">
        <v>-0.99511810000000001</v>
      </c>
      <c r="S1958">
        <v>-0.34808349999999999</v>
      </c>
      <c r="T1958">
        <v>-0.26899519999999999</v>
      </c>
      <c r="U1958">
        <v>-2.975098</v>
      </c>
      <c r="V1958">
        <v>3.5816599999999997E-2</v>
      </c>
      <c r="W1958">
        <v>-7.3174249999999996E-2</v>
      </c>
      <c r="X1958">
        <v>0.9966758</v>
      </c>
      <c r="Y1958">
        <v>0.1058847</v>
      </c>
      <c r="Z1958">
        <v>7.5208159999999996E-2</v>
      </c>
      <c r="AA1958">
        <v>0.99153020000000003</v>
      </c>
      <c r="AB1958">
        <v>20</v>
      </c>
      <c r="AC1958">
        <v>-0.100400000000007</v>
      </c>
      <c r="AD1958">
        <v>-7.8546000000000005E-2</v>
      </c>
      <c r="AE1958">
        <v>-0.66649999999998499</v>
      </c>
      <c r="AF1958">
        <v>9.2490247762104197E-2</v>
      </c>
      <c r="AG1958">
        <v>-7.8546000000000005E-2</v>
      </c>
      <c r="AH1958">
        <v>0.65852554018813803</v>
      </c>
      <c r="AI1958">
        <v>96.736350725192295</v>
      </c>
      <c r="AJ1958">
        <v>82.005075065211599</v>
      </c>
      <c r="AK1958">
        <v>0.66961168383412595</v>
      </c>
      <c r="AL1958">
        <v>94.196326347224897</v>
      </c>
      <c r="AM1958">
        <v>87.941901145518699</v>
      </c>
      <c r="AN1958">
        <v>0.99999997500213</v>
      </c>
    </row>
    <row r="1959" spans="1:40" x14ac:dyDescent="0.25">
      <c r="A1959" t="str">
        <f>"20190303154134324"</f>
        <v>20190303154134324</v>
      </c>
      <c r="B1959" t="str">
        <f>"1551598894321646"</f>
        <v>1551598894321646</v>
      </c>
      <c r="C1959" t="s">
        <v>40</v>
      </c>
      <c r="D1959">
        <v>5.8398729999999999</v>
      </c>
      <c r="E1959">
        <v>0.52927679999999999</v>
      </c>
      <c r="F1959" t="s">
        <v>42</v>
      </c>
      <c r="G1959">
        <v>-191.7259</v>
      </c>
      <c r="H1959">
        <v>1.037979</v>
      </c>
      <c r="I1959">
        <v>321.38639999999998</v>
      </c>
      <c r="J1959">
        <v>-191.62629999999999</v>
      </c>
      <c r="K1959">
        <v>1.121426</v>
      </c>
      <c r="L1959">
        <v>322.03989999999999</v>
      </c>
      <c r="M1959">
        <v>-9.6514979999999997E-3</v>
      </c>
      <c r="N1959">
        <v>-1.4331099999999999E-2</v>
      </c>
      <c r="O1959">
        <v>-0.99985089999999999</v>
      </c>
      <c r="P1959">
        <v>-4.5805739999999998E-2</v>
      </c>
      <c r="Q1959">
        <v>-8.7340299999999996E-2</v>
      </c>
      <c r="R1959">
        <v>-0.99512500000000004</v>
      </c>
      <c r="S1959">
        <v>-0.35545349999999998</v>
      </c>
      <c r="T1959">
        <v>-0.29389929999999997</v>
      </c>
      <c r="U1959">
        <v>-2.9725649999999999</v>
      </c>
      <c r="V1959">
        <v>3.6228929999999999E-2</v>
      </c>
      <c r="W1959">
        <v>-7.3049169999999997E-2</v>
      </c>
      <c r="X1959">
        <v>0.9966701</v>
      </c>
      <c r="Y1959">
        <v>0.1086406</v>
      </c>
      <c r="Z1959">
        <v>8.3484390000000006E-2</v>
      </c>
      <c r="AA1959">
        <v>0.99056929999999999</v>
      </c>
      <c r="AB1959">
        <v>20</v>
      </c>
      <c r="AC1959">
        <v>-9.9600000000009403E-2</v>
      </c>
      <c r="AD1959">
        <v>-8.3446999999999993E-2</v>
      </c>
      <c r="AE1959">
        <v>-0.65350000000000796</v>
      </c>
      <c r="AF1959">
        <v>9.1824222098276703E-2</v>
      </c>
      <c r="AG1959">
        <v>-8.3446999999999993E-2</v>
      </c>
      <c r="AH1959">
        <v>0.64416602950093105</v>
      </c>
      <c r="AI1959">
        <v>97.3080789078886</v>
      </c>
      <c r="AJ1959">
        <v>81.887287853740801</v>
      </c>
      <c r="AK1959">
        <v>0.65600683162292495</v>
      </c>
      <c r="AL1959">
        <v>94.189140444967805</v>
      </c>
      <c r="AM1959">
        <v>87.918216610240293</v>
      </c>
      <c r="AN1959">
        <v>1.0000000024203199</v>
      </c>
    </row>
    <row r="1960" spans="1:40" x14ac:dyDescent="0.25">
      <c r="A1960" t="str">
        <f>"20190303154134346"</f>
        <v>20190303154134346</v>
      </c>
      <c r="B1960" t="str">
        <f>"1551598894341152"</f>
        <v>1551598894341152</v>
      </c>
      <c r="C1960" t="s">
        <v>40</v>
      </c>
      <c r="D1960">
        <v>5.7977299999999996</v>
      </c>
      <c r="E1960">
        <v>0.53005590000000002</v>
      </c>
      <c r="F1960" t="s">
        <v>42</v>
      </c>
      <c r="G1960">
        <v>-191.73060000000001</v>
      </c>
      <c r="H1960">
        <v>1.0374890000000001</v>
      </c>
      <c r="I1960">
        <v>321.20670000000001</v>
      </c>
      <c r="J1960">
        <v>-191.62780000000001</v>
      </c>
      <c r="K1960">
        <v>1.121432</v>
      </c>
      <c r="L1960">
        <v>321.84719999999999</v>
      </c>
      <c r="M1960">
        <v>-9.3265069999999995E-3</v>
      </c>
      <c r="N1960">
        <v>-1.4327319999999999E-2</v>
      </c>
      <c r="O1960">
        <v>-0.99985400000000002</v>
      </c>
      <c r="P1960">
        <v>-4.5771729999999997E-2</v>
      </c>
      <c r="Q1960">
        <v>-8.6877350000000006E-2</v>
      </c>
      <c r="R1960">
        <v>-0.99516729999999998</v>
      </c>
      <c r="S1960">
        <v>-0.37080380000000002</v>
      </c>
      <c r="T1960">
        <v>-0.29959520000000001</v>
      </c>
      <c r="U1960">
        <v>-2.9713750000000001</v>
      </c>
      <c r="V1960">
        <v>3.6517609999999999E-2</v>
      </c>
      <c r="W1960">
        <v>-7.2589630000000002E-2</v>
      </c>
      <c r="X1960">
        <v>0.9966931</v>
      </c>
      <c r="Y1960">
        <v>0.1140255</v>
      </c>
      <c r="Z1960">
        <v>8.5345160000000003E-2</v>
      </c>
      <c r="AA1960">
        <v>0.98980520000000005</v>
      </c>
      <c r="AB1960">
        <v>20</v>
      </c>
      <c r="AC1960">
        <v>-0.102800000000001</v>
      </c>
      <c r="AD1960">
        <v>-8.3943000000000101E-2</v>
      </c>
      <c r="AE1960">
        <v>-0.64049999999997398</v>
      </c>
      <c r="AF1960">
        <v>9.5226717483007997E-2</v>
      </c>
      <c r="AG1960">
        <v>-8.3943000000000101E-2</v>
      </c>
      <c r="AH1960">
        <v>0.63086713647098103</v>
      </c>
      <c r="AI1960">
        <v>97.4953129780735</v>
      </c>
      <c r="AJ1960">
        <v>81.416246270548001</v>
      </c>
      <c r="AK1960">
        <v>0.64351215905426695</v>
      </c>
      <c r="AL1960">
        <v>94.162740819398493</v>
      </c>
      <c r="AM1960">
        <v>87.901691656253405</v>
      </c>
      <c r="AN1960">
        <v>0.99999996290562798</v>
      </c>
    </row>
    <row r="1961" spans="1:40" x14ac:dyDescent="0.25">
      <c r="A1961" t="str">
        <f>"20190303154134367"</f>
        <v>20190303154134367</v>
      </c>
      <c r="B1961" t="str">
        <f>"1551598894361648"</f>
        <v>1551598894361648</v>
      </c>
      <c r="C1961" t="s">
        <v>40</v>
      </c>
      <c r="D1961">
        <v>5.7689050000000002</v>
      </c>
      <c r="E1961">
        <v>0.53064140000000004</v>
      </c>
      <c r="F1961" t="s">
        <v>42</v>
      </c>
      <c r="G1961">
        <v>-191.732</v>
      </c>
      <c r="H1961">
        <v>1.0384679999999999</v>
      </c>
      <c r="I1961">
        <v>321.02659999999997</v>
      </c>
      <c r="J1961">
        <v>-191.6293</v>
      </c>
      <c r="K1961">
        <v>1.121435</v>
      </c>
      <c r="L1961">
        <v>321.64510000000001</v>
      </c>
      <c r="M1961">
        <v>-8.9856629999999996E-3</v>
      </c>
      <c r="N1961">
        <v>-1.4323199999999999E-2</v>
      </c>
      <c r="O1961">
        <v>-0.99985729999999995</v>
      </c>
      <c r="P1961">
        <v>-4.576496E-2</v>
      </c>
      <c r="Q1961">
        <v>-8.6412660000000002E-2</v>
      </c>
      <c r="R1961">
        <v>-0.99520790000000003</v>
      </c>
      <c r="S1961">
        <v>-0.37693789999999999</v>
      </c>
      <c r="T1961">
        <v>-0.30041600000000002</v>
      </c>
      <c r="U1961">
        <v>-2.9710390000000002</v>
      </c>
      <c r="V1961">
        <v>3.6849420000000001E-2</v>
      </c>
      <c r="W1961">
        <v>-7.2128680000000001E-2</v>
      </c>
      <c r="X1961">
        <v>0.9967144</v>
      </c>
      <c r="Y1961">
        <v>0.1163844</v>
      </c>
      <c r="Z1961">
        <v>8.5604760000000002E-2</v>
      </c>
      <c r="AA1961">
        <v>0.98950819999999995</v>
      </c>
      <c r="AB1961">
        <v>20</v>
      </c>
      <c r="AC1961">
        <v>-0.102699999999998</v>
      </c>
      <c r="AD1961">
        <v>-8.2966999999999999E-2</v>
      </c>
      <c r="AE1961">
        <v>-0.61850000000004002</v>
      </c>
      <c r="AF1961">
        <v>9.5465915907525498E-2</v>
      </c>
      <c r="AG1961">
        <v>-8.2966999999999999E-2</v>
      </c>
      <c r="AH1961">
        <v>0.60873812887711798</v>
      </c>
      <c r="AI1961">
        <v>97.668622137315595</v>
      </c>
      <c r="AJ1961">
        <v>81.087132416910805</v>
      </c>
      <c r="AK1961">
        <v>0.62173899164993496</v>
      </c>
      <c r="AL1961">
        <v>94.1362607172276</v>
      </c>
      <c r="AM1961">
        <v>87.882688277600593</v>
      </c>
      <c r="AN1961">
        <v>1.0000000107001099</v>
      </c>
    </row>
    <row r="1962" spans="1:40" x14ac:dyDescent="0.25">
      <c r="A1962" t="str">
        <f>"20190303154134389"</f>
        <v>20190303154134389</v>
      </c>
      <c r="B1962" t="str">
        <f>"1551598894381168"</f>
        <v>1551598894381168</v>
      </c>
      <c r="C1962" t="s">
        <v>40</v>
      </c>
      <c r="D1962">
        <v>5.7297260000000003</v>
      </c>
      <c r="E1962">
        <v>0.53122449999999999</v>
      </c>
      <c r="F1962" t="s">
        <v>42</v>
      </c>
      <c r="G1962">
        <v>-191.7321</v>
      </c>
      <c r="H1962">
        <v>1.0403439999999999</v>
      </c>
      <c r="I1962">
        <v>320.84629999999999</v>
      </c>
      <c r="J1962">
        <v>-191.63069999999999</v>
      </c>
      <c r="K1962">
        <v>1.121434</v>
      </c>
      <c r="L1962">
        <v>321.44760000000002</v>
      </c>
      <c r="M1962">
        <v>-8.6527710000000001E-3</v>
      </c>
      <c r="N1962">
        <v>-1.431906E-2</v>
      </c>
      <c r="O1962">
        <v>-0.99986019999999998</v>
      </c>
      <c r="P1962">
        <v>-4.5932359999999998E-2</v>
      </c>
      <c r="Q1962">
        <v>-8.6260249999999997E-2</v>
      </c>
      <c r="R1962">
        <v>-0.99521340000000003</v>
      </c>
      <c r="S1962">
        <v>-0.381546</v>
      </c>
      <c r="T1962">
        <v>-0.30182579999999998</v>
      </c>
      <c r="U1962">
        <v>-2.9706730000000001</v>
      </c>
      <c r="V1962">
        <v>3.7347959999999999E-2</v>
      </c>
      <c r="W1962">
        <v>-7.1980420000000003E-2</v>
      </c>
      <c r="X1962">
        <v>0.99670650000000005</v>
      </c>
      <c r="Y1962">
        <v>0.1182334</v>
      </c>
      <c r="Z1962">
        <v>8.6065059999999999E-2</v>
      </c>
      <c r="AA1962">
        <v>0.98924909999999999</v>
      </c>
      <c r="AB1962">
        <v>20</v>
      </c>
      <c r="AC1962">
        <v>-0.10140000000001199</v>
      </c>
      <c r="AD1962">
        <v>-8.1089999999999801E-2</v>
      </c>
      <c r="AE1962">
        <v>-0.60130000000003703</v>
      </c>
      <c r="AF1962">
        <v>9.4521269414021405E-2</v>
      </c>
      <c r="AG1962">
        <v>-8.1089999999999801E-2</v>
      </c>
      <c r="AH1962">
        <v>0.59169164214692005</v>
      </c>
      <c r="AI1962">
        <v>97.707119084460501</v>
      </c>
      <c r="AJ1962">
        <v>80.923828871644304</v>
      </c>
      <c r="AK1962">
        <v>0.60465598306653401</v>
      </c>
      <c r="AL1962">
        <v>94.127744162106197</v>
      </c>
      <c r="AM1962">
        <v>87.854052535736201</v>
      </c>
      <c r="AN1962">
        <v>0.99999994906089196</v>
      </c>
    </row>
    <row r="1963" spans="1:40" x14ac:dyDescent="0.25">
      <c r="A1963" t="str">
        <f>"20190303154134413"</f>
        <v>20190303154134413</v>
      </c>
      <c r="B1963" t="str">
        <f>"1551598894401667"</f>
        <v>1551598894401667</v>
      </c>
      <c r="C1963" t="s">
        <v>40</v>
      </c>
      <c r="D1963">
        <v>5.6959730000000004</v>
      </c>
      <c r="E1963">
        <v>0.53176269999999903</v>
      </c>
      <c r="F1963" t="s">
        <v>42</v>
      </c>
      <c r="G1963">
        <v>-191.73259999999999</v>
      </c>
      <c r="H1963">
        <v>1.042338</v>
      </c>
      <c r="I1963">
        <v>320.66640000000001</v>
      </c>
      <c r="J1963">
        <v>-191.63200000000001</v>
      </c>
      <c r="K1963">
        <v>1.1214309999999901</v>
      </c>
      <c r="L1963">
        <v>321.2423</v>
      </c>
      <c r="M1963">
        <v>-8.3064130000000003E-3</v>
      </c>
      <c r="N1963">
        <v>-1.431468E-2</v>
      </c>
      <c r="O1963">
        <v>-0.99986330000000001</v>
      </c>
      <c r="P1963">
        <v>-4.6083979999999997E-2</v>
      </c>
      <c r="Q1963">
        <v>-8.6431279999999999E-2</v>
      </c>
      <c r="R1963">
        <v>-0.99519159999999995</v>
      </c>
      <c r="S1963">
        <v>-0.38674930000000002</v>
      </c>
      <c r="T1963">
        <v>-0.30103350000000001</v>
      </c>
      <c r="U1963">
        <v>-2.97052</v>
      </c>
      <c r="V1963">
        <v>3.7844530000000001E-2</v>
      </c>
      <c r="W1963">
        <v>-7.2156159999999997E-2</v>
      </c>
      <c r="X1963">
        <v>0.99667510000000004</v>
      </c>
      <c r="Y1963">
        <v>0.12028949999999999</v>
      </c>
      <c r="Z1963">
        <v>8.5790199999999997E-2</v>
      </c>
      <c r="AA1963">
        <v>0.98902500000000004</v>
      </c>
      <c r="AB1963">
        <v>20</v>
      </c>
      <c r="AC1963">
        <v>-0.10059999999998499</v>
      </c>
      <c r="AD1963">
        <v>-7.9092999999999802E-2</v>
      </c>
      <c r="AE1963">
        <v>-0.57589999999998998</v>
      </c>
      <c r="AF1963">
        <v>9.4090220677024702E-2</v>
      </c>
      <c r="AG1963">
        <v>-7.9092999999999802E-2</v>
      </c>
      <c r="AH1963">
        <v>0.56634980247161604</v>
      </c>
      <c r="AI1963">
        <v>97.844017069305195</v>
      </c>
      <c r="AJ1963">
        <v>80.567349201479004</v>
      </c>
      <c r="AK1963">
        <v>0.57953496101243995</v>
      </c>
      <c r="AL1963">
        <v>94.137839415032303</v>
      </c>
      <c r="AM1963">
        <v>87.825479274710503</v>
      </c>
      <c r="AN1963">
        <v>0.99999998741843799</v>
      </c>
    </row>
    <row r="1964" spans="1:40" x14ac:dyDescent="0.25">
      <c r="A1964" t="str">
        <f>"20190303154134433"</f>
        <v>20190303154134433</v>
      </c>
      <c r="B1964" t="str">
        <f>"1551598894430944"</f>
        <v>1551598894430944</v>
      </c>
      <c r="C1964" t="s">
        <v>40</v>
      </c>
      <c r="D1964">
        <v>5.6354129999999998</v>
      </c>
      <c r="E1964">
        <v>0.53240469999999995</v>
      </c>
      <c r="F1964" t="s">
        <v>42</v>
      </c>
      <c r="G1964">
        <v>-191.732</v>
      </c>
      <c r="H1964">
        <v>1.044719</v>
      </c>
      <c r="I1964">
        <v>320.48590000000002</v>
      </c>
      <c r="J1964">
        <v>-191.63319999999999</v>
      </c>
      <c r="K1964">
        <v>1.121429</v>
      </c>
      <c r="L1964">
        <v>321.05560000000003</v>
      </c>
      <c r="M1964">
        <v>-7.9910620000000002E-3</v>
      </c>
      <c r="N1964">
        <v>-1.43106E-2</v>
      </c>
      <c r="O1964">
        <v>-0.99986589999999997</v>
      </c>
      <c r="P1964">
        <v>-4.6225929999999998E-2</v>
      </c>
      <c r="Q1964">
        <v>-8.6597830000000001E-2</v>
      </c>
      <c r="R1964">
        <v>-0.99517060000000002</v>
      </c>
      <c r="S1964">
        <v>-0.39146419999999998</v>
      </c>
      <c r="T1964">
        <v>-0.30153619999999998</v>
      </c>
      <c r="U1964">
        <v>-2.9701840000000002</v>
      </c>
      <c r="V1964">
        <v>3.8300540000000001E-2</v>
      </c>
      <c r="W1964">
        <v>-7.2327089999999997E-2</v>
      </c>
      <c r="X1964">
        <v>0.99664529999999996</v>
      </c>
      <c r="Y1964">
        <v>0.12215669999999999</v>
      </c>
      <c r="Z1964">
        <v>8.5949499999999998E-2</v>
      </c>
      <c r="AA1964">
        <v>0.9887823</v>
      </c>
      <c r="AB1964">
        <v>20</v>
      </c>
      <c r="AC1964">
        <v>-9.8800000000011295E-2</v>
      </c>
      <c r="AD1964">
        <v>-7.671E-2</v>
      </c>
      <c r="AE1964">
        <v>-0.56970000000001098</v>
      </c>
      <c r="AF1964">
        <v>9.26137585158303E-2</v>
      </c>
      <c r="AG1964">
        <v>-7.671E-2</v>
      </c>
      <c r="AH1964">
        <v>0.56060410037136998</v>
      </c>
      <c r="AI1964">
        <v>97.688709270581995</v>
      </c>
      <c r="AJ1964">
        <v>80.619264702997597</v>
      </c>
      <c r="AK1964">
        <v>0.57335738394096003</v>
      </c>
      <c r="AL1964">
        <v>94.147658600411006</v>
      </c>
      <c r="AM1964">
        <v>87.7992371257331</v>
      </c>
      <c r="AN1964">
        <v>0.99999999666212502</v>
      </c>
    </row>
    <row r="1965" spans="1:40" x14ac:dyDescent="0.25">
      <c r="A1965" t="str">
        <f>"20190303154134457"</f>
        <v>20190303154134457</v>
      </c>
      <c r="B1965" t="str">
        <f>"1551598894451439"</f>
        <v>1551598894451439</v>
      </c>
      <c r="C1965" t="s">
        <v>40</v>
      </c>
      <c r="D1965">
        <v>5.6525499999999997</v>
      </c>
      <c r="E1965">
        <v>0.53250450000000005</v>
      </c>
      <c r="F1965" t="s">
        <v>42</v>
      </c>
      <c r="G1965">
        <v>-191.73339999999999</v>
      </c>
      <c r="H1965">
        <v>1.0450569999999999</v>
      </c>
      <c r="I1965">
        <v>320.3073</v>
      </c>
      <c r="J1965">
        <v>-191.6344</v>
      </c>
      <c r="K1965">
        <v>1.1214230000000001</v>
      </c>
      <c r="L1965">
        <v>320.84910000000002</v>
      </c>
      <c r="M1965">
        <v>-7.6420519999999999E-3</v>
      </c>
      <c r="N1965">
        <v>-1.4306019999999999E-2</v>
      </c>
      <c r="O1965">
        <v>-0.9998688</v>
      </c>
      <c r="P1965">
        <v>-4.6143709999999998E-2</v>
      </c>
      <c r="Q1965">
        <v>-8.6791370000000007E-2</v>
      </c>
      <c r="R1965">
        <v>-0.99515770000000003</v>
      </c>
      <c r="S1965">
        <v>-0.39695740000000002</v>
      </c>
      <c r="T1965">
        <v>-0.30333090000000001</v>
      </c>
      <c r="U1965">
        <v>-2.9697269999999998</v>
      </c>
      <c r="V1965">
        <v>3.856586E-2</v>
      </c>
      <c r="W1965">
        <v>-7.2525530000000005E-2</v>
      </c>
      <c r="X1965">
        <v>0.99662070000000003</v>
      </c>
      <c r="Y1965">
        <v>0.1243109</v>
      </c>
      <c r="Z1965">
        <v>8.6534929999999996E-2</v>
      </c>
      <c r="AA1965">
        <v>0.98846270000000003</v>
      </c>
      <c r="AB1965">
        <v>20</v>
      </c>
      <c r="AC1965">
        <v>-9.8999999999989499E-2</v>
      </c>
      <c r="AD1965">
        <v>-7.63660000000001E-2</v>
      </c>
      <c r="AE1965">
        <v>-0.54180000000002304</v>
      </c>
      <c r="AF1965">
        <v>9.3067040434497095E-2</v>
      </c>
      <c r="AG1965">
        <v>-7.63660000000001E-2</v>
      </c>
      <c r="AH1965">
        <v>0.53230738891459795</v>
      </c>
      <c r="AI1965">
        <v>98.043692983542101</v>
      </c>
      <c r="AJ1965">
        <v>80.082815033872706</v>
      </c>
      <c r="AK1965">
        <v>0.54575122195402703</v>
      </c>
      <c r="AL1965">
        <v>94.159058095773005</v>
      </c>
      <c r="AM1965">
        <v>87.783952245459702</v>
      </c>
      <c r="AN1965">
        <v>1.0000000488639</v>
      </c>
    </row>
    <row r="1966" spans="1:40" x14ac:dyDescent="0.25">
      <c r="A1966" t="str">
        <f>"20190303154134481"</f>
        <v>20190303154134481</v>
      </c>
      <c r="B1966" t="str">
        <f>"1551598894471127"</f>
        <v>1551598894471127</v>
      </c>
      <c r="C1966" t="s">
        <v>40</v>
      </c>
      <c r="D1966">
        <v>5.5991049999999998</v>
      </c>
      <c r="E1966">
        <v>0.53275059999999996</v>
      </c>
      <c r="F1966" t="s">
        <v>42</v>
      </c>
      <c r="G1966">
        <v>-191.75360000000001</v>
      </c>
      <c r="H1966">
        <v>1.029663</v>
      </c>
      <c r="I1966">
        <v>319.96039999999999</v>
      </c>
      <c r="J1966">
        <v>-191.63560000000001</v>
      </c>
      <c r="K1966">
        <v>1.1214219999999999</v>
      </c>
      <c r="L1966">
        <v>320.63080000000002</v>
      </c>
      <c r="M1966">
        <v>-7.2726680000000004E-3</v>
      </c>
      <c r="N1966">
        <v>-1.430091E-2</v>
      </c>
      <c r="O1966">
        <v>-0.99987139999999997</v>
      </c>
      <c r="P1966">
        <v>-4.6279639999999997E-2</v>
      </c>
      <c r="Q1966">
        <v>-8.5840340000000001E-2</v>
      </c>
      <c r="R1966">
        <v>-0.99523329999999999</v>
      </c>
      <c r="S1966">
        <v>-0.3976288</v>
      </c>
      <c r="T1966">
        <v>-0.30673240000000002</v>
      </c>
      <c r="U1966">
        <v>-2.9694210000000001</v>
      </c>
      <c r="V1966">
        <v>3.9068470000000001E-2</v>
      </c>
      <c r="W1966">
        <v>-7.1578660000000002E-2</v>
      </c>
      <c r="X1966">
        <v>0.99666949999999999</v>
      </c>
      <c r="Y1966">
        <v>0.1248958</v>
      </c>
      <c r="Z1966">
        <v>8.7664939999999997E-2</v>
      </c>
      <c r="AA1966">
        <v>0.98828939999999998</v>
      </c>
      <c r="AB1966">
        <v>20</v>
      </c>
      <c r="AC1966">
        <v>-0.117999999999994</v>
      </c>
      <c r="AD1966">
        <v>-9.1758999999999896E-2</v>
      </c>
      <c r="AE1966">
        <v>-0.67040000000002897</v>
      </c>
      <c r="AF1966">
        <v>0.111101951241105</v>
      </c>
      <c r="AG1966">
        <v>-9.1758999999999896E-2</v>
      </c>
      <c r="AH1966">
        <v>0.659261100698736</v>
      </c>
      <c r="AI1966">
        <v>97.814976890312806</v>
      </c>
      <c r="AJ1966">
        <v>80.434114327405695</v>
      </c>
      <c r="AK1966">
        <v>0.67482483397181703</v>
      </c>
      <c r="AL1966">
        <v>94.104665386925404</v>
      </c>
      <c r="AM1966">
        <v>87.755210741557903</v>
      </c>
      <c r="AN1966">
        <v>0.99999997107289196</v>
      </c>
    </row>
    <row r="1967" spans="1:40" x14ac:dyDescent="0.25">
      <c r="A1967" t="str">
        <f>"20190303154134504"</f>
        <v>20190303154134504</v>
      </c>
      <c r="B1967" t="str">
        <f>"1551598894491623"</f>
        <v>1551598894491623</v>
      </c>
      <c r="C1967" t="s">
        <v>40</v>
      </c>
      <c r="D1967">
        <v>5.620158</v>
      </c>
      <c r="E1967">
        <v>0.53277779999999997</v>
      </c>
      <c r="F1967" t="s">
        <v>42</v>
      </c>
      <c r="G1967">
        <v>-191.75020000000001</v>
      </c>
      <c r="H1967">
        <v>1.0339739999999999</v>
      </c>
      <c r="I1967">
        <v>319.78109999999998</v>
      </c>
      <c r="J1967">
        <v>-191.63659999999999</v>
      </c>
      <c r="K1967">
        <v>1.1214309999999901</v>
      </c>
      <c r="L1967">
        <v>320.43880000000001</v>
      </c>
      <c r="M1967">
        <v>-6.947534E-3</v>
      </c>
      <c r="N1967">
        <v>-1.429647E-2</v>
      </c>
      <c r="O1967">
        <v>-0.99987380000000003</v>
      </c>
      <c r="P1967">
        <v>-4.6499159999999998E-2</v>
      </c>
      <c r="Q1967">
        <v>-8.4767889999999999E-2</v>
      </c>
      <c r="R1967">
        <v>-0.99531530000000001</v>
      </c>
      <c r="S1967">
        <v>-0.3998871</v>
      </c>
      <c r="T1967">
        <v>-0.30579709999999899</v>
      </c>
      <c r="U1967">
        <v>-2.9694210000000001</v>
      </c>
      <c r="V1967">
        <v>3.9610600000000003E-2</v>
      </c>
      <c r="W1967">
        <v>-7.0509600000000006E-2</v>
      </c>
      <c r="X1967">
        <v>0.99672430000000001</v>
      </c>
      <c r="Y1967">
        <v>0.12595970000000001</v>
      </c>
      <c r="Z1967">
        <v>8.7349609999999994E-2</v>
      </c>
      <c r="AA1967">
        <v>0.98818220000000001</v>
      </c>
      <c r="AB1967">
        <v>20</v>
      </c>
      <c r="AC1967">
        <v>-0.11360000000001901</v>
      </c>
      <c r="AD1967">
        <v>-8.7456999999999896E-2</v>
      </c>
      <c r="AE1967">
        <v>-0.65770000000003304</v>
      </c>
      <c r="AF1967">
        <v>0.107187013116751</v>
      </c>
      <c r="AG1967">
        <v>-8.7456999999999896E-2</v>
      </c>
      <c r="AH1967">
        <v>0.64735839626450897</v>
      </c>
      <c r="AI1967">
        <v>97.591844272327805</v>
      </c>
      <c r="AJ1967">
        <v>80.598490247096606</v>
      </c>
      <c r="AK1967">
        <v>0.66197483021943404</v>
      </c>
      <c r="AL1967">
        <v>94.043257606700294</v>
      </c>
      <c r="AM1967">
        <v>87.724218661606898</v>
      </c>
      <c r="AN1967">
        <v>0.99999996676750402</v>
      </c>
    </row>
    <row r="1968" spans="1:40" x14ac:dyDescent="0.25">
      <c r="A1968" t="str">
        <f>"20190303154134524"</f>
        <v>20190303154134524</v>
      </c>
      <c r="B1968" t="str">
        <f>"1551598894520903"</f>
        <v>1551598894520903</v>
      </c>
      <c r="C1968" t="s">
        <v>40</v>
      </c>
      <c r="D1968">
        <v>5.5027910000000002</v>
      </c>
      <c r="E1968">
        <v>0.53279169999999998</v>
      </c>
      <c r="F1968" t="s">
        <v>42</v>
      </c>
      <c r="G1968">
        <v>-191.74940000000001</v>
      </c>
      <c r="H1968">
        <v>1.0355650000000001</v>
      </c>
      <c r="I1968">
        <v>319.6035</v>
      </c>
      <c r="J1968">
        <v>-191.63749999999999</v>
      </c>
      <c r="K1968">
        <v>1.1214440000000001</v>
      </c>
      <c r="L1968">
        <v>320.25229999999999</v>
      </c>
      <c r="M1968">
        <v>-6.6317499999999996E-3</v>
      </c>
      <c r="N1968">
        <v>-1.4292279999999999E-2</v>
      </c>
      <c r="O1968">
        <v>-0.99987610000000005</v>
      </c>
      <c r="P1968">
        <v>-4.657066E-2</v>
      </c>
      <c r="Q1968">
        <v>-8.3499329999999997E-2</v>
      </c>
      <c r="R1968">
        <v>-0.99541930000000001</v>
      </c>
      <c r="S1968">
        <v>-0.40074159999999998</v>
      </c>
      <c r="T1968">
        <v>-0.30533500000000002</v>
      </c>
      <c r="U1968">
        <v>-2.9693909999999999</v>
      </c>
      <c r="V1968">
        <v>3.999523E-2</v>
      </c>
      <c r="W1968">
        <v>-6.9243929999999995E-2</v>
      </c>
      <c r="X1968">
        <v>0.99679770000000001</v>
      </c>
      <c r="Y1968">
        <v>0.1265551</v>
      </c>
      <c r="Z1968">
        <v>8.7196960000000004E-2</v>
      </c>
      <c r="AA1968">
        <v>0.98811970000000005</v>
      </c>
      <c r="AB1968">
        <v>20</v>
      </c>
      <c r="AC1968">
        <v>-0.111900000000019</v>
      </c>
      <c r="AD1968">
        <v>-8.5878999999999997E-2</v>
      </c>
      <c r="AE1968">
        <v>-0.64879999999999405</v>
      </c>
      <c r="AF1968">
        <v>0.105794371408325</v>
      </c>
      <c r="AG1968">
        <v>-8.5878999999999997E-2</v>
      </c>
      <c r="AH1968">
        <v>0.63866132792867203</v>
      </c>
      <c r="AI1968">
        <v>97.556702655891698</v>
      </c>
      <c r="AJ1968">
        <v>80.594352793895396</v>
      </c>
      <c r="AK1968">
        <v>0.65303594346276095</v>
      </c>
      <c r="AL1968">
        <v>93.9705622338968</v>
      </c>
      <c r="AM1968">
        <v>87.702312786174502</v>
      </c>
      <c r="AN1968">
        <v>0.99999999749494395</v>
      </c>
    </row>
    <row r="1969" spans="1:40" x14ac:dyDescent="0.25">
      <c r="A1969" t="str">
        <f>"20190303154134547"</f>
        <v>20190303154134547</v>
      </c>
      <c r="B1969" t="str">
        <f>"1551598894541400"</f>
        <v>1551598894541400</v>
      </c>
      <c r="C1969" t="s">
        <v>40</v>
      </c>
      <c r="D1969">
        <v>5.4945789999999999</v>
      </c>
      <c r="E1969">
        <v>0.5328714</v>
      </c>
      <c r="F1969" t="s">
        <v>42</v>
      </c>
      <c r="G1969">
        <v>-191.7492</v>
      </c>
      <c r="H1969">
        <v>1.036699</v>
      </c>
      <c r="I1969">
        <v>319.42649999999998</v>
      </c>
      <c r="J1969">
        <v>-191.63839999999999</v>
      </c>
      <c r="K1969">
        <v>1.121448</v>
      </c>
      <c r="L1969">
        <v>320.05810000000002</v>
      </c>
      <c r="M1969">
        <v>-6.3039990000000002E-3</v>
      </c>
      <c r="N1969">
        <v>-1.4287970000000001E-2</v>
      </c>
      <c r="O1969">
        <v>-0.99987800000000004</v>
      </c>
      <c r="P1969">
        <v>-4.6262959999999999E-2</v>
      </c>
      <c r="Q1969">
        <v>-8.3236649999999995E-2</v>
      </c>
      <c r="R1969">
        <v>-0.99545530000000004</v>
      </c>
      <c r="S1969">
        <v>-0.40110780000000001</v>
      </c>
      <c r="T1969">
        <v>-0.30486439999999998</v>
      </c>
      <c r="U1969">
        <v>-2.9694820000000002</v>
      </c>
      <c r="V1969">
        <v>4.0013390000000003E-2</v>
      </c>
      <c r="W1969">
        <v>-6.8985389999999994E-2</v>
      </c>
      <c r="X1969">
        <v>0.99681489999999995</v>
      </c>
      <c r="Y1969">
        <v>0.12699750000000001</v>
      </c>
      <c r="Z1969">
        <v>8.7039580000000005E-2</v>
      </c>
      <c r="AA1969">
        <v>0.98807679999999998</v>
      </c>
      <c r="AB1969">
        <v>20</v>
      </c>
      <c r="AC1969">
        <v>-0.110800000000011</v>
      </c>
      <c r="AD1969">
        <v>-8.4748999999999894E-2</v>
      </c>
      <c r="AE1969">
        <v>-0.63160000000004801</v>
      </c>
      <c r="AF1969">
        <v>0.10498205210696999</v>
      </c>
      <c r="AG1969">
        <v>-8.4748999999999894E-2</v>
      </c>
      <c r="AH1969">
        <v>0.62143138945556098</v>
      </c>
      <c r="AI1969">
        <v>97.658718979274497</v>
      </c>
      <c r="AJ1969">
        <v>80.411222724489903</v>
      </c>
      <c r="AK1969">
        <v>0.635909267164946</v>
      </c>
      <c r="AL1969">
        <v>93.955713465015094</v>
      </c>
      <c r="AM1969">
        <v>87.701310252621695</v>
      </c>
      <c r="AN1969">
        <v>1.0000000001373699</v>
      </c>
    </row>
    <row r="1970" spans="1:40" x14ac:dyDescent="0.25">
      <c r="A1970" t="str">
        <f>"20190303154134567"</f>
        <v>20190303154134567</v>
      </c>
      <c r="B1970" t="str">
        <f>"1551598894560919"</f>
        <v>1551598894560919</v>
      </c>
      <c r="C1970" t="s">
        <v>40</v>
      </c>
      <c r="D1970">
        <v>5.4516900000000001</v>
      </c>
      <c r="E1970">
        <v>0.53292169999999905</v>
      </c>
      <c r="F1970" t="s">
        <v>42</v>
      </c>
      <c r="G1970">
        <v>-191.74760000000001</v>
      </c>
      <c r="H1970">
        <v>1.0384249999999999</v>
      </c>
      <c r="I1970">
        <v>319.24950000000001</v>
      </c>
      <c r="J1970">
        <v>-191.63919999999999</v>
      </c>
      <c r="K1970">
        <v>1.1214500000000001</v>
      </c>
      <c r="L1970">
        <v>319.86750000000001</v>
      </c>
      <c r="M1970">
        <v>-5.9875479999999997E-3</v>
      </c>
      <c r="N1970">
        <v>-1.428367E-2</v>
      </c>
      <c r="O1970">
        <v>-0.9998802</v>
      </c>
      <c r="P1970">
        <v>-4.6205969999999999E-2</v>
      </c>
      <c r="Q1970">
        <v>-8.2234639999999998E-2</v>
      </c>
      <c r="R1970">
        <v>-0.99554160000000003</v>
      </c>
      <c r="S1970">
        <v>-0.40086359999999999</v>
      </c>
      <c r="T1970">
        <v>-0.30494310000000002</v>
      </c>
      <c r="U1970">
        <v>-2.9695740000000002</v>
      </c>
      <c r="V1970">
        <v>4.0270029999999998E-2</v>
      </c>
      <c r="W1970">
        <v>-6.7986969999999994E-2</v>
      </c>
      <c r="X1970">
        <v>0.99687309999999996</v>
      </c>
      <c r="Y1970">
        <v>0.12722710000000001</v>
      </c>
      <c r="Z1970">
        <v>8.7065729999999994E-2</v>
      </c>
      <c r="AA1970">
        <v>0.98804499999999995</v>
      </c>
      <c r="AB1970">
        <v>20</v>
      </c>
      <c r="AC1970">
        <v>-0.108400000000017</v>
      </c>
      <c r="AD1970">
        <v>-8.3025000000000099E-2</v>
      </c>
      <c r="AE1970">
        <v>-0.617999999999995</v>
      </c>
      <c r="AF1970">
        <v>0.102895694960163</v>
      </c>
      <c r="AG1970">
        <v>-8.3025000000000099E-2</v>
      </c>
      <c r="AH1970">
        <v>0.607992232524319</v>
      </c>
      <c r="AI1970">
        <v>97.668271397772003</v>
      </c>
      <c r="AJ1970">
        <v>80.394365098402403</v>
      </c>
      <c r="AK1970">
        <v>0.62220192018045095</v>
      </c>
      <c r="AL1970">
        <v>93.898373813132693</v>
      </c>
      <c r="AM1970">
        <v>87.686717678868504</v>
      </c>
      <c r="AN1970">
        <v>0.99999994045479401</v>
      </c>
    </row>
    <row r="1971" spans="1:40" x14ac:dyDescent="0.25">
      <c r="A1971" t="str">
        <f>"20190303154134592"</f>
        <v>20190303154134592</v>
      </c>
      <c r="B1971" t="str">
        <f>"1551598894581415"</f>
        <v>1551598894581415</v>
      </c>
      <c r="C1971" t="s">
        <v>40</v>
      </c>
      <c r="D1971">
        <v>5.4103620000000001</v>
      </c>
      <c r="E1971">
        <v>0.53296519999999903</v>
      </c>
      <c r="F1971" t="s">
        <v>42</v>
      </c>
      <c r="G1971">
        <v>-191.7467</v>
      </c>
      <c r="H1971">
        <v>1.0403260000000001</v>
      </c>
      <c r="I1971">
        <v>319.07279999999997</v>
      </c>
      <c r="J1971">
        <v>-191.64009999999999</v>
      </c>
      <c r="K1971">
        <v>1.1214409999999999</v>
      </c>
      <c r="L1971">
        <v>319.66180000000003</v>
      </c>
      <c r="M1971">
        <v>-5.6587599999999997E-3</v>
      </c>
      <c r="N1971">
        <v>-1.427895E-2</v>
      </c>
      <c r="O1971">
        <v>-0.99988200000000005</v>
      </c>
      <c r="P1971">
        <v>-4.5745750000000002E-2</v>
      </c>
      <c r="Q1971">
        <v>-8.053159E-2</v>
      </c>
      <c r="R1971">
        <v>-0.99570179999999997</v>
      </c>
      <c r="S1971">
        <v>-0.40101619999999999</v>
      </c>
      <c r="T1971">
        <v>-0.30333909999999997</v>
      </c>
      <c r="U1971">
        <v>-2.9697879999999999</v>
      </c>
      <c r="V1971">
        <v>4.0134400000000001E-2</v>
      </c>
      <c r="W1971">
        <v>-6.6287579999999999E-2</v>
      </c>
      <c r="X1971">
        <v>0.99699309999999997</v>
      </c>
      <c r="Y1971">
        <v>0.12760009999999999</v>
      </c>
      <c r="Z1971">
        <v>8.653255E-2</v>
      </c>
      <c r="AA1971">
        <v>0.98804369999999997</v>
      </c>
      <c r="AB1971">
        <v>20</v>
      </c>
      <c r="AC1971">
        <v>-0.106600000000014</v>
      </c>
      <c r="AD1971">
        <v>-8.1114999999999798E-2</v>
      </c>
      <c r="AE1971">
        <v>-0.58900000000005504</v>
      </c>
      <c r="AF1971">
        <v>0.10140275325084901</v>
      </c>
      <c r="AG1971">
        <v>-8.1114999999999798E-2</v>
      </c>
      <c r="AH1971">
        <v>0.57896163101585596</v>
      </c>
      <c r="AI1971">
        <v>97.857391089975707</v>
      </c>
      <c r="AJ1971">
        <v>80.065643898333704</v>
      </c>
      <c r="AK1971">
        <v>0.59334537310102298</v>
      </c>
      <c r="AL1971">
        <v>93.800785406428801</v>
      </c>
      <c r="AM1971">
        <v>87.6947776181905</v>
      </c>
      <c r="AN1971">
        <v>1.0000000273866101</v>
      </c>
    </row>
    <row r="1972" spans="1:40" x14ac:dyDescent="0.25">
      <c r="A1972" t="str">
        <f>"20190303154134614"</f>
        <v>20190303154134614</v>
      </c>
      <c r="B1972" t="str">
        <f>"1551598894611671"</f>
        <v>1551598894611671</v>
      </c>
      <c r="C1972" t="s">
        <v>40</v>
      </c>
      <c r="D1972">
        <v>5.290222</v>
      </c>
      <c r="E1972">
        <v>0.53287600000000002</v>
      </c>
      <c r="F1972" t="s">
        <v>42</v>
      </c>
      <c r="G1972">
        <v>-191.74340000000001</v>
      </c>
      <c r="H1972">
        <v>1.0441579999999999</v>
      </c>
      <c r="I1972">
        <v>318.89479999999998</v>
      </c>
      <c r="J1972">
        <v>-191.64080000000001</v>
      </c>
      <c r="K1972">
        <v>1.12144</v>
      </c>
      <c r="L1972">
        <v>319.46480000000003</v>
      </c>
      <c r="M1972">
        <v>-5.3649530000000004E-3</v>
      </c>
      <c r="N1972">
        <v>-1.427438E-2</v>
      </c>
      <c r="O1972">
        <v>-0.99988390000000005</v>
      </c>
      <c r="P1972">
        <v>-4.4809960000000003E-2</v>
      </c>
      <c r="Q1972">
        <v>-7.8489149999999994E-2</v>
      </c>
      <c r="R1972">
        <v>-0.99590749999999995</v>
      </c>
      <c r="S1972">
        <v>-0.4000244</v>
      </c>
      <c r="T1972">
        <v>-0.2993459</v>
      </c>
      <c r="U1972">
        <v>-2.970367</v>
      </c>
      <c r="V1972">
        <v>3.9487199999999903E-2</v>
      </c>
      <c r="W1972">
        <v>-6.4248819999999998E-2</v>
      </c>
      <c r="X1972">
        <v>0.99715240000000005</v>
      </c>
      <c r="Y1972">
        <v>0.12755849999999999</v>
      </c>
      <c r="Z1972">
        <v>8.5205760000000005E-2</v>
      </c>
      <c r="AA1972">
        <v>0.98816440000000005</v>
      </c>
      <c r="AB1972">
        <v>20</v>
      </c>
      <c r="AC1972">
        <v>-0.102599999999995</v>
      </c>
      <c r="AD1972">
        <v>-7.7282000000000003E-2</v>
      </c>
      <c r="AE1972">
        <v>-0.57000000000005002</v>
      </c>
      <c r="AF1972">
        <v>9.7798812765462206E-2</v>
      </c>
      <c r="AG1972">
        <v>-7.7282000000000003E-2</v>
      </c>
      <c r="AH1972">
        <v>0.56056111357518401</v>
      </c>
      <c r="AI1972">
        <v>97.734243930811502</v>
      </c>
      <c r="AJ1972">
        <v>80.103448184339499</v>
      </c>
      <c r="AK1972">
        <v>0.57425245089157795</v>
      </c>
      <c r="AL1972">
        <v>93.683723433991204</v>
      </c>
      <c r="AM1972">
        <v>87.732274032981707</v>
      </c>
      <c r="AN1972">
        <v>1.00000002933049</v>
      </c>
    </row>
    <row r="1973" spans="1:40" x14ac:dyDescent="0.25">
      <c r="A1973" t="str">
        <f>"20190303154134635"</f>
        <v>20190303154134635</v>
      </c>
      <c r="B1973" t="str">
        <f>"1551598894631192"</f>
        <v>1551598894631192</v>
      </c>
      <c r="C1973" t="s">
        <v>40</v>
      </c>
      <c r="D1973">
        <v>5.363105</v>
      </c>
      <c r="E1973">
        <v>0.53280059999999996</v>
      </c>
      <c r="F1973" t="s">
        <v>42</v>
      </c>
      <c r="G1973">
        <v>-191.74090000000001</v>
      </c>
      <c r="H1973">
        <v>1.0472939999999999</v>
      </c>
      <c r="I1973">
        <v>318.71690000000001</v>
      </c>
      <c r="J1973">
        <v>-191.6414</v>
      </c>
      <c r="K1973">
        <v>1.121418</v>
      </c>
      <c r="L1973">
        <v>319.27960000000002</v>
      </c>
      <c r="M1973">
        <v>-5.1169830000000003E-3</v>
      </c>
      <c r="N1973">
        <v>-1.427E-2</v>
      </c>
      <c r="O1973">
        <v>-0.99988540000000004</v>
      </c>
      <c r="P1973">
        <v>-4.3648480000000003E-2</v>
      </c>
      <c r="Q1973">
        <v>-7.8352370000000005E-2</v>
      </c>
      <c r="R1973">
        <v>-0.99597009999999997</v>
      </c>
      <c r="S1973">
        <v>-0.39675899999999997</v>
      </c>
      <c r="T1973">
        <v>-0.294722599999999</v>
      </c>
      <c r="U1973">
        <v>-2.9712830000000001</v>
      </c>
      <c r="V1973">
        <v>3.8569190000000003E-2</v>
      </c>
      <c r="W1973">
        <v>-6.4117980000000005E-2</v>
      </c>
      <c r="X1973">
        <v>0.99719669999999905</v>
      </c>
      <c r="Y1973">
        <v>0.12671669999999999</v>
      </c>
      <c r="Z1973">
        <v>8.3670259999999996E-2</v>
      </c>
      <c r="AA1973">
        <v>0.9884039</v>
      </c>
      <c r="AB1973">
        <v>20</v>
      </c>
      <c r="AC1973">
        <v>-9.9500000000006097E-2</v>
      </c>
      <c r="AD1973">
        <v>-7.4123999999999995E-2</v>
      </c>
      <c r="AE1973">
        <v>-0.56270000000000597</v>
      </c>
      <c r="AF1973">
        <v>9.5020225177396306E-2</v>
      </c>
      <c r="AG1973">
        <v>-7.4123999999999995E-2</v>
      </c>
      <c r="AH1973">
        <v>0.55388195493501802</v>
      </c>
      <c r="AI1973">
        <v>97.513910049087499</v>
      </c>
      <c r="AJ1973">
        <v>80.265484419156806</v>
      </c>
      <c r="AK1973">
        <v>0.566840745334525</v>
      </c>
      <c r="AL1973">
        <v>93.676211553899407</v>
      </c>
      <c r="AM1973">
        <v>87.785039956668498</v>
      </c>
      <c r="AN1973">
        <v>0.999999978133712</v>
      </c>
    </row>
    <row r="1974" spans="1:40" x14ac:dyDescent="0.25">
      <c r="A1974" t="str">
        <f>"20190303154134657"</f>
        <v>20190303154134657</v>
      </c>
      <c r="B1974" t="str">
        <f>"1551598894651687"</f>
        <v>1551598894651687</v>
      </c>
      <c r="C1974" t="s">
        <v>40</v>
      </c>
      <c r="D1974">
        <v>5.2574449999999997</v>
      </c>
      <c r="E1974">
        <v>0.53263380000000005</v>
      </c>
      <c r="F1974" t="s">
        <v>42</v>
      </c>
      <c r="G1974">
        <v>-191.73910000000001</v>
      </c>
      <c r="H1974">
        <v>1.04802</v>
      </c>
      <c r="I1974">
        <v>318.54149999999998</v>
      </c>
      <c r="J1974">
        <v>-191.6421</v>
      </c>
      <c r="K1974">
        <v>1.121386</v>
      </c>
      <c r="L1974">
        <v>319.08940000000001</v>
      </c>
      <c r="M1974">
        <v>-4.9019119999999996E-3</v>
      </c>
      <c r="N1974">
        <v>-1.426551E-2</v>
      </c>
      <c r="O1974">
        <v>-0.9998861</v>
      </c>
      <c r="P1974">
        <v>-4.3387870000000002E-2</v>
      </c>
      <c r="Q1974">
        <v>-7.9932310000000006E-2</v>
      </c>
      <c r="R1974">
        <v>-0.9958553</v>
      </c>
      <c r="S1974">
        <v>-0.39291379999999998</v>
      </c>
      <c r="T1974">
        <v>-0.29562690000000003</v>
      </c>
      <c r="U1974">
        <v>-2.9717099999999999</v>
      </c>
      <c r="V1974">
        <v>3.8519360000000002E-2</v>
      </c>
      <c r="W1974">
        <v>-6.570666E-2</v>
      </c>
      <c r="X1974">
        <v>0.99709519999999996</v>
      </c>
      <c r="Y1974">
        <v>0.12565180000000001</v>
      </c>
      <c r="Z1974">
        <v>8.3973480000000003E-2</v>
      </c>
      <c r="AA1974">
        <v>0.98851409999999995</v>
      </c>
      <c r="AB1974">
        <v>20</v>
      </c>
      <c r="AC1974">
        <v>-9.7000000000008399E-2</v>
      </c>
      <c r="AD1974">
        <v>-7.3365999999999806E-2</v>
      </c>
      <c r="AE1974">
        <v>-0.54790000000002603</v>
      </c>
      <c r="AF1974">
        <v>9.2701159125521695E-2</v>
      </c>
      <c r="AG1974">
        <v>-7.3365999999999806E-2</v>
      </c>
      <c r="AH1974">
        <v>0.53899826537705298</v>
      </c>
      <c r="AI1974">
        <v>97.640382932614202</v>
      </c>
      <c r="AJ1974">
        <v>80.241294223031701</v>
      </c>
      <c r="AK1974">
        <v>0.55181084162843996</v>
      </c>
      <c r="AL1974">
        <v>93.767428626905101</v>
      </c>
      <c r="AM1974">
        <v>87.787673801647003</v>
      </c>
      <c r="AN1974">
        <v>0.99999997206310198</v>
      </c>
    </row>
    <row r="1975" spans="1:40" x14ac:dyDescent="0.25">
      <c r="A1975" t="str">
        <f>"20190303154134681"</f>
        <v>20190303154134681</v>
      </c>
      <c r="B1975" t="str">
        <f>"1551598894671208"</f>
        <v>1551598894671208</v>
      </c>
      <c r="C1975" t="s">
        <v>40</v>
      </c>
      <c r="D1975">
        <v>5.2452880000000004</v>
      </c>
      <c r="E1975">
        <v>0.53251369999999998</v>
      </c>
      <c r="F1975" t="s">
        <v>42</v>
      </c>
      <c r="G1975">
        <v>-191.7587</v>
      </c>
      <c r="H1975">
        <v>1.031415</v>
      </c>
      <c r="I1975">
        <v>318.20350000000002</v>
      </c>
      <c r="J1975">
        <v>-191.6429</v>
      </c>
      <c r="K1975">
        <v>1.121345</v>
      </c>
      <c r="L1975">
        <v>318.87819999999999</v>
      </c>
      <c r="M1975">
        <v>-4.7224049999999998E-3</v>
      </c>
      <c r="N1975">
        <v>-1.4260490000000001E-2</v>
      </c>
      <c r="O1975">
        <v>-0.99988750000000004</v>
      </c>
      <c r="P1975">
        <v>-4.3083820000000002E-2</v>
      </c>
      <c r="Q1975">
        <v>-8.1069290000000002E-2</v>
      </c>
      <c r="R1975">
        <v>-0.99577700000000002</v>
      </c>
      <c r="S1975">
        <v>-0.39091490000000001</v>
      </c>
      <c r="T1975">
        <v>-0.30178690000000002</v>
      </c>
      <c r="U1975">
        <v>-2.971222</v>
      </c>
      <c r="V1975">
        <v>3.8388579999999999E-2</v>
      </c>
      <c r="W1975">
        <v>-6.6853330000000002E-2</v>
      </c>
      <c r="X1975">
        <v>0.99702409999999997</v>
      </c>
      <c r="Y1975">
        <v>0.12517300000000001</v>
      </c>
      <c r="Z1975">
        <v>8.6029889999999998E-2</v>
      </c>
      <c r="AA1975">
        <v>0.988398</v>
      </c>
      <c r="AB1975">
        <v>20</v>
      </c>
      <c r="AC1975">
        <v>-0.11580000000000699</v>
      </c>
      <c r="AD1975">
        <v>-8.9929999999999996E-2</v>
      </c>
      <c r="AE1975">
        <v>-0.67469999999997299</v>
      </c>
      <c r="AF1975">
        <v>0.110701737207185</v>
      </c>
      <c r="AG1975">
        <v>-8.9929999999999996E-2</v>
      </c>
      <c r="AH1975">
        <v>0.66378409238907199</v>
      </c>
      <c r="AI1975">
        <v>97.611631638815595</v>
      </c>
      <c r="AJ1975">
        <v>80.5317104003243</v>
      </c>
      <c r="AK1975">
        <v>0.67893416531315598</v>
      </c>
      <c r="AL1975">
        <v>93.833272458771603</v>
      </c>
      <c r="AM1975">
        <v>87.795020536897695</v>
      </c>
      <c r="AN1975">
        <v>1.0000000533936499</v>
      </c>
    </row>
    <row r="1976" spans="1:40" x14ac:dyDescent="0.25">
      <c r="A1976" t="str">
        <f>"20190303154134704"</f>
        <v>20190303154134704</v>
      </c>
      <c r="B1976" t="str">
        <f>"1551598894701464"</f>
        <v>1551598894701464</v>
      </c>
      <c r="C1976" t="s">
        <v>40</v>
      </c>
      <c r="D1976">
        <v>5.1757419999999996</v>
      </c>
      <c r="E1976">
        <v>0.53238909999999995</v>
      </c>
      <c r="F1976" t="s">
        <v>42</v>
      </c>
      <c r="G1976">
        <v>-191.7544</v>
      </c>
      <c r="H1976">
        <v>1.0336689999999999</v>
      </c>
      <c r="I1976">
        <v>318.02859999999998</v>
      </c>
      <c r="J1976">
        <v>-191.6437</v>
      </c>
      <c r="K1976">
        <v>1.1213089999999999</v>
      </c>
      <c r="L1976">
        <v>318.67930000000001</v>
      </c>
      <c r="M1976">
        <v>-4.6047520000000002E-3</v>
      </c>
      <c r="N1976">
        <v>-1.425571E-2</v>
      </c>
      <c r="O1976">
        <v>-0.99988790000000005</v>
      </c>
      <c r="P1976">
        <v>-4.300826E-2</v>
      </c>
      <c r="Q1976">
        <v>-7.9965469999999997E-2</v>
      </c>
      <c r="R1976">
        <v>-0.99586969999999997</v>
      </c>
      <c r="S1976">
        <v>-0.38896180000000002</v>
      </c>
      <c r="T1976">
        <v>-0.30682130000000002</v>
      </c>
      <c r="U1976">
        <v>-2.9708860000000001</v>
      </c>
      <c r="V1976">
        <v>3.8424060000000003E-2</v>
      </c>
      <c r="W1976">
        <v>-6.5756419999999996E-2</v>
      </c>
      <c r="X1976">
        <v>0.99709559999999997</v>
      </c>
      <c r="Y1976">
        <v>0.1246454</v>
      </c>
      <c r="Z1976">
        <v>8.7710460000000004E-2</v>
      </c>
      <c r="AA1976">
        <v>0.988317</v>
      </c>
      <c r="AB1976">
        <v>19</v>
      </c>
      <c r="AC1976">
        <v>-0.110700000000008</v>
      </c>
      <c r="AD1976">
        <v>-8.7640000000000107E-2</v>
      </c>
      <c r="AE1976">
        <v>-0.65070000000002803</v>
      </c>
      <c r="AF1976">
        <v>0.105836316564549</v>
      </c>
      <c r="AG1976">
        <v>-8.7640000000000107E-2</v>
      </c>
      <c r="AH1976">
        <v>0.63992109468726099</v>
      </c>
      <c r="AI1976">
        <v>97.695135393694301</v>
      </c>
      <c r="AJ1976">
        <v>80.608883473275398</v>
      </c>
      <c r="AK1976">
        <v>0.65450829095565699</v>
      </c>
      <c r="AL1976">
        <v>93.770285831747003</v>
      </c>
      <c r="AM1976">
        <v>87.793142740780397</v>
      </c>
      <c r="AN1976">
        <v>0.99999997534872898</v>
      </c>
    </row>
    <row r="1977" spans="1:40" x14ac:dyDescent="0.25">
      <c r="A1977" t="str">
        <f>"20190303154134725"</f>
        <v>20190303154134725</v>
      </c>
      <c r="B1977" t="str">
        <f>"1551598894711223"</f>
        <v>1551598894711223</v>
      </c>
      <c r="C1977" t="s">
        <v>40</v>
      </c>
      <c r="D1977">
        <v>5.2544339999999998</v>
      </c>
      <c r="E1977">
        <v>0.53238909999999995</v>
      </c>
      <c r="F1977" t="s">
        <v>42</v>
      </c>
      <c r="G1977">
        <v>-191.75139999999999</v>
      </c>
      <c r="H1977">
        <v>1.0362990000000001</v>
      </c>
      <c r="I1977">
        <v>317.85390000000001</v>
      </c>
      <c r="J1977">
        <v>-191.64439999999999</v>
      </c>
      <c r="K1977">
        <v>1.121286</v>
      </c>
      <c r="L1977">
        <v>318.49790000000002</v>
      </c>
      <c r="M1977">
        <v>-4.5436820000000003E-3</v>
      </c>
      <c r="N1977">
        <v>-1.4251339999999999E-2</v>
      </c>
      <c r="O1977">
        <v>-0.9998882</v>
      </c>
      <c r="P1977">
        <v>-4.3589580000000003E-2</v>
      </c>
      <c r="Q1977">
        <v>-7.7058349999999998E-2</v>
      </c>
      <c r="R1977">
        <v>-0.9960734</v>
      </c>
      <c r="S1977">
        <v>-0.38796999999999998</v>
      </c>
      <c r="T1977">
        <v>-0.30599749999999998</v>
      </c>
      <c r="U1977">
        <v>-2.97113</v>
      </c>
      <c r="V1977">
        <v>3.9060659999999997E-2</v>
      </c>
      <c r="W1977">
        <v>-6.2853820000000005E-2</v>
      </c>
      <c r="X1977">
        <v>0.99725810000000004</v>
      </c>
      <c r="Y1977">
        <v>0.1243747</v>
      </c>
      <c r="Z1977">
        <v>8.7439359999999994E-2</v>
      </c>
      <c r="AA1977">
        <v>0.98837509999999995</v>
      </c>
      <c r="AB1977">
        <v>19</v>
      </c>
      <c r="AC1977">
        <v>-0.106999999999999</v>
      </c>
      <c r="AD1977">
        <v>-8.4986999999999896E-2</v>
      </c>
      <c r="AE1977">
        <v>-0.64400000000000501</v>
      </c>
      <c r="AF1977">
        <v>0.102338087575554</v>
      </c>
      <c r="AG1977">
        <v>-8.4986999999999896E-2</v>
      </c>
      <c r="AH1977">
        <v>0.63373924874366105</v>
      </c>
      <c r="AI1977">
        <v>97.541476785535707</v>
      </c>
      <c r="AJ1977">
        <v>80.826896011803001</v>
      </c>
      <c r="AK1977">
        <v>0.647550237229361</v>
      </c>
      <c r="AL1977">
        <v>93.603633927185001</v>
      </c>
      <c r="AM1977">
        <v>87.756982325984893</v>
      </c>
      <c r="AN1977">
        <v>1.0000000279319099</v>
      </c>
    </row>
    <row r="1978" spans="1:40" x14ac:dyDescent="0.25">
      <c r="A1978" t="str">
        <f>"20190303154134758"</f>
        <v>20190303154134758</v>
      </c>
      <c r="B1978" t="str">
        <f>"1551598894751239"</f>
        <v>1551598894751239</v>
      </c>
      <c r="C1978" t="s">
        <v>40</v>
      </c>
      <c r="D1978">
        <v>5.1803330000000001</v>
      </c>
      <c r="E1978">
        <v>0.57762880000000005</v>
      </c>
      <c r="F1978" t="s">
        <v>42</v>
      </c>
      <c r="G1978">
        <v>-191.75200000000001</v>
      </c>
      <c r="H1978">
        <v>1.039487</v>
      </c>
      <c r="I1978">
        <v>317.67930000000001</v>
      </c>
      <c r="J1978">
        <v>-191.6456</v>
      </c>
      <c r="K1978">
        <v>1.1212660000000001</v>
      </c>
      <c r="L1978">
        <v>318.21440000000001</v>
      </c>
      <c r="M1978">
        <v>-4.5316489999999996E-3</v>
      </c>
      <c r="N1978">
        <v>-1.4244430000000001E-2</v>
      </c>
      <c r="O1978">
        <v>-0.99988840000000001</v>
      </c>
      <c r="P1978">
        <v>-4.5810740000000003E-2</v>
      </c>
      <c r="Q1978">
        <v>-7.3463990000000007E-2</v>
      </c>
      <c r="R1978">
        <v>-0.99624509999999999</v>
      </c>
      <c r="S1978">
        <v>-0.38961790000000002</v>
      </c>
      <c r="T1978">
        <v>-0.29721370000000003</v>
      </c>
      <c r="U1978">
        <v>-2.9717099999999999</v>
      </c>
      <c r="V1978">
        <v>4.1287480000000001E-2</v>
      </c>
      <c r="W1978">
        <v>-5.9268139999999997E-2</v>
      </c>
      <c r="X1978">
        <v>0.99738789999999999</v>
      </c>
      <c r="Y1978">
        <v>0.12493559999999999</v>
      </c>
      <c r="Z1978">
        <v>8.452838E-2</v>
      </c>
      <c r="AA1978">
        <v>0.98855760000000004</v>
      </c>
      <c r="AB1978">
        <v>19</v>
      </c>
      <c r="AC1978">
        <v>-0.106400000000007</v>
      </c>
      <c r="AD1978">
        <v>-8.1779000000000004E-2</v>
      </c>
      <c r="AE1978">
        <v>-0.53509999999999902</v>
      </c>
      <c r="AF1978">
        <v>0.101688981004702</v>
      </c>
      <c r="AG1978">
        <v>-8.1779000000000004E-2</v>
      </c>
      <c r="AH1978">
        <v>0.52380756964090802</v>
      </c>
      <c r="AI1978">
        <v>98.7135055611365</v>
      </c>
      <c r="AJ1978">
        <v>79.013586403602204</v>
      </c>
      <c r="AK1978">
        <v>0.53981739848942401</v>
      </c>
      <c r="AL1978">
        <v>93.397805531760596</v>
      </c>
      <c r="AM1978">
        <v>87.629559661489495</v>
      </c>
      <c r="AN1978">
        <v>0.99999999574511</v>
      </c>
    </row>
    <row r="1979" spans="1:40" x14ac:dyDescent="0.25">
      <c r="A1979" t="str">
        <f>"20190303154134780"</f>
        <v>20190303154134780</v>
      </c>
      <c r="B1979" t="str">
        <f>"1551598894771735"</f>
        <v>1551598894771735</v>
      </c>
      <c r="C1979" t="s">
        <v>40</v>
      </c>
      <c r="D1979">
        <v>5.1016959999999996</v>
      </c>
      <c r="E1979">
        <v>0.5798219</v>
      </c>
      <c r="F1979" t="s">
        <v>41</v>
      </c>
      <c r="G1979">
        <v>-195.34569999999999</v>
      </c>
      <c r="H1979" s="1">
        <v>-3.2000120000000002E-6</v>
      </c>
      <c r="I1979">
        <v>303.73289999999997</v>
      </c>
      <c r="J1979">
        <v>-191.6465</v>
      </c>
      <c r="K1979">
        <v>1.1212500000000001</v>
      </c>
      <c r="L1979">
        <v>318.01769999999999</v>
      </c>
      <c r="M1979">
        <v>-4.5914190000000002E-3</v>
      </c>
      <c r="N1979">
        <v>-1.42396E-2</v>
      </c>
      <c r="O1979">
        <v>-0.9998882</v>
      </c>
      <c r="P1979">
        <v>-4.8915920000000002E-2</v>
      </c>
      <c r="Q1979">
        <v>-7.2707579999999994E-2</v>
      </c>
      <c r="R1979">
        <v>-0.99615299999999996</v>
      </c>
      <c r="S1979">
        <v>-0.75619510000000001</v>
      </c>
      <c r="T1979">
        <v>-0.2291589</v>
      </c>
      <c r="U1979">
        <v>-2.9596559999999998</v>
      </c>
      <c r="V1979">
        <v>4.4329979999999998E-2</v>
      </c>
      <c r="W1979">
        <v>-5.8520849999999999E-2</v>
      </c>
      <c r="X1979">
        <v>0.99730149999999995</v>
      </c>
      <c r="Y1979">
        <v>0.2424897</v>
      </c>
      <c r="Z1979">
        <v>6.0650750000000003E-2</v>
      </c>
      <c r="AA1979">
        <v>0.96825629999999996</v>
      </c>
      <c r="AB1979">
        <v>19</v>
      </c>
      <c r="AC1979">
        <v>-3.6991999999999901</v>
      </c>
      <c r="AD1979">
        <v>-1.1212532000119999</v>
      </c>
      <c r="AE1979">
        <v>-14.284800000000001</v>
      </c>
      <c r="AF1979">
        <v>3.6127074098332899</v>
      </c>
      <c r="AG1979">
        <v>-1.1212532000119999</v>
      </c>
      <c r="AH1979">
        <v>14.2195333943568</v>
      </c>
      <c r="AI1979">
        <v>94.370333554213204</v>
      </c>
      <c r="AJ1979">
        <v>75.744678174851003</v>
      </c>
      <c r="AK1979">
        <v>14.7140746742984</v>
      </c>
      <c r="AL1979">
        <v>93.354914303827996</v>
      </c>
      <c r="AM1979">
        <v>87.454882047566699</v>
      </c>
      <c r="AN1979">
        <v>1.0000000594568801</v>
      </c>
    </row>
    <row r="1980" spans="1:40" x14ac:dyDescent="0.25">
      <c r="A1980" t="str">
        <f>"20190303154134802"</f>
        <v>20190303154134802</v>
      </c>
      <c r="B1980" t="str">
        <f>"1551598894791256"</f>
        <v>1551598894791256</v>
      </c>
      <c r="C1980" t="s">
        <v>40</v>
      </c>
      <c r="D1980">
        <v>5.1469909999999999</v>
      </c>
      <c r="E1980">
        <v>0.58112849999999905</v>
      </c>
      <c r="F1980" t="s">
        <v>41</v>
      </c>
      <c r="G1980">
        <v>-195.26920000000001</v>
      </c>
      <c r="H1980" s="1">
        <v>-3.4369110000000002E-6</v>
      </c>
      <c r="I1980">
        <v>304.33980000000003</v>
      </c>
      <c r="J1980">
        <v>-191.64750000000001</v>
      </c>
      <c r="K1980">
        <v>1.1212340000000001</v>
      </c>
      <c r="L1980">
        <v>317.82889999999998</v>
      </c>
      <c r="M1980">
        <v>-4.693226E-3</v>
      </c>
      <c r="N1980">
        <v>-1.4235019999999999E-2</v>
      </c>
      <c r="O1980">
        <v>-0.99988790000000005</v>
      </c>
      <c r="P1980">
        <v>-5.1362070000000003E-2</v>
      </c>
      <c r="Q1980">
        <v>-7.1906399999999995E-2</v>
      </c>
      <c r="R1980">
        <v>-0.99608850000000004</v>
      </c>
      <c r="S1980">
        <v>-0.78277589999999997</v>
      </c>
      <c r="T1980">
        <v>-0.2422782</v>
      </c>
      <c r="U1980">
        <v>-2.955505</v>
      </c>
      <c r="V1980">
        <v>4.6671650000000002E-2</v>
      </c>
      <c r="W1980">
        <v>-5.772824E-2</v>
      </c>
      <c r="X1980">
        <v>0.99724080000000004</v>
      </c>
      <c r="Y1980">
        <v>0.25078289999999998</v>
      </c>
      <c r="Z1980">
        <v>6.4852919999999994E-2</v>
      </c>
      <c r="AA1980">
        <v>0.96586850000000002</v>
      </c>
      <c r="AB1980">
        <v>19</v>
      </c>
      <c r="AC1980">
        <v>-3.6217000000000001</v>
      </c>
      <c r="AD1980">
        <v>-1.1212374369110001</v>
      </c>
      <c r="AE1980">
        <v>-13.489099999999899</v>
      </c>
      <c r="AF1980">
        <v>3.5355608722280398</v>
      </c>
      <c r="AG1980">
        <v>-1.1212374369110001</v>
      </c>
      <c r="AH1980">
        <v>13.419466873228799</v>
      </c>
      <c r="AI1980">
        <v>94.619231189079898</v>
      </c>
      <c r="AJ1980">
        <v>75.239978076782506</v>
      </c>
      <c r="AK1980">
        <v>13.9226238630814</v>
      </c>
      <c r="AL1980">
        <v>93.309424376583706</v>
      </c>
      <c r="AM1980">
        <v>87.320467869152793</v>
      </c>
      <c r="AN1980">
        <v>1.0000000028959299</v>
      </c>
    </row>
    <row r="1981" spans="1:40" x14ac:dyDescent="0.25">
      <c r="A1981" t="str">
        <f>"20190303154134825"</f>
        <v>20190303154134825</v>
      </c>
      <c r="B1981" t="str">
        <f>"1551598894821511"</f>
        <v>1551598894821511</v>
      </c>
      <c r="C1981" t="s">
        <v>40</v>
      </c>
      <c r="D1981">
        <v>5.0934299999999997</v>
      </c>
      <c r="E1981">
        <v>0.58233000000000001</v>
      </c>
      <c r="F1981" t="s">
        <v>41</v>
      </c>
      <c r="G1981">
        <v>-195.24959999999999</v>
      </c>
      <c r="H1981" s="1">
        <v>-3.5035399999999998E-6</v>
      </c>
      <c r="I1981">
        <v>304.54570000000001</v>
      </c>
      <c r="J1981">
        <v>-191.64859999999999</v>
      </c>
      <c r="K1981">
        <v>1.121211</v>
      </c>
      <c r="L1981">
        <v>317.63240000000002</v>
      </c>
      <c r="M1981">
        <v>-4.8558459999999996E-3</v>
      </c>
      <c r="N1981">
        <v>-1.42303E-2</v>
      </c>
      <c r="O1981">
        <v>-0.99988730000000003</v>
      </c>
      <c r="P1981">
        <v>-5.288636E-2</v>
      </c>
      <c r="Q1981">
        <v>-6.9872920000000005E-2</v>
      </c>
      <c r="R1981">
        <v>-0.99615350000000003</v>
      </c>
      <c r="S1981">
        <v>-0.80067440000000001</v>
      </c>
      <c r="T1981">
        <v>-0.2492251</v>
      </c>
      <c r="U1981">
        <v>-2.9525450000000002</v>
      </c>
      <c r="V1981">
        <v>4.8029750000000003E-2</v>
      </c>
      <c r="W1981">
        <v>-5.5702599999999998E-2</v>
      </c>
      <c r="X1981">
        <v>0.9972915</v>
      </c>
      <c r="Y1981">
        <v>0.25627739999999999</v>
      </c>
      <c r="Z1981">
        <v>6.7068089999999997E-2</v>
      </c>
      <c r="AA1981">
        <v>0.96427370000000001</v>
      </c>
      <c r="AB1981">
        <v>19</v>
      </c>
      <c r="AC1981">
        <v>-3.6009999999999902</v>
      </c>
      <c r="AD1981">
        <v>-1.1212145035400001</v>
      </c>
      <c r="AE1981">
        <v>-13.0867</v>
      </c>
      <c r="AF1981">
        <v>3.5134295517994198</v>
      </c>
      <c r="AG1981">
        <v>-1.1212145035400001</v>
      </c>
      <c r="AH1981">
        <v>13.0152214441365</v>
      </c>
      <c r="AI1981">
        <v>94.754310012223598</v>
      </c>
      <c r="AJ1981">
        <v>74.893215997612401</v>
      </c>
      <c r="AK1981">
        <v>13.527649404767899</v>
      </c>
      <c r="AL1981">
        <v>93.193176673093703</v>
      </c>
      <c r="AM1981">
        <v>87.242754669889905</v>
      </c>
      <c r="AN1981">
        <v>0.99999998625203601</v>
      </c>
    </row>
    <row r="1982" spans="1:40" x14ac:dyDescent="0.25">
      <c r="A1982" t="str">
        <f>"20190303154134847"</f>
        <v>20190303154134847</v>
      </c>
      <c r="B1982" t="str">
        <f>"1551598894841031"</f>
        <v>1551598894841031</v>
      </c>
      <c r="C1982" t="s">
        <v>40</v>
      </c>
      <c r="D1982">
        <v>5.1010970000000002</v>
      </c>
      <c r="E1982">
        <v>0.58291210000000004</v>
      </c>
      <c r="F1982" t="s">
        <v>41</v>
      </c>
      <c r="G1982">
        <v>-195.2774</v>
      </c>
      <c r="H1982" s="1">
        <v>-3.491049E-6</v>
      </c>
      <c r="I1982">
        <v>304.49459999999999</v>
      </c>
      <c r="J1982">
        <v>-191.6497</v>
      </c>
      <c r="K1982">
        <v>1.121178</v>
      </c>
      <c r="L1982">
        <v>317.44479999999999</v>
      </c>
      <c r="M1982">
        <v>-5.0727599999999999E-3</v>
      </c>
      <c r="N1982">
        <v>-1.42258E-2</v>
      </c>
      <c r="O1982">
        <v>-0.9998861</v>
      </c>
      <c r="P1982">
        <v>-5.3892330000000002E-2</v>
      </c>
      <c r="Q1982">
        <v>-6.9205840000000005E-2</v>
      </c>
      <c r="R1982">
        <v>-0.99614599999999998</v>
      </c>
      <c r="S1982">
        <v>-0.81500240000000002</v>
      </c>
      <c r="T1982">
        <v>-0.2518184</v>
      </c>
      <c r="U1982">
        <v>-2.9506839999999999</v>
      </c>
      <c r="V1982">
        <v>4.8814749999999997E-2</v>
      </c>
      <c r="W1982">
        <v>-5.5044709999999997E-2</v>
      </c>
      <c r="X1982">
        <v>0.99729000000000001</v>
      </c>
      <c r="Y1982">
        <v>0.26055600000000001</v>
      </c>
      <c r="Z1982">
        <v>6.7864049999999995E-2</v>
      </c>
      <c r="AA1982">
        <v>0.9630706</v>
      </c>
      <c r="AB1982">
        <v>19</v>
      </c>
      <c r="AC1982">
        <v>-3.6276999999999999</v>
      </c>
      <c r="AD1982">
        <v>-1.1211814910489999</v>
      </c>
      <c r="AE1982">
        <v>-12.950199999999899</v>
      </c>
      <c r="AF1982">
        <v>3.5373683947088401</v>
      </c>
      <c r="AG1982">
        <v>-1.1211814910489999</v>
      </c>
      <c r="AH1982">
        <v>12.878927956008299</v>
      </c>
      <c r="AI1982">
        <v>94.798535403012195</v>
      </c>
      <c r="AJ1982">
        <v>74.641687333585097</v>
      </c>
      <c r="AK1982">
        <v>13.402865678346901</v>
      </c>
      <c r="AL1982">
        <v>93.1554241574419</v>
      </c>
      <c r="AM1982">
        <v>87.197757195811107</v>
      </c>
      <c r="AN1982">
        <v>1.00000007200827</v>
      </c>
    </row>
    <row r="1983" spans="1:40" x14ac:dyDescent="0.25">
      <c r="A1983" t="str">
        <f>"20190303154134871"</f>
        <v>20190303154134871</v>
      </c>
      <c r="B1983" t="str">
        <f>"1551598894861527"</f>
        <v>1551598894861527</v>
      </c>
      <c r="C1983" t="s">
        <v>40</v>
      </c>
      <c r="D1983">
        <v>5.1038379999999997</v>
      </c>
      <c r="E1983">
        <v>0.58330879999999996</v>
      </c>
      <c r="F1983" t="s">
        <v>41</v>
      </c>
      <c r="G1983">
        <v>-195.2671</v>
      </c>
      <c r="H1983" s="1">
        <v>-3.4824389999999999E-6</v>
      </c>
      <c r="I1983">
        <v>304.47460000000001</v>
      </c>
      <c r="J1983">
        <v>-191.65100000000001</v>
      </c>
      <c r="K1983">
        <v>1.1211329999999999</v>
      </c>
      <c r="L1983">
        <v>317.2466</v>
      </c>
      <c r="M1983">
        <v>-5.3704950000000003E-3</v>
      </c>
      <c r="N1983">
        <v>-1.42211E-2</v>
      </c>
      <c r="O1983">
        <v>-0.99988469999999996</v>
      </c>
      <c r="P1983">
        <v>-5.47768E-2</v>
      </c>
      <c r="Q1983">
        <v>-6.9272319999999998E-2</v>
      </c>
      <c r="R1983">
        <v>-0.99609309999999995</v>
      </c>
      <c r="S1983">
        <v>-0.82260129999999998</v>
      </c>
      <c r="T1983">
        <v>-0.2549556</v>
      </c>
      <c r="U1983">
        <v>-2.9494020000000001</v>
      </c>
      <c r="V1983">
        <v>4.9396700000000002E-2</v>
      </c>
      <c r="W1983">
        <v>-5.5121999999999997E-2</v>
      </c>
      <c r="X1983">
        <v>0.99725699999999995</v>
      </c>
      <c r="Y1983">
        <v>0.26265729999999998</v>
      </c>
      <c r="Z1983">
        <v>6.8867769999999995E-2</v>
      </c>
      <c r="AA1983">
        <v>0.96242839999999996</v>
      </c>
      <c r="AB1983">
        <v>19</v>
      </c>
      <c r="AC1983">
        <v>-3.6161000000000101</v>
      </c>
      <c r="AD1983">
        <v>-1.121136482439</v>
      </c>
      <c r="AE1983">
        <v>-12.771999999999901</v>
      </c>
      <c r="AF1983">
        <v>3.5223220119082002</v>
      </c>
      <c r="AG1983">
        <v>-1.121136482439</v>
      </c>
      <c r="AH1983">
        <v>12.7006363236013</v>
      </c>
      <c r="AI1983">
        <v>94.862065974045294</v>
      </c>
      <c r="AJ1983">
        <v>74.499481250511096</v>
      </c>
      <c r="AK1983">
        <v>13.227617411771799</v>
      </c>
      <c r="AL1983">
        <v>93.159859520496596</v>
      </c>
      <c r="AM1983">
        <v>87.164310497373293</v>
      </c>
      <c r="AN1983">
        <v>0.99999999645194404</v>
      </c>
    </row>
    <row r="1984" spans="1:40" x14ac:dyDescent="0.25">
      <c r="A1984" t="str">
        <f>"20190303154134893"</f>
        <v>20190303154134893</v>
      </c>
      <c r="B1984" t="str">
        <f>"1551598894881047"</f>
        <v>1551598894881047</v>
      </c>
      <c r="C1984" t="s">
        <v>40</v>
      </c>
      <c r="D1984">
        <v>5.1018819999999998</v>
      </c>
      <c r="E1984">
        <v>0.58372419999999903</v>
      </c>
      <c r="F1984" t="s">
        <v>41</v>
      </c>
      <c r="G1984">
        <v>-195.23259999999999</v>
      </c>
      <c r="H1984" s="1">
        <v>-3.4868889999999999E-6</v>
      </c>
      <c r="I1984">
        <v>304.50569999999999</v>
      </c>
      <c r="J1984">
        <v>-191.6525</v>
      </c>
      <c r="K1984">
        <v>1.1210869999999999</v>
      </c>
      <c r="L1984">
        <v>317.05079999999998</v>
      </c>
      <c r="M1984">
        <v>-5.7322240000000002E-3</v>
      </c>
      <c r="N1984">
        <v>-1.421652E-2</v>
      </c>
      <c r="O1984">
        <v>-0.99988259999999995</v>
      </c>
      <c r="P1984">
        <v>-5.5211009999999998E-2</v>
      </c>
      <c r="Q1984">
        <v>-6.9151539999999997E-2</v>
      </c>
      <c r="R1984">
        <v>-0.9960772</v>
      </c>
      <c r="S1984">
        <v>-0.82873539999999901</v>
      </c>
      <c r="T1984">
        <v>-0.25941900000000001</v>
      </c>
      <c r="U1984">
        <v>-2.9481199999999999</v>
      </c>
      <c r="V1984">
        <v>4.9464729999999998E-2</v>
      </c>
      <c r="W1984">
        <v>-5.5011089999999999E-2</v>
      </c>
      <c r="X1984">
        <v>0.99725969999999997</v>
      </c>
      <c r="Y1984">
        <v>0.26424219999999998</v>
      </c>
      <c r="Z1984">
        <v>7.0310949999999997E-2</v>
      </c>
      <c r="AA1984">
        <v>0.96189000000000002</v>
      </c>
      <c r="AB1984">
        <v>19</v>
      </c>
      <c r="AC1984">
        <v>-3.5800999999999799</v>
      </c>
      <c r="AD1984">
        <v>-1.1210904868889999</v>
      </c>
      <c r="AE1984">
        <v>-12.5450999999999</v>
      </c>
      <c r="AF1984">
        <v>3.4824062092961099</v>
      </c>
      <c r="AG1984">
        <v>-1.1210904868889999</v>
      </c>
      <c r="AH1984">
        <v>12.473306766309801</v>
      </c>
      <c r="AI1984">
        <v>94.947681663718896</v>
      </c>
      <c r="AJ1984">
        <v>74.400867666931404</v>
      </c>
      <c r="AK1984">
        <v>12.998745269171501</v>
      </c>
      <c r="AL1984">
        <v>93.153495353221203</v>
      </c>
      <c r="AM1984">
        <v>87.160419198922</v>
      </c>
      <c r="AN1984">
        <v>0.99999994439052398</v>
      </c>
    </row>
    <row r="1985" spans="1:40" x14ac:dyDescent="0.25">
      <c r="A1985" t="str">
        <f>"20190303154134915"</f>
        <v>20190303154134915</v>
      </c>
      <c r="B1985" t="str">
        <f>"1551598894911303"</f>
        <v>1551598894911303</v>
      </c>
      <c r="C1985" t="s">
        <v>40</v>
      </c>
      <c r="D1985">
        <v>5.1165279999999997</v>
      </c>
      <c r="E1985">
        <v>0.58402790000000004</v>
      </c>
      <c r="F1985" t="s">
        <v>41</v>
      </c>
      <c r="G1985">
        <v>-195.21850000000001</v>
      </c>
      <c r="H1985" s="1">
        <v>-3.4607760000000002E-6</v>
      </c>
      <c r="I1985">
        <v>304.43630000000002</v>
      </c>
      <c r="J1985">
        <v>-191.654</v>
      </c>
      <c r="K1985">
        <v>1.1210549999999999</v>
      </c>
      <c r="L1985">
        <v>316.8691</v>
      </c>
      <c r="M1985">
        <v>-6.1242040000000003E-3</v>
      </c>
      <c r="N1985">
        <v>-1.4212310000000001E-2</v>
      </c>
      <c r="O1985">
        <v>-0.99988030000000006</v>
      </c>
      <c r="P1985">
        <v>-5.5130909999999998E-2</v>
      </c>
      <c r="Q1985">
        <v>-6.9586110000000007E-2</v>
      </c>
      <c r="R1985">
        <v>-0.99605149999999998</v>
      </c>
      <c r="S1985">
        <v>-0.83325199999999999</v>
      </c>
      <c r="T1985">
        <v>-0.2619553</v>
      </c>
      <c r="U1985">
        <v>-2.9475099999999999</v>
      </c>
      <c r="V1985">
        <v>4.8989419999999999E-2</v>
      </c>
      <c r="W1985">
        <v>-5.5453559999999999E-2</v>
      </c>
      <c r="X1985">
        <v>0.99725870000000005</v>
      </c>
      <c r="Y1985">
        <v>0.26526349999999999</v>
      </c>
      <c r="Z1985">
        <v>7.1123749999999999E-2</v>
      </c>
      <c r="AA1985">
        <v>0.96154910000000005</v>
      </c>
      <c r="AB1985">
        <v>19</v>
      </c>
      <c r="AC1985">
        <v>-3.5644999999999798</v>
      </c>
      <c r="AD1985">
        <v>-1.1210584607759999</v>
      </c>
      <c r="AE1985">
        <v>-12.432799999999901</v>
      </c>
      <c r="AF1985">
        <v>3.4622724781054099</v>
      </c>
      <c r="AG1985">
        <v>-1.1210584607759999</v>
      </c>
      <c r="AH1985">
        <v>12.361526864361499</v>
      </c>
      <c r="AI1985">
        <v>94.990900549842195</v>
      </c>
      <c r="AJ1985">
        <v>74.353262376431701</v>
      </c>
      <c r="AK1985">
        <v>12.886095188359301</v>
      </c>
      <c r="AL1985">
        <v>93.178885638441599</v>
      </c>
      <c r="AM1985">
        <v>87.1876580939212</v>
      </c>
      <c r="AN1985">
        <v>0.99999998765714904</v>
      </c>
    </row>
    <row r="1986" spans="1:40" x14ac:dyDescent="0.25">
      <c r="A1986" t="str">
        <f>"20190303154134937"</f>
        <v>20190303154134937</v>
      </c>
      <c r="B1986" t="str">
        <f>"1551598894931799"</f>
        <v>1551598894931799</v>
      </c>
      <c r="C1986" t="s">
        <v>40</v>
      </c>
      <c r="D1986">
        <v>5.0873910000000002</v>
      </c>
      <c r="E1986">
        <v>0.58438440000000003</v>
      </c>
      <c r="F1986" t="s">
        <v>41</v>
      </c>
      <c r="G1986">
        <v>-195.15049999999999</v>
      </c>
      <c r="H1986" s="1">
        <v>-3.4830040000000001E-6</v>
      </c>
      <c r="I1986">
        <v>304.53710000000001</v>
      </c>
      <c r="J1986">
        <v>-191.6557</v>
      </c>
      <c r="K1986">
        <v>1.1210290000000001</v>
      </c>
      <c r="L1986">
        <v>316.6789</v>
      </c>
      <c r="M1986">
        <v>-6.58232E-3</v>
      </c>
      <c r="N1986">
        <v>-1.4207839999999999E-2</v>
      </c>
      <c r="O1986">
        <v>-0.99987749999999997</v>
      </c>
      <c r="P1986">
        <v>-5.4727949999999997E-2</v>
      </c>
      <c r="Q1986">
        <v>-6.9942089999999998E-2</v>
      </c>
      <c r="R1986">
        <v>-0.99604870000000001</v>
      </c>
      <c r="S1986">
        <v>-0.83554079999999997</v>
      </c>
      <c r="T1986">
        <v>-0.26789380000000002</v>
      </c>
      <c r="U1986">
        <v>-2.94693</v>
      </c>
      <c r="V1986">
        <v>4.8126809999999999E-2</v>
      </c>
      <c r="W1986">
        <v>-5.5815610000000002E-2</v>
      </c>
      <c r="X1986">
        <v>0.99728050000000001</v>
      </c>
      <c r="Y1986">
        <v>0.26552109999999901</v>
      </c>
      <c r="Z1986">
        <v>7.3053510000000002E-2</v>
      </c>
      <c r="AA1986">
        <v>0.96133329999999995</v>
      </c>
      <c r="AB1986">
        <v>19</v>
      </c>
      <c r="AC1986">
        <v>-3.4947999999999899</v>
      </c>
      <c r="AD1986">
        <v>-1.1210324830039999</v>
      </c>
      <c r="AE1986">
        <v>-12.1417999999999</v>
      </c>
      <c r="AF1986">
        <v>3.38812259961778</v>
      </c>
      <c r="AG1986">
        <v>-1.1210324830039999</v>
      </c>
      <c r="AH1986">
        <v>12.0695278763578</v>
      </c>
      <c r="AI1986">
        <v>95.1100600352665</v>
      </c>
      <c r="AJ1986">
        <v>74.319662022815706</v>
      </c>
      <c r="AK1986">
        <v>12.5860872290069</v>
      </c>
      <c r="AL1986">
        <v>93.199661765863098</v>
      </c>
      <c r="AM1986">
        <v>87.237160941394194</v>
      </c>
      <c r="AN1986">
        <v>0.99999998392034894</v>
      </c>
    </row>
    <row r="1987" spans="1:40" x14ac:dyDescent="0.25">
      <c r="A1987" t="str">
        <f>"20190303154134959"</f>
        <v>20190303154134959</v>
      </c>
      <c r="B1987" t="str">
        <f>"1551598894951320"</f>
        <v>1551598894951320</v>
      </c>
      <c r="C1987" t="s">
        <v>40</v>
      </c>
      <c r="D1987">
        <v>5.09734</v>
      </c>
      <c r="E1987">
        <v>0.58458719999999997</v>
      </c>
      <c r="F1987" t="s">
        <v>41</v>
      </c>
      <c r="G1987">
        <v>-195.10730000000001</v>
      </c>
      <c r="H1987" s="1">
        <v>-3.4732419999999999E-6</v>
      </c>
      <c r="I1987">
        <v>304.53089999999997</v>
      </c>
      <c r="J1987">
        <v>-191.6574</v>
      </c>
      <c r="K1987">
        <v>1.1210169999999999</v>
      </c>
      <c r="L1987">
        <v>316.49509999999998</v>
      </c>
      <c r="M1987">
        <v>-7.0558039999999997E-3</v>
      </c>
      <c r="N1987">
        <v>-1.420343E-2</v>
      </c>
      <c r="O1987">
        <v>-0.99987420000000005</v>
      </c>
      <c r="P1987">
        <v>-5.478831E-2</v>
      </c>
      <c r="Q1987">
        <v>-7.1018609999999996E-2</v>
      </c>
      <c r="R1987">
        <v>-0.99596910000000005</v>
      </c>
      <c r="S1987">
        <v>-0.83728029999999998</v>
      </c>
      <c r="T1987">
        <v>-0.27193450000000002</v>
      </c>
      <c r="U1987">
        <v>-2.9468079999999999</v>
      </c>
      <c r="V1987">
        <v>4.7714119999999999E-2</v>
      </c>
      <c r="W1987">
        <v>-5.6897690000000001E-2</v>
      </c>
      <c r="X1987">
        <v>0.99723919999999999</v>
      </c>
      <c r="Y1987">
        <v>0.26557140000000001</v>
      </c>
      <c r="Z1987">
        <v>7.4360620000000002E-2</v>
      </c>
      <c r="AA1987">
        <v>0.96121920000000005</v>
      </c>
      <c r="AB1987">
        <v>19</v>
      </c>
      <c r="AC1987">
        <v>-3.4499000000000102</v>
      </c>
      <c r="AD1987">
        <v>-1.1210204732419999</v>
      </c>
      <c r="AE1987">
        <v>-11.9642</v>
      </c>
      <c r="AF1987">
        <v>3.3383301617080101</v>
      </c>
      <c r="AG1987">
        <v>-1.1210204732419999</v>
      </c>
      <c r="AH1987">
        <v>11.8918585745929</v>
      </c>
      <c r="AI1987">
        <v>95.185928641006797</v>
      </c>
      <c r="AJ1987">
        <v>74.319294151448304</v>
      </c>
      <c r="AK1987">
        <v>12.402315732479799</v>
      </c>
      <c r="AL1987">
        <v>93.261759015275004</v>
      </c>
      <c r="AM1987">
        <v>87.260702928708795</v>
      </c>
      <c r="AN1987">
        <v>1.00000000319567</v>
      </c>
    </row>
    <row r="1988" spans="1:40" x14ac:dyDescent="0.25">
      <c r="A1988" t="str">
        <f>"20190303154134981"</f>
        <v>20190303154134981</v>
      </c>
      <c r="B1988" t="str">
        <f>"1551598894971481"</f>
        <v>1551598894971481</v>
      </c>
      <c r="C1988" t="s">
        <v>40</v>
      </c>
      <c r="D1988">
        <v>5.0606179999999998</v>
      </c>
      <c r="E1988">
        <v>0.5848042</v>
      </c>
      <c r="F1988" t="s">
        <v>41</v>
      </c>
      <c r="G1988">
        <v>-195.04470000000001</v>
      </c>
      <c r="H1988" s="1">
        <v>-3.4863130000000001E-6</v>
      </c>
      <c r="I1988">
        <v>304.6019</v>
      </c>
      <c r="J1988">
        <v>-191.65940000000001</v>
      </c>
      <c r="K1988">
        <v>1.121016</v>
      </c>
      <c r="L1988">
        <v>316.30500000000001</v>
      </c>
      <c r="M1988">
        <v>-7.5613249999999998E-3</v>
      </c>
      <c r="N1988">
        <v>-1.4198779999999999E-2</v>
      </c>
      <c r="O1988">
        <v>-0.99987079999999995</v>
      </c>
      <c r="P1988">
        <v>-5.4258500000000001E-2</v>
      </c>
      <c r="Q1988">
        <v>-7.1817759999999994E-2</v>
      </c>
      <c r="R1988">
        <v>-0.99594110000000002</v>
      </c>
      <c r="S1988">
        <v>-0.83909609999999901</v>
      </c>
      <c r="T1988">
        <v>-0.27769820000000001</v>
      </c>
      <c r="U1988">
        <v>-2.946167</v>
      </c>
      <c r="V1988">
        <v>4.6680800000000001E-2</v>
      </c>
      <c r="W1988">
        <v>-5.7700179999999997E-2</v>
      </c>
      <c r="X1988">
        <v>0.99724199999999996</v>
      </c>
      <c r="Y1988">
        <v>0.26564480000000001</v>
      </c>
      <c r="Z1988">
        <v>7.6238570000000005E-2</v>
      </c>
      <c r="AA1988">
        <v>0.96105180000000001</v>
      </c>
      <c r="AB1988">
        <v>19</v>
      </c>
      <c r="AC1988">
        <v>-3.3853</v>
      </c>
      <c r="AD1988">
        <v>-1.1210194863130001</v>
      </c>
      <c r="AE1988">
        <v>-11.703099999999999</v>
      </c>
      <c r="AF1988">
        <v>3.2690247717143901</v>
      </c>
      <c r="AG1988">
        <v>-1.1210194863130001</v>
      </c>
      <c r="AH1988">
        <v>11.6298958525981</v>
      </c>
      <c r="AI1988">
        <v>95.3015786040432</v>
      </c>
      <c r="AJ1988">
        <v>74.299961288263304</v>
      </c>
      <c r="AK1988">
        <v>12.1325053137864</v>
      </c>
      <c r="AL1988">
        <v>93.307813958412893</v>
      </c>
      <c r="AM1988">
        <v>87.319946531671206</v>
      </c>
      <c r="AN1988">
        <v>1.0000000072123301</v>
      </c>
    </row>
    <row r="1989" spans="1:40" x14ac:dyDescent="0.25">
      <c r="A1989" t="str">
        <f>"20190303154135003"</f>
        <v>20190303154135003</v>
      </c>
      <c r="B1989" t="str">
        <f>"1551598894990946"</f>
        <v>1551598894990946</v>
      </c>
      <c r="C1989" t="s">
        <v>40</v>
      </c>
      <c r="D1989">
        <v>5.0527810000000004</v>
      </c>
      <c r="E1989">
        <v>0.58503909999999903</v>
      </c>
      <c r="F1989" t="s">
        <v>41</v>
      </c>
      <c r="G1989">
        <v>-195.00749999999999</v>
      </c>
      <c r="H1989" s="1">
        <v>-3.461407E-6</v>
      </c>
      <c r="I1989">
        <v>304.55189999999999</v>
      </c>
      <c r="J1989">
        <v>-191.66130000000001</v>
      </c>
      <c r="K1989">
        <v>1.121022</v>
      </c>
      <c r="L1989">
        <v>316.1216</v>
      </c>
      <c r="M1989">
        <v>-8.0508249999999993E-3</v>
      </c>
      <c r="N1989">
        <v>-1.419425E-2</v>
      </c>
      <c r="O1989">
        <v>-0.99986719999999896</v>
      </c>
      <c r="P1989">
        <v>-5.3449160000000003E-2</v>
      </c>
      <c r="Q1989">
        <v>-7.1109350000000002E-2</v>
      </c>
      <c r="R1989">
        <v>-0.99603589999999997</v>
      </c>
      <c r="S1989">
        <v>-0.83930969999999905</v>
      </c>
      <c r="T1989">
        <v>-0.28101379999999998</v>
      </c>
      <c r="U1989">
        <v>-2.9462280000000001</v>
      </c>
      <c r="V1989">
        <v>4.5385090000000003E-2</v>
      </c>
      <c r="W1989">
        <v>-5.6992510000000003E-2</v>
      </c>
      <c r="X1989">
        <v>0.99734250000000002</v>
      </c>
      <c r="Y1989">
        <v>0.26520779999999999</v>
      </c>
      <c r="Z1989">
        <v>7.7317479999999994E-2</v>
      </c>
      <c r="AA1989">
        <v>0.96108629999999995</v>
      </c>
      <c r="AB1989">
        <v>19</v>
      </c>
      <c r="AC1989">
        <v>-3.3461999999999801</v>
      </c>
      <c r="AD1989">
        <v>-1.1210254614070001</v>
      </c>
      <c r="AE1989">
        <v>-11.569699999999999</v>
      </c>
      <c r="AF1989">
        <v>3.2249964835615001</v>
      </c>
      <c r="AG1989">
        <v>-1.1210254614070001</v>
      </c>
      <c r="AH1989">
        <v>11.496664879835301</v>
      </c>
      <c r="AI1989">
        <v>95.363483187458399</v>
      </c>
      <c r="AJ1989">
        <v>74.3303510160668</v>
      </c>
      <c r="AK1989">
        <v>11.992939746506901</v>
      </c>
      <c r="AL1989">
        <v>93.267200617212595</v>
      </c>
      <c r="AM1989">
        <v>87.394494482259901</v>
      </c>
      <c r="AN1989">
        <v>1.00000000744832</v>
      </c>
    </row>
    <row r="1990" spans="1:40" x14ac:dyDescent="0.25">
      <c r="A1990" t="str">
        <f>"20190303154135026"</f>
        <v>20190303154135026</v>
      </c>
      <c r="B1990" t="str">
        <f>"1551598895021203"</f>
        <v>1551598895021203</v>
      </c>
      <c r="C1990" t="s">
        <v>40</v>
      </c>
      <c r="D1990">
        <v>5.0886139999999997</v>
      </c>
      <c r="E1990">
        <v>0.58542759999999905</v>
      </c>
      <c r="F1990" t="s">
        <v>41</v>
      </c>
      <c r="G1990">
        <v>-195.03030000000001</v>
      </c>
      <c r="H1990" s="1">
        <v>-3.3523859999999999E-6</v>
      </c>
      <c r="I1990">
        <v>304.28370000000001</v>
      </c>
      <c r="J1990">
        <v>-191.6634</v>
      </c>
      <c r="K1990">
        <v>1.12104</v>
      </c>
      <c r="L1990">
        <v>315.93209999999999</v>
      </c>
      <c r="M1990">
        <v>-8.5478629999999993E-3</v>
      </c>
      <c r="N1990">
        <v>-1.4189530000000001E-2</v>
      </c>
      <c r="O1990">
        <v>-0.9998629</v>
      </c>
      <c r="P1990">
        <v>-5.3106689999999998E-2</v>
      </c>
      <c r="Q1990">
        <v>-7.1342450000000002E-2</v>
      </c>
      <c r="R1990">
        <v>-0.99603719999999996</v>
      </c>
      <c r="S1990">
        <v>-0.83869930000000004</v>
      </c>
      <c r="T1990">
        <v>-0.27907359999999998</v>
      </c>
      <c r="U1990">
        <v>-2.9469910000000001</v>
      </c>
      <c r="V1990">
        <v>4.454909E-2</v>
      </c>
      <c r="W1990">
        <v>-5.7227849999999997E-2</v>
      </c>
      <c r="X1990">
        <v>0.99736670000000005</v>
      </c>
      <c r="Y1990">
        <v>0.26449420000000001</v>
      </c>
      <c r="Z1990">
        <v>7.6685000000000003E-2</v>
      </c>
      <c r="AA1990">
        <v>0.96133360000000001</v>
      </c>
      <c r="AB1990">
        <v>19</v>
      </c>
      <c r="AC1990">
        <v>-3.36690000000001</v>
      </c>
      <c r="AD1990">
        <v>-1.1210433523859999</v>
      </c>
      <c r="AE1990">
        <v>-11.648399999999899</v>
      </c>
      <c r="AF1990">
        <v>3.2395067110442599</v>
      </c>
      <c r="AG1990">
        <v>-1.1210433523859999</v>
      </c>
      <c r="AH1990">
        <v>11.5777900493974</v>
      </c>
      <c r="AI1990">
        <v>95.327182774811007</v>
      </c>
      <c r="AJ1990">
        <v>74.368191744981502</v>
      </c>
      <c r="AK1990">
        <v>12.074616530422601</v>
      </c>
      <c r="AL1990">
        <v>93.280706702528306</v>
      </c>
      <c r="AM1990">
        <v>87.442485924572594</v>
      </c>
      <c r="AN1990">
        <v>0.99999999125216998</v>
      </c>
    </row>
    <row r="1991" spans="1:40" x14ac:dyDescent="0.25">
      <c r="A1991" t="str">
        <f>"20190303154135048"</f>
        <v>20190303154135048</v>
      </c>
      <c r="B1991" t="str">
        <f>"1551598895041699"</f>
        <v>1551598895041699</v>
      </c>
      <c r="C1991" t="s">
        <v>40</v>
      </c>
      <c r="D1991">
        <v>4.9229000000000003</v>
      </c>
      <c r="E1991">
        <v>0.58562060000000005</v>
      </c>
      <c r="F1991" t="s">
        <v>41</v>
      </c>
      <c r="G1991">
        <v>-195.03720000000001</v>
      </c>
      <c r="H1991" s="1">
        <v>-3.2790240000000001E-6</v>
      </c>
      <c r="I1991">
        <v>304.10840000000002</v>
      </c>
      <c r="J1991">
        <v>-191.66560000000001</v>
      </c>
      <c r="K1991">
        <v>1.121054</v>
      </c>
      <c r="L1991">
        <v>315.7441</v>
      </c>
      <c r="M1991">
        <v>-9.0267699999999999E-3</v>
      </c>
      <c r="N1991">
        <v>-1.418492E-2</v>
      </c>
      <c r="O1991">
        <v>-0.99985880000000005</v>
      </c>
      <c r="P1991">
        <v>-5.3602539999999997E-2</v>
      </c>
      <c r="Q1991">
        <v>-7.1339739999999999E-2</v>
      </c>
      <c r="R1991">
        <v>-0.99601079999999997</v>
      </c>
      <c r="S1991">
        <v>-0.84091190000000005</v>
      </c>
      <c r="T1991">
        <v>-0.27941870000000002</v>
      </c>
      <c r="U1991">
        <v>-2.9470519999999998</v>
      </c>
      <c r="V1991">
        <v>4.45698E-2</v>
      </c>
      <c r="W1991">
        <v>-5.7228269999999998E-2</v>
      </c>
      <c r="X1991">
        <v>0.99736579999999997</v>
      </c>
      <c r="Y1991">
        <v>0.26469219999999999</v>
      </c>
      <c r="Z1991">
        <v>7.6788040000000002E-2</v>
      </c>
      <c r="AA1991">
        <v>0.96127090000000004</v>
      </c>
      <c r="AB1991">
        <v>19</v>
      </c>
      <c r="AC1991">
        <v>-3.3715999999999999</v>
      </c>
      <c r="AD1991">
        <v>-1.1210572790240001</v>
      </c>
      <c r="AE1991">
        <v>-11.6356999999999</v>
      </c>
      <c r="AF1991">
        <v>3.2386844801730401</v>
      </c>
      <c r="AG1991">
        <v>-1.1210572790240001</v>
      </c>
      <c r="AH1991">
        <v>11.566611763373899</v>
      </c>
      <c r="AI1991">
        <v>95.332093019747603</v>
      </c>
      <c r="AJ1991">
        <v>74.357601103547594</v>
      </c>
      <c r="AK1991">
        <v>12.0636791348903</v>
      </c>
      <c r="AL1991">
        <v>93.280730644564201</v>
      </c>
      <c r="AM1991">
        <v>87.441296260240193</v>
      </c>
      <c r="AN1991">
        <v>1.00000004048443</v>
      </c>
    </row>
    <row r="1992" spans="1:40" x14ac:dyDescent="0.25">
      <c r="A1992" t="str">
        <f>"20190303154135206"</f>
        <v>20190303154135206</v>
      </c>
      <c r="B1992" t="str">
        <f>"1551598895201084"</f>
        <v>1551598895201084</v>
      </c>
      <c r="C1992" t="s">
        <v>40</v>
      </c>
      <c r="D1992">
        <v>4.832497</v>
      </c>
      <c r="E1992">
        <v>0.59904399999999902</v>
      </c>
      <c r="F1992" t="s">
        <v>41</v>
      </c>
      <c r="G1992">
        <v>-195.0591</v>
      </c>
      <c r="H1992" s="1">
        <v>-3.1921529999999999E-6</v>
      </c>
      <c r="I1992">
        <v>303.89229999999998</v>
      </c>
      <c r="J1992">
        <v>-191.6831</v>
      </c>
      <c r="K1992">
        <v>1.121095</v>
      </c>
      <c r="L1992">
        <v>314.42689999999999</v>
      </c>
      <c r="M1992">
        <v>-1.2122010000000001E-2</v>
      </c>
      <c r="N1992">
        <v>-1.4153000000000001E-2</v>
      </c>
      <c r="O1992">
        <v>-0.99982660000000001</v>
      </c>
      <c r="P1992">
        <v>-5.8903209999999998E-2</v>
      </c>
      <c r="Q1992">
        <v>-7.222199E-2</v>
      </c>
      <c r="R1992">
        <v>-0.99564830000000004</v>
      </c>
      <c r="S1992">
        <v>-0.84371949999999996</v>
      </c>
      <c r="T1992">
        <v>-0.27872259999999999</v>
      </c>
      <c r="U1992">
        <v>-2.9466549999999998</v>
      </c>
      <c r="V1992">
        <v>4.6795980000000001E-2</v>
      </c>
      <c r="W1992">
        <v>-5.8140400000000002E-2</v>
      </c>
      <c r="X1992">
        <v>0.99721099999999996</v>
      </c>
      <c r="Y1992">
        <v>0.2625942</v>
      </c>
      <c r="Z1992">
        <v>7.6623319999999995E-2</v>
      </c>
      <c r="AA1992">
        <v>0.96185920000000003</v>
      </c>
      <c r="AB1992">
        <v>19</v>
      </c>
      <c r="AC1992">
        <v>-3.3759999999999999</v>
      </c>
      <c r="AD1992">
        <v>-1.1210981921529899</v>
      </c>
      <c r="AE1992">
        <v>-10.534599999999999</v>
      </c>
      <c r="AF1992">
        <v>3.2150185831605298</v>
      </c>
      <c r="AG1992">
        <v>-1.1210981921529899</v>
      </c>
      <c r="AH1992">
        <v>10.4672493405452</v>
      </c>
      <c r="AI1992">
        <v>95.845836402508994</v>
      </c>
      <c r="AJ1992">
        <v>72.925645248161103</v>
      </c>
      <c r="AK1992">
        <v>11.007111991964999</v>
      </c>
      <c r="AL1992">
        <v>93.333079231570693</v>
      </c>
      <c r="AM1992">
        <v>87.313260059761504</v>
      </c>
      <c r="AN1992">
        <v>0.99999997418865905</v>
      </c>
    </row>
    <row r="1993" spans="1:40" x14ac:dyDescent="0.25">
      <c r="A1993" t="str">
        <f>"20190303154135228"</f>
        <v>20190303154135228</v>
      </c>
      <c r="B1993" t="str">
        <f>"1551598895221580"</f>
        <v>1551598895221580</v>
      </c>
      <c r="C1993" t="s">
        <v>40</v>
      </c>
      <c r="D1993">
        <v>5.1242150000000004</v>
      </c>
      <c r="E1993">
        <v>0.59462680000000001</v>
      </c>
      <c r="F1993" t="s">
        <v>43</v>
      </c>
      <c r="G1993">
        <v>-208.72749999999999</v>
      </c>
      <c r="H1993">
        <v>-0.05</v>
      </c>
      <c r="I1993">
        <v>262.19659999999999</v>
      </c>
      <c r="J1993">
        <v>-191.6858</v>
      </c>
      <c r="K1993">
        <v>1.121108</v>
      </c>
      <c r="L1993">
        <v>314.24930000000001</v>
      </c>
      <c r="M1993">
        <v>-1.2532089999999999E-2</v>
      </c>
      <c r="N1993">
        <v>-1.41487E-2</v>
      </c>
      <c r="O1993">
        <v>-0.99982150000000003</v>
      </c>
      <c r="P1993">
        <v>-5.896146E-2</v>
      </c>
      <c r="Q1993">
        <v>-7.2477040000000006E-2</v>
      </c>
      <c r="R1993">
        <v>-0.99562589999999995</v>
      </c>
      <c r="S1993">
        <v>-0.96311950000000002</v>
      </c>
      <c r="T1993">
        <v>-6.6174510000000006E-2</v>
      </c>
      <c r="U1993">
        <v>-2.951355</v>
      </c>
      <c r="V1993">
        <v>4.6446029999999999E-2</v>
      </c>
      <c r="W1993">
        <v>-5.8399300000000001E-2</v>
      </c>
      <c r="X1993">
        <v>0.99721219999999999</v>
      </c>
      <c r="Y1993">
        <v>0.29821029999999998</v>
      </c>
      <c r="Z1993">
        <v>7.2304800000000001E-3</v>
      </c>
      <c r="AA1993">
        <v>0.95447280000000001</v>
      </c>
      <c r="AB1993">
        <v>18</v>
      </c>
      <c r="AC1993">
        <v>-17.041699999999899</v>
      </c>
      <c r="AD1993">
        <v>-1.171108</v>
      </c>
      <c r="AE1993">
        <v>-52.052700000000002</v>
      </c>
      <c r="AF1993">
        <v>16.380478298880501</v>
      </c>
      <c r="AG1993">
        <v>-1.171108</v>
      </c>
      <c r="AH1993">
        <v>52.238318683653901</v>
      </c>
      <c r="AI1993">
        <v>91.225457459571402</v>
      </c>
      <c r="AJ1993">
        <v>72.590031660096301</v>
      </c>
      <c r="AK1993">
        <v>54.758866881471697</v>
      </c>
      <c r="AL1993">
        <v>93.347938465187198</v>
      </c>
      <c r="AM1993">
        <v>87.333326148306696</v>
      </c>
      <c r="AN1993">
        <v>0.99999994188604302</v>
      </c>
    </row>
    <row r="1994" spans="1:40" x14ac:dyDescent="0.25">
      <c r="A1994" t="str">
        <f>"20190303154135250"</f>
        <v>20190303154135250</v>
      </c>
      <c r="B1994" t="str">
        <f>"1551598895241100"</f>
        <v>1551598895241100</v>
      </c>
      <c r="C1994" t="s">
        <v>40</v>
      </c>
      <c r="D1994">
        <v>5.1359690000000002</v>
      </c>
      <c r="E1994">
        <v>0.59063089999999996</v>
      </c>
      <c r="F1994" t="s">
        <v>43</v>
      </c>
      <c r="G1994">
        <v>-209.6035</v>
      </c>
      <c r="H1994">
        <v>-0.05</v>
      </c>
      <c r="I1994">
        <v>257.23090000000002</v>
      </c>
      <c r="J1994">
        <v>-191.68860000000001</v>
      </c>
      <c r="K1994">
        <v>1.1211169999999999</v>
      </c>
      <c r="L1994">
        <v>314.06290000000001</v>
      </c>
      <c r="M1994">
        <v>-1.2961719999999999E-2</v>
      </c>
      <c r="N1994">
        <v>-1.4144149999999999E-2</v>
      </c>
      <c r="O1994">
        <v>-0.99981609999999999</v>
      </c>
      <c r="P1994">
        <v>-5.8926989999999999E-2</v>
      </c>
      <c r="Q1994">
        <v>-7.2505410000000006E-2</v>
      </c>
      <c r="R1994">
        <v>-0.99562589999999995</v>
      </c>
      <c r="S1994">
        <v>-0.92820740000000002</v>
      </c>
      <c r="T1994">
        <v>-6.0667749999999999E-2</v>
      </c>
      <c r="U1994">
        <v>-2.9537659999999999</v>
      </c>
      <c r="V1994">
        <v>4.5983700000000002E-2</v>
      </c>
      <c r="W1994">
        <v>-5.8431480000000001E-2</v>
      </c>
      <c r="X1994">
        <v>0.9972318</v>
      </c>
      <c r="Y1994">
        <v>0.28732819999999998</v>
      </c>
      <c r="Z1994">
        <v>5.5111569999999896E-3</v>
      </c>
      <c r="AA1994">
        <v>0.95781640000000001</v>
      </c>
      <c r="AB1994">
        <v>18</v>
      </c>
      <c r="AC1994">
        <v>-17.9148999999999</v>
      </c>
      <c r="AD1994">
        <v>-1.171117</v>
      </c>
      <c r="AE1994">
        <v>-56.832000000000001</v>
      </c>
      <c r="AF1994">
        <v>17.1700486875697</v>
      </c>
      <c r="AG1994">
        <v>-1.171117</v>
      </c>
      <c r="AH1994">
        <v>57.037425016024699</v>
      </c>
      <c r="AI1994">
        <v>91.126342217632299</v>
      </c>
      <c r="AJ1994">
        <v>73.246562341413593</v>
      </c>
      <c r="AK1994">
        <v>59.577260254394403</v>
      </c>
      <c r="AL1994">
        <v>93.349785200043101</v>
      </c>
      <c r="AM1994">
        <v>87.359884646803295</v>
      </c>
      <c r="AN1994">
        <v>1.00000000072596</v>
      </c>
    </row>
    <row r="1995" spans="1:40" x14ac:dyDescent="0.25">
      <c r="A1995" t="str">
        <f>"20190303154135272"</f>
        <v>20190303154135272</v>
      </c>
      <c r="B1995" t="str">
        <f>"1551598895261595"</f>
        <v>1551598895261595</v>
      </c>
      <c r="C1995" t="s">
        <v>40</v>
      </c>
      <c r="D1995">
        <v>5.2773919999999999</v>
      </c>
      <c r="E1995">
        <v>0.58764640000000001</v>
      </c>
      <c r="F1995" t="s">
        <v>46</v>
      </c>
      <c r="G1995">
        <v>-203.6147</v>
      </c>
      <c r="H1995">
        <v>8.0001290000000003E-2</v>
      </c>
      <c r="I1995">
        <v>274.76</v>
      </c>
      <c r="J1995">
        <v>-191.69139999999999</v>
      </c>
      <c r="K1995">
        <v>1.1211230000000001</v>
      </c>
      <c r="L1995">
        <v>313.887</v>
      </c>
      <c r="M1995">
        <v>-1.336417E-2</v>
      </c>
      <c r="N1995">
        <v>-1.4139840000000001E-2</v>
      </c>
      <c r="O1995">
        <v>-0.99981109999999895</v>
      </c>
      <c r="P1995">
        <v>-5.889171E-2</v>
      </c>
      <c r="Q1995">
        <v>-7.2100339999999999E-2</v>
      </c>
      <c r="R1995">
        <v>-0.99565780000000004</v>
      </c>
      <c r="S1995">
        <v>-0.89648439999999996</v>
      </c>
      <c r="T1995">
        <v>-7.8260899999999994E-2</v>
      </c>
      <c r="U1995">
        <v>-2.9544069999999998</v>
      </c>
      <c r="V1995">
        <v>4.5547520000000001E-2</v>
      </c>
      <c r="W1995">
        <v>-5.8029509999999999E-2</v>
      </c>
      <c r="X1995">
        <v>0.99727529999999998</v>
      </c>
      <c r="Y1995">
        <v>0.27745639999999999</v>
      </c>
      <c r="Z1995">
        <v>1.127618E-2</v>
      </c>
      <c r="AA1995">
        <v>0.96067210000000003</v>
      </c>
      <c r="AB1995">
        <v>18</v>
      </c>
      <c r="AC1995">
        <v>-11.923299999999999</v>
      </c>
      <c r="AD1995">
        <v>-1.0411217100000001</v>
      </c>
      <c r="AE1995">
        <v>-39.127000000000002</v>
      </c>
      <c r="AF1995">
        <v>11.391902611438301</v>
      </c>
      <c r="AG1995">
        <v>-1.0411217100000001</v>
      </c>
      <c r="AH1995">
        <v>39.257432453767699</v>
      </c>
      <c r="AI1995">
        <v>91.458989730680798</v>
      </c>
      <c r="AJ1995">
        <v>73.818084795714896</v>
      </c>
      <c r="AK1995">
        <v>40.890162415740797</v>
      </c>
      <c r="AL1995">
        <v>93.326714830323496</v>
      </c>
      <c r="AM1995">
        <v>87.385006531845306</v>
      </c>
      <c r="AN1995">
        <v>1.0000000122995401</v>
      </c>
    </row>
    <row r="1996" spans="1:40" x14ac:dyDescent="0.25">
      <c r="A1996" t="str">
        <f>"20190303154135298"</f>
        <v>20190303154135298</v>
      </c>
      <c r="B1996" t="str">
        <f>"1551598895291384"</f>
        <v>1551598895291384</v>
      </c>
      <c r="C1996" t="s">
        <v>40</v>
      </c>
      <c r="D1996">
        <v>5.2938210000000003</v>
      </c>
      <c r="E1996">
        <v>0.58395069999999905</v>
      </c>
      <c r="F1996" t="s">
        <v>46</v>
      </c>
      <c r="G1996">
        <v>-202.48570000000001</v>
      </c>
      <c r="H1996">
        <v>8.0001379999999997E-2</v>
      </c>
      <c r="I1996">
        <v>277.34039999999999</v>
      </c>
      <c r="J1996">
        <v>-191.69470000000001</v>
      </c>
      <c r="K1996">
        <v>1.1211279999999999</v>
      </c>
      <c r="L1996">
        <v>313.6832</v>
      </c>
      <c r="M1996">
        <v>-1.382239E-2</v>
      </c>
      <c r="N1996">
        <v>-1.413496E-2</v>
      </c>
      <c r="O1996">
        <v>-0.99980460000000004</v>
      </c>
      <c r="P1996">
        <v>-5.9166009999999998E-2</v>
      </c>
      <c r="Q1996">
        <v>-7.1537290000000003E-2</v>
      </c>
      <c r="R1996">
        <v>-0.99568159999999994</v>
      </c>
      <c r="S1996">
        <v>-0.87289430000000001</v>
      </c>
      <c r="T1996">
        <v>-8.4191559999999999E-2</v>
      </c>
      <c r="U1996">
        <v>-2.9553829999999999</v>
      </c>
      <c r="V1996">
        <v>4.5365889999999999E-2</v>
      </c>
      <c r="W1996">
        <v>-5.7470019999999997E-2</v>
      </c>
      <c r="X1996">
        <v>0.99731590000000003</v>
      </c>
      <c r="Y1996">
        <v>0.26987359999999999</v>
      </c>
      <c r="Z1996">
        <v>1.3255899999999999E-2</v>
      </c>
      <c r="AA1996">
        <v>0.96280449999999995</v>
      </c>
      <c r="AB1996">
        <v>18</v>
      </c>
      <c r="AC1996">
        <v>-10.790999999999899</v>
      </c>
      <c r="AD1996">
        <v>-1.04112662</v>
      </c>
      <c r="AE1996">
        <v>-36.342799999999997</v>
      </c>
      <c r="AF1996">
        <v>10.2798215063257</v>
      </c>
      <c r="AG1996">
        <v>-1.04112662</v>
      </c>
      <c r="AH1996">
        <v>36.4610014038591</v>
      </c>
      <c r="AI1996">
        <v>91.574268904011106</v>
      </c>
      <c r="AJ1996">
        <v>74.254722793393398</v>
      </c>
      <c r="AK1996">
        <v>37.896745219253397</v>
      </c>
      <c r="AL1996">
        <v>93.294605078266301</v>
      </c>
      <c r="AM1996">
        <v>87.395525846080403</v>
      </c>
      <c r="AN1996">
        <v>0.99999993578354895</v>
      </c>
    </row>
    <row r="1997" spans="1:40" x14ac:dyDescent="0.25">
      <c r="A1997" t="str">
        <f>"20190303154135318"</f>
        <v>20190303154135318</v>
      </c>
      <c r="B1997" t="str">
        <f>"1551598895310904"</f>
        <v>1551598895310904</v>
      </c>
      <c r="C1997" t="s">
        <v>40</v>
      </c>
      <c r="D1997">
        <v>5.2501569999999997</v>
      </c>
      <c r="E1997">
        <v>0.5826057</v>
      </c>
      <c r="F1997" t="s">
        <v>46</v>
      </c>
      <c r="G1997">
        <v>-201.56209999999999</v>
      </c>
      <c r="H1997" s="1">
        <v>3.4297739999999999E-6</v>
      </c>
      <c r="I1997">
        <v>279.1454</v>
      </c>
      <c r="J1997">
        <v>-191.69749999999999</v>
      </c>
      <c r="K1997">
        <v>1.121138</v>
      </c>
      <c r="L1997">
        <v>313.51069999999999</v>
      </c>
      <c r="M1997">
        <v>-1.41987E-2</v>
      </c>
      <c r="N1997">
        <v>-1.413066E-2</v>
      </c>
      <c r="O1997">
        <v>-0.99979929999999995</v>
      </c>
      <c r="P1997">
        <v>-5.9874539999999997E-2</v>
      </c>
      <c r="Q1997">
        <v>-7.1745939999999994E-2</v>
      </c>
      <c r="R1997">
        <v>-0.99562439999999996</v>
      </c>
      <c r="S1997">
        <v>-0.84449769999999902</v>
      </c>
      <c r="T1997">
        <v>-9.5950960000000002E-2</v>
      </c>
      <c r="U1997">
        <v>-2.955902</v>
      </c>
      <c r="V1997">
        <v>4.5701150000000003E-2</v>
      </c>
      <c r="W1997">
        <v>-5.7682629999999999E-2</v>
      </c>
      <c r="X1997">
        <v>0.99728839999999996</v>
      </c>
      <c r="Y1997">
        <v>0.26090350000000001</v>
      </c>
      <c r="Z1997">
        <v>1.715386E-2</v>
      </c>
      <c r="AA1997">
        <v>0.96521250000000003</v>
      </c>
      <c r="AB1997">
        <v>18</v>
      </c>
      <c r="AC1997">
        <v>-9.8645999999999905</v>
      </c>
      <c r="AD1997">
        <v>-1.121134570226</v>
      </c>
      <c r="AE1997">
        <v>-34.365299999999898</v>
      </c>
      <c r="AF1997">
        <v>9.3664040287475991</v>
      </c>
      <c r="AG1997">
        <v>-1.121134570226</v>
      </c>
      <c r="AH1997">
        <v>34.468020981607701</v>
      </c>
      <c r="AI1997">
        <v>91.797839578110796</v>
      </c>
      <c r="AJ1997">
        <v>74.797445812532104</v>
      </c>
      <c r="AK1997">
        <v>35.735569640665297</v>
      </c>
      <c r="AL1997">
        <v>93.306806708042899</v>
      </c>
      <c r="AM1997">
        <v>87.376232983860902</v>
      </c>
      <c r="AN1997">
        <v>1.00000001684479</v>
      </c>
    </row>
    <row r="1998" spans="1:40" x14ac:dyDescent="0.25">
      <c r="A1998" t="str">
        <f>"20190303154135340"</f>
        <v>20190303154135340</v>
      </c>
      <c r="B1998" t="str">
        <f>"1551598895331401"</f>
        <v>1551598895331401</v>
      </c>
      <c r="C1998" t="s">
        <v>40</v>
      </c>
      <c r="D1998">
        <v>5.3248150000000001</v>
      </c>
      <c r="E1998">
        <v>0.58139189999999996</v>
      </c>
      <c r="F1998" t="s">
        <v>46</v>
      </c>
      <c r="G1998">
        <v>-201.27160000000001</v>
      </c>
      <c r="H1998" s="1">
        <v>3.2145080000000001E-6</v>
      </c>
      <c r="I1998">
        <v>279.65620000000001</v>
      </c>
      <c r="J1998">
        <v>-191.7004</v>
      </c>
      <c r="K1998">
        <v>1.121148</v>
      </c>
      <c r="L1998">
        <v>313.33690000000001</v>
      </c>
      <c r="M1998">
        <v>-1.4566839999999999E-2</v>
      </c>
      <c r="N1998">
        <v>-1.4126349999999999E-2</v>
      </c>
      <c r="O1998">
        <v>-0.99979430000000002</v>
      </c>
      <c r="P1998">
        <v>-6.067877E-2</v>
      </c>
      <c r="Q1998">
        <v>-7.1443090000000001E-2</v>
      </c>
      <c r="R1998">
        <v>-0.99559779999999998</v>
      </c>
      <c r="S1998">
        <v>-0.83592219999999995</v>
      </c>
      <c r="T1998">
        <v>-9.7887639999999998E-2</v>
      </c>
      <c r="U1998">
        <v>-2.9558719999999998</v>
      </c>
      <c r="V1998">
        <v>4.614029E-2</v>
      </c>
      <c r="W1998">
        <v>-5.738323E-2</v>
      </c>
      <c r="X1998">
        <v>0.99728539999999999</v>
      </c>
      <c r="Y1998">
        <v>0.2579554</v>
      </c>
      <c r="Z1998">
        <v>1.781429E-2</v>
      </c>
      <c r="AA1998">
        <v>0.96599259999999998</v>
      </c>
      <c r="AB1998">
        <v>18</v>
      </c>
      <c r="AC1998">
        <v>-9.5711999999999993</v>
      </c>
      <c r="AD1998">
        <v>-1.121144785492</v>
      </c>
      <c r="AE1998">
        <v>-33.680700000000002</v>
      </c>
      <c r="AF1998">
        <v>9.0702147165278006</v>
      </c>
      <c r="AG1998">
        <v>-1.121144785492</v>
      </c>
      <c r="AH1998">
        <v>33.781926477570003</v>
      </c>
      <c r="AI1998">
        <v>91.835844665577</v>
      </c>
      <c r="AJ1998">
        <v>74.970927039189803</v>
      </c>
      <c r="AK1998">
        <v>34.996347197527598</v>
      </c>
      <c r="AL1998">
        <v>93.289624060334802</v>
      </c>
      <c r="AM1998">
        <v>87.351049124648696</v>
      </c>
      <c r="AN1998">
        <v>0.99999996524983703</v>
      </c>
    </row>
    <row r="1999" spans="1:40" x14ac:dyDescent="0.25">
      <c r="A1999" t="str">
        <f>"20190303154135361"</f>
        <v>20190303154135361</v>
      </c>
      <c r="B1999" t="str">
        <f>"1551598895351896"</f>
        <v>1551598895351896</v>
      </c>
      <c r="C1999" t="s">
        <v>40</v>
      </c>
      <c r="D1999">
        <v>5.3542300000000003</v>
      </c>
      <c r="E1999">
        <v>0.58030590000000004</v>
      </c>
      <c r="F1999" t="s">
        <v>46</v>
      </c>
      <c r="G1999">
        <v>-200.9316</v>
      </c>
      <c r="H1999" s="1">
        <v>2.9972529999999998E-6</v>
      </c>
      <c r="I1999">
        <v>280.41660000000002</v>
      </c>
      <c r="J1999">
        <v>-191.70349999999999</v>
      </c>
      <c r="K1999">
        <v>1.1211580000000001</v>
      </c>
      <c r="L1999">
        <v>313.15600000000001</v>
      </c>
      <c r="M1999">
        <v>-1.4933190000000001E-2</v>
      </c>
      <c r="N1999">
        <v>-1.412181E-2</v>
      </c>
      <c r="O1999">
        <v>-0.99978880000000003</v>
      </c>
      <c r="P1999">
        <v>-6.1511059999999999E-2</v>
      </c>
      <c r="Q1999">
        <v>-7.1122290000000005E-2</v>
      </c>
      <c r="R1999">
        <v>-0.99556929999999999</v>
      </c>
      <c r="S1999">
        <v>-0.828750599999999</v>
      </c>
      <c r="T1999">
        <v>-0.1006538</v>
      </c>
      <c r="U1999">
        <v>-2.955505</v>
      </c>
      <c r="V1999">
        <v>4.6609610000000003E-2</v>
      </c>
      <c r="W1999">
        <v>-5.706584E-2</v>
      </c>
      <c r="X1999">
        <v>0.9972818</v>
      </c>
      <c r="Y1999">
        <v>0.25545469999999998</v>
      </c>
      <c r="Z1999">
        <v>1.8745620000000001E-2</v>
      </c>
      <c r="AA1999">
        <v>0.96663929999999998</v>
      </c>
      <c r="AB1999">
        <v>18</v>
      </c>
      <c r="AC1999">
        <v>-9.2281000000000102</v>
      </c>
      <c r="AD1999">
        <v>-1.1211550027470001</v>
      </c>
      <c r="AE1999">
        <v>-32.739399999999897</v>
      </c>
      <c r="AF1999">
        <v>8.7286356282240298</v>
      </c>
      <c r="AG1999">
        <v>-1.1211550027470001</v>
      </c>
      <c r="AH1999">
        <v>32.837892377480003</v>
      </c>
      <c r="AI1999">
        <v>91.889864755874498</v>
      </c>
      <c r="AJ1999">
        <v>75.114424730320394</v>
      </c>
      <c r="AK1999">
        <v>33.996665193301602</v>
      </c>
      <c r="AL1999">
        <v>93.271409064709204</v>
      </c>
      <c r="AM1999">
        <v>87.3241344086114</v>
      </c>
      <c r="AN1999">
        <v>0.99999997722524803</v>
      </c>
    </row>
    <row r="2000" spans="1:40" x14ac:dyDescent="0.25">
      <c r="A2000" t="str">
        <f>"20190303154135383"</f>
        <v>20190303154135383</v>
      </c>
      <c r="B2000" t="str">
        <f>"1551598895371416"</f>
        <v>1551598895371416</v>
      </c>
      <c r="C2000" t="s">
        <v>40</v>
      </c>
      <c r="D2000">
        <v>5.3234159999999999</v>
      </c>
      <c r="E2000">
        <v>0.53676269999999904</v>
      </c>
      <c r="F2000" t="s">
        <v>46</v>
      </c>
      <c r="G2000">
        <v>-200.65450000000001</v>
      </c>
      <c r="H2000" s="1">
        <v>2.8231640000000002E-6</v>
      </c>
      <c r="I2000">
        <v>281.0027</v>
      </c>
      <c r="J2000">
        <v>-191.70660000000001</v>
      </c>
      <c r="K2000">
        <v>1.1211690000000001</v>
      </c>
      <c r="L2000">
        <v>312.97699999999998</v>
      </c>
      <c r="M2000">
        <v>-1.527389E-2</v>
      </c>
      <c r="N2000">
        <v>-1.4117299999999999E-2</v>
      </c>
      <c r="O2000">
        <v>-0.99978409999999995</v>
      </c>
      <c r="P2000">
        <v>-6.2102659999999997E-2</v>
      </c>
      <c r="Q2000">
        <v>-7.0965130000000001E-2</v>
      </c>
      <c r="R2000">
        <v>-0.99554419999999999</v>
      </c>
      <c r="S2000">
        <v>-0.82267760000000001</v>
      </c>
      <c r="T2000">
        <v>-0.103044</v>
      </c>
      <c r="U2000">
        <v>-2.9551699999999999</v>
      </c>
      <c r="V2000">
        <v>4.686398E-2</v>
      </c>
      <c r="W2000">
        <v>-5.6911740000000002E-2</v>
      </c>
      <c r="X2000">
        <v>0.99727869999999996</v>
      </c>
      <c r="Y2000">
        <v>0.25330570000000002</v>
      </c>
      <c r="Z2000">
        <v>1.9551889999999999E-2</v>
      </c>
      <c r="AA2000">
        <v>0.96718870000000001</v>
      </c>
      <c r="AB2000">
        <v>18</v>
      </c>
      <c r="AC2000">
        <v>-8.9479000000000006</v>
      </c>
      <c r="AD2000">
        <v>-1.121166176836</v>
      </c>
      <c r="AE2000">
        <v>-31.974299999999999</v>
      </c>
      <c r="AF2000">
        <v>8.4488020064039802</v>
      </c>
      <c r="AG2000">
        <v>-1.121166176836</v>
      </c>
      <c r="AH2000">
        <v>32.070684209908599</v>
      </c>
      <c r="AI2000">
        <v>91.936192257726503</v>
      </c>
      <c r="AJ2000">
        <v>75.241152966252201</v>
      </c>
      <c r="AK2000">
        <v>33.183852317522998</v>
      </c>
      <c r="AL2000">
        <v>93.262565363677894</v>
      </c>
      <c r="AM2000">
        <v>87.309544032277799</v>
      </c>
      <c r="AN2000">
        <v>0.99999999212247903</v>
      </c>
    </row>
    <row r="2001" spans="1:40" x14ac:dyDescent="0.25">
      <c r="A2001" t="str">
        <f>"20190303154135407"</f>
        <v>20190303154135407</v>
      </c>
      <c r="B2001" t="str">
        <f>"1551598895401205"</f>
        <v>1551598895401205</v>
      </c>
      <c r="C2001" t="s">
        <v>40</v>
      </c>
      <c r="D2001">
        <v>5.3019119999999997</v>
      </c>
      <c r="E2001">
        <v>0.51714229999999906</v>
      </c>
      <c r="F2001" t="s">
        <v>46</v>
      </c>
      <c r="G2001">
        <v>-194.12209999999999</v>
      </c>
      <c r="H2001" s="1">
        <v>2.8227650000000002E-7</v>
      </c>
      <c r="I2001">
        <v>298.01350000000002</v>
      </c>
      <c r="J2001">
        <v>-191.7098</v>
      </c>
      <c r="K2001">
        <v>1.1211850000000001</v>
      </c>
      <c r="L2001">
        <v>312.79469999999998</v>
      </c>
      <c r="M2001">
        <v>-1.559546E-2</v>
      </c>
      <c r="N2001">
        <v>-1.4112690000000001E-2</v>
      </c>
      <c r="O2001">
        <v>-0.99977879999999997</v>
      </c>
      <c r="P2001">
        <v>-6.2608170000000005E-2</v>
      </c>
      <c r="Q2001">
        <v>-7.1257070000000006E-2</v>
      </c>
      <c r="R2001">
        <v>-0.99549129999999997</v>
      </c>
      <c r="S2001">
        <v>-0.47906490000000002</v>
      </c>
      <c r="T2001">
        <v>-0.22235750000000001</v>
      </c>
      <c r="U2001">
        <v>-2.967651</v>
      </c>
      <c r="V2001">
        <v>4.7051860000000001E-2</v>
      </c>
      <c r="W2001">
        <v>-5.7206970000000003E-2</v>
      </c>
      <c r="X2001">
        <v>0.9972529</v>
      </c>
      <c r="Y2001">
        <v>0.14357519999999999</v>
      </c>
      <c r="Z2001">
        <v>5.9778400000000002E-2</v>
      </c>
      <c r="AA2001">
        <v>0.9878323</v>
      </c>
      <c r="AB2001">
        <v>18</v>
      </c>
      <c r="AC2001">
        <v>-2.4122999999999801</v>
      </c>
      <c r="AD2001">
        <v>-1.1211847177234999</v>
      </c>
      <c r="AE2001">
        <v>-14.781199999999901</v>
      </c>
      <c r="AF2001">
        <v>2.1693066148554698</v>
      </c>
      <c r="AG2001">
        <v>-1.1211847177234999</v>
      </c>
      <c r="AH2001">
        <v>14.7344508212976</v>
      </c>
      <c r="AI2001">
        <v>94.305175844592796</v>
      </c>
      <c r="AJ2001">
        <v>81.624691321887198</v>
      </c>
      <c r="AK2001">
        <v>14.9354272575561</v>
      </c>
      <c r="AL2001">
        <v>93.279508602145697</v>
      </c>
      <c r="AM2001">
        <v>87.298704025786094</v>
      </c>
      <c r="AN2001">
        <v>0.99999993075222204</v>
      </c>
    </row>
    <row r="2002" spans="1:40" x14ac:dyDescent="0.25">
      <c r="A2002" t="str">
        <f>"20190303154135429"</f>
        <v>20190303154135429</v>
      </c>
      <c r="B2002" t="str">
        <f>"1551598895421702"</f>
        <v>1551598895421702</v>
      </c>
      <c r="C2002" t="s">
        <v>40</v>
      </c>
      <c r="D2002">
        <v>5.2987089999999997</v>
      </c>
      <c r="E2002">
        <v>0.51352200000000003</v>
      </c>
      <c r="F2002" t="s">
        <v>46</v>
      </c>
      <c r="G2002">
        <v>-193.30289999999999</v>
      </c>
      <c r="H2002" s="1">
        <v>2.5334820000000001E-7</v>
      </c>
      <c r="I2002">
        <v>298.17779999999999</v>
      </c>
      <c r="J2002">
        <v>-191.71299999999999</v>
      </c>
      <c r="K2002">
        <v>1.12121</v>
      </c>
      <c r="L2002">
        <v>312.6146</v>
      </c>
      <c r="M2002">
        <v>-1.5886859999999999E-2</v>
      </c>
      <c r="N2002">
        <v>-1.410814E-2</v>
      </c>
      <c r="O2002">
        <v>-0.99977450000000001</v>
      </c>
      <c r="P2002">
        <v>-6.2895380000000001E-2</v>
      </c>
      <c r="Q2002">
        <v>-7.1500750000000002E-2</v>
      </c>
      <c r="R2002">
        <v>-0.9954558</v>
      </c>
      <c r="S2002">
        <v>-0.324447599999999</v>
      </c>
      <c r="T2002">
        <v>-0.22833419999999999</v>
      </c>
      <c r="U2002">
        <v>-2.976807</v>
      </c>
      <c r="V2002">
        <v>4.70514E-2</v>
      </c>
      <c r="W2002">
        <v>-5.7453499999999998E-2</v>
      </c>
      <c r="X2002">
        <v>0.99723879999999998</v>
      </c>
      <c r="Y2002">
        <v>9.2274410000000001E-2</v>
      </c>
      <c r="Z2002">
        <v>6.2015840000000003E-2</v>
      </c>
      <c r="AA2002">
        <v>0.99380049999999998</v>
      </c>
      <c r="AB2002">
        <v>18</v>
      </c>
      <c r="AC2002">
        <v>-1.5899000000000001</v>
      </c>
      <c r="AD2002">
        <v>-1.1212097466518001</v>
      </c>
      <c r="AE2002">
        <v>-14.4368</v>
      </c>
      <c r="AF2002">
        <v>1.35226255644989</v>
      </c>
      <c r="AG2002">
        <v>-1.1212097466518001</v>
      </c>
      <c r="AH2002">
        <v>14.374576061390201</v>
      </c>
      <c r="AI2002">
        <v>94.440485569932903</v>
      </c>
      <c r="AJ2002">
        <v>84.625818109355905</v>
      </c>
      <c r="AK2002">
        <v>14.4815110489982</v>
      </c>
      <c r="AL2002">
        <v>93.293656834447404</v>
      </c>
      <c r="AM2002">
        <v>87.298692258956805</v>
      </c>
      <c r="AN2002">
        <v>0.99999998156482395</v>
      </c>
    </row>
    <row r="2003" spans="1:40" x14ac:dyDescent="0.25">
      <c r="A2003" t="str">
        <f>"20190303154135450"</f>
        <v>20190303154135450</v>
      </c>
      <c r="B2003" t="str">
        <f>"1551598895441221"</f>
        <v>1551598895441221</v>
      </c>
      <c r="C2003" t="s">
        <v>40</v>
      </c>
      <c r="D2003">
        <v>5.3169789999999999</v>
      </c>
      <c r="E2003">
        <v>0.51201249999999998</v>
      </c>
      <c r="F2003" t="s">
        <v>46</v>
      </c>
      <c r="G2003">
        <v>-193.12960000000001</v>
      </c>
      <c r="H2003" s="1">
        <v>2.1623619999999999E-7</v>
      </c>
      <c r="I2003">
        <v>298.38850000000002</v>
      </c>
      <c r="J2003">
        <v>-191.71610000000001</v>
      </c>
      <c r="K2003">
        <v>1.1212310000000001</v>
      </c>
      <c r="L2003">
        <v>312.43970000000002</v>
      </c>
      <c r="M2003">
        <v>-1.6145670000000001E-2</v>
      </c>
      <c r="N2003">
        <v>-1.410369E-2</v>
      </c>
      <c r="O2003">
        <v>-0.99977039999999995</v>
      </c>
      <c r="P2003">
        <v>-6.3585069999999994E-2</v>
      </c>
      <c r="Q2003">
        <v>-7.205628E-2</v>
      </c>
      <c r="R2003">
        <v>-0.99537189999999998</v>
      </c>
      <c r="S2003">
        <v>-0.2965546</v>
      </c>
      <c r="T2003">
        <v>-0.23471700000000001</v>
      </c>
      <c r="U2003">
        <v>-2.978119</v>
      </c>
      <c r="V2003">
        <v>4.7486510000000003E-2</v>
      </c>
      <c r="W2003">
        <v>-5.8012559999999998E-2</v>
      </c>
      <c r="X2003">
        <v>0.99718580000000001</v>
      </c>
      <c r="Y2003">
        <v>8.2748899999999903E-2</v>
      </c>
      <c r="Z2003">
        <v>6.4171179999999994E-2</v>
      </c>
      <c r="AA2003">
        <v>0.9945022</v>
      </c>
      <c r="AB2003">
        <v>18</v>
      </c>
      <c r="AC2003">
        <v>-1.41349999999999</v>
      </c>
      <c r="AD2003">
        <v>-1.12123078376379</v>
      </c>
      <c r="AE2003">
        <v>-14.0511999999999</v>
      </c>
      <c r="AF2003">
        <v>1.1789952159043</v>
      </c>
      <c r="AG2003">
        <v>-1.12123078376379</v>
      </c>
      <c r="AH2003">
        <v>13.984042074585</v>
      </c>
      <c r="AI2003">
        <v>94.567991876447294</v>
      </c>
      <c r="AJ2003">
        <v>85.180787306144694</v>
      </c>
      <c r="AK2003">
        <v>14.078374229055999</v>
      </c>
      <c r="AL2003">
        <v>93.325742159778997</v>
      </c>
      <c r="AM2003">
        <v>87.273604625505797</v>
      </c>
      <c r="AN2003">
        <v>0.99999997273568597</v>
      </c>
    </row>
    <row r="2004" spans="1:40" x14ac:dyDescent="0.25">
      <c r="A2004" t="str">
        <f>"20190303154135473"</f>
        <v>20190303154135473</v>
      </c>
      <c r="B2004" t="str">
        <f>"1551598895461721"</f>
        <v>1551598895461721</v>
      </c>
      <c r="C2004" t="s">
        <v>40</v>
      </c>
      <c r="D2004">
        <v>5.3914650000000002</v>
      </c>
      <c r="E2004">
        <v>0.50990449999999998</v>
      </c>
      <c r="F2004" t="s">
        <v>46</v>
      </c>
      <c r="G2004">
        <v>-193.05019999999999</v>
      </c>
      <c r="H2004" s="1">
        <v>1.829893E-7</v>
      </c>
      <c r="I2004">
        <v>298.57729999999998</v>
      </c>
      <c r="J2004">
        <v>-191.7193</v>
      </c>
      <c r="K2004">
        <v>1.121248</v>
      </c>
      <c r="L2004">
        <v>312.25689999999997</v>
      </c>
      <c r="M2004">
        <v>-1.639347E-2</v>
      </c>
      <c r="N2004">
        <v>-1.409905E-2</v>
      </c>
      <c r="O2004">
        <v>-0.9997663</v>
      </c>
      <c r="P2004">
        <v>-6.3685930000000002E-2</v>
      </c>
      <c r="Q2004">
        <v>-7.2062650000000006E-2</v>
      </c>
      <c r="R2004">
        <v>-0.9953651</v>
      </c>
      <c r="S2004">
        <v>-0.28662110000000002</v>
      </c>
      <c r="T2004">
        <v>-0.24088609999999999</v>
      </c>
      <c r="U2004">
        <v>-2.9782099999999998</v>
      </c>
      <c r="V2004">
        <v>4.7342639999999998E-2</v>
      </c>
      <c r="W2004">
        <v>-5.8021709999999997E-2</v>
      </c>
      <c r="X2004">
        <v>0.99719210000000003</v>
      </c>
      <c r="Y2004">
        <v>7.920104E-2</v>
      </c>
      <c r="Z2004">
        <v>6.6242250000000003E-2</v>
      </c>
      <c r="AA2004">
        <v>0.99465530000000002</v>
      </c>
      <c r="AB2004">
        <v>18</v>
      </c>
      <c r="AC2004">
        <v>-1.33089999999998</v>
      </c>
      <c r="AD2004">
        <v>-1.1212478170106901</v>
      </c>
      <c r="AE2004">
        <v>-13.679599999999899</v>
      </c>
      <c r="AF2004">
        <v>1.09912775193727</v>
      </c>
      <c r="AG2004">
        <v>-1.1212478170106901</v>
      </c>
      <c r="AH2004">
        <v>13.6090100973034</v>
      </c>
      <c r="AI2004">
        <v>94.6947491901945</v>
      </c>
      <c r="AJ2004">
        <v>85.3825453779735</v>
      </c>
      <c r="AK2004">
        <v>13.6992859051389</v>
      </c>
      <c r="AL2004">
        <v>93.326267328661103</v>
      </c>
      <c r="AM2004">
        <v>87.281869532467695</v>
      </c>
      <c r="AN2004">
        <v>0.99999996434795102</v>
      </c>
    </row>
    <row r="2005" spans="1:40" x14ac:dyDescent="0.25">
      <c r="A2005" t="str">
        <f>"20190303154135499"</f>
        <v>20190303154135499</v>
      </c>
      <c r="B2005" t="str">
        <f>"1551598895490998"</f>
        <v>1551598895490998</v>
      </c>
      <c r="C2005" t="s">
        <v>40</v>
      </c>
      <c r="D2005">
        <v>5.408633</v>
      </c>
      <c r="E2005">
        <v>0.50774540000000001</v>
      </c>
      <c r="F2005" t="s">
        <v>46</v>
      </c>
      <c r="G2005">
        <v>-192.94399999999999</v>
      </c>
      <c r="H2005" s="1">
        <v>1.523352E-7</v>
      </c>
      <c r="I2005">
        <v>298.75130000000001</v>
      </c>
      <c r="J2005">
        <v>-191.72300000000001</v>
      </c>
      <c r="K2005">
        <v>1.12127</v>
      </c>
      <c r="L2005">
        <v>312.05160000000001</v>
      </c>
      <c r="M2005">
        <v>-1.6647950000000002E-2</v>
      </c>
      <c r="N2005">
        <v>-1.4094000000000001E-2</v>
      </c>
      <c r="O2005">
        <v>-0.99976229999999999</v>
      </c>
      <c r="P2005">
        <v>-6.3786979999999993E-2</v>
      </c>
      <c r="Q2005">
        <v>-7.1351739999999997E-2</v>
      </c>
      <c r="R2005">
        <v>-0.99541009999999996</v>
      </c>
      <c r="S2005">
        <v>-0.27012629999999999</v>
      </c>
      <c r="T2005">
        <v>-0.2473011</v>
      </c>
      <c r="U2005">
        <v>-2.9787599999999999</v>
      </c>
      <c r="V2005">
        <v>4.71911E-2</v>
      </c>
      <c r="W2005">
        <v>-5.731373E-2</v>
      </c>
      <c r="X2005">
        <v>0.99724020000000002</v>
      </c>
      <c r="Y2005">
        <v>7.3457960000000003E-2</v>
      </c>
      <c r="Z2005">
        <v>6.8396559999999995E-2</v>
      </c>
      <c r="AA2005">
        <v>0.99495020000000001</v>
      </c>
      <c r="AB2005">
        <v>18</v>
      </c>
      <c r="AC2005">
        <v>-1.2210000000000301</v>
      </c>
      <c r="AD2005">
        <v>-1.1212698476648</v>
      </c>
      <c r="AE2005">
        <v>-13.300299999999901</v>
      </c>
      <c r="AF2005">
        <v>0.992391912702281</v>
      </c>
      <c r="AG2005">
        <v>-1.1212698476648</v>
      </c>
      <c r="AH2005">
        <v>13.225574544247801</v>
      </c>
      <c r="AI2005">
        <v>94.832451725598204</v>
      </c>
      <c r="AJ2005">
        <v>85.7088054692165</v>
      </c>
      <c r="AK2005">
        <v>13.3100679864956</v>
      </c>
      <c r="AL2005">
        <v>93.285635522083794</v>
      </c>
      <c r="AM2005">
        <v>87.290687554780106</v>
      </c>
      <c r="AN2005">
        <v>0.999999940030879</v>
      </c>
    </row>
    <row r="2006" spans="1:40" x14ac:dyDescent="0.25">
      <c r="A2006" t="str">
        <f>"20190303154135519"</f>
        <v>20190303154135519</v>
      </c>
      <c r="B2006" t="str">
        <f>"1551598895511494"</f>
        <v>1551598895511494</v>
      </c>
      <c r="C2006" t="s">
        <v>40</v>
      </c>
      <c r="D2006">
        <v>5.4653</v>
      </c>
      <c r="E2006">
        <v>0.50689830000000002</v>
      </c>
      <c r="F2006" t="s">
        <v>42</v>
      </c>
      <c r="G2006">
        <v>-191.79679999999999</v>
      </c>
      <c r="H2006">
        <v>1.0475969999999999</v>
      </c>
      <c r="I2006">
        <v>311.18430000000001</v>
      </c>
      <c r="J2006">
        <v>-191.7259</v>
      </c>
      <c r="K2006">
        <v>1.1212850000000001</v>
      </c>
      <c r="L2006">
        <v>311.8888</v>
      </c>
      <c r="M2006">
        <v>-1.6837359999999999E-2</v>
      </c>
      <c r="N2006">
        <v>-1.4089859999999999E-2</v>
      </c>
      <c r="O2006">
        <v>-0.99975899999999995</v>
      </c>
      <c r="P2006">
        <v>-6.3031699999999996E-2</v>
      </c>
      <c r="Q2006">
        <v>-7.0680300000000001E-2</v>
      </c>
      <c r="R2006">
        <v>-0.9955058</v>
      </c>
      <c r="S2006">
        <v>-0.25346370000000001</v>
      </c>
      <c r="T2006">
        <v>-0.2531641</v>
      </c>
      <c r="U2006">
        <v>-2.9794619999999998</v>
      </c>
      <c r="V2006">
        <v>4.6246379999999997E-2</v>
      </c>
      <c r="W2006">
        <v>-5.6644420000000001E-2</v>
      </c>
      <c r="X2006">
        <v>0.99732270000000001</v>
      </c>
      <c r="Y2006">
        <v>6.7716559999999995E-2</v>
      </c>
      <c r="Z2006">
        <v>7.0360530000000004E-2</v>
      </c>
      <c r="AA2006">
        <v>0.99522049999999995</v>
      </c>
      <c r="AB2006">
        <v>18</v>
      </c>
      <c r="AC2006">
        <v>-7.0899999999994606E-2</v>
      </c>
      <c r="AD2006">
        <v>-7.3688000000000198E-2</v>
      </c>
      <c r="AE2006">
        <v>-0.70449999999999502</v>
      </c>
      <c r="AF2006">
        <v>5.8394399967879103E-2</v>
      </c>
      <c r="AG2006">
        <v>-7.3688000000000198E-2</v>
      </c>
      <c r="AH2006">
        <v>0.69803382910740697</v>
      </c>
      <c r="AI2006">
        <v>96.005292401227905</v>
      </c>
      <c r="AJ2006">
        <v>85.218024785371796</v>
      </c>
      <c r="AK2006">
        <v>0.704337315403605</v>
      </c>
      <c r="AL2006">
        <v>93.247224467722802</v>
      </c>
      <c r="AM2006">
        <v>87.3450662749473</v>
      </c>
      <c r="AN2006">
        <v>0.99999994295776296</v>
      </c>
    </row>
    <row r="2007" spans="1:40" x14ac:dyDescent="0.25">
      <c r="A2007" t="str">
        <f>"20190303154135540"</f>
        <v>20190303154135540</v>
      </c>
      <c r="B2007" t="str">
        <f>"1551598895531014"</f>
        <v>1551598895531014</v>
      </c>
      <c r="C2007" t="s">
        <v>40</v>
      </c>
      <c r="D2007">
        <v>5.4885769999999896</v>
      </c>
      <c r="E2007">
        <v>0.50626380000000004</v>
      </c>
      <c r="F2007" t="s">
        <v>42</v>
      </c>
      <c r="G2007">
        <v>-191.797</v>
      </c>
      <c r="H2007">
        <v>1.047512</v>
      </c>
      <c r="I2007">
        <v>311.02449999999999</v>
      </c>
      <c r="J2007">
        <v>-191.72909999999999</v>
      </c>
      <c r="K2007">
        <v>1.1212879999999901</v>
      </c>
      <c r="L2007">
        <v>311.71600000000001</v>
      </c>
      <c r="M2007">
        <v>-1.7031330000000001E-2</v>
      </c>
      <c r="N2007">
        <v>-1.4085459999999999E-2</v>
      </c>
      <c r="O2007">
        <v>-0.99975610000000004</v>
      </c>
      <c r="P2007">
        <v>-6.2051179999999997E-2</v>
      </c>
      <c r="Q2007">
        <v>-6.9740070000000001E-2</v>
      </c>
      <c r="R2007">
        <v>-0.99563380000000001</v>
      </c>
      <c r="S2007">
        <v>-0.2443237</v>
      </c>
      <c r="T2007">
        <v>-0.25469409999999998</v>
      </c>
      <c r="U2007">
        <v>-2.9799500000000001</v>
      </c>
      <c r="V2007">
        <v>4.5070859999999997E-2</v>
      </c>
      <c r="W2007">
        <v>-5.5706609999999997E-2</v>
      </c>
      <c r="X2007">
        <v>0.99742940000000002</v>
      </c>
      <c r="Y2007">
        <v>6.4476539999999999E-2</v>
      </c>
      <c r="Z2007">
        <v>7.0877280000000001E-2</v>
      </c>
      <c r="AA2007">
        <v>0.99539900000000003</v>
      </c>
      <c r="AB2007">
        <v>18</v>
      </c>
      <c r="AC2007">
        <v>-6.7900000000008703E-2</v>
      </c>
      <c r="AD2007">
        <v>-7.37759999999998E-2</v>
      </c>
      <c r="AE2007">
        <v>-0.69150000000001899</v>
      </c>
      <c r="AF2007">
        <v>5.5486267775687402E-2</v>
      </c>
      <c r="AG2007">
        <v>-7.37759999999998E-2</v>
      </c>
      <c r="AH2007">
        <v>0.684835380869662</v>
      </c>
      <c r="AI2007">
        <v>96.128722328514996</v>
      </c>
      <c r="AJ2007">
        <v>85.367938181327602</v>
      </c>
      <c r="AK2007">
        <v>0.69102903193611898</v>
      </c>
      <c r="AL2007">
        <v>93.193406715665503</v>
      </c>
      <c r="AM2007">
        <v>87.412734586711906</v>
      </c>
      <c r="AN2007">
        <v>1.0000000084015901</v>
      </c>
    </row>
    <row r="2008" spans="1:40" x14ac:dyDescent="0.25">
      <c r="A2008" t="str">
        <f>"20190303154135564"</f>
        <v>20190303154135564</v>
      </c>
      <c r="B2008" t="str">
        <f>"1551598895551510"</f>
        <v>1551598895551510</v>
      </c>
      <c r="C2008" t="s">
        <v>40</v>
      </c>
      <c r="D2008">
        <v>5.489827</v>
      </c>
      <c r="E2008">
        <v>0.50573579999999996</v>
      </c>
      <c r="F2008" t="s">
        <v>42</v>
      </c>
      <c r="G2008">
        <v>-191.79669999999999</v>
      </c>
      <c r="H2008">
        <v>1.0481499999999999</v>
      </c>
      <c r="I2008">
        <v>310.86439999999999</v>
      </c>
      <c r="J2008">
        <v>-191.73240000000001</v>
      </c>
      <c r="K2008">
        <v>1.1212839999999999</v>
      </c>
      <c r="L2008">
        <v>311.53179999999998</v>
      </c>
      <c r="M2008">
        <v>-1.7234840000000001E-2</v>
      </c>
      <c r="N2008">
        <v>-1.408069E-2</v>
      </c>
      <c r="O2008">
        <v>-0.99975250000000004</v>
      </c>
      <c r="P2008">
        <v>-6.0689170000000001E-2</v>
      </c>
      <c r="Q2008">
        <v>-6.890462E-2</v>
      </c>
      <c r="R2008">
        <v>-0.99577590000000005</v>
      </c>
      <c r="S2008">
        <v>-0.2364502</v>
      </c>
      <c r="T2008">
        <v>-0.25604959999999999</v>
      </c>
      <c r="U2008">
        <v>-2.980499</v>
      </c>
      <c r="V2008">
        <v>4.3503640000000003E-2</v>
      </c>
      <c r="W2008">
        <v>-5.4874069999999997E-2</v>
      </c>
      <c r="X2008">
        <v>0.99754509999999996</v>
      </c>
      <c r="Y2008">
        <v>6.1644900000000002E-2</v>
      </c>
      <c r="Z2008">
        <v>7.1331519999999995E-2</v>
      </c>
      <c r="AA2008">
        <v>0.99554589999999998</v>
      </c>
      <c r="AB2008">
        <v>18</v>
      </c>
      <c r="AC2008">
        <v>-6.4299999999974405E-2</v>
      </c>
      <c r="AD2008">
        <v>-7.3134000000000005E-2</v>
      </c>
      <c r="AE2008">
        <v>-0.667399999999986</v>
      </c>
      <c r="AF2008">
        <v>5.2166133396808402E-2</v>
      </c>
      <c r="AG2008">
        <v>-7.3134000000000005E-2</v>
      </c>
      <c r="AH2008">
        <v>0.66055030090224698</v>
      </c>
      <c r="AI2008">
        <v>96.298420305565202</v>
      </c>
      <c r="AJ2008">
        <v>85.484509434748205</v>
      </c>
      <c r="AK2008">
        <v>0.66663077295578099</v>
      </c>
      <c r="AL2008">
        <v>93.145632701751794</v>
      </c>
      <c r="AM2008">
        <v>87.502873241029604</v>
      </c>
      <c r="AN2008">
        <v>0.99999997839281196</v>
      </c>
    </row>
    <row r="2009" spans="1:40" x14ac:dyDescent="0.25">
      <c r="A2009" t="str">
        <f>"20190303154135584"</f>
        <v>20190303154135584</v>
      </c>
      <c r="B2009" t="str">
        <f>"1551598895581767"</f>
        <v>1551598895581767</v>
      </c>
      <c r="C2009" t="s">
        <v>40</v>
      </c>
      <c r="D2009">
        <v>5.5236850000000004</v>
      </c>
      <c r="E2009">
        <v>0.50514349999999997</v>
      </c>
      <c r="F2009" t="s">
        <v>42</v>
      </c>
      <c r="G2009">
        <v>-191.7961</v>
      </c>
      <c r="H2009">
        <v>1.049979</v>
      </c>
      <c r="I2009">
        <v>310.70350000000002</v>
      </c>
      <c r="J2009">
        <v>-191.7355</v>
      </c>
      <c r="K2009">
        <v>1.1212770000000001</v>
      </c>
      <c r="L2009">
        <v>311.36680000000001</v>
      </c>
      <c r="M2009">
        <v>-1.7416649999999999E-2</v>
      </c>
      <c r="N2009">
        <v>-1.407637E-2</v>
      </c>
      <c r="O2009">
        <v>-0.99974940000000001</v>
      </c>
      <c r="P2009">
        <v>-5.9019219999999997E-2</v>
      </c>
      <c r="Q2009">
        <v>-6.842094E-2</v>
      </c>
      <c r="R2009">
        <v>-0.99590979999999996</v>
      </c>
      <c r="S2009">
        <v>-0.2283173</v>
      </c>
      <c r="T2009">
        <v>-0.25694060000000002</v>
      </c>
      <c r="U2009">
        <v>-2.980988</v>
      </c>
      <c r="V2009">
        <v>4.1650109999999997E-2</v>
      </c>
      <c r="W2009">
        <v>-5.4392999999999997E-2</v>
      </c>
      <c r="X2009">
        <v>0.99765060000000005</v>
      </c>
      <c r="Y2009">
        <v>5.875085E-2</v>
      </c>
      <c r="Z2009">
        <v>7.1632979999999999E-2</v>
      </c>
      <c r="AA2009">
        <v>0.99569929999999995</v>
      </c>
      <c r="AB2009">
        <v>18</v>
      </c>
      <c r="AC2009">
        <v>-6.0599999999993701E-2</v>
      </c>
      <c r="AD2009">
        <v>-7.1298E-2</v>
      </c>
      <c r="AE2009">
        <v>-0.66329999999999201</v>
      </c>
      <c r="AF2009">
        <v>4.8481676249443099E-2</v>
      </c>
      <c r="AG2009">
        <v>-7.1298E-2</v>
      </c>
      <c r="AH2009">
        <v>0.65672983701762699</v>
      </c>
      <c r="AI2009">
        <v>96.1793754598893</v>
      </c>
      <c r="AJ2009">
        <v>85.777920301652301</v>
      </c>
      <c r="AK2009">
        <v>0.66236542524889896</v>
      </c>
      <c r="AL2009">
        <v>93.118028047015798</v>
      </c>
      <c r="AM2009">
        <v>87.609392954402495</v>
      </c>
      <c r="AN2009">
        <v>1.00000002489618</v>
      </c>
    </row>
    <row r="2010" spans="1:40" x14ac:dyDescent="0.25">
      <c r="A2010" t="str">
        <f>"20190303154135607"</f>
        <v>20190303154135607</v>
      </c>
      <c r="B2010" t="str">
        <f>"1551598895601286"</f>
        <v>1551598895601286</v>
      </c>
      <c r="C2010" t="s">
        <v>40</v>
      </c>
      <c r="D2010">
        <v>5.4777519999999997</v>
      </c>
      <c r="E2010">
        <v>0.50474209999999997</v>
      </c>
      <c r="F2010" t="s">
        <v>42</v>
      </c>
      <c r="G2010">
        <v>-191.79580000000001</v>
      </c>
      <c r="H2010">
        <v>1.0495490000000001</v>
      </c>
      <c r="I2010">
        <v>310.54500000000002</v>
      </c>
      <c r="J2010">
        <v>-191.73869999999999</v>
      </c>
      <c r="K2010">
        <v>1.1212709999999999</v>
      </c>
      <c r="L2010">
        <v>311.19299999999998</v>
      </c>
      <c r="M2010">
        <v>-1.7608229999999999E-2</v>
      </c>
      <c r="N2010">
        <v>-1.4071780000000001E-2</v>
      </c>
      <c r="O2010">
        <v>-0.99974580000000002</v>
      </c>
      <c r="P2010">
        <v>-5.714843E-2</v>
      </c>
      <c r="Q2010">
        <v>-6.8633120000000006E-2</v>
      </c>
      <c r="R2010">
        <v>-0.99600390000000005</v>
      </c>
      <c r="S2010">
        <v>-0.21855160000000001</v>
      </c>
      <c r="T2010">
        <v>-0.26038289999999997</v>
      </c>
      <c r="U2010">
        <v>-2.9814759999999998</v>
      </c>
      <c r="V2010">
        <v>3.9586650000000001E-2</v>
      </c>
      <c r="W2010">
        <v>-5.4608450000000003E-2</v>
      </c>
      <c r="X2010">
        <v>0.99772280000000002</v>
      </c>
      <c r="Y2010">
        <v>5.5299569999999999E-2</v>
      </c>
      <c r="Z2010">
        <v>7.2782050000000001E-2</v>
      </c>
      <c r="AA2010">
        <v>0.99581359999999997</v>
      </c>
      <c r="AB2010">
        <v>18</v>
      </c>
      <c r="AC2010">
        <v>-5.71000000000196E-2</v>
      </c>
      <c r="AD2010">
        <v>-7.17219999999998E-2</v>
      </c>
      <c r="AE2010">
        <v>-0.64799999999996705</v>
      </c>
      <c r="AF2010">
        <v>4.5131259345516601E-2</v>
      </c>
      <c r="AG2010">
        <v>-7.17219999999998E-2</v>
      </c>
      <c r="AH2010">
        <v>0.64111160417406898</v>
      </c>
      <c r="AI2010">
        <v>96.367585716351499</v>
      </c>
      <c r="AJ2010">
        <v>85.973287707965298</v>
      </c>
      <c r="AK2010">
        <v>0.64668768726546799</v>
      </c>
      <c r="AL2010">
        <v>93.130390919763101</v>
      </c>
      <c r="AM2010">
        <v>87.727867027390502</v>
      </c>
      <c r="AN2010">
        <v>0.99999998565473203</v>
      </c>
    </row>
    <row r="2011" spans="1:40" x14ac:dyDescent="0.25">
      <c r="A2011" t="str">
        <f>"20190303154135629"</f>
        <v>20190303154135629</v>
      </c>
      <c r="B2011" t="str">
        <f>"1551598895621782"</f>
        <v>1551598895621782</v>
      </c>
      <c r="C2011" t="s">
        <v>40</v>
      </c>
      <c r="D2011">
        <v>5.506081</v>
      </c>
      <c r="E2011">
        <v>0.50445340000000005</v>
      </c>
      <c r="F2011" t="s">
        <v>42</v>
      </c>
      <c r="G2011">
        <v>-191.79570000000001</v>
      </c>
      <c r="H2011">
        <v>1.0492859999999999</v>
      </c>
      <c r="I2011">
        <v>310.38659999999999</v>
      </c>
      <c r="J2011">
        <v>-191.74209999999999</v>
      </c>
      <c r="K2011">
        <v>1.121273</v>
      </c>
      <c r="L2011">
        <v>311.01229999999998</v>
      </c>
      <c r="M2011">
        <v>-1.7805459999999999E-2</v>
      </c>
      <c r="N2011">
        <v>-1.4067029999999999E-2</v>
      </c>
      <c r="O2011">
        <v>-0.99974269999999998</v>
      </c>
      <c r="P2011">
        <v>-5.5350070000000001E-2</v>
      </c>
      <c r="Q2011">
        <v>-6.9033629999999999E-2</v>
      </c>
      <c r="R2011">
        <v>-0.99607809999999997</v>
      </c>
      <c r="S2011">
        <v>-0.20996090000000001</v>
      </c>
      <c r="T2011">
        <v>-0.26635599999999998</v>
      </c>
      <c r="U2011">
        <v>-2.9816590000000001</v>
      </c>
      <c r="V2011">
        <v>3.7590539999999999E-2</v>
      </c>
      <c r="W2011">
        <v>-5.5012430000000001E-2</v>
      </c>
      <c r="X2011">
        <v>0.99777780000000005</v>
      </c>
      <c r="Y2011">
        <v>5.2234589999999997E-2</v>
      </c>
      <c r="Z2011">
        <v>7.4774960000000001E-2</v>
      </c>
      <c r="AA2011">
        <v>0.99583140000000003</v>
      </c>
      <c r="AB2011">
        <v>18</v>
      </c>
      <c r="AC2011">
        <v>-5.3600000000017099E-2</v>
      </c>
      <c r="AD2011">
        <v>-7.1986999999999801E-2</v>
      </c>
      <c r="AE2011">
        <v>-0.62569999999999404</v>
      </c>
      <c r="AF2011">
        <v>4.1898965590192801E-2</v>
      </c>
      <c r="AG2011">
        <v>-7.1986999999999801E-2</v>
      </c>
      <c r="AH2011">
        <v>0.61842900243742505</v>
      </c>
      <c r="AI2011">
        <v>96.624470460043099</v>
      </c>
      <c r="AJ2011">
        <v>86.1240969008809</v>
      </c>
      <c r="AK2011">
        <v>0.62401288651940301</v>
      </c>
      <c r="AL2011">
        <v>93.153572142555305</v>
      </c>
      <c r="AM2011">
        <v>87.842444309995102</v>
      </c>
      <c r="AN2011">
        <v>0.99999997716241795</v>
      </c>
    </row>
    <row r="2012" spans="1:40" x14ac:dyDescent="0.25">
      <c r="A2012" t="str">
        <f>"20190303154135653"</f>
        <v>20190303154135653</v>
      </c>
      <c r="B2012" t="str">
        <f>"1551598895641301"</f>
        <v>1551598895641301</v>
      </c>
      <c r="C2012" t="s">
        <v>40</v>
      </c>
      <c r="D2012">
        <v>5.435791</v>
      </c>
      <c r="E2012">
        <v>0.5046098</v>
      </c>
      <c r="F2012" t="s">
        <v>42</v>
      </c>
      <c r="G2012">
        <v>-191.7954</v>
      </c>
      <c r="H2012">
        <v>1.0495639999999999</v>
      </c>
      <c r="I2012">
        <v>310.22809999999998</v>
      </c>
      <c r="J2012">
        <v>-191.7456</v>
      </c>
      <c r="K2012">
        <v>1.1212759999999999</v>
      </c>
      <c r="L2012">
        <v>310.82920000000001</v>
      </c>
      <c r="M2012">
        <v>-1.8000680000000002E-2</v>
      </c>
      <c r="N2012">
        <v>-1.4062099999999999E-2</v>
      </c>
      <c r="O2012">
        <v>-0.99973920000000005</v>
      </c>
      <c r="P2012">
        <v>-5.5082470000000001E-2</v>
      </c>
      <c r="Q2012">
        <v>-6.8795930000000005E-2</v>
      </c>
      <c r="R2012">
        <v>-0.99610929999999998</v>
      </c>
      <c r="S2012">
        <v>-0.2021637</v>
      </c>
      <c r="T2012">
        <v>-0.27278609999999998</v>
      </c>
      <c r="U2012">
        <v>-2.9817200000000001</v>
      </c>
      <c r="V2012">
        <v>3.7128269999999998E-2</v>
      </c>
      <c r="W2012">
        <v>-5.4778769999999997E-2</v>
      </c>
      <c r="X2012">
        <v>0.99780800000000003</v>
      </c>
      <c r="Y2012">
        <v>4.9436460000000002E-2</v>
      </c>
      <c r="Z2012">
        <v>7.6920299999999997E-2</v>
      </c>
      <c r="AA2012">
        <v>0.99581090000000005</v>
      </c>
      <c r="AB2012">
        <v>18</v>
      </c>
      <c r="AC2012">
        <v>-4.9800000000004702E-2</v>
      </c>
      <c r="AD2012">
        <v>-7.1711999999999998E-2</v>
      </c>
      <c r="AE2012">
        <v>-0.60110000000003005</v>
      </c>
      <c r="AF2012">
        <v>3.8427450482767002E-2</v>
      </c>
      <c r="AG2012">
        <v>-7.1711999999999998E-2</v>
      </c>
      <c r="AH2012">
        <v>0.5935093971416</v>
      </c>
      <c r="AI2012">
        <v>96.875226210876505</v>
      </c>
      <c r="AJ2012">
        <v>86.2954894109631</v>
      </c>
      <c r="AK2012">
        <v>0.59905983373114802</v>
      </c>
      <c r="AL2012">
        <v>93.140164078398499</v>
      </c>
      <c r="AM2012">
        <v>87.869016694829398</v>
      </c>
      <c r="AN2012">
        <v>1.00000001346995</v>
      </c>
    </row>
    <row r="2013" spans="1:40" x14ac:dyDescent="0.25">
      <c r="A2013" t="str">
        <f>"20190303154135673"</f>
        <v>20190303154135673</v>
      </c>
      <c r="B2013" t="str">
        <f>"1551598895661801"</f>
        <v>1551598895661801</v>
      </c>
      <c r="C2013" t="s">
        <v>40</v>
      </c>
      <c r="D2013">
        <v>5.3826199999999904</v>
      </c>
      <c r="E2013">
        <v>0.50446869999999999</v>
      </c>
      <c r="F2013" t="s">
        <v>42</v>
      </c>
      <c r="G2013">
        <v>-191.79769999999999</v>
      </c>
      <c r="H2013">
        <v>1.0514239999999999</v>
      </c>
      <c r="I2013">
        <v>310.0641</v>
      </c>
      <c r="J2013">
        <v>-191.74879999999999</v>
      </c>
      <c r="K2013">
        <v>1.121281</v>
      </c>
      <c r="L2013">
        <v>310.66480000000001</v>
      </c>
      <c r="M2013">
        <v>-1.816945E-2</v>
      </c>
      <c r="N2013">
        <v>-1.405767E-2</v>
      </c>
      <c r="O2013">
        <v>-0.99973610000000002</v>
      </c>
      <c r="P2013">
        <v>-5.5184209999999997E-2</v>
      </c>
      <c r="Q2013">
        <v>-6.8827459999999993E-2</v>
      </c>
      <c r="R2013">
        <v>-0.99610120000000002</v>
      </c>
      <c r="S2013">
        <v>-0.20281979999999999</v>
      </c>
      <c r="T2013">
        <v>-0.27227449999999997</v>
      </c>
      <c r="U2013">
        <v>-2.9816590000000001</v>
      </c>
      <c r="V2013">
        <v>3.7062480000000002E-2</v>
      </c>
      <c r="W2013">
        <v>-5.4814300000000003E-2</v>
      </c>
      <c r="X2013">
        <v>0.99780849999999999</v>
      </c>
      <c r="Y2013">
        <v>4.9488249999999998E-2</v>
      </c>
      <c r="Z2013">
        <v>7.6756130000000006E-2</v>
      </c>
      <c r="AA2013">
        <v>0.99582099999999996</v>
      </c>
      <c r="AB2013">
        <v>18</v>
      </c>
      <c r="AC2013">
        <v>-4.8900000000003198E-2</v>
      </c>
      <c r="AD2013">
        <v>-6.9857000000000002E-2</v>
      </c>
      <c r="AE2013">
        <v>-0.600700000000017</v>
      </c>
      <c r="AF2013">
        <v>3.7473010860282603E-2</v>
      </c>
      <c r="AG2013">
        <v>-6.9857000000000002E-2</v>
      </c>
      <c r="AH2013">
        <v>0.59351553912646304</v>
      </c>
      <c r="AI2013">
        <v>96.699631175760302</v>
      </c>
      <c r="AJ2013">
        <v>86.387290494039902</v>
      </c>
      <c r="AK2013">
        <v>0.59878620740336896</v>
      </c>
      <c r="AL2013">
        <v>93.142202843869299</v>
      </c>
      <c r="AM2013">
        <v>87.872790315873601</v>
      </c>
      <c r="AN2013">
        <v>1.00000001879024</v>
      </c>
    </row>
    <row r="2014" spans="1:40" x14ac:dyDescent="0.25">
      <c r="A2014" t="str">
        <f>"20190303154135697"</f>
        <v>20190303154135697</v>
      </c>
      <c r="B2014" t="str">
        <f>"1551598895691078"</f>
        <v>1551598895691078</v>
      </c>
      <c r="C2014" t="s">
        <v>40</v>
      </c>
      <c r="D2014">
        <v>5.3779690000000002</v>
      </c>
      <c r="E2014">
        <v>0.48813410000000002</v>
      </c>
      <c r="F2014" t="s">
        <v>42</v>
      </c>
      <c r="G2014">
        <v>-191.8005</v>
      </c>
      <c r="H2014">
        <v>1.051607</v>
      </c>
      <c r="I2014">
        <v>309.90109999999999</v>
      </c>
      <c r="J2014">
        <v>-191.75239999999999</v>
      </c>
      <c r="K2014">
        <v>1.1212789999999999</v>
      </c>
      <c r="L2014">
        <v>310.47669999999999</v>
      </c>
      <c r="M2014">
        <v>-1.8354619999999999E-2</v>
      </c>
      <c r="N2014">
        <v>-1.4052780000000001E-2</v>
      </c>
      <c r="O2014">
        <v>-0.99973299999999998</v>
      </c>
      <c r="P2014">
        <v>-5.5652819999999999E-2</v>
      </c>
      <c r="Q2014">
        <v>-6.9169770000000005E-2</v>
      </c>
      <c r="R2014">
        <v>-0.99605169999999998</v>
      </c>
      <c r="S2014">
        <v>-0.2020721</v>
      </c>
      <c r="T2014">
        <v>-0.27203369999999999</v>
      </c>
      <c r="U2014">
        <v>-2.9817809999999998</v>
      </c>
      <c r="V2014">
        <v>3.7347890000000002E-2</v>
      </c>
      <c r="W2014">
        <v>-5.5161519999999999E-2</v>
      </c>
      <c r="X2014">
        <v>0.99777870000000002</v>
      </c>
      <c r="Y2014">
        <v>4.9052720000000001E-2</v>
      </c>
      <c r="Z2014">
        <v>7.6678969999999999E-2</v>
      </c>
      <c r="AA2014">
        <v>0.99584850000000003</v>
      </c>
      <c r="AB2014">
        <v>18</v>
      </c>
      <c r="AC2014">
        <v>-4.8100000000005097E-2</v>
      </c>
      <c r="AD2014">
        <v>-6.9672000000000095E-2</v>
      </c>
      <c r="AE2014">
        <v>-0.57560000000000799</v>
      </c>
      <c r="AF2014">
        <v>3.6987775696553801E-2</v>
      </c>
      <c r="AG2014">
        <v>-6.9672000000000095E-2</v>
      </c>
      <c r="AH2014">
        <v>0.56812000729328604</v>
      </c>
      <c r="AI2014">
        <v>96.976992683377304</v>
      </c>
      <c r="AJ2014">
        <v>86.274982922064197</v>
      </c>
      <c r="AK2014">
        <v>0.57357007054230302</v>
      </c>
      <c r="AL2014">
        <v>93.162127300933605</v>
      </c>
      <c r="AM2014">
        <v>87.856360404461796</v>
      </c>
      <c r="AN2014">
        <v>0.99999999617492596</v>
      </c>
    </row>
    <row r="2015" spans="1:40" x14ac:dyDescent="0.25">
      <c r="A2015" t="str">
        <f>"20190303154135722"</f>
        <v>20190303154135722</v>
      </c>
      <c r="B2015" t="str">
        <f>"1551598895711574"</f>
        <v>1551598895711574</v>
      </c>
      <c r="C2015" t="s">
        <v>40</v>
      </c>
      <c r="D2015">
        <v>5.3496589999999999</v>
      </c>
      <c r="E2015">
        <v>0.48842960000000002</v>
      </c>
      <c r="F2015" t="s">
        <v>42</v>
      </c>
      <c r="G2015">
        <v>-191.7739</v>
      </c>
      <c r="H2015">
        <v>1.0389120000000001</v>
      </c>
      <c r="I2015">
        <v>309.60399999999998</v>
      </c>
      <c r="J2015">
        <v>-191.756</v>
      </c>
      <c r="K2015">
        <v>1.1212850000000001</v>
      </c>
      <c r="L2015">
        <v>310.28960000000001</v>
      </c>
      <c r="M2015">
        <v>-1.8530789999999998E-2</v>
      </c>
      <c r="N2015">
        <v>-1.4048110000000001E-2</v>
      </c>
      <c r="O2015">
        <v>-0.99972989999999995</v>
      </c>
      <c r="P2015">
        <v>-5.5723349999999998E-2</v>
      </c>
      <c r="Q2015">
        <v>-6.9470790000000004E-2</v>
      </c>
      <c r="R2015">
        <v>-0.99602690000000005</v>
      </c>
      <c r="S2015">
        <v>-7.3638919999999997E-2</v>
      </c>
      <c r="T2015">
        <v>-0.28204380000000001</v>
      </c>
      <c r="U2015">
        <v>-2.9881899999999999</v>
      </c>
      <c r="V2015">
        <v>3.7243499999999999E-2</v>
      </c>
      <c r="W2015">
        <v>-5.5467120000000002E-2</v>
      </c>
      <c r="X2015">
        <v>0.99776569999999998</v>
      </c>
      <c r="Y2015">
        <v>6.0211300000000004E-3</v>
      </c>
      <c r="Z2015">
        <v>7.9937369999999994E-2</v>
      </c>
      <c r="AA2015">
        <v>0.99678169999999999</v>
      </c>
      <c r="AB2015">
        <v>18</v>
      </c>
      <c r="AC2015">
        <v>-1.7900000000025701E-2</v>
      </c>
      <c r="AD2015">
        <v>-8.2373000000000002E-2</v>
      </c>
      <c r="AE2015">
        <v>-0.68559999999996502</v>
      </c>
      <c r="AF2015">
        <v>5.1171485844899497E-3</v>
      </c>
      <c r="AG2015">
        <v>-8.2373000000000002E-2</v>
      </c>
      <c r="AH2015">
        <v>0.676061432171157</v>
      </c>
      <c r="AI2015">
        <v>96.946621204281996</v>
      </c>
      <c r="AJ2015">
        <v>89.566333169976701</v>
      </c>
      <c r="AK2015">
        <v>0.68108043314130795</v>
      </c>
      <c r="AL2015">
        <v>93.179663613308406</v>
      </c>
      <c r="AM2015">
        <v>87.862318636867698</v>
      </c>
      <c r="AN2015">
        <v>1.0000000358949099</v>
      </c>
    </row>
    <row r="2016" spans="1:40" x14ac:dyDescent="0.25">
      <c r="A2016" t="str">
        <f>"20190303154135742"</f>
        <v>20190303154135742</v>
      </c>
      <c r="B2016" t="str">
        <f>"1551598895731095"</f>
        <v>1551598895731095</v>
      </c>
      <c r="C2016" t="s">
        <v>40</v>
      </c>
      <c r="D2016">
        <v>5.3330919999999997</v>
      </c>
      <c r="E2016">
        <v>0.4886858</v>
      </c>
      <c r="F2016" t="s">
        <v>42</v>
      </c>
      <c r="G2016">
        <v>-191.77770000000001</v>
      </c>
      <c r="H2016">
        <v>1.0426260000000001</v>
      </c>
      <c r="I2016">
        <v>309.4443</v>
      </c>
      <c r="J2016">
        <v>-191.7593</v>
      </c>
      <c r="K2016">
        <v>1.1212899999999999</v>
      </c>
      <c r="L2016">
        <v>310.12040000000002</v>
      </c>
      <c r="M2016">
        <v>-1.8685150000000001E-2</v>
      </c>
      <c r="N2016">
        <v>-1.404392E-2</v>
      </c>
      <c r="O2016">
        <v>-0.99972700000000003</v>
      </c>
      <c r="P2016">
        <v>-5.5490999999999999E-2</v>
      </c>
      <c r="Q2016">
        <v>-6.9152679999999994E-2</v>
      </c>
      <c r="R2016">
        <v>-0.996062</v>
      </c>
      <c r="S2016">
        <v>-7.600403E-2</v>
      </c>
      <c r="T2016">
        <v>-0.2782212</v>
      </c>
      <c r="U2016">
        <v>-2.9883120000000001</v>
      </c>
      <c r="V2016">
        <v>3.6856739999999999E-2</v>
      </c>
      <c r="W2016">
        <v>-5.515258E-2</v>
      </c>
      <c r="X2016">
        <v>0.9977975</v>
      </c>
      <c r="Y2016">
        <v>6.656281E-3</v>
      </c>
      <c r="Z2016">
        <v>7.8672889999999995E-2</v>
      </c>
      <c r="AA2016">
        <v>0.99687829999999999</v>
      </c>
      <c r="AB2016">
        <v>18</v>
      </c>
      <c r="AC2016">
        <v>-1.8400000000013898E-2</v>
      </c>
      <c r="AD2016">
        <v>-7.8663999999999804E-2</v>
      </c>
      <c r="AE2016">
        <v>-0.67610000000001902</v>
      </c>
      <c r="AF2016">
        <v>5.6856034928911402E-3</v>
      </c>
      <c r="AG2016">
        <v>-7.8663999999999804E-2</v>
      </c>
      <c r="AH2016">
        <v>0.66729907880431605</v>
      </c>
      <c r="AI2016">
        <v>96.722994814123993</v>
      </c>
      <c r="AJ2016">
        <v>89.511833281589901</v>
      </c>
      <c r="AK2016">
        <v>0.67194375624464797</v>
      </c>
      <c r="AL2016">
        <v>93.161614161172807</v>
      </c>
      <c r="AM2016">
        <v>87.884564753287194</v>
      </c>
      <c r="AN2016">
        <v>1.00000003868516</v>
      </c>
    </row>
    <row r="2017" spans="1:40" x14ac:dyDescent="0.25">
      <c r="A2017" t="str">
        <f>"20190303154135764"</f>
        <v>20190303154135764</v>
      </c>
      <c r="B2017" t="str">
        <f>"1551598895761350"</f>
        <v>1551598895761350</v>
      </c>
      <c r="C2017" t="s">
        <v>40</v>
      </c>
      <c r="D2017">
        <v>5.2854279999999996</v>
      </c>
      <c r="E2017">
        <v>0.48824679999999998</v>
      </c>
      <c r="F2017" t="s">
        <v>46</v>
      </c>
      <c r="G2017">
        <v>-192.0806</v>
      </c>
      <c r="H2017" s="1">
        <v>4.692357E-7</v>
      </c>
      <c r="I2017">
        <v>297.75630000000001</v>
      </c>
      <c r="J2017">
        <v>-191.76249999999999</v>
      </c>
      <c r="K2017">
        <v>1.1213</v>
      </c>
      <c r="L2017">
        <v>309.95800000000003</v>
      </c>
      <c r="M2017">
        <v>-1.8829700000000001E-2</v>
      </c>
      <c r="N2017">
        <v>-1.4039869999999999E-2</v>
      </c>
      <c r="O2017">
        <v>-0.9997241</v>
      </c>
      <c r="P2017">
        <v>-5.5581390000000001E-2</v>
      </c>
      <c r="Q2017">
        <v>-6.8543800000000002E-2</v>
      </c>
      <c r="R2017">
        <v>-0.9960987</v>
      </c>
      <c r="S2017">
        <v>-7.7651979999999995E-2</v>
      </c>
      <c r="T2017">
        <v>-0.27104319999999998</v>
      </c>
      <c r="U2017">
        <v>-2.9887079999999999</v>
      </c>
      <c r="V2017">
        <v>3.6802229999999998E-2</v>
      </c>
      <c r="W2017">
        <v>-5.45473E-2</v>
      </c>
      <c r="X2017">
        <v>0.99783279999999996</v>
      </c>
      <c r="Y2017">
        <v>7.062263E-3</v>
      </c>
      <c r="Z2017">
        <v>7.6290239999999995E-2</v>
      </c>
      <c r="AA2017">
        <v>0.99706070000000002</v>
      </c>
      <c r="AB2017">
        <v>17</v>
      </c>
      <c r="AC2017">
        <v>-0.31810000000001498</v>
      </c>
      <c r="AD2017">
        <v>-1.1212995307642999</v>
      </c>
      <c r="AE2017">
        <v>-12.201699999999899</v>
      </c>
      <c r="AF2017">
        <v>8.7527911570004197E-2</v>
      </c>
      <c r="AG2017">
        <v>-1.1212995307642999</v>
      </c>
      <c r="AH2017">
        <v>12.1033822641587</v>
      </c>
      <c r="AI2017">
        <v>95.292834794718004</v>
      </c>
      <c r="AJ2017">
        <v>89.585661892480005</v>
      </c>
      <c r="AK2017">
        <v>12.155526973576499</v>
      </c>
      <c r="AL2017">
        <v>93.126881837675697</v>
      </c>
      <c r="AM2017">
        <v>87.887765240379295</v>
      </c>
      <c r="AN2017">
        <v>1.0000000544130501</v>
      </c>
    </row>
    <row r="2018" spans="1:40" x14ac:dyDescent="0.25">
      <c r="A2018" t="str">
        <f>"20190303154135785"</f>
        <v>20190303154135785</v>
      </c>
      <c r="B2018" t="str">
        <f>"1551598895780870"</f>
        <v>1551598895780870</v>
      </c>
      <c r="C2018" t="s">
        <v>40</v>
      </c>
      <c r="D2018">
        <v>5.2620769999999997</v>
      </c>
      <c r="E2018">
        <v>0.48800300000000002</v>
      </c>
      <c r="F2018" t="s">
        <v>46</v>
      </c>
      <c r="G2018">
        <v>-192.07239999999999</v>
      </c>
      <c r="H2018" s="1">
        <v>5.670661E-7</v>
      </c>
      <c r="I2018">
        <v>297.48160000000001</v>
      </c>
      <c r="J2018">
        <v>-191.76589999999999</v>
      </c>
      <c r="K2018">
        <v>1.1213</v>
      </c>
      <c r="L2018">
        <v>309.78960000000001</v>
      </c>
      <c r="M2018">
        <v>-1.8978410000000001E-2</v>
      </c>
      <c r="N2018">
        <v>-1.403573E-2</v>
      </c>
      <c r="O2018">
        <v>-0.99972150000000004</v>
      </c>
      <c r="P2018">
        <v>-5.6421840000000001E-2</v>
      </c>
      <c r="Q2018">
        <v>-6.8414459999999996E-2</v>
      </c>
      <c r="R2018">
        <v>-0.99606059999999996</v>
      </c>
      <c r="S2018">
        <v>-7.4234010000000003E-2</v>
      </c>
      <c r="T2018">
        <v>-0.26864470000000001</v>
      </c>
      <c r="U2018">
        <v>-2.9891359999999998</v>
      </c>
      <c r="V2018">
        <v>3.7494720000000002E-2</v>
      </c>
      <c r="W2018">
        <v>-5.4422669999999999E-2</v>
      </c>
      <c r="X2018">
        <v>0.99781379999999997</v>
      </c>
      <c r="Y2018">
        <v>5.772948E-3</v>
      </c>
      <c r="Z2018">
        <v>7.548945E-2</v>
      </c>
      <c r="AA2018">
        <v>0.99712990000000001</v>
      </c>
      <c r="AB2018">
        <v>17</v>
      </c>
      <c r="AC2018">
        <v>-0.306499999999999</v>
      </c>
      <c r="AD2018">
        <v>-1.1212994329339001</v>
      </c>
      <c r="AE2018">
        <v>-12.3079999999999</v>
      </c>
      <c r="AF2018">
        <v>7.2236358153989599E-2</v>
      </c>
      <c r="AG2018">
        <v>-1.1212994329339001</v>
      </c>
      <c r="AH2018">
        <v>12.2103197263789</v>
      </c>
      <c r="AI2018">
        <v>95.246784879312003</v>
      </c>
      <c r="AJ2018">
        <v>89.6610416223252</v>
      </c>
      <c r="AK2018">
        <v>12.261910060432401</v>
      </c>
      <c r="AL2018">
        <v>93.119730517749602</v>
      </c>
      <c r="AM2018">
        <v>87.848016410965698</v>
      </c>
      <c r="AN2018">
        <v>1.0000000302541201</v>
      </c>
    </row>
    <row r="2019" spans="1:40" x14ac:dyDescent="0.25">
      <c r="A2019" t="str">
        <f>"20190303154135821"</f>
        <v>20190303154135821</v>
      </c>
      <c r="B2019" t="str">
        <f>"1551598895811126"</f>
        <v>1551598895811126</v>
      </c>
      <c r="C2019" t="s">
        <v>40</v>
      </c>
      <c r="D2019">
        <v>5.2638660000000002</v>
      </c>
      <c r="E2019">
        <v>0.48774410000000001</v>
      </c>
      <c r="F2019" t="s">
        <v>46</v>
      </c>
      <c r="G2019">
        <v>-192.07900000000001</v>
      </c>
      <c r="H2019" s="1">
        <v>6.4429099999999998E-7</v>
      </c>
      <c r="I2019">
        <v>297.26150000000001</v>
      </c>
      <c r="J2019">
        <v>-191.7715</v>
      </c>
      <c r="K2019">
        <v>1.121305</v>
      </c>
      <c r="L2019">
        <v>309.51240000000001</v>
      </c>
      <c r="M2019">
        <v>-1.9225530000000001E-2</v>
      </c>
      <c r="N2019">
        <v>-1.4028840000000001E-2</v>
      </c>
      <c r="O2019">
        <v>-0.99971699999999997</v>
      </c>
      <c r="P2019">
        <v>-5.7947390000000001E-2</v>
      </c>
      <c r="Q2019">
        <v>-6.9771609999999998E-2</v>
      </c>
      <c r="R2019">
        <v>-0.99587890000000001</v>
      </c>
      <c r="S2019">
        <v>-7.4707029999999994E-2</v>
      </c>
      <c r="T2019">
        <v>-0.26755060000000003</v>
      </c>
      <c r="U2019">
        <v>-2.9892880000000002</v>
      </c>
      <c r="V2019">
        <v>3.8776379999999999E-2</v>
      </c>
      <c r="W2019">
        <v>-5.5789100000000001E-2</v>
      </c>
      <c r="X2019">
        <v>0.9976893</v>
      </c>
      <c r="Y2019">
        <v>5.6829489999999996E-3</v>
      </c>
      <c r="Z2019">
        <v>7.5129180000000004E-2</v>
      </c>
      <c r="AA2019">
        <v>0.99715759999999998</v>
      </c>
      <c r="AB2019">
        <v>17</v>
      </c>
      <c r="AC2019">
        <v>-0.30750000000000399</v>
      </c>
      <c r="AD2019">
        <v>-1.1213043557089999</v>
      </c>
      <c r="AE2019">
        <v>-12.2509</v>
      </c>
      <c r="AF2019">
        <v>7.1293111026004802E-2</v>
      </c>
      <c r="AG2019">
        <v>-1.1213043557089999</v>
      </c>
      <c r="AH2019">
        <v>12.152802479595399</v>
      </c>
      <c r="AI2019">
        <v>95.271502037296102</v>
      </c>
      <c r="AJ2019">
        <v>89.663884316463594</v>
      </c>
      <c r="AK2019">
        <v>12.204630853650301</v>
      </c>
      <c r="AL2019">
        <v>93.198140479803797</v>
      </c>
      <c r="AM2019">
        <v>87.774251729001307</v>
      </c>
      <c r="AN2019">
        <v>0.99999998532960199</v>
      </c>
    </row>
    <row r="2020" spans="1:40" x14ac:dyDescent="0.25">
      <c r="A2020" t="str">
        <f>"20190303154135843"</f>
        <v>20190303154135843</v>
      </c>
      <c r="B2020" t="str">
        <f>"1551598895831622"</f>
        <v>1551598895831622</v>
      </c>
      <c r="C2020" t="s">
        <v>40</v>
      </c>
      <c r="D2020">
        <v>5.2870749999999997</v>
      </c>
      <c r="E2020">
        <v>0.48771999999999999</v>
      </c>
      <c r="F2020" t="s">
        <v>42</v>
      </c>
      <c r="G2020">
        <v>-191.79349999999999</v>
      </c>
      <c r="H2020">
        <v>1.043093</v>
      </c>
      <c r="I2020">
        <v>308.66039999999998</v>
      </c>
      <c r="J2020">
        <v>-191.7749</v>
      </c>
      <c r="K2020">
        <v>1.121299</v>
      </c>
      <c r="L2020">
        <v>309.34440000000001</v>
      </c>
      <c r="M2020">
        <v>-1.9378739999999998E-2</v>
      </c>
      <c r="N2020">
        <v>-1.402456E-2</v>
      </c>
      <c r="O2020">
        <v>-0.99971410000000005</v>
      </c>
      <c r="P2020">
        <v>-5.9081750000000002E-2</v>
      </c>
      <c r="Q2020">
        <v>-7.1050059999999998E-2</v>
      </c>
      <c r="R2020">
        <v>-0.99572190000000005</v>
      </c>
      <c r="S2020">
        <v>-7.7224730000000005E-2</v>
      </c>
      <c r="T2020">
        <v>-0.2743717</v>
      </c>
      <c r="U2020">
        <v>-2.9887079999999999</v>
      </c>
      <c r="V2020">
        <v>3.9760410000000003E-2</v>
      </c>
      <c r="W2020">
        <v>-5.7073810000000003E-2</v>
      </c>
      <c r="X2020">
        <v>0.99757790000000002</v>
      </c>
      <c r="Y2020">
        <v>6.3688959999999998E-3</v>
      </c>
      <c r="Z2020">
        <v>7.7405299999999996E-2</v>
      </c>
      <c r="AA2020">
        <v>0.99697939999999996</v>
      </c>
      <c r="AB2020">
        <v>17</v>
      </c>
      <c r="AC2020">
        <v>-1.8599999999992099E-2</v>
      </c>
      <c r="AD2020">
        <v>-7.8205999999999998E-2</v>
      </c>
      <c r="AE2020">
        <v>-0.68400000000002503</v>
      </c>
      <c r="AF2020">
        <v>5.2712884735708803E-3</v>
      </c>
      <c r="AG2020">
        <v>-7.8205999999999998E-2</v>
      </c>
      <c r="AH2020">
        <v>0.675409059829434</v>
      </c>
      <c r="AI2020">
        <v>96.604698107302397</v>
      </c>
      <c r="AJ2020">
        <v>89.552839207977698</v>
      </c>
      <c r="AK2020">
        <v>0.679942176231076</v>
      </c>
      <c r="AL2020">
        <v>93.271866421337506</v>
      </c>
      <c r="AM2020">
        <v>87.717573214697893</v>
      </c>
      <c r="AN2020">
        <v>0.99999998827984704</v>
      </c>
    </row>
    <row r="2021" spans="1:40" x14ac:dyDescent="0.25">
      <c r="A2021" t="str">
        <f>"20190303154135863"</f>
        <v>20190303154135863</v>
      </c>
      <c r="B2021" t="str">
        <f>"1551598895860902"</f>
        <v>1551598895860902</v>
      </c>
      <c r="C2021" t="s">
        <v>40</v>
      </c>
      <c r="D2021">
        <v>5.2854229999999998</v>
      </c>
      <c r="E2021">
        <v>0.56079820000000002</v>
      </c>
      <c r="F2021" t="s">
        <v>42</v>
      </c>
      <c r="G2021">
        <v>-191.79759999999999</v>
      </c>
      <c r="H2021">
        <v>1.043307</v>
      </c>
      <c r="I2021">
        <v>308.5059</v>
      </c>
      <c r="J2021">
        <v>-191.7783</v>
      </c>
      <c r="K2021">
        <v>1.121292</v>
      </c>
      <c r="L2021">
        <v>309.18360000000001</v>
      </c>
      <c r="M2021">
        <v>-1.952719E-2</v>
      </c>
      <c r="N2021">
        <v>-1.402057E-2</v>
      </c>
      <c r="O2021">
        <v>-0.99971129999999997</v>
      </c>
      <c r="P2021">
        <v>-6.0641420000000001E-2</v>
      </c>
      <c r="Q2021">
        <v>-7.1840650000000006E-2</v>
      </c>
      <c r="R2021">
        <v>-0.99557130000000005</v>
      </c>
      <c r="S2021">
        <v>-8.0413819999999997E-2</v>
      </c>
      <c r="T2021">
        <v>-0.27803990000000001</v>
      </c>
      <c r="U2021">
        <v>-2.9882810000000002</v>
      </c>
      <c r="V2021">
        <v>4.1174469999999998E-2</v>
      </c>
      <c r="W2021">
        <v>-5.7870280000000003E-2</v>
      </c>
      <c r="X2021">
        <v>0.99747470000000005</v>
      </c>
      <c r="Y2021">
        <v>7.2839899999999997E-3</v>
      </c>
      <c r="Z2021">
        <v>7.8633289999999995E-2</v>
      </c>
      <c r="AA2021">
        <v>0.99687700000000001</v>
      </c>
      <c r="AB2021">
        <v>17</v>
      </c>
      <c r="AC2021">
        <v>-1.9299999999986901E-2</v>
      </c>
      <c r="AD2021">
        <v>-7.7984999999999902E-2</v>
      </c>
      <c r="AE2021">
        <v>-0.67770000000001496</v>
      </c>
      <c r="AF2021">
        <v>5.9822933290759397E-3</v>
      </c>
      <c r="AG2021">
        <v>-7.7984999999999902E-2</v>
      </c>
      <c r="AH2021">
        <v>0.66909482368568296</v>
      </c>
      <c r="AI2021">
        <v>96.647735712349103</v>
      </c>
      <c r="AJ2021">
        <v>89.4877392343504</v>
      </c>
      <c r="AK2021">
        <v>0.67365074863867802</v>
      </c>
      <c r="AL2021">
        <v>93.317576168338704</v>
      </c>
      <c r="AM2021">
        <v>87.636246017743403</v>
      </c>
      <c r="AN2021">
        <v>1.0000000417135699</v>
      </c>
    </row>
    <row r="2022" spans="1:40" x14ac:dyDescent="0.25">
      <c r="A2022" t="str">
        <f>"20190303154135886"</f>
        <v>20190303154135886</v>
      </c>
      <c r="B2022" t="str">
        <f>"1551598895881398"</f>
        <v>1551598895881398</v>
      </c>
      <c r="C2022" t="s">
        <v>40</v>
      </c>
      <c r="D2022">
        <v>5.2586709999999997</v>
      </c>
      <c r="E2022">
        <v>0.56594909999999998</v>
      </c>
      <c r="F2022" t="s">
        <v>46</v>
      </c>
      <c r="G2022">
        <v>-194.84020000000001</v>
      </c>
      <c r="H2022" s="1">
        <v>9.8467600000000005E-7</v>
      </c>
      <c r="I2022">
        <v>295.60579999999999</v>
      </c>
      <c r="J2022">
        <v>-191.7818</v>
      </c>
      <c r="K2022">
        <v>1.1212930000000001</v>
      </c>
      <c r="L2022">
        <v>309.01249999999999</v>
      </c>
      <c r="M2022">
        <v>-1.9686809999999999E-2</v>
      </c>
      <c r="N2022">
        <v>-1.401634E-2</v>
      </c>
      <c r="O2022">
        <v>-0.99970789999999998</v>
      </c>
      <c r="P2022">
        <v>-6.1941040000000003E-2</v>
      </c>
      <c r="Q2022">
        <v>-7.2058280000000002E-2</v>
      </c>
      <c r="R2022">
        <v>-0.99547560000000002</v>
      </c>
      <c r="S2022">
        <v>-0.66639709999999996</v>
      </c>
      <c r="T2022">
        <v>-0.2440387</v>
      </c>
      <c r="U2022">
        <v>-2.9550779999999999</v>
      </c>
      <c r="V2022">
        <v>4.2316479999999997E-2</v>
      </c>
      <c r="W2022">
        <v>-5.8093289999999999E-2</v>
      </c>
      <c r="X2022">
        <v>0.99741389999999996</v>
      </c>
      <c r="Y2022">
        <v>0.2001183</v>
      </c>
      <c r="Z2022">
        <v>6.6496379999999994E-2</v>
      </c>
      <c r="AA2022">
        <v>0.97751259999999995</v>
      </c>
      <c r="AB2022">
        <v>17</v>
      </c>
      <c r="AC2022">
        <v>-3.0583999999999998</v>
      </c>
      <c r="AD2022">
        <v>-1.121292015324</v>
      </c>
      <c r="AE2022">
        <v>-13.406700000000001</v>
      </c>
      <c r="AF2022">
        <v>2.7753922725533999</v>
      </c>
      <c r="AG2022">
        <v>-1.121292015324</v>
      </c>
      <c r="AH2022">
        <v>13.3753833836669</v>
      </c>
      <c r="AI2022">
        <v>94.692547723675901</v>
      </c>
      <c r="AJ2022">
        <v>78.277478124573705</v>
      </c>
      <c r="AK2022">
        <v>13.706238678435801</v>
      </c>
      <c r="AL2022">
        <v>93.3303753667563</v>
      </c>
      <c r="AM2022">
        <v>87.570614809172</v>
      </c>
      <c r="AN2022">
        <v>1.00000000136791</v>
      </c>
    </row>
    <row r="2023" spans="1:40" x14ac:dyDescent="0.25">
      <c r="A2023" t="str">
        <f>"20190303154135909"</f>
        <v>20190303154135909</v>
      </c>
      <c r="B2023" t="str">
        <f>"1551598895900918"</f>
        <v>1551598895900918</v>
      </c>
      <c r="C2023" t="s">
        <v>40</v>
      </c>
      <c r="D2023">
        <v>5.214124</v>
      </c>
      <c r="E2023">
        <v>0.56772009999999995</v>
      </c>
      <c r="F2023" t="s">
        <v>46</v>
      </c>
      <c r="G2023">
        <v>-195.429</v>
      </c>
      <c r="H2023" s="1">
        <v>1.4156710000000001E-6</v>
      </c>
      <c r="I2023">
        <v>293.8587</v>
      </c>
      <c r="J2023">
        <v>-191.78559999999999</v>
      </c>
      <c r="K2023">
        <v>1.1212949999999999</v>
      </c>
      <c r="L2023">
        <v>308.83150000000001</v>
      </c>
      <c r="M2023">
        <v>-1.9856349999999998E-2</v>
      </c>
      <c r="N2023">
        <v>-1.4011890000000001E-2</v>
      </c>
      <c r="O2023">
        <v>-0.99970479999999995</v>
      </c>
      <c r="P2023">
        <v>-6.2713439999999995E-2</v>
      </c>
      <c r="Q2023">
        <v>-7.1467299999999997E-2</v>
      </c>
      <c r="R2023">
        <v>-0.99546970000000001</v>
      </c>
      <c r="S2023">
        <v>-0.71086119999999997</v>
      </c>
      <c r="T2023">
        <v>-0.21854570000000001</v>
      </c>
      <c r="U2023">
        <v>-2.9535520000000002</v>
      </c>
      <c r="V2023">
        <v>4.291992E-2</v>
      </c>
      <c r="W2023">
        <v>-5.7506769999999999E-2</v>
      </c>
      <c r="X2023">
        <v>0.99742209999999998</v>
      </c>
      <c r="Y2023">
        <v>0.21412510000000001</v>
      </c>
      <c r="Z2023">
        <v>5.7945469999999999E-2</v>
      </c>
      <c r="AA2023">
        <v>0.97508600000000001</v>
      </c>
      <c r="AB2023">
        <v>17</v>
      </c>
      <c r="AC2023">
        <v>-3.64340000000001</v>
      </c>
      <c r="AD2023">
        <v>-1.1212935843289999</v>
      </c>
      <c r="AE2023">
        <v>-14.972799999999999</v>
      </c>
      <c r="AF2023">
        <v>3.32772757133512</v>
      </c>
      <c r="AG2023">
        <v>-1.1212935843289999</v>
      </c>
      <c r="AH2023">
        <v>14.962973147034401</v>
      </c>
      <c r="AI2023">
        <v>94.183773320018503</v>
      </c>
      <c r="AJ2023">
        <v>77.461623474804995</v>
      </c>
      <c r="AK2023">
        <v>15.3695034236683</v>
      </c>
      <c r="AL2023">
        <v>93.296713984859494</v>
      </c>
      <c r="AM2023">
        <v>87.536034004418696</v>
      </c>
      <c r="AN2023">
        <v>0.99999999684852403</v>
      </c>
    </row>
    <row r="2024" spans="1:40" x14ac:dyDescent="0.25">
      <c r="A2024" t="str">
        <f>"20190303154135933"</f>
        <v>20190303154135933</v>
      </c>
      <c r="B2024" t="str">
        <f>"1551598895921414"</f>
        <v>1551598895921414</v>
      </c>
      <c r="C2024" t="s">
        <v>40</v>
      </c>
      <c r="D2024">
        <v>5.1861079999999999</v>
      </c>
      <c r="E2024">
        <v>0.56867239999999997</v>
      </c>
      <c r="F2024" t="s">
        <v>46</v>
      </c>
      <c r="G2024">
        <v>-195.76230000000001</v>
      </c>
      <c r="H2024" s="1">
        <v>1.594151E-6</v>
      </c>
      <c r="I2024">
        <v>292.67739999999998</v>
      </c>
      <c r="J2024">
        <v>-191.7893</v>
      </c>
      <c r="K2024">
        <v>1.1213029999999999</v>
      </c>
      <c r="L2024">
        <v>308.65390000000002</v>
      </c>
      <c r="M2024">
        <v>-2.0022829999999998E-2</v>
      </c>
      <c r="N2024">
        <v>-1.400739E-2</v>
      </c>
      <c r="O2024">
        <v>-0.99970150000000002</v>
      </c>
      <c r="P2024">
        <v>-6.3610780000000006E-2</v>
      </c>
      <c r="Q2024">
        <v>-7.1192340000000007E-2</v>
      </c>
      <c r="R2024">
        <v>-0.9954324</v>
      </c>
      <c r="S2024">
        <v>-0.72698969999999996</v>
      </c>
      <c r="T2024">
        <v>-0.2049831</v>
      </c>
      <c r="U2024">
        <v>-2.953125</v>
      </c>
      <c r="V2024">
        <v>4.3651879999999997E-2</v>
      </c>
      <c r="W2024">
        <v>-5.7236679999999998E-2</v>
      </c>
      <c r="X2024">
        <v>0.99740589999999996</v>
      </c>
      <c r="Y2024">
        <v>0.21908320000000001</v>
      </c>
      <c r="Z2024">
        <v>5.3435580000000003E-2</v>
      </c>
      <c r="AA2024">
        <v>0.97424189999999999</v>
      </c>
      <c r="AB2024">
        <v>17</v>
      </c>
      <c r="AC2024">
        <v>-3.9730000000000101</v>
      </c>
      <c r="AD2024">
        <v>-1.1213014058490001</v>
      </c>
      <c r="AE2024">
        <v>-15.9765</v>
      </c>
      <c r="AF2024">
        <v>3.63541266007126</v>
      </c>
      <c r="AG2024">
        <v>-1.1213014058490001</v>
      </c>
      <c r="AH2024">
        <v>15.978730010130199</v>
      </c>
      <c r="AI2024">
        <v>93.914418688391706</v>
      </c>
      <c r="AJ2024">
        <v>77.182494632691103</v>
      </c>
      <c r="AK2024">
        <v>16.425387508013401</v>
      </c>
      <c r="AL2024">
        <v>93.281213338252499</v>
      </c>
      <c r="AM2024">
        <v>87.494025786065706</v>
      </c>
      <c r="AN2024">
        <v>1.0000000267598801</v>
      </c>
    </row>
    <row r="2025" spans="1:40" x14ac:dyDescent="0.25">
      <c r="A2025" t="str">
        <f>"20190303154135953"</f>
        <v>20190303154135953</v>
      </c>
      <c r="B2025" t="str">
        <f>"1551598895940934"</f>
        <v>1551598895940934</v>
      </c>
      <c r="C2025" t="s">
        <v>40</v>
      </c>
      <c r="D2025">
        <v>5.1726809999999999</v>
      </c>
      <c r="E2025">
        <v>0.56929430000000003</v>
      </c>
      <c r="F2025" t="s">
        <v>46</v>
      </c>
      <c r="G2025">
        <v>-195.92580000000001</v>
      </c>
      <c r="H2025" s="1">
        <v>1.683161E-6</v>
      </c>
      <c r="I2025">
        <v>292.08969999999999</v>
      </c>
      <c r="J2025">
        <v>-191.7927</v>
      </c>
      <c r="K2025">
        <v>1.121302</v>
      </c>
      <c r="L2025">
        <v>308.49439999999998</v>
      </c>
      <c r="M2025">
        <v>-2.0172720000000002E-2</v>
      </c>
      <c r="N2025">
        <v>-1.4003399999999999E-2</v>
      </c>
      <c r="O2025">
        <v>-0.99969859999999999</v>
      </c>
      <c r="P2025">
        <v>-6.4109689999999997E-2</v>
      </c>
      <c r="Q2025">
        <v>-7.1396100000000004E-2</v>
      </c>
      <c r="R2025">
        <v>-0.99538590000000005</v>
      </c>
      <c r="S2025">
        <v>-0.73727419999999899</v>
      </c>
      <c r="T2025">
        <v>-0.19985710000000001</v>
      </c>
      <c r="U2025">
        <v>-2.9523619999999999</v>
      </c>
      <c r="V2025">
        <v>4.4002149999999997E-2</v>
      </c>
      <c r="W2025">
        <v>-5.7444919999999997E-2</v>
      </c>
      <c r="X2025">
        <v>0.99737849999999995</v>
      </c>
      <c r="Y2025">
        <v>0.2222141</v>
      </c>
      <c r="Z2025">
        <v>5.1726889999999998E-2</v>
      </c>
      <c r="AA2025">
        <v>0.97362479999999996</v>
      </c>
      <c r="AB2025">
        <v>17</v>
      </c>
      <c r="AC2025">
        <v>-4.1331000000000104</v>
      </c>
      <c r="AD2025">
        <v>-1.1213003168389899</v>
      </c>
      <c r="AE2025">
        <v>-16.404699999999899</v>
      </c>
      <c r="AF2025">
        <v>3.7846722164750699</v>
      </c>
      <c r="AG2025">
        <v>-1.1213003168389899</v>
      </c>
      <c r="AH2025">
        <v>16.412641451451801</v>
      </c>
      <c r="AI2025">
        <v>93.808690429959796</v>
      </c>
      <c r="AJ2025">
        <v>77.014864296029501</v>
      </c>
      <c r="AK2025">
        <v>16.880635580469601</v>
      </c>
      <c r="AL2025">
        <v>93.293164395094294</v>
      </c>
      <c r="AM2025">
        <v>87.473874066584102</v>
      </c>
      <c r="AN2025">
        <v>0.99999999015033902</v>
      </c>
    </row>
    <row r="2026" spans="1:40" x14ac:dyDescent="0.25">
      <c r="A2026" t="str">
        <f>"20190303154135976"</f>
        <v>20190303154135976</v>
      </c>
      <c r="B2026" t="str">
        <f>"1551598895971190"</f>
        <v>1551598895971190</v>
      </c>
      <c r="C2026" t="s">
        <v>40</v>
      </c>
      <c r="D2026">
        <v>5.1511209999999998</v>
      </c>
      <c r="E2026">
        <v>0.56994400000000001</v>
      </c>
      <c r="F2026" t="s">
        <v>46</v>
      </c>
      <c r="G2026">
        <v>-196.06110000000001</v>
      </c>
      <c r="H2026" s="1">
        <v>1.768426E-6</v>
      </c>
      <c r="I2026">
        <v>291.55110000000002</v>
      </c>
      <c r="J2026">
        <v>-191.7963</v>
      </c>
      <c r="K2026">
        <v>1.121302</v>
      </c>
      <c r="L2026">
        <v>308.32369999999997</v>
      </c>
      <c r="M2026">
        <v>-2.0332920000000001E-2</v>
      </c>
      <c r="N2026">
        <v>-1.399913E-2</v>
      </c>
      <c r="O2026">
        <v>-0.99969529999999995</v>
      </c>
      <c r="P2026">
        <v>-6.4788650000000003E-2</v>
      </c>
      <c r="Q2026">
        <v>-7.2492470000000003E-2</v>
      </c>
      <c r="R2026">
        <v>-0.99526250000000005</v>
      </c>
      <c r="S2026">
        <v>-0.74368290000000004</v>
      </c>
      <c r="T2026">
        <v>-0.19536400000000001</v>
      </c>
      <c r="U2026">
        <v>-2.952026</v>
      </c>
      <c r="V2026">
        <v>4.452354E-2</v>
      </c>
      <c r="W2026">
        <v>-5.854699E-2</v>
      </c>
      <c r="X2026">
        <v>0.99729129999999999</v>
      </c>
      <c r="Y2026">
        <v>0.22409190000000001</v>
      </c>
      <c r="Z2026">
        <v>5.023652E-2</v>
      </c>
      <c r="AA2026">
        <v>0.97327240000000004</v>
      </c>
      <c r="AB2026">
        <v>17</v>
      </c>
      <c r="AC2026">
        <v>-4.2648000000000001</v>
      </c>
      <c r="AD2026">
        <v>-1.1213002315739999</v>
      </c>
      <c r="AE2026">
        <v>-16.772599999999901</v>
      </c>
      <c r="AF2026">
        <v>3.9064498269931498</v>
      </c>
      <c r="AG2026">
        <v>-1.1213002315739999</v>
      </c>
      <c r="AH2026">
        <v>16.785392378200498</v>
      </c>
      <c r="AI2026">
        <v>93.722609571124195</v>
      </c>
      <c r="AJ2026">
        <v>76.898812722936697</v>
      </c>
      <c r="AK2026">
        <v>17.270410005274702</v>
      </c>
      <c r="AL2026">
        <v>93.356414732608698</v>
      </c>
      <c r="AM2026">
        <v>87.4437577827144</v>
      </c>
      <c r="AN2026">
        <v>1.00000001635394</v>
      </c>
    </row>
    <row r="2027" spans="1:40" x14ac:dyDescent="0.25">
      <c r="A2027" t="str">
        <f>"20190303154135998"</f>
        <v>20190303154135998</v>
      </c>
      <c r="B2027" t="str">
        <f>"1551598895991688"</f>
        <v>1551598895991688</v>
      </c>
      <c r="C2027" t="s">
        <v>40</v>
      </c>
      <c r="D2027">
        <v>5.1270350000000002</v>
      </c>
      <c r="E2027">
        <v>0.57025609999999904</v>
      </c>
      <c r="F2027" t="s">
        <v>46</v>
      </c>
      <c r="G2027">
        <v>-196.15459999999999</v>
      </c>
      <c r="H2027" s="1">
        <v>1.877708E-6</v>
      </c>
      <c r="I2027">
        <v>291.19499999999999</v>
      </c>
      <c r="J2027">
        <v>-191.8</v>
      </c>
      <c r="K2027">
        <v>1.1213</v>
      </c>
      <c r="L2027">
        <v>308.15620000000001</v>
      </c>
      <c r="M2027">
        <v>-2.0489670000000001E-2</v>
      </c>
      <c r="N2027">
        <v>-1.3994690000000001E-2</v>
      </c>
      <c r="O2027">
        <v>-0.99969220000000003</v>
      </c>
      <c r="P2027">
        <v>-6.4922060000000004E-2</v>
      </c>
      <c r="Q2027">
        <v>-7.323607E-2</v>
      </c>
      <c r="R2027">
        <v>-0.99519950000000001</v>
      </c>
      <c r="S2027">
        <v>-0.750946</v>
      </c>
      <c r="T2027">
        <v>-0.19320580000000001</v>
      </c>
      <c r="U2027">
        <v>-2.951355</v>
      </c>
      <c r="V2027">
        <v>4.4501880000000001E-2</v>
      </c>
      <c r="W2027">
        <v>-5.9295639999999997E-2</v>
      </c>
      <c r="X2027">
        <v>0.99724800000000002</v>
      </c>
      <c r="Y2027">
        <v>0.2262508</v>
      </c>
      <c r="Z2027">
        <v>4.9513750000000002E-2</v>
      </c>
      <c r="AA2027">
        <v>0.97280990000000001</v>
      </c>
      <c r="AB2027">
        <v>17</v>
      </c>
      <c r="AC2027">
        <v>-4.3545999999999703</v>
      </c>
      <c r="AD2027">
        <v>-1.121298122292</v>
      </c>
      <c r="AE2027">
        <v>-16.961200000000002</v>
      </c>
      <c r="AF2027">
        <v>3.98976335546834</v>
      </c>
      <c r="AG2027">
        <v>-1.121298122292</v>
      </c>
      <c r="AH2027">
        <v>16.977261192659199</v>
      </c>
      <c r="AI2027">
        <v>93.678794908753503</v>
      </c>
      <c r="AJ2027">
        <v>76.775106676806502</v>
      </c>
      <c r="AK2027">
        <v>17.475780918616</v>
      </c>
      <c r="AL2027">
        <v>93.399383988885901</v>
      </c>
      <c r="AM2027">
        <v>87.444888916098293</v>
      </c>
      <c r="AN2027">
        <v>0.99999998187527195</v>
      </c>
    </row>
    <row r="2028" spans="1:40" x14ac:dyDescent="0.25">
      <c r="A2028" t="str">
        <f>"20190303154136019"</f>
        <v>20190303154136019</v>
      </c>
      <c r="B2028" t="str">
        <f>"1551598896011206"</f>
        <v>1551598896011206</v>
      </c>
      <c r="C2028" t="s">
        <v>40</v>
      </c>
      <c r="D2028">
        <v>5.1181619999999999</v>
      </c>
      <c r="E2028">
        <v>0.57051989999999997</v>
      </c>
      <c r="F2028" t="s">
        <v>46</v>
      </c>
      <c r="G2028">
        <v>-196.1789</v>
      </c>
      <c r="H2028" s="1">
        <v>1.9381440000000001E-6</v>
      </c>
      <c r="I2028">
        <v>291.01179999999999</v>
      </c>
      <c r="J2028">
        <v>-191.80359999999999</v>
      </c>
      <c r="K2028">
        <v>1.121291</v>
      </c>
      <c r="L2028">
        <v>307.98540000000003</v>
      </c>
      <c r="M2028">
        <v>-2.064728E-2</v>
      </c>
      <c r="N2028">
        <v>-1.399033E-2</v>
      </c>
      <c r="O2028">
        <v>-0.9996891</v>
      </c>
      <c r="P2028">
        <v>-6.5560199999999999E-2</v>
      </c>
      <c r="Q2028">
        <v>-7.4168440000000002E-2</v>
      </c>
      <c r="R2028">
        <v>-0.9950888</v>
      </c>
      <c r="S2028">
        <v>-0.75375369999999997</v>
      </c>
      <c r="T2028">
        <v>-0.19301090000000001</v>
      </c>
      <c r="U2028">
        <v>-2.9510800000000001</v>
      </c>
      <c r="V2028">
        <v>4.4985079999999997E-2</v>
      </c>
      <c r="W2028">
        <v>-6.0233500000000002E-2</v>
      </c>
      <c r="X2028">
        <v>0.99717020000000001</v>
      </c>
      <c r="Y2028">
        <v>0.22698840000000001</v>
      </c>
      <c r="Z2028">
        <v>4.9447289999999998E-2</v>
      </c>
      <c r="AA2028">
        <v>0.97264130000000004</v>
      </c>
      <c r="AB2028">
        <v>17</v>
      </c>
      <c r="AC2028">
        <v>-4.37530000000001</v>
      </c>
      <c r="AD2028">
        <v>-1.1212890618560001</v>
      </c>
      <c r="AE2028">
        <v>-16.973600000000001</v>
      </c>
      <c r="AF2028">
        <v>4.0074751132212896</v>
      </c>
      <c r="AG2028">
        <v>-1.1212890618560001</v>
      </c>
      <c r="AH2028">
        <v>16.990799366035901</v>
      </c>
      <c r="AI2028">
        <v>93.675142853140997</v>
      </c>
      <c r="AJ2028">
        <v>76.728681734493904</v>
      </c>
      <c r="AK2028">
        <v>17.492981708108299</v>
      </c>
      <c r="AL2028">
        <v>93.45321533149</v>
      </c>
      <c r="AM2028">
        <v>87.416981728505604</v>
      </c>
      <c r="AN2028">
        <v>1.00000006985644</v>
      </c>
    </row>
    <row r="2029" spans="1:40" x14ac:dyDescent="0.25">
      <c r="A2029" t="str">
        <f>"20190303154136044"</f>
        <v>20190303154136044</v>
      </c>
      <c r="B2029" t="str">
        <f>"1551598896041462"</f>
        <v>1551598896041462</v>
      </c>
      <c r="C2029" t="s">
        <v>40</v>
      </c>
      <c r="D2029">
        <v>5.1100830000000004</v>
      </c>
      <c r="E2029">
        <v>0.57067769999999995</v>
      </c>
      <c r="F2029" t="s">
        <v>46</v>
      </c>
      <c r="G2029">
        <v>-196.18969999999999</v>
      </c>
      <c r="H2029" s="1">
        <v>1.9732699999999998E-6</v>
      </c>
      <c r="I2029">
        <v>290.90699999999998</v>
      </c>
      <c r="J2029">
        <v>-191.80760000000001</v>
      </c>
      <c r="K2029">
        <v>1.1212899999999999</v>
      </c>
      <c r="L2029">
        <v>307.80290000000002</v>
      </c>
      <c r="M2029">
        <v>-2.0812110000000002E-2</v>
      </c>
      <c r="N2029">
        <v>-1.398573E-2</v>
      </c>
      <c r="O2029">
        <v>-0.99968579999999996</v>
      </c>
      <c r="P2029">
        <v>-6.6793539999999998E-2</v>
      </c>
      <c r="Q2029">
        <v>-7.4902490000000002E-2</v>
      </c>
      <c r="R2029">
        <v>-0.99495180000000005</v>
      </c>
      <c r="S2029">
        <v>-0.75773619999999997</v>
      </c>
      <c r="T2029">
        <v>-0.1937122</v>
      </c>
      <c r="U2029">
        <v>-2.9504389999999998</v>
      </c>
      <c r="V2029">
        <v>4.6056970000000003E-2</v>
      </c>
      <c r="W2029">
        <v>-6.0973449999999998E-2</v>
      </c>
      <c r="X2029">
        <v>0.99707619999999997</v>
      </c>
      <c r="Y2029">
        <v>0.2281067</v>
      </c>
      <c r="Z2029">
        <v>4.9676030000000003E-2</v>
      </c>
      <c r="AA2029">
        <v>0.97236809999999996</v>
      </c>
      <c r="AB2029">
        <v>17</v>
      </c>
      <c r="AC2029">
        <v>-4.3820999999999799</v>
      </c>
      <c r="AD2029">
        <v>-1.1212880267299901</v>
      </c>
      <c r="AE2029">
        <v>-16.895900000000001</v>
      </c>
      <c r="AF2029">
        <v>4.0129170826097003</v>
      </c>
      <c r="AG2029">
        <v>-1.1212880267299901</v>
      </c>
      <c r="AH2029">
        <v>16.913652473993999</v>
      </c>
      <c r="AI2029">
        <v>93.690703834421896</v>
      </c>
      <c r="AJ2029">
        <v>76.652850661602997</v>
      </c>
      <c r="AK2029">
        <v>17.419311994502898</v>
      </c>
      <c r="AL2029">
        <v>93.495689736083193</v>
      </c>
      <c r="AM2029">
        <v>87.355271801595407</v>
      </c>
      <c r="AN2029">
        <v>0.99999997734846102</v>
      </c>
    </row>
    <row r="2030" spans="1:40" x14ac:dyDescent="0.25">
      <c r="A2030" t="str">
        <f>"20190303154136064"</f>
        <v>20190303154136064</v>
      </c>
      <c r="B2030" t="str">
        <f>"1551598896060982"</f>
        <v>1551598896060982</v>
      </c>
      <c r="C2030" t="s">
        <v>40</v>
      </c>
      <c r="D2030">
        <v>5.1243889999999999</v>
      </c>
      <c r="E2030">
        <v>0.57085929999999996</v>
      </c>
      <c r="F2030" t="s">
        <v>46</v>
      </c>
      <c r="G2030">
        <v>-196.23570000000001</v>
      </c>
      <c r="H2030" s="1">
        <v>2.0465159999999998E-6</v>
      </c>
      <c r="I2030">
        <v>290.67669999999998</v>
      </c>
      <c r="J2030">
        <v>-191.81110000000001</v>
      </c>
      <c r="K2030">
        <v>1.121286</v>
      </c>
      <c r="L2030">
        <v>307.64499999999998</v>
      </c>
      <c r="M2030">
        <v>-2.0948040000000001E-2</v>
      </c>
      <c r="N2030">
        <v>-1.3981759999999999E-2</v>
      </c>
      <c r="O2030">
        <v>-0.99968310000000005</v>
      </c>
      <c r="P2030">
        <v>-6.8299589999999993E-2</v>
      </c>
      <c r="Q2030">
        <v>-7.5157779999999993E-2</v>
      </c>
      <c r="R2030">
        <v>-0.99483029999999995</v>
      </c>
      <c r="S2030">
        <v>-0.76261899999999905</v>
      </c>
      <c r="T2030">
        <v>-0.19311010000000001</v>
      </c>
      <c r="U2030">
        <v>-2.9494929999999999</v>
      </c>
      <c r="V2030">
        <v>4.7430359999999998E-2</v>
      </c>
      <c r="W2030">
        <v>-6.1233639999999999E-2</v>
      </c>
      <c r="X2030">
        <v>0.99699590000000005</v>
      </c>
      <c r="Y2030">
        <v>0.22956070000000001</v>
      </c>
      <c r="Z2030">
        <v>4.9478939999999999E-2</v>
      </c>
      <c r="AA2030">
        <v>0.97203589999999995</v>
      </c>
      <c r="AB2030">
        <v>17</v>
      </c>
      <c r="AC2030">
        <v>-4.4245999999999901</v>
      </c>
      <c r="AD2030">
        <v>-1.121283953484</v>
      </c>
      <c r="AE2030">
        <v>-16.968299999999999</v>
      </c>
      <c r="AF2030">
        <v>4.0515759392695196</v>
      </c>
      <c r="AG2030">
        <v>-1.121283953484</v>
      </c>
      <c r="AH2030">
        <v>16.9878134353037</v>
      </c>
      <c r="AI2030">
        <v>93.673600018610301</v>
      </c>
      <c r="AJ2030">
        <v>76.585613314423597</v>
      </c>
      <c r="AK2030">
        <v>17.500238587193401</v>
      </c>
      <c r="AL2030">
        <v>93.510625314820302</v>
      </c>
      <c r="AM2030">
        <v>87.276305663379702</v>
      </c>
      <c r="AN2030">
        <v>1.0000000111670899</v>
      </c>
    </row>
    <row r="2031" spans="1:40" x14ac:dyDescent="0.25">
      <c r="A2031" t="str">
        <f>"20190303154136087"</f>
        <v>20190303154136087</v>
      </c>
      <c r="B2031" t="str">
        <f>"1551598896081479"</f>
        <v>1551598896081479</v>
      </c>
      <c r="C2031" t="s">
        <v>40</v>
      </c>
      <c r="D2031">
        <v>5.0968939999999998</v>
      </c>
      <c r="E2031">
        <v>0.570945699999999</v>
      </c>
      <c r="F2031" t="s">
        <v>46</v>
      </c>
      <c r="G2031">
        <v>-196.28880000000001</v>
      </c>
      <c r="H2031" s="1">
        <v>2.1120310000000001E-6</v>
      </c>
      <c r="I2031">
        <v>290.46480000000003</v>
      </c>
      <c r="J2031">
        <v>-191.81469999999999</v>
      </c>
      <c r="K2031">
        <v>1.1212899999999999</v>
      </c>
      <c r="L2031">
        <v>307.4796</v>
      </c>
      <c r="M2031">
        <v>-2.1078090000000001E-2</v>
      </c>
      <c r="N2031">
        <v>-1.397755E-2</v>
      </c>
      <c r="O2031">
        <v>-0.99968000000000001</v>
      </c>
      <c r="P2031">
        <v>-6.9668190000000005E-2</v>
      </c>
      <c r="Q2031">
        <v>-7.4957850000000006E-2</v>
      </c>
      <c r="R2031">
        <v>-0.99475000000000002</v>
      </c>
      <c r="S2031">
        <v>-0.76841740000000003</v>
      </c>
      <c r="T2031">
        <v>-0.1924245</v>
      </c>
      <c r="U2031">
        <v>-2.9483030000000001</v>
      </c>
      <c r="V2031">
        <v>4.8672020000000003E-2</v>
      </c>
      <c r="W2031">
        <v>-6.1037880000000003E-2</v>
      </c>
      <c r="X2031">
        <v>0.9969481</v>
      </c>
      <c r="Y2031">
        <v>0.231322</v>
      </c>
      <c r="Z2031">
        <v>4.9254989999999998E-2</v>
      </c>
      <c r="AA2031">
        <v>0.97162959999999998</v>
      </c>
      <c r="AB2031">
        <v>17</v>
      </c>
      <c r="AC2031">
        <v>-4.4741000000000204</v>
      </c>
      <c r="AD2031">
        <v>-1.12128788796899</v>
      </c>
      <c r="AE2031">
        <v>-17.014799999999902</v>
      </c>
      <c r="AF2031">
        <v>4.0977858688361897</v>
      </c>
      <c r="AG2031">
        <v>-1.12128788796899</v>
      </c>
      <c r="AH2031">
        <v>17.036132385269202</v>
      </c>
      <c r="AI2031">
        <v>93.661537451431101</v>
      </c>
      <c r="AJ2031">
        <v>76.475287208957695</v>
      </c>
      <c r="AK2031">
        <v>17.557874079824099</v>
      </c>
      <c r="AL2031">
        <v>93.499387933121398</v>
      </c>
      <c r="AM2031">
        <v>87.204981007480797</v>
      </c>
      <c r="AN2031">
        <v>1.00000005120969</v>
      </c>
    </row>
    <row r="2032" spans="1:40" x14ac:dyDescent="0.25">
      <c r="A2032" t="str">
        <f>"20190303154136111"</f>
        <v>20190303154136111</v>
      </c>
      <c r="B2032" t="str">
        <f>"1551598896100999"</f>
        <v>1551598896100999</v>
      </c>
      <c r="C2032" t="s">
        <v>40</v>
      </c>
      <c r="D2032">
        <v>5.0991609999999996</v>
      </c>
      <c r="E2032">
        <v>0.57098789999999999</v>
      </c>
      <c r="F2032" t="s">
        <v>46</v>
      </c>
      <c r="G2032">
        <v>-196.33930000000001</v>
      </c>
      <c r="H2032" s="1">
        <v>2.1831100000000002E-6</v>
      </c>
      <c r="I2032">
        <v>290.23840000000001</v>
      </c>
      <c r="J2032">
        <v>-191.81880000000001</v>
      </c>
      <c r="K2032">
        <v>1.1213040000000001</v>
      </c>
      <c r="L2032">
        <v>307.29669999999999</v>
      </c>
      <c r="M2032">
        <v>-2.1198149999999999E-2</v>
      </c>
      <c r="N2032">
        <v>-1.397295E-2</v>
      </c>
      <c r="O2032">
        <v>-0.99967790000000001</v>
      </c>
      <c r="P2032">
        <v>-7.0983690000000002E-2</v>
      </c>
      <c r="Q2032">
        <v>-7.5245019999999996E-2</v>
      </c>
      <c r="R2032">
        <v>-0.99463590000000002</v>
      </c>
      <c r="S2032">
        <v>-0.7734375</v>
      </c>
      <c r="T2032">
        <v>-0.19167419999999999</v>
      </c>
      <c r="U2032">
        <v>-2.947235</v>
      </c>
      <c r="V2032">
        <v>4.9872260000000002E-2</v>
      </c>
      <c r="W2032">
        <v>-6.1329050000000003E-2</v>
      </c>
      <c r="X2032">
        <v>0.9968709</v>
      </c>
      <c r="Y2032">
        <v>0.23284250000000001</v>
      </c>
      <c r="Z2032">
        <v>4.9011409999999998E-2</v>
      </c>
      <c r="AA2032">
        <v>0.97127870000000005</v>
      </c>
      <c r="AB2032">
        <v>17</v>
      </c>
      <c r="AC2032">
        <v>-4.5204999999999904</v>
      </c>
      <c r="AD2032">
        <v>-1.12130181689</v>
      </c>
      <c r="AE2032">
        <v>-17.0582999999999</v>
      </c>
      <c r="AF2032">
        <v>4.1411251761125198</v>
      </c>
      <c r="AG2032">
        <v>-1.12130181689</v>
      </c>
      <c r="AH2032">
        <v>17.081338152071201</v>
      </c>
      <c r="AI2032">
        <v>93.650339517905493</v>
      </c>
      <c r="AJ2032">
        <v>76.372388264498198</v>
      </c>
      <c r="AK2032">
        <v>17.6118808920058</v>
      </c>
      <c r="AL2032">
        <v>93.5161020867166</v>
      </c>
      <c r="AM2032">
        <v>87.135948479381199</v>
      </c>
      <c r="AN2032">
        <v>1.0000000429791001</v>
      </c>
    </row>
    <row r="2033" spans="1:40" x14ac:dyDescent="0.25">
      <c r="A2033" t="str">
        <f>"20190303154136134"</f>
        <v>20190303154136134</v>
      </c>
      <c r="B2033" t="str">
        <f>"1551598896121494"</f>
        <v>1551598896121494</v>
      </c>
      <c r="C2033" t="s">
        <v>40</v>
      </c>
      <c r="D2033">
        <v>5.1217169999999896</v>
      </c>
      <c r="E2033">
        <v>0.57117489999999904</v>
      </c>
      <c r="F2033" t="s">
        <v>46</v>
      </c>
      <c r="G2033">
        <v>-196.34630000000001</v>
      </c>
      <c r="H2033" s="1">
        <v>2.2162489999999999E-6</v>
      </c>
      <c r="I2033">
        <v>290.14109999999999</v>
      </c>
      <c r="J2033">
        <v>-191.82239999999999</v>
      </c>
      <c r="K2033">
        <v>1.121326</v>
      </c>
      <c r="L2033">
        <v>307.13170000000002</v>
      </c>
      <c r="M2033">
        <v>-2.1274020000000001E-2</v>
      </c>
      <c r="N2033">
        <v>-1.3968710000000001E-2</v>
      </c>
      <c r="O2033">
        <v>-0.99967620000000001</v>
      </c>
      <c r="P2033">
        <v>-7.3552820000000005E-2</v>
      </c>
      <c r="Q2033">
        <v>-7.5185160000000001E-2</v>
      </c>
      <c r="R2033">
        <v>-0.99445340000000004</v>
      </c>
      <c r="S2033">
        <v>-0.77751159999999997</v>
      </c>
      <c r="T2033">
        <v>-0.19255949999999999</v>
      </c>
      <c r="U2033">
        <v>-2.9461059999999999</v>
      </c>
      <c r="V2033">
        <v>5.2372219999999997E-2</v>
      </c>
      <c r="W2033">
        <v>-6.1272899999999998E-2</v>
      </c>
      <c r="X2033">
        <v>0.99674609999999997</v>
      </c>
      <c r="Y2033">
        <v>0.23411119999999999</v>
      </c>
      <c r="Z2033">
        <v>4.930818E-2</v>
      </c>
      <c r="AA2033">
        <v>0.97095860000000001</v>
      </c>
      <c r="AB2033">
        <v>17</v>
      </c>
      <c r="AC2033">
        <v>-4.5239000000000198</v>
      </c>
      <c r="AD2033">
        <v>-1.1213237837509999</v>
      </c>
      <c r="AE2033">
        <v>-16.990600000000001</v>
      </c>
      <c r="AF2033">
        <v>4.1445256479489201</v>
      </c>
      <c r="AG2033">
        <v>-1.1213237837509999</v>
      </c>
      <c r="AH2033">
        <v>17.013805919712699</v>
      </c>
      <c r="AI2033">
        <v>93.663886326594394</v>
      </c>
      <c r="AJ2033">
        <v>76.309514779255395</v>
      </c>
      <c r="AK2033">
        <v>17.547194982337299</v>
      </c>
      <c r="AL2033">
        <v>93.512879008391195</v>
      </c>
      <c r="AM2033">
        <v>86.992262826664799</v>
      </c>
      <c r="AN2033">
        <v>1.00000000278367</v>
      </c>
    </row>
    <row r="2034" spans="1:40" x14ac:dyDescent="0.25">
      <c r="A2034" t="str">
        <f>"20190303154136154"</f>
        <v>20190303154136154</v>
      </c>
      <c r="B2034" t="str">
        <f>"1551598896151751"</f>
        <v>1551598896151751</v>
      </c>
      <c r="C2034" t="s">
        <v>40</v>
      </c>
      <c r="D2034">
        <v>5.2836069999999999</v>
      </c>
      <c r="E2034">
        <v>0.60199419999999904</v>
      </c>
      <c r="F2034" t="s">
        <v>46</v>
      </c>
      <c r="G2034">
        <v>-196.39340000000001</v>
      </c>
      <c r="H2034" s="1">
        <v>2.2480470000000001E-6</v>
      </c>
      <c r="I2034">
        <v>290.02760000000001</v>
      </c>
      <c r="J2034">
        <v>-191.82579999999999</v>
      </c>
      <c r="K2034">
        <v>1.121353</v>
      </c>
      <c r="L2034">
        <v>306.97469999999998</v>
      </c>
      <c r="M2034">
        <v>-2.1315899999999999E-2</v>
      </c>
      <c r="N2034">
        <v>-1.396466E-2</v>
      </c>
      <c r="O2034">
        <v>-0.99967530000000004</v>
      </c>
      <c r="P2034">
        <v>-7.6357750000000002E-2</v>
      </c>
      <c r="Q2034">
        <v>-7.4765449999999997E-2</v>
      </c>
      <c r="R2034">
        <v>-0.99427330000000003</v>
      </c>
      <c r="S2034">
        <v>-0.78674319999999998</v>
      </c>
      <c r="T2034">
        <v>-0.19299849999999999</v>
      </c>
      <c r="U2034">
        <v>-2.9439090000000001</v>
      </c>
      <c r="V2034">
        <v>5.5142120000000003E-2</v>
      </c>
      <c r="W2034">
        <v>-6.0856069999999998E-2</v>
      </c>
      <c r="X2034">
        <v>0.99662229999999996</v>
      </c>
      <c r="Y2034">
        <v>0.23708850000000001</v>
      </c>
      <c r="Z2034">
        <v>4.9453700000000003E-2</v>
      </c>
      <c r="AA2034">
        <v>0.97022850000000005</v>
      </c>
      <c r="AB2034">
        <v>17</v>
      </c>
      <c r="AC2034">
        <v>-4.5676000000000201</v>
      </c>
      <c r="AD2034">
        <v>-1.1213507519529999</v>
      </c>
      <c r="AE2034">
        <v>-16.947099999999899</v>
      </c>
      <c r="AF2034">
        <v>4.1881893001254804</v>
      </c>
      <c r="AG2034">
        <v>-1.1213507519529999</v>
      </c>
      <c r="AH2034">
        <v>16.9713493090273</v>
      </c>
      <c r="AI2034">
        <v>93.670420185983005</v>
      </c>
      <c r="AJ2034">
        <v>76.137528470638003</v>
      </c>
      <c r="AK2034">
        <v>17.516422422732699</v>
      </c>
      <c r="AL2034">
        <v>93.488951550015699</v>
      </c>
      <c r="AM2034">
        <v>86.833110505901402</v>
      </c>
      <c r="AN2034">
        <v>1.00000006175561</v>
      </c>
    </row>
    <row r="2035" spans="1:40" x14ac:dyDescent="0.25">
      <c r="A2035" t="str">
        <f>"20190303154136177"</f>
        <v>20190303154136177</v>
      </c>
      <c r="B2035" t="str">
        <f>"1551598896171270"</f>
        <v>1551598896171270</v>
      </c>
      <c r="C2035" t="s">
        <v>40</v>
      </c>
      <c r="D2035">
        <v>5.2257579999999999</v>
      </c>
      <c r="E2035">
        <v>0.618668</v>
      </c>
      <c r="F2035" t="s">
        <v>46</v>
      </c>
      <c r="G2035">
        <v>-197.0145</v>
      </c>
      <c r="H2035" s="1">
        <v>1.5308180000000001E-6</v>
      </c>
      <c r="I2035">
        <v>292.40640000000002</v>
      </c>
      <c r="J2035">
        <v>-191.82929999999999</v>
      </c>
      <c r="K2035">
        <v>1.121386</v>
      </c>
      <c r="L2035">
        <v>306.81290000000001</v>
      </c>
      <c r="M2035">
        <v>-2.1329359999999999E-2</v>
      </c>
      <c r="N2035">
        <v>-1.396039E-2</v>
      </c>
      <c r="O2035">
        <v>-0.99967530000000004</v>
      </c>
      <c r="P2035">
        <v>-7.8240920000000005E-2</v>
      </c>
      <c r="Q2035">
        <v>-7.3397939999999995E-2</v>
      </c>
      <c r="R2035">
        <v>-0.99422909999999998</v>
      </c>
      <c r="S2035">
        <v>-1.0401609999999999</v>
      </c>
      <c r="T2035">
        <v>-0.22479669999999999</v>
      </c>
      <c r="U2035">
        <v>-2.9205019999999999</v>
      </c>
      <c r="V2035">
        <v>5.701577E-2</v>
      </c>
      <c r="W2035">
        <v>-5.9489880000000002E-2</v>
      </c>
      <c r="X2035">
        <v>0.99659929999999997</v>
      </c>
      <c r="Y2035">
        <v>0.31458120000000001</v>
      </c>
      <c r="Z2035">
        <v>5.8674850000000001E-2</v>
      </c>
      <c r="AA2035">
        <v>0.94741540000000002</v>
      </c>
      <c r="AB2035">
        <v>17</v>
      </c>
      <c r="AC2035">
        <v>-5.1852</v>
      </c>
      <c r="AD2035">
        <v>-1.1213844691820001</v>
      </c>
      <c r="AE2035">
        <v>-14.4064999999999</v>
      </c>
      <c r="AF2035">
        <v>4.8506897320967397</v>
      </c>
      <c r="AG2035">
        <v>-1.1213844691820001</v>
      </c>
      <c r="AH2035">
        <v>14.436392768332301</v>
      </c>
      <c r="AI2035">
        <v>94.2112167389418</v>
      </c>
      <c r="AJ2035">
        <v>71.427431232597996</v>
      </c>
      <c r="AK2035">
        <v>15.270760628284</v>
      </c>
      <c r="AL2035">
        <v>93.410532725819195</v>
      </c>
      <c r="AM2035">
        <v>86.725659040800195</v>
      </c>
      <c r="AN2035">
        <v>1.0000000043057899</v>
      </c>
    </row>
    <row r="2036" spans="1:40" x14ac:dyDescent="0.25">
      <c r="A2036" t="str">
        <f>"20190303154136200"</f>
        <v>20190303154136200</v>
      </c>
      <c r="B2036" t="str">
        <f>"1551598896191766"</f>
        <v>1551598896191766</v>
      </c>
      <c r="C2036" t="s">
        <v>40</v>
      </c>
      <c r="D2036">
        <v>5.2839309999999999</v>
      </c>
      <c r="E2036">
        <v>0.62609930000000003</v>
      </c>
      <c r="F2036" t="s">
        <v>46</v>
      </c>
      <c r="G2036">
        <v>-196.97389999999999</v>
      </c>
      <c r="H2036" s="1">
        <v>1.2316659999999999E-6</v>
      </c>
      <c r="I2036">
        <v>294.12549999999999</v>
      </c>
      <c r="J2036">
        <v>-191.8331</v>
      </c>
      <c r="K2036">
        <v>1.1214090000000001</v>
      </c>
      <c r="L2036">
        <v>306.63240000000002</v>
      </c>
      <c r="M2036">
        <v>-2.1298770000000002E-2</v>
      </c>
      <c r="N2036">
        <v>-1.3955759999999999E-2</v>
      </c>
      <c r="O2036">
        <v>-0.9996758</v>
      </c>
      <c r="P2036">
        <v>-7.9574259999999994E-2</v>
      </c>
      <c r="Q2036">
        <v>-7.2083910000000001E-2</v>
      </c>
      <c r="R2036">
        <v>-0.99421939999999998</v>
      </c>
      <c r="S2036">
        <v>-1.1782379999999999</v>
      </c>
      <c r="T2036">
        <v>-0.25682369999999999</v>
      </c>
      <c r="U2036">
        <v>-2.9057309999999998</v>
      </c>
      <c r="V2036">
        <v>5.8382740000000002E-2</v>
      </c>
      <c r="W2036">
        <v>-5.8177029999999998E-2</v>
      </c>
      <c r="X2036">
        <v>0.99659759999999997</v>
      </c>
      <c r="Y2036">
        <v>0.35484700000000002</v>
      </c>
      <c r="Z2036">
        <v>6.8077780000000004E-2</v>
      </c>
      <c r="AA2036">
        <v>0.93244249999999995</v>
      </c>
      <c r="AB2036">
        <v>17</v>
      </c>
      <c r="AC2036">
        <v>-5.1407999999999801</v>
      </c>
      <c r="AD2036">
        <v>-1.121407768334</v>
      </c>
      <c r="AE2036">
        <v>-12.5069</v>
      </c>
      <c r="AF2036">
        <v>4.8399393592072704</v>
      </c>
      <c r="AG2036">
        <v>-1.121407768334</v>
      </c>
      <c r="AH2036">
        <v>12.527408316708</v>
      </c>
      <c r="AI2036">
        <v>94.7731884616353</v>
      </c>
      <c r="AJ2036">
        <v>68.876059550480505</v>
      </c>
      <c r="AK2036">
        <v>13.4765918361138</v>
      </c>
      <c r="AL2036">
        <v>93.335181636167604</v>
      </c>
      <c r="AM2036">
        <v>86.647327024998404</v>
      </c>
      <c r="AN2036">
        <v>0.99999994373764201</v>
      </c>
    </row>
    <row r="2037" spans="1:40" x14ac:dyDescent="0.25">
      <c r="A2037" t="str">
        <f>"20190303154136223"</f>
        <v>20190303154136223</v>
      </c>
      <c r="B2037" t="str">
        <f>"1551598896221047"</f>
        <v>1551598896221047</v>
      </c>
      <c r="C2037" t="s">
        <v>40</v>
      </c>
      <c r="D2037">
        <v>5.3034480000000004</v>
      </c>
      <c r="E2037">
        <v>0.63139049999999997</v>
      </c>
      <c r="F2037" t="s">
        <v>46</v>
      </c>
      <c r="G2037">
        <v>-197.01130000000001</v>
      </c>
      <c r="H2037" s="1">
        <v>1.1552909999999999E-6</v>
      </c>
      <c r="I2037">
        <v>294.5403</v>
      </c>
      <c r="J2037">
        <v>-191.83680000000001</v>
      </c>
      <c r="K2037">
        <v>1.1214029999999999</v>
      </c>
      <c r="L2037">
        <v>306.45940000000002</v>
      </c>
      <c r="M2037">
        <v>-2.1229970000000001E-2</v>
      </c>
      <c r="N2037">
        <v>-1.395135E-2</v>
      </c>
      <c r="O2037">
        <v>-0.9996775</v>
      </c>
      <c r="P2037">
        <v>-8.0855339999999998E-2</v>
      </c>
      <c r="Q2037">
        <v>-7.3895799999999998E-2</v>
      </c>
      <c r="R2037">
        <v>-0.99398310000000001</v>
      </c>
      <c r="S2037">
        <v>-1.241287</v>
      </c>
      <c r="T2037">
        <v>-0.268816099999999</v>
      </c>
      <c r="U2037">
        <v>-2.8986510000000001</v>
      </c>
      <c r="V2037">
        <v>5.973991E-2</v>
      </c>
      <c r="W2037">
        <v>-5.9993339999999999E-2</v>
      </c>
      <c r="X2037">
        <v>0.99640949999999995</v>
      </c>
      <c r="Y2037">
        <v>0.37279640000000003</v>
      </c>
      <c r="Z2037">
        <v>7.1426290000000003E-2</v>
      </c>
      <c r="AA2037">
        <v>0.92516010000000004</v>
      </c>
      <c r="AB2037">
        <v>17</v>
      </c>
      <c r="AC2037">
        <v>-5.1744999999999903</v>
      </c>
      <c r="AD2037">
        <v>-1.121401844709</v>
      </c>
      <c r="AE2037">
        <v>-11.9191</v>
      </c>
      <c r="AF2037">
        <v>4.8838910654920999</v>
      </c>
      <c r="AG2037">
        <v>-1.121401844709</v>
      </c>
      <c r="AH2037">
        <v>11.937367439966801</v>
      </c>
      <c r="AI2037">
        <v>94.969098759476594</v>
      </c>
      <c r="AJ2037">
        <v>67.749238936024597</v>
      </c>
      <c r="AK2037">
        <v>12.946454164507299</v>
      </c>
      <c r="AL2037">
        <v>93.439430576132594</v>
      </c>
      <c r="AM2037">
        <v>86.568928482683603</v>
      </c>
      <c r="AN2037">
        <v>0.99999997469070601</v>
      </c>
    </row>
    <row r="2038" spans="1:40" x14ac:dyDescent="0.25">
      <c r="A2038" t="str">
        <f>"20190303154136245"</f>
        <v>20190303154136245</v>
      </c>
      <c r="B2038" t="str">
        <f>"1551598896241543"</f>
        <v>1551598896241543</v>
      </c>
      <c r="C2038" t="s">
        <v>40</v>
      </c>
      <c r="D2038">
        <v>5.3518720000000002</v>
      </c>
      <c r="E2038">
        <v>0.63354140000000003</v>
      </c>
      <c r="F2038" t="s">
        <v>46</v>
      </c>
      <c r="G2038">
        <v>-196.79249999999999</v>
      </c>
      <c r="H2038" s="1">
        <v>9.1045809999999995E-7</v>
      </c>
      <c r="I2038">
        <v>295.32600000000002</v>
      </c>
      <c r="J2038">
        <v>-191.84</v>
      </c>
      <c r="K2038">
        <v>1.1214010000000001</v>
      </c>
      <c r="L2038">
        <v>306.30059999999997</v>
      </c>
      <c r="M2038">
        <v>-2.1128999999999998E-2</v>
      </c>
      <c r="N2038">
        <v>-1.3947309999999999E-2</v>
      </c>
      <c r="O2038">
        <v>-0.9996794</v>
      </c>
      <c r="P2038">
        <v>-8.2795610000000006E-2</v>
      </c>
      <c r="Q2038">
        <v>-7.7593869999999995E-2</v>
      </c>
      <c r="R2038">
        <v>-0.99354120000000001</v>
      </c>
      <c r="S2038">
        <v>-1.287201</v>
      </c>
      <c r="T2038">
        <v>-0.29127419999999998</v>
      </c>
      <c r="U2038">
        <v>-2.8918149999999998</v>
      </c>
      <c r="V2038">
        <v>6.1792640000000003E-2</v>
      </c>
      <c r="W2038">
        <v>-6.3698019999999994E-2</v>
      </c>
      <c r="X2038">
        <v>0.99605440000000001</v>
      </c>
      <c r="Y2038">
        <v>0.3857429</v>
      </c>
      <c r="Z2038">
        <v>7.8168779999999993E-2</v>
      </c>
      <c r="AA2038">
        <v>0.91928889999999996</v>
      </c>
      <c r="AB2038">
        <v>17</v>
      </c>
      <c r="AC2038">
        <v>-4.9524999999999801</v>
      </c>
      <c r="AD2038">
        <v>-1.1214000895418901</v>
      </c>
      <c r="AE2038">
        <v>-10.974600000000001</v>
      </c>
      <c r="AF2038">
        <v>4.6789020266776102</v>
      </c>
      <c r="AG2038">
        <v>-1.1214000895418901</v>
      </c>
      <c r="AH2038">
        <v>10.981541426844901</v>
      </c>
      <c r="AI2038">
        <v>95.366903185571999</v>
      </c>
      <c r="AJ2038">
        <v>66.922615555952106</v>
      </c>
      <c r="AK2038">
        <v>11.9893250204331</v>
      </c>
      <c r="AL2038">
        <v>93.652100000919106</v>
      </c>
      <c r="AM2038">
        <v>86.450067432637596</v>
      </c>
      <c r="AN2038">
        <v>1.0000000679347201</v>
      </c>
    </row>
    <row r="2039" spans="1:40" x14ac:dyDescent="0.25">
      <c r="A2039" t="str">
        <f>"20190303154136265"</f>
        <v>20190303154136265</v>
      </c>
      <c r="B2039" t="str">
        <f>"1551598896261065"</f>
        <v>1551598896261065</v>
      </c>
      <c r="C2039" t="s">
        <v>40</v>
      </c>
      <c r="D2039">
        <v>5.3519920000000001</v>
      </c>
      <c r="E2039">
        <v>0.63513330000000001</v>
      </c>
      <c r="F2039" t="s">
        <v>46</v>
      </c>
      <c r="G2039">
        <v>-196.51179999999999</v>
      </c>
      <c r="H2039" s="1">
        <v>6.9384699999999995E-7</v>
      </c>
      <c r="I2039">
        <v>296.00920000000002</v>
      </c>
      <c r="J2039">
        <v>-191.8432</v>
      </c>
      <c r="K2039">
        <v>1.1214139999999999</v>
      </c>
      <c r="L2039">
        <v>306.1456</v>
      </c>
      <c r="M2039">
        <v>-2.0992759999999999E-2</v>
      </c>
      <c r="N2039">
        <v>-1.394342E-2</v>
      </c>
      <c r="O2039">
        <v>-0.99968250000000003</v>
      </c>
      <c r="P2039">
        <v>-8.4989690000000007E-2</v>
      </c>
      <c r="Q2039">
        <v>-7.9005430000000001E-2</v>
      </c>
      <c r="R2039">
        <v>-0.99324469999999998</v>
      </c>
      <c r="S2039">
        <v>-1.309982</v>
      </c>
      <c r="T2039">
        <v>-0.31444689999999997</v>
      </c>
      <c r="U2039">
        <v>-2.8857729999999999</v>
      </c>
      <c r="V2039">
        <v>6.4131250000000001E-2</v>
      </c>
      <c r="W2039">
        <v>-6.5113630000000006E-2</v>
      </c>
      <c r="X2039">
        <v>0.99581489999999995</v>
      </c>
      <c r="Y2039">
        <v>0.39234190000000002</v>
      </c>
      <c r="Z2039">
        <v>8.5319740000000005E-2</v>
      </c>
      <c r="AA2039">
        <v>0.9158539</v>
      </c>
      <c r="AB2039">
        <v>17</v>
      </c>
      <c r="AC2039">
        <v>-4.6685999999999899</v>
      </c>
      <c r="AD2039">
        <v>-1.1214133061529901</v>
      </c>
      <c r="AE2039">
        <v>-10.136399999999901</v>
      </c>
      <c r="AF2039">
        <v>4.4102270036773401</v>
      </c>
      <c r="AG2039">
        <v>-1.1214133061529901</v>
      </c>
      <c r="AH2039">
        <v>10.1298954334308</v>
      </c>
      <c r="AI2039">
        <v>95.795730065830298</v>
      </c>
      <c r="AJ2039">
        <v>66.473257511991307</v>
      </c>
      <c r="AK2039">
        <v>11.105064228514101</v>
      </c>
      <c r="AL2039">
        <v>93.733377638293703</v>
      </c>
      <c r="AM2039">
        <v>86.315196040876998</v>
      </c>
      <c r="AN2039">
        <v>0.99999995855017298</v>
      </c>
    </row>
    <row r="2040" spans="1:40" x14ac:dyDescent="0.25">
      <c r="A2040" t="str">
        <f>"20190303154136288"</f>
        <v>20190303154136288</v>
      </c>
      <c r="B2040" t="str">
        <f>"1551598896281559"</f>
        <v>1551598896281559</v>
      </c>
      <c r="C2040" t="s">
        <v>40</v>
      </c>
      <c r="D2040">
        <v>5.3697939999999997</v>
      </c>
      <c r="E2040">
        <v>0.63640730000000001</v>
      </c>
      <c r="F2040" t="s">
        <v>46</v>
      </c>
      <c r="G2040">
        <v>-196.39760000000001</v>
      </c>
      <c r="H2040" s="1">
        <v>6.1111309999999899E-7</v>
      </c>
      <c r="I2040">
        <v>296.27190000000002</v>
      </c>
      <c r="J2040">
        <v>-191.84639999999999</v>
      </c>
      <c r="K2040">
        <v>1.1214459999999999</v>
      </c>
      <c r="L2040">
        <v>305.9837</v>
      </c>
      <c r="M2040">
        <v>-2.0811730000000001E-2</v>
      </c>
      <c r="N2040">
        <v>-1.3939409999999999E-2</v>
      </c>
      <c r="O2040">
        <v>-0.99968630000000003</v>
      </c>
      <c r="P2040">
        <v>-8.6384349999999999E-2</v>
      </c>
      <c r="Q2040">
        <v>-7.8998079999999998E-2</v>
      </c>
      <c r="R2040">
        <v>-0.99312500000000004</v>
      </c>
      <c r="S2040">
        <v>-1.328735</v>
      </c>
      <c r="T2040">
        <v>-0.32716859999999998</v>
      </c>
      <c r="U2040">
        <v>-2.880646</v>
      </c>
      <c r="V2040">
        <v>6.5711749999999999E-2</v>
      </c>
      <c r="W2040">
        <v>-6.510784E-2</v>
      </c>
      <c r="X2040">
        <v>0.99571229999999999</v>
      </c>
      <c r="Y2040">
        <v>0.39788560000000001</v>
      </c>
      <c r="Z2040">
        <v>8.9201260000000004E-2</v>
      </c>
      <c r="AA2040">
        <v>0.91308829999999996</v>
      </c>
      <c r="AB2040">
        <v>17</v>
      </c>
      <c r="AC2040">
        <v>-4.5512000000000201</v>
      </c>
      <c r="AD2040">
        <v>-1.1214453888869</v>
      </c>
      <c r="AE2040">
        <v>-9.7117999999999807</v>
      </c>
      <c r="AF2040">
        <v>4.3010520747804097</v>
      </c>
      <c r="AG2040">
        <v>-1.1214453888869</v>
      </c>
      <c r="AH2040">
        <v>9.6983920322990596</v>
      </c>
      <c r="AI2040">
        <v>96.033969843380007</v>
      </c>
      <c r="AJ2040">
        <v>66.083626012547001</v>
      </c>
      <c r="AK2040">
        <v>10.668434595684101</v>
      </c>
      <c r="AL2040">
        <v>93.733044943194201</v>
      </c>
      <c r="AM2040">
        <v>86.224256479182799</v>
      </c>
      <c r="AN2040">
        <v>1.0000000246444001</v>
      </c>
    </row>
    <row r="2041" spans="1:40" x14ac:dyDescent="0.25">
      <c r="A2041" t="str">
        <f>"20190303154136310"</f>
        <v>20190303154136310</v>
      </c>
      <c r="B2041" t="str">
        <f>"1551598896301078"</f>
        <v>1551598896301078</v>
      </c>
      <c r="C2041" t="s">
        <v>40</v>
      </c>
      <c r="D2041">
        <v>5.3930339999999903</v>
      </c>
      <c r="E2041">
        <v>0.63753219999999899</v>
      </c>
      <c r="F2041" t="s">
        <v>46</v>
      </c>
      <c r="G2041">
        <v>-196.38229999999999</v>
      </c>
      <c r="H2041" s="1">
        <v>6.1534260000000001E-7</v>
      </c>
      <c r="I2041">
        <v>296.26369999999997</v>
      </c>
      <c r="J2041">
        <v>-191.84970000000001</v>
      </c>
      <c r="K2041">
        <v>1.1214729999999999</v>
      </c>
      <c r="L2041">
        <v>305.81400000000002</v>
      </c>
      <c r="M2041">
        <v>-2.0584450000000001E-2</v>
      </c>
      <c r="N2041">
        <v>-1.393522E-2</v>
      </c>
      <c r="O2041">
        <v>-0.99969110000000005</v>
      </c>
      <c r="P2041">
        <v>-8.7863499999999997E-2</v>
      </c>
      <c r="Q2041">
        <v>-7.8069429999999995E-2</v>
      </c>
      <c r="R2041">
        <v>-0.99306870000000003</v>
      </c>
      <c r="S2041">
        <v>-1.3428340000000001</v>
      </c>
      <c r="T2041">
        <v>-0.33200180000000001</v>
      </c>
      <c r="U2041">
        <v>-2.8775940000000002</v>
      </c>
      <c r="V2041">
        <v>6.7421410000000001E-2</v>
      </c>
      <c r="W2041">
        <v>-6.4179680000000003E-2</v>
      </c>
      <c r="X2041">
        <v>0.99565820000000005</v>
      </c>
      <c r="Y2041">
        <v>0.40207769999999998</v>
      </c>
      <c r="Z2041">
        <v>9.0610499999999997E-2</v>
      </c>
      <c r="AA2041">
        <v>0.911111</v>
      </c>
      <c r="AB2041">
        <v>17</v>
      </c>
      <c r="AC2041">
        <v>-4.5325999999999702</v>
      </c>
      <c r="AD2041">
        <v>-1.1214723846574</v>
      </c>
      <c r="AE2041">
        <v>-9.5503000000000497</v>
      </c>
      <c r="AF2041">
        <v>4.2867878210093604</v>
      </c>
      <c r="AG2041">
        <v>-1.1214723846574</v>
      </c>
      <c r="AH2041">
        <v>9.5342843323494204</v>
      </c>
      <c r="AI2041">
        <v>96.123288904605701</v>
      </c>
      <c r="AJ2041">
        <v>65.790448682795898</v>
      </c>
      <c r="AK2041">
        <v>10.5136495976414</v>
      </c>
      <c r="AL2041">
        <v>93.679754049891201</v>
      </c>
      <c r="AM2041">
        <v>86.126106275403103</v>
      </c>
      <c r="AN2041">
        <v>0.99999996453926399</v>
      </c>
    </row>
    <row r="2042" spans="1:40" x14ac:dyDescent="0.25">
      <c r="A2042" t="str">
        <f>"20190303154136334"</f>
        <v>20190303154136334</v>
      </c>
      <c r="B2042" t="str">
        <f>"1551598896331335"</f>
        <v>1551598896331335</v>
      </c>
      <c r="C2042" t="s">
        <v>40</v>
      </c>
      <c r="D2042">
        <v>5.4188400000000003</v>
      </c>
      <c r="E2042">
        <v>0.63880909999999902</v>
      </c>
      <c r="F2042" t="s">
        <v>46</v>
      </c>
      <c r="G2042">
        <v>-196.42670000000001</v>
      </c>
      <c r="H2042" s="1">
        <v>6.6570650000000001E-7</v>
      </c>
      <c r="I2042">
        <v>296.11009999999999</v>
      </c>
      <c r="J2042">
        <v>-191.85300000000001</v>
      </c>
      <c r="K2042">
        <v>1.121497</v>
      </c>
      <c r="L2042">
        <v>305.64190000000002</v>
      </c>
      <c r="M2042">
        <v>-2.0320939999999999E-2</v>
      </c>
      <c r="N2042">
        <v>-1.3930980000000001E-2</v>
      </c>
      <c r="O2042">
        <v>-0.99969660000000005</v>
      </c>
      <c r="P2042">
        <v>-8.8918129999999998E-2</v>
      </c>
      <c r="Q2042">
        <v>-7.8166849999999996E-2</v>
      </c>
      <c r="R2042">
        <v>-0.99296709999999999</v>
      </c>
      <c r="S2042">
        <v>-1.355972</v>
      </c>
      <c r="T2042">
        <v>-0.33224379999999998</v>
      </c>
      <c r="U2042">
        <v>-2.8748469999999999</v>
      </c>
      <c r="V2042">
        <v>6.8743180000000001E-2</v>
      </c>
      <c r="W2042">
        <v>-6.4278950000000001E-2</v>
      </c>
      <c r="X2042">
        <v>0.99556140000000004</v>
      </c>
      <c r="Y2042">
        <v>0.40605809999999998</v>
      </c>
      <c r="Z2042">
        <v>9.0588849999999999E-2</v>
      </c>
      <c r="AA2042">
        <v>0.90934619999999999</v>
      </c>
      <c r="AB2042">
        <v>17</v>
      </c>
      <c r="AC2042">
        <v>-4.5737000000000299</v>
      </c>
      <c r="AD2042">
        <v>-1.1214963342935</v>
      </c>
      <c r="AE2042">
        <v>-9.5318000000000307</v>
      </c>
      <c r="AF2042">
        <v>4.3303139370433197</v>
      </c>
      <c r="AG2042">
        <v>-1.1214963342935</v>
      </c>
      <c r="AH2042">
        <v>9.5157052872268792</v>
      </c>
      <c r="AI2042">
        <v>96.122831021014804</v>
      </c>
      <c r="AJ2042">
        <v>65.5311325383515</v>
      </c>
      <c r="AK2042">
        <v>10.5146573855044</v>
      </c>
      <c r="AL2042">
        <v>93.685453607043897</v>
      </c>
      <c r="AM2042">
        <v>86.050015376307002</v>
      </c>
      <c r="AN2042">
        <v>0.99999995468978597</v>
      </c>
    </row>
    <row r="2043" spans="1:40" x14ac:dyDescent="0.25">
      <c r="A2043" t="str">
        <f>"20190303154136356"</f>
        <v>20190303154136356</v>
      </c>
      <c r="B2043" t="str">
        <f>"1551598896351832"</f>
        <v>1551598896351832</v>
      </c>
      <c r="C2043" t="s">
        <v>40</v>
      </c>
      <c r="D2043">
        <v>5.4464860000000002</v>
      </c>
      <c r="E2043">
        <v>0.6396676</v>
      </c>
      <c r="F2043" t="s">
        <v>46</v>
      </c>
      <c r="G2043">
        <v>-196.3896</v>
      </c>
      <c r="H2043" s="1">
        <v>6.6338379999999997E-7</v>
      </c>
      <c r="I2043">
        <v>296.12599999999998</v>
      </c>
      <c r="J2043">
        <v>-191.85589999999999</v>
      </c>
      <c r="K2043">
        <v>1.121513</v>
      </c>
      <c r="L2043">
        <v>305.48250000000002</v>
      </c>
      <c r="M2043">
        <v>-2.00533E-2</v>
      </c>
      <c r="N2043">
        <v>-1.392701E-2</v>
      </c>
      <c r="O2043">
        <v>-0.99970190000000003</v>
      </c>
      <c r="P2043">
        <v>-9.1062489999999996E-2</v>
      </c>
      <c r="Q2043">
        <v>-7.8298489999999998E-2</v>
      </c>
      <c r="R2043">
        <v>-0.99276209999999998</v>
      </c>
      <c r="S2043">
        <v>-1.3691709999999999</v>
      </c>
      <c r="T2043">
        <v>-0.33847359999999999</v>
      </c>
      <c r="U2043">
        <v>-2.8719480000000002</v>
      </c>
      <c r="V2043">
        <v>7.1159089999999994E-2</v>
      </c>
      <c r="W2043">
        <v>-6.4414470000000001E-2</v>
      </c>
      <c r="X2043">
        <v>0.99538289999999996</v>
      </c>
      <c r="Y2043">
        <v>0.40998289999999998</v>
      </c>
      <c r="Z2043">
        <v>9.2429919999999999E-2</v>
      </c>
      <c r="AA2043">
        <v>0.90739769999999997</v>
      </c>
      <c r="AB2043">
        <v>16</v>
      </c>
      <c r="AC2043">
        <v>-4.5336999999999996</v>
      </c>
      <c r="AD2043">
        <v>-1.1215123366161901</v>
      </c>
      <c r="AE2043">
        <v>-9.3565000000000396</v>
      </c>
      <c r="AF2043">
        <v>4.2951644863941798</v>
      </c>
      <c r="AG2043">
        <v>-1.1215123366161901</v>
      </c>
      <c r="AH2043">
        <v>9.3369022767369394</v>
      </c>
      <c r="AI2043">
        <v>96.227674091565405</v>
      </c>
      <c r="AJ2043">
        <v>65.296610312347894</v>
      </c>
      <c r="AK2043">
        <v>10.3384704870546</v>
      </c>
      <c r="AL2043">
        <v>93.6932343671956</v>
      </c>
      <c r="AM2043">
        <v>85.910929238207899</v>
      </c>
      <c r="AN2043">
        <v>0.99999997882370895</v>
      </c>
    </row>
    <row r="2044" spans="1:40" x14ac:dyDescent="0.25">
      <c r="A2044" t="str">
        <f>"20190303154136378"</f>
        <v>20190303154136378</v>
      </c>
      <c r="B2044" t="str">
        <f>"1551598896371350"</f>
        <v>1551598896371350</v>
      </c>
      <c r="C2044" t="s">
        <v>40</v>
      </c>
      <c r="D2044">
        <v>5.469436</v>
      </c>
      <c r="E2044">
        <v>0.64040200000000003</v>
      </c>
      <c r="F2044" t="s">
        <v>46</v>
      </c>
      <c r="G2044">
        <v>-196.40180000000001</v>
      </c>
      <c r="H2044" s="1">
        <v>6.8992019999999996E-7</v>
      </c>
      <c r="I2044">
        <v>296.04790000000003</v>
      </c>
      <c r="J2044">
        <v>-191.8587</v>
      </c>
      <c r="K2044">
        <v>1.1215139999999999</v>
      </c>
      <c r="L2044">
        <v>305.32209999999998</v>
      </c>
      <c r="M2044">
        <v>-1.9768540000000001E-2</v>
      </c>
      <c r="N2044">
        <v>-1.3922850000000001E-2</v>
      </c>
      <c r="O2044">
        <v>-0.99970760000000003</v>
      </c>
      <c r="P2044">
        <v>-9.288971E-2</v>
      </c>
      <c r="Q2044">
        <v>-7.7372479999999993E-2</v>
      </c>
      <c r="R2044">
        <v>-0.99266560000000004</v>
      </c>
      <c r="S2044">
        <v>-1.3820190000000001</v>
      </c>
      <c r="T2044">
        <v>-0.34095589999999998</v>
      </c>
      <c r="U2044">
        <v>-2.8682560000000001</v>
      </c>
      <c r="V2044">
        <v>7.3270719999999998E-2</v>
      </c>
      <c r="W2044">
        <v>-6.3493030000000006E-2</v>
      </c>
      <c r="X2044">
        <v>0.99528890000000003</v>
      </c>
      <c r="Y2044">
        <v>0.41396319999999998</v>
      </c>
      <c r="Z2044">
        <v>9.313014E-2</v>
      </c>
      <c r="AA2044">
        <v>0.90551709999999996</v>
      </c>
      <c r="AB2044">
        <v>16</v>
      </c>
      <c r="AC2044">
        <v>-4.5431000000000097</v>
      </c>
      <c r="AD2044">
        <v>-1.12151331007979</v>
      </c>
      <c r="AE2044">
        <v>-9.27419999999994</v>
      </c>
      <c r="AF2044">
        <v>4.3080495152911196</v>
      </c>
      <c r="AG2044">
        <v>-1.12151331007979</v>
      </c>
      <c r="AH2044">
        <v>9.2530795110350006</v>
      </c>
      <c r="AI2044">
        <v>96.2704501963957</v>
      </c>
      <c r="AJ2044">
        <v>65.034251030989196</v>
      </c>
      <c r="AK2044">
        <v>10.268230771093</v>
      </c>
      <c r="AL2044">
        <v>93.640331441439898</v>
      </c>
      <c r="AM2044">
        <v>85.789620831077599</v>
      </c>
      <c r="AN2044">
        <v>0.99999997886555403</v>
      </c>
    </row>
    <row r="2045" spans="1:40" x14ac:dyDescent="0.25">
      <c r="A2045" t="str">
        <f>"20190303154136400"</f>
        <v>20190303154136400</v>
      </c>
      <c r="B2045" t="str">
        <f>"1551598896391847"</f>
        <v>1551598896391847</v>
      </c>
      <c r="C2045" t="s">
        <v>40</v>
      </c>
      <c r="D2045">
        <v>5.494383</v>
      </c>
      <c r="E2045">
        <v>0.6410264</v>
      </c>
      <c r="F2045" t="s">
        <v>46</v>
      </c>
      <c r="G2045">
        <v>-196.48830000000001</v>
      </c>
      <c r="H2045" s="1">
        <v>7.6955800000000001E-7</v>
      </c>
      <c r="I2045">
        <v>295.80090000000001</v>
      </c>
      <c r="J2045">
        <v>-191.86160000000001</v>
      </c>
      <c r="K2045">
        <v>1.1215120000000001</v>
      </c>
      <c r="L2045">
        <v>305.15980000000002</v>
      </c>
      <c r="M2045">
        <v>-1.9473399999999998E-2</v>
      </c>
      <c r="N2045">
        <v>-1.391877E-2</v>
      </c>
      <c r="O2045">
        <v>-0.99971379999999999</v>
      </c>
      <c r="P2045">
        <v>-9.4046729999999995E-2</v>
      </c>
      <c r="Q2045">
        <v>-7.6078010000000001E-2</v>
      </c>
      <c r="R2045">
        <v>-0.99265709999999996</v>
      </c>
      <c r="S2045">
        <v>-1.393295</v>
      </c>
      <c r="T2045">
        <v>-0.33752890000000002</v>
      </c>
      <c r="U2045">
        <v>-2.8655089999999999</v>
      </c>
      <c r="V2045">
        <v>7.4719530000000006E-2</v>
      </c>
      <c r="W2045">
        <v>-6.2203670000000003E-2</v>
      </c>
      <c r="X2045">
        <v>0.9952626</v>
      </c>
      <c r="Y2045">
        <v>0.41750100000000001</v>
      </c>
      <c r="Z2045">
        <v>9.1987429999999995E-2</v>
      </c>
      <c r="AA2045">
        <v>0.90400840000000005</v>
      </c>
      <c r="AB2045">
        <v>16</v>
      </c>
      <c r="AC2045">
        <v>-4.6266999999999996</v>
      </c>
      <c r="AD2045">
        <v>-1.1215112304420001</v>
      </c>
      <c r="AE2045">
        <v>-9.3589000000000002</v>
      </c>
      <c r="AF2045">
        <v>4.3928624267155501</v>
      </c>
      <c r="AG2045">
        <v>-1.1215112304420001</v>
      </c>
      <c r="AH2045">
        <v>9.3394555734459193</v>
      </c>
      <c r="AI2045">
        <v>96.201611839151397</v>
      </c>
      <c r="AJ2045">
        <v>64.809803841859704</v>
      </c>
      <c r="AK2045">
        <v>10.3817367597347</v>
      </c>
      <c r="AL2045">
        <v>93.566310232916095</v>
      </c>
      <c r="AM2045">
        <v>85.706562653907397</v>
      </c>
      <c r="AN2045">
        <v>0.99999997384182404</v>
      </c>
    </row>
    <row r="2046" spans="1:40" x14ac:dyDescent="0.25">
      <c r="A2046" t="str">
        <f>"20190303154136424"</f>
        <v>20190303154136424</v>
      </c>
      <c r="B2046" t="str">
        <f>"1551598896411367"</f>
        <v>1551598896411367</v>
      </c>
      <c r="C2046" t="s">
        <v>40</v>
      </c>
      <c r="D2046">
        <v>5.5035339999999904</v>
      </c>
      <c r="E2046">
        <v>0.65556789999999998</v>
      </c>
      <c r="F2046" t="s">
        <v>46</v>
      </c>
      <c r="G2046">
        <v>-196.56829999999999</v>
      </c>
      <c r="H2046" s="1">
        <v>8.5322519999999998E-7</v>
      </c>
      <c r="I2046">
        <v>295.54410000000001</v>
      </c>
      <c r="J2046">
        <v>-191.86449999999999</v>
      </c>
      <c r="K2046">
        <v>1.121499</v>
      </c>
      <c r="L2046">
        <v>304.99090000000001</v>
      </c>
      <c r="M2046">
        <v>-1.916791E-2</v>
      </c>
      <c r="N2046">
        <v>-1.391453E-2</v>
      </c>
      <c r="O2046">
        <v>-0.99971949999999998</v>
      </c>
      <c r="P2046">
        <v>-9.4928250000000006E-2</v>
      </c>
      <c r="Q2046">
        <v>-7.5360640000000007E-2</v>
      </c>
      <c r="R2046">
        <v>-0.99262760000000005</v>
      </c>
      <c r="S2046">
        <v>-1.401764</v>
      </c>
      <c r="T2046">
        <v>-0.33401500000000001</v>
      </c>
      <c r="U2046">
        <v>-2.8637999999999999</v>
      </c>
      <c r="V2046">
        <v>7.5903269999999995E-2</v>
      </c>
      <c r="W2046">
        <v>-6.149284E-2</v>
      </c>
      <c r="X2046">
        <v>0.99521720000000002</v>
      </c>
      <c r="Y2046">
        <v>0.4201956</v>
      </c>
      <c r="Z2046">
        <v>9.0826299999999999E-2</v>
      </c>
      <c r="AA2046">
        <v>0.90287660000000003</v>
      </c>
      <c r="AB2046">
        <v>16</v>
      </c>
      <c r="AC2046">
        <v>-4.7038000000000002</v>
      </c>
      <c r="AD2046">
        <v>-1.1214981467748</v>
      </c>
      <c r="AE2046">
        <v>-9.4467999999999908</v>
      </c>
      <c r="AF2046">
        <v>4.4713445266839598</v>
      </c>
      <c r="AG2046">
        <v>-1.1214981467748</v>
      </c>
      <c r="AH2046">
        <v>9.4287490271421497</v>
      </c>
      <c r="AI2046">
        <v>96.134158524173401</v>
      </c>
      <c r="AJ2046">
        <v>64.628542385489396</v>
      </c>
      <c r="AK2046">
        <v>10.4953317330306</v>
      </c>
      <c r="AL2046">
        <v>93.525504546412193</v>
      </c>
      <c r="AM2046">
        <v>85.638606316433595</v>
      </c>
      <c r="AN2046">
        <v>0.99999997547189901</v>
      </c>
    </row>
    <row r="2047" spans="1:40" x14ac:dyDescent="0.25">
      <c r="A2047" t="str">
        <f>"20190303154136444"</f>
        <v>20190303154136444</v>
      </c>
      <c r="B2047" t="str">
        <f>"1551598896441623"</f>
        <v>1551598896441623</v>
      </c>
      <c r="C2047" t="s">
        <v>40</v>
      </c>
      <c r="D2047">
        <v>5.53376</v>
      </c>
      <c r="E2047">
        <v>0.65390400000000004</v>
      </c>
      <c r="F2047" t="s">
        <v>46</v>
      </c>
      <c r="G2047">
        <v>-196.9709</v>
      </c>
      <c r="H2047" s="1">
        <v>8.6448350000000001E-7</v>
      </c>
      <c r="I2047">
        <v>295.41129999999998</v>
      </c>
      <c r="J2047">
        <v>-191.8672</v>
      </c>
      <c r="K2047">
        <v>1.1214839999999999</v>
      </c>
      <c r="L2047">
        <v>304.83659999999998</v>
      </c>
      <c r="M2047">
        <v>-1.8896010000000001E-2</v>
      </c>
      <c r="N2047">
        <v>-1.391066E-2</v>
      </c>
      <c r="O2047">
        <v>-0.99972470000000002</v>
      </c>
      <c r="P2047">
        <v>-9.5663960000000006E-2</v>
      </c>
      <c r="Q2047">
        <v>-7.6362429999999995E-2</v>
      </c>
      <c r="R2047">
        <v>-0.99248020000000003</v>
      </c>
      <c r="S2047">
        <v>-1.519989</v>
      </c>
      <c r="T2047">
        <v>-0.33383359999999901</v>
      </c>
      <c r="U2047">
        <v>-2.8515630000000001</v>
      </c>
      <c r="V2047">
        <v>7.6910709999999993E-2</v>
      </c>
      <c r="W2047">
        <v>-6.2502240000000001E-2</v>
      </c>
      <c r="X2047">
        <v>0.99507699999999999</v>
      </c>
      <c r="Y2047">
        <v>0.45139800000000002</v>
      </c>
      <c r="Z2047">
        <v>8.9432789999999998E-2</v>
      </c>
      <c r="AA2047">
        <v>0.88782969999999894</v>
      </c>
      <c r="AB2047">
        <v>16</v>
      </c>
      <c r="AC2047">
        <v>-5.1036999999999999</v>
      </c>
      <c r="AD2047">
        <v>-1.1214831355165</v>
      </c>
      <c r="AE2047">
        <v>-9.4252999999999894</v>
      </c>
      <c r="AF2047">
        <v>4.8713404534020004</v>
      </c>
      <c r="AG2047">
        <v>-1.1214831355165</v>
      </c>
      <c r="AH2047">
        <v>9.4169708580193205</v>
      </c>
      <c r="AI2047">
        <v>96.038128038088701</v>
      </c>
      <c r="AJ2047">
        <v>62.647755623914797</v>
      </c>
      <c r="AK2047">
        <v>10.661473743201899</v>
      </c>
      <c r="AL2047">
        <v>93.583450250726798</v>
      </c>
      <c r="AM2047">
        <v>85.580326573140894</v>
      </c>
      <c r="AN2047">
        <v>1.0000000116233601</v>
      </c>
    </row>
    <row r="2048" spans="1:40" x14ac:dyDescent="0.25">
      <c r="A2048" t="str">
        <f>"20190303154136466"</f>
        <v>20190303154136466</v>
      </c>
      <c r="B2048" t="str">
        <f>"1551598896461143"</f>
        <v>1551598896461143</v>
      </c>
      <c r="C2048" t="s">
        <v>40</v>
      </c>
      <c r="D2048">
        <v>5.516635</v>
      </c>
      <c r="E2048">
        <v>0.65384730000000002</v>
      </c>
      <c r="F2048" t="s">
        <v>46</v>
      </c>
      <c r="G2048">
        <v>-196.804</v>
      </c>
      <c r="H2048" s="1">
        <v>8.448987E-7</v>
      </c>
      <c r="I2048">
        <v>295.50850000000003</v>
      </c>
      <c r="J2048">
        <v>-191.87</v>
      </c>
      <c r="K2048">
        <v>1.121462</v>
      </c>
      <c r="L2048">
        <v>304.673</v>
      </c>
      <c r="M2048">
        <v>-1.8618740000000002E-2</v>
      </c>
      <c r="N2048">
        <v>-1.390654E-2</v>
      </c>
      <c r="O2048">
        <v>-0.99972989999999995</v>
      </c>
      <c r="P2048">
        <v>-9.6920240000000005E-2</v>
      </c>
      <c r="Q2048">
        <v>-7.7762369999999997E-2</v>
      </c>
      <c r="R2048">
        <v>-0.99224970000000001</v>
      </c>
      <c r="S2048">
        <v>-1.5088349999999999</v>
      </c>
      <c r="T2048">
        <v>-0.34275870000000003</v>
      </c>
      <c r="U2048">
        <v>-2.8509519999999999</v>
      </c>
      <c r="V2048">
        <v>7.8445639999999997E-2</v>
      </c>
      <c r="W2048">
        <v>-6.3910770000000006E-2</v>
      </c>
      <c r="X2048">
        <v>0.99486770000000002</v>
      </c>
      <c r="Y2048">
        <v>0.44888260000000002</v>
      </c>
      <c r="Z2048">
        <v>9.2346769999999995E-2</v>
      </c>
      <c r="AA2048">
        <v>0.88880619999999999</v>
      </c>
      <c r="AB2048">
        <v>16</v>
      </c>
      <c r="AC2048">
        <v>-4.9339999999999904</v>
      </c>
      <c r="AD2048">
        <v>-1.1214611551013001</v>
      </c>
      <c r="AE2048">
        <v>-9.1644999999999701</v>
      </c>
      <c r="AF2048">
        <v>4.7078413583401</v>
      </c>
      <c r="AG2048">
        <v>-1.1214611551013001</v>
      </c>
      <c r="AH2048">
        <v>9.1485752995816991</v>
      </c>
      <c r="AI2048">
        <v>96.220559088052198</v>
      </c>
      <c r="AJ2048">
        <v>62.769726247104501</v>
      </c>
      <c r="AK2048">
        <v>10.3497765864686</v>
      </c>
      <c r="AL2048">
        <v>93.664314731178905</v>
      </c>
      <c r="AM2048">
        <v>85.49153740685</v>
      </c>
      <c r="AN2048">
        <v>1.00000002273014</v>
      </c>
    </row>
    <row r="2049" spans="1:40" x14ac:dyDescent="0.25">
      <c r="A2049" t="str">
        <f>"20190303154136490"</f>
        <v>20190303154136490</v>
      </c>
      <c r="B2049" t="str">
        <f>"1551598896481639"</f>
        <v>1551598896481639</v>
      </c>
      <c r="C2049" t="s">
        <v>40</v>
      </c>
      <c r="D2049">
        <v>5.5524480000000001</v>
      </c>
      <c r="E2049">
        <v>0.65620330000000004</v>
      </c>
      <c r="F2049" t="s">
        <v>46</v>
      </c>
      <c r="G2049">
        <v>-197.00030000000001</v>
      </c>
      <c r="H2049" s="1">
        <v>1.0060650000000001E-6</v>
      </c>
      <c r="I2049">
        <v>295.0034</v>
      </c>
      <c r="J2049">
        <v>-191.87270000000001</v>
      </c>
      <c r="K2049">
        <v>1.1214440000000001</v>
      </c>
      <c r="L2049">
        <v>304.50869999999998</v>
      </c>
      <c r="M2049">
        <v>-1.835169E-2</v>
      </c>
      <c r="N2049">
        <v>-1.3902390000000001E-2</v>
      </c>
      <c r="O2049">
        <v>-0.99973489999999998</v>
      </c>
      <c r="P2049">
        <v>-9.7966510000000007E-2</v>
      </c>
      <c r="Q2049">
        <v>-7.9381679999999996E-2</v>
      </c>
      <c r="R2049">
        <v>-0.99201870000000003</v>
      </c>
      <c r="S2049">
        <v>-1.5119929999999999</v>
      </c>
      <c r="T2049">
        <v>-0.33051649999999999</v>
      </c>
      <c r="U2049">
        <v>-2.8498230000000002</v>
      </c>
      <c r="V2049">
        <v>7.9760639999999994E-2</v>
      </c>
      <c r="W2049">
        <v>-6.5538490000000005E-2</v>
      </c>
      <c r="X2049">
        <v>0.99465720000000002</v>
      </c>
      <c r="Y2049">
        <v>0.45020569999999999</v>
      </c>
      <c r="Z2049">
        <v>8.8575020000000004E-2</v>
      </c>
      <c r="AA2049">
        <v>0.8885208</v>
      </c>
      <c r="AB2049">
        <v>16</v>
      </c>
      <c r="AC2049">
        <v>-5.1276000000000002</v>
      </c>
      <c r="AD2049">
        <v>-1.1214429939349999</v>
      </c>
      <c r="AE2049">
        <v>-9.5052999999999699</v>
      </c>
      <c r="AF2049">
        <v>4.8994556394743496</v>
      </c>
      <c r="AG2049">
        <v>-1.1214429939349999</v>
      </c>
      <c r="AH2049">
        <v>9.4954293001114696</v>
      </c>
      <c r="AI2049">
        <v>95.991572474572706</v>
      </c>
      <c r="AJ2049">
        <v>62.707151726992997</v>
      </c>
      <c r="AK2049">
        <v>10.7436249722911</v>
      </c>
      <c r="AL2049">
        <v>93.757772278480402</v>
      </c>
      <c r="AM2049">
        <v>85.415314640434104</v>
      </c>
      <c r="AN2049">
        <v>0.99999999943826401</v>
      </c>
    </row>
    <row r="2050" spans="1:40" x14ac:dyDescent="0.25">
      <c r="A2050" t="str">
        <f>"20190303154136513"</f>
        <v>20190303154136513</v>
      </c>
      <c r="B2050" t="str">
        <f>"1551598896501158"</f>
        <v>1551598896501158</v>
      </c>
      <c r="C2050" t="s">
        <v>40</v>
      </c>
      <c r="D2050">
        <v>5.8110650000000001</v>
      </c>
      <c r="E2050">
        <v>0.60962919999999998</v>
      </c>
      <c r="F2050" t="s">
        <v>46</v>
      </c>
      <c r="G2050">
        <v>-197.6523</v>
      </c>
      <c r="H2050" s="1">
        <v>1.2337999999999999E-6</v>
      </c>
      <c r="I2050">
        <v>293.77170000000001</v>
      </c>
      <c r="J2050">
        <v>-191.87549999999999</v>
      </c>
      <c r="K2050">
        <v>1.12144</v>
      </c>
      <c r="L2050">
        <v>304.34050000000002</v>
      </c>
      <c r="M2050">
        <v>-1.808825E-2</v>
      </c>
      <c r="N2050">
        <v>-1.3898229999999999E-2</v>
      </c>
      <c r="O2050">
        <v>-0.99973990000000001</v>
      </c>
      <c r="P2050">
        <v>-9.8322770000000004E-2</v>
      </c>
      <c r="Q2050">
        <v>-8.0891889999999994E-2</v>
      </c>
      <c r="R2050">
        <v>-0.99186169999999996</v>
      </c>
      <c r="S2050">
        <v>-1.5335240000000001</v>
      </c>
      <c r="T2050">
        <v>-0.29755500000000001</v>
      </c>
      <c r="U2050">
        <v>-2.8488769999999999</v>
      </c>
      <c r="V2050">
        <v>8.0380839999999995E-2</v>
      </c>
      <c r="W2050">
        <v>-6.7056210000000005E-2</v>
      </c>
      <c r="X2050">
        <v>0.99450609999999995</v>
      </c>
      <c r="Y2050">
        <v>0.45621440000000002</v>
      </c>
      <c r="Z2050">
        <v>7.8186569999999997E-2</v>
      </c>
      <c r="AA2050">
        <v>0.88642840000000001</v>
      </c>
      <c r="AB2050">
        <v>16</v>
      </c>
      <c r="AC2050">
        <v>-5.7767999999999997</v>
      </c>
      <c r="AD2050">
        <v>-1.1214387662</v>
      </c>
      <c r="AE2050">
        <v>-10.5688</v>
      </c>
      <c r="AF2050">
        <v>5.5366676018346297</v>
      </c>
      <c r="AG2050">
        <v>-1.1214387662</v>
      </c>
      <c r="AH2050">
        <v>10.5798557132069</v>
      </c>
      <c r="AI2050">
        <v>95.3651847903907</v>
      </c>
      <c r="AJ2050">
        <v>62.375963544312299</v>
      </c>
      <c r="AK2050">
        <v>11.993567440583201</v>
      </c>
      <c r="AL2050">
        <v>93.844922979154703</v>
      </c>
      <c r="AM2050">
        <v>85.379120023302093</v>
      </c>
      <c r="AN2050">
        <v>0.999999998837939</v>
      </c>
    </row>
    <row r="2051" spans="1:40" x14ac:dyDescent="0.25">
      <c r="A2051" t="str">
        <f>"20190303154136536"</f>
        <v>20190303154136536</v>
      </c>
      <c r="B2051" t="str">
        <f>"1551598896531415"</f>
        <v>1551598896531415</v>
      </c>
      <c r="C2051" t="s">
        <v>40</v>
      </c>
      <c r="D2051">
        <v>5.6721830000000004</v>
      </c>
      <c r="E2051">
        <v>0.59182319999999999</v>
      </c>
      <c r="F2051" t="s">
        <v>46</v>
      </c>
      <c r="G2051">
        <v>-195.28720000000001</v>
      </c>
      <c r="H2051" s="1">
        <v>8.3784629999999997E-7</v>
      </c>
      <c r="I2051">
        <v>295.90899999999999</v>
      </c>
      <c r="J2051">
        <v>-191.87799999999999</v>
      </c>
      <c r="K2051">
        <v>1.121434</v>
      </c>
      <c r="L2051">
        <v>304.18369999999999</v>
      </c>
      <c r="M2051">
        <v>-1.7850599999999901E-2</v>
      </c>
      <c r="N2051">
        <v>-1.389425E-2</v>
      </c>
      <c r="O2051">
        <v>-0.99974419999999997</v>
      </c>
      <c r="P2051">
        <v>-9.8088599999999998E-2</v>
      </c>
      <c r="Q2051">
        <v>-8.1240649999999998E-2</v>
      </c>
      <c r="R2051">
        <v>-0.99185610000000002</v>
      </c>
      <c r="S2051">
        <v>-1.164536</v>
      </c>
      <c r="T2051">
        <v>-0.38278220000000002</v>
      </c>
      <c r="U2051">
        <v>-2.8779300000000001</v>
      </c>
      <c r="V2051">
        <v>8.0382099999999998E-2</v>
      </c>
      <c r="W2051">
        <v>-6.7410419999999999E-2</v>
      </c>
      <c r="X2051">
        <v>0.99448199999999998</v>
      </c>
      <c r="Y2051">
        <v>0.355931099999999</v>
      </c>
      <c r="Z2051">
        <v>0.1090024</v>
      </c>
      <c r="AA2051">
        <v>0.9281334</v>
      </c>
      <c r="AB2051">
        <v>16</v>
      </c>
      <c r="AC2051">
        <v>-3.4092000000000202</v>
      </c>
      <c r="AD2051">
        <v>-1.1214331621536999</v>
      </c>
      <c r="AE2051">
        <v>-8.2746999999999904</v>
      </c>
      <c r="AF2051">
        <v>3.2105229626956802</v>
      </c>
      <c r="AG2051">
        <v>-1.1214331621536999</v>
      </c>
      <c r="AH2051">
        <v>8.2054034937089195</v>
      </c>
      <c r="AI2051">
        <v>97.253296676789304</v>
      </c>
      <c r="AJ2051">
        <v>68.6311162797832</v>
      </c>
      <c r="AK2051">
        <v>8.8822134924659899</v>
      </c>
      <c r="AL2051">
        <v>93.865263941427003</v>
      </c>
      <c r="AM2051">
        <v>85.378936405073205</v>
      </c>
      <c r="AN2051">
        <v>0.99999994752449095</v>
      </c>
    </row>
    <row r="2052" spans="1:40" x14ac:dyDescent="0.25">
      <c r="A2052" t="str">
        <f>"20190303154136557"</f>
        <v>20190303154136557</v>
      </c>
      <c r="B2052" t="str">
        <f>"1551598896551912"</f>
        <v>1551598896551912</v>
      </c>
      <c r="C2052" t="s">
        <v>40</v>
      </c>
      <c r="D2052">
        <v>5.6446959999999997</v>
      </c>
      <c r="E2052">
        <v>0.58745009999999998</v>
      </c>
      <c r="F2052" t="s">
        <v>46</v>
      </c>
      <c r="G2052">
        <v>-195.48099999999999</v>
      </c>
      <c r="H2052" s="1">
        <v>1.3899199999999999E-6</v>
      </c>
      <c r="I2052">
        <v>293.9787</v>
      </c>
      <c r="J2052">
        <v>-191.88059999999999</v>
      </c>
      <c r="K2052">
        <v>1.1214249999999999</v>
      </c>
      <c r="L2052">
        <v>304.02</v>
      </c>
      <c r="M2052">
        <v>-1.7611379999999999E-2</v>
      </c>
      <c r="N2052">
        <v>-1.3890080000000001E-2</v>
      </c>
      <c r="O2052">
        <v>-0.99974879999999999</v>
      </c>
      <c r="P2052">
        <v>-9.800056E-2</v>
      </c>
      <c r="Q2052">
        <v>-8.0968129999999999E-2</v>
      </c>
      <c r="R2052">
        <v>-0.99188730000000003</v>
      </c>
      <c r="S2052">
        <v>-1.0229490000000001</v>
      </c>
      <c r="T2052">
        <v>-0.31839719999999999</v>
      </c>
      <c r="U2052">
        <v>-2.8974000000000002</v>
      </c>
      <c r="V2052">
        <v>8.0530050000000006E-2</v>
      </c>
      <c r="W2052">
        <v>-6.7143270000000005E-2</v>
      </c>
      <c r="X2052">
        <v>0.99448820000000004</v>
      </c>
      <c r="Y2052">
        <v>0.31467200000000001</v>
      </c>
      <c r="Z2052">
        <v>8.956596E-2</v>
      </c>
      <c r="AA2052">
        <v>0.94496539999999996</v>
      </c>
      <c r="AB2052">
        <v>16</v>
      </c>
      <c r="AC2052">
        <v>-3.6004</v>
      </c>
      <c r="AD2052">
        <v>-1.1214236100799999</v>
      </c>
      <c r="AE2052">
        <v>-10.0412999999999</v>
      </c>
      <c r="AF2052">
        <v>3.3855667432834302</v>
      </c>
      <c r="AG2052">
        <v>-1.1214236100799999</v>
      </c>
      <c r="AH2052">
        <v>9.9927189363366899</v>
      </c>
      <c r="AI2052">
        <v>96.067154416979506</v>
      </c>
      <c r="AJ2052">
        <v>71.283447105841503</v>
      </c>
      <c r="AK2052">
        <v>10.610093535266</v>
      </c>
      <c r="AL2052">
        <v>93.849922243737097</v>
      </c>
      <c r="AM2052">
        <v>85.370496624357699</v>
      </c>
      <c r="AN2052">
        <v>1.00000004379926</v>
      </c>
    </row>
    <row r="2053" spans="1:40" x14ac:dyDescent="0.25">
      <c r="A2053" t="str">
        <f>"20190303154136578"</f>
        <v>20190303154136578</v>
      </c>
      <c r="B2053" t="str">
        <f>"1551598896571431"</f>
        <v>1551598896571431</v>
      </c>
      <c r="C2053" t="s">
        <v>40</v>
      </c>
      <c r="D2053">
        <v>5.6172700000000004</v>
      </c>
      <c r="E2053">
        <v>0.58508349999999998</v>
      </c>
      <c r="F2053" t="s">
        <v>46</v>
      </c>
      <c r="G2053">
        <v>-195.72149999999999</v>
      </c>
      <c r="H2053" s="1">
        <v>1.5882399999999999E-6</v>
      </c>
      <c r="I2053">
        <v>292.73149999999998</v>
      </c>
      <c r="J2053">
        <v>-191.88300000000001</v>
      </c>
      <c r="K2053">
        <v>1.121418</v>
      </c>
      <c r="L2053">
        <v>303.8725</v>
      </c>
      <c r="M2053">
        <v>-1.7403020000000002E-2</v>
      </c>
      <c r="N2053">
        <v>-1.388642E-2</v>
      </c>
      <c r="O2053">
        <v>-0.99975210000000003</v>
      </c>
      <c r="P2053">
        <v>-9.8392450000000006E-2</v>
      </c>
      <c r="Q2053">
        <v>-8.2053130000000002E-2</v>
      </c>
      <c r="R2053">
        <v>-0.9917591</v>
      </c>
      <c r="S2053">
        <v>-0.98786929999999995</v>
      </c>
      <c r="T2053">
        <v>-0.28842719999999999</v>
      </c>
      <c r="U2053">
        <v>-2.903381</v>
      </c>
      <c r="V2053">
        <v>8.1130160000000007E-2</v>
      </c>
      <c r="W2053">
        <v>-6.823506E-2</v>
      </c>
      <c r="X2053">
        <v>0.99436500000000005</v>
      </c>
      <c r="Y2053">
        <v>0.30433199999999999</v>
      </c>
      <c r="Z2053">
        <v>8.0081399999999997E-2</v>
      </c>
      <c r="AA2053">
        <v>0.94919390000000003</v>
      </c>
      <c r="AB2053">
        <v>16</v>
      </c>
      <c r="AC2053">
        <v>-3.83850000000001</v>
      </c>
      <c r="AD2053">
        <v>-1.1214164117600001</v>
      </c>
      <c r="AE2053">
        <v>-11.141</v>
      </c>
      <c r="AF2053">
        <v>3.6113063582213099</v>
      </c>
      <c r="AG2053">
        <v>-1.1214164117600001</v>
      </c>
      <c r="AH2053">
        <v>11.1055409816317</v>
      </c>
      <c r="AI2053">
        <v>95.485209197602501</v>
      </c>
      <c r="AJ2053">
        <v>71.986480391548</v>
      </c>
      <c r="AK2053">
        <v>11.7316728933343</v>
      </c>
      <c r="AL2053">
        <v>93.912621413227697</v>
      </c>
      <c r="AM2053">
        <v>85.335573898858897</v>
      </c>
      <c r="AN2053">
        <v>0.99999993974991297</v>
      </c>
    </row>
    <row r="2054" spans="1:40" x14ac:dyDescent="0.25">
      <c r="A2054" t="str">
        <f>"20190303154136601"</f>
        <v>20190303154136601</v>
      </c>
      <c r="B2054" t="str">
        <f>"1551598896590954"</f>
        <v>1551598896590954</v>
      </c>
      <c r="C2054" t="s">
        <v>40</v>
      </c>
      <c r="D2054">
        <v>5.6184349999999998</v>
      </c>
      <c r="E2054">
        <v>0.58329399999999998</v>
      </c>
      <c r="F2054" t="s">
        <v>46</v>
      </c>
      <c r="G2054">
        <v>-195.5385</v>
      </c>
      <c r="H2054" s="1">
        <v>1.5691900000000001E-6</v>
      </c>
      <c r="I2054">
        <v>292.93180000000001</v>
      </c>
      <c r="J2054">
        <v>-191.88550000000001</v>
      </c>
      <c r="K2054">
        <v>1.121405</v>
      </c>
      <c r="L2054">
        <v>303.70920000000001</v>
      </c>
      <c r="M2054">
        <v>-1.717954E-2</v>
      </c>
      <c r="N2054">
        <v>-1.3882469999999999E-2</v>
      </c>
      <c r="O2054">
        <v>-0.99975639999999999</v>
      </c>
      <c r="P2054">
        <v>-9.8702200000000004E-2</v>
      </c>
      <c r="Q2054">
        <v>-8.3268170000000002E-2</v>
      </c>
      <c r="R2054">
        <v>-0.99162729999999999</v>
      </c>
      <c r="S2054">
        <v>-0.97030640000000001</v>
      </c>
      <c r="T2054">
        <v>-0.29766500000000001</v>
      </c>
      <c r="U2054">
        <v>-2.9040530000000002</v>
      </c>
      <c r="V2054">
        <v>8.1663089999999994E-2</v>
      </c>
      <c r="W2054">
        <v>-6.9457340000000006E-2</v>
      </c>
      <c r="X2054">
        <v>0.99423680000000003</v>
      </c>
      <c r="Y2054">
        <v>0.29923529999999998</v>
      </c>
      <c r="Z2054">
        <v>8.321539E-2</v>
      </c>
      <c r="AA2054">
        <v>0.95054380000000005</v>
      </c>
      <c r="AB2054">
        <v>16</v>
      </c>
      <c r="AC2054">
        <v>-3.6529999999999898</v>
      </c>
      <c r="AD2054">
        <v>-1.12140343081</v>
      </c>
      <c r="AE2054">
        <v>-10.7774</v>
      </c>
      <c r="AF2054">
        <v>3.4339451272616199</v>
      </c>
      <c r="AG2054">
        <v>-1.12140343081</v>
      </c>
      <c r="AH2054">
        <v>10.7343307566683</v>
      </c>
      <c r="AI2054">
        <v>95.682311263714496</v>
      </c>
      <c r="AJ2054">
        <v>72.2603674686777</v>
      </c>
      <c r="AK2054">
        <v>11.325872221830499</v>
      </c>
      <c r="AL2054">
        <v>93.982819233220198</v>
      </c>
      <c r="AM2054">
        <v>85.304467943722202</v>
      </c>
      <c r="AN2054">
        <v>0.99999999841123099</v>
      </c>
    </row>
    <row r="2055" spans="1:40" x14ac:dyDescent="0.25">
      <c r="A2055" t="str">
        <f>"20190303154136624"</f>
        <v>20190303154136624</v>
      </c>
      <c r="B2055" t="str">
        <f>"1551598896611450"</f>
        <v>1551598896611450</v>
      </c>
      <c r="C2055" t="s">
        <v>40</v>
      </c>
      <c r="D2055">
        <v>5.6275769999999996</v>
      </c>
      <c r="E2055">
        <v>0.58207980000000004</v>
      </c>
      <c r="F2055" t="s">
        <v>46</v>
      </c>
      <c r="G2055">
        <v>-195.43010000000001</v>
      </c>
      <c r="H2055" s="1">
        <v>1.5755330000000001E-6</v>
      </c>
      <c r="I2055">
        <v>292.9504</v>
      </c>
      <c r="J2055">
        <v>-191.88800000000001</v>
      </c>
      <c r="K2055">
        <v>1.1213949999999999</v>
      </c>
      <c r="L2055">
        <v>303.54950000000002</v>
      </c>
      <c r="M2055">
        <v>-1.696833E-2</v>
      </c>
      <c r="N2055">
        <v>-1.3878639999999999E-2</v>
      </c>
      <c r="O2055">
        <v>-0.99975970000000003</v>
      </c>
      <c r="P2055">
        <v>-9.9495819999999999E-2</v>
      </c>
      <c r="Q2055">
        <v>-8.3895999999999998E-2</v>
      </c>
      <c r="R2055">
        <v>-0.99149500000000002</v>
      </c>
      <c r="S2055">
        <v>-0.956955</v>
      </c>
      <c r="T2055">
        <v>-0.30275259999999998</v>
      </c>
      <c r="U2055">
        <v>-2.904633</v>
      </c>
      <c r="V2055">
        <v>8.2667619999999997E-2</v>
      </c>
      <c r="W2055">
        <v>-7.0092020000000005E-2</v>
      </c>
      <c r="X2055">
        <v>0.99410920000000003</v>
      </c>
      <c r="Y2055">
        <v>0.2953945</v>
      </c>
      <c r="Z2055">
        <v>8.4972899999999907E-2</v>
      </c>
      <c r="AA2055">
        <v>0.95158900000000002</v>
      </c>
      <c r="AB2055">
        <v>16</v>
      </c>
      <c r="AC2055">
        <v>-3.5421</v>
      </c>
      <c r="AD2055">
        <v>-1.1213934244670001</v>
      </c>
      <c r="AE2055">
        <v>-10.5991</v>
      </c>
      <c r="AF2055">
        <v>3.3282109763054901</v>
      </c>
      <c r="AG2055">
        <v>-1.1213934244670001</v>
      </c>
      <c r="AH2055">
        <v>10.5514379022911</v>
      </c>
      <c r="AI2055">
        <v>95.787511828602504</v>
      </c>
      <c r="AJ2055">
        <v>72.493305832232807</v>
      </c>
      <c r="AK2055">
        <v>11.120582418252299</v>
      </c>
      <c r="AL2055">
        <v>94.019272702294401</v>
      </c>
      <c r="AM2055">
        <v>85.246364387623998</v>
      </c>
      <c r="AN2055">
        <v>0.99999996409439096</v>
      </c>
    </row>
    <row r="2056" spans="1:40" x14ac:dyDescent="0.25">
      <c r="A2056" t="str">
        <f>"20190303154136646"</f>
        <v>20190303154136646</v>
      </c>
      <c r="B2056" t="str">
        <f>"1551598896641704"</f>
        <v>1551598896641704</v>
      </c>
      <c r="C2056" t="s">
        <v>40</v>
      </c>
      <c r="D2056">
        <v>5.6660170000000001</v>
      </c>
      <c r="E2056">
        <v>0.58098499999999997</v>
      </c>
      <c r="F2056" t="s">
        <v>46</v>
      </c>
      <c r="G2056">
        <v>-195.37860000000001</v>
      </c>
      <c r="H2056" s="1">
        <v>1.5938099999999999E-6</v>
      </c>
      <c r="I2056">
        <v>292.8725</v>
      </c>
      <c r="J2056">
        <v>-191.8905</v>
      </c>
      <c r="K2056">
        <v>1.1213869999999999</v>
      </c>
      <c r="L2056">
        <v>303.39010000000002</v>
      </c>
      <c r="M2056">
        <v>-1.6766980000000001E-2</v>
      </c>
      <c r="N2056">
        <v>-1.38748E-2</v>
      </c>
      <c r="O2056">
        <v>-0.99976350000000003</v>
      </c>
      <c r="P2056">
        <v>-9.9698770000000006E-2</v>
      </c>
      <c r="Q2056">
        <v>-8.3535949999999998E-2</v>
      </c>
      <c r="R2056">
        <v>-0.99150519999999998</v>
      </c>
      <c r="S2056">
        <v>-0.94961549999999995</v>
      </c>
      <c r="T2056">
        <v>-0.30507479999999998</v>
      </c>
      <c r="U2056">
        <v>-2.9046630000000002</v>
      </c>
      <c r="V2056">
        <v>8.3069240000000003E-2</v>
      </c>
      <c r="W2056">
        <v>-6.9737019999999997E-2</v>
      </c>
      <c r="X2056">
        <v>0.99410069999999995</v>
      </c>
      <c r="Y2056">
        <v>0.2933906</v>
      </c>
      <c r="Z2056">
        <v>8.5795460000000004E-2</v>
      </c>
      <c r="AA2056">
        <v>0.95213499999999995</v>
      </c>
      <c r="AB2056">
        <v>16</v>
      </c>
      <c r="AC2056">
        <v>-3.4881000000000002</v>
      </c>
      <c r="AD2056">
        <v>-1.1213854061899999</v>
      </c>
      <c r="AE2056">
        <v>-10.5176</v>
      </c>
      <c r="AF2056">
        <v>3.27767634539362</v>
      </c>
      <c r="AG2056">
        <v>-1.1213854061899999</v>
      </c>
      <c r="AH2056">
        <v>10.4674110232885</v>
      </c>
      <c r="AI2056">
        <v>95.837415742097505</v>
      </c>
      <c r="AJ2056">
        <v>72.613016923063995</v>
      </c>
      <c r="AK2056">
        <v>11.025758975455201</v>
      </c>
      <c r="AL2056">
        <v>93.998882757007607</v>
      </c>
      <c r="AM2056">
        <v>85.223335983840997</v>
      </c>
      <c r="AN2056">
        <v>0.99999997616657299</v>
      </c>
    </row>
    <row r="2057" spans="1:40" x14ac:dyDescent="0.25">
      <c r="A2057" t="str">
        <f>"20190303154136670"</f>
        <v>20190303154136670</v>
      </c>
      <c r="B2057" t="str">
        <f>"1551598896661224"</f>
        <v>1551598896661224</v>
      </c>
      <c r="C2057" t="s">
        <v>40</v>
      </c>
      <c r="D2057">
        <v>5.6601309999999998</v>
      </c>
      <c r="E2057">
        <v>0.58056819999999998</v>
      </c>
      <c r="F2057" t="s">
        <v>46</v>
      </c>
      <c r="G2057">
        <v>-195.28579999999999</v>
      </c>
      <c r="H2057" s="1">
        <v>1.594665E-6</v>
      </c>
      <c r="I2057">
        <v>292.9144</v>
      </c>
      <c r="J2057">
        <v>-191.893</v>
      </c>
      <c r="K2057">
        <v>1.1213839999999999</v>
      </c>
      <c r="L2057">
        <v>303.22770000000003</v>
      </c>
      <c r="M2057">
        <v>-1.6572940000000001E-2</v>
      </c>
      <c r="N2057">
        <v>-1.387088E-2</v>
      </c>
      <c r="O2057">
        <v>-0.99976659999999995</v>
      </c>
      <c r="P2057">
        <v>-9.9848110000000004E-2</v>
      </c>
      <c r="Q2057">
        <v>-8.2166370000000002E-2</v>
      </c>
      <c r="R2057">
        <v>-0.99160429999999999</v>
      </c>
      <c r="S2057">
        <v>-0.94151309999999999</v>
      </c>
      <c r="T2057">
        <v>-0.31095339999999999</v>
      </c>
      <c r="U2057">
        <v>-2.904846</v>
      </c>
      <c r="V2057">
        <v>8.3408469999999998E-2</v>
      </c>
      <c r="W2057">
        <v>-6.8371470000000004E-2</v>
      </c>
      <c r="X2057">
        <v>0.99416709999999997</v>
      </c>
      <c r="Y2057">
        <v>0.2911011</v>
      </c>
      <c r="Z2057">
        <v>8.7772530000000001E-2</v>
      </c>
      <c r="AA2057">
        <v>0.95265739999999999</v>
      </c>
      <c r="AB2057">
        <v>16</v>
      </c>
      <c r="AC2057">
        <v>-3.39279999999999</v>
      </c>
      <c r="AD2057">
        <v>-1.1213824053350001</v>
      </c>
      <c r="AE2057">
        <v>-10.3133</v>
      </c>
      <c r="AF2057">
        <v>3.1873925727087</v>
      </c>
      <c r="AG2057">
        <v>-1.1213824053350001</v>
      </c>
      <c r="AH2057">
        <v>10.2586773299547</v>
      </c>
      <c r="AI2057">
        <v>95.959413344286901</v>
      </c>
      <c r="AJ2057">
        <v>72.739870732989104</v>
      </c>
      <c r="AK2057">
        <v>10.800806936135899</v>
      </c>
      <c r="AL2057">
        <v>93.920455477551101</v>
      </c>
      <c r="AM2057">
        <v>85.204239155705807</v>
      </c>
      <c r="AN2057">
        <v>0.999999926750053</v>
      </c>
    </row>
    <row r="2058" spans="1:40" x14ac:dyDescent="0.25">
      <c r="A2058" t="str">
        <f>"20190303154136690"</f>
        <v>20190303154136690</v>
      </c>
      <c r="B2058" t="str">
        <f>"1551598896681718"</f>
        <v>1551598896681718</v>
      </c>
      <c r="C2058" t="s">
        <v>40</v>
      </c>
      <c r="D2058">
        <v>5.7234020000000001</v>
      </c>
      <c r="E2058">
        <v>0.58019480000000001</v>
      </c>
      <c r="F2058" t="s">
        <v>46</v>
      </c>
      <c r="G2058">
        <v>-195.30549999999999</v>
      </c>
      <c r="H2058" s="1">
        <v>1.637087E-6</v>
      </c>
      <c r="I2058">
        <v>292.66359999999997</v>
      </c>
      <c r="J2058">
        <v>-191.89519999999999</v>
      </c>
      <c r="K2058">
        <v>1.1213839999999999</v>
      </c>
      <c r="L2058">
        <v>303.07760000000002</v>
      </c>
      <c r="M2058">
        <v>-1.6404470000000001E-2</v>
      </c>
      <c r="N2058">
        <v>-1.386722E-2</v>
      </c>
      <c r="O2058">
        <v>-0.99976940000000003</v>
      </c>
      <c r="P2058">
        <v>-9.9922689999999995E-2</v>
      </c>
      <c r="Q2058">
        <v>-8.1412789999999999E-2</v>
      </c>
      <c r="R2058">
        <v>-0.99165930000000002</v>
      </c>
      <c r="S2058">
        <v>-0.93852230000000003</v>
      </c>
      <c r="T2058">
        <v>-0.30840600000000001</v>
      </c>
      <c r="U2058">
        <v>-2.9053650000000002</v>
      </c>
      <c r="V2058">
        <v>8.3648390000000003E-2</v>
      </c>
      <c r="W2058">
        <v>-6.7622199999999993E-2</v>
      </c>
      <c r="X2058">
        <v>0.99419829999999998</v>
      </c>
      <c r="Y2058">
        <v>0.29034870000000002</v>
      </c>
      <c r="Z2058">
        <v>8.6962220000000007E-2</v>
      </c>
      <c r="AA2058">
        <v>0.95296130000000001</v>
      </c>
      <c r="AB2058">
        <v>16</v>
      </c>
      <c r="AC2058">
        <v>-3.4102999999999999</v>
      </c>
      <c r="AD2058">
        <v>-1.121382362913</v>
      </c>
      <c r="AE2058">
        <v>-10.414</v>
      </c>
      <c r="AF2058">
        <v>3.2054211667003298</v>
      </c>
      <c r="AG2058">
        <v>-1.121382362913</v>
      </c>
      <c r="AH2058">
        <v>10.3600570298291</v>
      </c>
      <c r="AI2058">
        <v>95.903665614217005</v>
      </c>
      <c r="AJ2058">
        <v>72.807834038474795</v>
      </c>
      <c r="AK2058">
        <v>10.902431147275999</v>
      </c>
      <c r="AL2058">
        <v>93.877425444518295</v>
      </c>
      <c r="AM2058">
        <v>85.190659246834201</v>
      </c>
      <c r="AN2058">
        <v>1.0000000374026601</v>
      </c>
    </row>
    <row r="2059" spans="1:40" x14ac:dyDescent="0.25">
      <c r="A2059" t="str">
        <f>"20190303154136712"</f>
        <v>20190303154136712</v>
      </c>
      <c r="B2059" t="str">
        <f>"1551598896701243"</f>
        <v>1551598896701243</v>
      </c>
      <c r="C2059" t="s">
        <v>40</v>
      </c>
      <c r="D2059">
        <v>5.727557</v>
      </c>
      <c r="E2059">
        <v>0.57992739999999998</v>
      </c>
      <c r="F2059" t="s">
        <v>46</v>
      </c>
      <c r="G2059">
        <v>-195.30529999999999</v>
      </c>
      <c r="H2059" s="1">
        <v>1.667479E-6</v>
      </c>
      <c r="I2059">
        <v>292.49119999999999</v>
      </c>
      <c r="J2059">
        <v>-191.89769999999999</v>
      </c>
      <c r="K2059">
        <v>1.121383</v>
      </c>
      <c r="L2059">
        <v>302.91750000000002</v>
      </c>
      <c r="M2059">
        <v>-1.6237330000000001E-2</v>
      </c>
      <c r="N2059">
        <v>-1.386329E-2</v>
      </c>
      <c r="O2059">
        <v>-0.99977229999999995</v>
      </c>
      <c r="P2059">
        <v>-9.9740259999999997E-2</v>
      </c>
      <c r="Q2059">
        <v>-8.0926460000000006E-2</v>
      </c>
      <c r="R2059">
        <v>-0.99171739999999997</v>
      </c>
      <c r="S2059">
        <v>-0.93594359999999999</v>
      </c>
      <c r="T2059">
        <v>-0.30778549999999999</v>
      </c>
      <c r="U2059">
        <v>-2.90564</v>
      </c>
      <c r="V2059">
        <v>8.3629850000000006E-2</v>
      </c>
      <c r="W2059">
        <v>-6.7140679999999994E-2</v>
      </c>
      <c r="X2059">
        <v>0.99423249999999996</v>
      </c>
      <c r="Y2059">
        <v>0.28972199999999998</v>
      </c>
      <c r="Z2059">
        <v>8.6779300000000004E-2</v>
      </c>
      <c r="AA2059">
        <v>0.95316869999999998</v>
      </c>
      <c r="AB2059">
        <v>16</v>
      </c>
      <c r="AC2059">
        <v>-3.4076</v>
      </c>
      <c r="AD2059">
        <v>-1.121381332521</v>
      </c>
      <c r="AE2059">
        <v>-10.426299999999999</v>
      </c>
      <c r="AF2059">
        <v>3.2043495223324499</v>
      </c>
      <c r="AG2059">
        <v>-1.121381332521</v>
      </c>
      <c r="AH2059">
        <v>10.3718612848488</v>
      </c>
      <c r="AI2059">
        <v>95.897741263018503</v>
      </c>
      <c r="AJ2059">
        <v>72.831652811265201</v>
      </c>
      <c r="AK2059">
        <v>10.913333975753901</v>
      </c>
      <c r="AL2059">
        <v>93.849773513633096</v>
      </c>
      <c r="AM2059">
        <v>85.191884822383301</v>
      </c>
      <c r="AN2059">
        <v>1.0000000433890599</v>
      </c>
    </row>
    <row r="2060" spans="1:40" x14ac:dyDescent="0.25">
      <c r="A2060" t="str">
        <f>"20190303154136738"</f>
        <v>20190303154136738</v>
      </c>
      <c r="B2060" t="str">
        <f>"1551598896731495"</f>
        <v>1551598896731495</v>
      </c>
      <c r="C2060" t="s">
        <v>40</v>
      </c>
      <c r="D2060">
        <v>5.7282570000000002</v>
      </c>
      <c r="E2060">
        <v>0.57957360000000002</v>
      </c>
      <c r="F2060" t="s">
        <v>46</v>
      </c>
      <c r="G2060">
        <v>-195.2902</v>
      </c>
      <c r="H2060" s="1">
        <v>1.693041E-6</v>
      </c>
      <c r="I2060">
        <v>292.35359999999997</v>
      </c>
      <c r="J2060">
        <v>-191.90029999999999</v>
      </c>
      <c r="K2060">
        <v>1.1213789999999999</v>
      </c>
      <c r="L2060">
        <v>302.74299999999999</v>
      </c>
      <c r="M2060">
        <v>-1.607049E-2</v>
      </c>
      <c r="N2060">
        <v>-1.3859E-2</v>
      </c>
      <c r="O2060">
        <v>-0.99977470000000002</v>
      </c>
      <c r="P2060">
        <v>-9.9257730000000002E-2</v>
      </c>
      <c r="Q2060">
        <v>-8.0530519999999994E-2</v>
      </c>
      <c r="R2060">
        <v>-0.9917977</v>
      </c>
      <c r="S2060">
        <v>-0.93327329999999997</v>
      </c>
      <c r="T2060">
        <v>-0.30848560000000003</v>
      </c>
      <c r="U2060">
        <v>-2.9060670000000002</v>
      </c>
      <c r="V2060">
        <v>8.3310330000000002E-2</v>
      </c>
      <c r="W2060">
        <v>-6.6750119999999996E-2</v>
      </c>
      <c r="X2060">
        <v>0.99428559999999999</v>
      </c>
      <c r="Y2060">
        <v>0.28904059999999998</v>
      </c>
      <c r="Z2060">
        <v>8.7020429999999996E-2</v>
      </c>
      <c r="AA2060">
        <v>0.95335360000000002</v>
      </c>
      <c r="AB2060">
        <v>16</v>
      </c>
      <c r="AC2060">
        <v>-3.3899000000000101</v>
      </c>
      <c r="AD2060">
        <v>-1.1213773069589901</v>
      </c>
      <c r="AE2060">
        <v>-10.3894</v>
      </c>
      <c r="AF2060">
        <v>3.1889074058702498</v>
      </c>
      <c r="AG2060">
        <v>-1.1213773069589901</v>
      </c>
      <c r="AH2060">
        <v>10.3337369616545</v>
      </c>
      <c r="AI2060">
        <v>95.919911949941394</v>
      </c>
      <c r="AJ2060">
        <v>72.850198454681305</v>
      </c>
      <c r="AK2060">
        <v>10.8725681005198</v>
      </c>
      <c r="AL2060">
        <v>93.827345843341803</v>
      </c>
      <c r="AM2060">
        <v>85.210423905512201</v>
      </c>
      <c r="AN2060">
        <v>1.0000000219860401</v>
      </c>
    </row>
    <row r="2061" spans="1:40" x14ac:dyDescent="0.25">
      <c r="A2061" t="str">
        <f>"20190303154136757"</f>
        <v>20190303154136757</v>
      </c>
      <c r="B2061" t="str">
        <f>"1551598896751991"</f>
        <v>1551598896751991</v>
      </c>
      <c r="C2061" t="s">
        <v>40</v>
      </c>
      <c r="D2061">
        <v>5.7410220000000001</v>
      </c>
      <c r="E2061">
        <v>0.57948080000000002</v>
      </c>
      <c r="F2061" t="s">
        <v>46</v>
      </c>
      <c r="G2061">
        <v>-195.2664</v>
      </c>
      <c r="H2061" s="1">
        <v>1.7203779999999999E-6</v>
      </c>
      <c r="I2061">
        <v>292.21039999999999</v>
      </c>
      <c r="J2061">
        <v>-191.9025</v>
      </c>
      <c r="K2061">
        <v>1.121373</v>
      </c>
      <c r="L2061">
        <v>302.59820000000002</v>
      </c>
      <c r="M2061">
        <v>-1.5945810000000001E-2</v>
      </c>
      <c r="N2061">
        <v>-1.385542E-2</v>
      </c>
      <c r="O2061">
        <v>-0.99977709999999997</v>
      </c>
      <c r="P2061">
        <v>-9.9004229999999999E-2</v>
      </c>
      <c r="Q2061">
        <v>-7.9976829999999999E-2</v>
      </c>
      <c r="R2061">
        <v>-0.99186830000000004</v>
      </c>
      <c r="S2061">
        <v>-0.92895510000000003</v>
      </c>
      <c r="T2061">
        <v>-0.30946899999999999</v>
      </c>
      <c r="U2061">
        <v>-2.9067080000000001</v>
      </c>
      <c r="V2061">
        <v>8.3178290000000002E-2</v>
      </c>
      <c r="W2061">
        <v>-6.6200839999999997E-2</v>
      </c>
      <c r="X2061">
        <v>0.99433329999999998</v>
      </c>
      <c r="Y2061">
        <v>0.28780519999999998</v>
      </c>
      <c r="Z2061">
        <v>8.7362449999999994E-2</v>
      </c>
      <c r="AA2061">
        <v>0.95369599999999999</v>
      </c>
      <c r="AB2061">
        <v>16</v>
      </c>
      <c r="AC2061">
        <v>-3.3639000000000001</v>
      </c>
      <c r="AD2061">
        <v>-1.1213712796219999</v>
      </c>
      <c r="AE2061">
        <v>-10.3878</v>
      </c>
      <c r="AF2061">
        <v>3.1644381691671399</v>
      </c>
      <c r="AG2061">
        <v>-1.1213712796219999</v>
      </c>
      <c r="AH2061">
        <v>10.331158340092299</v>
      </c>
      <c r="AI2061">
        <v>95.925132891990799</v>
      </c>
      <c r="AJ2061">
        <v>72.970151404656406</v>
      </c>
      <c r="AK2061">
        <v>10.862963459448</v>
      </c>
      <c r="AL2061">
        <v>93.795804942053095</v>
      </c>
      <c r="AM2061">
        <v>85.218208095871304</v>
      </c>
      <c r="AN2061">
        <v>0.99999994531645797</v>
      </c>
    </row>
    <row r="2062" spans="1:40" x14ac:dyDescent="0.25">
      <c r="A2062" t="str">
        <f>"20190303154136780"</f>
        <v>20190303154136780</v>
      </c>
      <c r="B2062" t="str">
        <f>"1551598896771511"</f>
        <v>1551598896771511</v>
      </c>
      <c r="C2062" t="s">
        <v>40</v>
      </c>
      <c r="D2062">
        <v>5.7486329999999999</v>
      </c>
      <c r="E2062">
        <v>0.57937969999999905</v>
      </c>
      <c r="F2062" t="s">
        <v>46</v>
      </c>
      <c r="G2062">
        <v>-195.27279999999999</v>
      </c>
      <c r="H2062" s="1">
        <v>1.750667E-6</v>
      </c>
      <c r="I2062">
        <v>292.03519999999997</v>
      </c>
      <c r="J2062">
        <v>-191.90479999999999</v>
      </c>
      <c r="K2062">
        <v>1.12137</v>
      </c>
      <c r="L2062">
        <v>302.44349999999997</v>
      </c>
      <c r="M2062">
        <v>-1.5824439999999999E-2</v>
      </c>
      <c r="N2062">
        <v>-1.38516E-2</v>
      </c>
      <c r="O2062">
        <v>-0.99977899999999997</v>
      </c>
      <c r="P2062">
        <v>-9.8626800000000001E-2</v>
      </c>
      <c r="Q2062">
        <v>-7.9069669999999995E-2</v>
      </c>
      <c r="R2062">
        <v>-0.99197840000000004</v>
      </c>
      <c r="S2062">
        <v>-0.92756649999999996</v>
      </c>
      <c r="T2062">
        <v>-0.30861850000000002</v>
      </c>
      <c r="U2062">
        <v>-2.9071039999999999</v>
      </c>
      <c r="V2062">
        <v>8.2918569999999997E-2</v>
      </c>
      <c r="W2062">
        <v>-6.5297729999999998E-2</v>
      </c>
      <c r="X2062">
        <v>0.99441469999999998</v>
      </c>
      <c r="Y2062">
        <v>0.28747840000000002</v>
      </c>
      <c r="Z2062">
        <v>8.709008E-2</v>
      </c>
      <c r="AA2062">
        <v>0.95381950000000004</v>
      </c>
      <c r="AB2062">
        <v>16</v>
      </c>
      <c r="AC2062">
        <v>-3.3679999999999901</v>
      </c>
      <c r="AD2062">
        <v>-1.1213682493329999</v>
      </c>
      <c r="AE2062">
        <v>-10.408299999999899</v>
      </c>
      <c r="AF2062">
        <v>3.1695536182550601</v>
      </c>
      <c r="AG2062">
        <v>-1.1213682493329999</v>
      </c>
      <c r="AH2062">
        <v>10.351532190306299</v>
      </c>
      <c r="AI2062">
        <v>95.913716602342802</v>
      </c>
      <c r="AJ2062">
        <v>72.975844715009401</v>
      </c>
      <c r="AK2062">
        <v>10.883830004945599</v>
      </c>
      <c r="AL2062">
        <v>93.743948360340795</v>
      </c>
      <c r="AM2062">
        <v>85.233458495701001</v>
      </c>
      <c r="AN2062">
        <v>0.99999993918504104</v>
      </c>
    </row>
    <row r="2063" spans="1:40" x14ac:dyDescent="0.25">
      <c r="A2063" t="str">
        <f>"20190303154136802"</f>
        <v>20190303154136802</v>
      </c>
      <c r="B2063" t="str">
        <f>"1551598896791031"</f>
        <v>1551598896791031</v>
      </c>
      <c r="C2063" t="s">
        <v>40</v>
      </c>
      <c r="D2063">
        <v>5.7790660000000003</v>
      </c>
      <c r="E2063">
        <v>0.57924619999999905</v>
      </c>
      <c r="F2063" t="s">
        <v>46</v>
      </c>
      <c r="G2063">
        <v>-195.27549999999999</v>
      </c>
      <c r="H2063" s="1">
        <v>1.8003440000000001E-6</v>
      </c>
      <c r="I2063">
        <v>291.85500000000002</v>
      </c>
      <c r="J2063">
        <v>-191.90710000000001</v>
      </c>
      <c r="K2063">
        <v>1.1213610000000001</v>
      </c>
      <c r="L2063">
        <v>302.2878</v>
      </c>
      <c r="M2063">
        <v>-1.5714579999999999E-2</v>
      </c>
      <c r="N2063">
        <v>-1.384377E-2</v>
      </c>
      <c r="O2063">
        <v>-0.99978089999999997</v>
      </c>
      <c r="P2063">
        <v>-9.8363619999999999E-2</v>
      </c>
      <c r="Q2063">
        <v>-7.8276960000000007E-2</v>
      </c>
      <c r="R2063">
        <v>-0.99206749999999999</v>
      </c>
      <c r="S2063">
        <v>-0.92562869999999997</v>
      </c>
      <c r="T2063">
        <v>-0.30793789999999999</v>
      </c>
      <c r="U2063">
        <v>-2.907715</v>
      </c>
      <c r="V2063">
        <v>8.2762230000000006E-2</v>
      </c>
      <c r="W2063">
        <v>-6.4513020000000004E-2</v>
      </c>
      <c r="X2063">
        <v>0.994479</v>
      </c>
      <c r="Y2063">
        <v>0.28695520000000002</v>
      </c>
      <c r="Z2063">
        <v>8.6875419999999995E-2</v>
      </c>
      <c r="AA2063">
        <v>0.95399650000000003</v>
      </c>
      <c r="AB2063">
        <v>16</v>
      </c>
      <c r="AC2063">
        <v>-3.3683999999999799</v>
      </c>
      <c r="AD2063">
        <v>-1.1213591996559999</v>
      </c>
      <c r="AE2063">
        <v>-10.432799999999901</v>
      </c>
      <c r="AF2063">
        <v>3.1708471867162502</v>
      </c>
      <c r="AG2063">
        <v>-1.1213591996559999</v>
      </c>
      <c r="AH2063">
        <v>10.3758948123618</v>
      </c>
      <c r="AI2063">
        <v>95.900855861315605</v>
      </c>
      <c r="AJ2063">
        <v>73.006980368341203</v>
      </c>
      <c r="AK2063">
        <v>10.907378763633201</v>
      </c>
      <c r="AL2063">
        <v>93.698892560747495</v>
      </c>
      <c r="AM2063">
        <v>85.242710546947194</v>
      </c>
      <c r="AN2063">
        <v>0.99999999895254599</v>
      </c>
    </row>
    <row r="2064" spans="1:40" x14ac:dyDescent="0.25">
      <c r="A2064" t="str">
        <f>"20190303154136826"</f>
        <v>20190303154136826</v>
      </c>
      <c r="B2064" t="str">
        <f>"1551598896821287"</f>
        <v>1551598896821287</v>
      </c>
      <c r="C2064" t="s">
        <v>40</v>
      </c>
      <c r="D2064">
        <v>5.8929919999999996</v>
      </c>
      <c r="E2064">
        <v>0.54599509999999996</v>
      </c>
      <c r="F2064" t="s">
        <v>46</v>
      </c>
      <c r="G2064">
        <v>-195.2474</v>
      </c>
      <c r="H2064" s="1">
        <v>1.8339280000000001E-6</v>
      </c>
      <c r="I2064">
        <v>291.77409999999998</v>
      </c>
      <c r="J2064">
        <v>-191.90960000000001</v>
      </c>
      <c r="K2064">
        <v>1.121346</v>
      </c>
      <c r="L2064">
        <v>302.12400000000002</v>
      </c>
      <c r="M2064">
        <v>-1.561269E-2</v>
      </c>
      <c r="N2064">
        <v>-1.380267E-2</v>
      </c>
      <c r="O2064">
        <v>-0.99978299999999998</v>
      </c>
      <c r="P2064">
        <v>-9.8500130000000005E-2</v>
      </c>
      <c r="Q2064">
        <v>-7.8096159999999998E-2</v>
      </c>
      <c r="R2064">
        <v>-0.99206810000000001</v>
      </c>
      <c r="S2064">
        <v>-0.92387390000000003</v>
      </c>
      <c r="T2064">
        <v>-0.31015219999999999</v>
      </c>
      <c r="U2064">
        <v>-2.907959</v>
      </c>
      <c r="V2064">
        <v>8.2999119999999996E-2</v>
      </c>
      <c r="W2064">
        <v>-6.4374269999999997E-2</v>
      </c>
      <c r="X2064">
        <v>0.99446829999999997</v>
      </c>
      <c r="Y2064">
        <v>0.28648620000000002</v>
      </c>
      <c r="Z2064">
        <v>8.7641220000000006E-2</v>
      </c>
      <c r="AA2064">
        <v>0.95406749999999996</v>
      </c>
      <c r="AB2064">
        <v>16</v>
      </c>
      <c r="AC2064">
        <v>-3.3377999999999801</v>
      </c>
      <c r="AD2064">
        <v>-1.121344166072</v>
      </c>
      <c r="AE2064">
        <v>-10.3499</v>
      </c>
      <c r="AF2064">
        <v>3.1423766493446399</v>
      </c>
      <c r="AG2064">
        <v>-1.121344166072</v>
      </c>
      <c r="AH2064">
        <v>10.2913327377501</v>
      </c>
      <c r="AI2064">
        <v>95.949338155964696</v>
      </c>
      <c r="AJ2064">
        <v>73.020365678059207</v>
      </c>
      <c r="AK2064">
        <v>10.818663192105401</v>
      </c>
      <c r="AL2064">
        <v>93.690926022897102</v>
      </c>
      <c r="AM2064">
        <v>85.229105445251506</v>
      </c>
      <c r="AN2064">
        <v>1.00000005013184</v>
      </c>
    </row>
    <row r="2065" spans="1:40" x14ac:dyDescent="0.25">
      <c r="A2065" t="str">
        <f>"20190303154136847"</f>
        <v>20190303154136847</v>
      </c>
      <c r="B2065" t="str">
        <f>"1551598896841783"</f>
        <v>1551598896841783</v>
      </c>
      <c r="C2065" t="s">
        <v>40</v>
      </c>
      <c r="D2065">
        <v>5.6599519999999997</v>
      </c>
      <c r="E2065">
        <v>0.53564919999999905</v>
      </c>
      <c r="F2065" t="s">
        <v>46</v>
      </c>
      <c r="G2065">
        <v>-194.20169999999999</v>
      </c>
      <c r="H2065" s="1">
        <v>1.9600120000000002E-6</v>
      </c>
      <c r="I2065">
        <v>291.94209999999998</v>
      </c>
      <c r="J2065">
        <v>-191.9117</v>
      </c>
      <c r="K2065">
        <v>1.1213109999999999</v>
      </c>
      <c r="L2065">
        <v>301.97750000000002</v>
      </c>
      <c r="M2065">
        <v>-1.553389E-2</v>
      </c>
      <c r="N2065">
        <v>-1.36916E-2</v>
      </c>
      <c r="O2065">
        <v>-0.99978590000000001</v>
      </c>
      <c r="P2065">
        <v>-9.8687150000000001E-2</v>
      </c>
      <c r="Q2065">
        <v>-7.8165659999999998E-2</v>
      </c>
      <c r="R2065">
        <v>-0.99204429999999999</v>
      </c>
      <c r="S2065">
        <v>-0.66027829999999998</v>
      </c>
      <c r="T2065">
        <v>-0.3230172</v>
      </c>
      <c r="U2065">
        <v>-2.933014</v>
      </c>
      <c r="V2065">
        <v>8.3264130000000006E-2</v>
      </c>
      <c r="W2065">
        <v>-6.4555440000000006E-2</v>
      </c>
      <c r="X2065">
        <v>0.99443440000000005</v>
      </c>
      <c r="Y2065">
        <v>0.20331460000000001</v>
      </c>
      <c r="Z2065">
        <v>9.3387079999999997E-2</v>
      </c>
      <c r="AA2065">
        <v>0.97464969999999995</v>
      </c>
      <c r="AB2065">
        <v>16</v>
      </c>
      <c r="AC2065">
        <v>-2.2899999999999898</v>
      </c>
      <c r="AD2065">
        <v>-1.1213090399879999</v>
      </c>
      <c r="AE2065">
        <v>-10.035399999999999</v>
      </c>
      <c r="AF2065">
        <v>2.1087954874736501</v>
      </c>
      <c r="AG2065">
        <v>-1.1213090399879999</v>
      </c>
      <c r="AH2065">
        <v>9.9516697479121792</v>
      </c>
      <c r="AI2065">
        <v>96.290197052241993</v>
      </c>
      <c r="AJ2065">
        <v>78.035794841927995</v>
      </c>
      <c r="AK2065">
        <v>10.2342602635783</v>
      </c>
      <c r="AL2065">
        <v>93.7013279427199</v>
      </c>
      <c r="AM2065">
        <v>85.213780587795398</v>
      </c>
      <c r="AN2065">
        <v>1.0000000480408</v>
      </c>
    </row>
    <row r="2066" spans="1:40" x14ac:dyDescent="0.25">
      <c r="A2066" t="str">
        <f>"20190303154136880"</f>
        <v>20190303154136880</v>
      </c>
      <c r="B2066" t="str">
        <f>"1551598896871063"</f>
        <v>1551598896871063</v>
      </c>
      <c r="C2066" t="s">
        <v>40</v>
      </c>
      <c r="D2066">
        <v>5.646738</v>
      </c>
      <c r="E2066">
        <v>0.52919269999999996</v>
      </c>
      <c r="F2066" t="s">
        <v>46</v>
      </c>
      <c r="G2066">
        <v>-194.15620000000001</v>
      </c>
      <c r="H2066" s="1">
        <v>2.4570809999999998E-6</v>
      </c>
      <c r="I2066">
        <v>290.55880000000002</v>
      </c>
      <c r="J2066">
        <v>-191.9152</v>
      </c>
      <c r="K2066">
        <v>1.1212070000000001</v>
      </c>
      <c r="L2066">
        <v>301.74270000000001</v>
      </c>
      <c r="M2066">
        <v>-1.542929E-2</v>
      </c>
      <c r="N2066">
        <v>-1.330784E-2</v>
      </c>
      <c r="O2066">
        <v>-0.99979260000000003</v>
      </c>
      <c r="P2066">
        <v>-9.9361459999999999E-2</v>
      </c>
      <c r="Q2066">
        <v>-7.9135730000000001E-2</v>
      </c>
      <c r="R2066">
        <v>-0.9918998</v>
      </c>
      <c r="S2066">
        <v>-0.5786133</v>
      </c>
      <c r="T2066">
        <v>-0.28906490000000001</v>
      </c>
      <c r="U2066">
        <v>-2.9436650000000002</v>
      </c>
      <c r="V2066">
        <v>8.4043389999999996E-2</v>
      </c>
      <c r="W2066">
        <v>-6.5910609999999994E-2</v>
      </c>
      <c r="X2066">
        <v>0.99427989999999999</v>
      </c>
      <c r="Y2066">
        <v>0.17691779999999999</v>
      </c>
      <c r="Z2066">
        <v>8.2797330000000002E-2</v>
      </c>
      <c r="AA2066">
        <v>0.98073679999999996</v>
      </c>
      <c r="AB2066">
        <v>16</v>
      </c>
      <c r="AC2066">
        <v>-2.2410000000000099</v>
      </c>
      <c r="AD2066">
        <v>-1.1212045429189901</v>
      </c>
      <c r="AE2066">
        <v>-11.1838999999999</v>
      </c>
      <c r="AF2066">
        <v>2.0483660932033199</v>
      </c>
      <c r="AG2066">
        <v>-1.1212045429189901</v>
      </c>
      <c r="AH2066">
        <v>11.109800780681899</v>
      </c>
      <c r="AI2066">
        <v>95.667901598681695</v>
      </c>
      <c r="AJ2066">
        <v>79.553427637029799</v>
      </c>
      <c r="AK2066">
        <v>11.352558155115799</v>
      </c>
      <c r="AL2066">
        <v>93.779139345010094</v>
      </c>
      <c r="AM2066">
        <v>85.168450785578997</v>
      </c>
      <c r="AN2066">
        <v>1.0000000097286299</v>
      </c>
    </row>
    <row r="2067" spans="1:40" x14ac:dyDescent="0.25">
      <c r="A2067" t="str">
        <f>"20190303154136902"</f>
        <v>20190303154136902</v>
      </c>
      <c r="B2067" t="str">
        <f>"1551598896891118"</f>
        <v>1551598896891118</v>
      </c>
      <c r="C2067" t="s">
        <v>40</v>
      </c>
      <c r="D2067">
        <v>5.5486370000000003</v>
      </c>
      <c r="E2067">
        <v>0.52683899999999995</v>
      </c>
      <c r="F2067" t="s">
        <v>42</v>
      </c>
      <c r="G2067">
        <v>-192.06559999999999</v>
      </c>
      <c r="H2067">
        <v>1.03851</v>
      </c>
      <c r="I2067">
        <v>300.90640000000002</v>
      </c>
      <c r="J2067">
        <v>-191.91759999999999</v>
      </c>
      <c r="K2067">
        <v>1.1211180000000001</v>
      </c>
      <c r="L2067">
        <v>301.58580000000001</v>
      </c>
      <c r="M2067">
        <v>-1.537199E-2</v>
      </c>
      <c r="N2067">
        <v>-1.2936649999999999E-2</v>
      </c>
      <c r="O2067">
        <v>-0.99979830000000003</v>
      </c>
      <c r="P2067">
        <v>-0.1000945</v>
      </c>
      <c r="Q2067">
        <v>-7.9576399999999894E-2</v>
      </c>
      <c r="R2067">
        <v>-0.99179079999999997</v>
      </c>
      <c r="S2067">
        <v>-0.52941890000000003</v>
      </c>
      <c r="T2067">
        <v>-0.29177769999999997</v>
      </c>
      <c r="U2067">
        <v>-2.9481809999999999</v>
      </c>
      <c r="V2067">
        <v>8.4833950000000005E-2</v>
      </c>
      <c r="W2067">
        <v>-6.6722989999999996E-2</v>
      </c>
      <c r="X2067">
        <v>0.9941586</v>
      </c>
      <c r="Y2067">
        <v>0.1608541</v>
      </c>
      <c r="Z2067">
        <v>8.4195439999999996E-2</v>
      </c>
      <c r="AA2067">
        <v>0.98338040000000004</v>
      </c>
      <c r="AB2067">
        <v>16</v>
      </c>
      <c r="AC2067">
        <v>-0.147999999999996</v>
      </c>
      <c r="AD2067">
        <v>-8.2608000000000001E-2</v>
      </c>
      <c r="AE2067">
        <v>-0.67939999999998602</v>
      </c>
      <c r="AF2067">
        <v>0.13562367928011901</v>
      </c>
      <c r="AG2067">
        <v>-8.2608000000000001E-2</v>
      </c>
      <c r="AH2067">
        <v>0.67210863817081701</v>
      </c>
      <c r="AI2067">
        <v>96.869899546549703</v>
      </c>
      <c r="AJ2067">
        <v>78.5915786791643</v>
      </c>
      <c r="AK2067">
        <v>0.69061413651134296</v>
      </c>
      <c r="AL2067">
        <v>93.825787869731599</v>
      </c>
      <c r="AM2067">
        <v>85.122628497728499</v>
      </c>
      <c r="AN2067">
        <v>1.0000000392105499</v>
      </c>
    </row>
    <row r="2068" spans="1:40" x14ac:dyDescent="0.25">
      <c r="A2068" t="str">
        <f>"20190303154136927"</f>
        <v>20190303154136927</v>
      </c>
      <c r="B2068" t="str">
        <f>"1551598896921373"</f>
        <v>1551598896921373</v>
      </c>
      <c r="C2068" t="s">
        <v>40</v>
      </c>
      <c r="D2068">
        <v>5.5870540000000002</v>
      </c>
      <c r="E2068">
        <v>0.5247271</v>
      </c>
      <c r="F2068" t="s">
        <v>42</v>
      </c>
      <c r="G2068">
        <v>-192.0607</v>
      </c>
      <c r="H2068">
        <v>1.0433380000000001</v>
      </c>
      <c r="I2068">
        <v>300.76209999999998</v>
      </c>
      <c r="J2068">
        <v>-191.92019999999999</v>
      </c>
      <c r="K2068">
        <v>1.1210370000000001</v>
      </c>
      <c r="L2068">
        <v>301.41370000000001</v>
      </c>
      <c r="M2068">
        <v>-1.532058E-2</v>
      </c>
      <c r="N2068">
        <v>-1.2500229999999999E-2</v>
      </c>
      <c r="O2068">
        <v>-0.99980449999999998</v>
      </c>
      <c r="P2068">
        <v>-0.1012599</v>
      </c>
      <c r="Q2068">
        <v>-7.9036609999999993E-2</v>
      </c>
      <c r="R2068">
        <v>-0.99171560000000003</v>
      </c>
      <c r="S2068">
        <v>-0.51287839999999996</v>
      </c>
      <c r="T2068">
        <v>-0.2786111</v>
      </c>
      <c r="U2068">
        <v>-2.9507140000000001</v>
      </c>
      <c r="V2068">
        <v>8.6050440000000006E-2</v>
      </c>
      <c r="W2068">
        <v>-6.6619310000000001E-2</v>
      </c>
      <c r="X2068">
        <v>0.99406090000000003</v>
      </c>
      <c r="Y2068">
        <v>0.15547729999999901</v>
      </c>
      <c r="Z2068">
        <v>8.0290299999999995E-2</v>
      </c>
      <c r="AA2068">
        <v>0.98457110000000003</v>
      </c>
      <c r="AB2068">
        <v>16</v>
      </c>
      <c r="AC2068">
        <v>-0.14050000000000201</v>
      </c>
      <c r="AD2068">
        <v>-7.7699000000000101E-2</v>
      </c>
      <c r="AE2068">
        <v>-0.65160000000003004</v>
      </c>
      <c r="AF2068">
        <v>0.12875046989733699</v>
      </c>
      <c r="AG2068">
        <v>-7.7699000000000101E-2</v>
      </c>
      <c r="AH2068">
        <v>0.64491360522428798</v>
      </c>
      <c r="AI2068">
        <v>96.738158955318397</v>
      </c>
      <c r="AJ2068">
        <v>78.709909079986403</v>
      </c>
      <c r="AK2068">
        <v>0.66221399585268104</v>
      </c>
      <c r="AL2068">
        <v>93.819834569290094</v>
      </c>
      <c r="AM2068">
        <v>85.052549492645596</v>
      </c>
      <c r="AN2068">
        <v>0.99999994179893803</v>
      </c>
    </row>
    <row r="2069" spans="1:40" x14ac:dyDescent="0.25">
      <c r="A2069" t="str">
        <f>"20190303154136950"</f>
        <v>20190303154136950</v>
      </c>
      <c r="B2069" t="str">
        <f>"1551598896941871"</f>
        <v>1551598896941871</v>
      </c>
      <c r="C2069" t="s">
        <v>40</v>
      </c>
      <c r="D2069">
        <v>5.6176750000000002</v>
      </c>
      <c r="E2069">
        <v>0.52323739999999996</v>
      </c>
      <c r="F2069" t="s">
        <v>46</v>
      </c>
      <c r="G2069">
        <v>-194.02950000000001</v>
      </c>
      <c r="H2069" s="1">
        <v>2.8712250000000002E-6</v>
      </c>
      <c r="I2069">
        <v>288.94720000000001</v>
      </c>
      <c r="J2069">
        <v>-191.92269999999999</v>
      </c>
      <c r="K2069">
        <v>1.1209819999999999</v>
      </c>
      <c r="L2069">
        <v>301.24650000000003</v>
      </c>
      <c r="M2069">
        <v>-1.5286549999999999E-2</v>
      </c>
      <c r="N2069">
        <v>-1.208016E-2</v>
      </c>
      <c r="O2069">
        <v>-0.99981019999999998</v>
      </c>
      <c r="P2069">
        <v>-0.10277020000000001</v>
      </c>
      <c r="Q2069">
        <v>-7.6398369999999993E-2</v>
      </c>
      <c r="R2069">
        <v>-0.99176679999999995</v>
      </c>
      <c r="S2069">
        <v>-0.49961850000000002</v>
      </c>
      <c r="T2069">
        <v>-0.26553009999999999</v>
      </c>
      <c r="U2069">
        <v>-2.9528500000000002</v>
      </c>
      <c r="V2069">
        <v>8.7592710000000004E-2</v>
      </c>
      <c r="W2069">
        <v>-6.4399520000000002E-2</v>
      </c>
      <c r="X2069">
        <v>0.99407259999999997</v>
      </c>
      <c r="Y2069">
        <v>0.15115609999999999</v>
      </c>
      <c r="Z2069">
        <v>7.6385549999999997E-2</v>
      </c>
      <c r="AA2069">
        <v>0.98555420000000005</v>
      </c>
      <c r="AB2069">
        <v>16</v>
      </c>
      <c r="AC2069">
        <v>-2.1068000000000202</v>
      </c>
      <c r="AD2069">
        <v>-1.1209791287749999</v>
      </c>
      <c r="AE2069">
        <v>-12.299300000000001</v>
      </c>
      <c r="AF2069">
        <v>1.9031676093578</v>
      </c>
      <c r="AG2069">
        <v>-1.1209791287749999</v>
      </c>
      <c r="AH2069">
        <v>12.2313633548689</v>
      </c>
      <c r="AI2069">
        <v>95.174491563392394</v>
      </c>
      <c r="AJ2069">
        <v>81.155847913358201</v>
      </c>
      <c r="AK2069">
        <v>12.4291950936208</v>
      </c>
      <c r="AL2069">
        <v>93.692375722009402</v>
      </c>
      <c r="AM2069">
        <v>84.964387939425606</v>
      </c>
      <c r="AN2069">
        <v>1.0000000575460599</v>
      </c>
    </row>
    <row r="2070" spans="1:40" x14ac:dyDescent="0.25">
      <c r="A2070" t="str">
        <f>"20190303154136972"</f>
        <v>20190303154136972</v>
      </c>
      <c r="B2070" t="str">
        <f>"1551598896961390"</f>
        <v>1551598896961390</v>
      </c>
      <c r="C2070" t="s">
        <v>40</v>
      </c>
      <c r="D2070">
        <v>5.6701389999999998</v>
      </c>
      <c r="E2070">
        <v>0.52304010000000001</v>
      </c>
      <c r="F2070" t="s">
        <v>46</v>
      </c>
      <c r="G2070">
        <v>-194.03989999999999</v>
      </c>
      <c r="H2070" s="1">
        <v>2.904334E-6</v>
      </c>
      <c r="I2070">
        <v>288.54730000000001</v>
      </c>
      <c r="J2070">
        <v>-191.92500000000001</v>
      </c>
      <c r="K2070">
        <v>1.1209359999999999</v>
      </c>
      <c r="L2070">
        <v>301.09690000000001</v>
      </c>
      <c r="M2070">
        <v>-1.527148E-2</v>
      </c>
      <c r="N2070">
        <v>-1.17182E-2</v>
      </c>
      <c r="O2070">
        <v>-0.99981500000000001</v>
      </c>
      <c r="P2070">
        <v>-0.1038897</v>
      </c>
      <c r="Q2070">
        <v>-7.346345E-2</v>
      </c>
      <c r="R2070">
        <v>-0.99187210000000003</v>
      </c>
      <c r="S2070">
        <v>-0.49246220000000002</v>
      </c>
      <c r="T2070">
        <v>-0.260739</v>
      </c>
      <c r="U2070">
        <v>-2.953827</v>
      </c>
      <c r="V2070">
        <v>8.8724670000000005E-2</v>
      </c>
      <c r="W2070">
        <v>-6.1824619999999997E-2</v>
      </c>
      <c r="X2070">
        <v>0.99413560000000001</v>
      </c>
      <c r="Y2070">
        <v>0.1488158</v>
      </c>
      <c r="Z2070">
        <v>7.5165869999999996E-2</v>
      </c>
      <c r="AA2070">
        <v>0.98600410000000005</v>
      </c>
      <c r="AB2070">
        <v>16</v>
      </c>
      <c r="AC2070">
        <v>-2.1148999999999698</v>
      </c>
      <c r="AD2070">
        <v>-1.120933095666</v>
      </c>
      <c r="AE2070">
        <v>-12.5495999999999</v>
      </c>
      <c r="AF2070">
        <v>1.9081859761675499</v>
      </c>
      <c r="AG2070">
        <v>-1.120933095666</v>
      </c>
      <c r="AH2070">
        <v>12.483591214615901</v>
      </c>
      <c r="AI2070">
        <v>95.072369402980001</v>
      </c>
      <c r="AJ2070">
        <v>81.309292093862396</v>
      </c>
      <c r="AK2070">
        <v>12.6782378246441</v>
      </c>
      <c r="AL2070">
        <v>93.544550395448297</v>
      </c>
      <c r="AM2070">
        <v>84.899975333784099</v>
      </c>
      <c r="AN2070">
        <v>0.99999997094605597</v>
      </c>
    </row>
    <row r="2071" spans="1:40" x14ac:dyDescent="0.25">
      <c r="A2071" t="str">
        <f>"20190303154136992"</f>
        <v>20190303154136992</v>
      </c>
      <c r="B2071" t="str">
        <f>"1551598896981841"</f>
        <v>1551598896981841</v>
      </c>
      <c r="C2071" t="s">
        <v>40</v>
      </c>
      <c r="D2071">
        <v>5.7650040000000002</v>
      </c>
      <c r="E2071">
        <v>0.52226879999999998</v>
      </c>
      <c r="F2071" t="s">
        <v>46</v>
      </c>
      <c r="G2071">
        <v>-194.16290000000001</v>
      </c>
      <c r="H2071" s="1">
        <v>2.9550800000000002E-6</v>
      </c>
      <c r="I2071">
        <v>287.71719999999999</v>
      </c>
      <c r="J2071">
        <v>-191.9273</v>
      </c>
      <c r="K2071">
        <v>1.120903</v>
      </c>
      <c r="L2071">
        <v>300.94380000000001</v>
      </c>
      <c r="M2071">
        <v>-1.5267620000000001E-2</v>
      </c>
      <c r="N2071">
        <v>-1.1368629999999999E-2</v>
      </c>
      <c r="O2071">
        <v>-0.99981880000000001</v>
      </c>
      <c r="P2071">
        <v>-0.10474849999999999</v>
      </c>
      <c r="Q2071">
        <v>-7.1800459999999997E-2</v>
      </c>
      <c r="R2071">
        <v>-0.99190350000000005</v>
      </c>
      <c r="S2071">
        <v>-0.49418640000000003</v>
      </c>
      <c r="T2071">
        <v>-0.24752460000000001</v>
      </c>
      <c r="U2071">
        <v>-2.9544980000000001</v>
      </c>
      <c r="V2071">
        <v>8.9586150000000003E-2</v>
      </c>
      <c r="W2071">
        <v>-6.0510000000000001E-2</v>
      </c>
      <c r="X2071">
        <v>0.99413929999999995</v>
      </c>
      <c r="Y2071">
        <v>0.14939839999999999</v>
      </c>
      <c r="Z2071">
        <v>7.1114579999999997E-2</v>
      </c>
      <c r="AA2071">
        <v>0.98621639999999999</v>
      </c>
      <c r="AB2071">
        <v>16</v>
      </c>
      <c r="AC2071">
        <v>-2.2355999999999998</v>
      </c>
      <c r="AD2071">
        <v>-1.1209000449199999</v>
      </c>
      <c r="AE2071">
        <v>-13.226599999999999</v>
      </c>
      <c r="AF2071">
        <v>2.0192881816717199</v>
      </c>
      <c r="AG2071">
        <v>-1.1209000449199999</v>
      </c>
      <c r="AH2071">
        <v>13.167253768747999</v>
      </c>
      <c r="AI2071">
        <v>94.809773953193499</v>
      </c>
      <c r="AJ2071">
        <v>81.281228198807497</v>
      </c>
      <c r="AK2071">
        <v>13.3682651635113</v>
      </c>
      <c r="AL2071">
        <v>93.469086656165203</v>
      </c>
      <c r="AM2071">
        <v>84.850740199617206</v>
      </c>
      <c r="AN2071">
        <v>1.0000000430881499</v>
      </c>
    </row>
    <row r="2072" spans="1:40" x14ac:dyDescent="0.25">
      <c r="A2072" t="str">
        <f>"20190303154137016"</f>
        <v>20190303154137016</v>
      </c>
      <c r="B2072" t="str">
        <f>"1551598897011064"</f>
        <v>1551598897011064</v>
      </c>
      <c r="C2072" t="s">
        <v>40</v>
      </c>
      <c r="D2072">
        <v>5.7734360000000002</v>
      </c>
      <c r="E2072">
        <v>0.5207714</v>
      </c>
      <c r="F2072" t="s">
        <v>46</v>
      </c>
      <c r="G2072">
        <v>-194.16370000000001</v>
      </c>
      <c r="H2072" s="1">
        <v>2.975848E-6</v>
      </c>
      <c r="I2072">
        <v>287.47800000000001</v>
      </c>
      <c r="J2072">
        <v>-191.9298</v>
      </c>
      <c r="K2072">
        <v>1.120862</v>
      </c>
      <c r="L2072">
        <v>300.77969999999999</v>
      </c>
      <c r="M2072">
        <v>-1.5274569999999999E-2</v>
      </c>
      <c r="N2072">
        <v>-1.1021909999999999E-2</v>
      </c>
      <c r="O2072">
        <v>-0.99982260000000001</v>
      </c>
      <c r="P2072">
        <v>-0.1057729</v>
      </c>
      <c r="Q2072">
        <v>-7.1132470000000003E-2</v>
      </c>
      <c r="R2072">
        <v>-0.99184300000000003</v>
      </c>
      <c r="S2072">
        <v>-0.4907532</v>
      </c>
      <c r="T2072">
        <v>-0.24596390000000001</v>
      </c>
      <c r="U2072">
        <v>-2.9548649999999999</v>
      </c>
      <c r="V2072">
        <v>9.0603810000000007E-2</v>
      </c>
      <c r="W2072">
        <v>-6.0188449999999998E-2</v>
      </c>
      <c r="X2072">
        <v>0.99406649999999996</v>
      </c>
      <c r="Y2072">
        <v>0.14826230000000001</v>
      </c>
      <c r="Z2072">
        <v>7.0948029999999995E-2</v>
      </c>
      <c r="AA2072">
        <v>0.98639980000000005</v>
      </c>
      <c r="AB2072">
        <v>16</v>
      </c>
      <c r="AC2072">
        <v>-2.2339000000000002</v>
      </c>
      <c r="AD2072">
        <v>-1.120859024152</v>
      </c>
      <c r="AE2072">
        <v>-13.301699999999901</v>
      </c>
      <c r="AF2072">
        <v>2.0165237392859301</v>
      </c>
      <c r="AG2072">
        <v>-1.120859024152</v>
      </c>
      <c r="AH2072">
        <v>13.242820849537001</v>
      </c>
      <c r="AI2072">
        <v>94.783052027240998</v>
      </c>
      <c r="AJ2072">
        <v>81.341910871469807</v>
      </c>
      <c r="AK2072">
        <v>13.4422839203782</v>
      </c>
      <c r="AL2072">
        <v>93.450629868357595</v>
      </c>
      <c r="AM2072">
        <v>84.792187361368704</v>
      </c>
      <c r="AN2072">
        <v>0.99999995316108303</v>
      </c>
    </row>
    <row r="2073" spans="1:40" x14ac:dyDescent="0.25">
      <c r="A2073" t="str">
        <f>"20190303154137036"</f>
        <v>20190303154137036</v>
      </c>
      <c r="B2073" t="str">
        <f>"1551598897031560"</f>
        <v>1551598897031560</v>
      </c>
      <c r="C2073" t="s">
        <v>40</v>
      </c>
      <c r="D2073">
        <v>5.744243</v>
      </c>
      <c r="E2073">
        <v>0.51990289999999995</v>
      </c>
      <c r="F2073" t="s">
        <v>42</v>
      </c>
      <c r="G2073">
        <v>-192.07239999999999</v>
      </c>
      <c r="H2073">
        <v>1.0449059999999999</v>
      </c>
      <c r="I2073">
        <v>299.90550000000002</v>
      </c>
      <c r="J2073">
        <v>-191.93209999999999</v>
      </c>
      <c r="K2073">
        <v>1.1208359999999999</v>
      </c>
      <c r="L2073">
        <v>300.63080000000002</v>
      </c>
      <c r="M2073">
        <v>-1.529696E-2</v>
      </c>
      <c r="N2073">
        <v>-1.0739210000000001E-2</v>
      </c>
      <c r="O2073">
        <v>-0.99982519999999997</v>
      </c>
      <c r="P2073">
        <v>-0.1059625</v>
      </c>
      <c r="Q2073">
        <v>-7.0442420000000006E-2</v>
      </c>
      <c r="R2073">
        <v>-0.99187179999999997</v>
      </c>
      <c r="S2073">
        <v>-0.48184199999999999</v>
      </c>
      <c r="T2073">
        <v>-0.25679990000000003</v>
      </c>
      <c r="U2073">
        <v>-2.9548649999999999</v>
      </c>
      <c r="V2073">
        <v>9.0769950000000002E-2</v>
      </c>
      <c r="W2073">
        <v>-5.9780359999999998E-2</v>
      </c>
      <c r="X2073">
        <v>0.99407599999999996</v>
      </c>
      <c r="Y2073">
        <v>0.14529810000000001</v>
      </c>
      <c r="Z2073">
        <v>7.4855089999999999E-2</v>
      </c>
      <c r="AA2073">
        <v>0.98655219999999999</v>
      </c>
      <c r="AB2073">
        <v>16</v>
      </c>
      <c r="AC2073">
        <v>-0.14029999999999601</v>
      </c>
      <c r="AD2073">
        <v>-7.5930000000000206E-2</v>
      </c>
      <c r="AE2073">
        <v>-0.72530000000000405</v>
      </c>
      <c r="AF2073">
        <v>0.12783755118601001</v>
      </c>
      <c r="AG2073">
        <v>-7.5930000000000206E-2</v>
      </c>
      <c r="AH2073">
        <v>0.71975773034926305</v>
      </c>
      <c r="AI2073">
        <v>95.929947361326199</v>
      </c>
      <c r="AJ2073">
        <v>79.928614182995901</v>
      </c>
      <c r="AK2073">
        <v>0.734955097125504</v>
      </c>
      <c r="AL2073">
        <v>93.427205745541102</v>
      </c>
      <c r="AM2073">
        <v>84.782740045126303</v>
      </c>
      <c r="AN2073">
        <v>0.99999998452036498</v>
      </c>
    </row>
    <row r="2074" spans="1:40" x14ac:dyDescent="0.25">
      <c r="A2074" t="str">
        <f>"20190303154137060"</f>
        <v>20190303154137060</v>
      </c>
      <c r="B2074" t="str">
        <f>"1551598897051080"</f>
        <v>1551598897051080</v>
      </c>
      <c r="C2074" t="s">
        <v>40</v>
      </c>
      <c r="D2074">
        <v>5.7339830000000003</v>
      </c>
      <c r="E2074">
        <v>0.51916359999999995</v>
      </c>
      <c r="F2074" t="s">
        <v>42</v>
      </c>
      <c r="G2074">
        <v>-192.0719</v>
      </c>
      <c r="H2074">
        <v>1.0435299999999901</v>
      </c>
      <c r="I2074">
        <v>299.7627</v>
      </c>
      <c r="J2074">
        <v>-191.93469999999999</v>
      </c>
      <c r="K2074">
        <v>1.120816</v>
      </c>
      <c r="L2074">
        <v>300.46370000000002</v>
      </c>
      <c r="M2074">
        <v>-1.534051E-2</v>
      </c>
      <c r="N2074">
        <v>-1.0456969999999999E-2</v>
      </c>
      <c r="O2074">
        <v>-0.99982760000000004</v>
      </c>
      <c r="P2074">
        <v>-0.1062157</v>
      </c>
      <c r="Q2074">
        <v>-6.8756410000000004E-2</v>
      </c>
      <c r="R2074">
        <v>-0.99196329999999999</v>
      </c>
      <c r="S2074">
        <v>-0.47532649999999999</v>
      </c>
      <c r="T2074">
        <v>-0.26327469999999997</v>
      </c>
      <c r="U2074">
        <v>-2.955139</v>
      </c>
      <c r="V2074">
        <v>9.0977559999999999E-2</v>
      </c>
      <c r="W2074">
        <v>-5.8375709999999997E-2</v>
      </c>
      <c r="X2074">
        <v>0.99414049999999998</v>
      </c>
      <c r="Y2074">
        <v>0.14309269999999999</v>
      </c>
      <c r="Z2074">
        <v>7.7299569999999998E-2</v>
      </c>
      <c r="AA2074">
        <v>0.98668599999999995</v>
      </c>
      <c r="AB2074">
        <v>16</v>
      </c>
      <c r="AC2074">
        <v>-0.13720000000000701</v>
      </c>
      <c r="AD2074">
        <v>-7.7286000000000105E-2</v>
      </c>
      <c r="AE2074">
        <v>-0.70100000000002105</v>
      </c>
      <c r="AF2074">
        <v>0.124966602264951</v>
      </c>
      <c r="AG2074">
        <v>-7.7286000000000105E-2</v>
      </c>
      <c r="AH2074">
        <v>0.69488739301520297</v>
      </c>
      <c r="AI2074">
        <v>96.2470019781979</v>
      </c>
      <c r="AJ2074">
        <v>79.805061617676202</v>
      </c>
      <c r="AK2074">
        <v>0.71025225550441695</v>
      </c>
      <c r="AL2074">
        <v>93.346584397262603</v>
      </c>
      <c r="AM2074">
        <v>84.771210536188406</v>
      </c>
      <c r="AN2074">
        <v>0.99999998684090297</v>
      </c>
    </row>
    <row r="2075" spans="1:40" x14ac:dyDescent="0.25">
      <c r="A2075" t="str">
        <f>"20190303154137081"</f>
        <v>20190303154137081</v>
      </c>
      <c r="B2075" t="str">
        <f>"1551598897071577"</f>
        <v>1551598897071577</v>
      </c>
      <c r="C2075" t="s">
        <v>40</v>
      </c>
      <c r="D2075">
        <v>5.6543760000000001</v>
      </c>
      <c r="E2075">
        <v>0.51847949999999998</v>
      </c>
      <c r="F2075" t="s">
        <v>42</v>
      </c>
      <c r="G2075">
        <v>-192.06950000000001</v>
      </c>
      <c r="H2075">
        <v>1.044773</v>
      </c>
      <c r="I2075">
        <v>299.6173</v>
      </c>
      <c r="J2075">
        <v>-191.93719999999999</v>
      </c>
      <c r="K2075">
        <v>1.120795</v>
      </c>
      <c r="L2075">
        <v>300.30489999999998</v>
      </c>
      <c r="M2075">
        <v>-1.5407769999999999E-2</v>
      </c>
      <c r="N2075">
        <v>-1.021913E-2</v>
      </c>
      <c r="O2075">
        <v>-0.99982910000000003</v>
      </c>
      <c r="P2075">
        <v>-0.10704569999999999</v>
      </c>
      <c r="Q2075">
        <v>-6.7101179999999996E-2</v>
      </c>
      <c r="R2075">
        <v>-0.99198719999999996</v>
      </c>
      <c r="S2075">
        <v>-0.4703369</v>
      </c>
      <c r="T2075">
        <v>-0.26566770000000001</v>
      </c>
      <c r="U2075">
        <v>-2.9555359999999999</v>
      </c>
      <c r="V2075">
        <v>9.1738849999999997E-2</v>
      </c>
      <c r="W2075">
        <v>-5.6959389999999999E-2</v>
      </c>
      <c r="X2075">
        <v>0.9941527</v>
      </c>
      <c r="Y2075">
        <v>0.1413703</v>
      </c>
      <c r="Z2075">
        <v>7.8338820000000003E-2</v>
      </c>
      <c r="AA2075">
        <v>0.98685230000000002</v>
      </c>
      <c r="AB2075">
        <v>16</v>
      </c>
      <c r="AC2075">
        <v>-0.13230000000001399</v>
      </c>
      <c r="AD2075">
        <v>-7.6022000000000006E-2</v>
      </c>
      <c r="AE2075">
        <v>-0.68759999999997401</v>
      </c>
      <c r="AF2075">
        <v>0.120271663503494</v>
      </c>
      <c r="AG2075">
        <v>-7.6022000000000006E-2</v>
      </c>
      <c r="AH2075">
        <v>0.68152350919267402</v>
      </c>
      <c r="AI2075">
        <v>96.268790569182698</v>
      </c>
      <c r="AJ2075">
        <v>79.991791182709704</v>
      </c>
      <c r="AK2075">
        <v>0.69621757454706301</v>
      </c>
      <c r="AL2075">
        <v>93.265299951027998</v>
      </c>
      <c r="AM2075">
        <v>84.727766507863507</v>
      </c>
      <c r="AN2075">
        <v>0.99999998981289195</v>
      </c>
    </row>
    <row r="2076" spans="1:40" x14ac:dyDescent="0.25">
      <c r="A2076" t="str">
        <f>"20190303154137105"</f>
        <v>20190303154137105</v>
      </c>
      <c r="B2076" t="str">
        <f>"1551598897101540"</f>
        <v>1551598897101540</v>
      </c>
      <c r="C2076" t="s">
        <v>40</v>
      </c>
      <c r="D2076">
        <v>5.6923019999999998</v>
      </c>
      <c r="E2076">
        <v>0.51786359999999998</v>
      </c>
      <c r="F2076" t="s">
        <v>42</v>
      </c>
      <c r="G2076">
        <v>-192.0692</v>
      </c>
      <c r="H2076">
        <v>1.045669</v>
      </c>
      <c r="I2076">
        <v>299.47149999999999</v>
      </c>
      <c r="J2076">
        <v>-191.94</v>
      </c>
      <c r="K2076">
        <v>1.1207659999999999</v>
      </c>
      <c r="L2076">
        <v>300.13459999999998</v>
      </c>
      <c r="M2076">
        <v>-1.5521719999999999E-2</v>
      </c>
      <c r="N2076">
        <v>-9.9946259999999995E-3</v>
      </c>
      <c r="O2076">
        <v>-0.99982950000000004</v>
      </c>
      <c r="P2076">
        <v>-0.1087245</v>
      </c>
      <c r="Q2076">
        <v>-6.6292229999999994E-2</v>
      </c>
      <c r="R2076">
        <v>-0.99185889999999999</v>
      </c>
      <c r="S2076">
        <v>-0.46743770000000001</v>
      </c>
      <c r="T2076">
        <v>-0.26660820000000002</v>
      </c>
      <c r="U2076">
        <v>-2.9557799999999999</v>
      </c>
      <c r="V2076">
        <v>9.330331E-2</v>
      </c>
      <c r="W2076">
        <v>-5.6379869999999999E-2</v>
      </c>
      <c r="X2076">
        <v>0.99404009999999998</v>
      </c>
      <c r="Y2076">
        <v>0.140296</v>
      </c>
      <c r="Z2076">
        <v>7.8879619999999998E-2</v>
      </c>
      <c r="AA2076">
        <v>0.98696260000000002</v>
      </c>
      <c r="AB2076">
        <v>16</v>
      </c>
      <c r="AC2076">
        <v>-0.12919999999999701</v>
      </c>
      <c r="AD2076">
        <v>-7.50969999999999E-2</v>
      </c>
      <c r="AE2076">
        <v>-0.66309999999998503</v>
      </c>
      <c r="AF2076">
        <v>0.117440283655626</v>
      </c>
      <c r="AG2076">
        <v>-7.50969999999999E-2</v>
      </c>
      <c r="AH2076">
        <v>0.65690834916881202</v>
      </c>
      <c r="AI2076">
        <v>96.420744767127701</v>
      </c>
      <c r="AJ2076">
        <v>79.863899165571894</v>
      </c>
      <c r="AK2076">
        <v>0.67153582096698905</v>
      </c>
      <c r="AL2076">
        <v>93.232042554796095</v>
      </c>
      <c r="AM2076">
        <v>84.637772773978298</v>
      </c>
      <c r="AN2076">
        <v>0.99999995890309001</v>
      </c>
    </row>
    <row r="2077" spans="1:40" x14ac:dyDescent="0.25">
      <c r="A2077" t="str">
        <f>"20190303154137126"</f>
        <v>20190303154137126</v>
      </c>
      <c r="B2077" t="str">
        <f>"1551598897121060"</f>
        <v>1551598897121060</v>
      </c>
      <c r="C2077" t="s">
        <v>40</v>
      </c>
      <c r="D2077">
        <v>5.6706050000000001</v>
      </c>
      <c r="E2077">
        <v>0.51751150000000001</v>
      </c>
      <c r="F2077" t="s">
        <v>42</v>
      </c>
      <c r="G2077">
        <v>-192.06819999999999</v>
      </c>
      <c r="H2077">
        <v>1.0480290000000001</v>
      </c>
      <c r="I2077">
        <v>299.32409999999999</v>
      </c>
      <c r="J2077">
        <v>-191.9426</v>
      </c>
      <c r="K2077">
        <v>1.1207210000000001</v>
      </c>
      <c r="L2077">
        <v>299.97739999999999</v>
      </c>
      <c r="M2077">
        <v>-1.5681210000000001E-2</v>
      </c>
      <c r="N2077">
        <v>-9.812688E-3</v>
      </c>
      <c r="O2077">
        <v>-0.99982879999999996</v>
      </c>
      <c r="P2077">
        <v>-0.11131679999999999</v>
      </c>
      <c r="Q2077">
        <v>-6.5334530000000002E-2</v>
      </c>
      <c r="R2077">
        <v>-0.99163509999999999</v>
      </c>
      <c r="S2077">
        <v>-0.46745300000000001</v>
      </c>
      <c r="T2077">
        <v>-0.26525759999999998</v>
      </c>
      <c r="U2077">
        <v>-2.9556580000000001</v>
      </c>
      <c r="V2077">
        <v>9.5736100000000005E-2</v>
      </c>
      <c r="W2077">
        <v>-5.5612769999999999E-2</v>
      </c>
      <c r="X2077">
        <v>0.99385199999999996</v>
      </c>
      <c r="Y2077">
        <v>0.14015429999999901</v>
      </c>
      <c r="Z2077">
        <v>7.8618179999999996E-2</v>
      </c>
      <c r="AA2077">
        <v>0.98700350000000003</v>
      </c>
      <c r="AB2077">
        <v>16</v>
      </c>
      <c r="AC2077">
        <v>-0.125599999999991</v>
      </c>
      <c r="AD2077">
        <v>-7.2691999999999701E-2</v>
      </c>
      <c r="AE2077">
        <v>-0.65330000000000099</v>
      </c>
      <c r="AF2077">
        <v>0.113978681041432</v>
      </c>
      <c r="AG2077">
        <v>-7.2691999999999701E-2</v>
      </c>
      <c r="AH2077">
        <v>0.64745900016941704</v>
      </c>
      <c r="AI2077">
        <v>96.3097057606373</v>
      </c>
      <c r="AJ2077">
        <v>80.015947870796495</v>
      </c>
      <c r="AK2077">
        <v>0.661421517261365</v>
      </c>
      <c r="AL2077">
        <v>93.188021792371998</v>
      </c>
      <c r="AM2077">
        <v>84.497770198304806</v>
      </c>
      <c r="AN2077">
        <v>0.99999998946714097</v>
      </c>
    </row>
    <row r="2078" spans="1:40" x14ac:dyDescent="0.25">
      <c r="A2078" t="str">
        <f>"20190303154137150"</f>
        <v>20190303154137150</v>
      </c>
      <c r="B2078" t="str">
        <f>"1551598897141556"</f>
        <v>1551598897141556</v>
      </c>
      <c r="C2078" t="s">
        <v>40</v>
      </c>
      <c r="D2078">
        <v>5.5353209999999997</v>
      </c>
      <c r="E2078">
        <v>0.51717409999999997</v>
      </c>
      <c r="F2078" t="s">
        <v>42</v>
      </c>
      <c r="G2078">
        <v>-192.07079999999999</v>
      </c>
      <c r="H2078">
        <v>1.048991</v>
      </c>
      <c r="I2078">
        <v>299.17689999999999</v>
      </c>
      <c r="J2078">
        <v>-191.94560000000001</v>
      </c>
      <c r="K2078">
        <v>1.120662</v>
      </c>
      <c r="L2078">
        <v>299.80380000000002</v>
      </c>
      <c r="M2078">
        <v>-1.5936570000000001E-2</v>
      </c>
      <c r="N2078">
        <v>-9.6359110000000005E-3</v>
      </c>
      <c r="O2078">
        <v>-0.99982649999999995</v>
      </c>
      <c r="P2078">
        <v>-0.1143704</v>
      </c>
      <c r="Q2078">
        <v>-6.5100290000000005E-2</v>
      </c>
      <c r="R2078">
        <v>-0.99130280000000004</v>
      </c>
      <c r="S2078">
        <v>-0.47238160000000001</v>
      </c>
      <c r="T2078">
        <v>-0.2650343</v>
      </c>
      <c r="U2078">
        <v>-2.954834</v>
      </c>
      <c r="V2078">
        <v>9.8534159999999996E-2</v>
      </c>
      <c r="W2078">
        <v>-5.556962E-2</v>
      </c>
      <c r="X2078">
        <v>0.99358089999999999</v>
      </c>
      <c r="Y2078">
        <v>0.14154890000000001</v>
      </c>
      <c r="Z2078">
        <v>7.8724039999999995E-2</v>
      </c>
      <c r="AA2078">
        <v>0.98679600000000001</v>
      </c>
      <c r="AB2078">
        <v>16</v>
      </c>
      <c r="AC2078">
        <v>-0.125199999999978</v>
      </c>
      <c r="AD2078">
        <v>-7.1670999999999999E-2</v>
      </c>
      <c r="AE2078">
        <v>-0.62690000000003399</v>
      </c>
      <c r="AF2078">
        <v>0.11376309606120399</v>
      </c>
      <c r="AG2078">
        <v>-7.1670999999999999E-2</v>
      </c>
      <c r="AH2078">
        <v>0.62101017731683705</v>
      </c>
      <c r="AI2078">
        <v>96.476562233293507</v>
      </c>
      <c r="AJ2078">
        <v>79.619066155919199</v>
      </c>
      <c r="AK2078">
        <v>0.635399413438131</v>
      </c>
      <c r="AL2078">
        <v>93.185545667505096</v>
      </c>
      <c r="AM2078">
        <v>84.336452992228999</v>
      </c>
      <c r="AN2078">
        <v>0.999999984099329</v>
      </c>
    </row>
    <row r="2079" spans="1:40" x14ac:dyDescent="0.25">
      <c r="A2079" t="str">
        <f>"20190303154137172"</f>
        <v>20190303154137172</v>
      </c>
      <c r="B2079" t="str">
        <f>"1551598897161076"</f>
        <v>1551598897161076</v>
      </c>
      <c r="C2079" t="s">
        <v>40</v>
      </c>
      <c r="D2079">
        <v>5.6006150000000003</v>
      </c>
      <c r="E2079">
        <v>0.51680890000000002</v>
      </c>
      <c r="F2079" t="s">
        <v>42</v>
      </c>
      <c r="G2079">
        <v>-192.07130000000001</v>
      </c>
      <c r="H2079">
        <v>1.049831</v>
      </c>
      <c r="I2079">
        <v>299.02929999999998</v>
      </c>
      <c r="J2079">
        <v>-191.9486</v>
      </c>
      <c r="K2079">
        <v>1.120584</v>
      </c>
      <c r="L2079">
        <v>299.63630000000001</v>
      </c>
      <c r="M2079">
        <v>-1.6282049999999999E-2</v>
      </c>
      <c r="N2079">
        <v>-9.4753100000000007E-3</v>
      </c>
      <c r="O2079">
        <v>-0.99982249999999995</v>
      </c>
      <c r="P2079">
        <v>-0.1170529</v>
      </c>
      <c r="Q2079">
        <v>-6.4496700000000004E-2</v>
      </c>
      <c r="R2079">
        <v>-0.99102920000000005</v>
      </c>
      <c r="S2079">
        <v>-0.47877500000000001</v>
      </c>
      <c r="T2079">
        <v>-0.2702348</v>
      </c>
      <c r="U2079">
        <v>-2.9533079999999998</v>
      </c>
      <c r="V2079">
        <v>0.1008694</v>
      </c>
      <c r="W2079">
        <v>-5.514384E-2</v>
      </c>
      <c r="X2079">
        <v>0.99337030000000004</v>
      </c>
      <c r="Y2079">
        <v>0.14334330000000001</v>
      </c>
      <c r="Z2079">
        <v>8.0622490000000005E-2</v>
      </c>
      <c r="AA2079">
        <v>0.98638369999999997</v>
      </c>
      <c r="AB2079">
        <v>16</v>
      </c>
      <c r="AC2079">
        <v>-0.122700000000008</v>
      </c>
      <c r="AD2079">
        <v>-7.0752999999999996E-2</v>
      </c>
      <c r="AE2079">
        <v>-0.60700000000002696</v>
      </c>
      <c r="AF2079">
        <v>0.111346646400436</v>
      </c>
      <c r="AG2079">
        <v>-7.0752999999999996E-2</v>
      </c>
      <c r="AH2079">
        <v>0.60107147400697603</v>
      </c>
      <c r="AI2079">
        <v>96.602167220182594</v>
      </c>
      <c r="AJ2079">
        <v>79.505102502360899</v>
      </c>
      <c r="AK2079">
        <v>0.61537872853921605</v>
      </c>
      <c r="AL2079">
        <v>93.161112704834693</v>
      </c>
      <c r="AM2079">
        <v>84.201911090977603</v>
      </c>
      <c r="AN2079">
        <v>1.00000001593419</v>
      </c>
    </row>
    <row r="2080" spans="1:40" x14ac:dyDescent="0.25">
      <c r="A2080" t="str">
        <f>"20190303154137195"</f>
        <v>20190303154137195</v>
      </c>
      <c r="B2080" t="str">
        <f>"1551598897191954"</f>
        <v>1551598897191954</v>
      </c>
      <c r="C2080" t="s">
        <v>40</v>
      </c>
      <c r="D2080">
        <v>5.5544739999999999</v>
      </c>
      <c r="E2080">
        <v>0.51629950000000002</v>
      </c>
      <c r="F2080" t="s">
        <v>42</v>
      </c>
      <c r="G2080">
        <v>-192.07259999999999</v>
      </c>
      <c r="H2080">
        <v>1.0506089999999999</v>
      </c>
      <c r="I2080">
        <v>298.8811</v>
      </c>
      <c r="J2080">
        <v>-191.95179999999999</v>
      </c>
      <c r="K2080">
        <v>1.1204829999999999</v>
      </c>
      <c r="L2080">
        <v>299.4717</v>
      </c>
      <c r="M2080">
        <v>-1.6737249999999999E-2</v>
      </c>
      <c r="N2080">
        <v>-9.3084169999999994E-3</v>
      </c>
      <c r="O2080">
        <v>-0.9998167</v>
      </c>
      <c r="P2080">
        <v>-0.120557399999999</v>
      </c>
      <c r="Q2080">
        <v>-6.5573610000000004E-2</v>
      </c>
      <c r="R2080">
        <v>-0.99053840000000004</v>
      </c>
      <c r="S2080">
        <v>-0.48382570000000003</v>
      </c>
      <c r="T2080">
        <v>-0.2737733</v>
      </c>
      <c r="U2080">
        <v>-2.9521480000000002</v>
      </c>
      <c r="V2080">
        <v>0.103919</v>
      </c>
      <c r="W2080">
        <v>-5.6410399999999999E-2</v>
      </c>
      <c r="X2080">
        <v>0.9929848</v>
      </c>
      <c r="Y2080">
        <v>0.14457990000000001</v>
      </c>
      <c r="Z2080">
        <v>8.1972790000000004E-2</v>
      </c>
      <c r="AA2080">
        <v>0.98609190000000002</v>
      </c>
      <c r="AB2080">
        <v>16</v>
      </c>
      <c r="AC2080">
        <v>-0.120800000000002</v>
      </c>
      <c r="AD2080">
        <v>-6.9873999999999895E-2</v>
      </c>
      <c r="AE2080">
        <v>-0.59059999999999402</v>
      </c>
      <c r="AF2080">
        <v>0.109427447223298</v>
      </c>
      <c r="AG2080">
        <v>-6.9873999999999895E-2</v>
      </c>
      <c r="AH2080">
        <v>0.58468384845705801</v>
      </c>
      <c r="AI2080">
        <v>96.699701586983494</v>
      </c>
      <c r="AJ2080">
        <v>79.399352481222394</v>
      </c>
      <c r="AK2080">
        <v>0.59892565876606396</v>
      </c>
      <c r="AL2080">
        <v>93.233794280617303</v>
      </c>
      <c r="AM2080">
        <v>84.0255633589898</v>
      </c>
      <c r="AN2080">
        <v>1.00000005241009</v>
      </c>
    </row>
    <row r="2081" spans="1:40" x14ac:dyDescent="0.25">
      <c r="A2081" t="str">
        <f>"20190303154137217"</f>
        <v>20190303154137217</v>
      </c>
      <c r="B2081" t="str">
        <f>"1551598897211474"</f>
        <v>1551598897211474</v>
      </c>
      <c r="C2081" t="s">
        <v>40</v>
      </c>
      <c r="D2081">
        <v>5.5519540000000003</v>
      </c>
      <c r="E2081">
        <v>0.51597159999999997</v>
      </c>
      <c r="F2081" t="s">
        <v>42</v>
      </c>
      <c r="G2081">
        <v>-192.0745</v>
      </c>
      <c r="H2081">
        <v>1.0492090000000001</v>
      </c>
      <c r="I2081">
        <v>298.73419999999999</v>
      </c>
      <c r="J2081">
        <v>-191.95519999999999</v>
      </c>
      <c r="K2081">
        <v>1.1203689999999999</v>
      </c>
      <c r="L2081">
        <v>299.31029999999998</v>
      </c>
      <c r="M2081">
        <v>-1.7318099999999999E-2</v>
      </c>
      <c r="N2081">
        <v>-9.1274330000000008E-3</v>
      </c>
      <c r="O2081">
        <v>-0.99980869999999999</v>
      </c>
      <c r="P2081">
        <v>-0.1244697</v>
      </c>
      <c r="Q2081">
        <v>-6.6646750000000005E-2</v>
      </c>
      <c r="R2081">
        <v>-0.98998280000000005</v>
      </c>
      <c r="S2081">
        <v>-0.4901123</v>
      </c>
      <c r="T2081">
        <v>-0.2851881</v>
      </c>
      <c r="U2081">
        <v>-2.9501339999999998</v>
      </c>
      <c r="V2081">
        <v>0.107251399999999</v>
      </c>
      <c r="W2081">
        <v>-5.7690739999999997E-2</v>
      </c>
      <c r="X2081">
        <v>0.99255680000000002</v>
      </c>
      <c r="Y2081">
        <v>0.14610109999999901</v>
      </c>
      <c r="Z2081">
        <v>8.5961650000000001E-2</v>
      </c>
      <c r="AA2081">
        <v>0.98552779999999995</v>
      </c>
      <c r="AB2081">
        <v>17</v>
      </c>
      <c r="AC2081">
        <v>-0.119300000000009</v>
      </c>
      <c r="AD2081">
        <v>-7.1159999999999807E-2</v>
      </c>
      <c r="AE2081">
        <v>-0.57609999999999595</v>
      </c>
      <c r="AF2081">
        <v>0.107728680576285</v>
      </c>
      <c r="AG2081">
        <v>-7.1159999999999807E-2</v>
      </c>
      <c r="AH2081">
        <v>0.56974444158079995</v>
      </c>
      <c r="AI2081">
        <v>96.996556315489698</v>
      </c>
      <c r="AJ2081">
        <v>79.292780912514402</v>
      </c>
      <c r="AK2081">
        <v>0.58418998872877304</v>
      </c>
      <c r="AL2081">
        <v>93.307272066106194</v>
      </c>
      <c r="AM2081">
        <v>83.832794126590798</v>
      </c>
      <c r="AN2081">
        <v>1.00000004275497</v>
      </c>
    </row>
    <row r="2082" spans="1:40" x14ac:dyDescent="0.25">
      <c r="A2082" t="str">
        <f>"20190303154137238"</f>
        <v>20190303154137238</v>
      </c>
      <c r="B2082" t="str">
        <f>"1551598897231969"</f>
        <v>1551598897231969</v>
      </c>
      <c r="C2082" t="s">
        <v>40</v>
      </c>
      <c r="D2082">
        <v>5.4630799999999997</v>
      </c>
      <c r="E2082">
        <v>0.51567149999999995</v>
      </c>
      <c r="F2082" t="s">
        <v>42</v>
      </c>
      <c r="G2082">
        <v>-192.10159999999999</v>
      </c>
      <c r="H2082">
        <v>1.034511</v>
      </c>
      <c r="I2082">
        <v>298.44580000000002</v>
      </c>
      <c r="J2082">
        <v>-191.9589</v>
      </c>
      <c r="K2082">
        <v>1.1202460000000001</v>
      </c>
      <c r="L2082">
        <v>299.14620000000002</v>
      </c>
      <c r="M2082">
        <v>-1.8055760000000001E-2</v>
      </c>
      <c r="N2082">
        <v>-8.9341119999999993E-3</v>
      </c>
      <c r="O2082">
        <v>-0.99979700000000005</v>
      </c>
      <c r="P2082">
        <v>-0.1295452</v>
      </c>
      <c r="Q2082">
        <v>-6.8233530000000001E-2</v>
      </c>
      <c r="R2082">
        <v>-0.98922310000000002</v>
      </c>
      <c r="S2082">
        <v>-0.49911499999999998</v>
      </c>
      <c r="T2082">
        <v>-0.29283930000000002</v>
      </c>
      <c r="U2082">
        <v>-2.947845</v>
      </c>
      <c r="V2082">
        <v>0.1115936</v>
      </c>
      <c r="W2082">
        <v>-5.9502399999999997E-2</v>
      </c>
      <c r="X2082">
        <v>0.99197100000000005</v>
      </c>
      <c r="Y2082">
        <v>0.1483805</v>
      </c>
      <c r="Z2082">
        <v>8.8713680000000003E-2</v>
      </c>
      <c r="AA2082">
        <v>0.98494320000000002</v>
      </c>
      <c r="AB2082">
        <v>17</v>
      </c>
      <c r="AC2082">
        <v>-0.14269999999999</v>
      </c>
      <c r="AD2082">
        <v>-8.5734999999999895E-2</v>
      </c>
      <c r="AE2082">
        <v>-0.70040000000000102</v>
      </c>
      <c r="AF2082">
        <v>0.128185807831636</v>
      </c>
      <c r="AG2082">
        <v>-8.5734999999999895E-2</v>
      </c>
      <c r="AH2082">
        <v>0.69289403060968902</v>
      </c>
      <c r="AI2082">
        <v>96.937084507439707</v>
      </c>
      <c r="AJ2082">
        <v>79.518748901280404</v>
      </c>
      <c r="AK2082">
        <v>0.70984803247525396</v>
      </c>
      <c r="AL2082">
        <v>93.411251131262006</v>
      </c>
      <c r="AM2082">
        <v>83.581392225444802</v>
      </c>
      <c r="AN2082">
        <v>1.0000000660038499</v>
      </c>
    </row>
    <row r="2083" spans="1:40" x14ac:dyDescent="0.25">
      <c r="A2083" t="str">
        <f>"20190303154137260"</f>
        <v>20190303154137260</v>
      </c>
      <c r="B2083" t="str">
        <f>"1551598897251490"</f>
        <v>1551598897251490</v>
      </c>
      <c r="C2083" t="s">
        <v>40</v>
      </c>
      <c r="D2083">
        <v>5.4374449999999896</v>
      </c>
      <c r="E2083">
        <v>0.51570709999999997</v>
      </c>
      <c r="F2083" t="s">
        <v>42</v>
      </c>
      <c r="G2083">
        <v>-192.10679999999999</v>
      </c>
      <c r="H2083">
        <v>1.033498</v>
      </c>
      <c r="I2083">
        <v>298.29590000000002</v>
      </c>
      <c r="J2083">
        <v>-191.96279999999999</v>
      </c>
      <c r="K2083">
        <v>1.1201369999999999</v>
      </c>
      <c r="L2083">
        <v>298.9828</v>
      </c>
      <c r="M2083">
        <v>-1.891195E-2</v>
      </c>
      <c r="N2083">
        <v>-8.7458120000000004E-3</v>
      </c>
      <c r="O2083">
        <v>-0.99978290000000003</v>
      </c>
      <c r="P2083">
        <v>-0.13417100000000001</v>
      </c>
      <c r="Q2083">
        <v>-6.8314349999999996E-2</v>
      </c>
      <c r="R2083">
        <v>-0.9886007</v>
      </c>
      <c r="S2083">
        <v>-0.51174929999999996</v>
      </c>
      <c r="T2083">
        <v>-0.30053000000000002</v>
      </c>
      <c r="U2083">
        <v>-2.9449770000000002</v>
      </c>
      <c r="V2083">
        <v>0.1153696</v>
      </c>
      <c r="W2083">
        <v>-5.980013E-2</v>
      </c>
      <c r="X2083">
        <v>0.99152090000000004</v>
      </c>
      <c r="Y2083">
        <v>0.151751</v>
      </c>
      <c r="Z2083">
        <v>9.1472860000000003E-2</v>
      </c>
      <c r="AA2083">
        <v>0.98417699999999997</v>
      </c>
      <c r="AB2083">
        <v>17</v>
      </c>
      <c r="AC2083">
        <v>-0.14400000000000501</v>
      </c>
      <c r="AD2083">
        <v>-8.6639000000000105E-2</v>
      </c>
      <c r="AE2083">
        <v>-0.68689999999997997</v>
      </c>
      <c r="AF2083">
        <v>0.12901701785738601</v>
      </c>
      <c r="AG2083">
        <v>-8.6639000000000105E-2</v>
      </c>
      <c r="AH2083">
        <v>0.67915087714403299</v>
      </c>
      <c r="AI2083">
        <v>97.143531823601293</v>
      </c>
      <c r="AJ2083">
        <v>79.243795662973</v>
      </c>
      <c r="AK2083">
        <v>0.69670483071622402</v>
      </c>
      <c r="AL2083">
        <v>93.428340639835298</v>
      </c>
      <c r="AM2083">
        <v>83.363125377553402</v>
      </c>
      <c r="AN2083">
        <v>0.99999994764449196</v>
      </c>
    </row>
    <row r="2084" spans="1:40" x14ac:dyDescent="0.25">
      <c r="A2084" t="str">
        <f>"20190303154137283"</f>
        <v>20190303154137283</v>
      </c>
      <c r="B2084" t="str">
        <f>"1551598897271015"</f>
        <v>1551598897271015</v>
      </c>
      <c r="C2084" t="s">
        <v>40</v>
      </c>
      <c r="D2084">
        <v>6.1037910000000002</v>
      </c>
      <c r="E2084">
        <v>0.5560119</v>
      </c>
      <c r="F2084" t="s">
        <v>42</v>
      </c>
      <c r="G2084">
        <v>-192.11259999999999</v>
      </c>
      <c r="H2084">
        <v>1.0343580000000001</v>
      </c>
      <c r="I2084">
        <v>298.14449999999999</v>
      </c>
      <c r="J2084">
        <v>-191.96719999999999</v>
      </c>
      <c r="K2084">
        <v>1.120044</v>
      </c>
      <c r="L2084">
        <v>298.81029999999998</v>
      </c>
      <c r="M2084">
        <v>-1.9944940000000001E-2</v>
      </c>
      <c r="N2084">
        <v>-8.5572329999999992E-3</v>
      </c>
      <c r="O2084">
        <v>-0.99976449999999994</v>
      </c>
      <c r="P2084">
        <v>-0.13929739999999999</v>
      </c>
      <c r="Q2084">
        <v>-6.6660010000000006E-2</v>
      </c>
      <c r="R2084">
        <v>-0.98800469999999896</v>
      </c>
      <c r="S2084">
        <v>-0.52580260000000001</v>
      </c>
      <c r="T2084">
        <v>-0.30114920000000001</v>
      </c>
      <c r="U2084">
        <v>-2.9424440000000001</v>
      </c>
      <c r="V2084">
        <v>0.1194747</v>
      </c>
      <c r="W2084">
        <v>-5.8362589999999999E-2</v>
      </c>
      <c r="X2084">
        <v>0.99112040000000001</v>
      </c>
      <c r="Y2084">
        <v>0.155423799999999</v>
      </c>
      <c r="Z2084">
        <v>9.1877550000000002E-2</v>
      </c>
      <c r="AA2084">
        <v>0.98356589999999999</v>
      </c>
      <c r="AB2084">
        <v>17</v>
      </c>
      <c r="AC2084">
        <v>-0.14539999999999501</v>
      </c>
      <c r="AD2084">
        <v>-8.5686000000000095E-2</v>
      </c>
      <c r="AE2084">
        <v>-0.66579999999998996</v>
      </c>
      <c r="AF2084">
        <v>0.13003554312698801</v>
      </c>
      <c r="AG2084">
        <v>-8.5686000000000095E-2</v>
      </c>
      <c r="AH2084">
        <v>0.65816288847818905</v>
      </c>
      <c r="AI2084">
        <v>97.278451681087404</v>
      </c>
      <c r="AJ2084">
        <v>78.823810856896998</v>
      </c>
      <c r="AK2084">
        <v>0.67633550907983897</v>
      </c>
      <c r="AL2084">
        <v>93.345831276460899</v>
      </c>
      <c r="AM2084">
        <v>83.126440442075506</v>
      </c>
      <c r="AN2084">
        <v>1.00000002157387</v>
      </c>
    </row>
    <row r="2085" spans="1:40" x14ac:dyDescent="0.25">
      <c r="A2085" t="str">
        <f>"20190303154137305"</f>
        <v>20190303154137305</v>
      </c>
      <c r="B2085" t="str">
        <f>"1551598897301561"</f>
        <v>1551598897301561</v>
      </c>
      <c r="C2085" t="s">
        <v>40</v>
      </c>
      <c r="D2085">
        <v>5.6574939999999998</v>
      </c>
      <c r="E2085">
        <v>0.57606880000000005</v>
      </c>
      <c r="F2085" t="s">
        <v>46</v>
      </c>
      <c r="G2085">
        <v>-196.05760000000001</v>
      </c>
      <c r="H2085" s="1">
        <v>2.8549360000000001E-6</v>
      </c>
      <c r="I2085">
        <v>285.01839999999999</v>
      </c>
      <c r="J2085">
        <v>-191.9718</v>
      </c>
      <c r="K2085">
        <v>1.119958</v>
      </c>
      <c r="L2085">
        <v>298.6438</v>
      </c>
      <c r="M2085">
        <v>-2.1074519999999999E-2</v>
      </c>
      <c r="N2085">
        <v>-8.3846459999999904E-3</v>
      </c>
      <c r="O2085">
        <v>-0.99974300000000005</v>
      </c>
      <c r="P2085">
        <v>-0.1442618</v>
      </c>
      <c r="Q2085">
        <v>-6.5096909999999994E-2</v>
      </c>
      <c r="R2085">
        <v>-0.98739650000000001</v>
      </c>
      <c r="S2085">
        <v>-0.8598633</v>
      </c>
      <c r="T2085">
        <v>-0.23545179999999999</v>
      </c>
      <c r="U2085">
        <v>-2.899292</v>
      </c>
      <c r="V2085">
        <v>0.1233245</v>
      </c>
      <c r="W2085">
        <v>-5.6999340000000003E-2</v>
      </c>
      <c r="X2085">
        <v>0.9907281</v>
      </c>
      <c r="Y2085">
        <v>0.26328750000000001</v>
      </c>
      <c r="Z2085">
        <v>6.9489529999999994E-2</v>
      </c>
      <c r="AA2085">
        <v>0.9622115</v>
      </c>
      <c r="AB2085">
        <v>17</v>
      </c>
      <c r="AC2085">
        <v>-4.0857999999999999</v>
      </c>
      <c r="AD2085">
        <v>-1.119955145064</v>
      </c>
      <c r="AE2085">
        <v>-13.625400000000001</v>
      </c>
      <c r="AF2085">
        <v>3.7743373336522201</v>
      </c>
      <c r="AG2085">
        <v>-1.119955145064</v>
      </c>
      <c r="AH2085">
        <v>13.624030226718199</v>
      </c>
      <c r="AI2085">
        <v>94.529543615326602</v>
      </c>
      <c r="AJ2085">
        <v>74.5153899377096</v>
      </c>
      <c r="AK2085">
        <v>14.181471060989701</v>
      </c>
      <c r="AL2085">
        <v>93.2675925677256</v>
      </c>
      <c r="AM2085">
        <v>82.904396929558303</v>
      </c>
      <c r="AN2085">
        <v>1.00000001259514</v>
      </c>
    </row>
    <row r="2086" spans="1:40" x14ac:dyDescent="0.25">
      <c r="A2086" t="str">
        <f>"20190303154137326"</f>
        <v>20190303154137326</v>
      </c>
      <c r="B2086" t="str">
        <f>"1551598897321081"</f>
        <v>1551598897321081</v>
      </c>
      <c r="C2086" t="s">
        <v>40</v>
      </c>
      <c r="D2086">
        <v>5.6053829999999998</v>
      </c>
      <c r="E2086">
        <v>0.66399249999999999</v>
      </c>
      <c r="F2086" t="s">
        <v>46</v>
      </c>
      <c r="G2086">
        <v>-195.66159999999999</v>
      </c>
      <c r="H2086" s="1">
        <v>2.6301270000000001E-6</v>
      </c>
      <c r="I2086">
        <v>288.39339999999999</v>
      </c>
      <c r="J2086">
        <v>-191.9769</v>
      </c>
      <c r="K2086">
        <v>1.119864</v>
      </c>
      <c r="L2086">
        <v>298.47500000000002</v>
      </c>
      <c r="M2086">
        <v>-2.236469E-2</v>
      </c>
      <c r="N2086">
        <v>-8.2180769999999903E-3</v>
      </c>
      <c r="O2086">
        <v>-0.99971639999999995</v>
      </c>
      <c r="P2086">
        <v>-0.14937890000000001</v>
      </c>
      <c r="Q2086">
        <v>-6.5164420000000001E-2</v>
      </c>
      <c r="R2086">
        <v>-0.98663080000000003</v>
      </c>
      <c r="S2086">
        <v>-1.0319670000000001</v>
      </c>
      <c r="T2086">
        <v>-0.31323329999999999</v>
      </c>
      <c r="U2086">
        <v>-2.8668819999999999</v>
      </c>
      <c r="V2086">
        <v>0.12716910000000001</v>
      </c>
      <c r="W2086">
        <v>-5.726432E-2</v>
      </c>
      <c r="X2086">
        <v>0.99022659999999996</v>
      </c>
      <c r="Y2086">
        <v>0.31590699999999999</v>
      </c>
      <c r="Z2086">
        <v>9.4463779999999997E-2</v>
      </c>
      <c r="AA2086">
        <v>0.94407589999999997</v>
      </c>
      <c r="AB2086">
        <v>17</v>
      </c>
      <c r="AC2086">
        <v>-3.6846999999999901</v>
      </c>
      <c r="AD2086">
        <v>-1.119861369873</v>
      </c>
      <c r="AE2086">
        <v>-10.0816</v>
      </c>
      <c r="AF2086">
        <v>3.4210616390997499</v>
      </c>
      <c r="AG2086">
        <v>-1.119861369873</v>
      </c>
      <c r="AH2086">
        <v>10.052074204172801</v>
      </c>
      <c r="AI2086">
        <v>96.020467841949795</v>
      </c>
      <c r="AJ2086">
        <v>71.204819736005405</v>
      </c>
      <c r="AK2086">
        <v>10.6771694766193</v>
      </c>
      <c r="AL2086">
        <v>93.282799844753697</v>
      </c>
      <c r="AM2086">
        <v>82.6818895543053</v>
      </c>
      <c r="AN2086">
        <v>0.99999995084371496</v>
      </c>
    </row>
    <row r="2087" spans="1:40" x14ac:dyDescent="0.25">
      <c r="A2087" t="str">
        <f>"20190303154137352"</f>
        <v>20190303154137352</v>
      </c>
      <c r="B2087" t="str">
        <f>"1551598897341577"</f>
        <v>1551598897341577</v>
      </c>
      <c r="C2087" t="s">
        <v>40</v>
      </c>
      <c r="D2087">
        <v>5.6032710000000003</v>
      </c>
      <c r="E2087">
        <v>0.66805459999999905</v>
      </c>
      <c r="F2087" t="s">
        <v>46</v>
      </c>
      <c r="G2087">
        <v>-197.89510000000001</v>
      </c>
      <c r="H2087" s="1">
        <v>2.1719080000000001E-6</v>
      </c>
      <c r="I2087">
        <v>289.10300000000001</v>
      </c>
      <c r="J2087">
        <v>-191.983</v>
      </c>
      <c r="K2087">
        <v>1.119745</v>
      </c>
      <c r="L2087">
        <v>298.28149999999999</v>
      </c>
      <c r="M2087">
        <v>-2.4018729999999999E-2</v>
      </c>
      <c r="N2087">
        <v>-8.0286149999999994E-3</v>
      </c>
      <c r="O2087">
        <v>-0.9996796</v>
      </c>
      <c r="P2087">
        <v>-0.1552492</v>
      </c>
      <c r="Q2087">
        <v>-6.6734150000000006E-2</v>
      </c>
      <c r="R2087">
        <v>-0.98561929999999998</v>
      </c>
      <c r="S2087">
        <v>-1.74002099999999</v>
      </c>
      <c r="T2087">
        <v>-0.32925300000000002</v>
      </c>
      <c r="U2087">
        <v>-2.7554630000000002</v>
      </c>
      <c r="V2087">
        <v>0.1314081</v>
      </c>
      <c r="W2087">
        <v>-5.9063619999999997E-2</v>
      </c>
      <c r="X2087">
        <v>0.98956730000000004</v>
      </c>
      <c r="Y2087">
        <v>0.51094649999999997</v>
      </c>
      <c r="Z2087">
        <v>9.3225020000000006E-2</v>
      </c>
      <c r="AA2087">
        <v>0.85454240000000004</v>
      </c>
      <c r="AB2087">
        <v>17</v>
      </c>
      <c r="AC2087">
        <v>-5.9120999999999997</v>
      </c>
      <c r="AD2087">
        <v>-1.1197428280920001</v>
      </c>
      <c r="AE2087">
        <v>-9.1784999999999801</v>
      </c>
      <c r="AF2087">
        <v>5.6307028212188097</v>
      </c>
      <c r="AG2087">
        <v>-1.1197428280920001</v>
      </c>
      <c r="AH2087">
        <v>9.22086465843919</v>
      </c>
      <c r="AI2087">
        <v>95.917025891420295</v>
      </c>
      <c r="AJ2087">
        <v>58.589756557024401</v>
      </c>
      <c r="AK2087">
        <v>10.861997206370299</v>
      </c>
      <c r="AL2087">
        <v>93.386066750373004</v>
      </c>
      <c r="AM2087">
        <v>82.435748983385594</v>
      </c>
      <c r="AN2087">
        <v>1.0000000205912001</v>
      </c>
    </row>
    <row r="2088" spans="1:40" x14ac:dyDescent="0.25">
      <c r="A2088" t="str">
        <f>"20190303154137373"</f>
        <v>20190303154137373</v>
      </c>
      <c r="B2088" t="str">
        <f>"1551598897361096"</f>
        <v>1551598897361096</v>
      </c>
      <c r="C2088" t="s">
        <v>40</v>
      </c>
      <c r="D2088">
        <v>5.5583410000000004</v>
      </c>
      <c r="E2088">
        <v>0.66966530000000002</v>
      </c>
      <c r="F2088" t="s">
        <v>46</v>
      </c>
      <c r="G2088">
        <v>-197.57429999999999</v>
      </c>
      <c r="H2088" s="1">
        <v>2.1474139999999999E-6</v>
      </c>
      <c r="I2088">
        <v>289.71960000000001</v>
      </c>
      <c r="J2088">
        <v>-191.9888</v>
      </c>
      <c r="K2088">
        <v>1.1196280000000001</v>
      </c>
      <c r="L2088">
        <v>298.11399999999998</v>
      </c>
      <c r="M2088">
        <v>-2.5604780000000001E-2</v>
      </c>
      <c r="N2088">
        <v>-7.8529419999999999E-3</v>
      </c>
      <c r="O2088">
        <v>-0.99964140000000001</v>
      </c>
      <c r="P2088">
        <v>-0.161418899999999</v>
      </c>
      <c r="Q2088">
        <v>-6.8091890000000002E-2</v>
      </c>
      <c r="R2088">
        <v>-0.98453440000000003</v>
      </c>
      <c r="S2088">
        <v>-1.7879940000000001</v>
      </c>
      <c r="T2088">
        <v>-0.35807420000000001</v>
      </c>
      <c r="U2088">
        <v>-2.737946</v>
      </c>
      <c r="V2088">
        <v>0.13601849999999999</v>
      </c>
      <c r="W2088">
        <v>-6.0638659999999997E-2</v>
      </c>
      <c r="X2088">
        <v>0.98884879999999997</v>
      </c>
      <c r="Y2088">
        <v>0.52210500000000004</v>
      </c>
      <c r="Z2088">
        <v>0.1018565</v>
      </c>
      <c r="AA2088">
        <v>0.84677719999999901</v>
      </c>
      <c r="AB2088">
        <v>17</v>
      </c>
      <c r="AC2088">
        <v>-5.5854999999999899</v>
      </c>
      <c r="AD2088">
        <v>-1.1196258525859999</v>
      </c>
      <c r="AE2088">
        <v>-8.3944000000000099</v>
      </c>
      <c r="AF2088">
        <v>5.30333268663545</v>
      </c>
      <c r="AG2088">
        <v>-1.1196258525859999</v>
      </c>
      <c r="AH2088">
        <v>8.4307129097408904</v>
      </c>
      <c r="AI2088">
        <v>96.413799833594396</v>
      </c>
      <c r="AJ2088">
        <v>57.828089928036697</v>
      </c>
      <c r="AK2088">
        <v>10.0227650776313</v>
      </c>
      <c r="AL2088">
        <v>93.476471992479603</v>
      </c>
      <c r="AM2088">
        <v>82.167978381051597</v>
      </c>
      <c r="AN2088">
        <v>1.00000001434514</v>
      </c>
    </row>
    <row r="2089" spans="1:40" x14ac:dyDescent="0.25">
      <c r="A2089" t="str">
        <f>"20190303154137395"</f>
        <v>20190303154137395</v>
      </c>
      <c r="B2089" t="str">
        <f>"1551598897391154"</f>
        <v>1551598897391154</v>
      </c>
      <c r="C2089" t="s">
        <v>40</v>
      </c>
      <c r="D2089">
        <v>5.5572949999999999</v>
      </c>
      <c r="E2089">
        <v>0.67012380000000005</v>
      </c>
      <c r="F2089" t="s">
        <v>46</v>
      </c>
      <c r="G2089">
        <v>-197.5224</v>
      </c>
      <c r="H2089" s="1">
        <v>2.1208070000000001E-6</v>
      </c>
      <c r="I2089">
        <v>289.82100000000003</v>
      </c>
      <c r="J2089">
        <v>-191.9949</v>
      </c>
      <c r="K2089">
        <v>1.1195170000000001</v>
      </c>
      <c r="L2089">
        <v>297.95</v>
      </c>
      <c r="M2089">
        <v>-2.7291960000000001E-2</v>
      </c>
      <c r="N2089">
        <v>-7.6629749999999998E-3</v>
      </c>
      <c r="O2089">
        <v>-0.99959830000000005</v>
      </c>
      <c r="P2089">
        <v>-0.1649477</v>
      </c>
      <c r="Q2089">
        <v>-6.7026119999999995E-2</v>
      </c>
      <c r="R2089">
        <v>-0.98402259999999997</v>
      </c>
      <c r="S2089">
        <v>-1.817474</v>
      </c>
      <c r="T2089">
        <v>-0.3677338</v>
      </c>
      <c r="U2089">
        <v>-2.7237849999999999</v>
      </c>
      <c r="V2089">
        <v>0.13788110000000001</v>
      </c>
      <c r="W2089">
        <v>-5.979541E-2</v>
      </c>
      <c r="X2089">
        <v>0.98864220000000003</v>
      </c>
      <c r="Y2089">
        <v>0.52886040000000001</v>
      </c>
      <c r="Z2089">
        <v>0.104883199999999</v>
      </c>
      <c r="AA2089">
        <v>0.84220319999999904</v>
      </c>
      <c r="AB2089">
        <v>17</v>
      </c>
      <c r="AC2089">
        <v>-5.5274999999999999</v>
      </c>
      <c r="AD2089">
        <v>-1.1195148791930001</v>
      </c>
      <c r="AE2089">
        <v>-8.1290000000000102</v>
      </c>
      <c r="AF2089">
        <v>5.2356729376803601</v>
      </c>
      <c r="AG2089">
        <v>-1.1195148791930001</v>
      </c>
      <c r="AH2089">
        <v>8.1708588602412497</v>
      </c>
      <c r="AI2089">
        <v>96.580647959058695</v>
      </c>
      <c r="AJ2089">
        <v>57.349312193084302</v>
      </c>
      <c r="AK2089">
        <v>9.7687521817822809</v>
      </c>
      <c r="AL2089">
        <v>93.428069387511599</v>
      </c>
      <c r="AM2089">
        <v>82.060449229110304</v>
      </c>
      <c r="AN2089">
        <v>1.0000000442075501</v>
      </c>
    </row>
    <row r="2090" spans="1:40" x14ac:dyDescent="0.25">
      <c r="A2090" t="str">
        <f>"20190303154137417"</f>
        <v>20190303154137417</v>
      </c>
      <c r="B2090" t="str">
        <f>"1551598897411650"</f>
        <v>1551598897411650</v>
      </c>
      <c r="C2090" t="s">
        <v>40</v>
      </c>
      <c r="D2090">
        <v>5.577426</v>
      </c>
      <c r="E2090">
        <v>0.67033450000000006</v>
      </c>
      <c r="F2090" t="s">
        <v>46</v>
      </c>
      <c r="G2090">
        <v>-197.4863</v>
      </c>
      <c r="H2090" s="1">
        <v>2.1343180000000001E-6</v>
      </c>
      <c r="I2090">
        <v>289.80090000000001</v>
      </c>
      <c r="J2090">
        <v>-192.0018</v>
      </c>
      <c r="K2090">
        <v>1.1193949999999999</v>
      </c>
      <c r="L2090">
        <v>297.77659999999997</v>
      </c>
      <c r="M2090">
        <v>-2.9222540000000002E-2</v>
      </c>
      <c r="N2090">
        <v>-7.4475790000000002E-3</v>
      </c>
      <c r="O2090">
        <v>-0.99954540000000003</v>
      </c>
      <c r="P2090">
        <v>-0.17002809999999999</v>
      </c>
      <c r="Q2090">
        <v>-6.4349519999999993E-2</v>
      </c>
      <c r="R2090">
        <v>-0.98333619999999999</v>
      </c>
      <c r="S2090">
        <v>-1.830505</v>
      </c>
      <c r="T2090">
        <v>-0.37318240000000003</v>
      </c>
      <c r="U2090">
        <v>-2.7164609999999998</v>
      </c>
      <c r="V2090">
        <v>0.1410642</v>
      </c>
      <c r="W2090">
        <v>-5.7372619999999999E-2</v>
      </c>
      <c r="X2090">
        <v>0.98833660000000001</v>
      </c>
      <c r="Y2090">
        <v>0.53094710000000001</v>
      </c>
      <c r="Z2090">
        <v>0.1067673</v>
      </c>
      <c r="AA2090">
        <v>0.84065199999999995</v>
      </c>
      <c r="AB2090">
        <v>17</v>
      </c>
      <c r="AC2090">
        <v>-5.4844999999999899</v>
      </c>
      <c r="AD2090">
        <v>-1.119392865682</v>
      </c>
      <c r="AE2090">
        <v>-7.9756999999999598</v>
      </c>
      <c r="AF2090">
        <v>5.1798057150105601</v>
      </c>
      <c r="AG2090">
        <v>-1.119392865682</v>
      </c>
      <c r="AH2090">
        <v>8.0252386782607399</v>
      </c>
      <c r="AI2090">
        <v>96.684182562605002</v>
      </c>
      <c r="AJ2090">
        <v>57.160205893214503</v>
      </c>
      <c r="AK2090">
        <v>9.6170621021207907</v>
      </c>
      <c r="AL2090">
        <v>93.289015098803901</v>
      </c>
      <c r="AM2090">
        <v>81.877098352479393</v>
      </c>
      <c r="AN2090">
        <v>0.99999998047343197</v>
      </c>
    </row>
    <row r="2091" spans="1:40" x14ac:dyDescent="0.25">
      <c r="A2091" t="str">
        <f>"20190303154137439"</f>
        <v>20190303154137439</v>
      </c>
      <c r="B2091" t="str">
        <f>"1551598897431171"</f>
        <v>1551598897431171</v>
      </c>
      <c r="C2091" t="s">
        <v>40</v>
      </c>
      <c r="D2091">
        <v>5.5359280000000002</v>
      </c>
      <c r="E2091">
        <v>0.67013959999999995</v>
      </c>
      <c r="F2091" t="s">
        <v>46</v>
      </c>
      <c r="G2091">
        <v>-197.61529999999999</v>
      </c>
      <c r="H2091" s="1">
        <v>2.182849E-6</v>
      </c>
      <c r="I2091">
        <v>289.54559999999998</v>
      </c>
      <c r="J2091">
        <v>-192.0095</v>
      </c>
      <c r="K2091">
        <v>1.119281</v>
      </c>
      <c r="L2091">
        <v>297.59809999999999</v>
      </c>
      <c r="M2091">
        <v>-3.1357879999999998E-2</v>
      </c>
      <c r="N2091">
        <v>-7.222918E-3</v>
      </c>
      <c r="O2091">
        <v>-0.99948230000000005</v>
      </c>
      <c r="P2091">
        <v>-0.17525160000000001</v>
      </c>
      <c r="Q2091">
        <v>-6.3039010000000006E-2</v>
      </c>
      <c r="R2091">
        <v>-0.98250380000000004</v>
      </c>
      <c r="S2091">
        <v>-1.846481</v>
      </c>
      <c r="T2091">
        <v>-0.36821090000000001</v>
      </c>
      <c r="U2091">
        <v>-2.7074889999999998</v>
      </c>
      <c r="V2091">
        <v>0.14419179999999901</v>
      </c>
      <c r="W2091">
        <v>-5.6325010000000002E-2</v>
      </c>
      <c r="X2091">
        <v>0.98794539999999997</v>
      </c>
      <c r="Y2091">
        <v>0.53390749999999998</v>
      </c>
      <c r="Z2091">
        <v>0.10550760000000001</v>
      </c>
      <c r="AA2091">
        <v>0.83893439999999997</v>
      </c>
      <c r="AB2091">
        <v>18</v>
      </c>
      <c r="AC2091">
        <v>-5.6057999999999799</v>
      </c>
      <c r="AD2091">
        <v>-1.119278817151</v>
      </c>
      <c r="AE2091">
        <v>-8.0525000000000002</v>
      </c>
      <c r="AF2091">
        <v>5.2817923076842597</v>
      </c>
      <c r="AG2091">
        <v>-1.119278817151</v>
      </c>
      <c r="AH2091">
        <v>8.1186774939282405</v>
      </c>
      <c r="AI2091">
        <v>96.591945402889095</v>
      </c>
      <c r="AJ2091">
        <v>56.953059387135099</v>
      </c>
      <c r="AK2091">
        <v>9.75002765649681</v>
      </c>
      <c r="AL2091">
        <v>93.228894341782194</v>
      </c>
      <c r="AM2091">
        <v>81.696243458415594</v>
      </c>
      <c r="AN2091">
        <v>0.99999994765994804</v>
      </c>
    </row>
    <row r="2092" spans="1:40" x14ac:dyDescent="0.25">
      <c r="A2092" t="str">
        <f>"20190303154137461"</f>
        <v>20190303154137461</v>
      </c>
      <c r="B2092" t="str">
        <f>"1551598897451666"</f>
        <v>1551598897451666</v>
      </c>
      <c r="C2092" t="s">
        <v>40</v>
      </c>
      <c r="D2092">
        <v>5.5661949999999996</v>
      </c>
      <c r="E2092">
        <v>0.67076139999999995</v>
      </c>
      <c r="F2092" t="s">
        <v>46</v>
      </c>
      <c r="G2092">
        <v>-197.67699999999999</v>
      </c>
      <c r="H2092" s="1">
        <v>2.1870590000000001E-6</v>
      </c>
      <c r="I2092">
        <v>289.37209999999999</v>
      </c>
      <c r="J2092">
        <v>-192.01750000000001</v>
      </c>
      <c r="K2092">
        <v>1.1191770000000001</v>
      </c>
      <c r="L2092">
        <v>297.423</v>
      </c>
      <c r="M2092">
        <v>-3.3559480000000003E-2</v>
      </c>
      <c r="N2092">
        <v>-7.0104290000000003E-3</v>
      </c>
      <c r="O2092">
        <v>-0.99941239999999998</v>
      </c>
      <c r="P2092">
        <v>-0.1806256</v>
      </c>
      <c r="Q2092">
        <v>-6.4317739999999998E-2</v>
      </c>
      <c r="R2092">
        <v>-0.98144719999999996</v>
      </c>
      <c r="S2092">
        <v>-1.8590390000000001</v>
      </c>
      <c r="T2092">
        <v>-0.3671393</v>
      </c>
      <c r="U2092">
        <v>-2.698242</v>
      </c>
      <c r="V2092">
        <v>0.14740899999999901</v>
      </c>
      <c r="W2092">
        <v>-5.7850640000000002E-2</v>
      </c>
      <c r="X2092">
        <v>0.98738239999999999</v>
      </c>
      <c r="Y2092">
        <v>0.53604629999999998</v>
      </c>
      <c r="Z2092">
        <v>0.10548440000000001</v>
      </c>
      <c r="AA2092">
        <v>0.83757230000000005</v>
      </c>
      <c r="AB2092">
        <v>18</v>
      </c>
      <c r="AC2092">
        <v>-5.6595000000000004</v>
      </c>
      <c r="AD2092">
        <v>-1.119174812941</v>
      </c>
      <c r="AE2092">
        <v>-8.0509000000000093</v>
      </c>
      <c r="AF2092">
        <v>5.3173503983788599</v>
      </c>
      <c r="AG2092">
        <v>-1.119174812941</v>
      </c>
      <c r="AH2092">
        <v>8.1311367920698707</v>
      </c>
      <c r="AI2092">
        <v>96.571256360690001</v>
      </c>
      <c r="AJ2092">
        <v>56.817352609200697</v>
      </c>
      <c r="AK2092">
        <v>9.7796806211866496</v>
      </c>
      <c r="AL2092">
        <v>93.316448940705996</v>
      </c>
      <c r="AM2092">
        <v>81.508871162639693</v>
      </c>
      <c r="AN2092">
        <v>1.0000000568295799</v>
      </c>
    </row>
    <row r="2093" spans="1:40" x14ac:dyDescent="0.25">
      <c r="A2093" t="str">
        <f>"20190303154137483"</f>
        <v>20190303154137483</v>
      </c>
      <c r="B2093" t="str">
        <f>"1551598897471186"</f>
        <v>1551598897471186</v>
      </c>
      <c r="C2093" t="s">
        <v>40</v>
      </c>
      <c r="D2093">
        <v>5.5821730000000001</v>
      </c>
      <c r="E2093">
        <v>0.67133140000000002</v>
      </c>
      <c r="F2093" t="s">
        <v>46</v>
      </c>
      <c r="G2093">
        <v>-197.65260000000001</v>
      </c>
      <c r="H2093" s="1">
        <v>2.1920170000000002E-6</v>
      </c>
      <c r="I2093">
        <v>289.36500000000001</v>
      </c>
      <c r="J2093">
        <v>-192.02610000000001</v>
      </c>
      <c r="K2093">
        <v>1.119089</v>
      </c>
      <c r="L2093">
        <v>297.24590000000001</v>
      </c>
      <c r="M2093">
        <v>-3.588326E-2</v>
      </c>
      <c r="N2093">
        <v>-6.8085400000000001E-3</v>
      </c>
      <c r="O2093">
        <v>-0.99933289999999997</v>
      </c>
      <c r="P2093">
        <v>-0.18598049999999999</v>
      </c>
      <c r="Q2093">
        <v>-6.5721340000000003E-2</v>
      </c>
      <c r="R2093">
        <v>-0.98035320000000004</v>
      </c>
      <c r="S2093">
        <v>-1.8787229999999999</v>
      </c>
      <c r="T2093">
        <v>-0.37313099999999999</v>
      </c>
      <c r="U2093">
        <v>-2.6865230000000002</v>
      </c>
      <c r="V2093">
        <v>0.15049170000000001</v>
      </c>
      <c r="W2093">
        <v>-5.9486650000000002E-2</v>
      </c>
      <c r="X2093">
        <v>0.98681989999999997</v>
      </c>
      <c r="Y2093">
        <v>0.53980039999999996</v>
      </c>
      <c r="Z2093">
        <v>0.1075236</v>
      </c>
      <c r="AA2093">
        <v>0.83489769999999897</v>
      </c>
      <c r="AB2093">
        <v>18</v>
      </c>
      <c r="AC2093">
        <v>-5.6264999999999903</v>
      </c>
      <c r="AD2093">
        <v>-1.1190868079830001</v>
      </c>
      <c r="AE2093">
        <v>-7.8808999999999898</v>
      </c>
      <c r="AF2093">
        <v>5.2696944863704003</v>
      </c>
      <c r="AG2093">
        <v>-1.1190868079830001</v>
      </c>
      <c r="AH2093">
        <v>7.9712607264901898</v>
      </c>
      <c r="AI2093">
        <v>96.679621162480601</v>
      </c>
      <c r="AJ2093">
        <v>56.531839352024797</v>
      </c>
      <c r="AK2093">
        <v>9.6209683937309105</v>
      </c>
      <c r="AL2093">
        <v>93.410347469171498</v>
      </c>
      <c r="AM2093">
        <v>81.329104057755401</v>
      </c>
      <c r="AN2093">
        <v>0.99999996416656001</v>
      </c>
    </row>
    <row r="2094" spans="1:40" x14ac:dyDescent="0.25">
      <c r="A2094" t="str">
        <f>"20190303154137506"</f>
        <v>20190303154137506</v>
      </c>
      <c r="B2094" t="str">
        <f>"1551598897501950"</f>
        <v>1551598897501950</v>
      </c>
      <c r="C2094" t="s">
        <v>40</v>
      </c>
      <c r="D2094">
        <v>5.5282119999999999</v>
      </c>
      <c r="E2094">
        <v>0.67179509999999998</v>
      </c>
      <c r="F2094" t="s">
        <v>46</v>
      </c>
      <c r="G2094">
        <v>-197.65379999999999</v>
      </c>
      <c r="H2094" s="1">
        <v>2.1962030000000001E-6</v>
      </c>
      <c r="I2094">
        <v>289.31459999999998</v>
      </c>
      <c r="J2094">
        <v>-192.036</v>
      </c>
      <c r="K2094">
        <v>1.118997</v>
      </c>
      <c r="L2094">
        <v>297.05590000000001</v>
      </c>
      <c r="M2094">
        <v>-3.8490089999999998E-2</v>
      </c>
      <c r="N2094">
        <v>-6.6089749999999996E-3</v>
      </c>
      <c r="O2094">
        <v>-0.99923709999999999</v>
      </c>
      <c r="P2094">
        <v>-0.1909718</v>
      </c>
      <c r="Q2094">
        <v>-6.5905119999999998E-2</v>
      </c>
      <c r="R2094">
        <v>-0.97938049999999999</v>
      </c>
      <c r="S2094">
        <v>-1.897888</v>
      </c>
      <c r="T2094">
        <v>-0.37740220000000002</v>
      </c>
      <c r="U2094">
        <v>-2.6747740000000002</v>
      </c>
      <c r="V2094">
        <v>0.15293389999999901</v>
      </c>
      <c r="W2094">
        <v>-5.9898140000000002E-2</v>
      </c>
      <c r="X2094">
        <v>0.9864195</v>
      </c>
      <c r="Y2094">
        <v>0.54322550000000003</v>
      </c>
      <c r="Z2094">
        <v>0.1090542</v>
      </c>
      <c r="AA2094">
        <v>0.83247420000000005</v>
      </c>
      <c r="AB2094">
        <v>18</v>
      </c>
      <c r="AC2094">
        <v>-5.6178000000000097</v>
      </c>
      <c r="AD2094">
        <v>-1.1189948037969999</v>
      </c>
      <c r="AE2094">
        <v>-7.7413000000000203</v>
      </c>
      <c r="AF2094">
        <v>5.24389609039011</v>
      </c>
      <c r="AG2094">
        <v>-1.1189948037969999</v>
      </c>
      <c r="AH2094">
        <v>7.84443420947236</v>
      </c>
      <c r="AI2094">
        <v>96.763166969372406</v>
      </c>
      <c r="AJ2094">
        <v>56.237818524420597</v>
      </c>
      <c r="AK2094">
        <v>9.5018810582154494</v>
      </c>
      <c r="AL2094">
        <v>93.433966112543203</v>
      </c>
      <c r="AM2094">
        <v>81.187061823260507</v>
      </c>
      <c r="AN2094">
        <v>0.99999999746245904</v>
      </c>
    </row>
    <row r="2095" spans="1:40" x14ac:dyDescent="0.25">
      <c r="A2095" t="str">
        <f>"20190303154137528"</f>
        <v>20190303154137528</v>
      </c>
      <c r="B2095" t="str">
        <f>"1551598897521470"</f>
        <v>1551598897521470</v>
      </c>
      <c r="C2095" t="s">
        <v>40</v>
      </c>
      <c r="D2095">
        <v>5.5280490000000002</v>
      </c>
      <c r="E2095">
        <v>0.6719195</v>
      </c>
      <c r="F2095" t="s">
        <v>46</v>
      </c>
      <c r="G2095">
        <v>-197.72120000000001</v>
      </c>
      <c r="H2095" s="1">
        <v>2.1989549999999999E-6</v>
      </c>
      <c r="I2095">
        <v>289.14640000000003</v>
      </c>
      <c r="J2095">
        <v>-192.0454</v>
      </c>
      <c r="K2095">
        <v>1.1189119999999999</v>
      </c>
      <c r="L2095">
        <v>296.88499999999999</v>
      </c>
      <c r="M2095">
        <v>-4.0937220000000003E-2</v>
      </c>
      <c r="N2095">
        <v>-6.4437050000000001E-3</v>
      </c>
      <c r="O2095">
        <v>-0.9991409</v>
      </c>
      <c r="P2095">
        <v>-0.19576540000000001</v>
      </c>
      <c r="Q2095">
        <v>-6.7121940000000005E-2</v>
      </c>
      <c r="R2095">
        <v>-0.97835090000000002</v>
      </c>
      <c r="S2095">
        <v>-1.9151</v>
      </c>
      <c r="T2095">
        <v>-0.37693910000000003</v>
      </c>
      <c r="U2095">
        <v>-2.6643680000000001</v>
      </c>
      <c r="V2095">
        <v>0.1553377</v>
      </c>
      <c r="W2095">
        <v>-6.1309429999999998E-2</v>
      </c>
      <c r="X2095">
        <v>0.98595710000000003</v>
      </c>
      <c r="Y2095">
        <v>0.54626209999999997</v>
      </c>
      <c r="Z2095">
        <v>0.1091099</v>
      </c>
      <c r="AA2095">
        <v>0.83047739999999903</v>
      </c>
      <c r="AB2095">
        <v>18</v>
      </c>
      <c r="AC2095">
        <v>-5.6757999999999997</v>
      </c>
      <c r="AD2095">
        <v>-1.118909801045</v>
      </c>
      <c r="AE2095">
        <v>-7.73859999999996</v>
      </c>
      <c r="AF2095">
        <v>5.2824324119659503</v>
      </c>
      <c r="AG2095">
        <v>-1.118909801045</v>
      </c>
      <c r="AH2095">
        <v>7.8576567962267001</v>
      </c>
      <c r="AI2095">
        <v>96.739700343977901</v>
      </c>
      <c r="AJ2095">
        <v>56.088416727365399</v>
      </c>
      <c r="AK2095">
        <v>9.5340873531319499</v>
      </c>
      <c r="AL2095">
        <v>93.514975886943205</v>
      </c>
      <c r="AM2095">
        <v>81.046636910737405</v>
      </c>
      <c r="AN2095">
        <v>1.00000002514431</v>
      </c>
    </row>
    <row r="2096" spans="1:40" x14ac:dyDescent="0.25">
      <c r="A2096" t="str">
        <f>"20190303154137553"</f>
        <v>20190303154137553</v>
      </c>
      <c r="B2096" t="str">
        <f>"1551598897540989"</f>
        <v>1551598897540989</v>
      </c>
      <c r="C2096" t="s">
        <v>40</v>
      </c>
      <c r="D2096">
        <v>5.5654389999999996</v>
      </c>
      <c r="E2096">
        <v>0.67197039999999997</v>
      </c>
      <c r="F2096" t="s">
        <v>46</v>
      </c>
      <c r="G2096">
        <v>-197.7079</v>
      </c>
      <c r="H2096" s="1">
        <v>2.206003E-6</v>
      </c>
      <c r="I2096">
        <v>289.09280000000001</v>
      </c>
      <c r="J2096">
        <v>-192.0574</v>
      </c>
      <c r="K2096">
        <v>1.1187959999999999</v>
      </c>
      <c r="L2096">
        <v>296.67809999999997</v>
      </c>
      <c r="M2096">
        <v>-4.4028619999999997E-2</v>
      </c>
      <c r="N2096">
        <v>-6.2531640000000003E-3</v>
      </c>
      <c r="O2096">
        <v>-0.99901070000000003</v>
      </c>
      <c r="P2096">
        <v>-0.2022148</v>
      </c>
      <c r="Q2096">
        <v>-6.9325600000000001E-2</v>
      </c>
      <c r="R2096">
        <v>-0.97688459999999999</v>
      </c>
      <c r="S2096">
        <v>-1.9288479999999999</v>
      </c>
      <c r="T2096">
        <v>-0.3811387</v>
      </c>
      <c r="U2096">
        <v>-2.6542970000000001</v>
      </c>
      <c r="V2096">
        <v>0.158775</v>
      </c>
      <c r="W2096">
        <v>-6.3746709999999998E-2</v>
      </c>
      <c r="X2096">
        <v>0.98525469999999904</v>
      </c>
      <c r="Y2096">
        <v>0.54789299999999996</v>
      </c>
      <c r="Z2096">
        <v>0.11067440000000001</v>
      </c>
      <c r="AA2096">
        <v>0.82919500000000002</v>
      </c>
      <c r="AB2096">
        <v>18</v>
      </c>
      <c r="AC2096">
        <v>-5.6504999999999903</v>
      </c>
      <c r="AD2096">
        <v>-1.1187937939970001</v>
      </c>
      <c r="AE2096">
        <v>-7.5852999999999602</v>
      </c>
      <c r="AF2096">
        <v>5.2377622224892502</v>
      </c>
      <c r="AG2096">
        <v>-1.1187937939970001</v>
      </c>
      <c r="AH2096">
        <v>7.7187400742511398</v>
      </c>
      <c r="AI2096">
        <v>96.839285854642299</v>
      </c>
      <c r="AJ2096">
        <v>55.840072958428998</v>
      </c>
      <c r="AK2096">
        <v>9.3949348580323999</v>
      </c>
      <c r="AL2096">
        <v>93.654895721492693</v>
      </c>
      <c r="AM2096">
        <v>80.845420861191798</v>
      </c>
      <c r="AN2096">
        <v>0.99999998376645605</v>
      </c>
    </row>
    <row r="2097" spans="1:40" x14ac:dyDescent="0.25">
      <c r="A2097" t="str">
        <f>"20190303154137574"</f>
        <v>20190303154137574</v>
      </c>
      <c r="B2097" t="str">
        <f>"1551598897571245"</f>
        <v>1551598897571245</v>
      </c>
      <c r="C2097" t="s">
        <v>40</v>
      </c>
      <c r="D2097">
        <v>5.5707760000000004</v>
      </c>
      <c r="E2097">
        <v>0.67200919999999997</v>
      </c>
      <c r="F2097" t="s">
        <v>46</v>
      </c>
      <c r="G2097">
        <v>-197.6567</v>
      </c>
      <c r="H2097" s="1">
        <v>2.216058E-6</v>
      </c>
      <c r="I2097">
        <v>289.08170000000001</v>
      </c>
      <c r="J2097">
        <v>-192.06819999999999</v>
      </c>
      <c r="K2097">
        <v>1.1186910000000001</v>
      </c>
      <c r="L2097">
        <v>296.5027</v>
      </c>
      <c r="M2097">
        <v>-4.6769079999999998E-2</v>
      </c>
      <c r="N2097">
        <v>-6.0897440000000002E-3</v>
      </c>
      <c r="O2097">
        <v>-0.99888730000000003</v>
      </c>
      <c r="P2097">
        <v>-0.20843419999999999</v>
      </c>
      <c r="Q2097">
        <v>-7.201478E-2</v>
      </c>
      <c r="R2097">
        <v>-0.97538179999999997</v>
      </c>
      <c r="S2097">
        <v>-1.9462889999999999</v>
      </c>
      <c r="T2097">
        <v>-0.38888820000000002</v>
      </c>
      <c r="U2097">
        <v>-2.6404719999999999</v>
      </c>
      <c r="V2097">
        <v>0.16233330000000001</v>
      </c>
      <c r="W2097">
        <v>-6.6643560000000004E-2</v>
      </c>
      <c r="X2097">
        <v>0.98448290000000005</v>
      </c>
      <c r="Y2097">
        <v>0.55104739999999997</v>
      </c>
      <c r="Z2097">
        <v>0.1133093</v>
      </c>
      <c r="AA2097">
        <v>0.82674530000000002</v>
      </c>
      <c r="AB2097">
        <v>18</v>
      </c>
      <c r="AC2097">
        <v>-5.5885000000000096</v>
      </c>
      <c r="AD2097">
        <v>-1.1186887839420001</v>
      </c>
      <c r="AE2097">
        <v>-7.4209999999999896</v>
      </c>
      <c r="AF2097">
        <v>5.1604732204171304</v>
      </c>
      <c r="AG2097">
        <v>-1.1186887839420001</v>
      </c>
      <c r="AH2097">
        <v>7.5645600278007397</v>
      </c>
      <c r="AI2097">
        <v>96.965074764427897</v>
      </c>
      <c r="AJ2097">
        <v>55.698551503361202</v>
      </c>
      <c r="AK2097">
        <v>9.2252109389520598</v>
      </c>
      <c r="AL2097">
        <v>93.821226778280007</v>
      </c>
      <c r="AM2097">
        <v>80.6366420295506</v>
      </c>
      <c r="AN2097">
        <v>1.00000002238538</v>
      </c>
    </row>
    <row r="2098" spans="1:40" x14ac:dyDescent="0.25">
      <c r="A2098" t="str">
        <f>"20190303154137595"</f>
        <v>20190303154137595</v>
      </c>
      <c r="B2098" t="str">
        <f>"1551598897591741"</f>
        <v>1551598897591741</v>
      </c>
      <c r="C2098" t="s">
        <v>40</v>
      </c>
      <c r="D2098">
        <v>5.8512839999999997</v>
      </c>
      <c r="E2098">
        <v>0.67196889999999998</v>
      </c>
      <c r="F2098" t="s">
        <v>46</v>
      </c>
      <c r="G2098">
        <v>-197.58519999999999</v>
      </c>
      <c r="H2098" s="1">
        <v>2.225448E-6</v>
      </c>
      <c r="I2098">
        <v>289.11939999999998</v>
      </c>
      <c r="J2098">
        <v>-192.07980000000001</v>
      </c>
      <c r="K2098">
        <v>1.118576</v>
      </c>
      <c r="L2098">
        <v>296.3254</v>
      </c>
      <c r="M2098">
        <v>-4.9653879999999997E-2</v>
      </c>
      <c r="N2098">
        <v>-5.9181590000000001E-3</v>
      </c>
      <c r="O2098">
        <v>-0.99874909999999995</v>
      </c>
      <c r="P2098">
        <v>-0.2155396</v>
      </c>
      <c r="Q2098">
        <v>-7.4001659999999997E-2</v>
      </c>
      <c r="R2098">
        <v>-0.97368739999999998</v>
      </c>
      <c r="S2098">
        <v>-1.962845</v>
      </c>
      <c r="T2098">
        <v>-0.39801310000000001</v>
      </c>
      <c r="U2098">
        <v>-2.6268919999999998</v>
      </c>
      <c r="V2098">
        <v>0.16664970000000001</v>
      </c>
      <c r="W2098">
        <v>-6.8853369999999997E-2</v>
      </c>
      <c r="X2098">
        <v>0.98360919999999996</v>
      </c>
      <c r="Y2098">
        <v>0.55382259999999905</v>
      </c>
      <c r="Z2098">
        <v>0.1163816</v>
      </c>
      <c r="AA2098">
        <v>0.82446090000000005</v>
      </c>
      <c r="AB2098">
        <v>18</v>
      </c>
      <c r="AC2098">
        <v>-5.5053999999999803</v>
      </c>
      <c r="AD2098">
        <v>-1.1185737745519999</v>
      </c>
      <c r="AE2098">
        <v>-7.2060000000000102</v>
      </c>
      <c r="AF2098">
        <v>5.0637524090344996</v>
      </c>
      <c r="AG2098">
        <v>-1.1185737745519999</v>
      </c>
      <c r="AH2098">
        <v>7.35852132017272</v>
      </c>
      <c r="AI2098">
        <v>97.137724282406097</v>
      </c>
      <c r="AJ2098">
        <v>55.4662696885934</v>
      </c>
      <c r="AK2098">
        <v>9.0022570374631492</v>
      </c>
      <c r="AL2098">
        <v>93.948131312459395</v>
      </c>
      <c r="AM2098">
        <v>80.383880524645093</v>
      </c>
      <c r="AN2098">
        <v>0.99999998369754295</v>
      </c>
    </row>
    <row r="2099" spans="1:40" x14ac:dyDescent="0.25">
      <c r="A2099" t="str">
        <f>"20190303154137618"</f>
        <v>20190303154137618</v>
      </c>
      <c r="B2099" t="str">
        <f>"1551598897611262"</f>
        <v>1551598897611262</v>
      </c>
      <c r="C2099" t="s">
        <v>40</v>
      </c>
      <c r="D2099">
        <v>5.5581930000000002</v>
      </c>
      <c r="E2099">
        <v>0.6719347</v>
      </c>
      <c r="F2099" t="s">
        <v>46</v>
      </c>
      <c r="G2099">
        <v>-197.53659999999999</v>
      </c>
      <c r="H2099" s="1">
        <v>2.2329010000000001E-6</v>
      </c>
      <c r="I2099">
        <v>289.13260000000002</v>
      </c>
      <c r="J2099">
        <v>-192.0926</v>
      </c>
      <c r="K2099">
        <v>1.1184620000000001</v>
      </c>
      <c r="L2099">
        <v>296.1397</v>
      </c>
      <c r="M2099">
        <v>-5.280178E-2</v>
      </c>
      <c r="N2099">
        <v>-5.7341060000000001E-3</v>
      </c>
      <c r="O2099">
        <v>-0.99858880000000005</v>
      </c>
      <c r="P2099">
        <v>-0.223497</v>
      </c>
      <c r="Q2099">
        <v>-7.4008180000000007E-2</v>
      </c>
      <c r="R2099">
        <v>-0.97189110000000001</v>
      </c>
      <c r="S2099">
        <v>-1.9813080000000001</v>
      </c>
      <c r="T2099">
        <v>-0.40614020000000001</v>
      </c>
      <c r="U2099">
        <v>-2.6116030000000001</v>
      </c>
      <c r="V2099">
        <v>0.1715757</v>
      </c>
      <c r="W2099">
        <v>-6.9101270000000006E-2</v>
      </c>
      <c r="X2099">
        <v>0.98274450000000002</v>
      </c>
      <c r="Y2099">
        <v>0.55702669999999999</v>
      </c>
      <c r="Z2099">
        <v>0.11918090000000001</v>
      </c>
      <c r="AA2099">
        <v>0.82189849999999998</v>
      </c>
      <c r="AB2099">
        <v>18</v>
      </c>
      <c r="AC2099">
        <v>-5.4439999999999804</v>
      </c>
      <c r="AD2099">
        <v>-1.118459767099</v>
      </c>
      <c r="AE2099">
        <v>-7.0070999999999799</v>
      </c>
      <c r="AF2099">
        <v>4.9871767643174598</v>
      </c>
      <c r="AG2099">
        <v>-1.118459767099</v>
      </c>
      <c r="AH2099">
        <v>7.1708532310270998</v>
      </c>
      <c r="AI2099">
        <v>97.296985702775004</v>
      </c>
      <c r="AJ2099">
        <v>55.182203528795903</v>
      </c>
      <c r="AK2099">
        <v>8.8059082660506398</v>
      </c>
      <c r="AL2099">
        <v>93.962368864428299</v>
      </c>
      <c r="AM2099">
        <v>80.096643351919894</v>
      </c>
      <c r="AN2099">
        <v>0.99999997931317597</v>
      </c>
    </row>
    <row r="2100" spans="1:40" x14ac:dyDescent="0.25">
      <c r="A2100" t="str">
        <f>"20190303154137640"</f>
        <v>20190303154137640</v>
      </c>
      <c r="B2100" t="str">
        <f>"1551598897631758"</f>
        <v>1551598897631758</v>
      </c>
      <c r="C2100" t="s">
        <v>40</v>
      </c>
      <c r="D2100">
        <v>5.6079650000000001</v>
      </c>
      <c r="E2100">
        <v>0.67204739999999996</v>
      </c>
      <c r="F2100" t="s">
        <v>46</v>
      </c>
      <c r="G2100">
        <v>-197.61439999999999</v>
      </c>
      <c r="H2100" s="1">
        <v>2.232202E-6</v>
      </c>
      <c r="I2100">
        <v>288.98289999999997</v>
      </c>
      <c r="J2100">
        <v>-192.10679999999999</v>
      </c>
      <c r="K2100">
        <v>1.118349</v>
      </c>
      <c r="L2100">
        <v>295.94619999999998</v>
      </c>
      <c r="M2100">
        <v>-5.6212989999999997E-2</v>
      </c>
      <c r="N2100">
        <v>-5.5446790000000003E-3</v>
      </c>
      <c r="O2100">
        <v>-0.99840329999999999</v>
      </c>
      <c r="P2100">
        <v>-0.23182440000000001</v>
      </c>
      <c r="Q2100">
        <v>-7.1096500000000007E-2</v>
      </c>
      <c r="R2100">
        <v>-0.97015620000000002</v>
      </c>
      <c r="S2100">
        <v>-2.0024410000000001</v>
      </c>
      <c r="T2100">
        <v>-0.40560459999999998</v>
      </c>
      <c r="U2100">
        <v>-2.5953979999999999</v>
      </c>
      <c r="V2100">
        <v>0.17662800000000001</v>
      </c>
      <c r="W2100">
        <v>-6.6438079999999997E-2</v>
      </c>
      <c r="X2100">
        <v>0.98203280000000004</v>
      </c>
      <c r="Y2100">
        <v>0.56086599999999998</v>
      </c>
      <c r="Z2100">
        <v>0.1193351</v>
      </c>
      <c r="AA2100">
        <v>0.81926089999999996</v>
      </c>
      <c r="AB2100">
        <v>19</v>
      </c>
      <c r="AC2100">
        <v>-5.5075999999999903</v>
      </c>
      <c r="AD2100">
        <v>-1.1183467677979999</v>
      </c>
      <c r="AE2100">
        <v>-6.9633000000000003</v>
      </c>
      <c r="AF2100">
        <v>5.0276801690722097</v>
      </c>
      <c r="AG2100">
        <v>-1.1183467677979999</v>
      </c>
      <c r="AH2100">
        <v>7.1484641225822401</v>
      </c>
      <c r="AI2100">
        <v>97.292237228892006</v>
      </c>
      <c r="AJ2100">
        <v>54.880393036759301</v>
      </c>
      <c r="AK2100">
        <v>8.8107211218703192</v>
      </c>
      <c r="AL2100">
        <v>93.809427787913293</v>
      </c>
      <c r="AM2100">
        <v>79.803819842820999</v>
      </c>
      <c r="AN2100">
        <v>0.99999994456696095</v>
      </c>
    </row>
    <row r="2101" spans="1:40" x14ac:dyDescent="0.25">
      <c r="A2101" t="str">
        <f>"20190303154137662"</f>
        <v>20190303154137662</v>
      </c>
      <c r="B2101" t="str">
        <f>"1551598897651278"</f>
        <v>1551598897651278</v>
      </c>
      <c r="C2101" t="s">
        <v>40</v>
      </c>
      <c r="D2101">
        <v>5.5675179999999997</v>
      </c>
      <c r="E2101">
        <v>0.67206719999999998</v>
      </c>
      <c r="F2101" t="s">
        <v>46</v>
      </c>
      <c r="G2101">
        <v>-197.9032</v>
      </c>
      <c r="H2101" s="1">
        <v>2.2174819999999999E-6</v>
      </c>
      <c r="I2101">
        <v>288.5652</v>
      </c>
      <c r="J2101">
        <v>-192.12139999999999</v>
      </c>
      <c r="K2101">
        <v>1.1182430000000001</v>
      </c>
      <c r="L2101">
        <v>295.75549999999998</v>
      </c>
      <c r="M2101">
        <v>-5.9671340000000003E-2</v>
      </c>
      <c r="N2101">
        <v>-5.365763E-3</v>
      </c>
      <c r="O2101">
        <v>-0.99820379999999997</v>
      </c>
      <c r="P2101">
        <v>-0.23965729999999999</v>
      </c>
      <c r="Q2101">
        <v>-6.7878610000000006E-2</v>
      </c>
      <c r="R2101">
        <v>-0.96848199999999995</v>
      </c>
      <c r="S2101">
        <v>-2.0257869999999998</v>
      </c>
      <c r="T2101">
        <v>-0.39084629999999998</v>
      </c>
      <c r="U2101">
        <v>-2.5795590000000002</v>
      </c>
      <c r="V2101">
        <v>0.18114730000000001</v>
      </c>
      <c r="W2101">
        <v>-6.3452010000000003E-2</v>
      </c>
      <c r="X2101">
        <v>0.98140689999999997</v>
      </c>
      <c r="Y2101">
        <v>0.56535440000000003</v>
      </c>
      <c r="Z2101">
        <v>0.11509659999999999</v>
      </c>
      <c r="AA2101">
        <v>0.81677849999999996</v>
      </c>
      <c r="AB2101">
        <v>19</v>
      </c>
      <c r="AC2101">
        <v>-5.7817999999999996</v>
      </c>
      <c r="AD2101">
        <v>-1.1182407825180001</v>
      </c>
      <c r="AE2101">
        <v>-7.1902999999999704</v>
      </c>
      <c r="AF2101">
        <v>5.2650974312359402</v>
      </c>
      <c r="AG2101">
        <v>-1.1182407825180001</v>
      </c>
      <c r="AH2101">
        <v>7.4136019290407997</v>
      </c>
      <c r="AI2101">
        <v>97.010925718861003</v>
      </c>
      <c r="AJ2101">
        <v>54.617849413653602</v>
      </c>
      <c r="AK2101">
        <v>9.1615068067633505</v>
      </c>
      <c r="AL2101">
        <v>93.637976333286502</v>
      </c>
      <c r="AM2101">
        <v>79.542095840210095</v>
      </c>
      <c r="AN2101">
        <v>1.0000000026189699</v>
      </c>
    </row>
    <row r="2102" spans="1:40" x14ac:dyDescent="0.25">
      <c r="A2102" t="str">
        <f>"20190303154137684"</f>
        <v>20190303154137684</v>
      </c>
      <c r="B2102" t="str">
        <f>"1551598897681533"</f>
        <v>1551598897681533</v>
      </c>
      <c r="C2102" t="s">
        <v>40</v>
      </c>
      <c r="D2102">
        <v>5.6231920000000004</v>
      </c>
      <c r="E2102">
        <v>0.67186459999999903</v>
      </c>
      <c r="F2102" t="s">
        <v>46</v>
      </c>
      <c r="G2102">
        <v>-198.26410000000001</v>
      </c>
      <c r="H2102" s="1">
        <v>2.1976299999999999E-6</v>
      </c>
      <c r="I2102">
        <v>288.06</v>
      </c>
      <c r="J2102">
        <v>-192.13650000000001</v>
      </c>
      <c r="K2102">
        <v>1.118158</v>
      </c>
      <c r="L2102">
        <v>295.56939999999997</v>
      </c>
      <c r="M2102">
        <v>-6.3136230000000002E-2</v>
      </c>
      <c r="N2102">
        <v>-5.2006630000000003E-3</v>
      </c>
      <c r="O2102">
        <v>-0.99799150000000003</v>
      </c>
      <c r="P2102">
        <v>-0.24785570000000001</v>
      </c>
      <c r="Q2102">
        <v>-6.6351579999999993E-2</v>
      </c>
      <c r="R2102">
        <v>-0.96652229999999995</v>
      </c>
      <c r="S2102">
        <v>-2.0473789999999998</v>
      </c>
      <c r="T2102">
        <v>-0.3727123</v>
      </c>
      <c r="U2102">
        <v>-2.5649109999999999</v>
      </c>
      <c r="V2102">
        <v>0.1860424</v>
      </c>
      <c r="W2102">
        <v>-6.2144249999999998E-2</v>
      </c>
      <c r="X2102">
        <v>0.98057450000000002</v>
      </c>
      <c r="Y2102">
        <v>0.56935760000000002</v>
      </c>
      <c r="Z2102">
        <v>0.1098015</v>
      </c>
      <c r="AA2102">
        <v>0.81472419999999901</v>
      </c>
      <c r="AB2102">
        <v>19</v>
      </c>
      <c r="AC2102">
        <v>-6.1276000000000002</v>
      </c>
      <c r="AD2102">
        <v>-1.11815580237</v>
      </c>
      <c r="AE2102">
        <v>-7.5093999999999701</v>
      </c>
      <c r="AF2102">
        <v>5.5671571531603297</v>
      </c>
      <c r="AG2102">
        <v>-1.11815580237</v>
      </c>
      <c r="AH2102">
        <v>7.7777783808118999</v>
      </c>
      <c r="AI2102">
        <v>96.667734965590498</v>
      </c>
      <c r="AJ2102">
        <v>54.405772979485697</v>
      </c>
      <c r="AK2102">
        <v>9.6300232454227697</v>
      </c>
      <c r="AL2102">
        <v>93.562898967006205</v>
      </c>
      <c r="AM2102">
        <v>79.257077301777798</v>
      </c>
      <c r="AN2102">
        <v>1.00000001622803</v>
      </c>
    </row>
    <row r="2103" spans="1:40" x14ac:dyDescent="0.25">
      <c r="A2103" t="str">
        <f>"20190303154137707"</f>
        <v>20190303154137707</v>
      </c>
      <c r="B2103" t="str">
        <f>"1551598897701054"</f>
        <v>1551598897701054</v>
      </c>
      <c r="C2103" t="s">
        <v>40</v>
      </c>
      <c r="D2103">
        <v>5.6152009999999999</v>
      </c>
      <c r="E2103">
        <v>0.67162749999999904</v>
      </c>
      <c r="F2103" t="s">
        <v>46</v>
      </c>
      <c r="G2103">
        <v>-198.51130000000001</v>
      </c>
      <c r="H2103" s="1">
        <v>2.1841189999999999E-6</v>
      </c>
      <c r="I2103">
        <v>287.71289999999999</v>
      </c>
      <c r="J2103">
        <v>-192.1533</v>
      </c>
      <c r="K2103">
        <v>1.1180669999999999</v>
      </c>
      <c r="L2103">
        <v>295.37119999999999</v>
      </c>
      <c r="M2103">
        <v>-6.6930480000000001E-2</v>
      </c>
      <c r="N2103">
        <v>-5.0362310000000004E-3</v>
      </c>
      <c r="O2103">
        <v>-0.9977452</v>
      </c>
      <c r="P2103">
        <v>-0.25634940000000001</v>
      </c>
      <c r="Q2103">
        <v>-6.6484249999999995E-2</v>
      </c>
      <c r="R2103">
        <v>-0.96429540000000002</v>
      </c>
      <c r="S2103">
        <v>-2.0680390000000002</v>
      </c>
      <c r="T2103">
        <v>-0.36273529999999998</v>
      </c>
      <c r="U2103">
        <v>-2.5486759999999999</v>
      </c>
      <c r="V2103">
        <v>0.19092519999999999</v>
      </c>
      <c r="W2103">
        <v>-6.2499850000000003E-2</v>
      </c>
      <c r="X2103">
        <v>0.97961290000000001</v>
      </c>
      <c r="Y2103">
        <v>0.57295699999999905</v>
      </c>
      <c r="Z2103">
        <v>0.1070415</v>
      </c>
      <c r="AA2103">
        <v>0.81256530000000005</v>
      </c>
      <c r="AB2103">
        <v>19</v>
      </c>
      <c r="AC2103">
        <v>-6.3579999999999997</v>
      </c>
      <c r="AD2103">
        <v>-1.11806481588099</v>
      </c>
      <c r="AE2103">
        <v>-7.6582999999999899</v>
      </c>
      <c r="AF2103">
        <v>5.7585043800446396</v>
      </c>
      <c r="AG2103">
        <v>-1.11806481588099</v>
      </c>
      <c r="AH2103">
        <v>7.9661626339103</v>
      </c>
      <c r="AI2103">
        <v>96.489231709055005</v>
      </c>
      <c r="AJ2103">
        <v>54.1379418101005</v>
      </c>
      <c r="AK2103">
        <v>9.8929363051327197</v>
      </c>
      <c r="AL2103">
        <v>93.583312913088093</v>
      </c>
      <c r="AM2103">
        <v>78.971387098817502</v>
      </c>
      <c r="AN2103">
        <v>1.0000000485457301</v>
      </c>
    </row>
    <row r="2104" spans="1:40" x14ac:dyDescent="0.25">
      <c r="A2104" t="str">
        <f>"20190303154137731"</f>
        <v>20190303154137731</v>
      </c>
      <c r="B2104" t="str">
        <f>"1551598897721550"</f>
        <v>1551598897721550</v>
      </c>
      <c r="C2104" t="s">
        <v>40</v>
      </c>
      <c r="D2104">
        <v>5.6190810000000004</v>
      </c>
      <c r="E2104">
        <v>0.6713768</v>
      </c>
      <c r="F2104" t="s">
        <v>46</v>
      </c>
      <c r="G2104">
        <v>-198.58099999999999</v>
      </c>
      <c r="H2104" s="1">
        <v>2.1831630000000002E-6</v>
      </c>
      <c r="I2104">
        <v>287.58249999999998</v>
      </c>
      <c r="J2104">
        <v>-192.17160000000001</v>
      </c>
      <c r="K2104">
        <v>1.117966</v>
      </c>
      <c r="L2104">
        <v>295.16660000000002</v>
      </c>
      <c r="M2104">
        <v>-7.096421E-2</v>
      </c>
      <c r="N2104">
        <v>-4.8820840000000001E-3</v>
      </c>
      <c r="O2104">
        <v>-0.99746690000000005</v>
      </c>
      <c r="P2104">
        <v>-0.26411440000000003</v>
      </c>
      <c r="Q2104">
        <v>-6.6810579999999994E-2</v>
      </c>
      <c r="R2104">
        <v>-0.96217470000000005</v>
      </c>
      <c r="S2104">
        <v>-2.088562</v>
      </c>
      <c r="T2104">
        <v>-0.36329420000000001</v>
      </c>
      <c r="U2104">
        <v>-2.5307919999999999</v>
      </c>
      <c r="V2104">
        <v>0.19484499999999999</v>
      </c>
      <c r="W2104">
        <v>-6.3039280000000003E-2</v>
      </c>
      <c r="X2104">
        <v>0.97880610000000001</v>
      </c>
      <c r="Y2104">
        <v>0.57635709999999996</v>
      </c>
      <c r="Z2104">
        <v>0.10752630000000001</v>
      </c>
      <c r="AA2104">
        <v>0.8100929</v>
      </c>
      <c r="AB2104">
        <v>19</v>
      </c>
      <c r="AC2104">
        <v>-6.4093999999999696</v>
      </c>
      <c r="AD2104">
        <v>-1.1179638168369901</v>
      </c>
      <c r="AE2104">
        <v>-7.5841000000000296</v>
      </c>
      <c r="AF2104">
        <v>5.7817450063300502</v>
      </c>
      <c r="AG2104">
        <v>-1.1179638168369901</v>
      </c>
      <c r="AH2104">
        <v>7.9194354606673398</v>
      </c>
      <c r="AI2104">
        <v>96.504491522367005</v>
      </c>
      <c r="AJ2104">
        <v>53.8679265042312</v>
      </c>
      <c r="AK2104">
        <v>9.8689349187059996</v>
      </c>
      <c r="AL2104">
        <v>93.614281387358105</v>
      </c>
      <c r="AM2104">
        <v>78.741646234207906</v>
      </c>
      <c r="AN2104">
        <v>0.99999995312256296</v>
      </c>
    </row>
    <row r="2105" spans="1:40" x14ac:dyDescent="0.25">
      <c r="A2105" t="str">
        <f>"20190303154137754"</f>
        <v>20190303154137754</v>
      </c>
      <c r="B2105" t="str">
        <f>"1551598897741070"</f>
        <v>1551598897741070</v>
      </c>
      <c r="C2105" t="s">
        <v>40</v>
      </c>
      <c r="D2105">
        <v>5.5066699999999997</v>
      </c>
      <c r="E2105">
        <v>0.67124779999999995</v>
      </c>
      <c r="F2105" t="s">
        <v>46</v>
      </c>
      <c r="G2105">
        <v>-198.65219999999999</v>
      </c>
      <c r="H2105" s="1">
        <v>2.1834670000000001E-6</v>
      </c>
      <c r="I2105">
        <v>287.43459999999999</v>
      </c>
      <c r="J2105">
        <v>-192.19049999999999</v>
      </c>
      <c r="K2105">
        <v>1.1178619999999999</v>
      </c>
      <c r="L2105">
        <v>294.96480000000003</v>
      </c>
      <c r="M2105">
        <v>-7.5065419999999994E-2</v>
      </c>
      <c r="N2105">
        <v>-4.749456E-3</v>
      </c>
      <c r="O2105">
        <v>-0.99716740000000004</v>
      </c>
      <c r="P2105">
        <v>-0.27027679999999998</v>
      </c>
      <c r="Q2105">
        <v>-6.6520670000000004E-2</v>
      </c>
      <c r="R2105">
        <v>-0.96048199999999995</v>
      </c>
      <c r="S2105">
        <v>-2.1072850000000001</v>
      </c>
      <c r="T2105">
        <v>-0.36352630000000002</v>
      </c>
      <c r="U2105">
        <v>-2.5141909999999998</v>
      </c>
      <c r="V2105">
        <v>0.19707820000000001</v>
      </c>
      <c r="W2105">
        <v>-6.2937129999999994E-2</v>
      </c>
      <c r="X2105">
        <v>0.9783655</v>
      </c>
      <c r="Y2105">
        <v>0.57915890000000003</v>
      </c>
      <c r="Z2105">
        <v>0.1078876</v>
      </c>
      <c r="AA2105">
        <v>0.80804409999999904</v>
      </c>
      <c r="AB2105">
        <v>19</v>
      </c>
      <c r="AC2105">
        <v>-6.4617000000000004</v>
      </c>
      <c r="AD2105">
        <v>-1.117859816533</v>
      </c>
      <c r="AE2105">
        <v>-7.53020000000003</v>
      </c>
      <c r="AF2105">
        <v>5.8045342234790196</v>
      </c>
      <c r="AG2105">
        <v>-1.117859816533</v>
      </c>
      <c r="AH2105">
        <v>7.8938221020031802</v>
      </c>
      <c r="AI2105">
        <v>96.508624568005899</v>
      </c>
      <c r="AJ2105">
        <v>53.671980885186798</v>
      </c>
      <c r="AK2105">
        <v>9.8617775020039993</v>
      </c>
      <c r="AL2105">
        <v>93.608416897516307</v>
      </c>
      <c r="AM2105">
        <v>78.610967761321504</v>
      </c>
      <c r="AN2105">
        <v>0.99999997541906305</v>
      </c>
    </row>
    <row r="2106" spans="1:40" x14ac:dyDescent="0.25">
      <c r="A2106" t="str">
        <f>"20190303154137776"</f>
        <v>20190303154137776</v>
      </c>
      <c r="B2106" t="str">
        <f>"1551598897771326"</f>
        <v>1551598897771326</v>
      </c>
      <c r="C2106" t="s">
        <v>40</v>
      </c>
      <c r="D2106">
        <v>5.6568759999999996</v>
      </c>
      <c r="E2106">
        <v>0.6709446</v>
      </c>
      <c r="F2106" t="s">
        <v>46</v>
      </c>
      <c r="G2106">
        <v>-198.81059999999999</v>
      </c>
      <c r="H2106" s="1">
        <v>2.1790659999999999E-6</v>
      </c>
      <c r="I2106">
        <v>287.1635</v>
      </c>
      <c r="J2106">
        <v>-192.20959999999999</v>
      </c>
      <c r="K2106">
        <v>1.11775</v>
      </c>
      <c r="L2106">
        <v>294.77069999999998</v>
      </c>
      <c r="M2106">
        <v>-7.9143110000000003E-2</v>
      </c>
      <c r="N2106">
        <v>-4.6389250000000003E-3</v>
      </c>
      <c r="O2106">
        <v>-0.99685250000000003</v>
      </c>
      <c r="P2106">
        <v>-0.27626610000000001</v>
      </c>
      <c r="Q2106">
        <v>-6.5665039999999994E-2</v>
      </c>
      <c r="R2106">
        <v>-0.9588354</v>
      </c>
      <c r="S2106">
        <v>-2.12262</v>
      </c>
      <c r="T2106">
        <v>-0.35842309999999999</v>
      </c>
      <c r="U2106">
        <v>-2.5013429999999999</v>
      </c>
      <c r="V2106">
        <v>0.1991657</v>
      </c>
      <c r="W2106">
        <v>-6.2252700000000001E-2</v>
      </c>
      <c r="X2106">
        <v>0.97798649999999998</v>
      </c>
      <c r="Y2106">
        <v>0.58086059999999995</v>
      </c>
      <c r="Z2106">
        <v>0.1065566</v>
      </c>
      <c r="AA2106">
        <v>0.80699860000000001</v>
      </c>
      <c r="AB2106">
        <v>19</v>
      </c>
      <c r="AC2106">
        <v>-6.6009999999999902</v>
      </c>
      <c r="AD2106">
        <v>-1.1177478209339999</v>
      </c>
      <c r="AE2106">
        <v>-7.6071999999999704</v>
      </c>
      <c r="AF2106">
        <v>5.9054983854057799</v>
      </c>
      <c r="AG2106">
        <v>-1.1177478209339999</v>
      </c>
      <c r="AH2106">
        <v>8.0071515422212105</v>
      </c>
      <c r="AI2106">
        <v>96.409954753277802</v>
      </c>
      <c r="AJ2106">
        <v>53.590186698308003</v>
      </c>
      <c r="AK2106">
        <v>10.011930243031401</v>
      </c>
      <c r="AL2106">
        <v>93.569124862125705</v>
      </c>
      <c r="AM2106">
        <v>78.489193605000494</v>
      </c>
      <c r="AN2106">
        <v>0.99999998444801497</v>
      </c>
    </row>
    <row r="2107" spans="1:40" x14ac:dyDescent="0.25">
      <c r="A2107" t="str">
        <f>"20190303154137797"</f>
        <v>20190303154137797</v>
      </c>
      <c r="B2107" t="str">
        <f>"1551598897791821"</f>
        <v>1551598897791821</v>
      </c>
      <c r="C2107" t="s">
        <v>40</v>
      </c>
      <c r="D2107">
        <v>5.6692780000000003</v>
      </c>
      <c r="E2107">
        <v>0.67053960000000001</v>
      </c>
      <c r="F2107" t="s">
        <v>46</v>
      </c>
      <c r="G2107">
        <v>-198.9675</v>
      </c>
      <c r="H2107" s="1">
        <v>2.1745929999999999E-6</v>
      </c>
      <c r="I2107">
        <v>286.89620000000002</v>
      </c>
      <c r="J2107">
        <v>-192.2296</v>
      </c>
      <c r="K2107">
        <v>1.1176299999999999</v>
      </c>
      <c r="L2107">
        <v>294.57850000000002</v>
      </c>
      <c r="M2107">
        <v>-8.3344630000000003E-2</v>
      </c>
      <c r="N2107">
        <v>-4.544785E-3</v>
      </c>
      <c r="O2107">
        <v>-0.99651060000000002</v>
      </c>
      <c r="P2107">
        <v>-0.282468099999999</v>
      </c>
      <c r="Q2107">
        <v>-6.4657210000000007E-2</v>
      </c>
      <c r="R2107">
        <v>-0.95709560000000005</v>
      </c>
      <c r="S2107">
        <v>-2.1361690000000002</v>
      </c>
      <c r="T2107">
        <v>-0.3533192</v>
      </c>
      <c r="U2107">
        <v>-2.4891049999999999</v>
      </c>
      <c r="V2107">
        <v>0.2013548</v>
      </c>
      <c r="W2107">
        <v>-6.1410850000000003E-2</v>
      </c>
      <c r="X2107">
        <v>0.9775914</v>
      </c>
      <c r="Y2107">
        <v>0.58202699999999996</v>
      </c>
      <c r="Z2107">
        <v>0.1052237</v>
      </c>
      <c r="AA2107">
        <v>0.80633279999999996</v>
      </c>
      <c r="AB2107">
        <v>20</v>
      </c>
      <c r="AC2107">
        <v>-6.73789999999999</v>
      </c>
      <c r="AD2107">
        <v>-1.117627825407</v>
      </c>
      <c r="AE2107">
        <v>-7.6822999999999899</v>
      </c>
      <c r="AF2107">
        <v>6.0023684452607498</v>
      </c>
      <c r="AG2107">
        <v>-1.117627825407</v>
      </c>
      <c r="AH2107">
        <v>8.1200086999908603</v>
      </c>
      <c r="AI2107">
        <v>96.315889362499505</v>
      </c>
      <c r="AJ2107">
        <v>53.5279233746109</v>
      </c>
      <c r="AK2107">
        <v>10.1593336492465</v>
      </c>
      <c r="AL2107">
        <v>93.520797895417402</v>
      </c>
      <c r="AM2107">
        <v>78.361531653977096</v>
      </c>
      <c r="AN2107">
        <v>0.99999999666736095</v>
      </c>
    </row>
    <row r="2108" spans="1:40" x14ac:dyDescent="0.25">
      <c r="A2108" t="str">
        <f>"20190303154137822"</f>
        <v>20190303154137822</v>
      </c>
      <c r="B2108" t="str">
        <f>"1551598897811342"</f>
        <v>1551598897811342</v>
      </c>
      <c r="C2108" t="s">
        <v>40</v>
      </c>
      <c r="D2108">
        <v>5.6946180000000002</v>
      </c>
      <c r="E2108">
        <v>0.6578174</v>
      </c>
      <c r="F2108" t="s">
        <v>46</v>
      </c>
      <c r="G2108">
        <v>-199.0967</v>
      </c>
      <c r="H2108" s="1">
        <v>2.1717689999999999E-6</v>
      </c>
      <c r="I2108">
        <v>286.66649999999998</v>
      </c>
      <c r="J2108">
        <v>-192.25399999999999</v>
      </c>
      <c r="K2108">
        <v>1.1174660000000001</v>
      </c>
      <c r="L2108">
        <v>294.35570000000001</v>
      </c>
      <c r="M2108">
        <v>-8.8439970000000007E-2</v>
      </c>
      <c r="N2108">
        <v>-4.4543610000000004E-3</v>
      </c>
      <c r="O2108">
        <v>-0.99607179999999995</v>
      </c>
      <c r="P2108">
        <v>-0.28989900000000002</v>
      </c>
      <c r="Q2108">
        <v>-6.3506939999999998E-2</v>
      </c>
      <c r="R2108">
        <v>-0.95494820000000002</v>
      </c>
      <c r="S2108">
        <v>-2.149429</v>
      </c>
      <c r="T2108">
        <v>-0.34982200000000002</v>
      </c>
      <c r="U2108">
        <v>-2.4765009999999998</v>
      </c>
      <c r="V2108">
        <v>0.2039281</v>
      </c>
      <c r="W2108">
        <v>-6.0447010000000002E-2</v>
      </c>
      <c r="X2108">
        <v>0.97711800000000004</v>
      </c>
      <c r="Y2108">
        <v>0.58243480000000003</v>
      </c>
      <c r="Z2108">
        <v>0.1044061</v>
      </c>
      <c r="AA2108">
        <v>0.80614459999999999</v>
      </c>
      <c r="AB2108">
        <v>20</v>
      </c>
      <c r="AC2108">
        <v>-6.8426999999999696</v>
      </c>
      <c r="AD2108">
        <v>-1.1174638282310001</v>
      </c>
      <c r="AE2108">
        <v>-7.68920000000002</v>
      </c>
      <c r="AF2108">
        <v>6.0643701634295804</v>
      </c>
      <c r="AG2108">
        <v>-1.1174638282310001</v>
      </c>
      <c r="AH2108">
        <v>8.1679724376244405</v>
      </c>
      <c r="AI2108">
        <v>96.2685098847234</v>
      </c>
      <c r="AJ2108">
        <v>53.407693427442702</v>
      </c>
      <c r="AK2108">
        <v>10.234309191552301</v>
      </c>
      <c r="AL2108">
        <v>93.465470958043298</v>
      </c>
      <c r="AM2108">
        <v>78.211377196342198</v>
      </c>
      <c r="AN2108">
        <v>1.0000000484557701</v>
      </c>
    </row>
    <row r="2109" spans="1:40" x14ac:dyDescent="0.25">
      <c r="A2109" t="str">
        <f>"20190303154137841"</f>
        <v>20190303154137841</v>
      </c>
      <c r="B2109" t="str">
        <f>"1551598897831838"</f>
        <v>1551598897831838</v>
      </c>
      <c r="C2109" t="s">
        <v>40</v>
      </c>
      <c r="D2109">
        <v>5.7094569999999996</v>
      </c>
      <c r="E2109">
        <v>0.65748019999999996</v>
      </c>
      <c r="F2109" t="s">
        <v>46</v>
      </c>
      <c r="G2109">
        <v>-198.12450000000001</v>
      </c>
      <c r="H2109" s="1">
        <v>2.2882430000000001E-6</v>
      </c>
      <c r="I2109">
        <v>287.30669999999998</v>
      </c>
      <c r="J2109">
        <v>-192.27430000000001</v>
      </c>
      <c r="K2109">
        <v>1.1173280000000001</v>
      </c>
      <c r="L2109">
        <v>294.17939999999999</v>
      </c>
      <c r="M2109">
        <v>-9.2613020000000004E-2</v>
      </c>
      <c r="N2109">
        <v>-4.3946609999999898E-3</v>
      </c>
      <c r="O2109">
        <v>-0.99569240000000003</v>
      </c>
      <c r="P2109">
        <v>-0.2970409</v>
      </c>
      <c r="Q2109">
        <v>-6.1941860000000001E-2</v>
      </c>
      <c r="R2109">
        <v>-0.95285339999999996</v>
      </c>
      <c r="S2109">
        <v>-2.0709230000000001</v>
      </c>
      <c r="T2109">
        <v>-0.39420309999999997</v>
      </c>
      <c r="U2109">
        <v>-2.4866329999999999</v>
      </c>
      <c r="V2109">
        <v>0.20712929999999999</v>
      </c>
      <c r="W2109">
        <v>-5.9028160000000003E-2</v>
      </c>
      <c r="X2109">
        <v>0.97653120000000004</v>
      </c>
      <c r="Y2109">
        <v>0.56133619999999995</v>
      </c>
      <c r="Z2109">
        <v>0.11964610000000001</v>
      </c>
      <c r="AA2109">
        <v>0.81889350000000005</v>
      </c>
      <c r="AB2109">
        <v>20</v>
      </c>
      <c r="AC2109">
        <v>-5.8502000000000001</v>
      </c>
      <c r="AD2109">
        <v>-1.1173257117569999</v>
      </c>
      <c r="AE2109">
        <v>-6.8727</v>
      </c>
      <c r="AF2109">
        <v>5.1102306496898997</v>
      </c>
      <c r="AG2109">
        <v>-1.1173257117569999</v>
      </c>
      <c r="AH2109">
        <v>7.2735000117300297</v>
      </c>
      <c r="AI2109">
        <v>97.1641892651201</v>
      </c>
      <c r="AJ2109">
        <v>54.908810693449396</v>
      </c>
      <c r="AK2109">
        <v>8.9591671744543397</v>
      </c>
      <c r="AL2109">
        <v>93.384031467407993</v>
      </c>
      <c r="AM2109">
        <v>78.024635743191297</v>
      </c>
      <c r="AN2109">
        <v>1.0000000275824501</v>
      </c>
    </row>
    <row r="2110" spans="1:40" x14ac:dyDescent="0.25">
      <c r="A2110" t="str">
        <f>"20190303154137864"</f>
        <v>20190303154137864</v>
      </c>
      <c r="B2110" t="str">
        <f>"1551598897851361"</f>
        <v>1551598897851361</v>
      </c>
      <c r="C2110" t="s">
        <v>40</v>
      </c>
      <c r="D2110">
        <v>5.9402910000000002</v>
      </c>
      <c r="E2110">
        <v>0.65888400000000003</v>
      </c>
      <c r="F2110" t="s">
        <v>46</v>
      </c>
      <c r="G2110">
        <v>-198.21270000000001</v>
      </c>
      <c r="H2110" s="1">
        <v>2.2865800000000001E-6</v>
      </c>
      <c r="I2110">
        <v>287.14679999999998</v>
      </c>
      <c r="J2110">
        <v>-192.2988</v>
      </c>
      <c r="K2110">
        <v>1.1171679999999999</v>
      </c>
      <c r="L2110">
        <v>293.97629999999998</v>
      </c>
      <c r="M2110">
        <v>-9.7609280000000007E-2</v>
      </c>
      <c r="N2110">
        <v>-4.339674E-3</v>
      </c>
      <c r="O2110">
        <v>-0.99521539999999997</v>
      </c>
      <c r="P2110">
        <v>-0.30487700000000001</v>
      </c>
      <c r="Q2110">
        <v>-6.1508939999999998E-2</v>
      </c>
      <c r="R2110">
        <v>-0.95040360000000002</v>
      </c>
      <c r="S2110">
        <v>-2.0875240000000002</v>
      </c>
      <c r="T2110">
        <v>-0.39276899999999998</v>
      </c>
      <c r="U2110">
        <v>-2.472137</v>
      </c>
      <c r="V2110">
        <v>0.21024480000000001</v>
      </c>
      <c r="W2110">
        <v>-5.8751579999999998E-2</v>
      </c>
      <c r="X2110">
        <v>0.97588189999999997</v>
      </c>
      <c r="Y2110">
        <v>0.56279429999999997</v>
      </c>
      <c r="Z2110">
        <v>0.1194204</v>
      </c>
      <c r="AA2110">
        <v>0.81792500000000001</v>
      </c>
      <c r="AB2110">
        <v>20</v>
      </c>
      <c r="AC2110">
        <v>-5.9139000000000097</v>
      </c>
      <c r="AD2110">
        <v>-1.1171657134199999</v>
      </c>
      <c r="AE2110">
        <v>-6.8294999999999897</v>
      </c>
      <c r="AF2110">
        <v>5.1404243682874604</v>
      </c>
      <c r="AG2110">
        <v>-1.1171657134199999</v>
      </c>
      <c r="AH2110">
        <v>7.2630786881754501</v>
      </c>
      <c r="AI2110">
        <v>97.156096730216206</v>
      </c>
      <c r="AJ2110">
        <v>54.711151492683101</v>
      </c>
      <c r="AK2110">
        <v>8.9679615268996997</v>
      </c>
      <c r="AL2110">
        <v>93.368156963715506</v>
      </c>
      <c r="AM2110">
        <v>77.841980637065106</v>
      </c>
      <c r="AN2110">
        <v>1.00000005341357</v>
      </c>
    </row>
    <row r="2111" spans="1:40" x14ac:dyDescent="0.25">
      <c r="A2111" t="str">
        <f>"20190303154137886"</f>
        <v>20190303154137886</v>
      </c>
      <c r="B2111" t="str">
        <f>"1551598897881614"</f>
        <v>1551598897881614</v>
      </c>
      <c r="C2111" t="s">
        <v>40</v>
      </c>
      <c r="D2111">
        <v>5.9284879999999998</v>
      </c>
      <c r="E2111">
        <v>0.65919430000000001</v>
      </c>
      <c r="F2111" t="s">
        <v>46</v>
      </c>
      <c r="G2111">
        <v>-198.57329999999999</v>
      </c>
      <c r="H2111" s="1">
        <v>2.2604380000000002E-6</v>
      </c>
      <c r="I2111">
        <v>286.71420000000001</v>
      </c>
      <c r="J2111">
        <v>-192.32470000000001</v>
      </c>
      <c r="K2111">
        <v>1.1169899999999999</v>
      </c>
      <c r="L2111">
        <v>293.77199999999999</v>
      </c>
      <c r="M2111">
        <v>-0.10287300000000001</v>
      </c>
      <c r="N2111">
        <v>-4.2990759999999998E-3</v>
      </c>
      <c r="O2111">
        <v>-0.99468520000000005</v>
      </c>
      <c r="P2111">
        <v>-0.31372339999999999</v>
      </c>
      <c r="Q2111">
        <v>-6.2130779999999997E-2</v>
      </c>
      <c r="R2111">
        <v>-0.94747979999999998</v>
      </c>
      <c r="S2111">
        <v>-2.1189420000000001</v>
      </c>
      <c r="T2111">
        <v>-0.37727260000000001</v>
      </c>
      <c r="U2111">
        <v>-2.4524539999999999</v>
      </c>
      <c r="V2111">
        <v>0.21415100000000001</v>
      </c>
      <c r="W2111">
        <v>-5.953423E-2</v>
      </c>
      <c r="X2111">
        <v>0.97498459999999998</v>
      </c>
      <c r="Y2111">
        <v>0.56806429999999997</v>
      </c>
      <c r="Z2111">
        <v>0.1146297</v>
      </c>
      <c r="AA2111">
        <v>0.81496199999999996</v>
      </c>
      <c r="AB2111">
        <v>20</v>
      </c>
      <c r="AC2111">
        <v>-6.2485999999999802</v>
      </c>
      <c r="AD2111">
        <v>-1.116987739562</v>
      </c>
      <c r="AE2111">
        <v>-7.0577999999999799</v>
      </c>
      <c r="AF2111">
        <v>5.4133736920122102</v>
      </c>
      <c r="AG2111">
        <v>-1.116987739562</v>
      </c>
      <c r="AH2111">
        <v>7.5570625046851703</v>
      </c>
      <c r="AI2111">
        <v>96.851762200452995</v>
      </c>
      <c r="AJ2111">
        <v>54.3847230328495</v>
      </c>
      <c r="AK2111">
        <v>9.3627704254360697</v>
      </c>
      <c r="AL2111">
        <v>93.413078413142003</v>
      </c>
      <c r="AM2111">
        <v>77.611955457952604</v>
      </c>
      <c r="AN2111">
        <v>0.99999997278992603</v>
      </c>
    </row>
    <row r="2112" spans="1:40" x14ac:dyDescent="0.25">
      <c r="A2112" t="str">
        <f>"20190303154137907"</f>
        <v>20190303154137907</v>
      </c>
      <c r="B2112" t="str">
        <f>"1551598897901134"</f>
        <v>1551598897901134</v>
      </c>
      <c r="C2112" t="s">
        <v>40</v>
      </c>
      <c r="D2112">
        <v>5.8215379999999897</v>
      </c>
      <c r="E2112">
        <v>0.6555029</v>
      </c>
      <c r="F2112" t="s">
        <v>46</v>
      </c>
      <c r="G2112">
        <v>-198.99289999999999</v>
      </c>
      <c r="H2112" s="1">
        <v>2.2301570000000001E-6</v>
      </c>
      <c r="I2112">
        <v>286.20920000000001</v>
      </c>
      <c r="J2112">
        <v>-192.35210000000001</v>
      </c>
      <c r="K2112">
        <v>1.116784</v>
      </c>
      <c r="L2112">
        <v>293.56619999999998</v>
      </c>
      <c r="M2112">
        <v>-0.1084465</v>
      </c>
      <c r="N2112">
        <v>-4.2735630000000002E-3</v>
      </c>
      <c r="O2112">
        <v>-0.99409320000000001</v>
      </c>
      <c r="P2112">
        <v>-0.32538660000000003</v>
      </c>
      <c r="Q2112">
        <v>-6.5402479999999999E-2</v>
      </c>
      <c r="R2112">
        <v>-0.94331690000000001</v>
      </c>
      <c r="S2112">
        <v>-2.1448209999999999</v>
      </c>
      <c r="T2112">
        <v>-0.35927779999999998</v>
      </c>
      <c r="U2112">
        <v>-2.4325559999999999</v>
      </c>
      <c r="V2112">
        <v>0.22067529999999999</v>
      </c>
      <c r="W2112">
        <v>-6.2992880000000001E-2</v>
      </c>
      <c r="X2112">
        <v>0.97331100000000004</v>
      </c>
      <c r="Y2112">
        <v>0.57206469999999998</v>
      </c>
      <c r="Z2112">
        <v>0.10915710000000001</v>
      </c>
      <c r="AA2112">
        <v>0.81291250000000004</v>
      </c>
      <c r="AB2112">
        <v>20</v>
      </c>
      <c r="AC2112">
        <v>-6.6407999999999801</v>
      </c>
      <c r="AD2112">
        <v>-1.116781769843</v>
      </c>
      <c r="AE2112">
        <v>-7.35699999999997</v>
      </c>
      <c r="AF2112">
        <v>5.7310171652454001</v>
      </c>
      <c r="AG2112">
        <v>-1.116781769843</v>
      </c>
      <c r="AH2112">
        <v>7.9330592724846296</v>
      </c>
      <c r="AI2112">
        <v>96.510038400331894</v>
      </c>
      <c r="AJ2112">
        <v>54.1548222202644</v>
      </c>
      <c r="AK2112">
        <v>9.8501364808080396</v>
      </c>
      <c r="AL2112">
        <v>93.611617410651903</v>
      </c>
      <c r="AM2112">
        <v>77.225502205382</v>
      </c>
      <c r="AN2112">
        <v>0.99999999684089202</v>
      </c>
    </row>
    <row r="2113" spans="1:40" x14ac:dyDescent="0.25">
      <c r="A2113" t="str">
        <f>"20190303154137945"</f>
        <v>20190303154137945</v>
      </c>
      <c r="B2113" t="str">
        <f>"1551598897941151"</f>
        <v>1551598897941151</v>
      </c>
      <c r="C2113" t="s">
        <v>40</v>
      </c>
      <c r="D2113">
        <v>5.7834989999999999</v>
      </c>
      <c r="E2113">
        <v>0.61652750000000001</v>
      </c>
      <c r="F2113" t="s">
        <v>46</v>
      </c>
      <c r="G2113">
        <v>-198.63820000000001</v>
      </c>
      <c r="H2113" s="1">
        <v>2.2676889999999998E-6</v>
      </c>
      <c r="I2113">
        <v>286.49950000000001</v>
      </c>
      <c r="J2113">
        <v>-192.4</v>
      </c>
      <c r="K2113">
        <v>1.1163860000000001</v>
      </c>
      <c r="L2113">
        <v>293.23200000000003</v>
      </c>
      <c r="M2113">
        <v>-0.11817220000000001</v>
      </c>
      <c r="N2113">
        <v>-4.2757309999999996E-3</v>
      </c>
      <c r="O2113">
        <v>-0.99298390000000003</v>
      </c>
      <c r="P2113">
        <v>-0.34134409999999998</v>
      </c>
      <c r="Q2113">
        <v>-7.0347000000000007E-2</v>
      </c>
      <c r="R2113">
        <v>-0.93730250000000004</v>
      </c>
      <c r="S2113">
        <v>-2.1467740000000002</v>
      </c>
      <c r="T2113">
        <v>-0.38139519999999999</v>
      </c>
      <c r="U2113">
        <v>-2.4133610000000001</v>
      </c>
      <c r="V2113">
        <v>0.2275933</v>
      </c>
      <c r="W2113">
        <v>-6.8211980000000005E-2</v>
      </c>
      <c r="X2113">
        <v>0.97136420000000001</v>
      </c>
      <c r="Y2113">
        <v>0.56704429999999995</v>
      </c>
      <c r="Z2113">
        <v>0.1167199</v>
      </c>
      <c r="AA2113">
        <v>0.81537559999999998</v>
      </c>
      <c r="AB2113">
        <v>21</v>
      </c>
      <c r="AC2113">
        <v>-6.2382</v>
      </c>
      <c r="AD2113">
        <v>-1.116383732311</v>
      </c>
      <c r="AE2113">
        <v>-6.7325000000000097</v>
      </c>
      <c r="AF2113">
        <v>5.3201779418985096</v>
      </c>
      <c r="AG2113">
        <v>-1.116383732311</v>
      </c>
      <c r="AH2113">
        <v>7.3143025107535102</v>
      </c>
      <c r="AI2113">
        <v>97.036546250580102</v>
      </c>
      <c r="AJ2113">
        <v>53.969116141625697</v>
      </c>
      <c r="AK2113">
        <v>9.1131568180322304</v>
      </c>
      <c r="AL2113">
        <v>93.911295715064298</v>
      </c>
      <c r="AM2113">
        <v>76.813313600697498</v>
      </c>
      <c r="AN2113">
        <v>0.99999999673102502</v>
      </c>
    </row>
    <row r="2114" spans="1:40" x14ac:dyDescent="0.25">
      <c r="A2114" t="str">
        <f>"20190303154137966"</f>
        <v>20190303154137966</v>
      </c>
      <c r="B2114" t="str">
        <f>"1551598897961646"</f>
        <v>1551598897961646</v>
      </c>
      <c r="C2114" t="s">
        <v>40</v>
      </c>
      <c r="D2114">
        <v>5.8585659999999997</v>
      </c>
      <c r="E2114">
        <v>0.61573999999999995</v>
      </c>
      <c r="F2114" t="s">
        <v>46</v>
      </c>
      <c r="G2114">
        <v>-197.02690000000001</v>
      </c>
      <c r="H2114" s="1">
        <v>2.4936760000000001E-6</v>
      </c>
      <c r="I2114">
        <v>287.18389999999999</v>
      </c>
      <c r="J2114">
        <v>-192.43129999999999</v>
      </c>
      <c r="K2114">
        <v>1.1161000000000001</v>
      </c>
      <c r="L2114">
        <v>293.02809999999999</v>
      </c>
      <c r="M2114">
        <v>-0.12452589999999999</v>
      </c>
      <c r="N2114">
        <v>-4.3035110000000003E-3</v>
      </c>
      <c r="O2114">
        <v>-0.99220710000000001</v>
      </c>
      <c r="P2114">
        <v>-0.35068759999999999</v>
      </c>
      <c r="Q2114">
        <v>-7.3030220000000007E-2</v>
      </c>
      <c r="R2114">
        <v>-0.93364080000000005</v>
      </c>
      <c r="S2114">
        <v>-1.894531</v>
      </c>
      <c r="T2114">
        <v>-0.45711180000000001</v>
      </c>
      <c r="U2114">
        <v>-2.4764400000000002</v>
      </c>
      <c r="V2114">
        <v>0.23103119999999999</v>
      </c>
      <c r="W2114">
        <v>-7.1048180000000002E-2</v>
      </c>
      <c r="X2114">
        <v>0.97034880000000001</v>
      </c>
      <c r="Y2114">
        <v>0.49746800000000002</v>
      </c>
      <c r="Z2114">
        <v>0.14470039999999901</v>
      </c>
      <c r="AA2114">
        <v>0.85532889999999995</v>
      </c>
      <c r="AB2114">
        <v>21</v>
      </c>
      <c r="AC2114">
        <v>-4.5956000000000099</v>
      </c>
      <c r="AD2114">
        <v>-1.116097506324</v>
      </c>
      <c r="AE2114">
        <v>-5.8441999999999998</v>
      </c>
      <c r="AF2114">
        <v>3.7476107791530602</v>
      </c>
      <c r="AG2114">
        <v>-1.116097506324</v>
      </c>
      <c r="AH2114">
        <v>6.2305727180753596</v>
      </c>
      <c r="AI2114">
        <v>98.727008036157898</v>
      </c>
      <c r="AJ2114">
        <v>58.973622927901502</v>
      </c>
      <c r="AK2114">
        <v>7.3559701325434901</v>
      </c>
      <c r="AL2114">
        <v>94.074193311889701</v>
      </c>
      <c r="AM2114">
        <v>76.607738534174402</v>
      </c>
      <c r="AN2114">
        <v>1.0000000264580899</v>
      </c>
    </row>
    <row r="2115" spans="1:40" x14ac:dyDescent="0.25">
      <c r="A2115" t="str">
        <f>"20190303154137987"</f>
        <v>20190303154137987</v>
      </c>
      <c r="B2115" t="str">
        <f>"1551598897981166"</f>
        <v>1551598897981166</v>
      </c>
      <c r="C2115" t="s">
        <v>40</v>
      </c>
      <c r="D2115">
        <v>5.8321769999999997</v>
      </c>
      <c r="E2115">
        <v>0.61511939999999998</v>
      </c>
      <c r="F2115" t="s">
        <v>46</v>
      </c>
      <c r="G2115">
        <v>-197.01910000000001</v>
      </c>
      <c r="H2115" s="1">
        <v>2.4992609999999999E-6</v>
      </c>
      <c r="I2115">
        <v>287.13589999999999</v>
      </c>
      <c r="J2115">
        <v>-192.465</v>
      </c>
      <c r="K2115">
        <v>1.1158079999999999</v>
      </c>
      <c r="L2115">
        <v>292.82040000000001</v>
      </c>
      <c r="M2115">
        <v>-0.1313194</v>
      </c>
      <c r="N2115">
        <v>-4.3467050000000002E-3</v>
      </c>
      <c r="O2115">
        <v>-0.99133059999999995</v>
      </c>
      <c r="P2115">
        <v>-0.3603556</v>
      </c>
      <c r="Q2115">
        <v>-7.5787309999999997E-2</v>
      </c>
      <c r="R2115">
        <v>-0.92973110000000003</v>
      </c>
      <c r="S2115">
        <v>-1.913818</v>
      </c>
      <c r="T2115">
        <v>-0.4655881</v>
      </c>
      <c r="U2115">
        <v>-2.4579469999999999</v>
      </c>
      <c r="V2115">
        <v>0.23440569999999999</v>
      </c>
      <c r="W2115">
        <v>-7.3950909999999995E-2</v>
      </c>
      <c r="X2115">
        <v>0.96932209999999996</v>
      </c>
      <c r="Y2115">
        <v>0.49856929999999999</v>
      </c>
      <c r="Z2115">
        <v>0.14766499999999999</v>
      </c>
      <c r="AA2115">
        <v>0.8541801</v>
      </c>
      <c r="AB2115">
        <v>21</v>
      </c>
      <c r="AC2115">
        <v>-4.5541</v>
      </c>
      <c r="AD2115">
        <v>-1.115805500739</v>
      </c>
      <c r="AE2115">
        <v>-5.6845000000000097</v>
      </c>
      <c r="AF2115">
        <v>3.6817677526981001</v>
      </c>
      <c r="AG2115">
        <v>-1.115805500739</v>
      </c>
      <c r="AH2115">
        <v>6.0903938434956704</v>
      </c>
      <c r="AI2115">
        <v>98.910609782895605</v>
      </c>
      <c r="AJ2115">
        <v>58.846179180095099</v>
      </c>
      <c r="AK2115">
        <v>7.2037027193782102</v>
      </c>
      <c r="AL2115">
        <v>94.240946258879902</v>
      </c>
      <c r="AM2115">
        <v>76.405472300971496</v>
      </c>
      <c r="AN2115">
        <v>1.00000005141536</v>
      </c>
    </row>
    <row r="2116" spans="1:40" x14ac:dyDescent="0.25">
      <c r="A2116" t="str">
        <f>"20190303154138009"</f>
        <v>20190303154138009</v>
      </c>
      <c r="B2116" t="str">
        <f>"1551598898001662"</f>
        <v>1551598898001662</v>
      </c>
      <c r="C2116" t="s">
        <v>40</v>
      </c>
      <c r="D2116">
        <v>5.8351670000000002</v>
      </c>
      <c r="E2116">
        <v>0.61459019999999898</v>
      </c>
      <c r="F2116" t="s">
        <v>46</v>
      </c>
      <c r="G2116">
        <v>-197.001</v>
      </c>
      <c r="H2116" s="1">
        <v>2.505447E-6</v>
      </c>
      <c r="I2116">
        <v>287.10180000000003</v>
      </c>
      <c r="J2116">
        <v>-192.50030000000001</v>
      </c>
      <c r="K2116">
        <v>1.1155170000000001</v>
      </c>
      <c r="L2116">
        <v>292.61369999999999</v>
      </c>
      <c r="M2116">
        <v>-0.1384531</v>
      </c>
      <c r="N2116">
        <v>-4.4064940000000004E-3</v>
      </c>
      <c r="O2116">
        <v>-0.99035930000000005</v>
      </c>
      <c r="P2116">
        <v>-0.3707954</v>
      </c>
      <c r="Q2116">
        <v>-7.5607069999999998E-2</v>
      </c>
      <c r="R2116">
        <v>-0.92563200000000001</v>
      </c>
      <c r="S2116">
        <v>-1.934097</v>
      </c>
      <c r="T2116">
        <v>-0.47576020000000002</v>
      </c>
      <c r="U2116">
        <v>-2.4382929999999998</v>
      </c>
      <c r="V2116">
        <v>0.2382823</v>
      </c>
      <c r="W2116">
        <v>-7.3917259999999999E-2</v>
      </c>
      <c r="X2116">
        <v>0.96837899999999999</v>
      </c>
      <c r="Y2116">
        <v>0.49972699999999998</v>
      </c>
      <c r="Z2116">
        <v>0.15117</v>
      </c>
      <c r="AA2116">
        <v>0.85288949999999997</v>
      </c>
      <c r="AB2116">
        <v>21</v>
      </c>
      <c r="AC2116">
        <v>-4.5006999999999602</v>
      </c>
      <c r="AD2116">
        <v>-1.115514494553</v>
      </c>
      <c r="AE2116">
        <v>-5.5118999999999598</v>
      </c>
      <c r="AF2116">
        <v>3.6056011240697101</v>
      </c>
      <c r="AG2116">
        <v>-1.115514494553</v>
      </c>
      <c r="AH2116">
        <v>5.9360811730913499</v>
      </c>
      <c r="AI2116">
        <v>99.124570737301497</v>
      </c>
      <c r="AJ2116">
        <v>58.725325319979099</v>
      </c>
      <c r="AK2116">
        <v>7.0343295165196897</v>
      </c>
      <c r="AL2116">
        <v>94.239012963488307</v>
      </c>
      <c r="AM2116">
        <v>76.176253621795496</v>
      </c>
      <c r="AN2116">
        <v>1.00000005173009</v>
      </c>
    </row>
    <row r="2117" spans="1:40" x14ac:dyDescent="0.25">
      <c r="A2117" t="str">
        <f>"20190303154138031"</f>
        <v>20190303154138031</v>
      </c>
      <c r="B2117" t="str">
        <f>"1551598898021182"</f>
        <v>1551598898021182</v>
      </c>
      <c r="C2117" t="s">
        <v>40</v>
      </c>
      <c r="D2117">
        <v>5.884881</v>
      </c>
      <c r="E2117">
        <v>0.61389369999999999</v>
      </c>
      <c r="F2117" t="s">
        <v>46</v>
      </c>
      <c r="G2117">
        <v>-197.10730000000001</v>
      </c>
      <c r="H2117" s="1">
        <v>2.502257E-6</v>
      </c>
      <c r="I2117">
        <v>286.9228</v>
      </c>
      <c r="J2117">
        <v>-192.5385</v>
      </c>
      <c r="K2117">
        <v>1.115237</v>
      </c>
      <c r="L2117">
        <v>292.40210000000002</v>
      </c>
      <c r="M2117">
        <v>-0.14616999999999999</v>
      </c>
      <c r="N2117">
        <v>-4.4881519999999996E-3</v>
      </c>
      <c r="O2117">
        <v>-0.9892495</v>
      </c>
      <c r="P2117">
        <v>-0.38069409999999998</v>
      </c>
      <c r="Q2117">
        <v>-7.3291620000000002E-2</v>
      </c>
      <c r="R2117">
        <v>-0.92179199999999994</v>
      </c>
      <c r="S2117">
        <v>-1.9575499999999999</v>
      </c>
      <c r="T2117">
        <v>-0.4739951</v>
      </c>
      <c r="U2117">
        <v>-2.4181520000000001</v>
      </c>
      <c r="V2117">
        <v>0.2410545</v>
      </c>
      <c r="W2117">
        <v>-7.1732279999999995E-2</v>
      </c>
      <c r="X2117">
        <v>0.96785699999999997</v>
      </c>
      <c r="Y2117">
        <v>0.50150839999999997</v>
      </c>
      <c r="Z2117">
        <v>0.1507684</v>
      </c>
      <c r="AA2117">
        <v>0.85191439999999996</v>
      </c>
      <c r="AB2117">
        <v>21</v>
      </c>
      <c r="AC2117">
        <v>-4.5688000000000004</v>
      </c>
      <c r="AD2117">
        <v>-1.115234497743</v>
      </c>
      <c r="AE2117">
        <v>-5.4793000000000198</v>
      </c>
      <c r="AF2117">
        <v>3.6301027323273001</v>
      </c>
      <c r="AG2117">
        <v>-1.115234497743</v>
      </c>
      <c r="AH2117">
        <v>5.9430477735157696</v>
      </c>
      <c r="AI2117">
        <v>99.098239288890994</v>
      </c>
      <c r="AJ2117">
        <v>58.582788679273101</v>
      </c>
      <c r="AK2117">
        <v>7.0527449032626297</v>
      </c>
      <c r="AL2117">
        <v>94.113489802743999</v>
      </c>
      <c r="AM2117">
        <v>76.014455662642604</v>
      </c>
      <c r="AN2117">
        <v>0.99999998220662401</v>
      </c>
    </row>
    <row r="2118" spans="1:40" x14ac:dyDescent="0.25">
      <c r="A2118" t="str">
        <f>"20190303154138055"</f>
        <v>20190303154138055</v>
      </c>
      <c r="B2118" t="str">
        <f>"1551598898051438"</f>
        <v>1551598898051438</v>
      </c>
      <c r="C2118" t="s">
        <v>40</v>
      </c>
      <c r="D2118">
        <v>5.8974310000000001</v>
      </c>
      <c r="E2118">
        <v>0.61315920000000002</v>
      </c>
      <c r="F2118" t="s">
        <v>46</v>
      </c>
      <c r="G2118">
        <v>-197.28030000000001</v>
      </c>
      <c r="H2118" s="1">
        <v>2.4952759999999998E-6</v>
      </c>
      <c r="I2118">
        <v>286.6515</v>
      </c>
      <c r="J2118">
        <v>-192.58029999999999</v>
      </c>
      <c r="K2118">
        <v>1.1149260000000001</v>
      </c>
      <c r="L2118">
        <v>292.18299999999999</v>
      </c>
      <c r="M2118">
        <v>-0.1546082</v>
      </c>
      <c r="N2118">
        <v>-4.5956080000000002E-3</v>
      </c>
      <c r="O2118">
        <v>-0.98796530000000005</v>
      </c>
      <c r="P2118">
        <v>-0.39028930000000001</v>
      </c>
      <c r="Q2118">
        <v>-7.1898229999999994E-2</v>
      </c>
      <c r="R2118">
        <v>-0.91788099999999995</v>
      </c>
      <c r="S2118">
        <v>-1.9791259999999999</v>
      </c>
      <c r="T2118">
        <v>-0.4654739</v>
      </c>
      <c r="U2118">
        <v>-2.4001769999999998</v>
      </c>
      <c r="V2118">
        <v>0.24283260000000001</v>
      </c>
      <c r="W2118">
        <v>-7.0452470000000003E-2</v>
      </c>
      <c r="X2118">
        <v>0.96750650000000005</v>
      </c>
      <c r="Y2118">
        <v>0.50209939999999997</v>
      </c>
      <c r="Z2118">
        <v>0.14812719999999999</v>
      </c>
      <c r="AA2118">
        <v>0.852029699999999</v>
      </c>
      <c r="AB2118">
        <v>21</v>
      </c>
      <c r="AC2118">
        <v>-4.7000000000000099</v>
      </c>
      <c r="AD2118">
        <v>-1.114923504724</v>
      </c>
      <c r="AE2118">
        <v>-5.5314999999999896</v>
      </c>
      <c r="AF2118">
        <v>3.70094490149049</v>
      </c>
      <c r="AG2118">
        <v>-1.114923504724</v>
      </c>
      <c r="AH2118">
        <v>6.0489407317878197</v>
      </c>
      <c r="AI2118">
        <v>98.935122302867697</v>
      </c>
      <c r="AJ2118">
        <v>58.540306330016101</v>
      </c>
      <c r="AK2118">
        <v>7.1784212443918598</v>
      </c>
      <c r="AL2118">
        <v>94.039975903057197</v>
      </c>
      <c r="AM2118">
        <v>75.910486218294494</v>
      </c>
      <c r="AN2118">
        <v>1.00000002484705</v>
      </c>
    </row>
    <row r="2119" spans="1:40" x14ac:dyDescent="0.25">
      <c r="A2119" t="str">
        <f>"20190303154138075"</f>
        <v>20190303154138075</v>
      </c>
      <c r="B2119" t="str">
        <f>"1551598898071935"</f>
        <v>1551598898071935</v>
      </c>
      <c r="C2119" t="s">
        <v>40</v>
      </c>
      <c r="D2119">
        <v>5.8956269999999904</v>
      </c>
      <c r="E2119">
        <v>0.61248760000000002</v>
      </c>
      <c r="F2119" t="s">
        <v>46</v>
      </c>
      <c r="G2119">
        <v>-197.42740000000001</v>
      </c>
      <c r="H2119" s="1">
        <v>2.4905480000000002E-6</v>
      </c>
      <c r="I2119">
        <v>286.40710000000001</v>
      </c>
      <c r="J2119">
        <v>-192.6217</v>
      </c>
      <c r="K2119">
        <v>1.114627</v>
      </c>
      <c r="L2119">
        <v>291.97739999999999</v>
      </c>
      <c r="M2119">
        <v>-0.16295409999999999</v>
      </c>
      <c r="N2119">
        <v>-4.7163939999999996E-3</v>
      </c>
      <c r="O2119">
        <v>-0.98662249999999996</v>
      </c>
      <c r="P2119">
        <v>-0.39975959999999999</v>
      </c>
      <c r="Q2119">
        <v>-7.2685849999999996E-2</v>
      </c>
      <c r="R2119">
        <v>-0.91373400000000005</v>
      </c>
      <c r="S2119">
        <v>-1.9992220000000001</v>
      </c>
      <c r="T2119">
        <v>-0.45985759999999998</v>
      </c>
      <c r="U2119">
        <v>-2.3822939999999999</v>
      </c>
      <c r="V2119">
        <v>0.2446036</v>
      </c>
      <c r="W2119">
        <v>-7.1338830000000006E-2</v>
      </c>
      <c r="X2119">
        <v>0.96699520000000005</v>
      </c>
      <c r="Y2119">
        <v>0.50234699999999999</v>
      </c>
      <c r="Z2119">
        <v>0.14641209999999999</v>
      </c>
      <c r="AA2119">
        <v>0.85218019999999906</v>
      </c>
      <c r="AB2119">
        <v>21</v>
      </c>
      <c r="AC2119">
        <v>-4.8056999999999999</v>
      </c>
      <c r="AD2119">
        <v>-1.114624509452</v>
      </c>
      <c r="AE2119">
        <v>-5.5702999999999703</v>
      </c>
      <c r="AF2119">
        <v>3.74772212621951</v>
      </c>
      <c r="AG2119">
        <v>-1.114624509452</v>
      </c>
      <c r="AH2119">
        <v>6.1380623191109098</v>
      </c>
      <c r="AI2119">
        <v>98.809983523349899</v>
      </c>
      <c r="AJ2119">
        <v>58.592976242645697</v>
      </c>
      <c r="AK2119">
        <v>7.2776107319446304</v>
      </c>
      <c r="AL2119">
        <v>94.090889075673502</v>
      </c>
      <c r="AM2119">
        <v>75.804666718866599</v>
      </c>
      <c r="AN2119">
        <v>0.99999993331088199</v>
      </c>
    </row>
    <row r="2120" spans="1:40" x14ac:dyDescent="0.25">
      <c r="A2120" t="str">
        <f>"20190303154138098"</f>
        <v>20190303154138098</v>
      </c>
      <c r="B2120" t="str">
        <f>"1551598898091454"</f>
        <v>1551598898091454</v>
      </c>
      <c r="C2120" t="s">
        <v>40</v>
      </c>
      <c r="D2120">
        <v>5.917446</v>
      </c>
      <c r="E2120">
        <v>0.61189090000000002</v>
      </c>
      <c r="F2120" t="s">
        <v>46</v>
      </c>
      <c r="G2120">
        <v>-197.4777</v>
      </c>
      <c r="H2120" s="1">
        <v>2.4916680000000002E-6</v>
      </c>
      <c r="I2120">
        <v>286.29219999999998</v>
      </c>
      <c r="J2120">
        <v>-192.66820000000001</v>
      </c>
      <c r="K2120">
        <v>1.114323</v>
      </c>
      <c r="L2120">
        <v>291.7602</v>
      </c>
      <c r="M2120">
        <v>-0.17223469999999999</v>
      </c>
      <c r="N2120">
        <v>-4.86097E-3</v>
      </c>
      <c r="O2120">
        <v>-0.98504420000000004</v>
      </c>
      <c r="P2120">
        <v>-0.4108019</v>
      </c>
      <c r="Q2120">
        <v>-7.3054540000000001E-2</v>
      </c>
      <c r="R2120">
        <v>-0.90879339999999997</v>
      </c>
      <c r="S2120">
        <v>-2.0185550000000001</v>
      </c>
      <c r="T2120">
        <v>-0.46333150000000001</v>
      </c>
      <c r="U2120">
        <v>-2.363251</v>
      </c>
      <c r="V2120">
        <v>0.24715889999999999</v>
      </c>
      <c r="W2120">
        <v>-7.1807570000000001E-2</v>
      </c>
      <c r="X2120">
        <v>0.96631060000000002</v>
      </c>
      <c r="Y2120">
        <v>0.50153369999999997</v>
      </c>
      <c r="Z2120">
        <v>0.147639299999999</v>
      </c>
      <c r="AA2120">
        <v>0.85244739999999997</v>
      </c>
      <c r="AB2120">
        <v>22</v>
      </c>
      <c r="AC2120">
        <v>-4.8094999999999803</v>
      </c>
      <c r="AD2120">
        <v>-1.114320508332</v>
      </c>
      <c r="AE2120">
        <v>-5.4680000000000097</v>
      </c>
      <c r="AF2120">
        <v>3.7089883055308799</v>
      </c>
      <c r="AG2120">
        <v>-1.114320508332</v>
      </c>
      <c r="AH2120">
        <v>6.0724688792023498</v>
      </c>
      <c r="AI2120">
        <v>98.900396778877294</v>
      </c>
      <c r="AJ2120">
        <v>58.583934733103597</v>
      </c>
      <c r="AK2120">
        <v>7.20230398794269</v>
      </c>
      <c r="AL2120">
        <v>94.117814630992697</v>
      </c>
      <c r="AM2120">
        <v>75.6527178909257</v>
      </c>
      <c r="AN2120">
        <v>1.00000001231543</v>
      </c>
    </row>
    <row r="2121" spans="1:40" x14ac:dyDescent="0.25">
      <c r="A2121" t="str">
        <f>"20190303154138121"</f>
        <v>20190303154138121</v>
      </c>
      <c r="B2121" t="str">
        <f>"1551598898111951"</f>
        <v>1551598898111951</v>
      </c>
      <c r="C2121" t="s">
        <v>40</v>
      </c>
      <c r="D2121">
        <v>5.964378</v>
      </c>
      <c r="E2121">
        <v>0.61123039999999995</v>
      </c>
      <c r="F2121" t="s">
        <v>46</v>
      </c>
      <c r="G2121">
        <v>-197.56909999999999</v>
      </c>
      <c r="H2121" s="1">
        <v>2.4883369999999999E-6</v>
      </c>
      <c r="I2121">
        <v>286.14499999999998</v>
      </c>
      <c r="J2121">
        <v>-192.7193</v>
      </c>
      <c r="K2121">
        <v>1.1140410000000001</v>
      </c>
      <c r="L2121">
        <v>291.53480000000002</v>
      </c>
      <c r="M2121">
        <v>-0.1822637</v>
      </c>
      <c r="N2121">
        <v>-5.0146829999999998E-3</v>
      </c>
      <c r="O2121">
        <v>-0.98323709999999997</v>
      </c>
      <c r="P2121">
        <v>-0.42306939999999998</v>
      </c>
      <c r="Q2121">
        <v>-7.0111389999999996E-2</v>
      </c>
      <c r="R2121">
        <v>-0.9033814</v>
      </c>
      <c r="S2121">
        <v>-2.0426329999999999</v>
      </c>
      <c r="T2121">
        <v>-0.46444170000000001</v>
      </c>
      <c r="U2121">
        <v>-2.3403930000000002</v>
      </c>
      <c r="V2121">
        <v>0.25034139999999999</v>
      </c>
      <c r="W2121">
        <v>-6.8953420000000001E-2</v>
      </c>
      <c r="X2121">
        <v>0.96569899999999997</v>
      </c>
      <c r="Y2121">
        <v>0.50180279999999999</v>
      </c>
      <c r="Z2121">
        <v>0.14809410000000001</v>
      </c>
      <c r="AA2121">
        <v>0.85221009999999997</v>
      </c>
      <c r="AB2121">
        <v>22</v>
      </c>
      <c r="AC2121">
        <v>-4.8497999999999797</v>
      </c>
      <c r="AD2121">
        <v>-1.1140385116630001</v>
      </c>
      <c r="AE2121">
        <v>-5.3898000000000303</v>
      </c>
      <c r="AF2121">
        <v>3.6988626859725802</v>
      </c>
      <c r="AG2121">
        <v>-1.1140385116630001</v>
      </c>
      <c r="AH2121">
        <v>6.0408580591972498</v>
      </c>
      <c r="AI2121">
        <v>98.938041286508394</v>
      </c>
      <c r="AJ2121">
        <v>58.520551890921702</v>
      </c>
      <c r="AK2121">
        <v>7.1703997842879703</v>
      </c>
      <c r="AL2121">
        <v>93.953877447699</v>
      </c>
      <c r="AM2121">
        <v>75.466935192763799</v>
      </c>
      <c r="AN2121">
        <v>0.99999997464232704</v>
      </c>
    </row>
    <row r="2122" spans="1:40" x14ac:dyDescent="0.25">
      <c r="A2122" t="str">
        <f>"20190303154138143"</f>
        <v>20190303154138143</v>
      </c>
      <c r="B2122" t="str">
        <f>"1551598898131473"</f>
        <v>1551598898131473</v>
      </c>
      <c r="C2122" t="s">
        <v>40</v>
      </c>
      <c r="D2122">
        <v>5.9524980000000003</v>
      </c>
      <c r="E2122">
        <v>0.61089859999999996</v>
      </c>
      <c r="F2122" t="s">
        <v>46</v>
      </c>
      <c r="G2122">
        <v>-197.75470000000001</v>
      </c>
      <c r="H2122" s="1">
        <v>2.476847E-6</v>
      </c>
      <c r="I2122">
        <v>285.8997</v>
      </c>
      <c r="J2122">
        <v>-192.7698</v>
      </c>
      <c r="K2122">
        <v>1.1138049999999999</v>
      </c>
      <c r="L2122">
        <v>291.32279999999997</v>
      </c>
      <c r="M2122">
        <v>-0.1920413</v>
      </c>
      <c r="N2122">
        <v>-5.1597359999999998E-3</v>
      </c>
      <c r="O2122">
        <v>-0.9813733</v>
      </c>
      <c r="P2122">
        <v>-0.43605159999999998</v>
      </c>
      <c r="Q2122">
        <v>-6.7248199999999994E-2</v>
      </c>
      <c r="R2122">
        <v>-0.89740569999999897</v>
      </c>
      <c r="S2122">
        <v>-2.0696560000000002</v>
      </c>
      <c r="T2122">
        <v>-0.45788689999999999</v>
      </c>
      <c r="U2122">
        <v>-2.3161010000000002</v>
      </c>
      <c r="V2122">
        <v>0.25460919999999998</v>
      </c>
      <c r="W2122">
        <v>-6.6181740000000003E-2</v>
      </c>
      <c r="X2122">
        <v>0.96477670000000004</v>
      </c>
      <c r="Y2122">
        <v>0.50340010000000002</v>
      </c>
      <c r="Z2122">
        <v>0.146032299999999</v>
      </c>
      <c r="AA2122">
        <v>0.85162369999999898</v>
      </c>
      <c r="AB2122">
        <v>22</v>
      </c>
      <c r="AC2122">
        <v>-4.9848999999999997</v>
      </c>
      <c r="AD2122">
        <v>-1.113802523153</v>
      </c>
      <c r="AE2122">
        <v>-5.4230999999999696</v>
      </c>
      <c r="AF2122">
        <v>3.7645685685600001</v>
      </c>
      <c r="AG2122">
        <v>-1.113802523153</v>
      </c>
      <c r="AH2122">
        <v>6.1391140684925398</v>
      </c>
      <c r="AI2122">
        <v>98.791927935178606</v>
      </c>
      <c r="AJ2122">
        <v>58.482941409258103</v>
      </c>
      <c r="AK2122">
        <v>7.2870607321426197</v>
      </c>
      <c r="AL2122">
        <v>93.7947080777991</v>
      </c>
      <c r="AM2122">
        <v>75.216421786589294</v>
      </c>
      <c r="AN2122">
        <v>0.99999997414847797</v>
      </c>
    </row>
    <row r="2123" spans="1:40" x14ac:dyDescent="0.25">
      <c r="A2123" t="str">
        <f>"20190303154138169"</f>
        <v>20190303154138169</v>
      </c>
      <c r="B2123" t="str">
        <f>"1551598898161726"</f>
        <v>1551598898161726</v>
      </c>
      <c r="C2123" t="s">
        <v>40</v>
      </c>
      <c r="D2123">
        <v>5.928337</v>
      </c>
      <c r="E2123">
        <v>0.61031340000000001</v>
      </c>
      <c r="F2123" t="s">
        <v>46</v>
      </c>
      <c r="G2123">
        <v>-197.93049999999999</v>
      </c>
      <c r="H2123" s="1">
        <v>2.4633779999999998E-6</v>
      </c>
      <c r="I2123">
        <v>285.69720000000001</v>
      </c>
      <c r="J2123">
        <v>-192.8321</v>
      </c>
      <c r="K2123">
        <v>1.1135200000000001</v>
      </c>
      <c r="L2123">
        <v>291.07549999999998</v>
      </c>
      <c r="M2123">
        <v>-0.20390369999999999</v>
      </c>
      <c r="N2123">
        <v>-5.3311670000000004E-3</v>
      </c>
      <c r="O2123">
        <v>-0.97897650000000003</v>
      </c>
      <c r="P2123">
        <v>-0.45138260000000002</v>
      </c>
      <c r="Q2123">
        <v>-6.5146889999999999E-2</v>
      </c>
      <c r="R2123">
        <v>-0.8899494</v>
      </c>
      <c r="S2123">
        <v>-2.09964</v>
      </c>
      <c r="T2123">
        <v>-0.45315670000000002</v>
      </c>
      <c r="U2123">
        <v>-2.288818</v>
      </c>
      <c r="V2123">
        <v>0.2594359</v>
      </c>
      <c r="W2123">
        <v>-6.4182749999999997E-2</v>
      </c>
      <c r="X2123">
        <v>0.96362530000000002</v>
      </c>
      <c r="Y2123">
        <v>0.50424769999999997</v>
      </c>
      <c r="Z2123">
        <v>0.14452129999999999</v>
      </c>
      <c r="AA2123">
        <v>0.85137999999999903</v>
      </c>
      <c r="AB2123">
        <v>22</v>
      </c>
      <c r="AC2123">
        <v>-5.0983999999999901</v>
      </c>
      <c r="AD2123">
        <v>-1.113517536622</v>
      </c>
      <c r="AE2123">
        <v>-5.3782999999999603</v>
      </c>
      <c r="AF2123">
        <v>3.8086264542853701</v>
      </c>
      <c r="AG2123">
        <v>-1.113517536622</v>
      </c>
      <c r="AH2123">
        <v>6.16569847671727</v>
      </c>
      <c r="AI2123">
        <v>98.735104724193903</v>
      </c>
      <c r="AJ2123">
        <v>58.2958735643303</v>
      </c>
      <c r="AK2123">
        <v>7.3322162051074802</v>
      </c>
      <c r="AL2123">
        <v>93.679929940399205</v>
      </c>
      <c r="AM2123">
        <v>74.931605022374598</v>
      </c>
      <c r="AN2123">
        <v>1.0000000652032199</v>
      </c>
    </row>
    <row r="2124" spans="1:40" x14ac:dyDescent="0.25">
      <c r="A2124" t="str">
        <f>"20190303154138191"</f>
        <v>20190303154138191</v>
      </c>
      <c r="B2124" t="str">
        <f>"1551598898181246"</f>
        <v>1551598898181246</v>
      </c>
      <c r="C2124" t="s">
        <v>40</v>
      </c>
      <c r="D2124">
        <v>5.9324469999999998</v>
      </c>
      <c r="E2124">
        <v>0.60977630000000005</v>
      </c>
      <c r="F2124" t="s">
        <v>46</v>
      </c>
      <c r="G2124">
        <v>-198.11330000000001</v>
      </c>
      <c r="H2124" s="1">
        <v>2.4487369999999999E-6</v>
      </c>
      <c r="I2124">
        <v>285.49369999999999</v>
      </c>
      <c r="J2124">
        <v>-192.88919999999999</v>
      </c>
      <c r="K2124">
        <v>1.1132610000000001</v>
      </c>
      <c r="L2124">
        <v>290.86040000000003</v>
      </c>
      <c r="M2124">
        <v>-0.21464079999999999</v>
      </c>
      <c r="N2124">
        <v>-5.4867049999999997E-3</v>
      </c>
      <c r="O2124">
        <v>-0.97667760000000003</v>
      </c>
      <c r="P2124">
        <v>-0.46613460000000001</v>
      </c>
      <c r="Q2124">
        <v>-6.6400070000000005E-2</v>
      </c>
      <c r="R2124">
        <v>-0.88221849999999902</v>
      </c>
      <c r="S2124">
        <v>-2.1341549999999998</v>
      </c>
      <c r="T2124">
        <v>-0.44997599999999999</v>
      </c>
      <c r="U2124">
        <v>-2.2556150000000001</v>
      </c>
      <c r="V2124">
        <v>0.2648491</v>
      </c>
      <c r="W2124">
        <v>-6.5555740000000001E-2</v>
      </c>
      <c r="X2124">
        <v>0.962059</v>
      </c>
      <c r="Y2124">
        <v>0.50801790000000002</v>
      </c>
      <c r="Z2124">
        <v>0.14358399999999999</v>
      </c>
      <c r="AA2124">
        <v>0.84929469999999996</v>
      </c>
      <c r="AB2124">
        <v>22</v>
      </c>
      <c r="AC2124">
        <v>-5.2241000000000204</v>
      </c>
      <c r="AD2124">
        <v>-1.113258551263</v>
      </c>
      <c r="AE2124">
        <v>-5.36670000000003</v>
      </c>
      <c r="AF2124">
        <v>3.8650124661918102</v>
      </c>
      <c r="AG2124">
        <v>-1.113258551263</v>
      </c>
      <c r="AH2124">
        <v>6.2253893535354496</v>
      </c>
      <c r="AI2124">
        <v>98.6386954230763</v>
      </c>
      <c r="AJ2124">
        <v>58.1660581260764</v>
      </c>
      <c r="AK2124">
        <v>7.4116893195067801</v>
      </c>
      <c r="AL2124">
        <v>93.758762532207399</v>
      </c>
      <c r="AM2124">
        <v>74.608087662522607</v>
      </c>
      <c r="AN2124">
        <v>1.0000000601493699</v>
      </c>
    </row>
    <row r="2125" spans="1:40" x14ac:dyDescent="0.25">
      <c r="A2125" t="str">
        <f>"20190303154138212"</f>
        <v>20190303154138212</v>
      </c>
      <c r="B2125" t="str">
        <f>"1551598898201743"</f>
        <v>1551598898201743</v>
      </c>
      <c r="C2125" t="s">
        <v>40</v>
      </c>
      <c r="D2125">
        <v>5.8342859999999996</v>
      </c>
      <c r="E2125">
        <v>0.60978529999999997</v>
      </c>
      <c r="F2125" t="s">
        <v>46</v>
      </c>
      <c r="G2125">
        <v>-198.2304</v>
      </c>
      <c r="H2125" s="1">
        <v>2.437226E-6</v>
      </c>
      <c r="I2125">
        <v>285.3877</v>
      </c>
      <c r="J2125">
        <v>-192.9487</v>
      </c>
      <c r="K2125">
        <v>1.1129659999999999</v>
      </c>
      <c r="L2125">
        <v>290.64710000000002</v>
      </c>
      <c r="M2125">
        <v>-0.22567690000000001</v>
      </c>
      <c r="N2125">
        <v>-5.6495759999999999E-3</v>
      </c>
      <c r="O2125">
        <v>-0.97418590000000005</v>
      </c>
      <c r="P2125">
        <v>-0.48037809999999997</v>
      </c>
      <c r="Q2125">
        <v>-6.9384950000000001E-2</v>
      </c>
      <c r="R2125">
        <v>-0.8743128</v>
      </c>
      <c r="S2125">
        <v>-2.167786</v>
      </c>
      <c r="T2125">
        <v>-0.45182699999999998</v>
      </c>
      <c r="U2125">
        <v>-2.22113</v>
      </c>
      <c r="V2125">
        <v>0.26951550000000002</v>
      </c>
      <c r="W2125">
        <v>-6.8660659999999998E-2</v>
      </c>
      <c r="X2125">
        <v>0.96054519999999999</v>
      </c>
      <c r="Y2125">
        <v>0.51140029999999903</v>
      </c>
      <c r="Z2125">
        <v>0.14429500000000001</v>
      </c>
      <c r="AA2125">
        <v>0.84714149999999999</v>
      </c>
      <c r="AB2125">
        <v>22</v>
      </c>
      <c r="AC2125">
        <v>-5.2816999999999998</v>
      </c>
      <c r="AD2125">
        <v>-1.112963562774</v>
      </c>
      <c r="AE2125">
        <v>-5.2594000000000198</v>
      </c>
      <c r="AF2125">
        <v>3.8721634676490999</v>
      </c>
      <c r="AG2125">
        <v>-1.112963562774</v>
      </c>
      <c r="AH2125">
        <v>6.1779505578594103</v>
      </c>
      <c r="AI2125">
        <v>98.678977881202997</v>
      </c>
      <c r="AJ2125">
        <v>57.921685648811597</v>
      </c>
      <c r="AK2125">
        <v>7.3755956307009098</v>
      </c>
      <c r="AL2125">
        <v>93.937063640758694</v>
      </c>
      <c r="AM2125">
        <v>74.326625853994599</v>
      </c>
      <c r="AN2125">
        <v>0.99999998610746199</v>
      </c>
    </row>
    <row r="2126" spans="1:40" x14ac:dyDescent="0.25">
      <c r="A2126" t="str">
        <f>"20190303154138234"</f>
        <v>20190303154138234</v>
      </c>
      <c r="B2126" t="str">
        <f>"1551598898231999"</f>
        <v>1551598898231999</v>
      </c>
      <c r="C2126" t="s">
        <v>40</v>
      </c>
      <c r="D2126">
        <v>5.8654999999999999</v>
      </c>
      <c r="E2126">
        <v>0.60991589999999996</v>
      </c>
      <c r="F2126" t="s">
        <v>46</v>
      </c>
      <c r="G2126">
        <v>-198.42869999999999</v>
      </c>
      <c r="H2126" s="1">
        <v>2.417013E-6</v>
      </c>
      <c r="I2126">
        <v>285.21660000000003</v>
      </c>
      <c r="J2126">
        <v>-193.01220000000001</v>
      </c>
      <c r="K2126">
        <v>1.11263</v>
      </c>
      <c r="L2126">
        <v>290.43090000000001</v>
      </c>
      <c r="M2126">
        <v>-0.2372669</v>
      </c>
      <c r="N2126">
        <v>-5.8239540000000001E-3</v>
      </c>
      <c r="O2126">
        <v>-0.97142709999999999</v>
      </c>
      <c r="P2126">
        <v>-0.49413030000000002</v>
      </c>
      <c r="Q2126">
        <v>-7.172067E-2</v>
      </c>
      <c r="R2126">
        <v>-0.86642469999999905</v>
      </c>
      <c r="S2126">
        <v>-2.204453</v>
      </c>
      <c r="T2126">
        <v>-0.4477198</v>
      </c>
      <c r="U2126">
        <v>-2.1845400000000001</v>
      </c>
      <c r="V2126">
        <v>0.27319529999999997</v>
      </c>
      <c r="W2126">
        <v>-7.1110469999999995E-2</v>
      </c>
      <c r="X2126">
        <v>0.95932660000000003</v>
      </c>
      <c r="Y2126">
        <v>0.51546890000000001</v>
      </c>
      <c r="Z2126">
        <v>0.14300560000000001</v>
      </c>
      <c r="AA2126">
        <v>0.84489130000000001</v>
      </c>
      <c r="AB2126">
        <v>22</v>
      </c>
      <c r="AC2126">
        <v>-5.4164999999999797</v>
      </c>
      <c r="AD2126">
        <v>-1.112627582987</v>
      </c>
      <c r="AE2126">
        <v>-5.2142999999999802</v>
      </c>
      <c r="AF2126">
        <v>3.93837245194532</v>
      </c>
      <c r="AG2126">
        <v>-1.112627582987</v>
      </c>
      <c r="AH2126">
        <v>6.2144798159278301</v>
      </c>
      <c r="AI2126">
        <v>98.599494833799298</v>
      </c>
      <c r="AJ2126">
        <v>57.635876984838703</v>
      </c>
      <c r="AK2126">
        <v>7.4409997373497996</v>
      </c>
      <c r="AL2126">
        <v>94.077771635622298</v>
      </c>
      <c r="AM2126">
        <v>74.104202410810402</v>
      </c>
      <c r="AN2126">
        <v>0.99999994817663396</v>
      </c>
    </row>
    <row r="2127" spans="1:40" x14ac:dyDescent="0.25">
      <c r="A2127" t="str">
        <f>"20190303154138257"</f>
        <v>20190303154138257</v>
      </c>
      <c r="B2127" t="str">
        <f>"1551598898251518"</f>
        <v>1551598898251518</v>
      </c>
      <c r="C2127" t="s">
        <v>40</v>
      </c>
      <c r="D2127">
        <v>5.8679579999999998</v>
      </c>
      <c r="E2127">
        <v>0.60983880000000001</v>
      </c>
      <c r="F2127" t="s">
        <v>46</v>
      </c>
      <c r="G2127">
        <v>-198.8005</v>
      </c>
      <c r="H2127" s="1">
        <v>2.380771E-6</v>
      </c>
      <c r="I2127">
        <v>284.87670000000003</v>
      </c>
      <c r="J2127">
        <v>-193.0797</v>
      </c>
      <c r="K2127">
        <v>1.112306</v>
      </c>
      <c r="L2127">
        <v>290.21199999999999</v>
      </c>
      <c r="M2127">
        <v>-0.2494188</v>
      </c>
      <c r="N2127">
        <v>-6.0102360000000004E-3</v>
      </c>
      <c r="O2127">
        <v>-0.96837720000000005</v>
      </c>
      <c r="P2127">
        <v>-0.50798089999999996</v>
      </c>
      <c r="Q2127">
        <v>-7.1668540000000003E-2</v>
      </c>
      <c r="R2127">
        <v>-0.85838199999999998</v>
      </c>
      <c r="S2127">
        <v>-2.2399439999999999</v>
      </c>
      <c r="T2127">
        <v>-0.4305563</v>
      </c>
      <c r="U2127">
        <v>-2.1493229999999999</v>
      </c>
      <c r="V2127">
        <v>0.2765243</v>
      </c>
      <c r="W2127">
        <v>-7.1171940000000003E-2</v>
      </c>
      <c r="X2127">
        <v>0.95836779999999999</v>
      </c>
      <c r="Y2127">
        <v>0.51896319999999996</v>
      </c>
      <c r="Z2127">
        <v>0.13738590000000001</v>
      </c>
      <c r="AA2127">
        <v>0.84368379999999998</v>
      </c>
      <c r="AB2127">
        <v>22</v>
      </c>
      <c r="AC2127">
        <v>-5.7207999999999899</v>
      </c>
      <c r="AD2127">
        <v>-1.1123036192289999</v>
      </c>
      <c r="AE2127">
        <v>-5.3352999999999602</v>
      </c>
      <c r="AF2127">
        <v>4.1258263508423596</v>
      </c>
      <c r="AG2127">
        <v>-1.1123036192289999</v>
      </c>
      <c r="AH2127">
        <v>6.4629070376464499</v>
      </c>
      <c r="AI2127">
        <v>98.254091517536693</v>
      </c>
      <c r="AJ2127">
        <v>57.446428032412904</v>
      </c>
      <c r="AK2127">
        <v>7.7478274242470802</v>
      </c>
      <c r="AL2127">
        <v>94.081302395898305</v>
      </c>
      <c r="AM2127">
        <v>73.905207132492905</v>
      </c>
      <c r="AN2127">
        <v>0.99999998680534596</v>
      </c>
    </row>
    <row r="2128" spans="1:40" x14ac:dyDescent="0.25">
      <c r="A2128" t="str">
        <f>"20190303154138279"</f>
        <v>20190303154138279</v>
      </c>
      <c r="B2128" t="str">
        <f>"1551598898272014"</f>
        <v>1551598898272014</v>
      </c>
      <c r="C2128" t="s">
        <v>40</v>
      </c>
      <c r="D2128">
        <v>5.8614949999999997</v>
      </c>
      <c r="E2128">
        <v>0.60970380000000002</v>
      </c>
      <c r="F2128" t="s">
        <v>46</v>
      </c>
      <c r="G2128">
        <v>-199.1557</v>
      </c>
      <c r="H2128" s="1">
        <v>2.3450750000000002E-6</v>
      </c>
      <c r="I2128">
        <v>284.5643</v>
      </c>
      <c r="J2128">
        <v>-193.15369999999999</v>
      </c>
      <c r="K2128">
        <v>1.1119749999999999</v>
      </c>
      <c r="L2128">
        <v>289.98509999999999</v>
      </c>
      <c r="M2128">
        <v>-0.26249220000000001</v>
      </c>
      <c r="N2128">
        <v>-6.2139739999999997E-3</v>
      </c>
      <c r="O2128">
        <v>-0.96491439999999995</v>
      </c>
      <c r="P2128">
        <v>-0.52125429999999995</v>
      </c>
      <c r="Q2128">
        <v>-6.8629560000000006E-2</v>
      </c>
      <c r="R2128">
        <v>-0.85063750000000005</v>
      </c>
      <c r="S2128">
        <v>-2.2745060000000001</v>
      </c>
      <c r="T2128">
        <v>-0.41638350000000002</v>
      </c>
      <c r="U2128">
        <v>-2.114166</v>
      </c>
      <c r="V2128">
        <v>0.278387099999999</v>
      </c>
      <c r="W2128">
        <v>-6.8212949999999994E-2</v>
      </c>
      <c r="X2128">
        <v>0.9580436</v>
      </c>
      <c r="Y2128">
        <v>0.52131549999999904</v>
      </c>
      <c r="Z2128">
        <v>0.13266910000000001</v>
      </c>
      <c r="AA2128">
        <v>0.84298830000000002</v>
      </c>
      <c r="AB2128">
        <v>22</v>
      </c>
      <c r="AC2128">
        <v>-6.0019999999999998</v>
      </c>
      <c r="AD2128">
        <v>-1.111972654925</v>
      </c>
      <c r="AE2128">
        <v>-5.4207999999999803</v>
      </c>
      <c r="AF2128">
        <v>4.2875307879571203</v>
      </c>
      <c r="AG2128">
        <v>-1.111972654925</v>
      </c>
      <c r="AH2128">
        <v>6.6799390910971601</v>
      </c>
      <c r="AI2128">
        <v>97.974688941723201</v>
      </c>
      <c r="AJ2128">
        <v>57.3055512532368</v>
      </c>
      <c r="AK2128">
        <v>8.0150477043963502</v>
      </c>
      <c r="AL2128">
        <v>93.911351558767194</v>
      </c>
      <c r="AM2128">
        <v>73.797258847143695</v>
      </c>
      <c r="AN2128">
        <v>0.99999996174753503</v>
      </c>
    </row>
    <row r="2129" spans="1:40" x14ac:dyDescent="0.25">
      <c r="A2129" t="str">
        <f>"20190303154138300"</f>
        <v>20190303154138300</v>
      </c>
      <c r="B2129" t="str">
        <f>"1551598898291534"</f>
        <v>1551598898291534</v>
      </c>
      <c r="C2129" t="s">
        <v>40</v>
      </c>
      <c r="D2129">
        <v>5.8690619999999996</v>
      </c>
      <c r="E2129">
        <v>0.60950709999999997</v>
      </c>
      <c r="F2129" t="s">
        <v>46</v>
      </c>
      <c r="G2129">
        <v>-199.64169999999999</v>
      </c>
      <c r="H2129" s="1">
        <v>2.296709E-6</v>
      </c>
      <c r="I2129">
        <v>284.13159999999999</v>
      </c>
      <c r="J2129">
        <v>-193.22309999999999</v>
      </c>
      <c r="K2129">
        <v>1.1117090000000001</v>
      </c>
      <c r="L2129">
        <v>289.7824</v>
      </c>
      <c r="M2129">
        <v>-0.27449780000000001</v>
      </c>
      <c r="N2129">
        <v>-6.3959769999999997E-3</v>
      </c>
      <c r="O2129">
        <v>-0.96156660000000005</v>
      </c>
      <c r="P2129">
        <v>-0.5330783</v>
      </c>
      <c r="Q2129">
        <v>-6.6003859999999998E-2</v>
      </c>
      <c r="R2129">
        <v>-0.84348749999999995</v>
      </c>
      <c r="S2129">
        <v>-2.3067929999999999</v>
      </c>
      <c r="T2129">
        <v>-0.39536450000000001</v>
      </c>
      <c r="U2129">
        <v>-2.0812379999999999</v>
      </c>
      <c r="V2129">
        <v>0.2797712</v>
      </c>
      <c r="W2129">
        <v>-6.5639639999999999E-2</v>
      </c>
      <c r="X2129">
        <v>0.95782020000000001</v>
      </c>
      <c r="Y2129">
        <v>0.52391409999999905</v>
      </c>
      <c r="Z2129">
        <v>0.12568070000000001</v>
      </c>
      <c r="AA2129">
        <v>0.84244789999999903</v>
      </c>
      <c r="AB2129">
        <v>23</v>
      </c>
      <c r="AC2129">
        <v>-6.4185999999999899</v>
      </c>
      <c r="AD2129">
        <v>-1.111706703291</v>
      </c>
      <c r="AE2129">
        <v>-5.6508000000000003</v>
      </c>
      <c r="AF2129">
        <v>4.5440784506995699</v>
      </c>
      <c r="AG2129">
        <v>-1.111706703291</v>
      </c>
      <c r="AH2129">
        <v>7.0760731225857603</v>
      </c>
      <c r="AI2129">
        <v>97.530649565781999</v>
      </c>
      <c r="AJ2129">
        <v>57.292430507618597</v>
      </c>
      <c r="AK2129">
        <v>8.4826500338299393</v>
      </c>
      <c r="AL2129">
        <v>93.763580208800093</v>
      </c>
      <c r="AM2129">
        <v>73.717361679014999</v>
      </c>
      <c r="AN2129">
        <v>1.0000000111084</v>
      </c>
    </row>
    <row r="2130" spans="1:40" x14ac:dyDescent="0.25">
      <c r="A2130" t="str">
        <f>"20190303154138321"</f>
        <v>20190303154138321</v>
      </c>
      <c r="B2130" t="str">
        <f>"1551598898312030"</f>
        <v>1551598898312030</v>
      </c>
      <c r="C2130" t="s">
        <v>40</v>
      </c>
      <c r="D2130">
        <v>5.9017900000000001</v>
      </c>
      <c r="E2130">
        <v>0.60934270000000001</v>
      </c>
      <c r="F2130" t="s">
        <v>46</v>
      </c>
      <c r="G2130">
        <v>-200.0787</v>
      </c>
      <c r="H2130" s="1">
        <v>2.326889E-6</v>
      </c>
      <c r="I2130">
        <v>283.75850000000003</v>
      </c>
      <c r="J2130">
        <v>-193.3005</v>
      </c>
      <c r="K2130">
        <v>1.1114360000000001</v>
      </c>
      <c r="L2130">
        <v>289.56639999999999</v>
      </c>
      <c r="M2130">
        <v>-0.28763680000000003</v>
      </c>
      <c r="N2130">
        <v>-6.59444E-3</v>
      </c>
      <c r="O2130">
        <v>-0.95771700000000004</v>
      </c>
      <c r="P2130">
        <v>-0.54559309999999905</v>
      </c>
      <c r="Q2130">
        <v>-6.5156729999999996E-2</v>
      </c>
      <c r="R2130">
        <v>-0.83551379999999997</v>
      </c>
      <c r="S2130">
        <v>-2.3347630000000001</v>
      </c>
      <c r="T2130">
        <v>-0.37860369999999999</v>
      </c>
      <c r="U2130">
        <v>-2.0514830000000002</v>
      </c>
      <c r="V2130">
        <v>0.28089170000000002</v>
      </c>
      <c r="W2130">
        <v>-6.4824450000000006E-2</v>
      </c>
      <c r="X2130">
        <v>0.9575477</v>
      </c>
      <c r="Y2130">
        <v>0.52389430000000003</v>
      </c>
      <c r="Z2130">
        <v>0.1200074</v>
      </c>
      <c r="AA2130">
        <v>0.84328709999999996</v>
      </c>
      <c r="AB2130">
        <v>23</v>
      </c>
      <c r="AC2130">
        <v>-6.7781999999999902</v>
      </c>
      <c r="AD2130">
        <v>-1.1114336731109999</v>
      </c>
      <c r="AE2130">
        <v>-5.8078999999999601</v>
      </c>
      <c r="AF2130">
        <v>4.7475304991671798</v>
      </c>
      <c r="AG2130">
        <v>-1.1114336731109999</v>
      </c>
      <c r="AH2130">
        <v>7.3974571517037901</v>
      </c>
      <c r="AI2130">
        <v>97.206529533868206</v>
      </c>
      <c r="AJ2130">
        <v>57.308516423632</v>
      </c>
      <c r="AK2130">
        <v>8.8598365087365494</v>
      </c>
      <c r="AL2130">
        <v>93.716773695608694</v>
      </c>
      <c r="AM2130">
        <v>73.651220128880695</v>
      </c>
      <c r="AN2130">
        <v>0.99999997711099098</v>
      </c>
    </row>
    <row r="2131" spans="1:40" x14ac:dyDescent="0.25">
      <c r="A2131" t="str">
        <f>"20190303154138344"</f>
        <v>20190303154138344</v>
      </c>
      <c r="B2131" t="str">
        <f>"1551598898331553"</f>
        <v>1551598898331553</v>
      </c>
      <c r="C2131" t="s">
        <v>40</v>
      </c>
      <c r="D2131">
        <v>6.0211569999999996</v>
      </c>
      <c r="E2131">
        <v>0.60984430000000001</v>
      </c>
      <c r="F2131" t="s">
        <v>46</v>
      </c>
      <c r="G2131">
        <v>-200.40270000000001</v>
      </c>
      <c r="H2131" s="1">
        <v>2.4928180000000002E-6</v>
      </c>
      <c r="I2131">
        <v>283.50369999999998</v>
      </c>
      <c r="J2131">
        <v>-193.37819999999999</v>
      </c>
      <c r="K2131">
        <v>1.111181</v>
      </c>
      <c r="L2131">
        <v>289.35950000000003</v>
      </c>
      <c r="M2131">
        <v>-0.30055150000000003</v>
      </c>
      <c r="N2131">
        <v>-6.8029359999999999E-3</v>
      </c>
      <c r="O2131">
        <v>-0.95374130000000001</v>
      </c>
      <c r="P2131">
        <v>-0.55739819999999995</v>
      </c>
      <c r="Q2131">
        <v>-6.6785189999999994E-2</v>
      </c>
      <c r="R2131">
        <v>-0.82755460000000003</v>
      </c>
      <c r="S2131">
        <v>-2.3640140000000001</v>
      </c>
      <c r="T2131">
        <v>-0.36995040000000001</v>
      </c>
      <c r="U2131">
        <v>-2.018005</v>
      </c>
      <c r="V2131">
        <v>0.28151090000000001</v>
      </c>
      <c r="W2131">
        <v>-6.6450049999999997E-2</v>
      </c>
      <c r="X2131">
        <v>0.95725439999999995</v>
      </c>
      <c r="Y2131">
        <v>0.52475349999999998</v>
      </c>
      <c r="Z2131">
        <v>0.117018899999999</v>
      </c>
      <c r="AA2131">
        <v>0.84317279999999994</v>
      </c>
      <c r="AB2131">
        <v>23</v>
      </c>
      <c r="AC2131">
        <v>-7.0245000000000104</v>
      </c>
      <c r="AD2131">
        <v>-1.111178507182</v>
      </c>
      <c r="AE2131">
        <v>-5.8558000000000403</v>
      </c>
      <c r="AF2131">
        <v>4.8678351740604899</v>
      </c>
      <c r="AG2131">
        <v>-1.111178507182</v>
      </c>
      <c r="AH2131">
        <v>7.5843502039202297</v>
      </c>
      <c r="AI2131">
        <v>97.028997668862402</v>
      </c>
      <c r="AJ2131">
        <v>57.306586522712401</v>
      </c>
      <c r="AK2131">
        <v>9.0803581962579294</v>
      </c>
      <c r="AL2131">
        <v>93.810114959653802</v>
      </c>
      <c r="AM2131">
        <v>73.612360896851797</v>
      </c>
      <c r="AN2131">
        <v>0.999999991141586</v>
      </c>
    </row>
    <row r="2132" spans="1:40" x14ac:dyDescent="0.25">
      <c r="A2132" t="str">
        <f>"20190303154138369"</f>
        <v>20190303154138369</v>
      </c>
      <c r="B2132" t="str">
        <f>"1551598898361806"</f>
        <v>1551598898361806</v>
      </c>
      <c r="C2132" t="s">
        <v>40</v>
      </c>
      <c r="D2132">
        <v>6.0577430000000003</v>
      </c>
      <c r="E2132">
        <v>0.66272369999999903</v>
      </c>
      <c r="F2132" t="s">
        <v>46</v>
      </c>
      <c r="G2132">
        <v>-200.38740000000001</v>
      </c>
      <c r="H2132" s="1">
        <v>2.4809709999999999E-6</v>
      </c>
      <c r="I2132">
        <v>283.56189999999998</v>
      </c>
      <c r="J2132">
        <v>-193.47919999999999</v>
      </c>
      <c r="K2132">
        <v>1.110886</v>
      </c>
      <c r="L2132">
        <v>289.1035</v>
      </c>
      <c r="M2132">
        <v>-0.31696360000000001</v>
      </c>
      <c r="N2132">
        <v>-7.1085779999999999E-3</v>
      </c>
      <c r="O2132">
        <v>-0.94841120000000001</v>
      </c>
      <c r="P2132">
        <v>-0.57211009999999995</v>
      </c>
      <c r="Q2132">
        <v>-6.9312470000000001E-2</v>
      </c>
      <c r="R2132">
        <v>-0.8172431</v>
      </c>
      <c r="S2132">
        <v>-2.3952789999999999</v>
      </c>
      <c r="T2132">
        <v>-0.37972400000000001</v>
      </c>
      <c r="U2132">
        <v>-1.981201</v>
      </c>
      <c r="V2132">
        <v>0.28207769999999999</v>
      </c>
      <c r="W2132">
        <v>-6.8918969999999996E-2</v>
      </c>
      <c r="X2132">
        <v>0.95691289999999996</v>
      </c>
      <c r="Y2132">
        <v>0.52291589999999999</v>
      </c>
      <c r="Z2132">
        <v>0.1199001</v>
      </c>
      <c r="AA2132">
        <v>0.84390929999999997</v>
      </c>
      <c r="AB2132">
        <v>23</v>
      </c>
      <c r="AC2132">
        <v>-6.9082000000000203</v>
      </c>
      <c r="AD2132">
        <v>-1.1108835190289901</v>
      </c>
      <c r="AE2132">
        <v>-5.5416000000000096</v>
      </c>
      <c r="AF2132">
        <v>4.7211662161931702</v>
      </c>
      <c r="AG2132">
        <v>-1.1108835190289901</v>
      </c>
      <c r="AH2132">
        <v>7.3302165690857697</v>
      </c>
      <c r="AI2132">
        <v>97.260881862751702</v>
      </c>
      <c r="AJ2132">
        <v>57.215665092917199</v>
      </c>
      <c r="AK2132">
        <v>8.7895135009551897</v>
      </c>
      <c r="AL2132">
        <v>93.951898896938005</v>
      </c>
      <c r="AM2132">
        <v>73.575597155442495</v>
      </c>
      <c r="AN2132">
        <v>0.99999997572478005</v>
      </c>
    </row>
    <row r="2133" spans="1:40" x14ac:dyDescent="0.25">
      <c r="A2133" t="str">
        <f>"20190303154138392"</f>
        <v>20190303154138392</v>
      </c>
      <c r="B2133" t="str">
        <f>"1551598898381326"</f>
        <v>1551598898381326</v>
      </c>
      <c r="C2133" t="s">
        <v>40</v>
      </c>
      <c r="D2133">
        <v>6.0320839999999896</v>
      </c>
      <c r="E2133">
        <v>0.67479040000000001</v>
      </c>
      <c r="F2133" t="s">
        <v>46</v>
      </c>
      <c r="G2133">
        <v>-200.7544</v>
      </c>
      <c r="H2133" s="1">
        <v>2.5471740000000001E-6</v>
      </c>
      <c r="I2133">
        <v>284.66629999999998</v>
      </c>
      <c r="J2133">
        <v>-193.56880000000001</v>
      </c>
      <c r="K2133">
        <v>1.1106609999999999</v>
      </c>
      <c r="L2133">
        <v>288.8877</v>
      </c>
      <c r="M2133">
        <v>-0.33116289999999998</v>
      </c>
      <c r="N2133">
        <v>-7.4238769999999997E-3</v>
      </c>
      <c r="O2133">
        <v>-0.94354450000000001</v>
      </c>
      <c r="P2133">
        <v>-0.58444909999999906</v>
      </c>
      <c r="Q2133">
        <v>-6.9936349999999994E-2</v>
      </c>
      <c r="R2133">
        <v>-0.808411199999999</v>
      </c>
      <c r="S2133">
        <v>-2.7748870000000001</v>
      </c>
      <c r="T2133">
        <v>-0.42370750000000001</v>
      </c>
      <c r="U2133">
        <v>-1.6924129999999999</v>
      </c>
      <c r="V2133">
        <v>0.28220519999999999</v>
      </c>
      <c r="W2133">
        <v>-6.9426979999999999E-2</v>
      </c>
      <c r="X2133">
        <v>0.95683859999999998</v>
      </c>
      <c r="Y2133">
        <v>0.62535390000000002</v>
      </c>
      <c r="Z2133">
        <v>0.1311013</v>
      </c>
      <c r="AA2133">
        <v>0.76924959999999998</v>
      </c>
      <c r="AB2133">
        <v>23</v>
      </c>
      <c r="AC2133">
        <v>-7.1855999999999902</v>
      </c>
      <c r="AD2133">
        <v>-1.110658452826</v>
      </c>
      <c r="AE2133">
        <v>-4.2214000000000098</v>
      </c>
      <c r="AF2133">
        <v>5.2881861079133996</v>
      </c>
      <c r="AG2133">
        <v>-1.110658452826</v>
      </c>
      <c r="AH2133">
        <v>6.2518184663885101</v>
      </c>
      <c r="AI2133">
        <v>97.724332559497796</v>
      </c>
      <c r="AJ2133">
        <v>49.773331968277901</v>
      </c>
      <c r="AK2133">
        <v>8.2633957092371197</v>
      </c>
      <c r="AL2133">
        <v>93.981075543766593</v>
      </c>
      <c r="AM2133">
        <v>73.567366493910797</v>
      </c>
      <c r="AN2133">
        <v>0.99999999345446</v>
      </c>
    </row>
    <row r="2134" spans="1:40" x14ac:dyDescent="0.25">
      <c r="A2134" t="str">
        <f>"20190303154138412"</f>
        <v>20190303154138412</v>
      </c>
      <c r="B2134" t="str">
        <f>"1551598898401822"</f>
        <v>1551598898401822</v>
      </c>
      <c r="C2134" t="s">
        <v>40</v>
      </c>
      <c r="D2134">
        <v>6.1026020000000001</v>
      </c>
      <c r="E2134">
        <v>0.67825609999999903</v>
      </c>
      <c r="F2134" t="s">
        <v>46</v>
      </c>
      <c r="G2134">
        <v>-201.61009999999999</v>
      </c>
      <c r="H2134" s="1">
        <v>2.9472060000000001E-6</v>
      </c>
      <c r="I2134">
        <v>284.43099999999998</v>
      </c>
      <c r="J2134">
        <v>-193.65899999999999</v>
      </c>
      <c r="K2134">
        <v>1.110474</v>
      </c>
      <c r="L2134">
        <v>288.68</v>
      </c>
      <c r="M2134">
        <v>-0.3451478</v>
      </c>
      <c r="N2134">
        <v>-7.7913139999999997E-3</v>
      </c>
      <c r="O2134">
        <v>-0.93851620000000002</v>
      </c>
      <c r="P2134">
        <v>-0.59750719999999902</v>
      </c>
      <c r="Q2134">
        <v>-6.7646189999999995E-2</v>
      </c>
      <c r="R2134">
        <v>-0.79900539999999998</v>
      </c>
      <c r="S2134">
        <v>-2.8786619999999998</v>
      </c>
      <c r="T2134">
        <v>-0.39759640000000002</v>
      </c>
      <c r="U2134">
        <v>-1.5954280000000001</v>
      </c>
      <c r="V2134">
        <v>0.2834834</v>
      </c>
      <c r="W2134">
        <v>-6.6990289999999994E-2</v>
      </c>
      <c r="X2134">
        <v>0.95663450000000005</v>
      </c>
      <c r="Y2134">
        <v>0.646694199999999</v>
      </c>
      <c r="Z2134">
        <v>0.1216324</v>
      </c>
      <c r="AA2134">
        <v>0.75298880000000001</v>
      </c>
      <c r="AB2134">
        <v>23</v>
      </c>
      <c r="AC2134">
        <v>-7.9510999999999603</v>
      </c>
      <c r="AD2134">
        <v>-1.110471052794</v>
      </c>
      <c r="AE2134">
        <v>-4.2490000000000201</v>
      </c>
      <c r="AF2134">
        <v>5.9062699829043703</v>
      </c>
      <c r="AG2134">
        <v>-1.110471052794</v>
      </c>
      <c r="AH2134">
        <v>6.6316431795866499</v>
      </c>
      <c r="AI2134">
        <v>97.127636928104806</v>
      </c>
      <c r="AJ2134">
        <v>48.311120861104101</v>
      </c>
      <c r="AK2134">
        <v>8.9496291728433501</v>
      </c>
      <c r="AL2134">
        <v>93.841137325676002</v>
      </c>
      <c r="AM2134">
        <v>73.493648753696704</v>
      </c>
      <c r="AN2134">
        <v>1.00000005181004</v>
      </c>
    </row>
    <row r="2135" spans="1:40" x14ac:dyDescent="0.25">
      <c r="A2135" t="str">
        <f>"20190303154138434"</f>
        <v>20190303154138434</v>
      </c>
      <c r="B2135" t="str">
        <f>"1551598898432078"</f>
        <v>1551598898432078</v>
      </c>
      <c r="C2135" t="s">
        <v>40</v>
      </c>
      <c r="D2135">
        <v>6.0705679999999997</v>
      </c>
      <c r="E2135">
        <v>0.67968879999999998</v>
      </c>
      <c r="F2135" t="s">
        <v>46</v>
      </c>
      <c r="G2135">
        <v>-203.7039</v>
      </c>
      <c r="H2135" s="1">
        <v>3.9653260000000003E-6</v>
      </c>
      <c r="I2135">
        <v>283.40609999999998</v>
      </c>
      <c r="J2135">
        <v>-193.75200000000001</v>
      </c>
      <c r="K2135">
        <v>1.1102989999999999</v>
      </c>
      <c r="L2135">
        <v>288.4753</v>
      </c>
      <c r="M2135">
        <v>-0.35924289999999998</v>
      </c>
      <c r="N2135">
        <v>-8.2209409999999903E-3</v>
      </c>
      <c r="O2135">
        <v>-0.93320800000000004</v>
      </c>
      <c r="P2135">
        <v>-0.61137259999999904</v>
      </c>
      <c r="Q2135">
        <v>-6.487656E-2</v>
      </c>
      <c r="R2135">
        <v>-0.78867919999999903</v>
      </c>
      <c r="S2135">
        <v>-2.9282379999999999</v>
      </c>
      <c r="T2135">
        <v>-0.32371820000000001</v>
      </c>
      <c r="U2135">
        <v>-1.537415</v>
      </c>
      <c r="V2135">
        <v>0.28573739999999997</v>
      </c>
      <c r="W2135">
        <v>-6.4035560000000005E-2</v>
      </c>
      <c r="X2135">
        <v>0.95616610000000002</v>
      </c>
      <c r="Y2135">
        <v>0.6547366</v>
      </c>
      <c r="Z2135">
        <v>9.751456E-2</v>
      </c>
      <c r="AA2135">
        <v>0.74954049999999905</v>
      </c>
      <c r="AB2135">
        <v>23</v>
      </c>
      <c r="AC2135">
        <v>-9.9518999999999895</v>
      </c>
      <c r="AD2135">
        <v>-1.1102950346739999</v>
      </c>
      <c r="AE2135">
        <v>-5.0692000000000199</v>
      </c>
      <c r="AF2135">
        <v>7.3933033563815904</v>
      </c>
      <c r="AG2135">
        <v>-1.1102950346739999</v>
      </c>
      <c r="AH2135">
        <v>8.2247632901734509</v>
      </c>
      <c r="AI2135">
        <v>95.732993128520306</v>
      </c>
      <c r="AJ2135">
        <v>48.047382013091003</v>
      </c>
      <c r="AK2135">
        <v>11.114873852765401</v>
      </c>
      <c r="AL2135">
        <v>93.671479383914104</v>
      </c>
      <c r="AM2135">
        <v>73.361930826456799</v>
      </c>
      <c r="AN2135">
        <v>1.0000000127462401</v>
      </c>
    </row>
    <row r="2136" spans="1:40" x14ac:dyDescent="0.25">
      <c r="A2136" t="str">
        <f>"20190303154138455"</f>
        <v>20190303154138455</v>
      </c>
      <c r="B2136" t="str">
        <f>"1551598898451598"</f>
        <v>1551598898451598</v>
      </c>
      <c r="C2136" t="s">
        <v>40</v>
      </c>
      <c r="D2136">
        <v>6.0906000000000002</v>
      </c>
      <c r="E2136">
        <v>0.67978209999999994</v>
      </c>
      <c r="F2136" t="s">
        <v>46</v>
      </c>
      <c r="G2136">
        <v>-203.48419999999999</v>
      </c>
      <c r="H2136" s="1">
        <v>3.8492840000000001E-6</v>
      </c>
      <c r="I2136">
        <v>283.61880000000002</v>
      </c>
      <c r="J2136">
        <v>-193.85169999999999</v>
      </c>
      <c r="K2136">
        <v>1.110142</v>
      </c>
      <c r="L2136">
        <v>288.26530000000002</v>
      </c>
      <c r="M2136">
        <v>-0.37402479999999999</v>
      </c>
      <c r="N2136">
        <v>-8.7274009999999992E-3</v>
      </c>
      <c r="O2136">
        <v>-0.92737780000000003</v>
      </c>
      <c r="P2136">
        <v>-0.62643959999999999</v>
      </c>
      <c r="Q2136">
        <v>-6.3861009999999996E-2</v>
      </c>
      <c r="R2136">
        <v>-0.77684989999999998</v>
      </c>
      <c r="S2136">
        <v>-2.9634550000000002</v>
      </c>
      <c r="T2136">
        <v>-0.33808579999999999</v>
      </c>
      <c r="U2136">
        <v>-1.47879</v>
      </c>
      <c r="V2136">
        <v>0.28891299999999998</v>
      </c>
      <c r="W2136">
        <v>-6.2788140000000006E-2</v>
      </c>
      <c r="X2136">
        <v>0.95529419999999998</v>
      </c>
      <c r="Y2136">
        <v>0.65780749999999999</v>
      </c>
      <c r="Z2136">
        <v>0.1017137</v>
      </c>
      <c r="AA2136">
        <v>0.74628649999999996</v>
      </c>
      <c r="AB2136">
        <v>23</v>
      </c>
      <c r="AC2136">
        <v>-9.6324999999999896</v>
      </c>
      <c r="AD2136">
        <v>-1.110138150716</v>
      </c>
      <c r="AE2136">
        <v>-4.6464999999999996</v>
      </c>
      <c r="AF2136">
        <v>7.1186291496177603</v>
      </c>
      <c r="AG2136">
        <v>-1.110138150716</v>
      </c>
      <c r="AH2136">
        <v>7.8278092354412303</v>
      </c>
      <c r="AI2136">
        <v>95.989664774319706</v>
      </c>
      <c r="AJ2136">
        <v>47.716538430991697</v>
      </c>
      <c r="AK2136">
        <v>10.6386975288294</v>
      </c>
      <c r="AL2136">
        <v>93.599863248110594</v>
      </c>
      <c r="AM2136">
        <v>73.172923091038697</v>
      </c>
      <c r="AN2136">
        <v>1.00000004032364</v>
      </c>
    </row>
    <row r="2137" spans="1:40" x14ac:dyDescent="0.25">
      <c r="A2137" t="str">
        <f>"20190303154138477"</f>
        <v>20190303154138477</v>
      </c>
      <c r="B2137" t="str">
        <f>"1551598898471119"</f>
        <v>1551598898471119</v>
      </c>
      <c r="C2137" t="s">
        <v>40</v>
      </c>
      <c r="D2137">
        <v>6.0495130000000001</v>
      </c>
      <c r="E2137">
        <v>0.67940500000000004</v>
      </c>
      <c r="F2137" t="s">
        <v>46</v>
      </c>
      <c r="G2137">
        <v>-203.43129999999999</v>
      </c>
      <c r="H2137" s="1">
        <v>3.817389E-6</v>
      </c>
      <c r="I2137">
        <v>283.71530000000001</v>
      </c>
      <c r="J2137">
        <v>-193.9572</v>
      </c>
      <c r="K2137">
        <v>1.1100099999999999</v>
      </c>
      <c r="L2137">
        <v>288.05349999999999</v>
      </c>
      <c r="M2137">
        <v>-0.38931759999999999</v>
      </c>
      <c r="N2137">
        <v>-9.3044960000000006E-3</v>
      </c>
      <c r="O2137">
        <v>-0.9210566</v>
      </c>
      <c r="P2137">
        <v>-0.64220459999999902</v>
      </c>
      <c r="Q2137">
        <v>-6.2335359999999999E-2</v>
      </c>
      <c r="R2137">
        <v>-0.76399479999999997</v>
      </c>
      <c r="S2137">
        <v>-2.9916079999999998</v>
      </c>
      <c r="T2137">
        <v>-0.34668549999999998</v>
      </c>
      <c r="U2137">
        <v>-1.4209290000000001</v>
      </c>
      <c r="V2137">
        <v>0.29261740000000003</v>
      </c>
      <c r="W2137">
        <v>-6.0972470000000001E-2</v>
      </c>
      <c r="X2137">
        <v>0.95428369999999996</v>
      </c>
      <c r="Y2137">
        <v>0.65963819999999995</v>
      </c>
      <c r="Z2137">
        <v>0.1041224</v>
      </c>
      <c r="AA2137">
        <v>0.74433590000000005</v>
      </c>
      <c r="AB2137">
        <v>23</v>
      </c>
      <c r="AC2137">
        <v>-9.4740999999999893</v>
      </c>
      <c r="AD2137">
        <v>-1.1100061826109999</v>
      </c>
      <c r="AE2137">
        <v>-4.3381999999999703</v>
      </c>
      <c r="AF2137">
        <v>6.9585855208632497</v>
      </c>
      <c r="AG2137">
        <v>-1.1100061826109999</v>
      </c>
      <c r="AH2137">
        <v>7.59827146522737</v>
      </c>
      <c r="AI2137">
        <v>96.149002130587206</v>
      </c>
      <c r="AJ2137">
        <v>47.516184644778299</v>
      </c>
      <c r="AK2137">
        <v>10.362806349434999</v>
      </c>
      <c r="AL2137">
        <v>93.495633463580504</v>
      </c>
      <c r="AM2137">
        <v>72.952593548445805</v>
      </c>
      <c r="AN2137">
        <v>0.99999998248317501</v>
      </c>
    </row>
    <row r="2138" spans="1:40" x14ac:dyDescent="0.25">
      <c r="A2138" t="str">
        <f>"20190303154138501"</f>
        <v>20190303154138501</v>
      </c>
      <c r="B2138" t="str">
        <f>"1551598898491326"</f>
        <v>1551598898491326</v>
      </c>
      <c r="C2138" t="s">
        <v>40</v>
      </c>
      <c r="D2138">
        <v>6.1144879999999997</v>
      </c>
      <c r="E2138">
        <v>0.67884860000000002</v>
      </c>
      <c r="F2138" t="s">
        <v>46</v>
      </c>
      <c r="G2138">
        <v>-203.60210000000001</v>
      </c>
      <c r="H2138" s="1">
        <v>3.8943920000000001E-6</v>
      </c>
      <c r="I2138">
        <v>283.70100000000002</v>
      </c>
      <c r="J2138">
        <v>-194.0694</v>
      </c>
      <c r="K2138">
        <v>1.109901</v>
      </c>
      <c r="L2138">
        <v>287.83839999999998</v>
      </c>
      <c r="M2138">
        <v>-0.40520089999999997</v>
      </c>
      <c r="N2138">
        <v>-9.9436990000000003E-3</v>
      </c>
      <c r="O2138">
        <v>-0.91417369999999998</v>
      </c>
      <c r="P2138">
        <v>-0.65763530000000003</v>
      </c>
      <c r="Q2138">
        <v>-6.0220080000000002E-2</v>
      </c>
      <c r="R2138">
        <v>-0.75092590000000004</v>
      </c>
      <c r="S2138">
        <v>-3.0177</v>
      </c>
      <c r="T2138">
        <v>-0.34730040000000001</v>
      </c>
      <c r="U2138">
        <v>-1.3617859999999999</v>
      </c>
      <c r="V2138">
        <v>0.29550539999999997</v>
      </c>
      <c r="W2138">
        <v>-5.8477899999999999E-2</v>
      </c>
      <c r="X2138">
        <v>0.9535496</v>
      </c>
      <c r="Y2138">
        <v>0.66120970000000001</v>
      </c>
      <c r="Z2138">
        <v>0.1039622</v>
      </c>
      <c r="AA2138">
        <v>0.74296269999999998</v>
      </c>
      <c r="AB2138">
        <v>23</v>
      </c>
      <c r="AC2138">
        <v>-9.5327000000000002</v>
      </c>
      <c r="AD2138">
        <v>-1.109897105608</v>
      </c>
      <c r="AE2138">
        <v>-4.1374000000000102</v>
      </c>
      <c r="AF2138">
        <v>6.95902946835806</v>
      </c>
      <c r="AG2138">
        <v>-1.109897105608</v>
      </c>
      <c r="AH2138">
        <v>7.5591096226195003</v>
      </c>
      <c r="AI2138">
        <v>96.165353157194005</v>
      </c>
      <c r="AJ2138">
        <v>47.366866737107699</v>
      </c>
      <c r="AK2138">
        <v>10.334413433441201</v>
      </c>
      <c r="AL2138">
        <v>93.3524495190468</v>
      </c>
      <c r="AM2138">
        <v>72.7817704215784</v>
      </c>
      <c r="AN2138">
        <v>0.999999972938864</v>
      </c>
    </row>
    <row r="2139" spans="1:40" x14ac:dyDescent="0.25">
      <c r="A2139" t="str">
        <f>"20190303154138523"</f>
        <v>20190303154138523</v>
      </c>
      <c r="B2139" t="str">
        <f>"1551598898511822"</f>
        <v>1551598898511822</v>
      </c>
      <c r="C2139" t="s">
        <v>40</v>
      </c>
      <c r="D2139">
        <v>6.0915850000000002</v>
      </c>
      <c r="E2139">
        <v>0.67817039999999995</v>
      </c>
      <c r="F2139" t="s">
        <v>46</v>
      </c>
      <c r="G2139">
        <v>-203.87110000000001</v>
      </c>
      <c r="H2139" s="1">
        <v>4.0191469999999996E-6</v>
      </c>
      <c r="I2139">
        <v>283.63869999999997</v>
      </c>
      <c r="J2139">
        <v>-194.18369999999999</v>
      </c>
      <c r="K2139">
        <v>1.109815</v>
      </c>
      <c r="L2139">
        <v>287.62880000000001</v>
      </c>
      <c r="M2139">
        <v>-0.4209889</v>
      </c>
      <c r="N2139">
        <v>-1.0594279999999999E-2</v>
      </c>
      <c r="O2139">
        <v>-0.90700409999999998</v>
      </c>
      <c r="P2139">
        <v>-0.67203959999999996</v>
      </c>
      <c r="Q2139">
        <v>-5.8956010000000003E-2</v>
      </c>
      <c r="R2139">
        <v>-0.73816499999999996</v>
      </c>
      <c r="S2139">
        <v>-3.0420229999999999</v>
      </c>
      <c r="T2139">
        <v>-0.34446310000000002</v>
      </c>
      <c r="U2139">
        <v>-1.3034059999999901</v>
      </c>
      <c r="V2139">
        <v>0.297398</v>
      </c>
      <c r="W2139">
        <v>-5.6775409999999998E-2</v>
      </c>
      <c r="X2139">
        <v>0.95306400000000002</v>
      </c>
      <c r="Y2139">
        <v>0.66256269999999995</v>
      </c>
      <c r="Z2139">
        <v>0.10267850000000001</v>
      </c>
      <c r="AA2139">
        <v>0.74193529999999996</v>
      </c>
      <c r="AB2139">
        <v>23</v>
      </c>
      <c r="AC2139">
        <v>-9.6874000000000198</v>
      </c>
      <c r="AD2139">
        <v>-1.1098109808529999</v>
      </c>
      <c r="AE2139">
        <v>-3.9901000000000399</v>
      </c>
      <c r="AF2139">
        <v>7.0282580018549501</v>
      </c>
      <c r="AG2139">
        <v>-1.1098109808529999</v>
      </c>
      <c r="AH2139">
        <v>7.6123383638364199</v>
      </c>
      <c r="AI2139">
        <v>96.114060038834694</v>
      </c>
      <c r="AJ2139">
        <v>47.284579228551301</v>
      </c>
      <c r="AK2139">
        <v>10.419970552712501</v>
      </c>
      <c r="AL2139">
        <v>93.254741544766205</v>
      </c>
      <c r="AM2139">
        <v>72.669775549151097</v>
      </c>
      <c r="AN2139">
        <v>1.00000000284033</v>
      </c>
    </row>
    <row r="2140" spans="1:40" x14ac:dyDescent="0.25">
      <c r="A2140" t="str">
        <f>"20190303154138545"</f>
        <v>20190303154138545</v>
      </c>
      <c r="B2140" t="str">
        <f>"1551598898541102"</f>
        <v>1551598898541102</v>
      </c>
      <c r="C2140" t="s">
        <v>40</v>
      </c>
      <c r="D2140">
        <v>6.0892920000000004</v>
      </c>
      <c r="E2140">
        <v>0.67710179999999998</v>
      </c>
      <c r="F2140" t="s">
        <v>46</v>
      </c>
      <c r="G2140">
        <v>-204.0847</v>
      </c>
      <c r="H2140" s="1">
        <v>4.1178069999999998E-6</v>
      </c>
      <c r="I2140">
        <v>283.59370000000001</v>
      </c>
      <c r="J2140">
        <v>-194.30179999999999</v>
      </c>
      <c r="K2140">
        <v>1.1097399999999999</v>
      </c>
      <c r="L2140">
        <v>287.42160000000001</v>
      </c>
      <c r="M2140">
        <v>-0.4369015</v>
      </c>
      <c r="N2140">
        <v>-1.12581E-2</v>
      </c>
      <c r="O2140">
        <v>-0.89943899999999999</v>
      </c>
      <c r="P2140">
        <v>-0.686172</v>
      </c>
      <c r="Q2140">
        <v>-5.875938E-2</v>
      </c>
      <c r="R2140">
        <v>-0.72506250000000005</v>
      </c>
      <c r="S2140">
        <v>-3.0628510000000002</v>
      </c>
      <c r="T2140">
        <v>-0.34331509999999998</v>
      </c>
      <c r="U2140">
        <v>-1.2482599999999999</v>
      </c>
      <c r="V2140">
        <v>0.29900640000000001</v>
      </c>
      <c r="W2140">
        <v>-5.6104479999999998E-2</v>
      </c>
      <c r="X2140">
        <v>0.95260040000000001</v>
      </c>
      <c r="Y2140">
        <v>0.66269350000000005</v>
      </c>
      <c r="Z2140">
        <v>0.1018935</v>
      </c>
      <c r="AA2140">
        <v>0.74192659999999999</v>
      </c>
      <c r="AB2140">
        <v>23</v>
      </c>
      <c r="AC2140">
        <v>-9.7829000000000104</v>
      </c>
      <c r="AD2140">
        <v>-1.1097358821929999</v>
      </c>
      <c r="AE2140">
        <v>-3.8279000000000001</v>
      </c>
      <c r="AF2140">
        <v>7.0485014755084103</v>
      </c>
      <c r="AG2140">
        <v>-1.1097358821929999</v>
      </c>
      <c r="AH2140">
        <v>7.6324421836749199</v>
      </c>
      <c r="AI2140">
        <v>96.097002846844603</v>
      </c>
      <c r="AJ2140">
        <v>47.277763028221301</v>
      </c>
      <c r="AK2140">
        <v>10.448304190901499</v>
      </c>
      <c r="AL2140">
        <v>93.216238622465596</v>
      </c>
      <c r="AM2140">
        <v>72.573740832728404</v>
      </c>
      <c r="AN2140">
        <v>1.0000000309985899</v>
      </c>
    </row>
    <row r="2141" spans="1:40" x14ac:dyDescent="0.25">
      <c r="A2141" t="str">
        <f>"20190303154138571"</f>
        <v>20190303154138571</v>
      </c>
      <c r="B2141" t="str">
        <f>"1551598898561599"</f>
        <v>1551598898561599</v>
      </c>
      <c r="C2141" t="s">
        <v>40</v>
      </c>
      <c r="D2141">
        <v>6.095574</v>
      </c>
      <c r="E2141">
        <v>0.67660319999999996</v>
      </c>
      <c r="F2141" t="s">
        <v>46</v>
      </c>
      <c r="G2141">
        <v>-204.18260000000001</v>
      </c>
      <c r="H2141" s="1">
        <v>4.161529E-6</v>
      </c>
      <c r="I2141">
        <v>283.59010000000001</v>
      </c>
      <c r="J2141">
        <v>-194.43639999999999</v>
      </c>
      <c r="K2141">
        <v>1.109677</v>
      </c>
      <c r="L2141">
        <v>287.19569999999999</v>
      </c>
      <c r="M2141">
        <v>-0.4545633</v>
      </c>
      <c r="N2141">
        <v>-1.200119E-2</v>
      </c>
      <c r="O2141">
        <v>-0.89063359999999903</v>
      </c>
      <c r="P2141">
        <v>-0.70116650000000003</v>
      </c>
      <c r="Q2141">
        <v>-5.860464E-2</v>
      </c>
      <c r="R2141">
        <v>-0.71058529999999998</v>
      </c>
      <c r="S2141">
        <v>-3.0803530000000001</v>
      </c>
      <c r="T2141">
        <v>-0.34596100000000002</v>
      </c>
      <c r="U2141">
        <v>-1.194458</v>
      </c>
      <c r="V2141">
        <v>0.30009989999999998</v>
      </c>
      <c r="W2141">
        <v>-5.5380840000000001E-2</v>
      </c>
      <c r="X2141">
        <v>0.9522988</v>
      </c>
      <c r="Y2141">
        <v>0.66058819999999996</v>
      </c>
      <c r="Z2141">
        <v>0.10220269999999999</v>
      </c>
      <c r="AA2141">
        <v>0.74375930000000001</v>
      </c>
      <c r="AB2141">
        <v>23</v>
      </c>
      <c r="AC2141">
        <v>-9.7462000000000106</v>
      </c>
      <c r="AD2141">
        <v>-1.109672838471</v>
      </c>
      <c r="AE2141">
        <v>-3.6055999999999799</v>
      </c>
      <c r="AF2141">
        <v>6.9624355480486404</v>
      </c>
      <c r="AG2141">
        <v>-1.109672838471</v>
      </c>
      <c r="AH2141">
        <v>7.5559249140784699</v>
      </c>
      <c r="AI2141">
        <v>96.164137810114994</v>
      </c>
      <c r="AJ2141">
        <v>47.340864440075698</v>
      </c>
      <c r="AK2141">
        <v>10.3343545457064</v>
      </c>
      <c r="AL2141">
        <v>93.174712650299796</v>
      </c>
      <c r="AM2141">
        <v>72.508688515384804</v>
      </c>
      <c r="AN2141">
        <v>0.999999995950277</v>
      </c>
    </row>
    <row r="2142" spans="1:40" x14ac:dyDescent="0.25">
      <c r="A2142" t="str">
        <f>"20190303154138592"</f>
        <v>20190303154138592</v>
      </c>
      <c r="B2142" t="str">
        <f>"1551598898581118"</f>
        <v>1551598898581118</v>
      </c>
      <c r="C2142" t="s">
        <v>40</v>
      </c>
      <c r="D2142">
        <v>6.1342059999999998</v>
      </c>
      <c r="E2142">
        <v>0.67548909999999995</v>
      </c>
      <c r="F2142" t="s">
        <v>46</v>
      </c>
      <c r="G2142">
        <v>-204.42</v>
      </c>
      <c r="H2142" s="1">
        <v>4.270199E-6</v>
      </c>
      <c r="I2142">
        <v>283.55090000000001</v>
      </c>
      <c r="J2142">
        <v>-194.55350000000001</v>
      </c>
      <c r="K2142">
        <v>1.109618</v>
      </c>
      <c r="L2142">
        <v>287.00799999999998</v>
      </c>
      <c r="M2142">
        <v>-0.46953830000000002</v>
      </c>
      <c r="N2142">
        <v>-1.262305E-2</v>
      </c>
      <c r="O2142">
        <v>-0.88282190000000005</v>
      </c>
      <c r="P2142">
        <v>-0.71332899999999999</v>
      </c>
      <c r="Q2142">
        <v>-5.9519799999999998E-2</v>
      </c>
      <c r="R2142">
        <v>-0.69829730000000001</v>
      </c>
      <c r="S2142">
        <v>-3.1020660000000002</v>
      </c>
      <c r="T2142">
        <v>-0.34479549999999998</v>
      </c>
      <c r="U2142">
        <v>-1.1325069999999999</v>
      </c>
      <c r="V2142">
        <v>0.30046659999999997</v>
      </c>
      <c r="W2142">
        <v>-5.5799250000000002E-2</v>
      </c>
      <c r="X2142">
        <v>0.95215870000000002</v>
      </c>
      <c r="Y2142">
        <v>0.6627923</v>
      </c>
      <c r="Z2142">
        <v>0.10148260000000001</v>
      </c>
      <c r="AA2142">
        <v>0.74189469999999902</v>
      </c>
      <c r="AB2142">
        <v>23</v>
      </c>
      <c r="AC2142">
        <v>-9.8664999999999701</v>
      </c>
      <c r="AD2142">
        <v>-1.109613729801</v>
      </c>
      <c r="AE2142">
        <v>-3.4570999999999601</v>
      </c>
      <c r="AF2142">
        <v>7.00873345675818</v>
      </c>
      <c r="AG2142">
        <v>-1.109613729801</v>
      </c>
      <c r="AH2142">
        <v>7.5997056389960802</v>
      </c>
      <c r="AI2142">
        <v>96.126199301486494</v>
      </c>
      <c r="AJ2142">
        <v>47.316589647711098</v>
      </c>
      <c r="AK2142">
        <v>10.397553226438999</v>
      </c>
      <c r="AL2142">
        <v>93.198723013975894</v>
      </c>
      <c r="AM2142">
        <v>72.486201937280597</v>
      </c>
      <c r="AN2142">
        <v>0.99999996200090502</v>
      </c>
    </row>
    <row r="2143" spans="1:40" x14ac:dyDescent="0.25">
      <c r="A2143" t="str">
        <f>"20190303154138613"</f>
        <v>20190303154138613</v>
      </c>
      <c r="B2143" t="str">
        <f>"1551598898601614"</f>
        <v>1551598898601614</v>
      </c>
      <c r="C2143" t="s">
        <v>40</v>
      </c>
      <c r="D2143">
        <v>5.9993480000000003</v>
      </c>
      <c r="E2143">
        <v>0.67432799999999904</v>
      </c>
      <c r="F2143" t="s">
        <v>46</v>
      </c>
      <c r="G2143">
        <v>-204.46469999999999</v>
      </c>
      <c r="H2143" s="1">
        <v>4.2894029999999998E-6</v>
      </c>
      <c r="I2143">
        <v>283.5582</v>
      </c>
      <c r="J2143">
        <v>-194.67670000000001</v>
      </c>
      <c r="K2143">
        <v>1.10955</v>
      </c>
      <c r="L2143">
        <v>286.81830000000002</v>
      </c>
      <c r="M2143">
        <v>-0.48495440000000001</v>
      </c>
      <c r="N2143">
        <v>-1.323676E-2</v>
      </c>
      <c r="O2143">
        <v>-0.87443919999999997</v>
      </c>
      <c r="P2143">
        <v>-0.72582809999999998</v>
      </c>
      <c r="Q2143">
        <v>-6.0799930000000002E-2</v>
      </c>
      <c r="R2143">
        <v>-0.68518389999999996</v>
      </c>
      <c r="S2143">
        <v>-3.1151119999999999</v>
      </c>
      <c r="T2143">
        <v>-0.348753599999999</v>
      </c>
      <c r="U2143">
        <v>-1.08429</v>
      </c>
      <c r="V2143">
        <v>0.30097770000000001</v>
      </c>
      <c r="W2143">
        <v>-5.6600129999999998E-2</v>
      </c>
      <c r="X2143">
        <v>0.95194999999999996</v>
      </c>
      <c r="Y2143">
        <v>0.66078990000000004</v>
      </c>
      <c r="Z2143">
        <v>0.10228139999999999</v>
      </c>
      <c r="AA2143">
        <v>0.74356919999999904</v>
      </c>
      <c r="AB2143">
        <v>23</v>
      </c>
      <c r="AC2143">
        <v>-9.7879999999999807</v>
      </c>
      <c r="AD2143">
        <v>-1.1095457105969999</v>
      </c>
      <c r="AE2143">
        <v>-3.26010000000002</v>
      </c>
      <c r="AF2143">
        <v>6.8988254602836303</v>
      </c>
      <c r="AG2143">
        <v>-1.1095457105969999</v>
      </c>
      <c r="AH2143">
        <v>7.5112775112568704</v>
      </c>
      <c r="AI2143">
        <v>96.208964056082806</v>
      </c>
      <c r="AJ2143">
        <v>47.433696094605402</v>
      </c>
      <c r="AK2143">
        <v>10.258858331533499</v>
      </c>
      <c r="AL2143">
        <v>93.244682650635198</v>
      </c>
      <c r="AM2143">
        <v>72.454626437886702</v>
      </c>
      <c r="AN2143">
        <v>0.99999997655665296</v>
      </c>
    </row>
    <row r="2144" spans="1:40" x14ac:dyDescent="0.25">
      <c r="A2144" t="str">
        <f>"20190303154138634"</f>
        <v>20190303154138634</v>
      </c>
      <c r="B2144" t="str">
        <f>"1551598898631870"</f>
        <v>1551598898631870</v>
      </c>
      <c r="C2144" t="s">
        <v>40</v>
      </c>
      <c r="D2144">
        <v>6.2517339999999999</v>
      </c>
      <c r="E2144">
        <v>0.67266380000000003</v>
      </c>
      <c r="F2144" t="s">
        <v>46</v>
      </c>
      <c r="G2144">
        <v>-204.61269999999999</v>
      </c>
      <c r="H2144" s="1">
        <v>4.3571420000000001E-6</v>
      </c>
      <c r="I2144">
        <v>283.53429999999997</v>
      </c>
      <c r="J2144">
        <v>-194.80269999999999</v>
      </c>
      <c r="K2144">
        <v>1.109459</v>
      </c>
      <c r="L2144">
        <v>286.63200000000001</v>
      </c>
      <c r="M2144">
        <v>-0.50037719999999997</v>
      </c>
      <c r="N2144">
        <v>-1.3810970000000001E-2</v>
      </c>
      <c r="O2144">
        <v>-0.86569739999999995</v>
      </c>
      <c r="P2144">
        <v>-0.73833219999999899</v>
      </c>
      <c r="Q2144">
        <v>-6.3149880000000005E-2</v>
      </c>
      <c r="R2144">
        <v>-0.67147419999999902</v>
      </c>
      <c r="S2144">
        <v>-3.1280209999999999</v>
      </c>
      <c r="T2144">
        <v>-0.34930119999999998</v>
      </c>
      <c r="U2144">
        <v>-1.033844</v>
      </c>
      <c r="V2144">
        <v>0.3016837</v>
      </c>
      <c r="W2144">
        <v>-5.8522350000000001E-2</v>
      </c>
      <c r="X2144">
        <v>0.95161030000000002</v>
      </c>
      <c r="Y2144">
        <v>0.6592536</v>
      </c>
      <c r="Z2144">
        <v>0.1020245</v>
      </c>
      <c r="AA2144">
        <v>0.74496689999999999</v>
      </c>
      <c r="AB2144">
        <v>23</v>
      </c>
      <c r="AC2144">
        <v>-9.81</v>
      </c>
      <c r="AD2144">
        <v>-1.1094546428580001</v>
      </c>
      <c r="AE2144">
        <v>-3.0977000000000299</v>
      </c>
      <c r="AF2144">
        <v>6.8633104628284602</v>
      </c>
      <c r="AG2144">
        <v>-1.1094546428580001</v>
      </c>
      <c r="AH2144">
        <v>7.5038208347501101</v>
      </c>
      <c r="AI2144">
        <v>96.226323633878195</v>
      </c>
      <c r="AJ2144">
        <v>47.552649945969101</v>
      </c>
      <c r="AK2144">
        <v>10.229528201914199</v>
      </c>
      <c r="AL2144">
        <v>93.355000454747696</v>
      </c>
      <c r="AM2144">
        <v>72.410113708328097</v>
      </c>
      <c r="AN2144">
        <v>1.00000004168065</v>
      </c>
    </row>
    <row r="2145" spans="1:40" x14ac:dyDescent="0.25">
      <c r="A2145" t="str">
        <f>"20190303154138659"</f>
        <v>20190303154138659</v>
      </c>
      <c r="B2145" t="str">
        <f>"1551598898651390"</f>
        <v>1551598898651390</v>
      </c>
      <c r="C2145" t="s">
        <v>40</v>
      </c>
      <c r="D2145">
        <v>6.1495660000000001</v>
      </c>
      <c r="E2145">
        <v>0.67133669999999901</v>
      </c>
      <c r="F2145" t="s">
        <v>46</v>
      </c>
      <c r="G2145">
        <v>-204.35890000000001</v>
      </c>
      <c r="H2145" s="1">
        <v>4.2358569999999901E-6</v>
      </c>
      <c r="I2145">
        <v>283.63420000000002</v>
      </c>
      <c r="J2145">
        <v>-194.94399999999999</v>
      </c>
      <c r="K2145">
        <v>1.1093360000000001</v>
      </c>
      <c r="L2145">
        <v>286.4325</v>
      </c>
      <c r="M2145">
        <v>-0.51724199999999998</v>
      </c>
      <c r="N2145">
        <v>-1.438336E-2</v>
      </c>
      <c r="O2145">
        <v>-0.85571839999999999</v>
      </c>
      <c r="P2145">
        <v>-0.75254739999999998</v>
      </c>
      <c r="Q2145">
        <v>-6.4339679999999996E-2</v>
      </c>
      <c r="R2145">
        <v>-0.65538750000000001</v>
      </c>
      <c r="S2145">
        <v>-3.13707</v>
      </c>
      <c r="T2145">
        <v>-0.36420770000000002</v>
      </c>
      <c r="U2145">
        <v>-0.98410030000000004</v>
      </c>
      <c r="V2145">
        <v>0.30343930000000002</v>
      </c>
      <c r="W2145">
        <v>-5.933389E-2</v>
      </c>
      <c r="X2145">
        <v>0.9510016</v>
      </c>
      <c r="Y2145">
        <v>0.65541389999999999</v>
      </c>
      <c r="Z2145">
        <v>0.1062433</v>
      </c>
      <c r="AA2145">
        <v>0.74775999999999998</v>
      </c>
      <c r="AB2145">
        <v>23</v>
      </c>
      <c r="AC2145">
        <v>-9.4148999999999798</v>
      </c>
      <c r="AD2145">
        <v>-1.1093317641430001</v>
      </c>
      <c r="AE2145">
        <v>-2.7982999999999798</v>
      </c>
      <c r="AF2145">
        <v>6.52653330777727</v>
      </c>
      <c r="AG2145">
        <v>-1.1093317641430001</v>
      </c>
      <c r="AH2145">
        <v>7.17358070440687</v>
      </c>
      <c r="AI2145">
        <v>96.525407419401603</v>
      </c>
      <c r="AJ2145">
        <v>47.704032722868902</v>
      </c>
      <c r="AK2145">
        <v>9.7614811428953399</v>
      </c>
      <c r="AL2145">
        <v>93.401579420066895</v>
      </c>
      <c r="AM2145">
        <v>72.303500888764205</v>
      </c>
      <c r="AN2145">
        <v>0.99999998124479095</v>
      </c>
    </row>
    <row r="2146" spans="1:40" x14ac:dyDescent="0.25">
      <c r="A2146" t="str">
        <f>"20190303154138680"</f>
        <v>20190303154138680</v>
      </c>
      <c r="B2146" t="str">
        <f>"1551598898671887"</f>
        <v>1551598898671887</v>
      </c>
      <c r="C2146" t="s">
        <v>40</v>
      </c>
      <c r="D2146">
        <v>6.1698259999999996</v>
      </c>
      <c r="E2146">
        <v>0.66994560000000003</v>
      </c>
      <c r="F2146" t="s">
        <v>46</v>
      </c>
      <c r="G2146">
        <v>-204.35910000000001</v>
      </c>
      <c r="H2146" s="1">
        <v>4.2326809999999998E-6</v>
      </c>
      <c r="I2146">
        <v>283.67149999999998</v>
      </c>
      <c r="J2146">
        <v>-195.07820000000001</v>
      </c>
      <c r="K2146">
        <v>1.109227</v>
      </c>
      <c r="L2146">
        <v>286.2509</v>
      </c>
      <c r="M2146">
        <v>-0.53289880000000001</v>
      </c>
      <c r="N2146">
        <v>-1.48655E-2</v>
      </c>
      <c r="O2146">
        <v>-0.84604859999999904</v>
      </c>
      <c r="P2146">
        <v>-0.76573249999999904</v>
      </c>
      <c r="Q2146">
        <v>-6.5145770000000006E-2</v>
      </c>
      <c r="R2146">
        <v>-0.63985190000000003</v>
      </c>
      <c r="S2146">
        <v>-3.1501769999999998</v>
      </c>
      <c r="T2146">
        <v>-0.37116729999999998</v>
      </c>
      <c r="U2146">
        <v>-0.9237976</v>
      </c>
      <c r="V2146">
        <v>0.3053072</v>
      </c>
      <c r="W2146">
        <v>-5.9843239999999999E-2</v>
      </c>
      <c r="X2146">
        <v>0.95037169999999904</v>
      </c>
      <c r="Y2146">
        <v>0.65533169999999996</v>
      </c>
      <c r="Z2146">
        <v>0.10810400000000001</v>
      </c>
      <c r="AA2146">
        <v>0.74756529999999999</v>
      </c>
      <c r="AB2146">
        <v>22</v>
      </c>
      <c r="AC2146">
        <v>-9.2809000000000008</v>
      </c>
      <c r="AD2146">
        <v>-1.109222767319</v>
      </c>
      <c r="AE2146">
        <v>-2.5794000000000201</v>
      </c>
      <c r="AF2146">
        <v>6.3934705148123703</v>
      </c>
      <c r="AG2146">
        <v>-1.109222767319</v>
      </c>
      <c r="AH2146">
        <v>7.0355729538828298</v>
      </c>
      <c r="AI2146">
        <v>96.655123946179202</v>
      </c>
      <c r="AJ2146">
        <v>47.737481767100803</v>
      </c>
      <c r="AK2146">
        <v>9.5711089828045299</v>
      </c>
      <c r="AL2146">
        <v>93.430814796104997</v>
      </c>
      <c r="AM2146">
        <v>72.190368950142897</v>
      </c>
      <c r="AN2146">
        <v>1.00000003395321</v>
      </c>
    </row>
    <row r="2147" spans="1:40" x14ac:dyDescent="0.25">
      <c r="A2147" t="str">
        <f>"20190303154138703"</f>
        <v>20190303154138703</v>
      </c>
      <c r="B2147" t="str">
        <f>"1551598898691409"</f>
        <v>1551598898691409</v>
      </c>
      <c r="C2147" t="s">
        <v>40</v>
      </c>
      <c r="D2147">
        <v>6.1365550000000004</v>
      </c>
      <c r="E2147">
        <v>0.64829579999999998</v>
      </c>
      <c r="F2147" t="s">
        <v>46</v>
      </c>
      <c r="G2147">
        <v>-204.36199999999999</v>
      </c>
      <c r="H2147" s="1">
        <v>4.2310900000000002E-6</v>
      </c>
      <c r="I2147">
        <v>283.70429999999999</v>
      </c>
      <c r="J2147">
        <v>-195.2208</v>
      </c>
      <c r="K2147">
        <v>1.109127</v>
      </c>
      <c r="L2147">
        <v>286.06599999999997</v>
      </c>
      <c r="M2147">
        <v>-0.54911849999999995</v>
      </c>
      <c r="N2147">
        <v>-1.531515E-2</v>
      </c>
      <c r="O2147">
        <v>-0.83560429999999997</v>
      </c>
      <c r="P2147">
        <v>-0.7797248</v>
      </c>
      <c r="Q2147">
        <v>-6.6678840000000003E-2</v>
      </c>
      <c r="R2147">
        <v>-0.62256199999999995</v>
      </c>
      <c r="S2147">
        <v>-3.161133</v>
      </c>
      <c r="T2147">
        <v>-0.37769069999999999</v>
      </c>
      <c r="U2147">
        <v>-0.86709590000000003</v>
      </c>
      <c r="V2147">
        <v>0.3080696</v>
      </c>
      <c r="W2147">
        <v>-6.1132430000000001E-2</v>
      </c>
      <c r="X2147">
        <v>0.94939770000000001</v>
      </c>
      <c r="Y2147">
        <v>0.65371269999999904</v>
      </c>
      <c r="Z2147">
        <v>0.1097187</v>
      </c>
      <c r="AA2147">
        <v>0.74874659999999904</v>
      </c>
      <c r="AB2147">
        <v>22</v>
      </c>
      <c r="AC2147">
        <v>-9.1411999999999907</v>
      </c>
      <c r="AD2147">
        <v>-1.1091227689100001</v>
      </c>
      <c r="AE2147">
        <v>-2.3616999999999799</v>
      </c>
      <c r="AF2147">
        <v>6.2559811512023398</v>
      </c>
      <c r="AG2147">
        <v>-1.1091227689100001</v>
      </c>
      <c r="AH2147">
        <v>6.8986640743619798</v>
      </c>
      <c r="AI2147">
        <v>96.791717314368</v>
      </c>
      <c r="AJ2147">
        <v>47.7970167669584</v>
      </c>
      <c r="AK2147">
        <v>9.3786469968544104</v>
      </c>
      <c r="AL2147">
        <v>93.504815484631095</v>
      </c>
      <c r="AM2147">
        <v>72.022296710593096</v>
      </c>
      <c r="AN2147">
        <v>1.0000000226035699</v>
      </c>
    </row>
    <row r="2148" spans="1:40" x14ac:dyDescent="0.25">
      <c r="A2148" t="str">
        <f>"20190303154138724"</f>
        <v>20190303154138724</v>
      </c>
      <c r="B2148" t="str">
        <f>"1551598898721662"</f>
        <v>1551598898721662</v>
      </c>
      <c r="C2148" t="s">
        <v>40</v>
      </c>
      <c r="D2148">
        <v>6.2086100000000002</v>
      </c>
      <c r="E2148">
        <v>0.68121319999999996</v>
      </c>
      <c r="F2148" t="s">
        <v>46</v>
      </c>
      <c r="G2148">
        <v>-202.83349999999999</v>
      </c>
      <c r="H2148" s="1">
        <v>3.5476740000000001E-6</v>
      </c>
      <c r="I2148">
        <v>283.76819999999998</v>
      </c>
      <c r="J2148">
        <v>-195.3614</v>
      </c>
      <c r="K2148">
        <v>1.1090420000000001</v>
      </c>
      <c r="L2148">
        <v>285.89120000000003</v>
      </c>
      <c r="M2148">
        <v>-0.56473229999999996</v>
      </c>
      <c r="N2148">
        <v>-1.5703399999999999E-2</v>
      </c>
      <c r="O2148">
        <v>-0.82512489999999905</v>
      </c>
      <c r="P2148">
        <v>-0.79330029999999996</v>
      </c>
      <c r="Q2148">
        <v>-6.7138589999999998E-2</v>
      </c>
      <c r="R2148">
        <v>-0.60511740000000003</v>
      </c>
      <c r="S2148">
        <v>-3.0695190000000001</v>
      </c>
      <c r="T2148">
        <v>-0.4472122</v>
      </c>
      <c r="U2148">
        <v>-0.9265137</v>
      </c>
      <c r="V2148">
        <v>0.3112143</v>
      </c>
      <c r="W2148">
        <v>-6.1404300000000002E-2</v>
      </c>
      <c r="X2148">
        <v>0.94835389999999997</v>
      </c>
      <c r="Y2148">
        <v>0.6168304</v>
      </c>
      <c r="Z2148">
        <v>0.13158</v>
      </c>
      <c r="AA2148">
        <v>0.77601999999999904</v>
      </c>
      <c r="AB2148">
        <v>22</v>
      </c>
      <c r="AC2148">
        <v>-7.4720999999999798</v>
      </c>
      <c r="AD2148">
        <v>-1.109038452326</v>
      </c>
      <c r="AE2148">
        <v>-2.1230000000000402</v>
      </c>
      <c r="AF2148">
        <v>4.8678735358421896</v>
      </c>
      <c r="AG2148">
        <v>-1.109038452326</v>
      </c>
      <c r="AH2148">
        <v>5.85290560530931</v>
      </c>
      <c r="AI2148">
        <v>98.288727686026604</v>
      </c>
      <c r="AJ2148">
        <v>50.249633550976</v>
      </c>
      <c r="AK2148">
        <v>7.6930269123636696</v>
      </c>
      <c r="AL2148">
        <v>93.520421977966194</v>
      </c>
      <c r="AM2148">
        <v>71.832097566243405</v>
      </c>
      <c r="AN2148">
        <v>0.99999997411409403</v>
      </c>
    </row>
    <row r="2149" spans="1:40" x14ac:dyDescent="0.25">
      <c r="A2149" t="str">
        <f>"20190303154138746"</f>
        <v>20190303154138746</v>
      </c>
      <c r="B2149" t="str">
        <f>"1551598898741183"</f>
        <v>1551598898741183</v>
      </c>
      <c r="C2149" t="s">
        <v>40</v>
      </c>
      <c r="D2149">
        <v>6.2204790000000001</v>
      </c>
      <c r="E2149">
        <v>0.68774219999999997</v>
      </c>
      <c r="F2149" t="s">
        <v>46</v>
      </c>
      <c r="G2149">
        <v>-207.06010000000001</v>
      </c>
      <c r="H2149" s="1">
        <v>5.4432870000000003E-6</v>
      </c>
      <c r="I2149">
        <v>283.52480000000003</v>
      </c>
      <c r="J2149">
        <v>-195.50649999999999</v>
      </c>
      <c r="K2149">
        <v>1.1089690000000001</v>
      </c>
      <c r="L2149">
        <v>285.71809999999999</v>
      </c>
      <c r="M2149">
        <v>-0.58047079999999995</v>
      </c>
      <c r="N2149">
        <v>-1.6054499999999999E-2</v>
      </c>
      <c r="O2149">
        <v>-0.81412289999999998</v>
      </c>
      <c r="P2149">
        <v>-0.80650359999999999</v>
      </c>
      <c r="Q2149">
        <v>-6.7089360000000001E-2</v>
      </c>
      <c r="R2149">
        <v>-0.58741049999999995</v>
      </c>
      <c r="S2149">
        <v>-3.2535859999999999</v>
      </c>
      <c r="T2149">
        <v>-0.30843949999999998</v>
      </c>
      <c r="U2149">
        <v>-0.65811160000000002</v>
      </c>
      <c r="V2149">
        <v>0.31398930000000003</v>
      </c>
      <c r="W2149">
        <v>-6.1183439999999999E-2</v>
      </c>
      <c r="X2149">
        <v>0.94745310000000005</v>
      </c>
      <c r="Y2149">
        <v>0.678363099999999</v>
      </c>
      <c r="Z2149">
        <v>8.7113889999999999E-2</v>
      </c>
      <c r="AA2149">
        <v>0.72954410000000003</v>
      </c>
      <c r="AB2149">
        <v>22</v>
      </c>
      <c r="AC2149">
        <v>-11.553599999999999</v>
      </c>
      <c r="AD2149">
        <v>-1.1089635567129901</v>
      </c>
      <c r="AE2149">
        <v>-2.1932999999999598</v>
      </c>
      <c r="AF2149">
        <v>8.0622575886511694</v>
      </c>
      <c r="AG2149">
        <v>-1.1089635567129901</v>
      </c>
      <c r="AH2149">
        <v>8.41837652909566</v>
      </c>
      <c r="AI2149">
        <v>95.434685440727606</v>
      </c>
      <c r="AJ2149">
        <v>46.2378733330861</v>
      </c>
      <c r="AK2149">
        <v>11.708922280957699</v>
      </c>
      <c r="AL2149">
        <v>93.507743578963002</v>
      </c>
      <c r="AM2149">
        <v>71.664621450591397</v>
      </c>
      <c r="AN2149">
        <v>1.0000000352721601</v>
      </c>
    </row>
    <row r="2150" spans="1:40" x14ac:dyDescent="0.25">
      <c r="A2150" t="str">
        <f>"20190303154138770"</f>
        <v>20190303154138770</v>
      </c>
      <c r="B2150" t="str">
        <f>"1551598898761678"</f>
        <v>1551598898761678</v>
      </c>
      <c r="C2150" t="s">
        <v>40</v>
      </c>
      <c r="D2150">
        <v>6.2281309999999896</v>
      </c>
      <c r="E2150">
        <v>0.68763069999999904</v>
      </c>
      <c r="F2150" t="s">
        <v>46</v>
      </c>
      <c r="G2150">
        <v>-208.33940000000001</v>
      </c>
      <c r="H2150" s="1">
        <v>6.0043100000000001E-6</v>
      </c>
      <c r="I2150">
        <v>283.59660000000002</v>
      </c>
      <c r="J2150">
        <v>-195.6687</v>
      </c>
      <c r="K2150">
        <v>1.108905</v>
      </c>
      <c r="L2150">
        <v>285.5326</v>
      </c>
      <c r="M2150">
        <v>-0.59766129999999995</v>
      </c>
      <c r="N2150">
        <v>-1.63997E-2</v>
      </c>
      <c r="O2150">
        <v>-0.80158109999999905</v>
      </c>
      <c r="P2150">
        <v>-0.82034390000000001</v>
      </c>
      <c r="Q2150">
        <v>-6.5189759999999999E-2</v>
      </c>
      <c r="R2150">
        <v>-0.56814279999999995</v>
      </c>
      <c r="S2150">
        <v>-3.2988279999999999</v>
      </c>
      <c r="T2150">
        <v>-0.28506969999999998</v>
      </c>
      <c r="U2150">
        <v>-0.54534910000000003</v>
      </c>
      <c r="V2150">
        <v>0.3164399</v>
      </c>
      <c r="W2150">
        <v>-5.9108189999999998E-2</v>
      </c>
      <c r="X2150">
        <v>0.94676919999999998</v>
      </c>
      <c r="Y2150">
        <v>0.68954230000000005</v>
      </c>
      <c r="Z2150">
        <v>7.9353339999999994E-2</v>
      </c>
      <c r="AA2150">
        <v>0.71988509999999895</v>
      </c>
      <c r="AB2150">
        <v>22</v>
      </c>
      <c r="AC2150">
        <v>-12.6707</v>
      </c>
      <c r="AD2150">
        <v>-1.1088989956899999</v>
      </c>
      <c r="AE2150">
        <v>-1.93599999999997</v>
      </c>
      <c r="AF2150">
        <v>8.9338656053342493</v>
      </c>
      <c r="AG2150">
        <v>-1.1088989956899999</v>
      </c>
      <c r="AH2150">
        <v>9.0580794236327495</v>
      </c>
      <c r="AI2150">
        <v>94.981326326637998</v>
      </c>
      <c r="AJ2150">
        <v>45.395555592546202</v>
      </c>
      <c r="AK2150">
        <v>12.770764052383599</v>
      </c>
      <c r="AL2150">
        <v>93.3886251209899</v>
      </c>
      <c r="AM2150">
        <v>71.518758955780498</v>
      </c>
      <c r="AN2150">
        <v>0.99999995325286195</v>
      </c>
    </row>
    <row r="2151" spans="1:40" x14ac:dyDescent="0.25">
      <c r="A2151" t="str">
        <f>"20190303154138794"</f>
        <v>20190303154138794</v>
      </c>
      <c r="B2151" t="str">
        <f>"1551598898791799"</f>
        <v>1551598898791799</v>
      </c>
      <c r="C2151" t="s">
        <v>40</v>
      </c>
      <c r="D2151">
        <v>5.7674200000000004</v>
      </c>
      <c r="E2151">
        <v>0.68668099999999999</v>
      </c>
      <c r="F2151" t="s">
        <v>46</v>
      </c>
      <c r="G2151">
        <v>-208.6696</v>
      </c>
      <c r="H2151" s="1">
        <v>6.1419740000000004E-6</v>
      </c>
      <c r="I2151">
        <v>283.69690000000003</v>
      </c>
      <c r="J2151">
        <v>-195.83779999999999</v>
      </c>
      <c r="K2151">
        <v>1.10884</v>
      </c>
      <c r="L2151">
        <v>285.34769999999997</v>
      </c>
      <c r="M2151">
        <v>-0.61512880000000003</v>
      </c>
      <c r="N2151">
        <v>-1.671719E-2</v>
      </c>
      <c r="O2151">
        <v>-0.78824959999999999</v>
      </c>
      <c r="P2151">
        <v>-0.83371509999999904</v>
      </c>
      <c r="Q2151">
        <v>-6.3699370000000005E-2</v>
      </c>
      <c r="R2151">
        <v>-0.54850909999999997</v>
      </c>
      <c r="S2151">
        <v>-3.3108059999999999</v>
      </c>
      <c r="T2151">
        <v>-0.28239249999999999</v>
      </c>
      <c r="U2151">
        <v>-0.4674683</v>
      </c>
      <c r="V2151">
        <v>0.31823759999999901</v>
      </c>
      <c r="W2151">
        <v>-5.7450590000000003E-2</v>
      </c>
      <c r="X2151">
        <v>0.94626860000000002</v>
      </c>
      <c r="Y2151">
        <v>0.69072999999999996</v>
      </c>
      <c r="Z2151">
        <v>7.8215160000000006E-2</v>
      </c>
      <c r="AA2151">
        <v>0.71887019999999902</v>
      </c>
      <c r="AB2151">
        <v>22</v>
      </c>
      <c r="AC2151">
        <v>-12.831799999999999</v>
      </c>
      <c r="AD2151">
        <v>-1.108833858026</v>
      </c>
      <c r="AE2151">
        <v>-1.6507999999999401</v>
      </c>
      <c r="AF2151">
        <v>9.0341155486904707</v>
      </c>
      <c r="AG2151">
        <v>-1.108833858026</v>
      </c>
      <c r="AH2151">
        <v>9.1286797920531502</v>
      </c>
      <c r="AI2151">
        <v>94.934463430463893</v>
      </c>
      <c r="AJ2151">
        <v>45.298306674685598</v>
      </c>
      <c r="AK2151">
        <v>12.890987201050001</v>
      </c>
      <c r="AL2151">
        <v>93.293489761007706</v>
      </c>
      <c r="AM2151">
        <v>71.411801504422698</v>
      </c>
      <c r="AN2151">
        <v>1.00000000184553</v>
      </c>
    </row>
    <row r="2152" spans="1:40" x14ac:dyDescent="0.25">
      <c r="A2152" t="str">
        <f>"20190303154138818"</f>
        <v>20190303154138818</v>
      </c>
      <c r="B2152" t="str">
        <f>"1551598898811304"</f>
        <v>1551598898811304</v>
      </c>
      <c r="C2152" t="s">
        <v>40</v>
      </c>
      <c r="D2152">
        <v>6.2451100000000004</v>
      </c>
      <c r="E2152">
        <v>0.68462069999999997</v>
      </c>
      <c r="F2152" t="s">
        <v>46</v>
      </c>
      <c r="G2152">
        <v>-209.10910000000001</v>
      </c>
      <c r="H2152" s="1">
        <v>6.3307999999999996E-6</v>
      </c>
      <c r="I2152">
        <v>283.76620000000003</v>
      </c>
      <c r="J2152">
        <v>-195.99700000000001</v>
      </c>
      <c r="K2152">
        <v>1.1087659999999999</v>
      </c>
      <c r="L2152">
        <v>285.18169999999998</v>
      </c>
      <c r="M2152">
        <v>-0.63115909999999997</v>
      </c>
      <c r="N2152">
        <v>-1.698183E-2</v>
      </c>
      <c r="O2152">
        <v>-0.77546769999999998</v>
      </c>
      <c r="P2152">
        <v>-0.84511800000000004</v>
      </c>
      <c r="Q2152">
        <v>-6.1594700000000002E-2</v>
      </c>
      <c r="R2152">
        <v>-0.53101980000000004</v>
      </c>
      <c r="S2152">
        <v>-3.3170929999999998</v>
      </c>
      <c r="T2152">
        <v>-0.27714850000000002</v>
      </c>
      <c r="U2152">
        <v>-0.39529419999999998</v>
      </c>
      <c r="V2152">
        <v>0.31872899999999998</v>
      </c>
      <c r="W2152">
        <v>-5.5181470000000003E-2</v>
      </c>
      <c r="X2152">
        <v>0.94623820000000003</v>
      </c>
      <c r="Y2152">
        <v>0.69167290000000003</v>
      </c>
      <c r="Z2152">
        <v>7.6388579999999998E-2</v>
      </c>
      <c r="AA2152">
        <v>0.71815969999999996</v>
      </c>
      <c r="AB2152">
        <v>22</v>
      </c>
      <c r="AC2152">
        <v>-13.1120999999999</v>
      </c>
      <c r="AD2152">
        <v>-1.1087596691999999</v>
      </c>
      <c r="AE2152">
        <v>-1.41549999999995</v>
      </c>
      <c r="AF2152">
        <v>9.2108378550973402</v>
      </c>
      <c r="AG2152">
        <v>-1.1087596691999999</v>
      </c>
      <c r="AH2152">
        <v>9.3090493797839802</v>
      </c>
      <c r="AI2152">
        <v>94.839451012669301</v>
      </c>
      <c r="AJ2152">
        <v>45.303838411372404</v>
      </c>
      <c r="AK2152">
        <v>13.1425751796288</v>
      </c>
      <c r="AL2152">
        <v>93.163272239677696</v>
      </c>
      <c r="AM2152">
        <v>71.3845183039669</v>
      </c>
      <c r="AN2152">
        <v>0.99999995060579905</v>
      </c>
    </row>
    <row r="2153" spans="1:40" x14ac:dyDescent="0.25">
      <c r="A2153" t="str">
        <f>"20190303154138836"</f>
        <v>20190303154138836</v>
      </c>
      <c r="B2153" t="str">
        <f>"1551598898831802"</f>
        <v>1551598898831802</v>
      </c>
      <c r="C2153" t="s">
        <v>40</v>
      </c>
      <c r="D2153">
        <v>6.2467189999999997</v>
      </c>
      <c r="E2153">
        <v>0.68249569999999904</v>
      </c>
      <c r="F2153" t="s">
        <v>46</v>
      </c>
      <c r="G2153">
        <v>-209.35509999999999</v>
      </c>
      <c r="H2153" s="1">
        <v>6.4357050000000004E-6</v>
      </c>
      <c r="I2153">
        <v>283.81450000000001</v>
      </c>
      <c r="J2153">
        <v>-196.13980000000001</v>
      </c>
      <c r="K2153">
        <v>1.1087049999999901</v>
      </c>
      <c r="L2153">
        <v>285.03890000000001</v>
      </c>
      <c r="M2153">
        <v>-0.64521269999999997</v>
      </c>
      <c r="N2153">
        <v>-1.7196050000000001E-2</v>
      </c>
      <c r="O2153">
        <v>-0.76380939999999997</v>
      </c>
      <c r="P2153">
        <v>-0.85481399999999996</v>
      </c>
      <c r="Q2153">
        <v>-6.0353589999999999E-2</v>
      </c>
      <c r="R2153">
        <v>-0.51541300000000001</v>
      </c>
      <c r="S2153">
        <v>-3.3164519999999902</v>
      </c>
      <c r="T2153">
        <v>-0.2752734</v>
      </c>
      <c r="U2153">
        <v>-0.339447</v>
      </c>
      <c r="V2153">
        <v>0.318922599999999</v>
      </c>
      <c r="W2153">
        <v>-5.3810219999999999E-2</v>
      </c>
      <c r="X2153">
        <v>0.94625199999999998</v>
      </c>
      <c r="Y2153">
        <v>0.6905078</v>
      </c>
      <c r="Z2153">
        <v>7.5619430000000001E-2</v>
      </c>
      <c r="AA2153">
        <v>0.71936129999999998</v>
      </c>
      <c r="AB2153">
        <v>22</v>
      </c>
      <c r="AC2153">
        <v>-13.2152999999999</v>
      </c>
      <c r="AD2153">
        <v>-1.10869856429499</v>
      </c>
      <c r="AE2153">
        <v>-1.2243999999999999</v>
      </c>
      <c r="AF2153">
        <v>9.2408610067032999</v>
      </c>
      <c r="AG2153">
        <v>-1.10869856429499</v>
      </c>
      <c r="AH2153">
        <v>9.3977055189109695</v>
      </c>
      <c r="AI2153">
        <v>94.808415307529899</v>
      </c>
      <c r="AJ2153">
        <v>45.482135601180403</v>
      </c>
      <c r="AK2153">
        <v>13.2264732136669</v>
      </c>
      <c r="AL2153">
        <v>93.084588296460794</v>
      </c>
      <c r="AM2153">
        <v>71.374243686142094</v>
      </c>
      <c r="AN2153">
        <v>1.0000000060356</v>
      </c>
    </row>
    <row r="2154" spans="1:40" x14ac:dyDescent="0.25">
      <c r="A2154" t="str">
        <f>"20190303154138859"</f>
        <v>20190303154138859</v>
      </c>
      <c r="B2154" t="str">
        <f>"1551598898851321"</f>
        <v>1551598898851321</v>
      </c>
      <c r="C2154" t="s">
        <v>40</v>
      </c>
      <c r="D2154">
        <v>6.28003</v>
      </c>
      <c r="E2154">
        <v>0.68043260000000005</v>
      </c>
      <c r="F2154" t="s">
        <v>46</v>
      </c>
      <c r="G2154">
        <v>-209.51060000000001</v>
      </c>
      <c r="H2154" s="1">
        <v>6.5008529999999996E-6</v>
      </c>
      <c r="I2154">
        <v>283.858</v>
      </c>
      <c r="J2154">
        <v>-196.30099999999999</v>
      </c>
      <c r="K2154">
        <v>1.1086400000000001</v>
      </c>
      <c r="L2154">
        <v>284.8843</v>
      </c>
      <c r="M2154">
        <v>-0.66069409999999995</v>
      </c>
      <c r="N2154">
        <v>-1.7412380000000002E-2</v>
      </c>
      <c r="O2154">
        <v>-0.7504535</v>
      </c>
      <c r="P2154">
        <v>-0.86475369999999996</v>
      </c>
      <c r="Q2154">
        <v>-5.9332080000000002E-2</v>
      </c>
      <c r="R2154">
        <v>-0.49867919999999999</v>
      </c>
      <c r="S2154">
        <v>-3.3136749999999999</v>
      </c>
      <c r="T2154">
        <v>-0.27476640000000002</v>
      </c>
      <c r="U2154">
        <v>-0.29266360000000002</v>
      </c>
      <c r="V2154">
        <v>0.3180692</v>
      </c>
      <c r="W2154">
        <v>-5.2620319999999998E-2</v>
      </c>
      <c r="X2154">
        <v>0.94660610000000001</v>
      </c>
      <c r="Y2154">
        <v>0.68578030000000001</v>
      </c>
      <c r="Z2154">
        <v>7.5041789999999997E-2</v>
      </c>
      <c r="AA2154">
        <v>0.72392959999999995</v>
      </c>
      <c r="AB2154">
        <v>22</v>
      </c>
      <c r="AC2154">
        <v>-13.2096</v>
      </c>
      <c r="AD2154">
        <v>-1.1086334991469999</v>
      </c>
      <c r="AE2154">
        <v>-1.02629999999999</v>
      </c>
      <c r="AF2154">
        <v>9.1723002807481198</v>
      </c>
      <c r="AG2154">
        <v>-1.1086334991469999</v>
      </c>
      <c r="AH2154">
        <v>9.4330891823699599</v>
      </c>
      <c r="AI2154">
        <v>94.816366833348596</v>
      </c>
      <c r="AJ2154">
        <v>45.803053598173697</v>
      </c>
      <c r="AK2154">
        <v>13.203913518278799</v>
      </c>
      <c r="AL2154">
        <v>93.016315290354399</v>
      </c>
      <c r="AM2154">
        <v>71.427132069206394</v>
      </c>
      <c r="AN2154">
        <v>1.0000000113113701</v>
      </c>
    </row>
    <row r="2155" spans="1:40" x14ac:dyDescent="0.25">
      <c r="A2155" t="str">
        <f>"20190303154138881"</f>
        <v>20190303154138881</v>
      </c>
      <c r="B2155" t="str">
        <f>"1551598898871817"</f>
        <v>1551598898871817</v>
      </c>
      <c r="C2155" t="s">
        <v>40</v>
      </c>
      <c r="D2155">
        <v>6.2927049999999998</v>
      </c>
      <c r="E2155">
        <v>0.67834410000000001</v>
      </c>
      <c r="F2155" t="s">
        <v>46</v>
      </c>
      <c r="G2155">
        <v>-209.69110000000001</v>
      </c>
      <c r="H2155" s="1">
        <v>6.5767790000000003E-6</v>
      </c>
      <c r="I2155">
        <v>283.90480000000002</v>
      </c>
      <c r="J2155">
        <v>-196.4777</v>
      </c>
      <c r="K2155">
        <v>1.108576</v>
      </c>
      <c r="L2155">
        <v>284.72250000000003</v>
      </c>
      <c r="M2155">
        <v>-0.67718519999999904</v>
      </c>
      <c r="N2155">
        <v>-1.7621910000000001E-2</v>
      </c>
      <c r="O2155">
        <v>-0.73560150000000002</v>
      </c>
      <c r="P2155">
        <v>-0.87435370000000001</v>
      </c>
      <c r="Q2155">
        <v>-6.0258760000000001E-2</v>
      </c>
      <c r="R2155">
        <v>-0.4815334</v>
      </c>
      <c r="S2155">
        <v>-3.31073</v>
      </c>
      <c r="T2155">
        <v>-0.27411269999999999</v>
      </c>
      <c r="U2155">
        <v>-0.2421875</v>
      </c>
      <c r="V2155">
        <v>0.31564409999999998</v>
      </c>
      <c r="W2155">
        <v>-5.3325810000000001E-2</v>
      </c>
      <c r="X2155">
        <v>0.94737800000000005</v>
      </c>
      <c r="Y2155">
        <v>0.68060430000000005</v>
      </c>
      <c r="Z2155">
        <v>7.4334440000000002E-2</v>
      </c>
      <c r="AA2155">
        <v>0.72887049999999998</v>
      </c>
      <c r="AB2155">
        <v>22</v>
      </c>
      <c r="AC2155">
        <v>-13.2134</v>
      </c>
      <c r="AD2155">
        <v>-1.1085694232209999</v>
      </c>
      <c r="AE2155">
        <v>-0.81770000000000198</v>
      </c>
      <c r="AF2155">
        <v>9.1036524855873999</v>
      </c>
      <c r="AG2155">
        <v>-1.1085694232209999</v>
      </c>
      <c r="AH2155">
        <v>9.4844000192628908</v>
      </c>
      <c r="AI2155">
        <v>94.820025543284899</v>
      </c>
      <c r="AJ2155">
        <v>46.173451413638197</v>
      </c>
      <c r="AK2155">
        <v>13.1931519535642</v>
      </c>
      <c r="AL2155">
        <v>93.056793889333704</v>
      </c>
      <c r="AM2155">
        <v>71.573138106542501</v>
      </c>
      <c r="AN2155">
        <v>0.99999995738048197</v>
      </c>
    </row>
    <row r="2156" spans="1:40" x14ac:dyDescent="0.25">
      <c r="A2156" t="str">
        <f>"20190303154138903"</f>
        <v>20190303154138903</v>
      </c>
      <c r="B2156" t="str">
        <f>"1551598898891900"</f>
        <v>1551598898891900</v>
      </c>
      <c r="C2156" t="s">
        <v>40</v>
      </c>
      <c r="D2156">
        <v>6.2676879999999997</v>
      </c>
      <c r="E2156">
        <v>0.66040310000000002</v>
      </c>
      <c r="F2156" t="s">
        <v>46</v>
      </c>
      <c r="G2156">
        <v>-209.58</v>
      </c>
      <c r="H2156" s="1">
        <v>6.522278E-6</v>
      </c>
      <c r="I2156">
        <v>283.96499999999997</v>
      </c>
      <c r="J2156">
        <v>-196.64259999999999</v>
      </c>
      <c r="K2156">
        <v>1.1085240000000001</v>
      </c>
      <c r="L2156">
        <v>284.5779</v>
      </c>
      <c r="M2156">
        <v>-0.69215009999999999</v>
      </c>
      <c r="N2156">
        <v>-1.7794560000000001E-2</v>
      </c>
      <c r="O2156">
        <v>-0.72153440000000002</v>
      </c>
      <c r="P2156">
        <v>-0.88190299999999999</v>
      </c>
      <c r="Q2156">
        <v>-6.0599790000000001E-2</v>
      </c>
      <c r="R2156">
        <v>-0.46752009999999999</v>
      </c>
      <c r="S2156">
        <v>-3.306549</v>
      </c>
      <c r="T2156">
        <v>-0.2797616</v>
      </c>
      <c r="U2156">
        <v>-0.1911621</v>
      </c>
      <c r="V2156">
        <v>0.31127389999999999</v>
      </c>
      <c r="W2156">
        <v>-5.3393400000000001E-2</v>
      </c>
      <c r="X2156">
        <v>0.94881910000000003</v>
      </c>
      <c r="Y2156">
        <v>0.67657019999999901</v>
      </c>
      <c r="Z2156">
        <v>7.558521E-2</v>
      </c>
      <c r="AA2156">
        <v>0.73248869999999999</v>
      </c>
      <c r="AB2156">
        <v>22</v>
      </c>
      <c r="AC2156">
        <v>-12.9374</v>
      </c>
      <c r="AD2156">
        <v>-1.1085174777219999</v>
      </c>
      <c r="AE2156">
        <v>-0.61290000000002398</v>
      </c>
      <c r="AF2156">
        <v>8.8471631676056202</v>
      </c>
      <c r="AG2156">
        <v>-1.1085174777219999</v>
      </c>
      <c r="AH2156">
        <v>9.3299940752485</v>
      </c>
      <c r="AI2156">
        <v>94.927521005536704</v>
      </c>
      <c r="AJ2156">
        <v>46.5215618868002</v>
      </c>
      <c r="AK2156">
        <v>12.9054212080359</v>
      </c>
      <c r="AL2156">
        <v>93.060671935481395</v>
      </c>
      <c r="AM2156">
        <v>71.837171002466604</v>
      </c>
      <c r="AN2156">
        <v>0.99999999025479003</v>
      </c>
    </row>
    <row r="2157" spans="1:40" x14ac:dyDescent="0.25">
      <c r="A2157" t="str">
        <f>"20190303154138925"</f>
        <v>20190303154138925</v>
      </c>
      <c r="B2157" t="str">
        <f>"1551598898921170"</f>
        <v>1551598898921170</v>
      </c>
      <c r="C2157" t="s">
        <v>40</v>
      </c>
      <c r="D2157">
        <v>6.3175499999999998</v>
      </c>
      <c r="E2157">
        <v>0.65558890000000003</v>
      </c>
      <c r="F2157" t="s">
        <v>46</v>
      </c>
      <c r="G2157">
        <v>-208.0813</v>
      </c>
      <c r="H2157" s="1">
        <v>5.8851130000000003E-6</v>
      </c>
      <c r="I2157">
        <v>283.6508</v>
      </c>
      <c r="J2157">
        <v>-196.8124</v>
      </c>
      <c r="K2157">
        <v>1.1084780000000001</v>
      </c>
      <c r="L2157">
        <v>284.43549999999999</v>
      </c>
      <c r="M2157">
        <v>-0.70713719999999902</v>
      </c>
      <c r="N2157">
        <v>-1.7952309999999999E-2</v>
      </c>
      <c r="O2157">
        <v>-0.70684840000000004</v>
      </c>
      <c r="P2157">
        <v>-0.88862079999999999</v>
      </c>
      <c r="Q2157">
        <v>-6.0175340000000001E-2</v>
      </c>
      <c r="R2157">
        <v>-0.45467809999999997</v>
      </c>
      <c r="S2157">
        <v>-3.2409210000000002</v>
      </c>
      <c r="T2157">
        <v>-0.31407489999999999</v>
      </c>
      <c r="U2157">
        <v>-0.26266479999999998</v>
      </c>
      <c r="V2157">
        <v>0.30515940000000003</v>
      </c>
      <c r="W2157">
        <v>-5.263603E-2</v>
      </c>
      <c r="X2157">
        <v>0.95084550000000001</v>
      </c>
      <c r="Y2157">
        <v>0.64251939999999996</v>
      </c>
      <c r="Z2157">
        <v>8.4887180000000007E-2</v>
      </c>
      <c r="AA2157">
        <v>0.76155309999999998</v>
      </c>
      <c r="AB2157">
        <v>22</v>
      </c>
      <c r="AC2157">
        <v>-11.2689</v>
      </c>
      <c r="AD2157">
        <v>-1.108472114887</v>
      </c>
      <c r="AE2157">
        <v>-0.78469999999998596</v>
      </c>
      <c r="AF2157">
        <v>7.3410205145367602</v>
      </c>
      <c r="AG2157">
        <v>-1.108472114887</v>
      </c>
      <c r="AH2157">
        <v>8.4433939915061593</v>
      </c>
      <c r="AI2157">
        <v>95.657993374483695</v>
      </c>
      <c r="AJ2157">
        <v>48.995013976407002</v>
      </c>
      <c r="AK2157">
        <v>11.2432288387337</v>
      </c>
      <c r="AL2157">
        <v>93.017216726675599</v>
      </c>
      <c r="AM2157">
        <v>72.206757141682402</v>
      </c>
      <c r="AN2157">
        <v>0.99999998796638501</v>
      </c>
    </row>
    <row r="2158" spans="1:40" x14ac:dyDescent="0.25">
      <c r="A2158" t="str">
        <f>"20190303154138946"</f>
        <v>20190303154138946</v>
      </c>
      <c r="B2158" t="str">
        <f>"1551598898941666"</f>
        <v>1551598898941666</v>
      </c>
      <c r="C2158" t="s">
        <v>40</v>
      </c>
      <c r="D2158">
        <v>6.494637</v>
      </c>
      <c r="E2158">
        <v>0.65413049999999995</v>
      </c>
      <c r="F2158" t="s">
        <v>46</v>
      </c>
      <c r="G2158">
        <v>-207.4941</v>
      </c>
      <c r="H2158" s="1">
        <v>5.6282650000000001E-6</v>
      </c>
      <c r="I2158">
        <v>283.61020000000002</v>
      </c>
      <c r="J2158">
        <v>-196.97919999999999</v>
      </c>
      <c r="K2158">
        <v>1.108441</v>
      </c>
      <c r="L2158">
        <v>284.30169999999998</v>
      </c>
      <c r="M2158">
        <v>-0.72144059999999999</v>
      </c>
      <c r="N2158">
        <v>-1.8090780000000001E-2</v>
      </c>
      <c r="O2158">
        <v>-0.69224010000000002</v>
      </c>
      <c r="P2158">
        <v>-0.89409309999999997</v>
      </c>
      <c r="Q2158">
        <v>-6.0020839999999999E-2</v>
      </c>
      <c r="R2158">
        <v>-0.44384170000000001</v>
      </c>
      <c r="S2158">
        <v>-3.2258300000000002</v>
      </c>
      <c r="T2158">
        <v>-0.33475490000000002</v>
      </c>
      <c r="U2158">
        <v>-0.24923709999999999</v>
      </c>
      <c r="V2158">
        <v>0.2972882</v>
      </c>
      <c r="W2158">
        <v>-5.2093439999999998E-2</v>
      </c>
      <c r="X2158">
        <v>0.95336560000000004</v>
      </c>
      <c r="Y2158">
        <v>0.62901669999999998</v>
      </c>
      <c r="Z2158">
        <v>8.9932310000000001E-2</v>
      </c>
      <c r="AA2158">
        <v>0.77217239999999998</v>
      </c>
      <c r="AB2158">
        <v>22</v>
      </c>
      <c r="AC2158">
        <v>-10.514900000000001</v>
      </c>
      <c r="AD2158">
        <v>-1.108435371735</v>
      </c>
      <c r="AE2158">
        <v>-0.69149999999996203</v>
      </c>
      <c r="AF2158">
        <v>6.7068595953172503</v>
      </c>
      <c r="AG2158">
        <v>-1.108435371735</v>
      </c>
      <c r="AH2158">
        <v>7.9776099268354397</v>
      </c>
      <c r="AI2158">
        <v>96.070720291678796</v>
      </c>
      <c r="AJ2158">
        <v>49.945884949559698</v>
      </c>
      <c r="AK2158">
        <v>10.4810712596258</v>
      </c>
      <c r="AL2158">
        <v>92.986085910657195</v>
      </c>
      <c r="AM2158">
        <v>72.680943660373103</v>
      </c>
      <c r="AN2158">
        <v>0.99999998380681598</v>
      </c>
    </row>
    <row r="2159" spans="1:40" x14ac:dyDescent="0.25">
      <c r="A2159" t="str">
        <f>"20190303154138969"</f>
        <v>20190303154138969</v>
      </c>
      <c r="B2159" t="str">
        <f>"1551598898961186"</f>
        <v>1551598898961186</v>
      </c>
      <c r="C2159" t="s">
        <v>40</v>
      </c>
      <c r="D2159">
        <v>6.3678429999999997</v>
      </c>
      <c r="E2159">
        <v>0.65308900000000003</v>
      </c>
      <c r="F2159" t="s">
        <v>46</v>
      </c>
      <c r="G2159">
        <v>-207.1283</v>
      </c>
      <c r="H2159" s="1">
        <v>5.4662829999999998E-6</v>
      </c>
      <c r="I2159">
        <v>283.6078</v>
      </c>
      <c r="J2159">
        <v>-197.16329999999999</v>
      </c>
      <c r="K2159">
        <v>1.1084069999999999</v>
      </c>
      <c r="L2159">
        <v>284.16059999999999</v>
      </c>
      <c r="M2159">
        <v>-0.736753199999999</v>
      </c>
      <c r="N2159">
        <v>-1.8227440000000001E-2</v>
      </c>
      <c r="O2159">
        <v>-0.67591599999999996</v>
      </c>
      <c r="P2159">
        <v>-0.89965890000000004</v>
      </c>
      <c r="Q2159">
        <v>-6.2156650000000001E-2</v>
      </c>
      <c r="R2159">
        <v>-0.43214639999999999</v>
      </c>
      <c r="S2159">
        <v>-3.2223510000000002</v>
      </c>
      <c r="T2159">
        <v>-0.35192849999999998</v>
      </c>
      <c r="U2159">
        <v>-0.22030640000000001</v>
      </c>
      <c r="V2159">
        <v>0.28821219999999997</v>
      </c>
      <c r="W2159">
        <v>-5.3797789999999998E-2</v>
      </c>
      <c r="X2159">
        <v>0.95605419999999997</v>
      </c>
      <c r="Y2159">
        <v>0.61791839999999998</v>
      </c>
      <c r="Z2159">
        <v>9.3511460000000005E-2</v>
      </c>
      <c r="AA2159">
        <v>0.78066150000000001</v>
      </c>
      <c r="AB2159">
        <v>22</v>
      </c>
      <c r="AC2159">
        <v>-9.9649999999999999</v>
      </c>
      <c r="AD2159">
        <v>-1.1084015337169999</v>
      </c>
      <c r="AE2159">
        <v>-0.55279999999998997</v>
      </c>
      <c r="AF2159">
        <v>6.2521630145735303</v>
      </c>
      <c r="AG2159">
        <v>-1.1084015337169999</v>
      </c>
      <c r="AH2159">
        <v>7.6226560600278503</v>
      </c>
      <c r="AI2159">
        <v>96.414741514027</v>
      </c>
      <c r="AJ2159">
        <v>50.641124199571898</v>
      </c>
      <c r="AK2159">
        <v>9.9208357374883906</v>
      </c>
      <c r="AL2159">
        <v>93.083874929125699</v>
      </c>
      <c r="AM2159">
        <v>73.224036291240907</v>
      </c>
      <c r="AN2159">
        <v>1.0000000538876801</v>
      </c>
    </row>
    <row r="2160" spans="1:40" x14ac:dyDescent="0.25">
      <c r="A2160" t="str">
        <f>"20190303154138994"</f>
        <v>20190303154138994</v>
      </c>
      <c r="B2160" t="str">
        <f>"1551598898991442"</f>
        <v>1551598898991442</v>
      </c>
      <c r="C2160" t="s">
        <v>40</v>
      </c>
      <c r="D2160">
        <v>6.3654919999999997</v>
      </c>
      <c r="E2160">
        <v>0.65096180000000003</v>
      </c>
      <c r="F2160" t="s">
        <v>46</v>
      </c>
      <c r="G2160">
        <v>-207.09110000000001</v>
      </c>
      <c r="H2160" s="1">
        <v>5.4515099999999899E-6</v>
      </c>
      <c r="I2160">
        <v>283.58800000000002</v>
      </c>
      <c r="J2160">
        <v>-197.36519999999999</v>
      </c>
      <c r="K2160">
        <v>1.108374</v>
      </c>
      <c r="L2160">
        <v>284.01330000000002</v>
      </c>
      <c r="M2160">
        <v>-0.75298609999999999</v>
      </c>
      <c r="N2160">
        <v>-1.8360100000000001E-2</v>
      </c>
      <c r="O2160">
        <v>-0.65778009999999998</v>
      </c>
      <c r="P2160">
        <v>-0.90598029999999996</v>
      </c>
      <c r="Q2160">
        <v>-6.4382480000000006E-2</v>
      </c>
      <c r="R2160">
        <v>-0.41839520000000002</v>
      </c>
      <c r="S2160">
        <v>-3.22052</v>
      </c>
      <c r="T2160">
        <v>-0.3595585</v>
      </c>
      <c r="U2160">
        <v>-0.1857605</v>
      </c>
      <c r="V2160">
        <v>0.27932790000000002</v>
      </c>
      <c r="W2160">
        <v>-5.5597840000000003E-2</v>
      </c>
      <c r="X2160">
        <v>0.95858480000000001</v>
      </c>
      <c r="Y2160">
        <v>0.60693319999999995</v>
      </c>
      <c r="Z2160">
        <v>9.4055700000000006E-2</v>
      </c>
      <c r="AA2160">
        <v>0.78916759999999997</v>
      </c>
      <c r="AB2160">
        <v>22</v>
      </c>
      <c r="AC2160">
        <v>-9.7259000000000206</v>
      </c>
      <c r="AD2160">
        <v>-1.1083685484900001</v>
      </c>
      <c r="AE2160">
        <v>-0.42530000000004903</v>
      </c>
      <c r="AF2160">
        <v>6.00050379056231</v>
      </c>
      <c r="AG2160">
        <v>-1.1083685484900001</v>
      </c>
      <c r="AH2160">
        <v>7.50719405031841</v>
      </c>
      <c r="AI2160">
        <v>96.578714110331106</v>
      </c>
      <c r="AJ2160">
        <v>51.364638913250303</v>
      </c>
      <c r="AK2160">
        <v>9.6743211177307202</v>
      </c>
      <c r="AL2160">
        <v>93.187164984381297</v>
      </c>
      <c r="AM2160">
        <v>73.754081746662806</v>
      </c>
      <c r="AN2160">
        <v>1.00000000716105</v>
      </c>
    </row>
    <row r="2161" spans="1:40" x14ac:dyDescent="0.25">
      <c r="A2161" t="str">
        <f>"20190303154139017"</f>
        <v>20190303154139017</v>
      </c>
      <c r="B2161" t="str">
        <f>"1551598899011179"</f>
        <v>1551598899011179</v>
      </c>
      <c r="C2161" t="s">
        <v>40</v>
      </c>
      <c r="D2161">
        <v>6.5063199999999997</v>
      </c>
      <c r="E2161">
        <v>0.64964880000000003</v>
      </c>
      <c r="F2161" t="s">
        <v>46</v>
      </c>
      <c r="G2161">
        <v>-207.2784</v>
      </c>
      <c r="H2161" s="1">
        <v>5.5384089999999998E-6</v>
      </c>
      <c r="I2161">
        <v>283.54399999999998</v>
      </c>
      <c r="J2161">
        <v>-197.54820000000001</v>
      </c>
      <c r="K2161">
        <v>1.1083559999999999</v>
      </c>
      <c r="L2161">
        <v>283.88670000000002</v>
      </c>
      <c r="M2161">
        <v>-0.76719090000000001</v>
      </c>
      <c r="N2161">
        <v>-1.846503E-2</v>
      </c>
      <c r="O2161">
        <v>-0.64115299999999997</v>
      </c>
      <c r="P2161">
        <v>-0.91163110000000003</v>
      </c>
      <c r="Q2161">
        <v>-6.6154820000000003E-2</v>
      </c>
      <c r="R2161">
        <v>-0.40565030000000002</v>
      </c>
      <c r="S2161">
        <v>-3.2155</v>
      </c>
      <c r="T2161">
        <v>-0.35951480000000002</v>
      </c>
      <c r="U2161">
        <v>-0.15222169999999999</v>
      </c>
      <c r="V2161">
        <v>0.27167000000000002</v>
      </c>
      <c r="W2161">
        <v>-5.7005979999999998E-2</v>
      </c>
      <c r="X2161">
        <v>0.96070060000000002</v>
      </c>
      <c r="Y2161">
        <v>0.59780630000000001</v>
      </c>
      <c r="Z2161">
        <v>9.2661809999999997E-2</v>
      </c>
      <c r="AA2161">
        <v>0.79626719999999995</v>
      </c>
      <c r="AB2161">
        <v>21</v>
      </c>
      <c r="AC2161">
        <v>-9.7301999999999893</v>
      </c>
      <c r="AD2161">
        <v>-1.10835046159099</v>
      </c>
      <c r="AE2161">
        <v>-0.34269999999997902</v>
      </c>
      <c r="AF2161">
        <v>5.9001888782483398</v>
      </c>
      <c r="AG2161">
        <v>-1.10835046159099</v>
      </c>
      <c r="AH2161">
        <v>7.5876261888164001</v>
      </c>
      <c r="AI2161">
        <v>96.577891510906795</v>
      </c>
      <c r="AJ2161">
        <v>52.131124668701297</v>
      </c>
      <c r="AK2161">
        <v>9.6753677307855792</v>
      </c>
      <c r="AL2161">
        <v>93.267973814000996</v>
      </c>
      <c r="AM2161">
        <v>74.209987678568595</v>
      </c>
      <c r="AN2161">
        <v>0.99999995674805897</v>
      </c>
    </row>
    <row r="2162" spans="1:40" x14ac:dyDescent="0.25">
      <c r="A2162" t="str">
        <f>"20190303154139039"</f>
        <v>20190303154139039</v>
      </c>
      <c r="B2162" t="str">
        <f>"1551598899031676"</f>
        <v>1551598899031676</v>
      </c>
      <c r="C2162" t="s">
        <v>40</v>
      </c>
      <c r="D2162">
        <v>6.381189</v>
      </c>
      <c r="E2162">
        <v>0.64810889999999999</v>
      </c>
      <c r="F2162" t="s">
        <v>46</v>
      </c>
      <c r="G2162">
        <v>-207.48750000000001</v>
      </c>
      <c r="H2162" s="1">
        <v>5.6327350000000002E-6</v>
      </c>
      <c r="I2162">
        <v>283.52589999999998</v>
      </c>
      <c r="J2162">
        <v>-197.7304</v>
      </c>
      <c r="K2162">
        <v>1.1083639999999999</v>
      </c>
      <c r="L2162">
        <v>283.76690000000002</v>
      </c>
      <c r="M2162">
        <v>-0.78084969999999998</v>
      </c>
      <c r="N2162">
        <v>-1.8555930000000002E-2</v>
      </c>
      <c r="O2162">
        <v>-0.62444330000000003</v>
      </c>
      <c r="P2162">
        <v>-0.91773179999999999</v>
      </c>
      <c r="Q2162">
        <v>-6.5434530000000005E-2</v>
      </c>
      <c r="R2162">
        <v>-0.39177390000000001</v>
      </c>
      <c r="S2162">
        <v>-3.2129059999999998</v>
      </c>
      <c r="T2162">
        <v>-0.35827520000000002</v>
      </c>
      <c r="U2162">
        <v>-0.11660769999999999</v>
      </c>
      <c r="V2162">
        <v>0.26556859999999999</v>
      </c>
      <c r="W2162">
        <v>-5.5980809999999999E-2</v>
      </c>
      <c r="X2162">
        <v>0.96246529999999997</v>
      </c>
      <c r="Y2162">
        <v>0.58945729999999996</v>
      </c>
      <c r="Z2162">
        <v>9.0871519999999997E-2</v>
      </c>
      <c r="AA2162">
        <v>0.80267200000000005</v>
      </c>
      <c r="AB2162">
        <v>21</v>
      </c>
      <c r="AC2162">
        <v>-9.7570999999999994</v>
      </c>
      <c r="AD2162">
        <v>-1.1083583672649999</v>
      </c>
      <c r="AE2162">
        <v>-0.24100000000004199</v>
      </c>
      <c r="AF2162">
        <v>5.8303990597135398</v>
      </c>
      <c r="AG2162">
        <v>-1.1083583672649999</v>
      </c>
      <c r="AH2162">
        <v>7.6717230091888204</v>
      </c>
      <c r="AI2162">
        <v>96.561604267811802</v>
      </c>
      <c r="AJ2162">
        <v>52.7656887902438</v>
      </c>
      <c r="AK2162">
        <v>9.6993476788654291</v>
      </c>
      <c r="AL2162">
        <v>93.209141821847595</v>
      </c>
      <c r="AM2162">
        <v>74.574468009433204</v>
      </c>
      <c r="AN2162">
        <v>0.99999999304915299</v>
      </c>
    </row>
    <row r="2163" spans="1:40" x14ac:dyDescent="0.25">
      <c r="A2163" t="str">
        <f>"20190303154139059"</f>
        <v>20190303154139059</v>
      </c>
      <c r="B2163" t="str">
        <f>"1551598899051196"</f>
        <v>1551598899051196</v>
      </c>
      <c r="C2163" t="s">
        <v>40</v>
      </c>
      <c r="D2163">
        <v>6.3646000000000003</v>
      </c>
      <c r="E2163">
        <v>0.64652690000000002</v>
      </c>
      <c r="F2163" t="s">
        <v>46</v>
      </c>
      <c r="G2163">
        <v>-207.78630000000001</v>
      </c>
      <c r="H2163" s="1">
        <v>5.7659799999999998E-6</v>
      </c>
      <c r="I2163">
        <v>283.51740000000001</v>
      </c>
      <c r="J2163">
        <v>-197.9068</v>
      </c>
      <c r="K2163">
        <v>1.10839</v>
      </c>
      <c r="L2163">
        <v>283.65629999999999</v>
      </c>
      <c r="M2163">
        <v>-0.79362390000000005</v>
      </c>
      <c r="N2163">
        <v>-1.8631990000000001E-2</v>
      </c>
      <c r="O2163">
        <v>-0.60812349999999904</v>
      </c>
      <c r="P2163">
        <v>-0.92401730000000004</v>
      </c>
      <c r="Q2163">
        <v>-6.3593360000000002E-2</v>
      </c>
      <c r="R2163">
        <v>-0.37702530000000001</v>
      </c>
      <c r="S2163">
        <v>-3.2097020000000001</v>
      </c>
      <c r="T2163">
        <v>-0.35376980000000002</v>
      </c>
      <c r="U2163">
        <v>-7.9620360000000001E-2</v>
      </c>
      <c r="V2163">
        <v>0.26117699999999999</v>
      </c>
      <c r="W2163">
        <v>-5.3901820000000003E-2</v>
      </c>
      <c r="X2163">
        <v>0.9637848</v>
      </c>
      <c r="Y2163">
        <v>0.58221129999999999</v>
      </c>
      <c r="Z2163">
        <v>8.8295299999999993E-2</v>
      </c>
      <c r="AA2163">
        <v>0.80822890000000003</v>
      </c>
      <c r="AB2163">
        <v>21</v>
      </c>
      <c r="AC2163">
        <v>-9.8795000000000002</v>
      </c>
      <c r="AD2163">
        <v>-1.1083842340200001</v>
      </c>
      <c r="AE2163">
        <v>-0.13889999999997801</v>
      </c>
      <c r="AF2163">
        <v>5.8254366842107697</v>
      </c>
      <c r="AG2163">
        <v>-1.1083842340200001</v>
      </c>
      <c r="AH2163">
        <v>7.82794245774316</v>
      </c>
      <c r="AI2163">
        <v>96.4805027932819</v>
      </c>
      <c r="AJ2163">
        <v>53.343933347005603</v>
      </c>
      <c r="AK2163">
        <v>9.8204333556982508</v>
      </c>
      <c r="AL2163">
        <v>93.089844279289494</v>
      </c>
      <c r="AM2163">
        <v>74.837516364067298</v>
      </c>
      <c r="AN2163">
        <v>0.999999986119676</v>
      </c>
    </row>
    <row r="2164" spans="1:40" x14ac:dyDescent="0.25">
      <c r="A2164" t="str">
        <f>"20190303154139082"</f>
        <v>20190303154139082</v>
      </c>
      <c r="B2164" t="str">
        <f>"1551598899071692"</f>
        <v>1551598899071692</v>
      </c>
      <c r="C2164" t="s">
        <v>40</v>
      </c>
      <c r="D2164">
        <v>6.4629799999999999</v>
      </c>
      <c r="E2164">
        <v>0.64565269999999997</v>
      </c>
      <c r="F2164" t="s">
        <v>46</v>
      </c>
      <c r="G2164">
        <v>-208.1593</v>
      </c>
      <c r="H2164" s="1">
        <v>5.9304750000000002E-6</v>
      </c>
      <c r="I2164">
        <v>283.52780000000001</v>
      </c>
      <c r="J2164">
        <v>-198.1052</v>
      </c>
      <c r="K2164">
        <v>1.1084149999999999</v>
      </c>
      <c r="L2164">
        <v>283.53820000000002</v>
      </c>
      <c r="M2164">
        <v>-0.80745549999999999</v>
      </c>
      <c r="N2164">
        <v>-1.870341E-2</v>
      </c>
      <c r="O2164">
        <v>-0.58963209999999999</v>
      </c>
      <c r="P2164">
        <v>-0.93179160000000005</v>
      </c>
      <c r="Q2164">
        <v>-6.3651100000000002E-2</v>
      </c>
      <c r="R2164">
        <v>-0.35737000000000002</v>
      </c>
      <c r="S2164">
        <v>-3.2064210000000002</v>
      </c>
      <c r="T2164">
        <v>-0.34664070000000002</v>
      </c>
      <c r="U2164">
        <v>-4.0191650000000002E-2</v>
      </c>
      <c r="V2164">
        <v>0.25933410000000001</v>
      </c>
      <c r="W2164">
        <v>-5.3812939999999997E-2</v>
      </c>
      <c r="X2164">
        <v>0.96428729999999996</v>
      </c>
      <c r="Y2164">
        <v>0.57373319999999906</v>
      </c>
      <c r="Z2164">
        <v>8.4815310000000005E-2</v>
      </c>
      <c r="AA2164">
        <v>0.81463890000000005</v>
      </c>
      <c r="AB2164">
        <v>21</v>
      </c>
      <c r="AC2164">
        <v>-10.0541</v>
      </c>
      <c r="AD2164">
        <v>-1.108409069525</v>
      </c>
      <c r="AE2164">
        <v>-1.04000000000041E-2</v>
      </c>
      <c r="AF2164">
        <v>5.8497606068838799</v>
      </c>
      <c r="AG2164">
        <v>-1.108409069525</v>
      </c>
      <c r="AH2164">
        <v>8.0282174213079394</v>
      </c>
      <c r="AI2164">
        <v>96.366972449176203</v>
      </c>
      <c r="AJ2164">
        <v>53.921047842316803</v>
      </c>
      <c r="AK2164">
        <v>9.9950260023197597</v>
      </c>
      <c r="AL2164">
        <v>93.0847443782189</v>
      </c>
      <c r="AM2164">
        <v>74.947120347060803</v>
      </c>
      <c r="AN2164">
        <v>1.00000000243777</v>
      </c>
    </row>
    <row r="2165" spans="1:40" x14ac:dyDescent="0.25">
      <c r="A2165" t="str">
        <f>"20190303154139103"</f>
        <v>20190303154139103</v>
      </c>
      <c r="B2165" t="str">
        <f>"1551598899101948"</f>
        <v>1551598899101948</v>
      </c>
      <c r="C2165" t="s">
        <v>40</v>
      </c>
      <c r="D2165">
        <v>6.4337140000000002</v>
      </c>
      <c r="E2165">
        <v>0.66646470000000002</v>
      </c>
      <c r="F2165" t="s">
        <v>46</v>
      </c>
      <c r="G2165">
        <v>-208.45599999999999</v>
      </c>
      <c r="H2165" s="1">
        <v>6.0551800000000004E-6</v>
      </c>
      <c r="I2165">
        <v>283.6062</v>
      </c>
      <c r="J2165">
        <v>-198.29040000000001</v>
      </c>
      <c r="K2165">
        <v>1.1084369999999999</v>
      </c>
      <c r="L2165">
        <v>283.43340000000001</v>
      </c>
      <c r="M2165">
        <v>-0.8198723</v>
      </c>
      <c r="N2165">
        <v>-1.8757369999999999E-2</v>
      </c>
      <c r="O2165">
        <v>-0.57223919999999995</v>
      </c>
      <c r="P2165">
        <v>-0.93888720000000003</v>
      </c>
      <c r="Q2165">
        <v>-6.6645049999999997E-2</v>
      </c>
      <c r="R2165">
        <v>-0.33771190000000001</v>
      </c>
      <c r="S2165">
        <v>-3.2042540000000002</v>
      </c>
      <c r="T2165">
        <v>-0.34312429999999999</v>
      </c>
      <c r="U2165">
        <v>2.105713E-2</v>
      </c>
      <c r="V2165">
        <v>0.2587796</v>
      </c>
      <c r="W2165">
        <v>-5.6720859999999998E-2</v>
      </c>
      <c r="X2165">
        <v>0.96426959999999995</v>
      </c>
      <c r="Y2165">
        <v>0.57202039999999998</v>
      </c>
      <c r="Z2165">
        <v>8.2790509999999998E-2</v>
      </c>
      <c r="AA2165">
        <v>0.81605050000000001</v>
      </c>
      <c r="AB2165">
        <v>21</v>
      </c>
      <c r="AC2165">
        <v>-10.1655999999999</v>
      </c>
      <c r="AD2165">
        <v>-1.10843094482</v>
      </c>
      <c r="AE2165">
        <v>0.17279999999999501</v>
      </c>
      <c r="AF2165">
        <v>5.8898715010834302</v>
      </c>
      <c r="AG2165">
        <v>-1.10843094482</v>
      </c>
      <c r="AH2165">
        <v>8.1403061109221397</v>
      </c>
      <c r="AI2165">
        <v>96.295271053162594</v>
      </c>
      <c r="AJ2165">
        <v>54.112598366482104</v>
      </c>
      <c r="AK2165">
        <v>10.108599756555099</v>
      </c>
      <c r="AL2165">
        <v>93.251611026402799</v>
      </c>
      <c r="AM2165">
        <v>74.9775863687656</v>
      </c>
      <c r="AN2165">
        <v>0.99999999940972895</v>
      </c>
    </row>
    <row r="2166" spans="1:40" x14ac:dyDescent="0.25">
      <c r="A2166" t="str">
        <f>"20190303154139125"</f>
        <v>20190303154139125</v>
      </c>
      <c r="B2166" t="str">
        <f>"1551598899121468"</f>
        <v>1551598899121468</v>
      </c>
      <c r="C2166" t="s">
        <v>40</v>
      </c>
      <c r="D2166">
        <v>6.4452020000000001</v>
      </c>
      <c r="E2166">
        <v>0.66609909999999894</v>
      </c>
      <c r="F2166" t="s">
        <v>50</v>
      </c>
      <c r="G2166">
        <v>-211.7184</v>
      </c>
      <c r="H2166" s="1">
        <v>-6.2232810000000003E-7</v>
      </c>
      <c r="I2166">
        <v>284.42320000000001</v>
      </c>
      <c r="J2166">
        <v>-198.4744</v>
      </c>
      <c r="K2166">
        <v>1.1084719999999999</v>
      </c>
      <c r="L2166">
        <v>283.33449999999999</v>
      </c>
      <c r="M2166">
        <v>-0.831729099999999</v>
      </c>
      <c r="N2166">
        <v>-1.8799360000000001E-2</v>
      </c>
      <c r="O2166">
        <v>-0.55486349999999995</v>
      </c>
      <c r="P2166">
        <v>-0.94535630000000004</v>
      </c>
      <c r="Q2166">
        <v>-7.1231160000000002E-2</v>
      </c>
      <c r="R2166">
        <v>-0.31816349999999999</v>
      </c>
      <c r="S2166">
        <v>-3.2626650000000001</v>
      </c>
      <c r="T2166">
        <v>-0.26932230000000001</v>
      </c>
      <c r="U2166">
        <v>0.24047850000000001</v>
      </c>
      <c r="V2166">
        <v>0.25817390000000001</v>
      </c>
      <c r="W2166">
        <v>-6.1226030000000001E-2</v>
      </c>
      <c r="X2166">
        <v>0.96415640000000002</v>
      </c>
      <c r="Y2166">
        <v>0.611128</v>
      </c>
      <c r="Z2166">
        <v>6.387901E-2</v>
      </c>
      <c r="AA2166">
        <v>0.78894989999999998</v>
      </c>
      <c r="AB2166">
        <v>21</v>
      </c>
      <c r="AC2166">
        <v>-13.244</v>
      </c>
      <c r="AD2166">
        <v>-1.1084726223280901</v>
      </c>
      <c r="AE2166">
        <v>1.08870000000001</v>
      </c>
      <c r="AF2166">
        <v>8.1985280632535709</v>
      </c>
      <c r="AG2166">
        <v>-1.1084726223280901</v>
      </c>
      <c r="AH2166">
        <v>10.341224808733299</v>
      </c>
      <c r="AI2166">
        <v>94.801303483997501</v>
      </c>
      <c r="AJ2166">
        <v>51.592602009839403</v>
      </c>
      <c r="AK2166">
        <v>13.243319240400799</v>
      </c>
      <c r="AL2166">
        <v>93.510188596045893</v>
      </c>
      <c r="AM2166">
        <v>75.009483116728006</v>
      </c>
      <c r="AN2166">
        <v>0.99999997652586503</v>
      </c>
    </row>
    <row r="2167" spans="1:40" x14ac:dyDescent="0.25">
      <c r="A2167" t="str">
        <f>"20190303154139149"</f>
        <v>20190303154139149</v>
      </c>
      <c r="B2167" t="str">
        <f>"1551598899141964"</f>
        <v>1551598899141964</v>
      </c>
      <c r="C2167" t="s">
        <v>40</v>
      </c>
      <c r="D2167">
        <v>6.4280499999999998</v>
      </c>
      <c r="E2167">
        <v>0.66455830000000005</v>
      </c>
      <c r="F2167" t="s">
        <v>50</v>
      </c>
      <c r="G2167">
        <v>-211.86619999999999</v>
      </c>
      <c r="H2167" s="1">
        <v>-5.4366829999999997E-7</v>
      </c>
      <c r="I2167">
        <v>284.5881</v>
      </c>
      <c r="J2167">
        <v>-198.6824</v>
      </c>
      <c r="K2167">
        <v>1.1085320000000001</v>
      </c>
      <c r="L2167">
        <v>283.22879999999998</v>
      </c>
      <c r="M2167">
        <v>-0.84456679999999995</v>
      </c>
      <c r="N2167">
        <v>-1.883427E-2</v>
      </c>
      <c r="O2167">
        <v>-0.53511880000000001</v>
      </c>
      <c r="P2167">
        <v>-0.95187169999999999</v>
      </c>
      <c r="Q2167">
        <v>-7.4097430000000006E-2</v>
      </c>
      <c r="R2167">
        <v>-0.2974057</v>
      </c>
      <c r="S2167">
        <v>-3.2556609999999999</v>
      </c>
      <c r="T2167">
        <v>-0.26947919999999997</v>
      </c>
      <c r="U2167">
        <v>0.30474849999999998</v>
      </c>
      <c r="V2167">
        <v>0.25636310000000001</v>
      </c>
      <c r="W2167">
        <v>-6.396027E-2</v>
      </c>
      <c r="X2167">
        <v>0.96446200000000004</v>
      </c>
      <c r="Y2167">
        <v>0.60814199999999996</v>
      </c>
      <c r="Z2167">
        <v>6.2956120000000004E-2</v>
      </c>
      <c r="AA2167">
        <v>0.79132799999999903</v>
      </c>
      <c r="AB2167">
        <v>21</v>
      </c>
      <c r="AC2167">
        <v>-13.1837999999999</v>
      </c>
      <c r="AD2167">
        <v>-1.1085325436683</v>
      </c>
      <c r="AE2167">
        <v>1.3593000000000099</v>
      </c>
      <c r="AF2167">
        <v>8.1473788438079993</v>
      </c>
      <c r="AG2167">
        <v>-1.1085325436683</v>
      </c>
      <c r="AH2167">
        <v>10.336747992276401</v>
      </c>
      <c r="AI2167">
        <v>94.814354532405403</v>
      </c>
      <c r="AJ2167">
        <v>51.754978327486199</v>
      </c>
      <c r="AK2167">
        <v>13.208216589711601</v>
      </c>
      <c r="AL2167">
        <v>93.667156945339002</v>
      </c>
      <c r="AM2167">
        <v>75.114447521010405</v>
      </c>
      <c r="AN2167">
        <v>0.99999995231203997</v>
      </c>
    </row>
    <row r="2168" spans="1:40" x14ac:dyDescent="0.25">
      <c r="A2168" t="str">
        <f>"20190303154139170"</f>
        <v>20190303154139170</v>
      </c>
      <c r="B2168" t="str">
        <f>"1551598899161484"</f>
        <v>1551598899161484</v>
      </c>
      <c r="C2168" t="s">
        <v>40</v>
      </c>
      <c r="D2168">
        <v>6.4184469999999996</v>
      </c>
      <c r="E2168">
        <v>0.66288999999999998</v>
      </c>
      <c r="F2168" t="s">
        <v>50</v>
      </c>
      <c r="G2168">
        <v>-212.10820000000001</v>
      </c>
      <c r="H2168" s="1">
        <v>-4.1489599999999999E-7</v>
      </c>
      <c r="I2168">
        <v>284.73450000000003</v>
      </c>
      <c r="J2168">
        <v>-198.8689</v>
      </c>
      <c r="K2168">
        <v>1.1086020000000001</v>
      </c>
      <c r="L2168">
        <v>283.13920000000002</v>
      </c>
      <c r="M2168">
        <v>-0.85557709999999998</v>
      </c>
      <c r="N2168">
        <v>-1.8855500000000001E-2</v>
      </c>
      <c r="O2168">
        <v>-0.51733209999999996</v>
      </c>
      <c r="P2168">
        <v>-0.95707549999999997</v>
      </c>
      <c r="Q2168">
        <v>-7.5762969999999999E-2</v>
      </c>
      <c r="R2168">
        <v>-0.27976139999999999</v>
      </c>
      <c r="S2168">
        <v>-3.2445219999999999</v>
      </c>
      <c r="T2168">
        <v>-0.26789190000000002</v>
      </c>
      <c r="U2168">
        <v>0.36389159999999998</v>
      </c>
      <c r="V2168">
        <v>0.25390580000000001</v>
      </c>
      <c r="W2168">
        <v>-6.548081E-2</v>
      </c>
      <c r="X2168">
        <v>0.96500989999999998</v>
      </c>
      <c r="Y2168">
        <v>0.60615609999999998</v>
      </c>
      <c r="Z2168">
        <v>6.1792449999999999E-2</v>
      </c>
      <c r="AA2168">
        <v>0.79294169999999997</v>
      </c>
      <c r="AB2168">
        <v>21</v>
      </c>
      <c r="AC2168">
        <v>-13.2393</v>
      </c>
      <c r="AD2168">
        <v>-1.1086024148960001</v>
      </c>
      <c r="AE2168">
        <v>1.5952999999999999</v>
      </c>
      <c r="AF2168">
        <v>8.1590866497241201</v>
      </c>
      <c r="AG2168">
        <v>-1.1086024148960001</v>
      </c>
      <c r="AH2168">
        <v>10.4317113753049</v>
      </c>
      <c r="AI2168">
        <v>94.785012819995401</v>
      </c>
      <c r="AJ2168">
        <v>51.969520193048602</v>
      </c>
      <c r="AK2168">
        <v>13.2898569025286</v>
      </c>
      <c r="AL2168">
        <v>93.754460343717199</v>
      </c>
      <c r="AM2168">
        <v>75.258890060322898</v>
      </c>
      <c r="AN2168">
        <v>0.99999999942495299</v>
      </c>
    </row>
    <row r="2169" spans="1:40" x14ac:dyDescent="0.25">
      <c r="A2169" t="str">
        <f>"20190303154139196"</f>
        <v>20190303154139196</v>
      </c>
      <c r="B2169" t="str">
        <f>"1551598899191740"</f>
        <v>1551598899191740</v>
      </c>
      <c r="C2169" t="s">
        <v>40</v>
      </c>
      <c r="D2169">
        <v>6.4514500000000004</v>
      </c>
      <c r="E2169">
        <v>0.66164849999999997</v>
      </c>
      <c r="F2169" t="s">
        <v>50</v>
      </c>
      <c r="G2169">
        <v>-212.2064</v>
      </c>
      <c r="H2169" s="1">
        <v>-3.6265739999999998E-7</v>
      </c>
      <c r="I2169">
        <v>284.8338</v>
      </c>
      <c r="J2169">
        <v>-199.09989999999999</v>
      </c>
      <c r="K2169">
        <v>1.10869</v>
      </c>
      <c r="L2169">
        <v>283.03449999999998</v>
      </c>
      <c r="M2169">
        <v>-0.86857189999999995</v>
      </c>
      <c r="N2169">
        <v>-1.8871039999999999E-2</v>
      </c>
      <c r="O2169">
        <v>-0.49520399999999998</v>
      </c>
      <c r="P2169">
        <v>-0.96328899999999995</v>
      </c>
      <c r="Q2169">
        <v>-7.5941809999999998E-2</v>
      </c>
      <c r="R2169">
        <v>-0.25750189999999901</v>
      </c>
      <c r="S2169">
        <v>-3.2333530000000001</v>
      </c>
      <c r="T2169">
        <v>-0.26875470000000001</v>
      </c>
      <c r="U2169">
        <v>0.41082760000000001</v>
      </c>
      <c r="V2169">
        <v>0.25151250000000003</v>
      </c>
      <c r="W2169">
        <v>-6.5506919999999996E-2</v>
      </c>
      <c r="X2169">
        <v>0.96563460000000001</v>
      </c>
      <c r="Y2169">
        <v>0.59743979999999997</v>
      </c>
      <c r="Z2169">
        <v>6.0619409999999999E-2</v>
      </c>
      <c r="AA2169">
        <v>0.79961930000000003</v>
      </c>
      <c r="AB2169">
        <v>21</v>
      </c>
      <c r="AC2169">
        <v>-13.1065</v>
      </c>
      <c r="AD2169">
        <v>-1.1086903626573901</v>
      </c>
      <c r="AE2169">
        <v>1.7993000000000099</v>
      </c>
      <c r="AF2169">
        <v>7.9984706308123501</v>
      </c>
      <c r="AG2169">
        <v>-1.1086903626573901</v>
      </c>
      <c r="AH2169">
        <v>10.421591053143199</v>
      </c>
      <c r="AI2169">
        <v>94.823956488858499</v>
      </c>
      <c r="AJ2169">
        <v>52.494108992471197</v>
      </c>
      <c r="AK2169">
        <v>13.1838646394436</v>
      </c>
      <c r="AL2169">
        <v>93.755959788402393</v>
      </c>
      <c r="AM2169">
        <v>75.400915328325794</v>
      </c>
      <c r="AN2169">
        <v>0.99999993747064597</v>
      </c>
    </row>
    <row r="2170" spans="1:40" x14ac:dyDescent="0.25">
      <c r="A2170" t="str">
        <f>"20190303154139219"</f>
        <v>20190303154139219</v>
      </c>
      <c r="B2170" t="str">
        <f>"1551598899211260"</f>
        <v>1551598899211260</v>
      </c>
      <c r="C2170" t="s">
        <v>40</v>
      </c>
      <c r="D2170">
        <v>6.427581</v>
      </c>
      <c r="E2170">
        <v>0.66009469999999904</v>
      </c>
      <c r="F2170" t="s">
        <v>50</v>
      </c>
      <c r="G2170">
        <v>-212.4324</v>
      </c>
      <c r="H2170" s="1">
        <v>-2.4237049999999998E-7</v>
      </c>
      <c r="I2170">
        <v>285.00450000000001</v>
      </c>
      <c r="J2170">
        <v>-199.30109999999999</v>
      </c>
      <c r="K2170">
        <v>1.108792</v>
      </c>
      <c r="L2170">
        <v>282.94959999999998</v>
      </c>
      <c r="M2170">
        <v>-0.87931079999999995</v>
      </c>
      <c r="N2170">
        <v>-1.88738E-2</v>
      </c>
      <c r="O2170">
        <v>-0.47587420000000002</v>
      </c>
      <c r="P2170">
        <v>-0.96816749999999996</v>
      </c>
      <c r="Q2170">
        <v>-7.4520329999999996E-2</v>
      </c>
      <c r="R2170">
        <v>-0.2389529</v>
      </c>
      <c r="S2170">
        <v>-3.220383</v>
      </c>
      <c r="T2170">
        <v>-0.26779649999999999</v>
      </c>
      <c r="U2170">
        <v>0.47583009999999898</v>
      </c>
      <c r="V2170">
        <v>0.2488167</v>
      </c>
      <c r="W2170">
        <v>-6.3934820000000003E-2</v>
      </c>
      <c r="X2170">
        <v>0.96643809999999997</v>
      </c>
      <c r="Y2170">
        <v>0.5960318</v>
      </c>
      <c r="Z2170">
        <v>5.9519900000000001E-2</v>
      </c>
      <c r="AA2170">
        <v>0.80075169999999996</v>
      </c>
      <c r="AB2170">
        <v>21</v>
      </c>
      <c r="AC2170">
        <v>-13.1313</v>
      </c>
      <c r="AD2170">
        <v>-1.1087922423704999</v>
      </c>
      <c r="AE2170">
        <v>2.0549000000000301</v>
      </c>
      <c r="AF2170">
        <v>8.0014916675158094</v>
      </c>
      <c r="AG2170">
        <v>-1.1087922423704999</v>
      </c>
      <c r="AH2170">
        <v>10.4974461952729</v>
      </c>
      <c r="AI2170">
        <v>94.801810850935198</v>
      </c>
      <c r="AJ2170">
        <v>52.684182854778399</v>
      </c>
      <c r="AK2170">
        <v>13.2457414199702</v>
      </c>
      <c r="AL2170">
        <v>93.665695578988803</v>
      </c>
      <c r="AM2170">
        <v>75.562320617246201</v>
      </c>
      <c r="AN2170">
        <v>1.0000000062694601</v>
      </c>
    </row>
    <row r="2171" spans="1:40" x14ac:dyDescent="0.25">
      <c r="A2171" t="str">
        <f>"20190303154139238"</f>
        <v>20190303154139238</v>
      </c>
      <c r="B2171" t="str">
        <f>"1551598899231756"</f>
        <v>1551598899231756</v>
      </c>
      <c r="C2171" t="s">
        <v>40</v>
      </c>
      <c r="D2171">
        <v>6.4355580000000003</v>
      </c>
      <c r="E2171">
        <v>0.6592633</v>
      </c>
      <c r="F2171" t="s">
        <v>50</v>
      </c>
      <c r="G2171">
        <v>-212.92359999999999</v>
      </c>
      <c r="H2171" s="1">
        <v>1.9000169999999999E-8</v>
      </c>
      <c r="I2171">
        <v>285.18020000000001</v>
      </c>
      <c r="J2171">
        <v>-199.48249999999999</v>
      </c>
      <c r="K2171">
        <v>1.1088769999999999</v>
      </c>
      <c r="L2171">
        <v>282.87740000000002</v>
      </c>
      <c r="M2171">
        <v>-0.88854880000000003</v>
      </c>
      <c r="N2171">
        <v>-1.8869940000000002E-2</v>
      </c>
      <c r="O2171">
        <v>-0.45839400000000002</v>
      </c>
      <c r="P2171">
        <v>-0.97198329999999999</v>
      </c>
      <c r="Q2171">
        <v>-7.3647749999999998E-2</v>
      </c>
      <c r="R2171">
        <v>-0.22321389999999999</v>
      </c>
      <c r="S2171">
        <v>-3.2082060000000001</v>
      </c>
      <c r="T2171">
        <v>-0.26112970000000002</v>
      </c>
      <c r="U2171">
        <v>0.52532959999999995</v>
      </c>
      <c r="V2171">
        <v>0.24545900000000001</v>
      </c>
      <c r="W2171">
        <v>-6.2899800000000006E-2</v>
      </c>
      <c r="X2171">
        <v>0.96736420000000001</v>
      </c>
      <c r="Y2171">
        <v>0.59288019999999997</v>
      </c>
      <c r="Z2171">
        <v>5.7077799999999998E-2</v>
      </c>
      <c r="AA2171">
        <v>0.80326529999999996</v>
      </c>
      <c r="AB2171">
        <v>21</v>
      </c>
      <c r="AC2171">
        <v>-13.4411</v>
      </c>
      <c r="AD2171">
        <v>-1.10887698099983</v>
      </c>
      <c r="AE2171">
        <v>2.3027999999999902</v>
      </c>
      <c r="AF2171">
        <v>8.1550100177778209</v>
      </c>
      <c r="AG2171">
        <v>-1.10887698099983</v>
      </c>
      <c r="AH2171">
        <v>10.817893953879601</v>
      </c>
      <c r="AI2171">
        <v>94.679335483121903</v>
      </c>
      <c r="AJ2171">
        <v>52.989386650971902</v>
      </c>
      <c r="AK2171">
        <v>13.592668102563</v>
      </c>
      <c r="AL2171">
        <v>93.606273709330594</v>
      </c>
      <c r="AM2171">
        <v>75.762253103159594</v>
      </c>
      <c r="AN2171">
        <v>1.0000000004813301</v>
      </c>
    </row>
    <row r="2172" spans="1:40" x14ac:dyDescent="0.25">
      <c r="A2172" t="str">
        <f>"20190303154139262"</f>
        <v>20190303154139262</v>
      </c>
      <c r="B2172" t="str">
        <f>"1551598899251276"</f>
        <v>1551598899251276</v>
      </c>
      <c r="C2172" t="s">
        <v>40</v>
      </c>
      <c r="D2172">
        <v>6.4531929999999997</v>
      </c>
      <c r="E2172">
        <v>0.64295639999999998</v>
      </c>
      <c r="F2172" t="s">
        <v>50</v>
      </c>
      <c r="G2172">
        <v>-213.36680000000001</v>
      </c>
      <c r="H2172" s="1">
        <v>2.5483260000000002E-7</v>
      </c>
      <c r="I2172">
        <v>285.35570000000001</v>
      </c>
      <c r="J2172">
        <v>-199.69370000000001</v>
      </c>
      <c r="K2172">
        <v>1.1089770000000001</v>
      </c>
      <c r="L2172">
        <v>282.7987</v>
      </c>
      <c r="M2172">
        <v>-0.89876719999999899</v>
      </c>
      <c r="N2172">
        <v>-1.8856210000000002E-2</v>
      </c>
      <c r="O2172">
        <v>-0.43802079999999999</v>
      </c>
      <c r="P2172">
        <v>-0.97597089999999997</v>
      </c>
      <c r="Q2172">
        <v>-7.4569040000000003E-2</v>
      </c>
      <c r="R2172">
        <v>-0.20474529999999999</v>
      </c>
      <c r="S2172">
        <v>-3.1982270000000002</v>
      </c>
      <c r="T2172">
        <v>-0.25542930000000003</v>
      </c>
      <c r="U2172">
        <v>0.57089230000000002</v>
      </c>
      <c r="V2172">
        <v>0.24170949999999999</v>
      </c>
      <c r="W2172">
        <v>-6.3646149999999999E-2</v>
      </c>
      <c r="X2172">
        <v>0.96825910000000004</v>
      </c>
      <c r="Y2172">
        <v>0.5862463</v>
      </c>
      <c r="Z2172">
        <v>5.4520060000000002E-2</v>
      </c>
      <c r="AA2172">
        <v>0.80829629999999997</v>
      </c>
      <c r="AB2172">
        <v>21</v>
      </c>
      <c r="AC2172">
        <v>-13.6731</v>
      </c>
      <c r="AD2172">
        <v>-1.1089767451674</v>
      </c>
      <c r="AE2172">
        <v>2.5570000000000102</v>
      </c>
      <c r="AF2172">
        <v>8.2363723864009799</v>
      </c>
      <c r="AG2172">
        <v>-1.1089767451674</v>
      </c>
      <c r="AH2172">
        <v>11.1003457965523</v>
      </c>
      <c r="AI2172">
        <v>94.587076949688196</v>
      </c>
      <c r="AJ2172">
        <v>53.424865249167397</v>
      </c>
      <c r="AK2172">
        <v>13.866698825308999</v>
      </c>
      <c r="AL2172">
        <v>93.6491222754441</v>
      </c>
      <c r="AM2172">
        <v>75.983544638315607</v>
      </c>
      <c r="AN2172">
        <v>0.99999999976644105</v>
      </c>
    </row>
    <row r="2173" spans="1:40" x14ac:dyDescent="0.25">
      <c r="A2173" t="str">
        <f>"20190303154139282"</f>
        <v>20190303154139282</v>
      </c>
      <c r="B2173" t="str">
        <f>"1551598899271772"</f>
        <v>1551598899271772</v>
      </c>
      <c r="C2173" t="s">
        <v>40</v>
      </c>
      <c r="D2173">
        <v>6.531949</v>
      </c>
      <c r="E2173">
        <v>0.63997479999999995</v>
      </c>
      <c r="F2173" t="s">
        <v>50</v>
      </c>
      <c r="G2173">
        <v>-214.55459999999999</v>
      </c>
      <c r="H2173" s="1">
        <v>8.8692930000000002E-7</v>
      </c>
      <c r="I2173">
        <v>285.16269999999997</v>
      </c>
      <c r="J2173">
        <v>-199.8828</v>
      </c>
      <c r="K2173">
        <v>1.1090789999999999</v>
      </c>
      <c r="L2173">
        <v>282.73259999999999</v>
      </c>
      <c r="M2173">
        <v>-0.90742869999999998</v>
      </c>
      <c r="N2173">
        <v>-1.883491E-2</v>
      </c>
      <c r="O2173">
        <v>-0.4197842</v>
      </c>
      <c r="P2173">
        <v>-0.97919650000000003</v>
      </c>
      <c r="Q2173">
        <v>-7.6387200000000002E-2</v>
      </c>
      <c r="R2173">
        <v>-0.18798790000000001</v>
      </c>
      <c r="S2173">
        <v>-3.161362</v>
      </c>
      <c r="T2173">
        <v>-0.23591380000000001</v>
      </c>
      <c r="U2173">
        <v>0.50289919999999999</v>
      </c>
      <c r="V2173">
        <v>0.23865980000000001</v>
      </c>
      <c r="W2173">
        <v>-6.5321509999999999E-2</v>
      </c>
      <c r="X2173">
        <v>0.96890379999999998</v>
      </c>
      <c r="Y2173">
        <v>0.55473319999999904</v>
      </c>
      <c r="Z2173">
        <v>4.8426829999999997E-2</v>
      </c>
      <c r="AA2173">
        <v>0.83061779999999996</v>
      </c>
      <c r="AB2173">
        <v>21</v>
      </c>
      <c r="AC2173">
        <v>-14.6717999999999</v>
      </c>
      <c r="AD2173">
        <v>-1.1090781130706999</v>
      </c>
      <c r="AE2173">
        <v>2.4300999999999799</v>
      </c>
      <c r="AF2173">
        <v>8.3193454463236591</v>
      </c>
      <c r="AG2173">
        <v>-1.1090781130706999</v>
      </c>
      <c r="AH2173">
        <v>12.227667657000399</v>
      </c>
      <c r="AI2173">
        <v>94.288654613652099</v>
      </c>
      <c r="AJ2173">
        <v>55.769780957726702</v>
      </c>
      <c r="AK2173">
        <v>14.8309615078124</v>
      </c>
      <c r="AL2173">
        <v>93.745313590820203</v>
      </c>
      <c r="AM2173">
        <v>76.162405893528401</v>
      </c>
      <c r="AN2173">
        <v>0.99999998672957902</v>
      </c>
    </row>
    <row r="2174" spans="1:40" x14ac:dyDescent="0.25">
      <c r="A2174" t="str">
        <f>"20190303154139305"</f>
        <v>20190303154139305</v>
      </c>
      <c r="B2174" t="str">
        <f>"1551598899301052"</f>
        <v>1551598899301052</v>
      </c>
      <c r="C2174" t="s">
        <v>40</v>
      </c>
      <c r="D2174">
        <v>6.4911580000000004</v>
      </c>
      <c r="E2174">
        <v>0.63600970000000001</v>
      </c>
      <c r="F2174" t="s">
        <v>50</v>
      </c>
      <c r="G2174">
        <v>-213.755</v>
      </c>
      <c r="H2174" s="1">
        <v>4.6143010000000002E-7</v>
      </c>
      <c r="I2174">
        <v>285.08859999999999</v>
      </c>
      <c r="J2174">
        <v>-200.09030000000001</v>
      </c>
      <c r="K2174">
        <v>1.1092120000000001</v>
      </c>
      <c r="L2174">
        <v>282.66500000000002</v>
      </c>
      <c r="M2174">
        <v>-0.91639429999999999</v>
      </c>
      <c r="N2174">
        <v>-1.8798519999999999E-2</v>
      </c>
      <c r="O2174">
        <v>-0.3998351</v>
      </c>
      <c r="P2174">
        <v>-0.98236230000000002</v>
      </c>
      <c r="Q2174">
        <v>-7.7130420000000005E-2</v>
      </c>
      <c r="R2174">
        <v>-0.17033879999999901</v>
      </c>
      <c r="S2174">
        <v>-3.1467290000000001</v>
      </c>
      <c r="T2174">
        <v>-0.2515811</v>
      </c>
      <c r="U2174">
        <v>0.5344238</v>
      </c>
      <c r="V2174">
        <v>0.23488029999999999</v>
      </c>
      <c r="W2174">
        <v>-6.5889459999999997E-2</v>
      </c>
      <c r="X2174">
        <v>0.9697886</v>
      </c>
      <c r="Y2174">
        <v>0.54492799999999997</v>
      </c>
      <c r="Z2174">
        <v>5.0479000000000003E-2</v>
      </c>
      <c r="AA2174">
        <v>0.83696199999999998</v>
      </c>
      <c r="AB2174">
        <v>21</v>
      </c>
      <c r="AC2174">
        <v>-13.6646999999999</v>
      </c>
      <c r="AD2174">
        <v>-1.1092115385699</v>
      </c>
      <c r="AE2174">
        <v>2.42359999999996</v>
      </c>
      <c r="AF2174">
        <v>7.6371704312800803</v>
      </c>
      <c r="AG2174">
        <v>-1.1092115385699</v>
      </c>
      <c r="AH2174">
        <v>11.481906210995099</v>
      </c>
      <c r="AI2174">
        <v>94.598781607667206</v>
      </c>
      <c r="AJ2174">
        <v>56.370202570876302</v>
      </c>
      <c r="AK2174">
        <v>13.8344097334076</v>
      </c>
      <c r="AL2174">
        <v>93.777924737619301</v>
      </c>
      <c r="AM2174">
        <v>76.385280198101896</v>
      </c>
      <c r="AN2174">
        <v>1.0000000524785599</v>
      </c>
    </row>
    <row r="2175" spans="1:40" x14ac:dyDescent="0.25">
      <c r="A2175" t="str">
        <f>"20190303154139327"</f>
        <v>20190303154139327</v>
      </c>
      <c r="B2175" t="str">
        <f>"1551598899321548"</f>
        <v>1551598899321548</v>
      </c>
      <c r="C2175" t="s">
        <v>40</v>
      </c>
      <c r="D2175">
        <v>6.71145399999999</v>
      </c>
      <c r="E2175">
        <v>0.61408039999999997</v>
      </c>
      <c r="F2175" t="s">
        <v>50</v>
      </c>
      <c r="G2175">
        <v>-213.3921</v>
      </c>
      <c r="H2175" s="1">
        <v>2.683046E-7</v>
      </c>
      <c r="I2175">
        <v>285.04469999999998</v>
      </c>
      <c r="J2175">
        <v>-200.28880000000001</v>
      </c>
      <c r="K2175">
        <v>1.1093770000000001</v>
      </c>
      <c r="L2175">
        <v>282.60469999999998</v>
      </c>
      <c r="M2175">
        <v>-0.92444519999999997</v>
      </c>
      <c r="N2175">
        <v>-1.874781E-2</v>
      </c>
      <c r="O2175">
        <v>-0.38085419999999998</v>
      </c>
      <c r="P2175">
        <v>-0.98481149999999995</v>
      </c>
      <c r="Q2175">
        <v>-7.8298179999999995E-2</v>
      </c>
      <c r="R2175">
        <v>-0.15497</v>
      </c>
      <c r="S2175">
        <v>-3.1304630000000002</v>
      </c>
      <c r="T2175">
        <v>-0.26104379999999999</v>
      </c>
      <c r="U2175">
        <v>0.56005859999999996</v>
      </c>
      <c r="V2175">
        <v>0.2299969</v>
      </c>
      <c r="W2175">
        <v>-6.684503E-2</v>
      </c>
      <c r="X2175">
        <v>0.97089300000000001</v>
      </c>
      <c r="Y2175">
        <v>0.53483239999999999</v>
      </c>
      <c r="Z2175">
        <v>5.1103410000000002E-2</v>
      </c>
      <c r="AA2175">
        <v>0.84341139999999903</v>
      </c>
      <c r="AB2175">
        <v>21</v>
      </c>
      <c r="AC2175">
        <v>-13.1032999999999</v>
      </c>
      <c r="AD2175">
        <v>-1.1093767316954</v>
      </c>
      <c r="AE2175">
        <v>2.4399999999999902</v>
      </c>
      <c r="AF2175">
        <v>7.1975031355074597</v>
      </c>
      <c r="AG2175">
        <v>-1.1093767316954</v>
      </c>
      <c r="AH2175">
        <v>11.1090022110152</v>
      </c>
      <c r="AI2175">
        <v>94.790750439148994</v>
      </c>
      <c r="AJ2175">
        <v>57.060868368200403</v>
      </c>
      <c r="AK2175">
        <v>13.283248783441801</v>
      </c>
      <c r="AL2175">
        <v>93.832795947629705</v>
      </c>
      <c r="AM2175">
        <v>76.672755402028201</v>
      </c>
      <c r="AN2175">
        <v>1.0000000247471501</v>
      </c>
    </row>
    <row r="2176" spans="1:40" x14ac:dyDescent="0.25">
      <c r="A2176" t="str">
        <f>"20190303154139348"</f>
        <v>20190303154139348</v>
      </c>
      <c r="B2176" t="str">
        <f>"1551598899342045"</f>
        <v>1551598899342045</v>
      </c>
      <c r="C2176" t="s">
        <v>40</v>
      </c>
      <c r="D2176">
        <v>6.3020529999999999</v>
      </c>
      <c r="E2176">
        <v>0.57192509999999996</v>
      </c>
      <c r="F2176" t="s">
        <v>50</v>
      </c>
      <c r="G2176">
        <v>-212.91739999999999</v>
      </c>
      <c r="H2176" s="1">
        <v>1.5694469999999999E-8</v>
      </c>
      <c r="I2176">
        <v>284.3861</v>
      </c>
      <c r="J2176">
        <v>-200.49449999999999</v>
      </c>
      <c r="K2176">
        <v>1.1095919999999999</v>
      </c>
      <c r="L2176">
        <v>282.54680000000002</v>
      </c>
      <c r="M2176">
        <v>-0.93223829999999996</v>
      </c>
      <c r="N2176">
        <v>-1.8675649999999999E-2</v>
      </c>
      <c r="O2176">
        <v>-0.36136220000000002</v>
      </c>
      <c r="P2176">
        <v>-0.98699210000000004</v>
      </c>
      <c r="Q2176">
        <v>-7.9221200000000006E-2</v>
      </c>
      <c r="R2176">
        <v>-0.13989509999999999</v>
      </c>
      <c r="S2176">
        <v>-3.0933229999999998</v>
      </c>
      <c r="T2176">
        <v>-0.27173779999999997</v>
      </c>
      <c r="U2176">
        <v>0.43634030000000001</v>
      </c>
      <c r="V2176">
        <v>0.22444410000000001</v>
      </c>
      <c r="W2176">
        <v>-6.7530129999999994E-2</v>
      </c>
      <c r="X2176">
        <v>0.97214429999999996</v>
      </c>
      <c r="Y2176">
        <v>0.48506490000000002</v>
      </c>
      <c r="Z2176">
        <v>5.0119650000000002E-2</v>
      </c>
      <c r="AA2176">
        <v>0.873040699999999</v>
      </c>
      <c r="AB2176">
        <v>21</v>
      </c>
      <c r="AC2176">
        <v>-12.422899999999901</v>
      </c>
      <c r="AD2176">
        <v>-1.10959198430553</v>
      </c>
      <c r="AE2176">
        <v>1.83929999999998</v>
      </c>
      <c r="AF2176">
        <v>6.1568513480667102</v>
      </c>
      <c r="AG2176">
        <v>-1.10959198430553</v>
      </c>
      <c r="AH2176">
        <v>10.833780449293499</v>
      </c>
      <c r="AI2176">
        <v>95.088474472778302</v>
      </c>
      <c r="AJ2176">
        <v>60.390375062225502</v>
      </c>
      <c r="AK2176">
        <v>12.5103481852953</v>
      </c>
      <c r="AL2176">
        <v>93.872138256935003</v>
      </c>
      <c r="AM2176">
        <v>76.999613689535906</v>
      </c>
      <c r="AN2176">
        <v>1.00000000625255</v>
      </c>
    </row>
    <row r="2177" spans="1:40" x14ac:dyDescent="0.25">
      <c r="A2177" t="str">
        <f>"20190303154139371"</f>
        <v>20190303154139371</v>
      </c>
      <c r="B2177" t="str">
        <f>"1551598899361564"</f>
        <v>1551598899361564</v>
      </c>
      <c r="C2177" t="s">
        <v>40</v>
      </c>
      <c r="D2177">
        <v>6.2729140000000001</v>
      </c>
      <c r="E2177">
        <v>0.56951790000000002</v>
      </c>
      <c r="F2177" t="s">
        <v>50</v>
      </c>
      <c r="G2177">
        <v>-214.34809999999999</v>
      </c>
      <c r="H2177" s="1">
        <v>7.7702869999999901E-7</v>
      </c>
      <c r="I2177">
        <v>283.22489999999999</v>
      </c>
      <c r="J2177">
        <v>-200.7022</v>
      </c>
      <c r="K2177">
        <v>1.109855</v>
      </c>
      <c r="L2177">
        <v>282.49259999999998</v>
      </c>
      <c r="M2177">
        <v>-0.93954490000000002</v>
      </c>
      <c r="N2177">
        <v>-1.8580860000000001E-2</v>
      </c>
      <c r="O2177">
        <v>-0.34192129999999998</v>
      </c>
      <c r="P2177">
        <v>-0.98879329999999999</v>
      </c>
      <c r="Q2177">
        <v>-8.0733550000000001E-2</v>
      </c>
      <c r="R2177">
        <v>-0.12558079999999999</v>
      </c>
      <c r="S2177">
        <v>-3.0410919999999999</v>
      </c>
      <c r="T2177">
        <v>-0.2435735</v>
      </c>
      <c r="U2177">
        <v>0.14886469999999999</v>
      </c>
      <c r="V2177">
        <v>0.2183012</v>
      </c>
      <c r="W2177">
        <v>-6.8786749999999994E-2</v>
      </c>
      <c r="X2177">
        <v>0.97345409999999999</v>
      </c>
      <c r="Y2177">
        <v>0.38538749999999999</v>
      </c>
      <c r="Z2177">
        <v>3.9519840000000001E-2</v>
      </c>
      <c r="AA2177">
        <v>0.92190810000000001</v>
      </c>
      <c r="AB2177">
        <v>20</v>
      </c>
      <c r="AC2177">
        <v>-13.6458999999999</v>
      </c>
      <c r="AD2177">
        <v>-1.1098542229713</v>
      </c>
      <c r="AE2177">
        <v>0.73230000000000905</v>
      </c>
      <c r="AF2177">
        <v>5.3196884280325198</v>
      </c>
      <c r="AG2177">
        <v>-1.1098542229713</v>
      </c>
      <c r="AH2177">
        <v>12.4903312207121</v>
      </c>
      <c r="AI2177">
        <v>94.673609298371005</v>
      </c>
      <c r="AJ2177">
        <v>66.930626265359706</v>
      </c>
      <c r="AK2177">
        <v>13.6212787714915</v>
      </c>
      <c r="AL2177">
        <v>93.944305298288498</v>
      </c>
      <c r="AM2177">
        <v>77.360293505586895</v>
      </c>
      <c r="AN2177">
        <v>0.99999995785190499</v>
      </c>
    </row>
    <row r="2178" spans="1:40" x14ac:dyDescent="0.25">
      <c r="A2178" t="str">
        <f>"20190303154139395"</f>
        <v>20190303154139395</v>
      </c>
      <c r="B2178" t="str">
        <f>"1551598899391820"</f>
        <v>1551598899391820</v>
      </c>
      <c r="C2178" t="s">
        <v>40</v>
      </c>
      <c r="D2178">
        <v>6.28085</v>
      </c>
      <c r="E2178">
        <v>0.56472979999999995</v>
      </c>
      <c r="F2178" t="s">
        <v>50</v>
      </c>
      <c r="G2178">
        <v>-215.71360000000001</v>
      </c>
      <c r="H2178" s="1">
        <v>1.503718E-6</v>
      </c>
      <c r="I2178">
        <v>283.34620000000001</v>
      </c>
      <c r="J2178">
        <v>-200.92429999999999</v>
      </c>
      <c r="K2178">
        <v>1.110196</v>
      </c>
      <c r="L2178">
        <v>282.4391</v>
      </c>
      <c r="M2178">
        <v>-0.94674119999999995</v>
      </c>
      <c r="N2178">
        <v>-1.8455429999999998E-2</v>
      </c>
      <c r="O2178">
        <v>-0.32146639999999999</v>
      </c>
      <c r="P2178">
        <v>-0.99046239999999997</v>
      </c>
      <c r="Q2178">
        <v>-8.2103759999999998E-2</v>
      </c>
      <c r="R2178">
        <v>-0.1106505</v>
      </c>
      <c r="S2178">
        <v>-3.037598</v>
      </c>
      <c r="T2178">
        <v>-0.22458110000000001</v>
      </c>
      <c r="U2178">
        <v>0.17272950000000001</v>
      </c>
      <c r="V2178">
        <v>0.211863</v>
      </c>
      <c r="W2178">
        <v>-6.9891990000000001E-2</v>
      </c>
      <c r="X2178">
        <v>0.97479700000000002</v>
      </c>
      <c r="Y2178">
        <v>0.3730214</v>
      </c>
      <c r="Z2178">
        <v>3.4667070000000001E-2</v>
      </c>
      <c r="AA2178">
        <v>0.92717490000000002</v>
      </c>
      <c r="AB2178">
        <v>20</v>
      </c>
      <c r="AC2178">
        <v>-14.789300000000001</v>
      </c>
      <c r="AD2178">
        <v>-1.1101944962819901</v>
      </c>
      <c r="AE2178">
        <v>0.90710000000001401</v>
      </c>
      <c r="AF2178">
        <v>5.58266663576096</v>
      </c>
      <c r="AG2178">
        <v>-1.1101944962819901</v>
      </c>
      <c r="AH2178">
        <v>13.635820418464601</v>
      </c>
      <c r="AI2178">
        <v>94.308937352505595</v>
      </c>
      <c r="AJ2178">
        <v>67.735225172219103</v>
      </c>
      <c r="AK2178">
        <v>14.7761394508251</v>
      </c>
      <c r="AL2178">
        <v>94.007783482075098</v>
      </c>
      <c r="AM2178">
        <v>77.737998375463604</v>
      </c>
      <c r="AN2178">
        <v>1.00000000612208</v>
      </c>
    </row>
    <row r="2179" spans="1:40" x14ac:dyDescent="0.25">
      <c r="A2179" t="str">
        <f>"20190303154139419"</f>
        <v>20190303154139419</v>
      </c>
      <c r="B2179" t="str">
        <f>"1551598899411340"</f>
        <v>1551598899411340</v>
      </c>
      <c r="C2179" t="s">
        <v>40</v>
      </c>
      <c r="D2179">
        <v>6.2795170000000002</v>
      </c>
      <c r="E2179">
        <v>0.56263409999999903</v>
      </c>
      <c r="F2179" t="s">
        <v>50</v>
      </c>
      <c r="G2179">
        <v>-214.7757</v>
      </c>
      <c r="H2179" s="1">
        <v>1.0045840000000001E-6</v>
      </c>
      <c r="I2179">
        <v>283.26769999999999</v>
      </c>
      <c r="J2179">
        <v>-201.13460000000001</v>
      </c>
      <c r="K2179">
        <v>1.1105910000000001</v>
      </c>
      <c r="L2179">
        <v>282.39280000000002</v>
      </c>
      <c r="M2179">
        <v>-0.95295529999999995</v>
      </c>
      <c r="N2179">
        <v>-1.830818E-2</v>
      </c>
      <c r="O2179">
        <v>-0.30255749999999998</v>
      </c>
      <c r="P2179">
        <v>-0.99174490000000004</v>
      </c>
      <c r="Q2179">
        <v>-8.1280839999999993E-2</v>
      </c>
      <c r="R2179">
        <v>-9.9173090000000005E-2</v>
      </c>
      <c r="S2179">
        <v>-3.0290219999999999</v>
      </c>
      <c r="T2179">
        <v>-0.2427772</v>
      </c>
      <c r="U2179">
        <v>0.1812134</v>
      </c>
      <c r="V2179">
        <v>0.20385829999999999</v>
      </c>
      <c r="W2179">
        <v>-6.8765969999999996E-2</v>
      </c>
      <c r="X2179">
        <v>0.97658230000000001</v>
      </c>
      <c r="Y2179">
        <v>0.35702929999999999</v>
      </c>
      <c r="Z2179">
        <v>3.592215E-2</v>
      </c>
      <c r="AA2179">
        <v>0.93340219999999896</v>
      </c>
      <c r="AB2179">
        <v>20</v>
      </c>
      <c r="AC2179">
        <v>-13.6410999999999</v>
      </c>
      <c r="AD2179">
        <v>-1.1105899954159999</v>
      </c>
      <c r="AE2179">
        <v>0.87489999999996804</v>
      </c>
      <c r="AF2179">
        <v>4.9292500694506201</v>
      </c>
      <c r="AG2179">
        <v>-1.1105899954159999</v>
      </c>
      <c r="AH2179">
        <v>12.653258299605</v>
      </c>
      <c r="AI2179">
        <v>94.675494519239706</v>
      </c>
      <c r="AJ2179">
        <v>68.715917684223797</v>
      </c>
      <c r="AK2179">
        <v>13.624825209213499</v>
      </c>
      <c r="AL2179">
        <v>93.943111790822201</v>
      </c>
      <c r="AM2179">
        <v>78.209015797041303</v>
      </c>
      <c r="AN2179">
        <v>0.99999997689110998</v>
      </c>
    </row>
    <row r="2180" spans="1:40" x14ac:dyDescent="0.25">
      <c r="A2180" t="str">
        <f>"20190303154139438"</f>
        <v>20190303154139438</v>
      </c>
      <c r="B2180" t="str">
        <f>"1551598899431836"</f>
        <v>1551598899431836</v>
      </c>
      <c r="C2180" t="s">
        <v>40</v>
      </c>
      <c r="D2180">
        <v>6.3442660000000002</v>
      </c>
      <c r="E2180">
        <v>0.5587261</v>
      </c>
      <c r="F2180" t="s">
        <v>50</v>
      </c>
      <c r="G2180">
        <v>-214.84010000000001</v>
      </c>
      <c r="H2180" s="1">
        <v>1.0388830000000001E-6</v>
      </c>
      <c r="I2180">
        <v>283.29770000000002</v>
      </c>
      <c r="J2180">
        <v>-201.3236</v>
      </c>
      <c r="K2180">
        <v>1.110997</v>
      </c>
      <c r="L2180">
        <v>282.35419999999999</v>
      </c>
      <c r="M2180">
        <v>-0.95806150000000001</v>
      </c>
      <c r="N2180">
        <v>-1.815603E-2</v>
      </c>
      <c r="O2180">
        <v>-0.2859872</v>
      </c>
      <c r="P2180">
        <v>-0.99272740000000004</v>
      </c>
      <c r="Q2180">
        <v>-7.8599440000000007E-2</v>
      </c>
      <c r="R2180">
        <v>-9.1183520000000004E-2</v>
      </c>
      <c r="S2180">
        <v>-3.0248569999999999</v>
      </c>
      <c r="T2180">
        <v>-0.2451112</v>
      </c>
      <c r="U2180">
        <v>0.199707</v>
      </c>
      <c r="V2180">
        <v>0.19498550000000001</v>
      </c>
      <c r="W2180">
        <v>-6.5773780000000004E-2</v>
      </c>
      <c r="X2180">
        <v>0.97859819999999997</v>
      </c>
      <c r="Y2180">
        <v>0.3466072</v>
      </c>
      <c r="Z2180">
        <v>3.4856730000000002E-2</v>
      </c>
      <c r="AA2180">
        <v>0.93736249999999999</v>
      </c>
      <c r="AB2180">
        <v>20</v>
      </c>
      <c r="AC2180">
        <v>-13.516500000000001</v>
      </c>
      <c r="AD2180">
        <v>-1.1109959611169999</v>
      </c>
      <c r="AE2180">
        <v>0.94350000000002798</v>
      </c>
      <c r="AF2180">
        <v>4.7384050026124198</v>
      </c>
      <c r="AG2180">
        <v>-1.1109959611169999</v>
      </c>
      <c r="AH2180">
        <v>12.597203391311201</v>
      </c>
      <c r="AI2180">
        <v>94.718913100347095</v>
      </c>
      <c r="AJ2180">
        <v>69.386341629364907</v>
      </c>
      <c r="AK2180">
        <v>13.504677977518099</v>
      </c>
      <c r="AL2180">
        <v>93.771282603509803</v>
      </c>
      <c r="AM2180">
        <v>78.731403326443896</v>
      </c>
      <c r="AN2180">
        <v>0.99999998619448904</v>
      </c>
    </row>
    <row r="2181" spans="1:40" x14ac:dyDescent="0.25">
      <c r="A2181" t="str">
        <f>"20190303154139460"</f>
        <v>20190303154139460</v>
      </c>
      <c r="B2181" t="str">
        <f>"1551598899451359"</f>
        <v>1551598899451359</v>
      </c>
      <c r="C2181" t="s">
        <v>40</v>
      </c>
      <c r="D2181">
        <v>6.391146</v>
      </c>
      <c r="E2181">
        <v>0.55601800000000001</v>
      </c>
      <c r="F2181" t="s">
        <v>50</v>
      </c>
      <c r="G2181">
        <v>-214.64</v>
      </c>
      <c r="H2181" s="1">
        <v>9.3236120000000003E-7</v>
      </c>
      <c r="I2181">
        <v>283.20729999999998</v>
      </c>
      <c r="J2181">
        <v>-201.5299</v>
      </c>
      <c r="K2181">
        <v>1.1114250000000001</v>
      </c>
      <c r="L2181">
        <v>282.31560000000002</v>
      </c>
      <c r="M2181">
        <v>-0.9631594</v>
      </c>
      <c r="N2181">
        <v>-1.797731E-2</v>
      </c>
      <c r="O2181">
        <v>-0.26833010000000002</v>
      </c>
      <c r="P2181">
        <v>-0.99370849999999999</v>
      </c>
      <c r="Q2181">
        <v>-7.5892849999999998E-2</v>
      </c>
      <c r="R2181">
        <v>-8.2365850000000004E-2</v>
      </c>
      <c r="S2181">
        <v>-3.0197910000000001</v>
      </c>
      <c r="T2181">
        <v>-0.25194450000000002</v>
      </c>
      <c r="U2181">
        <v>0.19345090000000001</v>
      </c>
      <c r="V2181">
        <v>0.18587790000000001</v>
      </c>
      <c r="W2181">
        <v>-6.2783930000000002E-2</v>
      </c>
      <c r="X2181">
        <v>0.98056500000000002</v>
      </c>
      <c r="Y2181">
        <v>0.3274725</v>
      </c>
      <c r="Z2181">
        <v>3.3893220000000002E-2</v>
      </c>
      <c r="AA2181">
        <v>0.9442526</v>
      </c>
      <c r="AB2181">
        <v>20</v>
      </c>
      <c r="AC2181">
        <v>-13.1100999999999</v>
      </c>
      <c r="AD2181">
        <v>-1.1114240676388001</v>
      </c>
      <c r="AE2181">
        <v>0.89169999999995697</v>
      </c>
      <c r="AF2181">
        <v>4.3462975348906703</v>
      </c>
      <c r="AG2181">
        <v>-1.1114240676388001</v>
      </c>
      <c r="AH2181">
        <v>12.301840592203099</v>
      </c>
      <c r="AI2181">
        <v>94.869033889119294</v>
      </c>
      <c r="AJ2181">
        <v>70.541448402594398</v>
      </c>
      <c r="AK2181">
        <v>13.0943059257029</v>
      </c>
      <c r="AL2181">
        <v>93.599621458440296</v>
      </c>
      <c r="AM2181">
        <v>79.266253909586197</v>
      </c>
      <c r="AN2181">
        <v>1.0000000673998199</v>
      </c>
    </row>
    <row r="2182" spans="1:40" x14ac:dyDescent="0.25">
      <c r="A2182" t="str">
        <f>"20190303154139482"</f>
        <v>20190303154139482</v>
      </c>
      <c r="B2182" t="str">
        <f>"1551598899471853"</f>
        <v>1551598899471853</v>
      </c>
      <c r="C2182" t="s">
        <v>40</v>
      </c>
      <c r="D2182">
        <v>6.3671790000000001</v>
      </c>
      <c r="E2182">
        <v>0.5534135</v>
      </c>
      <c r="F2182" t="s">
        <v>50</v>
      </c>
      <c r="G2182">
        <v>-214.80090000000001</v>
      </c>
      <c r="H2182" s="1">
        <v>1.01802E-6</v>
      </c>
      <c r="I2182">
        <v>283.19130000000001</v>
      </c>
      <c r="J2182">
        <v>-201.73689999999999</v>
      </c>
      <c r="K2182">
        <v>1.111823</v>
      </c>
      <c r="L2182">
        <v>282.27999999999997</v>
      </c>
      <c r="M2182">
        <v>-0.96781249999999996</v>
      </c>
      <c r="N2182">
        <v>-1.779383E-2</v>
      </c>
      <c r="O2182">
        <v>-0.25104300000000002</v>
      </c>
      <c r="P2182">
        <v>-0.99463639999999998</v>
      </c>
      <c r="Q2182">
        <v>-7.5719670000000003E-2</v>
      </c>
      <c r="R2182">
        <v>-7.0464020000000002E-2</v>
      </c>
      <c r="S2182">
        <v>-3.0162049999999998</v>
      </c>
      <c r="T2182">
        <v>-0.25260139999999998</v>
      </c>
      <c r="U2182">
        <v>0.19903560000000001</v>
      </c>
      <c r="V2182">
        <v>0.18012879999999901</v>
      </c>
      <c r="W2182">
        <v>-6.2457239999999997E-2</v>
      </c>
      <c r="X2182">
        <v>0.98165820000000004</v>
      </c>
      <c r="Y2182">
        <v>0.31241989999999997</v>
      </c>
      <c r="Z2182">
        <v>3.2187979999999998E-2</v>
      </c>
      <c r="AA2182">
        <v>0.94939859999999998</v>
      </c>
      <c r="AB2182">
        <v>20</v>
      </c>
      <c r="AC2182">
        <v>-13.064</v>
      </c>
      <c r="AD2182">
        <v>-1.1118219819799999</v>
      </c>
      <c r="AE2182">
        <v>0.91130000000003897</v>
      </c>
      <c r="AF2182">
        <v>4.1324652719667299</v>
      </c>
      <c r="AG2182">
        <v>-1.1118219819799999</v>
      </c>
      <c r="AH2182">
        <v>12.3278332972148</v>
      </c>
      <c r="AI2182">
        <v>94.887553980274703</v>
      </c>
      <c r="AJ2182">
        <v>71.468114745833006</v>
      </c>
      <c r="AK2182">
        <v>13.049478577611501</v>
      </c>
      <c r="AL2182">
        <v>93.580866732411096</v>
      </c>
      <c r="AM2182">
        <v>79.602213098168505</v>
      </c>
      <c r="AN2182">
        <v>1.00000005652254</v>
      </c>
    </row>
    <row r="2183" spans="1:40" x14ac:dyDescent="0.25">
      <c r="A2183" t="str">
        <f>"20190303154139505"</f>
        <v>20190303154139505</v>
      </c>
      <c r="B2183" t="str">
        <f>"1551598899501132"</f>
        <v>1551598899501132</v>
      </c>
      <c r="C2183" t="s">
        <v>40</v>
      </c>
      <c r="D2183">
        <v>6.3610939999999996</v>
      </c>
      <c r="E2183">
        <v>0.55147619999999997</v>
      </c>
      <c r="F2183" t="s">
        <v>50</v>
      </c>
      <c r="G2183">
        <v>-214.49600000000001</v>
      </c>
      <c r="H2183" s="1">
        <v>8.5577359999999998E-7</v>
      </c>
      <c r="I2183">
        <v>283.19</v>
      </c>
      <c r="J2183">
        <v>-201.94329999999999</v>
      </c>
      <c r="K2183">
        <v>1.112196</v>
      </c>
      <c r="L2183">
        <v>282.24759999999998</v>
      </c>
      <c r="M2183">
        <v>-0.97200640000000005</v>
      </c>
      <c r="N2183">
        <v>-1.7610210000000001E-2</v>
      </c>
      <c r="O2183">
        <v>-0.23429320000000001</v>
      </c>
      <c r="P2183">
        <v>-0.99517789999999995</v>
      </c>
      <c r="Q2183">
        <v>-7.5008039999999998E-2</v>
      </c>
      <c r="R2183">
        <v>-6.3202610000000006E-2</v>
      </c>
      <c r="S2183">
        <v>-3.0114139999999998</v>
      </c>
      <c r="T2183">
        <v>-0.2624127</v>
      </c>
      <c r="U2183">
        <v>0.21478269999999999</v>
      </c>
      <c r="V2183">
        <v>0.1704273</v>
      </c>
      <c r="W2183">
        <v>-6.151446E-2</v>
      </c>
      <c r="X2183">
        <v>0.98344830000000005</v>
      </c>
      <c r="Y2183">
        <v>0.30097669999999999</v>
      </c>
      <c r="Z2183">
        <v>3.1846960000000001E-2</v>
      </c>
      <c r="AA2183">
        <v>0.95309949999999999</v>
      </c>
      <c r="AB2183">
        <v>20</v>
      </c>
      <c r="AC2183">
        <v>-12.5526999999999</v>
      </c>
      <c r="AD2183">
        <v>-1.1121951442264</v>
      </c>
      <c r="AE2183">
        <v>0.94240000000002</v>
      </c>
      <c r="AF2183">
        <v>3.82774889412361</v>
      </c>
      <c r="AG2183">
        <v>-1.1121951442264</v>
      </c>
      <c r="AH2183">
        <v>11.889552032612</v>
      </c>
      <c r="AI2183">
        <v>95.088376188202204</v>
      </c>
      <c r="AJ2183">
        <v>72.1544405310933</v>
      </c>
      <c r="AK2183">
        <v>12.539939679739</v>
      </c>
      <c r="AL2183">
        <v>93.526745452058904</v>
      </c>
      <c r="AM2183">
        <v>80.168532869095102</v>
      </c>
      <c r="AN2183">
        <v>1.0000000260736299</v>
      </c>
    </row>
    <row r="2184" spans="1:40" x14ac:dyDescent="0.25">
      <c r="A2184" t="str">
        <f>"20190303154139518"</f>
        <v>20190303154139518</v>
      </c>
      <c r="B2184" t="str">
        <f>"1551598899511868"</f>
        <v>1551598899511868</v>
      </c>
      <c r="C2184" t="s">
        <v>40</v>
      </c>
      <c r="D2184">
        <v>6.3644930000000004</v>
      </c>
      <c r="E2184">
        <v>0.53452259999999996</v>
      </c>
      <c r="F2184" t="s">
        <v>50</v>
      </c>
      <c r="G2184">
        <v>-214.56559999999999</v>
      </c>
      <c r="H2184" s="1">
        <v>8.9282209999999996E-7</v>
      </c>
      <c r="I2184">
        <v>283.17619999999999</v>
      </c>
      <c r="J2184">
        <v>-202.07220000000001</v>
      </c>
      <c r="K2184">
        <v>1.112422</v>
      </c>
      <c r="L2184">
        <v>282.22879999999998</v>
      </c>
      <c r="M2184">
        <v>-0.97441449999999996</v>
      </c>
      <c r="N2184">
        <v>-1.7495320000000002E-2</v>
      </c>
      <c r="O2184">
        <v>-0.22407679999999999</v>
      </c>
      <c r="P2184">
        <v>-0.99554960000000003</v>
      </c>
      <c r="Q2184">
        <v>-7.474256E-2</v>
      </c>
      <c r="R2184">
        <v>-5.7398610000000003E-2</v>
      </c>
      <c r="S2184">
        <v>-3.0086210000000002</v>
      </c>
      <c r="T2184">
        <v>-0.26509949999999999</v>
      </c>
      <c r="U2184">
        <v>0.22134400000000001</v>
      </c>
      <c r="V2184">
        <v>0.16588359999999999</v>
      </c>
      <c r="W2184">
        <v>-6.1155559999999998E-2</v>
      </c>
      <c r="X2184">
        <v>0.98424730000000005</v>
      </c>
      <c r="Y2184">
        <v>0.29310829999999999</v>
      </c>
      <c r="Z2184">
        <v>3.1111369999999999E-2</v>
      </c>
      <c r="AA2184">
        <v>0.95557289999999995</v>
      </c>
      <c r="AB2184">
        <v>20</v>
      </c>
      <c r="AC2184">
        <v>-12.4933999999999</v>
      </c>
      <c r="AD2184">
        <v>-1.1124211071779</v>
      </c>
      <c r="AE2184">
        <v>0.94740000000001501</v>
      </c>
      <c r="AF2184">
        <v>3.6940908218457098</v>
      </c>
      <c r="AG2184">
        <v>-1.1124211071779</v>
      </c>
      <c r="AH2184">
        <v>11.8697220760415</v>
      </c>
      <c r="AI2184">
        <v>95.1135314952313</v>
      </c>
      <c r="AJ2184">
        <v>72.712831468577804</v>
      </c>
      <c r="AK2184">
        <v>12.4809490777828</v>
      </c>
      <c r="AL2184">
        <v>93.506143091014593</v>
      </c>
      <c r="AM2184">
        <v>80.433357958588005</v>
      </c>
      <c r="AN2184">
        <v>1.00000005941258</v>
      </c>
    </row>
    <row r="2185" spans="1:40" x14ac:dyDescent="0.25">
      <c r="A2185" t="str">
        <f>"20190303154139538"</f>
        <v>20190303154139538</v>
      </c>
      <c r="B2185" t="str">
        <f>"1551598899531388"</f>
        <v>1551598899531388</v>
      </c>
      <c r="C2185" t="s">
        <v>40</v>
      </c>
      <c r="D2185">
        <v>6.38483</v>
      </c>
      <c r="E2185">
        <v>0.53403630000000002</v>
      </c>
      <c r="F2185" t="s">
        <v>50</v>
      </c>
      <c r="G2185">
        <v>-213.09129999999999</v>
      </c>
      <c r="H2185" s="1">
        <v>1.082707E-7</v>
      </c>
      <c r="I2185">
        <v>282.61439999999999</v>
      </c>
      <c r="J2185">
        <v>-202.24549999999999</v>
      </c>
      <c r="K2185">
        <v>1.112725</v>
      </c>
      <c r="L2185">
        <v>282.2054</v>
      </c>
      <c r="M2185">
        <v>-0.97739600000000004</v>
      </c>
      <c r="N2185">
        <v>-1.7336910000000001E-2</v>
      </c>
      <c r="O2185">
        <v>-0.21070469999999999</v>
      </c>
      <c r="P2185">
        <v>-0.99581160000000002</v>
      </c>
      <c r="Q2185">
        <v>-7.373623E-2</v>
      </c>
      <c r="R2185">
        <v>-5.4056229999999997E-2</v>
      </c>
      <c r="S2185">
        <v>-2.99675</v>
      </c>
      <c r="T2185">
        <v>-0.30253170000000001</v>
      </c>
      <c r="U2185">
        <v>0.10488889999999999</v>
      </c>
      <c r="V2185">
        <v>0.15578499999999901</v>
      </c>
      <c r="W2185">
        <v>-5.994116E-2</v>
      </c>
      <c r="X2185">
        <v>0.98597060000000003</v>
      </c>
      <c r="Y2185">
        <v>0.2426335</v>
      </c>
      <c r="Z2185">
        <v>3.177079E-2</v>
      </c>
      <c r="AA2185">
        <v>0.96959759999999995</v>
      </c>
      <c r="AB2185">
        <v>20</v>
      </c>
      <c r="AC2185">
        <v>-10.845799999999899</v>
      </c>
      <c r="AD2185">
        <v>-1.1127248917293</v>
      </c>
      <c r="AE2185">
        <v>0.40899999999999098</v>
      </c>
      <c r="AF2185">
        <v>2.6574873476791798</v>
      </c>
      <c r="AG2185">
        <v>-1.1127248917293</v>
      </c>
      <c r="AH2185">
        <v>10.4066617232901</v>
      </c>
      <c r="AI2185">
        <v>95.914726259387294</v>
      </c>
      <c r="AJ2185">
        <v>75.674864522229299</v>
      </c>
      <c r="AK2185">
        <v>10.798101866103201</v>
      </c>
      <c r="AL2185">
        <v>93.436435520427807</v>
      </c>
      <c r="AM2185">
        <v>81.021395773409097</v>
      </c>
      <c r="AN2185">
        <v>0.99999996647575196</v>
      </c>
    </row>
    <row r="2186" spans="1:40" x14ac:dyDescent="0.25">
      <c r="A2186" t="str">
        <f>"20190303154139549"</f>
        <v>20190303154139549</v>
      </c>
      <c r="B2186" t="str">
        <f>"1551598899541148"</f>
        <v>1551598899541148</v>
      </c>
      <c r="C2186" t="s">
        <v>40</v>
      </c>
      <c r="D2186">
        <v>6.0646019999999998</v>
      </c>
      <c r="E2186">
        <v>0.53724910000000003</v>
      </c>
      <c r="F2186" t="s">
        <v>50</v>
      </c>
      <c r="G2186">
        <v>-213.49</v>
      </c>
      <c r="H2186" s="1">
        <v>3.204242E-7</v>
      </c>
      <c r="I2186">
        <v>282.62079999999997</v>
      </c>
      <c r="J2186">
        <v>-202.36519999999999</v>
      </c>
      <c r="K2186">
        <v>1.112935</v>
      </c>
      <c r="L2186">
        <v>282.19060000000002</v>
      </c>
      <c r="M2186">
        <v>-0.97928800000000005</v>
      </c>
      <c r="N2186">
        <v>-1.722398E-2</v>
      </c>
      <c r="O2186">
        <v>-0.201739</v>
      </c>
      <c r="P2186">
        <v>-0.99601019999999896</v>
      </c>
      <c r="Q2186">
        <v>-7.3733729999999997E-2</v>
      </c>
      <c r="R2186">
        <v>-5.0269880000000003E-2</v>
      </c>
      <c r="S2186">
        <v>-2.9966740000000001</v>
      </c>
      <c r="T2186">
        <v>-0.29654219999999998</v>
      </c>
      <c r="U2186">
        <v>0.11071780000000001</v>
      </c>
      <c r="V2186">
        <v>0.15053129999999901</v>
      </c>
      <c r="W2186">
        <v>-5.9847400000000002E-2</v>
      </c>
      <c r="X2186">
        <v>0.98679209999999995</v>
      </c>
      <c r="Y2186">
        <v>0.2357794</v>
      </c>
      <c r="Z2186">
        <v>3.0012170000000001E-2</v>
      </c>
      <c r="AA2186">
        <v>0.97134299999999996</v>
      </c>
      <c r="AB2186">
        <v>20</v>
      </c>
      <c r="AC2186">
        <v>-11.1248</v>
      </c>
      <c r="AD2186">
        <v>-1.1129346795757999</v>
      </c>
      <c r="AE2186">
        <v>0.43019999999995601</v>
      </c>
      <c r="AF2186">
        <v>2.63961257832052</v>
      </c>
      <c r="AG2186">
        <v>-1.1129346795757999</v>
      </c>
      <c r="AH2186">
        <v>10.702246969753601</v>
      </c>
      <c r="AI2186">
        <v>95.765338782036196</v>
      </c>
      <c r="AJ2186">
        <v>76.1450363503549</v>
      </c>
      <c r="AK2186">
        <v>11.079001235049599</v>
      </c>
      <c r="AL2186">
        <v>93.431053635858902</v>
      </c>
      <c r="AM2186">
        <v>81.326616486525893</v>
      </c>
      <c r="AN2186">
        <v>1.00000001609442</v>
      </c>
    </row>
    <row r="2187" spans="1:40" x14ac:dyDescent="0.25">
      <c r="A2187" t="str">
        <f>"20190303154139572"</f>
        <v>20190303154139572</v>
      </c>
      <c r="B2187" t="str">
        <f>"1551598899561644"</f>
        <v>1551598899561644</v>
      </c>
      <c r="C2187" t="s">
        <v>40</v>
      </c>
      <c r="D2187">
        <v>6.384341</v>
      </c>
      <c r="E2187">
        <v>0.53783019999999904</v>
      </c>
      <c r="F2187" t="s">
        <v>50</v>
      </c>
      <c r="G2187">
        <v>-215.10550000000001</v>
      </c>
      <c r="H2187" s="1">
        <v>1.180111E-6</v>
      </c>
      <c r="I2187">
        <v>282.81420000000003</v>
      </c>
      <c r="J2187">
        <v>-202.56620000000001</v>
      </c>
      <c r="K2187">
        <v>1.113283</v>
      </c>
      <c r="L2187">
        <v>282.16739999999999</v>
      </c>
      <c r="M2187">
        <v>-0.98220770000000002</v>
      </c>
      <c r="N2187">
        <v>-1.7036220000000001E-2</v>
      </c>
      <c r="O2187">
        <v>-0.18702340000000001</v>
      </c>
      <c r="P2187">
        <v>-0.99621389999999999</v>
      </c>
      <c r="Q2187">
        <v>-7.3838260000000003E-2</v>
      </c>
      <c r="R2187">
        <v>-4.5890849999999997E-2</v>
      </c>
      <c r="S2187">
        <v>-3.0000460000000002</v>
      </c>
      <c r="T2187">
        <v>-0.26207019999999998</v>
      </c>
      <c r="U2187">
        <v>0.1468506</v>
      </c>
      <c r="V2187">
        <v>0.14011289999999901</v>
      </c>
      <c r="W2187">
        <v>-5.9776780000000002E-2</v>
      </c>
      <c r="X2187">
        <v>0.98832949999999997</v>
      </c>
      <c r="Y2187">
        <v>0.23333860000000001</v>
      </c>
      <c r="Z2187">
        <v>2.521226E-2</v>
      </c>
      <c r="AA2187">
        <v>0.97206870000000001</v>
      </c>
      <c r="AB2187">
        <v>20</v>
      </c>
      <c r="AC2187">
        <v>-12.5392999999999</v>
      </c>
      <c r="AD2187">
        <v>-1.113281819889</v>
      </c>
      <c r="AE2187">
        <v>0.64680000000004101</v>
      </c>
      <c r="AF2187">
        <v>2.9576156149573598</v>
      </c>
      <c r="AG2187">
        <v>-1.113281819889</v>
      </c>
      <c r="AH2187">
        <v>12.101860980679501</v>
      </c>
      <c r="AI2187">
        <v>95.106534715807797</v>
      </c>
      <c r="AJ2187">
        <v>76.266488491242399</v>
      </c>
      <c r="AK2187">
        <v>12.5076746732567</v>
      </c>
      <c r="AL2187">
        <v>93.427000053811994</v>
      </c>
      <c r="AM2187">
        <v>81.931096074579102</v>
      </c>
      <c r="AN2187">
        <v>1.0000000443719099</v>
      </c>
    </row>
    <row r="2188" spans="1:40" x14ac:dyDescent="0.25">
      <c r="A2188" t="str">
        <f>"20190303154139594"</f>
        <v>20190303154139594</v>
      </c>
      <c r="B2188" t="str">
        <f>"1551598899581164"</f>
        <v>1551598899581164</v>
      </c>
      <c r="C2188" t="s">
        <v>40</v>
      </c>
      <c r="D2188">
        <v>6.3304640000000001</v>
      </c>
      <c r="E2188">
        <v>0.53549089999999999</v>
      </c>
      <c r="F2188" t="s">
        <v>50</v>
      </c>
      <c r="G2188">
        <v>-215.9999</v>
      </c>
      <c r="H2188" s="1">
        <v>1.6560830000000001E-6</v>
      </c>
      <c r="I2188">
        <v>282.9033</v>
      </c>
      <c r="J2188">
        <v>-202.7724</v>
      </c>
      <c r="K2188">
        <v>1.113645</v>
      </c>
      <c r="L2188">
        <v>282.14609999999999</v>
      </c>
      <c r="M2188">
        <v>-0.98487709999999995</v>
      </c>
      <c r="N2188">
        <v>-1.6847499999999901E-2</v>
      </c>
      <c r="O2188">
        <v>-0.17243320000000001</v>
      </c>
      <c r="P2188">
        <v>-0.99636259999999999</v>
      </c>
      <c r="Q2188">
        <v>-7.404115E-2</v>
      </c>
      <c r="R2188">
        <v>-4.2183249999999999E-2</v>
      </c>
      <c r="S2188">
        <v>-3.0005190000000002</v>
      </c>
      <c r="T2188">
        <v>-0.24865909999999999</v>
      </c>
      <c r="U2188">
        <v>0.16436770000000001</v>
      </c>
      <c r="V2188">
        <v>0.1291784</v>
      </c>
      <c r="W2188">
        <v>-5.9810660000000002E-2</v>
      </c>
      <c r="X2188">
        <v>0.98981600000000003</v>
      </c>
      <c r="Y2188">
        <v>0.22478100000000001</v>
      </c>
      <c r="Z2188">
        <v>2.2501170000000001E-2</v>
      </c>
      <c r="AA2188">
        <v>0.9741495</v>
      </c>
      <c r="AB2188">
        <v>20</v>
      </c>
      <c r="AC2188">
        <v>-13.2274999999999</v>
      </c>
      <c r="AD2188">
        <v>-1.1136433439169999</v>
      </c>
      <c r="AE2188">
        <v>0.75720000000001098</v>
      </c>
      <c r="AF2188">
        <v>3.00580261820157</v>
      </c>
      <c r="AG2188">
        <v>-1.1136433439169999</v>
      </c>
      <c r="AH2188">
        <v>12.8082354975624</v>
      </c>
      <c r="AI2188">
        <v>94.838425267047</v>
      </c>
      <c r="AJ2188">
        <v>76.792969684137404</v>
      </c>
      <c r="AK2188">
        <v>13.2032551834029</v>
      </c>
      <c r="AL2188">
        <v>93.428944715602896</v>
      </c>
      <c r="AM2188">
        <v>82.564496026919201</v>
      </c>
      <c r="AN2188">
        <v>1.0000000439660901</v>
      </c>
    </row>
    <row r="2189" spans="1:40" x14ac:dyDescent="0.25">
      <c r="A2189" t="str">
        <f>"20190303154139618"</f>
        <v>20190303154139618</v>
      </c>
      <c r="B2189" t="str">
        <f>"1551598899611420"</f>
        <v>1551598899611420</v>
      </c>
      <c r="C2189" t="s">
        <v>40</v>
      </c>
      <c r="D2189">
        <v>6.1649690000000001</v>
      </c>
      <c r="E2189">
        <v>0.53624150000000004</v>
      </c>
      <c r="F2189" t="s">
        <v>50</v>
      </c>
      <c r="G2189">
        <v>-215.4307</v>
      </c>
      <c r="H2189" s="1">
        <v>1.3531589999999999E-6</v>
      </c>
      <c r="I2189">
        <v>282.80939999999998</v>
      </c>
      <c r="J2189">
        <v>-202.98830000000001</v>
      </c>
      <c r="K2189">
        <v>1.114039</v>
      </c>
      <c r="L2189">
        <v>282.12650000000002</v>
      </c>
      <c r="M2189">
        <v>-0.98733649999999995</v>
      </c>
      <c r="N2189">
        <v>-1.6657060000000001E-2</v>
      </c>
      <c r="O2189">
        <v>-0.15776299999999999</v>
      </c>
      <c r="P2189">
        <v>-0.99655110000000002</v>
      </c>
      <c r="Q2189">
        <v>-7.3931079999999996E-2</v>
      </c>
      <c r="R2189">
        <v>-3.7689430000000003E-2</v>
      </c>
      <c r="S2189">
        <v>-2.9980159999999998</v>
      </c>
      <c r="T2189">
        <v>-0.2637581</v>
      </c>
      <c r="U2189">
        <v>0.15710450000000001</v>
      </c>
      <c r="V2189">
        <v>0.1189795</v>
      </c>
      <c r="W2189">
        <v>-5.9563249999999998E-2</v>
      </c>
      <c r="X2189">
        <v>0.99110849999999995</v>
      </c>
      <c r="Y2189">
        <v>0.20789350000000001</v>
      </c>
      <c r="Z2189">
        <v>2.204412E-2</v>
      </c>
      <c r="AA2189">
        <v>0.97790299999999997</v>
      </c>
      <c r="AB2189">
        <v>20</v>
      </c>
      <c r="AC2189">
        <v>-12.4423999999999</v>
      </c>
      <c r="AD2189">
        <v>-1.114037646841</v>
      </c>
      <c r="AE2189">
        <v>0.68289999999996098</v>
      </c>
      <c r="AF2189">
        <v>2.6166546652923701</v>
      </c>
      <c r="AG2189">
        <v>-1.114037646841</v>
      </c>
      <c r="AH2189">
        <v>12.082221358358201</v>
      </c>
      <c r="AI2189">
        <v>95.149333592546299</v>
      </c>
      <c r="AJ2189">
        <v>77.780131501628205</v>
      </c>
      <c r="AK2189">
        <v>12.412414530152599</v>
      </c>
      <c r="AL2189">
        <v>93.414744066363298</v>
      </c>
      <c r="AM2189">
        <v>83.154577746303104</v>
      </c>
      <c r="AN2189">
        <v>0.99999998047153105</v>
      </c>
    </row>
    <row r="2190" spans="1:40" x14ac:dyDescent="0.25">
      <c r="A2190" t="str">
        <f>"20190303154139638"</f>
        <v>20190303154139638</v>
      </c>
      <c r="B2190" t="str">
        <f>"1551598899631917"</f>
        <v>1551598899631917</v>
      </c>
      <c r="C2190" t="s">
        <v>40</v>
      </c>
      <c r="D2190">
        <v>6.1701839999999999</v>
      </c>
      <c r="E2190">
        <v>0.53621240000000003</v>
      </c>
      <c r="F2190" t="s">
        <v>50</v>
      </c>
      <c r="G2190">
        <v>-216.41579999999999</v>
      </c>
      <c r="H2190" s="1">
        <v>1.8773950000000001E-6</v>
      </c>
      <c r="I2190">
        <v>282.91609999999997</v>
      </c>
      <c r="J2190">
        <v>-203.1841</v>
      </c>
      <c r="K2190">
        <v>1.114382</v>
      </c>
      <c r="L2190">
        <v>282.11099999999999</v>
      </c>
      <c r="M2190">
        <v>-0.9892997</v>
      </c>
      <c r="N2190">
        <v>-1.649107E-2</v>
      </c>
      <c r="O2190">
        <v>-0.14496249999999999</v>
      </c>
      <c r="P2190">
        <v>-0.99667320000000004</v>
      </c>
      <c r="Q2190">
        <v>-7.3627040000000005E-2</v>
      </c>
      <c r="R2190">
        <v>-3.4949750000000002E-2</v>
      </c>
      <c r="S2190">
        <v>-2.998596</v>
      </c>
      <c r="T2190">
        <v>-0.24878349999999999</v>
      </c>
      <c r="U2190">
        <v>0.1763306</v>
      </c>
      <c r="V2190">
        <v>0.1089287</v>
      </c>
      <c r="W2190">
        <v>-5.9133409999999997E-2</v>
      </c>
      <c r="X2190">
        <v>0.99228919999999998</v>
      </c>
      <c r="Y2190">
        <v>0.2016686</v>
      </c>
      <c r="Z2190">
        <v>1.959996E-2</v>
      </c>
      <c r="AA2190">
        <v>0.97925770000000001</v>
      </c>
      <c r="AB2190">
        <v>20</v>
      </c>
      <c r="AC2190">
        <v>-13.231699999999901</v>
      </c>
      <c r="AD2190">
        <v>-1.1143801226050001</v>
      </c>
      <c r="AE2190">
        <v>0.80509999999998105</v>
      </c>
      <c r="AF2190">
        <v>2.6959029820592599</v>
      </c>
      <c r="AG2190">
        <v>-1.1143801226050001</v>
      </c>
      <c r="AH2190">
        <v>12.884121003333901</v>
      </c>
      <c r="AI2190">
        <v>94.839069709026404</v>
      </c>
      <c r="AJ2190">
        <v>78.181807126047502</v>
      </c>
      <c r="AK2190">
        <v>13.210235046163399</v>
      </c>
      <c r="AL2190">
        <v>93.390072361052205</v>
      </c>
      <c r="AM2190">
        <v>83.735430516023499</v>
      </c>
      <c r="AN2190">
        <v>1.00000003914927</v>
      </c>
    </row>
    <row r="2191" spans="1:40" x14ac:dyDescent="0.25">
      <c r="A2191" t="str">
        <f>"20190303154139663"</f>
        <v>20190303154139663</v>
      </c>
      <c r="B2191" t="str">
        <f>"1551598899651440"</f>
        <v>1551598899651440</v>
      </c>
      <c r="C2191" t="s">
        <v>40</v>
      </c>
      <c r="D2191">
        <v>6.1984560000000002</v>
      </c>
      <c r="E2191">
        <v>0.53634389999999998</v>
      </c>
      <c r="F2191" t="s">
        <v>50</v>
      </c>
      <c r="G2191">
        <v>-217.58019999999999</v>
      </c>
      <c r="H2191" s="1">
        <v>2.497025E-6</v>
      </c>
      <c r="I2191">
        <v>282.9941</v>
      </c>
      <c r="J2191">
        <v>-203.4024</v>
      </c>
      <c r="K2191">
        <v>1.1146990000000001</v>
      </c>
      <c r="L2191">
        <v>282.09589999999997</v>
      </c>
      <c r="M2191">
        <v>-0.99122569999999999</v>
      </c>
      <c r="N2191">
        <v>-1.6317979999999999E-2</v>
      </c>
      <c r="O2191">
        <v>-0.13117000000000001</v>
      </c>
      <c r="P2191">
        <v>-0.99678359999999999</v>
      </c>
      <c r="Q2191">
        <v>-7.3619799999999999E-2</v>
      </c>
      <c r="R2191">
        <v>-3.166973E-2</v>
      </c>
      <c r="S2191">
        <v>-2.9993129999999999</v>
      </c>
      <c r="T2191">
        <v>-0.23217199999999999</v>
      </c>
      <c r="U2191">
        <v>0.1839905</v>
      </c>
      <c r="V2191">
        <v>9.8424600000000001E-2</v>
      </c>
      <c r="W2191">
        <v>-5.9022520000000002E-2</v>
      </c>
      <c r="X2191">
        <v>0.99339259999999996</v>
      </c>
      <c r="Y2191">
        <v>0.1907093</v>
      </c>
      <c r="Z2191">
        <v>1.690235E-2</v>
      </c>
      <c r="AA2191">
        <v>0.98150099999999996</v>
      </c>
      <c r="AB2191">
        <v>20</v>
      </c>
      <c r="AC2191">
        <v>-14.1777999999999</v>
      </c>
      <c r="AD2191">
        <v>-1.11469650297499</v>
      </c>
      <c r="AE2191">
        <v>0.89820000000003097</v>
      </c>
      <c r="AF2191">
        <v>2.7335568341367602</v>
      </c>
      <c r="AG2191">
        <v>-1.11469650297499</v>
      </c>
      <c r="AH2191">
        <v>13.8521518176622</v>
      </c>
      <c r="AI2191">
        <v>94.514050781314495</v>
      </c>
      <c r="AJ2191">
        <v>78.836793900464997</v>
      </c>
      <c r="AK2191">
        <v>14.163226724117701</v>
      </c>
      <c r="AL2191">
        <v>93.383707988024696</v>
      </c>
      <c r="AM2191">
        <v>84.341644015345807</v>
      </c>
      <c r="AN2191">
        <v>0.99999995874353398</v>
      </c>
    </row>
    <row r="2192" spans="1:40" x14ac:dyDescent="0.25">
      <c r="A2192" t="str">
        <f>"20190303154139683"</f>
        <v>20190303154139683</v>
      </c>
      <c r="B2192" t="str">
        <f>"1551598899671932"</f>
        <v>1551598899671932</v>
      </c>
      <c r="C2192" t="s">
        <v>40</v>
      </c>
      <c r="D2192">
        <v>6.1778879999999896</v>
      </c>
      <c r="E2192">
        <v>0.53634689999999996</v>
      </c>
      <c r="F2192" t="s">
        <v>50</v>
      </c>
      <c r="G2192">
        <v>-218.47020000000001</v>
      </c>
      <c r="H2192" s="1">
        <v>2.9706329999999998E-6</v>
      </c>
      <c r="I2192">
        <v>283.07389999999998</v>
      </c>
      <c r="J2192">
        <v>-203.59399999999999</v>
      </c>
      <c r="K2192">
        <v>1.1149480000000001</v>
      </c>
      <c r="L2192">
        <v>282.08479999999997</v>
      </c>
      <c r="M2192">
        <v>-0.99270800000000003</v>
      </c>
      <c r="N2192">
        <v>-1.6177170000000001E-2</v>
      </c>
      <c r="O2192">
        <v>-0.1194539</v>
      </c>
      <c r="P2192">
        <v>-0.9967705</v>
      </c>
      <c r="Q2192">
        <v>-7.4139730000000001E-2</v>
      </c>
      <c r="R2192">
        <v>-3.0855190000000001E-2</v>
      </c>
      <c r="S2192">
        <v>-2.9994809999999998</v>
      </c>
      <c r="T2192">
        <v>-0.2218975</v>
      </c>
      <c r="U2192">
        <v>0.1946716</v>
      </c>
      <c r="V2192">
        <v>8.7531440000000002E-2</v>
      </c>
      <c r="W2192">
        <v>-5.943586E-2</v>
      </c>
      <c r="X2192">
        <v>0.99438709999999997</v>
      </c>
      <c r="Y2192">
        <v>0.1827154</v>
      </c>
      <c r="Z2192">
        <v>1.5102580000000001E-2</v>
      </c>
      <c r="AA2192">
        <v>0.98304990000000003</v>
      </c>
      <c r="AB2192">
        <v>20</v>
      </c>
      <c r="AC2192">
        <v>-14.8761999999999</v>
      </c>
      <c r="AD2192">
        <v>-1.114945029367</v>
      </c>
      <c r="AE2192">
        <v>0.98910000000000697</v>
      </c>
      <c r="AF2192">
        <v>2.7439230825001202</v>
      </c>
      <c r="AG2192">
        <v>-1.114945029367</v>
      </c>
      <c r="AH2192">
        <v>14.570004402935901</v>
      </c>
      <c r="AI2192">
        <v>94.3006251669444</v>
      </c>
      <c r="AJ2192">
        <v>79.334585349014205</v>
      </c>
      <c r="AK2192">
        <v>14.8679939670004</v>
      </c>
      <c r="AL2192">
        <v>93.407432001144301</v>
      </c>
      <c r="AM2192">
        <v>84.969475558454107</v>
      </c>
      <c r="AN2192">
        <v>1.00000003954441</v>
      </c>
    </row>
    <row r="2193" spans="1:40" x14ac:dyDescent="0.25">
      <c r="A2193" t="str">
        <f>"20190303154139706"</f>
        <v>20190303154139706</v>
      </c>
      <c r="B2193" t="str">
        <f>"1551598899701212"</f>
        <v>1551598899701212</v>
      </c>
      <c r="C2193" t="s">
        <v>40</v>
      </c>
      <c r="D2193">
        <v>6.2153890000000001</v>
      </c>
      <c r="E2193">
        <v>0.53594889999999995</v>
      </c>
      <c r="F2193" t="s">
        <v>50</v>
      </c>
      <c r="G2193">
        <v>-219.16759999999999</v>
      </c>
      <c r="H2193" s="1">
        <v>3.3417710000000002E-6</v>
      </c>
      <c r="I2193">
        <v>283.10789999999997</v>
      </c>
      <c r="J2193">
        <v>-203.79679999999999</v>
      </c>
      <c r="K2193">
        <v>1.115189</v>
      </c>
      <c r="L2193">
        <v>282.07490000000001</v>
      </c>
      <c r="M2193">
        <v>-0.99407509999999999</v>
      </c>
      <c r="N2193">
        <v>-1.60372999999999E-2</v>
      </c>
      <c r="O2193">
        <v>-0.1075067</v>
      </c>
      <c r="P2193">
        <v>-0.99668749999999995</v>
      </c>
      <c r="Q2193">
        <v>-7.5632420000000006E-2</v>
      </c>
      <c r="R2193">
        <v>-2.9897960000000001E-2</v>
      </c>
      <c r="S2193">
        <v>-2.9998629999999999</v>
      </c>
      <c r="T2193">
        <v>-0.21476600000000001</v>
      </c>
      <c r="U2193">
        <v>0.19708249999999999</v>
      </c>
      <c r="V2193">
        <v>7.6535069999999997E-2</v>
      </c>
      <c r="W2193">
        <v>-6.0835569999999999E-2</v>
      </c>
      <c r="X2193">
        <v>0.99520920000000002</v>
      </c>
      <c r="Y2193">
        <v>0.17176359999999999</v>
      </c>
      <c r="Z2193">
        <v>1.346751E-2</v>
      </c>
      <c r="AA2193">
        <v>0.98504610000000004</v>
      </c>
      <c r="AB2193">
        <v>20</v>
      </c>
      <c r="AC2193">
        <v>-15.370799999999999</v>
      </c>
      <c r="AD2193">
        <v>-1.1151856582290001</v>
      </c>
      <c r="AE2193">
        <v>1.03299999999995</v>
      </c>
      <c r="AF2193">
        <v>2.6657191443031998</v>
      </c>
      <c r="AG2193">
        <v>-1.1151856582290001</v>
      </c>
      <c r="AH2193">
        <v>15.0915426601349</v>
      </c>
      <c r="AI2193">
        <v>94.1619782585378</v>
      </c>
      <c r="AJ2193">
        <v>79.982794629938496</v>
      </c>
      <c r="AK2193">
        <v>15.365687666723399</v>
      </c>
      <c r="AL2193">
        <v>93.487775134967194</v>
      </c>
      <c r="AM2193">
        <v>85.602409764414602</v>
      </c>
      <c r="AN2193">
        <v>0.99999996764088395</v>
      </c>
    </row>
    <row r="2194" spans="1:40" x14ac:dyDescent="0.25">
      <c r="A2194" t="str">
        <f>"20190303154139727"</f>
        <v>20190303154139727</v>
      </c>
      <c r="B2194" t="str">
        <f>"1551598899721708"</f>
        <v>1551598899721708</v>
      </c>
      <c r="C2194" t="s">
        <v>40</v>
      </c>
      <c r="D2194">
        <v>6.1686509999999997</v>
      </c>
      <c r="E2194">
        <v>0.53586969999999901</v>
      </c>
      <c r="F2194" t="s">
        <v>50</v>
      </c>
      <c r="G2194">
        <v>-219.68270000000001</v>
      </c>
      <c r="H2194" s="1">
        <v>3.6158440000000001E-6</v>
      </c>
      <c r="I2194">
        <v>283.11610000000002</v>
      </c>
      <c r="J2194">
        <v>-203.99510000000001</v>
      </c>
      <c r="K2194">
        <v>1.115443</v>
      </c>
      <c r="L2194">
        <v>282.06709999999998</v>
      </c>
      <c r="M2194">
        <v>-0.99522719999999998</v>
      </c>
      <c r="N2194">
        <v>-1.5904950000000001E-2</v>
      </c>
      <c r="O2194">
        <v>-9.6280930000000001E-2</v>
      </c>
      <c r="P2194">
        <v>-0.99654379999999998</v>
      </c>
      <c r="Q2194">
        <v>-7.7763269999999995E-2</v>
      </c>
      <c r="R2194">
        <v>-2.9213429999999999E-2</v>
      </c>
      <c r="S2194">
        <v>-2.9998930000000001</v>
      </c>
      <c r="T2194">
        <v>-0.21059140000000001</v>
      </c>
      <c r="U2194">
        <v>0.19662479999999999</v>
      </c>
      <c r="V2194">
        <v>6.5985169999999996E-2</v>
      </c>
      <c r="W2194">
        <v>-6.2887780000000004E-2</v>
      </c>
      <c r="X2194">
        <v>0.99583690000000002</v>
      </c>
      <c r="Y2194">
        <v>0.16056219999999999</v>
      </c>
      <c r="Z2194">
        <v>1.21149E-2</v>
      </c>
      <c r="AA2194">
        <v>0.98695140000000003</v>
      </c>
      <c r="AB2194">
        <v>20</v>
      </c>
      <c r="AC2194">
        <v>-15.6876</v>
      </c>
      <c r="AD2194">
        <v>-1.115439384156</v>
      </c>
      <c r="AE2194">
        <v>1.0490000000000299</v>
      </c>
      <c r="AF2194">
        <v>2.5419389879281198</v>
      </c>
      <c r="AG2194">
        <v>-1.115439384156</v>
      </c>
      <c r="AH2194">
        <v>15.4359966471487</v>
      </c>
      <c r="AI2194">
        <v>94.078395662931698</v>
      </c>
      <c r="AJ2194">
        <v>80.648684764803605</v>
      </c>
      <c r="AK2194">
        <v>15.683610914864699</v>
      </c>
      <c r="AL2194">
        <v>93.605583564907505</v>
      </c>
      <c r="AM2194">
        <v>86.209064717674906</v>
      </c>
      <c r="AN2194">
        <v>1.00000002346743</v>
      </c>
    </row>
    <row r="2195" spans="1:40" x14ac:dyDescent="0.25">
      <c r="A2195" t="str">
        <f>"20190303154139743"</f>
        <v>20190303154139743</v>
      </c>
      <c r="B2195" t="str">
        <f>"1551598899731469"</f>
        <v>1551598899731469</v>
      </c>
      <c r="C2195" t="s">
        <v>40</v>
      </c>
      <c r="D2195">
        <v>6.2016540000000004</v>
      </c>
      <c r="E2195">
        <v>0.53569279999999997</v>
      </c>
      <c r="F2195" t="s">
        <v>50</v>
      </c>
      <c r="G2195">
        <v>-219.73869999999999</v>
      </c>
      <c r="H2195" s="1">
        <v>3.6456720000000002E-6</v>
      </c>
      <c r="I2195">
        <v>283.10550000000001</v>
      </c>
      <c r="J2195">
        <v>-204.1354</v>
      </c>
      <c r="K2195">
        <v>1.115642</v>
      </c>
      <c r="L2195">
        <v>282.06270000000001</v>
      </c>
      <c r="M2195">
        <v>-0.99593880000000001</v>
      </c>
      <c r="N2195">
        <v>-1.5812440000000001E-2</v>
      </c>
      <c r="O2195">
        <v>-8.8635179999999994E-2</v>
      </c>
      <c r="P2195">
        <v>-0.99652739999999995</v>
      </c>
      <c r="Q2195">
        <v>-7.8778669999999995E-2</v>
      </c>
      <c r="R2195">
        <v>-2.6974250000000002E-2</v>
      </c>
      <c r="S2195">
        <v>-2.999619</v>
      </c>
      <c r="T2195">
        <v>-0.2125243</v>
      </c>
      <c r="U2195">
        <v>0.19784550000000001</v>
      </c>
      <c r="V2195">
        <v>6.0589280000000002E-2</v>
      </c>
      <c r="W2195">
        <v>-6.3882919999999996E-2</v>
      </c>
      <c r="X2195">
        <v>0.99611640000000001</v>
      </c>
      <c r="Y2195">
        <v>0.15340619999999999</v>
      </c>
      <c r="Z2195">
        <v>1.150237E-2</v>
      </c>
      <c r="AA2195">
        <v>0.98809619999999998</v>
      </c>
      <c r="AB2195">
        <v>20</v>
      </c>
      <c r="AC2195">
        <v>-15.6032999999999</v>
      </c>
      <c r="AD2195">
        <v>-1.115638354328</v>
      </c>
      <c r="AE2195">
        <v>1.04279999999999</v>
      </c>
      <c r="AF2195">
        <v>2.4096049084775801</v>
      </c>
      <c r="AG2195">
        <v>-1.115638354328</v>
      </c>
      <c r="AH2195">
        <v>15.3711998543522</v>
      </c>
      <c r="AI2195">
        <v>94.101323047696994</v>
      </c>
      <c r="AJ2195">
        <v>81.090761796471796</v>
      </c>
      <c r="AK2195">
        <v>15.5988662958256</v>
      </c>
      <c r="AL2195">
        <v>93.662715913464496</v>
      </c>
      <c r="AM2195">
        <v>86.519243859209297</v>
      </c>
      <c r="AN2195">
        <v>0.99999998533380197</v>
      </c>
    </row>
    <row r="2196" spans="1:40" x14ac:dyDescent="0.25">
      <c r="A2196" t="str">
        <f>"20190303154139762"</f>
        <v>20190303154139762</v>
      </c>
      <c r="B2196" t="str">
        <f>"1551598899751964"</f>
        <v>1551598899751964</v>
      </c>
      <c r="C2196" t="s">
        <v>40</v>
      </c>
      <c r="D2196">
        <v>6.1795970000000002</v>
      </c>
      <c r="E2196">
        <v>0.53536640000000002</v>
      </c>
      <c r="F2196" t="s">
        <v>50</v>
      </c>
      <c r="G2196">
        <v>-219.7841</v>
      </c>
      <c r="H2196" s="1">
        <v>3.6698009999999998E-6</v>
      </c>
      <c r="I2196">
        <v>283.12290000000002</v>
      </c>
      <c r="J2196">
        <v>-204.30959999999999</v>
      </c>
      <c r="K2196">
        <v>1.115907</v>
      </c>
      <c r="L2196">
        <v>282.0582</v>
      </c>
      <c r="M2196">
        <v>-0.99671330000000002</v>
      </c>
      <c r="N2196">
        <v>-1.5698569999999998E-2</v>
      </c>
      <c r="O2196">
        <v>-7.9475019999999993E-2</v>
      </c>
      <c r="P2196">
        <v>-0.99635059999999998</v>
      </c>
      <c r="Q2196">
        <v>-8.0678369999999999E-2</v>
      </c>
      <c r="R2196">
        <v>-2.7866620000000002E-2</v>
      </c>
      <c r="S2196">
        <v>-2.9990540000000001</v>
      </c>
      <c r="T2196">
        <v>-0.21381069999999999</v>
      </c>
      <c r="U2196">
        <v>0.20318600000000001</v>
      </c>
      <c r="V2196">
        <v>5.0553220000000003E-2</v>
      </c>
      <c r="W2196">
        <v>-6.5714889999999998E-2</v>
      </c>
      <c r="X2196">
        <v>0.99655709999999997</v>
      </c>
      <c r="Y2196">
        <v>0.14611089999999999</v>
      </c>
      <c r="Z2196">
        <v>1.075226E-2</v>
      </c>
      <c r="AA2196">
        <v>0.98920980000000003</v>
      </c>
      <c r="AB2196">
        <v>20</v>
      </c>
      <c r="AC2196">
        <v>-15.474500000000001</v>
      </c>
      <c r="AD2196">
        <v>-1.115903330199</v>
      </c>
      <c r="AE2196">
        <v>1.06470000000001</v>
      </c>
      <c r="AF2196">
        <v>2.2795209529530398</v>
      </c>
      <c r="AG2196">
        <v>-1.115903330199</v>
      </c>
      <c r="AH2196">
        <v>15.261921322922101</v>
      </c>
      <c r="AI2196">
        <v>94.136125450436296</v>
      </c>
      <c r="AJ2196">
        <v>81.505098736981694</v>
      </c>
      <c r="AK2196">
        <v>15.471512482119101</v>
      </c>
      <c r="AL2196">
        <v>93.767900844907203</v>
      </c>
      <c r="AM2196">
        <v>87.095996355589307</v>
      </c>
      <c r="AN2196">
        <v>1.00000006419024</v>
      </c>
    </row>
    <row r="2197" spans="1:40" x14ac:dyDescent="0.25">
      <c r="A2197" t="str">
        <f>"20190303154139784"</f>
        <v>20190303154139784</v>
      </c>
      <c r="B2197" t="str">
        <f>"1551598899781244"</f>
        <v>1551598899781244</v>
      </c>
      <c r="C2197" t="s">
        <v>40</v>
      </c>
      <c r="D2197">
        <v>6.1502780000000001</v>
      </c>
      <c r="E2197">
        <v>0.53500209999999904</v>
      </c>
      <c r="F2197" t="s">
        <v>50</v>
      </c>
      <c r="G2197">
        <v>-219.76589999999999</v>
      </c>
      <c r="H2197" s="1">
        <v>3.6601310000000001E-6</v>
      </c>
      <c r="I2197">
        <v>283.07729999999998</v>
      </c>
      <c r="J2197">
        <v>-204.5077</v>
      </c>
      <c r="K2197">
        <v>1.1162620000000001</v>
      </c>
      <c r="L2197">
        <v>282.05459999999999</v>
      </c>
      <c r="M2197">
        <v>-0.99745830000000002</v>
      </c>
      <c r="N2197">
        <v>-1.557237E-2</v>
      </c>
      <c r="O2197">
        <v>-6.9530919999999996E-2</v>
      </c>
      <c r="P2197">
        <v>-0.996313</v>
      </c>
      <c r="Q2197">
        <v>-8.1490489999999999E-2</v>
      </c>
      <c r="R2197">
        <v>-2.6831689999999998E-2</v>
      </c>
      <c r="S2197">
        <v>-2.9989780000000001</v>
      </c>
      <c r="T2197">
        <v>-0.21651770000000001</v>
      </c>
      <c r="U2197">
        <v>0.19772339999999999</v>
      </c>
      <c r="V2197">
        <v>4.169817E-2</v>
      </c>
      <c r="W2197">
        <v>-6.6494259999999999E-2</v>
      </c>
      <c r="X2197">
        <v>0.99691510000000005</v>
      </c>
      <c r="Y2197">
        <v>0.13448160000000001</v>
      </c>
      <c r="Z2197">
        <v>9.8202299999999992E-3</v>
      </c>
      <c r="AA2197">
        <v>0.99086739999999995</v>
      </c>
      <c r="AB2197">
        <v>20</v>
      </c>
      <c r="AC2197">
        <v>-15.258199999999899</v>
      </c>
      <c r="AD2197">
        <v>-1.116258339869</v>
      </c>
      <c r="AE2197">
        <v>1.02269999999998</v>
      </c>
      <c r="AF2197">
        <v>2.0702390068915202</v>
      </c>
      <c r="AG2197">
        <v>-1.116258339869</v>
      </c>
      <c r="AH2197">
        <v>15.0698508352008</v>
      </c>
      <c r="AI2197">
        <v>94.197017478108805</v>
      </c>
      <c r="AJ2197">
        <v>82.177884591808194</v>
      </c>
      <c r="AK2197">
        <v>15.2522892190708</v>
      </c>
      <c r="AL2197">
        <v>93.812653700470307</v>
      </c>
      <c r="AM2197">
        <v>87.604873932813405</v>
      </c>
      <c r="AN2197">
        <v>0.99999997030115195</v>
      </c>
    </row>
    <row r="2198" spans="1:40" x14ac:dyDescent="0.25">
      <c r="A2198" t="str">
        <f>"20190303154139799"</f>
        <v>20190303154139799</v>
      </c>
      <c r="B2198" t="str">
        <f>"1551598899791981"</f>
        <v>1551598899791981</v>
      </c>
      <c r="C2198" t="s">
        <v>40</v>
      </c>
      <c r="D2198">
        <v>6.1724110000000003</v>
      </c>
      <c r="E2198">
        <v>0.534871599999999</v>
      </c>
      <c r="F2198" t="s">
        <v>50</v>
      </c>
      <c r="G2198">
        <v>-220.08029999999999</v>
      </c>
      <c r="H2198" s="1">
        <v>-1.4940800000000001E-6</v>
      </c>
      <c r="I2198">
        <v>283.08120000000002</v>
      </c>
      <c r="J2198">
        <v>-204.643</v>
      </c>
      <c r="K2198">
        <v>1.1165069999999999</v>
      </c>
      <c r="L2198">
        <v>282.05279999999999</v>
      </c>
      <c r="M2198">
        <v>-0.99789349999999999</v>
      </c>
      <c r="N2198">
        <v>-1.548968E-2</v>
      </c>
      <c r="O2198">
        <v>-6.2998209999999999E-2</v>
      </c>
      <c r="P2198">
        <v>-0.99637229999999999</v>
      </c>
      <c r="Q2198">
        <v>-8.1468979999999996E-2</v>
      </c>
      <c r="R2198">
        <v>-2.460265E-2</v>
      </c>
      <c r="S2198">
        <v>-2.9988100000000002</v>
      </c>
      <c r="T2198">
        <v>-0.2149587</v>
      </c>
      <c r="U2198">
        <v>0.1976929</v>
      </c>
      <c r="V2198">
        <v>3.7444119999999997E-2</v>
      </c>
      <c r="W2198">
        <v>-6.6477339999999996E-2</v>
      </c>
      <c r="X2198">
        <v>0.99708509999999995</v>
      </c>
      <c r="Y2198">
        <v>0.12802230000000001</v>
      </c>
      <c r="Z2198">
        <v>9.1031670000000005E-3</v>
      </c>
      <c r="AA2198">
        <v>0.99172950000000004</v>
      </c>
      <c r="AB2198">
        <v>20</v>
      </c>
      <c r="AC2198">
        <v>-15.437299999999899</v>
      </c>
      <c r="AD2198">
        <v>-1.1165084940800001</v>
      </c>
      <c r="AE2198">
        <v>1.02840000000003</v>
      </c>
      <c r="AF2198">
        <v>1.98863909545833</v>
      </c>
      <c r="AG2198">
        <v>-1.1165084940800001</v>
      </c>
      <c r="AH2198">
        <v>15.26234948397</v>
      </c>
      <c r="AI2198">
        <v>94.149039612013993</v>
      </c>
      <c r="AJ2198">
        <v>82.576351716955003</v>
      </c>
      <c r="AK2198">
        <v>15.431804445371201</v>
      </c>
      <c r="AL2198">
        <v>93.8116820012972</v>
      </c>
      <c r="AM2198">
        <v>87.849348698069903</v>
      </c>
      <c r="AN2198">
        <v>0.99999999774902903</v>
      </c>
    </row>
    <row r="2199" spans="1:40" x14ac:dyDescent="0.25">
      <c r="A2199" t="str">
        <f>"20190303154139821"</f>
        <v>20190303154139821</v>
      </c>
      <c r="B2199" t="str">
        <f>"1551598899811500"</f>
        <v>1551598899811500</v>
      </c>
      <c r="C2199" t="s">
        <v>40</v>
      </c>
      <c r="D2199">
        <v>6.1465569999999996</v>
      </c>
      <c r="E2199">
        <v>0.53463450000000001</v>
      </c>
      <c r="F2199" t="s">
        <v>50</v>
      </c>
      <c r="G2199">
        <v>-220.32849999999999</v>
      </c>
      <c r="H2199" s="1">
        <v>-1.3619639999999999E-6</v>
      </c>
      <c r="I2199">
        <v>283.11660000000001</v>
      </c>
      <c r="J2199">
        <v>-204.83359999999999</v>
      </c>
      <c r="K2199">
        <v>1.116849</v>
      </c>
      <c r="L2199">
        <v>282.05130000000003</v>
      </c>
      <c r="M2199">
        <v>-0.99840980000000001</v>
      </c>
      <c r="N2199">
        <v>-1.537855E-2</v>
      </c>
      <c r="O2199">
        <v>-5.423687E-2</v>
      </c>
      <c r="P2199">
        <v>-0.99651559999999995</v>
      </c>
      <c r="Q2199">
        <v>-7.9903769999999999E-2</v>
      </c>
      <c r="R2199">
        <v>-2.39264E-2</v>
      </c>
      <c r="S2199">
        <v>-2.9984739999999999</v>
      </c>
      <c r="T2199">
        <v>-0.21343409999999999</v>
      </c>
      <c r="U2199">
        <v>0.2033691</v>
      </c>
      <c r="V2199">
        <v>2.9453969999999999E-2</v>
      </c>
      <c r="W2199">
        <v>-6.4898529999999996E-2</v>
      </c>
      <c r="X2199">
        <v>0.99745709999999999</v>
      </c>
      <c r="Y2199">
        <v>0.121232199999999</v>
      </c>
      <c r="Z2199">
        <v>8.2584830000000005E-3</v>
      </c>
      <c r="AA2199">
        <v>0.99258979999999997</v>
      </c>
      <c r="AB2199">
        <v>20</v>
      </c>
      <c r="AC2199">
        <v>-15.494899999999999</v>
      </c>
      <c r="AD2199">
        <v>-1.116850361964</v>
      </c>
      <c r="AE2199">
        <v>1.0652999999999699</v>
      </c>
      <c r="AF2199">
        <v>1.8944299015880199</v>
      </c>
      <c r="AG2199">
        <v>-1.116850361964</v>
      </c>
      <c r="AH2199">
        <v>15.3350067883877</v>
      </c>
      <c r="AI2199">
        <v>94.134187171312107</v>
      </c>
      <c r="AJ2199">
        <v>82.957572450592195</v>
      </c>
      <c r="AK2199">
        <v>15.4918898970702</v>
      </c>
      <c r="AL2199">
        <v>93.721026997530899</v>
      </c>
      <c r="AM2199">
        <v>88.308601020304295</v>
      </c>
      <c r="AN2199">
        <v>1.0000000109426599</v>
      </c>
    </row>
    <row r="2200" spans="1:40" x14ac:dyDescent="0.25">
      <c r="A2200" t="str">
        <f>"20190303154139842"</f>
        <v>20190303154139842</v>
      </c>
      <c r="B2200" t="str">
        <f>"1551598899831996"</f>
        <v>1551598899831996</v>
      </c>
      <c r="C2200" t="s">
        <v>40</v>
      </c>
      <c r="D2200">
        <v>6.1507630000000004</v>
      </c>
      <c r="E2200">
        <v>0.53437309999999905</v>
      </c>
      <c r="F2200" t="s">
        <v>50</v>
      </c>
      <c r="G2200">
        <v>-221.05090000000001</v>
      </c>
      <c r="H2200" s="1">
        <v>-9.775604000000001E-7</v>
      </c>
      <c r="I2200">
        <v>283.15190000000001</v>
      </c>
      <c r="J2200">
        <v>-205.0284</v>
      </c>
      <c r="K2200">
        <v>1.117178</v>
      </c>
      <c r="L2200">
        <v>282.05099999999999</v>
      </c>
      <c r="M2200">
        <v>-0.99883409999999995</v>
      </c>
      <c r="N2200">
        <v>-1.5270880000000001E-2</v>
      </c>
      <c r="O2200">
        <v>-4.5796219999999999E-2</v>
      </c>
      <c r="P2200">
        <v>-0.99666120000000002</v>
      </c>
      <c r="Q2200">
        <v>-7.816178E-2</v>
      </c>
      <c r="R2200">
        <v>-2.360957E-2</v>
      </c>
      <c r="S2200">
        <v>-2.9988100000000002</v>
      </c>
      <c r="T2200">
        <v>-0.20652219999999999</v>
      </c>
      <c r="U2200">
        <v>0.2035217</v>
      </c>
      <c r="V2200">
        <v>2.1421969999999999E-2</v>
      </c>
      <c r="W2200">
        <v>-6.3153639999999997E-2</v>
      </c>
      <c r="X2200">
        <v>0.99777389999999999</v>
      </c>
      <c r="Y2200">
        <v>0.1129458</v>
      </c>
      <c r="Z2200">
        <v>7.1939019999999899E-3</v>
      </c>
      <c r="AA2200">
        <v>0.99357510000000004</v>
      </c>
      <c r="AB2200">
        <v>20</v>
      </c>
      <c r="AC2200">
        <v>-16.022500000000001</v>
      </c>
      <c r="AD2200">
        <v>-1.1171789775604</v>
      </c>
      <c r="AE2200">
        <v>1.10090000000002</v>
      </c>
      <c r="AF2200">
        <v>1.8247704216593299</v>
      </c>
      <c r="AG2200">
        <v>-1.1171789775604</v>
      </c>
      <c r="AH2200">
        <v>15.878429515398</v>
      </c>
      <c r="AI2200">
        <v>93.998369957979605</v>
      </c>
      <c r="AJ2200">
        <v>83.444251611746296</v>
      </c>
      <c r="AK2200">
        <v>16.021934959146702</v>
      </c>
      <c r="AL2200">
        <v>93.620846575193795</v>
      </c>
      <c r="AM2200">
        <v>88.770062101797194</v>
      </c>
      <c r="AN2200">
        <v>1.00000001928257</v>
      </c>
    </row>
    <row r="2201" spans="1:40" x14ac:dyDescent="0.25">
      <c r="A2201" t="str">
        <f>"20190303154139862"</f>
        <v>20190303154139862</v>
      </c>
      <c r="B2201" t="str">
        <f>"1551598899851519"</f>
        <v>1551598899851519</v>
      </c>
      <c r="C2201" t="s">
        <v>40</v>
      </c>
      <c r="D2201">
        <v>6.1496259999999996</v>
      </c>
      <c r="E2201">
        <v>0.53417479999999995</v>
      </c>
      <c r="F2201" t="s">
        <v>50</v>
      </c>
      <c r="G2201">
        <v>-221.82490000000001</v>
      </c>
      <c r="H2201" s="1">
        <v>-5.6565350000000003E-7</v>
      </c>
      <c r="I2201">
        <v>283.18389999999999</v>
      </c>
      <c r="J2201">
        <v>-205.21270000000001</v>
      </c>
      <c r="K2201">
        <v>1.1174649999999999</v>
      </c>
      <c r="L2201">
        <v>282.05149999999998</v>
      </c>
      <c r="M2201">
        <v>-0.99915220000000005</v>
      </c>
      <c r="N2201">
        <v>-1.5173799999999999E-2</v>
      </c>
      <c r="O2201">
        <v>-3.8275419999999998E-2</v>
      </c>
      <c r="P2201">
        <v>-0.99667779999999995</v>
      </c>
      <c r="Q2201">
        <v>-7.7811409999999998E-2</v>
      </c>
      <c r="R2201">
        <v>-2.4060000000000002E-2</v>
      </c>
      <c r="S2201">
        <v>-2.9992070000000002</v>
      </c>
      <c r="T2201">
        <v>-0.1994843</v>
      </c>
      <c r="U2201">
        <v>0.20230100000000001</v>
      </c>
      <c r="V2201">
        <v>1.3513560000000001E-2</v>
      </c>
      <c r="W2201">
        <v>-6.2807509999999997E-2</v>
      </c>
      <c r="X2201">
        <v>0.99793419999999999</v>
      </c>
      <c r="Y2201">
        <v>0.1051078</v>
      </c>
      <c r="Z2201">
        <v>6.2480189999999996E-3</v>
      </c>
      <c r="AA2201">
        <v>0.99444120000000003</v>
      </c>
      <c r="AB2201">
        <v>20</v>
      </c>
      <c r="AC2201">
        <v>-16.612200000000001</v>
      </c>
      <c r="AD2201">
        <v>-1.1174655656535</v>
      </c>
      <c r="AE2201">
        <v>1.1324000000000101</v>
      </c>
      <c r="AF2201">
        <v>1.7595569581054999</v>
      </c>
      <c r="AG2201">
        <v>-1.1174655656535</v>
      </c>
      <c r="AH2201">
        <v>16.482438881648601</v>
      </c>
      <c r="AI2201">
        <v>93.856719108728399</v>
      </c>
      <c r="AJ2201">
        <v>83.906556392626499</v>
      </c>
      <c r="AK2201">
        <v>16.613716064340299</v>
      </c>
      <c r="AL2201">
        <v>93.600975286472803</v>
      </c>
      <c r="AM2201">
        <v>89.224174667397094</v>
      </c>
      <c r="AN2201">
        <v>1.00000003357295</v>
      </c>
    </row>
    <row r="2202" spans="1:40" x14ac:dyDescent="0.25">
      <c r="A2202" t="str">
        <f>"20190303154139884"</f>
        <v>20190303154139884</v>
      </c>
      <c r="B2202" t="str">
        <f>"1551598899881772"</f>
        <v>1551598899881772</v>
      </c>
      <c r="C2202" t="s">
        <v>40</v>
      </c>
      <c r="D2202">
        <v>6.2069900000000002</v>
      </c>
      <c r="E2202">
        <v>0.5335221</v>
      </c>
      <c r="F2202" t="s">
        <v>50</v>
      </c>
      <c r="G2202">
        <v>-222.2567</v>
      </c>
      <c r="H2202" s="1">
        <v>-3.358863E-7</v>
      </c>
      <c r="I2202">
        <v>283.18459999999999</v>
      </c>
      <c r="J2202">
        <v>-205.41419999999999</v>
      </c>
      <c r="K2202">
        <v>1.1177490000000001</v>
      </c>
      <c r="L2202">
        <v>282.0532</v>
      </c>
      <c r="M2202">
        <v>-0.99941899999999995</v>
      </c>
      <c r="N2202">
        <v>-1.507292E-2</v>
      </c>
      <c r="O2202">
        <v>-3.0573929999999999E-2</v>
      </c>
      <c r="P2202">
        <v>-0.99662700000000004</v>
      </c>
      <c r="Q2202">
        <v>-7.8705769999999994E-2</v>
      </c>
      <c r="R2202">
        <v>-2.3245410000000001E-2</v>
      </c>
      <c r="S2202">
        <v>-2.999466</v>
      </c>
      <c r="T2202">
        <v>-0.19665560000000001</v>
      </c>
      <c r="U2202">
        <v>0.19940189999999999</v>
      </c>
      <c r="V2202">
        <v>6.6780859999999997E-3</v>
      </c>
      <c r="W2202">
        <v>-6.3732430000000007E-2</v>
      </c>
      <c r="X2202">
        <v>0.99794470000000002</v>
      </c>
      <c r="Y2202">
        <v>9.6518850000000003E-2</v>
      </c>
      <c r="Z2202">
        <v>5.4269469999999997E-3</v>
      </c>
      <c r="AA2202">
        <v>0.99531639999999999</v>
      </c>
      <c r="AB2202">
        <v>20</v>
      </c>
      <c r="AC2202">
        <v>-16.842500000000001</v>
      </c>
      <c r="AD2202">
        <v>-1.1177493358863</v>
      </c>
      <c r="AE2202">
        <v>1.13139999999998</v>
      </c>
      <c r="AF2202">
        <v>1.6386859813430299</v>
      </c>
      <c r="AG2202">
        <v>-1.1177493358863</v>
      </c>
      <c r="AH2202">
        <v>16.726690984093299</v>
      </c>
      <c r="AI2202">
        <v>93.804904377919499</v>
      </c>
      <c r="AJ2202">
        <v>84.4046834787584</v>
      </c>
      <c r="AK2202">
        <v>16.843896419791701</v>
      </c>
      <c r="AL2202">
        <v>93.654075731241704</v>
      </c>
      <c r="AM2202">
        <v>89.616591548856107</v>
      </c>
      <c r="AN2202">
        <v>1.0000000218622001</v>
      </c>
    </row>
    <row r="2203" spans="1:40" x14ac:dyDescent="0.25">
      <c r="A2203" t="str">
        <f>"20190303154139899"</f>
        <v>20190303154139899</v>
      </c>
      <c r="B2203" t="str">
        <f>"1551598899891532"</f>
        <v>1551598899891532</v>
      </c>
      <c r="C2203" t="s">
        <v>40</v>
      </c>
      <c r="D2203">
        <v>6.1794739999999999</v>
      </c>
      <c r="E2203">
        <v>0.53325940000000005</v>
      </c>
      <c r="F2203" t="s">
        <v>50</v>
      </c>
      <c r="G2203">
        <v>-222.0583</v>
      </c>
      <c r="H2203" s="1">
        <v>-4.4146300000000001E-7</v>
      </c>
      <c r="I2203">
        <v>283.14490000000001</v>
      </c>
      <c r="J2203">
        <v>-205.54130000000001</v>
      </c>
      <c r="K2203">
        <v>1.117923</v>
      </c>
      <c r="L2203">
        <v>282.05470000000003</v>
      </c>
      <c r="M2203">
        <v>-0.99955000000000005</v>
      </c>
      <c r="N2203">
        <v>-1.501225E-2</v>
      </c>
      <c r="O2203">
        <v>-2.5969599999999898E-2</v>
      </c>
      <c r="P2203">
        <v>-0.99661359999999999</v>
      </c>
      <c r="Q2203">
        <v>-7.917884E-2</v>
      </c>
      <c r="R2203">
        <v>-2.2185719999999999E-2</v>
      </c>
      <c r="S2203">
        <v>-2.99884</v>
      </c>
      <c r="T2203">
        <v>-0.2013904</v>
      </c>
      <c r="U2203">
        <v>0.19668579999999999</v>
      </c>
      <c r="V2203">
        <v>3.1677659999999998E-3</v>
      </c>
      <c r="W2203">
        <v>-6.4233739999999998E-2</v>
      </c>
      <c r="X2203">
        <v>0.99792990000000004</v>
      </c>
      <c r="Y2203">
        <v>9.1056090000000006E-2</v>
      </c>
      <c r="Z2203">
        <v>5.0873070000000001E-3</v>
      </c>
      <c r="AA2203">
        <v>0.99583270000000002</v>
      </c>
      <c r="AB2203">
        <v>20</v>
      </c>
      <c r="AC2203">
        <v>-16.5169999999999</v>
      </c>
      <c r="AD2203">
        <v>-1.1179234414629999</v>
      </c>
      <c r="AE2203">
        <v>1.0901999999999801</v>
      </c>
      <c r="AF2203">
        <v>1.51192435114701</v>
      </c>
      <c r="AG2203">
        <v>-1.1179234414629999</v>
      </c>
      <c r="AH2203">
        <v>16.408272354349901</v>
      </c>
      <c r="AI2203">
        <v>93.881243797324501</v>
      </c>
      <c r="AJ2203">
        <v>84.735402077977596</v>
      </c>
      <c r="AK2203">
        <v>16.515661346706199</v>
      </c>
      <c r="AL2203">
        <v>93.682857561167495</v>
      </c>
      <c r="AM2203">
        <v>89.818124486833398</v>
      </c>
      <c r="AN2203">
        <v>1.0000000467049099</v>
      </c>
    </row>
    <row r="2204" spans="1:40" x14ac:dyDescent="0.25">
      <c r="A2204" t="str">
        <f>"20190303154139916"</f>
        <v>20190303154139916</v>
      </c>
      <c r="B2204" t="str">
        <f>"1551598899912028"</f>
        <v>1551598899912028</v>
      </c>
      <c r="C2204" t="s">
        <v>40</v>
      </c>
      <c r="D2204">
        <v>6.1321309999999896</v>
      </c>
      <c r="E2204">
        <v>0.53305630000000004</v>
      </c>
      <c r="F2204" t="s">
        <v>50</v>
      </c>
      <c r="G2204">
        <v>-221.9753</v>
      </c>
      <c r="H2204" s="1">
        <v>-4.8563330000000005E-7</v>
      </c>
      <c r="I2204">
        <v>283.1388</v>
      </c>
      <c r="J2204">
        <v>-205.69929999999999</v>
      </c>
      <c r="K2204">
        <v>1.1181460000000001</v>
      </c>
      <c r="L2204">
        <v>282.05720000000002</v>
      </c>
      <c r="M2204">
        <v>-0.99967720000000004</v>
      </c>
      <c r="N2204">
        <v>-1.4940230000000001E-2</v>
      </c>
      <c r="O2204">
        <v>-2.0552600000000001E-2</v>
      </c>
      <c r="P2204">
        <v>-0.99642779999999997</v>
      </c>
      <c r="Q2204">
        <v>-8.1300339999999999E-2</v>
      </c>
      <c r="R2204">
        <v>-2.2857720000000002E-2</v>
      </c>
      <c r="S2204">
        <v>-2.9983979999999999</v>
      </c>
      <c r="T2204">
        <v>-0.20396629999999999</v>
      </c>
      <c r="U2204">
        <v>0.1977844</v>
      </c>
      <c r="V2204">
        <v>-2.892122E-3</v>
      </c>
      <c r="W2204">
        <v>-6.6379869999999994E-2</v>
      </c>
      <c r="X2204">
        <v>0.99779019999999996</v>
      </c>
      <c r="Y2204">
        <v>8.6046129999999998E-2</v>
      </c>
      <c r="Z2204">
        <v>4.6532140000000001E-3</v>
      </c>
      <c r="AA2204">
        <v>0.99628030000000001</v>
      </c>
      <c r="AB2204">
        <v>20</v>
      </c>
      <c r="AC2204">
        <v>-16.276</v>
      </c>
      <c r="AD2204">
        <v>-1.1181464856333001</v>
      </c>
      <c r="AE2204">
        <v>1.0815999999999799</v>
      </c>
      <c r="AF2204">
        <v>1.40930087787472</v>
      </c>
      <c r="AG2204">
        <v>-1.1181464856333001</v>
      </c>
      <c r="AH2204">
        <v>16.174328944384602</v>
      </c>
      <c r="AI2204">
        <v>93.939739350542993</v>
      </c>
      <c r="AJ2204">
        <v>85.0202833555296</v>
      </c>
      <c r="AK2204">
        <v>16.274068247640798</v>
      </c>
      <c r="AL2204">
        <v>93.806085134751498</v>
      </c>
      <c r="AM2204">
        <v>90.166072908293501</v>
      </c>
      <c r="AN2204">
        <v>0.99999996736345897</v>
      </c>
    </row>
    <row r="2205" spans="1:40" x14ac:dyDescent="0.25">
      <c r="A2205" t="str">
        <f>"20190303154139940"</f>
        <v>20190303154139940</v>
      </c>
      <c r="B2205" t="str">
        <f>"1551598899931552"</f>
        <v>1551598899931552</v>
      </c>
      <c r="C2205" t="s">
        <v>40</v>
      </c>
      <c r="D2205">
        <v>6.1904640000000004</v>
      </c>
      <c r="E2205">
        <v>0.53254069999999998</v>
      </c>
      <c r="F2205" t="s">
        <v>50</v>
      </c>
      <c r="G2205">
        <v>-221.6755</v>
      </c>
      <c r="H2205" s="1">
        <v>-6.451855E-7</v>
      </c>
      <c r="I2205">
        <v>283.09210000000002</v>
      </c>
      <c r="J2205">
        <v>-205.90520000000001</v>
      </c>
      <c r="K2205">
        <v>1.118449</v>
      </c>
      <c r="L2205">
        <v>282.06110000000001</v>
      </c>
      <c r="M2205">
        <v>-0.99979130000000005</v>
      </c>
      <c r="N2205">
        <v>-1.485235E-2</v>
      </c>
      <c r="O2205">
        <v>-1.4033800000000001E-2</v>
      </c>
      <c r="P2205">
        <v>-0.99626020000000004</v>
      </c>
      <c r="Q2205">
        <v>-8.2710359999999997E-2</v>
      </c>
      <c r="R2205">
        <v>-2.4993129999999999E-2</v>
      </c>
      <c r="S2205">
        <v>-2.9981080000000002</v>
      </c>
      <c r="T2205">
        <v>-0.20983270000000001</v>
      </c>
      <c r="U2205">
        <v>0.19421389999999999</v>
      </c>
      <c r="V2205">
        <v>-1.1489630000000001E-2</v>
      </c>
      <c r="W2205">
        <v>-6.7820820000000004E-2</v>
      </c>
      <c r="X2205">
        <v>0.99763139999999995</v>
      </c>
      <c r="Y2205">
        <v>7.8389959999999995E-2</v>
      </c>
      <c r="Z2205">
        <v>4.0926790000000001E-3</v>
      </c>
      <c r="AA2205">
        <v>0.99691439999999998</v>
      </c>
      <c r="AB2205">
        <v>20</v>
      </c>
      <c r="AC2205">
        <v>-15.770299999999899</v>
      </c>
      <c r="AD2205">
        <v>-1.1184496451854999</v>
      </c>
      <c r="AE2205">
        <v>1.0309999999999999</v>
      </c>
      <c r="AF2205">
        <v>1.2459995873746701</v>
      </c>
      <c r="AG2205">
        <v>-1.1184496451854999</v>
      </c>
      <c r="AH2205">
        <v>15.6757653627902</v>
      </c>
      <c r="AI2205">
        <v>94.068290667369197</v>
      </c>
      <c r="AJ2205">
        <v>85.455358294022602</v>
      </c>
      <c r="AK2205">
        <v>15.7649314711421</v>
      </c>
      <c r="AL2205">
        <v>93.888831696830593</v>
      </c>
      <c r="AM2205">
        <v>90.6598411033373</v>
      </c>
      <c r="AN2205">
        <v>1.00000004274448</v>
      </c>
    </row>
    <row r="2206" spans="1:40" x14ac:dyDescent="0.25">
      <c r="A2206" t="str">
        <f>"20190303154139973"</f>
        <v>20190303154139973</v>
      </c>
      <c r="B2206" t="str">
        <f>"1551598899971565"</f>
        <v>1551598899971565</v>
      </c>
      <c r="C2206" t="s">
        <v>40</v>
      </c>
      <c r="D2206">
        <v>6.1990589999999903</v>
      </c>
      <c r="E2206">
        <v>0.53153219999999901</v>
      </c>
      <c r="F2206" t="s">
        <v>50</v>
      </c>
      <c r="G2206">
        <v>-221.4418</v>
      </c>
      <c r="H2206" s="1">
        <v>-7.6955669999999996E-7</v>
      </c>
      <c r="I2206">
        <v>283.0138</v>
      </c>
      <c r="J2206">
        <v>-206.20189999999999</v>
      </c>
      <c r="K2206">
        <v>1.118892</v>
      </c>
      <c r="L2206">
        <v>282.06790000000001</v>
      </c>
      <c r="M2206">
        <v>-0.9998764</v>
      </c>
      <c r="N2206">
        <v>-1.473869E-2</v>
      </c>
      <c r="O2206">
        <v>-5.4879359999999997E-3</v>
      </c>
      <c r="P2206">
        <v>-0.99630479999999999</v>
      </c>
      <c r="Q2206">
        <v>-8.2850660000000007E-2</v>
      </c>
      <c r="R2206">
        <v>-2.2636119999999999E-2</v>
      </c>
      <c r="S2206">
        <v>-2.9979710000000002</v>
      </c>
      <c r="T2206">
        <v>-0.21581800000000001</v>
      </c>
      <c r="U2206">
        <v>0.1838379</v>
      </c>
      <c r="V2206">
        <v>-1.7580060000000002E-2</v>
      </c>
      <c r="W2206">
        <v>-6.8050669999999994E-2</v>
      </c>
      <c r="X2206">
        <v>0.99752689999999999</v>
      </c>
      <c r="Y2206">
        <v>6.6467520000000002E-2</v>
      </c>
      <c r="Z2206">
        <v>3.1916520000000001E-3</v>
      </c>
      <c r="AA2206">
        <v>0.99778350000000005</v>
      </c>
      <c r="AB2206">
        <v>20</v>
      </c>
      <c r="AC2206">
        <v>-15.2399</v>
      </c>
      <c r="AD2206">
        <v>-1.1188927695566999</v>
      </c>
      <c r="AE2206">
        <v>0.94589999999999397</v>
      </c>
      <c r="AF2206">
        <v>1.0240317746462499</v>
      </c>
      <c r="AG2206">
        <v>-1.1188927695566999</v>
      </c>
      <c r="AH2206">
        <v>15.1531125268399</v>
      </c>
      <c r="AI2206">
        <v>94.213431678047201</v>
      </c>
      <c r="AJ2206">
        <v>86.133888346216494</v>
      </c>
      <c r="AK2206">
        <v>15.2288338803837</v>
      </c>
      <c r="AL2206">
        <v>93.902032051193501</v>
      </c>
      <c r="AM2206">
        <v>91.009655958241297</v>
      </c>
      <c r="AN2206">
        <v>0.99999993421032896</v>
      </c>
    </row>
    <row r="2207" spans="1:40" x14ac:dyDescent="0.25">
      <c r="A2207" t="str">
        <f>"20190303154139995"</f>
        <v>20190303154139995</v>
      </c>
      <c r="B2207" t="str">
        <f>"1551598899992061"</f>
        <v>1551598899992061</v>
      </c>
      <c r="C2207" t="s">
        <v>40</v>
      </c>
      <c r="D2207">
        <v>6.2230730000000003</v>
      </c>
      <c r="E2207">
        <v>0.5310878</v>
      </c>
      <c r="F2207" t="s">
        <v>50</v>
      </c>
      <c r="G2207">
        <v>-221.4494</v>
      </c>
      <c r="H2207" s="1">
        <v>-7.6548489999999998E-7</v>
      </c>
      <c r="I2207">
        <v>282.99799999999999</v>
      </c>
      <c r="J2207">
        <v>-206.3954</v>
      </c>
      <c r="K2207">
        <v>1.1191599999999999</v>
      </c>
      <c r="L2207">
        <v>282.0729</v>
      </c>
      <c r="M2207">
        <v>-0.99989240000000001</v>
      </c>
      <c r="N2207">
        <v>-1.46733E-2</v>
      </c>
      <c r="O2207">
        <v>-4.5487380000000001E-4</v>
      </c>
      <c r="P2207">
        <v>-0.99633360000000004</v>
      </c>
      <c r="Q2207">
        <v>-8.290691E-2</v>
      </c>
      <c r="R2207">
        <v>-2.1127940000000001E-2</v>
      </c>
      <c r="S2207">
        <v>-2.9969640000000002</v>
      </c>
      <c r="T2207">
        <v>-0.21992349999999999</v>
      </c>
      <c r="U2207">
        <v>0.18283079999999999</v>
      </c>
      <c r="V2207">
        <v>-2.104543E-2</v>
      </c>
      <c r="W2207">
        <v>-6.8164929999999999E-2</v>
      </c>
      <c r="X2207">
        <v>0.99745209999999995</v>
      </c>
      <c r="Y2207">
        <v>6.1148670000000002E-2</v>
      </c>
      <c r="Z2207">
        <v>2.7149549999999998E-3</v>
      </c>
      <c r="AA2207">
        <v>0.99812500000000004</v>
      </c>
      <c r="AB2207">
        <v>20</v>
      </c>
      <c r="AC2207">
        <v>-15.054</v>
      </c>
      <c r="AD2207">
        <v>-1.1191607654848901</v>
      </c>
      <c r="AE2207">
        <v>0.92509999999998604</v>
      </c>
      <c r="AF2207">
        <v>0.92684500849877305</v>
      </c>
      <c r="AG2207">
        <v>-1.1191607654848901</v>
      </c>
      <c r="AH2207">
        <v>14.971144958465199</v>
      </c>
      <c r="AI2207">
        <v>94.267027789458794</v>
      </c>
      <c r="AJ2207">
        <v>86.457410652838803</v>
      </c>
      <c r="AK2207">
        <v>15.041500718218201</v>
      </c>
      <c r="AL2207">
        <v>93.908593530028298</v>
      </c>
      <c r="AM2207">
        <v>91.2087151169614</v>
      </c>
      <c r="AN2207">
        <v>1.00000002980009</v>
      </c>
    </row>
    <row r="2208" spans="1:40" x14ac:dyDescent="0.25">
      <c r="A2208" t="str">
        <f>"20190303154140020"</f>
        <v>20190303154140020</v>
      </c>
      <c r="B2208" t="str">
        <f>"1551598900011581"</f>
        <v>1551598900011581</v>
      </c>
      <c r="C2208" t="s">
        <v>40</v>
      </c>
      <c r="D2208">
        <v>6.1998530000000001</v>
      </c>
      <c r="E2208">
        <v>0.53066429999999998</v>
      </c>
      <c r="F2208" t="s">
        <v>50</v>
      </c>
      <c r="G2208">
        <v>-221.44640000000001</v>
      </c>
      <c r="H2208" s="1">
        <v>-7.6710729999999899E-7</v>
      </c>
      <c r="I2208">
        <v>282.99619999999999</v>
      </c>
      <c r="J2208">
        <v>-206.60300000000001</v>
      </c>
      <c r="K2208">
        <v>1.1194309999999901</v>
      </c>
      <c r="L2208">
        <v>282.07889999999998</v>
      </c>
      <c r="M2208">
        <v>-0.99988370000000004</v>
      </c>
      <c r="N2208">
        <v>-1.460915E-2</v>
      </c>
      <c r="O2208">
        <v>4.3752289999999996E-3</v>
      </c>
      <c r="P2208">
        <v>-0.99637849999999994</v>
      </c>
      <c r="Q2208">
        <v>-8.2899920000000002E-2</v>
      </c>
      <c r="R2208">
        <v>-1.8906650000000001E-2</v>
      </c>
      <c r="S2208">
        <v>-2.9964140000000001</v>
      </c>
      <c r="T2208">
        <v>-0.22280720000000001</v>
      </c>
      <c r="U2208">
        <v>0.18380740000000001</v>
      </c>
      <c r="V2208">
        <v>-2.3593639999999999E-2</v>
      </c>
      <c r="W2208">
        <v>-6.8223909999999999E-2</v>
      </c>
      <c r="X2208">
        <v>0.99739100000000003</v>
      </c>
      <c r="Y2208">
        <v>5.6680359999999999E-2</v>
      </c>
      <c r="Z2208">
        <v>2.2567870000000001E-3</v>
      </c>
      <c r="AA2208">
        <v>0.99838979999999999</v>
      </c>
      <c r="AB2208">
        <v>20</v>
      </c>
      <c r="AC2208">
        <v>-14.843400000000001</v>
      </c>
      <c r="AD2208">
        <v>-1.11943176710729</v>
      </c>
      <c r="AE2208">
        <v>0.917300000000011</v>
      </c>
      <c r="AF2208">
        <v>0.84753889588668796</v>
      </c>
      <c r="AG2208">
        <v>-1.11943176710729</v>
      </c>
      <c r="AH2208">
        <v>14.763621724033801</v>
      </c>
      <c r="AI2208">
        <v>94.328978202572202</v>
      </c>
      <c r="AJ2208">
        <v>86.714413119219699</v>
      </c>
      <c r="AK2208">
        <v>14.8302385709608</v>
      </c>
      <c r="AL2208">
        <v>93.9119808984332</v>
      </c>
      <c r="AM2208">
        <v>91.355099386386797</v>
      </c>
      <c r="AN2208">
        <v>0.99999998431256798</v>
      </c>
    </row>
    <row r="2209" spans="1:40" x14ac:dyDescent="0.25">
      <c r="A2209" t="str">
        <f>"20190303154140041"</f>
        <v>20190303154140041</v>
      </c>
      <c r="B2209" t="str">
        <f>"1551598900031101"</f>
        <v>1551598900031101</v>
      </c>
      <c r="C2209" t="s">
        <v>40</v>
      </c>
      <c r="D2209">
        <v>6.2250509999999997</v>
      </c>
      <c r="E2209">
        <v>0.51906090000000005</v>
      </c>
      <c r="F2209" t="s">
        <v>50</v>
      </c>
      <c r="G2209">
        <v>-221.4991</v>
      </c>
      <c r="H2209" s="1">
        <v>-7.3902329999999996E-7</v>
      </c>
      <c r="I2209">
        <v>283.0102</v>
      </c>
      <c r="J2209">
        <v>-206.80160000000001</v>
      </c>
      <c r="K2209">
        <v>1.119672</v>
      </c>
      <c r="L2209">
        <v>282.08499999999998</v>
      </c>
      <c r="M2209">
        <v>-0.99985769999999996</v>
      </c>
      <c r="N2209">
        <v>-1.455299E-2</v>
      </c>
      <c r="O2209">
        <v>8.527303E-3</v>
      </c>
      <c r="P2209">
        <v>-0.99639639999999996</v>
      </c>
      <c r="Q2209">
        <v>-8.3082230000000007E-2</v>
      </c>
      <c r="R2209">
        <v>-1.7075570000000002E-2</v>
      </c>
      <c r="S2209">
        <v>-2.9957280000000002</v>
      </c>
      <c r="T2209">
        <v>-0.22512560000000001</v>
      </c>
      <c r="U2209">
        <v>0.18728639999999999</v>
      </c>
      <c r="V2209">
        <v>-2.5859819999999999E-2</v>
      </c>
      <c r="W2209">
        <v>-6.8467550000000002E-2</v>
      </c>
      <c r="X2209">
        <v>0.99731809999999999</v>
      </c>
      <c r="Y2209">
        <v>5.3717470000000003E-2</v>
      </c>
      <c r="Z2209">
        <v>1.8901440000000001E-3</v>
      </c>
      <c r="AA2209">
        <v>0.99855439999999995</v>
      </c>
      <c r="AB2209">
        <v>19</v>
      </c>
      <c r="AC2209">
        <v>-14.6974999999999</v>
      </c>
      <c r="AD2209">
        <v>-1.1196727390232999</v>
      </c>
      <c r="AE2209">
        <v>0.92520000000001701</v>
      </c>
      <c r="AF2209">
        <v>0.79522610503139202</v>
      </c>
      <c r="AG2209">
        <v>-1.1196727390232999</v>
      </c>
      <c r="AH2209">
        <v>14.6203405351011</v>
      </c>
      <c r="AI2209">
        <v>94.372908322218095</v>
      </c>
      <c r="AJ2209">
        <v>86.886649336558193</v>
      </c>
      <c r="AK2209">
        <v>14.684699825429</v>
      </c>
      <c r="AL2209">
        <v>93.925973239879795</v>
      </c>
      <c r="AM2209">
        <v>91.485310076609096</v>
      </c>
      <c r="AN2209">
        <v>0.99999996414052095</v>
      </c>
    </row>
    <row r="2210" spans="1:40" x14ac:dyDescent="0.25">
      <c r="A2210" t="str">
        <f>"20190303154140063"</f>
        <v>20190303154140063</v>
      </c>
      <c r="B2210" t="str">
        <f>"1551598900051600"</f>
        <v>1551598900051600</v>
      </c>
      <c r="C2210" t="s">
        <v>40</v>
      </c>
      <c r="D2210">
        <v>6.2099979999999997</v>
      </c>
      <c r="E2210">
        <v>0.51846429999999999</v>
      </c>
      <c r="F2210" t="s">
        <v>42</v>
      </c>
      <c r="G2210">
        <v>-207.6524</v>
      </c>
      <c r="H2210">
        <v>1.042764</v>
      </c>
      <c r="I2210">
        <v>282.11399999999998</v>
      </c>
      <c r="J2210">
        <v>-206.9871</v>
      </c>
      <c r="K2210">
        <v>1.119845</v>
      </c>
      <c r="L2210">
        <v>282.09100000000001</v>
      </c>
      <c r="M2210">
        <v>-0.99982190000000004</v>
      </c>
      <c r="N2210">
        <v>-1.4506299999999899E-2</v>
      </c>
      <c r="O2210">
        <v>1.2080769999999999E-2</v>
      </c>
      <c r="P2210">
        <v>-0.99628890000000003</v>
      </c>
      <c r="Q2210">
        <v>-8.4622000000000003E-2</v>
      </c>
      <c r="R2210">
        <v>-1.5750819999999999E-2</v>
      </c>
      <c r="S2210">
        <v>-2.9900509999999998</v>
      </c>
      <c r="T2210">
        <v>-0.27029809999999999</v>
      </c>
      <c r="U2210">
        <v>0.1011658</v>
      </c>
      <c r="V2210">
        <v>-2.8048980000000001E-2</v>
      </c>
      <c r="W2210">
        <v>-7.0060040000000004E-2</v>
      </c>
      <c r="X2210">
        <v>0.99714829999999999</v>
      </c>
      <c r="Y2210">
        <v>2.1669359999999999E-2</v>
      </c>
      <c r="Z2210">
        <v>2.2020580000000001E-4</v>
      </c>
      <c r="AA2210">
        <v>0.99976520000000002</v>
      </c>
      <c r="AB2210">
        <v>19</v>
      </c>
      <c r="AC2210">
        <v>-0.665300000000002</v>
      </c>
      <c r="AD2210">
        <v>-7.70809999999999E-2</v>
      </c>
      <c r="AE2210">
        <v>2.3000000000024501E-2</v>
      </c>
      <c r="AF2210">
        <v>1.4762218687187001E-2</v>
      </c>
      <c r="AG2210">
        <v>-7.70809999999999E-2</v>
      </c>
      <c r="AH2210">
        <v>0.65672443352508403</v>
      </c>
      <c r="AI2210">
        <v>96.692611285525601</v>
      </c>
      <c r="AJ2210">
        <v>88.7122903184123</v>
      </c>
      <c r="AK2210">
        <v>0.66139729758323795</v>
      </c>
      <c r="AL2210">
        <v>94.017435951145799</v>
      </c>
      <c r="AM2210">
        <v>91.611259332604902</v>
      </c>
      <c r="AN2210">
        <v>0.99999994333836395</v>
      </c>
    </row>
    <row r="2211" spans="1:40" x14ac:dyDescent="0.25">
      <c r="A2211" t="str">
        <f>"20190303154140086"</f>
        <v>20190303154140086</v>
      </c>
      <c r="B2211" t="str">
        <f>"1551598900081853"</f>
        <v>1551598900081853</v>
      </c>
      <c r="C2211" t="s">
        <v>40</v>
      </c>
      <c r="D2211">
        <v>6.2700740000000001</v>
      </c>
      <c r="E2211">
        <v>0.51777850000000003</v>
      </c>
      <c r="F2211" t="s">
        <v>42</v>
      </c>
      <c r="G2211">
        <v>-207.82640000000001</v>
      </c>
      <c r="H2211">
        <v>1.0422549999999999</v>
      </c>
      <c r="I2211">
        <v>282.11930000000001</v>
      </c>
      <c r="J2211">
        <v>-207.19059999999999</v>
      </c>
      <c r="K2211">
        <v>1.1199939999999999</v>
      </c>
      <c r="L2211">
        <v>282.09789999999998</v>
      </c>
      <c r="M2211">
        <v>-0.99977260000000001</v>
      </c>
      <c r="N2211">
        <v>-1.4461969999999999E-2</v>
      </c>
      <c r="O2211">
        <v>1.5671859999999999E-2</v>
      </c>
      <c r="P2211">
        <v>-0.99618390000000001</v>
      </c>
      <c r="Q2211">
        <v>-8.6052539999999997E-2</v>
      </c>
      <c r="R2211">
        <v>-1.457989E-2</v>
      </c>
      <c r="S2211">
        <v>-2.9892880000000002</v>
      </c>
      <c r="T2211">
        <v>-0.2762252</v>
      </c>
      <c r="U2211">
        <v>0.10046389999999999</v>
      </c>
      <c r="V2211">
        <v>-3.0431639999999999E-2</v>
      </c>
      <c r="W2211">
        <v>-7.1540240000000005E-2</v>
      </c>
      <c r="X2211">
        <v>0.99697340000000001</v>
      </c>
      <c r="Y2211">
        <v>1.7879590000000001E-2</v>
      </c>
      <c r="Z2211">
        <v>-2.6458299999999998E-4</v>
      </c>
      <c r="AA2211">
        <v>0.99984010000000001</v>
      </c>
      <c r="AB2211">
        <v>19</v>
      </c>
      <c r="AC2211">
        <v>-0.63580000000001702</v>
      </c>
      <c r="AD2211">
        <v>-7.7739000000000197E-2</v>
      </c>
      <c r="AE2211">
        <v>2.1400000000028199E-2</v>
      </c>
      <c r="AF2211">
        <v>1.12639566685397E-2</v>
      </c>
      <c r="AG2211">
        <v>-7.7739000000000197E-2</v>
      </c>
      <c r="AH2211">
        <v>0.62669886095231198</v>
      </c>
      <c r="AI2211">
        <v>97.070016637377606</v>
      </c>
      <c r="AJ2211">
        <v>88.970306576360102</v>
      </c>
      <c r="AK2211">
        <v>0.63160247874731801</v>
      </c>
      <c r="AL2211">
        <v>94.102458201519696</v>
      </c>
      <c r="AM2211">
        <v>91.748354894334</v>
      </c>
      <c r="AN2211">
        <v>1.0000000254799499</v>
      </c>
    </row>
    <row r="2212" spans="1:40" x14ac:dyDescent="0.25">
      <c r="A2212" t="str">
        <f>"20190303154140107"</f>
        <v>20190303154140107</v>
      </c>
      <c r="B2212" t="str">
        <f>"1551598900101373"</f>
        <v>1551598900101373</v>
      </c>
      <c r="C2212" t="s">
        <v>40</v>
      </c>
      <c r="D2212">
        <v>6.2530250000000001</v>
      </c>
      <c r="E2212">
        <v>0.5173681</v>
      </c>
      <c r="F2212" t="s">
        <v>42</v>
      </c>
      <c r="G2212">
        <v>-208.00210000000001</v>
      </c>
      <c r="H2212">
        <v>1.0442260000000001</v>
      </c>
      <c r="I2212">
        <v>282.12479999999999</v>
      </c>
      <c r="J2212">
        <v>-207.37020000000001</v>
      </c>
      <c r="K2212">
        <v>1.1200920000000001</v>
      </c>
      <c r="L2212">
        <v>282.10430000000002</v>
      </c>
      <c r="M2212">
        <v>-0.99972280000000002</v>
      </c>
      <c r="N2212">
        <v>-1.442832E-2</v>
      </c>
      <c r="O2212">
        <v>1.860175E-2</v>
      </c>
      <c r="P2212">
        <v>-0.99616899999999997</v>
      </c>
      <c r="Q2212">
        <v>-8.6276930000000002E-2</v>
      </c>
      <c r="R2212">
        <v>-1.427432E-2</v>
      </c>
      <c r="S2212">
        <v>-2.9888309999999998</v>
      </c>
      <c r="T2212">
        <v>-0.27903129999999998</v>
      </c>
      <c r="U2212">
        <v>9.8541260000000006E-2</v>
      </c>
      <c r="V2212">
        <v>-3.3027510000000003E-2</v>
      </c>
      <c r="W2212">
        <v>-7.1799009999999996E-2</v>
      </c>
      <c r="X2212">
        <v>0.99687210000000004</v>
      </c>
      <c r="Y2212">
        <v>1.4338419999999999E-2</v>
      </c>
      <c r="Z2212">
        <v>-6.9290339999999995E-4</v>
      </c>
      <c r="AA2212">
        <v>0.99989689999999998</v>
      </c>
      <c r="AB2212">
        <v>19</v>
      </c>
      <c r="AC2212">
        <v>-0.63190000000000102</v>
      </c>
      <c r="AD2212">
        <v>-7.5865999999999906E-2</v>
      </c>
      <c r="AE2212">
        <v>2.04999999999699E-2</v>
      </c>
      <c r="AF2212">
        <v>8.6167075691026499E-3</v>
      </c>
      <c r="AG2212">
        <v>-7.5865999999999906E-2</v>
      </c>
      <c r="AH2212">
        <v>0.62319840747369304</v>
      </c>
      <c r="AI2212">
        <v>96.940178666825702</v>
      </c>
      <c r="AJ2212">
        <v>89.207845344792304</v>
      </c>
      <c r="AK2212">
        <v>0.62785838585072595</v>
      </c>
      <c r="AL2212">
        <v>94.117323171016494</v>
      </c>
      <c r="AM2212">
        <v>91.897580439600802</v>
      </c>
      <c r="AN2212">
        <v>0.99999994900609301</v>
      </c>
    </row>
    <row r="2213" spans="1:40" x14ac:dyDescent="0.25">
      <c r="A2213" t="str">
        <f>"20190303154140131"</f>
        <v>20190303154140131</v>
      </c>
      <c r="B2213" t="str">
        <f>"1551598900121869"</f>
        <v>1551598900121869</v>
      </c>
      <c r="C2213" t="s">
        <v>40</v>
      </c>
      <c r="D2213">
        <v>6.24918</v>
      </c>
      <c r="E2213">
        <v>0.51697229999999905</v>
      </c>
      <c r="F2213" t="s">
        <v>42</v>
      </c>
      <c r="G2213">
        <v>-208.17740000000001</v>
      </c>
      <c r="H2213">
        <v>1.044281</v>
      </c>
      <c r="I2213">
        <v>282.1302</v>
      </c>
      <c r="J2213">
        <v>-207.583</v>
      </c>
      <c r="K2213">
        <v>1.1201909999999999</v>
      </c>
      <c r="L2213">
        <v>282.11219999999997</v>
      </c>
      <c r="M2213">
        <v>-0.99965820000000005</v>
      </c>
      <c r="N2213">
        <v>-1.439381E-2</v>
      </c>
      <c r="O2213">
        <v>2.182972E-2</v>
      </c>
      <c r="P2213">
        <v>-0.99639650000000002</v>
      </c>
      <c r="Q2213">
        <v>-8.3746379999999995E-2</v>
      </c>
      <c r="R2213">
        <v>-1.3441689999999999E-2</v>
      </c>
      <c r="S2213">
        <v>-2.9886170000000001</v>
      </c>
      <c r="T2213">
        <v>-0.280692</v>
      </c>
      <c r="U2213">
        <v>9.5947270000000001E-2</v>
      </c>
      <c r="V2213">
        <v>-3.5393300000000003E-2</v>
      </c>
      <c r="W2213">
        <v>-6.9300899999999901E-2</v>
      </c>
      <c r="X2213">
        <v>0.99696770000000001</v>
      </c>
      <c r="Y2213">
        <v>1.0275960000000001E-2</v>
      </c>
      <c r="Z2213">
        <v>-1.175775E-3</v>
      </c>
      <c r="AA2213">
        <v>0.99994649999999996</v>
      </c>
      <c r="AB2213">
        <v>19</v>
      </c>
      <c r="AC2213">
        <v>-0.59440000000000703</v>
      </c>
      <c r="AD2213">
        <v>-7.5909999999999894E-2</v>
      </c>
      <c r="AE2213">
        <v>1.80000000000291E-2</v>
      </c>
      <c r="AF2213">
        <v>4.9383137810313097E-3</v>
      </c>
      <c r="AG2213">
        <v>-7.5909999999999894E-2</v>
      </c>
      <c r="AH2213">
        <v>0.58511708471375401</v>
      </c>
      <c r="AI2213">
        <v>97.391704343060894</v>
      </c>
      <c r="AJ2213">
        <v>89.516442388951305</v>
      </c>
      <c r="AK2213">
        <v>0.59004128488345797</v>
      </c>
      <c r="AL2213">
        <v>93.973834432982102</v>
      </c>
      <c r="AM2213">
        <v>92.033200704193604</v>
      </c>
      <c r="AN2213">
        <v>0.99999994763449296</v>
      </c>
    </row>
    <row r="2214" spans="1:40" x14ac:dyDescent="0.25">
      <c r="A2214" t="str">
        <f>"20190303154140151"</f>
        <v>20190303154140151</v>
      </c>
      <c r="B2214" t="str">
        <f>"1551598900141392"</f>
        <v>1551598900141392</v>
      </c>
      <c r="C2214" t="s">
        <v>40</v>
      </c>
      <c r="D2214">
        <v>6.2755720000000004</v>
      </c>
      <c r="E2214">
        <v>0.51646349999999996</v>
      </c>
      <c r="F2214" t="s">
        <v>50</v>
      </c>
      <c r="G2214">
        <v>-219.82689999999999</v>
      </c>
      <c r="H2214" s="1">
        <v>3.6925779999999998E-6</v>
      </c>
      <c r="I2214">
        <v>282.50310000000002</v>
      </c>
      <c r="J2214">
        <v>-207.74969999999999</v>
      </c>
      <c r="K2214">
        <v>1.120252</v>
      </c>
      <c r="L2214">
        <v>282.11880000000002</v>
      </c>
      <c r="M2214">
        <v>-0.99960389999999999</v>
      </c>
      <c r="N2214">
        <v>-1.437043E-2</v>
      </c>
      <c r="O2214">
        <v>2.4200159999999998E-2</v>
      </c>
      <c r="P2214">
        <v>-0.99652870000000005</v>
      </c>
      <c r="Q2214">
        <v>-8.2187570000000001E-2</v>
      </c>
      <c r="R2214">
        <v>-1.325698E-2</v>
      </c>
      <c r="S2214">
        <v>-2.9891510000000001</v>
      </c>
      <c r="T2214">
        <v>-0.27347660000000001</v>
      </c>
      <c r="U2214">
        <v>9.5428470000000001E-2</v>
      </c>
      <c r="V2214">
        <v>-3.756118E-2</v>
      </c>
      <c r="W2214">
        <v>-6.776277E-2</v>
      </c>
      <c r="X2214">
        <v>0.99699409999999999</v>
      </c>
      <c r="Y2214">
        <v>7.7433010000000002E-3</v>
      </c>
      <c r="Z2214">
        <v>-1.452196E-3</v>
      </c>
      <c r="AA2214">
        <v>0.99996890000000005</v>
      </c>
      <c r="AB2214">
        <v>19</v>
      </c>
      <c r="AC2214">
        <v>-12.077199999999999</v>
      </c>
      <c r="AD2214">
        <v>-1.120248307422</v>
      </c>
      <c r="AE2214">
        <v>0.38429999999999598</v>
      </c>
      <c r="AF2214">
        <v>9.1104031036721697E-2</v>
      </c>
      <c r="AG2214">
        <v>-1.120248307422</v>
      </c>
      <c r="AH2214">
        <v>11.979992770410099</v>
      </c>
      <c r="AI2214">
        <v>95.342036113717</v>
      </c>
      <c r="AJ2214">
        <v>89.564292236674802</v>
      </c>
      <c r="AK2214">
        <v>12.032600840792099</v>
      </c>
      <c r="AL2214">
        <v>93.885498425756396</v>
      </c>
      <c r="AM2214">
        <v>92.157565177083896</v>
      </c>
      <c r="AN2214">
        <v>0.99999993533793496</v>
      </c>
    </row>
    <row r="2215" spans="1:40" x14ac:dyDescent="0.25">
      <c r="A2215" t="str">
        <f>"20190303154140175"</f>
        <v>20190303154140175</v>
      </c>
      <c r="B2215" t="str">
        <f>"1551598900171644"</f>
        <v>1551598900171644</v>
      </c>
      <c r="C2215" t="s">
        <v>40</v>
      </c>
      <c r="D2215">
        <v>6.2613190000000003</v>
      </c>
      <c r="E2215">
        <v>0.51606229999999997</v>
      </c>
      <c r="F2215" t="s">
        <v>50</v>
      </c>
      <c r="G2215">
        <v>-220.15559999999999</v>
      </c>
      <c r="H2215" s="1">
        <v>-1.453978E-6</v>
      </c>
      <c r="I2215">
        <v>282.49950000000001</v>
      </c>
      <c r="J2215">
        <v>-207.9529</v>
      </c>
      <c r="K2215">
        <v>1.120298</v>
      </c>
      <c r="L2215">
        <v>282.12709999999998</v>
      </c>
      <c r="M2215">
        <v>-0.99953409999999998</v>
      </c>
      <c r="N2215">
        <v>-1.434532E-2</v>
      </c>
      <c r="O2215">
        <v>2.6945029999999998E-2</v>
      </c>
      <c r="P2215">
        <v>-0.99638490000000002</v>
      </c>
      <c r="Q2215">
        <v>-8.3941130000000003E-2</v>
      </c>
      <c r="R2215">
        <v>-1.308454E-2</v>
      </c>
      <c r="S2215">
        <v>-2.9894099999999999</v>
      </c>
      <c r="T2215">
        <v>-0.26994410000000002</v>
      </c>
      <c r="U2215">
        <v>9.1735839999999999E-2</v>
      </c>
      <c r="V2215">
        <v>-4.011522E-2</v>
      </c>
      <c r="W2215">
        <v>-6.9542850000000003E-2</v>
      </c>
      <c r="X2215">
        <v>0.99677210000000005</v>
      </c>
      <c r="Y2215">
        <v>3.7858369999999998E-3</v>
      </c>
      <c r="Z2215">
        <v>-1.8435109999999999E-3</v>
      </c>
      <c r="AA2215">
        <v>0.99999110000000002</v>
      </c>
      <c r="AB2215">
        <v>19</v>
      </c>
      <c r="AC2215">
        <v>-12.202699999999901</v>
      </c>
      <c r="AD2215">
        <v>-1.120299453978</v>
      </c>
      <c r="AE2215">
        <v>0.37240000000002699</v>
      </c>
      <c r="AF2215">
        <v>4.3066194095595998E-2</v>
      </c>
      <c r="AG2215">
        <v>-1.120299453978</v>
      </c>
      <c r="AH2215">
        <v>12.106358922238099</v>
      </c>
      <c r="AI2215">
        <v>95.286952278855395</v>
      </c>
      <c r="AJ2215">
        <v>89.7961814308577</v>
      </c>
      <c r="AK2215">
        <v>12.158159890284001</v>
      </c>
      <c r="AL2215">
        <v>93.987730348402394</v>
      </c>
      <c r="AM2215">
        <v>92.304632226029</v>
      </c>
      <c r="AN2215">
        <v>1.0000000291000899</v>
      </c>
    </row>
    <row r="2216" spans="1:40" x14ac:dyDescent="0.25">
      <c r="A2216" t="str">
        <f>"20190303154140198"</f>
        <v>20190303154140198</v>
      </c>
      <c r="B2216" t="str">
        <f>"1551598900191165"</f>
        <v>1551598900191165</v>
      </c>
      <c r="C2216" t="s">
        <v>40</v>
      </c>
      <c r="D2216">
        <v>6.2605649999999997</v>
      </c>
      <c r="E2216">
        <v>0.5159629</v>
      </c>
      <c r="F2216" t="s">
        <v>50</v>
      </c>
      <c r="G2216">
        <v>-220.1292</v>
      </c>
      <c r="H2216" s="1">
        <v>-1.468048E-6</v>
      </c>
      <c r="I2216">
        <v>282.49020000000002</v>
      </c>
      <c r="J2216">
        <v>-208.15100000000001</v>
      </c>
      <c r="K2216">
        <v>1.1203369999999999</v>
      </c>
      <c r="L2216">
        <v>282.13560000000001</v>
      </c>
      <c r="M2216">
        <v>-0.99946360000000001</v>
      </c>
      <c r="N2216">
        <v>-1.4324079999999999E-2</v>
      </c>
      <c r="O2216">
        <v>2.945271E-2</v>
      </c>
      <c r="P2216">
        <v>-0.99607040000000002</v>
      </c>
      <c r="Q2216">
        <v>-8.7512989999999999E-2</v>
      </c>
      <c r="R2216">
        <v>-1.3616649999999999E-2</v>
      </c>
      <c r="S2216">
        <v>-2.9889070000000002</v>
      </c>
      <c r="T2216">
        <v>-0.27499869999999998</v>
      </c>
      <c r="U2216">
        <v>8.9111330000000002E-2</v>
      </c>
      <c r="V2216">
        <v>-4.3133459999999998E-2</v>
      </c>
      <c r="W2216">
        <v>-7.3140769999999994E-2</v>
      </c>
      <c r="X2216">
        <v>0.99638839999999995</v>
      </c>
      <c r="Y2216">
        <v>4.316357E-4</v>
      </c>
      <c r="Z2216">
        <v>-2.2588780000000002E-3</v>
      </c>
      <c r="AA2216">
        <v>0.99999740000000004</v>
      </c>
      <c r="AB2216">
        <v>19</v>
      </c>
      <c r="AC2216">
        <v>-11.978199999999999</v>
      </c>
      <c r="AD2216">
        <v>-1.120338468048</v>
      </c>
      <c r="AE2216">
        <v>0.35460000000000402</v>
      </c>
      <c r="AF2216">
        <v>1.60547507516739E-3</v>
      </c>
      <c r="AG2216">
        <v>-1.120338468048</v>
      </c>
      <c r="AH2216">
        <v>11.8796140458788</v>
      </c>
      <c r="AI2216">
        <v>95.387495893994199</v>
      </c>
      <c r="AJ2216">
        <v>89.992256739570394</v>
      </c>
      <c r="AK2216">
        <v>11.932325453975</v>
      </c>
      <c r="AL2216">
        <v>94.194403011884603</v>
      </c>
      <c r="AM2216">
        <v>92.478775507489701</v>
      </c>
      <c r="AN2216">
        <v>0.99999995563116095</v>
      </c>
    </row>
    <row r="2217" spans="1:40" x14ac:dyDescent="0.25">
      <c r="A2217" t="str">
        <f>"20190303154140222"</f>
        <v>20190303154140222</v>
      </c>
      <c r="B2217" t="str">
        <f>"1551598900211662"</f>
        <v>1551598900211662</v>
      </c>
      <c r="C2217" t="s">
        <v>40</v>
      </c>
      <c r="D2217">
        <v>6.3042769999999999</v>
      </c>
      <c r="E2217">
        <v>0.51570499999999997</v>
      </c>
      <c r="F2217" t="s">
        <v>42</v>
      </c>
      <c r="G2217">
        <v>-209.03149999999999</v>
      </c>
      <c r="H2217">
        <v>1.036276</v>
      </c>
      <c r="I2217">
        <v>282.16129999999998</v>
      </c>
      <c r="J2217">
        <v>-208.3519</v>
      </c>
      <c r="K2217">
        <v>1.1204069999999999</v>
      </c>
      <c r="L2217">
        <v>282.14440000000002</v>
      </c>
      <c r="M2217">
        <v>-0.99939129999999998</v>
      </c>
      <c r="N2217">
        <v>-1.430476E-2</v>
      </c>
      <c r="O2217">
        <v>3.1818010000000001E-2</v>
      </c>
      <c r="P2217">
        <v>-0.99588500000000002</v>
      </c>
      <c r="Q2217">
        <v>-8.9496229999999996E-2</v>
      </c>
      <c r="R2217">
        <v>-1.4266330000000001E-2</v>
      </c>
      <c r="S2217">
        <v>-2.9879609999999999</v>
      </c>
      <c r="T2217">
        <v>-0.28525810000000001</v>
      </c>
      <c r="U2217">
        <v>8.6914060000000001E-2</v>
      </c>
      <c r="V2217">
        <v>-4.6120990000000001E-2</v>
      </c>
      <c r="W2217">
        <v>-7.514999E-2</v>
      </c>
      <c r="X2217">
        <v>0.99610509999999997</v>
      </c>
      <c r="Y2217">
        <v>-2.6286109999999999E-3</v>
      </c>
      <c r="Z2217">
        <v>-2.7190880000000001E-3</v>
      </c>
      <c r="AA2217">
        <v>0.99999280000000002</v>
      </c>
      <c r="AB2217">
        <v>19</v>
      </c>
      <c r="AC2217">
        <v>-0.67959999999999299</v>
      </c>
      <c r="AD2217">
        <v>-8.41309999999999E-2</v>
      </c>
      <c r="AE2217">
        <v>1.68999999999641E-2</v>
      </c>
      <c r="AF2217">
        <v>-4.66287585990878E-3</v>
      </c>
      <c r="AG2217">
        <v>-8.41309999999999E-2</v>
      </c>
      <c r="AH2217">
        <v>0.66953915171232203</v>
      </c>
      <c r="AI2217">
        <v>97.161797739029595</v>
      </c>
      <c r="AJ2217">
        <v>90.399018918210203</v>
      </c>
      <c r="AK2217">
        <v>0.67482030441291596</v>
      </c>
      <c r="AL2217">
        <v>94.309840340113595</v>
      </c>
      <c r="AM2217">
        <v>92.650977421977302</v>
      </c>
      <c r="AN2217">
        <v>1.00000001848079</v>
      </c>
    </row>
    <row r="2218" spans="1:40" x14ac:dyDescent="0.25">
      <c r="A2218" t="str">
        <f>"20190303154140244"</f>
        <v>20190303154140244</v>
      </c>
      <c r="B2218" t="str">
        <f>"1551598900241916"</f>
        <v>1551598900241916</v>
      </c>
      <c r="C2218" t="s">
        <v>40</v>
      </c>
      <c r="D2218">
        <v>6.2764930000000003</v>
      </c>
      <c r="E2218">
        <v>0.51173829999999998</v>
      </c>
      <c r="F2218" t="s">
        <v>42</v>
      </c>
      <c r="G2218">
        <v>-209.20400000000001</v>
      </c>
      <c r="H2218">
        <v>1.0377479999999999</v>
      </c>
      <c r="I2218">
        <v>282.16809999999998</v>
      </c>
      <c r="J2218">
        <v>-208.54900000000001</v>
      </c>
      <c r="K2218">
        <v>1.1204909999999999</v>
      </c>
      <c r="L2218">
        <v>282.15339999999998</v>
      </c>
      <c r="M2218">
        <v>-0.9993204</v>
      </c>
      <c r="N2218">
        <v>-1.4287640000000001E-2</v>
      </c>
      <c r="O2218">
        <v>3.3984500000000001E-2</v>
      </c>
      <c r="P2218">
        <v>-0.99583390000000005</v>
      </c>
      <c r="Q2218">
        <v>-9.0165949999999995E-2</v>
      </c>
      <c r="R2218">
        <v>-1.3623690000000001E-2</v>
      </c>
      <c r="S2218">
        <v>-2.9875340000000001</v>
      </c>
      <c r="T2218">
        <v>-0.28980339999999999</v>
      </c>
      <c r="U2218">
        <v>8.2763669999999998E-2</v>
      </c>
      <c r="V2218">
        <v>-4.7618420000000002E-2</v>
      </c>
      <c r="W2218">
        <v>-7.5845499999999996E-2</v>
      </c>
      <c r="X2218">
        <v>0.99598189999999998</v>
      </c>
      <c r="Y2218">
        <v>-6.1496249999999997E-3</v>
      </c>
      <c r="Z2218">
        <v>-3.1443590000000002E-3</v>
      </c>
      <c r="AA2218">
        <v>0.99997619999999998</v>
      </c>
      <c r="AB2218">
        <v>19</v>
      </c>
      <c r="AC2218">
        <v>-0.65500000000000103</v>
      </c>
      <c r="AD2218">
        <v>-8.2742999999999997E-2</v>
      </c>
      <c r="AE2218">
        <v>1.47000000000048E-2</v>
      </c>
      <c r="AF2218">
        <v>-7.4517534556991201E-3</v>
      </c>
      <c r="AG2218">
        <v>-8.2742999999999997E-2</v>
      </c>
      <c r="AH2218">
        <v>0.644836043834634</v>
      </c>
      <c r="AI2218">
        <v>97.311545380652007</v>
      </c>
      <c r="AJ2218">
        <v>90.6620830568271</v>
      </c>
      <c r="AK2218">
        <v>0.65016571434278703</v>
      </c>
      <c r="AL2218">
        <v>94.349804268611095</v>
      </c>
      <c r="AM2218">
        <v>92.737257060873205</v>
      </c>
      <c r="AN2218">
        <v>0.99999999946057805</v>
      </c>
    </row>
    <row r="2219" spans="1:40" x14ac:dyDescent="0.25">
      <c r="A2219" t="str">
        <f>"20190303154140265"</f>
        <v>20190303154140265</v>
      </c>
      <c r="B2219" t="str">
        <f>"1551598900261436"</f>
        <v>1551598900261436</v>
      </c>
      <c r="C2219" t="s">
        <v>40</v>
      </c>
      <c r="D2219">
        <v>6.2717150000000004</v>
      </c>
      <c r="E2219">
        <v>0.51226450000000001</v>
      </c>
      <c r="F2219" t="s">
        <v>50</v>
      </c>
      <c r="G2219">
        <v>-220.16900000000001</v>
      </c>
      <c r="H2219" s="1">
        <v>-1.446874E-6</v>
      </c>
      <c r="I2219">
        <v>282.3605</v>
      </c>
      <c r="J2219">
        <v>-208.72380000000001</v>
      </c>
      <c r="K2219">
        <v>1.1205639999999999</v>
      </c>
      <c r="L2219">
        <v>282.16140000000001</v>
      </c>
      <c r="M2219">
        <v>-0.99925889999999995</v>
      </c>
      <c r="N2219">
        <v>-1.427343E-2</v>
      </c>
      <c r="O2219">
        <v>3.5745720000000002E-2</v>
      </c>
      <c r="P2219">
        <v>-0.99579300000000004</v>
      </c>
      <c r="Q2219">
        <v>-9.0684790000000001E-2</v>
      </c>
      <c r="R2219">
        <v>-1.3142249999999999E-2</v>
      </c>
      <c r="S2219">
        <v>-2.9871979999999998</v>
      </c>
      <c r="T2219">
        <v>-0.28804970000000002</v>
      </c>
      <c r="U2219">
        <v>5.3253170000000002E-2</v>
      </c>
      <c r="V2219">
        <v>-4.8874420000000002E-2</v>
      </c>
      <c r="W2219">
        <v>-7.63876E-2</v>
      </c>
      <c r="X2219">
        <v>0.99587969999999904</v>
      </c>
      <c r="Y2219">
        <v>-1.7716200000000001E-2</v>
      </c>
      <c r="Z2219">
        <v>-3.9074169999999998E-3</v>
      </c>
      <c r="AA2219">
        <v>0.99983540000000004</v>
      </c>
      <c r="AB2219">
        <v>19</v>
      </c>
      <c r="AC2219">
        <v>-11.4452</v>
      </c>
      <c r="AD2219">
        <v>-1.1205654468739901</v>
      </c>
      <c r="AE2219">
        <v>0.19909999999998701</v>
      </c>
      <c r="AF2219">
        <v>-0.208190827741667</v>
      </c>
      <c r="AG2219">
        <v>-1.1205654468739901</v>
      </c>
      <c r="AH2219">
        <v>11.3363666818314</v>
      </c>
      <c r="AI2219">
        <v>95.644230206655195</v>
      </c>
      <c r="AJ2219">
        <v>91.052110904607005</v>
      </c>
      <c r="AK2219">
        <v>11.393516572437999</v>
      </c>
      <c r="AL2219">
        <v>94.380954346407094</v>
      </c>
      <c r="AM2219">
        <v>92.809629564959195</v>
      </c>
      <c r="AN2219">
        <v>1.00000007561809</v>
      </c>
    </row>
    <row r="2220" spans="1:40" x14ac:dyDescent="0.25">
      <c r="A2220" t="str">
        <f>"20190303154140287"</f>
        <v>20190303154140287</v>
      </c>
      <c r="B2220" t="str">
        <f>"1551598900281933"</f>
        <v>1551598900281933</v>
      </c>
      <c r="C2220" t="s">
        <v>40</v>
      </c>
      <c r="D2220">
        <v>6.3197409999999996</v>
      </c>
      <c r="E2220">
        <v>0.51168959999999997</v>
      </c>
      <c r="F2220" t="s">
        <v>50</v>
      </c>
      <c r="G2220">
        <v>-220.31360000000001</v>
      </c>
      <c r="H2220" s="1">
        <v>-1.3699180000000001E-6</v>
      </c>
      <c r="I2220">
        <v>282.39019999999999</v>
      </c>
      <c r="J2220">
        <v>-208.9143</v>
      </c>
      <c r="K2220">
        <v>1.1206689999999999</v>
      </c>
      <c r="L2220">
        <v>282.1703</v>
      </c>
      <c r="M2220">
        <v>-0.999197</v>
      </c>
      <c r="N2220">
        <v>-1.4258689999999999E-2</v>
      </c>
      <c r="O2220">
        <v>3.7444119999999997E-2</v>
      </c>
      <c r="P2220">
        <v>-0.99568330000000005</v>
      </c>
      <c r="Q2220">
        <v>-9.1921719999999998E-2</v>
      </c>
      <c r="R2220">
        <v>-1.285115E-2</v>
      </c>
      <c r="S2220">
        <v>-2.9871669999999999</v>
      </c>
      <c r="T2220">
        <v>-0.2888173</v>
      </c>
      <c r="U2220">
        <v>5.8959959999999999E-2</v>
      </c>
      <c r="V2220">
        <v>-5.0251799999999999E-2</v>
      </c>
      <c r="W2220">
        <v>-7.7652310000000002E-2</v>
      </c>
      <c r="X2220">
        <v>0.99571319999999996</v>
      </c>
      <c r="Y2220">
        <v>-1.7500169999999999E-2</v>
      </c>
      <c r="Z2220">
        <v>-4.0466979999999996E-3</v>
      </c>
      <c r="AA2220">
        <v>0.99983869999999997</v>
      </c>
      <c r="AB2220">
        <v>19</v>
      </c>
      <c r="AC2220">
        <v>-11.3993</v>
      </c>
      <c r="AD2220">
        <v>-1.1206703699179901</v>
      </c>
      <c r="AE2220">
        <v>0.21989999999999499</v>
      </c>
      <c r="AF2220">
        <v>-0.20515234372313501</v>
      </c>
      <c r="AG2220">
        <v>-1.1206703699179901</v>
      </c>
      <c r="AH2220">
        <v>11.290458036566299</v>
      </c>
      <c r="AI2220">
        <v>95.667578546703695</v>
      </c>
      <c r="AJ2220">
        <v>91.0409737184943</v>
      </c>
      <c r="AK2220">
        <v>11.3477941573511</v>
      </c>
      <c r="AL2220">
        <v>94.453633336362003</v>
      </c>
      <c r="AM2220">
        <v>92.889160548392994</v>
      </c>
      <c r="AN2220">
        <v>0.99999995065290603</v>
      </c>
    </row>
    <row r="2221" spans="1:40" x14ac:dyDescent="0.25">
      <c r="A2221" t="str">
        <f>"20190303154140309"</f>
        <v>20190303154140309</v>
      </c>
      <c r="B2221" t="str">
        <f>"1551598900301453"</f>
        <v>1551598900301453</v>
      </c>
      <c r="C2221" t="s">
        <v>40</v>
      </c>
      <c r="D2221">
        <v>6.3044279999999997</v>
      </c>
      <c r="E2221">
        <v>0.51144460000000003</v>
      </c>
      <c r="F2221" t="s">
        <v>50</v>
      </c>
      <c r="G2221">
        <v>-220.0326</v>
      </c>
      <c r="H2221" s="1">
        <v>-1.519421E-6</v>
      </c>
      <c r="I2221">
        <v>282.37580000000003</v>
      </c>
      <c r="J2221">
        <v>-209.09180000000001</v>
      </c>
      <c r="K2221">
        <v>1.1207769999999999</v>
      </c>
      <c r="L2221">
        <v>282.17860000000002</v>
      </c>
      <c r="M2221">
        <v>-0.99914539999999996</v>
      </c>
      <c r="N2221">
        <v>-1.4245799999999999E-2</v>
      </c>
      <c r="O2221">
        <v>3.8797760000000001E-2</v>
      </c>
      <c r="P2221">
        <v>-0.99547280000000005</v>
      </c>
      <c r="Q2221">
        <v>-9.4145099999999995E-2</v>
      </c>
      <c r="R2221">
        <v>-1.3064610000000001E-2</v>
      </c>
      <c r="S2221">
        <v>-2.9859309999999999</v>
      </c>
      <c r="T2221">
        <v>-0.30096600000000001</v>
      </c>
      <c r="U2221">
        <v>5.5175780000000001E-2</v>
      </c>
      <c r="V2221">
        <v>-5.1784620000000003E-2</v>
      </c>
      <c r="W2221">
        <v>-7.9904729999999993E-2</v>
      </c>
      <c r="X2221">
        <v>0.99545649999999997</v>
      </c>
      <c r="Y2221">
        <v>-2.0072690000000001E-2</v>
      </c>
      <c r="Z2221">
        <v>-4.5000459999999997E-3</v>
      </c>
      <c r="AA2221">
        <v>0.99978840000000002</v>
      </c>
      <c r="AB2221">
        <v>19</v>
      </c>
      <c r="AC2221">
        <v>-10.9407999999999</v>
      </c>
      <c r="AD2221">
        <v>-1.120778519421</v>
      </c>
      <c r="AE2221">
        <v>0.19720000000000901</v>
      </c>
      <c r="AF2221">
        <v>-0.225108647258283</v>
      </c>
      <c r="AG2221">
        <v>-1.120778519421</v>
      </c>
      <c r="AH2221">
        <v>10.826634607412201</v>
      </c>
      <c r="AI2221">
        <v>95.908966756697296</v>
      </c>
      <c r="AJ2221">
        <v>91.191128891654003</v>
      </c>
      <c r="AK2221">
        <v>10.886819338773</v>
      </c>
      <c r="AL2221">
        <v>94.583089507236195</v>
      </c>
      <c r="AM2221">
        <v>92.977898136955503</v>
      </c>
      <c r="AN2221">
        <v>1.0000000280685799</v>
      </c>
    </row>
    <row r="2222" spans="1:40" x14ac:dyDescent="0.25">
      <c r="A2222" t="str">
        <f>"20190303154140332"</f>
        <v>20190303154140332</v>
      </c>
      <c r="B2222" t="str">
        <f>"1551598900321768"</f>
        <v>1551598900321768</v>
      </c>
      <c r="C2222" t="s">
        <v>40</v>
      </c>
      <c r="D2222">
        <v>6.2525750000000002</v>
      </c>
      <c r="E2222">
        <v>0.5113335</v>
      </c>
      <c r="F2222" t="s">
        <v>50</v>
      </c>
      <c r="G2222">
        <v>-219.9034</v>
      </c>
      <c r="H2222" s="1">
        <v>3.7333049999999998E-6</v>
      </c>
      <c r="I2222">
        <v>282.37029999999999</v>
      </c>
      <c r="J2222">
        <v>-209.29519999999999</v>
      </c>
      <c r="K2222">
        <v>1.120919</v>
      </c>
      <c r="L2222">
        <v>282.18819999999999</v>
      </c>
      <c r="M2222">
        <v>-0.99909530000000002</v>
      </c>
      <c r="N2222">
        <v>-1.4232440000000001E-2</v>
      </c>
      <c r="O2222">
        <v>4.0077340000000003E-2</v>
      </c>
      <c r="P2222">
        <v>-0.99533340000000003</v>
      </c>
      <c r="Q2222">
        <v>-9.5497799999999994E-2</v>
      </c>
      <c r="R2222">
        <v>-1.3856429999999999E-2</v>
      </c>
      <c r="S2222">
        <v>-2.9850620000000001</v>
      </c>
      <c r="T2222">
        <v>-0.3094442</v>
      </c>
      <c r="U2222">
        <v>5.2917480000000003E-2</v>
      </c>
      <c r="V2222">
        <v>-5.3815740000000001E-2</v>
      </c>
      <c r="W2222">
        <v>-8.1291119999999994E-2</v>
      </c>
      <c r="X2222">
        <v>0.99523649999999997</v>
      </c>
      <c r="Y2222">
        <v>-2.2070510000000002E-2</v>
      </c>
      <c r="Z2222">
        <v>-4.8711010000000001E-3</v>
      </c>
      <c r="AA2222">
        <v>0.99974450000000004</v>
      </c>
      <c r="AB2222">
        <v>19</v>
      </c>
      <c r="AC2222">
        <v>-10.6082</v>
      </c>
      <c r="AD2222">
        <v>-1.120915266695</v>
      </c>
      <c r="AE2222">
        <v>0.18209999999999099</v>
      </c>
      <c r="AF2222">
        <v>-0.24055279746507299</v>
      </c>
      <c r="AG2222">
        <v>-1.120915266695</v>
      </c>
      <c r="AH2222">
        <v>10.4898882344767</v>
      </c>
      <c r="AI2222">
        <v>96.097704851324806</v>
      </c>
      <c r="AJ2222">
        <v>91.313669367336203</v>
      </c>
      <c r="AK2222">
        <v>10.552349115495099</v>
      </c>
      <c r="AL2222">
        <v>94.662783040026198</v>
      </c>
      <c r="AM2222">
        <v>93.095158599375793</v>
      </c>
      <c r="AN2222">
        <v>1.0000000354974199</v>
      </c>
    </row>
    <row r="2223" spans="1:40" x14ac:dyDescent="0.25">
      <c r="A2223" t="str">
        <f>"20190303154140354"</f>
        <v>20190303154140354</v>
      </c>
      <c r="B2223" t="str">
        <f>"1551598900352025"</f>
        <v>1551598900352025</v>
      </c>
      <c r="C2223" t="s">
        <v>40</v>
      </c>
      <c r="D2223">
        <v>6.287998</v>
      </c>
      <c r="E2223">
        <v>0.51075269999999995</v>
      </c>
      <c r="F2223" t="s">
        <v>50</v>
      </c>
      <c r="G2223">
        <v>-219.9033</v>
      </c>
      <c r="H2223" s="1">
        <v>3.733258E-6</v>
      </c>
      <c r="I2223">
        <v>282.36450000000002</v>
      </c>
      <c r="J2223">
        <v>-209.4802</v>
      </c>
      <c r="K2223">
        <v>1.1210530000000001</v>
      </c>
      <c r="L2223">
        <v>282.1968</v>
      </c>
      <c r="M2223">
        <v>-0.99905860000000002</v>
      </c>
      <c r="N2223">
        <v>-1.422174E-2</v>
      </c>
      <c r="O2223">
        <v>4.0986380000000003E-2</v>
      </c>
      <c r="P2223">
        <v>-0.99533470000000002</v>
      </c>
      <c r="Q2223">
        <v>-9.5479610000000006E-2</v>
      </c>
      <c r="R2223">
        <v>-1.387297E-2</v>
      </c>
      <c r="S2223">
        <v>-2.9844819999999999</v>
      </c>
      <c r="T2223">
        <v>-0.31535780000000002</v>
      </c>
      <c r="U2223">
        <v>4.9591059999999999E-2</v>
      </c>
      <c r="V2223">
        <v>-5.4708329999999999E-2</v>
      </c>
      <c r="W2223">
        <v>-8.1302540000000006E-2</v>
      </c>
      <c r="X2223">
        <v>0.99518689999999999</v>
      </c>
      <c r="Y2223">
        <v>-2.4062090000000001E-2</v>
      </c>
      <c r="Z2223">
        <v>-5.1749250000000004E-3</v>
      </c>
      <c r="AA2223">
        <v>0.99969710000000001</v>
      </c>
      <c r="AB2223">
        <v>19</v>
      </c>
      <c r="AC2223">
        <v>-10.4231</v>
      </c>
      <c r="AD2223">
        <v>-1.121049266742</v>
      </c>
      <c r="AE2223">
        <v>0.167700000000024</v>
      </c>
      <c r="AF2223">
        <v>-0.25672029068109598</v>
      </c>
      <c r="AG2223">
        <v>-1.121049266742</v>
      </c>
      <c r="AH2223">
        <v>10.302071085786499</v>
      </c>
      <c r="AI2223">
        <v>96.2084554216801</v>
      </c>
      <c r="AJ2223">
        <v>91.427474685848907</v>
      </c>
      <c r="AK2223">
        <v>10.366066053364101</v>
      </c>
      <c r="AL2223">
        <v>94.663439532424803</v>
      </c>
      <c r="AM2223">
        <v>93.146549216156004</v>
      </c>
      <c r="AN2223">
        <v>1.00000003515672</v>
      </c>
    </row>
    <row r="2224" spans="1:40" x14ac:dyDescent="0.25">
      <c r="A2224" t="str">
        <f>"20190303154140375"</f>
        <v>20190303154140375</v>
      </c>
      <c r="B2224" t="str">
        <f>"1551598900371544"</f>
        <v>1551598900371544</v>
      </c>
      <c r="C2224" t="s">
        <v>40</v>
      </c>
      <c r="D2224">
        <v>6.247878</v>
      </c>
      <c r="E2224">
        <v>0.51053300000000001</v>
      </c>
      <c r="F2224" t="s">
        <v>50</v>
      </c>
      <c r="G2224">
        <v>-219.85570000000001</v>
      </c>
      <c r="H2224" s="1">
        <v>3.7079460000000001E-6</v>
      </c>
      <c r="I2224">
        <v>282.3544</v>
      </c>
      <c r="J2224">
        <v>-209.65270000000001</v>
      </c>
      <c r="K2224">
        <v>1.1211880000000001</v>
      </c>
      <c r="L2224">
        <v>282.2047</v>
      </c>
      <c r="M2224">
        <v>-0.9990329</v>
      </c>
      <c r="N2224">
        <v>-1.42127E-2</v>
      </c>
      <c r="O2224">
        <v>4.1611519999999999E-2</v>
      </c>
      <c r="P2224">
        <v>-0.99549019999999999</v>
      </c>
      <c r="Q2224">
        <v>-9.3873230000000002E-2</v>
      </c>
      <c r="R2224">
        <v>-1.369886E-2</v>
      </c>
      <c r="S2224">
        <v>-2.983765</v>
      </c>
      <c r="T2224">
        <v>-0.32238899999999998</v>
      </c>
      <c r="U2224">
        <v>4.5318600000000001E-2</v>
      </c>
      <c r="V2224">
        <v>-5.5136780000000003E-2</v>
      </c>
      <c r="W2224">
        <v>-7.9720550000000001E-2</v>
      </c>
      <c r="X2224">
        <v>0.99529120000000004</v>
      </c>
      <c r="Y2224">
        <v>-2.608313E-2</v>
      </c>
      <c r="Z2224">
        <v>-5.4822359999999997E-3</v>
      </c>
      <c r="AA2224">
        <v>0.9996448</v>
      </c>
      <c r="AB2224">
        <v>19</v>
      </c>
      <c r="AC2224">
        <v>-10.202999999999999</v>
      </c>
      <c r="AD2224">
        <v>-1.1211842920539901</v>
      </c>
      <c r="AE2224">
        <v>0.149699999999995</v>
      </c>
      <c r="AF2224">
        <v>-0.271754050698091</v>
      </c>
      <c r="AG2224">
        <v>-1.1211842920539901</v>
      </c>
      <c r="AH2224">
        <v>10.078713538015</v>
      </c>
      <c r="AI2224">
        <v>96.345357378316606</v>
      </c>
      <c r="AJ2224">
        <v>91.544501535343898</v>
      </c>
      <c r="AK2224">
        <v>10.1445241910198</v>
      </c>
      <c r="AL2224">
        <v>94.572503119475797</v>
      </c>
      <c r="AM2224">
        <v>93.1708097796799</v>
      </c>
      <c r="AN2224">
        <v>1.0000000016992501</v>
      </c>
    </row>
    <row r="2225" spans="1:40" x14ac:dyDescent="0.25">
      <c r="A2225" t="str">
        <f>"20190303154140397"</f>
        <v>20190303154140397</v>
      </c>
      <c r="B2225" t="str">
        <f>"1551598900392041"</f>
        <v>1551598900392041</v>
      </c>
      <c r="C2225" t="s">
        <v>40</v>
      </c>
      <c r="D2225">
        <v>6.2052500000000004</v>
      </c>
      <c r="E2225">
        <v>0.52732590000000001</v>
      </c>
      <c r="F2225" t="s">
        <v>50</v>
      </c>
      <c r="G2225">
        <v>-220.12700000000001</v>
      </c>
      <c r="H2225" s="1">
        <v>-1.4692179999999999E-6</v>
      </c>
      <c r="I2225">
        <v>282.3596</v>
      </c>
      <c r="J2225">
        <v>-209.84100000000001</v>
      </c>
      <c r="K2225">
        <v>1.1213120000000001</v>
      </c>
      <c r="L2225">
        <v>282.21319999999997</v>
      </c>
      <c r="M2225">
        <v>-0.99901470000000003</v>
      </c>
      <c r="N2225">
        <v>-1.420359E-2</v>
      </c>
      <c r="O2225">
        <v>4.2048670000000003E-2</v>
      </c>
      <c r="P2225">
        <v>-0.99566509999999997</v>
      </c>
      <c r="Q2225">
        <v>-9.2253909999999995E-2</v>
      </c>
      <c r="R2225">
        <v>-1.185367E-2</v>
      </c>
      <c r="S2225">
        <v>-2.9840849999999999</v>
      </c>
      <c r="T2225">
        <v>-0.31942320000000002</v>
      </c>
      <c r="U2225">
        <v>4.4128420000000002E-2</v>
      </c>
      <c r="V2225">
        <v>-5.371074E-2</v>
      </c>
      <c r="W2225">
        <v>-7.8124199999999894E-2</v>
      </c>
      <c r="X2225">
        <v>0.99549569999999998</v>
      </c>
      <c r="Y2225">
        <v>-2.6920340000000001E-2</v>
      </c>
      <c r="Z2225">
        <v>-5.51908E-3</v>
      </c>
      <c r="AA2225">
        <v>0.99962229999999996</v>
      </c>
      <c r="AB2225">
        <v>19</v>
      </c>
      <c r="AC2225">
        <v>-10.286</v>
      </c>
      <c r="AD2225">
        <v>-1.121313469218</v>
      </c>
      <c r="AE2225">
        <v>0.14640000000002801</v>
      </c>
      <c r="AF2225">
        <v>-0.28292414071176503</v>
      </c>
      <c r="AG2225">
        <v>-1.121313469218</v>
      </c>
      <c r="AH2225">
        <v>10.162313372043</v>
      </c>
      <c r="AI2225">
        <v>96.294147454831204</v>
      </c>
      <c r="AJ2225">
        <v>91.594732650916001</v>
      </c>
      <c r="AK2225">
        <v>10.227903159360199</v>
      </c>
      <c r="AL2225">
        <v>94.480752981840496</v>
      </c>
      <c r="AM2225">
        <v>93.088328568210997</v>
      </c>
      <c r="AN2225">
        <v>0.99999996146773795</v>
      </c>
    </row>
    <row r="2226" spans="1:40" x14ac:dyDescent="0.25">
      <c r="A2226" t="str">
        <f>"20190303154140422"</f>
        <v>20190303154140422</v>
      </c>
      <c r="B2226" t="str">
        <f>"1551598900411996"</f>
        <v>1551598900411996</v>
      </c>
      <c r="C2226" t="s">
        <v>40</v>
      </c>
      <c r="D2226">
        <v>6.1919589999999998</v>
      </c>
      <c r="E2226">
        <v>0.5311939</v>
      </c>
      <c r="F2226" t="s">
        <v>50</v>
      </c>
      <c r="G2226">
        <v>-226.1833</v>
      </c>
      <c r="H2226" s="1">
        <v>1.7536320000000001E-6</v>
      </c>
      <c r="I2226">
        <v>283.1968</v>
      </c>
      <c r="J2226">
        <v>-210.0461</v>
      </c>
      <c r="K2226">
        <v>1.1214249999999999</v>
      </c>
      <c r="L2226">
        <v>282.22219999999999</v>
      </c>
      <c r="M2226">
        <v>-0.9990059</v>
      </c>
      <c r="N2226">
        <v>-1.419465E-2</v>
      </c>
      <c r="O2226">
        <v>4.2260720000000002E-2</v>
      </c>
      <c r="P2226">
        <v>-0.99565079999999995</v>
      </c>
      <c r="Q2226">
        <v>-9.2686299999999999E-2</v>
      </c>
      <c r="R2226">
        <v>-9.4368820000000006E-3</v>
      </c>
      <c r="S2226">
        <v>-2.99614</v>
      </c>
      <c r="T2226">
        <v>-0.2055776</v>
      </c>
      <c r="U2226">
        <v>0.1803284</v>
      </c>
      <c r="V2226">
        <v>-5.1484849999999999E-2</v>
      </c>
      <c r="W2226">
        <v>-7.8578579999999995E-2</v>
      </c>
      <c r="X2226">
        <v>0.99557759999999995</v>
      </c>
      <c r="Y2226">
        <v>1.7847559999999998E-2</v>
      </c>
      <c r="Z2226">
        <v>-1.554976E-3</v>
      </c>
      <c r="AA2226">
        <v>0.99983949999999999</v>
      </c>
      <c r="AB2226">
        <v>19</v>
      </c>
      <c r="AC2226">
        <v>-16.1372</v>
      </c>
      <c r="AD2226">
        <v>-1.1214232463679901</v>
      </c>
      <c r="AE2226">
        <v>0.97460000000000901</v>
      </c>
      <c r="AF2226">
        <v>0.29029399400953498</v>
      </c>
      <c r="AG2226">
        <v>-1.1214232463679901</v>
      </c>
      <c r="AH2226">
        <v>16.086567564139699</v>
      </c>
      <c r="AI2226">
        <v>93.987092251222904</v>
      </c>
      <c r="AJ2226">
        <v>88.966167549575403</v>
      </c>
      <c r="AK2226">
        <v>16.1282211262149</v>
      </c>
      <c r="AL2226">
        <v>94.506867054176197</v>
      </c>
      <c r="AM2226">
        <v>92.960330994155598</v>
      </c>
      <c r="AN2226">
        <v>1.0000000203180399</v>
      </c>
    </row>
    <row r="2227" spans="1:40" x14ac:dyDescent="0.25">
      <c r="A2227" t="str">
        <f>"20190303154140445"</f>
        <v>20190303154140445</v>
      </c>
      <c r="B2227" t="str">
        <f>"1551598900441276"</f>
        <v>1551598900441276</v>
      </c>
      <c r="C2227" t="s">
        <v>40</v>
      </c>
      <c r="D2227">
        <v>6.1755649999999997</v>
      </c>
      <c r="E2227">
        <v>0.53248759999999995</v>
      </c>
      <c r="F2227" t="s">
        <v>50</v>
      </c>
      <c r="G2227">
        <v>-227.96360000000001</v>
      </c>
      <c r="H2227" s="1">
        <v>2.7010399999999999E-6</v>
      </c>
      <c r="I2227">
        <v>283.524</v>
      </c>
      <c r="J2227">
        <v>-210.23869999999999</v>
      </c>
      <c r="K2227">
        <v>1.121497</v>
      </c>
      <c r="L2227">
        <v>282.23050000000001</v>
      </c>
      <c r="M2227">
        <v>-0.99900469999999997</v>
      </c>
      <c r="N2227">
        <v>-1.418697E-2</v>
      </c>
      <c r="O2227">
        <v>4.2287369999999998E-2</v>
      </c>
      <c r="P2227">
        <v>-0.99559960000000003</v>
      </c>
      <c r="Q2227">
        <v>-9.3415990000000004E-2</v>
      </c>
      <c r="R2227">
        <v>-7.4164309999999898E-3</v>
      </c>
      <c r="S2227">
        <v>-2.9976959999999999</v>
      </c>
      <c r="T2227">
        <v>-0.1876206</v>
      </c>
      <c r="U2227">
        <v>0.217804</v>
      </c>
      <c r="V2227">
        <v>-4.9476079999999999E-2</v>
      </c>
      <c r="W2227">
        <v>-7.9323560000000001E-2</v>
      </c>
      <c r="X2227">
        <v>0.99562039999999996</v>
      </c>
      <c r="Y2227">
        <v>3.0197809999999999E-2</v>
      </c>
      <c r="Z2227">
        <v>-8.823425E-4</v>
      </c>
      <c r="AA2227">
        <v>0.99954350000000003</v>
      </c>
      <c r="AB2227">
        <v>19</v>
      </c>
      <c r="AC2227">
        <v>-17.724900000000002</v>
      </c>
      <c r="AD2227">
        <v>-1.1214942989600001</v>
      </c>
      <c r="AE2227">
        <v>1.2934999999999901</v>
      </c>
      <c r="AF2227">
        <v>0.54057516468334199</v>
      </c>
      <c r="AG2227">
        <v>-1.1214942989600001</v>
      </c>
      <c r="AH2227">
        <v>17.693288223477801</v>
      </c>
      <c r="AI2227">
        <v>93.625170828670605</v>
      </c>
      <c r="AJ2227">
        <v>88.250011913455396</v>
      </c>
      <c r="AK2227">
        <v>17.737035240714</v>
      </c>
      <c r="AL2227">
        <v>94.549684806626502</v>
      </c>
      <c r="AM2227">
        <v>92.8449000904331</v>
      </c>
      <c r="AN2227">
        <v>1.00000004527969</v>
      </c>
    </row>
    <row r="2228" spans="1:40" x14ac:dyDescent="0.25">
      <c r="A2228" t="str">
        <f>"20190303154140464"</f>
        <v>20190303154140464</v>
      </c>
      <c r="B2228" t="str">
        <f>"1551598900461772"</f>
        <v>1551598900461772</v>
      </c>
      <c r="C2228" t="s">
        <v>40</v>
      </c>
      <c r="D2228">
        <v>6.1775739999999999</v>
      </c>
      <c r="E2228">
        <v>0.53270309999999998</v>
      </c>
      <c r="F2228" t="s">
        <v>50</v>
      </c>
      <c r="G2228">
        <v>-229.00819999999999</v>
      </c>
      <c r="H2228" s="1">
        <v>3.2569070000000001E-6</v>
      </c>
      <c r="I2228">
        <v>283.69540000000001</v>
      </c>
      <c r="J2228">
        <v>-210.3997</v>
      </c>
      <c r="K2228">
        <v>1.1215389999999901</v>
      </c>
      <c r="L2228">
        <v>282.2373</v>
      </c>
      <c r="M2228">
        <v>-0.99900789999999995</v>
      </c>
      <c r="N2228">
        <v>-1.418108E-2</v>
      </c>
      <c r="O2228">
        <v>4.2215299999999997E-2</v>
      </c>
      <c r="P2228">
        <v>-0.99575599999999997</v>
      </c>
      <c r="Q2228">
        <v>-9.1754509999999997E-2</v>
      </c>
      <c r="R2228">
        <v>-7.1570890000000002E-3</v>
      </c>
      <c r="S2228">
        <v>-2.9981990000000001</v>
      </c>
      <c r="T2228">
        <v>-0.17914550000000001</v>
      </c>
      <c r="U2228">
        <v>0.23400879999999999</v>
      </c>
      <c r="V2228">
        <v>-4.9145910000000001E-2</v>
      </c>
      <c r="W2228">
        <v>-7.7669920000000003E-2</v>
      </c>
      <c r="X2228">
        <v>0.99576710000000002</v>
      </c>
      <c r="Y2228">
        <v>3.5617469999999998E-2</v>
      </c>
      <c r="Z2228">
        <v>-6.0224059999999997E-4</v>
      </c>
      <c r="AA2228">
        <v>0.99936530000000001</v>
      </c>
      <c r="AB2228">
        <v>19</v>
      </c>
      <c r="AC2228">
        <v>-18.6084999999999</v>
      </c>
      <c r="AD2228">
        <v>-1.12153574309299</v>
      </c>
      <c r="AE2228">
        <v>1.4581</v>
      </c>
      <c r="AF2228">
        <v>0.668743118076914</v>
      </c>
      <c r="AG2228">
        <v>-1.12153574309299</v>
      </c>
      <c r="AH2228">
        <v>18.5863655402262</v>
      </c>
      <c r="AI2228">
        <v>93.450918830418601</v>
      </c>
      <c r="AJ2228">
        <v>87.939369237211196</v>
      </c>
      <c r="AK2228">
        <v>18.632177644492199</v>
      </c>
      <c r="AL2228">
        <v>94.454645029977897</v>
      </c>
      <c r="AM2228">
        <v>92.825530368962404</v>
      </c>
      <c r="AN2228">
        <v>1.0000000271924701</v>
      </c>
    </row>
    <row r="2229" spans="1:40" x14ac:dyDescent="0.25">
      <c r="A2229" t="str">
        <f>"20190303154140487"</f>
        <v>20190303154140487</v>
      </c>
      <c r="B2229" t="str">
        <f>"1551598900481292"</f>
        <v>1551598900481292</v>
      </c>
      <c r="C2229" t="s">
        <v>40</v>
      </c>
      <c r="D2229">
        <v>6.1801209999999998</v>
      </c>
      <c r="E2229">
        <v>0.53257749999999904</v>
      </c>
      <c r="F2229" t="s">
        <v>50</v>
      </c>
      <c r="G2229">
        <v>-229.9127</v>
      </c>
      <c r="H2229" s="1">
        <v>3.7382620000000001E-6</v>
      </c>
      <c r="I2229">
        <v>283.7756</v>
      </c>
      <c r="J2229">
        <v>-210.58860000000001</v>
      </c>
      <c r="K2229">
        <v>1.1215649999999999</v>
      </c>
      <c r="L2229">
        <v>282.24520000000001</v>
      </c>
      <c r="M2229">
        <v>-0.99901490000000004</v>
      </c>
      <c r="N2229">
        <v>-1.4174539999999999E-2</v>
      </c>
      <c r="O2229">
        <v>4.2055490000000001E-2</v>
      </c>
      <c r="P2229">
        <v>-0.99600949999999999</v>
      </c>
      <c r="Q2229">
        <v>-8.8858430000000002E-2</v>
      </c>
      <c r="R2229">
        <v>-8.3360819999999999E-3</v>
      </c>
      <c r="S2229">
        <v>-2.998596</v>
      </c>
      <c r="T2229">
        <v>-0.1723478</v>
      </c>
      <c r="U2229">
        <v>0.23638919999999999</v>
      </c>
      <c r="V2229">
        <v>-5.0173580000000002E-2</v>
      </c>
      <c r="W2229">
        <v>-7.4780330000000006E-2</v>
      </c>
      <c r="X2229">
        <v>0.99593699999999996</v>
      </c>
      <c r="Y2229">
        <v>3.6554549999999998E-2</v>
      </c>
      <c r="Z2229">
        <v>-5.069273E-4</v>
      </c>
      <c r="AA2229">
        <v>0.99933150000000004</v>
      </c>
      <c r="AB2229">
        <v>19</v>
      </c>
      <c r="AC2229">
        <v>-19.324099999999898</v>
      </c>
      <c r="AD2229">
        <v>-1.121561261738</v>
      </c>
      <c r="AE2229">
        <v>1.53039999999998</v>
      </c>
      <c r="AF2229">
        <v>0.71388993318826199</v>
      </c>
      <c r="AG2229">
        <v>-1.121561261738</v>
      </c>
      <c r="AH2229">
        <v>19.306737255294301</v>
      </c>
      <c r="AI2229">
        <v>93.322407549594402</v>
      </c>
      <c r="AJ2229">
        <v>87.8823840820654</v>
      </c>
      <c r="AK2229">
        <v>19.352458292049299</v>
      </c>
      <c r="AL2229">
        <v>94.288600709818496</v>
      </c>
      <c r="AM2229">
        <v>92.884023866409905</v>
      </c>
      <c r="AN2229">
        <v>0.99999999692696195</v>
      </c>
    </row>
    <row r="2230" spans="1:40" x14ac:dyDescent="0.25">
      <c r="A2230" t="str">
        <f>"20190303154140500"</f>
        <v>20190303154140500</v>
      </c>
      <c r="B2230" t="str">
        <f>"1551598900492030"</f>
        <v>1551598900492030</v>
      </c>
      <c r="C2230" t="s">
        <v>40</v>
      </c>
      <c r="D2230">
        <v>6.1683269999999997</v>
      </c>
      <c r="E2230">
        <v>0.53231969999999995</v>
      </c>
      <c r="F2230" t="s">
        <v>50</v>
      </c>
      <c r="G2230">
        <v>-231.36670000000001</v>
      </c>
      <c r="H2230" s="1">
        <v>-7.7592559999999996E-7</v>
      </c>
      <c r="I2230">
        <v>283.84780000000001</v>
      </c>
      <c r="J2230">
        <v>-210.70150000000001</v>
      </c>
      <c r="K2230">
        <v>1.121569</v>
      </c>
      <c r="L2230">
        <v>282.24979999999999</v>
      </c>
      <c r="M2230">
        <v>-0.99902000000000002</v>
      </c>
      <c r="N2230">
        <v>-1.4170769999999999E-2</v>
      </c>
      <c r="O2230">
        <v>4.1933909999999998E-2</v>
      </c>
      <c r="P2230">
        <v>-0.9960833</v>
      </c>
      <c r="Q2230">
        <v>-8.7998800000000002E-2</v>
      </c>
      <c r="R2230">
        <v>-8.6501159999999994E-3</v>
      </c>
      <c r="S2230">
        <v>-2.9995120000000002</v>
      </c>
      <c r="T2230">
        <v>-0.16190889999999999</v>
      </c>
      <c r="U2230">
        <v>0.2313538</v>
      </c>
      <c r="V2230">
        <v>-5.0369610000000002E-2</v>
      </c>
      <c r="W2230">
        <v>-7.3923909999999995E-2</v>
      </c>
      <c r="X2230">
        <v>0.99599110000000002</v>
      </c>
      <c r="Y2230">
        <v>3.4989439999999997E-2</v>
      </c>
      <c r="Z2230">
        <v>-4.7291120000000003E-4</v>
      </c>
      <c r="AA2230">
        <v>0.99938760000000004</v>
      </c>
      <c r="AB2230">
        <v>19</v>
      </c>
      <c r="AC2230">
        <v>-20.665199999999999</v>
      </c>
      <c r="AD2230">
        <v>-1.1215697759256</v>
      </c>
      <c r="AE2230">
        <v>1.5980000000000101</v>
      </c>
      <c r="AF2230">
        <v>0.72780346148827302</v>
      </c>
      <c r="AG2230">
        <v>-1.1215697759256</v>
      </c>
      <c r="AH2230">
        <v>20.653560626345602</v>
      </c>
      <c r="AI2230">
        <v>93.106409395518796</v>
      </c>
      <c r="AJ2230">
        <v>87.981809541624798</v>
      </c>
      <c r="AK2230">
        <v>20.696791615778402</v>
      </c>
      <c r="AL2230">
        <v>94.239395004650405</v>
      </c>
      <c r="AM2230">
        <v>92.895115720512194</v>
      </c>
      <c r="AN2230">
        <v>1.0000000566802201</v>
      </c>
    </row>
    <row r="2231" spans="1:40" x14ac:dyDescent="0.25">
      <c r="A2231" t="str">
        <f>"20190303154140514"</f>
        <v>20190303154140514</v>
      </c>
      <c r="B2231" t="str">
        <f>"1551598900512056"</f>
        <v>1551598900512056</v>
      </c>
      <c r="C2231" t="s">
        <v>40</v>
      </c>
      <c r="D2231">
        <v>6.1987430000000003</v>
      </c>
      <c r="E2231">
        <v>0.53252359999999999</v>
      </c>
      <c r="F2231" t="s">
        <v>50</v>
      </c>
      <c r="G2231">
        <v>-231.7517</v>
      </c>
      <c r="H2231" s="1">
        <v>-5.712018E-7</v>
      </c>
      <c r="I2231">
        <v>283.8519</v>
      </c>
      <c r="J2231">
        <v>-210.81299999999999</v>
      </c>
      <c r="K2231">
        <v>1.121564</v>
      </c>
      <c r="L2231">
        <v>282.25439999999998</v>
      </c>
      <c r="M2231">
        <v>-0.99902559999999996</v>
      </c>
      <c r="N2231">
        <v>-1.4167219999999999E-2</v>
      </c>
      <c r="O2231">
        <v>4.1799639999999999E-2</v>
      </c>
      <c r="P2231">
        <v>-0.99614420000000004</v>
      </c>
      <c r="Q2231">
        <v>-8.725782E-2</v>
      </c>
      <c r="R2231">
        <v>-9.1018030000000003E-3</v>
      </c>
      <c r="S2231">
        <v>-2.9996640000000001</v>
      </c>
      <c r="T2231">
        <v>-0.15982399999999999</v>
      </c>
      <c r="U2231">
        <v>0.228302</v>
      </c>
      <c r="V2231">
        <v>-5.0691050000000001E-2</v>
      </c>
      <c r="W2231">
        <v>-7.3185710000000001E-2</v>
      </c>
      <c r="X2231">
        <v>0.99602930000000001</v>
      </c>
      <c r="Y2231">
        <v>3.4110849999999998E-2</v>
      </c>
      <c r="Z2231">
        <v>-4.8056459999999999E-4</v>
      </c>
      <c r="AA2231">
        <v>0.99941800000000003</v>
      </c>
      <c r="AB2231">
        <v>19</v>
      </c>
      <c r="AC2231">
        <v>-20.938700000000001</v>
      </c>
      <c r="AD2231">
        <v>-1.1215645712018001</v>
      </c>
      <c r="AE2231">
        <v>1.5975000000000199</v>
      </c>
      <c r="AF2231">
        <v>0.71873538077082599</v>
      </c>
      <c r="AG2231">
        <v>-1.1215645712018001</v>
      </c>
      <c r="AH2231">
        <v>20.927481765194798</v>
      </c>
      <c r="AI2231">
        <v>93.065908405822597</v>
      </c>
      <c r="AJ2231">
        <v>88.033001543873496</v>
      </c>
      <c r="AK2231">
        <v>20.969835017651199</v>
      </c>
      <c r="AL2231">
        <v>94.196984412789902</v>
      </c>
      <c r="AM2231">
        <v>92.913447983574599</v>
      </c>
      <c r="AN2231">
        <v>1.00000004857839</v>
      </c>
    </row>
    <row r="2232" spans="1:40" x14ac:dyDescent="0.25">
      <c r="A2232" t="str">
        <f>"20190303154140533"</f>
        <v>20190303154140533</v>
      </c>
      <c r="B2232" t="str">
        <f>"1551598900521816"</f>
        <v>1551598900521816</v>
      </c>
      <c r="C2232" t="s">
        <v>40</v>
      </c>
      <c r="D2232">
        <v>6.1954859999999998</v>
      </c>
      <c r="E2232">
        <v>0.53238299999999905</v>
      </c>
      <c r="F2232" t="s">
        <v>50</v>
      </c>
      <c r="G2232">
        <v>-232.24039999999999</v>
      </c>
      <c r="H2232" s="1">
        <v>-3.1264610000000002E-7</v>
      </c>
      <c r="I2232">
        <v>283.88589999999999</v>
      </c>
      <c r="J2232">
        <v>-210.96940000000001</v>
      </c>
      <c r="K2232">
        <v>1.1215459999999999</v>
      </c>
      <c r="L2232">
        <v>282.26069999999999</v>
      </c>
      <c r="M2232">
        <v>-0.99903430000000004</v>
      </c>
      <c r="N2232">
        <v>-1.416249E-2</v>
      </c>
      <c r="O2232">
        <v>4.1593409999999997E-2</v>
      </c>
      <c r="P2232">
        <v>-0.99606680000000003</v>
      </c>
      <c r="Q2232">
        <v>-8.8128769999999995E-2</v>
      </c>
      <c r="R2232">
        <v>-9.1931510000000001E-3</v>
      </c>
      <c r="S2232">
        <v>-2.9999539999999998</v>
      </c>
      <c r="T2232">
        <v>-0.15702559999999999</v>
      </c>
      <c r="U2232">
        <v>0.22842409999999999</v>
      </c>
      <c r="V2232">
        <v>-5.0574260000000003E-2</v>
      </c>
      <c r="W2232">
        <v>-7.4061269999999998E-2</v>
      </c>
      <c r="X2232">
        <v>0.99597049999999998</v>
      </c>
      <c r="Y2232">
        <v>3.4350119999999998E-2</v>
      </c>
      <c r="Z2232">
        <v>-4.4194779999999999E-4</v>
      </c>
      <c r="AA2232">
        <v>0.99940969999999996</v>
      </c>
      <c r="AB2232">
        <v>19</v>
      </c>
      <c r="AC2232">
        <v>-21.270999999999901</v>
      </c>
      <c r="AD2232">
        <v>-1.1215463126460901</v>
      </c>
      <c r="AE2232">
        <v>1.6252</v>
      </c>
      <c r="AF2232">
        <v>0.73693433725124802</v>
      </c>
      <c r="AG2232">
        <v>-1.1215463126460901</v>
      </c>
      <c r="AH2232">
        <v>21.261427593292002</v>
      </c>
      <c r="AI2232">
        <v>93.017761078337898</v>
      </c>
      <c r="AJ2232">
        <v>88.014887246897104</v>
      </c>
      <c r="AK2232">
        <v>21.303737739035999</v>
      </c>
      <c r="AL2232">
        <v>94.247286889754307</v>
      </c>
      <c r="AM2232">
        <v>92.906918363427906</v>
      </c>
      <c r="AN2232">
        <v>1.0000000321794</v>
      </c>
    </row>
    <row r="2233" spans="1:40" x14ac:dyDescent="0.25">
      <c r="A2233" t="str">
        <f>"20190303154140555"</f>
        <v>20190303154140555</v>
      </c>
      <c r="B2233" t="str">
        <f>"1551598900552071"</f>
        <v>1551598900552071</v>
      </c>
      <c r="C2233" t="s">
        <v>40</v>
      </c>
      <c r="D2233">
        <v>6.1662600000000003</v>
      </c>
      <c r="E2233">
        <v>0.53224589999999905</v>
      </c>
      <c r="F2233" t="s">
        <v>50</v>
      </c>
      <c r="G2233">
        <v>-231.93109999999999</v>
      </c>
      <c r="H2233" s="1">
        <v>-4.7560640000000003E-7</v>
      </c>
      <c r="I2233">
        <v>283.84899999999999</v>
      </c>
      <c r="J2233">
        <v>-211.1508</v>
      </c>
      <c r="K2233">
        <v>1.121532</v>
      </c>
      <c r="L2233">
        <v>282.2679</v>
      </c>
      <c r="M2233">
        <v>-0.99904470000000001</v>
      </c>
      <c r="N2233">
        <v>-1.4157319999999999E-2</v>
      </c>
      <c r="O2233">
        <v>4.1343600000000001E-2</v>
      </c>
      <c r="P2233">
        <v>-0.99601850000000003</v>
      </c>
      <c r="Q2233">
        <v>-8.8650999999999994E-2</v>
      </c>
      <c r="R2233">
        <v>-9.4059550000000006E-3</v>
      </c>
      <c r="S2233">
        <v>-2.9997410000000002</v>
      </c>
      <c r="T2233">
        <v>-0.1604999</v>
      </c>
      <c r="U2233">
        <v>0.22729489999999999</v>
      </c>
      <c r="V2233">
        <v>-5.0538090000000001E-2</v>
      </c>
      <c r="W2233">
        <v>-7.4587959999999995E-2</v>
      </c>
      <c r="X2233">
        <v>0.99593299999999996</v>
      </c>
      <c r="Y2233">
        <v>3.423089E-2</v>
      </c>
      <c r="Z2233">
        <v>-4.6476660000000002E-4</v>
      </c>
      <c r="AA2233">
        <v>0.99941380000000002</v>
      </c>
      <c r="AB2233">
        <v>19</v>
      </c>
      <c r="AC2233">
        <v>-20.780299999999901</v>
      </c>
      <c r="AD2233">
        <v>-1.1215324756064</v>
      </c>
      <c r="AE2233">
        <v>1.58109999999999</v>
      </c>
      <c r="AF2233">
        <v>0.71844866547099695</v>
      </c>
      <c r="AG2233">
        <v>-1.1215324756064</v>
      </c>
      <c r="AH2233">
        <v>20.7677584976799</v>
      </c>
      <c r="AI2233">
        <v>93.089327759507498</v>
      </c>
      <c r="AJ2233">
        <v>88.018675595365295</v>
      </c>
      <c r="AK2233">
        <v>20.8104251901953</v>
      </c>
      <c r="AL2233">
        <v>94.277547833495305</v>
      </c>
      <c r="AM2233">
        <v>92.904952127356495</v>
      </c>
      <c r="AN2233">
        <v>1.0000000014034001</v>
      </c>
    </row>
    <row r="2234" spans="1:40" x14ac:dyDescent="0.25">
      <c r="A2234" t="str">
        <f>"20190303154140577"</f>
        <v>20190303154140577</v>
      </c>
      <c r="B2234" t="str">
        <f>"1551598900571591"</f>
        <v>1551598900571591</v>
      </c>
      <c r="C2234" t="s">
        <v>40</v>
      </c>
      <c r="D2234">
        <v>6.1909380000000001</v>
      </c>
      <c r="E2234">
        <v>0.53210230000000003</v>
      </c>
      <c r="F2234" t="s">
        <v>50</v>
      </c>
      <c r="G2234">
        <v>-231.7166</v>
      </c>
      <c r="H2234" s="1">
        <v>-5.8821339999999899E-7</v>
      </c>
      <c r="I2234">
        <v>283.81400000000002</v>
      </c>
      <c r="J2234">
        <v>-211.32409999999999</v>
      </c>
      <c r="K2234">
        <v>1.1215200000000001</v>
      </c>
      <c r="L2234">
        <v>282.27480000000003</v>
      </c>
      <c r="M2234">
        <v>-0.99905460000000001</v>
      </c>
      <c r="N2234">
        <v>-1.415228E-2</v>
      </c>
      <c r="O2234">
        <v>4.1105320000000001E-2</v>
      </c>
      <c r="P2234">
        <v>-0.99615370000000003</v>
      </c>
      <c r="Q2234">
        <v>-8.7030430000000006E-2</v>
      </c>
      <c r="R2234">
        <v>-1.0167809999999999E-2</v>
      </c>
      <c r="S2234">
        <v>-2.9995569999999998</v>
      </c>
      <c r="T2234">
        <v>-0.16357769999999999</v>
      </c>
      <c r="U2234">
        <v>0.22549440000000001</v>
      </c>
      <c r="V2234">
        <v>-5.1070379999999999E-2</v>
      </c>
      <c r="W2234">
        <v>-7.2969859999999998E-2</v>
      </c>
      <c r="X2234">
        <v>0.99602570000000001</v>
      </c>
      <c r="Y2234">
        <v>3.3877379999999999E-2</v>
      </c>
      <c r="Z2234">
        <v>-4.924695E-4</v>
      </c>
      <c r="AA2234">
        <v>0.99942589999999998</v>
      </c>
      <c r="AB2234">
        <v>18</v>
      </c>
      <c r="AC2234">
        <v>-20.392499999999998</v>
      </c>
      <c r="AD2234">
        <v>-1.1215205882133901</v>
      </c>
      <c r="AE2234">
        <v>1.5391999999999899</v>
      </c>
      <c r="AF2234">
        <v>0.69747698807534897</v>
      </c>
      <c r="AG2234">
        <v>-1.1215205882133901</v>
      </c>
      <c r="AH2234">
        <v>20.3772521489098</v>
      </c>
      <c r="AI2234">
        <v>93.148419390618599</v>
      </c>
      <c r="AJ2234">
        <v>88.039633013358696</v>
      </c>
      <c r="AK2234">
        <v>20.420007045026502</v>
      </c>
      <c r="AL2234">
        <v>94.184584210739601</v>
      </c>
      <c r="AM2234">
        <v>92.935222431566103</v>
      </c>
      <c r="AN2234">
        <v>0.99999998962112702</v>
      </c>
    </row>
    <row r="2235" spans="1:40" x14ac:dyDescent="0.25">
      <c r="A2235" t="str">
        <f>"20190303154140600"</f>
        <v>20190303154140600</v>
      </c>
      <c r="B2235" t="str">
        <f>"1551598900592088"</f>
        <v>1551598900592088</v>
      </c>
      <c r="C2235" t="s">
        <v>40</v>
      </c>
      <c r="D2235">
        <v>6.2047239999999997</v>
      </c>
      <c r="E2235">
        <v>0.53171729999999995</v>
      </c>
      <c r="F2235" t="s">
        <v>50</v>
      </c>
      <c r="G2235">
        <v>-232.41030000000001</v>
      </c>
      <c r="H2235" s="1">
        <v>-2.2000599999999999E-7</v>
      </c>
      <c r="I2235">
        <v>283.83499999999998</v>
      </c>
      <c r="J2235">
        <v>-211.5189</v>
      </c>
      <c r="K2235">
        <v>1.1215029999999999</v>
      </c>
      <c r="L2235">
        <v>282.28250000000003</v>
      </c>
      <c r="M2235">
        <v>-0.99906530000000004</v>
      </c>
      <c r="N2235">
        <v>-1.414667E-2</v>
      </c>
      <c r="O2235">
        <v>4.0845510000000002E-2</v>
      </c>
      <c r="P2235">
        <v>-0.99630359999999996</v>
      </c>
      <c r="Q2235">
        <v>-8.5080719999999999E-2</v>
      </c>
      <c r="R2235">
        <v>-1.1857660000000001E-2</v>
      </c>
      <c r="S2235">
        <v>-2.999908</v>
      </c>
      <c r="T2235">
        <v>-0.15955730000000001</v>
      </c>
      <c r="U2235">
        <v>0.22195429999999999</v>
      </c>
      <c r="V2235">
        <v>-5.251016E-2</v>
      </c>
      <c r="W2235">
        <v>-7.1023139999999998E-2</v>
      </c>
      <c r="X2235">
        <v>0.99609150000000002</v>
      </c>
      <c r="Y2235">
        <v>3.2957710000000001E-2</v>
      </c>
      <c r="Z2235">
        <v>-4.8128249999999999E-4</v>
      </c>
      <c r="AA2235">
        <v>0.99945660000000003</v>
      </c>
      <c r="AB2235">
        <v>18</v>
      </c>
      <c r="AC2235">
        <v>-20.891400000000001</v>
      </c>
      <c r="AD2235">
        <v>-1.121503220006</v>
      </c>
      <c r="AE2235">
        <v>1.55249999999995</v>
      </c>
      <c r="AF2235">
        <v>0.69580466645542305</v>
      </c>
      <c r="AG2235">
        <v>-1.121503220006</v>
      </c>
      <c r="AH2235">
        <v>20.877546316718799</v>
      </c>
      <c r="AI2235">
        <v>93.073165038828705</v>
      </c>
      <c r="AJ2235">
        <v>88.091158828608997</v>
      </c>
      <c r="AK2235">
        <v>20.9192221130013</v>
      </c>
      <c r="AL2235">
        <v>94.072755345439106</v>
      </c>
      <c r="AM2235">
        <v>93.017622591137197</v>
      </c>
      <c r="AN2235">
        <v>0.99999993984546498</v>
      </c>
    </row>
    <row r="2236" spans="1:40" x14ac:dyDescent="0.25">
      <c r="A2236" t="str">
        <f>"20190303154140624"</f>
        <v>20190303154140624</v>
      </c>
      <c r="B2236" t="str">
        <f>"1551598900621875"</f>
        <v>1551598900621875</v>
      </c>
      <c r="C2236" t="s">
        <v>40</v>
      </c>
      <c r="D2236">
        <v>6.1420170000000001</v>
      </c>
      <c r="E2236">
        <v>0.5311399</v>
      </c>
      <c r="F2236" t="s">
        <v>50</v>
      </c>
      <c r="G2236">
        <v>-232.89</v>
      </c>
      <c r="H2236" s="1">
        <v>3.6519059999999997E-8</v>
      </c>
      <c r="I2236">
        <v>283.8064</v>
      </c>
      <c r="J2236">
        <v>-211.714</v>
      </c>
      <c r="K2236">
        <v>1.121481</v>
      </c>
      <c r="L2236">
        <v>282.2901</v>
      </c>
      <c r="M2236">
        <v>-0.99907579999999996</v>
      </c>
      <c r="N2236">
        <v>-1.4141249999999999E-2</v>
      </c>
      <c r="O2236">
        <v>4.0593129999999998E-2</v>
      </c>
      <c r="P2236">
        <v>-0.99634160000000005</v>
      </c>
      <c r="Q2236">
        <v>-8.451997E-2</v>
      </c>
      <c r="R2236">
        <v>-1.2657389999999999E-2</v>
      </c>
      <c r="S2236">
        <v>-3.0002140000000002</v>
      </c>
      <c r="T2236">
        <v>-0.15744379999999999</v>
      </c>
      <c r="U2236">
        <v>0.21392820000000001</v>
      </c>
      <c r="V2236">
        <v>-5.3063699999999901E-2</v>
      </c>
      <c r="W2236">
        <v>-7.04648999999999E-2</v>
      </c>
      <c r="X2236">
        <v>0.99610189999999998</v>
      </c>
      <c r="Y2236">
        <v>3.0547230000000002E-2</v>
      </c>
      <c r="Z2236">
        <v>-5.3506789999999995E-4</v>
      </c>
      <c r="AA2236">
        <v>0.99953320000000001</v>
      </c>
      <c r="AB2236">
        <v>18</v>
      </c>
      <c r="AC2236">
        <v>-21.175999999999899</v>
      </c>
      <c r="AD2236">
        <v>-1.12148096348094</v>
      </c>
      <c r="AE2236">
        <v>1.5163</v>
      </c>
      <c r="AF2236">
        <v>0.65354029597681296</v>
      </c>
      <c r="AG2236">
        <v>-1.12148096348094</v>
      </c>
      <c r="AH2236">
        <v>21.1610509535349</v>
      </c>
      <c r="AI2236">
        <v>93.032246887246203</v>
      </c>
      <c r="AJ2236">
        <v>88.231032939180807</v>
      </c>
      <c r="AK2236">
        <v>21.200823378539301</v>
      </c>
      <c r="AL2236">
        <v>94.040689856136595</v>
      </c>
      <c r="AM2236">
        <v>93.049341597119707</v>
      </c>
      <c r="AN2236">
        <v>1.00000002678665</v>
      </c>
    </row>
    <row r="2237" spans="1:40" x14ac:dyDescent="0.25">
      <c r="A2237" t="str">
        <f>"20190303154140646"</f>
        <v>20190303154140646</v>
      </c>
      <c r="B2237" t="str">
        <f>"1551598900641395"</f>
        <v>1551598900641395</v>
      </c>
      <c r="C2237" t="s">
        <v>40</v>
      </c>
      <c r="D2237">
        <v>6.163653</v>
      </c>
      <c r="E2237">
        <v>0.53112630000000005</v>
      </c>
      <c r="F2237" t="s">
        <v>50</v>
      </c>
      <c r="G2237">
        <v>-232.53460000000001</v>
      </c>
      <c r="H2237" s="1">
        <v>-1.49167E-7</v>
      </c>
      <c r="I2237">
        <v>283.72800000000001</v>
      </c>
      <c r="J2237">
        <v>-211.88589999999999</v>
      </c>
      <c r="K2237">
        <v>1.1214569999999999</v>
      </c>
      <c r="L2237">
        <v>282.29680000000002</v>
      </c>
      <c r="M2237">
        <v>-0.99908459999999999</v>
      </c>
      <c r="N2237">
        <v>-1.4136559999999999E-2</v>
      </c>
      <c r="O2237">
        <v>4.0376139999999998E-2</v>
      </c>
      <c r="P2237">
        <v>-0.99633119999999997</v>
      </c>
      <c r="Q2237">
        <v>-8.4513939999999996E-2</v>
      </c>
      <c r="R2237">
        <v>-1.347099E-2</v>
      </c>
      <c r="S2237">
        <v>-2.9999539999999998</v>
      </c>
      <c r="T2237">
        <v>-0.16158929999999999</v>
      </c>
      <c r="U2237">
        <v>0.2071838</v>
      </c>
      <c r="V2237">
        <v>-5.3664080000000003E-2</v>
      </c>
      <c r="W2237">
        <v>-7.0461300000000004E-2</v>
      </c>
      <c r="X2237">
        <v>0.99607000000000001</v>
      </c>
      <c r="Y2237">
        <v>2.8537429999999999E-2</v>
      </c>
      <c r="Z2237">
        <v>-6.3007839999999998E-4</v>
      </c>
      <c r="AA2237">
        <v>0.99959249999999999</v>
      </c>
      <c r="AB2237">
        <v>18</v>
      </c>
      <c r="AC2237">
        <v>-20.648700000000002</v>
      </c>
      <c r="AD2237">
        <v>-1.121457149167</v>
      </c>
      <c r="AE2237">
        <v>1.43119999999998</v>
      </c>
      <c r="AF2237">
        <v>0.59448943346110195</v>
      </c>
      <c r="AG2237">
        <v>-1.121457149167</v>
      </c>
      <c r="AH2237">
        <v>20.6290917887818</v>
      </c>
      <c r="AI2237">
        <v>93.110412731248701</v>
      </c>
      <c r="AJ2237">
        <v>88.349306340082506</v>
      </c>
      <c r="AK2237">
        <v>20.668103731448099</v>
      </c>
      <c r="AL2237">
        <v>94.040483037687906</v>
      </c>
      <c r="AM2237">
        <v>93.083875192815199</v>
      </c>
      <c r="AN2237">
        <v>1.00000003658996</v>
      </c>
    </row>
    <row r="2238" spans="1:40" x14ac:dyDescent="0.25">
      <c r="A2238" t="str">
        <f>"20190303154140666"</f>
        <v>20190303154140666</v>
      </c>
      <c r="B2238" t="str">
        <f>"1551598900661892"</f>
        <v>1551598900661892</v>
      </c>
      <c r="C2238" t="s">
        <v>40</v>
      </c>
      <c r="D2238">
        <v>6.2665850000000001</v>
      </c>
      <c r="E2238">
        <v>0.53076129999999999</v>
      </c>
      <c r="F2238" t="s">
        <v>50</v>
      </c>
      <c r="G2238">
        <v>-232.62299999999999</v>
      </c>
      <c r="H2238" s="1">
        <v>-1.014118E-7</v>
      </c>
      <c r="I2238">
        <v>283.71159999999998</v>
      </c>
      <c r="J2238">
        <v>-212.05840000000001</v>
      </c>
      <c r="K2238">
        <v>1.1214379999999999</v>
      </c>
      <c r="L2238">
        <v>282.30349999999999</v>
      </c>
      <c r="M2238">
        <v>-0.99909320000000001</v>
      </c>
      <c r="N2238">
        <v>-1.4131940000000001E-2</v>
      </c>
      <c r="O2238">
        <v>4.0163490000000003E-2</v>
      </c>
      <c r="P2238">
        <v>-0.99641100000000005</v>
      </c>
      <c r="Q2238">
        <v>-8.3504480000000006E-2</v>
      </c>
      <c r="R2238">
        <v>-1.386328E-2</v>
      </c>
      <c r="S2238">
        <v>-3.0000460000000002</v>
      </c>
      <c r="T2238">
        <v>-0.16224189999999999</v>
      </c>
      <c r="U2238">
        <v>0.20468140000000001</v>
      </c>
      <c r="V2238">
        <v>-5.3851709999999997E-2</v>
      </c>
      <c r="W2238">
        <v>-6.9452630000000001E-2</v>
      </c>
      <c r="X2238">
        <v>0.99613070000000004</v>
      </c>
      <c r="Y2238">
        <v>2.791915E-2</v>
      </c>
      <c r="Z2238">
        <v>-6.4859179999999996E-4</v>
      </c>
      <c r="AA2238">
        <v>0.99960990000000005</v>
      </c>
      <c r="AB2238">
        <v>18</v>
      </c>
      <c r="AC2238">
        <v>-20.564599999999899</v>
      </c>
      <c r="AD2238">
        <v>-1.1214381014118</v>
      </c>
      <c r="AE2238">
        <v>1.4080999999999899</v>
      </c>
      <c r="AF2238">
        <v>0.57922058800975196</v>
      </c>
      <c r="AG2238">
        <v>-1.1214381014118</v>
      </c>
      <c r="AH2238">
        <v>20.543755715563901</v>
      </c>
      <c r="AI2238">
        <v>93.1233098671878</v>
      </c>
      <c r="AJ2238">
        <v>88.385002917168507</v>
      </c>
      <c r="AK2238">
        <v>20.582493017261999</v>
      </c>
      <c r="AL2238">
        <v>93.982548618807797</v>
      </c>
      <c r="AM2238">
        <v>93.094448462483598</v>
      </c>
      <c r="AN2238">
        <v>1.00000002298316</v>
      </c>
    </row>
    <row r="2239" spans="1:40" x14ac:dyDescent="0.25">
      <c r="A2239" t="str">
        <f>"20190303154140682"</f>
        <v>20190303154140682</v>
      </c>
      <c r="B2239" t="str">
        <f>"1551598900671652"</f>
        <v>1551598900671652</v>
      </c>
      <c r="C2239" t="s">
        <v>40</v>
      </c>
      <c r="D2239">
        <v>6.19475</v>
      </c>
      <c r="E2239">
        <v>0.51054659999999996</v>
      </c>
      <c r="F2239" t="s">
        <v>50</v>
      </c>
      <c r="G2239">
        <v>-232.7928</v>
      </c>
      <c r="H2239" s="1">
        <v>-1.020783E-8</v>
      </c>
      <c r="I2239">
        <v>283.6918</v>
      </c>
      <c r="J2239">
        <v>-212.18719999999999</v>
      </c>
      <c r="K2239">
        <v>1.121424</v>
      </c>
      <c r="L2239">
        <v>282.30849999999998</v>
      </c>
      <c r="M2239">
        <v>-0.99909950000000003</v>
      </c>
      <c r="N2239">
        <v>-1.412851E-2</v>
      </c>
      <c r="O2239">
        <v>4.00084E-2</v>
      </c>
      <c r="P2239">
        <v>-0.99643610000000005</v>
      </c>
      <c r="Q2239">
        <v>-8.3144819999999994E-2</v>
      </c>
      <c r="R2239">
        <v>-1.42224E-2</v>
      </c>
      <c r="S2239">
        <v>-3</v>
      </c>
      <c r="T2239">
        <v>-0.16225800000000001</v>
      </c>
      <c r="U2239">
        <v>0.20086670000000001</v>
      </c>
      <c r="V2239">
        <v>-5.4059679999999999E-2</v>
      </c>
      <c r="W2239">
        <v>-6.9094290000000003E-2</v>
      </c>
      <c r="X2239">
        <v>0.99614440000000004</v>
      </c>
      <c r="Y2239">
        <v>2.6811970000000001E-2</v>
      </c>
      <c r="Z2239">
        <v>-6.8055299999999997E-4</v>
      </c>
      <c r="AA2239">
        <v>0.99964030000000004</v>
      </c>
      <c r="AB2239">
        <v>18</v>
      </c>
      <c r="AC2239">
        <v>-20.605599999999999</v>
      </c>
      <c r="AD2239">
        <v>-1.1214240102078299</v>
      </c>
      <c r="AE2239">
        <v>1.38330000000001</v>
      </c>
      <c r="AF2239">
        <v>0.55607325138567998</v>
      </c>
      <c r="AG2239">
        <v>-1.1214240102078299</v>
      </c>
      <c r="AH2239">
        <v>20.583754516860299</v>
      </c>
      <c r="AI2239">
        <v>93.117314678726501</v>
      </c>
      <c r="AJ2239">
        <v>88.452522209162495</v>
      </c>
      <c r="AK2239">
        <v>20.621778761347102</v>
      </c>
      <c r="AL2239">
        <v>93.961967630656403</v>
      </c>
      <c r="AM2239">
        <v>93.106332919584005</v>
      </c>
      <c r="AN2239">
        <v>1.0000000677818299</v>
      </c>
    </row>
    <row r="2240" spans="1:40" x14ac:dyDescent="0.25">
      <c r="A2240" t="str">
        <f>"20190303154140699"</f>
        <v>20190303154140699</v>
      </c>
      <c r="B2240" t="str">
        <f>"1551598900692148"</f>
        <v>1551598900692148</v>
      </c>
      <c r="C2240" t="s">
        <v>40</v>
      </c>
      <c r="D2240">
        <v>6.2485989999999996</v>
      </c>
      <c r="E2240">
        <v>0.51019919999999996</v>
      </c>
      <c r="F2240" t="s">
        <v>50</v>
      </c>
      <c r="G2240">
        <v>-224.7611</v>
      </c>
      <c r="H2240" s="1">
        <v>9.968384000000001E-7</v>
      </c>
      <c r="I2240">
        <v>282.48430000000002</v>
      </c>
      <c r="J2240">
        <v>-212.3322</v>
      </c>
      <c r="K2240">
        <v>1.121424</v>
      </c>
      <c r="L2240">
        <v>282.3141</v>
      </c>
      <c r="M2240">
        <v>-0.9991063</v>
      </c>
      <c r="N2240">
        <v>-1.4124589999999999E-2</v>
      </c>
      <c r="O2240">
        <v>3.9838499999999999E-2</v>
      </c>
      <c r="P2240">
        <v>-0.99647059999999998</v>
      </c>
      <c r="Q2240">
        <v>-8.2730639999999994E-2</v>
      </c>
      <c r="R2240">
        <v>-1.422666E-2</v>
      </c>
      <c r="S2240">
        <v>-2.98909</v>
      </c>
      <c r="T2240">
        <v>-0.26658690000000002</v>
      </c>
      <c r="U2240">
        <v>4.1809079999999998E-2</v>
      </c>
      <c r="V2240">
        <v>-5.3898290000000001E-2</v>
      </c>
      <c r="W2240">
        <v>-6.8681619999999999E-2</v>
      </c>
      <c r="X2240">
        <v>0.9961816</v>
      </c>
      <c r="Y2240">
        <v>-2.563404E-2</v>
      </c>
      <c r="Z2240">
        <v>-4.3052389999999998E-3</v>
      </c>
      <c r="AA2240">
        <v>0.9996621</v>
      </c>
      <c r="AB2240">
        <v>18</v>
      </c>
      <c r="AC2240">
        <v>-12.428900000000001</v>
      </c>
      <c r="AD2240">
        <v>-1.1214230031615999</v>
      </c>
      <c r="AE2240">
        <v>0.170200000000022</v>
      </c>
      <c r="AF2240">
        <v>-0.32250825137330702</v>
      </c>
      <c r="AG2240">
        <v>-1.1214230031615999</v>
      </c>
      <c r="AH2240">
        <v>12.325490283322701</v>
      </c>
      <c r="AI2240">
        <v>95.196919412680202</v>
      </c>
      <c r="AJ2240">
        <v>91.498856909828504</v>
      </c>
      <c r="AK2240">
        <v>12.380602240945599</v>
      </c>
      <c r="AL2240">
        <v>93.938267404822994</v>
      </c>
      <c r="AM2240">
        <v>93.096961912835496</v>
      </c>
      <c r="AN2240">
        <v>0.99999998538465396</v>
      </c>
    </row>
    <row r="2241" spans="1:40" x14ac:dyDescent="0.25">
      <c r="A2241" t="str">
        <f>"20190303154140723"</f>
        <v>20190303154140723</v>
      </c>
      <c r="B2241" t="str">
        <f>"1551598900711671"</f>
        <v>1551598900711671</v>
      </c>
      <c r="C2241" t="s">
        <v>40</v>
      </c>
      <c r="D2241">
        <v>6.2642389999999999</v>
      </c>
      <c r="E2241">
        <v>0.50919060000000005</v>
      </c>
      <c r="F2241" t="s">
        <v>50</v>
      </c>
      <c r="G2241">
        <v>-225.5966</v>
      </c>
      <c r="H2241" s="1">
        <v>1.44142E-6</v>
      </c>
      <c r="I2241">
        <v>282.48599999999999</v>
      </c>
      <c r="J2241">
        <v>-212.5213</v>
      </c>
      <c r="K2241">
        <v>1.1214189999999999</v>
      </c>
      <c r="L2241">
        <v>282.32139999999998</v>
      </c>
      <c r="M2241">
        <v>-0.99911499999999998</v>
      </c>
      <c r="N2241">
        <v>-1.41195E-2</v>
      </c>
      <c r="O2241">
        <v>3.9625479999999998E-2</v>
      </c>
      <c r="P2241">
        <v>-0.99659710000000001</v>
      </c>
      <c r="Q2241">
        <v>-8.1163780000000005E-2</v>
      </c>
      <c r="R2241">
        <v>-1.438588E-2</v>
      </c>
      <c r="S2241">
        <v>-2.9902039999999999</v>
      </c>
      <c r="T2241">
        <v>-0.25280370000000002</v>
      </c>
      <c r="U2241">
        <v>3.8757319999999998E-2</v>
      </c>
      <c r="V2241">
        <v>-5.3852259999999999E-2</v>
      </c>
      <c r="W2241">
        <v>-6.7116560000000006E-2</v>
      </c>
      <c r="X2241">
        <v>0.99629069999999997</v>
      </c>
      <c r="Y2241">
        <v>-2.646774E-2</v>
      </c>
      <c r="Z2241">
        <v>-4.0883730000000002E-3</v>
      </c>
      <c r="AA2241">
        <v>0.99964129999999995</v>
      </c>
      <c r="AB2241">
        <v>18</v>
      </c>
      <c r="AC2241">
        <v>-13.0753</v>
      </c>
      <c r="AD2241">
        <v>-1.1214175585799999</v>
      </c>
      <c r="AE2241">
        <v>0.16460000000000699</v>
      </c>
      <c r="AF2241">
        <v>-0.35111359003892301</v>
      </c>
      <c r="AG2241">
        <v>-1.1214175585799999</v>
      </c>
      <c r="AH2241">
        <v>12.976116728794</v>
      </c>
      <c r="AI2241">
        <v>94.937525777367</v>
      </c>
      <c r="AJ2241">
        <v>91.5499567179167</v>
      </c>
      <c r="AK2241">
        <v>13.0292157650831</v>
      </c>
      <c r="AL2241">
        <v>93.848388857122899</v>
      </c>
      <c r="AM2241">
        <v>93.093984010817195</v>
      </c>
      <c r="AN2241">
        <v>0.99999992871991294</v>
      </c>
    </row>
    <row r="2242" spans="1:40" x14ac:dyDescent="0.25">
      <c r="A2242" t="str">
        <f>"20190303154140743"</f>
        <v>20190303154140743</v>
      </c>
      <c r="B2242" t="str">
        <f>"1551598900741924"</f>
        <v>1551598900741924</v>
      </c>
      <c r="C2242" t="s">
        <v>40</v>
      </c>
      <c r="D2242">
        <v>6.2615769999999999</v>
      </c>
      <c r="E2242">
        <v>0.50862129999999905</v>
      </c>
      <c r="F2242" t="s">
        <v>50</v>
      </c>
      <c r="G2242">
        <v>-225.51740000000001</v>
      </c>
      <c r="H2242" s="1">
        <v>1.399275E-6</v>
      </c>
      <c r="I2242">
        <v>282.45400000000001</v>
      </c>
      <c r="J2242">
        <v>-212.6891</v>
      </c>
      <c r="K2242">
        <v>1.1214280000000001</v>
      </c>
      <c r="L2242">
        <v>282.32780000000002</v>
      </c>
      <c r="M2242">
        <v>-0.99912230000000002</v>
      </c>
      <c r="N2242">
        <v>-1.4114959999999999E-2</v>
      </c>
      <c r="O2242">
        <v>3.9440919999999997E-2</v>
      </c>
      <c r="P2242">
        <v>-0.99682099999999996</v>
      </c>
      <c r="Q2242">
        <v>-7.8405020000000006E-2</v>
      </c>
      <c r="R2242">
        <v>-1.4169940000000001E-2</v>
      </c>
      <c r="S2242">
        <v>-2.9896699999999998</v>
      </c>
      <c r="T2242">
        <v>-0.25797629999999999</v>
      </c>
      <c r="U2242">
        <v>3.0517579999999999E-2</v>
      </c>
      <c r="V2242">
        <v>-5.346389E-2</v>
      </c>
      <c r="W2242">
        <v>-6.4358310000000002E-2</v>
      </c>
      <c r="X2242">
        <v>0.99649359999999998</v>
      </c>
      <c r="Y2242">
        <v>-2.9015639999999999E-2</v>
      </c>
      <c r="Z2242">
        <v>-4.2948500000000002E-3</v>
      </c>
      <c r="AA2242">
        <v>0.99956970000000001</v>
      </c>
      <c r="AB2242">
        <v>18</v>
      </c>
      <c r="AC2242">
        <v>-12.8283</v>
      </c>
      <c r="AD2242">
        <v>-1.121426600725</v>
      </c>
      <c r="AE2242">
        <v>0.12619999999998299</v>
      </c>
      <c r="AF2242">
        <v>-0.377027588295204</v>
      </c>
      <c r="AG2242">
        <v>-1.121426600725</v>
      </c>
      <c r="AH2242">
        <v>12.72605201977</v>
      </c>
      <c r="AI2242">
        <v>95.033729702792499</v>
      </c>
      <c r="AJ2242">
        <v>91.696973470241304</v>
      </c>
      <c r="AK2242">
        <v>12.7809290520307</v>
      </c>
      <c r="AL2242">
        <v>93.690010099344306</v>
      </c>
      <c r="AM2242">
        <v>93.0710895547777</v>
      </c>
      <c r="AN2242">
        <v>0.99999993722047198</v>
      </c>
    </row>
    <row r="2243" spans="1:40" x14ac:dyDescent="0.25">
      <c r="A2243" t="str">
        <f>"20190303154140767"</f>
        <v>20190303154140767</v>
      </c>
      <c r="B2243" t="str">
        <f>"1551598900761444"</f>
        <v>1551598900761444</v>
      </c>
      <c r="C2243" t="s">
        <v>40</v>
      </c>
      <c r="D2243">
        <v>6.273517</v>
      </c>
      <c r="E2243">
        <v>0.50810649999999902</v>
      </c>
      <c r="F2243" t="s">
        <v>50</v>
      </c>
      <c r="G2243">
        <v>-225.86150000000001</v>
      </c>
      <c r="H2243" s="1">
        <v>1.5823929999999999E-6</v>
      </c>
      <c r="I2243">
        <v>282.44560000000001</v>
      </c>
      <c r="J2243">
        <v>-212.8715</v>
      </c>
      <c r="K2243">
        <v>1.1214459999999999</v>
      </c>
      <c r="L2243">
        <v>282.33479999999997</v>
      </c>
      <c r="M2243">
        <v>-0.99913019999999997</v>
      </c>
      <c r="N2243">
        <v>-1.411015E-2</v>
      </c>
      <c r="O2243">
        <v>3.9241770000000002E-2</v>
      </c>
      <c r="P2243">
        <v>-0.99712869999999998</v>
      </c>
      <c r="Q2243">
        <v>-7.419626E-2</v>
      </c>
      <c r="R2243">
        <v>-1.5154010000000001E-2</v>
      </c>
      <c r="S2243">
        <v>-2.9899290000000001</v>
      </c>
      <c r="T2243">
        <v>-0.25454779999999999</v>
      </c>
      <c r="U2243">
        <v>2.6733400000000001E-2</v>
      </c>
      <c r="V2243">
        <v>-5.426168E-2</v>
      </c>
      <c r="W2243">
        <v>-6.0150519999999999E-2</v>
      </c>
      <c r="X2243">
        <v>0.99671339999999997</v>
      </c>
      <c r="Y2243">
        <v>-3.008458E-2</v>
      </c>
      <c r="Z2243">
        <v>-4.2719419999999999E-3</v>
      </c>
      <c r="AA2243">
        <v>0.99953820000000004</v>
      </c>
      <c r="AB2243">
        <v>18</v>
      </c>
      <c r="AC2243">
        <v>-12.99</v>
      </c>
      <c r="AD2243">
        <v>-1.121444417607</v>
      </c>
      <c r="AE2243">
        <v>0.11080000000004001</v>
      </c>
      <c r="AF2243">
        <v>-0.39613444606232001</v>
      </c>
      <c r="AG2243">
        <v>-1.121444417607</v>
      </c>
      <c r="AH2243">
        <v>12.888290034891501</v>
      </c>
      <c r="AI2243">
        <v>94.970597599071695</v>
      </c>
      <c r="AJ2243">
        <v>91.760488677884894</v>
      </c>
      <c r="AK2243">
        <v>12.9430514216943</v>
      </c>
      <c r="AL2243">
        <v>93.448452504113405</v>
      </c>
      <c r="AM2243">
        <v>93.116140782797501</v>
      </c>
      <c r="AN2243">
        <v>1.00000000835612</v>
      </c>
    </row>
    <row r="2244" spans="1:40" x14ac:dyDescent="0.25">
      <c r="A2244" t="str">
        <f>"20190303154140789"</f>
        <v>20190303154140789</v>
      </c>
      <c r="B2244" t="str">
        <f>"1551598900781940"</f>
        <v>1551598900781940</v>
      </c>
      <c r="C2244" t="s">
        <v>40</v>
      </c>
      <c r="D2244">
        <v>6.2648159999999997</v>
      </c>
      <c r="E2244">
        <v>0.50800900000000004</v>
      </c>
      <c r="F2244" t="s">
        <v>50</v>
      </c>
      <c r="G2244">
        <v>-226.26159999999999</v>
      </c>
      <c r="H2244" s="1">
        <v>1.795309E-6</v>
      </c>
      <c r="I2244">
        <v>282.42399999999998</v>
      </c>
      <c r="J2244">
        <v>-213.05510000000001</v>
      </c>
      <c r="K2244">
        <v>1.121459</v>
      </c>
      <c r="L2244">
        <v>282.3417</v>
      </c>
      <c r="M2244">
        <v>-0.99913819999999998</v>
      </c>
      <c r="N2244">
        <v>-1.4105309999999999E-2</v>
      </c>
      <c r="O2244">
        <v>3.9039440000000002E-2</v>
      </c>
      <c r="P2244">
        <v>-0.99743440000000005</v>
      </c>
      <c r="Q2244">
        <v>-6.9436339999999999E-2</v>
      </c>
      <c r="R2244">
        <v>-1.742668E-2</v>
      </c>
      <c r="S2244">
        <v>-2.990326</v>
      </c>
      <c r="T2244">
        <v>-0.25044620000000001</v>
      </c>
      <c r="U2244">
        <v>1.9927980000000001E-2</v>
      </c>
      <c r="V2244">
        <v>-5.6344529999999997E-2</v>
      </c>
      <c r="W2244">
        <v>-5.5392839999999999E-2</v>
      </c>
      <c r="X2244">
        <v>0.99687360000000003</v>
      </c>
      <c r="Y2244">
        <v>-3.2157489999999997E-2</v>
      </c>
      <c r="Z2244">
        <v>-4.2846840000000004E-3</v>
      </c>
      <c r="AA2244">
        <v>0.99947359999999996</v>
      </c>
      <c r="AB2244">
        <v>18</v>
      </c>
      <c r="AC2244">
        <v>-13.206499999999901</v>
      </c>
      <c r="AD2244">
        <v>-1.1214572046910001</v>
      </c>
      <c r="AE2244">
        <v>8.2300000000032E-2</v>
      </c>
      <c r="AF2244">
        <v>-0.43028573672529402</v>
      </c>
      <c r="AG2244">
        <v>-1.1214572046910001</v>
      </c>
      <c r="AH2244">
        <v>13.105147220372899</v>
      </c>
      <c r="AI2244">
        <v>94.888480167136606</v>
      </c>
      <c r="AJ2244">
        <v>91.880536169076095</v>
      </c>
      <c r="AK2244">
        <v>13.1600796253226</v>
      </c>
      <c r="AL2244">
        <v>93.175401168860404</v>
      </c>
      <c r="AM2244">
        <v>93.234986436474401</v>
      </c>
      <c r="AN2244">
        <v>1.0000000235805699</v>
      </c>
    </row>
    <row r="2245" spans="1:40" x14ac:dyDescent="0.25">
      <c r="A2245" t="str">
        <f>"20190303154140811"</f>
        <v>20190303154140811</v>
      </c>
      <c r="B2245" t="str">
        <f>"1551598900801459"</f>
        <v>1551598900801459</v>
      </c>
      <c r="C2245" t="s">
        <v>40</v>
      </c>
      <c r="D2245">
        <v>6.1855419999999999</v>
      </c>
      <c r="E2245">
        <v>0.50820889999999996</v>
      </c>
      <c r="F2245" t="s">
        <v>50</v>
      </c>
      <c r="G2245">
        <v>-227.00110000000001</v>
      </c>
      <c r="H2245" s="1">
        <v>2.1888469999999999E-6</v>
      </c>
      <c r="I2245">
        <v>282.39909999999998</v>
      </c>
      <c r="J2245">
        <v>-213.23349999999999</v>
      </c>
      <c r="K2245">
        <v>1.12147</v>
      </c>
      <c r="L2245">
        <v>282.34840000000003</v>
      </c>
      <c r="M2245">
        <v>-0.99914599999999998</v>
      </c>
      <c r="N2245">
        <v>-1.4100619999999999E-2</v>
      </c>
      <c r="O2245">
        <v>3.8839360000000003E-2</v>
      </c>
      <c r="P2245">
        <v>-0.99764140000000001</v>
      </c>
      <c r="Q2245">
        <v>-6.5740729999999997E-2</v>
      </c>
      <c r="R2245">
        <v>-1.974706E-2</v>
      </c>
      <c r="S2245">
        <v>-2.991196</v>
      </c>
      <c r="T2245">
        <v>-0.24053379999999999</v>
      </c>
      <c r="U2245">
        <v>1.229858E-2</v>
      </c>
      <c r="V2245">
        <v>-5.847318E-2</v>
      </c>
      <c r="W2245">
        <v>-5.1700709999999997E-2</v>
      </c>
      <c r="X2245">
        <v>0.99694930000000004</v>
      </c>
      <c r="Y2245">
        <v>-3.4518210000000001E-2</v>
      </c>
      <c r="Z2245">
        <v>-4.199927E-3</v>
      </c>
      <c r="AA2245">
        <v>0.99939529999999999</v>
      </c>
      <c r="AB2245">
        <v>18</v>
      </c>
      <c r="AC2245">
        <v>-13.7676</v>
      </c>
      <c r="AD2245">
        <v>-1.1214678111530001</v>
      </c>
      <c r="AE2245">
        <v>5.06999999999493E-2</v>
      </c>
      <c r="AF2245">
        <v>-0.48092517355311398</v>
      </c>
      <c r="AG2245">
        <v>-1.1214678111530001</v>
      </c>
      <c r="AH2245">
        <v>13.668486616376599</v>
      </c>
      <c r="AI2245">
        <v>94.687592525628602</v>
      </c>
      <c r="AJ2245">
        <v>92.015118503234305</v>
      </c>
      <c r="AK2245">
        <v>13.722846113546399</v>
      </c>
      <c r="AL2245">
        <v>92.963553752460399</v>
      </c>
      <c r="AM2245">
        <v>93.356672823506102</v>
      </c>
      <c r="AN2245">
        <v>0.99999999148215302</v>
      </c>
    </row>
    <row r="2246" spans="1:40" x14ac:dyDescent="0.25">
      <c r="A2246" t="str">
        <f>"20190303154140836"</f>
        <v>20190303154140836</v>
      </c>
      <c r="B2246" t="str">
        <f>"1551598900831247"</f>
        <v>1551598900831247</v>
      </c>
      <c r="C2246" t="s">
        <v>40</v>
      </c>
      <c r="D2246">
        <v>6.2379870000000004</v>
      </c>
      <c r="E2246">
        <v>0.50794170000000005</v>
      </c>
      <c r="F2246" t="s">
        <v>50</v>
      </c>
      <c r="G2246">
        <v>-227.8818</v>
      </c>
      <c r="H2246" s="1">
        <v>2.6575290000000001E-6</v>
      </c>
      <c r="I2246">
        <v>282.38299999999998</v>
      </c>
      <c r="J2246">
        <v>-213.4239</v>
      </c>
      <c r="K2246">
        <v>1.121478</v>
      </c>
      <c r="L2246">
        <v>282.35559999999998</v>
      </c>
      <c r="M2246">
        <v>-0.9991544</v>
      </c>
      <c r="N2246">
        <v>-1.4095649999999999E-2</v>
      </c>
      <c r="O2246">
        <v>3.8622400000000001E-2</v>
      </c>
      <c r="P2246">
        <v>-0.99768820000000003</v>
      </c>
      <c r="Q2246">
        <v>-6.4168069999999994E-2</v>
      </c>
      <c r="R2246">
        <v>-2.238294E-2</v>
      </c>
      <c r="S2246">
        <v>-2.9921570000000002</v>
      </c>
      <c r="T2246">
        <v>-0.22907759999999999</v>
      </c>
      <c r="U2246">
        <v>7.0495610000000002E-3</v>
      </c>
      <c r="V2246">
        <v>-6.0892830000000002E-2</v>
      </c>
      <c r="W2246">
        <v>-5.0134129999999999E-2</v>
      </c>
      <c r="X2246">
        <v>0.99688449999999995</v>
      </c>
      <c r="Y2246">
        <v>-3.6071649999999997E-2</v>
      </c>
      <c r="Z2246">
        <v>-4.041574E-3</v>
      </c>
      <c r="AA2246">
        <v>0.99934100000000003</v>
      </c>
      <c r="AB2246">
        <v>18</v>
      </c>
      <c r="AC2246">
        <v>-14.457899999999899</v>
      </c>
      <c r="AD2246">
        <v>-1.121475342471</v>
      </c>
      <c r="AE2246">
        <v>2.7400000000000001E-2</v>
      </c>
      <c r="AF2246">
        <v>-0.527898483157897</v>
      </c>
      <c r="AG2246">
        <v>-1.121475342471</v>
      </c>
      <c r="AH2246">
        <v>14.361756644613401</v>
      </c>
      <c r="AI2246">
        <v>94.462029008951006</v>
      </c>
      <c r="AJ2246">
        <v>92.105086792831997</v>
      </c>
      <c r="AK2246">
        <v>14.415146120361999</v>
      </c>
      <c r="AL2246">
        <v>92.873678609272901</v>
      </c>
      <c r="AM2246">
        <v>93.495462759175396</v>
      </c>
      <c r="AN2246">
        <v>1.00000003703825</v>
      </c>
    </row>
    <row r="2247" spans="1:40" x14ac:dyDescent="0.25">
      <c r="A2247" t="str">
        <f>"20190303154140859"</f>
        <v>20190303154140859</v>
      </c>
      <c r="B2247" t="str">
        <f>"1551598900851743"</f>
        <v>1551598900851743</v>
      </c>
      <c r="C2247" t="s">
        <v>40</v>
      </c>
      <c r="D2247">
        <v>6.2089910000000001</v>
      </c>
      <c r="E2247">
        <v>0.50836590000000004</v>
      </c>
      <c r="F2247" t="s">
        <v>50</v>
      </c>
      <c r="G2247">
        <v>-227.9042</v>
      </c>
      <c r="H2247" s="1">
        <v>2.6694269999999999E-6</v>
      </c>
      <c r="I2247">
        <v>282.34289999999999</v>
      </c>
      <c r="J2247">
        <v>-213.6035</v>
      </c>
      <c r="K2247">
        <v>1.1214820000000001</v>
      </c>
      <c r="L2247">
        <v>282.3623</v>
      </c>
      <c r="M2247">
        <v>-0.99916260000000001</v>
      </c>
      <c r="N2247">
        <v>-1.4090989999999999E-2</v>
      </c>
      <c r="O2247">
        <v>3.8415499999999998E-2</v>
      </c>
      <c r="P2247">
        <v>-0.99771730000000003</v>
      </c>
      <c r="Q2247">
        <v>-6.3154310000000005E-2</v>
      </c>
      <c r="R2247">
        <v>-2.391969E-2</v>
      </c>
      <c r="S2247">
        <v>-2.9919739999999999</v>
      </c>
      <c r="T2247">
        <v>-0.23172300000000001</v>
      </c>
      <c r="U2247">
        <v>-2.6245119999999999E-3</v>
      </c>
      <c r="V2247">
        <v>-6.222308E-2</v>
      </c>
      <c r="W2247">
        <v>-4.9125620000000002E-2</v>
      </c>
      <c r="X2247">
        <v>0.99685250000000003</v>
      </c>
      <c r="Y2247">
        <v>-3.9080509999999999E-2</v>
      </c>
      <c r="Z2247">
        <v>-4.2163870000000003E-3</v>
      </c>
      <c r="AA2247">
        <v>0.99922719999999998</v>
      </c>
      <c r="AB2247">
        <v>18</v>
      </c>
      <c r="AC2247">
        <v>-14.300700000000001</v>
      </c>
      <c r="AD2247">
        <v>-1.121479330573</v>
      </c>
      <c r="AE2247">
        <v>-1.9400000000018701E-2</v>
      </c>
      <c r="AF2247">
        <v>-0.56533198119485895</v>
      </c>
      <c r="AG2247">
        <v>-1.121479330573</v>
      </c>
      <c r="AH2247">
        <v>14.2020555003564</v>
      </c>
      <c r="AI2247">
        <v>94.511490468325505</v>
      </c>
      <c r="AJ2247">
        <v>92.279532310180699</v>
      </c>
      <c r="AK2247">
        <v>14.257478619064001</v>
      </c>
      <c r="AL2247">
        <v>92.815824128702204</v>
      </c>
      <c r="AM2247">
        <v>93.571742586417699</v>
      </c>
      <c r="AN2247">
        <v>0.99999997249065997</v>
      </c>
    </row>
    <row r="2248" spans="1:40" x14ac:dyDescent="0.25">
      <c r="A2248" t="str">
        <f>"20190303154140880"</f>
        <v>20190303154140880</v>
      </c>
      <c r="B2248" t="str">
        <f>"1551598900871264"</f>
        <v>1551598900871264</v>
      </c>
      <c r="C2248" t="s">
        <v>40</v>
      </c>
      <c r="D2248">
        <v>6.1815600000000002</v>
      </c>
      <c r="E2248">
        <v>0.50873369999999996</v>
      </c>
      <c r="F2248" t="s">
        <v>50</v>
      </c>
      <c r="G2248">
        <v>-228.303</v>
      </c>
      <c r="H2248" s="1">
        <v>2.881674E-6</v>
      </c>
      <c r="I2248">
        <v>282.34300000000002</v>
      </c>
      <c r="J2248">
        <v>-213.77350000000001</v>
      </c>
      <c r="K2248">
        <v>1.121481</v>
      </c>
      <c r="L2248">
        <v>282.36860000000001</v>
      </c>
      <c r="M2248">
        <v>-0.99917009999999995</v>
      </c>
      <c r="N2248">
        <v>-1.408655E-2</v>
      </c>
      <c r="O2248">
        <v>3.821861E-2</v>
      </c>
      <c r="P2248">
        <v>-0.99761160000000004</v>
      </c>
      <c r="Q2248">
        <v>-6.4590309999999998E-2</v>
      </c>
      <c r="R2248">
        <v>-2.4480209999999999E-2</v>
      </c>
      <c r="S2248">
        <v>-2.9923549999999999</v>
      </c>
      <c r="T2248">
        <v>-0.2282971</v>
      </c>
      <c r="U2248">
        <v>-3.9367680000000002E-3</v>
      </c>
      <c r="V2248">
        <v>-6.2583139999999995E-2</v>
      </c>
      <c r="W2248">
        <v>-5.0567599999999997E-2</v>
      </c>
      <c r="X2248">
        <v>0.99675789999999997</v>
      </c>
      <c r="Y2248">
        <v>-3.9327769999999998E-2</v>
      </c>
      <c r="Z2248">
        <v>-4.1487649999999996E-3</v>
      </c>
      <c r="AA2248">
        <v>0.99921769999999999</v>
      </c>
      <c r="AB2248">
        <v>18</v>
      </c>
      <c r="AC2248">
        <v>-14.529499999999899</v>
      </c>
      <c r="AD2248">
        <v>-1.1214781183260001</v>
      </c>
      <c r="AE2248">
        <v>-2.5599999999997101E-2</v>
      </c>
      <c r="AF2248">
        <v>-0.57749316099159997</v>
      </c>
      <c r="AG2248">
        <v>-1.1214781183260001</v>
      </c>
      <c r="AH2248">
        <v>14.4319230500186</v>
      </c>
      <c r="AI2248">
        <v>94.4398808230589</v>
      </c>
      <c r="AJ2248">
        <v>92.291467155196003</v>
      </c>
      <c r="AK2248">
        <v>14.486946346367599</v>
      </c>
      <c r="AL2248">
        <v>92.898546197688901</v>
      </c>
      <c r="AM2248">
        <v>93.592696908882701</v>
      </c>
      <c r="AN2248">
        <v>1.00000002139721</v>
      </c>
    </row>
    <row r="2249" spans="1:40" x14ac:dyDescent="0.25">
      <c r="A2249" t="str">
        <f>"20190303154140901"</f>
        <v>20190303154140901</v>
      </c>
      <c r="B2249" t="str">
        <f>"1551598900891763"</f>
        <v>1551598900891763</v>
      </c>
      <c r="C2249" t="s">
        <v>40</v>
      </c>
      <c r="D2249">
        <v>6.216119</v>
      </c>
      <c r="E2249">
        <v>0.50899050000000001</v>
      </c>
      <c r="F2249" t="s">
        <v>50</v>
      </c>
      <c r="G2249">
        <v>-228.20930000000001</v>
      </c>
      <c r="H2249" s="1">
        <v>2.8317739999999999E-6</v>
      </c>
      <c r="I2249">
        <v>282.35550000000001</v>
      </c>
      <c r="J2249">
        <v>-213.9451</v>
      </c>
      <c r="K2249">
        <v>1.121469</v>
      </c>
      <c r="L2249">
        <v>282.37490000000003</v>
      </c>
      <c r="M2249">
        <v>-0.9991778</v>
      </c>
      <c r="N2249">
        <v>-1.407979E-2</v>
      </c>
      <c r="O2249">
        <v>3.8019289999999997E-2</v>
      </c>
      <c r="P2249">
        <v>-0.99755780000000005</v>
      </c>
      <c r="Q2249">
        <v>-6.5545839999999994E-2</v>
      </c>
      <c r="R2249">
        <v>-2.412601E-2</v>
      </c>
      <c r="S2249">
        <v>-2.9920650000000002</v>
      </c>
      <c r="T2249">
        <v>-0.2324464</v>
      </c>
      <c r="U2249">
        <v>-2.7160639999999998E-3</v>
      </c>
      <c r="V2249">
        <v>-6.2028270000000003E-2</v>
      </c>
      <c r="W2249">
        <v>-5.1530069999999997E-2</v>
      </c>
      <c r="X2249">
        <v>0.9967433</v>
      </c>
      <c r="Y2249">
        <v>-3.871554E-2</v>
      </c>
      <c r="Z2249">
        <v>-4.1885459999999996E-3</v>
      </c>
      <c r="AA2249">
        <v>0.9992415</v>
      </c>
      <c r="AB2249">
        <v>18</v>
      </c>
      <c r="AC2249">
        <v>-14.264200000000001</v>
      </c>
      <c r="AD2249">
        <v>-1.1214661682260001</v>
      </c>
      <c r="AE2249">
        <v>-1.9400000000018701E-2</v>
      </c>
      <c r="AF2249">
        <v>-0.55830347797388402</v>
      </c>
      <c r="AG2249">
        <v>-1.1214661682260001</v>
      </c>
      <c r="AH2249">
        <v>14.165586256719401</v>
      </c>
      <c r="AI2249">
        <v>94.523074412144297</v>
      </c>
      <c r="AJ2249">
        <v>92.257011086807097</v>
      </c>
      <c r="AK2249">
        <v>14.2208727979878</v>
      </c>
      <c r="AL2249">
        <v>92.953763636247103</v>
      </c>
      <c r="AM2249">
        <v>93.560977957122802</v>
      </c>
      <c r="AN2249">
        <v>1.0000000302441401</v>
      </c>
    </row>
    <row r="2250" spans="1:40" x14ac:dyDescent="0.25">
      <c r="A2250" t="str">
        <f>"20190303154140922"</f>
        <v>20190303154140922</v>
      </c>
      <c r="B2250" t="str">
        <f>"1551598900911282"</f>
        <v>1551598900911282</v>
      </c>
      <c r="C2250" t="s">
        <v>40</v>
      </c>
      <c r="D2250">
        <v>6.1764060000000001</v>
      </c>
      <c r="E2250">
        <v>0.509212</v>
      </c>
      <c r="F2250" t="s">
        <v>50</v>
      </c>
      <c r="G2250">
        <v>-228.14150000000001</v>
      </c>
      <c r="H2250" s="1">
        <v>2.7957030000000001E-6</v>
      </c>
      <c r="I2250">
        <v>282.37520000000001</v>
      </c>
      <c r="J2250">
        <v>-214.1224</v>
      </c>
      <c r="K2250">
        <v>1.1214599999999999</v>
      </c>
      <c r="L2250">
        <v>282.38139999999999</v>
      </c>
      <c r="M2250">
        <v>-0.99918620000000002</v>
      </c>
      <c r="N2250">
        <v>-1.405293E-2</v>
      </c>
      <c r="O2250">
        <v>3.7809969999999998E-2</v>
      </c>
      <c r="P2250">
        <v>-0.99751999999999996</v>
      </c>
      <c r="Q2250">
        <v>-6.6612770000000002E-2</v>
      </c>
      <c r="R2250">
        <v>-2.2730940000000002E-2</v>
      </c>
      <c r="S2250">
        <v>-2.9918369999999999</v>
      </c>
      <c r="T2250">
        <v>-0.2363451</v>
      </c>
      <c r="U2250" s="1">
        <v>6.1035159999999999E-5</v>
      </c>
      <c r="V2250">
        <v>-6.0423499999999998E-2</v>
      </c>
      <c r="W2250">
        <v>-5.2623099999999999E-2</v>
      </c>
      <c r="X2250">
        <v>0.99678469999999997</v>
      </c>
      <c r="Y2250">
        <v>-3.7575799999999999E-2</v>
      </c>
      <c r="Z2250">
        <v>-4.1972930000000004E-3</v>
      </c>
      <c r="AA2250">
        <v>0.99928499999999998</v>
      </c>
      <c r="AB2250">
        <v>18</v>
      </c>
      <c r="AC2250">
        <v>-14.0191</v>
      </c>
      <c r="AD2250">
        <v>-1.1214572042969999</v>
      </c>
      <c r="AE2250">
        <v>-6.1999999999784398E-3</v>
      </c>
      <c r="AF2250">
        <v>-0.53289950062179303</v>
      </c>
      <c r="AG2250">
        <v>-1.1214572042969999</v>
      </c>
      <c r="AH2250">
        <v>13.9197639570669</v>
      </c>
      <c r="AI2250">
        <v>94.602775506970104</v>
      </c>
      <c r="AJ2250">
        <v>92.1924214203638</v>
      </c>
      <c r="AK2250">
        <v>13.97503047436</v>
      </c>
      <c r="AL2250">
        <v>93.016474936212703</v>
      </c>
      <c r="AM2250">
        <v>93.468934029409894</v>
      </c>
      <c r="AN2250">
        <v>0.99999996407997405</v>
      </c>
    </row>
    <row r="2251" spans="1:40" x14ac:dyDescent="0.25">
      <c r="A2251" t="str">
        <f>"20190303154140945"</f>
        <v>20190303154140945</v>
      </c>
      <c r="B2251" t="str">
        <f>"1551598900941536"</f>
        <v>1551598900941536</v>
      </c>
      <c r="C2251" t="s">
        <v>40</v>
      </c>
      <c r="D2251">
        <v>6.203163</v>
      </c>
      <c r="E2251">
        <v>0.50953970000000004</v>
      </c>
      <c r="F2251" t="s">
        <v>50</v>
      </c>
      <c r="G2251">
        <v>-228.1019</v>
      </c>
      <c r="H2251" s="1">
        <v>2.7746329999999999E-6</v>
      </c>
      <c r="I2251">
        <v>282.41129999999998</v>
      </c>
      <c r="J2251">
        <v>-214.2988</v>
      </c>
      <c r="K2251">
        <v>1.121442</v>
      </c>
      <c r="L2251">
        <v>282.3879</v>
      </c>
      <c r="M2251">
        <v>-0.99919550000000001</v>
      </c>
      <c r="N2251">
        <v>-1.397459E-2</v>
      </c>
      <c r="O2251">
        <v>3.7594000000000002E-2</v>
      </c>
      <c r="P2251">
        <v>-0.99767640000000002</v>
      </c>
      <c r="Q2251">
        <v>-6.456402E-2</v>
      </c>
      <c r="R2251">
        <v>-2.1760680000000001E-2</v>
      </c>
      <c r="S2251">
        <v>-2.9915620000000001</v>
      </c>
      <c r="T2251">
        <v>-0.2399887</v>
      </c>
      <c r="U2251">
        <v>6.3781740000000003E-3</v>
      </c>
      <c r="V2251">
        <v>-5.9244579999999998E-2</v>
      </c>
      <c r="W2251">
        <v>-5.065012E-2</v>
      </c>
      <c r="X2251">
        <v>0.99695769999999995</v>
      </c>
      <c r="Y2251">
        <v>-3.5251709999999999E-2</v>
      </c>
      <c r="Z2251">
        <v>-4.1441689999999996E-3</v>
      </c>
      <c r="AA2251">
        <v>0.99936990000000003</v>
      </c>
      <c r="AB2251">
        <v>18</v>
      </c>
      <c r="AC2251">
        <v>-13.803100000000001</v>
      </c>
      <c r="AD2251">
        <v>-1.121439225367</v>
      </c>
      <c r="AE2251">
        <v>2.3399999999980901E-2</v>
      </c>
      <c r="AF2251">
        <v>-0.49233111689602699</v>
      </c>
      <c r="AG2251">
        <v>-1.121439225367</v>
      </c>
      <c r="AH2251">
        <v>13.703764519846199</v>
      </c>
      <c r="AI2251">
        <v>94.6753374685144</v>
      </c>
      <c r="AJ2251">
        <v>92.057563669500297</v>
      </c>
      <c r="AK2251">
        <v>13.758385729447101</v>
      </c>
      <c r="AL2251">
        <v>92.903280358755296</v>
      </c>
      <c r="AM2251">
        <v>93.4008234547114</v>
      </c>
      <c r="AN2251">
        <v>1.0000000052523399</v>
      </c>
    </row>
    <row r="2252" spans="1:40" x14ac:dyDescent="0.25">
      <c r="A2252" t="str">
        <f>"20190303154140978"</f>
        <v>20190303154140978</v>
      </c>
      <c r="B2252" t="str">
        <f>"1551598900971792"</f>
        <v>1551598900971792</v>
      </c>
      <c r="C2252" t="s">
        <v>40</v>
      </c>
      <c r="D2252">
        <v>6.213832</v>
      </c>
      <c r="E2252">
        <v>0.50986560000000003</v>
      </c>
      <c r="F2252" t="s">
        <v>50</v>
      </c>
      <c r="G2252">
        <v>-228.54990000000001</v>
      </c>
      <c r="H2252" s="1">
        <v>3.0130300000000002E-6</v>
      </c>
      <c r="I2252">
        <v>282.44409999999999</v>
      </c>
      <c r="J2252">
        <v>-214.5635</v>
      </c>
      <c r="K2252">
        <v>1.1214090000000001</v>
      </c>
      <c r="L2252">
        <v>282.39749999999998</v>
      </c>
      <c r="M2252">
        <v>-0.99921139999999997</v>
      </c>
      <c r="N2252">
        <v>-1.3736760000000001E-2</v>
      </c>
      <c r="O2252">
        <v>3.7258279999999998E-2</v>
      </c>
      <c r="P2252">
        <v>-0.99786459999999999</v>
      </c>
      <c r="Q2252">
        <v>-6.2349620000000001E-2</v>
      </c>
      <c r="R2252">
        <v>-1.9465860000000001E-2</v>
      </c>
      <c r="S2252">
        <v>-2.9919889999999998</v>
      </c>
      <c r="T2252">
        <v>-0.23544370000000001</v>
      </c>
      <c r="U2252">
        <v>1.1810299999999999E-2</v>
      </c>
      <c r="V2252">
        <v>-5.6622489999999998E-2</v>
      </c>
      <c r="W2252">
        <v>-4.8670339999999999E-2</v>
      </c>
      <c r="X2252">
        <v>0.99720869999999995</v>
      </c>
      <c r="Y2252">
        <v>-3.311824E-2</v>
      </c>
      <c r="Z2252">
        <v>-3.9444659999999998E-3</v>
      </c>
      <c r="AA2252">
        <v>0.99944370000000005</v>
      </c>
      <c r="AB2252">
        <v>18</v>
      </c>
      <c r="AC2252">
        <v>-13.9864</v>
      </c>
      <c r="AD2252">
        <v>-1.1214059869699999</v>
      </c>
      <c r="AE2252">
        <v>4.6600000000012097E-2</v>
      </c>
      <c r="AF2252">
        <v>-0.47155925005778698</v>
      </c>
      <c r="AG2252">
        <v>-1.1214059869699999</v>
      </c>
      <c r="AH2252">
        <v>13.889137189657999</v>
      </c>
      <c r="AI2252">
        <v>94.613389222644301</v>
      </c>
      <c r="AJ2252">
        <v>91.944539832468905</v>
      </c>
      <c r="AK2252">
        <v>13.9423115510688</v>
      </c>
      <c r="AL2252">
        <v>92.789707047682299</v>
      </c>
      <c r="AM2252">
        <v>93.249821105196702</v>
      </c>
      <c r="AN2252">
        <v>1.0000000498626</v>
      </c>
    </row>
    <row r="2253" spans="1:40" x14ac:dyDescent="0.25">
      <c r="A2253" t="str">
        <f>"20190303154141002"</f>
        <v>20190303154141002</v>
      </c>
      <c r="B2253" t="str">
        <f>"1551598900991311"</f>
        <v>1551598900991311</v>
      </c>
      <c r="C2253" t="s">
        <v>40</v>
      </c>
      <c r="D2253">
        <v>6.3511569999999997</v>
      </c>
      <c r="E2253">
        <v>0.50962829999999903</v>
      </c>
      <c r="F2253" t="s">
        <v>50</v>
      </c>
      <c r="G2253">
        <v>-229.1507</v>
      </c>
      <c r="H2253" s="1">
        <v>3.3327829999999998E-6</v>
      </c>
      <c r="I2253">
        <v>282.50040000000001</v>
      </c>
      <c r="J2253">
        <v>-214.7473</v>
      </c>
      <c r="K2253">
        <v>1.1213580000000001</v>
      </c>
      <c r="L2253">
        <v>282.40410000000003</v>
      </c>
      <c r="M2253">
        <v>-0.99922359999999999</v>
      </c>
      <c r="N2253">
        <v>-1.350735E-2</v>
      </c>
      <c r="O2253">
        <v>3.7014230000000002E-2</v>
      </c>
      <c r="P2253">
        <v>-0.99777850000000001</v>
      </c>
      <c r="Q2253">
        <v>-6.416521E-2</v>
      </c>
      <c r="R2253">
        <v>-1.7927329999999998E-2</v>
      </c>
      <c r="S2253">
        <v>-2.9924620000000002</v>
      </c>
      <c r="T2253">
        <v>-0.23004839999999999</v>
      </c>
      <c r="U2253">
        <v>2.111816E-2</v>
      </c>
      <c r="V2253">
        <v>-5.4836999999999997E-2</v>
      </c>
      <c r="W2253">
        <v>-5.0714919999999997E-2</v>
      </c>
      <c r="X2253">
        <v>0.99720660000000005</v>
      </c>
      <c r="Y2253">
        <v>-2.9787049999999999E-2</v>
      </c>
      <c r="Z2253">
        <v>-3.6860069999999998E-3</v>
      </c>
      <c r="AA2253">
        <v>0.99954940000000003</v>
      </c>
      <c r="AB2253">
        <v>18</v>
      </c>
      <c r="AC2253">
        <v>-14.4034</v>
      </c>
      <c r="AD2253">
        <v>-1.1213546672170001</v>
      </c>
      <c r="AE2253">
        <v>9.6299999999985106E-2</v>
      </c>
      <c r="AF2253">
        <v>-0.434312998886974</v>
      </c>
      <c r="AG2253">
        <v>-1.1213546672170001</v>
      </c>
      <c r="AH2253">
        <v>14.3103593620356</v>
      </c>
      <c r="AI2253">
        <v>94.4784676997605</v>
      </c>
      <c r="AJ2253">
        <v>91.738367649818898</v>
      </c>
      <c r="AK2253">
        <v>14.3607955608765</v>
      </c>
      <c r="AL2253">
        <v>92.906997768767297</v>
      </c>
      <c r="AM2253">
        <v>93.147559758587406</v>
      </c>
      <c r="AN2253">
        <v>1.0000000513815801</v>
      </c>
    </row>
    <row r="2254" spans="1:40" x14ac:dyDescent="0.25">
      <c r="A2254" t="str">
        <f>"20190303154141023"</f>
        <v>20190303154141023</v>
      </c>
      <c r="B2254" t="str">
        <f>"1551598901011811"</f>
        <v>1551598901011811</v>
      </c>
      <c r="C2254" t="s">
        <v>40</v>
      </c>
      <c r="D2254">
        <v>6.1891629999999997</v>
      </c>
      <c r="E2254">
        <v>0.50973930000000001</v>
      </c>
      <c r="F2254" t="s">
        <v>50</v>
      </c>
      <c r="G2254">
        <v>-228.73750000000001</v>
      </c>
      <c r="H2254" s="1">
        <v>3.1128530000000001E-6</v>
      </c>
      <c r="I2254">
        <v>282.51710000000003</v>
      </c>
      <c r="J2254">
        <v>-214.91720000000001</v>
      </c>
      <c r="K2254">
        <v>1.1213029999999999</v>
      </c>
      <c r="L2254">
        <v>282.41000000000003</v>
      </c>
      <c r="M2254">
        <v>-0.99923519999999999</v>
      </c>
      <c r="N2254">
        <v>-1.328173E-2</v>
      </c>
      <c r="O2254">
        <v>3.678004E-2</v>
      </c>
      <c r="P2254">
        <v>-0.99765289999999995</v>
      </c>
      <c r="Q2254">
        <v>-6.6336649999999997E-2</v>
      </c>
      <c r="R2254">
        <v>-1.6979520000000001E-2</v>
      </c>
      <c r="S2254">
        <v>-2.9916839999999998</v>
      </c>
      <c r="T2254">
        <v>-0.23979310000000001</v>
      </c>
      <c r="U2254">
        <v>2.4169920000000001E-2</v>
      </c>
      <c r="V2254">
        <v>-5.3651009999999999E-2</v>
      </c>
      <c r="W2254">
        <v>-5.3111940000000003E-2</v>
      </c>
      <c r="X2254">
        <v>0.99714619999999998</v>
      </c>
      <c r="Y2254">
        <v>-2.8520070000000002E-2</v>
      </c>
      <c r="Z2254">
        <v>-3.7856000000000001E-3</v>
      </c>
      <c r="AA2254">
        <v>0.99958599999999997</v>
      </c>
      <c r="AB2254">
        <v>18</v>
      </c>
      <c r="AC2254">
        <v>-13.8203</v>
      </c>
      <c r="AD2254">
        <v>-1.1212998871469999</v>
      </c>
      <c r="AE2254">
        <v>0.107100000000002</v>
      </c>
      <c r="AF2254">
        <v>-0.39870404523901198</v>
      </c>
      <c r="AG2254">
        <v>-1.1212998871469999</v>
      </c>
      <c r="AH2254">
        <v>13.724546728558</v>
      </c>
      <c r="AI2254">
        <v>94.668748914212898</v>
      </c>
      <c r="AJ2254">
        <v>91.663999294520494</v>
      </c>
      <c r="AK2254">
        <v>13.7760466483304</v>
      </c>
      <c r="AL2254">
        <v>93.044522744271404</v>
      </c>
      <c r="AM2254">
        <v>93.079804411229702</v>
      </c>
      <c r="AN2254">
        <v>0.99999992660950898</v>
      </c>
    </row>
    <row r="2255" spans="1:40" x14ac:dyDescent="0.25">
      <c r="A2255" t="str">
        <f>"20190303154141047"</f>
        <v>20190303154141047</v>
      </c>
      <c r="B2255" t="str">
        <f>"1551598901042063"</f>
        <v>1551598901042063</v>
      </c>
      <c r="C2255" t="s">
        <v>40</v>
      </c>
      <c r="D2255">
        <v>6.224863</v>
      </c>
      <c r="E2255">
        <v>0.50982090000000002</v>
      </c>
      <c r="F2255" t="s">
        <v>50</v>
      </c>
      <c r="G2255">
        <v>-228.50110000000001</v>
      </c>
      <c r="H2255" s="1">
        <v>2.9870599999999902E-6</v>
      </c>
      <c r="I2255">
        <v>282.53629999999998</v>
      </c>
      <c r="J2255">
        <v>-215.10480000000001</v>
      </c>
      <c r="K2255">
        <v>1.1212660000000001</v>
      </c>
      <c r="L2255">
        <v>282.41669999999999</v>
      </c>
      <c r="M2255">
        <v>-0.99924840000000004</v>
      </c>
      <c r="N2255">
        <v>-1.302379E-2</v>
      </c>
      <c r="O2255">
        <v>3.6514480000000002E-2</v>
      </c>
      <c r="P2255">
        <v>-0.99758570000000002</v>
      </c>
      <c r="Q2255">
        <v>-6.7314540000000006E-2</v>
      </c>
      <c r="R2255">
        <v>-1.7086569999999999E-2</v>
      </c>
      <c r="S2255">
        <v>-2.9911189999999999</v>
      </c>
      <c r="T2255">
        <v>-0.24690690000000001</v>
      </c>
      <c r="U2255">
        <v>2.7801510000000001E-2</v>
      </c>
      <c r="V2255">
        <v>-5.3490070000000001E-2</v>
      </c>
      <c r="W2255">
        <v>-5.434742E-2</v>
      </c>
      <c r="X2255">
        <v>0.99708839999999999</v>
      </c>
      <c r="Y2255">
        <v>-2.7033399999999999E-2</v>
      </c>
      <c r="Z2255">
        <v>-3.8235869999999998E-3</v>
      </c>
      <c r="AA2255">
        <v>0.99962720000000005</v>
      </c>
      <c r="AB2255">
        <v>18</v>
      </c>
      <c r="AC2255">
        <v>-13.396299999999901</v>
      </c>
      <c r="AD2255">
        <v>-1.1212630129400001</v>
      </c>
      <c r="AE2255">
        <v>0.11959999999999101</v>
      </c>
      <c r="AF2255">
        <v>-0.36710850971097703</v>
      </c>
      <c r="AG2255">
        <v>-1.1212630129400001</v>
      </c>
      <c r="AH2255">
        <v>13.298575259441201</v>
      </c>
      <c r="AI2255">
        <v>94.817640756272993</v>
      </c>
      <c r="AJ2255">
        <v>91.581254186436695</v>
      </c>
      <c r="AK2255">
        <v>13.3508090890818</v>
      </c>
      <c r="AL2255">
        <v>93.115412547556502</v>
      </c>
      <c r="AM2255">
        <v>93.070761109122003</v>
      </c>
      <c r="AN2255">
        <v>1.0000000535319</v>
      </c>
    </row>
    <row r="2256" spans="1:40" x14ac:dyDescent="0.25">
      <c r="A2256" t="str">
        <f>"20190303154141069"</f>
        <v>20190303154141069</v>
      </c>
      <c r="B2256" t="str">
        <f>"1551598901061583"</f>
        <v>1551598901061583</v>
      </c>
      <c r="C2256" t="s">
        <v>40</v>
      </c>
      <c r="D2256">
        <v>6.2366529999999996</v>
      </c>
      <c r="E2256">
        <v>0.50989689999999999</v>
      </c>
      <c r="F2256" t="s">
        <v>50</v>
      </c>
      <c r="G2256">
        <v>-228.50030000000001</v>
      </c>
      <c r="H2256" s="1">
        <v>2.9866279999999998E-6</v>
      </c>
      <c r="I2256">
        <v>282.54270000000002</v>
      </c>
      <c r="J2256">
        <v>-215.27879999999999</v>
      </c>
      <c r="K2256">
        <v>1.121232</v>
      </c>
      <c r="L2256">
        <v>282.4228</v>
      </c>
      <c r="M2256">
        <v>-0.9992605</v>
      </c>
      <c r="N2256">
        <v>-1.2773100000000001E-2</v>
      </c>
      <c r="O2256">
        <v>3.6266550000000002E-2</v>
      </c>
      <c r="P2256">
        <v>-0.99766290000000002</v>
      </c>
      <c r="Q2256">
        <v>-6.61775E-2</v>
      </c>
      <c r="R2256">
        <v>-1.7009779999999999E-2</v>
      </c>
      <c r="S2256">
        <v>-2.9908450000000002</v>
      </c>
      <c r="T2256">
        <v>-0.25034770000000001</v>
      </c>
      <c r="U2256">
        <v>2.8137209999999999E-2</v>
      </c>
      <c r="V2256">
        <v>-5.3169309999999997E-2</v>
      </c>
      <c r="W2256">
        <v>-5.345896E-2</v>
      </c>
      <c r="X2256">
        <v>0.99715350000000003</v>
      </c>
      <c r="Y2256">
        <v>-2.66682E-2</v>
      </c>
      <c r="Z2256">
        <v>-3.8518559999999999E-3</v>
      </c>
      <c r="AA2256">
        <v>0.99963690000000005</v>
      </c>
      <c r="AB2256">
        <v>18</v>
      </c>
      <c r="AC2256">
        <v>-13.221500000000001</v>
      </c>
      <c r="AD2256">
        <v>-1.121229013372</v>
      </c>
      <c r="AE2256">
        <v>0.119900000000029</v>
      </c>
      <c r="AF2256">
        <v>-0.35714794536359201</v>
      </c>
      <c r="AG2256">
        <v>-1.121229013372</v>
      </c>
      <c r="AH2256">
        <v>13.1227831506028</v>
      </c>
      <c r="AI2256">
        <v>94.881772242169902</v>
      </c>
      <c r="AJ2256">
        <v>91.558969586294694</v>
      </c>
      <c r="AK2256">
        <v>13.175437251683499</v>
      </c>
      <c r="AL2256">
        <v>93.064433683694702</v>
      </c>
      <c r="AM2256">
        <v>93.052182925766601</v>
      </c>
      <c r="AN2256">
        <v>0.99999996924620305</v>
      </c>
    </row>
    <row r="2257" spans="1:40" x14ac:dyDescent="0.25">
      <c r="A2257" t="str">
        <f>"20190303154141090"</f>
        <v>20190303154141090</v>
      </c>
      <c r="B2257" t="str">
        <f>"1551598901082079"</f>
        <v>1551598901082079</v>
      </c>
      <c r="C2257" t="s">
        <v>40</v>
      </c>
      <c r="D2257">
        <v>6.1892630000000004</v>
      </c>
      <c r="E2257">
        <v>0.53262980000000004</v>
      </c>
      <c r="F2257" t="s">
        <v>50</v>
      </c>
      <c r="G2257">
        <v>-228.83160000000001</v>
      </c>
      <c r="H2257" s="1">
        <v>3.1629229999999998E-6</v>
      </c>
      <c r="I2257">
        <v>282.55369999999999</v>
      </c>
      <c r="J2257">
        <v>-215.4563</v>
      </c>
      <c r="K2257">
        <v>1.1212</v>
      </c>
      <c r="L2257">
        <v>282.42899999999997</v>
      </c>
      <c r="M2257">
        <v>-0.99927299999999997</v>
      </c>
      <c r="N2257">
        <v>-1.250625E-2</v>
      </c>
      <c r="O2257">
        <v>3.6014909999999997E-2</v>
      </c>
      <c r="P2257">
        <v>-0.99778279999999997</v>
      </c>
      <c r="Q2257">
        <v>-6.4275799999999994E-2</v>
      </c>
      <c r="R2257">
        <v>-1.7267350000000001E-2</v>
      </c>
      <c r="S2257">
        <v>-2.991104</v>
      </c>
      <c r="T2257">
        <v>-0.2474557</v>
      </c>
      <c r="U2257">
        <v>2.8900149999999999E-2</v>
      </c>
      <c r="V2257">
        <v>-5.3181039999999999E-2</v>
      </c>
      <c r="W2257">
        <v>-5.1821859999999997E-2</v>
      </c>
      <c r="X2257">
        <v>0.9972394</v>
      </c>
      <c r="Y2257">
        <v>-2.6169209999999998E-2</v>
      </c>
      <c r="Z2257">
        <v>-3.7685090000000002E-3</v>
      </c>
      <c r="AA2257">
        <v>0.99965040000000005</v>
      </c>
      <c r="AB2257">
        <v>18</v>
      </c>
      <c r="AC2257">
        <v>-13.375299999999999</v>
      </c>
      <c r="AD2257">
        <v>-1.121196837077</v>
      </c>
      <c r="AE2257">
        <v>0.12469999999996099</v>
      </c>
      <c r="AF2257">
        <v>-0.354637068938222</v>
      </c>
      <c r="AG2257">
        <v>-1.121196837077</v>
      </c>
      <c r="AH2257">
        <v>13.2778205817465</v>
      </c>
      <c r="AI2257">
        <v>94.8249690739475</v>
      </c>
      <c r="AJ2257">
        <v>91.529948198098495</v>
      </c>
      <c r="AK2257">
        <v>13.3297925414909</v>
      </c>
      <c r="AL2257">
        <v>92.970504206745701</v>
      </c>
      <c r="AM2257">
        <v>93.052592543710901</v>
      </c>
      <c r="AN2257">
        <v>1.0000000745508399</v>
      </c>
    </row>
    <row r="2258" spans="1:40" x14ac:dyDescent="0.25">
      <c r="A2258" t="str">
        <f>"20190303154141114"</f>
        <v>20190303154141114</v>
      </c>
      <c r="B2258" t="str">
        <f>"1551598901101603"</f>
        <v>1551598901101603</v>
      </c>
      <c r="C2258" t="s">
        <v>40</v>
      </c>
      <c r="D2258">
        <v>6.1891160000000003</v>
      </c>
      <c r="E2258">
        <v>0.53449590000000002</v>
      </c>
      <c r="F2258" t="s">
        <v>50</v>
      </c>
      <c r="G2258">
        <v>-237.09979999999999</v>
      </c>
      <c r="H2258" s="1">
        <v>2.2714859999999998E-6</v>
      </c>
      <c r="I2258">
        <v>283.9273</v>
      </c>
      <c r="J2258">
        <v>-215.637</v>
      </c>
      <c r="K2258">
        <v>1.121173</v>
      </c>
      <c r="L2258">
        <v>282.43520000000001</v>
      </c>
      <c r="M2258">
        <v>-0.99928570000000005</v>
      </c>
      <c r="N2258">
        <v>-1.222493E-2</v>
      </c>
      <c r="O2258">
        <v>3.5761540000000001E-2</v>
      </c>
      <c r="P2258">
        <v>-0.99791479999999999</v>
      </c>
      <c r="Q2258">
        <v>-6.221865E-2</v>
      </c>
      <c r="R2258">
        <v>-1.718037E-2</v>
      </c>
      <c r="S2258">
        <v>-3.0002439999999999</v>
      </c>
      <c r="T2258">
        <v>-0.15542159999999999</v>
      </c>
      <c r="U2258">
        <v>0.20770259999999999</v>
      </c>
      <c r="V2258">
        <v>-5.2846320000000002E-2</v>
      </c>
      <c r="W2258">
        <v>-5.0043530000000003E-2</v>
      </c>
      <c r="X2258">
        <v>0.99734800000000001</v>
      </c>
      <c r="Y2258">
        <v>3.3313120000000002E-2</v>
      </c>
      <c r="Z2258">
        <v>-3.4628199999999903E-4</v>
      </c>
      <c r="AA2258">
        <v>0.99944489999999997</v>
      </c>
      <c r="AB2258">
        <v>18</v>
      </c>
      <c r="AC2258">
        <v>-21.462799999999898</v>
      </c>
      <c r="AD2258">
        <v>-1.121170728514</v>
      </c>
      <c r="AE2258">
        <v>1.49209999999999</v>
      </c>
      <c r="AF2258">
        <v>0.72158580334287303</v>
      </c>
      <c r="AG2258">
        <v>-1.121170728514</v>
      </c>
      <c r="AH2258">
        <v>21.444197737358</v>
      </c>
      <c r="AI2258">
        <v>92.991190284188406</v>
      </c>
      <c r="AJ2258">
        <v>88.072754791956896</v>
      </c>
      <c r="AK2258">
        <v>21.485607426204499</v>
      </c>
      <c r="AL2258">
        <v>92.868481019612304</v>
      </c>
      <c r="AM2258">
        <v>93.033085917615495</v>
      </c>
      <c r="AN2258">
        <v>1.00000006076819</v>
      </c>
    </row>
    <row r="2259" spans="1:40" x14ac:dyDescent="0.25">
      <c r="A2259" t="str">
        <f>"20190303154141135"</f>
        <v>20190303154141135</v>
      </c>
      <c r="B2259" t="str">
        <f>"1551598901131856"</f>
        <v>1551598901131856</v>
      </c>
      <c r="C2259" t="s">
        <v>40</v>
      </c>
      <c r="D2259">
        <v>6.2860120000000004</v>
      </c>
      <c r="E2259">
        <v>0.53583760000000002</v>
      </c>
      <c r="F2259" t="s">
        <v>50</v>
      </c>
      <c r="G2259">
        <v>-238.001</v>
      </c>
      <c r="H2259" s="1">
        <v>2.743657E-6</v>
      </c>
      <c r="I2259">
        <v>284.09710000000001</v>
      </c>
      <c r="J2259">
        <v>-215.81010000000001</v>
      </c>
      <c r="K2259">
        <v>1.1211390000000001</v>
      </c>
      <c r="L2259">
        <v>282.44110000000001</v>
      </c>
      <c r="M2259">
        <v>-0.99929760000000001</v>
      </c>
      <c r="N2259">
        <v>-1.1944339999999999E-2</v>
      </c>
      <c r="O2259">
        <v>3.5521810000000001E-2</v>
      </c>
      <c r="P2259">
        <v>-0.99797760000000002</v>
      </c>
      <c r="Q2259">
        <v>-6.131081E-2</v>
      </c>
      <c r="R2259">
        <v>-1.6784919999999998E-2</v>
      </c>
      <c r="S2259">
        <v>-3.0007480000000002</v>
      </c>
      <c r="T2259">
        <v>-0.15043589999999901</v>
      </c>
      <c r="U2259">
        <v>0.22299189999999999</v>
      </c>
      <c r="V2259">
        <v>-5.2214009999999998E-2</v>
      </c>
      <c r="W2259">
        <v>-4.9414449999999999E-2</v>
      </c>
      <c r="X2259">
        <v>0.99741259999999998</v>
      </c>
      <c r="Y2259">
        <v>3.8600330000000002E-2</v>
      </c>
      <c r="Z2259">
        <v>-1.559919E-4</v>
      </c>
      <c r="AA2259">
        <v>0.99925469999999905</v>
      </c>
      <c r="AB2259">
        <v>18</v>
      </c>
      <c r="AC2259">
        <v>-22.1908999999999</v>
      </c>
      <c r="AD2259">
        <v>-1.1211362563429901</v>
      </c>
      <c r="AE2259">
        <v>1.6559999999999999</v>
      </c>
      <c r="AF2259">
        <v>0.86444336742276096</v>
      </c>
      <c r="AG2259">
        <v>-1.1211362563429901</v>
      </c>
      <c r="AH2259">
        <v>22.1794220610218</v>
      </c>
      <c r="AI2259">
        <v>92.891560408486896</v>
      </c>
      <c r="AJ2259">
        <v>87.768025683538198</v>
      </c>
      <c r="AK2259">
        <v>22.224557853908099</v>
      </c>
      <c r="AL2259">
        <v>92.832392934978799</v>
      </c>
      <c r="AM2259">
        <v>92.996667635767693</v>
      </c>
      <c r="AN2259">
        <v>0.99999999267392103</v>
      </c>
    </row>
    <row r="2260" spans="1:40" x14ac:dyDescent="0.25">
      <c r="A2260" t="str">
        <f>"20190303154141158"</f>
        <v>20190303154141158</v>
      </c>
      <c r="B2260" t="str">
        <f>"1551598901151376"</f>
        <v>1551598901151376</v>
      </c>
      <c r="C2260" t="s">
        <v>40</v>
      </c>
      <c r="D2260">
        <v>6.1756659999999997</v>
      </c>
      <c r="E2260">
        <v>0.53577489999999905</v>
      </c>
      <c r="F2260" t="s">
        <v>50</v>
      </c>
      <c r="G2260">
        <v>-238.3973</v>
      </c>
      <c r="H2260" s="1">
        <v>2.9496830000000001E-6</v>
      </c>
      <c r="I2260">
        <v>284.20839999999998</v>
      </c>
      <c r="J2260">
        <v>-215.98859999999999</v>
      </c>
      <c r="K2260">
        <v>1.121103</v>
      </c>
      <c r="L2260">
        <v>282.44720000000001</v>
      </c>
      <c r="M2260">
        <v>-0.99930969999999997</v>
      </c>
      <c r="N2260">
        <v>-1.164837E-2</v>
      </c>
      <c r="O2260">
        <v>3.5276299999999997E-2</v>
      </c>
      <c r="P2260">
        <v>-0.99795919999999905</v>
      </c>
      <c r="Q2260">
        <v>-6.1885549999999998E-2</v>
      </c>
      <c r="R2260">
        <v>-1.5742329999999999E-2</v>
      </c>
      <c r="S2260">
        <v>-3.0009000000000001</v>
      </c>
      <c r="T2260">
        <v>-0.14895220000000001</v>
      </c>
      <c r="U2260">
        <v>0.23480219999999999</v>
      </c>
      <c r="V2260">
        <v>-5.0926190000000003E-2</v>
      </c>
      <c r="W2260">
        <v>-5.0283750000000002E-2</v>
      </c>
      <c r="X2260">
        <v>0.99743570000000004</v>
      </c>
      <c r="Y2260">
        <v>4.2746399999999997E-2</v>
      </c>
      <c r="Z2260" s="1">
        <v>-2.789282E-5</v>
      </c>
      <c r="AA2260">
        <v>0.99908600000000003</v>
      </c>
      <c r="AB2260">
        <v>18</v>
      </c>
      <c r="AC2260">
        <v>-22.4087</v>
      </c>
      <c r="AD2260">
        <v>-1.1211000503170001</v>
      </c>
      <c r="AE2260">
        <v>1.7611999999999699</v>
      </c>
      <c r="AF2260">
        <v>0.96714812912371195</v>
      </c>
      <c r="AG2260">
        <v>-1.1211000503170001</v>
      </c>
      <c r="AH2260">
        <v>22.401158535007401</v>
      </c>
      <c r="AI2260">
        <v>92.8624019575322</v>
      </c>
      <c r="AJ2260">
        <v>87.527845975346395</v>
      </c>
      <c r="AK2260">
        <v>22.450036626629899</v>
      </c>
      <c r="AL2260">
        <v>92.882262269028303</v>
      </c>
      <c r="AM2260">
        <v>92.922819246998401</v>
      </c>
      <c r="AN2260">
        <v>0.99999995398823305</v>
      </c>
    </row>
    <row r="2261" spans="1:40" x14ac:dyDescent="0.25">
      <c r="A2261" t="str">
        <f>"20190303154141180"</f>
        <v>20190303154141180</v>
      </c>
      <c r="B2261" t="str">
        <f>"1551598901171872"</f>
        <v>1551598901171872</v>
      </c>
      <c r="C2261" t="s">
        <v>40</v>
      </c>
      <c r="D2261">
        <v>6.1591800000000001</v>
      </c>
      <c r="E2261">
        <v>0.53579489999999996</v>
      </c>
      <c r="F2261" t="s">
        <v>50</v>
      </c>
      <c r="G2261">
        <v>-238.31659999999999</v>
      </c>
      <c r="H2261" s="1">
        <v>2.906436E-6</v>
      </c>
      <c r="I2261">
        <v>284.21530000000001</v>
      </c>
      <c r="J2261">
        <v>-216.1721</v>
      </c>
      <c r="K2261">
        <v>1.121067</v>
      </c>
      <c r="L2261">
        <v>282.45339999999999</v>
      </c>
      <c r="M2261">
        <v>-0.99932209999999999</v>
      </c>
      <c r="N2261">
        <v>-1.135015E-2</v>
      </c>
      <c r="O2261">
        <v>3.5024260000000002E-2</v>
      </c>
      <c r="P2261">
        <v>-0.99793759999999998</v>
      </c>
      <c r="Q2261">
        <v>-6.2490919999999998E-2</v>
      </c>
      <c r="R2261">
        <v>-1.46889E-2</v>
      </c>
      <c r="S2261">
        <v>-3.000534</v>
      </c>
      <c r="T2261">
        <v>-0.150658399999999</v>
      </c>
      <c r="U2261">
        <v>0.23760990000000001</v>
      </c>
      <c r="V2261">
        <v>-4.9620690000000002E-2</v>
      </c>
      <c r="W2261">
        <v>-5.1185939999999999E-2</v>
      </c>
      <c r="X2261">
        <v>0.99745569999999895</v>
      </c>
      <c r="Y2261">
        <v>4.3935160000000001E-2</v>
      </c>
      <c r="Z2261" s="1">
        <v>-6.4185009999999999E-6</v>
      </c>
      <c r="AA2261">
        <v>0.99903439999999999</v>
      </c>
      <c r="AB2261">
        <v>18</v>
      </c>
      <c r="AC2261">
        <v>-22.144499999999901</v>
      </c>
      <c r="AD2261">
        <v>-1.1210640935639999</v>
      </c>
      <c r="AE2261">
        <v>1.76190000000002</v>
      </c>
      <c r="AF2261">
        <v>0.98267161992519503</v>
      </c>
      <c r="AG2261">
        <v>-1.1210640935639999</v>
      </c>
      <c r="AH2261">
        <v>22.1362491998884</v>
      </c>
      <c r="AI2261">
        <v>92.896352316755298</v>
      </c>
      <c r="AJ2261">
        <v>87.458196497885098</v>
      </c>
      <c r="AK2261">
        <v>22.186391253515001</v>
      </c>
      <c r="AL2261">
        <v>92.934020346487898</v>
      </c>
      <c r="AM2261">
        <v>92.847960333017994</v>
      </c>
      <c r="AN2261">
        <v>1.00000004339612</v>
      </c>
    </row>
    <row r="2262" spans="1:40" x14ac:dyDescent="0.25">
      <c r="A2262" t="str">
        <f>"20190303154141203"</f>
        <v>20190303154141203</v>
      </c>
      <c r="B2262" t="str">
        <f>"1551598901191391"</f>
        <v>1551598901191391</v>
      </c>
      <c r="C2262" t="s">
        <v>40</v>
      </c>
      <c r="D2262">
        <v>6.1504200000000004</v>
      </c>
      <c r="E2262">
        <v>0.53561190000000003</v>
      </c>
      <c r="F2262" t="s">
        <v>50</v>
      </c>
      <c r="G2262">
        <v>-238.25479999999999</v>
      </c>
      <c r="H2262" s="1">
        <v>2.873043E-6</v>
      </c>
      <c r="I2262">
        <v>284.22609999999997</v>
      </c>
      <c r="J2262">
        <v>-216.3562</v>
      </c>
      <c r="K2262">
        <v>1.1210310000000001</v>
      </c>
      <c r="L2262">
        <v>282.45949999999999</v>
      </c>
      <c r="M2262">
        <v>-0.99933399999999994</v>
      </c>
      <c r="N2262">
        <v>-1.106967E-2</v>
      </c>
      <c r="O2262">
        <v>3.4771650000000001E-2</v>
      </c>
      <c r="P2262">
        <v>-0.99790400000000001</v>
      </c>
      <c r="Q2262">
        <v>-6.3267859999999995E-2</v>
      </c>
      <c r="R2262">
        <v>-1.36049E-2</v>
      </c>
      <c r="S2262">
        <v>-3.0002140000000002</v>
      </c>
      <c r="T2262">
        <v>-0.152311</v>
      </c>
      <c r="U2262">
        <v>0.24084469999999999</v>
      </c>
      <c r="V2262">
        <v>-4.8283880000000001E-2</v>
      </c>
      <c r="W2262">
        <v>-5.2242099999999903E-2</v>
      </c>
      <c r="X2262">
        <v>0.99746650000000003</v>
      </c>
      <c r="Y2262">
        <v>4.5264359999999997E-2</v>
      </c>
      <c r="Z2262" s="1">
        <v>2.1422629999999999E-5</v>
      </c>
      <c r="AA2262">
        <v>0.99897499999999995</v>
      </c>
      <c r="AB2262">
        <v>18</v>
      </c>
      <c r="AC2262">
        <v>-21.898599999999899</v>
      </c>
      <c r="AD2262">
        <v>-1.1210281269569999</v>
      </c>
      <c r="AE2262">
        <v>1.76659999999998</v>
      </c>
      <c r="AF2262">
        <v>1.00142711433076</v>
      </c>
      <c r="AG2262">
        <v>-1.1210281269569999</v>
      </c>
      <c r="AH2262">
        <v>21.889793859915699</v>
      </c>
      <c r="AI2262">
        <v>92.928633437519494</v>
      </c>
      <c r="AJ2262">
        <v>87.380625483398205</v>
      </c>
      <c r="AK2262">
        <v>21.941345345177702</v>
      </c>
      <c r="AL2262">
        <v>92.994615083701504</v>
      </c>
      <c r="AM2262">
        <v>92.771325946247003</v>
      </c>
      <c r="AN2262">
        <v>0.99999999435125697</v>
      </c>
    </row>
    <row r="2263" spans="1:40" x14ac:dyDescent="0.25">
      <c r="A2263" t="str">
        <f>"20190303154141226"</f>
        <v>20190303154141226</v>
      </c>
      <c r="B2263" t="str">
        <f>"1551598901221648"</f>
        <v>1551598901221648</v>
      </c>
      <c r="C2263" t="s">
        <v>40</v>
      </c>
      <c r="D2263">
        <v>6.1387019999999897</v>
      </c>
      <c r="E2263">
        <v>0.53519899999999998</v>
      </c>
      <c r="F2263" t="s">
        <v>50</v>
      </c>
      <c r="G2263">
        <v>-238.0538</v>
      </c>
      <c r="H2263" s="1">
        <v>2.7665870000000002E-6</v>
      </c>
      <c r="I2263">
        <v>284.21499999999997</v>
      </c>
      <c r="J2263">
        <v>-216.54169999999999</v>
      </c>
      <c r="K2263">
        <v>1.121</v>
      </c>
      <c r="L2263">
        <v>282.46570000000003</v>
      </c>
      <c r="M2263">
        <v>-0.9993457</v>
      </c>
      <c r="N2263">
        <v>-1.0813710000000001E-2</v>
      </c>
      <c r="O2263">
        <v>3.4518090000000001E-2</v>
      </c>
      <c r="P2263">
        <v>-0.99786059999999999</v>
      </c>
      <c r="Q2263">
        <v>-6.4094349999999994E-2</v>
      </c>
      <c r="R2263">
        <v>-1.291231E-2</v>
      </c>
      <c r="S2263">
        <v>-2.9997859999999998</v>
      </c>
      <c r="T2263">
        <v>-0.15498700000000001</v>
      </c>
      <c r="U2263">
        <v>0.24270630000000001</v>
      </c>
      <c r="V2263">
        <v>-4.7336540000000003E-2</v>
      </c>
      <c r="W2263">
        <v>-5.332373E-2</v>
      </c>
      <c r="X2263">
        <v>0.99745470000000003</v>
      </c>
      <c r="Y2263">
        <v>4.6143169999999997E-2</v>
      </c>
      <c r="Z2263" s="1">
        <v>3.3611259999999998E-5</v>
      </c>
      <c r="AA2263">
        <v>0.99893489999999996</v>
      </c>
      <c r="AB2263">
        <v>18</v>
      </c>
      <c r="AC2263">
        <v>-21.5121</v>
      </c>
      <c r="AD2263">
        <v>-1.1209972334130001</v>
      </c>
      <c r="AE2263">
        <v>1.7492999999999399</v>
      </c>
      <c r="AF2263">
        <v>1.0029519119743799</v>
      </c>
      <c r="AG2263">
        <v>-1.1209972334130001</v>
      </c>
      <c r="AH2263">
        <v>21.5016615192933</v>
      </c>
      <c r="AI2263">
        <v>92.981199430961297</v>
      </c>
      <c r="AJ2263">
        <v>87.329355744615697</v>
      </c>
      <c r="AK2263">
        <v>21.554210619396599</v>
      </c>
      <c r="AL2263">
        <v>93.056674342386799</v>
      </c>
      <c r="AM2263">
        <v>92.717066329196101</v>
      </c>
      <c r="AN2263">
        <v>1.0000000233761801</v>
      </c>
    </row>
    <row r="2264" spans="1:40" x14ac:dyDescent="0.25">
      <c r="A2264" t="str">
        <f>"20190303154141249"</f>
        <v>20190303154141249</v>
      </c>
      <c r="B2264" t="str">
        <f>"1551598901242143"</f>
        <v>1551598901242143</v>
      </c>
      <c r="C2264" t="s">
        <v>40</v>
      </c>
      <c r="D2264">
        <v>6.1248740000000002</v>
      </c>
      <c r="E2264">
        <v>0.53506519999999902</v>
      </c>
      <c r="F2264" t="s">
        <v>50</v>
      </c>
      <c r="G2264">
        <v>-237.72569999999999</v>
      </c>
      <c r="H2264" s="1">
        <v>2.593922E-6</v>
      </c>
      <c r="I2264">
        <v>284.17129999999997</v>
      </c>
      <c r="J2264">
        <v>-216.73240000000001</v>
      </c>
      <c r="K2264">
        <v>1.1209739999999999</v>
      </c>
      <c r="L2264">
        <v>282.47199999999998</v>
      </c>
      <c r="M2264">
        <v>-0.99935700000000005</v>
      </c>
      <c r="N2264">
        <v>-1.0580310000000001E-2</v>
      </c>
      <c r="O2264">
        <v>3.4257990000000002E-2</v>
      </c>
      <c r="P2264">
        <v>-0.99781160000000002</v>
      </c>
      <c r="Q2264">
        <v>-6.4770430000000004E-2</v>
      </c>
      <c r="R2264">
        <v>-1.329314E-2</v>
      </c>
      <c r="S2264">
        <v>-2.9993439999999998</v>
      </c>
      <c r="T2264">
        <v>-0.15871669999999999</v>
      </c>
      <c r="U2264">
        <v>0.24148559999999999</v>
      </c>
      <c r="V2264">
        <v>-4.7455980000000002E-2</v>
      </c>
      <c r="W2264">
        <v>-5.4233190000000001E-2</v>
      </c>
      <c r="X2264">
        <v>0.99739999999999995</v>
      </c>
      <c r="Y2264">
        <v>4.6010250000000003E-2</v>
      </c>
      <c r="Z2264" s="1">
        <v>1.265929E-5</v>
      </c>
      <c r="AA2264">
        <v>0.99894090000000002</v>
      </c>
      <c r="AB2264">
        <v>18</v>
      </c>
      <c r="AC2264">
        <v>-20.993299999999898</v>
      </c>
      <c r="AD2264">
        <v>-1.1209714060779901</v>
      </c>
      <c r="AE2264">
        <v>1.69929999999999</v>
      </c>
      <c r="AF2264">
        <v>0.97630837663485504</v>
      </c>
      <c r="AG2264">
        <v>-1.1209714060779901</v>
      </c>
      <c r="AH2264">
        <v>20.979765767268901</v>
      </c>
      <c r="AI2264">
        <v>93.055166669189802</v>
      </c>
      <c r="AJ2264">
        <v>87.335622190914904</v>
      </c>
      <c r="AK2264">
        <v>21.032363789859598</v>
      </c>
      <c r="AL2264">
        <v>93.108858043626697</v>
      </c>
      <c r="AM2264">
        <v>92.724060905277696</v>
      </c>
      <c r="AN2264">
        <v>1.0000000344676601</v>
      </c>
    </row>
    <row r="2265" spans="1:40" x14ac:dyDescent="0.25">
      <c r="A2265" t="str">
        <f>"20190303154141271"</f>
        <v>20190303154141271</v>
      </c>
      <c r="B2265" t="str">
        <f>"1551598901261663"</f>
        <v>1551598901261663</v>
      </c>
      <c r="C2265" t="s">
        <v>40</v>
      </c>
      <c r="D2265">
        <v>6.1122160000000001</v>
      </c>
      <c r="E2265">
        <v>0.53499379999999996</v>
      </c>
      <c r="F2265" t="s">
        <v>50</v>
      </c>
      <c r="G2265">
        <v>-237.63079999999999</v>
      </c>
      <c r="H2265" s="1">
        <v>2.5448499999999999E-6</v>
      </c>
      <c r="I2265">
        <v>284.13780000000003</v>
      </c>
      <c r="J2265">
        <v>-216.91290000000001</v>
      </c>
      <c r="K2265">
        <v>1.1209629999999999</v>
      </c>
      <c r="L2265">
        <v>282.47789999999998</v>
      </c>
      <c r="M2265">
        <v>-0.99936749999999996</v>
      </c>
      <c r="N2265">
        <v>-1.0380790000000001E-2</v>
      </c>
      <c r="O2265">
        <v>3.4011560000000003E-2</v>
      </c>
      <c r="P2265">
        <v>-0.99783770000000005</v>
      </c>
      <c r="Q2265">
        <v>-6.4272850000000006E-2</v>
      </c>
      <c r="R2265">
        <v>-1.374942E-2</v>
      </c>
      <c r="S2265">
        <v>-2.9993439999999998</v>
      </c>
      <c r="T2265">
        <v>-0.16088250000000001</v>
      </c>
      <c r="U2265">
        <v>0.2390747</v>
      </c>
      <c r="V2265">
        <v>-4.7666960000000001E-2</v>
      </c>
      <c r="W2265">
        <v>-5.3934509999999998E-2</v>
      </c>
      <c r="X2265">
        <v>0.99740609999999996</v>
      </c>
      <c r="Y2265">
        <v>4.545917E-2</v>
      </c>
      <c r="Z2265" s="1">
        <v>-1.38705399999999E-5</v>
      </c>
      <c r="AA2265">
        <v>0.99896620000000003</v>
      </c>
      <c r="AB2265">
        <v>18</v>
      </c>
      <c r="AC2265">
        <v>-20.717899999999901</v>
      </c>
      <c r="AD2265">
        <v>-1.1209604551500001</v>
      </c>
      <c r="AE2265">
        <v>1.6599000000000499</v>
      </c>
      <c r="AF2265">
        <v>0.95148579758982699</v>
      </c>
      <c r="AG2265">
        <v>-1.1209604551500001</v>
      </c>
      <c r="AH2265">
        <v>20.702153057781899</v>
      </c>
      <c r="AI2265">
        <v>93.096108617885207</v>
      </c>
      <c r="AJ2265">
        <v>87.368496769163102</v>
      </c>
      <c r="AK2265">
        <v>20.754301211865801</v>
      </c>
      <c r="AL2265">
        <v>93.091719965820701</v>
      </c>
      <c r="AM2265">
        <v>92.736136475038705</v>
      </c>
      <c r="AN2265">
        <v>0.99999999938089501</v>
      </c>
    </row>
    <row r="2266" spans="1:40" x14ac:dyDescent="0.25">
      <c r="A2266" t="str">
        <f>"20190303154141292"</f>
        <v>20190303154141292</v>
      </c>
      <c r="B2266" t="str">
        <f>"1551598901282159"</f>
        <v>1551598901282159</v>
      </c>
      <c r="C2266" t="s">
        <v>40</v>
      </c>
      <c r="D2266">
        <v>6.2117440000000004</v>
      </c>
      <c r="E2266">
        <v>0.53504739999999995</v>
      </c>
      <c r="F2266" t="s">
        <v>50</v>
      </c>
      <c r="G2266">
        <v>-237.90690000000001</v>
      </c>
      <c r="H2266" s="1">
        <v>2.6916580000000001E-6</v>
      </c>
      <c r="I2266">
        <v>284.14030000000002</v>
      </c>
      <c r="J2266">
        <v>-217.0864</v>
      </c>
      <c r="K2266">
        <v>1.120949</v>
      </c>
      <c r="L2266">
        <v>282.48349999999999</v>
      </c>
      <c r="M2266">
        <v>-0.99937770000000004</v>
      </c>
      <c r="N2266">
        <v>-1.0188010000000001E-2</v>
      </c>
      <c r="O2266">
        <v>3.3774850000000002E-2</v>
      </c>
      <c r="P2266">
        <v>-0.99791289999999999</v>
      </c>
      <c r="Q2266">
        <v>-6.2891660000000002E-2</v>
      </c>
      <c r="R2266">
        <v>-1.4658630000000001E-2</v>
      </c>
      <c r="S2266">
        <v>-2.9994510000000001</v>
      </c>
      <c r="T2266">
        <v>-0.1601542</v>
      </c>
      <c r="U2266">
        <v>0.23751829999999999</v>
      </c>
      <c r="V2266">
        <v>-4.8342049999999998E-2</v>
      </c>
      <c r="W2266">
        <v>-5.2745390000000003E-2</v>
      </c>
      <c r="X2266">
        <v>0.99743720000000002</v>
      </c>
      <c r="Y2266">
        <v>4.5178990000000002E-2</v>
      </c>
      <c r="Z2266" s="1">
        <v>-2.078555E-5</v>
      </c>
      <c r="AA2266">
        <v>0.9989789</v>
      </c>
      <c r="AB2266">
        <v>18</v>
      </c>
      <c r="AC2266">
        <v>-20.820499999999999</v>
      </c>
      <c r="AD2266">
        <v>-1.1209463083419999</v>
      </c>
      <c r="AE2266">
        <v>1.65680000000003</v>
      </c>
      <c r="AF2266">
        <v>0.94987302358981496</v>
      </c>
      <c r="AG2266">
        <v>-1.1209463083419999</v>
      </c>
      <c r="AH2266">
        <v>20.804656272136501</v>
      </c>
      <c r="AI2266">
        <v>93.080887667674801</v>
      </c>
      <c r="AJ2266">
        <v>87.385876232590206</v>
      </c>
      <c r="AK2266">
        <v>20.856473862781201</v>
      </c>
      <c r="AL2266">
        <v>93.023491276099804</v>
      </c>
      <c r="AM2266">
        <v>92.774740865574103</v>
      </c>
      <c r="AN2266">
        <v>0.99999999895414704</v>
      </c>
    </row>
    <row r="2267" spans="1:40" x14ac:dyDescent="0.25">
      <c r="A2267" t="str">
        <f>"20190303154141314"</f>
        <v>20190303154141314</v>
      </c>
      <c r="B2267" t="str">
        <f>"1551598901301680"</f>
        <v>1551598901301680</v>
      </c>
      <c r="C2267" t="s">
        <v>40</v>
      </c>
      <c r="D2267">
        <v>6.1538399999999998</v>
      </c>
      <c r="E2267">
        <v>0.53512320000000002</v>
      </c>
      <c r="F2267" t="s">
        <v>50</v>
      </c>
      <c r="G2267">
        <v>-238.2131</v>
      </c>
      <c r="H2267" s="1">
        <v>2.8546970000000001E-6</v>
      </c>
      <c r="I2267">
        <v>284.13889999999998</v>
      </c>
      <c r="J2267">
        <v>-217.26660000000001</v>
      </c>
      <c r="K2267">
        <v>1.1209279999999999</v>
      </c>
      <c r="L2267">
        <v>282.48930000000001</v>
      </c>
      <c r="M2267">
        <v>-0.99938819999999995</v>
      </c>
      <c r="N2267">
        <v>-9.9612740000000009E-3</v>
      </c>
      <c r="O2267">
        <v>3.3527800000000003E-2</v>
      </c>
      <c r="P2267">
        <v>-0.99798390000000003</v>
      </c>
      <c r="Q2267">
        <v>-6.1615719999999999E-2</v>
      </c>
      <c r="R2267">
        <v>-1.522423E-2</v>
      </c>
      <c r="S2267">
        <v>-2.999695</v>
      </c>
      <c r="T2267">
        <v>-0.1591581</v>
      </c>
      <c r="U2267">
        <v>0.23504639999999999</v>
      </c>
      <c r="V2267">
        <v>-4.8663860000000003E-2</v>
      </c>
      <c r="W2267">
        <v>-5.1695190000000002E-2</v>
      </c>
      <c r="X2267">
        <v>0.99747649999999999</v>
      </c>
      <c r="Y2267">
        <v>4.4603190000000001E-2</v>
      </c>
      <c r="Z2267" s="1">
        <v>-3.7356800000000001E-5</v>
      </c>
      <c r="AA2267">
        <v>0.99900480000000003</v>
      </c>
      <c r="AB2267">
        <v>18</v>
      </c>
      <c r="AC2267">
        <v>-20.946499999999901</v>
      </c>
      <c r="AD2267">
        <v>-1.120925145303</v>
      </c>
      <c r="AE2267">
        <v>1.64959999999996</v>
      </c>
      <c r="AF2267">
        <v>0.94366188571617104</v>
      </c>
      <c r="AG2267">
        <v>-1.120925145303</v>
      </c>
      <c r="AH2267">
        <v>20.930463103975502</v>
      </c>
      <c r="AI2267">
        <v>93.062426058019298</v>
      </c>
      <c r="AJ2267">
        <v>87.418535224924199</v>
      </c>
      <c r="AK2267">
        <v>20.981688604180601</v>
      </c>
      <c r="AL2267">
        <v>92.963237131847805</v>
      </c>
      <c r="AM2267">
        <v>92.793073110915302</v>
      </c>
      <c r="AN2267">
        <v>0.99999996599574204</v>
      </c>
    </row>
    <row r="2268" spans="1:40" x14ac:dyDescent="0.25">
      <c r="A2268" t="str">
        <f>"20190303154141337"</f>
        <v>20190303154141337</v>
      </c>
      <c r="B2268" t="str">
        <f>"1551598901331936"</f>
        <v>1551598901331936</v>
      </c>
      <c r="C2268" t="s">
        <v>40</v>
      </c>
      <c r="D2268">
        <v>6.0984759999999998</v>
      </c>
      <c r="E2268">
        <v>0.5348598</v>
      </c>
      <c r="F2268" t="s">
        <v>50</v>
      </c>
      <c r="G2268">
        <v>-238.57929999999999</v>
      </c>
      <c r="H2268" s="1">
        <v>3.0489059999999999E-6</v>
      </c>
      <c r="I2268">
        <v>284.15309999999999</v>
      </c>
      <c r="J2268">
        <v>-217.44929999999999</v>
      </c>
      <c r="K2268">
        <v>1.1208910000000001</v>
      </c>
      <c r="L2268">
        <v>282.49520000000001</v>
      </c>
      <c r="M2268">
        <v>-0.99939920000000004</v>
      </c>
      <c r="N2268">
        <v>-9.6912079999999998E-3</v>
      </c>
      <c r="O2268">
        <v>3.3276779999999999E-2</v>
      </c>
      <c r="P2268">
        <v>-0.99810880000000002</v>
      </c>
      <c r="Q2268">
        <v>-5.9446680000000002E-2</v>
      </c>
      <c r="R2268">
        <v>-1.5665720000000001E-2</v>
      </c>
      <c r="S2268">
        <v>-2.9998779999999998</v>
      </c>
      <c r="T2268">
        <v>-0.15777669999999999</v>
      </c>
      <c r="U2268">
        <v>0.23419190000000001</v>
      </c>
      <c r="V2268">
        <v>-4.8859319999999998E-2</v>
      </c>
      <c r="W2268">
        <v>-4.9794619999999998E-2</v>
      </c>
      <c r="X2268">
        <v>0.99756369999999905</v>
      </c>
      <c r="Y2268">
        <v>4.4567669999999997E-2</v>
      </c>
      <c r="Z2268" s="1">
        <v>-3.7639460000000002E-5</v>
      </c>
      <c r="AA2268">
        <v>0.99900639999999996</v>
      </c>
      <c r="AB2268">
        <v>18</v>
      </c>
      <c r="AC2268">
        <v>-21.1299999999999</v>
      </c>
      <c r="AD2268">
        <v>-1.120887951094</v>
      </c>
      <c r="AE2268">
        <v>1.6578999999999799</v>
      </c>
      <c r="AF2268">
        <v>0.951150184313865</v>
      </c>
      <c r="AG2268">
        <v>-1.120887951094</v>
      </c>
      <c r="AH2268">
        <v>21.114416130783599</v>
      </c>
      <c r="AI2268">
        <v>93.035700366695806</v>
      </c>
      <c r="AJ2268">
        <v>87.420716124056</v>
      </c>
      <c r="AK2268">
        <v>21.165529641752901</v>
      </c>
      <c r="AL2268">
        <v>92.854201794962606</v>
      </c>
      <c r="AM2268">
        <v>92.804028971053896</v>
      </c>
      <c r="AN2268">
        <v>1.0000000364447399</v>
      </c>
    </row>
    <row r="2269" spans="1:40" x14ac:dyDescent="0.25">
      <c r="A2269" t="str">
        <f>"20190303154141359"</f>
        <v>20190303154141359</v>
      </c>
      <c r="B2269" t="str">
        <f>"1551598901351456"</f>
        <v>1551598901351456</v>
      </c>
      <c r="C2269" t="s">
        <v>40</v>
      </c>
      <c r="D2269">
        <v>6.1008800000000001</v>
      </c>
      <c r="E2269">
        <v>0.53473249999999894</v>
      </c>
      <c r="F2269" t="s">
        <v>50</v>
      </c>
      <c r="G2269">
        <v>-239.3751</v>
      </c>
      <c r="H2269" s="1">
        <v>3.4711679999999999E-6</v>
      </c>
      <c r="I2269">
        <v>284.18169999999998</v>
      </c>
      <c r="J2269">
        <v>-217.63570000000001</v>
      </c>
      <c r="K2269">
        <v>1.120851</v>
      </c>
      <c r="L2269">
        <v>282.50110000000001</v>
      </c>
      <c r="M2269">
        <v>-0.99941069999999999</v>
      </c>
      <c r="N2269">
        <v>-9.3843750000000004E-3</v>
      </c>
      <c r="O2269">
        <v>3.3020239999999999E-2</v>
      </c>
      <c r="P2269">
        <v>-0.99821139999999997</v>
      </c>
      <c r="Q2269">
        <v>-5.7716549999999998E-2</v>
      </c>
      <c r="R2269">
        <v>-1.557907E-2</v>
      </c>
      <c r="S2269">
        <v>-3.0001829999999998</v>
      </c>
      <c r="T2269">
        <v>-0.15337529999999999</v>
      </c>
      <c r="U2269">
        <v>0.2307739</v>
      </c>
      <c r="V2269">
        <v>-4.8520229999999998E-2</v>
      </c>
      <c r="W2269">
        <v>-4.8369589999999997E-2</v>
      </c>
      <c r="X2269">
        <v>0.99765029999999999</v>
      </c>
      <c r="Y2269">
        <v>4.3688520000000002E-2</v>
      </c>
      <c r="Z2269" s="1">
        <v>-5.45017E-5</v>
      </c>
      <c r="AA2269">
        <v>0.99904519999999997</v>
      </c>
      <c r="AB2269">
        <v>19</v>
      </c>
      <c r="AC2269">
        <v>-21.7393999999999</v>
      </c>
      <c r="AD2269">
        <v>-1.1208475288319999</v>
      </c>
      <c r="AE2269">
        <v>1.6805999999999699</v>
      </c>
      <c r="AF2269">
        <v>0.95927683631340999</v>
      </c>
      <c r="AG2269">
        <v>-1.1208475288319999</v>
      </c>
      <c r="AH2269">
        <v>21.725631004276298</v>
      </c>
      <c r="AI2269">
        <v>92.950459903479498</v>
      </c>
      <c r="AJ2269">
        <v>87.471795516118107</v>
      </c>
      <c r="AK2269">
        <v>21.7756642554378</v>
      </c>
      <c r="AL2269">
        <v>92.772455229842194</v>
      </c>
      <c r="AM2269">
        <v>92.784358049291697</v>
      </c>
      <c r="AN2269">
        <v>0.99999997552305497</v>
      </c>
    </row>
    <row r="2270" spans="1:40" x14ac:dyDescent="0.25">
      <c r="A2270" t="str">
        <f>"20190303154141381"</f>
        <v>20190303154141381</v>
      </c>
      <c r="B2270" t="str">
        <f>"1551598901371951"</f>
        <v>1551598901371951</v>
      </c>
      <c r="C2270" t="s">
        <v>40</v>
      </c>
      <c r="D2270">
        <v>6.0824999999999996</v>
      </c>
      <c r="E2270">
        <v>0.53460450000000004</v>
      </c>
      <c r="F2270" t="s">
        <v>50</v>
      </c>
      <c r="G2270">
        <v>-240.1525</v>
      </c>
      <c r="H2270" s="1">
        <v>-1.4556549999999999E-6</v>
      </c>
      <c r="I2270">
        <v>284.22730000000001</v>
      </c>
      <c r="J2270">
        <v>-217.81970000000001</v>
      </c>
      <c r="K2270">
        <v>1.120811</v>
      </c>
      <c r="L2270">
        <v>282.50689999999997</v>
      </c>
      <c r="M2270">
        <v>-0.99942189999999997</v>
      </c>
      <c r="N2270">
        <v>-9.0750280000000006E-3</v>
      </c>
      <c r="O2270">
        <v>3.2767240000000003E-2</v>
      </c>
      <c r="P2270">
        <v>-0.99829270000000003</v>
      </c>
      <c r="Q2270">
        <v>-5.6431479999999999E-2</v>
      </c>
      <c r="R2270">
        <v>-1.507764E-2</v>
      </c>
      <c r="S2270">
        <v>-3.0003359999999999</v>
      </c>
      <c r="T2270">
        <v>-0.14935219999999999</v>
      </c>
      <c r="U2270">
        <v>0.23001099999999999</v>
      </c>
      <c r="V2270">
        <v>-4.7768919999999999E-2</v>
      </c>
      <c r="W2270">
        <v>-4.7392139999999999E-2</v>
      </c>
      <c r="X2270">
        <v>0.99773350000000005</v>
      </c>
      <c r="Y2270">
        <v>4.3687030000000002E-2</v>
      </c>
      <c r="Z2270" s="1">
        <v>-4.6319500000000003E-5</v>
      </c>
      <c r="AA2270">
        <v>0.99904530000000002</v>
      </c>
      <c r="AB2270">
        <v>19</v>
      </c>
      <c r="AC2270">
        <v>-22.332799999999899</v>
      </c>
      <c r="AD2270">
        <v>-1.1208124556550001</v>
      </c>
      <c r="AE2270">
        <v>1.7204000000000399</v>
      </c>
      <c r="AF2270">
        <v>0.98519501045070701</v>
      </c>
      <c r="AG2270">
        <v>-1.1208124556550001</v>
      </c>
      <c r="AH2270">
        <v>22.321292222091099</v>
      </c>
      <c r="AI2270">
        <v>92.871770624056893</v>
      </c>
      <c r="AJ2270">
        <v>87.472776053989605</v>
      </c>
      <c r="AK2270">
        <v>22.371117903076598</v>
      </c>
      <c r="AL2270">
        <v>92.716387063465802</v>
      </c>
      <c r="AM2270">
        <v>92.741081778829695</v>
      </c>
      <c r="AN2270">
        <v>1.00000001083699</v>
      </c>
    </row>
    <row r="2271" spans="1:40" x14ac:dyDescent="0.25">
      <c r="A2271" t="str">
        <f>"20190303154141404"</f>
        <v>20190303154141404</v>
      </c>
      <c r="B2271" t="str">
        <f>"1551598901391475"</f>
        <v>1551598901391475</v>
      </c>
      <c r="C2271" t="s">
        <v>40</v>
      </c>
      <c r="D2271">
        <v>6.0700200000000004</v>
      </c>
      <c r="E2271">
        <v>0.53447789999999995</v>
      </c>
      <c r="F2271" t="s">
        <v>50</v>
      </c>
      <c r="G2271">
        <v>-240.74950000000001</v>
      </c>
      <c r="H2271" s="1">
        <v>-1.13795E-6</v>
      </c>
      <c r="I2271">
        <v>284.26780000000002</v>
      </c>
      <c r="J2271">
        <v>-218.00960000000001</v>
      </c>
      <c r="K2271">
        <v>1.120763</v>
      </c>
      <c r="L2271">
        <v>282.51280000000003</v>
      </c>
      <c r="M2271">
        <v>-0.99943309999999996</v>
      </c>
      <c r="N2271">
        <v>-8.7624230000000001E-3</v>
      </c>
      <c r="O2271">
        <v>3.2505560000000003E-2</v>
      </c>
      <c r="P2271">
        <v>-0.99837030000000004</v>
      </c>
      <c r="Q2271">
        <v>-5.5292470000000003E-2</v>
      </c>
      <c r="R2271">
        <v>-1.4124670000000001E-2</v>
      </c>
      <c r="S2271">
        <v>-3.000305</v>
      </c>
      <c r="T2271">
        <v>-0.14665520000000001</v>
      </c>
      <c r="U2271">
        <v>0.23040769999999999</v>
      </c>
      <c r="V2271">
        <v>-4.6558000000000002E-2</v>
      </c>
      <c r="W2271">
        <v>-4.6563809999999997E-2</v>
      </c>
      <c r="X2271">
        <v>0.99782969999999904</v>
      </c>
      <c r="Y2271">
        <v>4.4081710000000003E-2</v>
      </c>
      <c r="Z2271" s="1">
        <v>-3.180106E-5</v>
      </c>
      <c r="AA2271">
        <v>0.99902789999999997</v>
      </c>
      <c r="AB2271">
        <v>19</v>
      </c>
      <c r="AC2271">
        <v>-22.739899999999999</v>
      </c>
      <c r="AD2271">
        <v>-1.12076413795</v>
      </c>
      <c r="AE2271">
        <v>1.7549999999999899</v>
      </c>
      <c r="AF2271">
        <v>1.0124261561579799</v>
      </c>
      <c r="AG2271">
        <v>-1.12076413795</v>
      </c>
      <c r="AH2271">
        <v>22.7300443502739</v>
      </c>
      <c r="AI2271">
        <v>92.820040236719905</v>
      </c>
      <c r="AJ2271">
        <v>87.449656083506</v>
      </c>
      <c r="AK2271">
        <v>22.780167583668199</v>
      </c>
      <c r="AL2271">
        <v>92.668874893576998</v>
      </c>
      <c r="AM2271">
        <v>92.671441407663593</v>
      </c>
      <c r="AN2271">
        <v>0.99999997298390197</v>
      </c>
    </row>
    <row r="2272" spans="1:40" x14ac:dyDescent="0.25">
      <c r="A2272" t="str">
        <f>"20190303154141425"</f>
        <v>20190303154141425</v>
      </c>
      <c r="B2272" t="str">
        <f>"1551598901421729"</f>
        <v>1551598901421729</v>
      </c>
      <c r="C2272" t="s">
        <v>40</v>
      </c>
      <c r="D2272">
        <v>6.2259190000000002</v>
      </c>
      <c r="E2272">
        <v>0.53490669999999996</v>
      </c>
      <c r="F2272" t="s">
        <v>50</v>
      </c>
      <c r="G2272">
        <v>-241.36920000000001</v>
      </c>
      <c r="H2272" s="1">
        <v>-8.0817569999999904E-7</v>
      </c>
      <c r="I2272">
        <v>284.32170000000002</v>
      </c>
      <c r="J2272">
        <v>-218.19560000000001</v>
      </c>
      <c r="K2272">
        <v>1.1207339999999999</v>
      </c>
      <c r="L2272">
        <v>282.51859999999999</v>
      </c>
      <c r="M2272">
        <v>-0.999444</v>
      </c>
      <c r="N2272">
        <v>-8.4674820000000001E-3</v>
      </c>
      <c r="O2272">
        <v>3.2250000000000001E-2</v>
      </c>
      <c r="P2272">
        <v>-0.99836919999999996</v>
      </c>
      <c r="Q2272">
        <v>-5.565838E-2</v>
      </c>
      <c r="R2272">
        <v>-1.268995E-2</v>
      </c>
      <c r="S2272">
        <v>-3.0002140000000002</v>
      </c>
      <c r="T2272">
        <v>-0.1439462</v>
      </c>
      <c r="U2272">
        <v>0.23233029999999999</v>
      </c>
      <c r="V2272">
        <v>-4.4868869999999998E-2</v>
      </c>
      <c r="W2272">
        <v>-4.72232E-2</v>
      </c>
      <c r="X2272">
        <v>0.99787610000000004</v>
      </c>
      <c r="Y2272">
        <v>4.4976170000000003E-2</v>
      </c>
      <c r="Z2272" s="1">
        <v>-3.215042E-6</v>
      </c>
      <c r="AA2272">
        <v>0.99898799999999999</v>
      </c>
      <c r="AB2272">
        <v>19</v>
      </c>
      <c r="AC2272">
        <v>-23.1736</v>
      </c>
      <c r="AD2272">
        <v>-1.1207348081757</v>
      </c>
      <c r="AE2272">
        <v>1.8031000000000199</v>
      </c>
      <c r="AF2272">
        <v>1.05234010688008</v>
      </c>
      <c r="AG2272">
        <v>-1.1207348081757</v>
      </c>
      <c r="AH2272">
        <v>23.165839660584901</v>
      </c>
      <c r="AI2272">
        <v>92.766890867221704</v>
      </c>
      <c r="AJ2272">
        <v>87.399048551199897</v>
      </c>
      <c r="AK2272">
        <v>23.216795502194799</v>
      </c>
      <c r="AL2272">
        <v>92.706696752366895</v>
      </c>
      <c r="AM2272">
        <v>92.574534493962403</v>
      </c>
      <c r="AN2272">
        <v>0.99999997853226297</v>
      </c>
    </row>
    <row r="2273" spans="1:40" x14ac:dyDescent="0.25">
      <c r="A2273" t="str">
        <f>"20190303154141450"</f>
        <v>20190303154141450</v>
      </c>
      <c r="B2273" t="str">
        <f>"1551598901441248"</f>
        <v>1551598901441248</v>
      </c>
      <c r="C2273" t="s">
        <v>40</v>
      </c>
      <c r="D2273">
        <v>6.2086829999999997</v>
      </c>
      <c r="E2273">
        <v>0.54006309999999902</v>
      </c>
      <c r="F2273" t="s">
        <v>50</v>
      </c>
      <c r="G2273">
        <v>-240.60560000000001</v>
      </c>
      <c r="H2273" s="1">
        <v>-1.2145059999999999E-6</v>
      </c>
      <c r="I2273">
        <v>284.31200000000001</v>
      </c>
      <c r="J2273">
        <v>-218.39529999999999</v>
      </c>
      <c r="K2273">
        <v>1.1207039999999999</v>
      </c>
      <c r="L2273">
        <v>282.5247</v>
      </c>
      <c r="M2273">
        <v>-0.99945539999999999</v>
      </c>
      <c r="N2273">
        <v>-8.1661029999999992E-3</v>
      </c>
      <c r="O2273">
        <v>3.1976190000000002E-2</v>
      </c>
      <c r="P2273">
        <v>-0.99840180000000001</v>
      </c>
      <c r="Q2273">
        <v>-5.5302650000000002E-2</v>
      </c>
      <c r="R2273">
        <v>-1.164859E-2</v>
      </c>
      <c r="S2273">
        <v>-2.9995729999999998</v>
      </c>
      <c r="T2273">
        <v>-0.15001010000000001</v>
      </c>
      <c r="U2273">
        <v>0.2400513</v>
      </c>
      <c r="V2273">
        <v>-4.3555669999999998E-2</v>
      </c>
      <c r="W2273">
        <v>-4.7167399999999998E-2</v>
      </c>
      <c r="X2273">
        <v>0.99793699999999996</v>
      </c>
      <c r="Y2273">
        <v>4.7815969999999999E-2</v>
      </c>
      <c r="Z2273" s="1">
        <v>5.4493310000000003E-5</v>
      </c>
      <c r="AA2273">
        <v>0.99885619999999997</v>
      </c>
      <c r="AB2273">
        <v>19</v>
      </c>
      <c r="AC2273">
        <v>-22.2103</v>
      </c>
      <c r="AD2273">
        <v>-1.1207052145059999</v>
      </c>
      <c r="AE2273">
        <v>1.7873000000000101</v>
      </c>
      <c r="AF2273">
        <v>1.0734461004161899</v>
      </c>
      <c r="AG2273">
        <v>-1.1207052145059999</v>
      </c>
      <c r="AH2273">
        <v>22.199935140441902</v>
      </c>
      <c r="AI2273">
        <v>92.886606225233805</v>
      </c>
      <c r="AJ2273">
        <v>87.2317007063278</v>
      </c>
      <c r="AK2273">
        <v>22.254109439565301</v>
      </c>
      <c r="AL2273">
        <v>92.703495866257697</v>
      </c>
      <c r="AM2273">
        <v>92.499128941672694</v>
      </c>
      <c r="AN2273">
        <v>1.00000005799045</v>
      </c>
    </row>
    <row r="2274" spans="1:40" x14ac:dyDescent="0.25">
      <c r="A2274" t="str">
        <f>"20190303154141472"</f>
        <v>20190303154141472</v>
      </c>
      <c r="B2274" t="str">
        <f>"1551598901461743"</f>
        <v>1551598901461743</v>
      </c>
      <c r="C2274" t="s">
        <v>40</v>
      </c>
      <c r="D2274">
        <v>6.2024860000000004</v>
      </c>
      <c r="E2274">
        <v>0.54076709999999995</v>
      </c>
      <c r="F2274" t="s">
        <v>42</v>
      </c>
      <c r="G2274">
        <v>-219.1679</v>
      </c>
      <c r="H2274">
        <v>1.025372</v>
      </c>
      <c r="I2274">
        <v>282.59870000000001</v>
      </c>
      <c r="J2274">
        <v>-218.59039999999999</v>
      </c>
      <c r="K2274">
        <v>1.120673</v>
      </c>
      <c r="L2274">
        <v>282.53059999999999</v>
      </c>
      <c r="M2274">
        <v>-0.99946610000000002</v>
      </c>
      <c r="N2274">
        <v>-7.8897359999999996E-3</v>
      </c>
      <c r="O2274">
        <v>3.1707289999999999E-2</v>
      </c>
      <c r="P2274">
        <v>-0.99840269999999998</v>
      </c>
      <c r="Q2274">
        <v>-5.5333380000000001E-2</v>
      </c>
      <c r="R2274">
        <v>-1.1438780000000001E-2</v>
      </c>
      <c r="S2274">
        <v>-2.9877009999999999</v>
      </c>
      <c r="T2274">
        <v>-0.36871959999999998</v>
      </c>
      <c r="U2274">
        <v>0.28582760000000001</v>
      </c>
      <c r="V2274">
        <v>-4.3076330000000003E-2</v>
      </c>
      <c r="W2274">
        <v>-4.7473870000000001E-2</v>
      </c>
      <c r="X2274">
        <v>0.99794320000000003</v>
      </c>
      <c r="Y2274">
        <v>6.3323260000000006E-2</v>
      </c>
      <c r="Z2274">
        <v>4.9657140000000004E-4</v>
      </c>
      <c r="AA2274">
        <v>0.99799289999999996</v>
      </c>
      <c r="AB2274">
        <v>19</v>
      </c>
      <c r="AC2274">
        <v>-0.577500000000014</v>
      </c>
      <c r="AD2274">
        <v>-9.5300999999999997E-2</v>
      </c>
      <c r="AE2274">
        <v>6.8100000000015301E-2</v>
      </c>
      <c r="AF2274">
        <v>4.8452822820934598E-2</v>
      </c>
      <c r="AG2274">
        <v>-9.5300999999999997E-2</v>
      </c>
      <c r="AH2274">
        <v>0.56421458298317995</v>
      </c>
      <c r="AI2274">
        <v>99.552779598769206</v>
      </c>
      <c r="AJ2274">
        <v>85.0916763073552</v>
      </c>
      <c r="AK2274">
        <v>0.57425434459932501</v>
      </c>
      <c r="AL2274">
        <v>92.721075196022099</v>
      </c>
      <c r="AM2274">
        <v>92.4716444238002</v>
      </c>
      <c r="AN2274">
        <v>0.99999998448264205</v>
      </c>
    </row>
    <row r="2275" spans="1:40" x14ac:dyDescent="0.25">
      <c r="A2275" t="str">
        <f>"20190303154141492"</f>
        <v>20190303154141492</v>
      </c>
      <c r="B2275" t="str">
        <f>"1551598901481267"</f>
        <v>1551598901481267</v>
      </c>
      <c r="C2275" t="s">
        <v>40</v>
      </c>
      <c r="D2275">
        <v>6.0350440000000001</v>
      </c>
      <c r="E2275">
        <v>0.54492379999999996</v>
      </c>
      <c r="F2275" t="s">
        <v>42</v>
      </c>
      <c r="G2275">
        <v>-219.34209999999999</v>
      </c>
      <c r="H2275">
        <v>1.0314369999999999</v>
      </c>
      <c r="I2275">
        <v>282.60430000000002</v>
      </c>
      <c r="J2275">
        <v>-218.7724</v>
      </c>
      <c r="K2275">
        <v>1.1206499999999999</v>
      </c>
      <c r="L2275">
        <v>282.53620000000001</v>
      </c>
      <c r="M2275">
        <v>-0.99947609999999998</v>
      </c>
      <c r="N2275">
        <v>-7.6462730000000003E-3</v>
      </c>
      <c r="O2275">
        <v>3.1451310000000003E-2</v>
      </c>
      <c r="P2275">
        <v>-0.99843800000000005</v>
      </c>
      <c r="Q2275">
        <v>-5.4823179999999999E-2</v>
      </c>
      <c r="R2275">
        <v>-1.0778060000000001E-2</v>
      </c>
      <c r="S2275">
        <v>-2.98848</v>
      </c>
      <c r="T2275">
        <v>-0.35490500000000003</v>
      </c>
      <c r="U2275">
        <v>0.29190060000000001</v>
      </c>
      <c r="V2275">
        <v>-4.2161770000000001E-2</v>
      </c>
      <c r="W2275">
        <v>-4.7206329999999998E-2</v>
      </c>
      <c r="X2275">
        <v>0.99799499999999997</v>
      </c>
      <c r="Y2275">
        <v>6.5566879999999994E-2</v>
      </c>
      <c r="Z2275">
        <v>6.5060960000000001E-4</v>
      </c>
      <c r="AA2275">
        <v>0.99784799999999996</v>
      </c>
      <c r="AB2275">
        <v>19</v>
      </c>
      <c r="AC2275">
        <v>-0.569699999999983</v>
      </c>
      <c r="AD2275">
        <v>-8.9212999999999695E-2</v>
      </c>
      <c r="AE2275">
        <v>6.8100000000015301E-2</v>
      </c>
      <c r="AF2275">
        <v>4.8964168020363102E-2</v>
      </c>
      <c r="AG2275">
        <v>-8.9212999999999695E-2</v>
      </c>
      <c r="AH2275">
        <v>0.558067648272498</v>
      </c>
      <c r="AI2275">
        <v>99.048303923917203</v>
      </c>
      <c r="AJ2275">
        <v>84.985779220002897</v>
      </c>
      <c r="AK2275">
        <v>0.56727061369977805</v>
      </c>
      <c r="AL2275">
        <v>92.705728937135206</v>
      </c>
      <c r="AM2275">
        <v>92.419106175843396</v>
      </c>
      <c r="AN2275">
        <v>1.0000000362332999</v>
      </c>
    </row>
    <row r="2276" spans="1:40" x14ac:dyDescent="0.25">
      <c r="A2276" t="str">
        <f>"20190303154141515"</f>
        <v>20190303154141515</v>
      </c>
      <c r="B2276" t="str">
        <f>"1551598901511520"</f>
        <v>1551598901511520</v>
      </c>
      <c r="C2276" t="s">
        <v>40</v>
      </c>
      <c r="D2276">
        <v>6.2279519999999904</v>
      </c>
      <c r="E2276">
        <v>0.54629530000000004</v>
      </c>
      <c r="F2276" t="s">
        <v>42</v>
      </c>
      <c r="G2276">
        <v>-219.51849999999999</v>
      </c>
      <c r="H2276">
        <v>1.0407630000000001</v>
      </c>
      <c r="I2276">
        <v>282.61799999999999</v>
      </c>
      <c r="J2276">
        <v>-218.96289999999999</v>
      </c>
      <c r="K2276">
        <v>1.1206259999999999</v>
      </c>
      <c r="L2276">
        <v>282.5419</v>
      </c>
      <c r="M2276">
        <v>-0.9994866</v>
      </c>
      <c r="N2276">
        <v>-7.4058700000000002E-3</v>
      </c>
      <c r="O2276">
        <v>3.1174449999999999E-2</v>
      </c>
      <c r="P2276">
        <v>-0.99847900000000001</v>
      </c>
      <c r="Q2276">
        <v>-5.411945E-2</v>
      </c>
      <c r="R2276">
        <v>-1.0545479999999999E-2</v>
      </c>
      <c r="S2276">
        <v>-2.9906160000000002</v>
      </c>
      <c r="T2276">
        <v>-0.32040039999999997</v>
      </c>
      <c r="U2276">
        <v>0.32705689999999998</v>
      </c>
      <c r="V2276">
        <v>-4.1653490000000001E-2</v>
      </c>
      <c r="W2276">
        <v>-4.6742760000000001E-2</v>
      </c>
      <c r="X2276">
        <v>0.99803810000000004</v>
      </c>
      <c r="Y2276">
        <v>7.7354329999999999E-2</v>
      </c>
      <c r="Z2276">
        <v>1.31883E-3</v>
      </c>
      <c r="AA2276">
        <v>0.99700279999999997</v>
      </c>
      <c r="AB2276">
        <v>19</v>
      </c>
      <c r="AC2276">
        <v>-0.55559999999999798</v>
      </c>
      <c r="AD2276">
        <v>-7.9863000000000198E-2</v>
      </c>
      <c r="AE2276">
        <v>7.6099999999996698E-2</v>
      </c>
      <c r="AF2276">
        <v>5.7574332882398001E-2</v>
      </c>
      <c r="AG2276">
        <v>-7.9863000000000198E-2</v>
      </c>
      <c r="AH2276">
        <v>0.54661632044459996</v>
      </c>
      <c r="AI2276">
        <v>98.267251711302706</v>
      </c>
      <c r="AJ2276">
        <v>83.987285487007696</v>
      </c>
      <c r="AK2276">
        <v>0.555411833104271</v>
      </c>
      <c r="AL2276">
        <v>92.679139147341701</v>
      </c>
      <c r="AM2276">
        <v>92.389873643657793</v>
      </c>
      <c r="AN2276">
        <v>0.999999973946603</v>
      </c>
    </row>
    <row r="2277" spans="1:40" x14ac:dyDescent="0.25">
      <c r="A2277" t="str">
        <f>"20190303154141537"</f>
        <v>20190303154141537</v>
      </c>
      <c r="B2277" t="str">
        <f>"1551598901532016"</f>
        <v>1551598901532016</v>
      </c>
      <c r="C2277" t="s">
        <v>40</v>
      </c>
      <c r="D2277">
        <v>6.0227529999999998</v>
      </c>
      <c r="E2277">
        <v>0.54758980000000002</v>
      </c>
      <c r="F2277" t="s">
        <v>42</v>
      </c>
      <c r="G2277">
        <v>-219.69390000000001</v>
      </c>
      <c r="H2277">
        <v>1.045703</v>
      </c>
      <c r="I2277">
        <v>282.62459999999999</v>
      </c>
      <c r="J2277">
        <v>-219.15309999999999</v>
      </c>
      <c r="K2277">
        <v>1.1206100000000001</v>
      </c>
      <c r="L2277">
        <v>282.54750000000001</v>
      </c>
      <c r="M2277">
        <v>-0.99949739999999998</v>
      </c>
      <c r="N2277">
        <v>-7.1823E-3</v>
      </c>
      <c r="O2277">
        <v>3.088113E-2</v>
      </c>
      <c r="P2277">
        <v>-0.99848879999999995</v>
      </c>
      <c r="Q2277">
        <v>-5.4070109999999998E-2</v>
      </c>
      <c r="R2277">
        <v>-9.8412099999999995E-3</v>
      </c>
      <c r="S2277">
        <v>-2.9915159999999998</v>
      </c>
      <c r="T2277">
        <v>-0.3065774</v>
      </c>
      <c r="U2277">
        <v>0.33868409999999999</v>
      </c>
      <c r="V2277">
        <v>-4.0655160000000003E-2</v>
      </c>
      <c r="W2277">
        <v>-4.6917100000000003E-2</v>
      </c>
      <c r="X2277">
        <v>0.99807109999999999</v>
      </c>
      <c r="Y2277">
        <v>8.1443790000000002E-2</v>
      </c>
      <c r="Z2277">
        <v>1.519341E-3</v>
      </c>
      <c r="AA2277">
        <v>0.99667680000000003</v>
      </c>
      <c r="AB2277">
        <v>19</v>
      </c>
      <c r="AC2277">
        <v>-0.54080000000001804</v>
      </c>
      <c r="AD2277">
        <v>-7.4907000000000001E-2</v>
      </c>
      <c r="AE2277">
        <v>7.7099999999972996E-2</v>
      </c>
      <c r="AF2277">
        <v>5.9248223940418697E-2</v>
      </c>
      <c r="AG2277">
        <v>-7.4907000000000001E-2</v>
      </c>
      <c r="AH2277">
        <v>0.53290275470320603</v>
      </c>
      <c r="AI2277">
        <v>97.952938001819803</v>
      </c>
      <c r="AJ2277">
        <v>83.655899214886404</v>
      </c>
      <c r="AK2277">
        <v>0.54139334744653</v>
      </c>
      <c r="AL2277">
        <v>92.6891390258413</v>
      </c>
      <c r="AM2277">
        <v>92.332581355651101</v>
      </c>
      <c r="AN2277">
        <v>0.99999998848112204</v>
      </c>
    </row>
    <row r="2278" spans="1:40" x14ac:dyDescent="0.25">
      <c r="A2278" t="str">
        <f>"20190303154141561"</f>
        <v>20190303154141561</v>
      </c>
      <c r="B2278" t="str">
        <f>"1551598901551536"</f>
        <v>1551598901551536</v>
      </c>
      <c r="C2278" t="s">
        <v>40</v>
      </c>
      <c r="D2278">
        <v>6.0200180000000003</v>
      </c>
      <c r="E2278">
        <v>0.54857749999999905</v>
      </c>
      <c r="F2278" t="s">
        <v>42</v>
      </c>
      <c r="G2278">
        <v>-220.0368</v>
      </c>
      <c r="H2278">
        <v>1.033698</v>
      </c>
      <c r="I2278">
        <v>282.65129999999999</v>
      </c>
      <c r="J2278">
        <v>-219.36070000000001</v>
      </c>
      <c r="K2278">
        <v>1.1205959999999999</v>
      </c>
      <c r="L2278">
        <v>282.55349999999999</v>
      </c>
      <c r="M2278">
        <v>-0.99950950000000005</v>
      </c>
      <c r="N2278">
        <v>-6.9604000000000003E-3</v>
      </c>
      <c r="O2278">
        <v>3.053612E-2</v>
      </c>
      <c r="P2278">
        <v>-0.99846020000000002</v>
      </c>
      <c r="Q2278">
        <v>-5.4690870000000003E-2</v>
      </c>
      <c r="R2278">
        <v>-9.2871410000000005E-3</v>
      </c>
      <c r="S2278">
        <v>-2.9920499999999999</v>
      </c>
      <c r="T2278">
        <v>-0.29445589999999999</v>
      </c>
      <c r="U2278">
        <v>0.35095209999999999</v>
      </c>
      <c r="V2278">
        <v>-3.9753589999999998E-2</v>
      </c>
      <c r="W2278">
        <v>-4.776072E-2</v>
      </c>
      <c r="X2278">
        <v>0.99806740000000005</v>
      </c>
      <c r="Y2278">
        <v>8.5800589999999996E-2</v>
      </c>
      <c r="Z2278">
        <v>1.72328E-3</v>
      </c>
      <c r="AA2278">
        <v>0.99631080000000005</v>
      </c>
      <c r="AB2278">
        <v>20</v>
      </c>
      <c r="AC2278">
        <v>-0.67609999999999004</v>
      </c>
      <c r="AD2278">
        <v>-8.6897999999999906E-2</v>
      </c>
      <c r="AE2278">
        <v>9.7800000000006507E-2</v>
      </c>
      <c r="AF2278">
        <v>7.5880600448390206E-2</v>
      </c>
      <c r="AG2278">
        <v>-8.6897999999999906E-2</v>
      </c>
      <c r="AH2278">
        <v>0.66796292413535496</v>
      </c>
      <c r="AI2278">
        <v>97.365363602947099</v>
      </c>
      <c r="AJ2278">
        <v>83.518982198112994</v>
      </c>
      <c r="AK2278">
        <v>0.67785219328985202</v>
      </c>
      <c r="AL2278">
        <v>92.737529154813004</v>
      </c>
      <c r="AM2278">
        <v>92.280917663423295</v>
      </c>
      <c r="AN2278">
        <v>0.99999998461778306</v>
      </c>
    </row>
    <row r="2279" spans="1:40" x14ac:dyDescent="0.25">
      <c r="A2279" t="str">
        <f>"20190303154141582"</f>
        <v>20190303154141582</v>
      </c>
      <c r="B2279" t="str">
        <f>"1551598901572031"</f>
        <v>1551598901572031</v>
      </c>
      <c r="C2279" t="s">
        <v>40</v>
      </c>
      <c r="D2279">
        <v>6.1945579999999998</v>
      </c>
      <c r="E2279">
        <v>0.54827959999999998</v>
      </c>
      <c r="F2279" t="s">
        <v>42</v>
      </c>
      <c r="G2279">
        <v>-220.215</v>
      </c>
      <c r="H2279">
        <v>1.038354</v>
      </c>
      <c r="I2279">
        <v>282.65649999999999</v>
      </c>
      <c r="J2279">
        <v>-219.5556</v>
      </c>
      <c r="K2279">
        <v>1.1205959999999999</v>
      </c>
      <c r="L2279">
        <v>282.5591</v>
      </c>
      <c r="M2279">
        <v>-0.99952129999999995</v>
      </c>
      <c r="N2279">
        <v>-6.7735E-3</v>
      </c>
      <c r="O2279">
        <v>3.0189690000000002E-2</v>
      </c>
      <c r="P2279">
        <v>-0.99843930000000003</v>
      </c>
      <c r="Q2279">
        <v>-5.5137310000000002E-2</v>
      </c>
      <c r="R2279">
        <v>-8.8758659999999996E-3</v>
      </c>
      <c r="S2279">
        <v>-2.9921720000000001</v>
      </c>
      <c r="T2279">
        <v>-0.28816930000000002</v>
      </c>
      <c r="U2279">
        <v>0.36026000000000002</v>
      </c>
      <c r="V2279">
        <v>-3.8993779999999999E-2</v>
      </c>
      <c r="W2279">
        <v>-4.8395130000000001E-2</v>
      </c>
      <c r="X2279">
        <v>0.99806680000000003</v>
      </c>
      <c r="Y2279">
        <v>8.9192469999999996E-2</v>
      </c>
      <c r="Z2279">
        <v>1.8882860000000001E-3</v>
      </c>
      <c r="AA2279">
        <v>0.99601260000000003</v>
      </c>
      <c r="AB2279">
        <v>20</v>
      </c>
      <c r="AC2279">
        <v>-0.65940000000000498</v>
      </c>
      <c r="AD2279">
        <v>-8.2241999999999899E-2</v>
      </c>
      <c r="AE2279">
        <v>9.73999999999932E-2</v>
      </c>
      <c r="AF2279">
        <v>7.6286710672442096E-2</v>
      </c>
      <c r="AG2279">
        <v>-8.2241999999999899E-2</v>
      </c>
      <c r="AH2279">
        <v>0.65211250275618404</v>
      </c>
      <c r="AI2279">
        <v>97.139800181143102</v>
      </c>
      <c r="AJ2279">
        <v>83.327639491673594</v>
      </c>
      <c r="AK2279">
        <v>0.66169035435024603</v>
      </c>
      <c r="AL2279">
        <v>92.773920294118099</v>
      </c>
      <c r="AM2279">
        <v>92.237368583774796</v>
      </c>
      <c r="AN2279">
        <v>0.99999997037432198</v>
      </c>
    </row>
    <row r="2280" spans="1:40" x14ac:dyDescent="0.25">
      <c r="A2280" t="str">
        <f>"20190303154141604"</f>
        <v>20190303154141604</v>
      </c>
      <c r="B2280" t="str">
        <f>"1551598901591552"</f>
        <v>1551598901591552</v>
      </c>
      <c r="C2280" t="s">
        <v>40</v>
      </c>
      <c r="D2280">
        <v>5.9910160000000001</v>
      </c>
      <c r="E2280">
        <v>0.54885499999999998</v>
      </c>
      <c r="F2280" t="s">
        <v>42</v>
      </c>
      <c r="G2280">
        <v>-220.39240000000001</v>
      </c>
      <c r="H2280">
        <v>1.0390509999999999</v>
      </c>
      <c r="I2280">
        <v>282.65949999999998</v>
      </c>
      <c r="J2280">
        <v>-219.7397</v>
      </c>
      <c r="K2280">
        <v>1.1205989999999999</v>
      </c>
      <c r="L2280">
        <v>282.56420000000003</v>
      </c>
      <c r="M2280">
        <v>-0.99953289999999995</v>
      </c>
      <c r="N2280">
        <v>-6.6171729999999996E-3</v>
      </c>
      <c r="O2280">
        <v>2.983659E-2</v>
      </c>
      <c r="P2280">
        <v>-0.99844820000000001</v>
      </c>
      <c r="Q2280">
        <v>-5.5080940000000002E-2</v>
      </c>
      <c r="R2280">
        <v>-8.2044089999999993E-3</v>
      </c>
      <c r="S2280">
        <v>-2.9917910000000001</v>
      </c>
      <c r="T2280">
        <v>-0.29146539999999999</v>
      </c>
      <c r="U2280">
        <v>0.35910029999999998</v>
      </c>
      <c r="V2280">
        <v>-3.7967979999999998E-2</v>
      </c>
      <c r="W2280">
        <v>-4.8495879999999998E-2</v>
      </c>
      <c r="X2280">
        <v>0.99810149999999997</v>
      </c>
      <c r="Y2280">
        <v>8.9171799999999996E-2</v>
      </c>
      <c r="Z2280">
        <v>1.923264E-3</v>
      </c>
      <c r="AA2280">
        <v>0.99601439999999997</v>
      </c>
      <c r="AB2280">
        <v>20</v>
      </c>
      <c r="AC2280">
        <v>-0.65270000000000905</v>
      </c>
      <c r="AD2280">
        <v>-8.1547999999999898E-2</v>
      </c>
      <c r="AE2280">
        <v>9.5299999999951895E-2</v>
      </c>
      <c r="AF2280">
        <v>7.4641970355481493E-2</v>
      </c>
      <c r="AG2280">
        <v>-8.1547999999999898E-2</v>
      </c>
      <c r="AH2280">
        <v>0.64538874056272399</v>
      </c>
      <c r="AI2280">
        <v>97.154247375078796</v>
      </c>
      <c r="AJ2280">
        <v>83.402808148672506</v>
      </c>
      <c r="AK2280">
        <v>0.65478861206322703</v>
      </c>
      <c r="AL2280">
        <v>92.7796995167445</v>
      </c>
      <c r="AM2280">
        <v>92.178492477200606</v>
      </c>
      <c r="AN2280">
        <v>1.00000001109225</v>
      </c>
    </row>
    <row r="2281" spans="1:40" x14ac:dyDescent="0.25">
      <c r="A2281" t="str">
        <f>"20190303154141626"</f>
        <v>20190303154141626</v>
      </c>
      <c r="B2281" t="str">
        <f>"1551598901621807"</f>
        <v>1551598901621807</v>
      </c>
      <c r="C2281" t="s">
        <v>40</v>
      </c>
      <c r="D2281">
        <v>6.0182880000000001</v>
      </c>
      <c r="E2281">
        <v>0.5495352</v>
      </c>
      <c r="F2281" t="s">
        <v>42</v>
      </c>
      <c r="G2281">
        <v>-220.57140000000001</v>
      </c>
      <c r="H2281">
        <v>1.041361</v>
      </c>
      <c r="I2281">
        <v>282.666</v>
      </c>
      <c r="J2281">
        <v>-219.94720000000001</v>
      </c>
      <c r="K2281">
        <v>1.1206149999999999</v>
      </c>
      <c r="L2281">
        <v>282.56990000000002</v>
      </c>
      <c r="M2281">
        <v>-0.99954699999999996</v>
      </c>
      <c r="N2281">
        <v>-6.460861E-3</v>
      </c>
      <c r="O2281">
        <v>2.9399680000000001E-2</v>
      </c>
      <c r="P2281">
        <v>-0.99843930000000003</v>
      </c>
      <c r="Q2281">
        <v>-5.5308120000000002E-2</v>
      </c>
      <c r="R2281">
        <v>-7.7673580000000002E-3</v>
      </c>
      <c r="S2281">
        <v>-2.991959</v>
      </c>
      <c r="T2281">
        <v>-0.28515289999999999</v>
      </c>
      <c r="U2281">
        <v>0.3657532</v>
      </c>
      <c r="V2281">
        <v>-3.7092029999999998E-2</v>
      </c>
      <c r="W2281">
        <v>-4.8880850000000003E-2</v>
      </c>
      <c r="X2281">
        <v>0.99811570000000005</v>
      </c>
      <c r="Y2281">
        <v>9.1782900000000001E-2</v>
      </c>
      <c r="Z2281">
        <v>2.0512500000000001E-3</v>
      </c>
      <c r="AA2281">
        <v>0.99577700000000002</v>
      </c>
      <c r="AB2281">
        <v>20</v>
      </c>
      <c r="AC2281">
        <v>-0.62420000000000098</v>
      </c>
      <c r="AD2281">
        <v>-7.9253999999999894E-2</v>
      </c>
      <c r="AE2281">
        <v>9.6099999999978494E-2</v>
      </c>
      <c r="AF2281">
        <v>7.6502055015809894E-2</v>
      </c>
      <c r="AG2281">
        <v>-7.9253999999999894E-2</v>
      </c>
      <c r="AH2281">
        <v>0.61703851414064403</v>
      </c>
      <c r="AI2281">
        <v>97.264125218055</v>
      </c>
      <c r="AJ2281">
        <v>82.932385295982598</v>
      </c>
      <c r="AK2281">
        <v>0.62679365733113201</v>
      </c>
      <c r="AL2281">
        <v>92.801782744727802</v>
      </c>
      <c r="AM2281">
        <v>92.1282495219167</v>
      </c>
      <c r="AN2281">
        <v>1.00000005338636</v>
      </c>
    </row>
    <row r="2282" spans="1:40" x14ac:dyDescent="0.25">
      <c r="A2282" t="str">
        <f>"20190303154141651"</f>
        <v>20190303154141651</v>
      </c>
      <c r="B2282" t="str">
        <f>"1551598901641329"</f>
        <v>1551598901641329</v>
      </c>
      <c r="C2282" t="s">
        <v>40</v>
      </c>
      <c r="D2282">
        <v>6.1970910000000003</v>
      </c>
      <c r="E2282">
        <v>0.54916719999999997</v>
      </c>
      <c r="F2282" t="s">
        <v>42</v>
      </c>
      <c r="G2282">
        <v>-220.75229999999999</v>
      </c>
      <c r="H2282">
        <v>1.045439</v>
      </c>
      <c r="I2282">
        <v>282.67039999999997</v>
      </c>
      <c r="J2282">
        <v>-220.15880000000001</v>
      </c>
      <c r="K2282">
        <v>1.1206320000000001</v>
      </c>
      <c r="L2282">
        <v>282.57560000000001</v>
      </c>
      <c r="M2282">
        <v>-0.99956239999999996</v>
      </c>
      <c r="N2282">
        <v>-6.3108050000000001E-3</v>
      </c>
      <c r="O2282">
        <v>2.8904820000000001E-2</v>
      </c>
      <c r="P2282">
        <v>-0.99845340000000005</v>
      </c>
      <c r="Q2282">
        <v>-5.509058E-2</v>
      </c>
      <c r="R2282">
        <v>-7.4794969999999999E-3</v>
      </c>
      <c r="S2282">
        <v>-2.9920960000000001</v>
      </c>
      <c r="T2282">
        <v>-0.27970119999999998</v>
      </c>
      <c r="U2282">
        <v>0.37274170000000001</v>
      </c>
      <c r="V2282">
        <v>-3.630684E-2</v>
      </c>
      <c r="W2282">
        <v>-4.8815160000000003E-2</v>
      </c>
      <c r="X2282">
        <v>0.99814769999999997</v>
      </c>
      <c r="Y2282">
        <v>9.4558909999999996E-2</v>
      </c>
      <c r="Z2282">
        <v>2.190507E-3</v>
      </c>
      <c r="AA2282">
        <v>0.99551679999999998</v>
      </c>
      <c r="AB2282">
        <v>20</v>
      </c>
      <c r="AC2282">
        <v>-0.59349999999997705</v>
      </c>
      <c r="AD2282">
        <v>-7.5192999999999996E-2</v>
      </c>
      <c r="AE2282">
        <v>9.4799999999963802E-2</v>
      </c>
      <c r="AF2282">
        <v>7.6409077864877398E-2</v>
      </c>
      <c r="AG2282">
        <v>-7.5192999999999996E-2</v>
      </c>
      <c r="AH2282">
        <v>0.58680748458730203</v>
      </c>
      <c r="AI2282">
        <v>97.241563826343096</v>
      </c>
      <c r="AJ2282">
        <v>82.581172000001899</v>
      </c>
      <c r="AK2282">
        <v>0.59651936967447905</v>
      </c>
      <c r="AL2282">
        <v>92.798014723728599</v>
      </c>
      <c r="AM2282">
        <v>92.083170645248003</v>
      </c>
      <c r="AN2282">
        <v>0.99999996874594999</v>
      </c>
    </row>
    <row r="2283" spans="1:40" x14ac:dyDescent="0.25">
      <c r="A2283" t="str">
        <f>"20190303154141673"</f>
        <v>20190303154141673</v>
      </c>
      <c r="B2283" t="str">
        <f>"1551598901661824"</f>
        <v>1551598901661824</v>
      </c>
      <c r="C2283" t="s">
        <v>40</v>
      </c>
      <c r="D2283">
        <v>6.1795</v>
      </c>
      <c r="E2283">
        <v>0.54818350000000005</v>
      </c>
      <c r="F2283" t="s">
        <v>42</v>
      </c>
      <c r="G2283">
        <v>-220.93350000000001</v>
      </c>
      <c r="H2283">
        <v>1.0479889999999901</v>
      </c>
      <c r="I2283">
        <v>282.67169999999999</v>
      </c>
      <c r="J2283">
        <v>-220.363</v>
      </c>
      <c r="K2283">
        <v>1.1206480000000001</v>
      </c>
      <c r="L2283">
        <v>282.58100000000002</v>
      </c>
      <c r="M2283">
        <v>-0.99957850000000004</v>
      </c>
      <c r="N2283">
        <v>-6.1638889999999997E-3</v>
      </c>
      <c r="O2283">
        <v>2.8374340000000001E-2</v>
      </c>
      <c r="P2283">
        <v>-0.99845539999999999</v>
      </c>
      <c r="Q2283">
        <v>-5.5054829999999999E-2</v>
      </c>
      <c r="R2283">
        <v>-7.4917269999999897E-3</v>
      </c>
      <c r="S2283">
        <v>-2.991959</v>
      </c>
      <c r="T2283">
        <v>-0.28068100000000001</v>
      </c>
      <c r="U2283">
        <v>0.37051390000000001</v>
      </c>
      <c r="V2283">
        <v>-3.5784990000000003E-2</v>
      </c>
      <c r="W2283">
        <v>-4.8928609999999997E-2</v>
      </c>
      <c r="X2283">
        <v>0.99816099999999996</v>
      </c>
      <c r="Y2283">
        <v>9.4360589999999994E-2</v>
      </c>
      <c r="Z2283">
        <v>2.2216900000000001E-3</v>
      </c>
      <c r="AA2283">
        <v>0.99553559999999996</v>
      </c>
      <c r="AB2283">
        <v>20</v>
      </c>
      <c r="AC2283">
        <v>-0.570500000000009</v>
      </c>
      <c r="AD2283">
        <v>-7.2659000000000001E-2</v>
      </c>
      <c r="AE2283">
        <v>9.0700000000026607E-2</v>
      </c>
      <c r="AF2283">
        <v>7.3315704669024498E-2</v>
      </c>
      <c r="AG2283">
        <v>-7.2659000000000001E-2</v>
      </c>
      <c r="AH2283">
        <v>0.563922222177487</v>
      </c>
      <c r="AI2283">
        <v>97.281257141682005</v>
      </c>
      <c r="AJ2283">
        <v>82.592506795398606</v>
      </c>
      <c r="AK2283">
        <v>0.57329119607552903</v>
      </c>
      <c r="AL2283">
        <v>92.804522680395706</v>
      </c>
      <c r="AM2283">
        <v>92.053227036879903</v>
      </c>
      <c r="AN2283">
        <v>0.99999997815341501</v>
      </c>
    </row>
    <row r="2284" spans="1:40" x14ac:dyDescent="0.25">
      <c r="A2284" t="str">
        <f>"20190303154141694"</f>
        <v>20190303154141694</v>
      </c>
      <c r="B2284" t="str">
        <f>"1551598901681343"</f>
        <v>1551598901681343</v>
      </c>
      <c r="C2284" t="s">
        <v>40</v>
      </c>
      <c r="D2284">
        <v>6.173718</v>
      </c>
      <c r="E2284">
        <v>0.54741209999999996</v>
      </c>
      <c r="F2284" t="s">
        <v>42</v>
      </c>
      <c r="G2284">
        <v>-221.1147</v>
      </c>
      <c r="H2284">
        <v>1.0484960000000001</v>
      </c>
      <c r="I2284">
        <v>282.67230000000001</v>
      </c>
      <c r="J2284">
        <v>-220.5497</v>
      </c>
      <c r="K2284">
        <v>1.120652</v>
      </c>
      <c r="L2284">
        <v>282.5856</v>
      </c>
      <c r="M2284">
        <v>-0.99959439999999999</v>
      </c>
      <c r="N2284">
        <v>-6.0228950000000003E-3</v>
      </c>
      <c r="O2284">
        <v>2.784056E-2</v>
      </c>
      <c r="P2284">
        <v>-0.99844999999999995</v>
      </c>
      <c r="Q2284">
        <v>-5.4990949999999997E-2</v>
      </c>
      <c r="R2284">
        <v>-8.5920300000000005E-3</v>
      </c>
      <c r="S2284">
        <v>-2.9915159999999998</v>
      </c>
      <c r="T2284">
        <v>-0.28734310000000002</v>
      </c>
      <c r="U2284">
        <v>0.36267090000000002</v>
      </c>
      <c r="V2284">
        <v>-3.6347900000000002E-2</v>
      </c>
      <c r="W2284">
        <v>-4.9008990000000002E-2</v>
      </c>
      <c r="X2284">
        <v>0.99813680000000005</v>
      </c>
      <c r="Y2284">
        <v>9.2332269999999994E-2</v>
      </c>
      <c r="Z2284">
        <v>2.197732E-3</v>
      </c>
      <c r="AA2284">
        <v>0.99572579999999999</v>
      </c>
      <c r="AB2284">
        <v>20</v>
      </c>
      <c r="AC2284">
        <v>-0.56499999999999695</v>
      </c>
      <c r="AD2284">
        <v>-7.2156000000000095E-2</v>
      </c>
      <c r="AE2284">
        <v>8.6700000000007493E-2</v>
      </c>
      <c r="AF2284">
        <v>6.98235846517304E-2</v>
      </c>
      <c r="AG2284">
        <v>-7.2156000000000095E-2</v>
      </c>
      <c r="AH2284">
        <v>0.55829856267706102</v>
      </c>
      <c r="AI2284">
        <v>97.307929399798795</v>
      </c>
      <c r="AJ2284">
        <v>82.871319285721299</v>
      </c>
      <c r="AK2284">
        <v>0.56725576805960198</v>
      </c>
      <c r="AL2284">
        <v>92.809133413446105</v>
      </c>
      <c r="AM2284">
        <v>92.085547212422</v>
      </c>
      <c r="AN2284">
        <v>1.00000006122473</v>
      </c>
    </row>
    <row r="2285" spans="1:40" x14ac:dyDescent="0.25">
      <c r="A2285" t="str">
        <f>"20190303154141716"</f>
        <v>20190303154141716</v>
      </c>
      <c r="B2285" t="str">
        <f>"1551598901711600"</f>
        <v>1551598901711600</v>
      </c>
      <c r="C2285" t="s">
        <v>40</v>
      </c>
      <c r="D2285">
        <v>6.091469</v>
      </c>
      <c r="E2285">
        <v>0.51180939999999997</v>
      </c>
      <c r="F2285" t="s">
        <v>42</v>
      </c>
      <c r="G2285">
        <v>-221.2963</v>
      </c>
      <c r="H2285">
        <v>1.0475810000000001</v>
      </c>
      <c r="I2285">
        <v>282.67410000000001</v>
      </c>
      <c r="J2285">
        <v>-220.75710000000001</v>
      </c>
      <c r="K2285">
        <v>1.1206670000000001</v>
      </c>
      <c r="L2285">
        <v>282.59070000000003</v>
      </c>
      <c r="M2285">
        <v>-0.99961299999999997</v>
      </c>
      <c r="N2285">
        <v>-5.8547449999999997E-3</v>
      </c>
      <c r="O2285">
        <v>2.7194780000000002E-2</v>
      </c>
      <c r="P2285">
        <v>-0.99841729999999995</v>
      </c>
      <c r="Q2285">
        <v>-5.5328380000000003E-2</v>
      </c>
      <c r="R2285">
        <v>-1.009093E-2</v>
      </c>
      <c r="S2285">
        <v>-2.9915470000000002</v>
      </c>
      <c r="T2285">
        <v>-0.29313669999999997</v>
      </c>
      <c r="U2285">
        <v>0.35327150000000002</v>
      </c>
      <c r="V2285">
        <v>-3.7195560000000003E-2</v>
      </c>
      <c r="W2285">
        <v>-4.9518670000000001E-2</v>
      </c>
      <c r="X2285">
        <v>0.99808039999999998</v>
      </c>
      <c r="Y2285">
        <v>8.9887510000000004E-2</v>
      </c>
      <c r="Z2285">
        <v>2.1534750000000002E-3</v>
      </c>
      <c r="AA2285">
        <v>0.99594959999999999</v>
      </c>
      <c r="AB2285">
        <v>20</v>
      </c>
      <c r="AC2285">
        <v>-0.53919999999999302</v>
      </c>
      <c r="AD2285">
        <v>-7.3086000000000206E-2</v>
      </c>
      <c r="AE2285">
        <v>8.3399999999983196E-2</v>
      </c>
      <c r="AF2285">
        <v>6.7494408381965798E-2</v>
      </c>
      <c r="AG2285">
        <v>-7.3086000000000206E-2</v>
      </c>
      <c r="AH2285">
        <v>0.531727735697066</v>
      </c>
      <c r="AI2285">
        <v>97.764732532783</v>
      </c>
      <c r="AJ2285">
        <v>82.765895997941996</v>
      </c>
      <c r="AK2285">
        <v>0.54095419720005899</v>
      </c>
      <c r="AL2285">
        <v>92.838371467165203</v>
      </c>
      <c r="AM2285">
        <v>92.134259745239802</v>
      </c>
      <c r="AN2285">
        <v>1.00000004661322</v>
      </c>
    </row>
    <row r="2286" spans="1:40" x14ac:dyDescent="0.25">
      <c r="A2286" t="str">
        <f>"20190303154141731"</f>
        <v>20190303154141731</v>
      </c>
      <c r="B2286" t="str">
        <f>"1551598901721360"</f>
        <v>1551598901721360</v>
      </c>
      <c r="C2286" t="s">
        <v>40</v>
      </c>
      <c r="D2286">
        <v>6.1220049999999997</v>
      </c>
      <c r="E2286">
        <v>0.50974430000000004</v>
      </c>
      <c r="F2286" t="s">
        <v>42</v>
      </c>
      <c r="G2286">
        <v>-221.66079999999999</v>
      </c>
      <c r="H2286">
        <v>1.035169</v>
      </c>
      <c r="I2286">
        <v>282.6105</v>
      </c>
      <c r="J2286">
        <v>-220.89490000000001</v>
      </c>
      <c r="K2286">
        <v>1.1206670000000001</v>
      </c>
      <c r="L2286">
        <v>282.59399999999999</v>
      </c>
      <c r="M2286">
        <v>-0.99962620000000002</v>
      </c>
      <c r="N2286">
        <v>-5.7363910000000004E-3</v>
      </c>
      <c r="O2286">
        <v>2.673234E-2</v>
      </c>
      <c r="P2286">
        <v>-0.99839339999999999</v>
      </c>
      <c r="Q2286">
        <v>-5.5584590000000003E-2</v>
      </c>
      <c r="R2286">
        <v>-1.101135E-2</v>
      </c>
      <c r="S2286">
        <v>-2.9897309999999999</v>
      </c>
      <c r="T2286">
        <v>-0.28304820000000003</v>
      </c>
      <c r="U2286">
        <v>6.4910889999999999E-2</v>
      </c>
      <c r="V2286">
        <v>-3.7650320000000001E-2</v>
      </c>
      <c r="W2286">
        <v>-4.989582E-2</v>
      </c>
      <c r="X2286">
        <v>0.9980445</v>
      </c>
      <c r="Y2286">
        <v>-4.899446E-3</v>
      </c>
      <c r="Z2286">
        <v>-2.6169259999999999E-3</v>
      </c>
      <c r="AA2286">
        <v>0.9999846</v>
      </c>
      <c r="AB2286">
        <v>21</v>
      </c>
      <c r="AC2286">
        <v>-0.76589999999998704</v>
      </c>
      <c r="AD2286">
        <v>-8.5498000000000005E-2</v>
      </c>
      <c r="AE2286">
        <v>1.6500000000007699E-2</v>
      </c>
      <c r="AF2286">
        <v>-3.9315621252607796E-3</v>
      </c>
      <c r="AG2286">
        <v>-8.5498000000000005E-2</v>
      </c>
      <c r="AH2286">
        <v>0.75664289394085604</v>
      </c>
      <c r="AI2286">
        <v>96.446790793053793</v>
      </c>
      <c r="AJ2286">
        <v>90.297709647737605</v>
      </c>
      <c r="AK2286">
        <v>0.76146820953729799</v>
      </c>
      <c r="AL2286">
        <v>92.860007500859993</v>
      </c>
      <c r="AM2286">
        <v>92.160406670586397</v>
      </c>
      <c r="AN2286">
        <v>0.999999981714912</v>
      </c>
    </row>
    <row r="2287" spans="1:40" x14ac:dyDescent="0.25">
      <c r="A2287" t="str">
        <f>"20190303154141750"</f>
        <v>20190303154141750</v>
      </c>
      <c r="B2287" t="str">
        <f>"1551598901741856"</f>
        <v>1551598901741856</v>
      </c>
      <c r="C2287" t="s">
        <v>40</v>
      </c>
      <c r="D2287">
        <v>6.0903429999999998</v>
      </c>
      <c r="E2287">
        <v>0.50821479999999997</v>
      </c>
      <c r="F2287" t="s">
        <v>50</v>
      </c>
      <c r="G2287">
        <v>-232.4486</v>
      </c>
      <c r="H2287" s="1">
        <v>-1.5312739999999999E-7</v>
      </c>
      <c r="I2287">
        <v>282.7715</v>
      </c>
      <c r="J2287">
        <v>-221.06880000000001</v>
      </c>
      <c r="K2287">
        <v>1.120657</v>
      </c>
      <c r="L2287">
        <v>282.59800000000001</v>
      </c>
      <c r="M2287">
        <v>-0.99964310000000001</v>
      </c>
      <c r="N2287">
        <v>-5.5862150000000003E-3</v>
      </c>
      <c r="O2287">
        <v>2.6125679999999998E-2</v>
      </c>
      <c r="P2287">
        <v>-0.99830099999999999</v>
      </c>
      <c r="Q2287">
        <v>-5.6931669999999997E-2</v>
      </c>
      <c r="R2287">
        <v>-1.241686E-2</v>
      </c>
      <c r="S2287">
        <v>-2.989166</v>
      </c>
      <c r="T2287">
        <v>-0.28993869999999999</v>
      </c>
      <c r="U2287">
        <v>4.5928959999999998E-2</v>
      </c>
      <c r="V2287">
        <v>-3.8442610000000002E-2</v>
      </c>
      <c r="W2287">
        <v>-5.1396589999999999E-2</v>
      </c>
      <c r="X2287">
        <v>0.9979382</v>
      </c>
      <c r="Y2287">
        <v>-1.060347E-2</v>
      </c>
      <c r="Z2287">
        <v>-2.9247499999999998E-3</v>
      </c>
      <c r="AA2287">
        <v>0.99993949999999998</v>
      </c>
      <c r="AB2287">
        <v>21</v>
      </c>
      <c r="AC2287">
        <v>-11.3797999999999</v>
      </c>
      <c r="AD2287">
        <v>-1.1206571531273899</v>
      </c>
      <c r="AE2287">
        <v>0.173499999999989</v>
      </c>
      <c r="AF2287">
        <v>-0.12267941065542901</v>
      </c>
      <c r="AG2287">
        <v>-1.1206571531273899</v>
      </c>
      <c r="AH2287">
        <v>11.271167549650899</v>
      </c>
      <c r="AI2287">
        <v>95.677745602540298</v>
      </c>
      <c r="AJ2287">
        <v>90.623603089794003</v>
      </c>
      <c r="AK2287">
        <v>11.327406615150601</v>
      </c>
      <c r="AL2287">
        <v>92.946105597599299</v>
      </c>
      <c r="AM2287">
        <v>92.206059214736001</v>
      </c>
      <c r="AN2287">
        <v>1.00000004737323</v>
      </c>
    </row>
    <row r="2288" spans="1:40" x14ac:dyDescent="0.25">
      <c r="A2288" t="str">
        <f>"20190303154141773"</f>
        <v>20190303154141773</v>
      </c>
      <c r="B2288" t="str">
        <f>"1551598901761379"</f>
        <v>1551598901761379</v>
      </c>
      <c r="C2288" t="s">
        <v>40</v>
      </c>
      <c r="D2288">
        <v>6.084765</v>
      </c>
      <c r="E2288">
        <v>0.50754350000000004</v>
      </c>
      <c r="F2288" t="s">
        <v>42</v>
      </c>
      <c r="G2288">
        <v>-221.8621</v>
      </c>
      <c r="H2288">
        <v>1.0415589999999999</v>
      </c>
      <c r="I2288">
        <v>282.60590000000002</v>
      </c>
      <c r="J2288">
        <v>-221.28399999999999</v>
      </c>
      <c r="K2288">
        <v>1.120644</v>
      </c>
      <c r="L2288">
        <v>282.60270000000003</v>
      </c>
      <c r="M2288">
        <v>-0.99966440000000001</v>
      </c>
      <c r="N2288">
        <v>-5.3948019999999998E-3</v>
      </c>
      <c r="O2288">
        <v>2.5338320000000001E-2</v>
      </c>
      <c r="P2288">
        <v>-0.99825169999999996</v>
      </c>
      <c r="Q2288">
        <v>-5.7518340000000001E-2</v>
      </c>
      <c r="R2288">
        <v>-1.360364E-2</v>
      </c>
      <c r="S2288">
        <v>-2.988464</v>
      </c>
      <c r="T2288">
        <v>-0.29811259999999901</v>
      </c>
      <c r="U2288">
        <v>2.963257E-2</v>
      </c>
      <c r="V2288">
        <v>-3.8837419999999997E-2</v>
      </c>
      <c r="W2288">
        <v>-5.2177559999999998E-2</v>
      </c>
      <c r="X2288">
        <v>0.9978823</v>
      </c>
      <c r="Y2288">
        <v>-1.523327E-2</v>
      </c>
      <c r="Z2288">
        <v>-3.1837139999999998E-3</v>
      </c>
      <c r="AA2288">
        <v>0.99987890000000001</v>
      </c>
      <c r="AB2288">
        <v>21</v>
      </c>
      <c r="AC2288">
        <v>-0.57809999999997697</v>
      </c>
      <c r="AD2288">
        <v>-7.9084999999999794E-2</v>
      </c>
      <c r="AE2288">
        <v>3.19999999999254E-3</v>
      </c>
      <c r="AF2288">
        <v>-1.12389953487775E-2</v>
      </c>
      <c r="AG2288">
        <v>-7.9084999999999794E-2</v>
      </c>
      <c r="AH2288">
        <v>0.56737750912396301</v>
      </c>
      <c r="AI2288">
        <v>97.933618974953404</v>
      </c>
      <c r="AJ2288">
        <v>91.134804930038996</v>
      </c>
      <c r="AK2288">
        <v>0.5729729401125</v>
      </c>
      <c r="AL2288">
        <v>92.990912255233397</v>
      </c>
      <c r="AM2288">
        <v>92.228817686682007</v>
      </c>
      <c r="AN2288">
        <v>0.99999996380654899</v>
      </c>
    </row>
    <row r="2289" spans="1:40" x14ac:dyDescent="0.25">
      <c r="A2289" t="str">
        <f>"20190303154141794"</f>
        <v>20190303154141794</v>
      </c>
      <c r="B2289" t="str">
        <f>"1551598901791632"</f>
        <v>1551598901791632</v>
      </c>
      <c r="C2289" t="s">
        <v>40</v>
      </c>
      <c r="D2289">
        <v>6.0656739999999996</v>
      </c>
      <c r="E2289">
        <v>0.50752120000000001</v>
      </c>
      <c r="F2289" t="s">
        <v>50</v>
      </c>
      <c r="G2289">
        <v>-232.34039999999999</v>
      </c>
      <c r="H2289" s="1">
        <v>-2.067046E-7</v>
      </c>
      <c r="I2289">
        <v>282.67950000000002</v>
      </c>
      <c r="J2289">
        <v>-221.48400000000001</v>
      </c>
      <c r="K2289">
        <v>1.120633</v>
      </c>
      <c r="L2289">
        <v>282.6069</v>
      </c>
      <c r="M2289">
        <v>-0.99968460000000003</v>
      </c>
      <c r="N2289">
        <v>-5.2055519999999996E-3</v>
      </c>
      <c r="O2289">
        <v>2.4572199999999999E-2</v>
      </c>
      <c r="P2289">
        <v>-0.99821939999999998</v>
      </c>
      <c r="Q2289">
        <v>-5.7838189999999998E-2</v>
      </c>
      <c r="R2289">
        <v>-1.460098E-2</v>
      </c>
      <c r="S2289">
        <v>-2.9880979999999999</v>
      </c>
      <c r="T2289">
        <v>-0.30286489999999999</v>
      </c>
      <c r="U2289">
        <v>2.0751950000000002E-2</v>
      </c>
      <c r="V2289">
        <v>-3.9066190000000001E-2</v>
      </c>
      <c r="W2289">
        <v>-5.2688640000000002E-2</v>
      </c>
      <c r="X2289">
        <v>0.99784649999999997</v>
      </c>
      <c r="Y2289">
        <v>-1.742221E-2</v>
      </c>
      <c r="Z2289">
        <v>-3.2824519999999999E-3</v>
      </c>
      <c r="AA2289">
        <v>0.99984280000000003</v>
      </c>
      <c r="AB2289">
        <v>21</v>
      </c>
      <c r="AC2289">
        <v>-10.856399999999899</v>
      </c>
      <c r="AD2289">
        <v>-1.1206332067046001</v>
      </c>
      <c r="AE2289">
        <v>7.2600000000022605E-2</v>
      </c>
      <c r="AF2289">
        <v>-0.192143931982072</v>
      </c>
      <c r="AG2289">
        <v>-1.1206332067046001</v>
      </c>
      <c r="AH2289">
        <v>10.7404707877227</v>
      </c>
      <c r="AI2289">
        <v>95.955596248202994</v>
      </c>
      <c r="AJ2289">
        <v>91.024895682324697</v>
      </c>
      <c r="AK2289">
        <v>10.8004838232595</v>
      </c>
      <c r="AL2289">
        <v>93.020235364720605</v>
      </c>
      <c r="AM2289">
        <v>92.242013427438394</v>
      </c>
      <c r="AN2289">
        <v>0.99999994877420595</v>
      </c>
    </row>
    <row r="2290" spans="1:40" x14ac:dyDescent="0.25">
      <c r="A2290" t="str">
        <f>"20190303154141818"</f>
        <v>20190303154141818</v>
      </c>
      <c r="B2290" t="str">
        <f>"1551598901812128"</f>
        <v>1551598901812128</v>
      </c>
      <c r="C2290" t="s">
        <v>40</v>
      </c>
      <c r="D2290">
        <v>6.0486690000000003</v>
      </c>
      <c r="E2290">
        <v>0.5080635</v>
      </c>
      <c r="F2290" t="s">
        <v>50</v>
      </c>
      <c r="G2290">
        <v>-232.72710000000001</v>
      </c>
      <c r="H2290" s="1">
        <v>-6.0321529999999996E-10</v>
      </c>
      <c r="I2290">
        <v>282.67290000000003</v>
      </c>
      <c r="J2290">
        <v>-221.7029</v>
      </c>
      <c r="K2290">
        <v>1.1206149999999999</v>
      </c>
      <c r="L2290">
        <v>282.6114</v>
      </c>
      <c r="M2290">
        <v>-0.9997066</v>
      </c>
      <c r="N2290">
        <v>-4.9893369999999999E-3</v>
      </c>
      <c r="O2290">
        <v>2.37039E-2</v>
      </c>
      <c r="P2290">
        <v>-0.99822889999999997</v>
      </c>
      <c r="Q2290">
        <v>-5.745956E-2</v>
      </c>
      <c r="R2290">
        <v>-1.540822E-2</v>
      </c>
      <c r="S2290">
        <v>-2.9883730000000002</v>
      </c>
      <c r="T2290">
        <v>-0.2978594</v>
      </c>
      <c r="U2290">
        <v>1.7547610000000002E-2</v>
      </c>
      <c r="V2290">
        <v>-3.9004669999999998E-2</v>
      </c>
      <c r="W2290">
        <v>-5.252735E-2</v>
      </c>
      <c r="X2290">
        <v>0.99785749999999995</v>
      </c>
      <c r="Y2290">
        <v>-1.7635830000000002E-2</v>
      </c>
      <c r="Z2290">
        <v>-3.159406E-3</v>
      </c>
      <c r="AA2290">
        <v>0.99983949999999999</v>
      </c>
      <c r="AB2290">
        <v>21</v>
      </c>
      <c r="AC2290">
        <v>-11.0242</v>
      </c>
      <c r="AD2290">
        <v>-1.1206150006032101</v>
      </c>
      <c r="AE2290">
        <v>6.1500000000023598E-2</v>
      </c>
      <c r="AF2290">
        <v>-0.19779336156544799</v>
      </c>
      <c r="AG2290">
        <v>-1.1206150006032101</v>
      </c>
      <c r="AH2290">
        <v>10.9098343821402</v>
      </c>
      <c r="AI2290">
        <v>95.863671414960095</v>
      </c>
      <c r="AJ2290">
        <v>91.038648528331393</v>
      </c>
      <c r="AK2290">
        <v>10.96901939278</v>
      </c>
      <c r="AL2290">
        <v>93.010981042782603</v>
      </c>
      <c r="AM2290">
        <v>92.238461730460799</v>
      </c>
      <c r="AN2290">
        <v>1.0000000385430301</v>
      </c>
    </row>
    <row r="2291" spans="1:40" x14ac:dyDescent="0.25">
      <c r="A2291" t="str">
        <f>"20190303154141840"</f>
        <v>20190303154141840</v>
      </c>
      <c r="B2291" t="str">
        <f>"1551598901831649"</f>
        <v>1551598901831649</v>
      </c>
      <c r="C2291" t="s">
        <v>40</v>
      </c>
      <c r="D2291">
        <v>6.2311709999999998</v>
      </c>
      <c r="E2291">
        <v>0.50886019999999998</v>
      </c>
      <c r="F2291" t="s">
        <v>42</v>
      </c>
      <c r="G2291">
        <v>-222.60149999999999</v>
      </c>
      <c r="H2291">
        <v>1.0346359999999999</v>
      </c>
      <c r="I2291">
        <v>282.61720000000003</v>
      </c>
      <c r="J2291">
        <v>-221.91820000000001</v>
      </c>
      <c r="K2291">
        <v>1.120592</v>
      </c>
      <c r="L2291">
        <v>282.61540000000002</v>
      </c>
      <c r="M2291">
        <v>-0.99972810000000001</v>
      </c>
      <c r="N2291">
        <v>-4.7774459999999899E-3</v>
      </c>
      <c r="O2291">
        <v>2.2829100000000001E-2</v>
      </c>
      <c r="P2291">
        <v>-0.99822940000000004</v>
      </c>
      <c r="Q2291">
        <v>-5.7281609999999997E-2</v>
      </c>
      <c r="R2291">
        <v>-1.6040100000000002E-2</v>
      </c>
      <c r="S2291">
        <v>-2.9891359999999998</v>
      </c>
      <c r="T2291">
        <v>-0.28605589999999997</v>
      </c>
      <c r="U2291">
        <v>1.9317629999999999E-2</v>
      </c>
      <c r="V2291">
        <v>-3.8761459999999998E-2</v>
      </c>
      <c r="W2291">
        <v>-5.2561829999999997E-2</v>
      </c>
      <c r="X2291">
        <v>0.99786509999999995</v>
      </c>
      <c r="Y2291">
        <v>-1.6196260000000001E-2</v>
      </c>
      <c r="Z2291">
        <v>-2.8826759999999998E-3</v>
      </c>
      <c r="AA2291">
        <v>0.99986470000000005</v>
      </c>
      <c r="AB2291">
        <v>21</v>
      </c>
      <c r="AC2291">
        <v>-0.68329999999997404</v>
      </c>
      <c r="AD2291">
        <v>-8.5955999999999894E-2</v>
      </c>
      <c r="AE2291">
        <v>1.8000000000029099E-3</v>
      </c>
      <c r="AF2291">
        <v>-1.35847981730085E-2</v>
      </c>
      <c r="AG2291">
        <v>-8.5955999999999894E-2</v>
      </c>
      <c r="AH2291">
        <v>0.67252078815090299</v>
      </c>
      <c r="AI2291">
        <v>97.282109494877005</v>
      </c>
      <c r="AJ2291">
        <v>91.157206998168903</v>
      </c>
      <c r="AK2291">
        <v>0.67812771007570105</v>
      </c>
      <c r="AL2291">
        <v>93.012959518802305</v>
      </c>
      <c r="AM2291">
        <v>92.224501150800805</v>
      </c>
      <c r="AN2291">
        <v>0.99999997727614498</v>
      </c>
    </row>
    <row r="2292" spans="1:40" x14ac:dyDescent="0.25">
      <c r="A2292" t="str">
        <f>"20190303154141863"</f>
        <v>20190303154141863</v>
      </c>
      <c r="B2292" t="str">
        <f>"1551598901852144"</f>
        <v>1551598901852144</v>
      </c>
      <c r="C2292" t="s">
        <v>40</v>
      </c>
      <c r="D2292">
        <v>6.0377029999999996</v>
      </c>
      <c r="E2292">
        <v>0.50893969999999999</v>
      </c>
      <c r="F2292" t="s">
        <v>42</v>
      </c>
      <c r="G2292">
        <v>-222.79580000000001</v>
      </c>
      <c r="H2292">
        <v>1.0381659999999999</v>
      </c>
      <c r="I2292">
        <v>282.62270000000001</v>
      </c>
      <c r="J2292">
        <v>-222.14150000000001</v>
      </c>
      <c r="K2292">
        <v>1.120568</v>
      </c>
      <c r="L2292">
        <v>282.61959999999999</v>
      </c>
      <c r="M2292">
        <v>-0.99974949999999996</v>
      </c>
      <c r="N2292">
        <v>-4.5677239999999996E-3</v>
      </c>
      <c r="O2292">
        <v>2.1912689999999999E-2</v>
      </c>
      <c r="P2292">
        <v>-0.99819519999999995</v>
      </c>
      <c r="Q2292">
        <v>-5.7583620000000002E-2</v>
      </c>
      <c r="R2292">
        <v>-1.7044E-2</v>
      </c>
      <c r="S2292">
        <v>-2.9895939999999999</v>
      </c>
      <c r="T2292">
        <v>-0.28106979999999998</v>
      </c>
      <c r="U2292">
        <v>2.3925780000000001E-2</v>
      </c>
      <c r="V2292">
        <v>-3.8847949999999999E-2</v>
      </c>
      <c r="W2292">
        <v>-5.3074370000000003E-2</v>
      </c>
      <c r="X2292">
        <v>0.99783460000000002</v>
      </c>
      <c r="Y2292">
        <v>-1.3760299999999901E-2</v>
      </c>
      <c r="Z2292">
        <v>-2.632433E-3</v>
      </c>
      <c r="AA2292">
        <v>0.99990179999999995</v>
      </c>
      <c r="AB2292">
        <v>21</v>
      </c>
      <c r="AC2292">
        <v>-0.65430000000000599</v>
      </c>
      <c r="AD2292">
        <v>-8.2402000000000003E-2</v>
      </c>
      <c r="AE2292">
        <v>3.1000000000176399E-3</v>
      </c>
      <c r="AF2292">
        <v>-1.10629051315069E-2</v>
      </c>
      <c r="AG2292">
        <v>-8.2402000000000003E-2</v>
      </c>
      <c r="AH2292">
        <v>0.64399682656141399</v>
      </c>
      <c r="AI2292">
        <v>97.290541735348597</v>
      </c>
      <c r="AJ2292">
        <v>90.984159249492706</v>
      </c>
      <c r="AK2292">
        <v>0.64934150498418097</v>
      </c>
      <c r="AL2292">
        <v>93.042366967733699</v>
      </c>
      <c r="AM2292">
        <v>92.229527843550102</v>
      </c>
      <c r="AN2292">
        <v>0.99999997046362898</v>
      </c>
    </row>
    <row r="2293" spans="1:40" x14ac:dyDescent="0.25">
      <c r="A2293" t="str">
        <f>"20190303154141884"</f>
        <v>20190303154141884</v>
      </c>
      <c r="B2293" t="str">
        <f>"1551598901881424"</f>
        <v>1551598901881424</v>
      </c>
      <c r="C2293" t="s">
        <v>40</v>
      </c>
      <c r="D2293">
        <v>6.0383800000000001</v>
      </c>
      <c r="E2293">
        <v>0.50940949999999996</v>
      </c>
      <c r="F2293" t="s">
        <v>42</v>
      </c>
      <c r="G2293">
        <v>-222.9915</v>
      </c>
      <c r="H2293">
        <v>1.04125499999999</v>
      </c>
      <c r="I2293">
        <v>282.6259</v>
      </c>
      <c r="J2293">
        <v>-222.3459</v>
      </c>
      <c r="K2293">
        <v>1.1205499999999999</v>
      </c>
      <c r="L2293">
        <v>282.62310000000002</v>
      </c>
      <c r="M2293">
        <v>-0.9997684</v>
      </c>
      <c r="N2293">
        <v>-4.3879239999999996E-3</v>
      </c>
      <c r="O2293">
        <v>2.107084E-2</v>
      </c>
      <c r="P2293">
        <v>-0.99813439999999998</v>
      </c>
      <c r="Q2293">
        <v>-5.8291839999999998E-2</v>
      </c>
      <c r="R2293">
        <v>-1.8168569999999998E-2</v>
      </c>
      <c r="S2293">
        <v>-2.9897</v>
      </c>
      <c r="T2293">
        <v>-0.27912900000000002</v>
      </c>
      <c r="U2293">
        <v>2.1697999999999999E-2</v>
      </c>
      <c r="V2293">
        <v>-3.9128709999999997E-2</v>
      </c>
      <c r="W2293">
        <v>-5.3963219999999999E-2</v>
      </c>
      <c r="X2293">
        <v>0.997776</v>
      </c>
      <c r="Y2293">
        <v>-1.3669250000000001E-2</v>
      </c>
      <c r="Z2293">
        <v>-2.537306E-3</v>
      </c>
      <c r="AA2293">
        <v>0.9999034</v>
      </c>
      <c r="AB2293">
        <v>22</v>
      </c>
      <c r="AC2293">
        <v>-0.64560000000000095</v>
      </c>
      <c r="AD2293">
        <v>-7.9295000000000102E-2</v>
      </c>
      <c r="AE2293">
        <v>2.7999999999792601E-3</v>
      </c>
      <c r="AF2293">
        <v>-1.06435246547189E-2</v>
      </c>
      <c r="AG2293">
        <v>-7.9295000000000102E-2</v>
      </c>
      <c r="AH2293">
        <v>0.63592252735149302</v>
      </c>
      <c r="AI2293">
        <v>97.106703564182794</v>
      </c>
      <c r="AJ2293">
        <v>90.958877978083606</v>
      </c>
      <c r="AK2293">
        <v>0.64093559928840504</v>
      </c>
      <c r="AL2293">
        <v>93.093367276429206</v>
      </c>
      <c r="AM2293">
        <v>92.245756292643904</v>
      </c>
      <c r="AN2293">
        <v>1.00000001561751</v>
      </c>
    </row>
    <row r="2294" spans="1:40" x14ac:dyDescent="0.25">
      <c r="A2294" t="str">
        <f>"20190303154141906"</f>
        <v>20190303154141906</v>
      </c>
      <c r="B2294" t="str">
        <f>"1551598901901920"</f>
        <v>1551598901901920</v>
      </c>
      <c r="C2294" t="s">
        <v>40</v>
      </c>
      <c r="D2294">
        <v>5.9949719999999997</v>
      </c>
      <c r="E2294">
        <v>0.50974579999999903</v>
      </c>
      <c r="F2294" t="s">
        <v>42</v>
      </c>
      <c r="G2294">
        <v>-223.19319999999999</v>
      </c>
      <c r="H2294">
        <v>1.042764</v>
      </c>
      <c r="I2294">
        <v>282.62950000000001</v>
      </c>
      <c r="J2294">
        <v>-222.56190000000001</v>
      </c>
      <c r="K2294">
        <v>1.120528</v>
      </c>
      <c r="L2294">
        <v>282.6266</v>
      </c>
      <c r="M2294">
        <v>-0.9997876</v>
      </c>
      <c r="N2294">
        <v>-4.2135920000000004E-3</v>
      </c>
      <c r="O2294">
        <v>2.0181879999999999E-2</v>
      </c>
      <c r="P2294">
        <v>-0.99808330000000001</v>
      </c>
      <c r="Q2294">
        <v>-5.8784549999999998E-2</v>
      </c>
      <c r="R2294">
        <v>-1.935052E-2</v>
      </c>
      <c r="S2294">
        <v>-2.98996</v>
      </c>
      <c r="T2294">
        <v>-0.27469660000000001</v>
      </c>
      <c r="U2294">
        <v>2.1881100000000001E-2</v>
      </c>
      <c r="V2294">
        <v>-3.9420829999999997E-2</v>
      </c>
      <c r="W2294">
        <v>-5.4630869999999998E-2</v>
      </c>
      <c r="X2294">
        <v>0.99772819999999995</v>
      </c>
      <c r="Y2294">
        <v>-1.2731569999999999E-2</v>
      </c>
      <c r="Z2294">
        <v>-2.3757370000000002E-3</v>
      </c>
      <c r="AA2294">
        <v>0.99991609999999997</v>
      </c>
      <c r="AB2294">
        <v>22</v>
      </c>
      <c r="AC2294">
        <v>-0.63129999999998099</v>
      </c>
      <c r="AD2294">
        <v>-7.7763999999999903E-2</v>
      </c>
      <c r="AE2294">
        <v>2.9000000000110001E-3</v>
      </c>
      <c r="AF2294">
        <v>-9.6944274202047705E-3</v>
      </c>
      <c r="AG2294">
        <v>-7.7763999999999903E-2</v>
      </c>
      <c r="AH2294">
        <v>0.62179533688447097</v>
      </c>
      <c r="AI2294">
        <v>97.127750257842706</v>
      </c>
      <c r="AJ2294">
        <v>90.893227631871795</v>
      </c>
      <c r="AK2294">
        <v>0.62671417934356499</v>
      </c>
      <c r="AL2294">
        <v>93.131677217922999</v>
      </c>
      <c r="AM2294">
        <v>92.262613173425905</v>
      </c>
      <c r="AN2294">
        <v>1.0000000474350399</v>
      </c>
    </row>
    <row r="2295" spans="1:40" x14ac:dyDescent="0.25">
      <c r="A2295" t="str">
        <f>"20190303154141928"</f>
        <v>20190303154141928</v>
      </c>
      <c r="B2295" t="str">
        <f>"1551598901921440"</f>
        <v>1551598901921440</v>
      </c>
      <c r="C2295" t="s">
        <v>40</v>
      </c>
      <c r="D2295">
        <v>6.0039420000000003</v>
      </c>
      <c r="E2295">
        <v>0.51011909999999905</v>
      </c>
      <c r="F2295" t="s">
        <v>50</v>
      </c>
      <c r="G2295">
        <v>-234.86330000000001</v>
      </c>
      <c r="H2295" s="1">
        <v>1.13441E-6</v>
      </c>
      <c r="I2295">
        <v>282.71339999999998</v>
      </c>
      <c r="J2295">
        <v>-222.7713</v>
      </c>
      <c r="K2295">
        <v>1.1205050000000001</v>
      </c>
      <c r="L2295">
        <v>282.62990000000002</v>
      </c>
      <c r="M2295">
        <v>-0.99980519999999995</v>
      </c>
      <c r="N2295">
        <v>-4.0623780000000002E-3</v>
      </c>
      <c r="O2295">
        <v>1.932248E-2</v>
      </c>
      <c r="P2295">
        <v>-0.99804280000000001</v>
      </c>
      <c r="Q2295">
        <v>-5.930332E-2</v>
      </c>
      <c r="R2295">
        <v>-1.9852990000000001E-2</v>
      </c>
      <c r="S2295">
        <v>-2.9901119999999999</v>
      </c>
      <c r="T2295">
        <v>-0.27236660000000001</v>
      </c>
      <c r="U2295">
        <v>2.1087649999999999E-2</v>
      </c>
      <c r="V2295">
        <v>-3.9063519999999997E-2</v>
      </c>
      <c r="W2295">
        <v>-5.5300420000000003E-2</v>
      </c>
      <c r="X2295">
        <v>0.99770530000000002</v>
      </c>
      <c r="Y2295">
        <v>-1.2145660000000001E-2</v>
      </c>
      <c r="Z2295">
        <v>-2.254696E-3</v>
      </c>
      <c r="AA2295">
        <v>0.99992369999999997</v>
      </c>
      <c r="AB2295">
        <v>22</v>
      </c>
      <c r="AC2295">
        <v>-12.092000000000001</v>
      </c>
      <c r="AD2295">
        <v>-1.1205038655899999</v>
      </c>
      <c r="AE2295">
        <v>8.3499999999958094E-2</v>
      </c>
      <c r="AF2295">
        <v>-0.14888651548404799</v>
      </c>
      <c r="AG2295">
        <v>-1.1205038655899999</v>
      </c>
      <c r="AH2295">
        <v>11.988418837411499</v>
      </c>
      <c r="AI2295">
        <v>95.339258071489297</v>
      </c>
      <c r="AJ2295">
        <v>90.711530898705405</v>
      </c>
      <c r="AK2295">
        <v>12.041589692748101</v>
      </c>
      <c r="AL2295">
        <v>93.170097901177996</v>
      </c>
      <c r="AM2295">
        <v>92.242177307104498</v>
      </c>
      <c r="AN2295">
        <v>0.99999998034752802</v>
      </c>
    </row>
    <row r="2296" spans="1:40" x14ac:dyDescent="0.25">
      <c r="A2296" t="str">
        <f>"20190303154141942"</f>
        <v>20190303154141942</v>
      </c>
      <c r="B2296" t="str">
        <f>"1551598901932176"</f>
        <v>1551598901932176</v>
      </c>
      <c r="C2296" t="s">
        <v>40</v>
      </c>
      <c r="D2296">
        <v>6.0131119999999996</v>
      </c>
      <c r="E2296">
        <v>0.51019119999999996</v>
      </c>
      <c r="F2296" t="s">
        <v>50</v>
      </c>
      <c r="G2296">
        <v>-235.0925</v>
      </c>
      <c r="H2296" s="1">
        <v>1.2559839999999999E-6</v>
      </c>
      <c r="I2296">
        <v>282.72269999999997</v>
      </c>
      <c r="J2296">
        <v>-222.9221</v>
      </c>
      <c r="K2296">
        <v>1.1204959999999999</v>
      </c>
      <c r="L2296">
        <v>282.63220000000001</v>
      </c>
      <c r="M2296">
        <v>-0.99981739999999997</v>
      </c>
      <c r="N2296">
        <v>-3.9650629999999996E-3</v>
      </c>
      <c r="O2296">
        <v>1.870511E-2</v>
      </c>
      <c r="P2296">
        <v>-0.99801359999999995</v>
      </c>
      <c r="Q2296">
        <v>-5.9699259999999997E-2</v>
      </c>
      <c r="R2296">
        <v>-2.013481E-2</v>
      </c>
      <c r="S2296">
        <v>-2.990173</v>
      </c>
      <c r="T2296">
        <v>-0.27192870000000002</v>
      </c>
      <c r="U2296">
        <v>2.2521969999999999E-2</v>
      </c>
      <c r="V2296">
        <v>-3.8728480000000003E-2</v>
      </c>
      <c r="W2296">
        <v>-5.5793229999999999E-2</v>
      </c>
      <c r="X2296">
        <v>0.99769090000000005</v>
      </c>
      <c r="Y2296">
        <v>-1.1056059999999999E-2</v>
      </c>
      <c r="Z2296">
        <v>-2.1470489999999998E-3</v>
      </c>
      <c r="AA2296">
        <v>0.99993659999999995</v>
      </c>
      <c r="AB2296">
        <v>22</v>
      </c>
      <c r="AC2296">
        <v>-12.170400000000001</v>
      </c>
      <c r="AD2296">
        <v>-1.120494744016</v>
      </c>
      <c r="AE2296">
        <v>9.0499999999963096E-2</v>
      </c>
      <c r="AF2296">
        <v>-0.13601340805263001</v>
      </c>
      <c r="AG2296">
        <v>-1.120494744016</v>
      </c>
      <c r="AH2296">
        <v>12.0676790443339</v>
      </c>
      <c r="AI2296">
        <v>95.304419442609202</v>
      </c>
      <c r="AJ2296">
        <v>90.645746729461905</v>
      </c>
      <c r="AK2296">
        <v>12.120350062419501</v>
      </c>
      <c r="AL2296">
        <v>93.198377575028104</v>
      </c>
      <c r="AM2296">
        <v>92.222998029331194</v>
      </c>
      <c r="AN2296">
        <v>0.999999955809875</v>
      </c>
    </row>
    <row r="2297" spans="1:40" x14ac:dyDescent="0.25">
      <c r="A2297" t="str">
        <f>"20190303154141962"</f>
        <v>20190303154141962</v>
      </c>
      <c r="B2297" t="str">
        <f>"1551598901951702"</f>
        <v>1551598901951702</v>
      </c>
      <c r="C2297" t="s">
        <v>40</v>
      </c>
      <c r="D2297">
        <v>5.987546</v>
      </c>
      <c r="E2297">
        <v>0.51042929999999997</v>
      </c>
      <c r="F2297" t="s">
        <v>42</v>
      </c>
      <c r="G2297">
        <v>-223.77789999999999</v>
      </c>
      <c r="H2297">
        <v>1.0426260000000001</v>
      </c>
      <c r="I2297">
        <v>282.6388</v>
      </c>
      <c r="J2297">
        <v>-223.1096</v>
      </c>
      <c r="K2297">
        <v>1.120487</v>
      </c>
      <c r="L2297">
        <v>282.63490000000002</v>
      </c>
      <c r="M2297">
        <v>-0.99983160000000004</v>
      </c>
      <c r="N2297">
        <v>-3.8574640000000001E-3</v>
      </c>
      <c r="O2297">
        <v>1.7940660000000001E-2</v>
      </c>
      <c r="P2297">
        <v>-0.99803169999999997</v>
      </c>
      <c r="Q2297">
        <v>-5.9510199999999999E-2</v>
      </c>
      <c r="R2297">
        <v>-1.978595E-2</v>
      </c>
      <c r="S2297">
        <v>-2.9901279999999999</v>
      </c>
      <c r="T2297">
        <v>-0.27228550000000001</v>
      </c>
      <c r="U2297">
        <v>2.2369380000000001E-2</v>
      </c>
      <c r="V2297">
        <v>-3.7616839999999999E-2</v>
      </c>
      <c r="W2297">
        <v>-5.571007E-2</v>
      </c>
      <c r="X2297">
        <v>0.99773809999999996</v>
      </c>
      <c r="Y2297">
        <v>-1.034793E-2</v>
      </c>
      <c r="Z2297">
        <v>-2.0513150000000002E-3</v>
      </c>
      <c r="AA2297">
        <v>0.99994430000000001</v>
      </c>
      <c r="AB2297">
        <v>22</v>
      </c>
      <c r="AC2297">
        <v>-0.66829999999998702</v>
      </c>
      <c r="AD2297">
        <v>-7.7860999999999903E-2</v>
      </c>
      <c r="AE2297">
        <v>3.8999999999873498E-3</v>
      </c>
      <c r="AF2297">
        <v>-7.9821172573524904E-3</v>
      </c>
      <c r="AG2297">
        <v>-7.7860999999999903E-2</v>
      </c>
      <c r="AH2297">
        <v>0.65931341417553702</v>
      </c>
      <c r="AI2297">
        <v>96.734608313014107</v>
      </c>
      <c r="AJ2297">
        <v>90.693629581916795</v>
      </c>
      <c r="AK2297">
        <v>0.66394294003981502</v>
      </c>
      <c r="AL2297">
        <v>93.193605366596202</v>
      </c>
      <c r="AM2297">
        <v>92.159149610882295</v>
      </c>
      <c r="AN2297">
        <v>0.99999997737129998</v>
      </c>
    </row>
    <row r="2298" spans="1:40" x14ac:dyDescent="0.25">
      <c r="A2298" t="str">
        <f>"20190303154141975"</f>
        <v>20190303154141975</v>
      </c>
      <c r="B2298" t="str">
        <f>"1551598901972192"</f>
        <v>1551598901972192</v>
      </c>
      <c r="C2298" t="s">
        <v>40</v>
      </c>
      <c r="D2298">
        <v>5.9633059999999896</v>
      </c>
      <c r="E2298">
        <v>0.5105056</v>
      </c>
      <c r="F2298" t="s">
        <v>42</v>
      </c>
      <c r="G2298">
        <v>-223.977</v>
      </c>
      <c r="H2298">
        <v>1.0421119999999999</v>
      </c>
      <c r="I2298">
        <v>282.64229999999998</v>
      </c>
      <c r="J2298">
        <v>-223.24700000000001</v>
      </c>
      <c r="K2298">
        <v>1.1204829999999999</v>
      </c>
      <c r="L2298">
        <v>282.63670000000002</v>
      </c>
      <c r="M2298">
        <v>-0.9998418</v>
      </c>
      <c r="N2298">
        <v>-3.7861980000000002E-3</v>
      </c>
      <c r="O2298">
        <v>1.7383119999999998E-2</v>
      </c>
      <c r="P2298">
        <v>-0.99808980000000003</v>
      </c>
      <c r="Q2298">
        <v>-5.8681379999999998E-2</v>
      </c>
      <c r="R2298">
        <v>-1.9325930000000002E-2</v>
      </c>
      <c r="S2298">
        <v>-2.9902950000000001</v>
      </c>
      <c r="T2298">
        <v>-0.27035140000000002</v>
      </c>
      <c r="U2298">
        <v>2.523804E-2</v>
      </c>
      <c r="V2298">
        <v>-3.6602620000000002E-2</v>
      </c>
      <c r="W2298">
        <v>-5.4950840000000001E-2</v>
      </c>
      <c r="X2298">
        <v>0.99781790000000004</v>
      </c>
      <c r="Y2298">
        <v>-8.8415709999999995E-3</v>
      </c>
      <c r="Z2298">
        <v>-1.9182310000000001E-3</v>
      </c>
      <c r="AA2298">
        <v>0.99995909999999999</v>
      </c>
      <c r="AB2298">
        <v>22</v>
      </c>
      <c r="AC2298">
        <v>-0.72999999999998899</v>
      </c>
      <c r="AD2298">
        <v>-7.8370999999999705E-2</v>
      </c>
      <c r="AE2298">
        <v>5.5999999999585201E-3</v>
      </c>
      <c r="AF2298">
        <v>-7.0098258944215402E-3</v>
      </c>
      <c r="AG2298">
        <v>-7.8370999999999705E-2</v>
      </c>
      <c r="AH2298">
        <v>0.72166982589205297</v>
      </c>
      <c r="AI2298">
        <v>96.197557432327798</v>
      </c>
      <c r="AJ2298">
        <v>90.556516004878901</v>
      </c>
      <c r="AK2298">
        <v>0.72594661573915698</v>
      </c>
      <c r="AL2298">
        <v>93.150038022243905</v>
      </c>
      <c r="AM2298">
        <v>92.100819937326705</v>
      </c>
      <c r="AN2298">
        <v>0.99999995408398901</v>
      </c>
    </row>
    <row r="2299" spans="1:40" x14ac:dyDescent="0.25">
      <c r="A2299" t="str">
        <f>"20190303154142007"</f>
        <v>20190303154142007</v>
      </c>
      <c r="B2299" t="str">
        <f>"1551598902001472"</f>
        <v>1551598902001472</v>
      </c>
      <c r="C2299" t="s">
        <v>40</v>
      </c>
      <c r="D2299">
        <v>6.036562</v>
      </c>
      <c r="E2299">
        <v>0.51050130000000005</v>
      </c>
      <c r="F2299" t="s">
        <v>50</v>
      </c>
      <c r="G2299">
        <v>-235.8229</v>
      </c>
      <c r="H2299" s="1">
        <v>1.643383E-6</v>
      </c>
      <c r="I2299">
        <v>282.7516</v>
      </c>
      <c r="J2299">
        <v>-223.55699999999999</v>
      </c>
      <c r="K2299">
        <v>1.1204750000000001</v>
      </c>
      <c r="L2299">
        <v>282.64069999999998</v>
      </c>
      <c r="M2299">
        <v>-0.9998629</v>
      </c>
      <c r="N2299">
        <v>-3.6565009999999999E-3</v>
      </c>
      <c r="O2299">
        <v>1.614409E-2</v>
      </c>
      <c r="P2299">
        <v>-0.99822860000000002</v>
      </c>
      <c r="Q2299">
        <v>-5.6645210000000001E-2</v>
      </c>
      <c r="R2299">
        <v>-1.8182549999999999E-2</v>
      </c>
      <c r="S2299">
        <v>-2.9906009999999998</v>
      </c>
      <c r="T2299">
        <v>-0.26645429999999998</v>
      </c>
      <c r="U2299">
        <v>2.7313230000000001E-2</v>
      </c>
      <c r="V2299">
        <v>-3.4228019999999998E-2</v>
      </c>
      <c r="W2299">
        <v>-5.3040249999999997E-2</v>
      </c>
      <c r="X2299">
        <v>0.99800560000000005</v>
      </c>
      <c r="Y2299">
        <v>-6.9247199999999997E-3</v>
      </c>
      <c r="Z2299">
        <v>-1.6970850000000001E-3</v>
      </c>
      <c r="AA2299">
        <v>0.99997460000000005</v>
      </c>
      <c r="AB2299">
        <v>22</v>
      </c>
      <c r="AC2299">
        <v>-12.265899999999901</v>
      </c>
      <c r="AD2299">
        <v>-1.120473356617</v>
      </c>
      <c r="AE2299">
        <v>0.110900000000015</v>
      </c>
      <c r="AF2299">
        <v>-8.6416537911444796E-2</v>
      </c>
      <c r="AG2299">
        <v>-1.120473356617</v>
      </c>
      <c r="AH2299">
        <v>12.164591772378399</v>
      </c>
      <c r="AI2299">
        <v>95.262498888686395</v>
      </c>
      <c r="AJ2299">
        <v>90.407018970044703</v>
      </c>
      <c r="AK2299">
        <v>12.2163915027937</v>
      </c>
      <c r="AL2299">
        <v>93.040409183601199</v>
      </c>
      <c r="AM2299">
        <v>91.964270250600407</v>
      </c>
      <c r="AN2299">
        <v>1.0000000015522701</v>
      </c>
    </row>
    <row r="2300" spans="1:40" x14ac:dyDescent="0.25">
      <c r="A2300" t="str">
        <f>"20190303154142028"</f>
        <v>20190303154142028</v>
      </c>
      <c r="B2300" t="str">
        <f>"1551598902021968"</f>
        <v>1551598902021968</v>
      </c>
      <c r="C2300" t="s">
        <v>40</v>
      </c>
      <c r="D2300">
        <v>5.94381</v>
      </c>
      <c r="E2300">
        <v>0.51050249999999997</v>
      </c>
      <c r="F2300" t="s">
        <v>50</v>
      </c>
      <c r="G2300">
        <v>-236.41159999999999</v>
      </c>
      <c r="H2300" s="1">
        <v>1.955733E-6</v>
      </c>
      <c r="I2300">
        <v>282.7722</v>
      </c>
      <c r="J2300">
        <v>-223.78049999999999</v>
      </c>
      <c r="K2300">
        <v>1.1204590000000001</v>
      </c>
      <c r="L2300">
        <v>282.64330000000001</v>
      </c>
      <c r="M2300">
        <v>-0.99987700000000002</v>
      </c>
      <c r="N2300">
        <v>-3.5812090000000001E-3</v>
      </c>
      <c r="O2300">
        <v>1.527122E-2</v>
      </c>
      <c r="P2300">
        <v>-0.99819210000000003</v>
      </c>
      <c r="Q2300">
        <v>-5.705433E-2</v>
      </c>
      <c r="R2300">
        <v>-1.8908620000000001E-2</v>
      </c>
      <c r="S2300">
        <v>-2.9910890000000001</v>
      </c>
      <c r="T2300">
        <v>-0.26071889999999998</v>
      </c>
      <c r="U2300">
        <v>3.0609129999999998E-2</v>
      </c>
      <c r="V2300">
        <v>-3.4082000000000001E-2</v>
      </c>
      <c r="W2300">
        <v>-5.3523969999999997E-2</v>
      </c>
      <c r="X2300">
        <v>0.99798480000000001</v>
      </c>
      <c r="Y2300">
        <v>-4.9659750000000001E-3</v>
      </c>
      <c r="Z2300">
        <v>-1.498835E-3</v>
      </c>
      <c r="AA2300">
        <v>0.9999865</v>
      </c>
      <c r="AB2300">
        <v>23</v>
      </c>
      <c r="AC2300">
        <v>-12.6311</v>
      </c>
      <c r="AD2300">
        <v>-1.1204570442669901</v>
      </c>
      <c r="AE2300">
        <v>0.128899999999987</v>
      </c>
      <c r="AF2300">
        <v>-6.3508884314193104E-2</v>
      </c>
      <c r="AG2300">
        <v>-1.1204570442669901</v>
      </c>
      <c r="AH2300">
        <v>12.5329863221664</v>
      </c>
      <c r="AI2300">
        <v>95.108632832467805</v>
      </c>
      <c r="AJ2300">
        <v>90.290334625300204</v>
      </c>
      <c r="AK2300">
        <v>12.5831317055033</v>
      </c>
      <c r="AL2300">
        <v>93.068163637622504</v>
      </c>
      <c r="AM2300">
        <v>91.955937741889699</v>
      </c>
      <c r="AN2300">
        <v>1.0000000295597999</v>
      </c>
    </row>
    <row r="2301" spans="1:40" x14ac:dyDescent="0.25">
      <c r="A2301" t="str">
        <f>"20190303154142052"</f>
        <v>20190303154142052</v>
      </c>
      <c r="B2301" t="str">
        <f>"1551598902041491"</f>
        <v>1551598902041491</v>
      </c>
      <c r="C2301" t="s">
        <v>40</v>
      </c>
      <c r="D2301">
        <v>5.9697839999999998</v>
      </c>
      <c r="E2301">
        <v>0.51048899999999997</v>
      </c>
      <c r="F2301" t="s">
        <v>50</v>
      </c>
      <c r="G2301">
        <v>-236.5325</v>
      </c>
      <c r="H2301" s="1">
        <v>2.0204379999999999E-6</v>
      </c>
      <c r="I2301">
        <v>282.76490000000001</v>
      </c>
      <c r="J2301">
        <v>-224.01769999999999</v>
      </c>
      <c r="K2301">
        <v>1.120433</v>
      </c>
      <c r="L2301">
        <v>282.64589999999998</v>
      </c>
      <c r="M2301">
        <v>-0.99989050000000002</v>
      </c>
      <c r="N2301">
        <v>-3.5202660000000002E-3</v>
      </c>
      <c r="O2301">
        <v>1.4374039999999999E-2</v>
      </c>
      <c r="P2301">
        <v>-0.99808059999999998</v>
      </c>
      <c r="Q2301">
        <v>-5.8716419999999998E-2</v>
      </c>
      <c r="R2301">
        <v>-1.969311E-2</v>
      </c>
      <c r="S2301">
        <v>-2.9909520000000001</v>
      </c>
      <c r="T2301">
        <v>-0.2627987</v>
      </c>
      <c r="U2301">
        <v>2.8503420000000002E-2</v>
      </c>
      <c r="V2301">
        <v>-3.3969359999999997E-2</v>
      </c>
      <c r="W2301">
        <v>-5.524606E-2</v>
      </c>
      <c r="X2301">
        <v>0.99789479999999997</v>
      </c>
      <c r="Y2301">
        <v>-4.7748529999999999E-3</v>
      </c>
      <c r="Z2301">
        <v>-1.4277329999999901E-3</v>
      </c>
      <c r="AA2301">
        <v>0.99998759999999998</v>
      </c>
      <c r="AB2301">
        <v>23</v>
      </c>
      <c r="AC2301">
        <v>-12.514799999999999</v>
      </c>
      <c r="AD2301">
        <v>-1.120430979562</v>
      </c>
      <c r="AE2301">
        <v>0.119000000000028</v>
      </c>
      <c r="AF2301">
        <v>-6.0417420246683402E-2</v>
      </c>
      <c r="AG2301">
        <v>-1.120430979562</v>
      </c>
      <c r="AH2301">
        <v>12.415710334644601</v>
      </c>
      <c r="AI2301">
        <v>95.156514685435695</v>
      </c>
      <c r="AJ2301">
        <v>90.278810939709203</v>
      </c>
      <c r="AK2301">
        <v>12.4663097570385</v>
      </c>
      <c r="AL2301">
        <v>93.166978350404804</v>
      </c>
      <c r="AM2301">
        <v>91.949654109343797</v>
      </c>
      <c r="AN2301">
        <v>1.00000003821568</v>
      </c>
    </row>
    <row r="2302" spans="1:40" x14ac:dyDescent="0.25">
      <c r="A2302" t="str">
        <f>"20190303154142074"</f>
        <v>20190303154142074</v>
      </c>
      <c r="B2302" t="str">
        <f>"1551598902071744"</f>
        <v>1551598902071744</v>
      </c>
      <c r="C2302" t="s">
        <v>40</v>
      </c>
      <c r="D2302">
        <v>5.9558859999999996</v>
      </c>
      <c r="E2302">
        <v>0.51062109999999905</v>
      </c>
      <c r="F2302" t="s">
        <v>50</v>
      </c>
      <c r="G2302">
        <v>-236.50579999999999</v>
      </c>
      <c r="H2302" s="1">
        <v>2.0066119999999999E-6</v>
      </c>
      <c r="I2302">
        <v>282.75599999999997</v>
      </c>
      <c r="J2302">
        <v>-224.251</v>
      </c>
      <c r="K2302">
        <v>1.1204019999999999</v>
      </c>
      <c r="L2302">
        <v>282.64839999999998</v>
      </c>
      <c r="M2302">
        <v>-0.99990239999999997</v>
      </c>
      <c r="N2302">
        <v>-3.4815250000000001E-3</v>
      </c>
      <c r="O2302">
        <v>1.353771E-2</v>
      </c>
      <c r="P2302">
        <v>-0.99798520000000002</v>
      </c>
      <c r="Q2302">
        <v>-5.9890390000000002E-2</v>
      </c>
      <c r="R2302">
        <v>-2.0952479999999999E-2</v>
      </c>
      <c r="S2302">
        <v>-2.9904790000000001</v>
      </c>
      <c r="T2302">
        <v>-0.26830389999999998</v>
      </c>
      <c r="U2302">
        <v>2.6367189999999999E-2</v>
      </c>
      <c r="V2302">
        <v>-3.4394319999999999E-2</v>
      </c>
      <c r="W2302">
        <v>-5.6457630000000002E-2</v>
      </c>
      <c r="X2302">
        <v>0.99781240000000004</v>
      </c>
      <c r="Y2302">
        <v>-4.6517249999999998E-3</v>
      </c>
      <c r="Z2302">
        <v>-1.3814159999999999E-3</v>
      </c>
      <c r="AA2302">
        <v>0.99998819999999999</v>
      </c>
      <c r="AB2302">
        <v>23</v>
      </c>
      <c r="AC2302">
        <v>-12.254799999999999</v>
      </c>
      <c r="AD2302">
        <v>-1.120399993388</v>
      </c>
      <c r="AE2302">
        <v>0.10759999999999</v>
      </c>
      <c r="AF2302">
        <v>-5.7829441710028497E-2</v>
      </c>
      <c r="AG2302">
        <v>-1.120399993388</v>
      </c>
      <c r="AH2302">
        <v>12.1535547178171</v>
      </c>
      <c r="AI2302">
        <v>95.266981000927203</v>
      </c>
      <c r="AJ2302">
        <v>90.272624595272305</v>
      </c>
      <c r="AK2302">
        <v>12.2052256295608</v>
      </c>
      <c r="AL2302">
        <v>93.236504818926804</v>
      </c>
      <c r="AM2302">
        <v>91.974188181648003</v>
      </c>
      <c r="AN2302">
        <v>1.0000000094136099</v>
      </c>
    </row>
    <row r="2303" spans="1:40" x14ac:dyDescent="0.25">
      <c r="A2303" t="str">
        <f>"20190303154142097"</f>
        <v>20190303154142097</v>
      </c>
      <c r="B2303" t="str">
        <f>"1551598902091264"</f>
        <v>1551598902091264</v>
      </c>
      <c r="C2303" t="s">
        <v>40</v>
      </c>
      <c r="D2303">
        <v>6.0116209999999999</v>
      </c>
      <c r="E2303">
        <v>0.5105634</v>
      </c>
      <c r="F2303" t="s">
        <v>50</v>
      </c>
      <c r="G2303">
        <v>-236.65780000000001</v>
      </c>
      <c r="H2303" s="1">
        <v>2.0878990000000001E-6</v>
      </c>
      <c r="I2303">
        <v>282.74610000000001</v>
      </c>
      <c r="J2303">
        <v>-224.48320000000001</v>
      </c>
      <c r="K2303">
        <v>1.1203650000000001</v>
      </c>
      <c r="L2303">
        <v>282.6506</v>
      </c>
      <c r="M2303">
        <v>-0.99991240000000003</v>
      </c>
      <c r="N2303">
        <v>-3.4638389999999998E-3</v>
      </c>
      <c r="O2303">
        <v>1.277562E-2</v>
      </c>
      <c r="P2303">
        <v>-0.9978979</v>
      </c>
      <c r="Q2303">
        <v>-6.0770119999999997E-2</v>
      </c>
      <c r="R2303">
        <v>-2.251009E-2</v>
      </c>
      <c r="S2303">
        <v>-2.9903409999999999</v>
      </c>
      <c r="T2303">
        <v>-0.27004499999999998</v>
      </c>
      <c r="U2303">
        <v>2.3559569999999998E-2</v>
      </c>
      <c r="V2303">
        <v>-3.519423E-2</v>
      </c>
      <c r="W2303">
        <v>-5.7353029999999999E-2</v>
      </c>
      <c r="X2303">
        <v>0.99773339999999999</v>
      </c>
      <c r="Y2303">
        <v>-4.8291540000000004E-3</v>
      </c>
      <c r="Z2303">
        <v>-1.3331319999999999E-3</v>
      </c>
      <c r="AA2303">
        <v>0.99998739999999997</v>
      </c>
      <c r="AB2303">
        <v>23</v>
      </c>
      <c r="AC2303">
        <v>-12.1745999999999</v>
      </c>
      <c r="AD2303">
        <v>-1.1203629121009999</v>
      </c>
      <c r="AE2303">
        <v>9.5500000000015406E-2</v>
      </c>
      <c r="AF2303">
        <v>-5.9542581479144097E-2</v>
      </c>
      <c r="AG2303">
        <v>-1.1203629121009999</v>
      </c>
      <c r="AH2303">
        <v>12.072595627702499</v>
      </c>
      <c r="AI2303">
        <v>95.301921935491094</v>
      </c>
      <c r="AJ2303">
        <v>90.282583055352006</v>
      </c>
      <c r="AK2303">
        <v>12.124616429555299</v>
      </c>
      <c r="AL2303">
        <v>93.287890855476107</v>
      </c>
      <c r="AM2303">
        <v>92.020224158627002</v>
      </c>
      <c r="AN2303">
        <v>0.99999997067551605</v>
      </c>
    </row>
    <row r="2304" spans="1:40" x14ac:dyDescent="0.25">
      <c r="A2304" t="str">
        <f>"20190303154142117"</f>
        <v>20190303154142117</v>
      </c>
      <c r="B2304" t="str">
        <f>"1551598902111760"</f>
        <v>1551598902111760</v>
      </c>
      <c r="C2304" t="s">
        <v>40</v>
      </c>
      <c r="D2304">
        <v>5.9503110000000001</v>
      </c>
      <c r="E2304">
        <v>0.51064339999999997</v>
      </c>
      <c r="F2304" t="s">
        <v>42</v>
      </c>
      <c r="G2304">
        <v>-225.4066</v>
      </c>
      <c r="H2304">
        <v>1.0359959999999999</v>
      </c>
      <c r="I2304">
        <v>282.65629999999999</v>
      </c>
      <c r="J2304">
        <v>-224.70240000000001</v>
      </c>
      <c r="K2304">
        <v>1.120309</v>
      </c>
      <c r="L2304">
        <v>282.65260000000001</v>
      </c>
      <c r="M2304">
        <v>-0.99992029999999998</v>
      </c>
      <c r="N2304">
        <v>-3.462896E-3</v>
      </c>
      <c r="O2304">
        <v>1.213842E-2</v>
      </c>
      <c r="P2304">
        <v>-0.99780060000000004</v>
      </c>
      <c r="Q2304">
        <v>-6.1607580000000002E-2</v>
      </c>
      <c r="R2304">
        <v>-2.4469040000000001E-2</v>
      </c>
      <c r="S2304">
        <v>-2.9901119999999999</v>
      </c>
      <c r="T2304">
        <v>-0.27326230000000001</v>
      </c>
      <c r="U2304">
        <v>1.8310549999999998E-2</v>
      </c>
      <c r="V2304">
        <v>-3.6522159999999998E-2</v>
      </c>
      <c r="W2304">
        <v>-5.8188810000000001E-2</v>
      </c>
      <c r="X2304">
        <v>0.99763729999999995</v>
      </c>
      <c r="Y2304">
        <v>-5.9426089999999997E-3</v>
      </c>
      <c r="Z2304">
        <v>-1.3463030000000001E-3</v>
      </c>
      <c r="AA2304">
        <v>0.99998149999999997</v>
      </c>
      <c r="AB2304">
        <v>23</v>
      </c>
      <c r="AC2304">
        <v>-0.70419999999998595</v>
      </c>
      <c r="AD2304">
        <v>-8.4312999999999999E-2</v>
      </c>
      <c r="AE2304">
        <v>3.69999999998071E-3</v>
      </c>
      <c r="AF2304">
        <v>-4.77968468497554E-3</v>
      </c>
      <c r="AG2304">
        <v>-8.4312999999999999E-2</v>
      </c>
      <c r="AH2304">
        <v>0.69424137069936698</v>
      </c>
      <c r="AI2304">
        <v>96.924283691960497</v>
      </c>
      <c r="AJ2304">
        <v>90.394461414459997</v>
      </c>
      <c r="AK2304">
        <v>0.69935871206786604</v>
      </c>
      <c r="AL2304">
        <v>93.335857557748</v>
      </c>
      <c r="AM2304">
        <v>92.096585165069698</v>
      </c>
      <c r="AN2304">
        <v>0.99999999406578499</v>
      </c>
    </row>
    <row r="2305" spans="1:40" x14ac:dyDescent="0.25">
      <c r="A2305" t="str">
        <f>"20190303154142141"</f>
        <v>20190303154142141</v>
      </c>
      <c r="B2305" t="str">
        <f>"1551598902131280"</f>
        <v>1551598902131280</v>
      </c>
      <c r="C2305" t="s">
        <v>40</v>
      </c>
      <c r="D2305">
        <v>5.9654369999999997</v>
      </c>
      <c r="E2305">
        <v>0.51063230000000004</v>
      </c>
      <c r="F2305" t="s">
        <v>42</v>
      </c>
      <c r="G2305">
        <v>-225.6173</v>
      </c>
      <c r="H2305">
        <v>1.0362929999999999</v>
      </c>
      <c r="I2305">
        <v>282.65679999999998</v>
      </c>
      <c r="J2305">
        <v>-224.94990000000001</v>
      </c>
      <c r="K2305">
        <v>1.1202449999999999</v>
      </c>
      <c r="L2305">
        <v>282.6549</v>
      </c>
      <c r="M2305">
        <v>-0.99992780000000003</v>
      </c>
      <c r="N2305">
        <v>-3.4757579999999998E-3</v>
      </c>
      <c r="O2305">
        <v>1.150726E-2</v>
      </c>
      <c r="P2305">
        <v>-0.99770250000000005</v>
      </c>
      <c r="Q2305">
        <v>-6.2448099999999999E-2</v>
      </c>
      <c r="R2305">
        <v>-2.6273419999999999E-2</v>
      </c>
      <c r="S2305">
        <v>-2.9899749999999998</v>
      </c>
      <c r="T2305">
        <v>-0.27479160000000002</v>
      </c>
      <c r="U2305">
        <v>1.324463E-2</v>
      </c>
      <c r="V2305">
        <v>-3.770387E-2</v>
      </c>
      <c r="W2305">
        <v>-5.9012439999999999E-2</v>
      </c>
      <c r="X2305">
        <v>0.99754489999999996</v>
      </c>
      <c r="Y2305">
        <v>-7.0023519999999999E-3</v>
      </c>
      <c r="Z2305">
        <v>-1.3486889999999999E-3</v>
      </c>
      <c r="AA2305">
        <v>0.99997449999999999</v>
      </c>
      <c r="AB2305">
        <v>23</v>
      </c>
      <c r="AC2305">
        <v>-0.667399999999986</v>
      </c>
      <c r="AD2305">
        <v>-8.3951999999999999E-2</v>
      </c>
      <c r="AE2305">
        <v>1.8999999999778001E-3</v>
      </c>
      <c r="AF2305">
        <v>-5.6900834808195798E-3</v>
      </c>
      <c r="AG2305">
        <v>-8.3951999999999999E-2</v>
      </c>
      <c r="AH2305">
        <v>0.65698230696771898</v>
      </c>
      <c r="AI2305">
        <v>97.281764249631095</v>
      </c>
      <c r="AJ2305">
        <v>90.496222826253302</v>
      </c>
      <c r="AK2305">
        <v>0.66234890127684598</v>
      </c>
      <c r="AL2305">
        <v>93.383129505983902</v>
      </c>
      <c r="AM2305">
        <v>92.164558998896794</v>
      </c>
      <c r="AN2305">
        <v>0.99999993870186799</v>
      </c>
    </row>
    <row r="2306" spans="1:40" x14ac:dyDescent="0.25">
      <c r="A2306" t="str">
        <f>"20190303154142163"</f>
        <v>20190303154142163</v>
      </c>
      <c r="B2306" t="str">
        <f>"1551598902151780"</f>
        <v>1551598902151780</v>
      </c>
      <c r="C2306" t="s">
        <v>40</v>
      </c>
      <c r="D2306">
        <v>5.9715199999999999</v>
      </c>
      <c r="E2306">
        <v>0.51064290000000001</v>
      </c>
      <c r="F2306" t="s">
        <v>42</v>
      </c>
      <c r="G2306">
        <v>-225.8306</v>
      </c>
      <c r="H2306">
        <v>1.038197</v>
      </c>
      <c r="I2306">
        <v>282.65730000000002</v>
      </c>
      <c r="J2306">
        <v>-225.1848</v>
      </c>
      <c r="K2306">
        <v>1.120179</v>
      </c>
      <c r="L2306">
        <v>282.65699999999998</v>
      </c>
      <c r="M2306">
        <v>-0.99993339999999997</v>
      </c>
      <c r="N2306">
        <v>-3.502663E-3</v>
      </c>
      <c r="O2306">
        <v>1.100428E-2</v>
      </c>
      <c r="P2306">
        <v>-0.99753840000000005</v>
      </c>
      <c r="Q2306">
        <v>-6.4300189999999993E-2</v>
      </c>
      <c r="R2306">
        <v>-2.797533E-2</v>
      </c>
      <c r="S2306">
        <v>-2.9896850000000001</v>
      </c>
      <c r="T2306">
        <v>-0.27860439999999997</v>
      </c>
      <c r="U2306">
        <v>7.8125E-3</v>
      </c>
      <c r="V2306">
        <v>-3.8909680000000002E-2</v>
      </c>
      <c r="W2306">
        <v>-6.0833390000000001E-2</v>
      </c>
      <c r="X2306">
        <v>0.99738930000000003</v>
      </c>
      <c r="Y2306">
        <v>-8.3098059999999994E-3</v>
      </c>
      <c r="Z2306">
        <v>-1.3857079999999901E-3</v>
      </c>
      <c r="AA2306">
        <v>0.99996450000000003</v>
      </c>
      <c r="AB2306">
        <v>24</v>
      </c>
      <c r="AC2306">
        <v>-0.64580000000000803</v>
      </c>
      <c r="AD2306">
        <v>-8.1981999999999999E-2</v>
      </c>
      <c r="AE2306">
        <v>3.0000000003838003E-4</v>
      </c>
      <c r="AF2306">
        <v>-6.6986734481246004E-3</v>
      </c>
      <c r="AG2306">
        <v>-8.1981999999999999E-2</v>
      </c>
      <c r="AH2306">
        <v>0.63552250478125505</v>
      </c>
      <c r="AI2306">
        <v>97.350121796959201</v>
      </c>
      <c r="AJ2306">
        <v>90.603899155912899</v>
      </c>
      <c r="AK2306">
        <v>0.64082351285935601</v>
      </c>
      <c r="AL2306">
        <v>93.487649745210703</v>
      </c>
      <c r="AM2306">
        <v>92.234062992043803</v>
      </c>
      <c r="AN2306">
        <v>1.00000004014554</v>
      </c>
    </row>
    <row r="2307" spans="1:40" x14ac:dyDescent="0.25">
      <c r="A2307" t="str">
        <f>"20190303154142185"</f>
        <v>20190303154142185</v>
      </c>
      <c r="B2307" t="str">
        <f>"1551598902182032"</f>
        <v>1551598902182032</v>
      </c>
      <c r="C2307" t="s">
        <v>40</v>
      </c>
      <c r="D2307">
        <v>5.983733</v>
      </c>
      <c r="E2307">
        <v>0.51075179999999998</v>
      </c>
      <c r="F2307" t="s">
        <v>42</v>
      </c>
      <c r="G2307">
        <v>-226.0436</v>
      </c>
      <c r="H2307">
        <v>1.0382899999999999</v>
      </c>
      <c r="I2307">
        <v>282.65800000000002</v>
      </c>
      <c r="J2307">
        <v>-225.42009999999999</v>
      </c>
      <c r="K2307">
        <v>1.120109</v>
      </c>
      <c r="L2307">
        <v>282.65910000000002</v>
      </c>
      <c r="M2307">
        <v>-0.99993739999999998</v>
      </c>
      <c r="N2307">
        <v>-3.5431439999999998E-3</v>
      </c>
      <c r="O2307">
        <v>1.061605E-2</v>
      </c>
      <c r="P2307">
        <v>-0.99738210000000005</v>
      </c>
      <c r="Q2307">
        <v>-6.6194580000000003E-2</v>
      </c>
      <c r="R2307">
        <v>-2.9110730000000001E-2</v>
      </c>
      <c r="S2307">
        <v>-2.9890750000000001</v>
      </c>
      <c r="T2307">
        <v>-0.28522189999999997</v>
      </c>
      <c r="U2307">
        <v>2.746582E-3</v>
      </c>
      <c r="V2307">
        <v>-3.9665590000000001E-2</v>
      </c>
      <c r="W2307">
        <v>-6.2681630000000002E-2</v>
      </c>
      <c r="X2307">
        <v>0.99724500000000005</v>
      </c>
      <c r="Y2307">
        <v>-9.607315E-3</v>
      </c>
      <c r="Z2307">
        <v>-1.4475480000000001E-3</v>
      </c>
      <c r="AA2307">
        <v>0.99995279999999998</v>
      </c>
      <c r="AB2307">
        <v>24</v>
      </c>
      <c r="AC2307">
        <v>-0.62350000000000705</v>
      </c>
      <c r="AD2307">
        <v>-8.1819000000000003E-2</v>
      </c>
      <c r="AE2307">
        <v>-1.1000000000080899E-3</v>
      </c>
      <c r="AF2307">
        <v>-7.58841378024385E-3</v>
      </c>
      <c r="AG2307">
        <v>-8.1819000000000003E-2</v>
      </c>
      <c r="AH2307">
        <v>0.61289904258777606</v>
      </c>
      <c r="AI2307">
        <v>97.603172164707701</v>
      </c>
      <c r="AJ2307">
        <v>90.709353152960205</v>
      </c>
      <c r="AK2307">
        <v>0.61838270447168298</v>
      </c>
      <c r="AL2307">
        <v>93.593748891094805</v>
      </c>
      <c r="AM2307">
        <v>92.277748729274606</v>
      </c>
      <c r="AN2307">
        <v>0.99999996789725198</v>
      </c>
    </row>
    <row r="2308" spans="1:40" x14ac:dyDescent="0.25">
      <c r="A2308" t="str">
        <f>"20190303154142209"</f>
        <v>20190303154142209</v>
      </c>
      <c r="B2308" t="str">
        <f>"1551598902201554"</f>
        <v>1551598902201554</v>
      </c>
      <c r="C2308" t="s">
        <v>40</v>
      </c>
      <c r="D2308">
        <v>6.0070189999999997</v>
      </c>
      <c r="E2308">
        <v>0.51080130000000001</v>
      </c>
      <c r="F2308" t="s">
        <v>42</v>
      </c>
      <c r="G2308">
        <v>-226.25790000000001</v>
      </c>
      <c r="H2308">
        <v>1.038707</v>
      </c>
      <c r="I2308">
        <v>282.6592</v>
      </c>
      <c r="J2308">
        <v>-225.67869999999999</v>
      </c>
      <c r="K2308">
        <v>1.1200239999999999</v>
      </c>
      <c r="L2308">
        <v>282.66140000000001</v>
      </c>
      <c r="M2308">
        <v>-0.9999401</v>
      </c>
      <c r="N2308">
        <v>-3.6019340000000002E-3</v>
      </c>
      <c r="O2308">
        <v>1.0332930000000001E-2</v>
      </c>
      <c r="P2308">
        <v>-0.99727399999999999</v>
      </c>
      <c r="Q2308">
        <v>-6.7581359999999993E-2</v>
      </c>
      <c r="R2308">
        <v>-2.961753E-2</v>
      </c>
      <c r="S2308">
        <v>-2.9886020000000002</v>
      </c>
      <c r="T2308">
        <v>-0.29038130000000001</v>
      </c>
      <c r="U2308">
        <v>2.7465820000000001E-4</v>
      </c>
      <c r="V2308">
        <v>-3.9902390000000003E-2</v>
      </c>
      <c r="W2308">
        <v>-6.4001829999999996E-2</v>
      </c>
      <c r="X2308">
        <v>0.99715169999999997</v>
      </c>
      <c r="Y2308">
        <v>-1.014642E-2</v>
      </c>
      <c r="Z2308">
        <v>-1.4745590000000001E-3</v>
      </c>
      <c r="AA2308">
        <v>0.99994740000000004</v>
      </c>
      <c r="AB2308">
        <v>24</v>
      </c>
      <c r="AC2308">
        <v>-0.57920000000001404</v>
      </c>
      <c r="AD2308">
        <v>-8.1316999999999806E-2</v>
      </c>
      <c r="AE2308">
        <v>-2.2000000000161799E-3</v>
      </c>
      <c r="AF2308">
        <v>-8.02654672527159E-3</v>
      </c>
      <c r="AG2308">
        <v>-8.1316999999999806E-2</v>
      </c>
      <c r="AH2308">
        <v>0.56795169057724504</v>
      </c>
      <c r="AI2308">
        <v>98.147197634043494</v>
      </c>
      <c r="AJ2308">
        <v>90.809675621303398</v>
      </c>
      <c r="AK2308">
        <v>0.57379961900552301</v>
      </c>
      <c r="AL2308">
        <v>93.669542967603704</v>
      </c>
      <c r="AM2308">
        <v>92.291546396858493</v>
      </c>
      <c r="AN2308">
        <v>0.99999997389197504</v>
      </c>
    </row>
    <row r="2309" spans="1:40" x14ac:dyDescent="0.25">
      <c r="A2309" t="str">
        <f>"20190303154142231"</f>
        <v>20190303154142231</v>
      </c>
      <c r="B2309" t="str">
        <f>"1551598902222049"</f>
        <v>1551598902222049</v>
      </c>
      <c r="C2309" t="s">
        <v>40</v>
      </c>
      <c r="D2309">
        <v>5.993074</v>
      </c>
      <c r="E2309">
        <v>0.51085000000000003</v>
      </c>
      <c r="F2309" t="s">
        <v>42</v>
      </c>
      <c r="G2309">
        <v>-226.47540000000001</v>
      </c>
      <c r="H2309">
        <v>1.0416449999999999</v>
      </c>
      <c r="I2309">
        <v>282.66140000000001</v>
      </c>
      <c r="J2309">
        <v>-225.90809999999999</v>
      </c>
      <c r="K2309">
        <v>1.119947</v>
      </c>
      <c r="L2309">
        <v>282.66359999999997</v>
      </c>
      <c r="M2309">
        <v>-0.99994130000000003</v>
      </c>
      <c r="N2309">
        <v>-3.66637E-3</v>
      </c>
      <c r="O2309">
        <v>1.0205570000000001E-2</v>
      </c>
      <c r="P2309">
        <v>-0.99726380000000003</v>
      </c>
      <c r="Q2309">
        <v>-6.8236870000000005E-2</v>
      </c>
      <c r="R2309">
        <v>-2.844474E-2</v>
      </c>
      <c r="S2309">
        <v>-2.9882659999999999</v>
      </c>
      <c r="T2309">
        <v>-0.2941937</v>
      </c>
      <c r="U2309">
        <v>-4.8828130000000002E-4</v>
      </c>
      <c r="V2309">
        <v>-3.8614250000000003E-2</v>
      </c>
      <c r="W2309">
        <v>-6.4585100000000006E-2</v>
      </c>
      <c r="X2309">
        <v>0.99716479999999996</v>
      </c>
      <c r="Y2309">
        <v>-1.0271779999999999E-2</v>
      </c>
      <c r="Z2309">
        <v>-1.488252E-3</v>
      </c>
      <c r="AA2309">
        <v>0.99994609999999995</v>
      </c>
      <c r="AB2309">
        <v>24</v>
      </c>
      <c r="AC2309">
        <v>-0.56730000000001701</v>
      </c>
      <c r="AD2309">
        <v>-7.8301999999999802E-2</v>
      </c>
      <c r="AE2309">
        <v>-2.1999999999593399E-3</v>
      </c>
      <c r="AF2309">
        <v>-7.8401817534786995E-3</v>
      </c>
      <c r="AG2309">
        <v>-7.8301999999999802E-2</v>
      </c>
      <c r="AH2309">
        <v>0.55664348983829504</v>
      </c>
      <c r="AI2309">
        <v>98.006368397355104</v>
      </c>
      <c r="AJ2309">
        <v>90.806943101109198</v>
      </c>
      <c r="AK2309">
        <v>0.56217848271993098</v>
      </c>
      <c r="AL2309">
        <v>93.703031190109002</v>
      </c>
      <c r="AM2309">
        <v>92.217616047140595</v>
      </c>
      <c r="AN2309">
        <v>0.99999996690205495</v>
      </c>
    </row>
    <row r="2310" spans="1:40" x14ac:dyDescent="0.25">
      <c r="A2310" t="str">
        <f>"20190303154142253"</f>
        <v>20190303154142253</v>
      </c>
      <c r="B2310" t="str">
        <f>"1551598902241568"</f>
        <v>1551598902241568</v>
      </c>
      <c r="C2310" t="s">
        <v>40</v>
      </c>
      <c r="D2310">
        <v>6.0372170000000001</v>
      </c>
      <c r="E2310">
        <v>0.51086779999999998</v>
      </c>
      <c r="F2310" t="s">
        <v>42</v>
      </c>
      <c r="G2310">
        <v>-226.6919</v>
      </c>
      <c r="H2310">
        <v>1.042324</v>
      </c>
      <c r="I2310">
        <v>282.6644</v>
      </c>
      <c r="J2310">
        <v>-226.15170000000001</v>
      </c>
      <c r="K2310">
        <v>1.1198650000000001</v>
      </c>
      <c r="L2310">
        <v>282.666</v>
      </c>
      <c r="M2310">
        <v>-0.99994110000000003</v>
      </c>
      <c r="N2310">
        <v>-3.7467389999999998E-3</v>
      </c>
      <c r="O2310">
        <v>1.019806E-2</v>
      </c>
      <c r="P2310">
        <v>-0.99725430000000004</v>
      </c>
      <c r="Q2310">
        <v>-6.8847899999999906E-2</v>
      </c>
      <c r="R2310">
        <v>-2.7271819999999999E-2</v>
      </c>
      <c r="S2310">
        <v>-2.9880520000000002</v>
      </c>
      <c r="T2310">
        <v>-0.29587849999999999</v>
      </c>
      <c r="U2310">
        <v>3.0212400000000001E-3</v>
      </c>
      <c r="V2310">
        <v>-3.7448490000000001E-2</v>
      </c>
      <c r="W2310">
        <v>-6.5107869999999998E-2</v>
      </c>
      <c r="X2310">
        <v>0.99717529999999999</v>
      </c>
      <c r="Y2310">
        <v>-9.0947370000000003E-3</v>
      </c>
      <c r="Z2310">
        <v>-1.435485E-3</v>
      </c>
      <c r="AA2310">
        <v>0.9999576</v>
      </c>
      <c r="AB2310">
        <v>24</v>
      </c>
      <c r="AC2310">
        <v>-0.54019999999999802</v>
      </c>
      <c r="AD2310">
        <v>-7.7540999999999805E-2</v>
      </c>
      <c r="AE2310">
        <v>-1.59999999999627E-3</v>
      </c>
      <c r="AF2310">
        <v>-6.9654316238400901E-3</v>
      </c>
      <c r="AG2310">
        <v>-7.7540999999999805E-2</v>
      </c>
      <c r="AH2310">
        <v>0.529250947907142</v>
      </c>
      <c r="AI2310">
        <v>98.334439456399295</v>
      </c>
      <c r="AJ2310">
        <v>90.754021880165595</v>
      </c>
      <c r="AK2310">
        <v>0.53494643636472095</v>
      </c>
      <c r="AL2310">
        <v>93.733046752114404</v>
      </c>
      <c r="AM2310">
        <v>92.1507076845527</v>
      </c>
      <c r="AN2310">
        <v>1.00000000153465</v>
      </c>
    </row>
    <row r="2311" spans="1:40" x14ac:dyDescent="0.25">
      <c r="A2311" t="str">
        <f>"20190303154142276"</f>
        <v>20190303154142276</v>
      </c>
      <c r="B2311" t="str">
        <f>"1551598902271825"</f>
        <v>1551598902271825</v>
      </c>
      <c r="C2311" t="s">
        <v>40</v>
      </c>
      <c r="D2311">
        <v>6.0306179999999996</v>
      </c>
      <c r="E2311">
        <v>0.5109823</v>
      </c>
      <c r="F2311" t="s">
        <v>42</v>
      </c>
      <c r="G2311">
        <v>-226.91059999999999</v>
      </c>
      <c r="H2311">
        <v>1.0441849999999999</v>
      </c>
      <c r="I2311">
        <v>282.66789999999997</v>
      </c>
      <c r="J2311">
        <v>-226.3998</v>
      </c>
      <c r="K2311">
        <v>1.119772</v>
      </c>
      <c r="L2311">
        <v>282.66860000000003</v>
      </c>
      <c r="M2311">
        <v>-0.99993929999999998</v>
      </c>
      <c r="N2311">
        <v>-3.8375140000000002E-3</v>
      </c>
      <c r="O2311">
        <v>1.033367E-2</v>
      </c>
      <c r="P2311">
        <v>-0.99722230000000001</v>
      </c>
      <c r="Q2311">
        <v>-6.9576550000000001E-2</v>
      </c>
      <c r="R2311">
        <v>-2.658986E-2</v>
      </c>
      <c r="S2311">
        <v>-2.9878390000000001</v>
      </c>
      <c r="T2311">
        <v>-0.29817399999999999</v>
      </c>
      <c r="U2311">
        <v>6.7443850000000003E-3</v>
      </c>
      <c r="V2311">
        <v>-3.6915820000000002E-2</v>
      </c>
      <c r="W2311">
        <v>-6.5737779999999996E-2</v>
      </c>
      <c r="X2311">
        <v>0.99715379999999998</v>
      </c>
      <c r="Y2311">
        <v>-7.9878969999999903E-3</v>
      </c>
      <c r="Z2311">
        <v>-1.4020809999999999E-3</v>
      </c>
      <c r="AA2311">
        <v>0.9999671</v>
      </c>
      <c r="AB2311">
        <v>24</v>
      </c>
      <c r="AC2311">
        <v>-0.51079999999998904</v>
      </c>
      <c r="AD2311">
        <v>-7.5586999999999793E-2</v>
      </c>
      <c r="AE2311">
        <v>-7.0000000005165897E-4</v>
      </c>
      <c r="AF2311">
        <v>-5.8503330146848298E-3</v>
      </c>
      <c r="AG2311">
        <v>-7.5586999999999793E-2</v>
      </c>
      <c r="AH2311">
        <v>0.499820741092177</v>
      </c>
      <c r="AI2311">
        <v>98.598996143887703</v>
      </c>
      <c r="AJ2311">
        <v>90.670608592891398</v>
      </c>
      <c r="AK2311">
        <v>0.50553772776254402</v>
      </c>
      <c r="AL2311">
        <v>93.769215553454302</v>
      </c>
      <c r="AM2311">
        <v>92.120189654998001</v>
      </c>
      <c r="AN2311">
        <v>0.99999996717001904</v>
      </c>
    </row>
    <row r="2312" spans="1:40" x14ac:dyDescent="0.25">
      <c r="A2312" t="str">
        <f>"20190303154142298"</f>
        <v>20190303154142298</v>
      </c>
      <c r="B2312" t="str">
        <f>"1551598902291344"</f>
        <v>1551598902291344</v>
      </c>
      <c r="C2312" t="s">
        <v>40</v>
      </c>
      <c r="D2312">
        <v>6.029134</v>
      </c>
      <c r="E2312">
        <v>0.51109529999999903</v>
      </c>
      <c r="F2312" t="s">
        <v>42</v>
      </c>
      <c r="G2312">
        <v>-227.3364</v>
      </c>
      <c r="H2312">
        <v>1.0261199999999999</v>
      </c>
      <c r="I2312">
        <v>282.67189999999999</v>
      </c>
      <c r="J2312">
        <v>-226.64019999999999</v>
      </c>
      <c r="K2312">
        <v>1.1196790000000001</v>
      </c>
      <c r="L2312">
        <v>282.67129999999997</v>
      </c>
      <c r="M2312">
        <v>-0.99993589999999999</v>
      </c>
      <c r="N2312">
        <v>-3.9287219999999999E-3</v>
      </c>
      <c r="O2312">
        <v>1.062221E-2</v>
      </c>
      <c r="P2312">
        <v>-0.99717719999999999</v>
      </c>
      <c r="Q2312">
        <v>-7.0653389999999996E-2</v>
      </c>
      <c r="R2312">
        <v>-2.5419230000000001E-2</v>
      </c>
      <c r="S2312">
        <v>-2.987762</v>
      </c>
      <c r="T2312">
        <v>-0.2988942</v>
      </c>
      <c r="U2312">
        <v>9.7351069999999998E-3</v>
      </c>
      <c r="V2312">
        <v>-3.60481E-2</v>
      </c>
      <c r="W2312">
        <v>-6.6715839999999998E-2</v>
      </c>
      <c r="X2312">
        <v>0.99712060000000002</v>
      </c>
      <c r="Y2312">
        <v>-7.2774169999999996E-3</v>
      </c>
      <c r="Z2312">
        <v>-1.3957799999999999E-3</v>
      </c>
      <c r="AA2312">
        <v>0.99997250000000004</v>
      </c>
      <c r="AB2312">
        <v>24</v>
      </c>
      <c r="AC2312">
        <v>-0.69620000000000404</v>
      </c>
      <c r="AD2312">
        <v>-9.3558999999999906E-2</v>
      </c>
      <c r="AE2312">
        <v>6.0000000001991696E-4</v>
      </c>
      <c r="AF2312">
        <v>-6.6747317631126396E-3</v>
      </c>
      <c r="AG2312">
        <v>-9.3558999999999906E-2</v>
      </c>
      <c r="AH2312">
        <v>0.68381777163014701</v>
      </c>
      <c r="AI2312">
        <v>97.790390330317805</v>
      </c>
      <c r="AJ2312">
        <v>90.559245211636494</v>
      </c>
      <c r="AK2312">
        <v>0.69022067726367697</v>
      </c>
      <c r="AL2312">
        <v>93.825377517351598</v>
      </c>
      <c r="AM2312">
        <v>92.070466581093797</v>
      </c>
      <c r="AN2312">
        <v>0.99999997988243705</v>
      </c>
    </row>
    <row r="2313" spans="1:40" x14ac:dyDescent="0.25">
      <c r="A2313" t="str">
        <f>"20190303154142319"</f>
        <v>20190303154142319</v>
      </c>
      <c r="B2313" t="str">
        <f>"1551598902311805"</f>
        <v>1551598902311805</v>
      </c>
      <c r="C2313" t="s">
        <v>40</v>
      </c>
      <c r="D2313">
        <v>6.0311729999999999</v>
      </c>
      <c r="E2313">
        <v>0.51120710000000003</v>
      </c>
      <c r="F2313" t="s">
        <v>42</v>
      </c>
      <c r="G2313">
        <v>-227.55760000000001</v>
      </c>
      <c r="H2313">
        <v>1.0271969999999999</v>
      </c>
      <c r="I2313">
        <v>282.67579999999998</v>
      </c>
      <c r="J2313">
        <v>-226.88149999999999</v>
      </c>
      <c r="K2313">
        <v>1.11959599999999</v>
      </c>
      <c r="L2313">
        <v>282.67430000000002</v>
      </c>
      <c r="M2313">
        <v>-0.99993109999999996</v>
      </c>
      <c r="N2313">
        <v>-4.0187929999999997E-3</v>
      </c>
      <c r="O2313">
        <v>1.103064E-2</v>
      </c>
      <c r="P2313">
        <v>-0.99715480000000001</v>
      </c>
      <c r="Q2313">
        <v>-7.1538519999999994E-2</v>
      </c>
      <c r="R2313">
        <v>-2.376228E-2</v>
      </c>
      <c r="S2313">
        <v>-2.9875029999999998</v>
      </c>
      <c r="T2313">
        <v>-0.30116470000000001</v>
      </c>
      <c r="U2313">
        <v>1.428223E-2</v>
      </c>
      <c r="V2313">
        <v>-3.4812860000000001E-2</v>
      </c>
      <c r="W2313">
        <v>-6.750457E-2</v>
      </c>
      <c r="X2313">
        <v>0.99711139999999998</v>
      </c>
      <c r="Y2313">
        <v>-6.166253E-3</v>
      </c>
      <c r="Z2313">
        <v>-1.3873539999999999E-3</v>
      </c>
      <c r="AA2313">
        <v>0.99997999999999998</v>
      </c>
      <c r="AB2313">
        <v>25</v>
      </c>
      <c r="AC2313">
        <v>-0.67610000000001902</v>
      </c>
      <c r="AD2313">
        <v>-9.2398999999999898E-2</v>
      </c>
      <c r="AE2313">
        <v>1.4999999999645199E-3</v>
      </c>
      <c r="AF2313">
        <v>-5.8487294966825202E-3</v>
      </c>
      <c r="AG2313">
        <v>-9.2398999999999898E-2</v>
      </c>
      <c r="AH2313">
        <v>0.66367976748707103</v>
      </c>
      <c r="AI2313">
        <v>97.925597527560697</v>
      </c>
      <c r="AJ2313">
        <v>90.504910436488998</v>
      </c>
      <c r="AK2313">
        <v>0.67010642185358704</v>
      </c>
      <c r="AL2313">
        <v>93.870670555893696</v>
      </c>
      <c r="AM2313">
        <v>91.999596113480195</v>
      </c>
      <c r="AN2313">
        <v>0.99999997310111099</v>
      </c>
    </row>
    <row r="2314" spans="1:40" x14ac:dyDescent="0.25">
      <c r="A2314" t="str">
        <f>"20190303154142342"</f>
        <v>20190303154142342</v>
      </c>
      <c r="B2314" t="str">
        <f>"1551598902331312"</f>
        <v>1551598902331312</v>
      </c>
      <c r="C2314" t="s">
        <v>40</v>
      </c>
      <c r="D2314">
        <v>6.1457899999999999</v>
      </c>
      <c r="E2314">
        <v>0.51124939999999996</v>
      </c>
      <c r="F2314" t="s">
        <v>42</v>
      </c>
      <c r="G2314">
        <v>-227.7799</v>
      </c>
      <c r="H2314">
        <v>1.0285089999999999</v>
      </c>
      <c r="I2314">
        <v>282.68049999999999</v>
      </c>
      <c r="J2314">
        <v>-227.13579999999999</v>
      </c>
      <c r="K2314">
        <v>1.119513</v>
      </c>
      <c r="L2314">
        <v>282.67759999999998</v>
      </c>
      <c r="M2314">
        <v>-0.99992449999999999</v>
      </c>
      <c r="N2314">
        <v>-4.1099659999999996E-3</v>
      </c>
      <c r="O2314">
        <v>1.1588899999999999E-2</v>
      </c>
      <c r="P2314">
        <v>-0.99715779999999998</v>
      </c>
      <c r="Q2314">
        <v>-7.2014289999999995E-2</v>
      </c>
      <c r="R2314">
        <v>-2.2146699999999998E-2</v>
      </c>
      <c r="S2314">
        <v>-2.9872890000000001</v>
      </c>
      <c r="T2314">
        <v>-0.3029616</v>
      </c>
      <c r="U2314">
        <v>2.0233149999999998E-2</v>
      </c>
      <c r="V2314">
        <v>-3.376929E-2</v>
      </c>
      <c r="W2314">
        <v>-6.7883159999999998E-2</v>
      </c>
      <c r="X2314">
        <v>0.99712160000000005</v>
      </c>
      <c r="Y2314">
        <v>-4.7362619999999998E-3</v>
      </c>
      <c r="Z2314">
        <v>-1.374056E-3</v>
      </c>
      <c r="AA2314">
        <v>0.99998779999999998</v>
      </c>
      <c r="AB2314">
        <v>25</v>
      </c>
      <c r="AC2314">
        <v>-0.644100000000008</v>
      </c>
      <c r="AD2314">
        <v>-9.1003999999999793E-2</v>
      </c>
      <c r="AE2314">
        <v>2.9000000000110001E-3</v>
      </c>
      <c r="AF2314">
        <v>-4.4753306745901802E-3</v>
      </c>
      <c r="AG2314">
        <v>-9.1003999999999793E-2</v>
      </c>
      <c r="AH2314">
        <v>0.63148461406248402</v>
      </c>
      <c r="AI2314">
        <v>98.200301477080899</v>
      </c>
      <c r="AJ2314">
        <v>90.406048320250903</v>
      </c>
      <c r="AK2314">
        <v>0.63802396067725498</v>
      </c>
      <c r="AL2314">
        <v>93.892411984408497</v>
      </c>
      <c r="AM2314">
        <v>91.939681756706904</v>
      </c>
      <c r="AN2314">
        <v>0.99999998677262403</v>
      </c>
    </row>
    <row r="2315" spans="1:40" x14ac:dyDescent="0.25">
      <c r="A2315" t="str">
        <f>"20190303154142364"</f>
        <v>20190303154142364</v>
      </c>
      <c r="B2315" t="str">
        <f>"1551598902361568"</f>
        <v>1551598902361568</v>
      </c>
      <c r="C2315" t="s">
        <v>40</v>
      </c>
      <c r="D2315">
        <v>6.1382770000000004</v>
      </c>
      <c r="E2315">
        <v>0.51125039999999999</v>
      </c>
      <c r="F2315" t="s">
        <v>42</v>
      </c>
      <c r="G2315">
        <v>-228.00399999999999</v>
      </c>
      <c r="H2315">
        <v>1.03108</v>
      </c>
      <c r="I2315">
        <v>282.68520000000001</v>
      </c>
      <c r="J2315">
        <v>-227.38030000000001</v>
      </c>
      <c r="K2315">
        <v>1.119426</v>
      </c>
      <c r="L2315">
        <v>282.68119999999999</v>
      </c>
      <c r="M2315">
        <v>-0.99991629999999998</v>
      </c>
      <c r="N2315">
        <v>-4.1931700000000004E-3</v>
      </c>
      <c r="O2315">
        <v>1.225588E-2</v>
      </c>
      <c r="P2315">
        <v>-0.99716499999999997</v>
      </c>
      <c r="Q2315">
        <v>-7.2330389999999994E-2</v>
      </c>
      <c r="R2315">
        <v>-2.0752590000000001E-2</v>
      </c>
      <c r="S2315">
        <v>-2.9871370000000002</v>
      </c>
      <c r="T2315">
        <v>-0.30438660000000001</v>
      </c>
      <c r="U2315">
        <v>2.548218E-2</v>
      </c>
      <c r="V2315">
        <v>-3.3054149999999997E-2</v>
      </c>
      <c r="W2315">
        <v>-6.8110240000000002E-2</v>
      </c>
      <c r="X2315">
        <v>0.99713010000000002</v>
      </c>
      <c r="Y2315">
        <v>-3.647848E-3</v>
      </c>
      <c r="Z2315">
        <v>-1.38735299999999E-3</v>
      </c>
      <c r="AA2315">
        <v>0.9999924</v>
      </c>
      <c r="AB2315">
        <v>25</v>
      </c>
      <c r="AC2315">
        <v>-0.62370000000001302</v>
      </c>
      <c r="AD2315">
        <v>-8.8345999999999994E-2</v>
      </c>
      <c r="AE2315">
        <v>4.0000000000190898E-3</v>
      </c>
      <c r="AF2315">
        <v>-3.5726784133204102E-3</v>
      </c>
      <c r="AG2315">
        <v>-8.8345999999999994E-2</v>
      </c>
      <c r="AH2315">
        <v>0.61143472286955602</v>
      </c>
      <c r="AI2315">
        <v>98.221608953856503</v>
      </c>
      <c r="AJ2315">
        <v>90.334781551363605</v>
      </c>
      <c r="AK2315">
        <v>0.61779462613203096</v>
      </c>
      <c r="AL2315">
        <v>93.905452805956699</v>
      </c>
      <c r="AM2315">
        <v>91.898618887349201</v>
      </c>
      <c r="AN2315">
        <v>1.0000000089755401</v>
      </c>
    </row>
    <row r="2316" spans="1:40" x14ac:dyDescent="0.25">
      <c r="A2316" t="str">
        <f>"20190303154142386"</f>
        <v>20190303154142386</v>
      </c>
      <c r="B2316" t="str">
        <f>"1551598902382064"</f>
        <v>1551598902382064</v>
      </c>
      <c r="C2316" t="s">
        <v>40</v>
      </c>
      <c r="D2316">
        <v>6.2506760000000003</v>
      </c>
      <c r="E2316">
        <v>0.51134670000000004</v>
      </c>
      <c r="F2316" t="s">
        <v>42</v>
      </c>
      <c r="G2316">
        <v>-228.22880000000001</v>
      </c>
      <c r="H2316">
        <v>1.0328809999999999</v>
      </c>
      <c r="I2316">
        <v>282.68970000000002</v>
      </c>
      <c r="J2316">
        <v>-227.62360000000001</v>
      </c>
      <c r="K2316">
        <v>1.119343</v>
      </c>
      <c r="L2316">
        <v>282.68490000000003</v>
      </c>
      <c r="M2316">
        <v>-0.99990559999999995</v>
      </c>
      <c r="N2316">
        <v>-4.2713769999999998E-3</v>
      </c>
      <c r="O2316">
        <v>1.3053469999999999E-2</v>
      </c>
      <c r="P2316">
        <v>-0.99722049999999995</v>
      </c>
      <c r="Q2316">
        <v>-7.1981039999999996E-2</v>
      </c>
      <c r="R2316">
        <v>-1.9243150000000001E-2</v>
      </c>
      <c r="S2316">
        <v>-2.9870299999999999</v>
      </c>
      <c r="T2316">
        <v>-0.30481279999999999</v>
      </c>
      <c r="U2316">
        <v>2.9815669999999999E-2</v>
      </c>
      <c r="V2316">
        <v>-3.2354729999999998E-2</v>
      </c>
      <c r="W2316">
        <v>-6.7676520000000004E-2</v>
      </c>
      <c r="X2316">
        <v>0.99718249999999997</v>
      </c>
      <c r="Y2316">
        <v>-2.994156E-3</v>
      </c>
      <c r="Z2316">
        <v>-1.4316789999999999E-3</v>
      </c>
      <c r="AA2316">
        <v>0.99999450000000001</v>
      </c>
      <c r="AB2316">
        <v>25</v>
      </c>
      <c r="AC2316">
        <v>-0.60519999999999596</v>
      </c>
      <c r="AD2316">
        <v>-8.6461999999999997E-2</v>
      </c>
      <c r="AE2316">
        <v>4.7999999999888097E-3</v>
      </c>
      <c r="AF2316">
        <v>-3.0384298461267902E-3</v>
      </c>
      <c r="AG2316">
        <v>-8.6461999999999997E-2</v>
      </c>
      <c r="AH2316">
        <v>0.59310628464098303</v>
      </c>
      <c r="AI2316">
        <v>98.293947662449099</v>
      </c>
      <c r="AJ2316">
        <v>90.293518527990102</v>
      </c>
      <c r="AK2316">
        <v>0.59938299473755596</v>
      </c>
      <c r="AL2316">
        <v>93.880545279333603</v>
      </c>
      <c r="AM2316">
        <v>91.858375332240001</v>
      </c>
      <c r="AN2316">
        <v>0.99999993910946405</v>
      </c>
    </row>
    <row r="2317" spans="1:40" x14ac:dyDescent="0.25">
      <c r="A2317" t="str">
        <f>"20190303154142408"</f>
        <v>20190303154142408</v>
      </c>
      <c r="B2317" t="str">
        <f>"1551598902401584"</f>
        <v>1551598902401584</v>
      </c>
      <c r="C2317" t="s">
        <v>40</v>
      </c>
      <c r="D2317">
        <v>6.0880010000000002</v>
      </c>
      <c r="E2317">
        <v>0.54298290000000005</v>
      </c>
      <c r="F2317" t="s">
        <v>42</v>
      </c>
      <c r="G2317">
        <v>-228.4546</v>
      </c>
      <c r="H2317">
        <v>1.034734</v>
      </c>
      <c r="I2317">
        <v>282.69479999999999</v>
      </c>
      <c r="J2317">
        <v>-227.8732</v>
      </c>
      <c r="K2317">
        <v>1.119243</v>
      </c>
      <c r="L2317">
        <v>282.6891</v>
      </c>
      <c r="M2317">
        <v>-0.99989240000000001</v>
      </c>
      <c r="N2317">
        <v>-4.3470569999999997E-3</v>
      </c>
      <c r="O2317">
        <v>1.401143E-2</v>
      </c>
      <c r="P2317">
        <v>-0.99717049999999996</v>
      </c>
      <c r="Q2317">
        <v>-7.2948659999999999E-2</v>
      </c>
      <c r="R2317">
        <v>-1.8151560000000001E-2</v>
      </c>
      <c r="S2317">
        <v>-2.9870909999999999</v>
      </c>
      <c r="T2317">
        <v>-0.30413259999999998</v>
      </c>
      <c r="U2317">
        <v>3.515625E-2</v>
      </c>
      <c r="V2317">
        <v>-3.223533E-2</v>
      </c>
      <c r="W2317">
        <v>-6.8561430000000007E-2</v>
      </c>
      <c r="X2317">
        <v>0.99712599999999996</v>
      </c>
      <c r="Y2317">
        <v>-2.1651280000000001E-3</v>
      </c>
      <c r="Z2317">
        <v>-1.4766849999999999E-3</v>
      </c>
      <c r="AA2317">
        <v>0.99999649999999995</v>
      </c>
      <c r="AB2317">
        <v>25</v>
      </c>
      <c r="AC2317">
        <v>-0.58140000000000203</v>
      </c>
      <c r="AD2317">
        <v>-8.4508999999999904E-2</v>
      </c>
      <c r="AE2317">
        <v>5.6999999999902597E-3</v>
      </c>
      <c r="AF2317">
        <v>-2.3962588094057599E-3</v>
      </c>
      <c r="AG2317">
        <v>-8.4508999999999904E-2</v>
      </c>
      <c r="AH2317">
        <v>0.56939386411472703</v>
      </c>
      <c r="AI2317">
        <v>98.442093129362107</v>
      </c>
      <c r="AJ2317">
        <v>90.241124315727106</v>
      </c>
      <c r="AK2317">
        <v>0.57563607047229204</v>
      </c>
      <c r="AL2317">
        <v>93.931364605576505</v>
      </c>
      <c r="AM2317">
        <v>91.851626914539196</v>
      </c>
      <c r="AN2317">
        <v>1.00000002302992</v>
      </c>
    </row>
    <row r="2318" spans="1:40" x14ac:dyDescent="0.25">
      <c r="A2318" t="str">
        <f>"20190303154142432"</f>
        <v>20190303154142432</v>
      </c>
      <c r="B2318" t="str">
        <f>"1551598902421861"</f>
        <v>1551598902421861</v>
      </c>
      <c r="C2318" t="s">
        <v>40</v>
      </c>
      <c r="D2318">
        <v>6.1311609999999996</v>
      </c>
      <c r="E2318">
        <v>0.54389480000000001</v>
      </c>
      <c r="F2318" t="s">
        <v>42</v>
      </c>
      <c r="G2318">
        <v>-228.64949999999999</v>
      </c>
      <c r="H2318">
        <v>0.97361370000000003</v>
      </c>
      <c r="I2318">
        <v>282.76710000000003</v>
      </c>
      <c r="J2318">
        <v>-228.14269999999999</v>
      </c>
      <c r="K2318">
        <v>1.1191329999999999</v>
      </c>
      <c r="L2318">
        <v>282.69409999999999</v>
      </c>
      <c r="M2318">
        <v>-0.99987470000000001</v>
      </c>
      <c r="N2318">
        <v>-4.4237759999999999E-3</v>
      </c>
      <c r="O2318">
        <v>1.51962E-2</v>
      </c>
      <c r="P2318">
        <v>-0.99710940000000003</v>
      </c>
      <c r="Q2318">
        <v>-7.4226169999999994E-2</v>
      </c>
      <c r="R2318">
        <v>-1.6230120000000001E-2</v>
      </c>
      <c r="S2318">
        <v>-2.9731290000000001</v>
      </c>
      <c r="T2318">
        <v>-0.55779969999999901</v>
      </c>
      <c r="U2318">
        <v>0.29742429999999997</v>
      </c>
      <c r="V2318">
        <v>-3.1515219999999997E-2</v>
      </c>
      <c r="W2318">
        <v>-6.9755429999999993E-2</v>
      </c>
      <c r="X2318">
        <v>0.99706620000000001</v>
      </c>
      <c r="Y2318">
        <v>8.3187140000000007E-2</v>
      </c>
      <c r="Z2318">
        <v>5.1509640000000001E-3</v>
      </c>
      <c r="AA2318">
        <v>0.99652059999999998</v>
      </c>
      <c r="AB2318">
        <v>25</v>
      </c>
      <c r="AC2318">
        <v>-0.50679999999999803</v>
      </c>
      <c r="AD2318">
        <v>-0.14551929999999999</v>
      </c>
      <c r="AE2318">
        <v>7.3000000000035897E-2</v>
      </c>
      <c r="AF2318">
        <v>6.0410695213626797E-2</v>
      </c>
      <c r="AG2318">
        <v>-0.14551929999999999</v>
      </c>
      <c r="AH2318">
        <v>0.46989726022131101</v>
      </c>
      <c r="AI2318">
        <v>107.074616947769</v>
      </c>
      <c r="AJ2318">
        <v>82.674153123690402</v>
      </c>
      <c r="AK2318">
        <v>0.49560947724209098</v>
      </c>
      <c r="AL2318">
        <v>93.999939979144003</v>
      </c>
      <c r="AM2318">
        <v>91.810399474465299</v>
      </c>
      <c r="AN2318">
        <v>1.0000000181442801</v>
      </c>
    </row>
    <row r="2319" spans="1:40" x14ac:dyDescent="0.25">
      <c r="A2319" t="str">
        <f>"20190303154142453"</f>
        <v>20190303154142453</v>
      </c>
      <c r="B2319" t="str">
        <f>"1551598902441385"</f>
        <v>1551598902441385</v>
      </c>
      <c r="C2319" t="s">
        <v>40</v>
      </c>
      <c r="D2319">
        <v>6.2933519999999996</v>
      </c>
      <c r="E2319">
        <v>0.54219139999999999</v>
      </c>
      <c r="F2319" t="s">
        <v>42</v>
      </c>
      <c r="G2319">
        <v>-228.8689</v>
      </c>
      <c r="H2319">
        <v>0.95762749999999996</v>
      </c>
      <c r="I2319">
        <v>282.77089999999998</v>
      </c>
      <c r="J2319">
        <v>-228.38210000000001</v>
      </c>
      <c r="K2319">
        <v>1.119035</v>
      </c>
      <c r="L2319">
        <v>282.69900000000001</v>
      </c>
      <c r="M2319">
        <v>-0.99985579999999996</v>
      </c>
      <c r="N2319">
        <v>-4.4876969999999997E-3</v>
      </c>
      <c r="O2319">
        <v>1.6379080000000001E-2</v>
      </c>
      <c r="P2319">
        <v>-0.99704610000000005</v>
      </c>
      <c r="Q2319">
        <v>-7.5274679999999997E-2</v>
      </c>
      <c r="R2319">
        <v>-1.526837E-2</v>
      </c>
      <c r="S2319">
        <v>-2.9647220000000001</v>
      </c>
      <c r="T2319">
        <v>-0.65927979999999997</v>
      </c>
      <c r="U2319">
        <v>0.31369019999999997</v>
      </c>
      <c r="V2319">
        <v>-3.1750279999999999E-2</v>
      </c>
      <c r="W2319">
        <v>-7.0732660000000003E-2</v>
      </c>
      <c r="X2319">
        <v>0.99698980000000004</v>
      </c>
      <c r="Y2319">
        <v>8.7149099999999993E-2</v>
      </c>
      <c r="Z2319">
        <v>6.2304049999999996E-3</v>
      </c>
      <c r="AA2319">
        <v>0.99617579999999994</v>
      </c>
      <c r="AB2319">
        <v>25</v>
      </c>
      <c r="AC2319">
        <v>-0.48679999999998802</v>
      </c>
      <c r="AD2319">
        <v>-0.16140750000000001</v>
      </c>
      <c r="AE2319">
        <v>7.1899999999970904E-2</v>
      </c>
      <c r="AF2319">
        <v>5.7708094867811997E-2</v>
      </c>
      <c r="AG2319">
        <v>-0.16140750000000001</v>
      </c>
      <c r="AH2319">
        <v>0.44051692235376</v>
      </c>
      <c r="AI2319">
        <v>109.966117896391</v>
      </c>
      <c r="AJ2319">
        <v>82.536703178459305</v>
      </c>
      <c r="AK2319">
        <v>0.47269203943958099</v>
      </c>
      <c r="AL2319">
        <v>94.056070161680196</v>
      </c>
      <c r="AM2319">
        <v>91.824033138548003</v>
      </c>
      <c r="AN2319">
        <v>0.99999992538739402</v>
      </c>
    </row>
    <row r="2320" spans="1:40" x14ac:dyDescent="0.25">
      <c r="A2320" t="str">
        <f>"20190303154142477"</f>
        <v>20190303154142477</v>
      </c>
      <c r="B2320" t="str">
        <f>"1551598902471637"</f>
        <v>1551598902471637</v>
      </c>
      <c r="C2320" t="s">
        <v>40</v>
      </c>
      <c r="D2320">
        <v>6.3106939999999998</v>
      </c>
      <c r="E2320">
        <v>0.54137690000000005</v>
      </c>
      <c r="F2320" t="s">
        <v>42</v>
      </c>
      <c r="G2320">
        <v>-229.09100000000001</v>
      </c>
      <c r="H2320">
        <v>0.94470270000000001</v>
      </c>
      <c r="I2320">
        <v>282.7722</v>
      </c>
      <c r="J2320">
        <v>-228.65090000000001</v>
      </c>
      <c r="K2320">
        <v>1.1189340000000001</v>
      </c>
      <c r="L2320">
        <v>282.70490000000001</v>
      </c>
      <c r="M2320">
        <v>-0.99983069999999996</v>
      </c>
      <c r="N2320">
        <v>-4.5550829999999997E-3</v>
      </c>
      <c r="O2320">
        <v>1.7834699999999998E-2</v>
      </c>
      <c r="P2320">
        <v>-0.99703339999999996</v>
      </c>
      <c r="Q2320">
        <v>-7.5627620000000007E-2</v>
      </c>
      <c r="R2320">
        <v>-1.433016E-2</v>
      </c>
      <c r="S2320">
        <v>-2.958618</v>
      </c>
      <c r="T2320">
        <v>-0.72744750000000002</v>
      </c>
      <c r="U2320">
        <v>0.30493160000000002</v>
      </c>
      <c r="V2320">
        <v>-3.2280660000000003E-2</v>
      </c>
      <c r="W2320">
        <v>-7.1009639999999999E-2</v>
      </c>
      <c r="X2320">
        <v>0.99695310000000004</v>
      </c>
      <c r="Y2320">
        <v>8.2785479999999995E-2</v>
      </c>
      <c r="Z2320">
        <v>5.9657629999999998E-3</v>
      </c>
      <c r="AA2320">
        <v>0.99654949999999998</v>
      </c>
      <c r="AB2320">
        <v>25</v>
      </c>
      <c r="AC2320">
        <v>-0.44009999999997201</v>
      </c>
      <c r="AD2320">
        <v>-0.17423130000000001</v>
      </c>
      <c r="AE2320">
        <v>6.7299999999988799E-2</v>
      </c>
      <c r="AF2320">
        <v>5.1546005728847502E-2</v>
      </c>
      <c r="AG2320">
        <v>-0.17423130000000001</v>
      </c>
      <c r="AH2320">
        <v>0.38263116235120698</v>
      </c>
      <c r="AI2320">
        <v>114.28842218763199</v>
      </c>
      <c r="AJ2320">
        <v>82.327612111244804</v>
      </c>
      <c r="AK2320">
        <v>0.42358014945051897</v>
      </c>
      <c r="AL2320">
        <v>94.0719798661395</v>
      </c>
      <c r="AM2320">
        <v>91.854550246392407</v>
      </c>
      <c r="AN2320">
        <v>0.99999994679128601</v>
      </c>
    </row>
    <row r="2321" spans="1:40" x14ac:dyDescent="0.25">
      <c r="A2321" t="str">
        <f>"20190303154142498"</f>
        <v>20190303154142498</v>
      </c>
      <c r="B2321" t="str">
        <f>"1551598902492134"</f>
        <v>1551598902492134</v>
      </c>
      <c r="C2321" t="s">
        <v>40</v>
      </c>
      <c r="D2321">
        <v>6.3174650000000003</v>
      </c>
      <c r="E2321">
        <v>0.54083910000000002</v>
      </c>
      <c r="F2321" t="s">
        <v>42</v>
      </c>
      <c r="G2321">
        <v>-229.52539999999999</v>
      </c>
      <c r="H2321">
        <v>0.88868009999999997</v>
      </c>
      <c r="I2321">
        <v>282.79450000000003</v>
      </c>
      <c r="J2321">
        <v>-228.899</v>
      </c>
      <c r="K2321">
        <v>1.118851</v>
      </c>
      <c r="L2321">
        <v>282.71080000000001</v>
      </c>
      <c r="M2321">
        <v>-0.99980340000000001</v>
      </c>
      <c r="N2321">
        <v>-4.6128710000000002E-3</v>
      </c>
      <c r="O2321">
        <v>1.928554E-2</v>
      </c>
      <c r="P2321">
        <v>-0.99697429999999998</v>
      </c>
      <c r="Q2321">
        <v>-7.6453759999999996E-2</v>
      </c>
      <c r="R2321">
        <v>-1.405412E-2</v>
      </c>
      <c r="S2321">
        <v>-2.954285</v>
      </c>
      <c r="T2321">
        <v>-0.77781699999999998</v>
      </c>
      <c r="U2321">
        <v>0.30236819999999998</v>
      </c>
      <c r="V2321">
        <v>-3.3465370000000001E-2</v>
      </c>
      <c r="W2321">
        <v>-7.1769550000000001E-2</v>
      </c>
      <c r="X2321">
        <v>0.99685970000000002</v>
      </c>
      <c r="Y2321">
        <v>8.0477419999999994E-2</v>
      </c>
      <c r="Z2321">
        <v>5.6887580000000004E-3</v>
      </c>
      <c r="AA2321">
        <v>0.99674019999999997</v>
      </c>
      <c r="AB2321">
        <v>26</v>
      </c>
      <c r="AC2321">
        <v>-0.62639999999998897</v>
      </c>
      <c r="AD2321">
        <v>-0.23017090000000001</v>
      </c>
      <c r="AE2321">
        <v>8.3700000000021604E-2</v>
      </c>
      <c r="AF2321">
        <v>6.3217902920530894E-2</v>
      </c>
      <c r="AG2321">
        <v>-0.23017090000000001</v>
      </c>
      <c r="AH2321">
        <v>0.55436098727817895</v>
      </c>
      <c r="AI2321">
        <v>112.41745475096</v>
      </c>
      <c r="AJ2321">
        <v>83.494240809120697</v>
      </c>
      <c r="AK2321">
        <v>0.60356544854101601</v>
      </c>
      <c r="AL2321">
        <v>94.115630535914093</v>
      </c>
      <c r="AM2321">
        <v>91.922742624949507</v>
      </c>
      <c r="AN2321">
        <v>1.0000000303902601</v>
      </c>
    </row>
    <row r="2322" spans="1:40" x14ac:dyDescent="0.25">
      <c r="A2322" t="str">
        <f>"20190303154142522"</f>
        <v>20190303154142522</v>
      </c>
      <c r="B2322" t="str">
        <f>"1551598902511657"</f>
        <v>1551598902511657</v>
      </c>
      <c r="C2322" t="s">
        <v>40</v>
      </c>
      <c r="D2322">
        <v>6.3074599999999998</v>
      </c>
      <c r="E2322">
        <v>0.54035449999999996</v>
      </c>
      <c r="F2322" t="s">
        <v>42</v>
      </c>
      <c r="G2322">
        <v>-229.75620000000001</v>
      </c>
      <c r="H2322">
        <v>0.88748179999999999</v>
      </c>
      <c r="I2322">
        <v>282.79759999999999</v>
      </c>
      <c r="J2322">
        <v>-229.18100000000001</v>
      </c>
      <c r="K2322">
        <v>1.1187819999999999</v>
      </c>
      <c r="L2322">
        <v>282.71809999999999</v>
      </c>
      <c r="M2322">
        <v>-0.99976830000000005</v>
      </c>
      <c r="N2322">
        <v>-4.6743239999999997E-3</v>
      </c>
      <c r="O2322">
        <v>2.1015120000000002E-2</v>
      </c>
      <c r="P2322">
        <v>-0.99694839999999996</v>
      </c>
      <c r="Q2322">
        <v>-7.6964060000000001E-2</v>
      </c>
      <c r="R2322">
        <v>-1.3058439999999999E-2</v>
      </c>
      <c r="S2322">
        <v>-2.9522249999999999</v>
      </c>
      <c r="T2322">
        <v>-0.7968904</v>
      </c>
      <c r="U2322">
        <v>0.29901119999999998</v>
      </c>
      <c r="V2322">
        <v>-3.4205329999999999E-2</v>
      </c>
      <c r="W2322">
        <v>-7.2211789999999998E-2</v>
      </c>
      <c r="X2322">
        <v>0.99680259999999998</v>
      </c>
      <c r="Y2322">
        <v>7.7752459999999995E-2</v>
      </c>
      <c r="Z2322">
        <v>5.0085019999999997E-3</v>
      </c>
      <c r="AA2322">
        <v>0.99696010000000002</v>
      </c>
      <c r="AB2322">
        <v>26</v>
      </c>
      <c r="AC2322">
        <v>-0.57520000000002303</v>
      </c>
      <c r="AD2322">
        <v>-0.23130019999999901</v>
      </c>
      <c r="AE2322">
        <v>7.9499999999995893E-2</v>
      </c>
      <c r="AF2322">
        <v>5.81652959933582E-2</v>
      </c>
      <c r="AG2322">
        <v>-0.23130019999999901</v>
      </c>
      <c r="AH2322">
        <v>0.49776331868248902</v>
      </c>
      <c r="AI2322">
        <v>114.77515071360401</v>
      </c>
      <c r="AJ2322">
        <v>83.335024383089504</v>
      </c>
      <c r="AK2322">
        <v>0.55195226750493598</v>
      </c>
      <c r="AL2322">
        <v>94.141035124627095</v>
      </c>
      <c r="AM2322">
        <v>91.965336310683199</v>
      </c>
      <c r="AN2322">
        <v>0.99999998529108602</v>
      </c>
    </row>
    <row r="2323" spans="1:40" x14ac:dyDescent="0.25">
      <c r="A2323" t="str">
        <f>"20190303154142543"</f>
        <v>20190303154142543</v>
      </c>
      <c r="B2323" t="str">
        <f>"1551598902532152"</f>
        <v>1551598902532152</v>
      </c>
      <c r="C2323" t="s">
        <v>40</v>
      </c>
      <c r="D2323">
        <v>6.0853830000000002</v>
      </c>
      <c r="E2323">
        <v>0.54054159999999996</v>
      </c>
      <c r="F2323" t="s">
        <v>42</v>
      </c>
      <c r="G2323">
        <v>-229.99170000000001</v>
      </c>
      <c r="H2323">
        <v>0.89551579999999997</v>
      </c>
      <c r="I2323">
        <v>282.80009999999999</v>
      </c>
      <c r="J2323">
        <v>-229.42830000000001</v>
      </c>
      <c r="K2323">
        <v>1.1187389999999999</v>
      </c>
      <c r="L2323">
        <v>282.72500000000002</v>
      </c>
      <c r="M2323">
        <v>-0.99973400000000001</v>
      </c>
      <c r="N2323">
        <v>-4.72501E-3</v>
      </c>
      <c r="O2323">
        <v>2.2576010000000001E-2</v>
      </c>
      <c r="P2323">
        <v>-0.99686989999999998</v>
      </c>
      <c r="Q2323">
        <v>-7.8165760000000001E-2</v>
      </c>
      <c r="R2323">
        <v>-1.186417E-2</v>
      </c>
      <c r="S2323">
        <v>-2.9503780000000002</v>
      </c>
      <c r="T2323">
        <v>-0.812411199999999</v>
      </c>
      <c r="U2323">
        <v>0.2981567</v>
      </c>
      <c r="V2323">
        <v>-3.4574590000000002E-2</v>
      </c>
      <c r="W2323">
        <v>-7.3359450000000007E-2</v>
      </c>
      <c r="X2323">
        <v>0.99670610000000004</v>
      </c>
      <c r="Y2323">
        <v>7.6011010000000004E-2</v>
      </c>
      <c r="Z2323">
        <v>4.450964E-3</v>
      </c>
      <c r="AA2323">
        <v>0.99709700000000001</v>
      </c>
      <c r="AB2323">
        <v>26</v>
      </c>
      <c r="AC2323">
        <v>-0.56340000000000101</v>
      </c>
      <c r="AD2323">
        <v>-0.22322319999999901</v>
      </c>
      <c r="AE2323">
        <v>7.5099999999963502E-2</v>
      </c>
      <c r="AF2323">
        <v>5.4028115303304897E-2</v>
      </c>
      <c r="AG2323">
        <v>-0.22322319999999901</v>
      </c>
      <c r="AH2323">
        <v>0.48945804008635202</v>
      </c>
      <c r="AI2323">
        <v>114.385198396739</v>
      </c>
      <c r="AJ2323">
        <v>83.700989433717595</v>
      </c>
      <c r="AK2323">
        <v>0.54066330305157595</v>
      </c>
      <c r="AL2323">
        <v>94.206965887817603</v>
      </c>
      <c r="AM2323">
        <v>91.986728161316094</v>
      </c>
      <c r="AN2323">
        <v>1.00000003047758</v>
      </c>
    </row>
    <row r="2324" spans="1:40" x14ac:dyDescent="0.25">
      <c r="A2324" t="str">
        <f>"20190303154142566"</f>
        <v>20190303154142566</v>
      </c>
      <c r="B2324" t="str">
        <f>"1551598902561430"</f>
        <v>1551598902561430</v>
      </c>
      <c r="C2324" t="s">
        <v>40</v>
      </c>
      <c r="D2324">
        <v>6.0907439999999999</v>
      </c>
      <c r="E2324">
        <v>0.54158909999999905</v>
      </c>
      <c r="F2324" t="s">
        <v>42</v>
      </c>
      <c r="G2324">
        <v>-230.22550000000001</v>
      </c>
      <c r="H2324">
        <v>0.89657830000000005</v>
      </c>
      <c r="I2324">
        <v>282.8066</v>
      </c>
      <c r="J2324">
        <v>-229.68870000000001</v>
      </c>
      <c r="K2324">
        <v>1.118709</v>
      </c>
      <c r="L2324">
        <v>282.73259999999999</v>
      </c>
      <c r="M2324">
        <v>-0.99969479999999999</v>
      </c>
      <c r="N2324">
        <v>-4.7755030000000004E-3</v>
      </c>
      <c r="O2324">
        <v>2.4243560000000001E-2</v>
      </c>
      <c r="P2324">
        <v>-0.99672629999999995</v>
      </c>
      <c r="Q2324">
        <v>-8.0237399999999903E-2</v>
      </c>
      <c r="R2324">
        <v>-9.947259E-3</v>
      </c>
      <c r="S2324">
        <v>-2.9485779999999999</v>
      </c>
      <c r="T2324">
        <v>-0.82177479999999903</v>
      </c>
      <c r="U2324">
        <v>0.30242920000000001</v>
      </c>
      <c r="V2324">
        <v>-3.432607E-2</v>
      </c>
      <c r="W2324">
        <v>-7.5380489999999994E-2</v>
      </c>
      <c r="X2324">
        <v>0.99656389999999995</v>
      </c>
      <c r="Y2324">
        <v>7.5856999999999994E-2</v>
      </c>
      <c r="Z2324">
        <v>4.0343749999999998E-3</v>
      </c>
      <c r="AA2324">
        <v>0.99711050000000001</v>
      </c>
      <c r="AB2324">
        <v>26</v>
      </c>
      <c r="AC2324">
        <v>-0.53679999999999894</v>
      </c>
      <c r="AD2324">
        <v>-0.22213069999999899</v>
      </c>
      <c r="AE2324">
        <v>7.4000000000012195E-2</v>
      </c>
      <c r="AF2324">
        <v>5.2193490544234E-2</v>
      </c>
      <c r="AG2324">
        <v>-0.22213069999999899</v>
      </c>
      <c r="AH2324">
        <v>0.46097359826462903</v>
      </c>
      <c r="AI2324">
        <v>115.585731783483</v>
      </c>
      <c r="AJ2324">
        <v>83.540226384111406</v>
      </c>
      <c r="AK2324">
        <v>0.51435675035399298</v>
      </c>
      <c r="AL2324">
        <v>94.323084438242802</v>
      </c>
      <c r="AM2324">
        <v>91.972740232445901</v>
      </c>
      <c r="AN2324">
        <v>1.00000005206874</v>
      </c>
    </row>
    <row r="2325" spans="1:40" x14ac:dyDescent="0.25">
      <c r="A2325" t="str">
        <f>"20190303154142586"</f>
        <v>20190303154142586</v>
      </c>
      <c r="B2325" t="str">
        <f>"1551598902581926"</f>
        <v>1551598902581926</v>
      </c>
      <c r="C2325" t="s">
        <v>40</v>
      </c>
      <c r="D2325">
        <v>6.1015480000000002</v>
      </c>
      <c r="E2325">
        <v>0.54209739999999995</v>
      </c>
      <c r="F2325" t="s">
        <v>42</v>
      </c>
      <c r="G2325">
        <v>-230.46170000000001</v>
      </c>
      <c r="H2325">
        <v>0.90104580000000001</v>
      </c>
      <c r="I2325">
        <v>282.81540000000001</v>
      </c>
      <c r="J2325">
        <v>-229.93109999999999</v>
      </c>
      <c r="K2325">
        <v>1.118695</v>
      </c>
      <c r="L2325">
        <v>282.74009999999998</v>
      </c>
      <c r="M2325">
        <v>-0.99965550000000003</v>
      </c>
      <c r="N2325">
        <v>-4.8203170000000002E-3</v>
      </c>
      <c r="O2325">
        <v>2.5797960000000002E-2</v>
      </c>
      <c r="P2325">
        <v>-0.99657019999999996</v>
      </c>
      <c r="Q2325">
        <v>-8.2341410000000004E-2</v>
      </c>
      <c r="R2325">
        <v>-8.2268769999999901E-3</v>
      </c>
      <c r="S2325">
        <v>-2.9462280000000001</v>
      </c>
      <c r="T2325">
        <v>-0.82963310000000001</v>
      </c>
      <c r="U2325">
        <v>0.31518550000000001</v>
      </c>
      <c r="V2325">
        <v>-3.4159090000000003E-2</v>
      </c>
      <c r="W2325">
        <v>-7.7440519999999999E-2</v>
      </c>
      <c r="X2325">
        <v>0.99641159999999995</v>
      </c>
      <c r="Y2325">
        <v>7.8568990000000005E-2</v>
      </c>
      <c r="Z2325">
        <v>4.0335350000000004E-3</v>
      </c>
      <c r="AA2325">
        <v>0.99690049999999997</v>
      </c>
      <c r="AB2325">
        <v>26</v>
      </c>
      <c r="AC2325">
        <v>-0.53060000000002105</v>
      </c>
      <c r="AD2325">
        <v>-0.21764919999999999</v>
      </c>
      <c r="AE2325">
        <v>7.5300000000026998E-2</v>
      </c>
      <c r="AF2325">
        <v>5.2866672566902702E-2</v>
      </c>
      <c r="AG2325">
        <v>-0.21764919999999999</v>
      </c>
      <c r="AH2325">
        <v>0.45699096566050101</v>
      </c>
      <c r="AI2325">
        <v>115.319327702363</v>
      </c>
      <c r="AJ2325">
        <v>83.401111775615703</v>
      </c>
      <c r="AK2325">
        <v>0.50892710875355596</v>
      </c>
      <c r="AL2325">
        <v>94.441461893945799</v>
      </c>
      <c r="AM2325">
        <v>91.9634511468753</v>
      </c>
      <c r="AN2325">
        <v>0.99999997709102895</v>
      </c>
    </row>
    <row r="2326" spans="1:40" x14ac:dyDescent="0.25">
      <c r="A2326" t="str">
        <f>"20190303154142609"</f>
        <v>20190303154142609</v>
      </c>
      <c r="B2326" t="str">
        <f>"1551598902601446"</f>
        <v>1551598902601446</v>
      </c>
      <c r="C2326" t="s">
        <v>40</v>
      </c>
      <c r="D2326">
        <v>6.1147369999999999</v>
      </c>
      <c r="E2326">
        <v>0.54258689999999998</v>
      </c>
      <c r="F2326" t="s">
        <v>42</v>
      </c>
      <c r="G2326">
        <v>-230.697</v>
      </c>
      <c r="H2326">
        <v>0.90115509999999999</v>
      </c>
      <c r="I2326">
        <v>282.8245</v>
      </c>
      <c r="J2326">
        <v>-230.19929999999999</v>
      </c>
      <c r="K2326">
        <v>1.118692</v>
      </c>
      <c r="L2326">
        <v>282.74889999999999</v>
      </c>
      <c r="M2326">
        <v>-0.99961009999999995</v>
      </c>
      <c r="N2326">
        <v>-4.8677319999999996E-3</v>
      </c>
      <c r="O2326">
        <v>2.749907E-2</v>
      </c>
      <c r="P2326">
        <v>-0.9964674</v>
      </c>
      <c r="Q2326">
        <v>-8.3724080000000006E-2</v>
      </c>
      <c r="R2326">
        <v>-6.5922189999999999E-3</v>
      </c>
      <c r="S2326">
        <v>-2.9439389999999999</v>
      </c>
      <c r="T2326">
        <v>-0.8361248</v>
      </c>
      <c r="U2326">
        <v>0.32434079999999998</v>
      </c>
      <c r="V2326">
        <v>-3.4219630000000001E-2</v>
      </c>
      <c r="W2326">
        <v>-7.8776680000000002E-2</v>
      </c>
      <c r="X2326">
        <v>0.99630479999999999</v>
      </c>
      <c r="Y2326">
        <v>7.9991359999999997E-2</v>
      </c>
      <c r="Z2326">
        <v>3.8041350000000002E-3</v>
      </c>
      <c r="AA2326">
        <v>0.99678829999999996</v>
      </c>
      <c r="AB2326">
        <v>26</v>
      </c>
      <c r="AC2326">
        <v>-0.49770000000000802</v>
      </c>
      <c r="AD2326">
        <v>-0.21753690000000001</v>
      </c>
      <c r="AE2326">
        <v>7.5600000000008494E-2</v>
      </c>
      <c r="AF2326">
        <v>5.2147281078064697E-2</v>
      </c>
      <c r="AG2326">
        <v>-0.21753690000000001</v>
      </c>
      <c r="AH2326">
        <v>0.42097946879361597</v>
      </c>
      <c r="AI2326">
        <v>117.149681992666</v>
      </c>
      <c r="AJ2326">
        <v>82.938666359755601</v>
      </c>
      <c r="AK2326">
        <v>0.47672356238306501</v>
      </c>
      <c r="AL2326">
        <v>94.518252727392905</v>
      </c>
      <c r="AM2326">
        <v>91.967138912905298</v>
      </c>
      <c r="AN2326">
        <v>1.0000000014460899</v>
      </c>
    </row>
    <row r="2327" spans="1:40" x14ac:dyDescent="0.25">
      <c r="A2327" t="str">
        <f>"20190303154142631"</f>
        <v>20190303154142631</v>
      </c>
      <c r="B2327" t="str">
        <f>"1551598902621942"</f>
        <v>1551598902621942</v>
      </c>
      <c r="C2327" t="s">
        <v>40</v>
      </c>
      <c r="D2327">
        <v>6.1156360000000003</v>
      </c>
      <c r="E2327">
        <v>0.54296180000000005</v>
      </c>
      <c r="F2327" t="s">
        <v>42</v>
      </c>
      <c r="G2327">
        <v>-230.9365</v>
      </c>
      <c r="H2327">
        <v>0.90838039999999998</v>
      </c>
      <c r="I2327">
        <v>282.83269999999999</v>
      </c>
      <c r="J2327">
        <v>-230.46879999999999</v>
      </c>
      <c r="K2327">
        <v>1.1187069999999999</v>
      </c>
      <c r="L2327">
        <v>282.75810000000001</v>
      </c>
      <c r="M2327">
        <v>-0.99956239999999996</v>
      </c>
      <c r="N2327">
        <v>-4.9132189999999999E-3</v>
      </c>
      <c r="O2327">
        <v>2.916873E-2</v>
      </c>
      <c r="P2327">
        <v>-0.99642920000000001</v>
      </c>
      <c r="Q2327">
        <v>-8.4304499999999893E-2</v>
      </c>
      <c r="R2327">
        <v>-4.6312430000000002E-3</v>
      </c>
      <c r="S2327">
        <v>-2.942291</v>
      </c>
      <c r="T2327">
        <v>-0.83944799999999997</v>
      </c>
      <c r="U2327">
        <v>0.33374019999999999</v>
      </c>
      <c r="V2327">
        <v>-3.3920310000000002E-2</v>
      </c>
      <c r="W2327">
        <v>-7.9314190000000007E-2</v>
      </c>
      <c r="X2327">
        <v>0.99627239999999995</v>
      </c>
      <c r="Y2327">
        <v>8.1516160000000004E-2</v>
      </c>
      <c r="Z2327">
        <v>3.5812460000000002E-3</v>
      </c>
      <c r="AA2327">
        <v>0.99666560000000004</v>
      </c>
      <c r="AB2327">
        <v>26</v>
      </c>
      <c r="AC2327">
        <v>-0.467700000000007</v>
      </c>
      <c r="AD2327">
        <v>-0.210326599999999</v>
      </c>
      <c r="AE2327">
        <v>7.4599999999975297E-2</v>
      </c>
      <c r="AF2327">
        <v>5.0889616119798697E-2</v>
      </c>
      <c r="AG2327">
        <v>-0.210326599999999</v>
      </c>
      <c r="AH2327">
        <v>0.39230756397575001</v>
      </c>
      <c r="AI2327">
        <v>117.998339463424</v>
      </c>
      <c r="AJ2327">
        <v>82.608939479541604</v>
      </c>
      <c r="AK2327">
        <v>0.448031535105474</v>
      </c>
      <c r="AL2327">
        <v>94.549146401968898</v>
      </c>
      <c r="AM2327">
        <v>91.950009004723199</v>
      </c>
      <c r="AN2327">
        <v>1.0000000115837999</v>
      </c>
    </row>
    <row r="2328" spans="1:40" x14ac:dyDescent="0.25">
      <c r="A2328" t="str">
        <f>"20190303154142654"</f>
        <v>20190303154142654</v>
      </c>
      <c r="B2328" t="str">
        <f>"1551598902652200"</f>
        <v>1551598902652200</v>
      </c>
      <c r="C2328" t="s">
        <v>40</v>
      </c>
      <c r="D2328">
        <v>6.1966510000000001</v>
      </c>
      <c r="E2328">
        <v>0.54295919999999998</v>
      </c>
      <c r="F2328" t="s">
        <v>42</v>
      </c>
      <c r="G2328">
        <v>-231.17750000000001</v>
      </c>
      <c r="H2328">
        <v>0.91658189999999995</v>
      </c>
      <c r="I2328">
        <v>282.84059999999999</v>
      </c>
      <c r="J2328">
        <v>-230.7388</v>
      </c>
      <c r="K2328">
        <v>1.1187370000000001</v>
      </c>
      <c r="L2328">
        <v>282.76760000000002</v>
      </c>
      <c r="M2328">
        <v>-0.99951389999999996</v>
      </c>
      <c r="N2328">
        <v>-4.9570909999999899E-3</v>
      </c>
      <c r="O2328">
        <v>3.078407E-2</v>
      </c>
      <c r="P2328">
        <v>-0.99645980000000001</v>
      </c>
      <c r="Q2328">
        <v>-8.404151E-2</v>
      </c>
      <c r="R2328">
        <v>-2.2972320000000002E-3</v>
      </c>
      <c r="S2328">
        <v>-2.94136</v>
      </c>
      <c r="T2328">
        <v>-0.83896489999999901</v>
      </c>
      <c r="U2328">
        <v>0.34271239999999997</v>
      </c>
      <c r="V2328">
        <v>-3.3191419999999999E-2</v>
      </c>
      <c r="W2328">
        <v>-7.9011570000000003E-2</v>
      </c>
      <c r="X2328">
        <v>0.99632100000000001</v>
      </c>
      <c r="Y2328">
        <v>8.2946770000000003E-2</v>
      </c>
      <c r="Z2328">
        <v>3.3441930000000001E-3</v>
      </c>
      <c r="AA2328">
        <v>0.9965484</v>
      </c>
      <c r="AB2328">
        <v>26</v>
      </c>
      <c r="AC2328">
        <v>-0.43870000000001103</v>
      </c>
      <c r="AD2328">
        <v>-0.2021551</v>
      </c>
      <c r="AE2328">
        <v>7.2999999999978998E-2</v>
      </c>
      <c r="AF2328">
        <v>4.92783694413148E-2</v>
      </c>
      <c r="AG2328">
        <v>-0.2021551</v>
      </c>
      <c r="AH2328">
        <v>0.36526772616443098</v>
      </c>
      <c r="AI2328">
        <v>118.74365891676899</v>
      </c>
      <c r="AJ2328">
        <v>82.316601130094597</v>
      </c>
      <c r="AK2328">
        <v>0.42037549158833998</v>
      </c>
      <c r="AL2328">
        <v>94.531752943719695</v>
      </c>
      <c r="AM2328">
        <v>91.908044921161107</v>
      </c>
      <c r="AN2328">
        <v>1.0000000167982399</v>
      </c>
    </row>
    <row r="2329" spans="1:40" x14ac:dyDescent="0.25">
      <c r="A2329" t="str">
        <f>"20190303154142678"</f>
        <v>20190303154142678</v>
      </c>
      <c r="B2329" t="str">
        <f>"1551598902671718"</f>
        <v>1551598902671718</v>
      </c>
      <c r="C2329" t="s">
        <v>40</v>
      </c>
      <c r="D2329">
        <v>6.0539889999999996</v>
      </c>
      <c r="E2329">
        <v>0.54295380000000004</v>
      </c>
      <c r="F2329" t="s">
        <v>42</v>
      </c>
      <c r="G2329">
        <v>-231.41909999999999</v>
      </c>
      <c r="H2329">
        <v>0.92401990000000001</v>
      </c>
      <c r="I2329">
        <v>282.84870000000001</v>
      </c>
      <c r="J2329">
        <v>-231.01990000000001</v>
      </c>
      <c r="K2329">
        <v>1.118776</v>
      </c>
      <c r="L2329">
        <v>282.77800000000002</v>
      </c>
      <c r="M2329">
        <v>-0.99946299999999999</v>
      </c>
      <c r="N2329">
        <v>-5.0010929999999999E-3</v>
      </c>
      <c r="O2329">
        <v>3.2384509999999998E-2</v>
      </c>
      <c r="P2329">
        <v>-0.99654129999999996</v>
      </c>
      <c r="Q2329">
        <v>-8.3100919999999995E-2</v>
      </c>
      <c r="R2329">
        <v>2.7599990000000001E-4</v>
      </c>
      <c r="S2329">
        <v>-2.9404910000000002</v>
      </c>
      <c r="T2329">
        <v>-0.84162399999999904</v>
      </c>
      <c r="U2329">
        <v>0.34936519999999999</v>
      </c>
      <c r="V2329">
        <v>-3.2206659999999998E-2</v>
      </c>
      <c r="W2329">
        <v>-7.8032539999999997E-2</v>
      </c>
      <c r="X2329">
        <v>0.9964305</v>
      </c>
      <c r="Y2329">
        <v>8.3628300000000003E-2</v>
      </c>
      <c r="Z2329">
        <v>3.0149249999999999E-3</v>
      </c>
      <c r="AA2329">
        <v>0.99649239999999994</v>
      </c>
      <c r="AB2329">
        <v>26</v>
      </c>
      <c r="AC2329">
        <v>-0.39919999999997902</v>
      </c>
      <c r="AD2329">
        <v>-0.19475609999999999</v>
      </c>
      <c r="AE2329">
        <v>7.0699999999987995E-2</v>
      </c>
      <c r="AF2329">
        <v>4.69093615364213E-2</v>
      </c>
      <c r="AG2329">
        <v>-0.19475609999999999</v>
      </c>
      <c r="AH2329">
        <v>0.32603871570359999</v>
      </c>
      <c r="AI2329">
        <v>120.593793488516</v>
      </c>
      <c r="AJ2329">
        <v>81.812660070156596</v>
      </c>
      <c r="AK2329">
        <v>0.38266391366918501</v>
      </c>
      <c r="AL2329">
        <v>94.475484799856702</v>
      </c>
      <c r="AM2329">
        <v>91.851271601225903</v>
      </c>
      <c r="AN2329">
        <v>1.00000004378872</v>
      </c>
    </row>
    <row r="2330" spans="1:40" x14ac:dyDescent="0.25">
      <c r="A2330" t="str">
        <f>"20190303154142700"</f>
        <v>20190303154142700</v>
      </c>
      <c r="B2330" t="str">
        <f>"1551598902692214"</f>
        <v>1551598902692214</v>
      </c>
      <c r="C2330" t="s">
        <v>40</v>
      </c>
      <c r="D2330">
        <v>6.2032769999999999</v>
      </c>
      <c r="E2330">
        <v>0.54304699999999995</v>
      </c>
      <c r="F2330" t="s">
        <v>42</v>
      </c>
      <c r="G2330">
        <v>-231.87719999999999</v>
      </c>
      <c r="H2330">
        <v>0.87432860000000001</v>
      </c>
      <c r="I2330">
        <v>282.88220000000001</v>
      </c>
      <c r="J2330">
        <v>-231.28469999999999</v>
      </c>
      <c r="K2330">
        <v>1.11883</v>
      </c>
      <c r="L2330">
        <v>282.78820000000002</v>
      </c>
      <c r="M2330">
        <v>-0.99941559999999896</v>
      </c>
      <c r="N2330">
        <v>-5.0412779999999997E-3</v>
      </c>
      <c r="O2330">
        <v>3.3813280000000001E-2</v>
      </c>
      <c r="P2330">
        <v>-0.99670610000000004</v>
      </c>
      <c r="Q2330">
        <v>-8.1020930000000005E-2</v>
      </c>
      <c r="R2330">
        <v>3.6162730000000001E-3</v>
      </c>
      <c r="S2330">
        <v>-2.9403990000000002</v>
      </c>
      <c r="T2330">
        <v>-0.83843780000000001</v>
      </c>
      <c r="U2330">
        <v>0.35659790000000002</v>
      </c>
      <c r="V2330">
        <v>-3.0282980000000001E-2</v>
      </c>
      <c r="W2330">
        <v>-7.5919849999999997E-2</v>
      </c>
      <c r="X2330">
        <v>0.99665400000000004</v>
      </c>
      <c r="Y2330">
        <v>8.4652379999999999E-2</v>
      </c>
      <c r="Z2330">
        <v>2.762937E-3</v>
      </c>
      <c r="AA2330">
        <v>0.99640669999999998</v>
      </c>
      <c r="AB2330">
        <v>27</v>
      </c>
      <c r="AC2330">
        <v>-0.59250000000000103</v>
      </c>
      <c r="AD2330">
        <v>-0.24450140000000001</v>
      </c>
      <c r="AE2330">
        <v>9.3999999999994005E-2</v>
      </c>
      <c r="AF2330">
        <v>6.3383181215185894E-2</v>
      </c>
      <c r="AG2330">
        <v>-0.24450140000000001</v>
      </c>
      <c r="AH2330">
        <v>0.51053567598119998</v>
      </c>
      <c r="AI2330">
        <v>115.420002621327</v>
      </c>
      <c r="AJ2330">
        <v>82.922921249769104</v>
      </c>
      <c r="AK2330">
        <v>0.56960077134120701</v>
      </c>
      <c r="AL2330">
        <v>94.354076354833893</v>
      </c>
      <c r="AM2330">
        <v>91.740376581129098</v>
      </c>
      <c r="AN2330">
        <v>1.0000000391088499</v>
      </c>
    </row>
    <row r="2331" spans="1:40" x14ac:dyDescent="0.25">
      <c r="A2331" t="str">
        <f>"20190303154142721"</f>
        <v>20190303154142721</v>
      </c>
      <c r="B2331" t="str">
        <f>"1551598902711737"</f>
        <v>1551598902711737</v>
      </c>
      <c r="C2331" t="s">
        <v>40</v>
      </c>
      <c r="D2331">
        <v>6.2755619999999999</v>
      </c>
      <c r="E2331">
        <v>0.54288819999999904</v>
      </c>
      <c r="F2331" t="s">
        <v>42</v>
      </c>
      <c r="G2331">
        <v>-232.12129999999999</v>
      </c>
      <c r="H2331">
        <v>0.88217679999999998</v>
      </c>
      <c r="I2331">
        <v>282.89269999999999</v>
      </c>
      <c r="J2331">
        <v>-231.53909999999999</v>
      </c>
      <c r="K2331">
        <v>1.118887</v>
      </c>
      <c r="L2331">
        <v>282.79820000000001</v>
      </c>
      <c r="M2331">
        <v>-0.99936999999999998</v>
      </c>
      <c r="N2331">
        <v>-5.0790200000000001E-3</v>
      </c>
      <c r="O2331">
        <v>3.5125219999999999E-2</v>
      </c>
      <c r="P2331">
        <v>-0.99678279999999997</v>
      </c>
      <c r="Q2331">
        <v>-7.9851859999999997E-2</v>
      </c>
      <c r="R2331">
        <v>6.9208830000000001E-3</v>
      </c>
      <c r="S2331">
        <v>-2.9409640000000001</v>
      </c>
      <c r="T2331">
        <v>-0.83184290000000005</v>
      </c>
      <c r="U2331">
        <v>0.36672969999999999</v>
      </c>
      <c r="V2331">
        <v>-2.8280929999999999E-2</v>
      </c>
      <c r="W2331">
        <v>-7.4720460000000002E-2</v>
      </c>
      <c r="X2331">
        <v>0.99680340000000001</v>
      </c>
      <c r="Y2331">
        <v>8.6703879999999997E-2</v>
      </c>
      <c r="Z2331">
        <v>2.6803439999999999E-3</v>
      </c>
      <c r="AA2331">
        <v>0.99623050000000002</v>
      </c>
      <c r="AB2331">
        <v>27</v>
      </c>
      <c r="AC2331">
        <v>-0.58220000000000005</v>
      </c>
      <c r="AD2331">
        <v>-0.23671020000000001</v>
      </c>
      <c r="AE2331">
        <v>9.4499999999982195E-2</v>
      </c>
      <c r="AF2331">
        <v>6.3727395340670706E-2</v>
      </c>
      <c r="AG2331">
        <v>-0.23671020000000001</v>
      </c>
      <c r="AH2331">
        <v>0.50398654571773804</v>
      </c>
      <c r="AI2331">
        <v>114.98388590033601</v>
      </c>
      <c r="AJ2331">
        <v>82.793388158442795</v>
      </c>
      <c r="AK2331">
        <v>0.56044209153617597</v>
      </c>
      <c r="AL2331">
        <v>94.285160825008603</v>
      </c>
      <c r="AM2331">
        <v>91.625138282749404</v>
      </c>
      <c r="AN2331">
        <v>0.99999998819791802</v>
      </c>
    </row>
    <row r="2332" spans="1:40" x14ac:dyDescent="0.25">
      <c r="A2332" t="str">
        <f>"20190303154142742"</f>
        <v>20190303154142742</v>
      </c>
      <c r="B2332" t="str">
        <f>"1551598902731254"</f>
        <v>1551598902731254</v>
      </c>
      <c r="C2332" t="s">
        <v>40</v>
      </c>
      <c r="D2332">
        <v>6.0457979999999996</v>
      </c>
      <c r="E2332">
        <v>0.54310789999999998</v>
      </c>
      <c r="F2332" t="s">
        <v>42</v>
      </c>
      <c r="G2332">
        <v>-232.36439999999999</v>
      </c>
      <c r="H2332">
        <v>0.8850787</v>
      </c>
      <c r="I2332">
        <v>282.90359999999998</v>
      </c>
      <c r="J2332">
        <v>-231.80670000000001</v>
      </c>
      <c r="K2332">
        <v>1.1189370000000001</v>
      </c>
      <c r="L2332">
        <v>282.80900000000003</v>
      </c>
      <c r="M2332">
        <v>-0.99932299999999996</v>
      </c>
      <c r="N2332">
        <v>-5.1179839999999999E-3</v>
      </c>
      <c r="O2332">
        <v>3.6435189999999999E-2</v>
      </c>
      <c r="P2332">
        <v>-0.99681649999999999</v>
      </c>
      <c r="Q2332">
        <v>-7.90328E-2</v>
      </c>
      <c r="R2332">
        <v>1.0548200000000001E-2</v>
      </c>
      <c r="S2332">
        <v>-2.9403229999999998</v>
      </c>
      <c r="T2332">
        <v>-0.83296800000000004</v>
      </c>
      <c r="U2332">
        <v>0.37503049999999999</v>
      </c>
      <c r="V2332">
        <v>-2.5952989999999999E-2</v>
      </c>
      <c r="W2332">
        <v>-7.3870290000000005E-2</v>
      </c>
      <c r="X2332">
        <v>0.99693010000000004</v>
      </c>
      <c r="Y2332">
        <v>8.8177790000000006E-2</v>
      </c>
      <c r="Z2332">
        <v>2.5390199999999999E-3</v>
      </c>
      <c r="AA2332">
        <v>0.99610149999999997</v>
      </c>
      <c r="AB2332">
        <v>27</v>
      </c>
      <c r="AC2332">
        <v>-0.55769999999998199</v>
      </c>
      <c r="AD2332">
        <v>-0.23385829999999999</v>
      </c>
      <c r="AE2332">
        <v>9.4599999999957093E-2</v>
      </c>
      <c r="AF2332">
        <v>6.3383678097322704E-2</v>
      </c>
      <c r="AG2332">
        <v>-0.23385829999999999</v>
      </c>
      <c r="AH2332">
        <v>0.47892086258037603</v>
      </c>
      <c r="AI2332">
        <v>115.830764733667</v>
      </c>
      <c r="AJ2332">
        <v>82.4608966124772</v>
      </c>
      <c r="AK2332">
        <v>0.536723753659894</v>
      </c>
      <c r="AL2332">
        <v>94.236314619213104</v>
      </c>
      <c r="AM2332">
        <v>91.491238965089096</v>
      </c>
      <c r="AN2332">
        <v>1.00000000086031</v>
      </c>
    </row>
    <row r="2333" spans="1:40" x14ac:dyDescent="0.25">
      <c r="A2333" t="str">
        <f>"20190303154142765"</f>
        <v>20190303154142765</v>
      </c>
      <c r="B2333" t="str">
        <f>"1551598902761510"</f>
        <v>1551598902761510</v>
      </c>
      <c r="C2333" t="s">
        <v>40</v>
      </c>
      <c r="D2333">
        <v>6.0260220000000002</v>
      </c>
      <c r="E2333">
        <v>0.54361930000000003</v>
      </c>
      <c r="F2333" t="s">
        <v>42</v>
      </c>
      <c r="G2333">
        <v>-232.6103</v>
      </c>
      <c r="H2333">
        <v>0.89248799999999995</v>
      </c>
      <c r="I2333">
        <v>282.91500000000002</v>
      </c>
      <c r="J2333">
        <v>-232.08029999999999</v>
      </c>
      <c r="K2333">
        <v>1.1189880000000001</v>
      </c>
      <c r="L2333">
        <v>282.82029999999997</v>
      </c>
      <c r="M2333">
        <v>-0.99927600000000005</v>
      </c>
      <c r="N2333">
        <v>-5.1585550000000004E-3</v>
      </c>
      <c r="O2333">
        <v>3.7697029999999999E-2</v>
      </c>
      <c r="P2333">
        <v>-0.99675329999999995</v>
      </c>
      <c r="Q2333">
        <v>-7.9382579999999994E-2</v>
      </c>
      <c r="R2333">
        <v>1.3473809999999999E-2</v>
      </c>
      <c r="S2333">
        <v>-2.9398040000000001</v>
      </c>
      <c r="T2333">
        <v>-0.82850780000000002</v>
      </c>
      <c r="U2333">
        <v>0.3876038</v>
      </c>
      <c r="V2333">
        <v>-2.4278589999999999E-2</v>
      </c>
      <c r="W2333">
        <v>-7.4186089999999996E-2</v>
      </c>
      <c r="X2333">
        <v>0.99694879999999997</v>
      </c>
      <c r="Y2333">
        <v>9.1086249999999994E-2</v>
      </c>
      <c r="Z2333">
        <v>2.5989590000000001E-3</v>
      </c>
      <c r="AA2333">
        <v>0.99583960000000005</v>
      </c>
      <c r="AB2333">
        <v>27</v>
      </c>
      <c r="AC2333">
        <v>-0.53000000000000103</v>
      </c>
      <c r="AD2333">
        <v>-0.22649999999999901</v>
      </c>
      <c r="AE2333">
        <v>9.4700000000045706E-2</v>
      </c>
      <c r="AF2333">
        <v>6.3427323955835793E-2</v>
      </c>
      <c r="AG2333">
        <v>-0.22649999999999901</v>
      </c>
      <c r="AH2333">
        <v>0.45301623537144098</v>
      </c>
      <c r="AI2333">
        <v>116.342421573121</v>
      </c>
      <c r="AJ2333">
        <v>82.029763055191196</v>
      </c>
      <c r="AK2333">
        <v>0.51043999151154995</v>
      </c>
      <c r="AL2333">
        <v>94.254458550993107</v>
      </c>
      <c r="AM2333">
        <v>91.395042394902603</v>
      </c>
      <c r="AN2333">
        <v>0.99999996785165701</v>
      </c>
    </row>
    <row r="2334" spans="1:40" x14ac:dyDescent="0.25">
      <c r="A2334" t="str">
        <f>"20190303154142781"</f>
        <v>20190303154142781</v>
      </c>
      <c r="B2334" t="str">
        <f>"1551598902772246"</f>
        <v>1551598902772246</v>
      </c>
      <c r="C2334" t="s">
        <v>40</v>
      </c>
      <c r="D2334">
        <v>5.9487310000000004</v>
      </c>
      <c r="E2334">
        <v>0.54373739999999904</v>
      </c>
      <c r="F2334" t="s">
        <v>42</v>
      </c>
      <c r="G2334">
        <v>-232.85720000000001</v>
      </c>
      <c r="H2334">
        <v>0.90011430000000003</v>
      </c>
      <c r="I2334">
        <v>282.9264</v>
      </c>
      <c r="J2334">
        <v>-232.25989999999999</v>
      </c>
      <c r="K2334">
        <v>1.1190180000000001</v>
      </c>
      <c r="L2334">
        <v>282.8279</v>
      </c>
      <c r="M2334">
        <v>-0.99924579999999996</v>
      </c>
      <c r="N2334">
        <v>-5.1873329999999997E-3</v>
      </c>
      <c r="O2334">
        <v>3.8484730000000002E-2</v>
      </c>
      <c r="P2334">
        <v>-0.99671469999999995</v>
      </c>
      <c r="Q2334">
        <v>-7.9704330000000004E-2</v>
      </c>
      <c r="R2334">
        <v>1.439731E-2</v>
      </c>
      <c r="S2334">
        <v>-2.9384160000000001</v>
      </c>
      <c r="T2334">
        <v>-0.82780209999999999</v>
      </c>
      <c r="U2334">
        <v>0.40039059999999999</v>
      </c>
      <c r="V2334">
        <v>-2.4135449999999999E-2</v>
      </c>
      <c r="W2334">
        <v>-7.4481290000000006E-2</v>
      </c>
      <c r="X2334">
        <v>0.99693030000000005</v>
      </c>
      <c r="Y2334">
        <v>9.4516790000000003E-2</v>
      </c>
      <c r="Z2334">
        <v>2.8689060000000001E-3</v>
      </c>
      <c r="AA2334">
        <v>0.99551920000000005</v>
      </c>
      <c r="AB2334">
        <v>27</v>
      </c>
      <c r="AC2334">
        <v>-0.59730000000001804</v>
      </c>
      <c r="AD2334">
        <v>-0.21890370000000001</v>
      </c>
      <c r="AE2334">
        <v>9.8500000000001295E-2</v>
      </c>
      <c r="AF2334">
        <v>6.6716123423507204E-2</v>
      </c>
      <c r="AG2334">
        <v>-0.21890370000000001</v>
      </c>
      <c r="AH2334">
        <v>0.53119083804072398</v>
      </c>
      <c r="AI2334">
        <v>112.239039363327</v>
      </c>
      <c r="AJ2334">
        <v>82.841291100790599</v>
      </c>
      <c r="AK2334">
        <v>0.57838877704944902</v>
      </c>
      <c r="AL2334">
        <v>94.271419039121895</v>
      </c>
      <c r="AM2334">
        <v>91.386846548932695</v>
      </c>
      <c r="AN2334">
        <v>1.0000000027824201</v>
      </c>
    </row>
    <row r="2335" spans="1:40" x14ac:dyDescent="0.25">
      <c r="A2335" t="str">
        <f>"20190303154142799"</f>
        <v>20190303154142799</v>
      </c>
      <c r="B2335" t="str">
        <f>"1551598902791766"</f>
        <v>1551598902791766</v>
      </c>
      <c r="C2335" t="s">
        <v>40</v>
      </c>
      <c r="D2335">
        <v>6.1180669999999999</v>
      </c>
      <c r="E2335">
        <v>0.543786199999999</v>
      </c>
      <c r="F2335" t="s">
        <v>42</v>
      </c>
      <c r="G2335">
        <v>-233.09530000000001</v>
      </c>
      <c r="H2335">
        <v>0.88353839999999995</v>
      </c>
      <c r="I2335">
        <v>282.94299999999998</v>
      </c>
      <c r="J2335">
        <v>-232.49010000000001</v>
      </c>
      <c r="K2335">
        <v>1.119062</v>
      </c>
      <c r="L2335">
        <v>282.83780000000002</v>
      </c>
      <c r="M2335">
        <v>-0.99920819999999999</v>
      </c>
      <c r="N2335">
        <v>-5.2292839999999998E-3</v>
      </c>
      <c r="O2335">
        <v>3.9442230000000002E-2</v>
      </c>
      <c r="P2335">
        <v>-0.99661230000000001</v>
      </c>
      <c r="Q2335">
        <v>-8.0835829999999997E-2</v>
      </c>
      <c r="R2335">
        <v>1.514531E-2</v>
      </c>
      <c r="S2335">
        <v>-2.9378199999999999</v>
      </c>
      <c r="T2335">
        <v>-0.82806229999999903</v>
      </c>
      <c r="U2335">
        <v>0.4038696</v>
      </c>
      <c r="V2335">
        <v>-2.4334049999999999E-2</v>
      </c>
      <c r="W2335">
        <v>-7.5573349999999997E-2</v>
      </c>
      <c r="X2335">
        <v>0.99684329999999999</v>
      </c>
      <c r="Y2335">
        <v>9.4769870000000006E-2</v>
      </c>
      <c r="Z2335">
        <v>2.6509459999999999E-3</v>
      </c>
      <c r="AA2335">
        <v>0.99549569999999998</v>
      </c>
      <c r="AB2335">
        <v>27</v>
      </c>
      <c r="AC2335">
        <v>-0.60519999999999596</v>
      </c>
      <c r="AD2335">
        <v>-0.2355236</v>
      </c>
      <c r="AE2335">
        <v>0.105199999999968</v>
      </c>
      <c r="AF2335">
        <v>7.08341430778993E-2</v>
      </c>
      <c r="AG2335">
        <v>-0.2355236</v>
      </c>
      <c r="AH2335">
        <v>0.53084032285650096</v>
      </c>
      <c r="AI2335">
        <v>113.739060743152</v>
      </c>
      <c r="AJ2335">
        <v>82.399478070081997</v>
      </c>
      <c r="AK2335">
        <v>0.58504725480334896</v>
      </c>
      <c r="AL2335">
        <v>94.334166246618395</v>
      </c>
      <c r="AM2335">
        <v>91.3983757719907</v>
      </c>
      <c r="AN2335">
        <v>1.0000000209872499</v>
      </c>
    </row>
    <row r="2336" spans="1:40" x14ac:dyDescent="0.25">
      <c r="A2336" t="str">
        <f>"20190303154142822"</f>
        <v>20190303154142822</v>
      </c>
      <c r="B2336" t="str">
        <f>"1551598902812262"</f>
        <v>1551598902812262</v>
      </c>
      <c r="C2336" t="s">
        <v>40</v>
      </c>
      <c r="D2336">
        <v>6.0756480000000002</v>
      </c>
      <c r="E2336">
        <v>0.54368269999999996</v>
      </c>
      <c r="F2336" t="s">
        <v>42</v>
      </c>
      <c r="G2336">
        <v>-233.33920000000001</v>
      </c>
      <c r="H2336">
        <v>0.87911919999999899</v>
      </c>
      <c r="I2336">
        <v>282.9556</v>
      </c>
      <c r="J2336">
        <v>-232.78579999999999</v>
      </c>
      <c r="K2336">
        <v>1.1191199999999999</v>
      </c>
      <c r="L2336">
        <v>282.85070000000002</v>
      </c>
      <c r="M2336">
        <v>-0.99916190000000005</v>
      </c>
      <c r="N2336">
        <v>-5.297164E-3</v>
      </c>
      <c r="O2336">
        <v>4.0590420000000002E-2</v>
      </c>
      <c r="P2336">
        <v>-0.99659770000000003</v>
      </c>
      <c r="Q2336">
        <v>-8.1165689999999999E-2</v>
      </c>
      <c r="R2336">
        <v>1.432776E-2</v>
      </c>
      <c r="S2336">
        <v>-2.9367070000000002</v>
      </c>
      <c r="T2336">
        <v>-0.82985019999999998</v>
      </c>
      <c r="U2336">
        <v>0.40664670000000003</v>
      </c>
      <c r="V2336">
        <v>-2.628614E-2</v>
      </c>
      <c r="W2336">
        <v>-7.5835109999999997E-2</v>
      </c>
      <c r="X2336">
        <v>0.99677380000000004</v>
      </c>
      <c r="Y2336">
        <v>9.4636479999999995E-2</v>
      </c>
      <c r="Z2336">
        <v>2.3331620000000002E-3</v>
      </c>
      <c r="AA2336">
        <v>0.99550910000000004</v>
      </c>
      <c r="AB2336">
        <v>27</v>
      </c>
      <c r="AC2336">
        <v>-0.55340000000001</v>
      </c>
      <c r="AD2336">
        <v>-0.24000079999999999</v>
      </c>
      <c r="AE2336">
        <v>0.104899999999986</v>
      </c>
      <c r="AF2336">
        <v>6.9696513378765507E-2</v>
      </c>
      <c r="AG2336">
        <v>-0.24000079999999999</v>
      </c>
      <c r="AH2336">
        <v>0.47158223575271202</v>
      </c>
      <c r="AI2336">
        <v>116.723333447092</v>
      </c>
      <c r="AJ2336">
        <v>81.592948233127998</v>
      </c>
      <c r="AK2336">
        <v>0.53371133869847898</v>
      </c>
      <c r="AL2336">
        <v>94.349207388711406</v>
      </c>
      <c r="AM2336">
        <v>91.510609424272005</v>
      </c>
      <c r="AN2336">
        <v>0.99999996671562497</v>
      </c>
    </row>
    <row r="2337" spans="1:40" x14ac:dyDescent="0.25">
      <c r="A2337" t="str">
        <f>"20190303154142844"</f>
        <v>20190303154142844</v>
      </c>
      <c r="B2337" t="str">
        <f>"1551598902841542"</f>
        <v>1551598902841542</v>
      </c>
      <c r="C2337" t="s">
        <v>40</v>
      </c>
      <c r="D2337">
        <v>6.0346330000000004</v>
      </c>
      <c r="E2337">
        <v>0.5435354</v>
      </c>
      <c r="F2337" t="s">
        <v>42</v>
      </c>
      <c r="G2337">
        <v>-233.5909</v>
      </c>
      <c r="H2337">
        <v>0.89172649999999998</v>
      </c>
      <c r="I2337">
        <v>282.96159999999998</v>
      </c>
      <c r="J2337">
        <v>-233.03989999999999</v>
      </c>
      <c r="K2337">
        <v>1.1191739999999999</v>
      </c>
      <c r="L2337">
        <v>282.86200000000002</v>
      </c>
      <c r="M2337">
        <v>-0.99912350000000005</v>
      </c>
      <c r="N2337">
        <v>-5.3699280000000004E-3</v>
      </c>
      <c r="O2337">
        <v>4.1514269999999999E-2</v>
      </c>
      <c r="P2337">
        <v>-0.99662680000000003</v>
      </c>
      <c r="Q2337">
        <v>-8.1029279999999995E-2</v>
      </c>
      <c r="R2337">
        <v>1.301454E-2</v>
      </c>
      <c r="S2337">
        <v>-2.93689</v>
      </c>
      <c r="T2337">
        <v>-0.82957700000000001</v>
      </c>
      <c r="U2337">
        <v>0.40414430000000001</v>
      </c>
      <c r="V2337">
        <v>-2.8512349999999999E-2</v>
      </c>
      <c r="W2337">
        <v>-7.5625059999999994E-2</v>
      </c>
      <c r="X2337">
        <v>0.99672859999999996</v>
      </c>
      <c r="Y2337">
        <v>9.2973910000000007E-2</v>
      </c>
      <c r="Z2337">
        <v>1.8556270000000001E-3</v>
      </c>
      <c r="AA2337">
        <v>0.99566679999999996</v>
      </c>
      <c r="AB2337">
        <v>27</v>
      </c>
      <c r="AC2337">
        <v>-0.55100000000001603</v>
      </c>
      <c r="AD2337">
        <v>-0.227447499999999</v>
      </c>
      <c r="AE2337">
        <v>9.9599999999952601E-2</v>
      </c>
      <c r="AF2337">
        <v>6.5784680743512194E-2</v>
      </c>
      <c r="AG2337">
        <v>-0.227447499999999</v>
      </c>
      <c r="AH2337">
        <v>0.47610109001867601</v>
      </c>
      <c r="AI2337">
        <v>115.3250715523</v>
      </c>
      <c r="AJ2337">
        <v>82.133039288551203</v>
      </c>
      <c r="AK2337">
        <v>0.53172571631786603</v>
      </c>
      <c r="AL2337">
        <v>94.337137592700401</v>
      </c>
      <c r="AM2337">
        <v>91.638552296202604</v>
      </c>
      <c r="AN2337">
        <v>1.0000000029302401</v>
      </c>
    </row>
    <row r="2338" spans="1:40" x14ac:dyDescent="0.25">
      <c r="A2338" t="str">
        <f>"20190303154142867"</f>
        <v>20190303154142867</v>
      </c>
      <c r="B2338" t="str">
        <f>"1551598902862039"</f>
        <v>1551598902862039</v>
      </c>
      <c r="C2338" t="s">
        <v>40</v>
      </c>
      <c r="D2338">
        <v>6.027228</v>
      </c>
      <c r="E2338">
        <v>0.54352159999999905</v>
      </c>
      <c r="F2338" t="s">
        <v>42</v>
      </c>
      <c r="G2338">
        <v>-233.83920000000001</v>
      </c>
      <c r="H2338">
        <v>0.89396769999999903</v>
      </c>
      <c r="I2338">
        <v>282.97089999999997</v>
      </c>
      <c r="J2338">
        <v>-233.327</v>
      </c>
      <c r="K2338">
        <v>1.119238</v>
      </c>
      <c r="L2338">
        <v>282.875</v>
      </c>
      <c r="M2338">
        <v>-0.99908220000000003</v>
      </c>
      <c r="N2338">
        <v>-5.4781730000000002E-3</v>
      </c>
      <c r="O2338">
        <v>4.2482770000000003E-2</v>
      </c>
      <c r="P2338">
        <v>-0.99657050000000003</v>
      </c>
      <c r="Q2338">
        <v>-8.1905499999999895E-2</v>
      </c>
      <c r="R2338">
        <v>1.178675E-2</v>
      </c>
      <c r="S2338">
        <v>-2.9376370000000001</v>
      </c>
      <c r="T2338">
        <v>-0.82777119999999904</v>
      </c>
      <c r="U2338">
        <v>0.39913939999999998</v>
      </c>
      <c r="V2338">
        <v>-3.069533E-2</v>
      </c>
      <c r="W2338">
        <v>-7.6393619999999995E-2</v>
      </c>
      <c r="X2338">
        <v>0.99660519999999997</v>
      </c>
      <c r="Y2338">
        <v>9.0449559999999998E-2</v>
      </c>
      <c r="Z2338">
        <v>1.2467610000000001E-3</v>
      </c>
      <c r="AA2338">
        <v>0.99590029999999996</v>
      </c>
      <c r="AB2338">
        <v>28</v>
      </c>
      <c r="AC2338">
        <v>-0.51220000000000698</v>
      </c>
      <c r="AD2338">
        <v>-0.22527030000000001</v>
      </c>
      <c r="AE2338">
        <v>9.5899999999971897E-2</v>
      </c>
      <c r="AF2338">
        <v>6.2393299159235999E-2</v>
      </c>
      <c r="AG2338">
        <v>-0.22527030000000001</v>
      </c>
      <c r="AH2338">
        <v>0.43459433065671199</v>
      </c>
      <c r="AI2338">
        <v>117.161697833546</v>
      </c>
      <c r="AJ2338">
        <v>81.830056808622203</v>
      </c>
      <c r="AK2338">
        <v>0.49346921290088502</v>
      </c>
      <c r="AL2338">
        <v>94.381300361441802</v>
      </c>
      <c r="AM2338">
        <v>91.764145974371502</v>
      </c>
      <c r="AN2338">
        <v>1.0000000565637699</v>
      </c>
    </row>
    <row r="2339" spans="1:40" x14ac:dyDescent="0.25">
      <c r="A2339" t="str">
        <f>"20190303154142890"</f>
        <v>20190303154142890</v>
      </c>
      <c r="B2339" t="str">
        <f>"1551598902881558"</f>
        <v>1551598902881558</v>
      </c>
      <c r="C2339" t="s">
        <v>40</v>
      </c>
      <c r="D2339">
        <v>6.084416</v>
      </c>
      <c r="E2339">
        <v>0.54344550000000003</v>
      </c>
      <c r="F2339" t="s">
        <v>42</v>
      </c>
      <c r="G2339">
        <v>-234.09119999999999</v>
      </c>
      <c r="H2339">
        <v>0.90337509999999999</v>
      </c>
      <c r="I2339">
        <v>282.97809999999998</v>
      </c>
      <c r="J2339">
        <v>-233.6104</v>
      </c>
      <c r="K2339">
        <v>1.119308</v>
      </c>
      <c r="L2339">
        <v>282.88799999999998</v>
      </c>
      <c r="M2339">
        <v>-0.99904380000000004</v>
      </c>
      <c r="N2339">
        <v>-5.6219549999999997E-3</v>
      </c>
      <c r="O2339">
        <v>4.335849E-2</v>
      </c>
      <c r="P2339">
        <v>-0.99643709999999996</v>
      </c>
      <c r="Q2339">
        <v>-8.358061E-2</v>
      </c>
      <c r="R2339">
        <v>1.1299439999999999E-2</v>
      </c>
      <c r="S2339">
        <v>-2.9374539999999998</v>
      </c>
      <c r="T2339">
        <v>-0.82968829999999905</v>
      </c>
      <c r="U2339">
        <v>0.3954163</v>
      </c>
      <c r="V2339">
        <v>-3.204253E-2</v>
      </c>
      <c r="W2339">
        <v>-7.7927850000000007E-2</v>
      </c>
      <c r="X2339">
        <v>0.99644390000000005</v>
      </c>
      <c r="Y2339">
        <v>8.8443339999999995E-2</v>
      </c>
      <c r="Z2339">
        <v>7.4240009999999997E-4</v>
      </c>
      <c r="AA2339">
        <v>0.99608090000000005</v>
      </c>
      <c r="AB2339">
        <v>28</v>
      </c>
      <c r="AC2339">
        <v>-0.48079999999998702</v>
      </c>
      <c r="AD2339">
        <v>-0.21593290000000001</v>
      </c>
      <c r="AE2339">
        <v>9.0100000000006703E-2</v>
      </c>
      <c r="AF2339">
        <v>5.7888176434250899E-2</v>
      </c>
      <c r="AG2339">
        <v>-0.21593290000000001</v>
      </c>
      <c r="AH2339">
        <v>0.40528190336365799</v>
      </c>
      <c r="AI2339">
        <v>117.809118884303</v>
      </c>
      <c r="AJ2339">
        <v>81.8711775765167</v>
      </c>
      <c r="AK2339">
        <v>0.46285146588010601</v>
      </c>
      <c r="AL2339">
        <v>94.469468560450593</v>
      </c>
      <c r="AM2339">
        <v>91.841819004828594</v>
      </c>
      <c r="AN2339">
        <v>0.99999995969081501</v>
      </c>
    </row>
    <row r="2340" spans="1:40" x14ac:dyDescent="0.25">
      <c r="A2340" t="str">
        <f>"20190303154142912"</f>
        <v>20190303154142912</v>
      </c>
      <c r="B2340" t="str">
        <f>"1551598902902054"</f>
        <v>1551598902902054</v>
      </c>
      <c r="C2340" t="s">
        <v>40</v>
      </c>
      <c r="D2340">
        <v>6.023047</v>
      </c>
      <c r="E2340">
        <v>0.54332939999999996</v>
      </c>
      <c r="F2340" t="s">
        <v>42</v>
      </c>
      <c r="G2340">
        <v>-234.3433</v>
      </c>
      <c r="H2340">
        <v>0.9107999</v>
      </c>
      <c r="I2340">
        <v>282.98599999999999</v>
      </c>
      <c r="J2340">
        <v>-233.8972</v>
      </c>
      <c r="K2340">
        <v>1.1193879999999901</v>
      </c>
      <c r="L2340">
        <v>282.90129999999999</v>
      </c>
      <c r="M2340">
        <v>-0.99900750000000005</v>
      </c>
      <c r="N2340">
        <v>-5.8028569999999998E-3</v>
      </c>
      <c r="O2340">
        <v>4.4160680000000001E-2</v>
      </c>
      <c r="P2340">
        <v>-0.9962995</v>
      </c>
      <c r="Q2340">
        <v>-8.5144429999999993E-2</v>
      </c>
      <c r="R2340">
        <v>1.173157E-2</v>
      </c>
      <c r="S2340">
        <v>-2.9362029999999999</v>
      </c>
      <c r="T2340">
        <v>-0.83526339999999999</v>
      </c>
      <c r="U2340">
        <v>0.39169310000000002</v>
      </c>
      <c r="V2340">
        <v>-3.239628E-2</v>
      </c>
      <c r="W2340">
        <v>-7.9315899999999995E-2</v>
      </c>
      <c r="X2340">
        <v>0.99632299999999996</v>
      </c>
      <c r="Y2340">
        <v>8.6534490000000006E-2</v>
      </c>
      <c r="Z2340">
        <v>2.7134739999999999E-4</v>
      </c>
      <c r="AA2340">
        <v>0.99624880000000005</v>
      </c>
      <c r="AB2340">
        <v>28</v>
      </c>
      <c r="AC2340">
        <v>-0.446100000000001</v>
      </c>
      <c r="AD2340">
        <v>-0.208588099999999</v>
      </c>
      <c r="AE2340">
        <v>8.4699999999997999E-2</v>
      </c>
      <c r="AF2340">
        <v>5.3604964679563098E-2</v>
      </c>
      <c r="AG2340">
        <v>-0.208588099999999</v>
      </c>
      <c r="AH2340">
        <v>0.37109493677891098</v>
      </c>
      <c r="AI2340">
        <v>119.087807502714</v>
      </c>
      <c r="AJ2340">
        <v>81.780433414179299</v>
      </c>
      <c r="AK2340">
        <v>0.42906169696542601</v>
      </c>
      <c r="AL2340">
        <v>94.549244623310202</v>
      </c>
      <c r="AM2340">
        <v>91.862364280265496</v>
      </c>
      <c r="AN2340">
        <v>1.00000002563982</v>
      </c>
    </row>
    <row r="2341" spans="1:40" x14ac:dyDescent="0.25">
      <c r="A2341" t="str">
        <f>"20190303154142934"</f>
        <v>20190303154142934</v>
      </c>
      <c r="B2341" t="str">
        <f>"1551598902932310"</f>
        <v>1551598902932310</v>
      </c>
      <c r="C2341" t="s">
        <v>40</v>
      </c>
      <c r="D2341">
        <v>6.0488900000000001</v>
      </c>
      <c r="E2341">
        <v>0.54313679999999998</v>
      </c>
      <c r="F2341" t="s">
        <v>42</v>
      </c>
      <c r="G2341">
        <v>-234.5966</v>
      </c>
      <c r="H2341">
        <v>0.91920999999999997</v>
      </c>
      <c r="I2341">
        <v>282.9948</v>
      </c>
      <c r="J2341">
        <v>-234.1651</v>
      </c>
      <c r="K2341">
        <v>1.119469</v>
      </c>
      <c r="L2341">
        <v>282.91390000000001</v>
      </c>
      <c r="M2341">
        <v>-0.99897709999999995</v>
      </c>
      <c r="N2341">
        <v>-5.99126E-3</v>
      </c>
      <c r="O2341">
        <v>4.4823380000000003E-2</v>
      </c>
      <c r="P2341">
        <v>-0.99619829999999998</v>
      </c>
      <c r="Q2341">
        <v>-8.6141270000000006E-2</v>
      </c>
      <c r="R2341">
        <v>1.299992E-2</v>
      </c>
      <c r="S2341">
        <v>-2.9347379999999998</v>
      </c>
      <c r="T2341">
        <v>-0.83989069999999899</v>
      </c>
      <c r="U2341">
        <v>0.39196779999999998</v>
      </c>
      <c r="V2341">
        <v>-3.1775629999999999E-2</v>
      </c>
      <c r="W2341">
        <v>-8.0130679999999996E-2</v>
      </c>
      <c r="X2341">
        <v>0.99627770000000004</v>
      </c>
      <c r="Y2341">
        <v>8.6049920000000002E-2</v>
      </c>
      <c r="Z2341" s="1">
        <v>3.6440789999999998E-5</v>
      </c>
      <c r="AA2341">
        <v>0.99629080000000003</v>
      </c>
      <c r="AB2341">
        <v>28</v>
      </c>
      <c r="AC2341">
        <v>-0.431499999999999</v>
      </c>
      <c r="AD2341">
        <v>-0.20025899999999999</v>
      </c>
      <c r="AE2341">
        <v>8.0899999999985497E-2</v>
      </c>
      <c r="AF2341">
        <v>5.0888462478980899E-2</v>
      </c>
      <c r="AG2341">
        <v>-0.20025899999999999</v>
      </c>
      <c r="AH2341">
        <v>0.35982265352070197</v>
      </c>
      <c r="AI2341">
        <v>118.857638699231</v>
      </c>
      <c r="AJ2341">
        <v>81.950243467636795</v>
      </c>
      <c r="AK2341">
        <v>0.41492848140511301</v>
      </c>
      <c r="AL2341">
        <v>94.596077557786401</v>
      </c>
      <c r="AM2341">
        <v>91.826792398149493</v>
      </c>
      <c r="AN2341">
        <v>0.99999993602822201</v>
      </c>
    </row>
    <row r="2342" spans="1:40" x14ac:dyDescent="0.25">
      <c r="A2342" t="str">
        <f>"20190303154142955"</f>
        <v>20190303154142955</v>
      </c>
      <c r="B2342" t="str">
        <f>"1551598902951829"</f>
        <v>1551598902951829</v>
      </c>
      <c r="C2342" t="s">
        <v>40</v>
      </c>
      <c r="D2342">
        <v>6.0532260000000004</v>
      </c>
      <c r="E2342">
        <v>0.53615919999999995</v>
      </c>
      <c r="F2342" t="s">
        <v>42</v>
      </c>
      <c r="G2342">
        <v>-234.8484</v>
      </c>
      <c r="H2342">
        <v>0.92301089999999997</v>
      </c>
      <c r="I2342">
        <v>283.00580000000002</v>
      </c>
      <c r="J2342">
        <v>-234.43190000000001</v>
      </c>
      <c r="K2342">
        <v>1.1195539999999999</v>
      </c>
      <c r="L2342">
        <v>282.92649999999998</v>
      </c>
      <c r="M2342">
        <v>-0.99894989999999995</v>
      </c>
      <c r="N2342">
        <v>-6.1824339999999997E-3</v>
      </c>
      <c r="O2342">
        <v>4.5395970000000001E-2</v>
      </c>
      <c r="P2342">
        <v>-0.99606779999999995</v>
      </c>
      <c r="Q2342">
        <v>-8.7402519999999997E-2</v>
      </c>
      <c r="R2342">
        <v>1.4484520000000001E-2</v>
      </c>
      <c r="S2342">
        <v>-2.9333800000000001</v>
      </c>
      <c r="T2342">
        <v>-0.84343289999999904</v>
      </c>
      <c r="U2342">
        <v>0.3941345</v>
      </c>
      <c r="V2342">
        <v>-3.0847030000000001E-2</v>
      </c>
      <c r="W2342">
        <v>-8.12079E-2</v>
      </c>
      <c r="X2342">
        <v>0.99621970000000004</v>
      </c>
      <c r="Y2342">
        <v>8.6255650000000003E-2</v>
      </c>
      <c r="Z2342" s="1">
        <v>-7.6225029999999998E-5</v>
      </c>
      <c r="AA2342">
        <v>0.99627299999999996</v>
      </c>
      <c r="AB2342">
        <v>28</v>
      </c>
      <c r="AC2342">
        <v>-0.41649999999998399</v>
      </c>
      <c r="AD2342">
        <v>-0.1965431</v>
      </c>
      <c r="AE2342">
        <v>7.9300000000046098E-2</v>
      </c>
      <c r="AF2342">
        <v>4.9642641593330802E-2</v>
      </c>
      <c r="AG2342">
        <v>-0.1965431</v>
      </c>
      <c r="AH2342">
        <v>0.34543851166836198</v>
      </c>
      <c r="AI2342">
        <v>119.38739324555</v>
      </c>
      <c r="AJ2342">
        <v>81.822068688381904</v>
      </c>
      <c r="AK2342">
        <v>0.40052633791752901</v>
      </c>
      <c r="AL2342">
        <v>94.657999344157503</v>
      </c>
      <c r="AM2342">
        <v>91.773544637542997</v>
      </c>
      <c r="AN2342">
        <v>0.99999997647516004</v>
      </c>
    </row>
    <row r="2343" spans="1:40" x14ac:dyDescent="0.25">
      <c r="A2343" t="str">
        <f>"20190303154142978"</f>
        <v>20190303154142978</v>
      </c>
      <c r="B2343" t="str">
        <f>"1551598902972327"</f>
        <v>1551598902972327</v>
      </c>
      <c r="C2343" t="s">
        <v>40</v>
      </c>
      <c r="D2343">
        <v>6.0936949999999896</v>
      </c>
      <c r="E2343">
        <v>0.53612130000000002</v>
      </c>
      <c r="F2343" t="s">
        <v>42</v>
      </c>
      <c r="G2343">
        <v>-235.0915</v>
      </c>
      <c r="H2343">
        <v>0.90362379999999998</v>
      </c>
      <c r="I2343">
        <v>283.0043</v>
      </c>
      <c r="J2343">
        <v>-234.71029999999999</v>
      </c>
      <c r="K2343">
        <v>1.119642</v>
      </c>
      <c r="L2343">
        <v>282.93979999999999</v>
      </c>
      <c r="M2343">
        <v>-0.99892599999999998</v>
      </c>
      <c r="N2343">
        <v>-6.374869E-3</v>
      </c>
      <c r="O2343">
        <v>4.589269E-2</v>
      </c>
      <c r="P2343">
        <v>-0.99590429999999996</v>
      </c>
      <c r="Q2343">
        <v>-8.8817049999999995E-2</v>
      </c>
      <c r="R2343">
        <v>1.6924700000000001E-2</v>
      </c>
      <c r="S2343">
        <v>-2.922882</v>
      </c>
      <c r="T2343">
        <v>-0.95684020000000003</v>
      </c>
      <c r="U2343">
        <v>0.34442139999999999</v>
      </c>
      <c r="V2343">
        <v>-2.8883570000000001E-2</v>
      </c>
      <c r="W2343">
        <v>-8.2438510000000007E-2</v>
      </c>
      <c r="X2343">
        <v>0.99617750000000005</v>
      </c>
      <c r="Y2343">
        <v>6.9921650000000002E-2</v>
      </c>
      <c r="Z2343">
        <v>-2.9489859999999998E-3</v>
      </c>
      <c r="AA2343">
        <v>0.99754810000000005</v>
      </c>
      <c r="AB2343">
        <v>28</v>
      </c>
      <c r="AC2343">
        <v>-0.38120000000000598</v>
      </c>
      <c r="AD2343">
        <v>-0.21601819999999899</v>
      </c>
      <c r="AE2343">
        <v>6.4500000000009494E-2</v>
      </c>
      <c r="AF2343">
        <v>3.57703286559614E-2</v>
      </c>
      <c r="AG2343">
        <v>-0.21601819999999899</v>
      </c>
      <c r="AH2343">
        <v>0.292456979208567</v>
      </c>
      <c r="AI2343">
        <v>126.24770605585699</v>
      </c>
      <c r="AJ2343">
        <v>83.0268043429827</v>
      </c>
      <c r="AK2343">
        <v>0.365341571452245</v>
      </c>
      <c r="AL2343">
        <v>94.728745266609295</v>
      </c>
      <c r="AM2343">
        <v>91.660791521255305</v>
      </c>
      <c r="AN2343">
        <v>0.999999990026607</v>
      </c>
    </row>
    <row r="2344" spans="1:40" x14ac:dyDescent="0.25">
      <c r="A2344" t="str">
        <f>"20190303154142991"</f>
        <v>20190303154142991</v>
      </c>
      <c r="B2344" t="str">
        <f>"1551598902982087"</f>
        <v>1551598902982087</v>
      </c>
      <c r="C2344" t="s">
        <v>40</v>
      </c>
      <c r="D2344">
        <v>6.0874759999999997</v>
      </c>
      <c r="E2344">
        <v>0.53606409999999904</v>
      </c>
      <c r="F2344" t="s">
        <v>42</v>
      </c>
      <c r="G2344">
        <v>-235.56729999999999</v>
      </c>
      <c r="H2344">
        <v>0.83843799999999902</v>
      </c>
      <c r="I2344">
        <v>283.04289999999997</v>
      </c>
      <c r="J2344">
        <v>-234.8938</v>
      </c>
      <c r="K2344">
        <v>1.119699</v>
      </c>
      <c r="L2344">
        <v>282.94850000000002</v>
      </c>
      <c r="M2344">
        <v>-0.99891289999999999</v>
      </c>
      <c r="N2344">
        <v>-6.4934839999999999E-3</v>
      </c>
      <c r="O2344">
        <v>4.616572E-2</v>
      </c>
      <c r="P2344">
        <v>-0.99580979999999997</v>
      </c>
      <c r="Q2344">
        <v>-8.9608820000000006E-2</v>
      </c>
      <c r="R2344">
        <v>1.8263600000000001E-2</v>
      </c>
      <c r="S2344">
        <v>-2.9209139999999998</v>
      </c>
      <c r="T2344">
        <v>-0.95839430000000003</v>
      </c>
      <c r="U2344">
        <v>0.35098269999999998</v>
      </c>
      <c r="V2344">
        <v>-2.7805119999999999E-2</v>
      </c>
      <c r="W2344">
        <v>-8.3116750000000003E-2</v>
      </c>
      <c r="X2344">
        <v>0.99615189999999998</v>
      </c>
      <c r="Y2344">
        <v>7.1840340000000003E-2</v>
      </c>
      <c r="Z2344">
        <v>-2.7193389999999999E-3</v>
      </c>
      <c r="AA2344">
        <v>0.99741239999999998</v>
      </c>
      <c r="AB2344">
        <v>28</v>
      </c>
      <c r="AC2344">
        <v>-0.67349999999999</v>
      </c>
      <c r="AD2344">
        <v>-0.28126099999999998</v>
      </c>
      <c r="AE2344">
        <v>9.4399999999950496E-2</v>
      </c>
      <c r="AF2344">
        <v>5.3974374938117797E-2</v>
      </c>
      <c r="AG2344">
        <v>-0.28126099999999998</v>
      </c>
      <c r="AH2344">
        <v>0.57823877749038699</v>
      </c>
      <c r="AI2344">
        <v>115.841116772969</v>
      </c>
      <c r="AJ2344">
        <v>84.667308473683306</v>
      </c>
      <c r="AK2344">
        <v>0.64527596194538195</v>
      </c>
      <c r="AL2344">
        <v>94.767739032999401</v>
      </c>
      <c r="AM2344">
        <v>91.598855035022396</v>
      </c>
      <c r="AN2344">
        <v>1.0000000633511901</v>
      </c>
    </row>
    <row r="2345" spans="1:40" x14ac:dyDescent="0.25">
      <c r="A2345" t="str">
        <f>"20190303154143012"</f>
        <v>20190303154143012</v>
      </c>
      <c r="B2345" t="str">
        <f>"1551598903001606"</f>
        <v>1551598903001606</v>
      </c>
      <c r="C2345" t="s">
        <v>40</v>
      </c>
      <c r="D2345">
        <v>6.0827780000000002</v>
      </c>
      <c r="E2345">
        <v>0.53743339999999995</v>
      </c>
      <c r="F2345" t="s">
        <v>42</v>
      </c>
      <c r="G2345">
        <v>-235.58860000000001</v>
      </c>
      <c r="H2345">
        <v>0.8915324</v>
      </c>
      <c r="I2345">
        <v>283.03300000000002</v>
      </c>
      <c r="J2345">
        <v>-235.14599999999999</v>
      </c>
      <c r="K2345">
        <v>1.1197680000000001</v>
      </c>
      <c r="L2345">
        <v>282.9606</v>
      </c>
      <c r="M2345">
        <v>-0.99889680000000003</v>
      </c>
      <c r="N2345">
        <v>-6.6446500000000002E-3</v>
      </c>
      <c r="O2345">
        <v>4.6488670000000003E-2</v>
      </c>
      <c r="P2345">
        <v>-0.99569739999999995</v>
      </c>
      <c r="Q2345">
        <v>-9.0131649999999994E-2</v>
      </c>
      <c r="R2345">
        <v>2.1519549999999998E-2</v>
      </c>
      <c r="S2345">
        <v>-2.919861</v>
      </c>
      <c r="T2345">
        <v>-0.95878289999999999</v>
      </c>
      <c r="U2345">
        <v>0.35437010000000002</v>
      </c>
      <c r="V2345">
        <v>-2.4857299999999999E-2</v>
      </c>
      <c r="W2345">
        <v>-8.3495150000000004E-2</v>
      </c>
      <c r="X2345">
        <v>0.99619809999999998</v>
      </c>
      <c r="Y2345">
        <v>7.2667460000000003E-2</v>
      </c>
      <c r="Z2345">
        <v>-2.674975E-3</v>
      </c>
      <c r="AA2345">
        <v>0.99735269999999998</v>
      </c>
      <c r="AB2345">
        <v>28</v>
      </c>
      <c r="AC2345">
        <v>-0.44260000000002703</v>
      </c>
      <c r="AD2345">
        <v>-0.22823560000000001</v>
      </c>
      <c r="AE2345">
        <v>7.2400000000015993E-2</v>
      </c>
      <c r="AF2345">
        <v>4.11008478293267E-2</v>
      </c>
      <c r="AG2345">
        <v>-0.22823560000000001</v>
      </c>
      <c r="AH2345">
        <v>0.35384618702256598</v>
      </c>
      <c r="AI2345">
        <v>122.647926825523</v>
      </c>
      <c r="AJ2345">
        <v>83.374524253379505</v>
      </c>
      <c r="AK2345">
        <v>0.42306960759437501</v>
      </c>
      <c r="AL2345">
        <v>94.789495731805602</v>
      </c>
      <c r="AM2345">
        <v>91.429357185737999</v>
      </c>
      <c r="AN2345">
        <v>0.999999989940211</v>
      </c>
    </row>
    <row r="2346" spans="1:40" x14ac:dyDescent="0.25">
      <c r="A2346" t="str">
        <f>"20190303154143025"</f>
        <v>20190303154143025</v>
      </c>
      <c r="B2346" t="str">
        <f>"1551598903022102"</f>
        <v>1551598903022102</v>
      </c>
      <c r="C2346" t="s">
        <v>40</v>
      </c>
      <c r="D2346">
        <v>5.9335420000000001</v>
      </c>
      <c r="E2346">
        <v>0.53823719999999997</v>
      </c>
      <c r="F2346" t="s">
        <v>42</v>
      </c>
      <c r="G2346">
        <v>-235.84309999999999</v>
      </c>
      <c r="H2346">
        <v>0.89767839999999999</v>
      </c>
      <c r="I2346">
        <v>283.05020000000002</v>
      </c>
      <c r="J2346">
        <v>-235.3066</v>
      </c>
      <c r="K2346">
        <v>1.1198060000000001</v>
      </c>
      <c r="L2346">
        <v>282.9683</v>
      </c>
      <c r="M2346">
        <v>-0.99888849999999996</v>
      </c>
      <c r="N2346">
        <v>-6.7314669999999997E-3</v>
      </c>
      <c r="O2346">
        <v>4.6653519999999997E-2</v>
      </c>
      <c r="P2346">
        <v>-0.99563919999999995</v>
      </c>
      <c r="Q2346">
        <v>-9.0242859999999994E-2</v>
      </c>
      <c r="R2346">
        <v>2.3644930000000002E-2</v>
      </c>
      <c r="S2346">
        <v>-2.9206240000000001</v>
      </c>
      <c r="T2346">
        <v>-0.93048450000000005</v>
      </c>
      <c r="U2346">
        <v>0.37438959999999999</v>
      </c>
      <c r="V2346">
        <v>-2.2888229999999999E-2</v>
      </c>
      <c r="W2346">
        <v>-8.3523169999999994E-2</v>
      </c>
      <c r="X2346">
        <v>0.99624290000000004</v>
      </c>
      <c r="Y2346">
        <v>7.8977640000000002E-2</v>
      </c>
      <c r="Z2346">
        <v>-1.625359E-3</v>
      </c>
      <c r="AA2346">
        <v>0.99687499999999996</v>
      </c>
      <c r="AB2346">
        <v>28</v>
      </c>
      <c r="AC2346">
        <v>-0.53649999999998899</v>
      </c>
      <c r="AD2346">
        <v>-0.22212759999999901</v>
      </c>
      <c r="AE2346">
        <v>8.1900000000018694E-2</v>
      </c>
      <c r="AF2346">
        <v>4.8633638044622202E-2</v>
      </c>
      <c r="AG2346">
        <v>-0.22212759999999901</v>
      </c>
      <c r="AH2346">
        <v>0.46229428222268598</v>
      </c>
      <c r="AI2346">
        <v>115.540926871851</v>
      </c>
      <c r="AJ2346">
        <v>83.994538821886593</v>
      </c>
      <c r="AK2346">
        <v>0.51519113424728502</v>
      </c>
      <c r="AL2346">
        <v>94.791106962441901</v>
      </c>
      <c r="AM2346">
        <v>91.316113089218803</v>
      </c>
      <c r="AN2346">
        <v>0.999999953399894</v>
      </c>
    </row>
    <row r="2347" spans="1:40" x14ac:dyDescent="0.25">
      <c r="A2347" t="str">
        <f>"20190303154143057"</f>
        <v>20190303154143057</v>
      </c>
      <c r="B2347" t="str">
        <f>"1551598903052359"</f>
        <v>1551598903052359</v>
      </c>
      <c r="C2347" t="s">
        <v>40</v>
      </c>
      <c r="D2347">
        <v>5.9793180000000001</v>
      </c>
      <c r="E2347">
        <v>0.53917559999999998</v>
      </c>
      <c r="F2347" t="s">
        <v>42</v>
      </c>
      <c r="G2347">
        <v>-236.08690000000001</v>
      </c>
      <c r="H2347">
        <v>0.87622999999999995</v>
      </c>
      <c r="I2347">
        <v>283.07130000000001</v>
      </c>
      <c r="J2347">
        <v>-235.7123</v>
      </c>
      <c r="K2347">
        <v>1.1198969999999999</v>
      </c>
      <c r="L2347">
        <v>282.98759999999999</v>
      </c>
      <c r="M2347">
        <v>-0.99887340000000002</v>
      </c>
      <c r="N2347">
        <v>-6.9221909999999899E-3</v>
      </c>
      <c r="O2347">
        <v>4.6950810000000003E-2</v>
      </c>
      <c r="P2347">
        <v>-0.99551190000000001</v>
      </c>
      <c r="Q2347">
        <v>-9.0635049999999995E-2</v>
      </c>
      <c r="R2347">
        <v>2.723105E-2</v>
      </c>
      <c r="S2347">
        <v>-2.9213100000000001</v>
      </c>
      <c r="T2347">
        <v>-0.91195930000000003</v>
      </c>
      <c r="U2347">
        <v>0.3864746</v>
      </c>
      <c r="V2347">
        <v>-1.957764E-2</v>
      </c>
      <c r="W2347">
        <v>-8.3731730000000004E-2</v>
      </c>
      <c r="X2347">
        <v>0.99629599999999996</v>
      </c>
      <c r="Y2347">
        <v>8.2606879999999994E-2</v>
      </c>
      <c r="Z2347">
        <v>-1.089731E-3</v>
      </c>
      <c r="AA2347">
        <v>0.99658159999999896</v>
      </c>
      <c r="AB2347">
        <v>28</v>
      </c>
      <c r="AC2347">
        <v>-0.37460000000001498</v>
      </c>
      <c r="AD2347">
        <v>-0.24366699999999999</v>
      </c>
      <c r="AE2347">
        <v>8.3700000000021604E-2</v>
      </c>
      <c r="AF2347">
        <v>4.7056116627781003E-2</v>
      </c>
      <c r="AG2347">
        <v>-0.24366699999999999</v>
      </c>
      <c r="AH2347">
        <v>0.26950682545440902</v>
      </c>
      <c r="AI2347">
        <v>131.68978802074901</v>
      </c>
      <c r="AJ2347">
        <v>80.095946898502305</v>
      </c>
      <c r="AK2347">
        <v>0.366362953868974</v>
      </c>
      <c r="AL2347">
        <v>94.803098337043096</v>
      </c>
      <c r="AM2347">
        <v>91.125741545423296</v>
      </c>
      <c r="AN2347">
        <v>1.00000000310638</v>
      </c>
    </row>
    <row r="2348" spans="1:40" x14ac:dyDescent="0.25">
      <c r="A2348" t="str">
        <f>"20190303154143078"</f>
        <v>20190303154143078</v>
      </c>
      <c r="B2348" t="str">
        <f>"1551598903071879"</f>
        <v>1551598903071879</v>
      </c>
      <c r="C2348" t="s">
        <v>40</v>
      </c>
      <c r="D2348">
        <v>6.183395</v>
      </c>
      <c r="E2348">
        <v>0.56466729999999998</v>
      </c>
      <c r="F2348" t="s">
        <v>42</v>
      </c>
      <c r="G2348">
        <v>-236.58459999999999</v>
      </c>
      <c r="H2348">
        <v>0.85248400000000002</v>
      </c>
      <c r="I2348">
        <v>283.10829999999999</v>
      </c>
      <c r="J2348">
        <v>-235.98320000000001</v>
      </c>
      <c r="K2348">
        <v>1.119955</v>
      </c>
      <c r="L2348">
        <v>283.00049999999999</v>
      </c>
      <c r="M2348">
        <v>-0.99886790000000003</v>
      </c>
      <c r="N2348">
        <v>-7.0235540000000004E-3</v>
      </c>
      <c r="O2348">
        <v>4.7050370000000001E-2</v>
      </c>
      <c r="P2348">
        <v>-0.99539089999999997</v>
      </c>
      <c r="Q2348">
        <v>-9.2125860000000004E-2</v>
      </c>
      <c r="R2348">
        <v>2.6640899999999999E-2</v>
      </c>
      <c r="S2348">
        <v>-2.9209589999999999</v>
      </c>
      <c r="T2348">
        <v>-0.8954529</v>
      </c>
      <c r="U2348">
        <v>0.40374759999999998</v>
      </c>
      <c r="V2348">
        <v>-2.0249369999999999E-2</v>
      </c>
      <c r="W2348">
        <v>-8.5125080000000006E-2</v>
      </c>
      <c r="X2348">
        <v>0.99616450000000001</v>
      </c>
      <c r="Y2348">
        <v>8.811977E-2</v>
      </c>
      <c r="Z2348">
        <v>-2.3710730000000001E-4</v>
      </c>
      <c r="AA2348">
        <v>0.99610980000000005</v>
      </c>
      <c r="AB2348">
        <v>28</v>
      </c>
      <c r="AC2348">
        <v>-0.60139999999998395</v>
      </c>
      <c r="AD2348">
        <v>-0.26747100000000001</v>
      </c>
      <c r="AE2348">
        <v>0.107799999999997</v>
      </c>
      <c r="AF2348">
        <v>6.6617135239839795E-2</v>
      </c>
      <c r="AG2348">
        <v>-0.26747100000000001</v>
      </c>
      <c r="AH2348">
        <v>0.50837898840040696</v>
      </c>
      <c r="AI2348">
        <v>117.54949534783999</v>
      </c>
      <c r="AJ2348">
        <v>82.534592257728306</v>
      </c>
      <c r="AK2348">
        <v>0.57829730623234299</v>
      </c>
      <c r="AL2348">
        <v>94.883217427773104</v>
      </c>
      <c r="AM2348">
        <v>91.164510158209495</v>
      </c>
      <c r="AN2348">
        <v>1.00000001364532</v>
      </c>
    </row>
    <row r="2349" spans="1:40" x14ac:dyDescent="0.25">
      <c r="A2349" t="str">
        <f>"20190303154143103"</f>
        <v>20190303154143103</v>
      </c>
      <c r="B2349" t="str">
        <f>"1551598903091398"</f>
        <v>1551598903091398</v>
      </c>
      <c r="C2349" t="s">
        <v>40</v>
      </c>
      <c r="D2349">
        <v>6.0913279999999999</v>
      </c>
      <c r="E2349">
        <v>0.56356189999999995</v>
      </c>
      <c r="F2349" t="s">
        <v>42</v>
      </c>
      <c r="G2349">
        <v>-236.84280000000001</v>
      </c>
      <c r="H2349">
        <v>0.86421559999999897</v>
      </c>
      <c r="I2349">
        <v>283.17880000000002</v>
      </c>
      <c r="J2349">
        <v>-236.29089999999999</v>
      </c>
      <c r="K2349">
        <v>1.119998</v>
      </c>
      <c r="L2349">
        <v>283.01499999999999</v>
      </c>
      <c r="M2349">
        <v>-0.9988648</v>
      </c>
      <c r="N2349">
        <v>-7.1212209999999996E-3</v>
      </c>
      <c r="O2349">
        <v>4.7099589999999997E-2</v>
      </c>
      <c r="P2349">
        <v>-0.99530540000000001</v>
      </c>
      <c r="Q2349">
        <v>-9.3659649999999997E-2</v>
      </c>
      <c r="R2349">
        <v>2.4395880000000002E-2</v>
      </c>
      <c r="S2349">
        <v>-2.9173740000000001</v>
      </c>
      <c r="T2349">
        <v>-0.86788379999999998</v>
      </c>
      <c r="U2349">
        <v>0.6047363</v>
      </c>
      <c r="V2349">
        <v>-2.2526549999999999E-2</v>
      </c>
      <c r="W2349">
        <v>-8.6565059999999999E-2</v>
      </c>
      <c r="X2349">
        <v>0.99599150000000003</v>
      </c>
      <c r="Y2349">
        <v>0.1520212</v>
      </c>
      <c r="Z2349">
        <v>9.2390460000000008E-3</v>
      </c>
      <c r="AA2349">
        <v>0.98833409999999999</v>
      </c>
      <c r="AB2349">
        <v>28</v>
      </c>
      <c r="AC2349">
        <v>-0.55190000000001704</v>
      </c>
      <c r="AD2349">
        <v>-0.25578240000000002</v>
      </c>
      <c r="AE2349">
        <v>0.163800000000037</v>
      </c>
      <c r="AF2349">
        <v>0.114934651687588</v>
      </c>
      <c r="AG2349">
        <v>-0.25578240000000002</v>
      </c>
      <c r="AH2349">
        <v>0.46684518516551199</v>
      </c>
      <c r="AI2349">
        <v>118.013411903622</v>
      </c>
      <c r="AJ2349">
        <v>76.169160378094404</v>
      </c>
      <c r="AK2349">
        <v>0.54459070614593497</v>
      </c>
      <c r="AL2349">
        <v>94.966027915907802</v>
      </c>
      <c r="AM2349">
        <v>91.295649845166693</v>
      </c>
      <c r="AN2349">
        <v>1.0000000115699701</v>
      </c>
    </row>
    <row r="2350" spans="1:40" x14ac:dyDescent="0.25">
      <c r="A2350" t="str">
        <f>"20190303154143125"</f>
        <v>20190303154143125</v>
      </c>
      <c r="B2350" t="str">
        <f>"1551598903121654"</f>
        <v>1551598903121654</v>
      </c>
      <c r="C2350" t="s">
        <v>40</v>
      </c>
      <c r="D2350">
        <v>6.1056239999999997</v>
      </c>
      <c r="E2350">
        <v>0.56486930000000002</v>
      </c>
      <c r="F2350" t="s">
        <v>42</v>
      </c>
      <c r="G2350">
        <v>-237.1009</v>
      </c>
      <c r="H2350">
        <v>0.87081649999999999</v>
      </c>
      <c r="I2350">
        <v>283.17899999999997</v>
      </c>
      <c r="J2350">
        <v>-236.5795</v>
      </c>
      <c r="K2350">
        <v>1.1200410000000001</v>
      </c>
      <c r="L2350">
        <v>283.02859999999998</v>
      </c>
      <c r="M2350">
        <v>-0.99886509999999995</v>
      </c>
      <c r="N2350">
        <v>-7.2005849999999998E-3</v>
      </c>
      <c r="O2350">
        <v>4.708097E-2</v>
      </c>
      <c r="P2350">
        <v>-0.99528939999999999</v>
      </c>
      <c r="Q2350">
        <v>-9.4479220000000003E-2</v>
      </c>
      <c r="R2350">
        <v>2.174121E-2</v>
      </c>
      <c r="S2350">
        <v>-2.915314</v>
      </c>
      <c r="T2350">
        <v>-0.89678449999999998</v>
      </c>
      <c r="U2350">
        <v>0.58953859999999902</v>
      </c>
      <c r="V2350">
        <v>-2.5149270000000001E-2</v>
      </c>
      <c r="W2350">
        <v>-8.7308880000000005E-2</v>
      </c>
      <c r="X2350">
        <v>0.99586379999999997</v>
      </c>
      <c r="Y2350">
        <v>0.1471401</v>
      </c>
      <c r="Z2350">
        <v>8.7854100000000004E-3</v>
      </c>
      <c r="AA2350">
        <v>0.98907670000000003</v>
      </c>
      <c r="AB2350">
        <v>29</v>
      </c>
      <c r="AC2350">
        <v>-0.52139999999999898</v>
      </c>
      <c r="AD2350">
        <v>-0.24922449999999999</v>
      </c>
      <c r="AE2350">
        <v>0.150400000000047</v>
      </c>
      <c r="AF2350">
        <v>0.10379217165943</v>
      </c>
      <c r="AG2350">
        <v>-0.24922449999999999</v>
      </c>
      <c r="AH2350">
        <v>0.43595008685171899</v>
      </c>
      <c r="AI2350">
        <v>119.080040341613</v>
      </c>
      <c r="AJ2350">
        <v>76.608182347548507</v>
      </c>
      <c r="AK2350">
        <v>0.51277494529671797</v>
      </c>
      <c r="AL2350">
        <v>95.008807606694504</v>
      </c>
      <c r="AM2350">
        <v>91.446624352030298</v>
      </c>
      <c r="AN2350">
        <v>1.0000000172294099</v>
      </c>
    </row>
    <row r="2351" spans="1:40" x14ac:dyDescent="0.25">
      <c r="A2351" t="str">
        <f>"20190303154143146"</f>
        <v>20190303154143146</v>
      </c>
      <c r="B2351" t="str">
        <f>"1551598903142150"</f>
        <v>1551598903142150</v>
      </c>
      <c r="C2351" t="s">
        <v>40</v>
      </c>
      <c r="D2351">
        <v>6.0849229999999999</v>
      </c>
      <c r="E2351">
        <v>0.56537869999999901</v>
      </c>
      <c r="F2351" t="s">
        <v>42</v>
      </c>
      <c r="G2351">
        <v>-237.3613</v>
      </c>
      <c r="H2351">
        <v>0.88111659999999903</v>
      </c>
      <c r="I2351">
        <v>283.18709999999999</v>
      </c>
      <c r="J2351">
        <v>-236.84360000000001</v>
      </c>
      <c r="K2351">
        <v>1.120098</v>
      </c>
      <c r="L2351">
        <v>283.041</v>
      </c>
      <c r="M2351">
        <v>-0.9988688</v>
      </c>
      <c r="N2351">
        <v>-7.2634269999999898E-3</v>
      </c>
      <c r="O2351">
        <v>4.6995750000000003E-2</v>
      </c>
      <c r="P2351">
        <v>-0.99554620000000005</v>
      </c>
      <c r="Q2351">
        <v>-9.2456620000000003E-2</v>
      </c>
      <c r="R2351">
        <v>1.8442460000000001E-2</v>
      </c>
      <c r="S2351">
        <v>-2.9166720000000002</v>
      </c>
      <c r="T2351">
        <v>-0.89144469999999998</v>
      </c>
      <c r="U2351">
        <v>0.59106449999999999</v>
      </c>
      <c r="V2351">
        <v>-2.8361979999999998E-2</v>
      </c>
      <c r="W2351">
        <v>-8.5225960000000003E-2</v>
      </c>
      <c r="X2351">
        <v>0.99595789999999995</v>
      </c>
      <c r="Y2351">
        <v>0.1476606</v>
      </c>
      <c r="Z2351">
        <v>8.8476760000000005E-3</v>
      </c>
      <c r="AA2351">
        <v>0.9889985</v>
      </c>
      <c r="AB2351">
        <v>29</v>
      </c>
      <c r="AC2351">
        <v>-0.51769999999998995</v>
      </c>
      <c r="AD2351">
        <v>-0.23898140000000001</v>
      </c>
      <c r="AE2351">
        <v>0.14609999999998899</v>
      </c>
      <c r="AF2351">
        <v>0.101562362611666</v>
      </c>
      <c r="AG2351">
        <v>-0.23898140000000001</v>
      </c>
      <c r="AH2351">
        <v>0.43761917023368002</v>
      </c>
      <c r="AI2351">
        <v>118.011035611408</v>
      </c>
      <c r="AJ2351">
        <v>76.934136017921901</v>
      </c>
      <c r="AK2351">
        <v>0.50885907793930396</v>
      </c>
      <c r="AL2351">
        <v>94.889018562535</v>
      </c>
      <c r="AM2351">
        <v>91.631176075575894</v>
      </c>
      <c r="AN2351">
        <v>1.00000000236992</v>
      </c>
    </row>
    <row r="2352" spans="1:40" x14ac:dyDescent="0.25">
      <c r="A2352" t="str">
        <f>"20190303154143168"</f>
        <v>20190303154143168</v>
      </c>
      <c r="B2352" t="str">
        <f>"1551598903161670"</f>
        <v>1551598903161670</v>
      </c>
      <c r="C2352" t="s">
        <v>40</v>
      </c>
      <c r="D2352">
        <v>6.1201160000000003</v>
      </c>
      <c r="E2352">
        <v>0.56572730000000004</v>
      </c>
      <c r="F2352" t="s">
        <v>42</v>
      </c>
      <c r="G2352">
        <v>-237.6198</v>
      </c>
      <c r="H2352">
        <v>0.88579229999999998</v>
      </c>
      <c r="I2352">
        <v>283.19659999999999</v>
      </c>
      <c r="J2352">
        <v>-237.12909999999999</v>
      </c>
      <c r="K2352">
        <v>1.1201700000000001</v>
      </c>
      <c r="L2352">
        <v>283.05430000000001</v>
      </c>
      <c r="M2352">
        <v>-0.99887649999999994</v>
      </c>
      <c r="N2352">
        <v>-7.3204469999999999E-3</v>
      </c>
      <c r="O2352">
        <v>4.6819850000000003E-2</v>
      </c>
      <c r="P2352">
        <v>-0.99577340000000003</v>
      </c>
      <c r="Q2352">
        <v>-9.0559180000000003E-2</v>
      </c>
      <c r="R2352">
        <v>1.530653E-2</v>
      </c>
      <c r="S2352">
        <v>-2.9207000000000001</v>
      </c>
      <c r="T2352">
        <v>-0.88160819999999995</v>
      </c>
      <c r="U2352">
        <v>0.5849915</v>
      </c>
      <c r="V2352">
        <v>-3.1317640000000001E-2</v>
      </c>
      <c r="W2352">
        <v>-8.3276009999999998E-2</v>
      </c>
      <c r="X2352">
        <v>0.99603430000000004</v>
      </c>
      <c r="Y2352">
        <v>0.14577309999999999</v>
      </c>
      <c r="Z2352">
        <v>8.5282340000000009E-3</v>
      </c>
      <c r="AA2352">
        <v>0.98928130000000003</v>
      </c>
      <c r="AB2352">
        <v>29</v>
      </c>
      <c r="AC2352">
        <v>-0.49070000000000302</v>
      </c>
      <c r="AD2352">
        <v>-0.23437769999999999</v>
      </c>
      <c r="AE2352">
        <v>0.142299999999977</v>
      </c>
      <c r="AF2352">
        <v>9.8450661945820195E-2</v>
      </c>
      <c r="AG2352">
        <v>-0.23437769999999999</v>
      </c>
      <c r="AH2352">
        <v>0.41044879890333902</v>
      </c>
      <c r="AI2352">
        <v>119.042439672062</v>
      </c>
      <c r="AJ2352">
        <v>76.511796978915001</v>
      </c>
      <c r="AK2352">
        <v>0.48279773779094398</v>
      </c>
      <c r="AL2352">
        <v>94.776895969827194</v>
      </c>
      <c r="AM2352">
        <v>91.8009195370946</v>
      </c>
      <c r="AN2352">
        <v>1.00000000759658</v>
      </c>
    </row>
    <row r="2353" spans="1:40" x14ac:dyDescent="0.25">
      <c r="A2353" t="str">
        <f>"20190303154143191"</f>
        <v>20190303154143191</v>
      </c>
      <c r="B2353" t="str">
        <f>"1551598903182166"</f>
        <v>1551598903182166</v>
      </c>
      <c r="C2353" t="s">
        <v>40</v>
      </c>
      <c r="D2353">
        <v>6.1162769999999904</v>
      </c>
      <c r="E2353">
        <v>0.56550310000000004</v>
      </c>
      <c r="F2353" t="s">
        <v>42</v>
      </c>
      <c r="G2353">
        <v>-237.88120000000001</v>
      </c>
      <c r="H2353">
        <v>0.89574409999999904</v>
      </c>
      <c r="I2353">
        <v>283.20319999999998</v>
      </c>
      <c r="J2353">
        <v>-237.42949999999999</v>
      </c>
      <c r="K2353">
        <v>1.1202559999999999</v>
      </c>
      <c r="L2353">
        <v>283.06819999999999</v>
      </c>
      <c r="M2353">
        <v>-0.99888929999999998</v>
      </c>
      <c r="N2353">
        <v>-7.3710190000000004E-3</v>
      </c>
      <c r="O2353">
        <v>4.653827E-2</v>
      </c>
      <c r="P2353">
        <v>-0.99598739999999997</v>
      </c>
      <c r="Q2353">
        <v>-8.8591870000000003E-2</v>
      </c>
      <c r="R2353">
        <v>1.2677839999999999E-2</v>
      </c>
      <c r="S2353">
        <v>-2.9244690000000002</v>
      </c>
      <c r="T2353">
        <v>-0.8726064</v>
      </c>
      <c r="U2353">
        <v>0.57833859999999904</v>
      </c>
      <c r="V2353">
        <v>-3.3658470000000003E-2</v>
      </c>
      <c r="W2353">
        <v>-8.1264349999999999E-2</v>
      </c>
      <c r="X2353">
        <v>0.99612409999999996</v>
      </c>
      <c r="Y2353">
        <v>0.14380770000000001</v>
      </c>
      <c r="Z2353">
        <v>8.2388840000000001E-3</v>
      </c>
      <c r="AA2353">
        <v>0.98957130000000004</v>
      </c>
      <c r="AB2353">
        <v>29</v>
      </c>
      <c r="AC2353">
        <v>-0.45170000000001598</v>
      </c>
      <c r="AD2353">
        <v>-0.22451189999999999</v>
      </c>
      <c r="AE2353">
        <v>0.13499999999998999</v>
      </c>
      <c r="AF2353">
        <v>9.2788437244301497E-2</v>
      </c>
      <c r="AG2353">
        <v>-0.22451189999999999</v>
      </c>
      <c r="AH2353">
        <v>0.37291945341070298</v>
      </c>
      <c r="AI2353">
        <v>120.294564862813</v>
      </c>
      <c r="AJ2353">
        <v>76.027606027114501</v>
      </c>
      <c r="AK2353">
        <v>0.44506651869129299</v>
      </c>
      <c r="AL2353">
        <v>94.661244283575797</v>
      </c>
      <c r="AM2353">
        <v>91.9352557008079</v>
      </c>
      <c r="AN2353">
        <v>1.00000000489223</v>
      </c>
    </row>
    <row r="2354" spans="1:40" x14ac:dyDescent="0.25">
      <c r="A2354" t="str">
        <f>"20190303154143214"</f>
        <v>20190303154143214</v>
      </c>
      <c r="B2354" t="str">
        <f>"1551598903211446"</f>
        <v>1551598903211446</v>
      </c>
      <c r="C2354" t="s">
        <v>40</v>
      </c>
      <c r="D2354">
        <v>6.2322410000000001</v>
      </c>
      <c r="E2354">
        <v>0.56549369999999999</v>
      </c>
      <c r="F2354" t="s">
        <v>42</v>
      </c>
      <c r="G2354">
        <v>-238.14400000000001</v>
      </c>
      <c r="H2354">
        <v>0.90734820000000005</v>
      </c>
      <c r="I2354">
        <v>283.20699999999999</v>
      </c>
      <c r="J2354">
        <v>-237.72540000000001</v>
      </c>
      <c r="K2354">
        <v>1.1203369999999999</v>
      </c>
      <c r="L2354">
        <v>283.08159999999998</v>
      </c>
      <c r="M2354">
        <v>-0.99890630000000002</v>
      </c>
      <c r="N2354">
        <v>-7.4143339999999999E-3</v>
      </c>
      <c r="O2354">
        <v>4.6166600000000002E-2</v>
      </c>
      <c r="P2354">
        <v>-0.99599110000000002</v>
      </c>
      <c r="Q2354">
        <v>-8.8768040000000006E-2</v>
      </c>
      <c r="R2354">
        <v>1.104667E-2</v>
      </c>
      <c r="S2354">
        <v>-2.9272610000000001</v>
      </c>
      <c r="T2354">
        <v>-0.87219740000000001</v>
      </c>
      <c r="U2354">
        <v>0.56866459999999996</v>
      </c>
      <c r="V2354">
        <v>-3.4901559999999998E-2</v>
      </c>
      <c r="W2354">
        <v>-8.1405060000000001E-2</v>
      </c>
      <c r="X2354">
        <v>0.99606980000000001</v>
      </c>
      <c r="Y2354">
        <v>0.1409599</v>
      </c>
      <c r="Z2354">
        <v>7.9179230000000003E-3</v>
      </c>
      <c r="AA2354">
        <v>0.98998359999999996</v>
      </c>
      <c r="AB2354">
        <v>29</v>
      </c>
      <c r="AC2354">
        <v>-0.41859999999999697</v>
      </c>
      <c r="AD2354">
        <v>-0.21298880000000001</v>
      </c>
      <c r="AE2354">
        <v>0.125400000000013</v>
      </c>
      <c r="AF2354">
        <v>8.5603585656405301E-2</v>
      </c>
      <c r="AG2354">
        <v>-0.21298880000000001</v>
      </c>
      <c r="AH2354">
        <v>0.34256094344625498</v>
      </c>
      <c r="AI2354">
        <v>121.098616095331</v>
      </c>
      <c r="AJ2354">
        <v>75.969526098651002</v>
      </c>
      <c r="AK2354">
        <v>0.41235931270854298</v>
      </c>
      <c r="AL2354">
        <v>94.669333314287002</v>
      </c>
      <c r="AM2354">
        <v>92.006781358321703</v>
      </c>
      <c r="AN2354">
        <v>0.99999997457803802</v>
      </c>
    </row>
    <row r="2355" spans="1:40" x14ac:dyDescent="0.25">
      <c r="A2355" t="str">
        <f>"20190303154143235"</f>
        <v>20190303154143235</v>
      </c>
      <c r="B2355" t="str">
        <f>"1551598903231942"</f>
        <v>1551598903231942</v>
      </c>
      <c r="C2355" t="s">
        <v>40</v>
      </c>
      <c r="D2355">
        <v>6.2330560000000004</v>
      </c>
      <c r="E2355">
        <v>0.56556919999999899</v>
      </c>
      <c r="F2355" t="s">
        <v>42</v>
      </c>
      <c r="G2355">
        <v>-238.4068</v>
      </c>
      <c r="H2355">
        <v>0.91722820000000005</v>
      </c>
      <c r="I2355">
        <v>283.2131</v>
      </c>
      <c r="J2355">
        <v>-238.00210000000001</v>
      </c>
      <c r="K2355">
        <v>1.1204069999999999</v>
      </c>
      <c r="L2355">
        <v>283.09399999999999</v>
      </c>
      <c r="M2355">
        <v>-0.99892599999999998</v>
      </c>
      <c r="N2355">
        <v>-7.45048699999999E-3</v>
      </c>
      <c r="O2355">
        <v>4.5733370000000002E-2</v>
      </c>
      <c r="P2355">
        <v>-0.99594819999999995</v>
      </c>
      <c r="Q2355">
        <v>-8.9243870000000003E-2</v>
      </c>
      <c r="R2355">
        <v>1.11009E-2</v>
      </c>
      <c r="S2355">
        <v>-2.9280089999999999</v>
      </c>
      <c r="T2355">
        <v>-0.87291989999999997</v>
      </c>
      <c r="U2355">
        <v>0.56353759999999997</v>
      </c>
      <c r="V2355">
        <v>-3.4398739999999997E-2</v>
      </c>
      <c r="W2355">
        <v>-8.1850800000000001E-2</v>
      </c>
      <c r="X2355">
        <v>0.99605080000000001</v>
      </c>
      <c r="Y2355">
        <v>0.13969989999999999</v>
      </c>
      <c r="Z2355">
        <v>7.8617259999999994E-3</v>
      </c>
      <c r="AA2355">
        <v>0.99016269999999995</v>
      </c>
      <c r="AB2355">
        <v>29</v>
      </c>
      <c r="AC2355">
        <v>-0.40469999999999101</v>
      </c>
      <c r="AD2355">
        <v>-0.20317879999999899</v>
      </c>
      <c r="AE2355">
        <v>0.119100000000003</v>
      </c>
      <c r="AF2355">
        <v>8.1550031089906896E-2</v>
      </c>
      <c r="AG2355">
        <v>-0.20317879999999899</v>
      </c>
      <c r="AH2355">
        <v>0.33257795452750899</v>
      </c>
      <c r="AI2355">
        <v>120.682501116738</v>
      </c>
      <c r="AJ2355">
        <v>76.222578077313301</v>
      </c>
      <c r="AK2355">
        <v>0.39817097857315897</v>
      </c>
      <c r="AL2355">
        <v>94.694957674629805</v>
      </c>
      <c r="AM2355">
        <v>91.977930878708307</v>
      </c>
      <c r="AN2355">
        <v>1.0000000114774299</v>
      </c>
    </row>
    <row r="2356" spans="1:40" x14ac:dyDescent="0.25">
      <c r="A2356" t="str">
        <f>"20190303154143258"</f>
        <v>20190303154143258</v>
      </c>
      <c r="B2356" t="str">
        <f>"1551598903251462"</f>
        <v>1551598903251462</v>
      </c>
      <c r="C2356" t="s">
        <v>40</v>
      </c>
      <c r="D2356">
        <v>6.208996</v>
      </c>
      <c r="E2356">
        <v>0.56556490000000004</v>
      </c>
      <c r="F2356" t="s">
        <v>42</v>
      </c>
      <c r="G2356">
        <v>-238.6677</v>
      </c>
      <c r="H2356">
        <v>0.9211395</v>
      </c>
      <c r="I2356">
        <v>283.22230000000002</v>
      </c>
      <c r="J2356">
        <v>-238.2877</v>
      </c>
      <c r="K2356">
        <v>1.120476</v>
      </c>
      <c r="L2356">
        <v>283.10660000000001</v>
      </c>
      <c r="M2356">
        <v>-0.99894989999999995</v>
      </c>
      <c r="N2356">
        <v>-7.4812019999999898E-3</v>
      </c>
      <c r="O2356">
        <v>4.5202220000000001E-2</v>
      </c>
      <c r="P2356">
        <v>-0.99594450000000001</v>
      </c>
      <c r="Q2356">
        <v>-8.9159340000000004E-2</v>
      </c>
      <c r="R2356">
        <v>1.205873E-2</v>
      </c>
      <c r="S2356">
        <v>-2.9273829999999998</v>
      </c>
      <c r="T2356">
        <v>-0.87636959999999997</v>
      </c>
      <c r="U2356">
        <v>0.56381230000000004</v>
      </c>
      <c r="V2356">
        <v>-3.290005E-2</v>
      </c>
      <c r="W2356">
        <v>-8.1739419999999993E-2</v>
      </c>
      <c r="X2356">
        <v>0.99611059999999996</v>
      </c>
      <c r="Y2356">
        <v>0.14027439999999999</v>
      </c>
      <c r="Z2356">
        <v>8.1288130000000004E-3</v>
      </c>
      <c r="AA2356">
        <v>0.9900793</v>
      </c>
      <c r="AB2356">
        <v>29</v>
      </c>
      <c r="AC2356">
        <v>-0.37999999999999501</v>
      </c>
      <c r="AD2356">
        <v>-0.1993365</v>
      </c>
      <c r="AE2356">
        <v>0.11570000000000299</v>
      </c>
      <c r="AF2356">
        <v>7.86085756932976E-2</v>
      </c>
      <c r="AG2356">
        <v>-0.1993365</v>
      </c>
      <c r="AH2356">
        <v>0.30742373400613199</v>
      </c>
      <c r="AI2356">
        <v>122.136955996775</v>
      </c>
      <c r="AJ2356">
        <v>75.656738967517796</v>
      </c>
      <c r="AK2356">
        <v>0.37473150472712002</v>
      </c>
      <c r="AL2356">
        <v>94.688554496421304</v>
      </c>
      <c r="AM2356">
        <v>91.891706612533298</v>
      </c>
      <c r="AN2356">
        <v>1.00000003675214</v>
      </c>
    </row>
    <row r="2357" spans="1:40" x14ac:dyDescent="0.25">
      <c r="A2357" t="str">
        <f>"20190303154143279"</f>
        <v>20190303154143279</v>
      </c>
      <c r="B2357" t="str">
        <f>"1551598903271958"</f>
        <v>1551598903271958</v>
      </c>
      <c r="C2357" t="s">
        <v>40</v>
      </c>
      <c r="D2357">
        <v>6.2399329999999997</v>
      </c>
      <c r="E2357">
        <v>0.56554789999999999</v>
      </c>
      <c r="F2357" t="s">
        <v>42</v>
      </c>
      <c r="G2357">
        <v>-239.16120000000001</v>
      </c>
      <c r="H2357">
        <v>0.85876180000000002</v>
      </c>
      <c r="I2357">
        <v>283.27539999999999</v>
      </c>
      <c r="J2357">
        <v>-238.5702</v>
      </c>
      <c r="K2357">
        <v>1.1205240000000001</v>
      </c>
      <c r="L2357">
        <v>283.11869999999999</v>
      </c>
      <c r="M2357">
        <v>-0.99897630000000004</v>
      </c>
      <c r="N2357">
        <v>-7.5057179999999998E-3</v>
      </c>
      <c r="O2357">
        <v>4.4609389999999999E-2</v>
      </c>
      <c r="P2357">
        <v>-0.99599329999999997</v>
      </c>
      <c r="Q2357">
        <v>-8.8443789999999994E-2</v>
      </c>
      <c r="R2357">
        <v>1.323415E-2</v>
      </c>
      <c r="S2357">
        <v>-2.9268800000000001</v>
      </c>
      <c r="T2357">
        <v>-0.87697599999999998</v>
      </c>
      <c r="U2357">
        <v>0.5652161</v>
      </c>
      <c r="V2357">
        <v>-3.1126399999999999E-2</v>
      </c>
      <c r="W2357">
        <v>-8.100106E-2</v>
      </c>
      <c r="X2357">
        <v>0.99622790000000006</v>
      </c>
      <c r="Y2357">
        <v>0.14127619999999999</v>
      </c>
      <c r="Z2357">
        <v>8.4543640000000007E-3</v>
      </c>
      <c r="AA2357">
        <v>0.98993410000000004</v>
      </c>
      <c r="AB2357">
        <v>29</v>
      </c>
      <c r="AC2357">
        <v>-0.59100000000000796</v>
      </c>
      <c r="AD2357">
        <v>-0.2617622</v>
      </c>
      <c r="AE2357">
        <v>0.15670000000000001</v>
      </c>
      <c r="AF2357">
        <v>0.110014771367621</v>
      </c>
      <c r="AG2357">
        <v>-0.2617622</v>
      </c>
      <c r="AH2357">
        <v>0.50486641083790296</v>
      </c>
      <c r="AI2357">
        <v>116.866323087323</v>
      </c>
      <c r="AJ2357">
        <v>77.706923767585195</v>
      </c>
      <c r="AK2357">
        <v>0.57923466061714202</v>
      </c>
      <c r="AL2357">
        <v>94.646108880224503</v>
      </c>
      <c r="AM2357">
        <v>91.789581848628004</v>
      </c>
      <c r="AN2357">
        <v>1.0000000266182401</v>
      </c>
    </row>
    <row r="2358" spans="1:40" x14ac:dyDescent="0.25">
      <c r="A2358" t="str">
        <f>"20190303154143304"</f>
        <v>20190303154143304</v>
      </c>
      <c r="B2358" t="str">
        <f>"1551598903291478"</f>
        <v>1551598903291478</v>
      </c>
      <c r="C2358" t="s">
        <v>40</v>
      </c>
      <c r="D2358">
        <v>6.2005410000000003</v>
      </c>
      <c r="E2358">
        <v>0.56558980000000003</v>
      </c>
      <c r="F2358" t="s">
        <v>42</v>
      </c>
      <c r="G2358">
        <v>-239.4248</v>
      </c>
      <c r="H2358">
        <v>0.86493549999999997</v>
      </c>
      <c r="I2358">
        <v>283.28500000000003</v>
      </c>
      <c r="J2358">
        <v>-238.8914</v>
      </c>
      <c r="K2358">
        <v>1.1205719999999999</v>
      </c>
      <c r="L2358">
        <v>283.13229999999999</v>
      </c>
      <c r="M2358">
        <v>-0.99900869999999997</v>
      </c>
      <c r="N2358">
        <v>-7.5292079999999999E-3</v>
      </c>
      <c r="O2358">
        <v>4.3874730000000001E-2</v>
      </c>
      <c r="P2358">
        <v>-0.996035</v>
      </c>
      <c r="Q2358">
        <v>-8.7819759999999997E-2</v>
      </c>
      <c r="R2358">
        <v>1.421592E-2</v>
      </c>
      <c r="S2358">
        <v>-2.9268040000000002</v>
      </c>
      <c r="T2358">
        <v>-0.87541759999999902</v>
      </c>
      <c r="U2358">
        <v>0.56872559999999905</v>
      </c>
      <c r="V2358">
        <v>-2.9407300000000001E-2</v>
      </c>
      <c r="W2358">
        <v>-8.0354410000000001E-2</v>
      </c>
      <c r="X2358">
        <v>0.99633249999999995</v>
      </c>
      <c r="Y2358">
        <v>0.14306070000000001</v>
      </c>
      <c r="Z2358">
        <v>8.9166230000000003E-3</v>
      </c>
      <c r="AA2358">
        <v>0.98967369999999999</v>
      </c>
      <c r="AB2358">
        <v>29</v>
      </c>
      <c r="AC2358">
        <v>-0.53339999999999999</v>
      </c>
      <c r="AD2358">
        <v>-0.25563649999999899</v>
      </c>
      <c r="AE2358">
        <v>0.152700000000038</v>
      </c>
      <c r="AF2358">
        <v>0.106533453474083</v>
      </c>
      <c r="AG2358">
        <v>-0.25563649999999899</v>
      </c>
      <c r="AH2358">
        <v>0.44509640644907</v>
      </c>
      <c r="AI2358">
        <v>119.186107226888</v>
      </c>
      <c r="AJ2358">
        <v>76.539531063553895</v>
      </c>
      <c r="AK2358">
        <v>0.52422343316112896</v>
      </c>
      <c r="AL2358">
        <v>94.608937353401899</v>
      </c>
      <c r="AM2358">
        <v>91.690625520686297</v>
      </c>
      <c r="AN2358">
        <v>1.0000000355279901</v>
      </c>
    </row>
    <row r="2359" spans="1:40" x14ac:dyDescent="0.25">
      <c r="A2359" t="str">
        <f>"20190303154143325"</f>
        <v>20190303154143325</v>
      </c>
      <c r="B2359" t="str">
        <f>"1551598903321734"</f>
        <v>1551598903321734</v>
      </c>
      <c r="C2359" t="s">
        <v>40</v>
      </c>
      <c r="D2359">
        <v>6.1401830000000004</v>
      </c>
      <c r="E2359">
        <v>0.56558030000000004</v>
      </c>
      <c r="F2359" t="s">
        <v>42</v>
      </c>
      <c r="G2359">
        <v>-239.69329999999999</v>
      </c>
      <c r="H2359">
        <v>0.88104760000000004</v>
      </c>
      <c r="I2359">
        <v>283.28919999999999</v>
      </c>
      <c r="J2359">
        <v>-239.17500000000001</v>
      </c>
      <c r="K2359">
        <v>1.120606</v>
      </c>
      <c r="L2359">
        <v>283.14409999999998</v>
      </c>
      <c r="M2359">
        <v>-0.9990386</v>
      </c>
      <c r="N2359">
        <v>-7.5479350000000004E-3</v>
      </c>
      <c r="O2359">
        <v>4.3186120000000001E-2</v>
      </c>
      <c r="P2359">
        <v>-0.99600219999999995</v>
      </c>
      <c r="Q2359">
        <v>-8.7986309999999998E-2</v>
      </c>
      <c r="R2359">
        <v>1.543131E-2</v>
      </c>
      <c r="S2359">
        <v>-2.9267120000000002</v>
      </c>
      <c r="T2359">
        <v>-0.87418839999999998</v>
      </c>
      <c r="U2359">
        <v>0.57159419999999905</v>
      </c>
      <c r="V2359">
        <v>-2.7498970000000001E-2</v>
      </c>
      <c r="W2359">
        <v>-8.0501909999999996E-2</v>
      </c>
      <c r="X2359">
        <v>0.99637500000000001</v>
      </c>
      <c r="Y2359">
        <v>0.14460049999999999</v>
      </c>
      <c r="Z2359">
        <v>9.3305599999999999E-3</v>
      </c>
      <c r="AA2359">
        <v>0.9894461</v>
      </c>
      <c r="AB2359">
        <v>29</v>
      </c>
      <c r="AC2359">
        <v>-0.518299999999982</v>
      </c>
      <c r="AD2359">
        <v>-0.23955839999999901</v>
      </c>
      <c r="AE2359">
        <v>0.145100000000013</v>
      </c>
      <c r="AF2359">
        <v>0.10231225777401499</v>
      </c>
      <c r="AG2359">
        <v>-0.23955839999999901</v>
      </c>
      <c r="AH2359">
        <v>0.43742727087273098</v>
      </c>
      <c r="AI2359">
        <v>118.069248888429</v>
      </c>
      <c r="AJ2359">
        <v>76.835436363120394</v>
      </c>
      <c r="AK2359">
        <v>0.50911554916791002</v>
      </c>
      <c r="AL2359">
        <v>94.617416363237595</v>
      </c>
      <c r="AM2359">
        <v>91.580905846910198</v>
      </c>
      <c r="AN2359">
        <v>0.99999994574485296</v>
      </c>
    </row>
    <row r="2360" spans="1:40" x14ac:dyDescent="0.25">
      <c r="A2360" t="str">
        <f>"20190303154143347"</f>
        <v>20190303154143347</v>
      </c>
      <c r="B2360" t="str">
        <f>"1551598903342230"</f>
        <v>1551598903342230</v>
      </c>
      <c r="C2360" t="s">
        <v>40</v>
      </c>
      <c r="D2360">
        <v>6.1364589999999897</v>
      </c>
      <c r="E2360">
        <v>0.56557599999999997</v>
      </c>
      <c r="F2360" t="s">
        <v>42</v>
      </c>
      <c r="G2360">
        <v>-239.95820000000001</v>
      </c>
      <c r="H2360">
        <v>0.88694240000000002</v>
      </c>
      <c r="I2360">
        <v>283.29849999999999</v>
      </c>
      <c r="J2360">
        <v>-239.44980000000001</v>
      </c>
      <c r="K2360">
        <v>1.120633</v>
      </c>
      <c r="L2360">
        <v>283.15519999999998</v>
      </c>
      <c r="M2360">
        <v>-0.99906839999999997</v>
      </c>
      <c r="N2360">
        <v>-7.5654290000000003E-3</v>
      </c>
      <c r="O2360">
        <v>4.2490430000000003E-2</v>
      </c>
      <c r="P2360">
        <v>-0.99596739999999995</v>
      </c>
      <c r="Q2360">
        <v>-8.8423589999999996E-2</v>
      </c>
      <c r="R2360">
        <v>1.5187610000000001E-2</v>
      </c>
      <c r="S2360">
        <v>-2.9260250000000001</v>
      </c>
      <c r="T2360">
        <v>-0.87302880000000005</v>
      </c>
      <c r="U2360">
        <v>0.57531739999999998</v>
      </c>
      <c r="V2360">
        <v>-2.704146E-2</v>
      </c>
      <c r="W2360">
        <v>-8.0923090000000003E-2</v>
      </c>
      <c r="X2360">
        <v>0.99635339999999994</v>
      </c>
      <c r="Y2360">
        <v>0.14644789999999999</v>
      </c>
      <c r="Z2360">
        <v>9.7930380000000004E-3</v>
      </c>
      <c r="AA2360">
        <v>0.98916990000000005</v>
      </c>
      <c r="AB2360">
        <v>29</v>
      </c>
      <c r="AC2360">
        <v>-0.50839999999999397</v>
      </c>
      <c r="AD2360">
        <v>-0.233690599999999</v>
      </c>
      <c r="AE2360">
        <v>0.14330000000001</v>
      </c>
      <c r="AF2360">
        <v>0.101667815565315</v>
      </c>
      <c r="AG2360">
        <v>-0.233690599999999</v>
      </c>
      <c r="AH2360">
        <v>0.42988590490113399</v>
      </c>
      <c r="AI2360">
        <v>117.87962471752201</v>
      </c>
      <c r="AJ2360">
        <v>76.6940556004173</v>
      </c>
      <c r="AK2360">
        <v>0.49974946971742801</v>
      </c>
      <c r="AL2360">
        <v>94.641627206505703</v>
      </c>
      <c r="AM2360">
        <v>91.554650464872495</v>
      </c>
      <c r="AN2360">
        <v>0.99999994237281797</v>
      </c>
    </row>
    <row r="2361" spans="1:40" x14ac:dyDescent="0.25">
      <c r="A2361" t="str">
        <f>"20190303154143368"</f>
        <v>20190303154143368</v>
      </c>
      <c r="B2361" t="str">
        <f>"1551598903361750"</f>
        <v>1551598903361750</v>
      </c>
      <c r="C2361" t="s">
        <v>40</v>
      </c>
      <c r="D2361">
        <v>6.1066209999999996</v>
      </c>
      <c r="E2361">
        <v>0.56534359999999995</v>
      </c>
      <c r="F2361" t="s">
        <v>42</v>
      </c>
      <c r="G2361">
        <v>-240.22239999999999</v>
      </c>
      <c r="H2361">
        <v>0.88981429999999995</v>
      </c>
      <c r="I2361">
        <v>283.30709999999999</v>
      </c>
      <c r="J2361">
        <v>-239.74420000000001</v>
      </c>
      <c r="K2361">
        <v>1.1206609999999999</v>
      </c>
      <c r="L2361">
        <v>283.16699999999997</v>
      </c>
      <c r="M2361">
        <v>-0.99910060000000001</v>
      </c>
      <c r="N2361">
        <v>-7.5840539999999998E-3</v>
      </c>
      <c r="O2361">
        <v>4.1721359999999999E-2</v>
      </c>
      <c r="P2361">
        <v>-0.9959382</v>
      </c>
      <c r="Q2361">
        <v>-8.8902220000000004E-2</v>
      </c>
      <c r="R2361">
        <v>1.427633E-2</v>
      </c>
      <c r="S2361">
        <v>-2.9257810000000002</v>
      </c>
      <c r="T2361">
        <v>-0.87409879999999995</v>
      </c>
      <c r="U2361">
        <v>0.57470699999999997</v>
      </c>
      <c r="V2361">
        <v>-2.7179160000000001E-2</v>
      </c>
      <c r="W2361">
        <v>-8.1385310000000002E-2</v>
      </c>
      <c r="X2361">
        <v>0.99631210000000003</v>
      </c>
      <c r="Y2361">
        <v>0.14696039999999999</v>
      </c>
      <c r="Z2361">
        <v>1.00994E-2</v>
      </c>
      <c r="AA2361">
        <v>0.98909080000000005</v>
      </c>
      <c r="AB2361">
        <v>29</v>
      </c>
      <c r="AC2361">
        <v>-0.47819999999998603</v>
      </c>
      <c r="AD2361">
        <v>-0.23084669999999999</v>
      </c>
      <c r="AE2361">
        <v>0.14009999999996101</v>
      </c>
      <c r="AF2361">
        <v>9.8818178691183395E-2</v>
      </c>
      <c r="AG2361">
        <v>-0.23084669999999999</v>
      </c>
      <c r="AH2361">
        <v>0.39817388480003102</v>
      </c>
      <c r="AI2361">
        <v>119.36617875878601</v>
      </c>
      <c r="AJ2361">
        <v>76.062026285325302</v>
      </c>
      <c r="AK2361">
        <v>0.47074162114421197</v>
      </c>
      <c r="AL2361">
        <v>94.668197658596497</v>
      </c>
      <c r="AM2361">
        <v>91.562627851739094</v>
      </c>
      <c r="AN2361">
        <v>1.00000003801425</v>
      </c>
    </row>
    <row r="2362" spans="1:40" x14ac:dyDescent="0.25">
      <c r="A2362" t="str">
        <f>"20190303154143392"</f>
        <v>20190303154143392</v>
      </c>
      <c r="B2362" t="str">
        <f>"1551598903382246"</f>
        <v>1551598903382246</v>
      </c>
      <c r="C2362" t="s">
        <v>40</v>
      </c>
      <c r="D2362">
        <v>6.0579320000000001</v>
      </c>
      <c r="E2362">
        <v>0.56506849999999997</v>
      </c>
      <c r="F2362" t="s">
        <v>42</v>
      </c>
      <c r="G2362">
        <v>-240.48929999999999</v>
      </c>
      <c r="H2362">
        <v>0.89757160000000002</v>
      </c>
      <c r="I2362">
        <v>283.31259999999997</v>
      </c>
      <c r="J2362">
        <v>-240.05179999999999</v>
      </c>
      <c r="K2362">
        <v>1.1206769999999999</v>
      </c>
      <c r="L2362">
        <v>283.17899999999997</v>
      </c>
      <c r="M2362">
        <v>-0.99913459999999998</v>
      </c>
      <c r="N2362">
        <v>-7.6014089999999999E-3</v>
      </c>
      <c r="O2362">
        <v>4.0896879999999997E-2</v>
      </c>
      <c r="P2362">
        <v>-0.99598339999999996</v>
      </c>
      <c r="Q2362">
        <v>-8.8672940000000006E-2</v>
      </c>
      <c r="R2362">
        <v>1.244054E-2</v>
      </c>
      <c r="S2362">
        <v>-2.9258419999999998</v>
      </c>
      <c r="T2362">
        <v>-0.87605309999999903</v>
      </c>
      <c r="U2362">
        <v>0.57022090000000003</v>
      </c>
      <c r="V2362">
        <v>-2.818878E-2</v>
      </c>
      <c r="W2362">
        <v>-8.1141829999999998E-2</v>
      </c>
      <c r="X2362">
        <v>0.99630390000000002</v>
      </c>
      <c r="Y2362">
        <v>0.14628550000000001</v>
      </c>
      <c r="Z2362">
        <v>1.0254249999999999E-2</v>
      </c>
      <c r="AA2362">
        <v>0.98918930000000005</v>
      </c>
      <c r="AB2362">
        <v>29</v>
      </c>
      <c r="AC2362">
        <v>-0.4375</v>
      </c>
      <c r="AD2362">
        <v>-0.22310540000000001</v>
      </c>
      <c r="AE2362">
        <v>0.13359999999994401</v>
      </c>
      <c r="AF2362">
        <v>9.3382265783995805E-2</v>
      </c>
      <c r="AG2362">
        <v>-0.22310540000000001</v>
      </c>
      <c r="AH2362">
        <v>0.35754732721209098</v>
      </c>
      <c r="AI2362">
        <v>121.120933826021</v>
      </c>
      <c r="AJ2362">
        <v>75.362765774548294</v>
      </c>
      <c r="AK2362">
        <v>0.43166695294940399</v>
      </c>
      <c r="AL2362">
        <v>94.654201016382203</v>
      </c>
      <c r="AM2362">
        <v>91.620657473067496</v>
      </c>
      <c r="AN2362">
        <v>1.00000003252442</v>
      </c>
    </row>
    <row r="2363" spans="1:40" x14ac:dyDescent="0.25">
      <c r="A2363" t="str">
        <f>"20190303154143414"</f>
        <v>20190303154143414</v>
      </c>
      <c r="B2363" t="str">
        <f>"1551598903411527"</f>
        <v>1551598903411527</v>
      </c>
      <c r="C2363" t="s">
        <v>40</v>
      </c>
      <c r="D2363">
        <v>6.073029</v>
      </c>
      <c r="E2363">
        <v>0.56476269999999995</v>
      </c>
      <c r="F2363" t="s">
        <v>42</v>
      </c>
      <c r="G2363">
        <v>-240.75839999999999</v>
      </c>
      <c r="H2363">
        <v>0.90888349999999996</v>
      </c>
      <c r="I2363">
        <v>283.31509999999997</v>
      </c>
      <c r="J2363">
        <v>-240.34739999999999</v>
      </c>
      <c r="K2363">
        <v>1.1207</v>
      </c>
      <c r="L2363">
        <v>283.19029999999998</v>
      </c>
      <c r="M2363">
        <v>-0.99916729999999998</v>
      </c>
      <c r="N2363">
        <v>-7.614661E-3</v>
      </c>
      <c r="O2363">
        <v>4.008656E-2</v>
      </c>
      <c r="P2363">
        <v>-0.99599629999999995</v>
      </c>
      <c r="Q2363">
        <v>-8.8779120000000003E-2</v>
      </c>
      <c r="R2363">
        <v>1.0482E-2</v>
      </c>
      <c r="S2363">
        <v>-2.9269409999999998</v>
      </c>
      <c r="T2363">
        <v>-0.87750980000000001</v>
      </c>
      <c r="U2363">
        <v>0.56280520000000001</v>
      </c>
      <c r="V2363">
        <v>-2.9334410000000002E-2</v>
      </c>
      <c r="W2363">
        <v>-8.1238340000000006E-2</v>
      </c>
      <c r="X2363">
        <v>0.99626289999999995</v>
      </c>
      <c r="Y2363">
        <v>0.14462620000000001</v>
      </c>
      <c r="Z2363">
        <v>1.025058E-2</v>
      </c>
      <c r="AA2363">
        <v>0.98943329999999996</v>
      </c>
      <c r="AB2363">
        <v>30</v>
      </c>
      <c r="AC2363">
        <v>-0.41100000000000098</v>
      </c>
      <c r="AD2363">
        <v>-0.21181649999999999</v>
      </c>
      <c r="AE2363">
        <v>0.124799999999993</v>
      </c>
      <c r="AF2363">
        <v>8.7053686075104997E-2</v>
      </c>
      <c r="AG2363">
        <v>-0.21181649999999999</v>
      </c>
      <c r="AH2363">
        <v>0.33436163389745499</v>
      </c>
      <c r="AI2363">
        <v>121.51069072503201</v>
      </c>
      <c r="AJ2363">
        <v>75.406578844919693</v>
      </c>
      <c r="AK2363">
        <v>0.40526815339240402</v>
      </c>
      <c r="AL2363">
        <v>94.659749236321304</v>
      </c>
      <c r="AM2363">
        <v>91.686555246129004</v>
      </c>
      <c r="AN2363">
        <v>0.99999997070620605</v>
      </c>
    </row>
    <row r="2364" spans="1:40" x14ac:dyDescent="0.25">
      <c r="A2364" t="str">
        <f>"20190303154143435"</f>
        <v>20190303154143435</v>
      </c>
      <c r="B2364" t="str">
        <f>"1551598903432023"</f>
        <v>1551598903432023</v>
      </c>
      <c r="C2364" t="s">
        <v>40</v>
      </c>
      <c r="D2364">
        <v>6.0460750000000001</v>
      </c>
      <c r="E2364">
        <v>0.56464619999999999</v>
      </c>
      <c r="F2364" t="s">
        <v>42</v>
      </c>
      <c r="G2364">
        <v>-241.0265</v>
      </c>
      <c r="H2364">
        <v>0.9164679</v>
      </c>
      <c r="I2364">
        <v>283.31920000000002</v>
      </c>
      <c r="J2364">
        <v>-240.6259</v>
      </c>
      <c r="K2364">
        <v>1.1207210000000001</v>
      </c>
      <c r="L2364">
        <v>283.20069999999998</v>
      </c>
      <c r="M2364">
        <v>-0.99919809999999998</v>
      </c>
      <c r="N2364">
        <v>-7.6253309999999999E-3</v>
      </c>
      <c r="O2364">
        <v>3.930488E-2</v>
      </c>
      <c r="P2364">
        <v>-0.99597919999999995</v>
      </c>
      <c r="Q2364">
        <v>-8.9100180000000001E-2</v>
      </c>
      <c r="R2364">
        <v>9.2966079999999996E-3</v>
      </c>
      <c r="S2364">
        <v>-2.9277500000000001</v>
      </c>
      <c r="T2364">
        <v>-0.88065329999999997</v>
      </c>
      <c r="U2364">
        <v>0.55422969999999905</v>
      </c>
      <c r="V2364">
        <v>-2.9735540000000001E-2</v>
      </c>
      <c r="W2364">
        <v>-8.1551150000000003E-2</v>
      </c>
      <c r="X2364">
        <v>0.99622549999999999</v>
      </c>
      <c r="Y2364">
        <v>0.14257729999999999</v>
      </c>
      <c r="Z2364">
        <v>1.0198520000000001E-2</v>
      </c>
      <c r="AA2364">
        <v>0.98973109999999997</v>
      </c>
      <c r="AB2364">
        <v>30</v>
      </c>
      <c r="AC2364">
        <v>-0.40059999999999701</v>
      </c>
      <c r="AD2364">
        <v>-0.20425309999999899</v>
      </c>
      <c r="AE2364">
        <v>0.11850000000004</v>
      </c>
      <c r="AF2364">
        <v>8.2855877206285303E-2</v>
      </c>
      <c r="AG2364">
        <v>-0.20425309999999899</v>
      </c>
      <c r="AH2364">
        <v>0.32682196196187602</v>
      </c>
      <c r="AI2364">
        <v>121.207584273829</v>
      </c>
      <c r="AJ2364">
        <v>75.774101141178207</v>
      </c>
      <c r="AK2364">
        <v>0.39420428722661399</v>
      </c>
      <c r="AL2364">
        <v>94.6777313668576</v>
      </c>
      <c r="AM2364">
        <v>91.709668400264206</v>
      </c>
      <c r="AN2364">
        <v>1.00000001962783</v>
      </c>
    </row>
    <row r="2365" spans="1:40" x14ac:dyDescent="0.25">
      <c r="A2365" t="str">
        <f>"20190303154143458"</f>
        <v>20190303154143458</v>
      </c>
      <c r="B2365" t="str">
        <f>"1551598903451543"</f>
        <v>1551598903451543</v>
      </c>
      <c r="C2365" t="s">
        <v>40</v>
      </c>
      <c r="D2365">
        <v>6.0347089999999897</v>
      </c>
      <c r="E2365">
        <v>0.56454579999999999</v>
      </c>
      <c r="F2365" t="s">
        <v>42</v>
      </c>
      <c r="G2365">
        <v>-241.29349999999999</v>
      </c>
      <c r="H2365">
        <v>0.91942420000000002</v>
      </c>
      <c r="I2365">
        <v>283.32600000000002</v>
      </c>
      <c r="J2365">
        <v>-240.93039999999999</v>
      </c>
      <c r="K2365">
        <v>1.1207510000000001</v>
      </c>
      <c r="L2365">
        <v>283.21179999999998</v>
      </c>
      <c r="M2365">
        <v>-0.99923240000000002</v>
      </c>
      <c r="N2365">
        <v>-7.6366300000000002E-3</v>
      </c>
      <c r="O2365">
        <v>3.8425649999999999E-2</v>
      </c>
      <c r="P2365">
        <v>-0.99600869999999997</v>
      </c>
      <c r="Q2365">
        <v>-8.8936970000000004E-2</v>
      </c>
      <c r="R2365">
        <v>7.57925E-3</v>
      </c>
      <c r="S2365">
        <v>-2.927994</v>
      </c>
      <c r="T2365">
        <v>-0.8828319</v>
      </c>
      <c r="U2365">
        <v>0.54952999999999996</v>
      </c>
      <c r="V2365">
        <v>-3.057203E-2</v>
      </c>
      <c r="W2365">
        <v>-8.1379789999999994E-2</v>
      </c>
      <c r="X2365">
        <v>0.99621420000000005</v>
      </c>
      <c r="Y2365">
        <v>0.1418702</v>
      </c>
      <c r="Z2365">
        <v>1.03663E-2</v>
      </c>
      <c r="AA2365">
        <v>0.98983100000000002</v>
      </c>
      <c r="AB2365">
        <v>30</v>
      </c>
      <c r="AC2365">
        <v>-0.36310000000000198</v>
      </c>
      <c r="AD2365">
        <v>-0.2013268</v>
      </c>
      <c r="AE2365">
        <v>0.114199999999982</v>
      </c>
      <c r="AF2365">
        <v>7.8266961364644005E-2</v>
      </c>
      <c r="AG2365">
        <v>-0.2013268</v>
      </c>
      <c r="AH2365">
        <v>0.28694463966560302</v>
      </c>
      <c r="AI2365">
        <v>124.09384974993201</v>
      </c>
      <c r="AJ2365">
        <v>74.743146875389002</v>
      </c>
      <c r="AK2365">
        <v>0.359159329368342</v>
      </c>
      <c r="AL2365">
        <v>94.667880390645706</v>
      </c>
      <c r="AM2365">
        <v>91.757753221751003</v>
      </c>
      <c r="AN2365">
        <v>1.0000000257602</v>
      </c>
    </row>
    <row r="2366" spans="1:40" x14ac:dyDescent="0.25">
      <c r="A2366" t="str">
        <f>"20190303154143480"</f>
        <v>20190303154143480</v>
      </c>
      <c r="B2366" t="str">
        <f>"1551598903472038"</f>
        <v>1551598903472038</v>
      </c>
      <c r="C2366" t="s">
        <v>40</v>
      </c>
      <c r="D2366">
        <v>5.9825839999999904</v>
      </c>
      <c r="E2366">
        <v>0.56449090000000002</v>
      </c>
      <c r="F2366" t="s">
        <v>42</v>
      </c>
      <c r="G2366">
        <v>-241.80080000000001</v>
      </c>
      <c r="H2366">
        <v>0.85825609999999997</v>
      </c>
      <c r="I2366">
        <v>283.3734</v>
      </c>
      <c r="J2366">
        <v>-241.23419999999999</v>
      </c>
      <c r="K2366">
        <v>1.120779</v>
      </c>
      <c r="L2366">
        <v>283.22250000000003</v>
      </c>
      <c r="M2366">
        <v>-0.9992664</v>
      </c>
      <c r="N2366">
        <v>-7.6483039999999999E-3</v>
      </c>
      <c r="O2366">
        <v>3.7524950000000001E-2</v>
      </c>
      <c r="P2366">
        <v>-0.99607780000000001</v>
      </c>
      <c r="Q2366">
        <v>-8.8226650000000004E-2</v>
      </c>
      <c r="R2366">
        <v>6.7259609999999999E-3</v>
      </c>
      <c r="S2366">
        <v>-2.9290159999999998</v>
      </c>
      <c r="T2366">
        <v>-0.88336229999999905</v>
      </c>
      <c r="U2366">
        <v>0.54348750000000001</v>
      </c>
      <c r="V2366">
        <v>-3.0526319999999999E-2</v>
      </c>
      <c r="W2366">
        <v>-8.0659079999999994E-2</v>
      </c>
      <c r="X2366">
        <v>0.9962742</v>
      </c>
      <c r="Y2366">
        <v>0.1407342</v>
      </c>
      <c r="Z2366">
        <v>1.0457050000000001E-2</v>
      </c>
      <c r="AA2366">
        <v>0.98999219999999999</v>
      </c>
      <c r="AB2366">
        <v>30</v>
      </c>
      <c r="AC2366">
        <v>-0.56660000000002197</v>
      </c>
      <c r="AD2366">
        <v>-0.2625229</v>
      </c>
      <c r="AE2366">
        <v>0.150899999999978</v>
      </c>
      <c r="AF2366">
        <v>0.107901817676573</v>
      </c>
      <c r="AG2366">
        <v>-0.2625229</v>
      </c>
      <c r="AH2366">
        <v>0.47637171745402002</v>
      </c>
      <c r="AI2366">
        <v>118.256832830063</v>
      </c>
      <c r="AJ2366">
        <v>77.237425842054293</v>
      </c>
      <c r="AK2366">
        <v>0.55451879000842896</v>
      </c>
      <c r="AL2366">
        <v>94.626450611365001</v>
      </c>
      <c r="AM2366">
        <v>91.755021113523696</v>
      </c>
      <c r="AN2366">
        <v>1.00000001249241</v>
      </c>
    </row>
    <row r="2367" spans="1:40" x14ac:dyDescent="0.25">
      <c r="A2367" t="str">
        <f>"20190303154143504"</f>
        <v>20190303154143504</v>
      </c>
      <c r="B2367" t="str">
        <f>"1551598903502295"</f>
        <v>1551598903502295</v>
      </c>
      <c r="C2367" t="s">
        <v>40</v>
      </c>
      <c r="D2367">
        <v>6.031237</v>
      </c>
      <c r="E2367">
        <v>0.56425809999999998</v>
      </c>
      <c r="F2367" t="s">
        <v>42</v>
      </c>
      <c r="G2367">
        <v>-242.07259999999999</v>
      </c>
      <c r="H2367">
        <v>0.8685794</v>
      </c>
      <c r="I2367">
        <v>283.3775</v>
      </c>
      <c r="J2367">
        <v>-241.5455</v>
      </c>
      <c r="K2367">
        <v>1.120798</v>
      </c>
      <c r="L2367">
        <v>283.23320000000001</v>
      </c>
      <c r="M2367">
        <v>-0.99930140000000001</v>
      </c>
      <c r="N2367">
        <v>-7.6610319999999999E-3</v>
      </c>
      <c r="O2367">
        <v>3.6580679999999997E-2</v>
      </c>
      <c r="P2367">
        <v>-0.9961314</v>
      </c>
      <c r="Q2367">
        <v>-8.7653010000000003E-2</v>
      </c>
      <c r="R2367">
        <v>6.2780450000000003E-3</v>
      </c>
      <c r="S2367">
        <v>-2.930069</v>
      </c>
      <c r="T2367">
        <v>-0.88146899999999995</v>
      </c>
      <c r="U2367">
        <v>0.54046629999999996</v>
      </c>
      <c r="V2367">
        <v>-3.0031289999999999E-2</v>
      </c>
      <c r="W2367">
        <v>-8.0073140000000001E-2</v>
      </c>
      <c r="X2367">
        <v>0.99633649999999996</v>
      </c>
      <c r="Y2367">
        <v>0.14060610000000001</v>
      </c>
      <c r="Z2367">
        <v>1.068505E-2</v>
      </c>
      <c r="AA2367">
        <v>0.99000790000000005</v>
      </c>
      <c r="AB2367">
        <v>30</v>
      </c>
      <c r="AC2367">
        <v>-0.52709999999999002</v>
      </c>
      <c r="AD2367">
        <v>-0.25221860000000002</v>
      </c>
      <c r="AE2367">
        <v>0.14429999999998699</v>
      </c>
      <c r="AF2367">
        <v>0.10298521796764</v>
      </c>
      <c r="AG2367">
        <v>-0.25221860000000002</v>
      </c>
      <c r="AH2367">
        <v>0.43860304643896803</v>
      </c>
      <c r="AI2367">
        <v>119.241176361954</v>
      </c>
      <c r="AJ2367">
        <v>76.786157360488204</v>
      </c>
      <c r="AK2367">
        <v>0.51632626279450999</v>
      </c>
      <c r="AL2367">
        <v>94.592769819218105</v>
      </c>
      <c r="AM2367">
        <v>91.726470289883196</v>
      </c>
      <c r="AN2367">
        <v>1.00000000368038</v>
      </c>
    </row>
    <row r="2368" spans="1:40" x14ac:dyDescent="0.25">
      <c r="A2368" t="str">
        <f>"20190303154143525"</f>
        <v>20190303154143525</v>
      </c>
      <c r="B2368" t="str">
        <f>"1551598903521815"</f>
        <v>1551598903521815</v>
      </c>
      <c r="C2368" t="s">
        <v>40</v>
      </c>
      <c r="D2368">
        <v>5.9798660000000003</v>
      </c>
      <c r="E2368">
        <v>0.56416880000000003</v>
      </c>
      <c r="F2368" t="s">
        <v>42</v>
      </c>
      <c r="G2368">
        <v>-242.34569999999999</v>
      </c>
      <c r="H2368">
        <v>0.88048669999999996</v>
      </c>
      <c r="I2368">
        <v>283.37990000000002</v>
      </c>
      <c r="J2368">
        <v>-241.83519999999999</v>
      </c>
      <c r="K2368">
        <v>1.1208209999999901</v>
      </c>
      <c r="L2368">
        <v>283.24299999999999</v>
      </c>
      <c r="M2368">
        <v>-0.9993339</v>
      </c>
      <c r="N2368">
        <v>-7.6739619999999899E-3</v>
      </c>
      <c r="O2368">
        <v>3.5682999999999999E-2</v>
      </c>
      <c r="P2368">
        <v>-0.99614040000000004</v>
      </c>
      <c r="Q2368">
        <v>-8.7544209999999997E-2</v>
      </c>
      <c r="R2368">
        <v>6.3838539999999996E-3</v>
      </c>
      <c r="S2368">
        <v>-2.9308010000000002</v>
      </c>
      <c r="T2368">
        <v>-0.88008619999999904</v>
      </c>
      <c r="U2368">
        <v>0.53775019999999996</v>
      </c>
      <c r="V2368">
        <v>-2.90277E-2</v>
      </c>
      <c r="W2368">
        <v>-7.9950899999999894E-2</v>
      </c>
      <c r="X2368">
        <v>0.99637600000000004</v>
      </c>
      <c r="Y2368">
        <v>0.14054440000000001</v>
      </c>
      <c r="Z2368">
        <v>1.091518E-2</v>
      </c>
      <c r="AA2368">
        <v>0.99001419999999996</v>
      </c>
      <c r="AB2368">
        <v>30</v>
      </c>
      <c r="AC2368">
        <v>-0.51050000000000695</v>
      </c>
      <c r="AD2368">
        <v>-0.240334299999999</v>
      </c>
      <c r="AE2368">
        <v>0.136900000000025</v>
      </c>
      <c r="AF2368">
        <v>9.8275944821874198E-2</v>
      </c>
      <c r="AG2368">
        <v>-0.240334299999999</v>
      </c>
      <c r="AH2368">
        <v>0.42681004646561399</v>
      </c>
      <c r="AI2368">
        <v>118.755146630238</v>
      </c>
      <c r="AJ2368">
        <v>77.033258218704205</v>
      </c>
      <c r="AK2368">
        <v>0.499585380942138</v>
      </c>
      <c r="AL2368">
        <v>94.585743732128506</v>
      </c>
      <c r="AM2368">
        <v>91.668741923302804</v>
      </c>
      <c r="AN2368">
        <v>0.99999994357704802</v>
      </c>
    </row>
    <row r="2369" spans="1:40" x14ac:dyDescent="0.25">
      <c r="A2369" t="str">
        <f>"20190303154143547"</f>
        <v>20190303154143547</v>
      </c>
      <c r="B2369" t="str">
        <f>"1551598903541334"</f>
        <v>1551598903541334</v>
      </c>
      <c r="C2369" t="s">
        <v>40</v>
      </c>
      <c r="D2369">
        <v>5.8431129999999998</v>
      </c>
      <c r="E2369">
        <v>0.56399480000000002</v>
      </c>
      <c r="F2369" t="s">
        <v>42</v>
      </c>
      <c r="G2369">
        <v>-242.61689999999999</v>
      </c>
      <c r="H2369">
        <v>0.88612269999999904</v>
      </c>
      <c r="I2369">
        <v>283.38630000000001</v>
      </c>
      <c r="J2369">
        <v>-242.11500000000001</v>
      </c>
      <c r="K2369">
        <v>1.1208419999999999</v>
      </c>
      <c r="L2369">
        <v>283.25209999999998</v>
      </c>
      <c r="M2369">
        <v>-0.99936469999999999</v>
      </c>
      <c r="N2369">
        <v>-7.6874659999999996E-3</v>
      </c>
      <c r="O2369">
        <v>3.480084E-2</v>
      </c>
      <c r="P2369">
        <v>-0.99611110000000003</v>
      </c>
      <c r="Q2369">
        <v>-8.7874099999999997E-2</v>
      </c>
      <c r="R2369">
        <v>6.4101280000000002E-3</v>
      </c>
      <c r="S2369">
        <v>-2.9308320000000001</v>
      </c>
      <c r="T2369">
        <v>-0.88000509999999998</v>
      </c>
      <c r="U2369">
        <v>0.53723140000000003</v>
      </c>
      <c r="V2369">
        <v>-2.8117610000000001E-2</v>
      </c>
      <c r="W2369">
        <v>-8.0266920000000005E-2</v>
      </c>
      <c r="X2369">
        <v>0.99637679999999995</v>
      </c>
      <c r="Y2369">
        <v>0.1411828</v>
      </c>
      <c r="Z2369">
        <v>1.126138E-2</v>
      </c>
      <c r="AA2369">
        <v>0.98991949999999995</v>
      </c>
      <c r="AB2369">
        <v>30</v>
      </c>
      <c r="AC2369">
        <v>-0.50189999999997703</v>
      </c>
      <c r="AD2369">
        <v>-0.23471929999999999</v>
      </c>
      <c r="AE2369">
        <v>0.134200000000021</v>
      </c>
      <c r="AF2369">
        <v>9.6877555287611897E-2</v>
      </c>
      <c r="AG2369">
        <v>-0.23471929999999999</v>
      </c>
      <c r="AH2369">
        <v>0.42044711387605499</v>
      </c>
      <c r="AI2369">
        <v>118.54649574884699</v>
      </c>
      <c r="AJ2369">
        <v>77.024624211142495</v>
      </c>
      <c r="AK2369">
        <v>0.491176328906126</v>
      </c>
      <c r="AL2369">
        <v>94.603908220745595</v>
      </c>
      <c r="AM2369">
        <v>91.616449656730694</v>
      </c>
      <c r="AN2369">
        <v>1.00000005300831</v>
      </c>
    </row>
    <row r="2370" spans="1:40" x14ac:dyDescent="0.25">
      <c r="A2370" t="str">
        <f>"20190303154143569"</f>
        <v>20190303154143569</v>
      </c>
      <c r="B2370" t="str">
        <f>"1551598903561834"</f>
        <v>1551598903561834</v>
      </c>
      <c r="C2370" t="s">
        <v>40</v>
      </c>
      <c r="D2370">
        <v>5.8068910000000002</v>
      </c>
      <c r="E2370">
        <v>0.56320749999999997</v>
      </c>
      <c r="F2370" t="s">
        <v>42</v>
      </c>
      <c r="G2370">
        <v>-242.8877</v>
      </c>
      <c r="H2370">
        <v>0.88930200000000004</v>
      </c>
      <c r="I2370">
        <v>283.39339999999999</v>
      </c>
      <c r="J2370">
        <v>-242.42679999999999</v>
      </c>
      <c r="K2370">
        <v>1.1208579999999999</v>
      </c>
      <c r="L2370">
        <v>283.26190000000003</v>
      </c>
      <c r="M2370">
        <v>-0.99939880000000003</v>
      </c>
      <c r="N2370">
        <v>-7.7035960000000001E-3</v>
      </c>
      <c r="O2370">
        <v>3.3805259999999997E-2</v>
      </c>
      <c r="P2370">
        <v>-0.99616210000000005</v>
      </c>
      <c r="Q2370">
        <v>-8.735685E-2</v>
      </c>
      <c r="R2370">
        <v>5.4544939999999998E-3</v>
      </c>
      <c r="S2370">
        <v>-2.9308010000000002</v>
      </c>
      <c r="T2370">
        <v>-0.87826070000000001</v>
      </c>
      <c r="U2370">
        <v>0.53582759999999996</v>
      </c>
      <c r="V2370">
        <v>-2.8080810000000001E-2</v>
      </c>
      <c r="W2370">
        <v>-7.9734280000000005E-2</v>
      </c>
      <c r="X2370">
        <v>0.99642059999999999</v>
      </c>
      <c r="Y2370">
        <v>0.14166699999999999</v>
      </c>
      <c r="Z2370">
        <v>1.1597710000000001E-2</v>
      </c>
      <c r="AA2370">
        <v>0.98984640000000002</v>
      </c>
      <c r="AB2370">
        <v>30</v>
      </c>
      <c r="AC2370">
        <v>-0.46090000000000902</v>
      </c>
      <c r="AD2370">
        <v>-0.23155599999999901</v>
      </c>
      <c r="AE2370">
        <v>0.13149999999995901</v>
      </c>
      <c r="AF2370">
        <v>9.3921682909416507E-2</v>
      </c>
      <c r="AG2370">
        <v>-0.23155599999999901</v>
      </c>
      <c r="AH2370">
        <v>0.377071481101594</v>
      </c>
      <c r="AI2370">
        <v>120.790027373909</v>
      </c>
      <c r="AJ2370">
        <v>76.013275882654995</v>
      </c>
      <c r="AK2370">
        <v>0.45235203715324002</v>
      </c>
      <c r="AL2370">
        <v>94.573292082739101</v>
      </c>
      <c r="AM2370">
        <v>91.614264262145397</v>
      </c>
      <c r="AN2370">
        <v>1.0000000497008601</v>
      </c>
    </row>
    <row r="2371" spans="1:40" x14ac:dyDescent="0.25">
      <c r="A2371" t="str">
        <f>"20190303154143593"</f>
        <v>20190303154143593</v>
      </c>
      <c r="B2371" t="str">
        <f>"1551598903582326"</f>
        <v>1551598903582326</v>
      </c>
      <c r="C2371" t="s">
        <v>40</v>
      </c>
      <c r="D2371">
        <v>5.995609</v>
      </c>
      <c r="E2371">
        <v>0.56244340000000004</v>
      </c>
      <c r="F2371" t="s">
        <v>42</v>
      </c>
      <c r="G2371">
        <v>-243.1628</v>
      </c>
      <c r="H2371">
        <v>0.90132210000000001</v>
      </c>
      <c r="I2371">
        <v>283.39449999999999</v>
      </c>
      <c r="J2371">
        <v>-242.73249999999999</v>
      </c>
      <c r="K2371">
        <v>1.120873</v>
      </c>
      <c r="L2371">
        <v>283.2713</v>
      </c>
      <c r="M2371">
        <v>-0.99943139999999997</v>
      </c>
      <c r="N2371">
        <v>-7.7204209999999999E-3</v>
      </c>
      <c r="O2371">
        <v>3.2820679999999998E-2</v>
      </c>
      <c r="P2371">
        <v>-0.99610270000000001</v>
      </c>
      <c r="Q2371">
        <v>-8.8103319999999999E-2</v>
      </c>
      <c r="R2371">
        <v>4.134464E-3</v>
      </c>
      <c r="S2371">
        <v>-2.9319920000000002</v>
      </c>
      <c r="T2371">
        <v>-0.87456999999999996</v>
      </c>
      <c r="U2371">
        <v>0.52746579999999998</v>
      </c>
      <c r="V2371">
        <v>-2.8413620000000001E-2</v>
      </c>
      <c r="W2371">
        <v>-8.0466010000000004E-2</v>
      </c>
      <c r="X2371">
        <v>0.99635229999999997</v>
      </c>
      <c r="Y2371">
        <v>0.13991229999999999</v>
      </c>
      <c r="Z2371">
        <v>1.157039E-2</v>
      </c>
      <c r="AA2371">
        <v>0.99009630000000004</v>
      </c>
      <c r="AB2371">
        <v>30</v>
      </c>
      <c r="AC2371">
        <v>-0.430300000000016</v>
      </c>
      <c r="AD2371">
        <v>-0.21955089999999999</v>
      </c>
      <c r="AE2371">
        <v>0.12319999999999701</v>
      </c>
      <c r="AF2371">
        <v>8.7868553419279197E-2</v>
      </c>
      <c r="AG2371">
        <v>-0.21955089999999999</v>
      </c>
      <c r="AH2371">
        <v>0.34991847864497599</v>
      </c>
      <c r="AI2371">
        <v>121.32224035604401</v>
      </c>
      <c r="AJ2371">
        <v>75.903834196542903</v>
      </c>
      <c r="AK2371">
        <v>0.42233449073929602</v>
      </c>
      <c r="AL2371">
        <v>94.615352456851198</v>
      </c>
      <c r="AM2371">
        <v>91.633497910593505</v>
      </c>
      <c r="AN2371">
        <v>1.0000000091410499</v>
      </c>
    </row>
    <row r="2372" spans="1:40" x14ac:dyDescent="0.25">
      <c r="A2372" t="str">
        <f>"20190303154143606"</f>
        <v>20190303154143606</v>
      </c>
      <c r="B2372" t="str">
        <f>"1551598903601846"</f>
        <v>1551598903601846</v>
      </c>
      <c r="C2372" t="s">
        <v>40</v>
      </c>
      <c r="D2372">
        <v>5.811439</v>
      </c>
      <c r="E2372">
        <v>0.56191059999999904</v>
      </c>
      <c r="F2372" t="s">
        <v>42</v>
      </c>
      <c r="G2372">
        <v>-243.4374</v>
      </c>
      <c r="H2372">
        <v>0.91076210000000002</v>
      </c>
      <c r="I2372">
        <v>283.39569999999998</v>
      </c>
      <c r="J2372">
        <v>-242.91890000000001</v>
      </c>
      <c r="K2372">
        <v>1.1208800000000001</v>
      </c>
      <c r="L2372">
        <v>283.27679999999998</v>
      </c>
      <c r="M2372">
        <v>-0.99945099999999998</v>
      </c>
      <c r="N2372">
        <v>-7.7311999999999997E-3</v>
      </c>
      <c r="O2372">
        <v>3.2217969999999999E-2</v>
      </c>
      <c r="P2372">
        <v>-0.99609610000000004</v>
      </c>
      <c r="Q2372">
        <v>-8.8228780000000007E-2</v>
      </c>
      <c r="R2372">
        <v>2.8815799999999999E-3</v>
      </c>
      <c r="S2372">
        <v>-2.9322659999999998</v>
      </c>
      <c r="T2372">
        <v>-0.87414599999999898</v>
      </c>
      <c r="U2372">
        <v>0.51757810000000004</v>
      </c>
      <c r="V2372">
        <v>-2.906328E-2</v>
      </c>
      <c r="W2372">
        <v>-8.0582539999999994E-2</v>
      </c>
      <c r="X2372">
        <v>0.99632410000000005</v>
      </c>
      <c r="Y2372">
        <v>0.13734499999999999</v>
      </c>
      <c r="Z2372">
        <v>1.135599E-2</v>
      </c>
      <c r="AA2372">
        <v>0.99045819999999996</v>
      </c>
      <c r="AB2372">
        <v>30</v>
      </c>
      <c r="AC2372">
        <v>-0.51849999999998797</v>
      </c>
      <c r="AD2372">
        <v>-0.2101179</v>
      </c>
      <c r="AE2372">
        <v>0.118899999999996</v>
      </c>
      <c r="AF2372">
        <v>8.8348855144496002E-2</v>
      </c>
      <c r="AG2372">
        <v>-0.2101179</v>
      </c>
      <c r="AH2372">
        <v>0.451603880461243</v>
      </c>
      <c r="AI2372">
        <v>114.54212739863</v>
      </c>
      <c r="AJ2372">
        <v>78.930827011397795</v>
      </c>
      <c r="AK2372">
        <v>0.50586669879861201</v>
      </c>
      <c r="AL2372">
        <v>94.622051085421106</v>
      </c>
      <c r="AM2372">
        <v>91.670873169041897</v>
      </c>
      <c r="AN2372">
        <v>0.99999996611900899</v>
      </c>
    </row>
    <row r="2373" spans="1:40" x14ac:dyDescent="0.25">
      <c r="A2373" t="str">
        <f>"20190303154143626"</f>
        <v>20190303154143626</v>
      </c>
      <c r="B2373" t="str">
        <f>"1551598903621367"</f>
        <v>1551598903621367</v>
      </c>
      <c r="C2373" t="s">
        <v>40</v>
      </c>
      <c r="D2373">
        <v>5.8089459999999997</v>
      </c>
      <c r="E2373">
        <v>0.56140259999999997</v>
      </c>
      <c r="F2373" t="s">
        <v>42</v>
      </c>
      <c r="G2373">
        <v>-243.6995</v>
      </c>
      <c r="H2373">
        <v>0.88885569999999903</v>
      </c>
      <c r="I2373">
        <v>283.4126</v>
      </c>
      <c r="J2373">
        <v>-243.18719999999999</v>
      </c>
      <c r="K2373">
        <v>1.120881</v>
      </c>
      <c r="L2373">
        <v>283.28460000000001</v>
      </c>
      <c r="M2373">
        <v>-0.99947850000000005</v>
      </c>
      <c r="N2373">
        <v>-7.7472269999999998E-3</v>
      </c>
      <c r="O2373">
        <v>3.1348729999999998E-2</v>
      </c>
      <c r="P2373">
        <v>-0.99608490000000005</v>
      </c>
      <c r="Q2373">
        <v>-8.8387090000000001E-2</v>
      </c>
      <c r="R2373">
        <v>1.652148E-3</v>
      </c>
      <c r="S2373">
        <v>-2.9330599999999998</v>
      </c>
      <c r="T2373">
        <v>-0.8718958</v>
      </c>
      <c r="U2373">
        <v>0.50961299999999998</v>
      </c>
      <c r="V2373">
        <v>-2.9424470000000001E-2</v>
      </c>
      <c r="W2373">
        <v>-8.0726199999999998E-2</v>
      </c>
      <c r="X2373">
        <v>0.99630189999999996</v>
      </c>
      <c r="Y2373">
        <v>0.13561229999999999</v>
      </c>
      <c r="Z2373">
        <v>1.1317880000000001E-2</v>
      </c>
      <c r="AA2373">
        <v>0.9906973</v>
      </c>
      <c r="AB2373">
        <v>30</v>
      </c>
      <c r="AC2373">
        <v>-0.51230000000000997</v>
      </c>
      <c r="AD2373">
        <v>-0.23202529999999999</v>
      </c>
      <c r="AE2373">
        <v>0.12799999999998499</v>
      </c>
      <c r="AF2373">
        <v>9.3771789874334405E-2</v>
      </c>
      <c r="AG2373">
        <v>-0.23202529999999999</v>
      </c>
      <c r="AH2373">
        <v>0.43254744803315098</v>
      </c>
      <c r="AI2373">
        <v>117.665248143222</v>
      </c>
      <c r="AJ2373">
        <v>77.768149557158495</v>
      </c>
      <c r="AK2373">
        <v>0.49972610819960001</v>
      </c>
      <c r="AL2373">
        <v>94.630308955910806</v>
      </c>
      <c r="AM2373">
        <v>91.691663975814606</v>
      </c>
      <c r="AN2373">
        <v>0.99999999737241496</v>
      </c>
    </row>
    <row r="2374" spans="1:40" x14ac:dyDescent="0.25">
      <c r="A2374" t="str">
        <f>"20190303154143647"</f>
        <v>20190303154143647</v>
      </c>
      <c r="B2374" t="str">
        <f>"1551598903641863"</f>
        <v>1551598903641863</v>
      </c>
      <c r="C2374" t="s">
        <v>40</v>
      </c>
      <c r="D2374">
        <v>5.7712279999999998</v>
      </c>
      <c r="E2374">
        <v>0.56092619999999904</v>
      </c>
      <c r="F2374" t="s">
        <v>42</v>
      </c>
      <c r="G2374">
        <v>-243.97110000000001</v>
      </c>
      <c r="H2374">
        <v>0.88817009999999996</v>
      </c>
      <c r="I2374">
        <v>283.41849999999999</v>
      </c>
      <c r="J2374">
        <v>-243.48670000000001</v>
      </c>
      <c r="K2374">
        <v>1.1208959999999999</v>
      </c>
      <c r="L2374">
        <v>283.29300000000001</v>
      </c>
      <c r="M2374">
        <v>-0.99950839999999996</v>
      </c>
      <c r="N2374">
        <v>-7.7659039999999997E-3</v>
      </c>
      <c r="O2374">
        <v>3.0377210000000002E-2</v>
      </c>
      <c r="P2374">
        <v>-0.99610100000000001</v>
      </c>
      <c r="Q2374">
        <v>-8.821785E-2</v>
      </c>
      <c r="R2374">
        <v>8.9206720000000004E-4</v>
      </c>
      <c r="S2374">
        <v>-2.9336700000000002</v>
      </c>
      <c r="T2374">
        <v>-0.87084789999999901</v>
      </c>
      <c r="U2374">
        <v>0.50057980000000002</v>
      </c>
      <c r="V2374">
        <v>-2.921636E-2</v>
      </c>
      <c r="W2374">
        <v>-8.0538209999999999E-2</v>
      </c>
      <c r="X2374">
        <v>0.99632319999999996</v>
      </c>
      <c r="Y2374">
        <v>0.13363229999999901</v>
      </c>
      <c r="Z2374">
        <v>1.1286849999999999E-2</v>
      </c>
      <c r="AA2374">
        <v>0.99096669999999998</v>
      </c>
      <c r="AB2374">
        <v>30</v>
      </c>
      <c r="AC2374">
        <v>-0.484399999999993</v>
      </c>
      <c r="AD2374">
        <v>-0.23272590000000001</v>
      </c>
      <c r="AE2374">
        <v>0.12549999999998801</v>
      </c>
      <c r="AF2374">
        <v>9.1035498622546396E-2</v>
      </c>
      <c r="AG2374">
        <v>-0.23272590000000001</v>
      </c>
      <c r="AH2374">
        <v>0.401206084011974</v>
      </c>
      <c r="AI2374">
        <v>119.496238802278</v>
      </c>
      <c r="AJ2374">
        <v>77.215792712360198</v>
      </c>
      <c r="AK2374">
        <v>0.47266809537823601</v>
      </c>
      <c r="AL2374">
        <v>94.619502914453193</v>
      </c>
      <c r="AM2374">
        <v>91.679670359163197</v>
      </c>
      <c r="AN2374">
        <v>0.99999995890994597</v>
      </c>
    </row>
    <row r="2375" spans="1:40" x14ac:dyDescent="0.25">
      <c r="A2375" t="str">
        <f>"20190303154143673"</f>
        <v>20190303154143673</v>
      </c>
      <c r="B2375" t="str">
        <f>"1551598903662359"</f>
        <v>1551598903662359</v>
      </c>
      <c r="C2375" t="s">
        <v>40</v>
      </c>
      <c r="D2375">
        <v>5.7788349999999999</v>
      </c>
      <c r="E2375">
        <v>0.56044749999999999</v>
      </c>
      <c r="F2375" t="s">
        <v>42</v>
      </c>
      <c r="G2375">
        <v>-244.24690000000001</v>
      </c>
      <c r="H2375">
        <v>0.89596049999999905</v>
      </c>
      <c r="I2375">
        <v>283.42110000000002</v>
      </c>
      <c r="J2375">
        <v>-243.8203</v>
      </c>
      <c r="K2375">
        <v>1.120903</v>
      </c>
      <c r="L2375">
        <v>283.3021</v>
      </c>
      <c r="M2375">
        <v>-0.9995406</v>
      </c>
      <c r="N2375">
        <v>-7.787459E-3</v>
      </c>
      <c r="O2375">
        <v>2.9296900000000001E-2</v>
      </c>
      <c r="P2375">
        <v>-0.99613019999999997</v>
      </c>
      <c r="Q2375">
        <v>-8.78911E-2</v>
      </c>
      <c r="R2375">
        <v>4.7995580000000001E-4</v>
      </c>
      <c r="S2375">
        <v>-2.9343870000000001</v>
      </c>
      <c r="T2375">
        <v>-0.86823569999999906</v>
      </c>
      <c r="U2375">
        <v>0.4941101</v>
      </c>
      <c r="V2375">
        <v>-2.8552520000000001E-2</v>
      </c>
      <c r="W2375">
        <v>-8.0188739999999994E-2</v>
      </c>
      <c r="X2375">
        <v>0.99637070000000005</v>
      </c>
      <c r="Y2375">
        <v>0.13256699999999999</v>
      </c>
      <c r="Z2375">
        <v>1.1402549999999999E-2</v>
      </c>
      <c r="AA2375">
        <v>0.99110849999999995</v>
      </c>
      <c r="AB2375">
        <v>30</v>
      </c>
      <c r="AC2375">
        <v>-0.42660000000000697</v>
      </c>
      <c r="AD2375">
        <v>-0.22494249999999999</v>
      </c>
      <c r="AE2375">
        <v>0.119000000000028</v>
      </c>
      <c r="AF2375">
        <v>8.4621294607245906E-2</v>
      </c>
      <c r="AG2375">
        <v>-0.22494249999999999</v>
      </c>
      <c r="AH2375">
        <v>0.34174551143222398</v>
      </c>
      <c r="AI2375">
        <v>122.575349354263</v>
      </c>
      <c r="AJ2375">
        <v>76.092443895615702</v>
      </c>
      <c r="AK2375">
        <v>0.41779167822172902</v>
      </c>
      <c r="AL2375">
        <v>94.599414475125499</v>
      </c>
      <c r="AM2375">
        <v>91.641448611425005</v>
      </c>
      <c r="AN2375">
        <v>1.0000000261198101</v>
      </c>
    </row>
    <row r="2376" spans="1:40" x14ac:dyDescent="0.25">
      <c r="A2376" t="str">
        <f>"20190303154143692"</f>
        <v>20190303154143692</v>
      </c>
      <c r="B2376" t="str">
        <f>"1551598903681883"</f>
        <v>1551598903681883</v>
      </c>
      <c r="C2376" t="s">
        <v>40</v>
      </c>
      <c r="D2376">
        <v>5.8816790000000001</v>
      </c>
      <c r="E2376">
        <v>0.56001279999999998</v>
      </c>
      <c r="F2376" t="s">
        <v>42</v>
      </c>
      <c r="G2376">
        <v>-244.52709999999999</v>
      </c>
      <c r="H2376">
        <v>0.91252679999999997</v>
      </c>
      <c r="I2376">
        <v>283.42</v>
      </c>
      <c r="J2376">
        <v>-244.09829999999999</v>
      </c>
      <c r="K2376">
        <v>1.120908</v>
      </c>
      <c r="L2376">
        <v>283.30930000000001</v>
      </c>
      <c r="M2376">
        <v>-0.99956610000000001</v>
      </c>
      <c r="N2376">
        <v>-7.8059509999999898E-3</v>
      </c>
      <c r="O2376">
        <v>2.840297E-2</v>
      </c>
      <c r="P2376">
        <v>-0.99621389999999999</v>
      </c>
      <c r="Q2376">
        <v>-8.6938929999999998E-2</v>
      </c>
      <c r="R2376">
        <v>-1.6474250000000001E-4</v>
      </c>
      <c r="S2376">
        <v>-2.9350589999999999</v>
      </c>
      <c r="T2376">
        <v>-0.86540169999999905</v>
      </c>
      <c r="U2376">
        <v>0.4894714</v>
      </c>
      <c r="V2376">
        <v>-2.8310040000000002E-2</v>
      </c>
      <c r="W2376">
        <v>-7.9217120000000002E-2</v>
      </c>
      <c r="X2376">
        <v>0.99645530000000004</v>
      </c>
      <c r="Y2376">
        <v>0.1319129</v>
      </c>
      <c r="Z2376">
        <v>1.1522640000000001E-2</v>
      </c>
      <c r="AA2376">
        <v>0.99119429999999997</v>
      </c>
      <c r="AB2376">
        <v>31</v>
      </c>
      <c r="AC2376">
        <v>-0.42879999999999502</v>
      </c>
      <c r="AD2376">
        <v>-0.20838119999999999</v>
      </c>
      <c r="AE2376">
        <v>0.110700000000008</v>
      </c>
      <c r="AF2376">
        <v>8.0625026309356695E-2</v>
      </c>
      <c r="AG2376">
        <v>-0.20838119999999999</v>
      </c>
      <c r="AH2376">
        <v>0.353503928865808</v>
      </c>
      <c r="AI2376">
        <v>119.88664161887699</v>
      </c>
      <c r="AJ2376">
        <v>77.152091276330594</v>
      </c>
      <c r="AK2376">
        <v>0.41819630211706399</v>
      </c>
      <c r="AL2376">
        <v>94.543567254567407</v>
      </c>
      <c r="AM2376">
        <v>91.627378165918699</v>
      </c>
      <c r="AN2376">
        <v>0.99999998768199305</v>
      </c>
    </row>
    <row r="2377" spans="1:40" x14ac:dyDescent="0.25">
      <c r="A2377" t="str">
        <f>"20190303154143717"</f>
        <v>20190303154143717</v>
      </c>
      <c r="B2377" t="str">
        <f>"1551598903712135"</f>
        <v>1551598903712135</v>
      </c>
      <c r="C2377" t="s">
        <v>40</v>
      </c>
      <c r="D2377">
        <v>5.7675580000000002</v>
      </c>
      <c r="E2377">
        <v>0.55940219999999996</v>
      </c>
      <c r="F2377" t="s">
        <v>42</v>
      </c>
      <c r="G2377">
        <v>-244.80179999999999</v>
      </c>
      <c r="H2377">
        <v>0.91469750000000005</v>
      </c>
      <c r="I2377">
        <v>283.42559999999997</v>
      </c>
      <c r="J2377">
        <v>-244.41640000000001</v>
      </c>
      <c r="K2377">
        <v>1.120911</v>
      </c>
      <c r="L2377">
        <v>283.31740000000002</v>
      </c>
      <c r="M2377">
        <v>-0.99959419999999999</v>
      </c>
      <c r="N2377">
        <v>-7.8275659999999993E-3</v>
      </c>
      <c r="O2377">
        <v>2.7391639999999998E-2</v>
      </c>
      <c r="P2377">
        <v>-0.99623110000000004</v>
      </c>
      <c r="Q2377">
        <v>-8.6728739999999999E-2</v>
      </c>
      <c r="R2377">
        <v>-1.279545E-3</v>
      </c>
      <c r="S2377">
        <v>-2.9363709999999998</v>
      </c>
      <c r="T2377">
        <v>-0.86087610000000003</v>
      </c>
      <c r="U2377">
        <v>0.48419190000000001</v>
      </c>
      <c r="V2377">
        <v>-2.8418430000000001E-2</v>
      </c>
      <c r="W2377">
        <v>-7.8985379999999994E-2</v>
      </c>
      <c r="X2377">
        <v>0.99647059999999998</v>
      </c>
      <c r="Y2377">
        <v>0.13114819999999999</v>
      </c>
      <c r="Z2377">
        <v>1.1635609999999999E-2</v>
      </c>
      <c r="AA2377">
        <v>0.99129449999999997</v>
      </c>
      <c r="AB2377">
        <v>31</v>
      </c>
      <c r="AC2377">
        <v>-0.38539999999997498</v>
      </c>
      <c r="AD2377">
        <v>-0.20621349999999899</v>
      </c>
      <c r="AE2377">
        <v>0.108199999999953</v>
      </c>
      <c r="AF2377">
        <v>7.7133052285285802E-2</v>
      </c>
      <c r="AG2377">
        <v>-0.20621349999999899</v>
      </c>
      <c r="AH2377">
        <v>0.30680141623834001</v>
      </c>
      <c r="AI2377">
        <v>123.098507365891</v>
      </c>
      <c r="AJ2377">
        <v>75.887727913872695</v>
      </c>
      <c r="AK2377">
        <v>0.377624978441503</v>
      </c>
      <c r="AL2377">
        <v>94.530247843367803</v>
      </c>
      <c r="AM2377">
        <v>91.633580432491001</v>
      </c>
      <c r="AN2377">
        <v>0.99999997704088395</v>
      </c>
    </row>
    <row r="2378" spans="1:40" x14ac:dyDescent="0.25">
      <c r="A2378" t="str">
        <f>"20190303154143738"</f>
        <v>20190303154143738</v>
      </c>
      <c r="B2378" t="str">
        <f>"1551598903731655"</f>
        <v>1551598903731655</v>
      </c>
      <c r="C2378" t="s">
        <v>40</v>
      </c>
      <c r="D2378">
        <v>5.7849750000000002</v>
      </c>
      <c r="E2378">
        <v>0.55900780000000005</v>
      </c>
      <c r="F2378" t="s">
        <v>42</v>
      </c>
      <c r="G2378">
        <v>-245.32669999999999</v>
      </c>
      <c r="H2378">
        <v>0.85527809999999904</v>
      </c>
      <c r="I2378">
        <v>283.46510000000001</v>
      </c>
      <c r="J2378">
        <v>-244.72319999999999</v>
      </c>
      <c r="K2378">
        <v>1.1209009999999999</v>
      </c>
      <c r="L2378">
        <v>283.32479999999998</v>
      </c>
      <c r="M2378">
        <v>-0.99961979999999995</v>
      </c>
      <c r="N2378">
        <v>-7.8488640000000005E-3</v>
      </c>
      <c r="O2378">
        <v>2.6435090000000001E-2</v>
      </c>
      <c r="P2378">
        <v>-0.99624740000000001</v>
      </c>
      <c r="Q2378">
        <v>-8.6502570000000001E-2</v>
      </c>
      <c r="R2378">
        <v>-2.9062839999999999E-3</v>
      </c>
      <c r="S2378">
        <v>-2.9373469999999999</v>
      </c>
      <c r="T2378">
        <v>-0.8570894</v>
      </c>
      <c r="U2378">
        <v>0.47634890000000002</v>
      </c>
      <c r="V2378">
        <v>-2.9093709999999998E-2</v>
      </c>
      <c r="W2378">
        <v>-7.8738810000000006E-2</v>
      </c>
      <c r="X2378">
        <v>0.99647059999999998</v>
      </c>
      <c r="Y2378">
        <v>0.12953319999999999</v>
      </c>
      <c r="Z2378">
        <v>1.161829E-2</v>
      </c>
      <c r="AA2378">
        <v>0.99150700000000003</v>
      </c>
      <c r="AB2378">
        <v>31</v>
      </c>
      <c r="AC2378">
        <v>-0.60349999999999604</v>
      </c>
      <c r="AD2378">
        <v>-0.2656229</v>
      </c>
      <c r="AE2378">
        <v>0.14030000000002399</v>
      </c>
      <c r="AF2378">
        <v>0.104999293727829</v>
      </c>
      <c r="AG2378">
        <v>-0.2656229</v>
      </c>
      <c r="AH2378">
        <v>0.51275909274526699</v>
      </c>
      <c r="AI2378">
        <v>116.907601852874</v>
      </c>
      <c r="AJ2378">
        <v>78.427347781372504</v>
      </c>
      <c r="AK2378">
        <v>0.58694315217123205</v>
      </c>
      <c r="AL2378">
        <v>94.516076406333696</v>
      </c>
      <c r="AM2378">
        <v>91.672375855562905</v>
      </c>
      <c r="AN2378">
        <v>0.999999950413068</v>
      </c>
    </row>
    <row r="2379" spans="1:40" x14ac:dyDescent="0.25">
      <c r="A2379" t="str">
        <f>"20190303154143760"</f>
        <v>20190303154143760</v>
      </c>
      <c r="B2379" t="str">
        <f>"1551598903752151"</f>
        <v>1551598903752151</v>
      </c>
      <c r="C2379" t="s">
        <v>40</v>
      </c>
      <c r="D2379">
        <v>5.7735890000000003</v>
      </c>
      <c r="E2379">
        <v>0.55855469999999996</v>
      </c>
      <c r="F2379" t="s">
        <v>42</v>
      </c>
      <c r="G2379">
        <v>-245.60599999999999</v>
      </c>
      <c r="H2379">
        <v>0.86430379999999996</v>
      </c>
      <c r="I2379">
        <v>283.4658</v>
      </c>
      <c r="J2379">
        <v>-245.03020000000001</v>
      </c>
      <c r="K2379">
        <v>1.1208899999999999</v>
      </c>
      <c r="L2379">
        <v>283.33190000000002</v>
      </c>
      <c r="M2379">
        <v>-0.99964410000000004</v>
      </c>
      <c r="N2379">
        <v>-7.8705470000000003E-3</v>
      </c>
      <c r="O2379">
        <v>2.5492870000000001E-2</v>
      </c>
      <c r="P2379">
        <v>-0.99623510000000004</v>
      </c>
      <c r="Q2379">
        <v>-8.6577100000000004E-2</v>
      </c>
      <c r="R2379">
        <v>-4.5114420000000001E-3</v>
      </c>
      <c r="S2379">
        <v>-2.9385219999999999</v>
      </c>
      <c r="T2379">
        <v>-0.85415459999999999</v>
      </c>
      <c r="U2379">
        <v>0.46917720000000002</v>
      </c>
      <c r="V2379">
        <v>-2.9760700000000001E-2</v>
      </c>
      <c r="W2379">
        <v>-7.879253E-2</v>
      </c>
      <c r="X2379">
        <v>0.99644670000000002</v>
      </c>
      <c r="Y2379">
        <v>0.12809860000000001</v>
      </c>
      <c r="Z2379">
        <v>1.1632440000000001E-2</v>
      </c>
      <c r="AA2379">
        <v>0.99169320000000005</v>
      </c>
      <c r="AB2379">
        <v>31</v>
      </c>
      <c r="AC2379">
        <v>-0.57579999999998599</v>
      </c>
      <c r="AD2379">
        <v>-0.25658619999999899</v>
      </c>
      <c r="AE2379">
        <v>0.13389999999998201</v>
      </c>
      <c r="AF2379">
        <v>0.100284876837162</v>
      </c>
      <c r="AG2379">
        <v>-0.25658619999999899</v>
      </c>
      <c r="AH2379">
        <v>0.487237333456428</v>
      </c>
      <c r="AI2379">
        <v>117.284782757253</v>
      </c>
      <c r="AJ2379">
        <v>78.369602801645499</v>
      </c>
      <c r="AK2379">
        <v>0.55972649898536597</v>
      </c>
      <c r="AL2379">
        <v>94.519163730843104</v>
      </c>
      <c r="AM2379">
        <v>91.710734512329907</v>
      </c>
      <c r="AN2379">
        <v>0.99999999399459005</v>
      </c>
    </row>
    <row r="2380" spans="1:40" x14ac:dyDescent="0.25">
      <c r="A2380" t="str">
        <f>"20190303154143782"</f>
        <v>20190303154143782</v>
      </c>
      <c r="B2380" t="str">
        <f>"1551598903771673"</f>
        <v>1551598903771673</v>
      </c>
      <c r="C2380" t="s">
        <v>40</v>
      </c>
      <c r="D2380">
        <v>5.9316190000000004</v>
      </c>
      <c r="E2380">
        <v>0.55797769999999902</v>
      </c>
      <c r="F2380" t="s">
        <v>42</v>
      </c>
      <c r="G2380">
        <v>-245.88550000000001</v>
      </c>
      <c r="H2380">
        <v>0.87233419999999895</v>
      </c>
      <c r="I2380">
        <v>283.46620000000001</v>
      </c>
      <c r="J2380">
        <v>-245.33</v>
      </c>
      <c r="K2380">
        <v>1.1208819999999999</v>
      </c>
      <c r="L2380">
        <v>283.33870000000002</v>
      </c>
      <c r="M2380">
        <v>-0.99966659999999996</v>
      </c>
      <c r="N2380">
        <v>-7.8920520000000001E-3</v>
      </c>
      <c r="O2380">
        <v>2.459018E-2</v>
      </c>
      <c r="P2380">
        <v>-0.99621700000000002</v>
      </c>
      <c r="Q2380">
        <v>-8.6715739999999999E-2</v>
      </c>
      <c r="R2380">
        <v>-5.6974829999999997E-3</v>
      </c>
      <c r="S2380">
        <v>-2.939209</v>
      </c>
      <c r="T2380">
        <v>-0.85419029999999996</v>
      </c>
      <c r="U2380">
        <v>0.46087650000000002</v>
      </c>
      <c r="V2380">
        <v>-3.0048350000000001E-2</v>
      </c>
      <c r="W2380">
        <v>-7.8909720000000003E-2</v>
      </c>
      <c r="X2380">
        <v>0.9964288</v>
      </c>
      <c r="Y2380">
        <v>0.12626519999999999</v>
      </c>
      <c r="Z2380">
        <v>1.161589E-2</v>
      </c>
      <c r="AA2380">
        <v>0.99192849999999999</v>
      </c>
      <c r="AB2380">
        <v>31</v>
      </c>
      <c r="AC2380">
        <v>-0.555499999999995</v>
      </c>
      <c r="AD2380">
        <v>-0.24854780000000001</v>
      </c>
      <c r="AE2380">
        <v>0.127499999999997</v>
      </c>
      <c r="AF2380">
        <v>9.5617121946688505E-2</v>
      </c>
      <c r="AG2380">
        <v>-0.24854780000000001</v>
      </c>
      <c r="AH2380">
        <v>0.469231022080004</v>
      </c>
      <c r="AI2380">
        <v>117.43045795497299</v>
      </c>
      <c r="AJ2380">
        <v>78.482297009399403</v>
      </c>
      <c r="AK2380">
        <v>0.53953349754807001</v>
      </c>
      <c r="AL2380">
        <v>94.525899165946598</v>
      </c>
      <c r="AM2380">
        <v>91.727290540798506</v>
      </c>
      <c r="AN2380">
        <v>1.0000000003588201</v>
      </c>
    </row>
    <row r="2381" spans="1:40" x14ac:dyDescent="0.25">
      <c r="A2381" t="str">
        <f>"20190303154143804"</f>
        <v>20190303154143804</v>
      </c>
      <c r="B2381" t="str">
        <f>"1551598903801927"</f>
        <v>1551598903801927</v>
      </c>
      <c r="C2381" t="s">
        <v>40</v>
      </c>
      <c r="D2381">
        <v>5.8120629999999904</v>
      </c>
      <c r="E2381">
        <v>0.53763249999999996</v>
      </c>
      <c r="F2381" t="s">
        <v>42</v>
      </c>
      <c r="G2381">
        <v>-246.16470000000001</v>
      </c>
      <c r="H2381">
        <v>0.8783183</v>
      </c>
      <c r="I2381">
        <v>283.4674</v>
      </c>
      <c r="J2381">
        <v>-245.643</v>
      </c>
      <c r="K2381">
        <v>1.120876</v>
      </c>
      <c r="L2381">
        <v>283.34539999999998</v>
      </c>
      <c r="M2381">
        <v>-0.99968860000000004</v>
      </c>
      <c r="N2381">
        <v>-7.9147439999999996E-3</v>
      </c>
      <c r="O2381">
        <v>2.3670589999999998E-2</v>
      </c>
      <c r="P2381">
        <v>-0.99631579999999997</v>
      </c>
      <c r="Q2381">
        <v>-8.5482299999999997E-2</v>
      </c>
      <c r="R2381">
        <v>-6.9312949999999996E-3</v>
      </c>
      <c r="S2381">
        <v>-2.9396209999999998</v>
      </c>
      <c r="T2381">
        <v>-0.85429449999999996</v>
      </c>
      <c r="U2381">
        <v>0.4524841</v>
      </c>
      <c r="V2381">
        <v>-3.0373020000000001E-2</v>
      </c>
      <c r="W2381">
        <v>-7.7652600000000002E-2</v>
      </c>
      <c r="X2381">
        <v>0.99651769999999995</v>
      </c>
      <c r="Y2381">
        <v>0.1244289</v>
      </c>
      <c r="Z2381">
        <v>1.16054E-2</v>
      </c>
      <c r="AA2381">
        <v>0.99216070000000001</v>
      </c>
      <c r="AB2381">
        <v>31</v>
      </c>
      <c r="AC2381">
        <v>-0.52170000000000905</v>
      </c>
      <c r="AD2381">
        <v>-0.24255769999999899</v>
      </c>
      <c r="AE2381">
        <v>0.122000000000014</v>
      </c>
      <c r="AF2381">
        <v>9.0971195356207193E-2</v>
      </c>
      <c r="AG2381">
        <v>-0.24255769999999899</v>
      </c>
      <c r="AH2381">
        <v>0.43523646123735499</v>
      </c>
      <c r="AI2381">
        <v>118.613010229859</v>
      </c>
      <c r="AJ2381">
        <v>78.194253115459603</v>
      </c>
      <c r="AK2381">
        <v>0.50649854235154801</v>
      </c>
      <c r="AL2381">
        <v>94.453649842391499</v>
      </c>
      <c r="AM2381">
        <v>91.745786626023403</v>
      </c>
      <c r="AN2381">
        <v>0.99999998652198496</v>
      </c>
    </row>
    <row r="2382" spans="1:40" x14ac:dyDescent="0.25">
      <c r="A2382" t="str">
        <f>"20190303154143826"</f>
        <v>20190303154143826</v>
      </c>
      <c r="B2382" t="str">
        <f>"1551598903821447"</f>
        <v>1551598903821447</v>
      </c>
      <c r="C2382" t="s">
        <v>40</v>
      </c>
      <c r="D2382">
        <v>5.7226039999999996</v>
      </c>
      <c r="E2382">
        <v>0.51556809999999997</v>
      </c>
      <c r="F2382" t="s">
        <v>42</v>
      </c>
      <c r="G2382">
        <v>-246.4556</v>
      </c>
      <c r="H2382">
        <v>0.91004859999999999</v>
      </c>
      <c r="I2382">
        <v>283.42430000000002</v>
      </c>
      <c r="J2382">
        <v>-245.93950000000001</v>
      </c>
      <c r="K2382">
        <v>1.1208750000000001</v>
      </c>
      <c r="L2382">
        <v>283.35160000000002</v>
      </c>
      <c r="M2382">
        <v>-0.99970809999999999</v>
      </c>
      <c r="N2382">
        <v>-7.9364329999999997E-3</v>
      </c>
      <c r="O2382">
        <v>2.2822240000000001E-2</v>
      </c>
      <c r="P2382">
        <v>-0.99638499999999997</v>
      </c>
      <c r="Q2382">
        <v>-8.4582610000000003E-2</v>
      </c>
      <c r="R2382">
        <v>-7.9270629999999998E-3</v>
      </c>
      <c r="S2382">
        <v>-2.947479</v>
      </c>
      <c r="T2382">
        <v>-0.76479049999999904</v>
      </c>
      <c r="U2382">
        <v>0.28515629999999997</v>
      </c>
      <c r="V2382">
        <v>-3.052916E-2</v>
      </c>
      <c r="W2382">
        <v>-7.6730060000000003E-2</v>
      </c>
      <c r="X2382">
        <v>0.99658440000000004</v>
      </c>
      <c r="Y2382">
        <v>7.1826959999999995E-2</v>
      </c>
      <c r="Z2382">
        <v>3.8044139999999999E-3</v>
      </c>
      <c r="AA2382">
        <v>0.99740989999999996</v>
      </c>
      <c r="AB2382">
        <v>31</v>
      </c>
      <c r="AC2382">
        <v>-0.51609999999999401</v>
      </c>
      <c r="AD2382">
        <v>-0.2108264</v>
      </c>
      <c r="AE2382">
        <v>7.2699999999997503E-2</v>
      </c>
      <c r="AF2382">
        <v>5.2338293374242402E-2</v>
      </c>
      <c r="AG2382">
        <v>-0.2108264</v>
      </c>
      <c r="AH2382">
        <v>0.44483823858271498</v>
      </c>
      <c r="AI2382">
        <v>115.20602530853699</v>
      </c>
      <c r="AJ2382">
        <v>83.2896063694117</v>
      </c>
      <c r="AK2382">
        <v>0.495043560099171</v>
      </c>
      <c r="AL2382">
        <v>94.400633952763897</v>
      </c>
      <c r="AM2382">
        <v>91.754638306232494</v>
      </c>
      <c r="AN2382">
        <v>0.99999999902063397</v>
      </c>
    </row>
    <row r="2383" spans="1:40" x14ac:dyDescent="0.25">
      <c r="A2383" t="str">
        <f>"20190303154143849"</f>
        <v>20190303154143849</v>
      </c>
      <c r="B2383" t="str">
        <f>"1551598903841943"</f>
        <v>1551598903841943</v>
      </c>
      <c r="C2383" t="s">
        <v>40</v>
      </c>
      <c r="D2383">
        <v>5.7445849999999998</v>
      </c>
      <c r="E2383">
        <v>0.50779399999999997</v>
      </c>
      <c r="F2383" t="s">
        <v>42</v>
      </c>
      <c r="G2383">
        <v>-246.77289999999999</v>
      </c>
      <c r="H2383">
        <v>0.98822089999999996</v>
      </c>
      <c r="I2383">
        <v>283.38040000000001</v>
      </c>
      <c r="J2383">
        <v>-246.26609999999999</v>
      </c>
      <c r="K2383">
        <v>1.1208610000000001</v>
      </c>
      <c r="L2383">
        <v>283.35809999999998</v>
      </c>
      <c r="M2383">
        <v>-0.99972830000000001</v>
      </c>
      <c r="N2383">
        <v>-7.9605560000000006E-3</v>
      </c>
      <c r="O2383">
        <v>2.191388E-2</v>
      </c>
      <c r="P2383">
        <v>-0.99644010000000005</v>
      </c>
      <c r="Q2383">
        <v>-8.3820629999999993E-2</v>
      </c>
      <c r="R2383">
        <v>-9.0261149999999995E-3</v>
      </c>
      <c r="S2383">
        <v>-2.9715419999999999</v>
      </c>
      <c r="T2383">
        <v>-0.47291119999999998</v>
      </c>
      <c r="U2383">
        <v>0.1030273</v>
      </c>
      <c r="V2383">
        <v>-3.0728700000000001E-2</v>
      </c>
      <c r="W2383">
        <v>-7.5942770000000007E-2</v>
      </c>
      <c r="X2383">
        <v>0.99663860000000004</v>
      </c>
      <c r="Y2383">
        <v>1.281999E-2</v>
      </c>
      <c r="Z2383">
        <v>-2.2259390000000001E-3</v>
      </c>
      <c r="AA2383">
        <v>0.99991540000000001</v>
      </c>
      <c r="AB2383">
        <v>31</v>
      </c>
      <c r="AC2383">
        <v>-0.50679999999999803</v>
      </c>
      <c r="AD2383">
        <v>-0.13264010000000001</v>
      </c>
      <c r="AE2383">
        <v>2.2300000000029699E-2</v>
      </c>
      <c r="AF2383">
        <v>1.0472390472685E-2</v>
      </c>
      <c r="AG2383">
        <v>-0.13264010000000001</v>
      </c>
      <c r="AH2383">
        <v>0.47471303383567898</v>
      </c>
      <c r="AI2383">
        <v>105.607342052475</v>
      </c>
      <c r="AJ2383">
        <v>88.736233420054106</v>
      </c>
      <c r="AK2383">
        <v>0.49300662427973202</v>
      </c>
      <c r="AL2383">
        <v>94.355393423981596</v>
      </c>
      <c r="AM2383">
        <v>91.766003479229298</v>
      </c>
      <c r="AN2383">
        <v>1.0000000281644601</v>
      </c>
    </row>
    <row r="2384" spans="1:40" x14ac:dyDescent="0.25">
      <c r="A2384" t="str">
        <f>"20190303154143871"</f>
        <v>20190303154143871</v>
      </c>
      <c r="B2384" t="str">
        <f>"1551598903861466"</f>
        <v>1551598903861466</v>
      </c>
      <c r="C2384" t="s">
        <v>40</v>
      </c>
      <c r="D2384">
        <v>5.6804779999999999</v>
      </c>
      <c r="E2384">
        <v>0.50536389999999998</v>
      </c>
      <c r="F2384" t="s">
        <v>50</v>
      </c>
      <c r="G2384">
        <v>-279.57839999999999</v>
      </c>
      <c r="H2384" s="1">
        <v>3.5992490000000001E-6</v>
      </c>
      <c r="I2384">
        <v>283.72609999999997</v>
      </c>
      <c r="J2384">
        <v>-246.56970000000001</v>
      </c>
      <c r="K2384">
        <v>1.1208499999999999</v>
      </c>
      <c r="L2384">
        <v>283.3639</v>
      </c>
      <c r="M2384">
        <v>-0.99974569999999996</v>
      </c>
      <c r="N2384">
        <v>-7.9830660000000005E-3</v>
      </c>
      <c r="O2384">
        <v>2.1094640000000001E-2</v>
      </c>
      <c r="P2384">
        <v>-0.99646290000000004</v>
      </c>
      <c r="Q2384">
        <v>-8.3508669999999993E-2</v>
      </c>
      <c r="R2384">
        <v>-9.4094209999999994E-3</v>
      </c>
      <c r="S2384">
        <v>-3.0025179999999998</v>
      </c>
      <c r="T2384">
        <v>-0.1010258</v>
      </c>
      <c r="U2384">
        <v>3.3172609999999998E-2</v>
      </c>
      <c r="V2384">
        <v>-3.0299400000000001E-2</v>
      </c>
      <c r="W2384">
        <v>-7.5606149999999997E-2</v>
      </c>
      <c r="X2384">
        <v>0.99667729999999999</v>
      </c>
      <c r="Y2384">
        <v>-1.0034929999999999E-2</v>
      </c>
      <c r="Z2384">
        <v>-7.4995499999999996E-4</v>
      </c>
      <c r="AA2384">
        <v>0.99994939999999999</v>
      </c>
      <c r="AB2384">
        <v>31</v>
      </c>
      <c r="AC2384">
        <v>-33.008699999999898</v>
      </c>
      <c r="AD2384">
        <v>-1.1208464007509999</v>
      </c>
      <c r="AE2384">
        <v>0.36219999999997199</v>
      </c>
      <c r="AF2384">
        <v>-0.33382451205931202</v>
      </c>
      <c r="AG2384">
        <v>-1.1208464007509999</v>
      </c>
      <c r="AH2384">
        <v>32.970983770810399</v>
      </c>
      <c r="AI2384">
        <v>91.946916707359705</v>
      </c>
      <c r="AJ2384">
        <v>90.580088305583104</v>
      </c>
      <c r="AK2384">
        <v>32.991718752953297</v>
      </c>
      <c r="AL2384">
        <v>94.336051066413305</v>
      </c>
      <c r="AM2384">
        <v>91.7412789822028</v>
      </c>
      <c r="AN2384">
        <v>0.99999999194673606</v>
      </c>
    </row>
    <row r="2385" spans="1:40" x14ac:dyDescent="0.25">
      <c r="A2385" t="str">
        <f>"20190303154143893"</f>
        <v>20190303154143893</v>
      </c>
      <c r="B2385" t="str">
        <f>"1551598903881959"</f>
        <v>1551598903881959</v>
      </c>
      <c r="C2385" t="s">
        <v>40</v>
      </c>
      <c r="D2385">
        <v>5.7344679999999997</v>
      </c>
      <c r="E2385">
        <v>0.50411240000000002</v>
      </c>
      <c r="F2385" t="s">
        <v>51</v>
      </c>
      <c r="G2385">
        <v>-280.14879999999999</v>
      </c>
      <c r="H2385" s="1">
        <v>8.5657220000000002E-6</v>
      </c>
      <c r="I2385">
        <v>283.5059</v>
      </c>
      <c r="J2385">
        <v>-246.875</v>
      </c>
      <c r="K2385">
        <v>1.120844</v>
      </c>
      <c r="L2385">
        <v>283.36959999999999</v>
      </c>
      <c r="M2385">
        <v>-0.99976209999999999</v>
      </c>
      <c r="N2385">
        <v>-8.0057959999999904E-3</v>
      </c>
      <c r="O2385">
        <v>2.0293269999999999E-2</v>
      </c>
      <c r="P2385">
        <v>-0.9964674</v>
      </c>
      <c r="Q2385">
        <v>-8.3404530000000004E-2</v>
      </c>
      <c r="R2385">
        <v>-9.8368799999999992E-3</v>
      </c>
      <c r="S2385">
        <v>-3.0023650000000002</v>
      </c>
      <c r="T2385">
        <v>-0.1002164</v>
      </c>
      <c r="U2385">
        <v>1.269531E-2</v>
      </c>
      <c r="V2385">
        <v>-2.9931840000000001E-2</v>
      </c>
      <c r="W2385">
        <v>-7.5477489999999994E-2</v>
      </c>
      <c r="X2385">
        <v>0.99669810000000003</v>
      </c>
      <c r="Y2385">
        <v>-1.60486E-2</v>
      </c>
      <c r="Z2385">
        <v>-8.467301E-4</v>
      </c>
      <c r="AA2385">
        <v>0.99987079999999995</v>
      </c>
      <c r="AB2385">
        <v>31</v>
      </c>
      <c r="AC2385">
        <v>-33.273799999999902</v>
      </c>
      <c r="AD2385">
        <v>-1.120835434278</v>
      </c>
      <c r="AE2385">
        <v>0.136300000000005</v>
      </c>
      <c r="AF2385">
        <v>-0.53837298253000998</v>
      </c>
      <c r="AG2385">
        <v>-1.120835434278</v>
      </c>
      <c r="AH2385">
        <v>33.232006024951701</v>
      </c>
      <c r="AI2385">
        <v>91.931462987230404</v>
      </c>
      <c r="AJ2385">
        <v>90.928135409807993</v>
      </c>
      <c r="AK2385">
        <v>33.255260365564403</v>
      </c>
      <c r="AL2385">
        <v>94.328658516381907</v>
      </c>
      <c r="AM2385">
        <v>91.720132535235194</v>
      </c>
      <c r="AN2385">
        <v>0.99999993454304503</v>
      </c>
    </row>
    <row r="2386" spans="1:40" x14ac:dyDescent="0.25">
      <c r="A2386" t="str">
        <f>"20190303154143918"</f>
        <v>20190303154143918</v>
      </c>
      <c r="B2386" t="str">
        <f>"1551598903912215"</f>
        <v>1551598903912215</v>
      </c>
      <c r="C2386" t="s">
        <v>40</v>
      </c>
      <c r="D2386">
        <v>5.7486119999999996</v>
      </c>
      <c r="E2386">
        <v>0.50439699999999998</v>
      </c>
      <c r="F2386" t="s">
        <v>51</v>
      </c>
      <c r="G2386">
        <v>-281.42540000000002</v>
      </c>
      <c r="H2386" s="1">
        <v>8.0245249999999992E-6</v>
      </c>
      <c r="I2386">
        <v>283.3854</v>
      </c>
      <c r="J2386">
        <v>-247.20699999999999</v>
      </c>
      <c r="K2386">
        <v>1.1208309999999999</v>
      </c>
      <c r="L2386">
        <v>283.37549999999999</v>
      </c>
      <c r="M2386">
        <v>-0.99977870000000002</v>
      </c>
      <c r="N2386">
        <v>-8.0306419999999993E-3</v>
      </c>
      <c r="O2386">
        <v>1.9443249999999999E-2</v>
      </c>
      <c r="P2386">
        <v>-0.99643950000000003</v>
      </c>
      <c r="Q2386">
        <v>-8.3666470000000007E-2</v>
      </c>
      <c r="R2386">
        <v>-1.040025E-2</v>
      </c>
      <c r="S2386">
        <v>-3.0025019999999998</v>
      </c>
      <c r="T2386">
        <v>-9.7403050000000005E-2</v>
      </c>
      <c r="U2386">
        <v>1.373291E-3</v>
      </c>
      <c r="V2386">
        <v>-2.9649950000000001E-2</v>
      </c>
      <c r="W2386">
        <v>-7.5713260000000004E-2</v>
      </c>
      <c r="X2386">
        <v>0.99668869999999998</v>
      </c>
      <c r="Y2386">
        <v>-1.896834E-2</v>
      </c>
      <c r="Z2386">
        <v>-8.5821550000000002E-4</v>
      </c>
      <c r="AA2386">
        <v>0.99981969999999998</v>
      </c>
      <c r="AB2386">
        <v>31</v>
      </c>
      <c r="AC2386">
        <v>-34.218400000000003</v>
      </c>
      <c r="AD2386">
        <v>-1.1208229754750001</v>
      </c>
      <c r="AE2386">
        <v>9.9000000000160002E-3</v>
      </c>
      <c r="AF2386">
        <v>-0.65473777790788301</v>
      </c>
      <c r="AG2386">
        <v>-1.1208229754750001</v>
      </c>
      <c r="AH2386">
        <v>34.175457047140398</v>
      </c>
      <c r="AI2386">
        <v>91.878062593461905</v>
      </c>
      <c r="AJ2386">
        <v>91.097545607650105</v>
      </c>
      <c r="AK2386">
        <v>34.200099270047602</v>
      </c>
      <c r="AL2386">
        <v>94.342205662493797</v>
      </c>
      <c r="AM2386">
        <v>91.703958446917099</v>
      </c>
      <c r="AN2386">
        <v>0.99999999099126002</v>
      </c>
    </row>
    <row r="2387" spans="1:40" x14ac:dyDescent="0.25">
      <c r="A2387" t="str">
        <f>"20190303154143939"</f>
        <v>20190303154143939</v>
      </c>
      <c r="B2387" t="str">
        <f>"1551598903931961"</f>
        <v>1551598903931961</v>
      </c>
      <c r="C2387" t="s">
        <v>40</v>
      </c>
      <c r="D2387">
        <v>5.7063519999999999</v>
      </c>
      <c r="E2387">
        <v>0.50348530000000002</v>
      </c>
      <c r="F2387" t="s">
        <v>51</v>
      </c>
      <c r="G2387">
        <v>-282.65820000000002</v>
      </c>
      <c r="H2387" s="1">
        <v>7.4754769999999901E-6</v>
      </c>
      <c r="I2387">
        <v>283.39679999999998</v>
      </c>
      <c r="J2387">
        <v>-247.52070000000001</v>
      </c>
      <c r="K2387">
        <v>1.1208209999999901</v>
      </c>
      <c r="L2387">
        <v>283.38080000000002</v>
      </c>
      <c r="M2387">
        <v>-0.99979370000000001</v>
      </c>
      <c r="N2387">
        <v>-8.0543100000000003E-3</v>
      </c>
      <c r="O2387">
        <v>1.8656180000000001E-2</v>
      </c>
      <c r="P2387">
        <v>-0.99645740000000005</v>
      </c>
      <c r="Q2387">
        <v>-8.3354670000000006E-2</v>
      </c>
      <c r="R2387">
        <v>-1.1193450000000001E-2</v>
      </c>
      <c r="S2387">
        <v>-3.0027620000000002</v>
      </c>
      <c r="T2387">
        <v>-9.4935179999999994E-2</v>
      </c>
      <c r="U2387">
        <v>1.8005370000000001E-3</v>
      </c>
      <c r="V2387">
        <v>-2.9661159999999999E-2</v>
      </c>
      <c r="W2387">
        <v>-7.5376940000000003E-2</v>
      </c>
      <c r="X2387">
        <v>0.99671390000000004</v>
      </c>
      <c r="Y2387">
        <v>-1.8040770000000001E-2</v>
      </c>
      <c r="Z2387">
        <v>-7.9720910000000004E-4</v>
      </c>
      <c r="AA2387">
        <v>0.99983690000000003</v>
      </c>
      <c r="AB2387">
        <v>31</v>
      </c>
      <c r="AC2387">
        <v>-35.137500000000003</v>
      </c>
      <c r="AD2387">
        <v>-1.12081352452299</v>
      </c>
      <c r="AE2387">
        <v>1.59999999999627E-2</v>
      </c>
      <c r="AF2387">
        <v>-0.63890538094367899</v>
      </c>
      <c r="AG2387">
        <v>-1.12081352452299</v>
      </c>
      <c r="AH2387">
        <v>35.095973352963497</v>
      </c>
      <c r="AI2387">
        <v>91.828854781859604</v>
      </c>
      <c r="AJ2387">
        <v>91.042927016415106</v>
      </c>
      <c r="AK2387">
        <v>35.119677797987798</v>
      </c>
      <c r="AL2387">
        <v>94.322880540605496</v>
      </c>
      <c r="AM2387">
        <v>91.704559224293106</v>
      </c>
      <c r="AN2387">
        <v>1.00000003297475</v>
      </c>
    </row>
    <row r="2388" spans="1:40" x14ac:dyDescent="0.25">
      <c r="A2388" t="str">
        <f>"20190303154143961"</f>
        <v>20190303154143961</v>
      </c>
      <c r="B2388" t="str">
        <f>"1551598903951479"</f>
        <v>1551598903951479</v>
      </c>
      <c r="C2388" t="s">
        <v>40</v>
      </c>
      <c r="D2388">
        <v>5.7736720000000004</v>
      </c>
      <c r="E2388">
        <v>0.50367209999999996</v>
      </c>
      <c r="F2388" t="s">
        <v>51</v>
      </c>
      <c r="G2388">
        <v>-285.47340000000003</v>
      </c>
      <c r="H2388" s="1">
        <v>6.25138299999999E-6</v>
      </c>
      <c r="I2388">
        <v>283.279</v>
      </c>
      <c r="J2388">
        <v>-247.8322</v>
      </c>
      <c r="K2388">
        <v>1.1208180000000001</v>
      </c>
      <c r="L2388">
        <v>283.38580000000002</v>
      </c>
      <c r="M2388">
        <v>-0.99980749999999996</v>
      </c>
      <c r="N2388">
        <v>-8.0777409999999994E-3</v>
      </c>
      <c r="O2388">
        <v>1.7884089999999998E-2</v>
      </c>
      <c r="P2388">
        <v>-0.99646170000000001</v>
      </c>
      <c r="Q2388">
        <v>-8.3225770000000004E-2</v>
      </c>
      <c r="R2388">
        <v>-1.173563E-2</v>
      </c>
      <c r="S2388">
        <v>-3.003174</v>
      </c>
      <c r="T2388">
        <v>-8.8689450000000003E-2</v>
      </c>
      <c r="U2388">
        <v>-8.0566409999999998E-3</v>
      </c>
      <c r="V2388">
        <v>-2.943575E-2</v>
      </c>
      <c r="W2388">
        <v>-7.5223789999999999E-2</v>
      </c>
      <c r="X2388">
        <v>0.99673210000000001</v>
      </c>
      <c r="Y2388">
        <v>-2.0551360000000001E-2</v>
      </c>
      <c r="Z2388">
        <v>-7.6999269999999996E-4</v>
      </c>
      <c r="AA2388">
        <v>0.99978849999999997</v>
      </c>
      <c r="AB2388">
        <v>31</v>
      </c>
      <c r="AC2388">
        <v>-37.641199999999998</v>
      </c>
      <c r="AD2388">
        <v>-1.1208117486169999</v>
      </c>
      <c r="AE2388">
        <v>-0.106800000000021</v>
      </c>
      <c r="AF2388">
        <v>-0.77929251486003204</v>
      </c>
      <c r="AG2388">
        <v>-1.1208117486169999</v>
      </c>
      <c r="AH2388">
        <v>37.599932796557802</v>
      </c>
      <c r="AI2388">
        <v>91.707050822363996</v>
      </c>
      <c r="AJ2388">
        <v>91.187336707287002</v>
      </c>
      <c r="AK2388">
        <v>37.624705475328597</v>
      </c>
      <c r="AL2388">
        <v>94.314080935155502</v>
      </c>
      <c r="AM2388">
        <v>91.691582110464196</v>
      </c>
      <c r="AN2388">
        <v>0.99999998056521799</v>
      </c>
    </row>
    <row r="2389" spans="1:40" x14ac:dyDescent="0.25">
      <c r="A2389" t="str">
        <f>"20190303154143982"</f>
        <v>20190303154143982</v>
      </c>
      <c r="B2389" t="str">
        <f>"1551598903971976"</f>
        <v>1551598903971976</v>
      </c>
      <c r="C2389" t="s">
        <v>40</v>
      </c>
      <c r="D2389">
        <v>5.7819560000000001</v>
      </c>
      <c r="E2389">
        <v>0.50369039999999998</v>
      </c>
      <c r="F2389" t="s">
        <v>51</v>
      </c>
      <c r="G2389">
        <v>-285.12439999999998</v>
      </c>
      <c r="H2389" s="1">
        <v>6.4042490000000003E-6</v>
      </c>
      <c r="I2389">
        <v>283.28809999999999</v>
      </c>
      <c r="J2389">
        <v>-248.13149999999999</v>
      </c>
      <c r="K2389">
        <v>1.1208089999999999</v>
      </c>
      <c r="L2389">
        <v>283.3904</v>
      </c>
      <c r="M2389">
        <v>-0.9998203</v>
      </c>
      <c r="N2389">
        <v>-8.1002939999999992E-3</v>
      </c>
      <c r="O2389">
        <v>1.714798E-2</v>
      </c>
      <c r="P2389">
        <v>-0.99644089999999996</v>
      </c>
      <c r="Q2389">
        <v>-8.3458539999999998E-2</v>
      </c>
      <c r="R2389">
        <v>-1.184666E-2</v>
      </c>
      <c r="S2389">
        <v>-3.0030060000000001</v>
      </c>
      <c r="T2389">
        <v>-9.0254780000000007E-2</v>
      </c>
      <c r="U2389">
        <v>-7.8735349999999992E-3</v>
      </c>
      <c r="V2389">
        <v>-2.8813149999999999E-2</v>
      </c>
      <c r="W2389">
        <v>-7.5432840000000001E-2</v>
      </c>
      <c r="X2389">
        <v>0.99673449999999997</v>
      </c>
      <c r="Y2389">
        <v>-1.9754509999999999E-2</v>
      </c>
      <c r="Z2389">
        <v>-7.531835E-4</v>
      </c>
      <c r="AA2389">
        <v>0.99980460000000004</v>
      </c>
      <c r="AB2389">
        <v>32</v>
      </c>
      <c r="AC2389">
        <v>-36.992899999999899</v>
      </c>
      <c r="AD2389">
        <v>-1.1208025957509999</v>
      </c>
      <c r="AE2389">
        <v>-0.10230000000001301</v>
      </c>
      <c r="AF2389">
        <v>-0.735983588868242</v>
      </c>
      <c r="AG2389">
        <v>-1.1208025957509999</v>
      </c>
      <c r="AH2389">
        <v>36.951786182616601</v>
      </c>
      <c r="AI2389">
        <v>91.736989210251707</v>
      </c>
      <c r="AJ2389">
        <v>91.141032219546304</v>
      </c>
      <c r="AK2389">
        <v>36.976105424821803</v>
      </c>
      <c r="AL2389">
        <v>94.326092717368596</v>
      </c>
      <c r="AM2389">
        <v>91.655819349655303</v>
      </c>
      <c r="AN2389">
        <v>0.99999998722681804</v>
      </c>
    </row>
    <row r="2390" spans="1:40" x14ac:dyDescent="0.25">
      <c r="A2390" t="str">
        <f>"20190303154144006"</f>
        <v>20190303154144006</v>
      </c>
      <c r="B2390" t="str">
        <f>"1551598904002231"</f>
        <v>1551598904002231</v>
      </c>
      <c r="C2390" t="s">
        <v>40</v>
      </c>
      <c r="D2390">
        <v>5.7898699999999996</v>
      </c>
      <c r="E2390">
        <v>0.50364620000000004</v>
      </c>
      <c r="F2390" t="s">
        <v>51</v>
      </c>
      <c r="G2390">
        <v>-284.28489999999999</v>
      </c>
      <c r="H2390" s="1">
        <v>6.77537799999999E-6</v>
      </c>
      <c r="I2390">
        <v>283.29379999999998</v>
      </c>
      <c r="J2390">
        <v>-248.4547</v>
      </c>
      <c r="K2390">
        <v>1.1208070000000001</v>
      </c>
      <c r="L2390">
        <v>283.39519999999999</v>
      </c>
      <c r="M2390">
        <v>-0.99983319999999998</v>
      </c>
      <c r="N2390">
        <v>-8.1247590000000005E-3</v>
      </c>
      <c r="O2390">
        <v>1.6356809999999999E-2</v>
      </c>
      <c r="P2390">
        <v>-0.99645969999999995</v>
      </c>
      <c r="Q2390">
        <v>-8.3144889999999999E-2</v>
      </c>
      <c r="R2390">
        <v>-1.245343E-2</v>
      </c>
      <c r="S2390">
        <v>-3.0028079999999999</v>
      </c>
      <c r="T2390">
        <v>-9.3091010000000002E-2</v>
      </c>
      <c r="U2390">
        <v>-8.0261229999999996E-3</v>
      </c>
      <c r="V2390">
        <v>-2.86328E-2</v>
      </c>
      <c r="W2390">
        <v>-7.5094190000000005E-2</v>
      </c>
      <c r="X2390">
        <v>0.99676529999999997</v>
      </c>
      <c r="Y2390">
        <v>-1.9013990000000001E-2</v>
      </c>
      <c r="Z2390">
        <v>-7.4599369999999896E-4</v>
      </c>
      <c r="AA2390">
        <v>0.99981889999999995</v>
      </c>
      <c r="AB2390">
        <v>32</v>
      </c>
      <c r="AC2390">
        <v>-35.830199999999898</v>
      </c>
      <c r="AD2390">
        <v>-1.1208002246219999</v>
      </c>
      <c r="AE2390">
        <v>-0.10140000000001199</v>
      </c>
      <c r="AF2390">
        <v>-0.68680153094048302</v>
      </c>
      <c r="AG2390">
        <v>-1.1208002246219999</v>
      </c>
      <c r="AH2390">
        <v>35.788728869101703</v>
      </c>
      <c r="AI2390">
        <v>91.793423044984095</v>
      </c>
      <c r="AJ2390">
        <v>91.099396396003797</v>
      </c>
      <c r="AK2390">
        <v>35.8128608680247</v>
      </c>
      <c r="AL2390">
        <v>94.306634174151498</v>
      </c>
      <c r="AM2390">
        <v>91.645409987202299</v>
      </c>
      <c r="AN2390">
        <v>1.00000001894584</v>
      </c>
    </row>
    <row r="2391" spans="1:40" x14ac:dyDescent="0.25">
      <c r="A2391" t="str">
        <f>"20190303154144019"</f>
        <v>20190303154144019</v>
      </c>
      <c r="B2391" t="str">
        <f>"1551598904011992"</f>
        <v>1551598904011992</v>
      </c>
      <c r="C2391" t="s">
        <v>40</v>
      </c>
      <c r="D2391">
        <v>5.7924179999999996</v>
      </c>
      <c r="E2391">
        <v>0.50367890000000004</v>
      </c>
      <c r="F2391" t="s">
        <v>51</v>
      </c>
      <c r="G2391">
        <v>-284.3689</v>
      </c>
      <c r="H2391" s="1">
        <v>6.742184E-6</v>
      </c>
      <c r="I2391">
        <v>283.274</v>
      </c>
      <c r="J2391">
        <v>-248.65260000000001</v>
      </c>
      <c r="K2391">
        <v>1.120811</v>
      </c>
      <c r="L2391">
        <v>283.39800000000002</v>
      </c>
      <c r="M2391">
        <v>-0.99984099999999998</v>
      </c>
      <c r="N2391">
        <v>-8.139683E-3</v>
      </c>
      <c r="O2391">
        <v>1.5872810000000001E-2</v>
      </c>
      <c r="P2391">
        <v>-0.99642929999999996</v>
      </c>
      <c r="Q2391">
        <v>-8.3540920000000005E-2</v>
      </c>
      <c r="R2391">
        <v>-1.224945E-2</v>
      </c>
      <c r="S2391">
        <v>-3.0027159999999999</v>
      </c>
      <c r="T2391">
        <v>-9.3707799999999994E-2</v>
      </c>
      <c r="U2391">
        <v>-1.013184E-2</v>
      </c>
      <c r="V2391">
        <v>-2.7945660000000001E-2</v>
      </c>
      <c r="W2391">
        <v>-7.5474330000000006E-2</v>
      </c>
      <c r="X2391">
        <v>0.99675610000000003</v>
      </c>
      <c r="Y2391">
        <v>-1.9231000000000002E-2</v>
      </c>
      <c r="Z2391">
        <v>-7.4433439999999995E-4</v>
      </c>
      <c r="AA2391">
        <v>0.9998148</v>
      </c>
      <c r="AB2391">
        <v>32</v>
      </c>
      <c r="AC2391">
        <v>-35.716299999999897</v>
      </c>
      <c r="AD2391">
        <v>-1.120804257816</v>
      </c>
      <c r="AE2391">
        <v>-0.123999999999966</v>
      </c>
      <c r="AF2391">
        <v>-0.69024143042230202</v>
      </c>
      <c r="AG2391">
        <v>-1.120804257816</v>
      </c>
      <c r="AH2391">
        <v>35.674701544909702</v>
      </c>
      <c r="AI2391">
        <v>91.799152621701793</v>
      </c>
      <c r="AJ2391">
        <v>91.108432173016098</v>
      </c>
      <c r="AK2391">
        <v>35.698977096479801</v>
      </c>
      <c r="AL2391">
        <v>94.3284765357011</v>
      </c>
      <c r="AM2391">
        <v>91.605958607047299</v>
      </c>
      <c r="AN2391">
        <v>1.0000000286444899</v>
      </c>
    </row>
    <row r="2392" spans="1:40" x14ac:dyDescent="0.25">
      <c r="A2392" t="str">
        <f>"20190303154144039"</f>
        <v>20190303154144039</v>
      </c>
      <c r="B2392" t="str">
        <f>"1551598904031511"</f>
        <v>1551598904031511</v>
      </c>
      <c r="C2392" t="s">
        <v>40</v>
      </c>
      <c r="D2392">
        <v>5.8430770000000001</v>
      </c>
      <c r="E2392">
        <v>0.50373760000000001</v>
      </c>
      <c r="F2392" t="s">
        <v>51</v>
      </c>
      <c r="G2392">
        <v>-283.9658</v>
      </c>
      <c r="H2392" s="1">
        <v>6.9179049999999998E-6</v>
      </c>
      <c r="I2392">
        <v>283.28890000000001</v>
      </c>
      <c r="J2392">
        <v>-248.93049999999999</v>
      </c>
      <c r="K2392">
        <v>1.1208100000000001</v>
      </c>
      <c r="L2392">
        <v>283.40179999999998</v>
      </c>
      <c r="M2392">
        <v>-0.9998513</v>
      </c>
      <c r="N2392">
        <v>-8.1604980000000004E-3</v>
      </c>
      <c r="O2392">
        <v>1.5194300000000001E-2</v>
      </c>
      <c r="P2392">
        <v>-0.99638990000000005</v>
      </c>
      <c r="Q2392">
        <v>-8.3909079999999997E-2</v>
      </c>
      <c r="R2392">
        <v>-1.291698E-2</v>
      </c>
      <c r="S2392">
        <v>-3.0026549999999999</v>
      </c>
      <c r="T2392">
        <v>-9.5301269999999993E-2</v>
      </c>
      <c r="U2392">
        <v>-9.2773439999999999E-3</v>
      </c>
      <c r="V2392">
        <v>-2.7935890000000001E-2</v>
      </c>
      <c r="W2392">
        <v>-7.5822000000000001E-2</v>
      </c>
      <c r="X2392">
        <v>0.99673</v>
      </c>
      <c r="Y2392">
        <v>-1.826829E-2</v>
      </c>
      <c r="Z2392">
        <v>-7.2254280000000001E-4</v>
      </c>
      <c r="AA2392">
        <v>0.99983290000000002</v>
      </c>
      <c r="AB2392">
        <v>32</v>
      </c>
      <c r="AC2392">
        <v>-35.035299999999999</v>
      </c>
      <c r="AD2392">
        <v>-1.1208030820949999</v>
      </c>
      <c r="AE2392">
        <v>-0.112899999999967</v>
      </c>
      <c r="AF2392">
        <v>-0.64458186821844399</v>
      </c>
      <c r="AG2392">
        <v>-1.1208030820949999</v>
      </c>
      <c r="AH2392">
        <v>34.9937274253409</v>
      </c>
      <c r="AI2392">
        <v>91.834170445766404</v>
      </c>
      <c r="AJ2392">
        <v>91.055264679004495</v>
      </c>
      <c r="AK2392">
        <v>35.017604778921203</v>
      </c>
      <c r="AL2392">
        <v>94.348453747313499</v>
      </c>
      <c r="AM2392">
        <v>91.6054394627878</v>
      </c>
      <c r="AN2392">
        <v>1.00000004126704</v>
      </c>
    </row>
    <row r="2393" spans="1:40" x14ac:dyDescent="0.25">
      <c r="A2393" t="str">
        <f>"20190303154144061"</f>
        <v>20190303154144061</v>
      </c>
      <c r="B2393" t="str">
        <f>"1551598904052007"</f>
        <v>1551598904052007</v>
      </c>
      <c r="C2393" t="s">
        <v>40</v>
      </c>
      <c r="D2393">
        <v>5.8400699999999999</v>
      </c>
      <c r="E2393">
        <v>0.50379810000000003</v>
      </c>
      <c r="F2393" t="s">
        <v>51</v>
      </c>
      <c r="G2393">
        <v>-283.47519999999997</v>
      </c>
      <c r="H2393" s="1">
        <v>7.1375720000000001E-6</v>
      </c>
      <c r="I2393">
        <v>283.27850000000001</v>
      </c>
      <c r="J2393">
        <v>-249.24860000000001</v>
      </c>
      <c r="K2393">
        <v>1.1208119999999999</v>
      </c>
      <c r="L2393">
        <v>283.4058</v>
      </c>
      <c r="M2393">
        <v>-0.99986260000000005</v>
      </c>
      <c r="N2393">
        <v>-8.1843809999999993E-3</v>
      </c>
      <c r="O2393">
        <v>1.4417889999999999E-2</v>
      </c>
      <c r="P2393">
        <v>-0.99634449999999997</v>
      </c>
      <c r="Q2393">
        <v>-8.4357409999999994E-2</v>
      </c>
      <c r="R2393">
        <v>-1.3471260000000001E-2</v>
      </c>
      <c r="S2393">
        <v>-3.0025330000000001</v>
      </c>
      <c r="T2393">
        <v>-9.7417000000000004E-2</v>
      </c>
      <c r="U2393">
        <v>-1.071167E-2</v>
      </c>
      <c r="V2393">
        <v>-2.771446E-2</v>
      </c>
      <c r="W2393">
        <v>-7.6246519999999998E-2</v>
      </c>
      <c r="X2393">
        <v>0.99670369999999997</v>
      </c>
      <c r="Y2393">
        <v>-1.7969349999999999E-2</v>
      </c>
      <c r="Z2393">
        <v>-7.1466089999999997E-4</v>
      </c>
      <c r="AA2393">
        <v>0.99983829999999996</v>
      </c>
      <c r="AB2393">
        <v>32</v>
      </c>
      <c r="AC2393">
        <v>-34.226599999999898</v>
      </c>
      <c r="AD2393">
        <v>-1.120804862428</v>
      </c>
      <c r="AE2393">
        <v>-0.127299999999991</v>
      </c>
      <c r="AF2393">
        <v>-0.62011366650324196</v>
      </c>
      <c r="AG2393">
        <v>-1.120804862428</v>
      </c>
      <c r="AH2393">
        <v>34.184549729622297</v>
      </c>
      <c r="AI2393">
        <v>91.877568693672799</v>
      </c>
      <c r="AJ2393">
        <v>91.039241403896995</v>
      </c>
      <c r="AK2393">
        <v>34.208539646059798</v>
      </c>
      <c r="AL2393">
        <v>94.372847990526594</v>
      </c>
      <c r="AM2393">
        <v>91.592762753274599</v>
      </c>
      <c r="AN2393">
        <v>0.99999994434944395</v>
      </c>
    </row>
    <row r="2394" spans="1:40" x14ac:dyDescent="0.25">
      <c r="A2394" t="str">
        <f>"20190303154144094"</f>
        <v>20190303154144094</v>
      </c>
      <c r="B2394" t="str">
        <f>"1551598904092023"</f>
        <v>1551598904092023</v>
      </c>
      <c r="C2394" t="s">
        <v>40</v>
      </c>
      <c r="D2394">
        <v>5.7825790000000001</v>
      </c>
      <c r="E2394">
        <v>0.5040557</v>
      </c>
      <c r="F2394" t="s">
        <v>51</v>
      </c>
      <c r="G2394">
        <v>-282.9914</v>
      </c>
      <c r="H2394" s="1">
        <v>7.3537030000000003E-6</v>
      </c>
      <c r="I2394">
        <v>283.27100000000002</v>
      </c>
      <c r="J2394">
        <v>-249.72120000000001</v>
      </c>
      <c r="K2394">
        <v>1.1208180000000001</v>
      </c>
      <c r="L2394">
        <v>283.41129999999998</v>
      </c>
      <c r="M2394">
        <v>-0.99987839999999995</v>
      </c>
      <c r="N2394">
        <v>-8.2201830000000007E-3</v>
      </c>
      <c r="O2394">
        <v>1.3263580000000001E-2</v>
      </c>
      <c r="P2394">
        <v>-0.99633870000000002</v>
      </c>
      <c r="Q2394">
        <v>-8.4101770000000006E-2</v>
      </c>
      <c r="R2394">
        <v>-1.5368990000000001E-2</v>
      </c>
      <c r="S2394">
        <v>-3.00238</v>
      </c>
      <c r="T2394">
        <v>-9.9727510000000005E-2</v>
      </c>
      <c r="U2394">
        <v>-1.1993409999999999E-2</v>
      </c>
      <c r="V2394">
        <v>-2.8462680000000001E-2</v>
      </c>
      <c r="W2394">
        <v>-7.5956490000000002E-2</v>
      </c>
      <c r="X2394">
        <v>0.99670479999999995</v>
      </c>
      <c r="Y2394">
        <v>-1.7242170000000001E-2</v>
      </c>
      <c r="Z2394">
        <v>-6.8859740000000002E-4</v>
      </c>
      <c r="AA2394">
        <v>0.99985109999999999</v>
      </c>
      <c r="AB2394">
        <v>32</v>
      </c>
      <c r="AC2394">
        <v>-33.270199999999903</v>
      </c>
      <c r="AD2394">
        <v>-1.120810646297</v>
      </c>
      <c r="AE2394">
        <v>-0.14030000000002399</v>
      </c>
      <c r="AF2394">
        <v>-0.58092518431272799</v>
      </c>
      <c r="AG2394">
        <v>-1.120810646297</v>
      </c>
      <c r="AH2394">
        <v>33.227703133284002</v>
      </c>
      <c r="AI2394">
        <v>91.931628541314694</v>
      </c>
      <c r="AJ2394">
        <v>91.001609124177406</v>
      </c>
      <c r="AK2394">
        <v>33.251675838794597</v>
      </c>
      <c r="AL2394">
        <v>94.356181985652398</v>
      </c>
      <c r="AM2394">
        <v>91.635738441847494</v>
      </c>
      <c r="AN2394">
        <v>0.99999998543447099</v>
      </c>
    </row>
    <row r="2395" spans="1:40" x14ac:dyDescent="0.25">
      <c r="A2395" t="str">
        <f>"20190303154144118"</f>
        <v>20190303154144118</v>
      </c>
      <c r="B2395" t="str">
        <f>"1551598904111543"</f>
        <v>1551598904111543</v>
      </c>
      <c r="C2395" t="s">
        <v>40</v>
      </c>
      <c r="D2395">
        <v>5.8027920000000002</v>
      </c>
      <c r="E2395">
        <v>0.50418999999999903</v>
      </c>
      <c r="F2395" t="s">
        <v>51</v>
      </c>
      <c r="G2395">
        <v>-283.17930000000001</v>
      </c>
      <c r="H2395" s="1">
        <v>7.2773270000000003E-6</v>
      </c>
      <c r="I2395">
        <v>283.23719999999997</v>
      </c>
      <c r="J2395">
        <v>-250.0521</v>
      </c>
      <c r="K2395">
        <v>1.120816</v>
      </c>
      <c r="L2395">
        <v>283.41500000000002</v>
      </c>
      <c r="M2395">
        <v>-0.99988849999999996</v>
      </c>
      <c r="N2395">
        <v>-8.2452250000000001E-3</v>
      </c>
      <c r="O2395">
        <v>1.245594E-2</v>
      </c>
      <c r="P2395">
        <v>-0.99633059999999996</v>
      </c>
      <c r="Q2395">
        <v>-8.396468E-2</v>
      </c>
      <c r="R2395">
        <v>-1.659658E-2</v>
      </c>
      <c r="S2395">
        <v>-3.0023040000000001</v>
      </c>
      <c r="T2395">
        <v>-0.100574</v>
      </c>
      <c r="U2395">
        <v>-1.5625E-2</v>
      </c>
      <c r="V2395">
        <v>-2.8885540000000001E-2</v>
      </c>
      <c r="W2395">
        <v>-7.5795210000000002E-2</v>
      </c>
      <c r="X2395">
        <v>0.9967049</v>
      </c>
      <c r="Y2395">
        <v>-1.764375E-2</v>
      </c>
      <c r="Z2395">
        <v>-6.8265769999999995E-4</v>
      </c>
      <c r="AA2395">
        <v>0.99984410000000001</v>
      </c>
      <c r="AB2395">
        <v>32</v>
      </c>
      <c r="AC2395">
        <v>-33.127200000000002</v>
      </c>
      <c r="AD2395">
        <v>-1.1208087226729999</v>
      </c>
      <c r="AE2395">
        <v>-0.177800000000047</v>
      </c>
      <c r="AF2395">
        <v>-0.58975554115009798</v>
      </c>
      <c r="AG2395">
        <v>-1.1208087226729999</v>
      </c>
      <c r="AH2395">
        <v>33.084544185677402</v>
      </c>
      <c r="AI2395">
        <v>91.939965402596002</v>
      </c>
      <c r="AJ2395">
        <v>91.021229880029694</v>
      </c>
      <c r="AK2395">
        <v>33.108776597228399</v>
      </c>
      <c r="AL2395">
        <v>94.346914661094303</v>
      </c>
      <c r="AM2395">
        <v>91.660026366668703</v>
      </c>
      <c r="AN2395">
        <v>0.99999997298202203</v>
      </c>
    </row>
    <row r="2396" spans="1:40" x14ac:dyDescent="0.25">
      <c r="A2396" t="str">
        <f>"20190303154144141"</f>
        <v>20190303154144141</v>
      </c>
      <c r="B2396" t="str">
        <f>"1551598904131570"</f>
        <v>1551598904131570</v>
      </c>
      <c r="C2396" t="s">
        <v>40</v>
      </c>
      <c r="D2396">
        <v>5.7911140000000003</v>
      </c>
      <c r="E2396">
        <v>0.50431619999999999</v>
      </c>
      <c r="F2396" t="s">
        <v>51</v>
      </c>
      <c r="G2396">
        <v>-283.58839999999998</v>
      </c>
      <c r="H2396" s="1">
        <v>7.1013059999999998E-6</v>
      </c>
      <c r="I2396">
        <v>283.21109999999999</v>
      </c>
      <c r="J2396">
        <v>-250.38030000000001</v>
      </c>
      <c r="K2396">
        <v>1.120819</v>
      </c>
      <c r="L2396">
        <v>283.41820000000001</v>
      </c>
      <c r="M2396">
        <v>-0.99989790000000001</v>
      </c>
      <c r="N2396">
        <v>-8.2700109999999903E-3</v>
      </c>
      <c r="O2396">
        <v>1.1656690000000001E-2</v>
      </c>
      <c r="P2396">
        <v>-0.99631110000000001</v>
      </c>
      <c r="Q2396">
        <v>-8.4030289999999994E-2</v>
      </c>
      <c r="R2396">
        <v>-1.7412609999999999E-2</v>
      </c>
      <c r="S2396">
        <v>-3.0022890000000002</v>
      </c>
      <c r="T2396">
        <v>-0.10033880000000001</v>
      </c>
      <c r="U2396">
        <v>-1.824951E-2</v>
      </c>
      <c r="V2396">
        <v>-2.890494E-2</v>
      </c>
      <c r="W2396">
        <v>-7.5836269999999997E-2</v>
      </c>
      <c r="X2396">
        <v>0.99670119999999895</v>
      </c>
      <c r="Y2396">
        <v>-1.7718859999999999E-2</v>
      </c>
      <c r="Z2396">
        <v>-6.6237640000000003E-4</v>
      </c>
      <c r="AA2396">
        <v>0.99984280000000003</v>
      </c>
      <c r="AB2396">
        <v>32</v>
      </c>
      <c r="AC2396">
        <v>-33.208099999999902</v>
      </c>
      <c r="AD2396">
        <v>-1.1208118986939899</v>
      </c>
      <c r="AE2396">
        <v>-0.20710000000002499</v>
      </c>
      <c r="AF2396">
        <v>-0.593519601619101</v>
      </c>
      <c r="AG2396">
        <v>-1.1208118986939899</v>
      </c>
      <c r="AH2396">
        <v>33.165650577553102</v>
      </c>
      <c r="AI2396">
        <v>91.935227907251004</v>
      </c>
      <c r="AJ2396">
        <v>91.025233581878197</v>
      </c>
      <c r="AK2396">
        <v>33.189890976954203</v>
      </c>
      <c r="AL2396">
        <v>94.3492740785059</v>
      </c>
      <c r="AM2396">
        <v>91.661146806126894</v>
      </c>
      <c r="AN2396">
        <v>0.999999958742677</v>
      </c>
    </row>
    <row r="2397" spans="1:40" x14ac:dyDescent="0.25">
      <c r="A2397" t="str">
        <f>"20190303154144161"</f>
        <v>20190303154144161</v>
      </c>
      <c r="B2397" t="str">
        <f>"1551598904152065"</f>
        <v>1551598904152065</v>
      </c>
      <c r="C2397" t="s">
        <v>40</v>
      </c>
      <c r="D2397">
        <v>5.772049</v>
      </c>
      <c r="E2397">
        <v>0.5043898</v>
      </c>
      <c r="F2397" t="s">
        <v>51</v>
      </c>
      <c r="G2397">
        <v>-283.8664</v>
      </c>
      <c r="H2397" s="1">
        <v>6.9804049999999996E-6</v>
      </c>
      <c r="I2397">
        <v>283.19970000000001</v>
      </c>
      <c r="J2397">
        <v>-250.68260000000001</v>
      </c>
      <c r="K2397">
        <v>1.120817</v>
      </c>
      <c r="L2397">
        <v>283.42099999999999</v>
      </c>
      <c r="M2397">
        <v>-0.99990590000000001</v>
      </c>
      <c r="N2397">
        <v>-8.2926760000000006E-3</v>
      </c>
      <c r="O2397">
        <v>1.0922009999999999E-2</v>
      </c>
      <c r="P2397">
        <v>-0.99628369999999999</v>
      </c>
      <c r="Q2397">
        <v>-8.4104100000000001E-2</v>
      </c>
      <c r="R2397">
        <v>-1.857752E-2</v>
      </c>
      <c r="S2397">
        <v>-3.0023040000000001</v>
      </c>
      <c r="T2397">
        <v>-0.1004902</v>
      </c>
      <c r="U2397">
        <v>-1.9592289999999998E-2</v>
      </c>
      <c r="V2397">
        <v>-2.9337309999999998E-2</v>
      </c>
      <c r="W2397">
        <v>-7.5888399999999995E-2</v>
      </c>
      <c r="X2397">
        <v>0.99668460000000003</v>
      </c>
      <c r="Y2397">
        <v>-1.7431740000000001E-2</v>
      </c>
      <c r="Z2397">
        <v>-6.3885739999999997E-4</v>
      </c>
      <c r="AA2397">
        <v>0.99984779999999995</v>
      </c>
      <c r="AB2397">
        <v>32</v>
      </c>
      <c r="AC2397">
        <v>-33.183799999999898</v>
      </c>
      <c r="AD2397">
        <v>-1.1208100195949999</v>
      </c>
      <c r="AE2397">
        <v>-0.22129999999998501</v>
      </c>
      <c r="AF2397">
        <v>-0.58306794351143898</v>
      </c>
      <c r="AG2397">
        <v>-1.1208100195949999</v>
      </c>
      <c r="AH2397">
        <v>33.141596978348801</v>
      </c>
      <c r="AI2397">
        <v>91.936638528511693</v>
      </c>
      <c r="AJ2397">
        <v>91.007914199991902</v>
      </c>
      <c r="AK2397">
        <v>33.165669503299299</v>
      </c>
      <c r="AL2397">
        <v>94.352269536571598</v>
      </c>
      <c r="AM2397">
        <v>91.686008637999905</v>
      </c>
      <c r="AN2397">
        <v>0.99999995944487696</v>
      </c>
    </row>
    <row r="2398" spans="1:40" x14ac:dyDescent="0.25">
      <c r="A2398" t="str">
        <f>"20190303154144184"</f>
        <v>20190303154144184</v>
      </c>
      <c r="B2398" t="str">
        <f>"1551598904171585"</f>
        <v>1551598904171585</v>
      </c>
      <c r="C2398" t="s">
        <v>40</v>
      </c>
      <c r="D2398">
        <v>5.7913199999999998</v>
      </c>
      <c r="E2398">
        <v>0.50446299999999999</v>
      </c>
      <c r="F2398" t="s">
        <v>51</v>
      </c>
      <c r="G2398">
        <v>-283.9665</v>
      </c>
      <c r="H2398" s="1">
        <v>6.94235199999999E-6</v>
      </c>
      <c r="I2398">
        <v>283.16899999999998</v>
      </c>
      <c r="J2398">
        <v>-251.00030000000001</v>
      </c>
      <c r="K2398">
        <v>1.120814</v>
      </c>
      <c r="L2398">
        <v>283.4237</v>
      </c>
      <c r="M2398">
        <v>-0.99991399999999997</v>
      </c>
      <c r="N2398">
        <v>-8.3164829999999995E-3</v>
      </c>
      <c r="O2398">
        <v>1.015373E-2</v>
      </c>
      <c r="P2398">
        <v>-0.99626400000000004</v>
      </c>
      <c r="Q2398">
        <v>-8.4161609999999998E-2</v>
      </c>
      <c r="R2398">
        <v>-1.937231E-2</v>
      </c>
      <c r="S2398">
        <v>-3.0022280000000001</v>
      </c>
      <c r="T2398">
        <v>-0.1010978</v>
      </c>
      <c r="U2398">
        <v>-2.2735600000000002E-2</v>
      </c>
      <c r="V2398">
        <v>-2.936623E-2</v>
      </c>
      <c r="W2398">
        <v>-7.5922260000000005E-2</v>
      </c>
      <c r="X2398">
        <v>0.99668120000000004</v>
      </c>
      <c r="Y2398">
        <v>-1.771031E-2</v>
      </c>
      <c r="Z2398">
        <v>-6.291647E-4</v>
      </c>
      <c r="AA2398">
        <v>0.99984289999999998</v>
      </c>
      <c r="AB2398">
        <v>32</v>
      </c>
      <c r="AC2398">
        <v>-32.966199999999901</v>
      </c>
      <c r="AD2398">
        <v>-1.120807057648</v>
      </c>
      <c r="AE2398">
        <v>-0.25469999999995702</v>
      </c>
      <c r="AF2398">
        <v>-0.58874779551118595</v>
      </c>
      <c r="AG2398">
        <v>-1.120807057648</v>
      </c>
      <c r="AH2398">
        <v>32.923859477131401</v>
      </c>
      <c r="AI2398">
        <v>91.949421250919997</v>
      </c>
      <c r="AJ2398">
        <v>91.024459754582296</v>
      </c>
      <c r="AK2398">
        <v>32.948191988288002</v>
      </c>
      <c r="AL2398">
        <v>94.354215052758903</v>
      </c>
      <c r="AM2398">
        <v>91.687675457081596</v>
      </c>
      <c r="AN2398">
        <v>0.99999998973068005</v>
      </c>
    </row>
    <row r="2399" spans="1:40" x14ac:dyDescent="0.25">
      <c r="A2399" t="str">
        <f>"20190303154144207"</f>
        <v>20190303154144207</v>
      </c>
      <c r="B2399" t="str">
        <f>"1551598904201843"</f>
        <v>1551598904201843</v>
      </c>
      <c r="C2399" t="s">
        <v>40</v>
      </c>
      <c r="D2399">
        <v>5.7637</v>
      </c>
      <c r="E2399">
        <v>0.50464379999999998</v>
      </c>
      <c r="F2399" t="s">
        <v>51</v>
      </c>
      <c r="G2399">
        <v>-284.15289999999999</v>
      </c>
      <c r="H2399" s="1">
        <v>6.8630500000000003E-6</v>
      </c>
      <c r="I2399">
        <v>283.15280000000001</v>
      </c>
      <c r="J2399">
        <v>-251.3313</v>
      </c>
      <c r="K2399">
        <v>1.1208119999999999</v>
      </c>
      <c r="L2399">
        <v>283.42630000000003</v>
      </c>
      <c r="M2399">
        <v>-0.99992139999999996</v>
      </c>
      <c r="N2399">
        <v>-8.3409850000000004E-3</v>
      </c>
      <c r="O2399">
        <v>9.3609590000000003E-3</v>
      </c>
      <c r="P2399">
        <v>-0.99627359999999998</v>
      </c>
      <c r="Q2399">
        <v>-8.390106E-2</v>
      </c>
      <c r="R2399">
        <v>-1.9999980000000001E-2</v>
      </c>
      <c r="S2399">
        <v>-3.0021969999999998</v>
      </c>
      <c r="T2399">
        <v>-0.1014969</v>
      </c>
      <c r="U2399">
        <v>-2.453613E-2</v>
      </c>
      <c r="V2399">
        <v>-2.920528E-2</v>
      </c>
      <c r="W2399">
        <v>-7.5636659999999994E-2</v>
      </c>
      <c r="X2399">
        <v>0.99670769999999997</v>
      </c>
      <c r="Y2399">
        <v>-1.7517560000000001E-2</v>
      </c>
      <c r="Z2399">
        <v>-6.0742070000000003E-4</v>
      </c>
      <c r="AA2399">
        <v>0.99984640000000002</v>
      </c>
      <c r="AB2399">
        <v>32</v>
      </c>
      <c r="AC2399">
        <v>-32.821599999999897</v>
      </c>
      <c r="AD2399">
        <v>-1.1208051369499901</v>
      </c>
      <c r="AE2399">
        <v>-0.27350000000001201</v>
      </c>
      <c r="AF2399">
        <v>-0.580063981808292</v>
      </c>
      <c r="AG2399">
        <v>-1.1208051369499901</v>
      </c>
      <c r="AH2399">
        <v>32.779379703997002</v>
      </c>
      <c r="AI2399">
        <v>91.958010050769104</v>
      </c>
      <c r="AJ2399">
        <v>91.013800437064404</v>
      </c>
      <c r="AK2399">
        <v>32.803664614747198</v>
      </c>
      <c r="AL2399">
        <v>94.337803945699903</v>
      </c>
      <c r="AM2399">
        <v>91.678386375968898</v>
      </c>
      <c r="AN2399">
        <v>1.00000004597756</v>
      </c>
    </row>
    <row r="2400" spans="1:40" x14ac:dyDescent="0.25">
      <c r="A2400" t="str">
        <f>"20190303154144230"</f>
        <v>20190303154144230</v>
      </c>
      <c r="B2400" t="str">
        <f>"1551598904221361"</f>
        <v>1551598904221361</v>
      </c>
      <c r="C2400" t="s">
        <v>40</v>
      </c>
      <c r="D2400">
        <v>5.7966340000000001</v>
      </c>
      <c r="E2400">
        <v>0.50479149999999995</v>
      </c>
      <c r="F2400" t="s">
        <v>51</v>
      </c>
      <c r="G2400">
        <v>-284.71379999999999</v>
      </c>
      <c r="H2400" s="1">
        <v>6.61520499999999E-6</v>
      </c>
      <c r="I2400">
        <v>283.14830000000001</v>
      </c>
      <c r="J2400">
        <v>-251.66149999999999</v>
      </c>
      <c r="K2400">
        <v>1.1208180000000001</v>
      </c>
      <c r="L2400">
        <v>283.42860000000002</v>
      </c>
      <c r="M2400">
        <v>-0.99992820000000004</v>
      </c>
      <c r="N2400">
        <v>-8.365239E-3</v>
      </c>
      <c r="O2400">
        <v>8.58014E-3</v>
      </c>
      <c r="P2400">
        <v>-0.99626550000000003</v>
      </c>
      <c r="Q2400">
        <v>-8.3817600000000006E-2</v>
      </c>
      <c r="R2400">
        <v>-2.0729339999999999E-2</v>
      </c>
      <c r="S2400">
        <v>-3.0022129999999998</v>
      </c>
      <c r="T2400">
        <v>-0.1007981</v>
      </c>
      <c r="U2400">
        <v>-2.4993899999999999E-2</v>
      </c>
      <c r="V2400">
        <v>-2.9157510000000001E-2</v>
      </c>
      <c r="W2400">
        <v>-7.5528570000000003E-2</v>
      </c>
      <c r="X2400">
        <v>0.99671730000000003</v>
      </c>
      <c r="Y2400">
        <v>-1.689009E-2</v>
      </c>
      <c r="Z2400">
        <v>-5.7035549999999999E-4</v>
      </c>
      <c r="AA2400">
        <v>0.9998572</v>
      </c>
      <c r="AB2400">
        <v>32</v>
      </c>
      <c r="AC2400">
        <v>-33.052300000000002</v>
      </c>
      <c r="AD2400">
        <v>-1.1208113847949901</v>
      </c>
      <c r="AE2400">
        <v>-0.28030000000001098</v>
      </c>
      <c r="AF2400">
        <v>-0.56324533397544396</v>
      </c>
      <c r="AG2400">
        <v>-1.1208113847949901</v>
      </c>
      <c r="AH2400">
        <v>33.010721718855301</v>
      </c>
      <c r="AI2400">
        <v>91.944330928447698</v>
      </c>
      <c r="AJ2400">
        <v>90.977514201603199</v>
      </c>
      <c r="AK2400">
        <v>33.0345457342194</v>
      </c>
      <c r="AL2400">
        <v>94.331593058775795</v>
      </c>
      <c r="AM2400">
        <v>91.675626537655106</v>
      </c>
      <c r="AN2400">
        <v>1.00000005069746</v>
      </c>
    </row>
    <row r="2401" spans="1:40" x14ac:dyDescent="0.25">
      <c r="A2401" t="str">
        <f>"20190303154144252"</f>
        <v>20190303154144252</v>
      </c>
      <c r="B2401" t="str">
        <f>"1551598904241858"</f>
        <v>1551598904241858</v>
      </c>
      <c r="C2401" t="s">
        <v>40</v>
      </c>
      <c r="D2401">
        <v>5.7817749999999997</v>
      </c>
      <c r="E2401">
        <v>0.50493719999999997</v>
      </c>
      <c r="F2401" t="s">
        <v>51</v>
      </c>
      <c r="G2401">
        <v>-285.0872</v>
      </c>
      <c r="H2401" s="1">
        <v>6.4509119999999998E-6</v>
      </c>
      <c r="I2401">
        <v>283.1422</v>
      </c>
      <c r="J2401">
        <v>-251.9915</v>
      </c>
      <c r="K2401">
        <v>1.120816</v>
      </c>
      <c r="L2401">
        <v>283.4307</v>
      </c>
      <c r="M2401">
        <v>-0.9999344</v>
      </c>
      <c r="N2401">
        <v>-8.3893459999999902E-3</v>
      </c>
      <c r="O2401">
        <v>7.8139030000000005E-3</v>
      </c>
      <c r="P2401">
        <v>-0.9962763</v>
      </c>
      <c r="Q2401">
        <v>-8.3463739999999995E-2</v>
      </c>
      <c r="R2401">
        <v>-2.1618459999999999E-2</v>
      </c>
      <c r="S2401">
        <v>-3.0022280000000001</v>
      </c>
      <c r="T2401">
        <v>-0.1006691</v>
      </c>
      <c r="U2401">
        <v>-2.572632E-2</v>
      </c>
      <c r="V2401">
        <v>-2.9285720000000001E-2</v>
      </c>
      <c r="W2401">
        <v>-7.5150179999999997E-2</v>
      </c>
      <c r="X2401">
        <v>0.99674209999999996</v>
      </c>
      <c r="Y2401">
        <v>-1.6368420000000002E-2</v>
      </c>
      <c r="Z2401">
        <v>-5.3942729999999998E-4</v>
      </c>
      <c r="AA2401">
        <v>0.99986589999999997</v>
      </c>
      <c r="AB2401">
        <v>32</v>
      </c>
      <c r="AC2401">
        <v>-33.095699999999901</v>
      </c>
      <c r="AD2401">
        <v>-1.1208095490879999</v>
      </c>
      <c r="AE2401">
        <v>-0.28849999999999898</v>
      </c>
      <c r="AF2401">
        <v>-0.54648014774160303</v>
      </c>
      <c r="AG2401">
        <v>-1.1208095490879999</v>
      </c>
      <c r="AH2401">
        <v>33.054528243123997</v>
      </c>
      <c r="AI2401">
        <v>91.941770203140706</v>
      </c>
      <c r="AJ2401">
        <v>90.947166861615301</v>
      </c>
      <c r="AK2401">
        <v>33.078039421535898</v>
      </c>
      <c r="AL2401">
        <v>94.309851300576597</v>
      </c>
      <c r="AM2401">
        <v>91.682948443396896</v>
      </c>
      <c r="AN2401">
        <v>1.00000000843118</v>
      </c>
    </row>
    <row r="2402" spans="1:40" x14ac:dyDescent="0.25">
      <c r="A2402" t="str">
        <f>"20190303154144275"</f>
        <v>20190303154144275</v>
      </c>
      <c r="B2402" t="str">
        <f>"1551598904272114"</f>
        <v>1551598904272114</v>
      </c>
      <c r="C2402" t="s">
        <v>40</v>
      </c>
      <c r="D2402">
        <v>5.7740900000000002</v>
      </c>
      <c r="E2402">
        <v>0.50511359999999905</v>
      </c>
      <c r="F2402" t="s">
        <v>51</v>
      </c>
      <c r="G2402">
        <v>-285.71899999999999</v>
      </c>
      <c r="H2402" s="1">
        <v>6.1747959999999996E-6</v>
      </c>
      <c r="I2402">
        <v>283.1225</v>
      </c>
      <c r="J2402">
        <v>-252.31479999999999</v>
      </c>
      <c r="K2402">
        <v>1.120819</v>
      </c>
      <c r="L2402">
        <v>283.4325</v>
      </c>
      <c r="M2402">
        <v>-0.99993900000000002</v>
      </c>
      <c r="N2402">
        <v>-8.4745910000000001E-3</v>
      </c>
      <c r="O2402">
        <v>7.0850180000000002E-3</v>
      </c>
      <c r="P2402">
        <v>-0.99624009999999996</v>
      </c>
      <c r="Q2402">
        <v>-8.3597519999999995E-2</v>
      </c>
      <c r="R2402">
        <v>-2.274497E-2</v>
      </c>
      <c r="S2402">
        <v>-3.0022579999999999</v>
      </c>
      <c r="T2402">
        <v>-9.9768999999999997E-2</v>
      </c>
      <c r="U2402">
        <v>-2.7435299999999999E-2</v>
      </c>
      <c r="V2402">
        <v>-2.9687700000000001E-2</v>
      </c>
      <c r="W2402">
        <v>-7.5198959999999995E-2</v>
      </c>
      <c r="X2402">
        <v>0.99672649999999996</v>
      </c>
      <c r="Y2402">
        <v>-1.6209189999999998E-2</v>
      </c>
      <c r="Z2402">
        <v>-5.133011E-4</v>
      </c>
      <c r="AA2402">
        <v>0.99986850000000005</v>
      </c>
      <c r="AB2402">
        <v>32</v>
      </c>
      <c r="AC2402">
        <v>-33.404200000000003</v>
      </c>
      <c r="AD2402">
        <v>-1.1208128252039999</v>
      </c>
      <c r="AE2402">
        <v>-0.310000000000002</v>
      </c>
      <c r="AF2402">
        <v>-0.546055373608061</v>
      </c>
      <c r="AG2402">
        <v>-1.1208128252039999</v>
      </c>
      <c r="AH2402">
        <v>33.363607335777601</v>
      </c>
      <c r="AI2402">
        <v>91.923806166908406</v>
      </c>
      <c r="AJ2402">
        <v>90.937664648024096</v>
      </c>
      <c r="AK2402">
        <v>33.386894020201098</v>
      </c>
      <c r="AL2402">
        <v>94.312654244748401</v>
      </c>
      <c r="AM2402">
        <v>91.706061962077399</v>
      </c>
      <c r="AN2402">
        <v>0.99999997945930996</v>
      </c>
    </row>
    <row r="2403" spans="1:40" x14ac:dyDescent="0.25">
      <c r="A2403" t="str">
        <f>"20190303154144296"</f>
        <v>20190303154144296</v>
      </c>
      <c r="B2403" t="str">
        <f>"1551598904291634"</f>
        <v>1551598904291634</v>
      </c>
      <c r="C2403" t="s">
        <v>40</v>
      </c>
      <c r="D2403">
        <v>5.8043290000000001</v>
      </c>
      <c r="E2403">
        <v>0.50521190000000005</v>
      </c>
      <c r="F2403" t="s">
        <v>51</v>
      </c>
      <c r="G2403">
        <v>-285.68599999999998</v>
      </c>
      <c r="H2403" s="1">
        <v>6.1926440000000002E-6</v>
      </c>
      <c r="I2403">
        <v>283.10680000000002</v>
      </c>
      <c r="J2403">
        <v>-252.62119999999999</v>
      </c>
      <c r="K2403">
        <v>1.120862</v>
      </c>
      <c r="L2403">
        <v>283.43400000000003</v>
      </c>
      <c r="M2403">
        <v>-0.99994139999999998</v>
      </c>
      <c r="N2403">
        <v>-8.7218279999999992E-3</v>
      </c>
      <c r="O2403">
        <v>6.417079E-3</v>
      </c>
      <c r="P2403">
        <v>-0.99619219999999997</v>
      </c>
      <c r="Q2403">
        <v>-8.3966520000000003E-2</v>
      </c>
      <c r="R2403">
        <v>-2.3475139999999999E-2</v>
      </c>
      <c r="S2403">
        <v>-3.0022129999999998</v>
      </c>
      <c r="T2403">
        <v>-0.1008328</v>
      </c>
      <c r="U2403">
        <v>-2.9296880000000001E-2</v>
      </c>
      <c r="V2403">
        <v>-2.9754920000000001E-2</v>
      </c>
      <c r="W2403">
        <v>-7.5320940000000003E-2</v>
      </c>
      <c r="X2403">
        <v>0.99671529999999997</v>
      </c>
      <c r="Y2403">
        <v>-1.616132E-2</v>
      </c>
      <c r="Z2403">
        <v>-5.0132490000000002E-4</v>
      </c>
      <c r="AA2403">
        <v>0.99986929999999996</v>
      </c>
      <c r="AB2403">
        <v>32</v>
      </c>
      <c r="AC2403">
        <v>-33.064799999999899</v>
      </c>
      <c r="AD2403">
        <v>-1.120855807356</v>
      </c>
      <c r="AE2403">
        <v>-0.32720000000000399</v>
      </c>
      <c r="AF2403">
        <v>-0.53876171688584595</v>
      </c>
      <c r="AG2403">
        <v>-1.120855807356</v>
      </c>
      <c r="AH2403">
        <v>33.024074296853797</v>
      </c>
      <c r="AI2403">
        <v>91.943646600895406</v>
      </c>
      <c r="AJ2403">
        <v>90.934652523191104</v>
      </c>
      <c r="AK2403">
        <v>33.047481978096101</v>
      </c>
      <c r="AL2403">
        <v>94.319662997391106</v>
      </c>
      <c r="AM2403">
        <v>91.709941803494701</v>
      </c>
      <c r="AN2403">
        <v>0.99999999426038999</v>
      </c>
    </row>
    <row r="2404" spans="1:40" x14ac:dyDescent="0.25">
      <c r="A2404" t="str">
        <f>"20190303154144319"</f>
        <v>20190303154144319</v>
      </c>
      <c r="B2404" t="str">
        <f>"1551598904312130"</f>
        <v>1551598904312130</v>
      </c>
      <c r="C2404" t="s">
        <v>40</v>
      </c>
      <c r="D2404">
        <v>5.798934</v>
      </c>
      <c r="E2404">
        <v>0.50530770000000003</v>
      </c>
      <c r="F2404" t="s">
        <v>51</v>
      </c>
      <c r="G2404">
        <v>-285.52659999999997</v>
      </c>
      <c r="H2404" s="1">
        <v>6.2657039999999899E-6</v>
      </c>
      <c r="I2404">
        <v>283.09550000000002</v>
      </c>
      <c r="J2404">
        <v>-252.9537</v>
      </c>
      <c r="K2404">
        <v>1.120941</v>
      </c>
      <c r="L2404">
        <v>283.43540000000002</v>
      </c>
      <c r="M2404">
        <v>-0.99994130000000003</v>
      </c>
      <c r="N2404">
        <v>-9.1804109999999994E-3</v>
      </c>
      <c r="O2404">
        <v>5.7514039999999999E-3</v>
      </c>
      <c r="P2404">
        <v>-0.9960793</v>
      </c>
      <c r="Q2404">
        <v>-8.4913939999999993E-2</v>
      </c>
      <c r="R2404">
        <v>-2.4819939999999999E-2</v>
      </c>
      <c r="S2404">
        <v>-3.0021209999999998</v>
      </c>
      <c r="T2404">
        <v>-0.1022612</v>
      </c>
      <c r="U2404">
        <v>-3.0883790000000001E-2</v>
      </c>
      <c r="V2404">
        <v>-3.043912E-2</v>
      </c>
      <c r="W2404">
        <v>-7.5811459999999997E-2</v>
      </c>
      <c r="X2404">
        <v>0.99665740000000003</v>
      </c>
      <c r="Y2404">
        <v>-1.6024380000000001E-2</v>
      </c>
      <c r="Z2404">
        <v>-4.894783E-4</v>
      </c>
      <c r="AA2404">
        <v>0.99987150000000002</v>
      </c>
      <c r="AB2404">
        <v>32</v>
      </c>
      <c r="AC2404">
        <v>-32.572899999999898</v>
      </c>
      <c r="AD2404">
        <v>-1.1209347342960001</v>
      </c>
      <c r="AE2404">
        <v>-0.33989999999999998</v>
      </c>
      <c r="AF2404">
        <v>-0.52661859716727599</v>
      </c>
      <c r="AG2404">
        <v>-1.1209347342960001</v>
      </c>
      <c r="AH2404">
        <v>32.531884151550202</v>
      </c>
      <c r="AI2404">
        <v>91.973172748496907</v>
      </c>
      <c r="AJ2404">
        <v>90.927409791359196</v>
      </c>
      <c r="AK2404">
        <v>32.5554497477046</v>
      </c>
      <c r="AL2404">
        <v>94.347848524988606</v>
      </c>
      <c r="AM2404">
        <v>91.749338492343298</v>
      </c>
      <c r="AN2404">
        <v>0.99999994523423097</v>
      </c>
    </row>
    <row r="2405" spans="1:40" x14ac:dyDescent="0.25">
      <c r="A2405" t="str">
        <f>"20190303154144342"</f>
        <v>20190303154144342</v>
      </c>
      <c r="B2405" t="str">
        <f>"1551598904331649"</f>
        <v>1551598904331649</v>
      </c>
      <c r="C2405" t="s">
        <v>40</v>
      </c>
      <c r="D2405">
        <v>5.8216099999999997</v>
      </c>
      <c r="E2405">
        <v>0.50540889999999905</v>
      </c>
      <c r="F2405" t="s">
        <v>51</v>
      </c>
      <c r="G2405">
        <v>-284.8528</v>
      </c>
      <c r="H2405" s="1">
        <v>6.56935399999999E-6</v>
      </c>
      <c r="I2405">
        <v>283.07190000000003</v>
      </c>
      <c r="J2405">
        <v>-253.29560000000001</v>
      </c>
      <c r="K2405">
        <v>1.1209979999999999</v>
      </c>
      <c r="L2405">
        <v>283.43669999999997</v>
      </c>
      <c r="M2405">
        <v>-0.99994039999999995</v>
      </c>
      <c r="N2405">
        <v>-9.6412489999999993E-3</v>
      </c>
      <c r="O2405">
        <v>5.1120180000000003E-3</v>
      </c>
      <c r="P2405">
        <v>-0.99604280000000001</v>
      </c>
      <c r="Q2405">
        <v>-8.5099309999999997E-2</v>
      </c>
      <c r="R2405">
        <v>-2.5625709999999999E-2</v>
      </c>
      <c r="S2405">
        <v>-3.0019840000000002</v>
      </c>
      <c r="T2405">
        <v>-0.1054895</v>
      </c>
      <c r="U2405">
        <v>-3.4210209999999998E-2</v>
      </c>
      <c r="V2405">
        <v>-3.061465E-2</v>
      </c>
      <c r="W2405">
        <v>-7.5535359999999996E-2</v>
      </c>
      <c r="X2405">
        <v>0.99667300000000003</v>
      </c>
      <c r="Y2405">
        <v>-1.649227E-2</v>
      </c>
      <c r="Z2405">
        <v>-4.9950949999999896E-4</v>
      </c>
      <c r="AA2405">
        <v>0.99986390000000003</v>
      </c>
      <c r="AB2405">
        <v>32</v>
      </c>
      <c r="AC2405">
        <v>-31.557199999999899</v>
      </c>
      <c r="AD2405">
        <v>-1.120991430646</v>
      </c>
      <c r="AE2405">
        <v>-0.364799999999945</v>
      </c>
      <c r="AF2405">
        <v>-0.52546075048856</v>
      </c>
      <c r="AG2405">
        <v>-1.120991430646</v>
      </c>
      <c r="AH2405">
        <v>31.515160584772399</v>
      </c>
      <c r="AI2405">
        <v>92.036864010363601</v>
      </c>
      <c r="AJ2405">
        <v>90.955219435488502</v>
      </c>
      <c r="AK2405">
        <v>31.539468566732001</v>
      </c>
      <c r="AL2405">
        <v>94.331983613223002</v>
      </c>
      <c r="AM2405">
        <v>91.759392371048705</v>
      </c>
      <c r="AN2405">
        <v>0.99999995816697496</v>
      </c>
    </row>
    <row r="2406" spans="1:40" x14ac:dyDescent="0.25">
      <c r="A2406" t="str">
        <f>"20190303154144363"</f>
        <v>20190303154144363</v>
      </c>
      <c r="B2406" t="str">
        <f>"1551598904352146"</f>
        <v>1551598904352146</v>
      </c>
      <c r="C2406" t="s">
        <v>40</v>
      </c>
      <c r="D2406">
        <v>5.8484530000000001</v>
      </c>
      <c r="E2406">
        <v>0.50545600000000002</v>
      </c>
      <c r="F2406" t="s">
        <v>51</v>
      </c>
      <c r="G2406">
        <v>-284.84539999999998</v>
      </c>
      <c r="H2406" s="1">
        <v>6.5747489999999998E-6</v>
      </c>
      <c r="I2406">
        <v>283.06180000000001</v>
      </c>
      <c r="J2406">
        <v>-253.60149999999999</v>
      </c>
      <c r="K2406">
        <v>1.121027</v>
      </c>
      <c r="L2406">
        <v>283.43770000000001</v>
      </c>
      <c r="M2406">
        <v>-0.99993960000000004</v>
      </c>
      <c r="N2406">
        <v>-1.000321E-2</v>
      </c>
      <c r="O2406">
        <v>4.5783229999999996E-3</v>
      </c>
      <c r="P2406">
        <v>-0.99609490000000001</v>
      </c>
      <c r="Q2406">
        <v>-8.4588289999999997E-2</v>
      </c>
      <c r="R2406">
        <v>-2.529882E-2</v>
      </c>
      <c r="S2406">
        <v>-3.0018919999999998</v>
      </c>
      <c r="T2406">
        <v>-0.1066598</v>
      </c>
      <c r="U2406">
        <v>-3.567505E-2</v>
      </c>
      <c r="V2406">
        <v>-2.9763060000000001E-2</v>
      </c>
      <c r="W2406">
        <v>-7.4659539999999996E-2</v>
      </c>
      <c r="X2406">
        <v>0.99676480000000001</v>
      </c>
      <c r="Y2406">
        <v>-1.6446659999999998E-2</v>
      </c>
      <c r="Z2406">
        <v>-4.91206E-4</v>
      </c>
      <c r="AA2406">
        <v>0.99986459999999999</v>
      </c>
      <c r="AB2406">
        <v>32</v>
      </c>
      <c r="AC2406">
        <v>-31.2439</v>
      </c>
      <c r="AD2406">
        <v>-1.1210204252509901</v>
      </c>
      <c r="AE2406">
        <v>-0.37590000000000101</v>
      </c>
      <c r="AF2406">
        <v>-0.51828075485957303</v>
      </c>
      <c r="AG2406">
        <v>-1.1210204252509901</v>
      </c>
      <c r="AH2406">
        <v>31.2016897597019</v>
      </c>
      <c r="AI2406">
        <v>92.057365374429594</v>
      </c>
      <c r="AJ2406">
        <v>90.951633370482497</v>
      </c>
      <c r="AK2406">
        <v>31.226122807600898</v>
      </c>
      <c r="AL2406">
        <v>94.281660639033205</v>
      </c>
      <c r="AM2406">
        <v>91.710324421766501</v>
      </c>
      <c r="AN2406">
        <v>0.99999997658630702</v>
      </c>
    </row>
    <row r="2407" spans="1:40" x14ac:dyDescent="0.25">
      <c r="A2407" t="str">
        <f>"20190303154144385"</f>
        <v>20190303154144385</v>
      </c>
      <c r="B2407" t="str">
        <f>"1551598904381426"</f>
        <v>1551598904381426</v>
      </c>
      <c r="C2407" t="s">
        <v>40</v>
      </c>
      <c r="D2407">
        <v>5.8893329999999997</v>
      </c>
      <c r="E2407">
        <v>0.50557569999999996</v>
      </c>
      <c r="F2407" t="s">
        <v>51</v>
      </c>
      <c r="G2407">
        <v>-285.46480000000003</v>
      </c>
      <c r="H2407" s="1">
        <v>6.2970869999999997E-6</v>
      </c>
      <c r="I2407">
        <v>283.0761</v>
      </c>
      <c r="J2407">
        <v>-253.9118</v>
      </c>
      <c r="K2407">
        <v>1.12104</v>
      </c>
      <c r="L2407">
        <v>283.43849999999998</v>
      </c>
      <c r="M2407">
        <v>-0.99993829999999995</v>
      </c>
      <c r="N2407">
        <v>-1.033861E-2</v>
      </c>
      <c r="O2407">
        <v>4.0946100000000003E-3</v>
      </c>
      <c r="P2407">
        <v>-0.99613649999999998</v>
      </c>
      <c r="Q2407">
        <v>-8.4293309999999996E-2</v>
      </c>
      <c r="R2407">
        <v>-2.4639930000000001E-2</v>
      </c>
      <c r="S2407">
        <v>-3.0019070000000001</v>
      </c>
      <c r="T2407">
        <v>-0.1056136</v>
      </c>
      <c r="U2407">
        <v>-3.4057619999999997E-2</v>
      </c>
      <c r="V2407">
        <v>-2.8629390000000001E-2</v>
      </c>
      <c r="W2407">
        <v>-7.4025869999999994E-2</v>
      </c>
      <c r="X2407">
        <v>0.99684530000000005</v>
      </c>
      <c r="Y2407">
        <v>-1.542545E-2</v>
      </c>
      <c r="Z2407">
        <v>-4.5271889999999999E-4</v>
      </c>
      <c r="AA2407">
        <v>0.99988089999999996</v>
      </c>
      <c r="AB2407">
        <v>32</v>
      </c>
      <c r="AC2407">
        <v>-31.553000000000001</v>
      </c>
      <c r="AD2407">
        <v>-1.121033702913</v>
      </c>
      <c r="AE2407">
        <v>-0.36239999999997902</v>
      </c>
      <c r="AF2407">
        <v>-0.49098140502508397</v>
      </c>
      <c r="AG2407">
        <v>-1.121033702913</v>
      </c>
      <c r="AH2407">
        <v>31.5114804041214</v>
      </c>
      <c r="AI2407">
        <v>92.037214291136706</v>
      </c>
      <c r="AJ2407">
        <v>90.892655179764205</v>
      </c>
      <c r="AK2407">
        <v>31.535237062094101</v>
      </c>
      <c r="AL2407">
        <v>94.245253123129004</v>
      </c>
      <c r="AM2407">
        <v>91.6450821750404</v>
      </c>
      <c r="AN2407">
        <v>1.00000001176655</v>
      </c>
    </row>
    <row r="2408" spans="1:40" x14ac:dyDescent="0.25">
      <c r="A2408" t="str">
        <f>"20190303154144407"</f>
        <v>20190303154144407</v>
      </c>
      <c r="B2408" t="str">
        <f>"1551598904401922"</f>
        <v>1551598904401922</v>
      </c>
      <c r="C2408" t="s">
        <v>40</v>
      </c>
      <c r="D2408">
        <v>5.8808150000000001</v>
      </c>
      <c r="E2408">
        <v>0.50560669999999996</v>
      </c>
      <c r="F2408" t="s">
        <v>51</v>
      </c>
      <c r="G2408">
        <v>-285.92340000000002</v>
      </c>
      <c r="H2408" s="1">
        <v>6.0878460000000004E-6</v>
      </c>
      <c r="I2408">
        <v>283.1046</v>
      </c>
      <c r="J2408">
        <v>-254.2321</v>
      </c>
      <c r="K2408">
        <v>1.1210290000000001</v>
      </c>
      <c r="L2408">
        <v>283.4393</v>
      </c>
      <c r="M2408">
        <v>-0.99993650000000001</v>
      </c>
      <c r="N2408">
        <v>-1.0659989999999999E-2</v>
      </c>
      <c r="O2408">
        <v>3.671901E-3</v>
      </c>
      <c r="P2408">
        <v>-0.9961759</v>
      </c>
      <c r="Q2408">
        <v>-8.4068550000000006E-2</v>
      </c>
      <c r="R2408">
        <v>-2.3787840000000001E-2</v>
      </c>
      <c r="S2408">
        <v>-3.0019680000000002</v>
      </c>
      <c r="T2408">
        <v>-0.105128</v>
      </c>
      <c r="U2408">
        <v>-3.1311039999999998E-2</v>
      </c>
      <c r="V2408">
        <v>-2.736562E-2</v>
      </c>
      <c r="W2408">
        <v>-7.3475429999999994E-2</v>
      </c>
      <c r="X2408">
        <v>0.99692150000000002</v>
      </c>
      <c r="Y2408">
        <v>-1.408909E-2</v>
      </c>
      <c r="Z2408">
        <v>-4.1115690000000001E-4</v>
      </c>
      <c r="AA2408">
        <v>0.99990060000000003</v>
      </c>
      <c r="AB2408">
        <v>32</v>
      </c>
      <c r="AC2408">
        <v>-31.691299999999998</v>
      </c>
      <c r="AD2408">
        <v>-1.1210229121539901</v>
      </c>
      <c r="AE2408">
        <v>-0.334699999999998</v>
      </c>
      <c r="AF2408">
        <v>-0.45050802321421402</v>
      </c>
      <c r="AG2408">
        <v>-1.1210229121539901</v>
      </c>
      <c r="AH2408">
        <v>31.650258870038702</v>
      </c>
      <c r="AI2408">
        <v>92.0283102745843</v>
      </c>
      <c r="AJ2408">
        <v>90.815489865528406</v>
      </c>
      <c r="AK2408">
        <v>31.673309526934801</v>
      </c>
      <c r="AL2408">
        <v>94.213629177114797</v>
      </c>
      <c r="AM2408">
        <v>91.572381466265398</v>
      </c>
      <c r="AN2408">
        <v>0.99999999656695904</v>
      </c>
    </row>
    <row r="2409" spans="1:40" x14ac:dyDescent="0.25">
      <c r="A2409" t="str">
        <f>"20190303154144430"</f>
        <v>20190303154144430</v>
      </c>
      <c r="B2409" t="str">
        <f>"1551598904421445"</f>
        <v>1551598904421445</v>
      </c>
      <c r="C2409" t="s">
        <v>40</v>
      </c>
      <c r="D2409">
        <v>5.8967790000000004</v>
      </c>
      <c r="E2409">
        <v>0.5056176</v>
      </c>
      <c r="F2409" t="s">
        <v>51</v>
      </c>
      <c r="G2409">
        <v>-286.1601</v>
      </c>
      <c r="H2409" s="1">
        <v>5.976828E-6</v>
      </c>
      <c r="I2409">
        <v>283.13389999999998</v>
      </c>
      <c r="J2409">
        <v>-254.55860000000001</v>
      </c>
      <c r="K2409">
        <v>1.1209769999999999</v>
      </c>
      <c r="L2409">
        <v>283.44</v>
      </c>
      <c r="M2409">
        <v>-0.99993449999999995</v>
      </c>
      <c r="N2409">
        <v>-1.0958300000000001E-2</v>
      </c>
      <c r="O2409">
        <v>3.324479E-3</v>
      </c>
      <c r="P2409">
        <v>-0.99618790000000002</v>
      </c>
      <c r="Q2409">
        <v>-8.3957989999999996E-2</v>
      </c>
      <c r="R2409">
        <v>-2.3681299999999999E-2</v>
      </c>
      <c r="S2409">
        <v>-3.0019529999999999</v>
      </c>
      <c r="T2409">
        <v>-0.1054015</v>
      </c>
      <c r="U2409">
        <v>-2.8717039999999999E-2</v>
      </c>
      <c r="V2409">
        <v>-2.6925770000000002E-2</v>
      </c>
      <c r="W2409">
        <v>-7.3062169999999996E-2</v>
      </c>
      <c r="X2409">
        <v>0.99696390000000001</v>
      </c>
      <c r="Y2409">
        <v>-1.2878769999999999E-2</v>
      </c>
      <c r="Z2409">
        <v>-3.768798E-4</v>
      </c>
      <c r="AA2409">
        <v>0.99991699999999994</v>
      </c>
      <c r="AB2409">
        <v>32</v>
      </c>
      <c r="AC2409">
        <v>-31.601499999999898</v>
      </c>
      <c r="AD2409">
        <v>-1.120971023172</v>
      </c>
      <c r="AE2409">
        <v>-0.30610000000001403</v>
      </c>
      <c r="AF2409">
        <v>-0.41064647737424997</v>
      </c>
      <c r="AG2409">
        <v>-1.120971023172</v>
      </c>
      <c r="AH2409">
        <v>31.560599674323299</v>
      </c>
      <c r="AI2409">
        <v>92.034007352273605</v>
      </c>
      <c r="AJ2409">
        <v>90.745454226361701</v>
      </c>
      <c r="AK2409">
        <v>31.583170492638398</v>
      </c>
      <c r="AL2409">
        <v>94.189887095119602</v>
      </c>
      <c r="AM2409">
        <v>91.547055059218394</v>
      </c>
      <c r="AN2409">
        <v>1.0000000478391999</v>
      </c>
    </row>
    <row r="2410" spans="1:40" x14ac:dyDescent="0.25">
      <c r="A2410" t="str">
        <f>"20190303154144452"</f>
        <v>20190303154144452</v>
      </c>
      <c r="B2410" t="str">
        <f>"1551598904441938"</f>
        <v>1551598904441938</v>
      </c>
      <c r="C2410" t="s">
        <v>40</v>
      </c>
      <c r="D2410">
        <v>5.8911829999999998</v>
      </c>
      <c r="E2410">
        <v>0.50567689999999998</v>
      </c>
      <c r="F2410" t="s">
        <v>51</v>
      </c>
      <c r="G2410">
        <v>-286.13889999999998</v>
      </c>
      <c r="H2410" s="1">
        <v>5.9850159999999999E-6</v>
      </c>
      <c r="I2410">
        <v>283.13979999999998</v>
      </c>
      <c r="J2410">
        <v>-254.8903</v>
      </c>
      <c r="K2410">
        <v>1.120911</v>
      </c>
      <c r="L2410">
        <v>283.44080000000002</v>
      </c>
      <c r="M2410">
        <v>-0.99993220000000005</v>
      </c>
      <c r="N2410">
        <v>-1.122865E-2</v>
      </c>
      <c r="O2410">
        <v>3.0657520000000001E-3</v>
      </c>
      <c r="P2410">
        <v>-0.99612489999999998</v>
      </c>
      <c r="Q2410">
        <v>-8.4572640000000004E-2</v>
      </c>
      <c r="R2410">
        <v>-2.413769E-2</v>
      </c>
      <c r="S2410">
        <v>-3.0018159999999998</v>
      </c>
      <c r="T2410">
        <v>-0.10655240000000001</v>
      </c>
      <c r="U2410">
        <v>-2.8533940000000001E-2</v>
      </c>
      <c r="V2410">
        <v>-2.7139489999999999E-2</v>
      </c>
      <c r="W2410">
        <v>-7.3402250000000002E-2</v>
      </c>
      <c r="X2410">
        <v>0.99693310000000002</v>
      </c>
      <c r="Y2410">
        <v>-1.2559580000000001E-2</v>
      </c>
      <c r="Z2410">
        <v>-3.6774699999999997E-4</v>
      </c>
      <c r="AA2410">
        <v>0.99992110000000001</v>
      </c>
      <c r="AB2410">
        <v>32</v>
      </c>
      <c r="AC2410">
        <v>-31.2485999999999</v>
      </c>
      <c r="AD2410">
        <v>-1.1209050149840001</v>
      </c>
      <c r="AE2410">
        <v>-0.30100000000004401</v>
      </c>
      <c r="AF2410">
        <v>-0.396295223846585</v>
      </c>
      <c r="AG2410">
        <v>-1.1209050149840001</v>
      </c>
      <c r="AH2410">
        <v>31.207379545929001</v>
      </c>
      <c r="AI2410">
        <v>92.056896793392696</v>
      </c>
      <c r="AJ2410">
        <v>90.727546615594505</v>
      </c>
      <c r="AK2410">
        <v>31.230017868722602</v>
      </c>
      <c r="AL2410">
        <v>94.209424803399898</v>
      </c>
      <c r="AM2410">
        <v>91.559376731739604</v>
      </c>
      <c r="AN2410">
        <v>1.0000000240490601</v>
      </c>
    </row>
    <row r="2411" spans="1:40" x14ac:dyDescent="0.25">
      <c r="A2411" t="str">
        <f>"20190303154144474"</f>
        <v>20190303154144474</v>
      </c>
      <c r="B2411" t="str">
        <f>"1551598904461458"</f>
        <v>1551598904461458</v>
      </c>
      <c r="C2411" t="s">
        <v>40</v>
      </c>
      <c r="D2411">
        <v>5.9409349999999996</v>
      </c>
      <c r="E2411">
        <v>0.50574090000000005</v>
      </c>
      <c r="F2411" t="s">
        <v>51</v>
      </c>
      <c r="G2411">
        <v>-285.69589999999999</v>
      </c>
      <c r="H2411" s="1">
        <v>6.1817950000000003E-6</v>
      </c>
      <c r="I2411">
        <v>283.13819999999998</v>
      </c>
      <c r="J2411">
        <v>-255.19900000000001</v>
      </c>
      <c r="K2411">
        <v>1.12083</v>
      </c>
      <c r="L2411">
        <v>283.44150000000002</v>
      </c>
      <c r="M2411">
        <v>-0.99993030000000005</v>
      </c>
      <c r="N2411">
        <v>-1.145083E-2</v>
      </c>
      <c r="O2411">
        <v>2.9153619999999999E-3</v>
      </c>
      <c r="P2411">
        <v>-0.99602619999999997</v>
      </c>
      <c r="Q2411">
        <v>-8.5235610000000003E-2</v>
      </c>
      <c r="R2411">
        <v>-2.582723E-2</v>
      </c>
      <c r="S2411">
        <v>-3.0016630000000002</v>
      </c>
      <c r="T2411">
        <v>-0.109219899999999</v>
      </c>
      <c r="U2411">
        <v>-2.9479979999999999E-2</v>
      </c>
      <c r="V2411">
        <v>-2.869443E-2</v>
      </c>
      <c r="W2411">
        <v>-7.3839859999999993E-2</v>
      </c>
      <c r="X2411">
        <v>0.9968572</v>
      </c>
      <c r="Y2411">
        <v>-1.272413E-2</v>
      </c>
      <c r="Z2411">
        <v>-3.7696419999999999E-4</v>
      </c>
      <c r="AA2411">
        <v>0.999919</v>
      </c>
      <c r="AB2411">
        <v>32</v>
      </c>
      <c r="AC2411">
        <v>-30.496899999999901</v>
      </c>
      <c r="AD2411">
        <v>-1.1208238182050001</v>
      </c>
      <c r="AE2411">
        <v>-0.30330000000003499</v>
      </c>
      <c r="AF2411">
        <v>-0.39168503177027297</v>
      </c>
      <c r="AG2411">
        <v>-1.1208238182050001</v>
      </c>
      <c r="AH2411">
        <v>30.454754507388898</v>
      </c>
      <c r="AI2411">
        <v>92.107526456693094</v>
      </c>
      <c r="AJ2411">
        <v>90.7368524989772</v>
      </c>
      <c r="AK2411">
        <v>30.477889285527901</v>
      </c>
      <c r="AL2411">
        <v>94.234566396180796</v>
      </c>
      <c r="AM2411">
        <v>91.648797725909105</v>
      </c>
      <c r="AN2411">
        <v>0.99999998621484198</v>
      </c>
    </row>
    <row r="2412" spans="1:40" x14ac:dyDescent="0.25">
      <c r="A2412" t="str">
        <f>"20190303154144496"</f>
        <v>20190303154144496</v>
      </c>
      <c r="B2412" t="str">
        <f>"1551598904491714"</f>
        <v>1551598904491714</v>
      </c>
      <c r="C2412" t="s">
        <v>40</v>
      </c>
      <c r="D2412">
        <v>5.9706340000000004</v>
      </c>
      <c r="E2412">
        <v>0.50586319999999996</v>
      </c>
      <c r="F2412" t="s">
        <v>51</v>
      </c>
      <c r="G2412">
        <v>-285.16379999999998</v>
      </c>
      <c r="H2412" s="1">
        <v>6.4254920000000003E-6</v>
      </c>
      <c r="I2412">
        <v>283.10090000000002</v>
      </c>
      <c r="J2412">
        <v>-255.5196</v>
      </c>
      <c r="K2412">
        <v>1.1207469999999999</v>
      </c>
      <c r="L2412">
        <v>283.44220000000001</v>
      </c>
      <c r="M2412">
        <v>-0.99992809999999999</v>
      </c>
      <c r="N2412">
        <v>-1.1654909999999999E-2</v>
      </c>
      <c r="O2412">
        <v>2.8401030000000001E-3</v>
      </c>
      <c r="P2412">
        <v>-0.99586600000000003</v>
      </c>
      <c r="Q2412">
        <v>-8.6367609999999997E-2</v>
      </c>
      <c r="R2412">
        <v>-2.8138010000000001E-2</v>
      </c>
      <c r="S2412">
        <v>-3.001465</v>
      </c>
      <c r="T2412">
        <v>-0.1122689</v>
      </c>
      <c r="U2412">
        <v>-3.411865E-2</v>
      </c>
      <c r="V2412">
        <v>-3.0944369999999999E-2</v>
      </c>
      <c r="W2412">
        <v>-7.4765239999999997E-2</v>
      </c>
      <c r="X2412">
        <v>0.99672090000000002</v>
      </c>
      <c r="Y2412">
        <v>-1.4192710000000001E-2</v>
      </c>
      <c r="Z2412">
        <v>-4.2118629999999998E-4</v>
      </c>
      <c r="AA2412">
        <v>0.99989919999999999</v>
      </c>
      <c r="AB2412">
        <v>32</v>
      </c>
      <c r="AC2412">
        <v>-29.644199999999898</v>
      </c>
      <c r="AD2412">
        <v>-1.1207405745079999</v>
      </c>
      <c r="AE2412">
        <v>-0.341299999999989</v>
      </c>
      <c r="AF2412">
        <v>-0.42488969432660501</v>
      </c>
      <c r="AG2412">
        <v>-1.1207405745079999</v>
      </c>
      <c r="AH2412">
        <v>29.600807492328801</v>
      </c>
      <c r="AI2412">
        <v>92.168063918176301</v>
      </c>
      <c r="AJ2412">
        <v>90.822366569160394</v>
      </c>
      <c r="AK2412">
        <v>29.625063626692899</v>
      </c>
      <c r="AL2412">
        <v>94.287733788617004</v>
      </c>
      <c r="AM2412">
        <v>91.778243529953798</v>
      </c>
      <c r="AN2412">
        <v>0.99999997382188099</v>
      </c>
    </row>
    <row r="2413" spans="1:40" x14ac:dyDescent="0.25">
      <c r="A2413" t="str">
        <f>"20190303154144520"</f>
        <v>20190303154144520</v>
      </c>
      <c r="B2413" t="str">
        <f>"1551598904512210"</f>
        <v>1551598904512210</v>
      </c>
      <c r="C2413" t="s">
        <v>40</v>
      </c>
      <c r="D2413">
        <v>5.956861</v>
      </c>
      <c r="E2413">
        <v>0.50594459999999997</v>
      </c>
      <c r="F2413" t="s">
        <v>51</v>
      </c>
      <c r="G2413">
        <v>-284.1986</v>
      </c>
      <c r="H2413" s="1">
        <v>6.8619619999999999E-6</v>
      </c>
      <c r="I2413">
        <v>283.05990000000003</v>
      </c>
      <c r="J2413">
        <v>-255.8655</v>
      </c>
      <c r="K2413">
        <v>1.120681</v>
      </c>
      <c r="L2413">
        <v>283.44310000000002</v>
      </c>
      <c r="M2413">
        <v>-0.99992590000000003</v>
      </c>
      <c r="N2413">
        <v>-1.184458E-2</v>
      </c>
      <c r="O2413">
        <v>2.8561699999999999E-3</v>
      </c>
      <c r="P2413">
        <v>-0.99575029999999998</v>
      </c>
      <c r="Q2413">
        <v>-8.7165820000000005E-2</v>
      </c>
      <c r="R2413">
        <v>-2.9728089999999999E-2</v>
      </c>
      <c r="S2413">
        <v>-3.001144</v>
      </c>
      <c r="T2413">
        <v>-0.117281</v>
      </c>
      <c r="U2413">
        <v>-4.0008540000000002E-2</v>
      </c>
      <c r="V2413">
        <v>-3.2563050000000003E-2</v>
      </c>
      <c r="W2413">
        <v>-7.5370510000000002E-2</v>
      </c>
      <c r="X2413">
        <v>0.99662379999999995</v>
      </c>
      <c r="Y2413">
        <v>-1.616884E-2</v>
      </c>
      <c r="Z2413">
        <v>-4.8935389999999997E-4</v>
      </c>
      <c r="AA2413">
        <v>0.99986920000000001</v>
      </c>
      <c r="AB2413">
        <v>32</v>
      </c>
      <c r="AC2413">
        <v>-28.333100000000002</v>
      </c>
      <c r="AD2413">
        <v>-1.1206741380380001</v>
      </c>
      <c r="AE2413">
        <v>-0.38319999999998799</v>
      </c>
      <c r="AF2413">
        <v>-0.463403400175734</v>
      </c>
      <c r="AG2413">
        <v>-1.1206741380380001</v>
      </c>
      <c r="AH2413">
        <v>28.287642448485201</v>
      </c>
      <c r="AI2413">
        <v>92.268401711524803</v>
      </c>
      <c r="AJ2413">
        <v>90.938525872313505</v>
      </c>
      <c r="AK2413">
        <v>28.313625139291201</v>
      </c>
      <c r="AL2413">
        <v>94.322511080406798</v>
      </c>
      <c r="AM2413">
        <v>91.871379993671098</v>
      </c>
      <c r="AN2413">
        <v>1.0000000323647</v>
      </c>
    </row>
    <row r="2414" spans="1:40" x14ac:dyDescent="0.25">
      <c r="A2414" t="str">
        <f>"20190303154144543"</f>
        <v>20190303154144543</v>
      </c>
      <c r="B2414" t="str">
        <f>"1551598904531729"</f>
        <v>1551598904531729</v>
      </c>
      <c r="C2414" t="s">
        <v>40</v>
      </c>
      <c r="D2414">
        <v>6.0017449999999997</v>
      </c>
      <c r="E2414">
        <v>0.50598859999999901</v>
      </c>
      <c r="F2414" t="s">
        <v>51</v>
      </c>
      <c r="G2414">
        <v>-283.73939999999999</v>
      </c>
      <c r="H2414" s="1">
        <v>7.0708229999999997E-6</v>
      </c>
      <c r="I2414">
        <v>283.03460000000001</v>
      </c>
      <c r="J2414">
        <v>-256.19529999999997</v>
      </c>
      <c r="K2414">
        <v>1.12063</v>
      </c>
      <c r="L2414">
        <v>283.44400000000002</v>
      </c>
      <c r="M2414">
        <v>-0.99992380000000003</v>
      </c>
      <c r="N2414">
        <v>-1.2001879999999999E-2</v>
      </c>
      <c r="O2414">
        <v>2.933162E-3</v>
      </c>
      <c r="P2414">
        <v>-0.99568100000000004</v>
      </c>
      <c r="Q2414">
        <v>-8.779576E-2</v>
      </c>
      <c r="R2414">
        <v>-3.0194249999999999E-2</v>
      </c>
      <c r="S2414">
        <v>-3.0009000000000001</v>
      </c>
      <c r="T2414">
        <v>-0.1206516</v>
      </c>
      <c r="U2414">
        <v>-4.397583E-2</v>
      </c>
      <c r="V2414">
        <v>-3.3115980000000003E-2</v>
      </c>
      <c r="W2414">
        <v>-7.5840110000000002E-2</v>
      </c>
      <c r="X2414">
        <v>0.99656990000000001</v>
      </c>
      <c r="Y2414">
        <v>-1.7566040000000002E-2</v>
      </c>
      <c r="Z2414">
        <v>-5.4112050000000003E-4</v>
      </c>
      <c r="AA2414">
        <v>0.9998456</v>
      </c>
      <c r="AB2414">
        <v>32</v>
      </c>
      <c r="AC2414">
        <v>-27.5441</v>
      </c>
      <c r="AD2414">
        <v>-1.120622929177</v>
      </c>
      <c r="AE2414">
        <v>-0.40940000000000498</v>
      </c>
      <c r="AF2414">
        <v>-0.48938548209451299</v>
      </c>
      <c r="AG2414">
        <v>-1.120622929177</v>
      </c>
      <c r="AH2414">
        <v>27.497275944319298</v>
      </c>
      <c r="AI2414">
        <v>92.333369433495207</v>
      </c>
      <c r="AJ2414">
        <v>91.019619642639398</v>
      </c>
      <c r="AK2414">
        <v>27.5244523698024</v>
      </c>
      <c r="AL2414">
        <v>94.349494645827903</v>
      </c>
      <c r="AM2414">
        <v>91.903236250372601</v>
      </c>
      <c r="AN2414">
        <v>0.99999997800109097</v>
      </c>
    </row>
    <row r="2415" spans="1:40" x14ac:dyDescent="0.25">
      <c r="A2415" t="str">
        <f>"20190303154144563"</f>
        <v>20190303154144563</v>
      </c>
      <c r="B2415" t="str">
        <f>"1551598904552226"</f>
        <v>1551598904552226</v>
      </c>
      <c r="C2415" t="s">
        <v>40</v>
      </c>
      <c r="D2415">
        <v>5.9565000000000001</v>
      </c>
      <c r="E2415">
        <v>0.50842989999999999</v>
      </c>
      <c r="F2415" t="s">
        <v>51</v>
      </c>
      <c r="G2415">
        <v>-283.5034</v>
      </c>
      <c r="H2415" s="1">
        <v>7.1752189999999998E-6</v>
      </c>
      <c r="I2415">
        <v>283.03579999999999</v>
      </c>
      <c r="J2415">
        <v>-256.49869999999999</v>
      </c>
      <c r="K2415">
        <v>1.1205969999999901</v>
      </c>
      <c r="L2415">
        <v>283.44499999999999</v>
      </c>
      <c r="M2415">
        <v>-0.99992190000000003</v>
      </c>
      <c r="N2415">
        <v>-1.2128420000000001E-2</v>
      </c>
      <c r="O2415">
        <v>3.042239E-3</v>
      </c>
      <c r="P2415">
        <v>-0.99561580000000005</v>
      </c>
      <c r="Q2415">
        <v>-8.8708129999999996E-2</v>
      </c>
      <c r="R2415">
        <v>-2.9668179999999999E-2</v>
      </c>
      <c r="S2415">
        <v>-3.0007929999999998</v>
      </c>
      <c r="T2415">
        <v>-0.1231411</v>
      </c>
      <c r="U2415">
        <v>-4.4860839999999999E-2</v>
      </c>
      <c r="V2415">
        <v>-3.2706279999999997E-2</v>
      </c>
      <c r="W2415">
        <v>-7.6623570000000002E-2</v>
      </c>
      <c r="X2415">
        <v>0.99652350000000001</v>
      </c>
      <c r="Y2415">
        <v>-1.7969180000000001E-2</v>
      </c>
      <c r="Z2415">
        <v>-5.6545290000000002E-4</v>
      </c>
      <c r="AA2415">
        <v>0.99983840000000002</v>
      </c>
      <c r="AB2415">
        <v>32</v>
      </c>
      <c r="AC2415">
        <v>-27.0047</v>
      </c>
      <c r="AD2415">
        <v>-1.12058982478099</v>
      </c>
      <c r="AE2415">
        <v>-0.40919999999999801</v>
      </c>
      <c r="AF2415">
        <v>-0.49051445814161998</v>
      </c>
      <c r="AG2415">
        <v>-1.12058982478099</v>
      </c>
      <c r="AH2415">
        <v>26.9569228515291</v>
      </c>
      <c r="AI2415">
        <v>92.380001419947305</v>
      </c>
      <c r="AJ2415">
        <v>91.042452330164195</v>
      </c>
      <c r="AK2415">
        <v>26.984662599564601</v>
      </c>
      <c r="AL2415">
        <v>94.3945145970808</v>
      </c>
      <c r="AM2415">
        <v>91.879794495373204</v>
      </c>
      <c r="AN2415">
        <v>0.99999997914161598</v>
      </c>
    </row>
    <row r="2416" spans="1:40" x14ac:dyDescent="0.25">
      <c r="A2416" t="str">
        <f>"20190303154144585"</f>
        <v>20190303154144585</v>
      </c>
      <c r="B2416" t="str">
        <f>"1551598904581506"</f>
        <v>1551598904581506</v>
      </c>
      <c r="C2416" t="s">
        <v>40</v>
      </c>
      <c r="D2416">
        <v>5.9850690000000002</v>
      </c>
      <c r="E2416">
        <v>0.50930909999999996</v>
      </c>
      <c r="F2416" t="s">
        <v>50</v>
      </c>
      <c r="G2416">
        <v>-275.70580000000001</v>
      </c>
      <c r="H2416" s="1">
        <v>1.557218E-6</v>
      </c>
      <c r="I2416">
        <v>283.29739999999998</v>
      </c>
      <c r="J2416">
        <v>-256.81189999999998</v>
      </c>
      <c r="K2416">
        <v>1.1205510000000001</v>
      </c>
      <c r="L2416">
        <v>283.4461</v>
      </c>
      <c r="M2416">
        <v>-0.99992020000000004</v>
      </c>
      <c r="N2416">
        <v>-1.2234200000000001E-2</v>
      </c>
      <c r="O2416">
        <v>3.1772089999999998E-3</v>
      </c>
      <c r="P2416">
        <v>-0.9957066</v>
      </c>
      <c r="Q2416">
        <v>-8.8076020000000005E-2</v>
      </c>
      <c r="R2416">
        <v>-2.848316E-2</v>
      </c>
      <c r="S2416">
        <v>-2.9969480000000002</v>
      </c>
      <c r="T2416">
        <v>-0.1748497</v>
      </c>
      <c r="U2416">
        <v>-2.3040769999999999E-2</v>
      </c>
      <c r="V2416">
        <v>-3.1663620000000003E-2</v>
      </c>
      <c r="W2416">
        <v>-7.5881889999999994E-2</v>
      </c>
      <c r="X2416">
        <v>0.99661390000000005</v>
      </c>
      <c r="Y2416">
        <v>-1.083949E-2</v>
      </c>
      <c r="Z2416">
        <v>-5.2866800000000004E-4</v>
      </c>
      <c r="AA2416">
        <v>0.99994110000000003</v>
      </c>
      <c r="AB2416">
        <v>32</v>
      </c>
      <c r="AC2416">
        <v>-18.893899999999999</v>
      </c>
      <c r="AD2416">
        <v>-1.120549442782</v>
      </c>
      <c r="AE2416">
        <v>-0.14870000000001901</v>
      </c>
      <c r="AF2416">
        <v>-0.20800203009867299</v>
      </c>
      <c r="AG2416">
        <v>-1.120549442782</v>
      </c>
      <c r="AH2416">
        <v>18.827114193343</v>
      </c>
      <c r="AI2416">
        <v>93.405896397029906</v>
      </c>
      <c r="AJ2416">
        <v>90.632978240071594</v>
      </c>
      <c r="AK2416">
        <v>18.861578002580298</v>
      </c>
      <c r="AL2416">
        <v>94.351895478012395</v>
      </c>
      <c r="AM2416">
        <v>91.819743572634394</v>
      </c>
      <c r="AN2416">
        <v>0.99999995586734203</v>
      </c>
    </row>
    <row r="2417" spans="1:40" x14ac:dyDescent="0.25">
      <c r="A2417" t="str">
        <f>"20190303154144607"</f>
        <v>20190303154144607</v>
      </c>
      <c r="B2417" t="str">
        <f>"1551598904602002"</f>
        <v>1551598904602002</v>
      </c>
      <c r="C2417" t="s">
        <v>40</v>
      </c>
      <c r="D2417">
        <v>6.1355339999999998</v>
      </c>
      <c r="E2417">
        <v>0.51267309999999999</v>
      </c>
      <c r="F2417" t="s">
        <v>50</v>
      </c>
      <c r="G2417">
        <v>-277.23180000000002</v>
      </c>
      <c r="H2417" s="1">
        <v>2.3665079999999999E-6</v>
      </c>
      <c r="I2417">
        <v>283.36110000000002</v>
      </c>
      <c r="J2417">
        <v>-257.14080000000001</v>
      </c>
      <c r="K2417">
        <v>1.1203650000000001</v>
      </c>
      <c r="L2417">
        <v>283.44720000000001</v>
      </c>
      <c r="M2417">
        <v>-0.99992559999999997</v>
      </c>
      <c r="N2417">
        <v>-1.1731709999999999E-2</v>
      </c>
      <c r="O2417">
        <v>3.3294940000000001E-3</v>
      </c>
      <c r="P2417">
        <v>-0.99586459999999999</v>
      </c>
      <c r="Q2417">
        <v>-8.6993230000000005E-2</v>
      </c>
      <c r="R2417">
        <v>-2.6187499999999999E-2</v>
      </c>
      <c r="S2417">
        <v>-2.9980159999999998</v>
      </c>
      <c r="T2417">
        <v>-0.16451669999999999</v>
      </c>
      <c r="U2417">
        <v>-1.248169E-2</v>
      </c>
      <c r="V2417">
        <v>-2.952494E-2</v>
      </c>
      <c r="W2417">
        <v>-7.5296689999999999E-2</v>
      </c>
      <c r="X2417">
        <v>0.9967239</v>
      </c>
      <c r="Y2417">
        <v>-7.4761979999999999E-3</v>
      </c>
      <c r="Z2417">
        <v>-3.9239960000000002E-4</v>
      </c>
      <c r="AA2417">
        <v>0.99997199999999997</v>
      </c>
      <c r="AB2417">
        <v>32</v>
      </c>
      <c r="AC2417">
        <v>-20.091000000000001</v>
      </c>
      <c r="AD2417">
        <v>-1.120362633492</v>
      </c>
      <c r="AE2417">
        <v>-8.6099999999987603E-2</v>
      </c>
      <c r="AF2417">
        <v>-0.15252270662480499</v>
      </c>
      <c r="AG2417">
        <v>-1.120362633492</v>
      </c>
      <c r="AH2417">
        <v>20.0283216341337</v>
      </c>
      <c r="AI2417">
        <v>93.201634453526907</v>
      </c>
      <c r="AJ2417">
        <v>90.436319058657404</v>
      </c>
      <c r="AK2417">
        <v>20.060212937226499</v>
      </c>
      <c r="AL2417">
        <v>94.318269925250902</v>
      </c>
      <c r="AM2417">
        <v>91.696718544849702</v>
      </c>
      <c r="AN2417">
        <v>0.99999992321908104</v>
      </c>
    </row>
    <row r="2418" spans="1:40" x14ac:dyDescent="0.25">
      <c r="A2418" t="str">
        <f>"20190303154144630"</f>
        <v>20190303154144630</v>
      </c>
      <c r="B2418" t="str">
        <f>"1551598904621522"</f>
        <v>1551598904621522</v>
      </c>
      <c r="C2418" t="s">
        <v>40</v>
      </c>
      <c r="D2418">
        <v>6.1397579999999996</v>
      </c>
      <c r="E2418">
        <v>0.51387129999999903</v>
      </c>
      <c r="F2418" t="s">
        <v>50</v>
      </c>
      <c r="G2418">
        <v>-278.56920000000002</v>
      </c>
      <c r="H2418" s="1">
        <v>3.0677689999999999E-6</v>
      </c>
      <c r="I2418">
        <v>283.5985</v>
      </c>
      <c r="J2418">
        <v>-257.47070000000002</v>
      </c>
      <c r="K2418">
        <v>1.120047</v>
      </c>
      <c r="L2418">
        <v>283.44850000000002</v>
      </c>
      <c r="M2418">
        <v>-0.99993860000000001</v>
      </c>
      <c r="N2418">
        <v>-1.05267E-2</v>
      </c>
      <c r="O2418">
        <v>3.4845929999999998E-3</v>
      </c>
      <c r="P2418">
        <v>-0.99605440000000001</v>
      </c>
      <c r="Q2418">
        <v>-8.5541430000000002E-2</v>
      </c>
      <c r="R2418">
        <v>-2.363968E-2</v>
      </c>
      <c r="S2418">
        <v>-2.9993289999999999</v>
      </c>
      <c r="T2418">
        <v>-0.1568176</v>
      </c>
      <c r="U2418">
        <v>2.1179199999999999E-2</v>
      </c>
      <c r="V2418">
        <v>-2.7133319999999999E-2</v>
      </c>
      <c r="W2418">
        <v>-7.5044299999999994E-2</v>
      </c>
      <c r="X2418">
        <v>0.996811</v>
      </c>
      <c r="Y2418">
        <v>3.5735659999999998E-3</v>
      </c>
      <c r="Z2418" s="1">
        <v>-3.3219010000000002E-5</v>
      </c>
      <c r="AA2418">
        <v>0.99999360000000004</v>
      </c>
      <c r="AB2418">
        <v>32</v>
      </c>
      <c r="AC2418">
        <v>-21.098500000000001</v>
      </c>
      <c r="AD2418">
        <v>-1.1200439322310001</v>
      </c>
      <c r="AE2418">
        <v>0.14999999999997701</v>
      </c>
      <c r="AF2418">
        <v>7.62604319672541E-2</v>
      </c>
      <c r="AG2418">
        <v>-1.1200439322310001</v>
      </c>
      <c r="AH2418">
        <v>21.039604456703099</v>
      </c>
      <c r="AI2418">
        <v>93.047246000927998</v>
      </c>
      <c r="AJ2418">
        <v>89.792325860027105</v>
      </c>
      <c r="AK2418">
        <v>21.069534160919002</v>
      </c>
      <c r="AL2418">
        <v>94.3037676081738</v>
      </c>
      <c r="AM2418">
        <v>91.559213263148905</v>
      </c>
      <c r="AN2418">
        <v>1.0000000168688501</v>
      </c>
    </row>
    <row r="2419" spans="1:40" x14ac:dyDescent="0.25">
      <c r="A2419" t="str">
        <f>"20190303154144643"</f>
        <v>20190303154144643</v>
      </c>
      <c r="B2419" t="str">
        <f>"1551598904632258"</f>
        <v>1551598904632258</v>
      </c>
      <c r="C2419" t="s">
        <v>40</v>
      </c>
      <c r="D2419">
        <v>6.1334330000000001</v>
      </c>
      <c r="E2419">
        <v>0.51425399999999999</v>
      </c>
      <c r="F2419" t="s">
        <v>50</v>
      </c>
      <c r="G2419">
        <v>-278.20330000000001</v>
      </c>
      <c r="H2419" s="1">
        <v>2.8679990000000001E-6</v>
      </c>
      <c r="I2419">
        <v>283.71480000000003</v>
      </c>
      <c r="J2419">
        <v>-257.66770000000002</v>
      </c>
      <c r="K2419">
        <v>1.119869</v>
      </c>
      <c r="L2419">
        <v>283.44929999999999</v>
      </c>
      <c r="M2419">
        <v>-0.99994620000000001</v>
      </c>
      <c r="N2419">
        <v>-9.7372589999999998E-3</v>
      </c>
      <c r="O2419">
        <v>3.5786540000000001E-3</v>
      </c>
      <c r="P2419">
        <v>-0.99616309999999997</v>
      </c>
      <c r="Q2419">
        <v>-8.4517969999999998E-2</v>
      </c>
      <c r="R2419">
        <v>-2.2708329999999999E-2</v>
      </c>
      <c r="S2419">
        <v>-2.998901</v>
      </c>
      <c r="T2419">
        <v>-0.16201079999999901</v>
      </c>
      <c r="U2419">
        <v>3.8513180000000001E-2</v>
      </c>
      <c r="V2419">
        <v>-2.6295789999999999E-2</v>
      </c>
      <c r="W2419">
        <v>-7.4807100000000001E-2</v>
      </c>
      <c r="X2419">
        <v>0.9968513</v>
      </c>
      <c r="Y2419">
        <v>9.2503480000000003E-3</v>
      </c>
      <c r="Z2419">
        <v>1.3639770000000001E-4</v>
      </c>
      <c r="AA2419">
        <v>0.99995719999999999</v>
      </c>
      <c r="AB2419">
        <v>33</v>
      </c>
      <c r="AC2419">
        <v>-20.535599999999899</v>
      </c>
      <c r="AD2419">
        <v>-1.1198661320009999</v>
      </c>
      <c r="AE2419">
        <v>0.26550000000003099</v>
      </c>
      <c r="AF2419">
        <v>0.19143580525597201</v>
      </c>
      <c r="AG2419">
        <v>-1.1198661320009999</v>
      </c>
      <c r="AH2419">
        <v>20.475537894180899</v>
      </c>
      <c r="AI2419">
        <v>93.130415636091598</v>
      </c>
      <c r="AJ2419">
        <v>89.464329378446493</v>
      </c>
      <c r="AK2419">
        <v>20.507032936950498</v>
      </c>
      <c r="AL2419">
        <v>94.290138629979793</v>
      </c>
      <c r="AM2419">
        <v>91.511046301822802</v>
      </c>
      <c r="AN2419">
        <v>1.00000004254691</v>
      </c>
    </row>
    <row r="2420" spans="1:40" x14ac:dyDescent="0.25">
      <c r="A2420" t="str">
        <f>"20190303154144664"</f>
        <v>20190303154144664</v>
      </c>
      <c r="B2420" t="str">
        <f>"1551598904651779"</f>
        <v>1551598904651779</v>
      </c>
      <c r="C2420" t="s">
        <v>40</v>
      </c>
      <c r="D2420">
        <v>6.1162679999999998</v>
      </c>
      <c r="E2420">
        <v>0.51496489999999995</v>
      </c>
      <c r="F2420" t="s">
        <v>50</v>
      </c>
      <c r="G2420">
        <v>-278.26229999999998</v>
      </c>
      <c r="H2420" s="1">
        <v>2.897685E-6</v>
      </c>
      <c r="I2420">
        <v>283.75400000000002</v>
      </c>
      <c r="J2420">
        <v>-257.97089999999997</v>
      </c>
      <c r="K2420">
        <v>1.119637</v>
      </c>
      <c r="L2420">
        <v>283.45049999999998</v>
      </c>
      <c r="M2420">
        <v>-0.99995679999999998</v>
      </c>
      <c r="N2420">
        <v>-8.5250489999999998E-3</v>
      </c>
      <c r="O2420">
        <v>3.7229889999999999E-3</v>
      </c>
      <c r="P2420">
        <v>-0.99630929999999995</v>
      </c>
      <c r="Q2420">
        <v>-8.3151409999999995E-2</v>
      </c>
      <c r="R2420">
        <v>-2.1309539999999998E-2</v>
      </c>
      <c r="S2420">
        <v>-2.9987180000000002</v>
      </c>
      <c r="T2420">
        <v>-0.16306039999999999</v>
      </c>
      <c r="U2420">
        <v>4.4372559999999998E-2</v>
      </c>
      <c r="V2420">
        <v>-2.504023E-2</v>
      </c>
      <c r="W2420">
        <v>-7.4648270000000003E-2</v>
      </c>
      <c r="X2420">
        <v>0.99689550000000005</v>
      </c>
      <c r="Y2420">
        <v>1.105775E-2</v>
      </c>
      <c r="Z2420">
        <v>1.77017599999999E-4</v>
      </c>
      <c r="AA2420">
        <v>0.99993880000000002</v>
      </c>
      <c r="AB2420">
        <v>33</v>
      </c>
      <c r="AC2420">
        <v>-20.291399999999999</v>
      </c>
      <c r="AD2420">
        <v>-1.119634102315</v>
      </c>
      <c r="AE2420">
        <v>0.30350000000004201</v>
      </c>
      <c r="AF2420">
        <v>0.22725874345463401</v>
      </c>
      <c r="AG2420">
        <v>-1.119634102315</v>
      </c>
      <c r="AH2420">
        <v>20.230808675960802</v>
      </c>
      <c r="AI2420">
        <v>93.167490770902205</v>
      </c>
      <c r="AJ2420">
        <v>89.356406389134705</v>
      </c>
      <c r="AK2420">
        <v>20.263041399130401</v>
      </c>
      <c r="AL2420">
        <v>94.281012975521193</v>
      </c>
      <c r="AM2420">
        <v>91.438864838100301</v>
      </c>
      <c r="AN2420">
        <v>1.00000000762634</v>
      </c>
    </row>
    <row r="2421" spans="1:40" x14ac:dyDescent="0.25">
      <c r="A2421" t="str">
        <f>"20190303154144685"</f>
        <v>20190303154144685</v>
      </c>
      <c r="B2421" t="str">
        <f>"1551598904682035"</f>
        <v>1551598904682035</v>
      </c>
      <c r="C2421" t="s">
        <v>40</v>
      </c>
      <c r="D2421">
        <v>6.1237949999999897</v>
      </c>
      <c r="E2421">
        <v>0.51666590000000001</v>
      </c>
      <c r="F2421" t="s">
        <v>50</v>
      </c>
      <c r="G2421">
        <v>-278.32479999999998</v>
      </c>
      <c r="H2421" s="1">
        <v>2.9280830000000001E-6</v>
      </c>
      <c r="I2421">
        <v>283.81920000000002</v>
      </c>
      <c r="J2421">
        <v>-258.29700000000003</v>
      </c>
      <c r="K2421">
        <v>1.119429</v>
      </c>
      <c r="L2421">
        <v>283.45179999999999</v>
      </c>
      <c r="M2421">
        <v>-0.99996629999999997</v>
      </c>
      <c r="N2421">
        <v>-7.2534130000000002E-3</v>
      </c>
      <c r="O2421">
        <v>3.8750529999999998E-3</v>
      </c>
      <c r="P2421">
        <v>-0.99643820000000005</v>
      </c>
      <c r="Q2421">
        <v>-8.1643129999999994E-2</v>
      </c>
      <c r="R2421">
        <v>-2.1107069999999999E-2</v>
      </c>
      <c r="S2421">
        <v>-2.998535</v>
      </c>
      <c r="T2421">
        <v>-0.16494429999999999</v>
      </c>
      <c r="U2421">
        <v>5.4321290000000001E-2</v>
      </c>
      <c r="V2421">
        <v>-2.498935E-2</v>
      </c>
      <c r="W2421">
        <v>-7.4406899999999998E-2</v>
      </c>
      <c r="X2421">
        <v>0.99691479999999999</v>
      </c>
      <c r="Y2421">
        <v>1.4218400000000001E-2</v>
      </c>
      <c r="Z2421">
        <v>2.5746059999999998E-4</v>
      </c>
      <c r="AA2421">
        <v>0.99989890000000003</v>
      </c>
      <c r="AB2421">
        <v>33</v>
      </c>
      <c r="AC2421">
        <v>-20.0277999999999</v>
      </c>
      <c r="AD2421">
        <v>-1.1194260719169999</v>
      </c>
      <c r="AE2421">
        <v>0.36740000000003098</v>
      </c>
      <c r="AF2421">
        <v>0.28888422377941703</v>
      </c>
      <c r="AG2421">
        <v>-1.1194260719169999</v>
      </c>
      <c r="AH2421">
        <v>19.9667164037132</v>
      </c>
      <c r="AI2421">
        <v>93.208570841932001</v>
      </c>
      <c r="AJ2421">
        <v>89.171085938192405</v>
      </c>
      <c r="AK2421">
        <v>20.000158318661999</v>
      </c>
      <c r="AL2421">
        <v>94.267145016243305</v>
      </c>
      <c r="AM2421">
        <v>91.435914602670906</v>
      </c>
      <c r="AN2421">
        <v>0.99999998642003596</v>
      </c>
    </row>
    <row r="2422" spans="1:40" x14ac:dyDescent="0.25">
      <c r="A2422" t="str">
        <f>"20190303154144699"</f>
        <v>20190303154144699</v>
      </c>
      <c r="B2422" t="str">
        <f>"1551598904691795"</f>
        <v>1551598904691795</v>
      </c>
      <c r="C2422" t="s">
        <v>40</v>
      </c>
      <c r="D2422">
        <v>5.989223</v>
      </c>
      <c r="E2422">
        <v>0.51748549999999904</v>
      </c>
      <c r="F2422" t="s">
        <v>50</v>
      </c>
      <c r="G2422">
        <v>-279.53949999999998</v>
      </c>
      <c r="H2422" s="1">
        <v>3.5693930000000001E-6</v>
      </c>
      <c r="I2422">
        <v>283.9359</v>
      </c>
      <c r="J2422">
        <v>-258.4984</v>
      </c>
      <c r="K2422">
        <v>1.1193139999999999</v>
      </c>
      <c r="L2422">
        <v>283.45260000000002</v>
      </c>
      <c r="M2422">
        <v>-0.99997119999999995</v>
      </c>
      <c r="N2422">
        <v>-6.4917369999999896E-3</v>
      </c>
      <c r="O2422">
        <v>3.9657360000000001E-3</v>
      </c>
      <c r="P2422">
        <v>-0.99648530000000002</v>
      </c>
      <c r="Q2422">
        <v>-8.0995659999999997E-2</v>
      </c>
      <c r="R2422">
        <v>-2.137416E-2</v>
      </c>
      <c r="S2422">
        <v>-2.9992070000000002</v>
      </c>
      <c r="T2422">
        <v>-0.15805050000000001</v>
      </c>
      <c r="U2422">
        <v>6.8359379999999997E-2</v>
      </c>
      <c r="V2422">
        <v>-2.5347560000000002E-2</v>
      </c>
      <c r="W2422">
        <v>-7.4518310000000004E-2</v>
      </c>
      <c r="X2422">
        <v>0.99689749999999999</v>
      </c>
      <c r="Y2422">
        <v>1.879654E-2</v>
      </c>
      <c r="Z2422">
        <v>3.7284139999999998E-4</v>
      </c>
      <c r="AA2422">
        <v>0.99982329999999997</v>
      </c>
      <c r="AB2422">
        <v>34</v>
      </c>
      <c r="AC2422">
        <v>-21.041099999999901</v>
      </c>
      <c r="AD2422">
        <v>-1.1193104306070001</v>
      </c>
      <c r="AE2422">
        <v>0.48329999999998502</v>
      </c>
      <c r="AF2422">
        <v>0.398723270443049</v>
      </c>
      <c r="AG2422">
        <v>-1.1193104306070001</v>
      </c>
      <c r="AH2422">
        <v>20.983502253403199</v>
      </c>
      <c r="AI2422">
        <v>93.052850637604394</v>
      </c>
      <c r="AJ2422">
        <v>88.911410908967596</v>
      </c>
      <c r="AK2422">
        <v>21.017116902778</v>
      </c>
      <c r="AL2422">
        <v>94.273545831529006</v>
      </c>
      <c r="AM2422">
        <v>91.456514191160295</v>
      </c>
      <c r="AN2422">
        <v>1.00000005141472</v>
      </c>
    </row>
    <row r="2423" spans="1:40" x14ac:dyDescent="0.25">
      <c r="A2423" t="str">
        <f>"20190303154144722"</f>
        <v>20190303154144722</v>
      </c>
      <c r="B2423" t="str">
        <f>"1551598904712290"</f>
        <v>1551598904712290</v>
      </c>
      <c r="C2423" t="s">
        <v>40</v>
      </c>
      <c r="D2423">
        <v>5.9685620000000004</v>
      </c>
      <c r="E2423">
        <v>0.51889339999999995</v>
      </c>
      <c r="F2423" t="s">
        <v>51</v>
      </c>
      <c r="G2423">
        <v>-280.84699999999998</v>
      </c>
      <c r="H2423" s="1">
        <v>8.1531419999999998E-6</v>
      </c>
      <c r="I2423">
        <v>284.00420000000003</v>
      </c>
      <c r="J2423">
        <v>-258.83420000000001</v>
      </c>
      <c r="K2423">
        <v>1.119157</v>
      </c>
      <c r="L2423">
        <v>283.45400000000001</v>
      </c>
      <c r="M2423">
        <v>-0.99997760000000002</v>
      </c>
      <c r="N2423">
        <v>-5.3117109999999898E-3</v>
      </c>
      <c r="O2423">
        <v>4.1084520000000003E-3</v>
      </c>
      <c r="P2423">
        <v>-0.99657110000000004</v>
      </c>
      <c r="Q2423">
        <v>-7.9732940000000002E-2</v>
      </c>
      <c r="R2423">
        <v>-2.211583E-2</v>
      </c>
      <c r="S2423">
        <v>-2.9999690000000001</v>
      </c>
      <c r="T2423">
        <v>-0.15025060000000001</v>
      </c>
      <c r="U2423">
        <v>7.403564E-2</v>
      </c>
      <c r="V2423">
        <v>-2.6232829999999999E-2</v>
      </c>
      <c r="W2423">
        <v>-7.4430839999999998E-2</v>
      </c>
      <c r="X2423">
        <v>0.99688109999999996</v>
      </c>
      <c r="Y2423">
        <v>2.0539470000000001E-2</v>
      </c>
      <c r="Z2423">
        <v>3.8474899999999999E-4</v>
      </c>
      <c r="AA2423">
        <v>0.99978889999999998</v>
      </c>
      <c r="AB2423">
        <v>34</v>
      </c>
      <c r="AC2423">
        <v>-22.012799999999899</v>
      </c>
      <c r="AD2423">
        <v>-1.119148846858</v>
      </c>
      <c r="AE2423">
        <v>0.55020000000001801</v>
      </c>
      <c r="AF2423">
        <v>0.458570992286924</v>
      </c>
      <c r="AG2423">
        <v>-1.119148846858</v>
      </c>
      <c r="AH2423">
        <v>21.9581529540948</v>
      </c>
      <c r="AI2423">
        <v>92.917054397104593</v>
      </c>
      <c r="AJ2423">
        <v>88.803616869910101</v>
      </c>
      <c r="AK2423">
        <v>21.991436120722401</v>
      </c>
      <c r="AL2423">
        <v>94.268520350174001</v>
      </c>
      <c r="AM2423">
        <v>91.507385034367502</v>
      </c>
      <c r="AN2423">
        <v>1.00000001942506</v>
      </c>
    </row>
    <row r="2424" spans="1:40" x14ac:dyDescent="0.25">
      <c r="A2424" t="str">
        <f>"20190303154144744"</f>
        <v>20190303154144744</v>
      </c>
      <c r="B2424" t="str">
        <f>"1551598904741570"</f>
        <v>1551598904741570</v>
      </c>
      <c r="C2424" t="s">
        <v>40</v>
      </c>
      <c r="D2424">
        <v>5.9687150000000004</v>
      </c>
      <c r="E2424">
        <v>0.52025569999999999</v>
      </c>
      <c r="F2424" t="s">
        <v>51</v>
      </c>
      <c r="G2424">
        <v>-283.59120000000001</v>
      </c>
      <c r="H2424" s="1">
        <v>6.9081790000000003E-6</v>
      </c>
      <c r="I2424">
        <v>284.1397</v>
      </c>
      <c r="J2424">
        <v>-259.1848</v>
      </c>
      <c r="K2424">
        <v>1.1190500000000001</v>
      </c>
      <c r="L2424">
        <v>283.4556</v>
      </c>
      <c r="M2424">
        <v>-0.99998180000000003</v>
      </c>
      <c r="N2424">
        <v>-4.2771399999999996E-3</v>
      </c>
      <c r="O2424">
        <v>4.246728E-3</v>
      </c>
      <c r="P2424">
        <v>-0.99663489999999999</v>
      </c>
      <c r="Q2424">
        <v>-7.8655429999999998E-2</v>
      </c>
      <c r="R2424">
        <v>-2.3068539999999998E-2</v>
      </c>
      <c r="S2424">
        <v>-3.001312</v>
      </c>
      <c r="T2424">
        <v>-0.1356752</v>
      </c>
      <c r="U2424">
        <v>8.3129880000000003E-2</v>
      </c>
      <c r="V2424">
        <v>-2.7325269999999999E-2</v>
      </c>
      <c r="W2424">
        <v>-7.4383450000000004E-2</v>
      </c>
      <c r="X2424">
        <v>0.9968553</v>
      </c>
      <c r="Y2424">
        <v>2.3419229999999999E-2</v>
      </c>
      <c r="Z2424">
        <v>4.0540239999999999E-4</v>
      </c>
      <c r="AA2424">
        <v>0.99972559999999999</v>
      </c>
      <c r="AB2424">
        <v>34</v>
      </c>
      <c r="AC2424">
        <v>-24.406400000000001</v>
      </c>
      <c r="AD2424">
        <v>-1.1190430918209999</v>
      </c>
      <c r="AE2424">
        <v>0.68410000000000004</v>
      </c>
      <c r="AF2424">
        <v>0.57922880417968703</v>
      </c>
      <c r="AG2424">
        <v>-1.1190430918209999</v>
      </c>
      <c r="AH2424">
        <v>24.357918678378802</v>
      </c>
      <c r="AI2424">
        <v>92.629670981475499</v>
      </c>
      <c r="AJ2424">
        <v>88.637768982828504</v>
      </c>
      <c r="AK2424">
        <v>24.390489248710399</v>
      </c>
      <c r="AL2424">
        <v>94.265797516392894</v>
      </c>
      <c r="AM2424">
        <v>91.570168399907303</v>
      </c>
      <c r="AN2424">
        <v>1.00000002857628</v>
      </c>
    </row>
    <row r="2425" spans="1:40" x14ac:dyDescent="0.25">
      <c r="A2425" t="str">
        <f>"20190303154144764"</f>
        <v>20190303154144764</v>
      </c>
      <c r="B2425" t="str">
        <f>"1551598904762066"</f>
        <v>1551598904762066</v>
      </c>
      <c r="C2425" t="s">
        <v>40</v>
      </c>
      <c r="D2425">
        <v>5.9800779999999998</v>
      </c>
      <c r="E2425">
        <v>0.52112700000000001</v>
      </c>
      <c r="F2425" t="s">
        <v>51</v>
      </c>
      <c r="G2425">
        <v>-286.75389999999999</v>
      </c>
      <c r="H2425" s="1">
        <v>5.4742970000000004E-6</v>
      </c>
      <c r="I2425">
        <v>284.29140000000001</v>
      </c>
      <c r="J2425">
        <v>-259.5034</v>
      </c>
      <c r="K2425">
        <v>1.11903</v>
      </c>
      <c r="L2425">
        <v>283.45699999999999</v>
      </c>
      <c r="M2425">
        <v>-0.99998399999999998</v>
      </c>
      <c r="N2425">
        <v>-3.621511E-3</v>
      </c>
      <c r="O2425">
        <v>4.3615049999999999E-3</v>
      </c>
      <c r="P2425">
        <v>-0.99665780000000004</v>
      </c>
      <c r="Q2425">
        <v>-7.8102989999999997E-2</v>
      </c>
      <c r="R2425">
        <v>-2.39422E-2</v>
      </c>
      <c r="S2425">
        <v>-3.0026250000000001</v>
      </c>
      <c r="T2425">
        <v>-0.12187779999999999</v>
      </c>
      <c r="U2425">
        <v>9.1033939999999994E-2</v>
      </c>
      <c r="V2425">
        <v>-2.8315179999999999E-2</v>
      </c>
      <c r="W2425">
        <v>-7.4483540000000001E-2</v>
      </c>
      <c r="X2425">
        <v>0.99682020000000005</v>
      </c>
      <c r="Y2425">
        <v>2.5924119999999998E-2</v>
      </c>
      <c r="Z2425">
        <v>4.1164020000000002E-4</v>
      </c>
      <c r="AA2425">
        <v>0.99966379999999999</v>
      </c>
      <c r="AB2425">
        <v>34</v>
      </c>
      <c r="AC2425">
        <v>-27.250499999999899</v>
      </c>
      <c r="AD2425">
        <v>-1.119024525703</v>
      </c>
      <c r="AE2425">
        <v>0.83440000000001602</v>
      </c>
      <c r="AF2425">
        <v>0.71433465885713698</v>
      </c>
      <c r="AG2425">
        <v>-1.119024525703</v>
      </c>
      <c r="AH2425">
        <v>27.208042606460801</v>
      </c>
      <c r="AI2425">
        <v>92.354348673064095</v>
      </c>
      <c r="AJ2425">
        <v>88.496071121091802</v>
      </c>
      <c r="AK2425">
        <v>27.240412485293898</v>
      </c>
      <c r="AL2425">
        <v>94.271548200916797</v>
      </c>
      <c r="AM2425">
        <v>91.627077963107794</v>
      </c>
      <c r="AN2425">
        <v>1.0000000291386999</v>
      </c>
    </row>
    <row r="2426" spans="1:40" x14ac:dyDescent="0.25">
      <c r="A2426" t="str">
        <f>"20190303154144786"</f>
        <v>20190303154144786</v>
      </c>
      <c r="B2426" t="str">
        <f>"1551598904781586"</f>
        <v>1551598904781586</v>
      </c>
      <c r="C2426" t="s">
        <v>40</v>
      </c>
      <c r="D2426">
        <v>5.9866890000000001</v>
      </c>
      <c r="E2426">
        <v>0.52181199999999905</v>
      </c>
      <c r="F2426" t="s">
        <v>51</v>
      </c>
      <c r="G2426">
        <v>-289.04669999999999</v>
      </c>
      <c r="H2426" s="1">
        <v>4.436239E-6</v>
      </c>
      <c r="I2426">
        <v>284.39449999999999</v>
      </c>
      <c r="J2426">
        <v>-259.8329</v>
      </c>
      <c r="K2426">
        <v>1.1190979999999999</v>
      </c>
      <c r="L2426">
        <v>283.45859999999999</v>
      </c>
      <c r="M2426">
        <v>-0.99998469999999995</v>
      </c>
      <c r="N2426">
        <v>-3.3075840000000001E-3</v>
      </c>
      <c r="O2426">
        <v>4.4695500000000001E-3</v>
      </c>
      <c r="P2426">
        <v>-0.99666429999999995</v>
      </c>
      <c r="Q2426">
        <v>-7.7863509999999997E-2</v>
      </c>
      <c r="R2426">
        <v>-2.4450550000000001E-2</v>
      </c>
      <c r="S2426">
        <v>-3.0034480000000001</v>
      </c>
      <c r="T2426">
        <v>-0.113763</v>
      </c>
      <c r="U2426">
        <v>9.5306399999999999E-2</v>
      </c>
      <c r="V2426">
        <v>-2.893246E-2</v>
      </c>
      <c r="W2426">
        <v>-7.4556230000000001E-2</v>
      </c>
      <c r="X2426">
        <v>0.99679700000000004</v>
      </c>
      <c r="Y2426">
        <v>2.7230170000000001E-2</v>
      </c>
      <c r="Z2426">
        <v>4.0603900000000002E-4</v>
      </c>
      <c r="AA2426">
        <v>0.99962910000000005</v>
      </c>
      <c r="AB2426">
        <v>35</v>
      </c>
      <c r="AC2426">
        <v>-29.2137999999999</v>
      </c>
      <c r="AD2426">
        <v>-1.119093563761</v>
      </c>
      <c r="AE2426">
        <v>0.93590000000000295</v>
      </c>
      <c r="AF2426">
        <v>0.80413861296135003</v>
      </c>
      <c r="AG2426">
        <v>-1.119093563761</v>
      </c>
      <c r="AH2426">
        <v>29.174923074844799</v>
      </c>
      <c r="AI2426">
        <v>92.195845123070598</v>
      </c>
      <c r="AJ2426">
        <v>88.421175389314698</v>
      </c>
      <c r="AK2426">
        <v>29.207450175193699</v>
      </c>
      <c r="AL2426">
        <v>94.275724815683802</v>
      </c>
      <c r="AM2426">
        <v>91.6625677625686</v>
      </c>
      <c r="AN2426">
        <v>0.99999998894123199</v>
      </c>
    </row>
    <row r="2427" spans="1:40" x14ac:dyDescent="0.25">
      <c r="A2427" t="str">
        <f>"20190303154144809"</f>
        <v>20190303154144809</v>
      </c>
      <c r="B2427" t="str">
        <f>"1551598904802082"</f>
        <v>1551598904802082</v>
      </c>
      <c r="C2427" t="s">
        <v>40</v>
      </c>
      <c r="D2427">
        <v>5.9536540000000002</v>
      </c>
      <c r="E2427">
        <v>0.52246499999999996</v>
      </c>
      <c r="F2427" t="s">
        <v>51</v>
      </c>
      <c r="G2427">
        <v>-291.15289999999999</v>
      </c>
      <c r="H2427" s="1">
        <v>2.4210050000000001E-6</v>
      </c>
      <c r="I2427">
        <v>284.49329999999998</v>
      </c>
      <c r="J2427">
        <v>-260.20339999999999</v>
      </c>
      <c r="K2427">
        <v>1.11924</v>
      </c>
      <c r="L2427">
        <v>283.46039999999999</v>
      </c>
      <c r="M2427">
        <v>-0.99998399999999998</v>
      </c>
      <c r="N2427">
        <v>-3.3256280000000002E-3</v>
      </c>
      <c r="O2427">
        <v>4.5855790000000002E-3</v>
      </c>
      <c r="P2427">
        <v>-0.9966372</v>
      </c>
      <c r="Q2427">
        <v>-7.8242469999999995E-2</v>
      </c>
      <c r="R2427">
        <v>-2.434412E-2</v>
      </c>
      <c r="S2427">
        <v>-3.004089</v>
      </c>
      <c r="T2427">
        <v>-0.10733910000000001</v>
      </c>
      <c r="U2427">
        <v>9.9243159999999997E-2</v>
      </c>
      <c r="V2427">
        <v>-2.8941649999999999E-2</v>
      </c>
      <c r="W2427">
        <v>-7.491718E-2</v>
      </c>
      <c r="X2427">
        <v>0.99676969999999998</v>
      </c>
      <c r="Y2427">
        <v>2.841716E-2</v>
      </c>
      <c r="Z2427">
        <v>4.0616330000000001E-4</v>
      </c>
      <c r="AA2427">
        <v>0.99959609999999999</v>
      </c>
      <c r="AB2427">
        <v>35</v>
      </c>
      <c r="AC2427">
        <v>-30.9495</v>
      </c>
      <c r="AD2427">
        <v>-1.119237578995</v>
      </c>
      <c r="AE2427">
        <v>1.0328999999999799</v>
      </c>
      <c r="AF2427">
        <v>0.88980460332379097</v>
      </c>
      <c r="AG2427">
        <v>-1.119237578995</v>
      </c>
      <c r="AH2427">
        <v>30.9135277132116</v>
      </c>
      <c r="AI2427">
        <v>92.072654999869997</v>
      </c>
      <c r="AJ2427">
        <v>88.3512727405802</v>
      </c>
      <c r="AK2427">
        <v>30.946577204366701</v>
      </c>
      <c r="AL2427">
        <v>94.296463599162195</v>
      </c>
      <c r="AM2427">
        <v>91.663141082005794</v>
      </c>
      <c r="AN2427">
        <v>1.0000000189009799</v>
      </c>
    </row>
    <row r="2428" spans="1:40" x14ac:dyDescent="0.25">
      <c r="A2428" t="str">
        <f>"20190303154144833"</f>
        <v>20190303154144833</v>
      </c>
      <c r="B2428" t="str">
        <f>"1551598904821606"</f>
        <v>1551598904821606</v>
      </c>
      <c r="C2428" t="s">
        <v>40</v>
      </c>
      <c r="D2428">
        <v>6.1655049999999996</v>
      </c>
      <c r="E2428">
        <v>0.52252779999999999</v>
      </c>
      <c r="F2428" t="s">
        <v>51</v>
      </c>
      <c r="G2428">
        <v>-292.74979999999999</v>
      </c>
      <c r="H2428" s="1">
        <v>2.695389E-6</v>
      </c>
      <c r="I2428">
        <v>284.5949</v>
      </c>
      <c r="J2428">
        <v>-260.56639999999999</v>
      </c>
      <c r="K2428">
        <v>1.1194010000000001</v>
      </c>
      <c r="L2428">
        <v>283.4622</v>
      </c>
      <c r="M2428">
        <v>-0.9999827</v>
      </c>
      <c r="N2428">
        <v>-3.5533280000000001E-3</v>
      </c>
      <c r="O2428">
        <v>4.7008960000000004E-3</v>
      </c>
      <c r="P2428">
        <v>-0.99660249999999995</v>
      </c>
      <c r="Q2428">
        <v>-7.8883739999999994E-2</v>
      </c>
      <c r="R2428">
        <v>-2.368518E-2</v>
      </c>
      <c r="S2428">
        <v>-3.004578</v>
      </c>
      <c r="T2428">
        <v>-0.10332429999999999</v>
      </c>
      <c r="U2428">
        <v>0.1047363</v>
      </c>
      <c r="V2428">
        <v>-2.8396540000000001E-2</v>
      </c>
      <c r="W2428">
        <v>-7.5332250000000003E-2</v>
      </c>
      <c r="X2428">
        <v>0.99675409999999998</v>
      </c>
      <c r="Y2428">
        <v>3.0121909999999998E-2</v>
      </c>
      <c r="Z2428">
        <v>4.2630709999999999E-4</v>
      </c>
      <c r="AA2428">
        <v>0.99954620000000005</v>
      </c>
      <c r="AB2428">
        <v>35</v>
      </c>
      <c r="AC2428">
        <v>-32.183399999999999</v>
      </c>
      <c r="AD2428">
        <v>-1.1193983046109901</v>
      </c>
      <c r="AE2428">
        <v>1.13269999999999</v>
      </c>
      <c r="AF2428">
        <v>0.98021135193544295</v>
      </c>
      <c r="AG2428">
        <v>-1.1193983046109901</v>
      </c>
      <c r="AH2428">
        <v>32.149523483836496</v>
      </c>
      <c r="AI2428">
        <v>91.9932222468464</v>
      </c>
      <c r="AJ2428">
        <v>88.253641901371495</v>
      </c>
      <c r="AK2428">
        <v>32.183935854655601</v>
      </c>
      <c r="AL2428">
        <v>94.320312731886901</v>
      </c>
      <c r="AM2428">
        <v>91.631858788271998</v>
      </c>
      <c r="AN2428">
        <v>1.0000000236204201</v>
      </c>
    </row>
    <row r="2429" spans="1:40" x14ac:dyDescent="0.25">
      <c r="A2429" t="str">
        <f>"20190303154144853"</f>
        <v>20190303154144853</v>
      </c>
      <c r="B2429" t="str">
        <f>"1551598904851859"</f>
        <v>1551598904851859</v>
      </c>
      <c r="C2429" t="s">
        <v>40</v>
      </c>
      <c r="D2429">
        <v>5.9653489999999998</v>
      </c>
      <c r="E2429">
        <v>0.52334139999999996</v>
      </c>
      <c r="F2429" t="s">
        <v>51</v>
      </c>
      <c r="G2429">
        <v>-292.11070000000001</v>
      </c>
      <c r="H2429" s="1">
        <v>2.582559E-6</v>
      </c>
      <c r="I2429">
        <v>284.58879999999999</v>
      </c>
      <c r="J2429">
        <v>-260.89569999999998</v>
      </c>
      <c r="K2429">
        <v>1.1195310000000001</v>
      </c>
      <c r="L2429">
        <v>283.46390000000002</v>
      </c>
      <c r="M2429">
        <v>-0.99998120000000001</v>
      </c>
      <c r="N2429">
        <v>-3.8353969999999999E-3</v>
      </c>
      <c r="O2429">
        <v>4.8071870000000001E-3</v>
      </c>
      <c r="P2429">
        <v>-0.99656860000000003</v>
      </c>
      <c r="Q2429">
        <v>-7.9596420000000001E-2</v>
      </c>
      <c r="R2429">
        <v>-2.2713690000000002E-2</v>
      </c>
      <c r="S2429">
        <v>-3.0043030000000002</v>
      </c>
      <c r="T2429">
        <v>-0.1066124</v>
      </c>
      <c r="U2429">
        <v>0.1072998</v>
      </c>
      <c r="V2429">
        <v>-2.7529169999999999E-2</v>
      </c>
      <c r="W2429">
        <v>-7.5764929999999994E-2</v>
      </c>
      <c r="X2429">
        <v>0.99674560000000001</v>
      </c>
      <c r="Y2429">
        <v>3.0868940000000001E-2</v>
      </c>
      <c r="Z2429">
        <v>4.545555E-4</v>
      </c>
      <c r="AA2429">
        <v>0.9995233</v>
      </c>
      <c r="AB2429">
        <v>35</v>
      </c>
      <c r="AC2429">
        <v>-31.215</v>
      </c>
      <c r="AD2429">
        <v>-1.1195284174410001</v>
      </c>
      <c r="AE2429">
        <v>1.12489999999996</v>
      </c>
      <c r="AF2429">
        <v>0.97357887863290204</v>
      </c>
      <c r="AG2429">
        <v>-1.1195284174410001</v>
      </c>
      <c r="AH2429">
        <v>31.179992037075198</v>
      </c>
      <c r="AI2429">
        <v>92.055340603122104</v>
      </c>
      <c r="AJ2429">
        <v>88.211550446812893</v>
      </c>
      <c r="AK2429">
        <v>31.2152703519039</v>
      </c>
      <c r="AL2429">
        <v>94.345174687440903</v>
      </c>
      <c r="AM2429">
        <v>91.582053008752894</v>
      </c>
      <c r="AN2429">
        <v>0.99999998546907598</v>
      </c>
    </row>
    <row r="2430" spans="1:40" x14ac:dyDescent="0.25">
      <c r="A2430" t="str">
        <f>"20190303154144877"</f>
        <v>20190303154144877</v>
      </c>
      <c r="B2430" t="str">
        <f>"1551598904872354"</f>
        <v>1551598904872354</v>
      </c>
      <c r="C2430" t="s">
        <v>40</v>
      </c>
      <c r="D2430">
        <v>6.1191649999999997</v>
      </c>
      <c r="E2430">
        <v>0.52357849999999995</v>
      </c>
      <c r="F2430" t="s">
        <v>51</v>
      </c>
      <c r="G2430">
        <v>-293.21879999999999</v>
      </c>
      <c r="H2430" s="1">
        <v>2.7676040000000001E-6</v>
      </c>
      <c r="I2430">
        <v>284.72059999999999</v>
      </c>
      <c r="J2430">
        <v>-261.2516</v>
      </c>
      <c r="K2430">
        <v>1.1196520000000001</v>
      </c>
      <c r="L2430">
        <v>283.46570000000003</v>
      </c>
      <c r="M2430">
        <v>-0.99997930000000002</v>
      </c>
      <c r="N2430">
        <v>-4.1703060000000004E-3</v>
      </c>
      <c r="O2430">
        <v>4.9184980000000003E-3</v>
      </c>
      <c r="P2430">
        <v>-0.9966178</v>
      </c>
      <c r="Q2430">
        <v>-7.9327259999999997E-2</v>
      </c>
      <c r="R2430">
        <v>-2.1454640000000001E-2</v>
      </c>
      <c r="S2430">
        <v>-3.0046689999999998</v>
      </c>
      <c r="T2430">
        <v>-0.10406799999999999</v>
      </c>
      <c r="U2430">
        <v>0.1168213</v>
      </c>
      <c r="V2430">
        <v>-2.6378740000000001E-2</v>
      </c>
      <c r="W2430">
        <v>-7.5163060000000004E-2</v>
      </c>
      <c r="X2430">
        <v>0.99682230000000005</v>
      </c>
      <c r="Y2430">
        <v>3.3914800000000002E-2</v>
      </c>
      <c r="Z2430">
        <v>5.0796230000000003E-4</v>
      </c>
      <c r="AA2430">
        <v>0.9994246</v>
      </c>
      <c r="AB2430">
        <v>35</v>
      </c>
      <c r="AC2430">
        <v>-31.967199999999899</v>
      </c>
      <c r="AD2430">
        <v>-1.1196492323959999</v>
      </c>
      <c r="AE2430">
        <v>1.2548999999999599</v>
      </c>
      <c r="AF2430">
        <v>1.0963100335060501</v>
      </c>
      <c r="AG2430">
        <v>-1.1196492323959999</v>
      </c>
      <c r="AH2430">
        <v>31.933871114282699</v>
      </c>
      <c r="AI2430">
        <v>92.006871737809405</v>
      </c>
      <c r="AJ2430">
        <v>88.033771795925006</v>
      </c>
      <c r="AK2430">
        <v>31.9722947946623</v>
      </c>
      <c r="AL2430">
        <v>94.310591353738403</v>
      </c>
      <c r="AM2430">
        <v>91.515854751121097</v>
      </c>
      <c r="AN2430">
        <v>1.0000000106449201</v>
      </c>
    </row>
    <row r="2431" spans="1:40" x14ac:dyDescent="0.25">
      <c r="A2431" t="str">
        <f>"20190303154144889"</f>
        <v>20190303154144889</v>
      </c>
      <c r="B2431" t="str">
        <f>"1551598904882114"</f>
        <v>1551598904882114</v>
      </c>
      <c r="C2431" t="s">
        <v>40</v>
      </c>
      <c r="D2431">
        <v>6.2524240000000004</v>
      </c>
      <c r="E2431">
        <v>0.53527469999999999</v>
      </c>
      <c r="F2431" t="s">
        <v>51</v>
      </c>
      <c r="G2431">
        <v>-292.94810000000001</v>
      </c>
      <c r="H2431" s="1">
        <v>2.7164439999999999E-6</v>
      </c>
      <c r="I2431">
        <v>284.75650000000002</v>
      </c>
      <c r="J2431">
        <v>-261.4735</v>
      </c>
      <c r="K2431">
        <v>1.119707</v>
      </c>
      <c r="L2431">
        <v>283.46690000000001</v>
      </c>
      <c r="M2431">
        <v>-0.99997809999999998</v>
      </c>
      <c r="N2431">
        <v>-4.3850549999999997E-3</v>
      </c>
      <c r="O2431">
        <v>4.9816230000000001E-3</v>
      </c>
      <c r="P2431">
        <v>-0.99665919999999997</v>
      </c>
      <c r="Q2431">
        <v>-7.9013050000000001E-2</v>
      </c>
      <c r="R2431">
        <v>-2.0677009999999999E-2</v>
      </c>
      <c r="S2431">
        <v>-3.0043639999999998</v>
      </c>
      <c r="T2431">
        <v>-0.1061264</v>
      </c>
      <c r="U2431">
        <v>0.122345</v>
      </c>
      <c r="V2431">
        <v>-2.5662020000000001E-2</v>
      </c>
      <c r="W2431">
        <v>-7.463533E-2</v>
      </c>
      <c r="X2431">
        <v>0.99688069999999895</v>
      </c>
      <c r="Y2431">
        <v>3.5688049999999999E-2</v>
      </c>
      <c r="Z2431">
        <v>5.5416560000000001E-4</v>
      </c>
      <c r="AA2431">
        <v>0.9993628</v>
      </c>
      <c r="AB2431">
        <v>35</v>
      </c>
      <c r="AC2431">
        <v>-31.474599999999999</v>
      </c>
      <c r="AD2431">
        <v>-1.119704283556</v>
      </c>
      <c r="AE2431">
        <v>1.2896000000000001</v>
      </c>
      <c r="AF2431">
        <v>1.1313585044040599</v>
      </c>
      <c r="AG2431">
        <v>-1.119704283556</v>
      </c>
      <c r="AH2431">
        <v>31.440909815048599</v>
      </c>
      <c r="AI2431">
        <v>92.038293018813306</v>
      </c>
      <c r="AJ2431">
        <v>87.939178229191697</v>
      </c>
      <c r="AK2431">
        <v>31.4811772293559</v>
      </c>
      <c r="AL2431">
        <v>94.280269308591002</v>
      </c>
      <c r="AM2431">
        <v>91.474600511541894</v>
      </c>
      <c r="AN2431">
        <v>1.00000005089358</v>
      </c>
    </row>
    <row r="2432" spans="1:40" x14ac:dyDescent="0.25">
      <c r="A2432" t="str">
        <f>"20190303154144911"</f>
        <v>20190303154144911</v>
      </c>
      <c r="B2432" t="str">
        <f>"1551598904901637"</f>
        <v>1551598904901637</v>
      </c>
      <c r="C2432" t="s">
        <v>40</v>
      </c>
      <c r="D2432">
        <v>6.0507070000000001</v>
      </c>
      <c r="E2432">
        <v>0.53964109999999998</v>
      </c>
      <c r="F2432" t="s">
        <v>42</v>
      </c>
      <c r="G2432">
        <v>-262.23809999999997</v>
      </c>
      <c r="H2432">
        <v>0.96117149999999996</v>
      </c>
      <c r="I2432">
        <v>283.52440000000001</v>
      </c>
      <c r="J2432">
        <v>-261.78370000000001</v>
      </c>
      <c r="K2432">
        <v>1.119775</v>
      </c>
      <c r="L2432">
        <v>283.46850000000001</v>
      </c>
      <c r="M2432">
        <v>-0.99997630000000004</v>
      </c>
      <c r="N2432">
        <v>-4.6824299999999996E-3</v>
      </c>
      <c r="O2432">
        <v>5.0628280000000001E-3</v>
      </c>
      <c r="P2432">
        <v>-0.99666949999999999</v>
      </c>
      <c r="Q2432">
        <v>-7.9094319999999996E-2</v>
      </c>
      <c r="R2432">
        <v>-1.9857989999999999E-2</v>
      </c>
      <c r="S2432">
        <v>-2.9659119999999999</v>
      </c>
      <c r="T2432">
        <v>-0.61498889999999995</v>
      </c>
      <c r="U2432">
        <v>0.22262570000000001</v>
      </c>
      <c r="V2432">
        <v>-2.492229E-2</v>
      </c>
      <c r="W2432">
        <v>-7.4420890000000003E-2</v>
      </c>
      <c r="X2432">
        <v>0.99691549999999995</v>
      </c>
      <c r="Y2432">
        <v>6.8422830000000004E-2</v>
      </c>
      <c r="Z2432">
        <v>6.1579030000000002E-3</v>
      </c>
      <c r="AA2432">
        <v>0.99763740000000001</v>
      </c>
      <c r="AB2432">
        <v>35</v>
      </c>
      <c r="AC2432">
        <v>-0.454399999999964</v>
      </c>
      <c r="AD2432">
        <v>-0.15860349999999901</v>
      </c>
      <c r="AE2432">
        <v>5.59000000000082E-2</v>
      </c>
      <c r="AF2432">
        <v>4.7855466744909501E-2</v>
      </c>
      <c r="AG2432">
        <v>-0.15860349999999901</v>
      </c>
      <c r="AH2432">
        <v>0.40595733410375401</v>
      </c>
      <c r="AI2432">
        <v>111.20642480842599</v>
      </c>
      <c r="AJ2432">
        <v>83.276829908551804</v>
      </c>
      <c r="AK2432">
        <v>0.43845931740841199</v>
      </c>
      <c r="AL2432">
        <v>94.267948533338398</v>
      </c>
      <c r="AM2432">
        <v>91.432061865462799</v>
      </c>
      <c r="AN2432">
        <v>1.00000005177374</v>
      </c>
    </row>
    <row r="2433" spans="1:40" x14ac:dyDescent="0.25">
      <c r="A2433" t="str">
        <f>"20190303154144933"</f>
        <v>20190303154144933</v>
      </c>
      <c r="B2433" t="str">
        <f>"1551598904922130"</f>
        <v>1551598904922130</v>
      </c>
      <c r="C2433" t="s">
        <v>40</v>
      </c>
      <c r="D2433">
        <v>5.9955780000000001</v>
      </c>
      <c r="E2433">
        <v>0.54125210000000001</v>
      </c>
      <c r="F2433" t="s">
        <v>42</v>
      </c>
      <c r="G2433">
        <v>-262.54809999999998</v>
      </c>
      <c r="H2433">
        <v>0.95108800000000004</v>
      </c>
      <c r="I2433">
        <v>283.53559999999999</v>
      </c>
      <c r="J2433">
        <v>-262.14879999999999</v>
      </c>
      <c r="K2433">
        <v>1.119834</v>
      </c>
      <c r="L2433">
        <v>283.47039999999998</v>
      </c>
      <c r="M2433">
        <v>-0.99997429999999998</v>
      </c>
      <c r="N2433">
        <v>-5.020437E-3</v>
      </c>
      <c r="O2433">
        <v>5.1475870000000003E-3</v>
      </c>
      <c r="P2433">
        <v>-0.9967049</v>
      </c>
      <c r="Q2433">
        <v>-7.878868E-2</v>
      </c>
      <c r="R2433">
        <v>-1.9290999999999999E-2</v>
      </c>
      <c r="S2433">
        <v>-2.9633180000000001</v>
      </c>
      <c r="T2433">
        <v>-0.65394280000000005</v>
      </c>
      <c r="U2433">
        <v>0.25997920000000002</v>
      </c>
      <c r="V2433">
        <v>-2.4438109999999999E-2</v>
      </c>
      <c r="W2433">
        <v>-7.3778750000000004E-2</v>
      </c>
      <c r="X2433">
        <v>0.99697519999999995</v>
      </c>
      <c r="Y2433">
        <v>8.0419969999999993E-2</v>
      </c>
      <c r="Z2433">
        <v>7.8616850000000002E-3</v>
      </c>
      <c r="AA2433">
        <v>0.99673009999999995</v>
      </c>
      <c r="AB2433">
        <v>35</v>
      </c>
      <c r="AC2433">
        <v>-0.399299999999982</v>
      </c>
      <c r="AD2433">
        <v>-0.16874600000000001</v>
      </c>
      <c r="AE2433">
        <v>6.5200000000004296E-2</v>
      </c>
      <c r="AF2433">
        <v>5.3787066904098201E-2</v>
      </c>
      <c r="AG2433">
        <v>-0.16874600000000001</v>
      </c>
      <c r="AH2433">
        <v>0.34041322836550603</v>
      </c>
      <c r="AI2433">
        <v>116.08798498511</v>
      </c>
      <c r="AJ2433">
        <v>81.021197272004699</v>
      </c>
      <c r="AK2433">
        <v>0.383730930638087</v>
      </c>
      <c r="AL2433">
        <v>94.231055258051796</v>
      </c>
      <c r="AM2433">
        <v>91.404167552215995</v>
      </c>
      <c r="AN2433">
        <v>1.0000000372934801</v>
      </c>
    </row>
    <row r="2434" spans="1:40" x14ac:dyDescent="0.25">
      <c r="A2434" t="str">
        <f>"20190303154144956"</f>
        <v>20190303154144956</v>
      </c>
      <c r="B2434" t="str">
        <f>"1551598904952386"</f>
        <v>1551598904952386</v>
      </c>
      <c r="C2434" t="s">
        <v>40</v>
      </c>
      <c r="D2434">
        <v>5.9763849999999996</v>
      </c>
      <c r="E2434">
        <v>0.54357169999999999</v>
      </c>
      <c r="F2434" t="s">
        <v>42</v>
      </c>
      <c r="G2434">
        <v>-262.86660000000001</v>
      </c>
      <c r="H2434">
        <v>0.95676000000000005</v>
      </c>
      <c r="I2434">
        <v>283.53719999999998</v>
      </c>
      <c r="J2434">
        <v>-262.49689999999998</v>
      </c>
      <c r="K2434">
        <v>1.119866</v>
      </c>
      <c r="L2434">
        <v>283.47230000000002</v>
      </c>
      <c r="M2434">
        <v>-0.99997230000000004</v>
      </c>
      <c r="N2434">
        <v>-5.3220619999999998E-3</v>
      </c>
      <c r="O2434">
        <v>5.2185699999999996E-3</v>
      </c>
      <c r="P2434">
        <v>-0.9967009</v>
      </c>
      <c r="Q2434">
        <v>-7.8927029999999995E-2</v>
      </c>
      <c r="R2434">
        <v>-1.892545E-2</v>
      </c>
      <c r="S2434">
        <v>-2.9620669999999998</v>
      </c>
      <c r="T2434">
        <v>-0.67306160000000004</v>
      </c>
      <c r="U2434">
        <v>0.27462769999999997</v>
      </c>
      <c r="V2434">
        <v>-2.41427E-2</v>
      </c>
      <c r="W2434">
        <v>-7.3616769999999998E-2</v>
      </c>
      <c r="X2434">
        <v>0.9969943</v>
      </c>
      <c r="Y2434">
        <v>8.5045750000000003E-2</v>
      </c>
      <c r="Z2434">
        <v>8.6097599999999993E-3</v>
      </c>
      <c r="AA2434">
        <v>0.99633989999999995</v>
      </c>
      <c r="AB2434">
        <v>35</v>
      </c>
      <c r="AC2434">
        <v>-0.36970000000002201</v>
      </c>
      <c r="AD2434">
        <v>-0.163105999999999</v>
      </c>
      <c r="AE2434">
        <v>6.4899999999965902E-2</v>
      </c>
      <c r="AF2434">
        <v>5.2968086942925298E-2</v>
      </c>
      <c r="AG2434">
        <v>-0.163105999999999</v>
      </c>
      <c r="AH2434">
        <v>0.31125999933215398</v>
      </c>
      <c r="AI2434">
        <v>117.320511075287</v>
      </c>
      <c r="AJ2434">
        <v>80.342314214346501</v>
      </c>
      <c r="AK2434">
        <v>0.35537581889409098</v>
      </c>
      <c r="AL2434">
        <v>94.221749480658801</v>
      </c>
      <c r="AM2434">
        <v>91.387173960549504</v>
      </c>
      <c r="AN2434">
        <v>0.99999996651050505</v>
      </c>
    </row>
    <row r="2435" spans="1:40" x14ac:dyDescent="0.25">
      <c r="A2435" t="str">
        <f>"20190303154144977"</f>
        <v>20190303154144977</v>
      </c>
      <c r="B2435" t="str">
        <f>"1551598904971907"</f>
        <v>1551598904971907</v>
      </c>
      <c r="C2435" t="s">
        <v>40</v>
      </c>
      <c r="D2435">
        <v>5.9756280000000004</v>
      </c>
      <c r="E2435">
        <v>0.54409600000000002</v>
      </c>
      <c r="F2435" t="s">
        <v>42</v>
      </c>
      <c r="G2435">
        <v>-263.18369999999999</v>
      </c>
      <c r="H2435">
        <v>0.95833869999999999</v>
      </c>
      <c r="I2435">
        <v>283.54070000000002</v>
      </c>
      <c r="J2435">
        <v>-262.83780000000002</v>
      </c>
      <c r="K2435">
        <v>1.119882</v>
      </c>
      <c r="L2435">
        <v>283.47410000000002</v>
      </c>
      <c r="M2435">
        <v>-0.99997049999999998</v>
      </c>
      <c r="N2435">
        <v>-5.5965149999999998E-3</v>
      </c>
      <c r="O2435">
        <v>5.281071E-3</v>
      </c>
      <c r="P2435">
        <v>-0.99666449999999995</v>
      </c>
      <c r="Q2435">
        <v>-7.9386090000000006E-2</v>
      </c>
      <c r="R2435">
        <v>-1.8920360000000001E-2</v>
      </c>
      <c r="S2435">
        <v>-2.960388</v>
      </c>
      <c r="T2435">
        <v>-0.69630769999999997</v>
      </c>
      <c r="U2435">
        <v>0.29434199999999999</v>
      </c>
      <c r="V2435">
        <v>-2.4199419999999999E-2</v>
      </c>
      <c r="W2435">
        <v>-7.3802519999999996E-2</v>
      </c>
      <c r="X2435">
        <v>0.99697919999999995</v>
      </c>
      <c r="Y2435">
        <v>9.1290789999999997E-2</v>
      </c>
      <c r="Z2435">
        <v>9.6328579999999994E-3</v>
      </c>
      <c r="AA2435">
        <v>0.99577769999999999</v>
      </c>
      <c r="AB2435">
        <v>35</v>
      </c>
      <c r="AC2435">
        <v>-0.34589999999997101</v>
      </c>
      <c r="AD2435">
        <v>-0.1615433</v>
      </c>
      <c r="AE2435">
        <v>6.6599999999993997E-2</v>
      </c>
      <c r="AF2435">
        <v>5.3516963169320003E-2</v>
      </c>
      <c r="AG2435">
        <v>-0.1615433</v>
      </c>
      <c r="AH2435">
        <v>0.28608026621774202</v>
      </c>
      <c r="AI2435">
        <v>119.03245345214199</v>
      </c>
      <c r="AJ2435">
        <v>79.4041610043557</v>
      </c>
      <c r="AK2435">
        <v>0.33286967696227698</v>
      </c>
      <c r="AL2435">
        <v>94.232421167759199</v>
      </c>
      <c r="AM2435">
        <v>91.3904527106789</v>
      </c>
      <c r="AN2435">
        <v>0.99999997455966205</v>
      </c>
    </row>
    <row r="2436" spans="1:40" x14ac:dyDescent="0.25">
      <c r="A2436" t="str">
        <f>"20190303154144998"</f>
        <v>20190303154144998</v>
      </c>
      <c r="B2436" t="str">
        <f>"1551598904992404"</f>
        <v>1551598904992404</v>
      </c>
      <c r="C2436" t="s">
        <v>40</v>
      </c>
      <c r="D2436">
        <v>6.0554489999999896</v>
      </c>
      <c r="E2436">
        <v>0.5447109</v>
      </c>
      <c r="F2436" t="s">
        <v>42</v>
      </c>
      <c r="G2436">
        <v>-263.78879999999998</v>
      </c>
      <c r="H2436">
        <v>0.8934993</v>
      </c>
      <c r="I2436">
        <v>283.57010000000002</v>
      </c>
      <c r="J2436">
        <v>-263.17180000000002</v>
      </c>
      <c r="K2436">
        <v>1.1198889999999999</v>
      </c>
      <c r="L2436">
        <v>283.47590000000002</v>
      </c>
      <c r="M2436">
        <v>-0.99996879999999999</v>
      </c>
      <c r="N2436">
        <v>-5.8450539999999997E-3</v>
      </c>
      <c r="O2436">
        <v>5.339379E-3</v>
      </c>
      <c r="P2436">
        <v>-0.99662569999999995</v>
      </c>
      <c r="Q2436">
        <v>-7.97876E-2</v>
      </c>
      <c r="R2436">
        <v>-1.9274159999999999E-2</v>
      </c>
      <c r="S2436">
        <v>-2.9595950000000002</v>
      </c>
      <c r="T2436">
        <v>-0.7045228</v>
      </c>
      <c r="U2436">
        <v>0.29858400000000002</v>
      </c>
      <c r="V2436">
        <v>-2.4610360000000001E-2</v>
      </c>
      <c r="W2436">
        <v>-7.3956499999999994E-2</v>
      </c>
      <c r="X2436">
        <v>0.99695780000000001</v>
      </c>
      <c r="Y2436">
        <v>9.2577870000000007E-2</v>
      </c>
      <c r="Z2436">
        <v>9.8960890000000003E-3</v>
      </c>
      <c r="AA2436">
        <v>0.99565630000000005</v>
      </c>
      <c r="AB2436">
        <v>35</v>
      </c>
      <c r="AC2436">
        <v>-0.61699999999996102</v>
      </c>
      <c r="AD2436">
        <v>-0.226389699999999</v>
      </c>
      <c r="AE2436">
        <v>9.42000000000007E-2</v>
      </c>
      <c r="AF2436">
        <v>8.0335031734220103E-2</v>
      </c>
      <c r="AG2436">
        <v>-0.226389699999999</v>
      </c>
      <c r="AH2436">
        <v>0.54569989396082896</v>
      </c>
      <c r="AI2436">
        <v>112.315084549749</v>
      </c>
      <c r="AJ2436">
        <v>81.625373550036699</v>
      </c>
      <c r="AK2436">
        <v>0.59623350112073403</v>
      </c>
      <c r="AL2436">
        <v>94.241267451755903</v>
      </c>
      <c r="AM2436">
        <v>91.414085376570398</v>
      </c>
      <c r="AN2436">
        <v>1.0000000443462</v>
      </c>
    </row>
    <row r="2437" spans="1:40" x14ac:dyDescent="0.25">
      <c r="A2437" t="str">
        <f>"20190303154145021"</f>
        <v>20190303154145021</v>
      </c>
      <c r="B2437" t="str">
        <f>"1551598905011923"</f>
        <v>1551598905011923</v>
      </c>
      <c r="C2437" t="s">
        <v>40</v>
      </c>
      <c r="D2437">
        <v>5.9810949999999998</v>
      </c>
      <c r="E2437">
        <v>0.54537860000000005</v>
      </c>
      <c r="F2437" t="s">
        <v>42</v>
      </c>
      <c r="G2437">
        <v>-264.10809999999998</v>
      </c>
      <c r="H2437">
        <v>0.89579370000000003</v>
      </c>
      <c r="I2437">
        <v>283.57190000000003</v>
      </c>
      <c r="J2437">
        <v>-263.54809999999998</v>
      </c>
      <c r="K2437">
        <v>1.1198920000000001</v>
      </c>
      <c r="L2437">
        <v>283.47800000000001</v>
      </c>
      <c r="M2437">
        <v>-0.99996689999999999</v>
      </c>
      <c r="N2437">
        <v>-6.0982509999999998E-3</v>
      </c>
      <c r="O2437">
        <v>5.4038430000000002E-3</v>
      </c>
      <c r="P2437">
        <v>-0.99658400000000003</v>
      </c>
      <c r="Q2437">
        <v>-8.0305840000000003E-2</v>
      </c>
      <c r="R2437">
        <v>-1.927013E-2</v>
      </c>
      <c r="S2437">
        <v>-2.95932</v>
      </c>
      <c r="T2437">
        <v>-0.70828549999999901</v>
      </c>
      <c r="U2437">
        <v>0.30258180000000001</v>
      </c>
      <c r="V2437">
        <v>-2.4670709999999998E-2</v>
      </c>
      <c r="W2437">
        <v>-7.4222620000000003E-2</v>
      </c>
      <c r="X2437">
        <v>0.9969365</v>
      </c>
      <c r="Y2437">
        <v>9.3791979999999997E-2</v>
      </c>
      <c r="Z2437">
        <v>1.0091340000000001E-2</v>
      </c>
      <c r="AA2437">
        <v>0.99554069999999995</v>
      </c>
      <c r="AB2437">
        <v>36</v>
      </c>
      <c r="AC2437">
        <v>-0.56000000000000205</v>
      </c>
      <c r="AD2437">
        <v>-0.2240983</v>
      </c>
      <c r="AE2437">
        <v>9.3900000000019204E-2</v>
      </c>
      <c r="AF2437">
        <v>7.8625611818970501E-2</v>
      </c>
      <c r="AG2437">
        <v>-0.2240983</v>
      </c>
      <c r="AH2437">
        <v>0.484961183017806</v>
      </c>
      <c r="AI2437">
        <v>114.519593969499</v>
      </c>
      <c r="AJ2437">
        <v>80.790900794391803</v>
      </c>
      <c r="AK2437">
        <v>0.53999017021685403</v>
      </c>
      <c r="AL2437">
        <v>94.256557159026798</v>
      </c>
      <c r="AM2437">
        <v>91.417581885148394</v>
      </c>
      <c r="AN2437">
        <v>1.0000000131419</v>
      </c>
    </row>
    <row r="2438" spans="1:40" x14ac:dyDescent="0.25">
      <c r="A2438" t="str">
        <f>"20190303154145034"</f>
        <v>20190303154145034</v>
      </c>
      <c r="B2438" t="str">
        <f>"1551598905031442"</f>
        <v>1551598905031442</v>
      </c>
      <c r="C2438" t="s">
        <v>40</v>
      </c>
      <c r="D2438">
        <v>5.9772919999999896</v>
      </c>
      <c r="E2438">
        <v>0.54597259999999903</v>
      </c>
      <c r="F2438" t="s">
        <v>42</v>
      </c>
      <c r="G2438">
        <v>-264.43209999999999</v>
      </c>
      <c r="H2438">
        <v>0.90813880000000002</v>
      </c>
      <c r="I2438">
        <v>283.5702</v>
      </c>
      <c r="J2438">
        <v>-263.75670000000002</v>
      </c>
      <c r="K2438">
        <v>1.1198900000000001</v>
      </c>
      <c r="L2438">
        <v>283.47919999999999</v>
      </c>
      <c r="M2438">
        <v>-0.99996569999999996</v>
      </c>
      <c r="N2438">
        <v>-6.2287269999999999E-3</v>
      </c>
      <c r="O2438">
        <v>5.4398040000000003E-3</v>
      </c>
      <c r="P2438">
        <v>-0.99659799999999998</v>
      </c>
      <c r="Q2438">
        <v>-7.9982799999999896E-2</v>
      </c>
      <c r="R2438">
        <v>-1.987906E-2</v>
      </c>
      <c r="S2438">
        <v>-2.9591370000000001</v>
      </c>
      <c r="T2438">
        <v>-0.70889209999999903</v>
      </c>
      <c r="U2438">
        <v>0.30792239999999999</v>
      </c>
      <c r="V2438">
        <v>-2.5315219999999999E-2</v>
      </c>
      <c r="W2438">
        <v>-7.3769379999999996E-2</v>
      </c>
      <c r="X2438">
        <v>0.99695400000000001</v>
      </c>
      <c r="Y2438">
        <v>9.5486689999999999E-2</v>
      </c>
      <c r="Z2438">
        <v>1.030291E-2</v>
      </c>
      <c r="AA2438">
        <v>0.99537739999999997</v>
      </c>
      <c r="AB2438">
        <v>36</v>
      </c>
      <c r="AC2438">
        <v>-0.67539999999996703</v>
      </c>
      <c r="AD2438">
        <v>-0.211751199999999</v>
      </c>
      <c r="AE2438">
        <v>9.1000000000008199E-2</v>
      </c>
      <c r="AF2438">
        <v>7.9636289911263106E-2</v>
      </c>
      <c r="AG2438">
        <v>-0.211751199999999</v>
      </c>
      <c r="AH2438">
        <v>0.61637860262425104</v>
      </c>
      <c r="AI2438">
        <v>108.814433240255</v>
      </c>
      <c r="AJ2438">
        <v>82.638151381011497</v>
      </c>
      <c r="AK2438">
        <v>0.65658441281018498</v>
      </c>
      <c r="AL2438">
        <v>94.230516960774906</v>
      </c>
      <c r="AM2438">
        <v>91.4545742745605</v>
      </c>
      <c r="AN2438">
        <v>1.0000000299526099</v>
      </c>
    </row>
    <row r="2439" spans="1:40" x14ac:dyDescent="0.25">
      <c r="A2439" t="str">
        <f>"20190303154145057"</f>
        <v>20190303154145057</v>
      </c>
      <c r="B2439" t="str">
        <f>"1551598905051939"</f>
        <v>1551598905051939</v>
      </c>
      <c r="C2439" t="s">
        <v>40</v>
      </c>
      <c r="D2439">
        <v>5.9789589999999997</v>
      </c>
      <c r="E2439">
        <v>0.54644910000000002</v>
      </c>
      <c r="F2439" t="s">
        <v>42</v>
      </c>
      <c r="G2439">
        <v>-264.45319999999998</v>
      </c>
      <c r="H2439">
        <v>0.95338179999999995</v>
      </c>
      <c r="I2439">
        <v>283.55250000000001</v>
      </c>
      <c r="J2439">
        <v>-264.1037</v>
      </c>
      <c r="K2439">
        <v>1.1198840000000001</v>
      </c>
      <c r="L2439">
        <v>283.48110000000003</v>
      </c>
      <c r="M2439">
        <v>-0.99996430000000003</v>
      </c>
      <c r="N2439">
        <v>-6.4249090000000003E-3</v>
      </c>
      <c r="O2439">
        <v>5.4988579999999997E-3</v>
      </c>
      <c r="P2439">
        <v>-0.99656690000000003</v>
      </c>
      <c r="Q2439">
        <v>-8.0273189999999994E-2</v>
      </c>
      <c r="R2439">
        <v>-2.0270719999999999E-2</v>
      </c>
      <c r="S2439">
        <v>-2.959625</v>
      </c>
      <c r="T2439">
        <v>-0.70745939999999996</v>
      </c>
      <c r="U2439">
        <v>0.3107605</v>
      </c>
      <c r="V2439">
        <v>-2.576523E-2</v>
      </c>
      <c r="W2439">
        <v>-7.3864349999999995E-2</v>
      </c>
      <c r="X2439">
        <v>0.99693540000000003</v>
      </c>
      <c r="Y2439">
        <v>9.6341099999999999E-2</v>
      </c>
      <c r="Z2439">
        <v>1.038155E-2</v>
      </c>
      <c r="AA2439">
        <v>0.99529420000000002</v>
      </c>
      <c r="AB2439">
        <v>36</v>
      </c>
      <c r="AC2439">
        <v>-0.349499999999977</v>
      </c>
      <c r="AD2439">
        <v>-0.16650219999999999</v>
      </c>
      <c r="AE2439">
        <v>7.1399999999982797E-2</v>
      </c>
      <c r="AF2439">
        <v>5.70482007708938E-2</v>
      </c>
      <c r="AG2439">
        <v>-0.16650219999999999</v>
      </c>
      <c r="AH2439">
        <v>0.28729557577720199</v>
      </c>
      <c r="AI2439">
        <v>119.616130799701</v>
      </c>
      <c r="AJ2439">
        <v>78.768886521660406</v>
      </c>
      <c r="AK2439">
        <v>0.33692169368740599</v>
      </c>
      <c r="AL2439">
        <v>94.235973393819904</v>
      </c>
      <c r="AM2439">
        <v>91.480447370779302</v>
      </c>
      <c r="AN2439">
        <v>0.99999999052551702</v>
      </c>
    </row>
    <row r="2440" spans="1:40" x14ac:dyDescent="0.25">
      <c r="A2440" t="str">
        <f>"20190303154145077"</f>
        <v>20190303154145077</v>
      </c>
      <c r="B2440" t="str">
        <f>"1551598905072435"</f>
        <v>1551598905072435</v>
      </c>
      <c r="C2440" t="s">
        <v>40</v>
      </c>
      <c r="D2440">
        <v>6.0012819999999998</v>
      </c>
      <c r="E2440">
        <v>0.54676610000000003</v>
      </c>
      <c r="F2440" t="s">
        <v>42</v>
      </c>
      <c r="G2440">
        <v>-265.06470000000002</v>
      </c>
      <c r="H2440">
        <v>0.89009669999999896</v>
      </c>
      <c r="I2440">
        <v>283.58319999999998</v>
      </c>
      <c r="J2440">
        <v>-264.42649999999998</v>
      </c>
      <c r="K2440">
        <v>1.1198859999999999</v>
      </c>
      <c r="L2440">
        <v>283.48289999999997</v>
      </c>
      <c r="M2440">
        <v>-0.99996289999999999</v>
      </c>
      <c r="N2440">
        <v>-6.5877979999999997E-3</v>
      </c>
      <c r="O2440">
        <v>5.5544799999999997E-3</v>
      </c>
      <c r="P2440">
        <v>-0.99658020000000003</v>
      </c>
      <c r="Q2440">
        <v>-8.0036860000000001E-2</v>
      </c>
      <c r="R2440">
        <v>-2.0549169999999999E-2</v>
      </c>
      <c r="S2440">
        <v>-2.9597169999999999</v>
      </c>
      <c r="T2440">
        <v>-0.70773839999999999</v>
      </c>
      <c r="U2440">
        <v>0.31356810000000002</v>
      </c>
      <c r="V2440">
        <v>-2.6098759999999999E-2</v>
      </c>
      <c r="W2440">
        <v>-7.3465569999999994E-2</v>
      </c>
      <c r="X2440">
        <v>0.99695619999999996</v>
      </c>
      <c r="Y2440">
        <v>9.7189769999999995E-2</v>
      </c>
      <c r="Z2440">
        <v>1.048341E-2</v>
      </c>
      <c r="AA2440">
        <v>0.99521059999999995</v>
      </c>
      <c r="AB2440">
        <v>36</v>
      </c>
      <c r="AC2440">
        <v>-0.63820000000003996</v>
      </c>
      <c r="AD2440">
        <v>-0.2297893</v>
      </c>
      <c r="AE2440">
        <v>0.100300000000004</v>
      </c>
      <c r="AF2440">
        <v>8.5887289662332694E-2</v>
      </c>
      <c r="AG2440">
        <v>-0.2297893</v>
      </c>
      <c r="AH2440">
        <v>0.56701069144224703</v>
      </c>
      <c r="AI2440">
        <v>111.835667028606</v>
      </c>
      <c r="AJ2440">
        <v>81.386665399306807</v>
      </c>
      <c r="AK2440">
        <v>0.61780326409775999</v>
      </c>
      <c r="AL2440">
        <v>94.213062695366105</v>
      </c>
      <c r="AM2440">
        <v>91.499571742479205</v>
      </c>
      <c r="AN2440">
        <v>0.99999999998370104</v>
      </c>
    </row>
    <row r="2441" spans="1:40" x14ac:dyDescent="0.25">
      <c r="A2441" t="str">
        <f>"20190303154145099"</f>
        <v>20190303154145099</v>
      </c>
      <c r="B2441" t="str">
        <f>"1551598905091954"</f>
        <v>1551598905091954</v>
      </c>
      <c r="C2441" t="s">
        <v>40</v>
      </c>
      <c r="D2441">
        <v>6.0238430000000003</v>
      </c>
      <c r="E2441">
        <v>0.54702289999999998</v>
      </c>
      <c r="F2441" t="s">
        <v>42</v>
      </c>
      <c r="G2441">
        <v>-265.38569999999999</v>
      </c>
      <c r="H2441">
        <v>0.89051769999999997</v>
      </c>
      <c r="I2441">
        <v>283.58539999999999</v>
      </c>
      <c r="J2441">
        <v>-264.79469999999998</v>
      </c>
      <c r="K2441">
        <v>1.1198790000000001</v>
      </c>
      <c r="L2441">
        <v>283.48500000000001</v>
      </c>
      <c r="M2441">
        <v>-0.99996160000000001</v>
      </c>
      <c r="N2441">
        <v>-6.7526560000000001E-3</v>
      </c>
      <c r="O2441">
        <v>5.6181900000000003E-3</v>
      </c>
      <c r="P2441">
        <v>-0.99654279999999995</v>
      </c>
      <c r="Q2441">
        <v>-8.0594760000000001E-2</v>
      </c>
      <c r="R2441">
        <v>-2.018551E-2</v>
      </c>
      <c r="S2441">
        <v>-2.9599609999999998</v>
      </c>
      <c r="T2441">
        <v>-0.70781179999999999</v>
      </c>
      <c r="U2441">
        <v>0.31509399999999999</v>
      </c>
      <c r="V2441">
        <v>-2.579851E-2</v>
      </c>
      <c r="W2441">
        <v>-7.3859449999999993E-2</v>
      </c>
      <c r="X2441">
        <v>0.99693489999999996</v>
      </c>
      <c r="Y2441">
        <v>9.7612539999999998E-2</v>
      </c>
      <c r="Z2441">
        <v>1.052903E-2</v>
      </c>
      <c r="AA2441">
        <v>0.99516879999999996</v>
      </c>
      <c r="AB2441">
        <v>36</v>
      </c>
      <c r="AC2441">
        <v>-0.59100000000000796</v>
      </c>
      <c r="AD2441">
        <v>-0.22936129999999999</v>
      </c>
      <c r="AE2441">
        <v>0.10039999999997901</v>
      </c>
      <c r="AF2441">
        <v>8.4681526044118799E-2</v>
      </c>
      <c r="AG2441">
        <v>-0.22936129999999999</v>
      </c>
      <c r="AH2441">
        <v>0.51601561876586099</v>
      </c>
      <c r="AI2441">
        <v>113.68313207511601</v>
      </c>
      <c r="AJ2441">
        <v>80.680458049495201</v>
      </c>
      <c r="AK2441">
        <v>0.57100760555457197</v>
      </c>
      <c r="AL2441">
        <v>94.235691885582497</v>
      </c>
      <c r="AM2441">
        <v>91.4823595006701</v>
      </c>
      <c r="AN2441">
        <v>0.99999998815526603</v>
      </c>
    </row>
    <row r="2442" spans="1:40" x14ac:dyDescent="0.25">
      <c r="A2442" t="str">
        <f>"20190303154145122"</f>
        <v>20190303154145122</v>
      </c>
      <c r="B2442" t="str">
        <f>"1551598905112452"</f>
        <v>1551598905112452</v>
      </c>
      <c r="C2442" t="s">
        <v>40</v>
      </c>
      <c r="D2442">
        <v>6.030176</v>
      </c>
      <c r="E2442">
        <v>0.54719609999999996</v>
      </c>
      <c r="F2442" t="s">
        <v>42</v>
      </c>
      <c r="G2442">
        <v>-265.71100000000001</v>
      </c>
      <c r="H2442">
        <v>0.89993670000000003</v>
      </c>
      <c r="I2442">
        <v>283.58359999999999</v>
      </c>
      <c r="J2442">
        <v>-265.1576</v>
      </c>
      <c r="K2442">
        <v>1.1198809999999999</v>
      </c>
      <c r="L2442">
        <v>283.4871</v>
      </c>
      <c r="M2442">
        <v>-0.99996010000000002</v>
      </c>
      <c r="N2442">
        <v>-6.8976109999999997E-3</v>
      </c>
      <c r="O2442">
        <v>5.6810599999999999E-3</v>
      </c>
      <c r="P2442">
        <v>-0.99647870000000005</v>
      </c>
      <c r="Q2442">
        <v>-8.1482849999999996E-2</v>
      </c>
      <c r="R2442">
        <v>-1.9771029999999998E-2</v>
      </c>
      <c r="S2442">
        <v>-2.9594119999999999</v>
      </c>
      <c r="T2442">
        <v>-0.71037340000000004</v>
      </c>
      <c r="U2442">
        <v>0.3175964</v>
      </c>
      <c r="V2442">
        <v>-2.544627E-2</v>
      </c>
      <c r="W2442">
        <v>-7.4603550000000005E-2</v>
      </c>
      <c r="X2442">
        <v>0.99688860000000001</v>
      </c>
      <c r="Y2442">
        <v>9.8360210000000003E-2</v>
      </c>
      <c r="Z2442">
        <v>1.0650659999999999E-2</v>
      </c>
      <c r="AA2442">
        <v>0.99509389999999998</v>
      </c>
      <c r="AB2442">
        <v>36</v>
      </c>
      <c r="AC2442">
        <v>-0.55340000000001</v>
      </c>
      <c r="AD2442">
        <v>-0.21994429999999901</v>
      </c>
      <c r="AE2442">
        <v>9.6499999999991801E-2</v>
      </c>
      <c r="AF2442">
        <v>8.0945618180362E-2</v>
      </c>
      <c r="AG2442">
        <v>-0.21994429999999901</v>
      </c>
      <c r="AH2442">
        <v>0.48030865306519199</v>
      </c>
      <c r="AI2442">
        <v>114.301805043306</v>
      </c>
      <c r="AJ2442">
        <v>80.433926277790405</v>
      </c>
      <c r="AK2442">
        <v>0.534438107187717</v>
      </c>
      <c r="AL2442">
        <v>94.278443398179505</v>
      </c>
      <c r="AM2442">
        <v>91.462196827549306</v>
      </c>
      <c r="AN2442">
        <v>1.0000000415697301</v>
      </c>
    </row>
    <row r="2443" spans="1:40" x14ac:dyDescent="0.25">
      <c r="A2443" t="str">
        <f>"20190303154145145"</f>
        <v>20190303154145145</v>
      </c>
      <c r="B2443" t="str">
        <f>"1551598905141731"</f>
        <v>1551598905141731</v>
      </c>
      <c r="C2443" t="s">
        <v>40</v>
      </c>
      <c r="D2443">
        <v>6.0291160000000001</v>
      </c>
      <c r="E2443">
        <v>0.54741879999999998</v>
      </c>
      <c r="F2443" t="s">
        <v>42</v>
      </c>
      <c r="G2443">
        <v>-266.03649999999999</v>
      </c>
      <c r="H2443">
        <v>0.90805749999999996</v>
      </c>
      <c r="I2443">
        <v>283.58260000000001</v>
      </c>
      <c r="J2443">
        <v>-265.5283</v>
      </c>
      <c r="K2443">
        <v>1.119872</v>
      </c>
      <c r="L2443">
        <v>283.48930000000001</v>
      </c>
      <c r="M2443">
        <v>-0.99995889999999998</v>
      </c>
      <c r="N2443">
        <v>-7.0326390000000003E-3</v>
      </c>
      <c r="O2443">
        <v>5.7449689999999999E-3</v>
      </c>
      <c r="P2443">
        <v>-0.99642839999999999</v>
      </c>
      <c r="Q2443">
        <v>-8.2200830000000003E-2</v>
      </c>
      <c r="R2443">
        <v>-1.9338480000000002E-2</v>
      </c>
      <c r="S2443">
        <v>-2.9586489999999999</v>
      </c>
      <c r="T2443">
        <v>-0.71310019999999996</v>
      </c>
      <c r="U2443">
        <v>0.32037349999999998</v>
      </c>
      <c r="V2443">
        <v>-2.5077240000000001E-2</v>
      </c>
      <c r="W2443">
        <v>-7.5187340000000005E-2</v>
      </c>
      <c r="X2443">
        <v>0.99685409999999997</v>
      </c>
      <c r="Y2443">
        <v>9.9201360000000002E-2</v>
      </c>
      <c r="Z2443">
        <v>1.078659E-2</v>
      </c>
      <c r="AA2443">
        <v>0.99500889999999997</v>
      </c>
      <c r="AB2443">
        <v>36</v>
      </c>
      <c r="AC2443">
        <v>-0.50819999999998799</v>
      </c>
      <c r="AD2443">
        <v>-0.21181449999999899</v>
      </c>
      <c r="AE2443">
        <v>9.3299999999999203E-2</v>
      </c>
      <c r="AF2443">
        <v>7.7375615493575495E-2</v>
      </c>
      <c r="AG2443">
        <v>-0.21181449999999899</v>
      </c>
      <c r="AH2443">
        <v>0.435534834818878</v>
      </c>
      <c r="AI2443">
        <v>115.586693209069</v>
      </c>
      <c r="AJ2443">
        <v>79.926135280548706</v>
      </c>
      <c r="AK2443">
        <v>0.49045179235473002</v>
      </c>
      <c r="AL2443">
        <v>94.311986271238695</v>
      </c>
      <c r="AM2443">
        <v>91.441050435402005</v>
      </c>
      <c r="AN2443">
        <v>1.0000000503745501</v>
      </c>
    </row>
    <row r="2444" spans="1:40" x14ac:dyDescent="0.25">
      <c r="A2444" t="str">
        <f>"20190303154145166"</f>
        <v>20190303154145166</v>
      </c>
      <c r="B2444" t="str">
        <f>"1551598905162227"</f>
        <v>1551598905162227</v>
      </c>
      <c r="C2444" t="s">
        <v>40</v>
      </c>
      <c r="D2444">
        <v>6.0432680000000003</v>
      </c>
      <c r="E2444">
        <v>0.54754759999999902</v>
      </c>
      <c r="F2444" t="s">
        <v>42</v>
      </c>
      <c r="G2444">
        <v>-266.36369999999999</v>
      </c>
      <c r="H2444">
        <v>0.91781429999999997</v>
      </c>
      <c r="I2444">
        <v>283.58109999999999</v>
      </c>
      <c r="J2444">
        <v>-265.86250000000001</v>
      </c>
      <c r="K2444">
        <v>1.119866</v>
      </c>
      <c r="L2444">
        <v>283.49130000000002</v>
      </c>
      <c r="M2444">
        <v>-0.99995769999999995</v>
      </c>
      <c r="N2444">
        <v>-7.1437310000000004E-3</v>
      </c>
      <c r="O2444">
        <v>5.8027549999999997E-3</v>
      </c>
      <c r="P2444">
        <v>-0.99645479999999997</v>
      </c>
      <c r="Q2444">
        <v>-8.1959489999999996E-2</v>
      </c>
      <c r="R2444">
        <v>-1.8997099999999999E-2</v>
      </c>
      <c r="S2444">
        <v>-2.958008</v>
      </c>
      <c r="T2444">
        <v>-0.71550249999999904</v>
      </c>
      <c r="U2444">
        <v>0.32394410000000001</v>
      </c>
      <c r="V2444">
        <v>-2.4793180000000001E-2</v>
      </c>
      <c r="W2444">
        <v>-7.4835139999999994E-2</v>
      </c>
      <c r="X2444">
        <v>0.99688770000000004</v>
      </c>
      <c r="Y2444">
        <v>0.1003029</v>
      </c>
      <c r="Z2444">
        <v>1.0950079999999999E-2</v>
      </c>
      <c r="AA2444">
        <v>0.99489669999999997</v>
      </c>
      <c r="AB2444">
        <v>36</v>
      </c>
      <c r="AC2444">
        <v>-0.50119999999998299</v>
      </c>
      <c r="AD2444">
        <v>-0.2020517</v>
      </c>
      <c r="AE2444">
        <v>8.9799999999968294E-2</v>
      </c>
      <c r="AF2444">
        <v>7.5069375163383203E-2</v>
      </c>
      <c r="AG2444">
        <v>-0.2020517</v>
      </c>
      <c r="AH2444">
        <v>0.43345867565457702</v>
      </c>
      <c r="AI2444">
        <v>114.669372784196</v>
      </c>
      <c r="AJ2444">
        <v>80.174580135437097</v>
      </c>
      <c r="AK2444">
        <v>0.48409371413036401</v>
      </c>
      <c r="AL2444">
        <v>94.291749716766404</v>
      </c>
      <c r="AM2444">
        <v>91.424685842393103</v>
      </c>
      <c r="AN2444">
        <v>1.00000004318231</v>
      </c>
    </row>
    <row r="2445" spans="1:40" x14ac:dyDescent="0.25">
      <c r="A2445" t="str">
        <f>"20190303154145189"</f>
        <v>20190303154145189</v>
      </c>
      <c r="B2445" t="str">
        <f>"1551598905181746"</f>
        <v>1551598905181746</v>
      </c>
      <c r="C2445" t="s">
        <v>40</v>
      </c>
      <c r="D2445">
        <v>6.0718300000000003</v>
      </c>
      <c r="E2445">
        <v>0.54766230000000005</v>
      </c>
      <c r="F2445" t="s">
        <v>42</v>
      </c>
      <c r="G2445">
        <v>-266.68830000000003</v>
      </c>
      <c r="H2445">
        <v>0.92032029999999998</v>
      </c>
      <c r="I2445">
        <v>283.58249999999998</v>
      </c>
      <c r="J2445">
        <v>-266.24009999999998</v>
      </c>
      <c r="K2445">
        <v>1.1198539999999999</v>
      </c>
      <c r="L2445">
        <v>283.49349999999998</v>
      </c>
      <c r="M2445">
        <v>-0.99995639999999997</v>
      </c>
      <c r="N2445">
        <v>-7.2564769999999999E-3</v>
      </c>
      <c r="O2445">
        <v>5.8679219999999898E-3</v>
      </c>
      <c r="P2445">
        <v>-0.99648049999999999</v>
      </c>
      <c r="Q2445">
        <v>-8.1726069999999998E-2</v>
      </c>
      <c r="R2445">
        <v>-1.8640179999999999E-2</v>
      </c>
      <c r="S2445">
        <v>-2.9580989999999998</v>
      </c>
      <c r="T2445">
        <v>-0.71484989999999904</v>
      </c>
      <c r="U2445">
        <v>0.32562259999999998</v>
      </c>
      <c r="V2445">
        <v>-2.450194E-2</v>
      </c>
      <c r="W2445">
        <v>-7.4489219999999995E-2</v>
      </c>
      <c r="X2445">
        <v>0.99692080000000005</v>
      </c>
      <c r="Y2445">
        <v>0.1007839</v>
      </c>
      <c r="Z2445">
        <v>1.0990400000000001E-2</v>
      </c>
      <c r="AA2445">
        <v>0.9948477</v>
      </c>
      <c r="AB2445">
        <v>36</v>
      </c>
      <c r="AC2445">
        <v>-0.44820000000004201</v>
      </c>
      <c r="AD2445">
        <v>-0.19953370000000001</v>
      </c>
      <c r="AE2445">
        <v>8.8999999999998594E-2</v>
      </c>
      <c r="AF2445">
        <v>7.2537353480666603E-2</v>
      </c>
      <c r="AG2445">
        <v>-0.19953370000000001</v>
      </c>
      <c r="AH2445">
        <v>0.376857357492353</v>
      </c>
      <c r="AI2445">
        <v>117.47099739414</v>
      </c>
      <c r="AJ2445">
        <v>79.104974924239102</v>
      </c>
      <c r="AK2445">
        <v>0.43254691419751001</v>
      </c>
      <c r="AL2445">
        <v>94.2718745215046</v>
      </c>
      <c r="AM2445">
        <v>91.407910420910994</v>
      </c>
      <c r="AN2445">
        <v>1.0000000352163001</v>
      </c>
    </row>
    <row r="2446" spans="1:40" x14ac:dyDescent="0.25">
      <c r="A2446" t="str">
        <f>"20190303154145212"</f>
        <v>20190303154145212</v>
      </c>
      <c r="B2446" t="str">
        <f>"1551598905202242"</f>
        <v>1551598905202242</v>
      </c>
      <c r="C2446" t="s">
        <v>40</v>
      </c>
      <c r="D2446">
        <v>6.107475</v>
      </c>
      <c r="E2446">
        <v>0.56614399999999998</v>
      </c>
      <c r="F2446" t="s">
        <v>42</v>
      </c>
      <c r="G2446">
        <v>-267.01769999999999</v>
      </c>
      <c r="H2446">
        <v>0.9321796</v>
      </c>
      <c r="I2446">
        <v>283.5797</v>
      </c>
      <c r="J2446">
        <v>-266.60539999999997</v>
      </c>
      <c r="K2446">
        <v>1.1198549999999901</v>
      </c>
      <c r="L2446">
        <v>283.4957</v>
      </c>
      <c r="M2446">
        <v>-0.9999555</v>
      </c>
      <c r="N2446">
        <v>-7.3533940000000001E-3</v>
      </c>
      <c r="O2446">
        <v>5.9307569999999896E-3</v>
      </c>
      <c r="P2446">
        <v>-0.99649600000000005</v>
      </c>
      <c r="Q2446">
        <v>-8.1548330000000002E-2</v>
      </c>
      <c r="R2446">
        <v>-1.8608820000000002E-2</v>
      </c>
      <c r="S2446">
        <v>-2.9581909999999998</v>
      </c>
      <c r="T2446">
        <v>-0.71404769999999995</v>
      </c>
      <c r="U2446">
        <v>0.32736209999999999</v>
      </c>
      <c r="V2446">
        <v>-2.4532390000000001E-2</v>
      </c>
      <c r="W2446">
        <v>-7.4214710000000003E-2</v>
      </c>
      <c r="X2446">
        <v>0.99694050000000001</v>
      </c>
      <c r="Y2446">
        <v>0.10128810000000001</v>
      </c>
      <c r="Z2446">
        <v>1.1030989999999999E-2</v>
      </c>
      <c r="AA2446">
        <v>0.99479600000000001</v>
      </c>
      <c r="AB2446">
        <v>36</v>
      </c>
      <c r="AC2446">
        <v>-0.41230000000001599</v>
      </c>
      <c r="AD2446">
        <v>-0.18767539999999899</v>
      </c>
      <c r="AE2446">
        <v>8.40000000000031E-2</v>
      </c>
      <c r="AF2446">
        <v>6.8021004187530501E-2</v>
      </c>
      <c r="AG2446">
        <v>-0.18767539999999899</v>
      </c>
      <c r="AH2446">
        <v>0.34429614867097702</v>
      </c>
      <c r="AI2446">
        <v>118.136187470839</v>
      </c>
      <c r="AJ2446">
        <v>78.8242576667745</v>
      </c>
      <c r="AK2446">
        <v>0.39798084220915397</v>
      </c>
      <c r="AL2446">
        <v>94.256102705393403</v>
      </c>
      <c r="AM2446">
        <v>91.409631564055701</v>
      </c>
      <c r="AN2446">
        <v>1.0000000109398699</v>
      </c>
    </row>
    <row r="2447" spans="1:40" x14ac:dyDescent="0.25">
      <c r="A2447" t="str">
        <f>"20190303154145235"</f>
        <v>20190303154145235</v>
      </c>
      <c r="B2447" t="str">
        <f>"1551598905232030"</f>
        <v>1551598905232030</v>
      </c>
      <c r="C2447" t="s">
        <v>40</v>
      </c>
      <c r="D2447">
        <v>6.2465549999999999</v>
      </c>
      <c r="E2447">
        <v>0.57024490000000005</v>
      </c>
      <c r="F2447" t="s">
        <v>42</v>
      </c>
      <c r="G2447">
        <v>-267.33749999999998</v>
      </c>
      <c r="H2447">
        <v>0.91983199999999998</v>
      </c>
      <c r="I2447">
        <v>283.61410000000001</v>
      </c>
      <c r="J2447">
        <v>-266.9821</v>
      </c>
      <c r="K2447">
        <v>1.1198490000000001</v>
      </c>
      <c r="L2447">
        <v>283.49799999999999</v>
      </c>
      <c r="M2447">
        <v>-0.99995440000000002</v>
      </c>
      <c r="N2447">
        <v>-7.4454150000000004E-3</v>
      </c>
      <c r="O2447">
        <v>5.9958099999999999E-3</v>
      </c>
      <c r="P2447">
        <v>-0.99645930000000005</v>
      </c>
      <c r="Q2447">
        <v>-8.1779069999999995E-2</v>
      </c>
      <c r="R2447">
        <v>-1.9523470000000001E-2</v>
      </c>
      <c r="S2447">
        <v>-2.9533390000000002</v>
      </c>
      <c r="T2447">
        <v>-0.80695090000000003</v>
      </c>
      <c r="U2447">
        <v>0.47616579999999997</v>
      </c>
      <c r="V2447">
        <v>-2.551235E-2</v>
      </c>
      <c r="W2447">
        <v>-7.4353820000000001E-2</v>
      </c>
      <c r="X2447">
        <v>0.9969055</v>
      </c>
      <c r="Y2447">
        <v>0.1480129</v>
      </c>
      <c r="Z2447">
        <v>1.8745629999999999E-2</v>
      </c>
      <c r="AA2447">
        <v>0.98880769999999996</v>
      </c>
      <c r="AB2447">
        <v>36</v>
      </c>
      <c r="AC2447">
        <v>-0.35539999999997401</v>
      </c>
      <c r="AD2447">
        <v>-0.200016999999999</v>
      </c>
      <c r="AE2447">
        <v>0.116100000000017</v>
      </c>
      <c r="AF2447">
        <v>8.8607792991224496E-2</v>
      </c>
      <c r="AG2447">
        <v>-0.200016999999999</v>
      </c>
      <c r="AH2447">
        <v>0.27685507247163399</v>
      </c>
      <c r="AI2447">
        <v>124.531047768798</v>
      </c>
      <c r="AJ2447">
        <v>72.252668334619699</v>
      </c>
      <c r="AK2447">
        <v>0.35285531372086398</v>
      </c>
      <c r="AL2447">
        <v>94.264095364666503</v>
      </c>
      <c r="AM2447">
        <v>91.465967428794997</v>
      </c>
      <c r="AN2447">
        <v>0.99999997324068202</v>
      </c>
    </row>
    <row r="2448" spans="1:40" x14ac:dyDescent="0.25">
      <c r="A2448" t="str">
        <f>"20190303154145256"</f>
        <v>20190303154145256</v>
      </c>
      <c r="B2448" t="str">
        <f>"1551598905251550"</f>
        <v>1551598905251550</v>
      </c>
      <c r="C2448" t="s">
        <v>40</v>
      </c>
      <c r="D2448">
        <v>5.9365759999999996</v>
      </c>
      <c r="E2448">
        <v>0.57221420000000001</v>
      </c>
      <c r="F2448" t="s">
        <v>42</v>
      </c>
      <c r="G2448">
        <v>-267.66759999999999</v>
      </c>
      <c r="H2448">
        <v>0.93022309999999997</v>
      </c>
      <c r="I2448">
        <v>283.6157</v>
      </c>
      <c r="J2448">
        <v>-267.32350000000002</v>
      </c>
      <c r="K2448">
        <v>1.1198520000000001</v>
      </c>
      <c r="L2448">
        <v>283.50009999999997</v>
      </c>
      <c r="M2448">
        <v>-0.99995350000000005</v>
      </c>
      <c r="N2448">
        <v>-7.5238930000000002E-3</v>
      </c>
      <c r="O2448">
        <v>6.0545319999999996E-3</v>
      </c>
      <c r="P2448">
        <v>-0.99643159999999997</v>
      </c>
      <c r="Q2448">
        <v>-8.2112089999999999E-2</v>
      </c>
      <c r="R2448">
        <v>-1.9540140000000001E-2</v>
      </c>
      <c r="S2448">
        <v>-2.953522</v>
      </c>
      <c r="T2448">
        <v>-0.81704100000000002</v>
      </c>
      <c r="U2448">
        <v>0.50628660000000003</v>
      </c>
      <c r="V2448">
        <v>-2.5587439999999999E-2</v>
      </c>
      <c r="W2448">
        <v>-7.4608809999999998E-2</v>
      </c>
      <c r="X2448">
        <v>0.99688449999999995</v>
      </c>
      <c r="Y2448">
        <v>0.15728639999999999</v>
      </c>
      <c r="Z2448">
        <v>2.0226709999999998E-2</v>
      </c>
      <c r="AA2448">
        <v>0.9873459</v>
      </c>
      <c r="AB2448">
        <v>36</v>
      </c>
      <c r="AC2448">
        <v>-0.34409999999996899</v>
      </c>
      <c r="AD2448">
        <v>-0.18962889999999999</v>
      </c>
      <c r="AE2448">
        <v>0.115600000000029</v>
      </c>
      <c r="AF2448">
        <v>8.9178048564348994E-2</v>
      </c>
      <c r="AG2448">
        <v>-0.18962889999999999</v>
      </c>
      <c r="AH2448">
        <v>0.27087317708001002</v>
      </c>
      <c r="AI2448">
        <v>123.62213221394499</v>
      </c>
      <c r="AJ2448">
        <v>71.777195827005997</v>
      </c>
      <c r="AK2448">
        <v>0.34246769500549101</v>
      </c>
      <c r="AL2448">
        <v>94.2787460131415</v>
      </c>
      <c r="AM2448">
        <v>91.470311249649995</v>
      </c>
      <c r="AN2448">
        <v>0.99999994897780797</v>
      </c>
    </row>
    <row r="2449" spans="1:40" x14ac:dyDescent="0.25">
      <c r="A2449" t="str">
        <f>"20190303154145277"</f>
        <v>20190303154145277</v>
      </c>
      <c r="B2449" t="str">
        <f>"1551598905272046"</f>
        <v>1551598905272046</v>
      </c>
      <c r="C2449" t="s">
        <v>40</v>
      </c>
      <c r="D2449">
        <v>5.9237869999999999</v>
      </c>
      <c r="E2449">
        <v>0.57354719999999904</v>
      </c>
      <c r="F2449" t="s">
        <v>42</v>
      </c>
      <c r="G2449">
        <v>-268.28890000000001</v>
      </c>
      <c r="H2449">
        <v>0.8528519</v>
      </c>
      <c r="I2449">
        <v>283.67110000000002</v>
      </c>
      <c r="J2449">
        <v>-267.6748</v>
      </c>
      <c r="K2449">
        <v>1.1198629999999901</v>
      </c>
      <c r="L2449">
        <v>283.50229999999999</v>
      </c>
      <c r="M2449">
        <v>-0.99995239999999996</v>
      </c>
      <c r="N2449">
        <v>-7.6058459999999899E-3</v>
      </c>
      <c r="O2449">
        <v>6.1159169999999898E-3</v>
      </c>
      <c r="P2449">
        <v>-0.99646250000000003</v>
      </c>
      <c r="Q2449">
        <v>-8.1770109999999993E-2</v>
      </c>
      <c r="R2449">
        <v>-1.940615E-2</v>
      </c>
      <c r="S2449">
        <v>-2.9536739999999999</v>
      </c>
      <c r="T2449">
        <v>-0.81688109999999903</v>
      </c>
      <c r="U2449">
        <v>0.52221679999999904</v>
      </c>
      <c r="V2449">
        <v>-2.551457E-2</v>
      </c>
      <c r="W2449">
        <v>-7.4184910000000007E-2</v>
      </c>
      <c r="X2449">
        <v>0.99691810000000003</v>
      </c>
      <c r="Y2449">
        <v>0.1622082</v>
      </c>
      <c r="Z2449">
        <v>2.088719E-2</v>
      </c>
      <c r="AA2449">
        <v>0.98653550000000001</v>
      </c>
      <c r="AB2449">
        <v>36</v>
      </c>
      <c r="AC2449">
        <v>-0.61410000000000697</v>
      </c>
      <c r="AD2449">
        <v>-0.267011099999999</v>
      </c>
      <c r="AE2449">
        <v>0.16880000000003201</v>
      </c>
      <c r="AF2449">
        <v>0.14036826053502</v>
      </c>
      <c r="AG2449">
        <v>-0.267011099999999</v>
      </c>
      <c r="AH2449">
        <v>0.523163811362091</v>
      </c>
      <c r="AI2449">
        <v>116.240663462463</v>
      </c>
      <c r="AJ2449">
        <v>74.980899911028402</v>
      </c>
      <c r="AK2449">
        <v>0.60390276502740603</v>
      </c>
      <c r="AL2449">
        <v>94.254390421513506</v>
      </c>
      <c r="AM2449">
        <v>91.466076414925297</v>
      </c>
      <c r="AN2449">
        <v>1.0000000461308001</v>
      </c>
    </row>
    <row r="2450" spans="1:40" x14ac:dyDescent="0.25">
      <c r="A2450" t="str">
        <f>"20190303154145301"</f>
        <v>20190303154145301</v>
      </c>
      <c r="B2450" t="str">
        <f>"1551598905291569"</f>
        <v>1551598905291569</v>
      </c>
      <c r="C2450" t="s">
        <v>40</v>
      </c>
      <c r="D2450">
        <v>5.9305750000000002</v>
      </c>
      <c r="E2450">
        <v>0.57445170000000001</v>
      </c>
      <c r="F2450" t="s">
        <v>42</v>
      </c>
      <c r="G2450">
        <v>-268.6189</v>
      </c>
      <c r="H2450">
        <v>0.85980650000000003</v>
      </c>
      <c r="I2450">
        <v>283.673</v>
      </c>
      <c r="J2450">
        <v>-268.05610000000001</v>
      </c>
      <c r="K2450">
        <v>1.1198729999999999</v>
      </c>
      <c r="L2450">
        <v>283.50470000000001</v>
      </c>
      <c r="M2450">
        <v>-0.99995140000000005</v>
      </c>
      <c r="N2450">
        <v>-7.694134E-3</v>
      </c>
      <c r="O2450">
        <v>6.1816299999999996E-3</v>
      </c>
      <c r="P2450">
        <v>-0.99645450000000002</v>
      </c>
      <c r="Q2450">
        <v>-8.183472E-2</v>
      </c>
      <c r="R2450">
        <v>-1.9540829999999999E-2</v>
      </c>
      <c r="S2450">
        <v>-2.954285</v>
      </c>
      <c r="T2450">
        <v>-0.81386579999999997</v>
      </c>
      <c r="U2450">
        <v>0.53305049999999998</v>
      </c>
      <c r="V2450">
        <v>-2.571474E-2</v>
      </c>
      <c r="W2450">
        <v>-7.4161530000000003E-2</v>
      </c>
      <c r="X2450">
        <v>0.99691459999999998</v>
      </c>
      <c r="Y2450">
        <v>0.1655384</v>
      </c>
      <c r="Z2450">
        <v>2.1256049999999999E-2</v>
      </c>
      <c r="AA2450">
        <v>0.98597429999999997</v>
      </c>
      <c r="AB2450">
        <v>37</v>
      </c>
      <c r="AC2450">
        <v>-0.56279999999998098</v>
      </c>
      <c r="AD2450">
        <v>-0.26006649999999898</v>
      </c>
      <c r="AE2450">
        <v>0.16829999999998699</v>
      </c>
      <c r="AF2450">
        <v>0.137807036449998</v>
      </c>
      <c r="AG2450">
        <v>-0.26006649999999898</v>
      </c>
      <c r="AH2450">
        <v>0.47142819751836701</v>
      </c>
      <c r="AI2450">
        <v>117.901110367787</v>
      </c>
      <c r="AJ2450">
        <v>73.705398526079506</v>
      </c>
      <c r="AK2450">
        <v>0.55576065813693298</v>
      </c>
      <c r="AL2450">
        <v>94.253047555461706</v>
      </c>
      <c r="AM2450">
        <v>91.477578361687804</v>
      </c>
      <c r="AN2450">
        <v>0.99999995003918296</v>
      </c>
    </row>
    <row r="2451" spans="1:40" x14ac:dyDescent="0.25">
      <c r="A2451" t="str">
        <f>"20190303154145323"</f>
        <v>20190303154145323</v>
      </c>
      <c r="B2451" t="str">
        <f>"1551598905312062"</f>
        <v>1551598905312062</v>
      </c>
      <c r="C2451" t="s">
        <v>40</v>
      </c>
      <c r="D2451">
        <v>5.98407</v>
      </c>
      <c r="E2451">
        <v>0.57422329999999999</v>
      </c>
      <c r="F2451" t="s">
        <v>42</v>
      </c>
      <c r="G2451">
        <v>-268.95190000000002</v>
      </c>
      <c r="H2451">
        <v>0.87337049999999905</v>
      </c>
      <c r="I2451">
        <v>283.6687</v>
      </c>
      <c r="J2451">
        <v>-268.42779999999999</v>
      </c>
      <c r="K2451">
        <v>1.119877</v>
      </c>
      <c r="L2451">
        <v>283.50700000000001</v>
      </c>
      <c r="M2451">
        <v>-0.99995029999999996</v>
      </c>
      <c r="N2451">
        <v>-7.776799E-3</v>
      </c>
      <c r="O2451">
        <v>6.2456919999999997E-3</v>
      </c>
      <c r="P2451">
        <v>-0.99651719999999999</v>
      </c>
      <c r="Q2451">
        <v>-8.098255E-2</v>
      </c>
      <c r="R2451">
        <v>-1.988438E-2</v>
      </c>
      <c r="S2451">
        <v>-2.9544980000000001</v>
      </c>
      <c r="T2451">
        <v>-0.81301669999999904</v>
      </c>
      <c r="U2451">
        <v>0.54019169999999905</v>
      </c>
      <c r="V2451">
        <v>-2.6122510000000002E-2</v>
      </c>
      <c r="W2451">
        <v>-7.3226410000000006E-2</v>
      </c>
      <c r="X2451">
        <v>0.9969732</v>
      </c>
      <c r="Y2451">
        <v>0.1677051</v>
      </c>
      <c r="Z2451">
        <v>2.1519750000000001E-2</v>
      </c>
      <c r="AA2451">
        <v>0.98560230000000004</v>
      </c>
      <c r="AB2451">
        <v>37</v>
      </c>
      <c r="AC2451">
        <v>-0.52410000000003198</v>
      </c>
      <c r="AD2451">
        <v>-0.24650649999999999</v>
      </c>
      <c r="AE2451">
        <v>0.16169999999999601</v>
      </c>
      <c r="AF2451">
        <v>0.131800451434199</v>
      </c>
      <c r="AG2451">
        <v>-0.24650649999999999</v>
      </c>
      <c r="AH2451">
        <v>0.43685712479108602</v>
      </c>
      <c r="AI2451">
        <v>118.378869876354</v>
      </c>
      <c r="AJ2451">
        <v>73.211358273893097</v>
      </c>
      <c r="AK2451">
        <v>0.51863374458402001</v>
      </c>
      <c r="AL2451">
        <v>94.199322715129696</v>
      </c>
      <c r="AM2451">
        <v>91.500910154537493</v>
      </c>
      <c r="AN2451">
        <v>1.00000002708421</v>
      </c>
    </row>
    <row r="2452" spans="1:40" x14ac:dyDescent="0.25">
      <c r="A2452" t="str">
        <f>"20190303154145346"</f>
        <v>20190303154145346</v>
      </c>
      <c r="B2452" t="str">
        <f>"1551598905342318"</f>
        <v>1551598905342318</v>
      </c>
      <c r="C2452" t="s">
        <v>40</v>
      </c>
      <c r="D2452">
        <v>5.9770709999999996</v>
      </c>
      <c r="E2452">
        <v>0.57390439999999998</v>
      </c>
      <c r="F2452" t="s">
        <v>42</v>
      </c>
      <c r="G2452">
        <v>-269.28469999999999</v>
      </c>
      <c r="H2452">
        <v>0.88518809999999903</v>
      </c>
      <c r="I2452">
        <v>283.66329999999999</v>
      </c>
      <c r="J2452">
        <v>-268.7919</v>
      </c>
      <c r="K2452">
        <v>1.1198859999999999</v>
      </c>
      <c r="L2452">
        <v>283.50940000000003</v>
      </c>
      <c r="M2452">
        <v>-0.99994939999999999</v>
      </c>
      <c r="N2452">
        <v>-7.8552020000000004E-3</v>
      </c>
      <c r="O2452">
        <v>6.308396E-3</v>
      </c>
      <c r="P2452">
        <v>-0.99651889999999999</v>
      </c>
      <c r="Q2452">
        <v>-8.0862840000000005E-2</v>
      </c>
      <c r="R2452">
        <v>-2.028802E-2</v>
      </c>
      <c r="S2452">
        <v>-2.9554140000000002</v>
      </c>
      <c r="T2452">
        <v>-0.80949130000000002</v>
      </c>
      <c r="U2452">
        <v>0.53750609999999999</v>
      </c>
      <c r="V2452">
        <v>-2.6588779999999999E-2</v>
      </c>
      <c r="W2452">
        <v>-7.3028419999999997E-2</v>
      </c>
      <c r="X2452">
        <v>0.99697539999999996</v>
      </c>
      <c r="Y2452">
        <v>0.16680819999999999</v>
      </c>
      <c r="Z2452">
        <v>2.1295729999999999E-2</v>
      </c>
      <c r="AA2452">
        <v>0.98575939999999995</v>
      </c>
      <c r="AB2452">
        <v>37</v>
      </c>
      <c r="AC2452">
        <v>-0.49279999999998803</v>
      </c>
      <c r="AD2452">
        <v>-0.23469789999999999</v>
      </c>
      <c r="AE2452">
        <v>0.15389999999996401</v>
      </c>
      <c r="AF2452">
        <v>0.124962958175306</v>
      </c>
      <c r="AG2452">
        <v>-0.23469789999999999</v>
      </c>
      <c r="AH2452">
        <v>0.40919582122869802</v>
      </c>
      <c r="AI2452">
        <v>118.746962743469</v>
      </c>
      <c r="AJ2452">
        <v>73.018026122134998</v>
      </c>
      <c r="AK2452">
        <v>0.48799596851957899</v>
      </c>
      <c r="AL2452">
        <v>94.187948254673103</v>
      </c>
      <c r="AM2452">
        <v>91.527684481591095</v>
      </c>
      <c r="AN2452">
        <v>1.00000003077737</v>
      </c>
    </row>
    <row r="2453" spans="1:40" x14ac:dyDescent="0.25">
      <c r="A2453" t="str">
        <f>"20190303154145367"</f>
        <v>20190303154145367</v>
      </c>
      <c r="B2453" t="str">
        <f>"1551598905361839"</f>
        <v>1551598905361839</v>
      </c>
      <c r="C2453" t="s">
        <v>40</v>
      </c>
      <c r="D2453">
        <v>5.958075</v>
      </c>
      <c r="E2453">
        <v>0.57373779999999996</v>
      </c>
      <c r="F2453" t="s">
        <v>42</v>
      </c>
      <c r="G2453">
        <v>-269.61689999999999</v>
      </c>
      <c r="H2453">
        <v>0.89431209999999906</v>
      </c>
      <c r="I2453">
        <v>283.65839999999997</v>
      </c>
      <c r="J2453">
        <v>-269.14710000000002</v>
      </c>
      <c r="K2453">
        <v>1.1198920000000001</v>
      </c>
      <c r="L2453">
        <v>283.51170000000002</v>
      </c>
      <c r="M2453">
        <v>-0.99994839999999996</v>
      </c>
      <c r="N2453">
        <v>-7.927814E-3</v>
      </c>
      <c r="O2453">
        <v>6.3692719999999996E-3</v>
      </c>
      <c r="P2453">
        <v>-0.99646659999999998</v>
      </c>
      <c r="Q2453">
        <v>-8.1440390000000001E-2</v>
      </c>
      <c r="R2453">
        <v>-2.054856E-2</v>
      </c>
      <c r="S2453">
        <v>-2.9557190000000002</v>
      </c>
      <c r="T2453">
        <v>-0.80818559999999995</v>
      </c>
      <c r="U2453">
        <v>0.53301999999999905</v>
      </c>
      <c r="V2453">
        <v>-2.6909619999999999E-2</v>
      </c>
      <c r="W2453">
        <v>-7.3533890000000005E-2</v>
      </c>
      <c r="X2453">
        <v>0.99692959999999997</v>
      </c>
      <c r="Y2453">
        <v>0.165352799999999</v>
      </c>
      <c r="Z2453">
        <v>2.1055270000000001E-2</v>
      </c>
      <c r="AA2453">
        <v>0.98600969999999999</v>
      </c>
      <c r="AB2453">
        <v>37</v>
      </c>
      <c r="AC2453">
        <v>-0.46979999999996302</v>
      </c>
      <c r="AD2453">
        <v>-0.2255799</v>
      </c>
      <c r="AE2453">
        <v>0.14669999999995201</v>
      </c>
      <c r="AF2453">
        <v>0.118757130334019</v>
      </c>
      <c r="AG2453">
        <v>-0.2255799</v>
      </c>
      <c r="AH2453">
        <v>0.38900575790286701</v>
      </c>
      <c r="AI2453">
        <v>119.013593067592</v>
      </c>
      <c r="AJ2453">
        <v>73.023422106528002</v>
      </c>
      <c r="AK2453">
        <v>0.46509679312027602</v>
      </c>
      <c r="AL2453">
        <v>94.216987784705594</v>
      </c>
      <c r="AM2453">
        <v>91.5461807602329</v>
      </c>
      <c r="AN2453">
        <v>0.99999999399161799</v>
      </c>
    </row>
    <row r="2454" spans="1:40" x14ac:dyDescent="0.25">
      <c r="A2454" t="str">
        <f>"20190303154145391"</f>
        <v>20190303154145391</v>
      </c>
      <c r="B2454" t="str">
        <f>"1551598905382334"</f>
        <v>1551598905382334</v>
      </c>
      <c r="C2454" t="s">
        <v>40</v>
      </c>
      <c r="D2454">
        <v>5.9541890000000004</v>
      </c>
      <c r="E2454">
        <v>0.57371209999999995</v>
      </c>
      <c r="F2454" t="s">
        <v>42</v>
      </c>
      <c r="G2454">
        <v>-269.94869999999997</v>
      </c>
      <c r="H2454">
        <v>0.90071499999999904</v>
      </c>
      <c r="I2454">
        <v>283.65609999999998</v>
      </c>
      <c r="J2454">
        <v>-269.52749999999997</v>
      </c>
      <c r="K2454">
        <v>1.1198950000000001</v>
      </c>
      <c r="L2454">
        <v>283.51420000000002</v>
      </c>
      <c r="M2454">
        <v>-0.99994740000000004</v>
      </c>
      <c r="N2454">
        <v>-8.0003550000000007E-3</v>
      </c>
      <c r="O2454">
        <v>6.4347340000000001E-3</v>
      </c>
      <c r="P2454">
        <v>-0.99642580000000003</v>
      </c>
      <c r="Q2454">
        <v>-8.1909220000000005E-2</v>
      </c>
      <c r="R2454">
        <v>-2.065722E-2</v>
      </c>
      <c r="S2454">
        <v>-2.9555660000000001</v>
      </c>
      <c r="T2454">
        <v>-0.80818939999999995</v>
      </c>
      <c r="U2454">
        <v>0.53140259999999995</v>
      </c>
      <c r="V2454">
        <v>-2.7083289999999999E-2</v>
      </c>
      <c r="W2454">
        <v>-7.3930709999999997E-2</v>
      </c>
      <c r="X2454">
        <v>0.99689559999999999</v>
      </c>
      <c r="Y2454">
        <v>0.1647942</v>
      </c>
      <c r="Z2454">
        <v>2.097021E-2</v>
      </c>
      <c r="AA2454">
        <v>0.98610500000000001</v>
      </c>
      <c r="AB2454">
        <v>37</v>
      </c>
      <c r="AC2454">
        <v>-0.42119999999999802</v>
      </c>
      <c r="AD2454">
        <v>-0.21918000000000001</v>
      </c>
      <c r="AE2454">
        <v>0.141899999999964</v>
      </c>
      <c r="AF2454">
        <v>0.11195979196186399</v>
      </c>
      <c r="AG2454">
        <v>-0.21918000000000001</v>
      </c>
      <c r="AH2454">
        <v>0.33953482742149199</v>
      </c>
      <c r="AI2454">
        <v>121.510820237527</v>
      </c>
      <c r="AJ2454">
        <v>71.750304877508995</v>
      </c>
      <c r="AK2454">
        <v>0.41935517935073402</v>
      </c>
      <c r="AL2454">
        <v>94.239785730810695</v>
      </c>
      <c r="AM2454">
        <v>91.556207698547396</v>
      </c>
      <c r="AN2454">
        <v>1.0000000458888401</v>
      </c>
    </row>
    <row r="2455" spans="1:40" x14ac:dyDescent="0.25">
      <c r="A2455" t="str">
        <f>"20190303154145412"</f>
        <v>20190303154145412</v>
      </c>
      <c r="B2455" t="str">
        <f>"1551598905401854"</f>
        <v>1551598905401854</v>
      </c>
      <c r="C2455" t="s">
        <v>40</v>
      </c>
      <c r="D2455">
        <v>5.9464389999999998</v>
      </c>
      <c r="E2455">
        <v>0.57366729999999999</v>
      </c>
      <c r="F2455" t="s">
        <v>42</v>
      </c>
      <c r="G2455">
        <v>-270.2833</v>
      </c>
      <c r="H2455">
        <v>0.91293999999999997</v>
      </c>
      <c r="I2455">
        <v>283.65019999999998</v>
      </c>
      <c r="J2455">
        <v>-269.89600000000002</v>
      </c>
      <c r="K2455">
        <v>1.119893</v>
      </c>
      <c r="L2455">
        <v>283.51659999999998</v>
      </c>
      <c r="M2455">
        <v>-0.99994640000000001</v>
      </c>
      <c r="N2455">
        <v>-8.0645869999999998E-3</v>
      </c>
      <c r="O2455">
        <v>6.497961E-3</v>
      </c>
      <c r="P2455">
        <v>-0.99642520000000001</v>
      </c>
      <c r="Q2455">
        <v>-8.1920649999999998E-2</v>
      </c>
      <c r="R2455">
        <v>-2.0640100000000002E-2</v>
      </c>
      <c r="S2455">
        <v>-2.9552309999999999</v>
      </c>
      <c r="T2455">
        <v>-0.80932819999999905</v>
      </c>
      <c r="U2455">
        <v>0.53088380000000002</v>
      </c>
      <c r="V2455">
        <v>-2.7129029999999998E-2</v>
      </c>
      <c r="W2455">
        <v>-7.3878109999999997E-2</v>
      </c>
      <c r="X2455">
        <v>0.99689819999999996</v>
      </c>
      <c r="Y2455">
        <v>0.1645749</v>
      </c>
      <c r="Z2455">
        <v>2.095955E-2</v>
      </c>
      <c r="AA2455">
        <v>0.98614190000000002</v>
      </c>
      <c r="AB2455">
        <v>37</v>
      </c>
      <c r="AC2455">
        <v>-0.387300000000038</v>
      </c>
      <c r="AD2455">
        <v>-0.206953</v>
      </c>
      <c r="AE2455">
        <v>0.133600000000001</v>
      </c>
      <c r="AF2455">
        <v>0.10443281586019899</v>
      </c>
      <c r="AG2455">
        <v>-0.206953</v>
      </c>
      <c r="AH2455">
        <v>0.30925010958896298</v>
      </c>
      <c r="AI2455">
        <v>122.376031709853</v>
      </c>
      <c r="AJ2455">
        <v>71.340331859766593</v>
      </c>
      <c r="AK2455">
        <v>0.38648594737490299</v>
      </c>
      <c r="AL2455">
        <v>94.236763944725894</v>
      </c>
      <c r="AM2455">
        <v>91.558830562832199</v>
      </c>
      <c r="AN2455">
        <v>0.99999999028457598</v>
      </c>
    </row>
    <row r="2456" spans="1:40" x14ac:dyDescent="0.25">
      <c r="A2456" t="str">
        <f>"20190303154145434"</f>
        <v>20190303154145434</v>
      </c>
      <c r="B2456" t="str">
        <f>"1551598905422351"</f>
        <v>1551598905422351</v>
      </c>
      <c r="C2456" t="s">
        <v>40</v>
      </c>
      <c r="D2456">
        <v>5.9479150000000001</v>
      </c>
      <c r="E2456">
        <v>0.57313449999999999</v>
      </c>
      <c r="F2456" t="s">
        <v>42</v>
      </c>
      <c r="G2456">
        <v>-270.61739999999998</v>
      </c>
      <c r="H2456">
        <v>0.92249250000000005</v>
      </c>
      <c r="I2456">
        <v>283.6465</v>
      </c>
      <c r="J2456">
        <v>-270.24810000000002</v>
      </c>
      <c r="K2456">
        <v>1.119893</v>
      </c>
      <c r="L2456">
        <v>283.51900000000001</v>
      </c>
      <c r="M2456">
        <v>-0.99994559999999999</v>
      </c>
      <c r="N2456">
        <v>-8.1204199999999997E-3</v>
      </c>
      <c r="O2456">
        <v>6.5585969999999898E-3</v>
      </c>
      <c r="P2456">
        <v>-0.99644460000000001</v>
      </c>
      <c r="Q2456">
        <v>-8.1749600000000006E-2</v>
      </c>
      <c r="R2456">
        <v>-2.0381219999999999E-2</v>
      </c>
      <c r="S2456">
        <v>-2.9552309999999999</v>
      </c>
      <c r="T2456">
        <v>-0.80867419999999901</v>
      </c>
      <c r="U2456">
        <v>0.53060909999999994</v>
      </c>
      <c r="V2456">
        <v>-2.6930309999999999E-2</v>
      </c>
      <c r="W2456">
        <v>-7.3651250000000001E-2</v>
      </c>
      <c r="X2456">
        <v>0.99692040000000004</v>
      </c>
      <c r="Y2456">
        <v>0.164441</v>
      </c>
      <c r="Z2456">
        <v>2.091488E-2</v>
      </c>
      <c r="AA2456">
        <v>0.98616519999999996</v>
      </c>
      <c r="AB2456">
        <v>37</v>
      </c>
      <c r="AC2456">
        <v>-0.369299999999952</v>
      </c>
      <c r="AD2456">
        <v>-0.19740050000000001</v>
      </c>
      <c r="AE2456">
        <v>0.127499999999997</v>
      </c>
      <c r="AF2456">
        <v>9.9638497713904803E-2</v>
      </c>
      <c r="AG2456">
        <v>-0.19740050000000001</v>
      </c>
      <c r="AH2456">
        <v>0.29485510566572598</v>
      </c>
      <c r="AI2456">
        <v>122.384855586692</v>
      </c>
      <c r="AJ2456">
        <v>71.328675598950497</v>
      </c>
      <c r="AK2456">
        <v>0.36855707965535001</v>
      </c>
      <c r="AL2456">
        <v>94.223730207040802</v>
      </c>
      <c r="AM2456">
        <v>91.547383267346703</v>
      </c>
      <c r="AN2456">
        <v>1.0000000160797</v>
      </c>
    </row>
    <row r="2457" spans="1:40" x14ac:dyDescent="0.25">
      <c r="A2457" t="str">
        <f>"20190303154145455"</f>
        <v>20190303154145455</v>
      </c>
      <c r="B2457" t="str">
        <f>"1551598905451630"</f>
        <v>1551598905451630</v>
      </c>
      <c r="C2457" t="s">
        <v>40</v>
      </c>
      <c r="D2457">
        <v>6.2319380000000004</v>
      </c>
      <c r="E2457">
        <v>0.57221480000000002</v>
      </c>
      <c r="F2457" t="s">
        <v>42</v>
      </c>
      <c r="G2457">
        <v>-270.9502</v>
      </c>
      <c r="H2457">
        <v>0.92712709999999998</v>
      </c>
      <c r="I2457">
        <v>283.64449999999999</v>
      </c>
      <c r="J2457">
        <v>-270.60730000000001</v>
      </c>
      <c r="K2457">
        <v>1.1199049999999999</v>
      </c>
      <c r="L2457">
        <v>283.5213</v>
      </c>
      <c r="M2457">
        <v>-0.99994470000000002</v>
      </c>
      <c r="N2457">
        <v>-8.1721609999999903E-3</v>
      </c>
      <c r="O2457">
        <v>6.6205580000000003E-3</v>
      </c>
      <c r="P2457">
        <v>-0.9964421</v>
      </c>
      <c r="Q2457">
        <v>-8.1928139999999997E-2</v>
      </c>
      <c r="R2457">
        <v>-1.978326E-2</v>
      </c>
      <c r="S2457">
        <v>-2.9549560000000001</v>
      </c>
      <c r="T2457">
        <v>-0.81134130000000004</v>
      </c>
      <c r="U2457">
        <v>0.52725219999999995</v>
      </c>
      <c r="V2457">
        <v>-2.6394319999999999E-2</v>
      </c>
      <c r="W2457">
        <v>-7.3778300000000005E-2</v>
      </c>
      <c r="X2457">
        <v>0.99692539999999996</v>
      </c>
      <c r="Y2457">
        <v>0.16331319999999999</v>
      </c>
      <c r="Z2457">
        <v>2.0815819999999999E-2</v>
      </c>
      <c r="AA2457">
        <v>0.98635459999999997</v>
      </c>
      <c r="AB2457">
        <v>37</v>
      </c>
      <c r="AC2457">
        <v>-0.34289999999998599</v>
      </c>
      <c r="AD2457">
        <v>-0.192777899999999</v>
      </c>
      <c r="AE2457">
        <v>0.12319999999999701</v>
      </c>
      <c r="AF2457">
        <v>9.4479307093039006E-2</v>
      </c>
      <c r="AG2457">
        <v>-0.192777899999999</v>
      </c>
      <c r="AH2457">
        <v>0.268536389057559</v>
      </c>
      <c r="AI2457">
        <v>124.10558687499601</v>
      </c>
      <c r="AJ2457">
        <v>70.616570070418305</v>
      </c>
      <c r="AK2457">
        <v>0.343804378164768</v>
      </c>
      <c r="AL2457">
        <v>94.231029242874598</v>
      </c>
      <c r="AM2457">
        <v>91.516592852091804</v>
      </c>
      <c r="AN2457">
        <v>1.0000000754221501</v>
      </c>
    </row>
    <row r="2458" spans="1:40" x14ac:dyDescent="0.25">
      <c r="A2458" t="str">
        <f>"20190303154145479"</f>
        <v>20190303154145479</v>
      </c>
      <c r="B2458" t="str">
        <f>"1551598905472126"</f>
        <v>1551598905472126</v>
      </c>
      <c r="C2458" t="s">
        <v>40</v>
      </c>
      <c r="D2458">
        <v>5.9517449999999998</v>
      </c>
      <c r="E2458">
        <v>0.57229079999999999</v>
      </c>
      <c r="F2458" t="s">
        <v>42</v>
      </c>
      <c r="G2458">
        <v>-271.28399999999999</v>
      </c>
      <c r="H2458">
        <v>0.93254780000000004</v>
      </c>
      <c r="I2458">
        <v>283.6413</v>
      </c>
      <c r="J2458">
        <v>-271.00040000000001</v>
      </c>
      <c r="K2458">
        <v>1.119901</v>
      </c>
      <c r="L2458">
        <v>283.524</v>
      </c>
      <c r="M2458">
        <v>-0.9999439</v>
      </c>
      <c r="N2458">
        <v>-8.2216319999999996E-3</v>
      </c>
      <c r="O2458">
        <v>6.6875969999999896E-3</v>
      </c>
      <c r="P2458">
        <v>-0.996444</v>
      </c>
      <c r="Q2458">
        <v>-8.2048759999999998E-2</v>
      </c>
      <c r="R2458">
        <v>-1.916694E-2</v>
      </c>
      <c r="S2458">
        <v>-2.9538570000000002</v>
      </c>
      <c r="T2458">
        <v>-0.81789969999999901</v>
      </c>
      <c r="U2458">
        <v>0.52148439999999996</v>
      </c>
      <c r="V2458">
        <v>-2.5845119999999999E-2</v>
      </c>
      <c r="W2458">
        <v>-7.3849659999999998E-2</v>
      </c>
      <c r="X2458">
        <v>0.9969344</v>
      </c>
      <c r="Y2458">
        <v>0.1614177</v>
      </c>
      <c r="Z2458">
        <v>2.0706080000000002E-2</v>
      </c>
      <c r="AA2458">
        <v>0.98666889999999996</v>
      </c>
      <c r="AB2458">
        <v>37</v>
      </c>
      <c r="AC2458">
        <v>-0.28359999999997798</v>
      </c>
      <c r="AD2458">
        <v>-0.187353199999999</v>
      </c>
      <c r="AE2458">
        <v>0.1173</v>
      </c>
      <c r="AF2458">
        <v>8.4070193927038503E-2</v>
      </c>
      <c r="AG2458">
        <v>-0.187353199999999</v>
      </c>
      <c r="AH2458">
        <v>0.207171387986821</v>
      </c>
      <c r="AI2458">
        <v>129.96204410093901</v>
      </c>
      <c r="AJ2458">
        <v>67.912675193132998</v>
      </c>
      <c r="AK2458">
        <v>0.29170019379074102</v>
      </c>
      <c r="AL2458">
        <v>94.235129499977901</v>
      </c>
      <c r="AM2458">
        <v>91.485037216203295</v>
      </c>
      <c r="AN2458">
        <v>0.999999970206644</v>
      </c>
    </row>
    <row r="2459" spans="1:40" x14ac:dyDescent="0.25">
      <c r="A2459" t="str">
        <f>"20190303154145502"</f>
        <v>20190303154145502</v>
      </c>
      <c r="B2459" t="str">
        <f>"1551598905491646"</f>
        <v>1551598905491646</v>
      </c>
      <c r="C2459" t="s">
        <v>40</v>
      </c>
      <c r="D2459">
        <v>6.2024569999999999</v>
      </c>
      <c r="E2459">
        <v>0.57153949999999998</v>
      </c>
      <c r="F2459" t="s">
        <v>42</v>
      </c>
      <c r="G2459">
        <v>-271.9212</v>
      </c>
      <c r="H2459">
        <v>0.86492400000000003</v>
      </c>
      <c r="I2459">
        <v>283.68759999999997</v>
      </c>
      <c r="J2459">
        <v>-271.3802</v>
      </c>
      <c r="K2459">
        <v>1.119902</v>
      </c>
      <c r="L2459">
        <v>283.52659999999997</v>
      </c>
      <c r="M2459">
        <v>-0.99994309999999997</v>
      </c>
      <c r="N2459">
        <v>-8.2556880000000006E-3</v>
      </c>
      <c r="O2459">
        <v>6.7527859999999898E-3</v>
      </c>
      <c r="P2459">
        <v>-0.99642039999999998</v>
      </c>
      <c r="Q2459">
        <v>-8.2497890000000004E-2</v>
      </c>
      <c r="R2459">
        <v>-1.8453089999999998E-2</v>
      </c>
      <c r="S2459">
        <v>-2.95343</v>
      </c>
      <c r="T2459">
        <v>-0.81781939999999997</v>
      </c>
      <c r="U2459">
        <v>0.52395630000000004</v>
      </c>
      <c r="V2459">
        <v>-2.5196400000000001E-2</v>
      </c>
      <c r="W2459">
        <v>-7.4265090000000006E-2</v>
      </c>
      <c r="X2459">
        <v>0.99692020000000003</v>
      </c>
      <c r="Y2459">
        <v>0.16215280000000001</v>
      </c>
      <c r="Z2459">
        <v>2.0793880000000001E-2</v>
      </c>
      <c r="AA2459">
        <v>0.98654660000000005</v>
      </c>
      <c r="AB2459">
        <v>37</v>
      </c>
      <c r="AC2459">
        <v>-0.54099999999999604</v>
      </c>
      <c r="AD2459">
        <v>-0.25497799999999898</v>
      </c>
      <c r="AE2459">
        <v>0.161000000000001</v>
      </c>
      <c r="AF2459">
        <v>0.130677047663176</v>
      </c>
      <c r="AG2459">
        <v>-0.25497799999999898</v>
      </c>
      <c r="AH2459">
        <v>0.45020605515742601</v>
      </c>
      <c r="AI2459">
        <v>118.54217741071901</v>
      </c>
      <c r="AJ2459">
        <v>73.814072731068407</v>
      </c>
      <c r="AK2459">
        <v>0.53364385442950202</v>
      </c>
      <c r="AL2459">
        <v>94.258997200195594</v>
      </c>
      <c r="AM2459">
        <v>91.447799033666399</v>
      </c>
      <c r="AN2459">
        <v>1.00000002366685</v>
      </c>
    </row>
    <row r="2460" spans="1:40" x14ac:dyDescent="0.25">
      <c r="A2460" t="str">
        <f>"20190303154145524"</f>
        <v>20190303154145524</v>
      </c>
      <c r="B2460" t="str">
        <f>"1551598905521902"</f>
        <v>1551598905521902</v>
      </c>
      <c r="C2460" t="s">
        <v>40</v>
      </c>
      <c r="D2460">
        <v>5.914485</v>
      </c>
      <c r="E2460">
        <v>0.57103119999999996</v>
      </c>
      <c r="F2460" t="s">
        <v>42</v>
      </c>
      <c r="G2460">
        <v>-272.25810000000001</v>
      </c>
      <c r="H2460">
        <v>0.87462689999999998</v>
      </c>
      <c r="I2460">
        <v>283.68130000000002</v>
      </c>
      <c r="J2460">
        <v>-271.75729999999999</v>
      </c>
      <c r="K2460">
        <v>1.1199049999999999</v>
      </c>
      <c r="L2460">
        <v>283.5292</v>
      </c>
      <c r="M2460">
        <v>-0.99994260000000001</v>
      </c>
      <c r="N2460">
        <v>-8.278947E-3</v>
      </c>
      <c r="O2460">
        <v>6.8173629999999999E-3</v>
      </c>
      <c r="P2460">
        <v>-0.99640229999999996</v>
      </c>
      <c r="Q2460">
        <v>-8.2843410000000006E-2</v>
      </c>
      <c r="R2460">
        <v>-1.789025E-2</v>
      </c>
      <c r="S2460">
        <v>-2.9520870000000001</v>
      </c>
      <c r="T2460">
        <v>-0.82482979999999995</v>
      </c>
      <c r="U2460">
        <v>0.51962280000000005</v>
      </c>
      <c r="V2460">
        <v>-2.4698089999999999E-2</v>
      </c>
      <c r="W2460">
        <v>-7.4587639999999997E-2</v>
      </c>
      <c r="X2460">
        <v>0.99690849999999998</v>
      </c>
      <c r="Y2460">
        <v>0.1607141</v>
      </c>
      <c r="Z2460">
        <v>2.075401E-2</v>
      </c>
      <c r="AA2460">
        <v>0.98678279999999996</v>
      </c>
      <c r="AB2460">
        <v>37</v>
      </c>
      <c r="AC2460">
        <v>-0.500800000000026</v>
      </c>
      <c r="AD2460">
        <v>-0.245278099999999</v>
      </c>
      <c r="AE2460">
        <v>0.152100000000018</v>
      </c>
      <c r="AF2460">
        <v>0.121908736348249</v>
      </c>
      <c r="AG2460">
        <v>-0.245278099999999</v>
      </c>
      <c r="AH2460">
        <v>0.41146071913042398</v>
      </c>
      <c r="AI2460">
        <v>119.750405984408</v>
      </c>
      <c r="AJ2460">
        <v>73.496349186638398</v>
      </c>
      <c r="AK2460">
        <v>0.494290410310541</v>
      </c>
      <c r="AL2460">
        <v>94.277529734211001</v>
      </c>
      <c r="AM2460">
        <v>91.419194343378294</v>
      </c>
      <c r="AN2460">
        <v>0.99999993453133096</v>
      </c>
    </row>
    <row r="2461" spans="1:40" x14ac:dyDescent="0.25">
      <c r="A2461" t="str">
        <f>"20190303154145547"</f>
        <v>20190303154145547</v>
      </c>
      <c r="B2461" t="str">
        <f>"1551598905542299"</f>
        <v>1551598905542299</v>
      </c>
      <c r="C2461" t="s">
        <v>40</v>
      </c>
      <c r="D2461">
        <v>6.109947</v>
      </c>
      <c r="E2461">
        <v>0.57089049999999997</v>
      </c>
      <c r="F2461" t="s">
        <v>42</v>
      </c>
      <c r="G2461">
        <v>-272.59550000000002</v>
      </c>
      <c r="H2461">
        <v>0.88412760000000001</v>
      </c>
      <c r="I2461">
        <v>283.67630000000003</v>
      </c>
      <c r="J2461">
        <v>-272.1234</v>
      </c>
      <c r="K2461">
        <v>1.1199030000000001</v>
      </c>
      <c r="L2461">
        <v>283.53179999999998</v>
      </c>
      <c r="M2461">
        <v>-0.99994190000000005</v>
      </c>
      <c r="N2461">
        <v>-8.2947179999999995E-3</v>
      </c>
      <c r="O2461">
        <v>6.879825E-3</v>
      </c>
      <c r="P2461">
        <v>-0.99642900000000001</v>
      </c>
      <c r="Q2461">
        <v>-8.2533809999999999E-2</v>
      </c>
      <c r="R2461">
        <v>-1.7819729999999999E-2</v>
      </c>
      <c r="S2461">
        <v>-2.951111</v>
      </c>
      <c r="T2461">
        <v>-0.83014599999999905</v>
      </c>
      <c r="U2461">
        <v>0.51718140000000001</v>
      </c>
      <c r="V2461">
        <v>-2.4689659999999999E-2</v>
      </c>
      <c r="W2461">
        <v>-7.4262099999999998E-2</v>
      </c>
      <c r="X2461">
        <v>0.99693310000000002</v>
      </c>
      <c r="Y2461">
        <v>0.15987199999999999</v>
      </c>
      <c r="Z2461">
        <v>2.075198E-2</v>
      </c>
      <c r="AA2461">
        <v>0.98691960000000001</v>
      </c>
      <c r="AB2461">
        <v>37</v>
      </c>
      <c r="AC2461">
        <v>-0.47210000000001101</v>
      </c>
      <c r="AD2461">
        <v>-0.2357754</v>
      </c>
      <c r="AE2461">
        <v>0.14450000000005001</v>
      </c>
      <c r="AF2461">
        <v>0.11501819065082</v>
      </c>
      <c r="AG2461">
        <v>-0.2357754</v>
      </c>
      <c r="AH2461">
        <v>0.38522992516853599</v>
      </c>
      <c r="AI2461">
        <v>120.389767402297</v>
      </c>
      <c r="AJ2461">
        <v>73.375940627656703</v>
      </c>
      <c r="AK2461">
        <v>0.46607007914165099</v>
      </c>
      <c r="AL2461">
        <v>94.258825417104504</v>
      </c>
      <c r="AM2461">
        <v>91.418675145889594</v>
      </c>
      <c r="AN2461">
        <v>1.00000002234146</v>
      </c>
    </row>
    <row r="2462" spans="1:40" x14ac:dyDescent="0.25">
      <c r="A2462" t="str">
        <f>"20190303154145568"</f>
        <v>20190303154145568</v>
      </c>
      <c r="B2462" t="str">
        <f>"1551598905561821"</f>
        <v>1551598905561821</v>
      </c>
      <c r="C2462" t="s">
        <v>40</v>
      </c>
      <c r="D2462">
        <v>6.0833700000000004</v>
      </c>
      <c r="E2462">
        <v>0.57051980000000002</v>
      </c>
      <c r="F2462" t="s">
        <v>42</v>
      </c>
      <c r="G2462">
        <v>-272.93290000000002</v>
      </c>
      <c r="H2462">
        <v>0.89197929999999903</v>
      </c>
      <c r="I2462">
        <v>283.6737</v>
      </c>
      <c r="J2462">
        <v>-272.48770000000002</v>
      </c>
      <c r="K2462">
        <v>1.1199030000000001</v>
      </c>
      <c r="L2462">
        <v>283.53429999999997</v>
      </c>
      <c r="M2462">
        <v>-0.99994130000000003</v>
      </c>
      <c r="N2462">
        <v>-8.3039919999999996E-3</v>
      </c>
      <c r="O2462">
        <v>6.9424309999999998E-3</v>
      </c>
      <c r="P2462">
        <v>-0.99647459999999999</v>
      </c>
      <c r="Q2462">
        <v>-8.199389E-2</v>
      </c>
      <c r="R2462">
        <v>-1.775175E-2</v>
      </c>
      <c r="S2462">
        <v>-2.9511409999999998</v>
      </c>
      <c r="T2462">
        <v>-0.83097030000000005</v>
      </c>
      <c r="U2462">
        <v>0.51651000000000002</v>
      </c>
      <c r="V2462">
        <v>-2.468449E-2</v>
      </c>
      <c r="W2462">
        <v>-7.3712609999999998E-2</v>
      </c>
      <c r="X2462">
        <v>0.99697400000000003</v>
      </c>
      <c r="Y2462">
        <v>0.15959200000000001</v>
      </c>
      <c r="Z2462">
        <v>2.0715890000000001E-2</v>
      </c>
      <c r="AA2462">
        <v>0.98696569999999995</v>
      </c>
      <c r="AB2462">
        <v>37</v>
      </c>
      <c r="AC2462">
        <v>-0.44519999999999899</v>
      </c>
      <c r="AD2462">
        <v>-0.22792370000000001</v>
      </c>
      <c r="AE2462">
        <v>0.13940000000002301</v>
      </c>
      <c r="AF2462">
        <v>0.110039512092391</v>
      </c>
      <c r="AG2462">
        <v>-0.22792370000000001</v>
      </c>
      <c r="AH2462">
        <v>0.36018218255031298</v>
      </c>
      <c r="AI2462">
        <v>121.18182126993599</v>
      </c>
      <c r="AJ2462">
        <v>73.011527112098605</v>
      </c>
      <c r="AK2462">
        <v>0.44021484739832201</v>
      </c>
      <c r="AL2462">
        <v>94.227255463809797</v>
      </c>
      <c r="AM2462">
        <v>91.418320033555005</v>
      </c>
      <c r="AN2462">
        <v>1.0000000147977799</v>
      </c>
    </row>
    <row r="2463" spans="1:40" x14ac:dyDescent="0.25">
      <c r="A2463" t="str">
        <f>"20190303154145591"</f>
        <v>20190303154145591</v>
      </c>
      <c r="B2463" t="str">
        <f>"1551598905582315"</f>
        <v>1551598905582315</v>
      </c>
      <c r="C2463" t="s">
        <v>40</v>
      </c>
      <c r="D2463">
        <v>6.085432</v>
      </c>
      <c r="E2463">
        <v>0.57020209999999905</v>
      </c>
      <c r="F2463" t="s">
        <v>42</v>
      </c>
      <c r="G2463">
        <v>-273.2706</v>
      </c>
      <c r="H2463">
        <v>0.89915440000000002</v>
      </c>
      <c r="I2463">
        <v>283.67110000000002</v>
      </c>
      <c r="J2463">
        <v>-272.86739999999998</v>
      </c>
      <c r="K2463">
        <v>1.1199049999999999</v>
      </c>
      <c r="L2463">
        <v>283.53699999999998</v>
      </c>
      <c r="M2463">
        <v>-0.99994090000000002</v>
      </c>
      <c r="N2463">
        <v>-8.3093750000000008E-3</v>
      </c>
      <c r="O2463">
        <v>7.0076160000000004E-3</v>
      </c>
      <c r="P2463">
        <v>-0.99648590000000004</v>
      </c>
      <c r="Q2463">
        <v>-8.1771079999999996E-2</v>
      </c>
      <c r="R2463">
        <v>-1.8146869999999999E-2</v>
      </c>
      <c r="S2463">
        <v>-2.9512939999999999</v>
      </c>
      <c r="T2463">
        <v>-0.83217289999999899</v>
      </c>
      <c r="U2463">
        <v>0.51440429999999904</v>
      </c>
      <c r="V2463">
        <v>-2.5144610000000001E-2</v>
      </c>
      <c r="W2463">
        <v>-7.3484259999999996E-2</v>
      </c>
      <c r="X2463">
        <v>0.99697939999999996</v>
      </c>
      <c r="Y2463">
        <v>0.15884989999999999</v>
      </c>
      <c r="Z2463">
        <v>2.062195E-2</v>
      </c>
      <c r="AA2463">
        <v>0.98708739999999995</v>
      </c>
      <c r="AB2463">
        <v>37</v>
      </c>
      <c r="AC2463">
        <v>-0.40320000000002598</v>
      </c>
      <c r="AD2463">
        <v>-0.22075059999999899</v>
      </c>
      <c r="AE2463">
        <v>0.13409999999998901</v>
      </c>
      <c r="AF2463">
        <v>0.10337143957306</v>
      </c>
      <c r="AG2463">
        <v>-0.22075059999999899</v>
      </c>
      <c r="AH2463">
        <v>0.31823815260296101</v>
      </c>
      <c r="AI2463">
        <v>123.41415118771199</v>
      </c>
      <c r="AJ2463">
        <v>72.004951425479604</v>
      </c>
      <c r="AK2463">
        <v>0.400864071340788</v>
      </c>
      <c r="AL2463">
        <v>94.214136219504695</v>
      </c>
      <c r="AM2463">
        <v>91.444738658029905</v>
      </c>
      <c r="AN2463">
        <v>1.0000000559520701</v>
      </c>
    </row>
    <row r="2464" spans="1:40" x14ac:dyDescent="0.25">
      <c r="A2464" t="str">
        <f>"20190303154145612"</f>
        <v>20190303154145612</v>
      </c>
      <c r="B2464" t="str">
        <f>"1551598905601835"</f>
        <v>1551598905601835</v>
      </c>
      <c r="C2464" t="s">
        <v>40</v>
      </c>
      <c r="D2464">
        <v>6.0623250000000004</v>
      </c>
      <c r="E2464">
        <v>0.56992480000000001</v>
      </c>
      <c r="F2464" t="s">
        <v>42</v>
      </c>
      <c r="G2464">
        <v>-273.61040000000003</v>
      </c>
      <c r="H2464">
        <v>0.90989949999999997</v>
      </c>
      <c r="I2464">
        <v>283.66579999999999</v>
      </c>
      <c r="J2464">
        <v>-273.23509999999999</v>
      </c>
      <c r="K2464">
        <v>1.119909</v>
      </c>
      <c r="L2464">
        <v>283.53969999999998</v>
      </c>
      <c r="M2464">
        <v>-0.99994050000000001</v>
      </c>
      <c r="N2464">
        <v>-8.3127930000000006E-3</v>
      </c>
      <c r="O2464">
        <v>7.0706049999999998E-3</v>
      </c>
      <c r="P2464">
        <v>-0.99650399999999995</v>
      </c>
      <c r="Q2464">
        <v>-8.1419969999999994E-2</v>
      </c>
      <c r="R2464">
        <v>-1.8726400000000001E-2</v>
      </c>
      <c r="S2464">
        <v>-2.951416</v>
      </c>
      <c r="T2464">
        <v>-0.83426619999999996</v>
      </c>
      <c r="U2464">
        <v>0.51089479999999998</v>
      </c>
      <c r="V2464">
        <v>-2.5786590000000002E-2</v>
      </c>
      <c r="W2464">
        <v>-7.3129509999999995E-2</v>
      </c>
      <c r="X2464">
        <v>0.99698900000000001</v>
      </c>
      <c r="Y2464">
        <v>0.15766040000000001</v>
      </c>
      <c r="Z2464">
        <v>2.048591E-2</v>
      </c>
      <c r="AA2464">
        <v>0.98728090000000002</v>
      </c>
      <c r="AB2464">
        <v>37</v>
      </c>
      <c r="AC2464">
        <v>-0.37530000000003799</v>
      </c>
      <c r="AD2464">
        <v>-0.21000949999999999</v>
      </c>
      <c r="AE2464">
        <v>0.12610000000000801</v>
      </c>
      <c r="AF2464">
        <v>9.6337395397448899E-2</v>
      </c>
      <c r="AG2464">
        <v>-0.21000949999999999</v>
      </c>
      <c r="AH2464">
        <v>0.293579805710593</v>
      </c>
      <c r="AI2464">
        <v>124.203224100857</v>
      </c>
      <c r="AJ2464">
        <v>71.832894412213193</v>
      </c>
      <c r="AK2464">
        <v>0.37359602000460801</v>
      </c>
      <c r="AL2464">
        <v>94.193756069572004</v>
      </c>
      <c r="AM2464">
        <v>91.481594528566802</v>
      </c>
      <c r="AN2464">
        <v>0.99999996978883299</v>
      </c>
    </row>
    <row r="2465" spans="1:40" x14ac:dyDescent="0.25">
      <c r="A2465" t="str">
        <f>"20190303154145635"</f>
        <v>20190303154145635</v>
      </c>
      <c r="B2465" t="str">
        <f>"1551598905631799"</f>
        <v>1551598905631799</v>
      </c>
      <c r="C2465" t="s">
        <v>40</v>
      </c>
      <c r="D2465">
        <v>5.9782979999999997</v>
      </c>
      <c r="E2465">
        <v>0.56971689999999997</v>
      </c>
      <c r="F2465" t="s">
        <v>42</v>
      </c>
      <c r="G2465">
        <v>-273.9495</v>
      </c>
      <c r="H2465">
        <v>0.91775609999999996</v>
      </c>
      <c r="I2465">
        <v>283.6628</v>
      </c>
      <c r="J2465">
        <v>-273.60550000000001</v>
      </c>
      <c r="K2465">
        <v>1.119907</v>
      </c>
      <c r="L2465">
        <v>283.54230000000001</v>
      </c>
      <c r="M2465">
        <v>-0.99994000000000005</v>
      </c>
      <c r="N2465">
        <v>-8.3156580000000001E-3</v>
      </c>
      <c r="O2465">
        <v>7.1340730000000003E-3</v>
      </c>
      <c r="P2465">
        <v>-0.99646920000000005</v>
      </c>
      <c r="Q2465">
        <v>-8.1705630000000001E-2</v>
      </c>
      <c r="R2465">
        <v>-1.9320549999999999E-2</v>
      </c>
      <c r="S2465">
        <v>-2.9517820000000001</v>
      </c>
      <c r="T2465">
        <v>-0.83528419999999903</v>
      </c>
      <c r="U2465">
        <v>0.50695800000000002</v>
      </c>
      <c r="V2465">
        <v>-2.6443990000000001E-2</v>
      </c>
      <c r="W2465">
        <v>-7.3412500000000006E-2</v>
      </c>
      <c r="X2465">
        <v>0.99695100000000003</v>
      </c>
      <c r="Y2465">
        <v>0.15633830000000001</v>
      </c>
      <c r="Z2465">
        <v>2.0304289999999999E-2</v>
      </c>
      <c r="AA2465">
        <v>0.98749480000000001</v>
      </c>
      <c r="AB2465">
        <v>38</v>
      </c>
      <c r="AC2465">
        <v>-0.34399999999999398</v>
      </c>
      <c r="AD2465">
        <v>-0.20215089999999999</v>
      </c>
      <c r="AE2465">
        <v>0.120499999999992</v>
      </c>
      <c r="AF2465">
        <v>9.0275169760941104E-2</v>
      </c>
      <c r="AG2465">
        <v>-0.20215089999999999</v>
      </c>
      <c r="AH2465">
        <v>0.26373057455752502</v>
      </c>
      <c r="AI2465">
        <v>125.949485000205</v>
      </c>
      <c r="AJ2465">
        <v>71.103886906177394</v>
      </c>
      <c r="AK2465">
        <v>0.34433763750513702</v>
      </c>
      <c r="AL2465">
        <v>94.210013825569405</v>
      </c>
      <c r="AM2465">
        <v>91.519406508541906</v>
      </c>
      <c r="AN2465">
        <v>0.99999998808218504</v>
      </c>
    </row>
    <row r="2466" spans="1:40" x14ac:dyDescent="0.25">
      <c r="A2466" t="str">
        <f>"20190303154145648"</f>
        <v>20190303154145648</v>
      </c>
      <c r="B2466" t="str">
        <f>"1551598905641542"</f>
        <v>1551598905641542</v>
      </c>
      <c r="C2466" t="s">
        <v>40</v>
      </c>
      <c r="D2466">
        <v>6.004829</v>
      </c>
      <c r="E2466">
        <v>0.54472129999999996</v>
      </c>
      <c r="F2466" t="s">
        <v>42</v>
      </c>
      <c r="G2466">
        <v>-274.28989999999999</v>
      </c>
      <c r="H2466">
        <v>0.92633889999999997</v>
      </c>
      <c r="I2466">
        <v>283.6592</v>
      </c>
      <c r="J2466">
        <v>-273.83150000000001</v>
      </c>
      <c r="K2466">
        <v>1.119907</v>
      </c>
      <c r="L2466">
        <v>283.54390000000001</v>
      </c>
      <c r="M2466">
        <v>-0.99993969999999999</v>
      </c>
      <c r="N2466">
        <v>-8.3173980000000002E-3</v>
      </c>
      <c r="O2466">
        <v>7.1726910000000001E-3</v>
      </c>
      <c r="P2466">
        <v>-0.99647300000000005</v>
      </c>
      <c r="Q2466">
        <v>-8.1611840000000005E-2</v>
      </c>
      <c r="R2466">
        <v>-1.9524320000000001E-2</v>
      </c>
      <c r="S2466">
        <v>-2.9519350000000002</v>
      </c>
      <c r="T2466">
        <v>-0.83497520000000003</v>
      </c>
      <c r="U2466">
        <v>0.50384519999999999</v>
      </c>
      <c r="V2466">
        <v>-2.6686620000000001E-2</v>
      </c>
      <c r="W2466">
        <v>-7.3316889999999996E-2</v>
      </c>
      <c r="X2466">
        <v>0.99695160000000005</v>
      </c>
      <c r="Y2466">
        <v>0.15532470000000001</v>
      </c>
      <c r="Z2466">
        <v>2.01438E-2</v>
      </c>
      <c r="AA2466">
        <v>0.98765809999999998</v>
      </c>
      <c r="AB2466">
        <v>38</v>
      </c>
      <c r="AC2466">
        <v>-0.45839999999998299</v>
      </c>
      <c r="AD2466">
        <v>-0.19356809999999899</v>
      </c>
      <c r="AE2466">
        <v>0.11529999999998999</v>
      </c>
      <c r="AF2466">
        <v>9.5922609992501601E-2</v>
      </c>
      <c r="AG2466">
        <v>-0.19356809999999899</v>
      </c>
      <c r="AH2466">
        <v>0.39326430328656498</v>
      </c>
      <c r="AI2466">
        <v>115.55663611859801</v>
      </c>
      <c r="AJ2466">
        <v>76.292421946389993</v>
      </c>
      <c r="AK2466">
        <v>0.448694293127125</v>
      </c>
      <c r="AL2466">
        <v>94.204520850308398</v>
      </c>
      <c r="AM2466">
        <v>91.533339883028106</v>
      </c>
      <c r="AN2466">
        <v>1.0000000173944199</v>
      </c>
    </row>
    <row r="2467" spans="1:40" x14ac:dyDescent="0.25">
      <c r="A2467" t="str">
        <f>"20190303154145662"</f>
        <v>20190303154145662</v>
      </c>
      <c r="B2467" t="str">
        <f>"1551598905652277"</f>
        <v>1551598905652277</v>
      </c>
      <c r="C2467" t="s">
        <v>40</v>
      </c>
      <c r="D2467">
        <v>5.9371900000000002</v>
      </c>
      <c r="E2467">
        <v>0.5372342</v>
      </c>
      <c r="F2467" t="s">
        <v>42</v>
      </c>
      <c r="G2467">
        <v>-274.64870000000002</v>
      </c>
      <c r="H2467">
        <v>0.97267250000000005</v>
      </c>
      <c r="I2467">
        <v>283.62709999999998</v>
      </c>
      <c r="J2467">
        <v>-274.0616</v>
      </c>
      <c r="K2467">
        <v>1.1199049999999999</v>
      </c>
      <c r="L2467">
        <v>283.54570000000001</v>
      </c>
      <c r="M2467">
        <v>-0.99993949999999998</v>
      </c>
      <c r="N2467">
        <v>-8.3192439999999999E-3</v>
      </c>
      <c r="O2467">
        <v>7.2120229999999997E-3</v>
      </c>
      <c r="P2467">
        <v>-0.9964499</v>
      </c>
      <c r="Q2467">
        <v>-8.1739989999999998E-2</v>
      </c>
      <c r="R2467">
        <v>-2.0157609999999999E-2</v>
      </c>
      <c r="S2467">
        <v>-2.972626</v>
      </c>
      <c r="T2467">
        <v>-0.5357518</v>
      </c>
      <c r="U2467">
        <v>0.3010254</v>
      </c>
      <c r="V2467">
        <v>-2.7359029999999999E-2</v>
      </c>
      <c r="W2467">
        <v>-7.3443309999999998E-2</v>
      </c>
      <c r="X2467">
        <v>0.99692400000000003</v>
      </c>
      <c r="Y2467">
        <v>9.213826E-2</v>
      </c>
      <c r="Z2467">
        <v>7.3768359999999899E-3</v>
      </c>
      <c r="AA2467">
        <v>0.99571889999999996</v>
      </c>
      <c r="AB2467">
        <v>38</v>
      </c>
      <c r="AC2467">
        <v>-0.58710000000002005</v>
      </c>
      <c r="AD2467">
        <v>-0.14723249999999899</v>
      </c>
      <c r="AE2467">
        <v>8.1399999999973702E-2</v>
      </c>
      <c r="AF2467">
        <v>7.2678968720120404E-2</v>
      </c>
      <c r="AG2467">
        <v>-0.14723249999999899</v>
      </c>
      <c r="AH2467">
        <v>0.55351751617717304</v>
      </c>
      <c r="AI2467">
        <v>104.77424465315799</v>
      </c>
      <c r="AJ2467">
        <v>82.519637828124104</v>
      </c>
      <c r="AK2467">
        <v>0.57735715312570401</v>
      </c>
      <c r="AL2467">
        <v>94.211784051517697</v>
      </c>
      <c r="AM2467">
        <v>91.571999066060499</v>
      </c>
      <c r="AN2467">
        <v>0.99999994904114697</v>
      </c>
    </row>
    <row r="2468" spans="1:40" x14ac:dyDescent="0.25">
      <c r="A2468" t="str">
        <f>"20190303154145674"</f>
        <v>20190303154145674</v>
      </c>
      <c r="B2468" t="str">
        <f>"1551598905671798"</f>
        <v>1551598905671798</v>
      </c>
      <c r="C2468" t="s">
        <v>40</v>
      </c>
      <c r="D2468">
        <v>5.9847849999999996</v>
      </c>
      <c r="E2468">
        <v>0.52702640000000001</v>
      </c>
      <c r="F2468" t="s">
        <v>42</v>
      </c>
      <c r="G2468">
        <v>-274.98770000000002</v>
      </c>
      <c r="H2468">
        <v>0.97502529999999998</v>
      </c>
      <c r="I2468">
        <v>283.62009999999998</v>
      </c>
      <c r="J2468">
        <v>-274.27809999999999</v>
      </c>
      <c r="K2468">
        <v>1.119907</v>
      </c>
      <c r="L2468">
        <v>283.54719999999998</v>
      </c>
      <c r="M2468">
        <v>-0.99993909999999997</v>
      </c>
      <c r="N2468">
        <v>-8.3210619999999902E-3</v>
      </c>
      <c r="O2468">
        <v>7.2491500000000002E-3</v>
      </c>
      <c r="P2468">
        <v>-0.99641950000000001</v>
      </c>
      <c r="Q2468">
        <v>-8.2034599999999999E-2</v>
      </c>
      <c r="R2468">
        <v>-2.0463459999999999E-2</v>
      </c>
      <c r="S2468">
        <v>-2.977325</v>
      </c>
      <c r="T2468">
        <v>-0.46581640000000002</v>
      </c>
      <c r="U2468">
        <v>0.23880000000000001</v>
      </c>
      <c r="V2468">
        <v>-2.7701170000000001E-2</v>
      </c>
      <c r="W2468">
        <v>-7.3736300000000005E-2</v>
      </c>
      <c r="X2468">
        <v>0.99689300000000003</v>
      </c>
      <c r="Y2468">
        <v>7.1883920000000004E-2</v>
      </c>
      <c r="Z2468">
        <v>4.8163879999999996E-3</v>
      </c>
      <c r="AA2468">
        <v>0.99740139999999999</v>
      </c>
      <c r="AB2468">
        <v>38</v>
      </c>
      <c r="AC2468">
        <v>-0.70960000000002299</v>
      </c>
      <c r="AD2468">
        <v>-0.144881699999999</v>
      </c>
      <c r="AE2468">
        <v>7.29000000000041E-2</v>
      </c>
      <c r="AF2468">
        <v>6.5069684445810697E-2</v>
      </c>
      <c r="AG2468">
        <v>-0.144881699999999</v>
      </c>
      <c r="AH2468">
        <v>0.68197722121331805</v>
      </c>
      <c r="AI2468">
        <v>101.941143660476</v>
      </c>
      <c r="AJ2468">
        <v>84.549720935771006</v>
      </c>
      <c r="AK2468">
        <v>0.70022689257311899</v>
      </c>
      <c r="AL2468">
        <v>94.2286164610193</v>
      </c>
      <c r="AM2468">
        <v>91.591697214800405</v>
      </c>
      <c r="AN2468">
        <v>1.0000000251030201</v>
      </c>
    </row>
    <row r="2469" spans="1:40" x14ac:dyDescent="0.25">
      <c r="A2469" t="str">
        <f>"20190303154145692"</f>
        <v>20190303154145692</v>
      </c>
      <c r="B2469" t="str">
        <f>"1551598905681561"</f>
        <v>1551598905681561</v>
      </c>
      <c r="C2469" t="s">
        <v>40</v>
      </c>
      <c r="D2469">
        <v>5.9326559999999997</v>
      </c>
      <c r="E2469">
        <v>0.52451559999999997</v>
      </c>
      <c r="F2469" t="s">
        <v>42</v>
      </c>
      <c r="G2469">
        <v>-275.01929999999999</v>
      </c>
      <c r="H2469">
        <v>1.038959</v>
      </c>
      <c r="I2469">
        <v>283.58580000000001</v>
      </c>
      <c r="J2469">
        <v>-274.57420000000002</v>
      </c>
      <c r="K2469">
        <v>1.1199049999999999</v>
      </c>
      <c r="L2469">
        <v>283.54939999999999</v>
      </c>
      <c r="M2469">
        <v>-0.99993869999999896</v>
      </c>
      <c r="N2469">
        <v>-8.323858E-3</v>
      </c>
      <c r="O2469">
        <v>7.2998630000000002E-3</v>
      </c>
      <c r="P2469">
        <v>-0.9964132</v>
      </c>
      <c r="Q2469">
        <v>-8.2057829999999998E-2</v>
      </c>
      <c r="R2469">
        <v>-2.0674919999999999E-2</v>
      </c>
      <c r="S2469">
        <v>-2.9870909999999999</v>
      </c>
      <c r="T2469">
        <v>-0.32627840000000002</v>
      </c>
      <c r="U2469">
        <v>0.1549683</v>
      </c>
      <c r="V2469">
        <v>-2.796305E-2</v>
      </c>
      <c r="W2469">
        <v>-7.3756769999999999E-2</v>
      </c>
      <c r="X2469">
        <v>0.9968842</v>
      </c>
      <c r="Y2469">
        <v>4.427213E-2</v>
      </c>
      <c r="Z2469">
        <v>1.860245E-3</v>
      </c>
      <c r="AA2469">
        <v>0.99901779999999996</v>
      </c>
      <c r="AB2469">
        <v>38</v>
      </c>
      <c r="AC2469">
        <v>-0.44509999999996802</v>
      </c>
      <c r="AD2469">
        <v>-8.0945999999999907E-2</v>
      </c>
      <c r="AE2469">
        <v>3.6400000000014601E-2</v>
      </c>
      <c r="AF2469">
        <v>3.2095307409941098E-2</v>
      </c>
      <c r="AG2469">
        <v>-8.0945999999999907E-2</v>
      </c>
      <c r="AH2469">
        <v>0.43118786228578099</v>
      </c>
      <c r="AI2469">
        <v>100.60360381678601</v>
      </c>
      <c r="AJ2469">
        <v>85.743060356529597</v>
      </c>
      <c r="AK2469">
        <v>0.43989241441097798</v>
      </c>
      <c r="AL2469">
        <v>94.229792399282303</v>
      </c>
      <c r="AM2469">
        <v>91.606751051293898</v>
      </c>
      <c r="AN2469">
        <v>1.0000000507478799</v>
      </c>
    </row>
    <row r="2470" spans="1:40" x14ac:dyDescent="0.25">
      <c r="A2470" t="str">
        <f>"20190303154145706"</f>
        <v>20190303154145706</v>
      </c>
      <c r="B2470" t="str">
        <f>"1551598905702054"</f>
        <v>1551598905702054</v>
      </c>
      <c r="C2470" t="s">
        <v>40</v>
      </c>
      <c r="D2470">
        <v>5.9048049999999996</v>
      </c>
      <c r="E2470">
        <v>0.52100900000000006</v>
      </c>
      <c r="F2470" t="s">
        <v>42</v>
      </c>
      <c r="G2470">
        <v>-275.36090000000002</v>
      </c>
      <c r="H2470">
        <v>1.0443639999999901</v>
      </c>
      <c r="I2470">
        <v>283.58499999999998</v>
      </c>
      <c r="J2470">
        <v>-274.82190000000003</v>
      </c>
      <c r="K2470">
        <v>1.1199059999999901</v>
      </c>
      <c r="L2470">
        <v>283.55130000000003</v>
      </c>
      <c r="M2470">
        <v>-0.99993849999999995</v>
      </c>
      <c r="N2470">
        <v>-8.3264959999999992E-3</v>
      </c>
      <c r="O2470">
        <v>7.3421719999999897E-3</v>
      </c>
      <c r="P2470">
        <v>-0.99639900000000003</v>
      </c>
      <c r="Q2470">
        <v>-8.2206600000000005E-2</v>
      </c>
      <c r="R2470">
        <v>-2.0772880000000001E-2</v>
      </c>
      <c r="S2470">
        <v>-2.9898989999999999</v>
      </c>
      <c r="T2470">
        <v>-0.28736529999999999</v>
      </c>
      <c r="U2470">
        <v>0.13388059999999999</v>
      </c>
      <c r="V2470">
        <v>-2.8103449999999999E-2</v>
      </c>
      <c r="W2470">
        <v>-7.3902969999999998E-2</v>
      </c>
      <c r="X2470">
        <v>0.99686940000000002</v>
      </c>
      <c r="Y2470">
        <v>3.7238529999999999E-2</v>
      </c>
      <c r="Z2470">
        <v>1.2973489999999999E-3</v>
      </c>
      <c r="AA2470">
        <v>0.99930549999999996</v>
      </c>
      <c r="AB2470">
        <v>38</v>
      </c>
      <c r="AC2470">
        <v>-0.53899999999998705</v>
      </c>
      <c r="AD2470">
        <v>-7.5541999999999998E-2</v>
      </c>
      <c r="AE2470">
        <v>3.3699999999953399E-2</v>
      </c>
      <c r="AF2470">
        <v>2.9170765074855699E-2</v>
      </c>
      <c r="AG2470">
        <v>-7.5541999999999998E-2</v>
      </c>
      <c r="AH2470">
        <v>0.52888468212282902</v>
      </c>
      <c r="AI2470">
        <v>98.116555437757697</v>
      </c>
      <c r="AJ2470">
        <v>86.843035826170507</v>
      </c>
      <c r="AK2470">
        <v>0.53504816071379802</v>
      </c>
      <c r="AL2470">
        <v>94.238192067318195</v>
      </c>
      <c r="AM2470">
        <v>91.6148381070292</v>
      </c>
      <c r="AN2470">
        <v>1.0000000267665401</v>
      </c>
    </row>
    <row r="2471" spans="1:40" x14ac:dyDescent="0.25">
      <c r="A2471" t="str">
        <f>"20190303154145725"</f>
        <v>20190303154145725</v>
      </c>
      <c r="B2471" t="str">
        <f>"1551598905721574"</f>
        <v>1551598905721574</v>
      </c>
      <c r="C2471" t="s">
        <v>40</v>
      </c>
      <c r="D2471">
        <v>5.9097689999999998</v>
      </c>
      <c r="E2471">
        <v>0.51911189999999996</v>
      </c>
      <c r="F2471" t="s">
        <v>42</v>
      </c>
      <c r="G2471">
        <v>-275.70460000000003</v>
      </c>
      <c r="H2471">
        <v>1.0489139999999999</v>
      </c>
      <c r="I2471">
        <v>283.58229999999998</v>
      </c>
      <c r="J2471">
        <v>-275.1277</v>
      </c>
      <c r="K2471">
        <v>1.119901</v>
      </c>
      <c r="L2471">
        <v>283.55349999999999</v>
      </c>
      <c r="M2471">
        <v>-0.99993799999999999</v>
      </c>
      <c r="N2471">
        <v>-8.3301250000000007E-3</v>
      </c>
      <c r="O2471">
        <v>7.3937119999999898E-3</v>
      </c>
      <c r="P2471">
        <v>-0.9963824</v>
      </c>
      <c r="Q2471">
        <v>-8.2427959999999995E-2</v>
      </c>
      <c r="R2471">
        <v>-2.0680759999999999E-2</v>
      </c>
      <c r="S2471">
        <v>-2.9931640000000002</v>
      </c>
      <c r="T2471">
        <v>-0.24074580000000001</v>
      </c>
      <c r="U2471">
        <v>0.10501099999999999</v>
      </c>
      <c r="V2471">
        <v>-2.8062589999999998E-2</v>
      </c>
      <c r="W2471">
        <v>-7.4120889999999995E-2</v>
      </c>
      <c r="X2471">
        <v>0.99685440000000003</v>
      </c>
      <c r="Y2471">
        <v>2.759257E-2</v>
      </c>
      <c r="Z2471">
        <v>6.9065899999999896E-4</v>
      </c>
      <c r="AA2471">
        <v>0.99961900000000004</v>
      </c>
      <c r="AB2471">
        <v>38</v>
      </c>
      <c r="AC2471">
        <v>-0.57690000000002295</v>
      </c>
      <c r="AD2471">
        <v>-7.0987000000000106E-2</v>
      </c>
      <c r="AE2471">
        <v>2.8799999999989698E-2</v>
      </c>
      <c r="AF2471">
        <v>2.41686036176906E-2</v>
      </c>
      <c r="AG2471">
        <v>-7.0987000000000106E-2</v>
      </c>
      <c r="AH2471">
        <v>0.56851071498101402</v>
      </c>
      <c r="AI2471">
        <v>97.111034240164301</v>
      </c>
      <c r="AJ2471">
        <v>87.565699933986707</v>
      </c>
      <c r="AK2471">
        <v>0.57343500819016302</v>
      </c>
      <c r="AL2471">
        <v>94.250712181396906</v>
      </c>
      <c r="AM2471">
        <v>91.612515762582007</v>
      </c>
      <c r="AN2471">
        <v>1.0000000550456201</v>
      </c>
    </row>
    <row r="2472" spans="1:40" x14ac:dyDescent="0.25">
      <c r="A2472" t="str">
        <f>"20190303154145749"</f>
        <v>20190303154145749</v>
      </c>
      <c r="B2472" t="str">
        <f>"1551598905742069"</f>
        <v>1551598905742069</v>
      </c>
      <c r="C2472" t="s">
        <v>40</v>
      </c>
      <c r="D2472">
        <v>5.9069180000000001</v>
      </c>
      <c r="E2472">
        <v>0.51798429999999995</v>
      </c>
      <c r="F2472" t="s">
        <v>51</v>
      </c>
      <c r="G2472">
        <v>-291.03289999999998</v>
      </c>
      <c r="H2472" s="1">
        <v>2.440179E-6</v>
      </c>
      <c r="I2472">
        <v>284.03059999999999</v>
      </c>
      <c r="J2472">
        <v>-275.53219999999999</v>
      </c>
      <c r="K2472">
        <v>1.119902</v>
      </c>
      <c r="L2472">
        <v>283.5566</v>
      </c>
      <c r="M2472">
        <v>-0.99993750000000003</v>
      </c>
      <c r="N2472">
        <v>-8.3356049999999994E-3</v>
      </c>
      <c r="O2472">
        <v>7.45882199999999E-3</v>
      </c>
      <c r="P2472">
        <v>-0.99638309999999997</v>
      </c>
      <c r="Q2472">
        <v>-8.2552479999999998E-2</v>
      </c>
      <c r="R2472">
        <v>-2.0153859999999999E-2</v>
      </c>
      <c r="S2472">
        <v>-2.9952999999999999</v>
      </c>
      <c r="T2472">
        <v>-0.21090130000000001</v>
      </c>
      <c r="U2472">
        <v>8.984375E-2</v>
      </c>
      <c r="V2472">
        <v>-2.7600309999999999E-2</v>
      </c>
      <c r="W2472">
        <v>-7.4240089999999995E-2</v>
      </c>
      <c r="X2472">
        <v>0.99685840000000003</v>
      </c>
      <c r="Y2472">
        <v>2.2477E-2</v>
      </c>
      <c r="Z2472">
        <v>4.2168670000000002E-4</v>
      </c>
      <c r="AA2472">
        <v>0.99974730000000001</v>
      </c>
      <c r="AB2472">
        <v>38</v>
      </c>
      <c r="AC2472">
        <v>-15.500699999999901</v>
      </c>
      <c r="AD2472">
        <v>-1.119899559821</v>
      </c>
      <c r="AE2472">
        <v>0.47399999999998899</v>
      </c>
      <c r="AF2472">
        <v>0.35650667933501301</v>
      </c>
      <c r="AG2472">
        <v>-1.119899559821</v>
      </c>
      <c r="AH2472">
        <v>15.4233723691252</v>
      </c>
      <c r="AI2472">
        <v>94.151884612690907</v>
      </c>
      <c r="AJ2472">
        <v>88.675860835526805</v>
      </c>
      <c r="AK2472">
        <v>15.468086089532701</v>
      </c>
      <c r="AL2472">
        <v>94.257560861113305</v>
      </c>
      <c r="AM2472">
        <v>91.585959825065004</v>
      </c>
      <c r="AN2472">
        <v>1.0000000188629301</v>
      </c>
    </row>
    <row r="2473" spans="1:40" x14ac:dyDescent="0.25">
      <c r="A2473" t="str">
        <f>"20190303154145770"</f>
        <v>20190303154145770</v>
      </c>
      <c r="B2473" t="str">
        <f>"1551598905761589"</f>
        <v>1551598905761589</v>
      </c>
      <c r="C2473" t="s">
        <v>40</v>
      </c>
      <c r="D2473">
        <v>5.9125430000000003</v>
      </c>
      <c r="E2473">
        <v>0.51722380000000001</v>
      </c>
      <c r="F2473" t="s">
        <v>51</v>
      </c>
      <c r="G2473">
        <v>-293.08</v>
      </c>
      <c r="H2473" s="1">
        <v>2.8026430000000002E-6</v>
      </c>
      <c r="I2473">
        <v>284.03800000000001</v>
      </c>
      <c r="J2473">
        <v>-275.89229999999998</v>
      </c>
      <c r="K2473">
        <v>1.1199030000000001</v>
      </c>
      <c r="L2473">
        <v>283.55930000000001</v>
      </c>
      <c r="M2473">
        <v>-0.99993710000000002</v>
      </c>
      <c r="N2473">
        <v>-8.3411449999999995E-3</v>
      </c>
      <c r="O2473">
        <v>7.51235599999999E-3</v>
      </c>
      <c r="P2473">
        <v>-0.99635419999999997</v>
      </c>
      <c r="Q2473">
        <v>-8.3145239999999995E-2</v>
      </c>
      <c r="R2473">
        <v>-1.9118860000000001E-2</v>
      </c>
      <c r="S2473">
        <v>-2.9966740000000001</v>
      </c>
      <c r="T2473">
        <v>-0.19124759999999999</v>
      </c>
      <c r="U2473">
        <v>8.221436E-2</v>
      </c>
      <c r="V2473">
        <v>-2.6618030000000001E-2</v>
      </c>
      <c r="W2473">
        <v>-7.4827870000000005E-2</v>
      </c>
      <c r="X2473">
        <v>0.99684110000000004</v>
      </c>
      <c r="Y2473">
        <v>1.9880149999999999E-2</v>
      </c>
      <c r="Z2473">
        <v>3.003878E-4</v>
      </c>
      <c r="AA2473">
        <v>0.99980239999999998</v>
      </c>
      <c r="AB2473">
        <v>38</v>
      </c>
      <c r="AC2473">
        <v>-17.1877</v>
      </c>
      <c r="AD2473">
        <v>-1.119900197357</v>
      </c>
      <c r="AE2473">
        <v>0.47870000000000301</v>
      </c>
      <c r="AF2473">
        <v>0.34808526060967498</v>
      </c>
      <c r="AG2473">
        <v>-1.119900197357</v>
      </c>
      <c r="AH2473">
        <v>17.118193250167899</v>
      </c>
      <c r="AI2473">
        <v>93.742278204479106</v>
      </c>
      <c r="AJ2473">
        <v>88.835095039617798</v>
      </c>
      <c r="AK2473">
        <v>17.158318097960201</v>
      </c>
      <c r="AL2473">
        <v>94.291332388070103</v>
      </c>
      <c r="AM2473">
        <v>91.529570217991306</v>
      </c>
      <c r="AN2473">
        <v>0.99999995414951204</v>
      </c>
    </row>
    <row r="2474" spans="1:40" x14ac:dyDescent="0.25">
      <c r="A2474" t="str">
        <f>"20190303154145784"</f>
        <v>20190303154145784</v>
      </c>
      <c r="B2474" t="str">
        <f>"1551598905772325"</f>
        <v>1551598905772325</v>
      </c>
      <c r="C2474" t="s">
        <v>40</v>
      </c>
      <c r="D2474">
        <v>5.913856</v>
      </c>
      <c r="E2474">
        <v>0.5169203</v>
      </c>
      <c r="F2474" t="s">
        <v>51</v>
      </c>
      <c r="G2474">
        <v>-294.8399</v>
      </c>
      <c r="H2474" s="1">
        <v>3.1128430000000002E-6</v>
      </c>
      <c r="I2474">
        <v>284.06060000000002</v>
      </c>
      <c r="J2474">
        <v>-276.12920000000003</v>
      </c>
      <c r="K2474">
        <v>1.119901</v>
      </c>
      <c r="L2474">
        <v>283.56110000000001</v>
      </c>
      <c r="M2474">
        <v>-0.99993679999999996</v>
      </c>
      <c r="N2474">
        <v>-8.3451310000000004E-3</v>
      </c>
      <c r="O2474">
        <v>7.5438989999999997E-3</v>
      </c>
      <c r="P2474">
        <v>-0.99635390000000001</v>
      </c>
      <c r="Q2474">
        <v>-8.3292809999999995E-2</v>
      </c>
      <c r="R2474">
        <v>-1.8478999999999999E-2</v>
      </c>
      <c r="S2474">
        <v>-2.9977420000000001</v>
      </c>
      <c r="T2474">
        <v>-0.1771818</v>
      </c>
      <c r="U2474">
        <v>7.9315189999999994E-2</v>
      </c>
      <c r="V2474">
        <v>-2.6009319999999999E-2</v>
      </c>
      <c r="W2474">
        <v>-7.4971750000000004E-2</v>
      </c>
      <c r="X2474">
        <v>0.99684640000000002</v>
      </c>
      <c r="Y2474">
        <v>1.8878900000000001E-2</v>
      </c>
      <c r="Z2474">
        <v>2.5370070000000001E-4</v>
      </c>
      <c r="AA2474">
        <v>0.99982170000000004</v>
      </c>
      <c r="AB2474">
        <v>38</v>
      </c>
      <c r="AC2474">
        <v>-18.7106999999999</v>
      </c>
      <c r="AD2474">
        <v>-1.119897887157</v>
      </c>
      <c r="AE2474">
        <v>0.49950000000001099</v>
      </c>
      <c r="AF2474">
        <v>0.35705105343914401</v>
      </c>
      <c r="AG2474">
        <v>-1.119897887157</v>
      </c>
      <c r="AH2474">
        <v>18.647181343017898</v>
      </c>
      <c r="AI2474">
        <v>93.436268739910304</v>
      </c>
      <c r="AJ2474">
        <v>88.903050361498401</v>
      </c>
      <c r="AK2474">
        <v>18.6841919485916</v>
      </c>
      <c r="AL2474">
        <v>94.299599143611402</v>
      </c>
      <c r="AM2474">
        <v>91.494599603866007</v>
      </c>
      <c r="AN2474">
        <v>0.99999999660894201</v>
      </c>
    </row>
    <row r="2475" spans="1:40" x14ac:dyDescent="0.25">
      <c r="A2475" t="str">
        <f>"20190303154145803"</f>
        <v>20190303154145803</v>
      </c>
      <c r="B2475" t="str">
        <f>"1551598905791845"</f>
        <v>1551598905791845</v>
      </c>
      <c r="C2475" t="s">
        <v>40</v>
      </c>
      <c r="D2475">
        <v>5.8618199999999998</v>
      </c>
      <c r="E2475">
        <v>0.51640540000000001</v>
      </c>
      <c r="F2475" t="s">
        <v>51</v>
      </c>
      <c r="G2475">
        <v>-295.78219999999999</v>
      </c>
      <c r="H2475" s="1">
        <v>3.2785769999999998E-6</v>
      </c>
      <c r="I2475">
        <v>284.07679999999999</v>
      </c>
      <c r="J2475">
        <v>-276.46080000000001</v>
      </c>
      <c r="K2475">
        <v>1.119901</v>
      </c>
      <c r="L2475">
        <v>283.56369999999998</v>
      </c>
      <c r="M2475">
        <v>-0.99993650000000001</v>
      </c>
      <c r="N2475">
        <v>-8.3511219999999903E-3</v>
      </c>
      <c r="O2475">
        <v>7.5816030000000001E-3</v>
      </c>
      <c r="P2475">
        <v>-0.99639330000000004</v>
      </c>
      <c r="Q2475">
        <v>-8.2958799999999999E-2</v>
      </c>
      <c r="R2475">
        <v>-1.7848079999999999E-2</v>
      </c>
      <c r="S2475">
        <v>-2.9981990000000001</v>
      </c>
      <c r="T2475">
        <v>-0.17084839999999901</v>
      </c>
      <c r="U2475">
        <v>7.8674320000000006E-2</v>
      </c>
      <c r="V2475">
        <v>-2.5414840000000001E-2</v>
      </c>
      <c r="W2475">
        <v>-7.4631890000000006E-2</v>
      </c>
      <c r="X2475">
        <v>0.99688730000000003</v>
      </c>
      <c r="Y2475">
        <v>1.862581E-2</v>
      </c>
      <c r="Z2475">
        <v>2.3969630000000001E-4</v>
      </c>
      <c r="AA2475">
        <v>0.99982649999999995</v>
      </c>
      <c r="AB2475">
        <v>38</v>
      </c>
      <c r="AC2475">
        <v>-19.321399999999901</v>
      </c>
      <c r="AD2475">
        <v>-1.1198977214229999</v>
      </c>
      <c r="AE2475">
        <v>0.51310000000000799</v>
      </c>
      <c r="AF2475">
        <v>0.36536637891566098</v>
      </c>
      <c r="AG2475">
        <v>-1.1198977214229999</v>
      </c>
      <c r="AH2475">
        <v>19.260075551708798</v>
      </c>
      <c r="AI2475">
        <v>93.327180203645298</v>
      </c>
      <c r="AJ2475">
        <v>88.913221247111295</v>
      </c>
      <c r="AK2475">
        <v>19.2960662767006</v>
      </c>
      <c r="AL2475">
        <v>94.280071616548298</v>
      </c>
      <c r="AM2475">
        <v>91.460393479074298</v>
      </c>
      <c r="AN2475">
        <v>1.0000000609992401</v>
      </c>
    </row>
    <row r="2476" spans="1:40" x14ac:dyDescent="0.25">
      <c r="A2476" t="str">
        <f>"20190303154145826"</f>
        <v>20190303154145826</v>
      </c>
      <c r="B2476" t="str">
        <f>"1551598905822102"</f>
        <v>1551598905822102</v>
      </c>
      <c r="C2476" t="s">
        <v>40</v>
      </c>
      <c r="D2476">
        <v>5.8558539999999999</v>
      </c>
      <c r="E2476">
        <v>0.51605310000000004</v>
      </c>
      <c r="F2476" t="s">
        <v>51</v>
      </c>
      <c r="G2476">
        <v>-297.31450000000001</v>
      </c>
      <c r="H2476" s="1">
        <v>3.5488350000000001E-6</v>
      </c>
      <c r="I2476">
        <v>284.09469999999999</v>
      </c>
      <c r="J2476">
        <v>-276.8383</v>
      </c>
      <c r="K2476">
        <v>1.119918</v>
      </c>
      <c r="L2476">
        <v>283.56659999999999</v>
      </c>
      <c r="M2476">
        <v>-0.99993620000000005</v>
      </c>
      <c r="N2476">
        <v>-8.3585059999999999E-3</v>
      </c>
      <c r="O2476">
        <v>7.6139049999999998E-3</v>
      </c>
      <c r="P2476">
        <v>-0.99635799999999997</v>
      </c>
      <c r="Q2476">
        <v>-8.3394799999999894E-2</v>
      </c>
      <c r="R2476">
        <v>-1.7786650000000001E-2</v>
      </c>
      <c r="S2476">
        <v>-2.99884</v>
      </c>
      <c r="T2476">
        <v>-0.1610453</v>
      </c>
      <c r="U2476">
        <v>7.6354980000000003E-2</v>
      </c>
      <c r="V2476">
        <v>-2.5383599999999999E-2</v>
      </c>
      <c r="W2476">
        <v>-7.5061399999999903E-2</v>
      </c>
      <c r="X2476">
        <v>0.99685579999999996</v>
      </c>
      <c r="Y2476">
        <v>1.781897E-2</v>
      </c>
      <c r="Z2476">
        <v>2.076678E-4</v>
      </c>
      <c r="AA2476">
        <v>0.99984119999999999</v>
      </c>
      <c r="AB2476">
        <v>38</v>
      </c>
      <c r="AC2476">
        <v>-20.476199999999999</v>
      </c>
      <c r="AD2476">
        <v>-1.1199144511650001</v>
      </c>
      <c r="AE2476">
        <v>0.52809999999999402</v>
      </c>
      <c r="AF2476">
        <v>0.37106616164890399</v>
      </c>
      <c r="AG2476">
        <v>-1.1199144511650001</v>
      </c>
      <c r="AH2476">
        <v>20.4185884055678</v>
      </c>
      <c r="AI2476">
        <v>93.138884105141699</v>
      </c>
      <c r="AJ2476">
        <v>88.958880773291597</v>
      </c>
      <c r="AK2476">
        <v>20.452644106575399</v>
      </c>
      <c r="AL2476">
        <v>94.304750151871403</v>
      </c>
      <c r="AM2476">
        <v>91.458645205729098</v>
      </c>
      <c r="AN2476">
        <v>1.0000000134562801</v>
      </c>
    </row>
    <row r="2477" spans="1:40" x14ac:dyDescent="0.25">
      <c r="A2477" t="str">
        <f>"20190303154145838"</f>
        <v>20190303154145838</v>
      </c>
      <c r="B2477" t="str">
        <f>"1551598905831861"</f>
        <v>1551598905831861</v>
      </c>
      <c r="C2477" t="s">
        <v>40</v>
      </c>
      <c r="D2477">
        <v>5.8636540000000004</v>
      </c>
      <c r="E2477">
        <v>0.51597329999999997</v>
      </c>
      <c r="F2477" t="s">
        <v>51</v>
      </c>
      <c r="G2477">
        <v>-299.23250000000002</v>
      </c>
      <c r="H2477" s="1">
        <v>3.8871319999999996E-6</v>
      </c>
      <c r="I2477">
        <v>284.11649999999997</v>
      </c>
      <c r="J2477">
        <v>-277.06209999999999</v>
      </c>
      <c r="K2477">
        <v>1.1199239999999999</v>
      </c>
      <c r="L2477">
        <v>283.56830000000002</v>
      </c>
      <c r="M2477">
        <v>-0.99993589999999999</v>
      </c>
      <c r="N2477">
        <v>-8.3631030000000002E-3</v>
      </c>
      <c r="O2477">
        <v>7.6289089999999997E-3</v>
      </c>
      <c r="P2477">
        <v>-0.99634560000000005</v>
      </c>
      <c r="Q2477">
        <v>-8.3547579999999996E-2</v>
      </c>
      <c r="R2477">
        <v>-1.775877E-2</v>
      </c>
      <c r="S2477">
        <v>-2.9997250000000002</v>
      </c>
      <c r="T2477">
        <v>-0.1500138</v>
      </c>
      <c r="U2477">
        <v>7.3669429999999994E-2</v>
      </c>
      <c r="V2477">
        <v>-2.5369530000000001E-2</v>
      </c>
      <c r="W2477">
        <v>-7.5210040000000006E-2</v>
      </c>
      <c r="X2477">
        <v>0.99684490000000003</v>
      </c>
      <c r="Y2477">
        <v>1.6905699999999999E-2</v>
      </c>
      <c r="Z2477">
        <v>1.757014E-4</v>
      </c>
      <c r="AA2477">
        <v>0.99985710000000005</v>
      </c>
      <c r="AB2477">
        <v>38</v>
      </c>
      <c r="AC2477">
        <v>-22.170400000000001</v>
      </c>
      <c r="AD2477">
        <v>-1.1199201128680001</v>
      </c>
      <c r="AE2477">
        <v>0.54819999999995095</v>
      </c>
      <c r="AF2477">
        <v>0.37807801571844102</v>
      </c>
      <c r="AG2477">
        <v>-1.1199201128680001</v>
      </c>
      <c r="AH2477">
        <v>22.117534605776299</v>
      </c>
      <c r="AI2477">
        <v>92.898270233644396</v>
      </c>
      <c r="AJ2477">
        <v>89.020679047959604</v>
      </c>
      <c r="AK2477">
        <v>22.149097071503601</v>
      </c>
      <c r="AL2477">
        <v>94.313290973671101</v>
      </c>
      <c r="AM2477">
        <v>91.457852968979594</v>
      </c>
      <c r="AN2477">
        <v>0.99999995891261495</v>
      </c>
    </row>
    <row r="2478" spans="1:40" x14ac:dyDescent="0.25">
      <c r="A2478" t="str">
        <f>"20190303154145859"</f>
        <v>20190303154145859</v>
      </c>
      <c r="B2478" t="str">
        <f>"1551598905852358"</f>
        <v>1551598905852358</v>
      </c>
      <c r="C2478" t="s">
        <v>40</v>
      </c>
      <c r="D2478">
        <v>5.8617439999999998</v>
      </c>
      <c r="E2478">
        <v>0.51564679999999996</v>
      </c>
      <c r="F2478" t="s">
        <v>51</v>
      </c>
      <c r="G2478">
        <v>-299.83</v>
      </c>
      <c r="H2478" s="1">
        <v>3.9926940000000002E-6</v>
      </c>
      <c r="I2478">
        <v>284.12139999999999</v>
      </c>
      <c r="J2478">
        <v>-277.41449999999998</v>
      </c>
      <c r="K2478">
        <v>1.119934</v>
      </c>
      <c r="L2478">
        <v>283.57100000000003</v>
      </c>
      <c r="M2478">
        <v>-0.99993580000000004</v>
      </c>
      <c r="N2478">
        <v>-8.3712530000000004E-3</v>
      </c>
      <c r="O2478">
        <v>7.6452430000000004E-3</v>
      </c>
      <c r="P2478">
        <v>-0.99635580000000001</v>
      </c>
      <c r="Q2478">
        <v>-8.3479620000000004E-2</v>
      </c>
      <c r="R2478">
        <v>-1.7507040000000001E-2</v>
      </c>
      <c r="S2478">
        <v>-2.9999389999999999</v>
      </c>
      <c r="T2478">
        <v>-0.14756269999999999</v>
      </c>
      <c r="U2478">
        <v>7.2875980000000007E-2</v>
      </c>
      <c r="V2478">
        <v>-2.5132959999999999E-2</v>
      </c>
      <c r="W2478">
        <v>-7.5134399999999907E-2</v>
      </c>
      <c r="X2478">
        <v>0.99685659999999998</v>
      </c>
      <c r="Y2478">
        <v>1.6624199999999999E-2</v>
      </c>
      <c r="Z2478">
        <v>1.6639390000000001E-4</v>
      </c>
      <c r="AA2478">
        <v>0.99986180000000002</v>
      </c>
      <c r="AB2478">
        <v>38</v>
      </c>
      <c r="AC2478">
        <v>-22.415500000000002</v>
      </c>
      <c r="AD2478">
        <v>-1.1199300073059999</v>
      </c>
      <c r="AE2478">
        <v>0.55040000000002398</v>
      </c>
      <c r="AF2478">
        <v>0.37806281135039499</v>
      </c>
      <c r="AG2478">
        <v>-1.1199300073059999</v>
      </c>
      <c r="AH2478">
        <v>22.363262694358198</v>
      </c>
      <c r="AI2478">
        <v>92.866511826385107</v>
      </c>
      <c r="AJ2478">
        <v>89.031476732918506</v>
      </c>
      <c r="AK2478">
        <v>22.394479075152901</v>
      </c>
      <c r="AL2478">
        <v>94.308944808732093</v>
      </c>
      <c r="AM2478">
        <v>91.444247380843095</v>
      </c>
      <c r="AN2478">
        <v>0.99999996235263999</v>
      </c>
    </row>
    <row r="2479" spans="1:40" x14ac:dyDescent="0.25">
      <c r="A2479" t="str">
        <f>"20190303154145881"</f>
        <v>20190303154145881</v>
      </c>
      <c r="B2479" t="str">
        <f>"1551598905871897"</f>
        <v>1551598905871897</v>
      </c>
      <c r="C2479" t="s">
        <v>40</v>
      </c>
      <c r="D2479">
        <v>5.8214819999999996</v>
      </c>
      <c r="E2479">
        <v>0.51551480000000005</v>
      </c>
      <c r="F2479" t="s">
        <v>51</v>
      </c>
      <c r="G2479">
        <v>-300.73500000000001</v>
      </c>
      <c r="H2479" s="1">
        <v>3.8771800000000002E-6</v>
      </c>
      <c r="I2479">
        <v>284.12490000000003</v>
      </c>
      <c r="J2479">
        <v>-277.79590000000002</v>
      </c>
      <c r="K2479">
        <v>1.1199440000000001</v>
      </c>
      <c r="L2479">
        <v>283.57389999999998</v>
      </c>
      <c r="M2479">
        <v>-0.99993560000000004</v>
      </c>
      <c r="N2479">
        <v>-8.3844680000000008E-3</v>
      </c>
      <c r="O2479">
        <v>7.6562039999999998E-3</v>
      </c>
      <c r="P2479">
        <v>-0.99631369999999997</v>
      </c>
      <c r="Q2479">
        <v>-8.3970000000000003E-2</v>
      </c>
      <c r="R2479">
        <v>-1.7558029999999999E-2</v>
      </c>
      <c r="S2479">
        <v>-3.0001530000000001</v>
      </c>
      <c r="T2479">
        <v>-0.14407739999999999</v>
      </c>
      <c r="U2479">
        <v>7.1258539999999995E-2</v>
      </c>
      <c r="V2479">
        <v>-2.5193839999999999E-2</v>
      </c>
      <c r="W2479">
        <v>-7.5612390000000002E-2</v>
      </c>
      <c r="X2479">
        <v>0.99681900000000001</v>
      </c>
      <c r="Y2479">
        <v>1.6074189999999999E-2</v>
      </c>
      <c r="Z2479">
        <v>1.4988929999999999E-4</v>
      </c>
      <c r="AA2479">
        <v>0.99987079999999995</v>
      </c>
      <c r="AB2479">
        <v>38</v>
      </c>
      <c r="AC2479">
        <v>-22.9391</v>
      </c>
      <c r="AD2479">
        <v>-1.1199401228200001</v>
      </c>
      <c r="AE2479">
        <v>0.55100000000004401</v>
      </c>
      <c r="AF2479">
        <v>0.37445920399916299</v>
      </c>
      <c r="AG2479">
        <v>-1.1199401228200001</v>
      </c>
      <c r="AH2479">
        <v>22.888121239496101</v>
      </c>
      <c r="AI2479">
        <v>92.800934965087507</v>
      </c>
      <c r="AJ2479">
        <v>89.062700785282104</v>
      </c>
      <c r="AK2479">
        <v>22.918564079104801</v>
      </c>
      <c r="AL2479">
        <v>94.336409405617204</v>
      </c>
      <c r="AM2479">
        <v>91.447798904597093</v>
      </c>
      <c r="AN2479">
        <v>1.0000000409282199</v>
      </c>
    </row>
    <row r="2480" spans="1:40" x14ac:dyDescent="0.25">
      <c r="A2480" t="str">
        <f>"20190303154145894"</f>
        <v>20190303154145894</v>
      </c>
      <c r="B2480" t="str">
        <f>"1551598905881637"</f>
        <v>1551598905881637</v>
      </c>
      <c r="C2480" t="s">
        <v>40</v>
      </c>
      <c r="D2480">
        <v>5.8465540000000003</v>
      </c>
      <c r="E2480">
        <v>0.51539179999999996</v>
      </c>
      <c r="F2480" t="s">
        <v>51</v>
      </c>
      <c r="G2480">
        <v>-301.64069999999998</v>
      </c>
      <c r="H2480" s="1">
        <v>3.7160780000000001E-6</v>
      </c>
      <c r="I2480">
        <v>284.13</v>
      </c>
      <c r="J2480">
        <v>-278.02050000000003</v>
      </c>
      <c r="K2480">
        <v>1.119947</v>
      </c>
      <c r="L2480">
        <v>283.57560000000001</v>
      </c>
      <c r="M2480">
        <v>-0.99993540000000003</v>
      </c>
      <c r="N2480">
        <v>-8.3939380000000001E-3</v>
      </c>
      <c r="O2480">
        <v>7.6601839999999996E-3</v>
      </c>
      <c r="P2480">
        <v>-0.99632089999999995</v>
      </c>
      <c r="Q2480">
        <v>-8.3877190000000004E-2</v>
      </c>
      <c r="R2480">
        <v>-1.75862E-2</v>
      </c>
      <c r="S2480">
        <v>-3.0004270000000002</v>
      </c>
      <c r="T2480">
        <v>-0.14092389999999999</v>
      </c>
      <c r="U2480">
        <v>6.997681E-2</v>
      </c>
      <c r="V2480">
        <v>-2.5224460000000001E-2</v>
      </c>
      <c r="W2480">
        <v>-7.5510270000000004E-2</v>
      </c>
      <c r="X2480">
        <v>0.99682590000000004</v>
      </c>
      <c r="Y2480">
        <v>1.5642260000000002E-2</v>
      </c>
      <c r="Z2480">
        <v>1.3753180000000001E-4</v>
      </c>
      <c r="AA2480">
        <v>0.99987760000000003</v>
      </c>
      <c r="AB2480">
        <v>38</v>
      </c>
      <c r="AC2480">
        <v>-23.620199999999901</v>
      </c>
      <c r="AD2480">
        <v>-1.1199432839219901</v>
      </c>
      <c r="AE2480">
        <v>0.55439999999998602</v>
      </c>
      <c r="AF2480">
        <v>0.37260506482223499</v>
      </c>
      <c r="AG2480">
        <v>-1.1199432839219901</v>
      </c>
      <c r="AH2480">
        <v>23.570792443302398</v>
      </c>
      <c r="AI2480">
        <v>92.719968061689798</v>
      </c>
      <c r="AJ2480">
        <v>89.094348665578096</v>
      </c>
      <c r="AK2480">
        <v>23.600325504085198</v>
      </c>
      <c r="AL2480">
        <v>94.330541873524595</v>
      </c>
      <c r="AM2480">
        <v>91.449547745485106</v>
      </c>
      <c r="AN2480">
        <v>0.99999997458428602</v>
      </c>
    </row>
    <row r="2481" spans="1:40" x14ac:dyDescent="0.25">
      <c r="A2481" t="str">
        <f>"20190303154145907"</f>
        <v>20190303154145907</v>
      </c>
      <c r="B2481" t="str">
        <f>"1551598905902135"</f>
        <v>1551598905902135</v>
      </c>
      <c r="C2481" t="s">
        <v>40</v>
      </c>
      <c r="D2481">
        <v>5.7881769999999904</v>
      </c>
      <c r="E2481">
        <v>0.51530019999999999</v>
      </c>
      <c r="F2481" t="s">
        <v>51</v>
      </c>
      <c r="G2481">
        <v>-302.07429999999999</v>
      </c>
      <c r="H2481" s="1">
        <v>3.6393130000000002E-6</v>
      </c>
      <c r="I2481">
        <v>284.12830000000002</v>
      </c>
      <c r="J2481">
        <v>-278.23829999999998</v>
      </c>
      <c r="K2481">
        <v>1.1199490000000001</v>
      </c>
      <c r="L2481">
        <v>283.57729999999998</v>
      </c>
      <c r="M2481">
        <v>-0.99993540000000003</v>
      </c>
      <c r="N2481">
        <v>-8.4039200000000005E-3</v>
      </c>
      <c r="O2481">
        <v>7.6621450000000004E-3</v>
      </c>
      <c r="P2481">
        <v>-0.99630540000000001</v>
      </c>
      <c r="Q2481">
        <v>-8.4030659999999993E-2</v>
      </c>
      <c r="R2481">
        <v>-1.7738770000000001E-2</v>
      </c>
      <c r="S2481">
        <v>-3.0005190000000002</v>
      </c>
      <c r="T2481">
        <v>-0.13970350000000001</v>
      </c>
      <c r="U2481">
        <v>6.8939210000000001E-2</v>
      </c>
      <c r="V2481">
        <v>-2.5378660000000001E-2</v>
      </c>
      <c r="W2481">
        <v>-7.5654059999999995E-2</v>
      </c>
      <c r="X2481">
        <v>0.99681109999999995</v>
      </c>
      <c r="Y2481">
        <v>1.529465E-2</v>
      </c>
      <c r="Z2481">
        <v>1.2799709999999901E-4</v>
      </c>
      <c r="AA2481">
        <v>0.99988299999999997</v>
      </c>
      <c r="AB2481">
        <v>38</v>
      </c>
      <c r="AC2481">
        <v>-23.835999999999999</v>
      </c>
      <c r="AD2481">
        <v>-1.119945360687</v>
      </c>
      <c r="AE2481">
        <v>0.55100000000004401</v>
      </c>
      <c r="AF2481">
        <v>0.36753155762284501</v>
      </c>
      <c r="AG2481">
        <v>-1.119945360687</v>
      </c>
      <c r="AH2481">
        <v>23.787037236531098</v>
      </c>
      <c r="AI2481">
        <v>92.695297826616297</v>
      </c>
      <c r="AJ2481">
        <v>89.114798056260199</v>
      </c>
      <c r="AK2481">
        <v>23.816223410710801</v>
      </c>
      <c r="AL2481">
        <v>94.338803995317704</v>
      </c>
      <c r="AM2481">
        <v>91.458426824838995</v>
      </c>
      <c r="AN2481">
        <v>0.99999999113054405</v>
      </c>
    </row>
    <row r="2482" spans="1:40" x14ac:dyDescent="0.25">
      <c r="A2482" t="str">
        <f>"20190303154145919"</f>
        <v>20190303154145919</v>
      </c>
      <c r="B2482" t="str">
        <f>"1551598905911893"</f>
        <v>1551598905911893</v>
      </c>
      <c r="C2482" t="s">
        <v>40</v>
      </c>
      <c r="D2482">
        <v>5.8006099999999998</v>
      </c>
      <c r="E2482">
        <v>0.5152428</v>
      </c>
      <c r="F2482" t="s">
        <v>51</v>
      </c>
      <c r="G2482">
        <v>-303.0899</v>
      </c>
      <c r="H2482" s="1">
        <v>3.4584939999999998E-6</v>
      </c>
      <c r="I2482">
        <v>284.13600000000002</v>
      </c>
      <c r="J2482">
        <v>-278.45600000000002</v>
      </c>
      <c r="K2482">
        <v>1.119942</v>
      </c>
      <c r="L2482">
        <v>283.57889999999998</v>
      </c>
      <c r="M2482">
        <v>-0.99993529999999997</v>
      </c>
      <c r="N2482">
        <v>-8.4140740000000006E-3</v>
      </c>
      <c r="O2482">
        <v>7.6632139999999998E-3</v>
      </c>
      <c r="P2482">
        <v>-0.99629540000000005</v>
      </c>
      <c r="Q2482">
        <v>-8.4120719999999996E-2</v>
      </c>
      <c r="R2482">
        <v>-1.787619E-2</v>
      </c>
      <c r="S2482">
        <v>-3.0008849999999998</v>
      </c>
      <c r="T2482">
        <v>-0.13523569999999999</v>
      </c>
      <c r="U2482">
        <v>6.7474370000000006E-2</v>
      </c>
      <c r="V2482">
        <v>-2.5516819999999999E-2</v>
      </c>
      <c r="W2482">
        <v>-7.5734190000000007E-2</v>
      </c>
      <c r="X2482">
        <v>0.99680150000000001</v>
      </c>
      <c r="Y2482">
        <v>1.480425E-2</v>
      </c>
      <c r="Z2482">
        <v>1.1502699999999999E-4</v>
      </c>
      <c r="AA2482">
        <v>0.99989039999999996</v>
      </c>
      <c r="AB2482">
        <v>38</v>
      </c>
      <c r="AC2482">
        <v>-24.633900000000001</v>
      </c>
      <c r="AD2482">
        <v>-1.1199385415059999</v>
      </c>
      <c r="AE2482">
        <v>0.55709999999999105</v>
      </c>
      <c r="AF2482">
        <v>0.36754283220302197</v>
      </c>
      <c r="AG2482">
        <v>-1.1199385415059999</v>
      </c>
      <c r="AH2482">
        <v>24.586653477677299</v>
      </c>
      <c r="AI2482">
        <v>92.607767400562494</v>
      </c>
      <c r="AJ2482">
        <v>89.143556293513299</v>
      </c>
      <c r="AK2482">
        <v>24.6148914135659</v>
      </c>
      <c r="AL2482">
        <v>94.343408263838498</v>
      </c>
      <c r="AM2482">
        <v>91.466377077574606</v>
      </c>
      <c r="AN2482">
        <v>1.00000000302005</v>
      </c>
    </row>
    <row r="2483" spans="1:40" x14ac:dyDescent="0.25">
      <c r="A2483" t="str">
        <f>"20190303154145938"</f>
        <v>20190303154145938</v>
      </c>
      <c r="B2483" t="str">
        <f>"1551598905931413"</f>
        <v>1551598905931413</v>
      </c>
      <c r="C2483" t="s">
        <v>40</v>
      </c>
      <c r="D2483">
        <v>5.7544589999999998</v>
      </c>
      <c r="E2483">
        <v>0.51514709999999997</v>
      </c>
      <c r="F2483" t="s">
        <v>51</v>
      </c>
      <c r="G2483">
        <v>-303.7167</v>
      </c>
      <c r="H2483" s="1">
        <v>3.3470579999999998E-6</v>
      </c>
      <c r="I2483">
        <v>284.13889999999998</v>
      </c>
      <c r="J2483">
        <v>-278.77370000000002</v>
      </c>
      <c r="K2483">
        <v>1.119945</v>
      </c>
      <c r="L2483">
        <v>283.58139999999997</v>
      </c>
      <c r="M2483">
        <v>-0.99993509999999997</v>
      </c>
      <c r="N2483">
        <v>-8.4290779999999996E-3</v>
      </c>
      <c r="O2483">
        <v>7.6633049999999996E-3</v>
      </c>
      <c r="P2483">
        <v>-0.99623870000000003</v>
      </c>
      <c r="Q2483">
        <v>-8.4768469999999999E-2</v>
      </c>
      <c r="R2483">
        <v>-1.7961910000000001E-2</v>
      </c>
      <c r="S2483">
        <v>-3.0011290000000002</v>
      </c>
      <c r="T2483">
        <v>-0.1330558</v>
      </c>
      <c r="U2483">
        <v>6.6528320000000002E-2</v>
      </c>
      <c r="V2483">
        <v>-2.5602079999999999E-2</v>
      </c>
      <c r="W2483">
        <v>-7.6367599999999994E-2</v>
      </c>
      <c r="X2483">
        <v>0.99675100000000005</v>
      </c>
      <c r="Y2483">
        <v>1.4487969999999999E-2</v>
      </c>
      <c r="Z2483">
        <v>1.0709890000000001E-4</v>
      </c>
      <c r="AA2483">
        <v>0.99989499999999998</v>
      </c>
      <c r="AB2483">
        <v>39</v>
      </c>
      <c r="AC2483">
        <v>-24.942999999999898</v>
      </c>
      <c r="AD2483">
        <v>-1.1199416529420001</v>
      </c>
      <c r="AE2483">
        <v>0.55750000000000399</v>
      </c>
      <c r="AF2483">
        <v>0.36559434426477699</v>
      </c>
      <c r="AG2483">
        <v>-1.1199416529420001</v>
      </c>
      <c r="AH2483">
        <v>24.896373614998399</v>
      </c>
      <c r="AI2483">
        <v>92.575386970797496</v>
      </c>
      <c r="AJ2483">
        <v>89.158692434627895</v>
      </c>
      <c r="AK2483">
        <v>24.924232138786898</v>
      </c>
      <c r="AL2483">
        <v>94.379805333640306</v>
      </c>
      <c r="AM2483">
        <v>91.471349079422296</v>
      </c>
      <c r="AN2483">
        <v>1.00000001641554</v>
      </c>
    </row>
    <row r="2484" spans="1:40" x14ac:dyDescent="0.25">
      <c r="A2484" t="str">
        <f>"20190303154145962"</f>
        <v>20190303154145962</v>
      </c>
      <c r="B2484" t="str">
        <f>"1551598905952284"</f>
        <v>1551598905952284</v>
      </c>
      <c r="C2484" t="s">
        <v>40</v>
      </c>
      <c r="D2484">
        <v>5.7416010000000002</v>
      </c>
      <c r="E2484">
        <v>0.51497269999999995</v>
      </c>
      <c r="F2484" t="s">
        <v>51</v>
      </c>
      <c r="G2484">
        <v>-304.31020000000001</v>
      </c>
      <c r="H2484" s="1">
        <v>3.2418110000000001E-6</v>
      </c>
      <c r="I2484">
        <v>284.1386</v>
      </c>
      <c r="J2484">
        <v>-279.18380000000002</v>
      </c>
      <c r="K2484">
        <v>1.119942</v>
      </c>
      <c r="L2484">
        <v>283.58449999999999</v>
      </c>
      <c r="M2484">
        <v>-0.99993509999999997</v>
      </c>
      <c r="N2484">
        <v>-8.4484690000000001E-3</v>
      </c>
      <c r="O2484">
        <v>7.6615310000000001E-3</v>
      </c>
      <c r="P2484">
        <v>-0.99625189999999997</v>
      </c>
      <c r="Q2484">
        <v>-8.4449860000000002E-2</v>
      </c>
      <c r="R2484">
        <v>-1.8727750000000001E-2</v>
      </c>
      <c r="S2484">
        <v>-3.001312</v>
      </c>
      <c r="T2484">
        <v>-0.13162679999999999</v>
      </c>
      <c r="U2484">
        <v>6.5490720000000002E-2</v>
      </c>
      <c r="V2484">
        <v>-2.6365599999999999E-2</v>
      </c>
      <c r="W2484">
        <v>-7.6029730000000004E-2</v>
      </c>
      <c r="X2484">
        <v>0.99675689999999995</v>
      </c>
      <c r="Y2484">
        <v>1.414347E-2</v>
      </c>
      <c r="Z2484" s="1">
        <v>9.8644739999999997E-5</v>
      </c>
      <c r="AA2484">
        <v>0.99990000000000001</v>
      </c>
      <c r="AB2484">
        <v>39</v>
      </c>
      <c r="AC2484">
        <v>-25.126399999999901</v>
      </c>
      <c r="AD2484">
        <v>-1.1199387581889999</v>
      </c>
      <c r="AE2484">
        <v>0.55410000000000503</v>
      </c>
      <c r="AF2484">
        <v>0.360853647443446</v>
      </c>
      <c r="AG2484">
        <v>-1.1199387581889999</v>
      </c>
      <c r="AH2484">
        <v>25.080105957947801</v>
      </c>
      <c r="AI2484">
        <v>92.5565496797973</v>
      </c>
      <c r="AJ2484">
        <v>89.175682729511493</v>
      </c>
      <c r="AK2484">
        <v>25.107691909828301</v>
      </c>
      <c r="AL2484">
        <v>94.3603904729828</v>
      </c>
      <c r="AM2484">
        <v>91.5151993764308</v>
      </c>
      <c r="AN2484">
        <v>0.999999991202421</v>
      </c>
    </row>
    <row r="2485" spans="1:40" x14ac:dyDescent="0.25">
      <c r="A2485" t="str">
        <f>"20190303154145981"</f>
        <v>20190303154145981</v>
      </c>
      <c r="B2485" t="str">
        <f>"1551598905971807"</f>
        <v>1551598905971807</v>
      </c>
      <c r="C2485" t="s">
        <v>40</v>
      </c>
      <c r="D2485">
        <v>5.6640370000000004</v>
      </c>
      <c r="E2485">
        <v>0.51477059999999997</v>
      </c>
      <c r="F2485" t="s">
        <v>51</v>
      </c>
      <c r="G2485">
        <v>-305.58449999999999</v>
      </c>
      <c r="H2485" s="1">
        <v>3.016759E-6</v>
      </c>
      <c r="I2485">
        <v>284.12720000000002</v>
      </c>
      <c r="J2485">
        <v>-279.53480000000002</v>
      </c>
      <c r="K2485">
        <v>1.1199440000000001</v>
      </c>
      <c r="L2485">
        <v>283.5872</v>
      </c>
      <c r="M2485">
        <v>-0.99993480000000001</v>
      </c>
      <c r="N2485">
        <v>-8.4645989999999997E-3</v>
      </c>
      <c r="O2485">
        <v>7.6604289999999998E-3</v>
      </c>
      <c r="P2485">
        <v>-0.99623170000000005</v>
      </c>
      <c r="Q2485">
        <v>-8.442856E-2</v>
      </c>
      <c r="R2485">
        <v>-1.9859370000000001E-2</v>
      </c>
      <c r="S2485">
        <v>-3.0016479999999999</v>
      </c>
      <c r="T2485">
        <v>-0.12733239999999901</v>
      </c>
      <c r="U2485">
        <v>6.1706539999999997E-2</v>
      </c>
      <c r="V2485">
        <v>-2.7495430000000001E-2</v>
      </c>
      <c r="W2485">
        <v>-7.599264E-2</v>
      </c>
      <c r="X2485">
        <v>0.99672919999999998</v>
      </c>
      <c r="Y2485">
        <v>1.2884039999999999E-2</v>
      </c>
      <c r="Z2485" s="1">
        <v>6.7732019999999996E-5</v>
      </c>
      <c r="AA2485">
        <v>0.99991699999999994</v>
      </c>
      <c r="AB2485">
        <v>39</v>
      </c>
      <c r="AC2485">
        <v>-26.049699999999898</v>
      </c>
      <c r="AD2485">
        <v>-1.1199409832410001</v>
      </c>
      <c r="AE2485">
        <v>0.54000000000002002</v>
      </c>
      <c r="AF2485">
        <v>0.33979732595213302</v>
      </c>
      <c r="AG2485">
        <v>-1.1199409832410001</v>
      </c>
      <c r="AH2485">
        <v>26.005026575054799</v>
      </c>
      <c r="AI2485">
        <v>92.465784743102205</v>
      </c>
      <c r="AJ2485">
        <v>89.251381470169605</v>
      </c>
      <c r="AK2485">
        <v>26.031349123661901</v>
      </c>
      <c r="AL2485">
        <v>94.3582592159905</v>
      </c>
      <c r="AM2485">
        <v>91.580140999593894</v>
      </c>
      <c r="AN2485">
        <v>0.99999998906884702</v>
      </c>
    </row>
    <row r="2486" spans="1:40" x14ac:dyDescent="0.25">
      <c r="A2486" t="str">
        <f>"20190303154145994"</f>
        <v>20190303154145994</v>
      </c>
      <c r="B2486" t="str">
        <f>"1551598905981563"</f>
        <v>1551598905981563</v>
      </c>
      <c r="C2486" t="s">
        <v>40</v>
      </c>
      <c r="D2486">
        <v>5.7531759999999998</v>
      </c>
      <c r="E2486">
        <v>0.51473829999999998</v>
      </c>
      <c r="F2486" t="s">
        <v>51</v>
      </c>
      <c r="G2486">
        <v>-306.58859999999999</v>
      </c>
      <c r="H2486" s="1">
        <v>2.841138E-6</v>
      </c>
      <c r="I2486">
        <v>284.09879999999998</v>
      </c>
      <c r="J2486">
        <v>-279.75979999999998</v>
      </c>
      <c r="K2486">
        <v>1.1199440000000001</v>
      </c>
      <c r="L2486">
        <v>283.58890000000002</v>
      </c>
      <c r="M2486">
        <v>-0.99993480000000001</v>
      </c>
      <c r="N2486">
        <v>-8.4746400000000003E-3</v>
      </c>
      <c r="O2486">
        <v>7.6597169999999999E-3</v>
      </c>
      <c r="P2486">
        <v>-0.99621890000000002</v>
      </c>
      <c r="Q2486">
        <v>-8.4279199999999999E-2</v>
      </c>
      <c r="R2486">
        <v>-2.1098169999999999E-2</v>
      </c>
      <c r="S2486">
        <v>-3.0019529999999999</v>
      </c>
      <c r="T2486">
        <v>-0.1242713</v>
      </c>
      <c r="U2486">
        <v>5.6762699999999902E-2</v>
      </c>
      <c r="V2486">
        <v>-2.8733370000000001E-2</v>
      </c>
      <c r="W2486">
        <v>-7.583347E-2</v>
      </c>
      <c r="X2486">
        <v>0.99670639999999999</v>
      </c>
      <c r="Y2486">
        <v>1.123859E-2</v>
      </c>
      <c r="Z2486" s="1">
        <v>2.8124119999999999E-5</v>
      </c>
      <c r="AA2486">
        <v>0.99993679999999996</v>
      </c>
      <c r="AB2486">
        <v>39</v>
      </c>
      <c r="AC2486">
        <v>-26.828800000000001</v>
      </c>
      <c r="AD2486">
        <v>-1.1199411588619901</v>
      </c>
      <c r="AE2486">
        <v>0.50989999999995905</v>
      </c>
      <c r="AF2486">
        <v>0.303847373588231</v>
      </c>
      <c r="AG2486">
        <v>-1.1199411588619901</v>
      </c>
      <c r="AH2486">
        <v>26.7852606330868</v>
      </c>
      <c r="AI2486">
        <v>92.394093800171603</v>
      </c>
      <c r="AJ2486">
        <v>89.350074443277194</v>
      </c>
      <c r="AK2486">
        <v>26.810385648254599</v>
      </c>
      <c r="AL2486">
        <v>94.349113073631401</v>
      </c>
      <c r="AM2486">
        <v>91.651283662510096</v>
      </c>
      <c r="AN2486">
        <v>0.99999998476237795</v>
      </c>
    </row>
    <row r="2487" spans="1:40" x14ac:dyDescent="0.25">
      <c r="A2487" t="str">
        <f>"20190303154146009"</f>
        <v>20190303154146009</v>
      </c>
      <c r="B2487" t="str">
        <f>"1551598906002060"</f>
        <v>1551598906002060</v>
      </c>
      <c r="C2487" t="s">
        <v>40</v>
      </c>
      <c r="D2487">
        <v>5.7689469999999998</v>
      </c>
      <c r="E2487">
        <v>0.51471290000000003</v>
      </c>
      <c r="F2487" t="s">
        <v>51</v>
      </c>
      <c r="G2487">
        <v>-307.22000000000003</v>
      </c>
      <c r="H2487" s="1">
        <v>2.7317219999999998E-6</v>
      </c>
      <c r="I2487">
        <v>284.0693</v>
      </c>
      <c r="J2487">
        <v>-280.01609999999999</v>
      </c>
      <c r="K2487">
        <v>1.1199460000000001</v>
      </c>
      <c r="L2487">
        <v>283.59089999999998</v>
      </c>
      <c r="M2487">
        <v>-0.99993469999999995</v>
      </c>
      <c r="N2487">
        <v>-8.4859129999999994E-3</v>
      </c>
      <c r="O2487">
        <v>7.6592980000000001E-3</v>
      </c>
      <c r="P2487">
        <v>-0.99617869999999997</v>
      </c>
      <c r="Q2487">
        <v>-8.4504640000000006E-2</v>
      </c>
      <c r="R2487">
        <v>-2.2074650000000001E-2</v>
      </c>
      <c r="S2487">
        <v>-3.0021059999999999</v>
      </c>
      <c r="T2487">
        <v>-0.1224383</v>
      </c>
      <c r="U2487">
        <v>5.2520749999999998E-2</v>
      </c>
      <c r="V2487">
        <v>-2.970859E-2</v>
      </c>
      <c r="W2487">
        <v>-7.6048099999999993E-2</v>
      </c>
      <c r="X2487">
        <v>0.99666149999999998</v>
      </c>
      <c r="Y2487">
        <v>9.8271710000000009E-3</v>
      </c>
      <c r="Z2487" s="1">
        <v>-5.2252730000000001E-6</v>
      </c>
      <c r="AA2487">
        <v>0.9999517</v>
      </c>
      <c r="AB2487">
        <v>39</v>
      </c>
      <c r="AC2487">
        <v>-27.203900000000001</v>
      </c>
      <c r="AD2487">
        <v>-1.1199432682779999</v>
      </c>
      <c r="AE2487">
        <v>0.47840000000002098</v>
      </c>
      <c r="AF2487">
        <v>0.26955897588148198</v>
      </c>
      <c r="AG2487">
        <v>-1.1199432682779999</v>
      </c>
      <c r="AH2487">
        <v>27.160747319004699</v>
      </c>
      <c r="AI2487">
        <v>92.361074141261994</v>
      </c>
      <c r="AJ2487">
        <v>89.431382192355898</v>
      </c>
      <c r="AK2487">
        <v>27.185163782704301</v>
      </c>
      <c r="AL2487">
        <v>94.361445884257805</v>
      </c>
      <c r="AM2487">
        <v>91.707373014553795</v>
      </c>
      <c r="AN2487">
        <v>1.00000002970782</v>
      </c>
    </row>
    <row r="2488" spans="1:40" x14ac:dyDescent="0.25">
      <c r="A2488" t="str">
        <f>"20190303154146026"</f>
        <v>20190303154146026</v>
      </c>
      <c r="B2488" t="str">
        <f>"1551598906021582"</f>
        <v>1551598906021582</v>
      </c>
      <c r="C2488" t="s">
        <v>40</v>
      </c>
      <c r="D2488">
        <v>5.7538460000000002</v>
      </c>
      <c r="E2488">
        <v>0.51472510000000005</v>
      </c>
      <c r="F2488" t="s">
        <v>51</v>
      </c>
      <c r="G2488">
        <v>-307.95670000000001</v>
      </c>
      <c r="H2488" s="1">
        <v>2.6027429999999998E-6</v>
      </c>
      <c r="I2488">
        <v>284.0498</v>
      </c>
      <c r="J2488">
        <v>-280.30790000000002</v>
      </c>
      <c r="K2488">
        <v>1.119955</v>
      </c>
      <c r="L2488">
        <v>283.59309999999999</v>
      </c>
      <c r="M2488">
        <v>-0.99993460000000001</v>
      </c>
      <c r="N2488">
        <v>-8.4985229999999991E-3</v>
      </c>
      <c r="O2488">
        <v>7.659229E-3</v>
      </c>
      <c r="P2488">
        <v>-0.99612619999999996</v>
      </c>
      <c r="Q2488">
        <v>-8.4558759999999997E-2</v>
      </c>
      <c r="R2488">
        <v>-2.4138900000000001E-2</v>
      </c>
      <c r="S2488">
        <v>-3.00238</v>
      </c>
      <c r="T2488">
        <v>-0.12034449999999999</v>
      </c>
      <c r="U2488">
        <v>4.9316409999999998E-2</v>
      </c>
      <c r="V2488">
        <v>-3.1772420000000003E-2</v>
      </c>
      <c r="W2488">
        <v>-7.609022E-2</v>
      </c>
      <c r="X2488">
        <v>0.9965946</v>
      </c>
      <c r="Y2488">
        <v>8.7598929999999995E-3</v>
      </c>
      <c r="Z2488" s="1">
        <v>-2.906068E-5</v>
      </c>
      <c r="AA2488">
        <v>0.99996160000000001</v>
      </c>
      <c r="AB2488">
        <v>39</v>
      </c>
      <c r="AC2488">
        <v>-27.648799999999898</v>
      </c>
      <c r="AD2488">
        <v>-1.119952397257</v>
      </c>
      <c r="AE2488">
        <v>0.45670000000001199</v>
      </c>
      <c r="AF2488">
        <v>0.244509400941991</v>
      </c>
      <c r="AG2488">
        <v>-1.119952397257</v>
      </c>
      <c r="AH2488">
        <v>27.606204077836502</v>
      </c>
      <c r="AI2488">
        <v>92.323059843820801</v>
      </c>
      <c r="AJ2488">
        <v>89.492541952847006</v>
      </c>
      <c r="AK2488">
        <v>27.629994241881899</v>
      </c>
      <c r="AL2488">
        <v>94.363866314121907</v>
      </c>
      <c r="AM2488">
        <v>91.826027542375599</v>
      </c>
      <c r="AN2488">
        <v>1.0000000025007301</v>
      </c>
    </row>
    <row r="2489" spans="1:40" x14ac:dyDescent="0.25">
      <c r="A2489" t="str">
        <f>"20190303154146050"</f>
        <v>20190303154146050</v>
      </c>
      <c r="B2489" t="str">
        <f>"1551598906041607"</f>
        <v>1551598906041607</v>
      </c>
      <c r="C2489" t="s">
        <v>40</v>
      </c>
      <c r="D2489">
        <v>5.7879100000000001</v>
      </c>
      <c r="E2489">
        <v>0.51472770000000001</v>
      </c>
      <c r="F2489" t="s">
        <v>51</v>
      </c>
      <c r="G2489">
        <v>-308.78320000000002</v>
      </c>
      <c r="H2489" s="1">
        <v>2.4603559999999998E-6</v>
      </c>
      <c r="I2489">
        <v>284.00139999999999</v>
      </c>
      <c r="J2489">
        <v>-280.71609999999998</v>
      </c>
      <c r="K2489">
        <v>1.1199589999999999</v>
      </c>
      <c r="L2489">
        <v>283.59620000000001</v>
      </c>
      <c r="M2489">
        <v>-0.99993449999999995</v>
      </c>
      <c r="N2489">
        <v>-8.5157119999999999E-3</v>
      </c>
      <c r="O2489">
        <v>7.6591380000000002E-3</v>
      </c>
      <c r="P2489">
        <v>-0.99611000000000005</v>
      </c>
      <c r="Q2489">
        <v>-8.4292350000000002E-2</v>
      </c>
      <c r="R2489">
        <v>-2.5689130000000001E-2</v>
      </c>
      <c r="S2489">
        <v>-3.0026860000000002</v>
      </c>
      <c r="T2489">
        <v>-0.11809749999999999</v>
      </c>
      <c r="U2489">
        <v>4.3060300000000003E-2</v>
      </c>
      <c r="V2489">
        <v>-3.3321820000000002E-2</v>
      </c>
      <c r="W2489">
        <v>-7.5806999999999999E-2</v>
      </c>
      <c r="X2489">
        <v>0.99656560000000005</v>
      </c>
      <c r="Y2489">
        <v>6.677428E-3</v>
      </c>
      <c r="Z2489" s="1">
        <v>-7.6194949999999995E-5</v>
      </c>
      <c r="AA2489">
        <v>0.99997769999999997</v>
      </c>
      <c r="AB2489">
        <v>39</v>
      </c>
      <c r="AC2489">
        <v>-28.0671</v>
      </c>
      <c r="AD2489">
        <v>-1.1199565396440001</v>
      </c>
      <c r="AE2489">
        <v>0.40519999999997902</v>
      </c>
      <c r="AF2489">
        <v>0.189908231058662</v>
      </c>
      <c r="AG2489">
        <v>-1.1199565396440001</v>
      </c>
      <c r="AH2489">
        <v>28.024767554963599</v>
      </c>
      <c r="AI2489">
        <v>92.2884466168682</v>
      </c>
      <c r="AJ2489">
        <v>89.611744376964197</v>
      </c>
      <c r="AK2489">
        <v>28.0477800243915</v>
      </c>
      <c r="AL2489">
        <v>94.347591922556205</v>
      </c>
      <c r="AM2489">
        <v>91.915065728970205</v>
      </c>
      <c r="AN2489">
        <v>1.0000000200202299</v>
      </c>
    </row>
    <row r="2490" spans="1:40" x14ac:dyDescent="0.25">
      <c r="A2490" t="str">
        <f>"20190303154146071"</f>
        <v>20190303154146071</v>
      </c>
      <c r="B2490" t="str">
        <f>"1551598906062104"</f>
        <v>1551598906062104</v>
      </c>
      <c r="C2490" t="s">
        <v>40</v>
      </c>
      <c r="D2490">
        <v>5.7483529999999998</v>
      </c>
      <c r="E2490">
        <v>0.51474679999999995</v>
      </c>
      <c r="F2490" t="s">
        <v>51</v>
      </c>
      <c r="G2490">
        <v>-309.67750000000001</v>
      </c>
      <c r="H2490" s="1">
        <v>2.3044950000000002E-6</v>
      </c>
      <c r="I2490">
        <v>283.96969999999999</v>
      </c>
      <c r="J2490">
        <v>-281.09899999999999</v>
      </c>
      <c r="K2490">
        <v>1.1199650000000001</v>
      </c>
      <c r="L2490">
        <v>283.5992</v>
      </c>
      <c r="M2490">
        <v>-0.99993430000000005</v>
      </c>
      <c r="N2490">
        <v>-8.5339319999999993E-3</v>
      </c>
      <c r="O2490">
        <v>7.6596999999999898E-3</v>
      </c>
      <c r="P2490">
        <v>-0.996139</v>
      </c>
      <c r="Q2490">
        <v>-8.3931370000000005E-2</v>
      </c>
      <c r="R2490">
        <v>-2.5742319999999999E-2</v>
      </c>
      <c r="S2490">
        <v>-3.002869</v>
      </c>
      <c r="T2490">
        <v>-0.11612260000000001</v>
      </c>
      <c r="U2490">
        <v>3.872681E-2</v>
      </c>
      <c r="V2490">
        <v>-3.337553E-2</v>
      </c>
      <c r="W2490">
        <v>-7.5427739999999993E-2</v>
      </c>
      <c r="X2490">
        <v>0.99659260000000005</v>
      </c>
      <c r="Y2490">
        <v>5.2345120000000002E-3</v>
      </c>
      <c r="Z2490">
        <v>-1.072123E-4</v>
      </c>
      <c r="AA2490">
        <v>0.99998629999999999</v>
      </c>
      <c r="AB2490">
        <v>39</v>
      </c>
      <c r="AC2490">
        <v>-28.578499999999998</v>
      </c>
      <c r="AD2490">
        <v>-1.1199626955049999</v>
      </c>
      <c r="AE2490">
        <v>0.370499999999992</v>
      </c>
      <c r="AF2490">
        <v>0.15134603878993599</v>
      </c>
      <c r="AG2490">
        <v>-1.1199626955049999</v>
      </c>
      <c r="AH2490">
        <v>28.536680961034801</v>
      </c>
      <c r="AI2490">
        <v>92.247469455944398</v>
      </c>
      <c r="AJ2490">
        <v>89.696131166105104</v>
      </c>
      <c r="AK2490">
        <v>28.559050795407501</v>
      </c>
      <c r="AL2490">
        <v>94.325799444575907</v>
      </c>
      <c r="AM2490">
        <v>91.918098308201394</v>
      </c>
      <c r="AN2490">
        <v>1.0000000401695199</v>
      </c>
    </row>
    <row r="2491" spans="1:40" x14ac:dyDescent="0.25">
      <c r="A2491" t="str">
        <f>"20190303154146094"</f>
        <v>20190303154146094</v>
      </c>
      <c r="B2491" t="str">
        <f>"1551598906081627"</f>
        <v>1551598906081627</v>
      </c>
      <c r="C2491" t="s">
        <v>40</v>
      </c>
      <c r="D2491">
        <v>5.8070930000000001</v>
      </c>
      <c r="E2491">
        <v>0.51482150000000004</v>
      </c>
      <c r="F2491" t="s">
        <v>51</v>
      </c>
      <c r="G2491">
        <v>-310.75069999999999</v>
      </c>
      <c r="H2491" s="1">
        <v>2.6053989999999998E-6</v>
      </c>
      <c r="I2491">
        <v>283.9812</v>
      </c>
      <c r="J2491">
        <v>-281.4864</v>
      </c>
      <c r="K2491">
        <v>1.1199669999999999</v>
      </c>
      <c r="L2491">
        <v>283.60210000000001</v>
      </c>
      <c r="M2491">
        <v>-0.99993410000000005</v>
      </c>
      <c r="N2491">
        <v>-8.5557849999999998E-3</v>
      </c>
      <c r="O2491">
        <v>7.6597749999999997E-3</v>
      </c>
      <c r="P2491">
        <v>-0.99625770000000002</v>
      </c>
      <c r="Q2491">
        <v>-8.2738640000000002E-2</v>
      </c>
      <c r="R2491">
        <v>-2.4998530000000001E-2</v>
      </c>
      <c r="S2491">
        <v>-3.003082</v>
      </c>
      <c r="T2491">
        <v>-0.113428399999999</v>
      </c>
      <c r="U2491">
        <v>3.8696290000000001E-2</v>
      </c>
      <c r="V2491">
        <v>-3.2632420000000002E-2</v>
      </c>
      <c r="W2491">
        <v>-7.4212349999999996E-2</v>
      </c>
      <c r="X2491">
        <v>0.99670840000000005</v>
      </c>
      <c r="Y2491">
        <v>5.2233569999999997E-3</v>
      </c>
      <c r="Z2491">
        <v>-1.027151E-4</v>
      </c>
      <c r="AA2491">
        <v>0.99998640000000005</v>
      </c>
      <c r="AB2491">
        <v>39</v>
      </c>
      <c r="AC2491">
        <v>-29.264299999999899</v>
      </c>
      <c r="AD2491">
        <v>-1.1199643946009901</v>
      </c>
      <c r="AE2491">
        <v>0.379099999999993</v>
      </c>
      <c r="AF2491">
        <v>0.15469619125647999</v>
      </c>
      <c r="AG2491">
        <v>-1.1199643946009901</v>
      </c>
      <c r="AH2491">
        <v>29.223550428249101</v>
      </c>
      <c r="AI2491">
        <v>92.194700719446104</v>
      </c>
      <c r="AJ2491">
        <v>89.696705022218794</v>
      </c>
      <c r="AK2491">
        <v>29.245412474252799</v>
      </c>
      <c r="AL2491">
        <v>94.255967197699604</v>
      </c>
      <c r="AM2491">
        <v>91.875204738366506</v>
      </c>
      <c r="AN2491">
        <v>0.99999999117906901</v>
      </c>
    </row>
    <row r="2492" spans="1:40" x14ac:dyDescent="0.25">
      <c r="A2492" t="str">
        <f>"20190303154146114"</f>
        <v>20190303154146114</v>
      </c>
      <c r="B2492" t="str">
        <f>"1551598906111880"</f>
        <v>1551598906111880</v>
      </c>
      <c r="C2492" t="s">
        <v>40</v>
      </c>
      <c r="D2492">
        <v>5.8079919999999996</v>
      </c>
      <c r="E2492">
        <v>0.51497660000000001</v>
      </c>
      <c r="F2492" t="s">
        <v>51</v>
      </c>
      <c r="G2492">
        <v>-312.50470000000001</v>
      </c>
      <c r="H2492" s="1">
        <v>3.3788659999999999E-6</v>
      </c>
      <c r="I2492">
        <v>284.03140000000002</v>
      </c>
      <c r="J2492">
        <v>-281.86160000000001</v>
      </c>
      <c r="K2492">
        <v>1.119974</v>
      </c>
      <c r="L2492">
        <v>283.60500000000002</v>
      </c>
      <c r="M2492">
        <v>-0.99993379999999998</v>
      </c>
      <c r="N2492">
        <v>-8.5815400000000003E-3</v>
      </c>
      <c r="O2492">
        <v>7.6596569999999899E-3</v>
      </c>
      <c r="P2492">
        <v>-0.99638130000000003</v>
      </c>
      <c r="Q2492">
        <v>-8.1630339999999996E-2</v>
      </c>
      <c r="R2492">
        <v>-2.3682290000000002E-2</v>
      </c>
      <c r="S2492">
        <v>-3.0032649999999999</v>
      </c>
      <c r="T2492">
        <v>-0.10843750000000001</v>
      </c>
      <c r="U2492">
        <v>4.1564940000000002E-2</v>
      </c>
      <c r="V2492">
        <v>-3.1317110000000002E-2</v>
      </c>
      <c r="W2492">
        <v>-7.3077379999999997E-2</v>
      </c>
      <c r="X2492">
        <v>0.99683449999999996</v>
      </c>
      <c r="Y2492">
        <v>6.1768980000000001E-3</v>
      </c>
      <c r="Z2492" s="1">
        <v>-7.2752379999999997E-5</v>
      </c>
      <c r="AA2492">
        <v>0.99998089999999995</v>
      </c>
      <c r="AB2492">
        <v>39</v>
      </c>
      <c r="AC2492">
        <v>-30.6431</v>
      </c>
      <c r="AD2492">
        <v>-1.1199706211339999</v>
      </c>
      <c r="AE2492">
        <v>0.426400000000001</v>
      </c>
      <c r="AF2492">
        <v>0.191407565733998</v>
      </c>
      <c r="AG2492">
        <v>-1.1199706211339999</v>
      </c>
      <c r="AH2492">
        <v>30.604592892486401</v>
      </c>
      <c r="AI2492">
        <v>92.095754540958893</v>
      </c>
      <c r="AJ2492">
        <v>89.641664807129402</v>
      </c>
      <c r="AK2492">
        <v>30.625676762534599</v>
      </c>
      <c r="AL2492">
        <v>94.190760921629902</v>
      </c>
      <c r="AM2492">
        <v>91.799444382702703</v>
      </c>
      <c r="AN2492">
        <v>1.00000004261833</v>
      </c>
    </row>
    <row r="2493" spans="1:40" x14ac:dyDescent="0.25">
      <c r="A2493" t="str">
        <f>"20190303154146140"</f>
        <v>20190303154146140</v>
      </c>
      <c r="B2493" t="str">
        <f>"1551598906131399"</f>
        <v>1551598906131399</v>
      </c>
      <c r="C2493" t="s">
        <v>40</v>
      </c>
      <c r="D2493">
        <v>5.8084339999999903</v>
      </c>
      <c r="E2493">
        <v>0.51509399999999905</v>
      </c>
      <c r="F2493" t="s">
        <v>51</v>
      </c>
      <c r="G2493">
        <v>-314.55779999999999</v>
      </c>
      <c r="H2493" s="1">
        <v>4.282259E-6</v>
      </c>
      <c r="I2493">
        <v>284.1123</v>
      </c>
      <c r="J2493">
        <v>-282.28210000000001</v>
      </c>
      <c r="K2493">
        <v>1.1199809999999999</v>
      </c>
      <c r="L2493">
        <v>283.60820000000001</v>
      </c>
      <c r="M2493">
        <v>-0.99993370000000004</v>
      </c>
      <c r="N2493">
        <v>-8.6146969999999993E-3</v>
      </c>
      <c r="O2493">
        <v>7.659211E-3</v>
      </c>
      <c r="P2493">
        <v>-0.99645729999999999</v>
      </c>
      <c r="Q2493">
        <v>-8.1085519999999994E-2</v>
      </c>
      <c r="R2493">
        <v>-2.2320260000000001E-2</v>
      </c>
      <c r="S2493">
        <v>-3.0035400000000001</v>
      </c>
      <c r="T2493">
        <v>-0.1028826</v>
      </c>
      <c r="U2493">
        <v>4.6600339999999997E-2</v>
      </c>
      <c r="V2493">
        <v>-2.9954629999999999E-2</v>
      </c>
      <c r="W2493">
        <v>-7.2498859999999998E-2</v>
      </c>
      <c r="X2493">
        <v>0.99691859999999999</v>
      </c>
      <c r="Y2493">
        <v>7.8509979999999997E-3</v>
      </c>
      <c r="Z2493" s="1">
        <v>-2.8044689999999999E-5</v>
      </c>
      <c r="AA2493">
        <v>0.9999692</v>
      </c>
      <c r="AB2493">
        <v>39</v>
      </c>
      <c r="AC2493">
        <v>-32.275699999999901</v>
      </c>
      <c r="AD2493">
        <v>-1.1199767177409901</v>
      </c>
      <c r="AE2493">
        <v>0.504099999999994</v>
      </c>
      <c r="AF2493">
        <v>0.25656082486989501</v>
      </c>
      <c r="AG2493">
        <v>-1.1199767177409901</v>
      </c>
      <c r="AH2493">
        <v>32.239803518396201</v>
      </c>
      <c r="AI2493">
        <v>91.989531824591396</v>
      </c>
      <c r="AJ2493">
        <v>89.544056087294194</v>
      </c>
      <c r="AK2493">
        <v>32.2602712668373</v>
      </c>
      <c r="AL2493">
        <v>94.157526063592002</v>
      </c>
      <c r="AM2493">
        <v>91.721060928430106</v>
      </c>
      <c r="AN2493">
        <v>1.00000002979284</v>
      </c>
    </row>
    <row r="2494" spans="1:40" x14ac:dyDescent="0.25">
      <c r="A2494" t="str">
        <f>"20190303154146162"</f>
        <v>20190303154146162</v>
      </c>
      <c r="B2494" t="str">
        <f>"1551598906152209"</f>
        <v>1551598906152209</v>
      </c>
      <c r="C2494" t="s">
        <v>40</v>
      </c>
      <c r="D2494">
        <v>5.8402250000000002</v>
      </c>
      <c r="E2494">
        <v>0.51515230000000001</v>
      </c>
      <c r="F2494" t="s">
        <v>51</v>
      </c>
      <c r="G2494">
        <v>-315.99669999999998</v>
      </c>
      <c r="H2494" s="1">
        <v>4.9140580000000002E-6</v>
      </c>
      <c r="I2494">
        <v>284.18439999999998</v>
      </c>
      <c r="J2494">
        <v>-282.6848</v>
      </c>
      <c r="K2494">
        <v>1.1199889999999999</v>
      </c>
      <c r="L2494">
        <v>283.61130000000003</v>
      </c>
      <c r="M2494">
        <v>-0.99993330000000002</v>
      </c>
      <c r="N2494">
        <v>-8.6510270000000004E-3</v>
      </c>
      <c r="O2494">
        <v>7.6586930000000003E-3</v>
      </c>
      <c r="P2494">
        <v>-0.99651829999999997</v>
      </c>
      <c r="Q2494">
        <v>-8.0869319999999995E-2</v>
      </c>
      <c r="R2494">
        <v>-2.029597E-2</v>
      </c>
      <c r="S2494">
        <v>-3.0036619999999998</v>
      </c>
      <c r="T2494">
        <v>-9.9779489999999998E-2</v>
      </c>
      <c r="U2494">
        <v>5.1330569999999999E-2</v>
      </c>
      <c r="V2494">
        <v>-2.793002E-2</v>
      </c>
      <c r="W2494">
        <v>-7.2245870000000004E-2</v>
      </c>
      <c r="X2494">
        <v>0.99699570000000004</v>
      </c>
      <c r="Y2494">
        <v>9.4242289999999992E-3</v>
      </c>
      <c r="Z2494" s="1">
        <v>9.1795299999999995E-6</v>
      </c>
      <c r="AA2494">
        <v>0.99995560000000006</v>
      </c>
      <c r="AB2494">
        <v>39</v>
      </c>
      <c r="AC2494">
        <v>-33.311899999999902</v>
      </c>
      <c r="AD2494">
        <v>-1.1199840859419901</v>
      </c>
      <c r="AE2494">
        <v>0.57309999999995398</v>
      </c>
      <c r="AF2494">
        <v>0.31758915026409101</v>
      </c>
      <c r="AG2494">
        <v>-1.1199840859419901</v>
      </c>
      <c r="AH2494">
        <v>33.2777069480234</v>
      </c>
      <c r="AI2494">
        <v>91.927513523538806</v>
      </c>
      <c r="AJ2494">
        <v>89.453208553711704</v>
      </c>
      <c r="AK2494">
        <v>33.298063110932603</v>
      </c>
      <c r="AL2494">
        <v>94.142992863808303</v>
      </c>
      <c r="AM2494">
        <v>91.604674760847203</v>
      </c>
      <c r="AN2494">
        <v>0.99999998878387297</v>
      </c>
    </row>
    <row r="2495" spans="1:40" x14ac:dyDescent="0.25">
      <c r="A2495" t="str">
        <f>"20190303154146182"</f>
        <v>20190303154146182</v>
      </c>
      <c r="B2495" t="str">
        <f>"1551598906171732"</f>
        <v>1551598906171732</v>
      </c>
      <c r="C2495" t="s">
        <v>40</v>
      </c>
      <c r="D2495">
        <v>5.7950160000000004</v>
      </c>
      <c r="E2495">
        <v>0.51517990000000002</v>
      </c>
      <c r="F2495" t="s">
        <v>51</v>
      </c>
      <c r="G2495">
        <v>-316.94319999999999</v>
      </c>
      <c r="H2495" s="1">
        <v>5.3261560000000004E-6</v>
      </c>
      <c r="I2495">
        <v>284.27159999999998</v>
      </c>
      <c r="J2495">
        <v>-283.04169999999999</v>
      </c>
      <c r="K2495">
        <v>1.1199939999999999</v>
      </c>
      <c r="L2495">
        <v>283.61399999999998</v>
      </c>
      <c r="M2495">
        <v>-0.99993299999999996</v>
      </c>
      <c r="N2495">
        <v>-8.6883059999999998E-3</v>
      </c>
      <c r="O2495">
        <v>7.6580519999999899E-3</v>
      </c>
      <c r="P2495">
        <v>-0.99655070000000001</v>
      </c>
      <c r="Q2495">
        <v>-8.0792639999999999E-2</v>
      </c>
      <c r="R2495">
        <v>-1.896697E-2</v>
      </c>
      <c r="S2495">
        <v>-3.0036930000000002</v>
      </c>
      <c r="T2495">
        <v>-9.8197339999999994E-2</v>
      </c>
      <c r="U2495">
        <v>5.7891850000000002E-2</v>
      </c>
      <c r="V2495">
        <v>-2.660098E-2</v>
      </c>
      <c r="W2495">
        <v>-7.2131710000000002E-2</v>
      </c>
      <c r="X2495">
        <v>0.99704029999999999</v>
      </c>
      <c r="Y2495">
        <v>1.160686E-2</v>
      </c>
      <c r="Z2495" s="1">
        <v>5.6360380000000002E-5</v>
      </c>
      <c r="AA2495">
        <v>0.99993259999999995</v>
      </c>
      <c r="AB2495">
        <v>39</v>
      </c>
      <c r="AC2495">
        <v>-33.901499999999999</v>
      </c>
      <c r="AD2495">
        <v>-1.1199886738439999</v>
      </c>
      <c r="AE2495">
        <v>0.65759999999994501</v>
      </c>
      <c r="AF2495">
        <v>0.397517790762765</v>
      </c>
      <c r="AG2495">
        <v>-1.1199886738439999</v>
      </c>
      <c r="AH2495">
        <v>33.868591201485202</v>
      </c>
      <c r="AI2495">
        <v>91.893873688585202</v>
      </c>
      <c r="AJ2495">
        <v>89.327546700270304</v>
      </c>
      <c r="AK2495">
        <v>33.889435890802801</v>
      </c>
      <c r="AL2495">
        <v>94.136434913256394</v>
      </c>
      <c r="AM2495">
        <v>91.528285672716706</v>
      </c>
      <c r="AN2495">
        <v>0.99999997777428695</v>
      </c>
    </row>
    <row r="2496" spans="1:40" x14ac:dyDescent="0.25">
      <c r="A2496" t="str">
        <f>"20190303154146206"</f>
        <v>20190303154146206</v>
      </c>
      <c r="B2496" t="str">
        <f>"1551598906201985"</f>
        <v>1551598906201985</v>
      </c>
      <c r="C2496" t="s">
        <v>40</v>
      </c>
      <c r="D2496">
        <v>5.8540429999999999</v>
      </c>
      <c r="E2496">
        <v>0.51516059999999997</v>
      </c>
      <c r="F2496" t="s">
        <v>51</v>
      </c>
      <c r="G2496">
        <v>-317.65789999999998</v>
      </c>
      <c r="H2496" s="1">
        <v>5.6379839999999996E-6</v>
      </c>
      <c r="I2496">
        <v>284.33010000000002</v>
      </c>
      <c r="J2496">
        <v>-283.45659999999998</v>
      </c>
      <c r="K2496">
        <v>1.120004</v>
      </c>
      <c r="L2496">
        <v>283.61720000000003</v>
      </c>
      <c r="M2496">
        <v>-0.9999325</v>
      </c>
      <c r="N2496">
        <v>-8.7469669999999996E-3</v>
      </c>
      <c r="O2496">
        <v>7.6574360000000001E-3</v>
      </c>
      <c r="P2496">
        <v>-0.99656789999999995</v>
      </c>
      <c r="Q2496">
        <v>-8.0556390000000005E-2</v>
      </c>
      <c r="R2496">
        <v>-1.9056650000000001E-2</v>
      </c>
      <c r="S2496">
        <v>-3.0036930000000002</v>
      </c>
      <c r="T2496">
        <v>-9.7182870000000005E-2</v>
      </c>
      <c r="U2496">
        <v>6.2133790000000001E-2</v>
      </c>
      <c r="V2496">
        <v>-2.6690459999999999E-2</v>
      </c>
      <c r="W2496">
        <v>-7.1836869999999997E-2</v>
      </c>
      <c r="X2496">
        <v>0.99705920000000003</v>
      </c>
      <c r="Y2496">
        <v>1.3018160000000001E-2</v>
      </c>
      <c r="Z2496" s="1">
        <v>8.6789300000000006E-5</v>
      </c>
      <c r="AA2496">
        <v>0.9999152</v>
      </c>
      <c r="AB2496">
        <v>39</v>
      </c>
      <c r="AC2496">
        <v>-34.201300000000003</v>
      </c>
      <c r="AD2496">
        <v>-1.1199983620159999</v>
      </c>
      <c r="AE2496">
        <v>0.71289999999998999</v>
      </c>
      <c r="AF2496">
        <v>0.450491942054358</v>
      </c>
      <c r="AG2496">
        <v>-1.1199983620159999</v>
      </c>
      <c r="AH2496">
        <v>34.169129934995297</v>
      </c>
      <c r="AI2496">
        <v>91.877210270036102</v>
      </c>
      <c r="AJ2496">
        <v>89.244645922761805</v>
      </c>
      <c r="AK2496">
        <v>34.190448663850098</v>
      </c>
      <c r="AL2496">
        <v>94.119497867380105</v>
      </c>
      <c r="AM2496">
        <v>91.533394994748605</v>
      </c>
      <c r="AN2496">
        <v>0.99999998242552401</v>
      </c>
    </row>
    <row r="2497" spans="1:40" x14ac:dyDescent="0.25">
      <c r="A2497" t="str">
        <f>"20190303154146228"</f>
        <v>20190303154146228</v>
      </c>
      <c r="B2497" t="str">
        <f>"1551598906222482"</f>
        <v>1551598906222482</v>
      </c>
      <c r="C2497" t="s">
        <v>40</v>
      </c>
      <c r="D2497">
        <v>5.8408800000000003</v>
      </c>
      <c r="E2497">
        <v>0.51512639999999998</v>
      </c>
      <c r="F2497" t="s">
        <v>51</v>
      </c>
      <c r="G2497">
        <v>-318.64269999999999</v>
      </c>
      <c r="H2497" s="1">
        <v>6.0740349999999997E-6</v>
      </c>
      <c r="I2497">
        <v>284.33749999999998</v>
      </c>
      <c r="J2497">
        <v>-283.83420000000001</v>
      </c>
      <c r="K2497">
        <v>1.1200209999999999</v>
      </c>
      <c r="L2497">
        <v>283.62009999999998</v>
      </c>
      <c r="M2497">
        <v>-0.99993180000000004</v>
      </c>
      <c r="N2497">
        <v>-8.8180830000000009E-3</v>
      </c>
      <c r="O2497">
        <v>7.6571209999999898E-3</v>
      </c>
      <c r="P2497">
        <v>-0.99657519999999999</v>
      </c>
      <c r="Q2497">
        <v>-8.0302020000000002E-2</v>
      </c>
      <c r="R2497">
        <v>-1.9732349999999999E-2</v>
      </c>
      <c r="S2497">
        <v>-3.0038149999999999</v>
      </c>
      <c r="T2497">
        <v>-9.5613480000000001E-2</v>
      </c>
      <c r="U2497">
        <v>6.149292E-2</v>
      </c>
      <c r="V2497">
        <v>-2.7366209999999998E-2</v>
      </c>
      <c r="W2497">
        <v>-7.1511580000000005E-2</v>
      </c>
      <c r="X2497">
        <v>0.99706430000000001</v>
      </c>
      <c r="Y2497">
        <v>1.2804650000000001E-2</v>
      </c>
      <c r="Z2497" s="1">
        <v>8.4066229999999994E-5</v>
      </c>
      <c r="AA2497">
        <v>0.99991799999999997</v>
      </c>
      <c r="AB2497">
        <v>39</v>
      </c>
      <c r="AC2497">
        <v>-34.808499999999903</v>
      </c>
      <c r="AD2497">
        <v>-1.1200149259650001</v>
      </c>
      <c r="AE2497">
        <v>0.71739999999999704</v>
      </c>
      <c r="AF2497">
        <v>0.45036962541122399</v>
      </c>
      <c r="AG2497">
        <v>-1.1200149259650001</v>
      </c>
      <c r="AH2497">
        <v>34.776982683407702</v>
      </c>
      <c r="AI2497">
        <v>91.844455031458295</v>
      </c>
      <c r="AJ2497">
        <v>89.258048445232404</v>
      </c>
      <c r="AK2497">
        <v>34.797927966991303</v>
      </c>
      <c r="AL2497">
        <v>94.100811923012103</v>
      </c>
      <c r="AM2497">
        <v>91.572190260629</v>
      </c>
      <c r="AN2497">
        <v>1.0000000169291701</v>
      </c>
    </row>
    <row r="2498" spans="1:40" x14ac:dyDescent="0.25">
      <c r="A2498" t="str">
        <f>"20190303154146250"</f>
        <v>20190303154146250</v>
      </c>
      <c r="B2498" t="str">
        <f>"1551598906242001"</f>
        <v>1551598906242001</v>
      </c>
      <c r="C2498" t="s">
        <v>40</v>
      </c>
      <c r="D2498">
        <v>5.8808030000000002</v>
      </c>
      <c r="E2498">
        <v>0.51506909999999995</v>
      </c>
      <c r="F2498" t="s">
        <v>51</v>
      </c>
      <c r="G2498">
        <v>-319.3639</v>
      </c>
      <c r="H2498" s="1">
        <v>6.3951699999999998E-6</v>
      </c>
      <c r="I2498">
        <v>284.32249999999999</v>
      </c>
      <c r="J2498">
        <v>-284.24059999999997</v>
      </c>
      <c r="K2498">
        <v>1.120042</v>
      </c>
      <c r="L2498">
        <v>283.6232</v>
      </c>
      <c r="M2498">
        <v>-0.99993100000000001</v>
      </c>
      <c r="N2498">
        <v>-8.9104059999999992E-3</v>
      </c>
      <c r="O2498">
        <v>7.6565299999999999E-3</v>
      </c>
      <c r="P2498">
        <v>-0.99654810000000005</v>
      </c>
      <c r="Q2498">
        <v>-8.0258819999999995E-2</v>
      </c>
      <c r="R2498">
        <v>-2.1222080000000001E-2</v>
      </c>
      <c r="S2498">
        <v>-3.0038450000000001</v>
      </c>
      <c r="T2498">
        <v>-9.4691280000000003E-2</v>
      </c>
      <c r="U2498">
        <v>5.9387210000000003E-2</v>
      </c>
      <c r="V2498">
        <v>-2.8854100000000001E-2</v>
      </c>
      <c r="W2498">
        <v>-7.1376609999999993E-2</v>
      </c>
      <c r="X2498">
        <v>0.99703200000000003</v>
      </c>
      <c r="Y2498">
        <v>1.210486E-2</v>
      </c>
      <c r="Z2498" s="1">
        <v>7.1617459999999994E-5</v>
      </c>
      <c r="AA2498">
        <v>0.99992669999999995</v>
      </c>
      <c r="AB2498">
        <v>39</v>
      </c>
      <c r="AC2498">
        <v>-35.1233</v>
      </c>
      <c r="AD2498">
        <v>-1.12003560483</v>
      </c>
      <c r="AE2498">
        <v>0.69929999999999304</v>
      </c>
      <c r="AF2498">
        <v>0.42990923115981899</v>
      </c>
      <c r="AG2498">
        <v>-1.12003560483</v>
      </c>
      <c r="AH2498">
        <v>35.091954380194402</v>
      </c>
      <c r="AI2498">
        <v>91.827961023454804</v>
      </c>
      <c r="AJ2498">
        <v>89.298108276817203</v>
      </c>
      <c r="AK2498">
        <v>35.112455965437199</v>
      </c>
      <c r="AL2498">
        <v>94.093058992595104</v>
      </c>
      <c r="AM2498">
        <v>91.657676832064197</v>
      </c>
      <c r="AN2498">
        <v>0.99999999428295105</v>
      </c>
    </row>
    <row r="2499" spans="1:40" x14ac:dyDescent="0.25">
      <c r="A2499" t="str">
        <f>"20190303154146272"</f>
        <v>20190303154146272</v>
      </c>
      <c r="B2499" t="str">
        <f>"1551598906262502"</f>
        <v>1551598906262502</v>
      </c>
      <c r="C2499" t="s">
        <v>40</v>
      </c>
      <c r="D2499">
        <v>5.8424230000000001</v>
      </c>
      <c r="E2499">
        <v>0.51500409999999996</v>
      </c>
      <c r="F2499" t="s">
        <v>51</v>
      </c>
      <c r="G2499">
        <v>-319.79899999999998</v>
      </c>
      <c r="H2499" s="1">
        <v>6.5929650000000003E-6</v>
      </c>
      <c r="I2499">
        <v>284.26729999999998</v>
      </c>
      <c r="J2499">
        <v>-284.62</v>
      </c>
      <c r="K2499">
        <v>1.1200559999999999</v>
      </c>
      <c r="L2499">
        <v>283.62610000000001</v>
      </c>
      <c r="M2499">
        <v>-0.99993019999999999</v>
      </c>
      <c r="N2499">
        <v>-9.0082990000000009E-3</v>
      </c>
      <c r="O2499">
        <v>7.6560880000000001E-3</v>
      </c>
      <c r="P2499">
        <v>-0.99652980000000002</v>
      </c>
      <c r="Q2499">
        <v>-8.0148830000000004E-2</v>
      </c>
      <c r="R2499">
        <v>-2.2463460000000001E-2</v>
      </c>
      <c r="S2499">
        <v>-3.0039370000000001</v>
      </c>
      <c r="T2499">
        <v>-9.4619389999999998E-2</v>
      </c>
      <c r="U2499">
        <v>5.4412839999999997E-2</v>
      </c>
      <c r="V2499">
        <v>-3.0095380000000001E-2</v>
      </c>
      <c r="W2499">
        <v>-7.1169209999999997E-2</v>
      </c>
      <c r="X2499">
        <v>0.99701010000000001</v>
      </c>
      <c r="Y2499">
        <v>1.045047E-2</v>
      </c>
      <c r="Z2499" s="1">
        <v>3.9506930000000002E-5</v>
      </c>
      <c r="AA2499">
        <v>0.99994539999999998</v>
      </c>
      <c r="AB2499">
        <v>39</v>
      </c>
      <c r="AC2499">
        <v>-35.179000000000002</v>
      </c>
      <c r="AD2499">
        <v>-1.120049407035</v>
      </c>
      <c r="AE2499">
        <v>0.64119999999996902</v>
      </c>
      <c r="AF2499">
        <v>0.371460357840388</v>
      </c>
      <c r="AG2499">
        <v>-1.120049407035</v>
      </c>
      <c r="AH2499">
        <v>35.147261386272</v>
      </c>
      <c r="AI2499">
        <v>91.825144007343994</v>
      </c>
      <c r="AJ2499">
        <v>89.3944814601861</v>
      </c>
      <c r="AK2499">
        <v>35.167065223395802</v>
      </c>
      <c r="AL2499">
        <v>94.081145674293396</v>
      </c>
      <c r="AM2499">
        <v>91.728984310034505</v>
      </c>
      <c r="AN2499">
        <v>0.99999996392568802</v>
      </c>
    </row>
    <row r="2500" spans="1:40" x14ac:dyDescent="0.25">
      <c r="A2500" t="str">
        <f>"20190303154146293"</f>
        <v>20190303154146293</v>
      </c>
      <c r="B2500" t="str">
        <f>"1551598906282017"</f>
        <v>1551598906282017</v>
      </c>
      <c r="C2500" t="s">
        <v>40</v>
      </c>
      <c r="D2500">
        <v>5.8799039999999998</v>
      </c>
      <c r="E2500">
        <v>0.51493849999999997</v>
      </c>
      <c r="F2500" t="s">
        <v>50</v>
      </c>
      <c r="G2500">
        <v>-320.44040000000001</v>
      </c>
      <c r="H2500" s="1">
        <v>-1.285148E-6</v>
      </c>
      <c r="I2500">
        <v>284.22149999999999</v>
      </c>
      <c r="J2500">
        <v>-285.00810000000001</v>
      </c>
      <c r="K2500">
        <v>1.12007099999999</v>
      </c>
      <c r="L2500">
        <v>283.62909999999999</v>
      </c>
      <c r="M2500">
        <v>-0.99992919999999996</v>
      </c>
      <c r="N2500">
        <v>-9.1176139999999996E-3</v>
      </c>
      <c r="O2500">
        <v>7.6555900000000003E-3</v>
      </c>
      <c r="P2500">
        <v>-0.99648360000000002</v>
      </c>
      <c r="Q2500">
        <v>-8.0384730000000001E-2</v>
      </c>
      <c r="R2500">
        <v>-2.363546E-2</v>
      </c>
      <c r="S2500">
        <v>-3.0040279999999999</v>
      </c>
      <c r="T2500">
        <v>-9.393203E-2</v>
      </c>
      <c r="U2500">
        <v>4.9926760000000001E-2</v>
      </c>
      <c r="V2500">
        <v>-3.1266479999999999E-2</v>
      </c>
      <c r="W2500">
        <v>-7.1296609999999996E-2</v>
      </c>
      <c r="X2500">
        <v>0.99696499999999999</v>
      </c>
      <c r="Y2500">
        <v>8.9585250000000002E-3</v>
      </c>
      <c r="Z2500" s="1">
        <v>1.1360719999999999E-5</v>
      </c>
      <c r="AA2500">
        <v>0.99995990000000001</v>
      </c>
      <c r="AB2500">
        <v>40</v>
      </c>
      <c r="AC2500">
        <v>-35.432299999999998</v>
      </c>
      <c r="AD2500">
        <v>-1.1200722851479901</v>
      </c>
      <c r="AE2500">
        <v>0.59239999999999704</v>
      </c>
      <c r="AF2500">
        <v>0.32079574124999399</v>
      </c>
      <c r="AG2500">
        <v>-1.1200722851479901</v>
      </c>
      <c r="AH2500">
        <v>35.400431385381403</v>
      </c>
      <c r="AI2500">
        <v>91.812163796492797</v>
      </c>
      <c r="AJ2500">
        <v>89.4808046612238</v>
      </c>
      <c r="AK2500">
        <v>35.419599293366602</v>
      </c>
      <c r="AL2500">
        <v>94.088463577468801</v>
      </c>
      <c r="AM2500">
        <v>91.796302142536405</v>
      </c>
      <c r="AN2500">
        <v>1.0000000052970399</v>
      </c>
    </row>
    <row r="2501" spans="1:40" x14ac:dyDescent="0.25">
      <c r="A2501" t="str">
        <f>"20190303154146317"</f>
        <v>20190303154146317</v>
      </c>
      <c r="B2501" t="str">
        <f>"1551598906312273"</f>
        <v>1551598906312273</v>
      </c>
      <c r="C2501" t="s">
        <v>40</v>
      </c>
      <c r="D2501">
        <v>5.8806180000000001</v>
      </c>
      <c r="E2501">
        <v>0.51492190000000004</v>
      </c>
      <c r="F2501" t="s">
        <v>50</v>
      </c>
      <c r="G2501">
        <v>-320.52050000000003</v>
      </c>
      <c r="H2501" s="1">
        <v>-1.2404720000000001E-6</v>
      </c>
      <c r="I2501">
        <v>284.1739</v>
      </c>
      <c r="J2501">
        <v>-285.40280000000001</v>
      </c>
      <c r="K2501">
        <v>1.1200760000000001</v>
      </c>
      <c r="L2501">
        <v>283.63209999999998</v>
      </c>
      <c r="M2501">
        <v>-0.99992820000000004</v>
      </c>
      <c r="N2501">
        <v>-9.2343129999999992E-3</v>
      </c>
      <c r="O2501">
        <v>7.6552299999999998E-3</v>
      </c>
      <c r="P2501">
        <v>-0.99641939999999996</v>
      </c>
      <c r="Q2501">
        <v>-8.0951999999999996E-2</v>
      </c>
      <c r="R2501">
        <v>-2.43973E-2</v>
      </c>
      <c r="S2501">
        <v>-3.0039980000000002</v>
      </c>
      <c r="T2501">
        <v>-9.4747189999999995E-2</v>
      </c>
      <c r="U2501">
        <v>4.6081539999999997E-2</v>
      </c>
      <c r="V2501">
        <v>-3.2027479999999997E-2</v>
      </c>
      <c r="W2501">
        <v>-7.1748119999999999E-2</v>
      </c>
      <c r="X2501">
        <v>0.99690840000000003</v>
      </c>
      <c r="Y2501">
        <v>7.6801289999999999E-3</v>
      </c>
      <c r="Z2501" s="1">
        <v>-1.4137539999999999E-5</v>
      </c>
      <c r="AA2501">
        <v>0.99997049999999998</v>
      </c>
      <c r="AB2501">
        <v>40</v>
      </c>
      <c r="AC2501">
        <v>-35.117699999999999</v>
      </c>
      <c r="AD2501">
        <v>-1.1200772404719901</v>
      </c>
      <c r="AE2501">
        <v>0.54180000000002304</v>
      </c>
      <c r="AF2501">
        <v>0.27266131826317103</v>
      </c>
      <c r="AG2501">
        <v>-1.1200772404719901</v>
      </c>
      <c r="AH2501">
        <v>35.085135498900598</v>
      </c>
      <c r="AI2501">
        <v>91.828465901622906</v>
      </c>
      <c r="AJ2501">
        <v>89.554739405774299</v>
      </c>
      <c r="AK2501">
        <v>35.104068855266902</v>
      </c>
      <c r="AL2501">
        <v>94.114399824166199</v>
      </c>
      <c r="AM2501">
        <v>91.840097334049602</v>
      </c>
      <c r="AN2501">
        <v>0.99999995509462103</v>
      </c>
    </row>
    <row r="2502" spans="1:40" x14ac:dyDescent="0.25">
      <c r="A2502" t="str">
        <f>"20190303154146341"</f>
        <v>20190303154146341</v>
      </c>
      <c r="B2502" t="str">
        <f>"1551598906331793"</f>
        <v>1551598906331793</v>
      </c>
      <c r="C2502" t="s">
        <v>40</v>
      </c>
      <c r="D2502">
        <v>5.8768399999999996</v>
      </c>
      <c r="E2502">
        <v>0.51491889999999996</v>
      </c>
      <c r="F2502" t="s">
        <v>50</v>
      </c>
      <c r="G2502">
        <v>-320.29700000000003</v>
      </c>
      <c r="H2502" s="1">
        <v>-1.3578510000000001E-6</v>
      </c>
      <c r="I2502">
        <v>284.13869999999997</v>
      </c>
      <c r="J2502">
        <v>-285.82560000000001</v>
      </c>
      <c r="K2502">
        <v>1.1200870000000001</v>
      </c>
      <c r="L2502">
        <v>283.6354</v>
      </c>
      <c r="M2502">
        <v>-0.99992689999999995</v>
      </c>
      <c r="N2502">
        <v>-9.3576549999999994E-3</v>
      </c>
      <c r="O2502">
        <v>7.6544759999999899E-3</v>
      </c>
      <c r="P2502">
        <v>-0.99637100000000001</v>
      </c>
      <c r="Q2502">
        <v>-8.1449289999999994E-2</v>
      </c>
      <c r="R2502">
        <v>-2.4715129999999998E-2</v>
      </c>
      <c r="S2502">
        <v>-3.0039980000000002</v>
      </c>
      <c r="T2502">
        <v>-9.6426010000000006E-2</v>
      </c>
      <c r="U2502">
        <v>4.3609620000000002E-2</v>
      </c>
      <c r="V2502">
        <v>-3.2344150000000002E-2</v>
      </c>
      <c r="W2502">
        <v>-7.2122889999999995E-2</v>
      </c>
      <c r="X2502">
        <v>0.99687119999999996</v>
      </c>
      <c r="Y2502">
        <v>6.8586510000000003E-3</v>
      </c>
      <c r="Z2502" s="1">
        <v>-3.185908E-5</v>
      </c>
      <c r="AA2502">
        <v>0.99997650000000005</v>
      </c>
      <c r="AB2502">
        <v>40</v>
      </c>
      <c r="AC2502">
        <v>-34.471400000000003</v>
      </c>
      <c r="AD2502">
        <v>-1.1200883578509999</v>
      </c>
      <c r="AE2502">
        <v>0.503299999999967</v>
      </c>
      <c r="AF2502">
        <v>0.239160736714809</v>
      </c>
      <c r="AG2502">
        <v>-1.1200883578509999</v>
      </c>
      <c r="AH2502">
        <v>34.437890506848099</v>
      </c>
      <c r="AI2502">
        <v>91.862836924130505</v>
      </c>
      <c r="AJ2502">
        <v>89.602104532185393</v>
      </c>
      <c r="AK2502">
        <v>34.456931063996898</v>
      </c>
      <c r="AL2502">
        <v>94.135928060155294</v>
      </c>
      <c r="AM2502">
        <v>91.858347800839098</v>
      </c>
      <c r="AN2502">
        <v>1.0000000223453001</v>
      </c>
    </row>
    <row r="2503" spans="1:40" x14ac:dyDescent="0.25">
      <c r="A2503" t="str">
        <f>"20190303154146363"</f>
        <v>20190303154146363</v>
      </c>
      <c r="B2503" t="str">
        <f>"1551598906352289"</f>
        <v>1551598906352289</v>
      </c>
      <c r="C2503" t="s">
        <v>40</v>
      </c>
      <c r="D2503">
        <v>5.8765289999999997</v>
      </c>
      <c r="E2503">
        <v>0.51489979999999902</v>
      </c>
      <c r="F2503" t="s">
        <v>50</v>
      </c>
      <c r="G2503">
        <v>-320.2371</v>
      </c>
      <c r="H2503" s="1">
        <v>-1.389124E-6</v>
      </c>
      <c r="I2503">
        <v>284.1241</v>
      </c>
      <c r="J2503">
        <v>-286.22980000000001</v>
      </c>
      <c r="K2503">
        <v>1.120104</v>
      </c>
      <c r="L2503">
        <v>283.63850000000002</v>
      </c>
      <c r="M2503">
        <v>-0.99992599999999998</v>
      </c>
      <c r="N2503">
        <v>-9.4682719999999998E-3</v>
      </c>
      <c r="O2503">
        <v>7.6537740000000003E-3</v>
      </c>
      <c r="P2503">
        <v>-0.99635850000000004</v>
      </c>
      <c r="Q2503">
        <v>-8.1730559999999994E-2</v>
      </c>
      <c r="R2503">
        <v>-2.4293470000000001E-2</v>
      </c>
      <c r="S2503">
        <v>-3.0039980000000002</v>
      </c>
      <c r="T2503">
        <v>-9.7779630000000006E-2</v>
      </c>
      <c r="U2503">
        <v>4.2663569999999998E-2</v>
      </c>
      <c r="V2503">
        <v>-3.1921650000000003E-2</v>
      </c>
      <c r="W2503">
        <v>-7.2293979999999994E-2</v>
      </c>
      <c r="X2503">
        <v>0.99687239999999999</v>
      </c>
      <c r="Y2503">
        <v>6.5446369999999999E-3</v>
      </c>
      <c r="Z2503" s="1">
        <v>-3.911557E-5</v>
      </c>
      <c r="AA2503">
        <v>0.99997860000000005</v>
      </c>
      <c r="AB2503">
        <v>40</v>
      </c>
      <c r="AC2503">
        <v>-34.007299999999901</v>
      </c>
      <c r="AD2503">
        <v>-1.120105389124</v>
      </c>
      <c r="AE2503">
        <v>0.485599999999976</v>
      </c>
      <c r="AF2503">
        <v>0.225045855994007</v>
      </c>
      <c r="AG2503">
        <v>-1.120105389124</v>
      </c>
      <c r="AH2503">
        <v>33.973172054286202</v>
      </c>
      <c r="AI2503">
        <v>91.888333109914797</v>
      </c>
      <c r="AJ2503">
        <v>89.620465550597103</v>
      </c>
      <c r="AK2503">
        <v>33.992377103553302</v>
      </c>
      <c r="AL2503">
        <v>94.145756558246106</v>
      </c>
      <c r="AM2503">
        <v>91.834087354680307</v>
      </c>
      <c r="AN2503">
        <v>0.99999999658236105</v>
      </c>
    </row>
    <row r="2504" spans="1:40" x14ac:dyDescent="0.25">
      <c r="A2504" t="str">
        <f>"20190303154146383"</f>
        <v>20190303154146383</v>
      </c>
      <c r="B2504" t="str">
        <f>"1551598906371810"</f>
        <v>1551598906371810</v>
      </c>
      <c r="C2504" t="s">
        <v>40</v>
      </c>
      <c r="D2504">
        <v>5.8725620000000003</v>
      </c>
      <c r="E2504">
        <v>0.51488440000000002</v>
      </c>
      <c r="F2504" t="s">
        <v>50</v>
      </c>
      <c r="G2504">
        <v>-320.28989999999999</v>
      </c>
      <c r="H2504" s="1">
        <v>-1.36153699999999E-6</v>
      </c>
      <c r="I2504">
        <v>284.13600000000002</v>
      </c>
      <c r="J2504">
        <v>-286.59969999999998</v>
      </c>
      <c r="K2504">
        <v>1.1201110000000001</v>
      </c>
      <c r="L2504">
        <v>283.6413</v>
      </c>
      <c r="M2504">
        <v>-0.99992510000000001</v>
      </c>
      <c r="N2504">
        <v>-9.5616650000000004E-3</v>
      </c>
      <c r="O2504">
        <v>7.653328E-3</v>
      </c>
      <c r="P2504">
        <v>-0.99638289999999996</v>
      </c>
      <c r="Q2504">
        <v>-8.1699999999999995E-2</v>
      </c>
      <c r="R2504">
        <v>-2.338281E-2</v>
      </c>
      <c r="S2504">
        <v>-3.0039669999999998</v>
      </c>
      <c r="T2504">
        <v>-9.8788860000000006E-2</v>
      </c>
      <c r="U2504">
        <v>4.3884279999999998E-2</v>
      </c>
      <c r="V2504">
        <v>-3.1010679999999999E-2</v>
      </c>
      <c r="W2504">
        <v>-7.2170029999999996E-2</v>
      </c>
      <c r="X2504">
        <v>0.99691019999999997</v>
      </c>
      <c r="Y2504">
        <v>6.9511590000000002E-3</v>
      </c>
      <c r="Z2504" s="1">
        <v>-3.09298799999999E-5</v>
      </c>
      <c r="AA2504">
        <v>0.99997590000000003</v>
      </c>
      <c r="AB2504">
        <v>40</v>
      </c>
      <c r="AC2504">
        <v>-33.690199999999997</v>
      </c>
      <c r="AD2504">
        <v>-1.1201123615369999</v>
      </c>
      <c r="AE2504">
        <v>0.494699999999966</v>
      </c>
      <c r="AF2504">
        <v>0.236570152041371</v>
      </c>
      <c r="AG2504">
        <v>-1.1201123615369999</v>
      </c>
      <c r="AH2504">
        <v>33.655804683785</v>
      </c>
      <c r="AI2504">
        <v>91.906133223509201</v>
      </c>
      <c r="AJ2504">
        <v>89.597268638494</v>
      </c>
      <c r="AK2504">
        <v>33.675269947728601</v>
      </c>
      <c r="AL2504">
        <v>94.1386358789848</v>
      </c>
      <c r="AM2504">
        <v>91.781713464142697</v>
      </c>
      <c r="AN2504">
        <v>1.00000006118414</v>
      </c>
    </row>
    <row r="2505" spans="1:40" x14ac:dyDescent="0.25">
      <c r="A2505" t="str">
        <f>"20190303154146405"</f>
        <v>20190303154146405</v>
      </c>
      <c r="B2505" t="str">
        <f>"1551598906402065"</f>
        <v>1551598906402065</v>
      </c>
      <c r="C2505" t="s">
        <v>40</v>
      </c>
      <c r="D2505">
        <v>5.8661469999999998</v>
      </c>
      <c r="E2505">
        <v>0.51480550000000003</v>
      </c>
      <c r="F2505" t="s">
        <v>50</v>
      </c>
      <c r="G2505">
        <v>-320.64460000000003</v>
      </c>
      <c r="H2505" s="1">
        <v>-1.174263E-6</v>
      </c>
      <c r="I2505">
        <v>284.16980000000001</v>
      </c>
      <c r="J2505">
        <v>-287.00029999999998</v>
      </c>
      <c r="K2505">
        <v>1.1201179999999999</v>
      </c>
      <c r="L2505">
        <v>283.64429999999999</v>
      </c>
      <c r="M2505">
        <v>-0.99992420000000004</v>
      </c>
      <c r="N2505">
        <v>-9.6537710000000002E-3</v>
      </c>
      <c r="O2505">
        <v>7.6530629999999999E-3</v>
      </c>
      <c r="P2505">
        <v>-0.99637940000000003</v>
      </c>
      <c r="Q2505">
        <v>-8.1978159999999994E-2</v>
      </c>
      <c r="R2505">
        <v>-2.2545849999999999E-2</v>
      </c>
      <c r="S2505">
        <v>-3.0039060000000002</v>
      </c>
      <c r="T2505">
        <v>-9.8831649999999993E-2</v>
      </c>
      <c r="U2505">
        <v>4.6630860000000003E-2</v>
      </c>
      <c r="V2505">
        <v>-3.0173140000000001E-2</v>
      </c>
      <c r="W2505">
        <v>-7.2356370000000003E-2</v>
      </c>
      <c r="X2505">
        <v>0.99692230000000004</v>
      </c>
      <c r="Y2505">
        <v>7.8651490000000001E-3</v>
      </c>
      <c r="Z2505" s="1">
        <v>-1.0515590000000001E-5</v>
      </c>
      <c r="AA2505">
        <v>0.99996910000000006</v>
      </c>
      <c r="AB2505">
        <v>40</v>
      </c>
      <c r="AC2505">
        <v>-33.644300000000001</v>
      </c>
      <c r="AD2505">
        <v>-1.1201191742629999</v>
      </c>
      <c r="AE2505">
        <v>0.52550000000002195</v>
      </c>
      <c r="AF2505">
        <v>0.26769403898100802</v>
      </c>
      <c r="AG2505">
        <v>-1.1201191742629999</v>
      </c>
      <c r="AH2505">
        <v>33.610091395963003</v>
      </c>
      <c r="AI2505">
        <v>91.908722073828699</v>
      </c>
      <c r="AJ2505">
        <v>89.543666390465305</v>
      </c>
      <c r="AK2505">
        <v>33.6298166915617</v>
      </c>
      <c r="AL2505">
        <v>94.149340749348596</v>
      </c>
      <c r="AM2505">
        <v>91.733601485737196</v>
      </c>
      <c r="AN2505">
        <v>0.99999996744716202</v>
      </c>
    </row>
    <row r="2506" spans="1:40" x14ac:dyDescent="0.25">
      <c r="A2506" t="str">
        <f>"20190303154146427"</f>
        <v>20190303154146427</v>
      </c>
      <c r="B2506" t="str">
        <f>"1551598906421586"</f>
        <v>1551598906421586</v>
      </c>
      <c r="C2506" t="s">
        <v>40</v>
      </c>
      <c r="D2506">
        <v>5.8650149999999996</v>
      </c>
      <c r="E2506">
        <v>0.51480389999999998</v>
      </c>
      <c r="F2506" t="s">
        <v>50</v>
      </c>
      <c r="G2506">
        <v>-320.83920000000001</v>
      </c>
      <c r="H2506" s="1">
        <v>-1.0715860000000001E-6</v>
      </c>
      <c r="I2506">
        <v>284.19060000000002</v>
      </c>
      <c r="J2506">
        <v>-287.37090000000001</v>
      </c>
      <c r="K2506">
        <v>1.1201219999999901</v>
      </c>
      <c r="L2506">
        <v>283.6472</v>
      </c>
      <c r="M2506">
        <v>-0.99992340000000002</v>
      </c>
      <c r="N2506">
        <v>-9.7328390000000001E-3</v>
      </c>
      <c r="O2506">
        <v>7.6526780000000004E-3</v>
      </c>
      <c r="P2506">
        <v>-0.99640010000000001</v>
      </c>
      <c r="Q2506">
        <v>-8.1916489999999995E-2</v>
      </c>
      <c r="R2506">
        <v>-2.1832219999999999E-2</v>
      </c>
      <c r="S2506">
        <v>-3.003784</v>
      </c>
      <c r="T2506">
        <v>-9.9429729999999994E-2</v>
      </c>
      <c r="U2506">
        <v>4.8492430000000003E-2</v>
      </c>
      <c r="V2506">
        <v>-2.9459900000000001E-2</v>
      </c>
      <c r="W2506">
        <v>-7.2215639999999998E-2</v>
      </c>
      <c r="X2506">
        <v>0.9969538</v>
      </c>
      <c r="Y2506">
        <v>8.4852380000000008E-3</v>
      </c>
      <c r="Z2506" s="1">
        <v>2.9434890000000002E-6</v>
      </c>
      <c r="AA2506">
        <v>0.99996399999999996</v>
      </c>
      <c r="AB2506">
        <v>40</v>
      </c>
      <c r="AC2506">
        <v>-33.468299999999999</v>
      </c>
      <c r="AD2506">
        <v>-1.12012307158599</v>
      </c>
      <c r="AE2506">
        <v>0.54340000000001898</v>
      </c>
      <c r="AF2506">
        <v>0.28692853468218299</v>
      </c>
      <c r="AG2506">
        <v>-1.12012307158599</v>
      </c>
      <c r="AH2506">
        <v>33.434038311839402</v>
      </c>
      <c r="AI2506">
        <v>91.9187621888438</v>
      </c>
      <c r="AJ2506">
        <v>89.508303773254795</v>
      </c>
      <c r="AK2506">
        <v>33.454026985059102</v>
      </c>
      <c r="AL2506">
        <v>94.141256512499396</v>
      </c>
      <c r="AM2506">
        <v>91.692592870382796</v>
      </c>
      <c r="AN2506">
        <v>0.99999993185152702</v>
      </c>
    </row>
    <row r="2507" spans="1:40" x14ac:dyDescent="0.25">
      <c r="A2507" t="str">
        <f>"20190303154146449"</f>
        <v>20190303154146449</v>
      </c>
      <c r="B2507" t="str">
        <f>"1551598906442081"</f>
        <v>1551598906442081</v>
      </c>
      <c r="C2507" t="s">
        <v>40</v>
      </c>
      <c r="D2507">
        <v>5.8904589999999999</v>
      </c>
      <c r="E2507">
        <v>0.51478389999999996</v>
      </c>
      <c r="F2507" t="s">
        <v>50</v>
      </c>
      <c r="G2507">
        <v>-321.25349999999997</v>
      </c>
      <c r="H2507" s="1">
        <v>-8.5237459999999996E-7</v>
      </c>
      <c r="I2507">
        <v>284.21969999999999</v>
      </c>
      <c r="J2507">
        <v>-287.78460000000001</v>
      </c>
      <c r="K2507">
        <v>1.1201289999999999</v>
      </c>
      <c r="L2507">
        <v>283.65039999999999</v>
      </c>
      <c r="M2507">
        <v>-0.99992250000000005</v>
      </c>
      <c r="N2507">
        <v>-9.8210820000000001E-3</v>
      </c>
      <c r="O2507">
        <v>7.6520659999999999E-3</v>
      </c>
      <c r="P2507">
        <v>-0.99644820000000001</v>
      </c>
      <c r="Q2507">
        <v>-8.1433820000000004E-2</v>
      </c>
      <c r="R2507">
        <v>-2.1435889999999999E-2</v>
      </c>
      <c r="S2507">
        <v>-3.0038450000000001</v>
      </c>
      <c r="T2507">
        <v>-9.9303719999999998E-2</v>
      </c>
      <c r="U2507">
        <v>5.0750730000000001E-2</v>
      </c>
      <c r="V2507">
        <v>-2.906367E-2</v>
      </c>
      <c r="W2507">
        <v>-7.1644520000000003E-2</v>
      </c>
      <c r="X2507">
        <v>0.99700670000000002</v>
      </c>
      <c r="Y2507">
        <v>9.2365290000000003E-3</v>
      </c>
      <c r="Z2507" s="1">
        <v>2.0258489999999999E-5</v>
      </c>
      <c r="AA2507">
        <v>0.99995730000000005</v>
      </c>
      <c r="AB2507">
        <v>40</v>
      </c>
      <c r="AC2507">
        <v>-33.468899999999898</v>
      </c>
      <c r="AD2507">
        <v>-1.1201298523745999</v>
      </c>
      <c r="AE2507">
        <v>0.56929999999999803</v>
      </c>
      <c r="AF2507">
        <v>0.31281446887855302</v>
      </c>
      <c r="AG2507">
        <v>-1.1201298523745999</v>
      </c>
      <c r="AH2507">
        <v>33.4348372755329</v>
      </c>
      <c r="AI2507">
        <v>91.918714669661199</v>
      </c>
      <c r="AJ2507">
        <v>89.463959529302201</v>
      </c>
      <c r="AK2507">
        <v>33.455057725544101</v>
      </c>
      <c r="AL2507">
        <v>94.108448493404595</v>
      </c>
      <c r="AM2507">
        <v>91.669752248008805</v>
      </c>
      <c r="AN2507">
        <v>0.99999999700239395</v>
      </c>
    </row>
    <row r="2508" spans="1:40" x14ac:dyDescent="0.25">
      <c r="A2508" t="str">
        <f>"20190303154146473"</f>
        <v>20190303154146473</v>
      </c>
      <c r="B2508" t="str">
        <f>"1551598906461602"</f>
        <v>1551598906461602</v>
      </c>
      <c r="C2508" t="s">
        <v>40</v>
      </c>
      <c r="D2508">
        <v>5.8794320000000004</v>
      </c>
      <c r="E2508">
        <v>0.51477320000000004</v>
      </c>
      <c r="F2508" t="s">
        <v>50</v>
      </c>
      <c r="G2508">
        <v>-321.97390000000001</v>
      </c>
      <c r="H2508" s="1">
        <v>-4.700372E-7</v>
      </c>
      <c r="I2508">
        <v>284.24259999999998</v>
      </c>
      <c r="J2508">
        <v>-288.19459999999998</v>
      </c>
      <c r="K2508">
        <v>1.120136</v>
      </c>
      <c r="L2508">
        <v>283.65350000000001</v>
      </c>
      <c r="M2508">
        <v>-0.99992170000000002</v>
      </c>
      <c r="N2508">
        <v>-9.9168940000000008E-3</v>
      </c>
      <c r="O2508">
        <v>7.6515919999999996E-3</v>
      </c>
      <c r="P2508">
        <v>-0.9964305</v>
      </c>
      <c r="Q2508">
        <v>-8.1592310000000001E-2</v>
      </c>
      <c r="R2508">
        <v>-2.1662480000000001E-2</v>
      </c>
      <c r="S2508">
        <v>-3.003784</v>
      </c>
      <c r="T2508">
        <v>-9.8411680000000001E-2</v>
      </c>
      <c r="U2508">
        <v>5.2032469999999997E-2</v>
      </c>
      <c r="V2508">
        <v>-2.9288890000000001E-2</v>
      </c>
      <c r="W2508">
        <v>-7.1707649999999998E-2</v>
      </c>
      <c r="X2508">
        <v>0.99699559999999998</v>
      </c>
      <c r="Y2508">
        <v>9.6636259999999998E-3</v>
      </c>
      <c r="Z2508" s="1">
        <v>3.1456409999999898E-5</v>
      </c>
      <c r="AA2508">
        <v>0.99995330000000004</v>
      </c>
      <c r="AB2508">
        <v>40</v>
      </c>
      <c r="AC2508">
        <v>-33.779299999999999</v>
      </c>
      <c r="AD2508">
        <v>-1.1201364700372001</v>
      </c>
      <c r="AE2508">
        <v>0.58909999999997298</v>
      </c>
      <c r="AF2508">
        <v>0.33024163144124002</v>
      </c>
      <c r="AG2508">
        <v>-1.1201364700372001</v>
      </c>
      <c r="AH2508">
        <v>33.745722812022102</v>
      </c>
      <c r="AI2508">
        <v>91.901054768315305</v>
      </c>
      <c r="AJ2508">
        <v>89.439311233307905</v>
      </c>
      <c r="AK2508">
        <v>33.765923256331597</v>
      </c>
      <c r="AL2508">
        <v>94.112074782631893</v>
      </c>
      <c r="AM2508">
        <v>91.682702794215999</v>
      </c>
      <c r="AN2508">
        <v>1.0000000262826501</v>
      </c>
    </row>
    <row r="2509" spans="1:40" x14ac:dyDescent="0.25">
      <c r="A2509" t="str">
        <f>"20190303154146494"</f>
        <v>20190303154146494</v>
      </c>
      <c r="B2509" t="str">
        <f>"1551598906491857"</f>
        <v>1551598906491857</v>
      </c>
      <c r="C2509" t="s">
        <v>40</v>
      </c>
      <c r="D2509">
        <v>5.8471000000000002</v>
      </c>
      <c r="E2509">
        <v>0.51469469999999995</v>
      </c>
      <c r="F2509" t="s">
        <v>50</v>
      </c>
      <c r="G2509">
        <v>-322.17070000000001</v>
      </c>
      <c r="H2509" s="1">
        <v>-3.6489230000000001E-7</v>
      </c>
      <c r="I2509">
        <v>284.23270000000002</v>
      </c>
      <c r="J2509">
        <v>-288.57650000000001</v>
      </c>
      <c r="K2509">
        <v>1.120142</v>
      </c>
      <c r="L2509">
        <v>283.65640000000002</v>
      </c>
      <c r="M2509">
        <v>-0.99992060000000005</v>
      </c>
      <c r="N2509">
        <v>-1.001732E-2</v>
      </c>
      <c r="O2509">
        <v>7.6512680000000001E-3</v>
      </c>
      <c r="P2509">
        <v>-0.99635770000000001</v>
      </c>
      <c r="Q2509">
        <v>-8.2243819999999995E-2</v>
      </c>
      <c r="R2509">
        <v>-2.2527109999999999E-2</v>
      </c>
      <c r="S2509">
        <v>-3.0037229999999999</v>
      </c>
      <c r="T2509">
        <v>-9.9027870000000004E-2</v>
      </c>
      <c r="U2509">
        <v>5.1208499999999997E-2</v>
      </c>
      <c r="V2509">
        <v>-3.0152910000000002E-2</v>
      </c>
      <c r="W2509">
        <v>-7.2259779999999996E-2</v>
      </c>
      <c r="X2509">
        <v>0.99692990000000004</v>
      </c>
      <c r="Y2509">
        <v>9.3901869999999995E-3</v>
      </c>
      <c r="Z2509" s="1">
        <v>2.626161E-5</v>
      </c>
      <c r="AA2509">
        <v>0.99995590000000001</v>
      </c>
      <c r="AB2509">
        <v>40</v>
      </c>
      <c r="AC2509">
        <v>-33.594200000000001</v>
      </c>
      <c r="AD2509">
        <v>-1.1201423648922999</v>
      </c>
      <c r="AE2509">
        <v>0.57630000000000303</v>
      </c>
      <c r="AF2509">
        <v>0.318877599919207</v>
      </c>
      <c r="AG2509">
        <v>-1.1201423648922999</v>
      </c>
      <c r="AH2509">
        <v>33.560325565358902</v>
      </c>
      <c r="AI2509">
        <v>91.911564285500106</v>
      </c>
      <c r="AJ2509">
        <v>89.455613419776398</v>
      </c>
      <c r="AK2509">
        <v>33.5805278977898</v>
      </c>
      <c r="AL2509">
        <v>94.143792099051296</v>
      </c>
      <c r="AM2509">
        <v>91.732426678096601</v>
      </c>
      <c r="AN2509">
        <v>0.99999994965056105</v>
      </c>
    </row>
    <row r="2510" spans="1:40" x14ac:dyDescent="0.25">
      <c r="A2510" t="str">
        <f>"20190303154146518"</f>
        <v>20190303154146518</v>
      </c>
      <c r="B2510" t="str">
        <f>"1551598906512353"</f>
        <v>1551598906512353</v>
      </c>
      <c r="C2510" t="s">
        <v>40</v>
      </c>
      <c r="D2510">
        <v>5.8532789999999997</v>
      </c>
      <c r="E2510">
        <v>0.51463939999999997</v>
      </c>
      <c r="F2510" t="s">
        <v>50</v>
      </c>
      <c r="G2510">
        <v>-321.81610000000001</v>
      </c>
      <c r="H2510" s="1">
        <v>-5.5162769999999899E-7</v>
      </c>
      <c r="I2510">
        <v>284.18799999999999</v>
      </c>
      <c r="J2510">
        <v>-288.98059999999998</v>
      </c>
      <c r="K2510">
        <v>1.1201559999999999</v>
      </c>
      <c r="L2510">
        <v>283.65949999999998</v>
      </c>
      <c r="M2510">
        <v>-0.99991940000000001</v>
      </c>
      <c r="N2510">
        <v>-1.0136340000000001E-2</v>
      </c>
      <c r="O2510">
        <v>7.6510240000000002E-3</v>
      </c>
      <c r="P2510">
        <v>-0.99630390000000002</v>
      </c>
      <c r="Q2510">
        <v>-8.2783830000000003E-2</v>
      </c>
      <c r="R2510">
        <v>-2.2927639999999999E-2</v>
      </c>
      <c r="S2510">
        <v>-3.0036930000000002</v>
      </c>
      <c r="T2510">
        <v>-0.10122159999999999</v>
      </c>
      <c r="U2510">
        <v>4.8034670000000002E-2</v>
      </c>
      <c r="V2510">
        <v>-3.055271E-2</v>
      </c>
      <c r="W2510">
        <v>-7.2681640000000006E-2</v>
      </c>
      <c r="X2510">
        <v>0.99688710000000003</v>
      </c>
      <c r="Y2510">
        <v>8.334892E-3</v>
      </c>
      <c r="Z2510" s="1">
        <v>2.4522380000000002E-6</v>
      </c>
      <c r="AA2510">
        <v>0.99996529999999995</v>
      </c>
      <c r="AB2510">
        <v>40</v>
      </c>
      <c r="AC2510">
        <v>-32.835500000000003</v>
      </c>
      <c r="AD2510">
        <v>-1.1201565516276999</v>
      </c>
      <c r="AE2510">
        <v>0.52850000000000796</v>
      </c>
      <c r="AF2510">
        <v>0.27692424022928702</v>
      </c>
      <c r="AG2510">
        <v>-1.1201565516276999</v>
      </c>
      <c r="AH2510">
        <v>32.800420072007697</v>
      </c>
      <c r="AI2510">
        <v>91.955859865899399</v>
      </c>
      <c r="AJ2510">
        <v>89.5162801816236</v>
      </c>
      <c r="AK2510">
        <v>32.820709843559897</v>
      </c>
      <c r="AL2510">
        <v>94.168026455239897</v>
      </c>
      <c r="AM2510">
        <v>91.755458111402604</v>
      </c>
      <c r="AN2510">
        <v>0.99999998951392099</v>
      </c>
    </row>
    <row r="2511" spans="1:40" x14ac:dyDescent="0.25">
      <c r="A2511" t="str">
        <f>"20190303154146541"</f>
        <v>20190303154146541</v>
      </c>
      <c r="B2511" t="str">
        <f>"1551598906531873"</f>
        <v>1551598906531873</v>
      </c>
      <c r="C2511" t="s">
        <v>40</v>
      </c>
      <c r="D2511">
        <v>5.8673989999999998</v>
      </c>
      <c r="E2511">
        <v>0.51459779999999999</v>
      </c>
      <c r="F2511" t="s">
        <v>50</v>
      </c>
      <c r="G2511">
        <v>-321.59559999999999</v>
      </c>
      <c r="H2511" s="1">
        <v>-6.6784070000000003E-7</v>
      </c>
      <c r="I2511">
        <v>284.16219999999998</v>
      </c>
      <c r="J2511">
        <v>-289.40649999999999</v>
      </c>
      <c r="K2511">
        <v>1.1201730000000001</v>
      </c>
      <c r="L2511">
        <v>283.66269999999997</v>
      </c>
      <c r="M2511">
        <v>-0.99991799999999997</v>
      </c>
      <c r="N2511">
        <v>-1.0273610000000001E-2</v>
      </c>
      <c r="O2511">
        <v>7.6504989999999998E-3</v>
      </c>
      <c r="P2511">
        <v>-0.99629780000000001</v>
      </c>
      <c r="Q2511">
        <v>-8.2989069999999998E-2</v>
      </c>
      <c r="R2511">
        <v>-2.2444370000000002E-2</v>
      </c>
      <c r="S2511">
        <v>-3.0036320000000001</v>
      </c>
      <c r="T2511">
        <v>-0.10315920000000001</v>
      </c>
      <c r="U2511">
        <v>4.6295169999999997E-2</v>
      </c>
      <c r="V2511">
        <v>-3.0069120000000001E-2</v>
      </c>
      <c r="W2511">
        <v>-7.2750090000000003E-2</v>
      </c>
      <c r="X2511">
        <v>0.99689680000000003</v>
      </c>
      <c r="Y2511">
        <v>7.7570640000000001E-3</v>
      </c>
      <c r="Z2511" s="1">
        <v>-1.104952E-5</v>
      </c>
      <c r="AA2511">
        <v>0.99996989999999997</v>
      </c>
      <c r="AB2511">
        <v>40</v>
      </c>
      <c r="AC2511">
        <v>-32.189100000000003</v>
      </c>
      <c r="AD2511">
        <v>-1.1201736678406999</v>
      </c>
      <c r="AE2511">
        <v>0.49950000000001099</v>
      </c>
      <c r="AF2511">
        <v>0.25290351742801298</v>
      </c>
      <c r="AG2511">
        <v>-1.1201736678406999</v>
      </c>
      <c r="AH2511">
        <v>32.153050727371401</v>
      </c>
      <c r="AI2511">
        <v>91.995247467069802</v>
      </c>
      <c r="AJ2511">
        <v>89.5493427520029</v>
      </c>
      <c r="AK2511">
        <v>32.173551565100297</v>
      </c>
      <c r="AL2511">
        <v>94.171958806541497</v>
      </c>
      <c r="AM2511">
        <v>91.727672796784503</v>
      </c>
      <c r="AN2511">
        <v>0.999999978711411</v>
      </c>
    </row>
    <row r="2512" spans="1:40" x14ac:dyDescent="0.25">
      <c r="A2512" t="str">
        <f>"20190303154146564"</f>
        <v>20190303154146564</v>
      </c>
      <c r="B2512" t="str">
        <f>"1551598906552369"</f>
        <v>1551598906552369</v>
      </c>
      <c r="C2512" t="s">
        <v>40</v>
      </c>
      <c r="D2512">
        <v>5.8627589999999996</v>
      </c>
      <c r="E2512">
        <v>0.51457010000000003</v>
      </c>
      <c r="F2512" t="s">
        <v>50</v>
      </c>
      <c r="G2512">
        <v>-321.73669999999998</v>
      </c>
      <c r="H2512" s="1">
        <v>-5.9325769999999997E-7</v>
      </c>
      <c r="I2512">
        <v>284.17419999999998</v>
      </c>
      <c r="J2512">
        <v>-289.7996</v>
      </c>
      <c r="K2512">
        <v>1.120188</v>
      </c>
      <c r="L2512">
        <v>283.66579999999999</v>
      </c>
      <c r="M2512">
        <v>-0.99991660000000004</v>
      </c>
      <c r="N2512">
        <v>-1.040311E-2</v>
      </c>
      <c r="O2512">
        <v>7.6501249999999998E-3</v>
      </c>
      <c r="P2512">
        <v>-0.99630459999999998</v>
      </c>
      <c r="Q2512">
        <v>-8.3051669999999994E-2</v>
      </c>
      <c r="R2512">
        <v>-2.1905979999999999E-2</v>
      </c>
      <c r="S2512">
        <v>-3.0035099999999999</v>
      </c>
      <c r="T2512">
        <v>-0.1040652</v>
      </c>
      <c r="U2512">
        <v>4.7515870000000002E-2</v>
      </c>
      <c r="V2512">
        <v>-2.9530210000000001E-2</v>
      </c>
      <c r="W2512">
        <v>-7.2683449999999997E-2</v>
      </c>
      <c r="X2512">
        <v>0.99691779999999997</v>
      </c>
      <c r="Y2512">
        <v>8.1639699999999996E-3</v>
      </c>
      <c r="Z2512" s="1">
        <v>-1.5245899999999999E-6</v>
      </c>
      <c r="AA2512">
        <v>0.99996669999999999</v>
      </c>
      <c r="AB2512">
        <v>40</v>
      </c>
      <c r="AC2512">
        <v>-31.937099999999901</v>
      </c>
      <c r="AD2512">
        <v>-1.12018859325769</v>
      </c>
      <c r="AE2512">
        <v>0.50839999999999397</v>
      </c>
      <c r="AF2512">
        <v>0.26372472318424101</v>
      </c>
      <c r="AG2512">
        <v>-1.12018859325769</v>
      </c>
      <c r="AH2512">
        <v>31.900819013488</v>
      </c>
      <c r="AI2512">
        <v>92.011030749426794</v>
      </c>
      <c r="AJ2512">
        <v>89.526345409244001</v>
      </c>
      <c r="AK2512">
        <v>31.921569932341999</v>
      </c>
      <c r="AL2512">
        <v>94.168130355999395</v>
      </c>
      <c r="AM2512">
        <v>91.696691343632395</v>
      </c>
      <c r="AN2512">
        <v>1.00000000858169</v>
      </c>
    </row>
    <row r="2513" spans="1:40" x14ac:dyDescent="0.25">
      <c r="A2513" t="str">
        <f>"20190303154146584"</f>
        <v>20190303154146584</v>
      </c>
      <c r="B2513" t="str">
        <f>"1551598906571889"</f>
        <v>1551598906571889</v>
      </c>
      <c r="C2513" t="s">
        <v>40</v>
      </c>
      <c r="D2513">
        <v>5.848357</v>
      </c>
      <c r="E2513">
        <v>0.5145364</v>
      </c>
      <c r="F2513" t="s">
        <v>50</v>
      </c>
      <c r="G2513">
        <v>-322.07249999999999</v>
      </c>
      <c r="H2513" s="1">
        <v>-4.1535509999999999E-7</v>
      </c>
      <c r="I2513">
        <v>284.19240000000002</v>
      </c>
      <c r="J2513">
        <v>-290.17410000000001</v>
      </c>
      <c r="K2513">
        <v>1.120206</v>
      </c>
      <c r="L2513">
        <v>283.66860000000003</v>
      </c>
      <c r="M2513">
        <v>-0.99991529999999995</v>
      </c>
      <c r="N2513">
        <v>-1.052902E-2</v>
      </c>
      <c r="O2513">
        <v>7.6498209999999898E-3</v>
      </c>
      <c r="P2513">
        <v>-0.99631829999999999</v>
      </c>
      <c r="Q2513">
        <v>-8.3101939999999999E-2</v>
      </c>
      <c r="R2513">
        <v>-2.1068750000000001E-2</v>
      </c>
      <c r="S2513">
        <v>-3.0035400000000001</v>
      </c>
      <c r="T2513">
        <v>-0.10425230000000001</v>
      </c>
      <c r="U2513">
        <v>4.9011230000000003E-2</v>
      </c>
      <c r="V2513">
        <v>-2.869275E-2</v>
      </c>
      <c r="W2513">
        <v>-7.2608030000000004E-2</v>
      </c>
      <c r="X2513">
        <v>0.99694780000000005</v>
      </c>
      <c r="Y2513">
        <v>8.6613850000000006E-3</v>
      </c>
      <c r="Z2513" s="1">
        <v>1.098903E-5</v>
      </c>
      <c r="AA2513">
        <v>0.99996249999999998</v>
      </c>
      <c r="AB2513">
        <v>40</v>
      </c>
      <c r="AC2513">
        <v>-31.898399999999899</v>
      </c>
      <c r="AD2513">
        <v>-1.1202064153550999</v>
      </c>
      <c r="AE2513">
        <v>0.52379999999999405</v>
      </c>
      <c r="AF2513">
        <v>0.27940959828186801</v>
      </c>
      <c r="AG2513">
        <v>-1.1202064153550999</v>
      </c>
      <c r="AH2513">
        <v>31.8621896349633</v>
      </c>
      <c r="AI2513">
        <v>92.013490296453796</v>
      </c>
      <c r="AJ2513">
        <v>89.497568102796606</v>
      </c>
      <c r="AK2513">
        <v>31.883099919408401</v>
      </c>
      <c r="AL2513">
        <v>94.163797454716303</v>
      </c>
      <c r="AM2513">
        <v>91.648551498505498</v>
      </c>
      <c r="AN2513">
        <v>1.0000000579239401</v>
      </c>
    </row>
    <row r="2514" spans="1:40" x14ac:dyDescent="0.25">
      <c r="A2514" t="str">
        <f>"20190303154146597"</f>
        <v>20190303154146597</v>
      </c>
      <c r="B2514" t="str">
        <f>"1551598906592385"</f>
        <v>1551598906592385</v>
      </c>
      <c r="C2514" t="s">
        <v>40</v>
      </c>
      <c r="D2514">
        <v>5.8612849999999996</v>
      </c>
      <c r="E2514">
        <v>0.51447770000000004</v>
      </c>
      <c r="F2514" t="s">
        <v>50</v>
      </c>
      <c r="G2514">
        <v>-322.3904</v>
      </c>
      <c r="H2514" s="1">
        <v>-2.4735289999999999E-7</v>
      </c>
      <c r="I2514">
        <v>284.21789999999999</v>
      </c>
      <c r="J2514">
        <v>-290.3981</v>
      </c>
      <c r="K2514">
        <v>1.120214</v>
      </c>
      <c r="L2514">
        <v>283.67039999999997</v>
      </c>
      <c r="M2514">
        <v>-0.99991450000000004</v>
      </c>
      <c r="N2514">
        <v>-1.0605359999999999E-2</v>
      </c>
      <c r="O2514">
        <v>7.6495950000000004E-3</v>
      </c>
      <c r="P2514">
        <v>-0.99635839999999998</v>
      </c>
      <c r="Q2514">
        <v>-8.2685649999999999E-2</v>
      </c>
      <c r="R2514">
        <v>-2.0818659999999999E-2</v>
      </c>
      <c r="S2514">
        <v>-3.003479</v>
      </c>
      <c r="T2514">
        <v>-0.10443529999999999</v>
      </c>
      <c r="U2514">
        <v>5.1208499999999997E-2</v>
      </c>
      <c r="V2514">
        <v>-2.8442769999999999E-2</v>
      </c>
      <c r="W2514">
        <v>-7.2115209999999999E-2</v>
      </c>
      <c r="X2514">
        <v>0.99699070000000001</v>
      </c>
      <c r="Y2514">
        <v>9.3926600000000006E-3</v>
      </c>
      <c r="Z2514" s="1">
        <v>2.8294409999999999E-5</v>
      </c>
      <c r="AA2514">
        <v>0.99995590000000001</v>
      </c>
      <c r="AB2514">
        <v>40</v>
      </c>
      <c r="AC2514">
        <v>-31.9923</v>
      </c>
      <c r="AD2514">
        <v>-1.1202142473529</v>
      </c>
      <c r="AE2514">
        <v>0.54750000000001298</v>
      </c>
      <c r="AF2514">
        <v>0.302371460167215</v>
      </c>
      <c r="AG2514">
        <v>-1.1202142473529</v>
      </c>
      <c r="AH2514">
        <v>31.9563833045707</v>
      </c>
      <c r="AI2514">
        <v>92.007561616306504</v>
      </c>
      <c r="AJ2514">
        <v>89.457883223078099</v>
      </c>
      <c r="AK2514">
        <v>31.977441147917698</v>
      </c>
      <c r="AL2514">
        <v>94.135486867590302</v>
      </c>
      <c r="AM2514">
        <v>91.634126356303199</v>
      </c>
      <c r="AN2514">
        <v>1.0000000252825501</v>
      </c>
    </row>
    <row r="2515" spans="1:40" x14ac:dyDescent="0.25">
      <c r="A2515" t="str">
        <f>"20190303154146609"</f>
        <v>20190303154146609</v>
      </c>
      <c r="B2515" t="str">
        <f>"1551598906602145"</f>
        <v>1551598906602145</v>
      </c>
      <c r="C2515" t="s">
        <v>40</v>
      </c>
      <c r="D2515">
        <v>5.841119</v>
      </c>
      <c r="E2515">
        <v>0.51446289999999995</v>
      </c>
      <c r="F2515" t="s">
        <v>50</v>
      </c>
      <c r="G2515">
        <v>-323.00659999999999</v>
      </c>
      <c r="H2515" s="1">
        <v>8.0048369999999995E-8</v>
      </c>
      <c r="I2515">
        <v>284.23070000000001</v>
      </c>
      <c r="J2515">
        <v>-290.64350000000002</v>
      </c>
      <c r="K2515">
        <v>1.1202240000000001</v>
      </c>
      <c r="L2515">
        <v>283.67230000000001</v>
      </c>
      <c r="M2515">
        <v>-0.99991359999999996</v>
      </c>
      <c r="N2515">
        <v>-1.069144E-2</v>
      </c>
      <c r="O2515">
        <v>7.6494329999999998E-3</v>
      </c>
      <c r="P2515">
        <v>-0.99634769999999995</v>
      </c>
      <c r="Q2515">
        <v>-8.2837090000000002E-2</v>
      </c>
      <c r="R2515">
        <v>-2.0722480000000001E-2</v>
      </c>
      <c r="S2515">
        <v>-3.0034480000000001</v>
      </c>
      <c r="T2515">
        <v>-0.1031787</v>
      </c>
      <c r="U2515">
        <v>5.160522E-2</v>
      </c>
      <c r="V2515">
        <v>-2.83466E-2</v>
      </c>
      <c r="W2515">
        <v>-7.2180949999999994E-2</v>
      </c>
      <c r="X2515">
        <v>0.99698869999999895</v>
      </c>
      <c r="Y2515">
        <v>9.5249849999999997E-3</v>
      </c>
      <c r="Z2515" s="1">
        <v>3.3574349999999998E-5</v>
      </c>
      <c r="AA2515">
        <v>0.99995460000000003</v>
      </c>
      <c r="AB2515">
        <v>40</v>
      </c>
      <c r="AC2515">
        <v>-32.363099999999903</v>
      </c>
      <c r="AD2515">
        <v>-1.12022391995163</v>
      </c>
      <c r="AE2515">
        <v>0.558400000000006</v>
      </c>
      <c r="AF2515">
        <v>0.31043830964459201</v>
      </c>
      <c r="AG2515">
        <v>-1.12022391995163</v>
      </c>
      <c r="AH2515">
        <v>32.327702966558498</v>
      </c>
      <c r="AI2515">
        <v>91.984535540522998</v>
      </c>
      <c r="AJ2515">
        <v>89.449813732372803</v>
      </c>
      <c r="AK2515">
        <v>32.348595837670601</v>
      </c>
      <c r="AL2515">
        <v>94.139263257812701</v>
      </c>
      <c r="AM2515">
        <v>91.628607334086894</v>
      </c>
      <c r="AN2515">
        <v>1.0000000436010701</v>
      </c>
    </row>
    <row r="2516" spans="1:40" x14ac:dyDescent="0.25">
      <c r="A2516" t="str">
        <f>"20190303154146629"</f>
        <v>20190303154146629</v>
      </c>
      <c r="B2516" t="str">
        <f>"1551598906621669"</f>
        <v>1551598906621669</v>
      </c>
      <c r="C2516" t="s">
        <v>40</v>
      </c>
      <c r="D2516">
        <v>5.8407119999999999</v>
      </c>
      <c r="E2516">
        <v>0.51441389999999998</v>
      </c>
      <c r="F2516" t="s">
        <v>50</v>
      </c>
      <c r="G2516">
        <v>-323.10379999999998</v>
      </c>
      <c r="H2516" s="1">
        <v>1.3174890000000001E-7</v>
      </c>
      <c r="I2516">
        <v>284.23070000000001</v>
      </c>
      <c r="J2516">
        <v>-290.98680000000002</v>
      </c>
      <c r="K2516">
        <v>1.1202449999999999</v>
      </c>
      <c r="L2516">
        <v>283.67489999999998</v>
      </c>
      <c r="M2516">
        <v>-0.99991240000000003</v>
      </c>
      <c r="N2516">
        <v>-1.081376E-2</v>
      </c>
      <c r="O2516">
        <v>7.6489510000000002E-3</v>
      </c>
      <c r="P2516">
        <v>-0.99632350000000003</v>
      </c>
      <c r="Q2516">
        <v>-8.3144280000000001E-2</v>
      </c>
      <c r="R2516">
        <v>-2.0672030000000001E-2</v>
      </c>
      <c r="S2516">
        <v>-3.0034480000000001</v>
      </c>
      <c r="T2516">
        <v>-0.1036507</v>
      </c>
      <c r="U2516">
        <v>5.1666259999999999E-2</v>
      </c>
      <c r="V2516">
        <v>-2.8295359999999999E-2</v>
      </c>
      <c r="W2516">
        <v>-7.2366390000000003E-2</v>
      </c>
      <c r="X2516">
        <v>0.99697670000000005</v>
      </c>
      <c r="Y2516">
        <v>9.5456849999999999E-3</v>
      </c>
      <c r="Z2516" s="1">
        <v>3.5120139999999999E-5</v>
      </c>
      <c r="AA2516">
        <v>0.99995449999999997</v>
      </c>
      <c r="AB2516">
        <v>40</v>
      </c>
      <c r="AC2516">
        <v>-32.116999999999898</v>
      </c>
      <c r="AD2516">
        <v>-1.1202448682510999</v>
      </c>
      <c r="AE2516">
        <v>0.55580000000003305</v>
      </c>
      <c r="AF2516">
        <v>0.30973133238470701</v>
      </c>
      <c r="AG2516">
        <v>-1.1202448682510999</v>
      </c>
      <c r="AH2516">
        <v>32.0812927361685</v>
      </c>
      <c r="AI2516">
        <v>91.999802417289303</v>
      </c>
      <c r="AJ2516">
        <v>89.446850632773703</v>
      </c>
      <c r="AK2516">
        <v>32.102339878688603</v>
      </c>
      <c r="AL2516">
        <v>94.149916097562397</v>
      </c>
      <c r="AM2516">
        <v>91.625684561852694</v>
      </c>
      <c r="AN2516">
        <v>1.00000003107102</v>
      </c>
    </row>
    <row r="2517" spans="1:40" x14ac:dyDescent="0.25">
      <c r="A2517" t="str">
        <f>"20190303154146650"</f>
        <v>20190303154146650</v>
      </c>
      <c r="B2517" t="str">
        <f>"1551598906642161"</f>
        <v>1551598906642161</v>
      </c>
      <c r="C2517" t="s">
        <v>40</v>
      </c>
      <c r="D2517">
        <v>5.875407</v>
      </c>
      <c r="E2517">
        <v>0.51436190000000004</v>
      </c>
      <c r="F2517" t="s">
        <v>50</v>
      </c>
      <c r="G2517">
        <v>-323.16539999999998</v>
      </c>
      <c r="H2517" s="1">
        <v>1.6470589999999899E-7</v>
      </c>
      <c r="I2517">
        <v>284.22680000000003</v>
      </c>
      <c r="J2517">
        <v>-291.36880000000002</v>
      </c>
      <c r="K2517">
        <v>1.120271</v>
      </c>
      <c r="L2517">
        <v>283.67779999999999</v>
      </c>
      <c r="M2517">
        <v>-0.99991079999999999</v>
      </c>
      <c r="N2517">
        <v>-1.0953330000000001E-2</v>
      </c>
      <c r="O2517">
        <v>7.6487250000000003E-3</v>
      </c>
      <c r="P2517">
        <v>-0.99633119999999997</v>
      </c>
      <c r="Q2517">
        <v>-8.2987399999999906E-2</v>
      </c>
      <c r="R2517">
        <v>-2.091964E-2</v>
      </c>
      <c r="S2517">
        <v>-3.0034179999999999</v>
      </c>
      <c r="T2517">
        <v>-0.1045592</v>
      </c>
      <c r="U2517">
        <v>5.1513669999999998E-2</v>
      </c>
      <c r="V2517">
        <v>-2.8542700000000001E-2</v>
      </c>
      <c r="W2517">
        <v>-7.2070309999999999E-2</v>
      </c>
      <c r="X2517">
        <v>0.99699099999999996</v>
      </c>
      <c r="Y2517">
        <v>9.4952170000000002E-3</v>
      </c>
      <c r="Z2517" s="1">
        <v>3.4834749999999997E-5</v>
      </c>
      <c r="AA2517">
        <v>0.99995489999999998</v>
      </c>
      <c r="AB2517">
        <v>40</v>
      </c>
      <c r="AC2517">
        <v>-31.796599999999899</v>
      </c>
      <c r="AD2517">
        <v>-1.1202708352941</v>
      </c>
      <c r="AE2517">
        <v>0.54900000000003402</v>
      </c>
      <c r="AF2517">
        <v>0.30538693864808902</v>
      </c>
      <c r="AG2517">
        <v>-1.1202708352941</v>
      </c>
      <c r="AH2517">
        <v>31.760455953628298</v>
      </c>
      <c r="AI2517">
        <v>92.020034854516496</v>
      </c>
      <c r="AJ2517">
        <v>89.449099738306799</v>
      </c>
      <c r="AK2517">
        <v>31.781674441556302</v>
      </c>
      <c r="AL2517">
        <v>94.132907950706596</v>
      </c>
      <c r="AM2517">
        <v>91.639864025715497</v>
      </c>
      <c r="AN2517">
        <v>0.99999993469389004</v>
      </c>
    </row>
    <row r="2518" spans="1:40" x14ac:dyDescent="0.25">
      <c r="A2518" t="str">
        <f>"20190303154146664"</f>
        <v>20190303154146664</v>
      </c>
      <c r="B2518" t="str">
        <f>"1551598906661681"</f>
        <v>1551598906661681</v>
      </c>
      <c r="C2518" t="s">
        <v>40</v>
      </c>
      <c r="D2518">
        <v>5.8543430000000001</v>
      </c>
      <c r="E2518">
        <v>0.51429919999999996</v>
      </c>
      <c r="F2518" t="s">
        <v>50</v>
      </c>
      <c r="G2518">
        <v>-323.60759999999999</v>
      </c>
      <c r="H2518" s="1">
        <v>4.0034419999999999E-7</v>
      </c>
      <c r="I2518">
        <v>284.22000000000003</v>
      </c>
      <c r="J2518">
        <v>-291.6069</v>
      </c>
      <c r="K2518">
        <v>1.1202829999999999</v>
      </c>
      <c r="L2518">
        <v>283.67970000000003</v>
      </c>
      <c r="M2518">
        <v>-0.99990979999999996</v>
      </c>
      <c r="N2518">
        <v>-1.1044740000000001E-2</v>
      </c>
      <c r="O2518">
        <v>7.6485169999999996E-3</v>
      </c>
      <c r="P2518">
        <v>-0.99631860000000005</v>
      </c>
      <c r="Q2518">
        <v>-8.3095760000000005E-2</v>
      </c>
      <c r="R2518">
        <v>-2.1082179999999999E-2</v>
      </c>
      <c r="S2518">
        <v>-3.0034179999999999</v>
      </c>
      <c r="T2518">
        <v>-0.104365899999999</v>
      </c>
      <c r="U2518">
        <v>5.0506589999999997E-2</v>
      </c>
      <c r="V2518">
        <v>-2.8705250000000002E-2</v>
      </c>
      <c r="W2518">
        <v>-7.2087689999999996E-2</v>
      </c>
      <c r="X2518">
        <v>0.99698509999999996</v>
      </c>
      <c r="Y2518">
        <v>9.1604619999999994E-3</v>
      </c>
      <c r="Z2518" s="1">
        <v>2.8495590000000001E-5</v>
      </c>
      <c r="AA2518">
        <v>0.99995800000000001</v>
      </c>
      <c r="AB2518">
        <v>40</v>
      </c>
      <c r="AC2518">
        <v>-32.000699999999902</v>
      </c>
      <c r="AD2518">
        <v>-1.1202825996557999</v>
      </c>
      <c r="AE2518">
        <v>0.540300000000002</v>
      </c>
      <c r="AF2518">
        <v>0.29514975575264801</v>
      </c>
      <c r="AG2518">
        <v>-1.1202825996557999</v>
      </c>
      <c r="AH2518">
        <v>31.964732918148901</v>
      </c>
      <c r="AI2518">
        <v>92.007164288491097</v>
      </c>
      <c r="AJ2518">
        <v>89.470968370240897</v>
      </c>
      <c r="AK2518">
        <v>31.985720204647599</v>
      </c>
      <c r="AL2518">
        <v>94.133906251711394</v>
      </c>
      <c r="AM2518">
        <v>91.649207623895805</v>
      </c>
      <c r="AN2518">
        <v>0.99999995802455299</v>
      </c>
    </row>
    <row r="2519" spans="1:40" x14ac:dyDescent="0.25">
      <c r="A2519" t="str">
        <f>"20190303154146677"</f>
        <v>20190303154146677</v>
      </c>
      <c r="B2519" t="str">
        <f>"1551598906672417"</f>
        <v>1551598906672417</v>
      </c>
      <c r="C2519" t="s">
        <v>40</v>
      </c>
      <c r="D2519">
        <v>5.8750780000000002</v>
      </c>
      <c r="E2519">
        <v>0.51427579999999995</v>
      </c>
      <c r="F2519" t="s">
        <v>50</v>
      </c>
      <c r="G2519">
        <v>-323.70569999999998</v>
      </c>
      <c r="H2519" s="1">
        <v>4.5301060000000001E-7</v>
      </c>
      <c r="I2519">
        <v>284.209</v>
      </c>
      <c r="J2519">
        <v>-291.82819999999998</v>
      </c>
      <c r="K2519">
        <v>1.1202970000000001</v>
      </c>
      <c r="L2519">
        <v>283.6814</v>
      </c>
      <c r="M2519">
        <v>-0.99990889999999999</v>
      </c>
      <c r="N2519">
        <v>-1.113222E-2</v>
      </c>
      <c r="O2519">
        <v>7.64838699999999E-3</v>
      </c>
      <c r="P2519">
        <v>-0.99630589999999997</v>
      </c>
      <c r="Q2519">
        <v>-8.3254010000000003E-2</v>
      </c>
      <c r="R2519">
        <v>-2.106063E-2</v>
      </c>
      <c r="S2519">
        <v>-3.003387</v>
      </c>
      <c r="T2519">
        <v>-0.10482130000000001</v>
      </c>
      <c r="U2519">
        <v>4.9530030000000003E-2</v>
      </c>
      <c r="V2519">
        <v>-2.8683239999999999E-2</v>
      </c>
      <c r="W2519">
        <v>-7.2158819999999999E-2</v>
      </c>
      <c r="X2519">
        <v>0.99698059999999999</v>
      </c>
      <c r="Y2519">
        <v>8.8359089999999994E-3</v>
      </c>
      <c r="Z2519" s="1">
        <v>2.1633599999999999E-5</v>
      </c>
      <c r="AA2519">
        <v>0.99996099999999999</v>
      </c>
      <c r="AB2519">
        <v>40</v>
      </c>
      <c r="AC2519">
        <v>-31.877500000000001</v>
      </c>
      <c r="AD2519">
        <v>-1.1202965469894</v>
      </c>
      <c r="AE2519">
        <v>0.52760000000000595</v>
      </c>
      <c r="AF2519">
        <v>0.28340809141707202</v>
      </c>
      <c r="AG2519">
        <v>-1.1202965469894</v>
      </c>
      <c r="AH2519">
        <v>31.841287043428402</v>
      </c>
      <c r="AI2519">
        <v>92.014970628920395</v>
      </c>
      <c r="AJ2519">
        <v>89.490043894450295</v>
      </c>
      <c r="AK2519">
        <v>31.8622495295212</v>
      </c>
      <c r="AL2519">
        <v>94.137992291636706</v>
      </c>
      <c r="AM2519">
        <v>91.647951211268904</v>
      </c>
      <c r="AN2519">
        <v>0.99999997016852404</v>
      </c>
    </row>
    <row r="2520" spans="1:40" x14ac:dyDescent="0.25">
      <c r="A2520" t="str">
        <f>"20190303154146694"</f>
        <v>20190303154146694</v>
      </c>
      <c r="B2520" t="str">
        <f>"1551598906691938"</f>
        <v>1551598906691938</v>
      </c>
      <c r="C2520" t="s">
        <v>40</v>
      </c>
      <c r="D2520">
        <v>5.835553</v>
      </c>
      <c r="E2520">
        <v>0.51422120000000004</v>
      </c>
      <c r="F2520" t="s">
        <v>50</v>
      </c>
      <c r="G2520">
        <v>-323.75</v>
      </c>
      <c r="H2520" s="1">
        <v>4.7666360000000002E-7</v>
      </c>
      <c r="I2520">
        <v>284.20679999999999</v>
      </c>
      <c r="J2520">
        <v>-292.16329999999999</v>
      </c>
      <c r="K2520">
        <v>1.1203160000000001</v>
      </c>
      <c r="L2520">
        <v>283.68400000000003</v>
      </c>
      <c r="M2520">
        <v>-0.99990730000000005</v>
      </c>
      <c r="N2520">
        <v>-1.127601E-2</v>
      </c>
      <c r="O2520">
        <v>7.6482329999999999E-3</v>
      </c>
      <c r="P2520">
        <v>-0.99631429999999999</v>
      </c>
      <c r="Q2520">
        <v>-8.3099930000000002E-2</v>
      </c>
      <c r="R2520">
        <v>-2.126898E-2</v>
      </c>
      <c r="S2520">
        <v>-3.0033259999999999</v>
      </c>
      <c r="T2520">
        <v>-0.1054018</v>
      </c>
      <c r="U2520">
        <v>4.943848E-2</v>
      </c>
      <c r="V2520">
        <v>-2.88916E-2</v>
      </c>
      <c r="W2520">
        <v>-7.1861320000000006E-2</v>
      </c>
      <c r="X2520">
        <v>0.99699610000000005</v>
      </c>
      <c r="Y2520">
        <v>8.805851E-3</v>
      </c>
      <c r="Z2520" s="1">
        <v>2.2049829999999999E-5</v>
      </c>
      <c r="AA2520">
        <v>0.99996130000000005</v>
      </c>
      <c r="AB2520">
        <v>40</v>
      </c>
      <c r="AC2520">
        <v>-31.5867</v>
      </c>
      <c r="AD2520">
        <v>-1.1203155233363999</v>
      </c>
      <c r="AE2520">
        <v>0.52279999999996096</v>
      </c>
      <c r="AF2520">
        <v>0.28083375120890097</v>
      </c>
      <c r="AG2520">
        <v>-1.1203155233363999</v>
      </c>
      <c r="AH2520">
        <v>31.550096399955599</v>
      </c>
      <c r="AI2520">
        <v>92.033586602528601</v>
      </c>
      <c r="AJ2520">
        <v>89.490012215954096</v>
      </c>
      <c r="AK2520">
        <v>31.5712298986615</v>
      </c>
      <c r="AL2520">
        <v>94.120902312225596</v>
      </c>
      <c r="AM2520">
        <v>91.659889748112406</v>
      </c>
      <c r="AN2520">
        <v>0.99999999863895594</v>
      </c>
    </row>
    <row r="2521" spans="1:40" x14ac:dyDescent="0.25">
      <c r="A2521" t="str">
        <f>"20190303154146720"</f>
        <v>20190303154146720</v>
      </c>
      <c r="B2521" t="str">
        <f>"1551598906712434"</f>
        <v>1551598906712434</v>
      </c>
      <c r="C2521" t="s">
        <v>40</v>
      </c>
      <c r="D2521">
        <v>5.84389</v>
      </c>
      <c r="E2521">
        <v>0.5141675</v>
      </c>
      <c r="F2521" t="s">
        <v>50</v>
      </c>
      <c r="G2521">
        <v>-324.26760000000002</v>
      </c>
      <c r="H2521" s="1">
        <v>7.5239549999999997E-7</v>
      </c>
      <c r="I2521">
        <v>284.20069999999998</v>
      </c>
      <c r="J2521">
        <v>-292.5881</v>
      </c>
      <c r="K2521">
        <v>1.1203449999999999</v>
      </c>
      <c r="L2521">
        <v>283.68720000000002</v>
      </c>
      <c r="M2521">
        <v>-0.99990500000000004</v>
      </c>
      <c r="N2521">
        <v>-1.1469770000000001E-2</v>
      </c>
      <c r="O2521">
        <v>7.6479599999999997E-3</v>
      </c>
      <c r="P2521">
        <v>-0.99629880000000004</v>
      </c>
      <c r="Q2521">
        <v>-8.3323519999999998E-2</v>
      </c>
      <c r="R2521">
        <v>-2.1122249999999999E-2</v>
      </c>
      <c r="S2521">
        <v>-3.003387</v>
      </c>
      <c r="T2521">
        <v>-0.1048065</v>
      </c>
      <c r="U2521">
        <v>4.8339840000000002E-2</v>
      </c>
      <c r="V2521">
        <v>-2.8744160000000001E-2</v>
      </c>
      <c r="W2521">
        <v>-7.1891860000000002E-2</v>
      </c>
      <c r="X2521">
        <v>0.99699819999999995</v>
      </c>
      <c r="Y2521">
        <v>8.4403519999999999E-3</v>
      </c>
      <c r="Z2521" s="1">
        <v>1.6564220000000001E-5</v>
      </c>
      <c r="AA2521">
        <v>0.99996439999999998</v>
      </c>
      <c r="AB2521">
        <v>40</v>
      </c>
      <c r="AC2521">
        <v>-31.679500000000001</v>
      </c>
      <c r="AD2521">
        <v>-1.1203442476045</v>
      </c>
      <c r="AE2521">
        <v>0.51349999999996498</v>
      </c>
      <c r="AF2521">
        <v>0.27084684580861801</v>
      </c>
      <c r="AG2521">
        <v>-1.1203442476045</v>
      </c>
      <c r="AH2521">
        <v>31.642936058462599</v>
      </c>
      <c r="AI2521">
        <v>92.027683080657496</v>
      </c>
      <c r="AJ2521">
        <v>89.509590318523706</v>
      </c>
      <c r="AK2521">
        <v>31.6639216087802</v>
      </c>
      <c r="AL2521">
        <v>94.122656498139094</v>
      </c>
      <c r="AM2521">
        <v>91.651420202668206</v>
      </c>
      <c r="AN2521">
        <v>1.0000000385358001</v>
      </c>
    </row>
    <row r="2522" spans="1:40" x14ac:dyDescent="0.25">
      <c r="A2522" t="str">
        <f>"20190303154146733"</f>
        <v>20190303154146733</v>
      </c>
      <c r="B2522" t="str">
        <f>"1551598906722193"</f>
        <v>1551598906722193</v>
      </c>
      <c r="C2522" t="s">
        <v>40</v>
      </c>
      <c r="D2522">
        <v>5.8273060000000001</v>
      </c>
      <c r="E2522">
        <v>0.51414329999999997</v>
      </c>
      <c r="F2522" t="s">
        <v>50</v>
      </c>
      <c r="G2522">
        <v>-324.4513</v>
      </c>
      <c r="H2522" s="1">
        <v>8.5023990000000003E-7</v>
      </c>
      <c r="I2522">
        <v>284.19839999999999</v>
      </c>
      <c r="J2522">
        <v>-292.85770000000002</v>
      </c>
      <c r="K2522">
        <v>1.120363</v>
      </c>
      <c r="L2522">
        <v>283.6893</v>
      </c>
      <c r="M2522">
        <v>-0.9999034</v>
      </c>
      <c r="N2522">
        <v>-1.1604140000000001E-2</v>
      </c>
      <c r="O2522">
        <v>7.6480169999999896E-3</v>
      </c>
      <c r="P2522">
        <v>-0.99631380000000003</v>
      </c>
      <c r="Q2522">
        <v>-8.3082630000000005E-2</v>
      </c>
      <c r="R2522">
        <v>-2.1350480000000002E-2</v>
      </c>
      <c r="S2522">
        <v>-3.0033259999999999</v>
      </c>
      <c r="T2522">
        <v>-0.10560020000000001</v>
      </c>
      <c r="U2522">
        <v>4.8187260000000003E-2</v>
      </c>
      <c r="V2522">
        <v>-2.8973140000000001E-2</v>
      </c>
      <c r="W2522">
        <v>-7.1516850000000007E-2</v>
      </c>
      <c r="X2522">
        <v>0.99701850000000003</v>
      </c>
      <c r="Y2522">
        <v>8.3897739999999991E-3</v>
      </c>
      <c r="Z2522" s="1">
        <v>1.6067949999999999E-5</v>
      </c>
      <c r="AA2522">
        <v>0.99996479999999999</v>
      </c>
      <c r="AB2522">
        <v>40</v>
      </c>
      <c r="AC2522">
        <v>-31.593599999999899</v>
      </c>
      <c r="AD2522">
        <v>-1.1203621497601</v>
      </c>
      <c r="AE2522">
        <v>0.50909999999998901</v>
      </c>
      <c r="AF2522">
        <v>0.26710463845918803</v>
      </c>
      <c r="AG2522">
        <v>-1.1203621497601</v>
      </c>
      <c r="AH2522">
        <v>31.556896273826101</v>
      </c>
      <c r="AI2522">
        <v>92.033241027443495</v>
      </c>
      <c r="AJ2522">
        <v>89.515047269526207</v>
      </c>
      <c r="AK2522">
        <v>31.5779077627306</v>
      </c>
      <c r="AL2522">
        <v>94.101114732808597</v>
      </c>
      <c r="AM2522">
        <v>91.664534402401401</v>
      </c>
      <c r="AN2522">
        <v>0.99999999600881595</v>
      </c>
    </row>
    <row r="2523" spans="1:40" x14ac:dyDescent="0.25">
      <c r="A2523" t="str">
        <f>"20190303154146754"</f>
        <v>20190303154146754</v>
      </c>
      <c r="B2523" t="str">
        <f>"1551598906741713"</f>
        <v>1551598906741713</v>
      </c>
      <c r="C2523" t="s">
        <v>40</v>
      </c>
      <c r="D2523">
        <v>5.8248530000000001</v>
      </c>
      <c r="E2523">
        <v>0.51409119999999997</v>
      </c>
      <c r="F2523" t="s">
        <v>50</v>
      </c>
      <c r="G2523">
        <v>-324.93619999999999</v>
      </c>
      <c r="H2523" s="1">
        <v>1.1083E-6</v>
      </c>
      <c r="I2523">
        <v>284.19740000000002</v>
      </c>
      <c r="J2523">
        <v>-293.20260000000002</v>
      </c>
      <c r="K2523">
        <v>1.1203920000000001</v>
      </c>
      <c r="L2523">
        <v>283.69189999999998</v>
      </c>
      <c r="M2523">
        <v>-0.99990140000000005</v>
      </c>
      <c r="N2523">
        <v>-1.1784920000000001E-2</v>
      </c>
      <c r="O2523">
        <v>7.647671E-3</v>
      </c>
      <c r="P2523">
        <v>-0.99630030000000003</v>
      </c>
      <c r="Q2523">
        <v>-8.3290169999999997E-2</v>
      </c>
      <c r="R2523">
        <v>-2.1183919999999998E-2</v>
      </c>
      <c r="S2523">
        <v>-3.0033569999999998</v>
      </c>
      <c r="T2523">
        <v>-0.1048943</v>
      </c>
      <c r="U2523">
        <v>4.7576899999999998E-2</v>
      </c>
      <c r="V2523">
        <v>-2.880574E-2</v>
      </c>
      <c r="W2523">
        <v>-7.1544280000000002E-2</v>
      </c>
      <c r="X2523">
        <v>0.99702139999999995</v>
      </c>
      <c r="Y2523">
        <v>8.1869209999999998E-3</v>
      </c>
      <c r="Z2523" s="1">
        <v>1.429239E-5</v>
      </c>
      <c r="AA2523">
        <v>0.99996649999999998</v>
      </c>
      <c r="AB2523">
        <v>40</v>
      </c>
      <c r="AC2523">
        <v>-31.7335999999999</v>
      </c>
      <c r="AD2523">
        <v>-1.1203908917000001</v>
      </c>
      <c r="AE2523">
        <v>0.50550000000004003</v>
      </c>
      <c r="AF2523">
        <v>0.262453179096099</v>
      </c>
      <c r="AG2523">
        <v>-1.1203908917000001</v>
      </c>
      <c r="AH2523">
        <v>31.697036947539601</v>
      </c>
      <c r="AI2523">
        <v>92.024314052100493</v>
      </c>
      <c r="AJ2523">
        <v>89.525598690234602</v>
      </c>
      <c r="AK2523">
        <v>31.717917785931601</v>
      </c>
      <c r="AL2523">
        <v>94.102690320943793</v>
      </c>
      <c r="AM2523">
        <v>91.654917666141699</v>
      </c>
      <c r="AN2523">
        <v>1.00000001335781</v>
      </c>
    </row>
    <row r="2524" spans="1:40" x14ac:dyDescent="0.25">
      <c r="A2524" t="str">
        <f>"20190303154146774"</f>
        <v>20190303154146774</v>
      </c>
      <c r="B2524" t="str">
        <f>"1551598906771970"</f>
        <v>1551598906771970</v>
      </c>
      <c r="C2524" t="s">
        <v>40</v>
      </c>
      <c r="D2524">
        <v>5.7611919999999897</v>
      </c>
      <c r="E2524">
        <v>0.51402700000000001</v>
      </c>
      <c r="F2524" t="s">
        <v>50</v>
      </c>
      <c r="G2524">
        <v>-325.1225</v>
      </c>
      <c r="H2524" s="1">
        <v>1.2074760000000001E-6</v>
      </c>
      <c r="I2524">
        <v>284.19659999999999</v>
      </c>
      <c r="J2524">
        <v>-293.58390000000003</v>
      </c>
      <c r="K2524">
        <v>1.12042</v>
      </c>
      <c r="L2524">
        <v>283.69479999999999</v>
      </c>
      <c r="M2524">
        <v>-0.99989870000000003</v>
      </c>
      <c r="N2524">
        <v>-1.2005119999999999E-2</v>
      </c>
      <c r="O2524">
        <v>7.6474899999999998E-3</v>
      </c>
      <c r="P2524">
        <v>-0.99627259999999995</v>
      </c>
      <c r="Q2524">
        <v>-8.3591269999999995E-2</v>
      </c>
      <c r="R2524">
        <v>-2.1299499999999999E-2</v>
      </c>
      <c r="S2524">
        <v>-3.0033259999999999</v>
      </c>
      <c r="T2524">
        <v>-0.105417</v>
      </c>
      <c r="U2524">
        <v>4.7485350000000003E-2</v>
      </c>
      <c r="V2524">
        <v>-2.8921100000000002E-2</v>
      </c>
      <c r="W2524">
        <v>-7.1626090000000003E-2</v>
      </c>
      <c r="X2524">
        <v>0.99701220000000002</v>
      </c>
      <c r="Y2524">
        <v>8.1566940000000008E-3</v>
      </c>
      <c r="Z2524" s="1">
        <v>1.5551340000000001E-5</v>
      </c>
      <c r="AA2524">
        <v>0.99996669999999999</v>
      </c>
      <c r="AB2524">
        <v>40</v>
      </c>
      <c r="AC2524">
        <v>-31.538599999999899</v>
      </c>
      <c r="AD2524">
        <v>-1.1204187925239999</v>
      </c>
      <c r="AE2524">
        <v>0.50180000000000202</v>
      </c>
      <c r="AF2524">
        <v>0.26024845254599599</v>
      </c>
      <c r="AG2524">
        <v>-1.1204187925239999</v>
      </c>
      <c r="AH2524">
        <v>31.5017686981198</v>
      </c>
      <c r="AI2524">
        <v>92.036902512045401</v>
      </c>
      <c r="AJ2524">
        <v>89.526667887091094</v>
      </c>
      <c r="AK2524">
        <v>31.522761595988602</v>
      </c>
      <c r="AL2524">
        <v>94.107389689424195</v>
      </c>
      <c r="AM2524">
        <v>91.661556825629404</v>
      </c>
      <c r="AN2524">
        <v>1.00000002687136</v>
      </c>
    </row>
    <row r="2525" spans="1:40" x14ac:dyDescent="0.25">
      <c r="A2525" t="str">
        <f>"20190303154146796"</f>
        <v>20190303154146796</v>
      </c>
      <c r="B2525" t="str">
        <f>"1551598906792466"</f>
        <v>1551598906792466</v>
      </c>
      <c r="C2525" t="s">
        <v>40</v>
      </c>
      <c r="D2525">
        <v>5.7844600000000002</v>
      </c>
      <c r="E2525">
        <v>0.51396450000000005</v>
      </c>
      <c r="F2525" t="s">
        <v>50</v>
      </c>
      <c r="G2525">
        <v>-325.24220000000003</v>
      </c>
      <c r="H2525" s="1">
        <v>1.2716429999999999E-6</v>
      </c>
      <c r="I2525">
        <v>284.18630000000002</v>
      </c>
      <c r="J2525">
        <v>-293.96170000000001</v>
      </c>
      <c r="K2525">
        <v>1.120449</v>
      </c>
      <c r="L2525">
        <v>283.6977</v>
      </c>
      <c r="M2525">
        <v>-0.99989570000000005</v>
      </c>
      <c r="N2525">
        <v>-1.225093E-2</v>
      </c>
      <c r="O2525">
        <v>7.6473640000000002E-3</v>
      </c>
      <c r="P2525">
        <v>-0.99619669999999905</v>
      </c>
      <c r="Q2525">
        <v>-8.4450449999999996E-2</v>
      </c>
      <c r="R2525">
        <v>-2.1456179999999998E-2</v>
      </c>
      <c r="S2525">
        <v>-3.0032649999999999</v>
      </c>
      <c r="T2525">
        <v>-0.1062887</v>
      </c>
      <c r="U2525">
        <v>4.6630860000000003E-2</v>
      </c>
      <c r="V2525">
        <v>-2.9077160000000001E-2</v>
      </c>
      <c r="W2525">
        <v>-7.2241050000000001E-2</v>
      </c>
      <c r="X2525">
        <v>0.9969633</v>
      </c>
      <c r="Y2525">
        <v>7.8727910000000005E-3</v>
      </c>
      <c r="Z2525" s="1">
        <v>1.0637669999999999E-5</v>
      </c>
      <c r="AA2525">
        <v>0.999969</v>
      </c>
      <c r="AB2525">
        <v>40</v>
      </c>
      <c r="AC2525">
        <v>-31.2805</v>
      </c>
      <c r="AD2525">
        <v>-1.120447728357</v>
      </c>
      <c r="AE2525">
        <v>0.48860000000001902</v>
      </c>
      <c r="AF2525">
        <v>0.24903494438958801</v>
      </c>
      <c r="AG2525">
        <v>-1.120447728357</v>
      </c>
      <c r="AH2525">
        <v>31.243245802946799</v>
      </c>
      <c r="AI2525">
        <v>92.053800363924793</v>
      </c>
      <c r="AJ2525">
        <v>89.543314123527495</v>
      </c>
      <c r="AK2525">
        <v>31.264321995189</v>
      </c>
      <c r="AL2525">
        <v>94.142715778521804</v>
      </c>
      <c r="AM2525">
        <v>91.6705995105645</v>
      </c>
      <c r="AN2525">
        <v>1.0000000360428201</v>
      </c>
    </row>
    <row r="2526" spans="1:40" x14ac:dyDescent="0.25">
      <c r="A2526" t="str">
        <f>"20190303154146820"</f>
        <v>20190303154146820</v>
      </c>
      <c r="B2526" t="str">
        <f>"1551598906811985"</f>
        <v>1551598906811985</v>
      </c>
      <c r="C2526" t="s">
        <v>40</v>
      </c>
      <c r="D2526">
        <v>5.7623730000000002</v>
      </c>
      <c r="E2526">
        <v>0.51389589999999996</v>
      </c>
      <c r="F2526" t="s">
        <v>50</v>
      </c>
      <c r="G2526">
        <v>-324.89179999999999</v>
      </c>
      <c r="H2526" s="1">
        <v>1.0860029999999999E-6</v>
      </c>
      <c r="I2526">
        <v>284.16789999999997</v>
      </c>
      <c r="J2526">
        <v>-294.37909999999999</v>
      </c>
      <c r="K2526">
        <v>1.1204879999999999</v>
      </c>
      <c r="L2526">
        <v>283.70080000000002</v>
      </c>
      <c r="M2526">
        <v>-0.99989209999999995</v>
      </c>
      <c r="N2526">
        <v>-1.2545519999999999E-2</v>
      </c>
      <c r="O2526">
        <v>7.64702099999999E-3</v>
      </c>
      <c r="P2526">
        <v>-0.99615989999999999</v>
      </c>
      <c r="Q2526">
        <v>-8.4946179999999996E-2</v>
      </c>
      <c r="R2526">
        <v>-2.120698E-2</v>
      </c>
      <c r="S2526">
        <v>-3.0032040000000002</v>
      </c>
      <c r="T2526">
        <v>-0.1087916</v>
      </c>
      <c r="U2526">
        <v>4.5654300000000002E-2</v>
      </c>
      <c r="V2526">
        <v>-2.8827160000000001E-2</v>
      </c>
      <c r="W2526">
        <v>-7.2443480000000005E-2</v>
      </c>
      <c r="X2526">
        <v>0.99695579999999995</v>
      </c>
      <c r="Y2526">
        <v>7.5483989999999999E-3</v>
      </c>
      <c r="Z2526" s="1">
        <v>3.056957E-6</v>
      </c>
      <c r="AA2526">
        <v>0.99997150000000001</v>
      </c>
      <c r="AB2526">
        <v>40</v>
      </c>
      <c r="AC2526">
        <v>-30.512699999999899</v>
      </c>
      <c r="AD2526">
        <v>-1.120486913997</v>
      </c>
      <c r="AE2526">
        <v>0.46709999999995899</v>
      </c>
      <c r="AF2526">
        <v>0.23342203085743801</v>
      </c>
      <c r="AG2526">
        <v>-1.120486913997</v>
      </c>
      <c r="AH2526">
        <v>30.474294820525799</v>
      </c>
      <c r="AI2526">
        <v>92.105656059857097</v>
      </c>
      <c r="AJ2526">
        <v>89.5611437196971</v>
      </c>
      <c r="AK2526">
        <v>30.495780389707299</v>
      </c>
      <c r="AL2526">
        <v>94.154344927368001</v>
      </c>
      <c r="AM2526">
        <v>91.656256495132595</v>
      </c>
      <c r="AN2526">
        <v>0.99999996505090705</v>
      </c>
    </row>
    <row r="2527" spans="1:40" x14ac:dyDescent="0.25">
      <c r="A2527" t="str">
        <f>"20190303154146841"</f>
        <v>20190303154146841</v>
      </c>
      <c r="B2527" t="str">
        <f>"1551598906832481"</f>
        <v>1551598906832481</v>
      </c>
      <c r="C2527" t="s">
        <v>40</v>
      </c>
      <c r="D2527">
        <v>5.762346</v>
      </c>
      <c r="E2527">
        <v>0.51383529999999999</v>
      </c>
      <c r="F2527" t="s">
        <v>50</v>
      </c>
      <c r="G2527">
        <v>-324.90469999999999</v>
      </c>
      <c r="H2527" s="1">
        <v>1.092956E-6</v>
      </c>
      <c r="I2527">
        <v>284.16489999999999</v>
      </c>
      <c r="J2527">
        <v>-294.76179999999999</v>
      </c>
      <c r="K2527">
        <v>1.1205309999999999</v>
      </c>
      <c r="L2527">
        <v>283.7038</v>
      </c>
      <c r="M2527">
        <v>-0.99988880000000002</v>
      </c>
      <c r="N2527">
        <v>-1.281378E-2</v>
      </c>
      <c r="O2527">
        <v>7.6466829999999996E-3</v>
      </c>
      <c r="P2527">
        <v>-0.99617630000000001</v>
      </c>
      <c r="Q2527">
        <v>-8.4768250000000003E-2</v>
      </c>
      <c r="R2527">
        <v>-2.1151509999999998E-2</v>
      </c>
      <c r="S2527">
        <v>-3.003174</v>
      </c>
      <c r="T2527">
        <v>-0.11023620000000001</v>
      </c>
      <c r="U2527">
        <v>4.5654300000000002E-2</v>
      </c>
      <c r="V2527">
        <v>-2.8771519999999998E-2</v>
      </c>
      <c r="W2527">
        <v>-7.199788E-2</v>
      </c>
      <c r="X2527">
        <v>0.99698969999999998</v>
      </c>
      <c r="Y2527">
        <v>7.5487130000000003E-3</v>
      </c>
      <c r="Z2527" s="1">
        <v>4.2749229999999999E-6</v>
      </c>
      <c r="AA2527">
        <v>0.99997150000000001</v>
      </c>
      <c r="AB2527">
        <v>40</v>
      </c>
      <c r="AC2527">
        <v>-30.142900000000001</v>
      </c>
      <c r="AD2527">
        <v>-1.120529907044</v>
      </c>
      <c r="AE2527">
        <v>0.46109999999998702</v>
      </c>
      <c r="AF2527">
        <v>0.23025630594568799</v>
      </c>
      <c r="AG2527">
        <v>-1.120529907044</v>
      </c>
      <c r="AH2527">
        <v>30.103953820246801</v>
      </c>
      <c r="AI2527">
        <v>92.131618132181899</v>
      </c>
      <c r="AJ2527">
        <v>89.561769947067006</v>
      </c>
      <c r="AK2527">
        <v>30.1256807533135</v>
      </c>
      <c r="AL2527">
        <v>94.128747027057301</v>
      </c>
      <c r="AM2527">
        <v>91.653005312958896</v>
      </c>
      <c r="AN2527">
        <v>0.99999997849684696</v>
      </c>
    </row>
    <row r="2528" spans="1:40" x14ac:dyDescent="0.25">
      <c r="A2528" t="str">
        <f>"20190303154146854"</f>
        <v>20190303154146854</v>
      </c>
      <c r="B2528" t="str">
        <f>"1551598906852001"</f>
        <v>1551598906852001</v>
      </c>
      <c r="C2528" t="s">
        <v>40</v>
      </c>
      <c r="D2528">
        <v>5.7724739999999999</v>
      </c>
      <c r="E2528">
        <v>0.51379259999999904</v>
      </c>
      <c r="F2528" t="s">
        <v>50</v>
      </c>
      <c r="G2528">
        <v>-325.43439999999998</v>
      </c>
      <c r="H2528" s="1">
        <v>1.374664E-6</v>
      </c>
      <c r="I2528">
        <v>284.16890000000001</v>
      </c>
      <c r="J2528">
        <v>-295.00830000000002</v>
      </c>
      <c r="K2528">
        <v>1.1205529999999999</v>
      </c>
      <c r="L2528">
        <v>283.70569999999998</v>
      </c>
      <c r="M2528">
        <v>-0.99988659999999996</v>
      </c>
      <c r="N2528">
        <v>-1.298091E-2</v>
      </c>
      <c r="O2528">
        <v>7.646613E-3</v>
      </c>
      <c r="P2528">
        <v>-0.99617690000000003</v>
      </c>
      <c r="Q2528">
        <v>-8.4823280000000001E-2</v>
      </c>
      <c r="R2528">
        <v>-2.0903270000000002E-2</v>
      </c>
      <c r="S2528">
        <v>-3.0031430000000001</v>
      </c>
      <c r="T2528">
        <v>-0.1097108</v>
      </c>
      <c r="U2528">
        <v>4.553223E-2</v>
      </c>
      <c r="V2528">
        <v>-2.852358E-2</v>
      </c>
      <c r="W2528">
        <v>-7.1886229999999995E-2</v>
      </c>
      <c r="X2528">
        <v>0.99700489999999997</v>
      </c>
      <c r="Y2528">
        <v>7.5082909999999899E-3</v>
      </c>
      <c r="Z2528" s="1">
        <v>5.8604999999999899E-6</v>
      </c>
      <c r="AA2528">
        <v>0.99997179999999997</v>
      </c>
      <c r="AB2528">
        <v>40</v>
      </c>
      <c r="AC2528">
        <v>-30.426099999999899</v>
      </c>
      <c r="AD2528">
        <v>-1.1205516253359999</v>
      </c>
      <c r="AE2528">
        <v>0.46320000000002798</v>
      </c>
      <c r="AF2528">
        <v>0.23019810505569299</v>
      </c>
      <c r="AG2528">
        <v>-1.1205516253359999</v>
      </c>
      <c r="AH2528">
        <v>30.387545988888199</v>
      </c>
      <c r="AI2528">
        <v>92.111784944022503</v>
      </c>
      <c r="AJ2528">
        <v>89.565969309064499</v>
      </c>
      <c r="AK2528">
        <v>30.409070658923699</v>
      </c>
      <c r="AL2528">
        <v>94.122333254956899</v>
      </c>
      <c r="AM2528">
        <v>91.638743288546195</v>
      </c>
      <c r="AN2528">
        <v>0.99999999765181902</v>
      </c>
    </row>
    <row r="2529" spans="1:40" x14ac:dyDescent="0.25">
      <c r="A2529" t="str">
        <f>"20190303154146868"</f>
        <v>20190303154146868</v>
      </c>
      <c r="B2529" t="str">
        <f>"1551598906861762"</f>
        <v>1551598906861762</v>
      </c>
      <c r="C2529" t="s">
        <v>40</v>
      </c>
      <c r="D2529">
        <v>5.7280860000000002</v>
      </c>
      <c r="E2529">
        <v>0.51375289999999996</v>
      </c>
      <c r="F2529" t="s">
        <v>50</v>
      </c>
      <c r="G2529">
        <v>-325.62279999999998</v>
      </c>
      <c r="H2529" s="1">
        <v>1.4748179999999999E-6</v>
      </c>
      <c r="I2529">
        <v>284.17169999999999</v>
      </c>
      <c r="J2529">
        <v>-295.23579999999998</v>
      </c>
      <c r="K2529">
        <v>1.1205689999999999</v>
      </c>
      <c r="L2529">
        <v>283.70740000000001</v>
      </c>
      <c r="M2529">
        <v>-0.99988469999999996</v>
      </c>
      <c r="N2529">
        <v>-1.312461E-2</v>
      </c>
      <c r="O2529">
        <v>7.6466839999999999E-3</v>
      </c>
      <c r="P2529">
        <v>-0.99618830000000003</v>
      </c>
      <c r="Q2529">
        <v>-8.4751590000000002E-2</v>
      </c>
      <c r="R2529">
        <v>-2.0651269999999999E-2</v>
      </c>
      <c r="S2529">
        <v>-3.0031430000000001</v>
      </c>
      <c r="T2529">
        <v>-0.10992109999999999</v>
      </c>
      <c r="U2529">
        <v>4.5715329999999998E-2</v>
      </c>
      <c r="V2529">
        <v>-2.8271580000000001E-2</v>
      </c>
      <c r="W2529">
        <v>-7.1671100000000001E-2</v>
      </c>
      <c r="X2529">
        <v>0.99702760000000001</v>
      </c>
      <c r="Y2529">
        <v>7.5690489999999996E-3</v>
      </c>
      <c r="Z2529" s="1">
        <v>8.7356820000000008E-6</v>
      </c>
      <c r="AA2529">
        <v>0.99997130000000001</v>
      </c>
      <c r="AB2529">
        <v>40</v>
      </c>
      <c r="AC2529">
        <v>-30.386999999999901</v>
      </c>
      <c r="AD2529">
        <v>-1.120567525182</v>
      </c>
      <c r="AE2529">
        <v>0.46429999999998001</v>
      </c>
      <c r="AF2529">
        <v>0.231591774271836</v>
      </c>
      <c r="AG2529">
        <v>-1.120567525182</v>
      </c>
      <c r="AH2529">
        <v>30.3484015691953</v>
      </c>
      <c r="AI2529">
        <v>92.114535408027805</v>
      </c>
      <c r="AJ2529">
        <v>89.5627784994808</v>
      </c>
      <c r="AK2529">
        <v>30.369965165168299</v>
      </c>
      <c r="AL2529">
        <v>94.109975196302301</v>
      </c>
      <c r="AM2529">
        <v>91.624236155589301</v>
      </c>
      <c r="AN2529">
        <v>1.00000003198633</v>
      </c>
    </row>
    <row r="2530" spans="1:40" x14ac:dyDescent="0.25">
      <c r="A2530" t="str">
        <f>"20190303154146886"</f>
        <v>20190303154146886</v>
      </c>
      <c r="B2530" t="str">
        <f>"1551598906882260"</f>
        <v>1551598906882260</v>
      </c>
      <c r="C2530" t="s">
        <v>40</v>
      </c>
      <c r="D2530">
        <v>5.7882160000000002</v>
      </c>
      <c r="E2530">
        <v>0.51369240000000005</v>
      </c>
      <c r="F2530" t="s">
        <v>50</v>
      </c>
      <c r="G2530">
        <v>-325.91419999999999</v>
      </c>
      <c r="H2530" s="1">
        <v>1.629528E-6</v>
      </c>
      <c r="I2530">
        <v>284.18060000000003</v>
      </c>
      <c r="J2530">
        <v>-295.5437</v>
      </c>
      <c r="K2530">
        <v>1.1205860000000001</v>
      </c>
      <c r="L2530">
        <v>283.70979999999997</v>
      </c>
      <c r="M2530">
        <v>-0.99988220000000005</v>
      </c>
      <c r="N2530">
        <v>-1.3309400000000001E-2</v>
      </c>
      <c r="O2530">
        <v>7.6465889999999996E-3</v>
      </c>
      <c r="P2530">
        <v>-0.99620089999999994</v>
      </c>
      <c r="Q2530">
        <v>-8.457336E-2</v>
      </c>
      <c r="R2530">
        <v>-2.0768100000000001E-2</v>
      </c>
      <c r="S2530">
        <v>-3.003082</v>
      </c>
      <c r="T2530">
        <v>-0.1096911</v>
      </c>
      <c r="U2530">
        <v>4.6325680000000001E-2</v>
      </c>
      <c r="V2530">
        <v>-2.838833E-2</v>
      </c>
      <c r="W2530">
        <v>-7.1308490000000002E-2</v>
      </c>
      <c r="X2530">
        <v>0.9970502</v>
      </c>
      <c r="Y2530">
        <v>7.77239199999999E-3</v>
      </c>
      <c r="Z2530" s="1">
        <v>1.6209709999999999E-5</v>
      </c>
      <c r="AA2530">
        <v>0.99996980000000002</v>
      </c>
      <c r="AB2530">
        <v>40</v>
      </c>
      <c r="AC2530">
        <v>-30.3705</v>
      </c>
      <c r="AD2530">
        <v>-1.120584370472</v>
      </c>
      <c r="AE2530">
        <v>0.47080000000005301</v>
      </c>
      <c r="AF2530">
        <v>0.238210711853618</v>
      </c>
      <c r="AG2530">
        <v>-1.120584370472</v>
      </c>
      <c r="AH2530">
        <v>30.331928358165602</v>
      </c>
      <c r="AI2530">
        <v>92.115710901672799</v>
      </c>
      <c r="AJ2530">
        <v>89.550038900433904</v>
      </c>
      <c r="AK2530">
        <v>30.3535555017774</v>
      </c>
      <c r="AL2530">
        <v>94.089146216083904</v>
      </c>
      <c r="AM2530">
        <v>91.630903019496202</v>
      </c>
      <c r="AN2530">
        <v>0.99999994967315298</v>
      </c>
    </row>
    <row r="2531" spans="1:40" x14ac:dyDescent="0.25">
      <c r="A2531" t="str">
        <f>"20190303154146900"</f>
        <v>20190303154146900</v>
      </c>
      <c r="B2531" t="str">
        <f>"1551598906892018"</f>
        <v>1551598906892018</v>
      </c>
      <c r="C2531" t="s">
        <v>40</v>
      </c>
      <c r="D2531">
        <v>5.7726699999999997</v>
      </c>
      <c r="E2531">
        <v>0.51366339999999999</v>
      </c>
      <c r="F2531" t="s">
        <v>50</v>
      </c>
      <c r="G2531">
        <v>-326.29450000000003</v>
      </c>
      <c r="H2531" s="1">
        <v>1.8321020000000001E-6</v>
      </c>
      <c r="I2531">
        <v>284.17509999999999</v>
      </c>
      <c r="J2531">
        <v>-295.80040000000002</v>
      </c>
      <c r="K2531">
        <v>1.120598</v>
      </c>
      <c r="L2531">
        <v>283.71179999999998</v>
      </c>
      <c r="M2531">
        <v>-0.99988030000000006</v>
      </c>
      <c r="N2531">
        <v>-1.3453410000000001E-2</v>
      </c>
      <c r="O2531">
        <v>7.6466340000000002E-3</v>
      </c>
      <c r="P2531">
        <v>-0.99619480000000005</v>
      </c>
      <c r="Q2531">
        <v>-8.4726990000000002E-2</v>
      </c>
      <c r="R2531">
        <v>-2.0430509999999999E-2</v>
      </c>
      <c r="S2531">
        <v>-3.0030519999999998</v>
      </c>
      <c r="T2531">
        <v>-0.1094339</v>
      </c>
      <c r="U2531">
        <v>4.5440670000000002E-2</v>
      </c>
      <c r="V2531">
        <v>-2.8050749999999999E-2</v>
      </c>
      <c r="W2531">
        <v>-7.1318569999999998E-2</v>
      </c>
      <c r="X2531">
        <v>0.99705909999999998</v>
      </c>
      <c r="Y2531">
        <v>7.478096E-3</v>
      </c>
      <c r="Z2531" s="1">
        <v>1.084931E-5</v>
      </c>
      <c r="AA2531">
        <v>0.99997199999999997</v>
      </c>
      <c r="AB2531">
        <v>40</v>
      </c>
      <c r="AC2531">
        <v>-30.4941</v>
      </c>
      <c r="AD2531">
        <v>-1.1205961678980001</v>
      </c>
      <c r="AE2531">
        <v>0.46330000000000299</v>
      </c>
      <c r="AF2531">
        <v>0.22977791174923301</v>
      </c>
      <c r="AG2531">
        <v>-1.1205961678980001</v>
      </c>
      <c r="AH2531">
        <v>30.4556331282059</v>
      </c>
      <c r="AI2531">
        <v>92.107152232148493</v>
      </c>
      <c r="AJ2531">
        <v>89.567730057604507</v>
      </c>
      <c r="AK2531">
        <v>30.4771081781082</v>
      </c>
      <c r="AL2531">
        <v>94.089724960268498</v>
      </c>
      <c r="AM2531">
        <v>91.6115050370869</v>
      </c>
      <c r="AN2531">
        <v>1.0000000159475999</v>
      </c>
    </row>
    <row r="2532" spans="1:40" x14ac:dyDescent="0.25">
      <c r="A2532" t="str">
        <f>"20190303154146914"</f>
        <v>20190303154146914</v>
      </c>
      <c r="B2532" t="str">
        <f>"1551598906901777"</f>
        <v>1551598906901777</v>
      </c>
      <c r="C2532" t="s">
        <v>40</v>
      </c>
      <c r="D2532">
        <v>5.7632560000000002</v>
      </c>
      <c r="E2532">
        <v>0.51362719999999995</v>
      </c>
      <c r="F2532" t="s">
        <v>50</v>
      </c>
      <c r="G2532">
        <v>-326.40789999999998</v>
      </c>
      <c r="H2532" s="1">
        <v>1.8919879999999999E-6</v>
      </c>
      <c r="I2532">
        <v>284.18610000000001</v>
      </c>
      <c r="J2532">
        <v>-296.06259999999997</v>
      </c>
      <c r="K2532">
        <v>1.1206100000000001</v>
      </c>
      <c r="L2532">
        <v>283.71370000000002</v>
      </c>
      <c r="M2532">
        <v>-0.99987839999999995</v>
      </c>
      <c r="N2532">
        <v>-1.3590619999999999E-2</v>
      </c>
      <c r="O2532">
        <v>7.6465359999999998E-3</v>
      </c>
      <c r="P2532">
        <v>-0.99617239999999996</v>
      </c>
      <c r="Q2532">
        <v>-8.5054530000000003E-2</v>
      </c>
      <c r="R2532">
        <v>-2.0156589999999999E-2</v>
      </c>
      <c r="S2532">
        <v>-3.0030519999999998</v>
      </c>
      <c r="T2532">
        <v>-0.109947</v>
      </c>
      <c r="U2532">
        <v>4.653931E-2</v>
      </c>
      <c r="V2532">
        <v>-2.7776990000000001E-2</v>
      </c>
      <c r="W2532">
        <v>-7.1509569999999995E-2</v>
      </c>
      <c r="X2532">
        <v>0.99705310000000003</v>
      </c>
      <c r="Y2532">
        <v>7.8435199999999997E-3</v>
      </c>
      <c r="Z2532" s="1">
        <v>2.0918879999999999E-5</v>
      </c>
      <c r="AA2532">
        <v>0.9999692</v>
      </c>
      <c r="AB2532">
        <v>40</v>
      </c>
      <c r="AC2532">
        <v>-30.345300000000002</v>
      </c>
      <c r="AD2532">
        <v>-1.1206081080120001</v>
      </c>
      <c r="AE2532">
        <v>0.47239999999999299</v>
      </c>
      <c r="AF2532">
        <v>0.24000110991923801</v>
      </c>
      <c r="AG2532">
        <v>-1.1206081080120001</v>
      </c>
      <c r="AH2532">
        <v>30.306705449565399</v>
      </c>
      <c r="AI2532">
        <v>92.117513829877296</v>
      </c>
      <c r="AJ2532">
        <v>89.546279840293806</v>
      </c>
      <c r="AK2532">
        <v>30.328365572038699</v>
      </c>
      <c r="AL2532">
        <v>94.100696401005493</v>
      </c>
      <c r="AM2532">
        <v>91.5957953982372</v>
      </c>
      <c r="AN2532">
        <v>1.0000000319973199</v>
      </c>
    </row>
    <row r="2533" spans="1:40" x14ac:dyDescent="0.25">
      <c r="A2533" t="str">
        <f>"20190303154146931"</f>
        <v>20190303154146931</v>
      </c>
      <c r="B2533" t="str">
        <f>"1551598906922277"</f>
        <v>1551598906922277</v>
      </c>
      <c r="C2533" t="s">
        <v>40</v>
      </c>
      <c r="D2533">
        <v>5.7746040000000001</v>
      </c>
      <c r="E2533">
        <v>0.51355240000000002</v>
      </c>
      <c r="F2533" t="s">
        <v>50</v>
      </c>
      <c r="G2533">
        <v>-326.36900000000003</v>
      </c>
      <c r="H2533" s="1">
        <v>1.8712369999999999E-6</v>
      </c>
      <c r="I2533">
        <v>284.18680000000001</v>
      </c>
      <c r="J2533">
        <v>-296.34539999999998</v>
      </c>
      <c r="K2533">
        <v>1.120628</v>
      </c>
      <c r="L2533">
        <v>283.71589999999998</v>
      </c>
      <c r="M2533">
        <v>-0.9998766</v>
      </c>
      <c r="N2533">
        <v>-1.3725050000000001E-2</v>
      </c>
      <c r="O2533">
        <v>7.64615E-3</v>
      </c>
      <c r="P2533">
        <v>-0.99613839999999998</v>
      </c>
      <c r="Q2533">
        <v>-8.5372370000000003E-2</v>
      </c>
      <c r="R2533">
        <v>-2.048985E-2</v>
      </c>
      <c r="S2533">
        <v>-3.0029599999999999</v>
      </c>
      <c r="T2533">
        <v>-0.11103739999999999</v>
      </c>
      <c r="U2533">
        <v>4.6875E-2</v>
      </c>
      <c r="V2533">
        <v>-2.810942E-2</v>
      </c>
      <c r="W2533">
        <v>-7.1693779999999999E-2</v>
      </c>
      <c r="X2533">
        <v>0.99703050000000004</v>
      </c>
      <c r="Y2533">
        <v>7.9559119999999903E-3</v>
      </c>
      <c r="Z2533" s="1">
        <v>2.3977050000000001E-5</v>
      </c>
      <c r="AA2533">
        <v>0.99996830000000003</v>
      </c>
      <c r="AB2533">
        <v>40</v>
      </c>
      <c r="AC2533">
        <v>-30.023599999999998</v>
      </c>
      <c r="AD2533">
        <v>-1.1206261287629999</v>
      </c>
      <c r="AE2533">
        <v>0.47090000000002802</v>
      </c>
      <c r="AF2533">
        <v>0.24096404876775901</v>
      </c>
      <c r="AG2533">
        <v>-1.1206261287629999</v>
      </c>
      <c r="AH2533">
        <v>29.984560556729601</v>
      </c>
      <c r="AI2533">
        <v>92.140275089179497</v>
      </c>
      <c r="AJ2533">
        <v>89.539565511236106</v>
      </c>
      <c r="AK2533">
        <v>30.006461610350701</v>
      </c>
      <c r="AL2533">
        <v>94.111278239373107</v>
      </c>
      <c r="AM2533">
        <v>91.614920122059004</v>
      </c>
      <c r="AN2533">
        <v>0.99999997775683702</v>
      </c>
    </row>
    <row r="2534" spans="1:40" x14ac:dyDescent="0.25">
      <c r="A2534" t="str">
        <f>"20190303154146954"</f>
        <v>20190303154146954</v>
      </c>
      <c r="B2534" t="str">
        <f>"1551598906941793"</f>
        <v>1551598906941793</v>
      </c>
      <c r="C2534" t="s">
        <v>40</v>
      </c>
      <c r="D2534">
        <v>5.7474059999999998</v>
      </c>
      <c r="E2534">
        <v>0.51348669999999996</v>
      </c>
      <c r="F2534" t="s">
        <v>50</v>
      </c>
      <c r="G2534">
        <v>-326.41320000000002</v>
      </c>
      <c r="H2534" s="1">
        <v>1.895595E-6</v>
      </c>
      <c r="I2534">
        <v>284.16759999999999</v>
      </c>
      <c r="J2534">
        <v>-296.76429999999999</v>
      </c>
      <c r="K2534">
        <v>1.120641</v>
      </c>
      <c r="L2534">
        <v>283.71910000000003</v>
      </c>
      <c r="M2534">
        <v>-0.99987409999999999</v>
      </c>
      <c r="N2534">
        <v>-1.390662E-2</v>
      </c>
      <c r="O2534">
        <v>7.6460230000000001E-3</v>
      </c>
      <c r="P2534">
        <v>-0.99612389999999995</v>
      </c>
      <c r="Q2534">
        <v>-8.5577979999999998E-2</v>
      </c>
      <c r="R2534">
        <v>-2.0342989999999998E-2</v>
      </c>
      <c r="S2534">
        <v>-3.0029599999999999</v>
      </c>
      <c r="T2534">
        <v>-0.1119204</v>
      </c>
      <c r="U2534">
        <v>4.5104980000000003E-2</v>
      </c>
      <c r="V2534">
        <v>-2.7961989999999999E-2</v>
      </c>
      <c r="W2534">
        <v>-7.1718499999999893E-2</v>
      </c>
      <c r="X2534">
        <v>0.9970329</v>
      </c>
      <c r="Y2534">
        <v>7.3672019999999998E-3</v>
      </c>
      <c r="Z2534" s="1">
        <v>9.9510800000000006E-6</v>
      </c>
      <c r="AA2534">
        <v>0.99997290000000005</v>
      </c>
      <c r="AB2534">
        <v>40</v>
      </c>
      <c r="AC2534">
        <v>-29.648900000000001</v>
      </c>
      <c r="AD2534">
        <v>-1.1206391044049999</v>
      </c>
      <c r="AE2534">
        <v>0.44849999999996698</v>
      </c>
      <c r="AF2534">
        <v>0.22145250262409899</v>
      </c>
      <c r="AG2534">
        <v>-1.1206391044049999</v>
      </c>
      <c r="AH2534">
        <v>29.609172380780901</v>
      </c>
      <c r="AI2534">
        <v>92.167418432990203</v>
      </c>
      <c r="AJ2534">
        <v>89.571482207578001</v>
      </c>
      <c r="AK2534">
        <v>29.631199136856399</v>
      </c>
      <c r="AL2534">
        <v>94.112698114012503</v>
      </c>
      <c r="AM2534">
        <v>91.606450675589301</v>
      </c>
      <c r="AN2534">
        <v>1.0000000099047099</v>
      </c>
    </row>
    <row r="2535" spans="1:40" x14ac:dyDescent="0.25">
      <c r="A2535" t="str">
        <f>"20190303154146974"</f>
        <v>20190303154146974</v>
      </c>
      <c r="B2535" t="str">
        <f>"1551598906972049"</f>
        <v>1551598906972049</v>
      </c>
      <c r="C2535" t="s">
        <v>40</v>
      </c>
      <c r="D2535">
        <v>5.7824629999999999</v>
      </c>
      <c r="E2535">
        <v>0.51338289999999998</v>
      </c>
      <c r="F2535" t="s">
        <v>50</v>
      </c>
      <c r="G2535">
        <v>-326.6277</v>
      </c>
      <c r="H2535" s="1">
        <v>2.0097879999999999E-6</v>
      </c>
      <c r="I2535">
        <v>284.16739999999999</v>
      </c>
      <c r="J2535">
        <v>-297.13260000000002</v>
      </c>
      <c r="K2535">
        <v>1.120649</v>
      </c>
      <c r="L2535">
        <v>283.72190000000001</v>
      </c>
      <c r="M2535">
        <v>-0.99987210000000004</v>
      </c>
      <c r="N2535">
        <v>-1.404677E-2</v>
      </c>
      <c r="O2535">
        <v>7.6459319999999898E-3</v>
      </c>
      <c r="P2535">
        <v>-0.99614349999999996</v>
      </c>
      <c r="Q2535">
        <v>-8.5322629999999997E-2</v>
      </c>
      <c r="R2535">
        <v>-2.0453039999999999E-2</v>
      </c>
      <c r="S2535">
        <v>-3.0029300000000001</v>
      </c>
      <c r="T2535">
        <v>-0.1126862</v>
      </c>
      <c r="U2535">
        <v>4.5074459999999997E-2</v>
      </c>
      <c r="V2535">
        <v>-2.8072130000000001E-2</v>
      </c>
      <c r="W2535">
        <v>-7.1323170000000005E-2</v>
      </c>
      <c r="X2535">
        <v>0.99705820000000001</v>
      </c>
      <c r="Y2535">
        <v>7.3571969999999898E-3</v>
      </c>
      <c r="Z2535" s="1">
        <v>1.0272600000000001E-5</v>
      </c>
      <c r="AA2535">
        <v>0.99997290000000005</v>
      </c>
      <c r="AB2535">
        <v>40</v>
      </c>
      <c r="AC2535">
        <v>-29.495099999999901</v>
      </c>
      <c r="AD2535">
        <v>-1.120646990212</v>
      </c>
      <c r="AE2535">
        <v>0.44549999999998102</v>
      </c>
      <c r="AF2535">
        <v>0.219630213727774</v>
      </c>
      <c r="AG2535">
        <v>-1.120646990212</v>
      </c>
      <c r="AH2535">
        <v>29.455133415286401</v>
      </c>
      <c r="AI2535">
        <v>92.178757985324495</v>
      </c>
      <c r="AJ2535">
        <v>89.572785805585298</v>
      </c>
      <c r="AK2535">
        <v>29.477261942381499</v>
      </c>
      <c r="AL2535">
        <v>94.089989068059296</v>
      </c>
      <c r="AM2535">
        <v>91.612734116609502</v>
      </c>
      <c r="AN2535">
        <v>1.0000000466244101</v>
      </c>
    </row>
    <row r="2536" spans="1:40" x14ac:dyDescent="0.25">
      <c r="A2536" t="str">
        <f>"20190303154146998"</f>
        <v>20190303154146998</v>
      </c>
      <c r="B2536" t="str">
        <f>"1551598906991570"</f>
        <v>1551598906991570</v>
      </c>
      <c r="C2536" t="s">
        <v>40</v>
      </c>
      <c r="D2536">
        <v>5.7868969999999997</v>
      </c>
      <c r="E2536">
        <v>0.51330759999999998</v>
      </c>
      <c r="F2536" t="s">
        <v>50</v>
      </c>
      <c r="G2536">
        <v>-327.14749999999998</v>
      </c>
      <c r="H2536" s="1">
        <v>2.2866159999999999E-6</v>
      </c>
      <c r="I2536">
        <v>284.16149999999999</v>
      </c>
      <c r="J2536">
        <v>-297.52370000000002</v>
      </c>
      <c r="K2536">
        <v>1.1206560000000001</v>
      </c>
      <c r="L2536">
        <v>283.72489999999999</v>
      </c>
      <c r="M2536">
        <v>-0.99987029999999999</v>
      </c>
      <c r="N2536">
        <v>-1.417683E-2</v>
      </c>
      <c r="O2536">
        <v>7.6458450000000001E-3</v>
      </c>
      <c r="P2536">
        <v>-0.99615659999999895</v>
      </c>
      <c r="Q2536">
        <v>-8.5168350000000004E-2</v>
      </c>
      <c r="R2536">
        <v>-2.0453639999999999E-2</v>
      </c>
      <c r="S2536">
        <v>-3.0028990000000002</v>
      </c>
      <c r="T2536">
        <v>-0.11211740000000001</v>
      </c>
      <c r="U2536">
        <v>4.397583E-2</v>
      </c>
      <c r="V2536">
        <v>-2.8072699999999999E-2</v>
      </c>
      <c r="W2536">
        <v>-7.1039050000000006E-2</v>
      </c>
      <c r="X2536">
        <v>0.99707840000000003</v>
      </c>
      <c r="Y2536">
        <v>6.9919930000000002E-3</v>
      </c>
      <c r="Z2536" s="1">
        <v>3.0914740000000001E-6</v>
      </c>
      <c r="AA2536">
        <v>0.99997559999999996</v>
      </c>
      <c r="AB2536">
        <v>39</v>
      </c>
      <c r="AC2536">
        <v>-29.6237999999999</v>
      </c>
      <c r="AD2536">
        <v>-1.12065371338399</v>
      </c>
      <c r="AE2536">
        <v>0.43659999999999799</v>
      </c>
      <c r="AF2536">
        <v>0.20976537049909699</v>
      </c>
      <c r="AG2536">
        <v>-1.12065371338399</v>
      </c>
      <c r="AH2536">
        <v>29.583944890083899</v>
      </c>
      <c r="AI2536">
        <v>92.169299306226705</v>
      </c>
      <c r="AJ2536">
        <v>89.593750290777905</v>
      </c>
      <c r="AK2536">
        <v>29.605905855344101</v>
      </c>
      <c r="AL2536">
        <v>94.073669068205106</v>
      </c>
      <c r="AM2536">
        <v>91.612734189523906</v>
      </c>
      <c r="AN2536">
        <v>0.99999997942837604</v>
      </c>
    </row>
    <row r="2537" spans="1:40" x14ac:dyDescent="0.25">
      <c r="A2537" t="str">
        <f>"20190303154147011"</f>
        <v>20190303154147011</v>
      </c>
      <c r="B2537" t="str">
        <f>"1551598907002306"</f>
        <v>1551598907002306</v>
      </c>
      <c r="C2537" t="s">
        <v>40</v>
      </c>
      <c r="D2537">
        <v>5.7885289999999996</v>
      </c>
      <c r="E2537">
        <v>0.51327109999999998</v>
      </c>
      <c r="F2537" t="s">
        <v>50</v>
      </c>
      <c r="G2537">
        <v>-327.60390000000001</v>
      </c>
      <c r="H2537" s="1">
        <v>2.5296240000000001E-6</v>
      </c>
      <c r="I2537">
        <v>284.15870000000001</v>
      </c>
      <c r="J2537">
        <v>-297.7672</v>
      </c>
      <c r="K2537">
        <v>1.1206590000000001</v>
      </c>
      <c r="L2537">
        <v>283.72680000000003</v>
      </c>
      <c r="M2537">
        <v>-0.99986929999999996</v>
      </c>
      <c r="N2537">
        <v>-1.424899E-2</v>
      </c>
      <c r="O2537">
        <v>7.6456269999999899E-3</v>
      </c>
      <c r="P2537">
        <v>-0.99611079999999996</v>
      </c>
      <c r="Q2537">
        <v>-8.5657479999999994E-2</v>
      </c>
      <c r="R2537">
        <v>-2.0647430000000001E-2</v>
      </c>
      <c r="S2537">
        <v>-3.0029300000000001</v>
      </c>
      <c r="T2537">
        <v>-0.11187569999999999</v>
      </c>
      <c r="U2537">
        <v>4.330444E-2</v>
      </c>
      <c r="V2537">
        <v>-2.8266309999999999E-2</v>
      </c>
      <c r="W2537">
        <v>-7.1456820000000004E-2</v>
      </c>
      <c r="X2537">
        <v>0.99704309999999996</v>
      </c>
      <c r="Y2537">
        <v>6.7687329999999999E-3</v>
      </c>
      <c r="Z2537" s="1">
        <v>-1.51297E-6</v>
      </c>
      <c r="AA2537">
        <v>0.99997709999999995</v>
      </c>
      <c r="AB2537">
        <v>39</v>
      </c>
      <c r="AC2537">
        <v>-29.8367</v>
      </c>
      <c r="AD2537">
        <v>-1.120656470376</v>
      </c>
      <c r="AE2537">
        <v>0.43189999999998402</v>
      </c>
      <c r="AF2537">
        <v>0.20345698278475199</v>
      </c>
      <c r="AG2537">
        <v>-1.120656470376</v>
      </c>
      <c r="AH2537">
        <v>29.7971034145326</v>
      </c>
      <c r="AI2537">
        <v>92.153804754582694</v>
      </c>
      <c r="AJ2537">
        <v>89.608785957974803</v>
      </c>
      <c r="AK2537">
        <v>29.818863787287199</v>
      </c>
      <c r="AL2537">
        <v>94.097666418902193</v>
      </c>
      <c r="AM2537">
        <v>91.6239083178084</v>
      </c>
      <c r="AN2537">
        <v>1.0000000023315601</v>
      </c>
    </row>
    <row r="2538" spans="1:40" x14ac:dyDescent="0.25">
      <c r="A2538" t="str">
        <f>"20190303154147031"</f>
        <v>20190303154147031</v>
      </c>
      <c r="B2538" t="str">
        <f>"1551598907021829"</f>
        <v>1551598907021829</v>
      </c>
      <c r="C2538" t="s">
        <v>40</v>
      </c>
      <c r="D2538">
        <v>5.7946439999999999</v>
      </c>
      <c r="E2538">
        <v>0.5132082</v>
      </c>
      <c r="F2538" t="s">
        <v>50</v>
      </c>
      <c r="G2538">
        <v>-327.45339999999999</v>
      </c>
      <c r="H2538" s="1">
        <v>2.4501360000000002E-6</v>
      </c>
      <c r="I2538">
        <v>284.14519999999999</v>
      </c>
      <c r="J2538">
        <v>-298.11610000000002</v>
      </c>
      <c r="K2538">
        <v>1.12066</v>
      </c>
      <c r="L2538">
        <v>283.7294</v>
      </c>
      <c r="M2538">
        <v>-0.99986799999999998</v>
      </c>
      <c r="N2538">
        <v>-1.434273E-2</v>
      </c>
      <c r="O2538">
        <v>7.6456689999999999E-3</v>
      </c>
      <c r="P2538">
        <v>-0.99609190000000003</v>
      </c>
      <c r="Q2538">
        <v>-8.5895310000000002E-2</v>
      </c>
      <c r="R2538">
        <v>-2.0575380000000001E-2</v>
      </c>
      <c r="S2538">
        <v>-3.002777</v>
      </c>
      <c r="T2538">
        <v>-0.113355</v>
      </c>
      <c r="U2538">
        <v>4.2327879999999998E-2</v>
      </c>
      <c r="V2538">
        <v>-2.8193759999999998E-2</v>
      </c>
      <c r="W2538">
        <v>-7.1601429999999994E-2</v>
      </c>
      <c r="X2538">
        <v>0.9970348</v>
      </c>
      <c r="Y2538">
        <v>6.4444940000000003E-3</v>
      </c>
      <c r="Z2538" s="1">
        <v>-1.102952E-5</v>
      </c>
      <c r="AA2538">
        <v>0.99997930000000002</v>
      </c>
      <c r="AB2538">
        <v>39</v>
      </c>
      <c r="AC2538">
        <v>-29.3372999999999</v>
      </c>
      <c r="AD2538">
        <v>-1.1206575498639999</v>
      </c>
      <c r="AE2538">
        <v>0.41579999999999001</v>
      </c>
      <c r="AF2538">
        <v>0.19118259378229999</v>
      </c>
      <c r="AG2538">
        <v>-1.1206575498639999</v>
      </c>
      <c r="AH2538">
        <v>29.2968812209654</v>
      </c>
      <c r="AI2538">
        <v>92.190550350717004</v>
      </c>
      <c r="AJ2538">
        <v>89.626110364068296</v>
      </c>
      <c r="AK2538">
        <v>29.318930290915901</v>
      </c>
      <c r="AL2538">
        <v>94.105973155836793</v>
      </c>
      <c r="AM2538">
        <v>91.619755997538306</v>
      </c>
      <c r="AN2538">
        <v>1.00000002264601</v>
      </c>
    </row>
    <row r="2539" spans="1:40" x14ac:dyDescent="0.25">
      <c r="A2539" t="str">
        <f>"20190303154147054"</f>
        <v>20190303154147054</v>
      </c>
      <c r="B2539" t="str">
        <f>"1551598907042325"</f>
        <v>1551598907042325</v>
      </c>
      <c r="C2539" t="s">
        <v>40</v>
      </c>
      <c r="D2539">
        <v>5.7940339999999999</v>
      </c>
      <c r="E2539">
        <v>0.51314589999999904</v>
      </c>
      <c r="F2539" t="s">
        <v>50</v>
      </c>
      <c r="G2539">
        <v>-327.56470000000002</v>
      </c>
      <c r="H2539" s="1">
        <v>2.5094390000000001E-6</v>
      </c>
      <c r="I2539">
        <v>284.14330000000001</v>
      </c>
      <c r="J2539">
        <v>-298.5061</v>
      </c>
      <c r="K2539">
        <v>1.1206609999999999</v>
      </c>
      <c r="L2539">
        <v>283.73239999999998</v>
      </c>
      <c r="M2539">
        <v>-0.9998667</v>
      </c>
      <c r="N2539">
        <v>-1.443465E-2</v>
      </c>
      <c r="O2539">
        <v>7.6456609999999998E-3</v>
      </c>
      <c r="P2539">
        <v>-0.99604800000000004</v>
      </c>
      <c r="Q2539">
        <v>-8.6432830000000002E-2</v>
      </c>
      <c r="R2539">
        <v>-2.0448460000000002E-2</v>
      </c>
      <c r="S2539">
        <v>-3.002777</v>
      </c>
      <c r="T2539">
        <v>-0.1142696</v>
      </c>
      <c r="U2539">
        <v>4.2205810000000003E-2</v>
      </c>
      <c r="V2539">
        <v>-2.8066859999999999E-2</v>
      </c>
      <c r="W2539">
        <v>-7.2047860000000005E-2</v>
      </c>
      <c r="X2539">
        <v>0.99700619999999995</v>
      </c>
      <c r="Y2539">
        <v>6.4038300000000001E-3</v>
      </c>
      <c r="Z2539" s="1">
        <v>-1.2443119999999999E-5</v>
      </c>
      <c r="AA2539">
        <v>0.99997950000000002</v>
      </c>
      <c r="AB2539">
        <v>39</v>
      </c>
      <c r="AC2539">
        <v>-29.058599999999998</v>
      </c>
      <c r="AD2539">
        <v>-1.120658490561</v>
      </c>
      <c r="AE2539">
        <v>0.41090000000002602</v>
      </c>
      <c r="AF2539">
        <v>0.188412490264287</v>
      </c>
      <c r="AG2539">
        <v>-1.120658490561</v>
      </c>
      <c r="AH2539">
        <v>29.017743088739198</v>
      </c>
      <c r="AI2539">
        <v>92.211603996869499</v>
      </c>
      <c r="AJ2539">
        <v>89.627983170008406</v>
      </c>
      <c r="AK2539">
        <v>29.039986031040399</v>
      </c>
      <c r="AL2539">
        <v>94.131618025895506</v>
      </c>
      <c r="AM2539">
        <v>91.612515570596699</v>
      </c>
      <c r="AN2539">
        <v>1.0000000027996301</v>
      </c>
    </row>
    <row r="2540" spans="1:40" x14ac:dyDescent="0.25">
      <c r="A2540" t="str">
        <f>"20190303154147075"</f>
        <v>20190303154147075</v>
      </c>
      <c r="B2540" t="str">
        <f>"1551598907071605"</f>
        <v>1551598907071605</v>
      </c>
      <c r="C2540" t="s">
        <v>40</v>
      </c>
      <c r="D2540">
        <v>5.802943</v>
      </c>
      <c r="E2540">
        <v>0.51307380000000002</v>
      </c>
      <c r="F2540" t="s">
        <v>50</v>
      </c>
      <c r="G2540">
        <v>-327.51209999999998</v>
      </c>
      <c r="H2540" s="1">
        <v>2.481688E-6</v>
      </c>
      <c r="I2540">
        <v>284.13780000000003</v>
      </c>
      <c r="J2540">
        <v>-298.88839999999999</v>
      </c>
      <c r="K2540">
        <v>1.1206739999999999</v>
      </c>
      <c r="L2540">
        <v>283.73540000000003</v>
      </c>
      <c r="M2540">
        <v>-0.99986549999999996</v>
      </c>
      <c r="N2540">
        <v>-1.4512479999999999E-2</v>
      </c>
      <c r="O2540">
        <v>7.6455719999999998E-3</v>
      </c>
      <c r="P2540">
        <v>-0.9960504</v>
      </c>
      <c r="Q2540">
        <v>-8.6358820000000003E-2</v>
      </c>
      <c r="R2540">
        <v>-2.0634019999999999E-2</v>
      </c>
      <c r="S2540">
        <v>-3.0026860000000002</v>
      </c>
      <c r="T2540">
        <v>-0.1160101</v>
      </c>
      <c r="U2540">
        <v>4.196167E-2</v>
      </c>
      <c r="V2540">
        <v>-2.8252579999999999E-2</v>
      </c>
      <c r="W2540">
        <v>-7.1896219999999997E-2</v>
      </c>
      <c r="X2540">
        <v>0.99701189999999995</v>
      </c>
      <c r="Y2540">
        <v>6.3230439999999999E-3</v>
      </c>
      <c r="Z2540" s="1">
        <v>-1.6321229999999899E-5</v>
      </c>
      <c r="AA2540">
        <v>0.99997999999999998</v>
      </c>
      <c r="AB2540">
        <v>39</v>
      </c>
      <c r="AC2540">
        <v>-28.6236999999999</v>
      </c>
      <c r="AD2540">
        <v>-1.120671518312</v>
      </c>
      <c r="AE2540">
        <v>0.40239999999999998</v>
      </c>
      <c r="AF2540">
        <v>0.18323980982020799</v>
      </c>
      <c r="AG2540">
        <v>-1.120671518312</v>
      </c>
      <c r="AH2540">
        <v>28.5821360960535</v>
      </c>
      <c r="AI2540">
        <v>92.245303044482</v>
      </c>
      <c r="AJ2540">
        <v>89.632682320437894</v>
      </c>
      <c r="AK2540">
        <v>28.604684673898799</v>
      </c>
      <c r="AL2540">
        <v>94.122907107835303</v>
      </c>
      <c r="AM2540">
        <v>91.623170713024706</v>
      </c>
      <c r="AN2540">
        <v>1.0000000017342701</v>
      </c>
    </row>
    <row r="2541" spans="1:40" x14ac:dyDescent="0.25">
      <c r="A2541" t="str">
        <f>"20190303154147097"</f>
        <v>20190303154147097</v>
      </c>
      <c r="B2541" t="str">
        <f>"1551598907092101"</f>
        <v>1551598907092101</v>
      </c>
      <c r="C2541" t="s">
        <v>40</v>
      </c>
      <c r="D2541">
        <v>5.7891139999999996</v>
      </c>
      <c r="E2541">
        <v>0.51303049999999994</v>
      </c>
      <c r="F2541" t="s">
        <v>50</v>
      </c>
      <c r="G2541">
        <v>-327.8587</v>
      </c>
      <c r="H2541" s="1">
        <v>2.6664999999999998E-6</v>
      </c>
      <c r="I2541">
        <v>284.1293</v>
      </c>
      <c r="J2541">
        <v>-299.28280000000001</v>
      </c>
      <c r="K2541">
        <v>1.12069</v>
      </c>
      <c r="L2541">
        <v>283.73829999999998</v>
      </c>
      <c r="M2541">
        <v>-0.99986459999999999</v>
      </c>
      <c r="N2541">
        <v>-1.458107E-2</v>
      </c>
      <c r="O2541">
        <v>7.6454289999999996E-3</v>
      </c>
      <c r="P2541">
        <v>-0.99613669999999999</v>
      </c>
      <c r="Q2541">
        <v>-8.5185720000000006E-2</v>
      </c>
      <c r="R2541">
        <v>-2.1334550000000001E-2</v>
      </c>
      <c r="S2541">
        <v>-3.0026860000000002</v>
      </c>
      <c r="T2541">
        <v>-0.1161544</v>
      </c>
      <c r="U2541">
        <v>4.0832519999999997E-2</v>
      </c>
      <c r="V2541">
        <v>-2.8953530000000002E-2</v>
      </c>
      <c r="W2541">
        <v>-7.0653640000000004E-2</v>
      </c>
      <c r="X2541">
        <v>0.99708059999999998</v>
      </c>
      <c r="Y2541">
        <v>5.9475719999999999E-3</v>
      </c>
      <c r="Z2541" s="1">
        <v>-2.5790380000000002E-5</v>
      </c>
      <c r="AA2541">
        <v>0.99998229999999999</v>
      </c>
      <c r="AB2541">
        <v>39</v>
      </c>
      <c r="AC2541">
        <v>-28.575899999999901</v>
      </c>
      <c r="AD2541">
        <v>-1.1206873335</v>
      </c>
      <c r="AE2541">
        <v>0.391000000000019</v>
      </c>
      <c r="AF2541">
        <v>0.17222551632984501</v>
      </c>
      <c r="AG2541">
        <v>-1.1206873335</v>
      </c>
      <c r="AH2541">
        <v>28.534175686688201</v>
      </c>
      <c r="AI2541">
        <v>92.249110044056593</v>
      </c>
      <c r="AJ2541">
        <v>89.654180464444394</v>
      </c>
      <c r="AK2541">
        <v>28.556694203754201</v>
      </c>
      <c r="AL2541">
        <v>94.051531057980498</v>
      </c>
      <c r="AM2541">
        <v>91.663304880521494</v>
      </c>
      <c r="AN2541">
        <v>0.99999998332053497</v>
      </c>
    </row>
    <row r="2542" spans="1:40" x14ac:dyDescent="0.25">
      <c r="A2542" t="str">
        <f>"20190303154147120"</f>
        <v>20190303154147120</v>
      </c>
      <c r="B2542" t="str">
        <f>"1551598907111621"</f>
        <v>1551598907111621</v>
      </c>
      <c r="C2542" t="s">
        <v>40</v>
      </c>
      <c r="D2542">
        <v>5.8676919999999999</v>
      </c>
      <c r="E2542">
        <v>0.51297409999999999</v>
      </c>
      <c r="F2542" t="s">
        <v>50</v>
      </c>
      <c r="G2542">
        <v>-329.05680000000001</v>
      </c>
      <c r="H2542" s="1">
        <v>3.3045209999999998E-6</v>
      </c>
      <c r="I2542">
        <v>284.11900000000003</v>
      </c>
      <c r="J2542">
        <v>-299.67989999999998</v>
      </c>
      <c r="K2542">
        <v>1.1206959999999999</v>
      </c>
      <c r="L2542">
        <v>283.7414</v>
      </c>
      <c r="M2542">
        <v>-0.99986370000000002</v>
      </c>
      <c r="N2542">
        <v>-1.4640179999999999E-2</v>
      </c>
      <c r="O2542">
        <v>7.6453519999999898E-3</v>
      </c>
      <c r="P2542">
        <v>-0.99619369999999996</v>
      </c>
      <c r="Q2542">
        <v>-8.4261100000000005E-2</v>
      </c>
      <c r="R2542">
        <v>-2.2323180000000001E-2</v>
      </c>
      <c r="S2542">
        <v>-3.002777</v>
      </c>
      <c r="T2542">
        <v>-0.1130239</v>
      </c>
      <c r="U2542">
        <v>3.8391109999999999E-2</v>
      </c>
      <c r="V2542">
        <v>-2.9942150000000001E-2</v>
      </c>
      <c r="W2542">
        <v>-6.9669389999999998E-2</v>
      </c>
      <c r="X2542">
        <v>0.99712069999999997</v>
      </c>
      <c r="Y2542">
        <v>5.1352070000000001E-3</v>
      </c>
      <c r="Z2542" s="1">
        <v>-4.1523319999999997E-5</v>
      </c>
      <c r="AA2542">
        <v>0.99998679999999995</v>
      </c>
      <c r="AB2542">
        <v>39</v>
      </c>
      <c r="AC2542">
        <v>-29.376899999999999</v>
      </c>
      <c r="AD2542">
        <v>-1.120692695479</v>
      </c>
      <c r="AE2542">
        <v>0.37760000000002902</v>
      </c>
      <c r="AF2542">
        <v>0.152745911548129</v>
      </c>
      <c r="AG2542">
        <v>-1.120692695479</v>
      </c>
      <c r="AH2542">
        <v>29.3362416094499</v>
      </c>
      <c r="AI2542">
        <v>92.187699600558801</v>
      </c>
      <c r="AJ2542">
        <v>89.701678998247601</v>
      </c>
      <c r="AK2542">
        <v>29.3580373185813</v>
      </c>
      <c r="AL2542">
        <v>93.994998207060107</v>
      </c>
      <c r="AM2542">
        <v>91.719995837559793</v>
      </c>
      <c r="AN2542">
        <v>1.00000002330904</v>
      </c>
    </row>
    <row r="2543" spans="1:40" x14ac:dyDescent="0.25">
      <c r="A2543" t="str">
        <f>"20190303154147143"</f>
        <v>20190303154147143</v>
      </c>
      <c r="B2543" t="str">
        <f>"1551598907132117"</f>
        <v>1551598907132117</v>
      </c>
      <c r="C2543" t="s">
        <v>40</v>
      </c>
      <c r="D2543">
        <v>5.813434</v>
      </c>
      <c r="E2543">
        <v>0.51290709999999995</v>
      </c>
      <c r="F2543" t="s">
        <v>50</v>
      </c>
      <c r="G2543">
        <v>-330.01990000000001</v>
      </c>
      <c r="H2543" s="1">
        <v>-1.5034070000000001E-6</v>
      </c>
      <c r="I2543">
        <v>284.09480000000002</v>
      </c>
      <c r="J2543">
        <v>-300.0788</v>
      </c>
      <c r="K2543">
        <v>1.1207020000000001</v>
      </c>
      <c r="L2543">
        <v>283.74439999999998</v>
      </c>
      <c r="M2543">
        <v>-0.99986299999999995</v>
      </c>
      <c r="N2543">
        <v>-1.4690989999999999E-2</v>
      </c>
      <c r="O2543">
        <v>7.6452759999999899E-3</v>
      </c>
      <c r="P2543">
        <v>-0.99614250000000004</v>
      </c>
      <c r="Q2543">
        <v>-8.4643759999999998E-2</v>
      </c>
      <c r="R2543">
        <v>-2.3144939999999999E-2</v>
      </c>
      <c r="S2543">
        <v>-3.0028380000000001</v>
      </c>
      <c r="T2543">
        <v>-0.1109189</v>
      </c>
      <c r="U2543">
        <v>3.497314E-2</v>
      </c>
      <c r="V2543">
        <v>-3.0763499999999999E-2</v>
      </c>
      <c r="W2543">
        <v>-7.0002159999999994E-2</v>
      </c>
      <c r="X2543">
        <v>0.99707230000000002</v>
      </c>
      <c r="Y2543">
        <v>3.9980629999999996E-3</v>
      </c>
      <c r="Z2543" s="1">
        <v>-6.6795480000000006E-5</v>
      </c>
      <c r="AA2543">
        <v>0.99999199999999999</v>
      </c>
      <c r="AB2543">
        <v>39</v>
      </c>
      <c r="AC2543">
        <v>-29.941099999999999</v>
      </c>
      <c r="AD2543">
        <v>-1.1207035034070001</v>
      </c>
      <c r="AE2543">
        <v>0.35040000000003502</v>
      </c>
      <c r="AF2543">
        <v>0.121287208378376</v>
      </c>
      <c r="AG2543">
        <v>-1.1207035034070001</v>
      </c>
      <c r="AH2543">
        <v>29.901017616418301</v>
      </c>
      <c r="AI2543">
        <v>92.146449049621296</v>
      </c>
      <c r="AJ2543">
        <v>89.767592958694095</v>
      </c>
      <c r="AK2543">
        <v>29.922258294233401</v>
      </c>
      <c r="AL2543">
        <v>94.014111549127605</v>
      </c>
      <c r="AM2543">
        <v>91.767233648745503</v>
      </c>
      <c r="AN2543">
        <v>0.99999993338210003</v>
      </c>
    </row>
    <row r="2544" spans="1:40" x14ac:dyDescent="0.25">
      <c r="A2544" t="str">
        <f>"20190303154147165"</f>
        <v>20190303154147165</v>
      </c>
      <c r="B2544" t="str">
        <f>"1551598907162374"</f>
        <v>1551598907162374</v>
      </c>
      <c r="C2544" t="s">
        <v>40</v>
      </c>
      <c r="D2544">
        <v>5.7478790000000002</v>
      </c>
      <c r="E2544">
        <v>0.51286259999999995</v>
      </c>
      <c r="F2544" t="s">
        <v>50</v>
      </c>
      <c r="G2544">
        <v>-329.96109999999999</v>
      </c>
      <c r="H2544" s="1">
        <v>-1.533376E-6</v>
      </c>
      <c r="I2544">
        <v>284.06420000000003</v>
      </c>
      <c r="J2544">
        <v>-300.46289999999999</v>
      </c>
      <c r="K2544">
        <v>1.120709</v>
      </c>
      <c r="L2544">
        <v>283.74740000000003</v>
      </c>
      <c r="M2544">
        <v>-0.99986240000000004</v>
      </c>
      <c r="N2544">
        <v>-1.4733069999999999E-2</v>
      </c>
      <c r="O2544">
        <v>7.6451440000000004E-3</v>
      </c>
      <c r="P2544">
        <v>-0.99611559999999999</v>
      </c>
      <c r="Q2544">
        <v>-8.487111E-2</v>
      </c>
      <c r="R2544">
        <v>-2.346958E-2</v>
      </c>
      <c r="S2544">
        <v>-3.002777</v>
      </c>
      <c r="T2544">
        <v>-0.1126162</v>
      </c>
      <c r="U2544">
        <v>3.2135009999999999E-2</v>
      </c>
      <c r="V2544">
        <v>-3.108781E-2</v>
      </c>
      <c r="W2544">
        <v>-7.0187979999999997E-2</v>
      </c>
      <c r="X2544">
        <v>0.99704930000000003</v>
      </c>
      <c r="Y2544">
        <v>3.054293E-3</v>
      </c>
      <c r="Z2544" s="1">
        <v>-9.4227479999999997E-5</v>
      </c>
      <c r="AA2544">
        <v>0.99999539999999998</v>
      </c>
      <c r="AB2544">
        <v>39</v>
      </c>
      <c r="AC2544">
        <v>-29.498200000000001</v>
      </c>
      <c r="AD2544">
        <v>-1.1207105333759999</v>
      </c>
      <c r="AE2544">
        <v>0.31680000000000003</v>
      </c>
      <c r="AF2544">
        <v>9.1116804761078293E-2</v>
      </c>
      <c r="AG2544">
        <v>-1.1207105333759999</v>
      </c>
      <c r="AH2544">
        <v>29.4572454032478</v>
      </c>
      <c r="AI2544">
        <v>92.178775433156005</v>
      </c>
      <c r="AJ2544">
        <v>89.822773934418393</v>
      </c>
      <c r="AK2544">
        <v>29.478697412180399</v>
      </c>
      <c r="AL2544">
        <v>94.024784011200595</v>
      </c>
      <c r="AM2544">
        <v>91.785893062241499</v>
      </c>
      <c r="AN2544">
        <v>1.00000005554878</v>
      </c>
    </row>
    <row r="2545" spans="1:40" x14ac:dyDescent="0.25">
      <c r="A2545" t="str">
        <f>"20190303154147187"</f>
        <v>20190303154147187</v>
      </c>
      <c r="B2545" t="str">
        <f>"1551598907181893"</f>
        <v>1551598907181893</v>
      </c>
      <c r="C2545" t="s">
        <v>40</v>
      </c>
      <c r="D2545">
        <v>5.8525999999999998</v>
      </c>
      <c r="E2545">
        <v>0.51287399999999905</v>
      </c>
      <c r="F2545" t="s">
        <v>50</v>
      </c>
      <c r="G2545">
        <v>-330.1585</v>
      </c>
      <c r="H2545" s="1">
        <v>-1.427802E-6</v>
      </c>
      <c r="I2545">
        <v>284.05250000000001</v>
      </c>
      <c r="J2545">
        <v>-300.84769999999997</v>
      </c>
      <c r="K2545">
        <v>1.1207229999999999</v>
      </c>
      <c r="L2545">
        <v>283.75029999999998</v>
      </c>
      <c r="M2545">
        <v>-0.99986180000000002</v>
      </c>
      <c r="N2545">
        <v>-1.4769040000000001E-2</v>
      </c>
      <c r="O2545">
        <v>7.6442130000000004E-3</v>
      </c>
      <c r="P2545">
        <v>-0.99614400000000003</v>
      </c>
      <c r="Q2545">
        <v>-8.4574860000000002E-2</v>
      </c>
      <c r="R2545">
        <v>-2.3332990000000001E-2</v>
      </c>
      <c r="S2545">
        <v>-3.002777</v>
      </c>
      <c r="T2545">
        <v>-0.1133246</v>
      </c>
      <c r="U2545">
        <v>3.0853269999999999E-2</v>
      </c>
      <c r="V2545">
        <v>-3.095067E-2</v>
      </c>
      <c r="W2545">
        <v>-6.9855490000000006E-2</v>
      </c>
      <c r="X2545">
        <v>0.99707690000000004</v>
      </c>
      <c r="Y2545">
        <v>2.6288380000000001E-3</v>
      </c>
      <c r="Z2545">
        <v>-1.064876E-4</v>
      </c>
      <c r="AA2545">
        <v>0.99999649999999995</v>
      </c>
      <c r="AB2545">
        <v>39</v>
      </c>
      <c r="AC2545">
        <v>-29.3108</v>
      </c>
      <c r="AD2545">
        <v>-1.1207244278020001</v>
      </c>
      <c r="AE2545">
        <v>0.302200000000027</v>
      </c>
      <c r="AF2545">
        <v>7.7994734944477007E-2</v>
      </c>
      <c r="AG2545">
        <v>-1.1207244278020001</v>
      </c>
      <c r="AH2545">
        <v>29.269466844598501</v>
      </c>
      <c r="AI2545">
        <v>92.192769648887804</v>
      </c>
      <c r="AJ2545">
        <v>89.847323540834907</v>
      </c>
      <c r="AK2545">
        <v>29.291019029538798</v>
      </c>
      <c r="AL2545">
        <v>94.0056869303029</v>
      </c>
      <c r="AM2545">
        <v>91.777970699980202</v>
      </c>
      <c r="AN2545">
        <v>1.00000003898509</v>
      </c>
    </row>
    <row r="2546" spans="1:40" x14ac:dyDescent="0.25">
      <c r="A2546" t="str">
        <f>"20190303154147211"</f>
        <v>20190303154147211</v>
      </c>
      <c r="B2546" t="str">
        <f>"1551598907202389"</f>
        <v>1551598907202389</v>
      </c>
      <c r="C2546" t="s">
        <v>40</v>
      </c>
      <c r="D2546">
        <v>6.0788869999999999</v>
      </c>
      <c r="E2546">
        <v>0.53332290000000004</v>
      </c>
      <c r="F2546" t="s">
        <v>50</v>
      </c>
      <c r="G2546">
        <v>-330.79860000000002</v>
      </c>
      <c r="H2546" s="1">
        <v>-1.087609E-6</v>
      </c>
      <c r="I2546">
        <v>284.06229999999999</v>
      </c>
      <c r="J2546">
        <v>-301.24959999999999</v>
      </c>
      <c r="K2546">
        <v>1.120727</v>
      </c>
      <c r="L2546">
        <v>283.7534</v>
      </c>
      <c r="M2546">
        <v>-0.99986140000000001</v>
      </c>
      <c r="N2546">
        <v>-1.4800890000000001E-2</v>
      </c>
      <c r="O2546">
        <v>7.6388709999999898E-3</v>
      </c>
      <c r="P2546">
        <v>-0.99620529999999996</v>
      </c>
      <c r="Q2546">
        <v>-8.3908280000000002E-2</v>
      </c>
      <c r="R2546">
        <v>-2.3121969999999999E-2</v>
      </c>
      <c r="S2546">
        <v>-3.0028079999999999</v>
      </c>
      <c r="T2546">
        <v>-0.11236110000000001</v>
      </c>
      <c r="U2546">
        <v>3.1280519999999999E-2</v>
      </c>
      <c r="V2546">
        <v>-3.073441E-2</v>
      </c>
      <c r="W2546">
        <v>-6.9156449999999994E-2</v>
      </c>
      <c r="X2546">
        <v>0.99713229999999997</v>
      </c>
      <c r="Y2546">
        <v>2.7761690000000002E-3</v>
      </c>
      <c r="Z2546">
        <v>-1.002032E-4</v>
      </c>
      <c r="AA2546">
        <v>0.99999610000000005</v>
      </c>
      <c r="AB2546">
        <v>39</v>
      </c>
      <c r="AC2546">
        <v>-29.548999999999999</v>
      </c>
      <c r="AD2546">
        <v>-1.120728087609</v>
      </c>
      <c r="AE2546">
        <v>0.30889999999999401</v>
      </c>
      <c r="AF2546">
        <v>8.3025864006107994E-2</v>
      </c>
      <c r="AG2546">
        <v>-1.120728087609</v>
      </c>
      <c r="AH2546">
        <v>29.5080543838837</v>
      </c>
      <c r="AI2546">
        <v>92.175063304904</v>
      </c>
      <c r="AJ2546">
        <v>89.838789132527097</v>
      </c>
      <c r="AK2546">
        <v>29.529446291163101</v>
      </c>
      <c r="AL2546">
        <v>93.965537861024799</v>
      </c>
      <c r="AM2546">
        <v>91.765457437557501</v>
      </c>
      <c r="AN2546">
        <v>1.0000000211189699</v>
      </c>
    </row>
    <row r="2547" spans="1:40" x14ac:dyDescent="0.25">
      <c r="A2547" t="str">
        <f>"20190303154147233"</f>
        <v>20190303154147233</v>
      </c>
      <c r="B2547" t="str">
        <f>"1551598907221910"</f>
        <v>1551598907221910</v>
      </c>
      <c r="C2547" t="s">
        <v>40</v>
      </c>
      <c r="D2547">
        <v>5.9406689999999998</v>
      </c>
      <c r="E2547">
        <v>0.54528180000000004</v>
      </c>
      <c r="F2547" t="s">
        <v>42</v>
      </c>
      <c r="G2547">
        <v>-302.07330000000002</v>
      </c>
      <c r="H2547">
        <v>1.04966</v>
      </c>
      <c r="I2547">
        <v>283.80770000000001</v>
      </c>
      <c r="J2547">
        <v>-301.64139999999998</v>
      </c>
      <c r="K2547">
        <v>1.1207370000000001</v>
      </c>
      <c r="L2547">
        <v>283.75639999999999</v>
      </c>
      <c r="M2547">
        <v>-0.99986109999999995</v>
      </c>
      <c r="N2547">
        <v>-1.4826860000000001E-2</v>
      </c>
      <c r="O2547">
        <v>7.6264890000000002E-3</v>
      </c>
      <c r="P2547">
        <v>-0.99617389999999995</v>
      </c>
      <c r="Q2547">
        <v>-8.4471640000000001E-2</v>
      </c>
      <c r="R2547">
        <v>-2.2411850000000001E-2</v>
      </c>
      <c r="S2547">
        <v>-2.994202</v>
      </c>
      <c r="T2547">
        <v>-0.25846279999999999</v>
      </c>
      <c r="U2547">
        <v>0.19641110000000001</v>
      </c>
      <c r="V2547">
        <v>-3.0010559999999999E-2</v>
      </c>
      <c r="W2547">
        <v>-6.9694619999999999E-2</v>
      </c>
      <c r="X2547">
        <v>0.99711689999999997</v>
      </c>
      <c r="Y2547">
        <v>5.7612759999999999E-2</v>
      </c>
      <c r="Z2547">
        <v>2.3642889999999999E-3</v>
      </c>
      <c r="AA2547">
        <v>0.99833620000000001</v>
      </c>
      <c r="AB2547">
        <v>39</v>
      </c>
      <c r="AC2547">
        <v>-0.43190000000004097</v>
      </c>
      <c r="AD2547">
        <v>-7.1077000000000001E-2</v>
      </c>
      <c r="AE2547">
        <v>5.1300000000026102E-2</v>
      </c>
      <c r="AF2547">
        <v>4.6755613789346499E-2</v>
      </c>
      <c r="AG2547">
        <v>-7.1077000000000001E-2</v>
      </c>
      <c r="AH2547">
        <v>0.42103460270911303</v>
      </c>
      <c r="AI2547">
        <v>99.524583702571306</v>
      </c>
      <c r="AJ2547">
        <v>83.6633044693518</v>
      </c>
      <c r="AK2547">
        <v>0.42954413513425999</v>
      </c>
      <c r="AL2547">
        <v>93.996447223033798</v>
      </c>
      <c r="AM2547">
        <v>91.723929776548601</v>
      </c>
      <c r="AN2547">
        <v>1.0000000430170299</v>
      </c>
    </row>
    <row r="2548" spans="1:40" x14ac:dyDescent="0.25">
      <c r="A2548" t="str">
        <f>"20190303154147254"</f>
        <v>20190303154147254</v>
      </c>
      <c r="B2548" t="str">
        <f>"1551598907242406"</f>
        <v>1551598907242406</v>
      </c>
      <c r="C2548" t="s">
        <v>40</v>
      </c>
      <c r="D2548">
        <v>5.8554060000000003</v>
      </c>
      <c r="E2548">
        <v>0.57370219999999905</v>
      </c>
      <c r="F2548" t="s">
        <v>42</v>
      </c>
      <c r="G2548">
        <v>-302.40159999999997</v>
      </c>
      <c r="H2548">
        <v>1.018438</v>
      </c>
      <c r="I2548">
        <v>283.83170000000001</v>
      </c>
      <c r="J2548">
        <v>-301.99959999999999</v>
      </c>
      <c r="K2548">
        <v>1.1207480000000001</v>
      </c>
      <c r="L2548">
        <v>283.75909999999999</v>
      </c>
      <c r="M2548">
        <v>-0.99986090000000005</v>
      </c>
      <c r="N2548">
        <v>-1.484683E-2</v>
      </c>
      <c r="O2548">
        <v>7.6043769999999998E-3</v>
      </c>
      <c r="P2548">
        <v>-0.99614480000000005</v>
      </c>
      <c r="Q2548">
        <v>-8.4929710000000005E-2</v>
      </c>
      <c r="R2548">
        <v>-2.1967449999999999E-2</v>
      </c>
      <c r="S2548">
        <v>-2.9841000000000002</v>
      </c>
      <c r="T2548">
        <v>-0.40163729999999997</v>
      </c>
      <c r="U2548">
        <v>0.2954407</v>
      </c>
      <c r="V2548">
        <v>-2.9543219999999999E-2</v>
      </c>
      <c r="W2548">
        <v>-7.0133710000000002E-2</v>
      </c>
      <c r="X2548">
        <v>0.99710010000000004</v>
      </c>
      <c r="Y2548">
        <v>9.0111120000000003E-2</v>
      </c>
      <c r="Z2548">
        <v>5.7921559999999997E-3</v>
      </c>
      <c r="AA2548">
        <v>0.99591490000000005</v>
      </c>
      <c r="AB2548">
        <v>39</v>
      </c>
      <c r="AC2548">
        <v>-0.40199999999998598</v>
      </c>
      <c r="AD2548">
        <v>-0.102309999999999</v>
      </c>
      <c r="AE2548">
        <v>7.2600000000022605E-2</v>
      </c>
      <c r="AF2548">
        <v>6.5436080072096406E-2</v>
      </c>
      <c r="AG2548">
        <v>-0.102309999999999</v>
      </c>
      <c r="AH2548">
        <v>0.37878119708204799</v>
      </c>
      <c r="AI2548">
        <v>104.90434900005199</v>
      </c>
      <c r="AJ2548">
        <v>80.198647722284207</v>
      </c>
      <c r="AK2548">
        <v>0.39777432287430398</v>
      </c>
      <c r="AL2548">
        <v>94.021666812438895</v>
      </c>
      <c r="AM2548">
        <v>91.697128249087399</v>
      </c>
      <c r="AN2548">
        <v>1.0000000742731601</v>
      </c>
    </row>
    <row r="2549" spans="1:40" x14ac:dyDescent="0.25">
      <c r="A2549" t="str">
        <f>"20190303154147276"</f>
        <v>20190303154147276</v>
      </c>
      <c r="B2549" t="str">
        <f>"1551598907271685"</f>
        <v>1551598907271685</v>
      </c>
      <c r="C2549" t="s">
        <v>40</v>
      </c>
      <c r="D2549">
        <v>5.8127700000000004</v>
      </c>
      <c r="E2549">
        <v>0.57861379999999996</v>
      </c>
      <c r="F2549" t="s">
        <v>42</v>
      </c>
      <c r="G2549">
        <v>-302.69740000000002</v>
      </c>
      <c r="H2549">
        <v>0.91181469999999998</v>
      </c>
      <c r="I2549">
        <v>283.8845</v>
      </c>
      <c r="J2549">
        <v>-302.38729999999998</v>
      </c>
      <c r="K2549">
        <v>1.1207549999999999</v>
      </c>
      <c r="L2549">
        <v>283.762</v>
      </c>
      <c r="M2549">
        <v>-0.99986109999999995</v>
      </c>
      <c r="N2549">
        <v>-1.486502E-2</v>
      </c>
      <c r="O2549">
        <v>7.5630609999999899E-3</v>
      </c>
      <c r="P2549">
        <v>-0.99606740000000005</v>
      </c>
      <c r="Q2549">
        <v>-8.6011649999999995E-2</v>
      </c>
      <c r="R2549">
        <v>-2.1260609999999999E-2</v>
      </c>
      <c r="S2549">
        <v>-2.948029</v>
      </c>
      <c r="T2549">
        <v>-0.88278579999999995</v>
      </c>
      <c r="U2549">
        <v>0.52804569999999995</v>
      </c>
      <c r="V2549">
        <v>-2.8792189999999999E-2</v>
      </c>
      <c r="W2549">
        <v>-7.119934E-2</v>
      </c>
      <c r="X2549">
        <v>0.99704649999999995</v>
      </c>
      <c r="Y2549">
        <v>0.1619024</v>
      </c>
      <c r="Z2549">
        <v>2.2694019999999999E-2</v>
      </c>
      <c r="AA2549">
        <v>0.98654580000000003</v>
      </c>
      <c r="AB2549">
        <v>39</v>
      </c>
      <c r="AC2549">
        <v>-0.31010000000003402</v>
      </c>
      <c r="AD2549">
        <v>-0.2089403</v>
      </c>
      <c r="AE2549">
        <v>0.122500000000002</v>
      </c>
      <c r="AF2549">
        <v>8.6271788393600293E-2</v>
      </c>
      <c r="AG2549">
        <v>-0.2089403</v>
      </c>
      <c r="AH2549">
        <v>0.22331956437376699</v>
      </c>
      <c r="AI2549">
        <v>131.11284885696199</v>
      </c>
      <c r="AJ2549">
        <v>68.877685310216506</v>
      </c>
      <c r="AK2549">
        <v>0.31775855341565401</v>
      </c>
      <c r="AL2549">
        <v>94.082876117725107</v>
      </c>
      <c r="AM2549">
        <v>91.654098019343607</v>
      </c>
      <c r="AN2549">
        <v>1.0000000296918401</v>
      </c>
    </row>
    <row r="2550" spans="1:40" x14ac:dyDescent="0.25">
      <c r="A2550" t="str">
        <f>"20190303154147299"</f>
        <v>20190303154147299</v>
      </c>
      <c r="B2550" t="str">
        <f>"1551598907292181"</f>
        <v>1551598907292181</v>
      </c>
      <c r="C2550" t="s">
        <v>40</v>
      </c>
      <c r="D2550">
        <v>5.7472779999999997</v>
      </c>
      <c r="E2550">
        <v>0.57979179999999997</v>
      </c>
      <c r="F2550" t="s">
        <v>42</v>
      </c>
      <c r="G2550">
        <v>-303.34879999999998</v>
      </c>
      <c r="H2550">
        <v>0.81103890000000001</v>
      </c>
      <c r="I2550">
        <v>283.94850000000002</v>
      </c>
      <c r="J2550">
        <v>-302.77980000000002</v>
      </c>
      <c r="K2550">
        <v>1.120773</v>
      </c>
      <c r="L2550">
        <v>283.76499999999999</v>
      </c>
      <c r="M2550">
        <v>-0.99986120000000001</v>
      </c>
      <c r="N2550">
        <v>-1.488011E-2</v>
      </c>
      <c r="O2550">
        <v>7.4984589999999999E-3</v>
      </c>
      <c r="P2550">
        <v>-0.99606479999999997</v>
      </c>
      <c r="Q2550">
        <v>-8.615892E-2</v>
      </c>
      <c r="R2550">
        <v>-2.0776369999999999E-2</v>
      </c>
      <c r="S2550">
        <v>-2.9421390000000001</v>
      </c>
      <c r="T2550">
        <v>-0.94759890000000002</v>
      </c>
      <c r="U2550">
        <v>0.56961059999999997</v>
      </c>
      <c r="V2550">
        <v>-2.8240410000000001E-2</v>
      </c>
      <c r="W2550">
        <v>-7.1332599999999996E-2</v>
      </c>
      <c r="X2550">
        <v>0.99705270000000001</v>
      </c>
      <c r="Y2550">
        <v>0.17412139999999901</v>
      </c>
      <c r="Z2550">
        <v>2.6227670000000002E-2</v>
      </c>
      <c r="AA2550">
        <v>0.98437490000000005</v>
      </c>
      <c r="AB2550">
        <v>39</v>
      </c>
      <c r="AC2550">
        <v>-0.56899999999995998</v>
      </c>
      <c r="AD2550">
        <v>-0.30973410000000001</v>
      </c>
      <c r="AE2550">
        <v>0.18350000000003699</v>
      </c>
      <c r="AF2550">
        <v>0.141302186803417</v>
      </c>
      <c r="AG2550">
        <v>-0.30973410000000001</v>
      </c>
      <c r="AH2550">
        <v>0.44966884081229602</v>
      </c>
      <c r="AI2550">
        <v>123.30991096981001</v>
      </c>
      <c r="AJ2550">
        <v>72.555398295282004</v>
      </c>
      <c r="AK2550">
        <v>0.56400672610857405</v>
      </c>
      <c r="AL2550">
        <v>94.090531046237999</v>
      </c>
      <c r="AM2550">
        <v>91.622405537434503</v>
      </c>
      <c r="AN2550">
        <v>0.99999997357850801</v>
      </c>
    </row>
    <row r="2551" spans="1:40" x14ac:dyDescent="0.25">
      <c r="A2551" t="str">
        <f>"20190303154147321"</f>
        <v>20190303154147321</v>
      </c>
      <c r="B2551" t="str">
        <f>"1551598907311702"</f>
        <v>1551598907311702</v>
      </c>
      <c r="C2551" t="s">
        <v>40</v>
      </c>
      <c r="D2551">
        <v>5.8188000000000004</v>
      </c>
      <c r="E2551">
        <v>0.57920729999999998</v>
      </c>
      <c r="F2551" t="s">
        <v>42</v>
      </c>
      <c r="G2551">
        <v>-303.69889999999998</v>
      </c>
      <c r="H2551">
        <v>0.82157839999999904</v>
      </c>
      <c r="I2551">
        <v>283.94650000000001</v>
      </c>
      <c r="J2551">
        <v>-303.1635</v>
      </c>
      <c r="K2551">
        <v>1.1207959999999999</v>
      </c>
      <c r="L2551">
        <v>283.76780000000002</v>
      </c>
      <c r="M2551">
        <v>-0.99986160000000002</v>
      </c>
      <c r="N2551">
        <v>-1.4892280000000001E-2</v>
      </c>
      <c r="O2551">
        <v>7.4174840000000002E-3</v>
      </c>
      <c r="P2551">
        <v>-0.99610909999999997</v>
      </c>
      <c r="Q2551">
        <v>-8.5751590000000003E-2</v>
      </c>
      <c r="R2551">
        <v>-2.0326919999999998E-2</v>
      </c>
      <c r="S2551">
        <v>-2.9411320000000001</v>
      </c>
      <c r="T2551">
        <v>-0.95734160000000001</v>
      </c>
      <c r="U2551">
        <v>0.58068850000000005</v>
      </c>
      <c r="V2551">
        <v>-2.770829E-2</v>
      </c>
      <c r="W2551">
        <v>-7.0913519999999994E-2</v>
      </c>
      <c r="X2551">
        <v>0.99709760000000003</v>
      </c>
      <c r="Y2551">
        <v>0.1774869</v>
      </c>
      <c r="Z2551">
        <v>2.7051599999999999E-2</v>
      </c>
      <c r="AA2551">
        <v>0.9837513</v>
      </c>
      <c r="AB2551">
        <v>39</v>
      </c>
      <c r="AC2551">
        <v>-0.535399999999981</v>
      </c>
      <c r="AD2551">
        <v>-0.29921759999999997</v>
      </c>
      <c r="AE2551">
        <v>0.178699999999992</v>
      </c>
      <c r="AF2551">
        <v>0.13639327255633699</v>
      </c>
      <c r="AG2551">
        <v>-0.29921759999999997</v>
      </c>
      <c r="AH2551">
        <v>0.41896959179637899</v>
      </c>
      <c r="AI2551">
        <v>124.180267163824</v>
      </c>
      <c r="AJ2551">
        <v>71.967622543716004</v>
      </c>
      <c r="AK2551">
        <v>0.53260662387770896</v>
      </c>
      <c r="AL2551">
        <v>94.066458255291295</v>
      </c>
      <c r="AM2551">
        <v>91.591779591362695</v>
      </c>
      <c r="AN2551">
        <v>1.00000005028963</v>
      </c>
    </row>
    <row r="2552" spans="1:40" x14ac:dyDescent="0.25">
      <c r="A2552" t="str">
        <f>"20190303154147343"</f>
        <v>20190303154147343</v>
      </c>
      <c r="B2552" t="str">
        <f>"1551598907332198"</f>
        <v>1551598907332198</v>
      </c>
      <c r="C2552" t="s">
        <v>40</v>
      </c>
      <c r="D2552">
        <v>5.8431509999999998</v>
      </c>
      <c r="E2552">
        <v>0.57972199999999996</v>
      </c>
      <c r="F2552" t="s">
        <v>42</v>
      </c>
      <c r="G2552">
        <v>-304.05110000000002</v>
      </c>
      <c r="H2552">
        <v>0.83808179999999999</v>
      </c>
      <c r="I2552">
        <v>283.94209999999998</v>
      </c>
      <c r="J2552">
        <v>-303.54509999999999</v>
      </c>
      <c r="K2552">
        <v>1.120825</v>
      </c>
      <c r="L2552">
        <v>283.77050000000003</v>
      </c>
      <c r="M2552">
        <v>-0.99986229999999998</v>
      </c>
      <c r="N2552">
        <v>-1.4902210000000001E-2</v>
      </c>
      <c r="O2552">
        <v>7.3171579999999998E-3</v>
      </c>
      <c r="P2552">
        <v>-0.99611150000000004</v>
      </c>
      <c r="Q2552">
        <v>-8.5706400000000002E-2</v>
      </c>
      <c r="R2552">
        <v>-2.0417210000000002E-2</v>
      </c>
      <c r="S2552">
        <v>-2.94278</v>
      </c>
      <c r="T2552">
        <v>-0.93723199999999995</v>
      </c>
      <c r="U2552">
        <v>0.57687379999999999</v>
      </c>
      <c r="V2552">
        <v>-2.7695549999999999E-2</v>
      </c>
      <c r="W2552">
        <v>-7.0859459999999999E-2</v>
      </c>
      <c r="X2552">
        <v>0.99710169999999998</v>
      </c>
      <c r="Y2552">
        <v>0.17665049999999999</v>
      </c>
      <c r="Z2552">
        <v>2.6422810000000001E-2</v>
      </c>
      <c r="AA2552">
        <v>0.98391890000000004</v>
      </c>
      <c r="AB2552">
        <v>39</v>
      </c>
      <c r="AC2552">
        <v>-0.50600000000002798</v>
      </c>
      <c r="AD2552">
        <v>-0.28274319999999897</v>
      </c>
      <c r="AE2552">
        <v>0.17159999999995501</v>
      </c>
      <c r="AF2552">
        <v>0.131162938323587</v>
      </c>
      <c r="AG2552">
        <v>-0.28274319999999897</v>
      </c>
      <c r="AH2552">
        <v>0.39627365359440803</v>
      </c>
      <c r="AI2552">
        <v>124.112326924833</v>
      </c>
      <c r="AJ2552">
        <v>71.685930881090002</v>
      </c>
      <c r="AK2552">
        <v>0.50416291223073695</v>
      </c>
      <c r="AL2552">
        <v>94.063353428630293</v>
      </c>
      <c r="AM2552">
        <v>91.591041544096797</v>
      </c>
      <c r="AN2552">
        <v>0.99999995335209002</v>
      </c>
    </row>
    <row r="2553" spans="1:40" x14ac:dyDescent="0.25">
      <c r="A2553" t="str">
        <f>"20190303154147367"</f>
        <v>20190303154147367</v>
      </c>
      <c r="B2553" t="str">
        <f>"1551598907362126"</f>
        <v>1551598907362126</v>
      </c>
      <c r="C2553" t="s">
        <v>40</v>
      </c>
      <c r="D2553">
        <v>5.8363680000000002</v>
      </c>
      <c r="E2553">
        <v>0.5797601</v>
      </c>
      <c r="F2553" t="s">
        <v>42</v>
      </c>
      <c r="G2553">
        <v>-304.39999999999998</v>
      </c>
      <c r="H2553">
        <v>0.84760219999999897</v>
      </c>
      <c r="I2553">
        <v>283.93920000000003</v>
      </c>
      <c r="J2553">
        <v>-303.93889999999999</v>
      </c>
      <c r="K2553">
        <v>1.120846</v>
      </c>
      <c r="L2553">
        <v>283.77319999999997</v>
      </c>
      <c r="M2553">
        <v>-0.99986299999999995</v>
      </c>
      <c r="N2553">
        <v>-1.491045E-2</v>
      </c>
      <c r="O2553">
        <v>7.1946709999999997E-3</v>
      </c>
      <c r="P2553">
        <v>-0.99615450000000005</v>
      </c>
      <c r="Q2553">
        <v>-8.5086259999999997E-2</v>
      </c>
      <c r="R2553">
        <v>-2.0897410000000002E-2</v>
      </c>
      <c r="S2553">
        <v>-2.942688</v>
      </c>
      <c r="T2553">
        <v>-0.94055089999999997</v>
      </c>
      <c r="U2553">
        <v>0.58096309999999995</v>
      </c>
      <c r="V2553">
        <v>-2.8051019999999999E-2</v>
      </c>
      <c r="W2553">
        <v>-7.0231710000000003E-2</v>
      </c>
      <c r="X2553">
        <v>0.99713620000000003</v>
      </c>
      <c r="Y2553">
        <v>0.1779654</v>
      </c>
      <c r="Z2553">
        <v>2.6755310000000001E-2</v>
      </c>
      <c r="AA2553">
        <v>0.98367300000000002</v>
      </c>
      <c r="AB2553">
        <v>39</v>
      </c>
      <c r="AC2553">
        <v>-0.46109999999998702</v>
      </c>
      <c r="AD2553">
        <v>-0.27324379999999998</v>
      </c>
      <c r="AE2553">
        <v>0.16600000000005299</v>
      </c>
      <c r="AF2553">
        <v>0.124098859773956</v>
      </c>
      <c r="AG2553">
        <v>-0.27324379999999998</v>
      </c>
      <c r="AH2553">
        <v>0.35265234372342702</v>
      </c>
      <c r="AI2553">
        <v>126.162716090789</v>
      </c>
      <c r="AJ2553">
        <v>70.612957286762295</v>
      </c>
      <c r="AK2553">
        <v>0.463061957808307</v>
      </c>
      <c r="AL2553">
        <v>94.0272960703997</v>
      </c>
      <c r="AM2553">
        <v>91.611396000926305</v>
      </c>
      <c r="AN2553">
        <v>0.99999997708150201</v>
      </c>
    </row>
    <row r="2554" spans="1:40" x14ac:dyDescent="0.25">
      <c r="A2554" t="str">
        <f>"20190303154147388"</f>
        <v>20190303154147388</v>
      </c>
      <c r="B2554" t="str">
        <f>"1551598907381648"</f>
        <v>1551598907381648</v>
      </c>
      <c r="C2554" t="s">
        <v>40</v>
      </c>
      <c r="D2554">
        <v>5.9097140000000001</v>
      </c>
      <c r="E2554">
        <v>0.57857499999999995</v>
      </c>
      <c r="F2554" t="s">
        <v>42</v>
      </c>
      <c r="G2554">
        <v>-304.75040000000001</v>
      </c>
      <c r="H2554">
        <v>0.86209080000000005</v>
      </c>
      <c r="I2554">
        <v>283.93360000000001</v>
      </c>
      <c r="J2554">
        <v>-304.31900000000002</v>
      </c>
      <c r="K2554">
        <v>1.1208739999999999</v>
      </c>
      <c r="L2554">
        <v>283.77589999999998</v>
      </c>
      <c r="M2554">
        <v>-0.99986390000000003</v>
      </c>
      <c r="N2554">
        <v>-1.4916749999999999E-2</v>
      </c>
      <c r="O2554">
        <v>7.061505E-3</v>
      </c>
      <c r="P2554">
        <v>-0.99613719999999994</v>
      </c>
      <c r="Q2554">
        <v>-8.5046170000000004E-2</v>
      </c>
      <c r="R2554">
        <v>-2.186242E-2</v>
      </c>
      <c r="S2554">
        <v>-2.9436040000000001</v>
      </c>
      <c r="T2554">
        <v>-0.93858969999999997</v>
      </c>
      <c r="U2554">
        <v>0.58059689999999997</v>
      </c>
      <c r="V2554">
        <v>-2.8881270000000001E-2</v>
      </c>
      <c r="W2554">
        <v>-7.0186849999999995E-2</v>
      </c>
      <c r="X2554">
        <v>0.99711570000000005</v>
      </c>
      <c r="Y2554">
        <v>0.177954</v>
      </c>
      <c r="Z2554">
        <v>2.6735709999999999E-2</v>
      </c>
      <c r="AA2554">
        <v>0.98367550000000004</v>
      </c>
      <c r="AB2554">
        <v>39</v>
      </c>
      <c r="AC2554">
        <v>-0.43139999999999601</v>
      </c>
      <c r="AD2554">
        <v>-0.25878319999999899</v>
      </c>
      <c r="AE2554">
        <v>0.15770000000003301</v>
      </c>
      <c r="AF2554">
        <v>0.117387658910411</v>
      </c>
      <c r="AG2554">
        <v>-0.25878319999999899</v>
      </c>
      <c r="AH2554">
        <v>0.32829427111293302</v>
      </c>
      <c r="AI2554">
        <v>126.58439308416401</v>
      </c>
      <c r="AJ2554">
        <v>70.3245549139574</v>
      </c>
      <c r="AK2554">
        <v>0.43419550379095201</v>
      </c>
      <c r="AL2554">
        <v>94.024719248491607</v>
      </c>
      <c r="AM2554">
        <v>91.659097682695105</v>
      </c>
      <c r="AN2554">
        <v>1.0000000204281101</v>
      </c>
    </row>
    <row r="2555" spans="1:40" x14ac:dyDescent="0.25">
      <c r="A2555" t="str">
        <f>"20190303154147411"</f>
        <v>20190303154147411</v>
      </c>
      <c r="B2555" t="str">
        <f>"1551598907402141"</f>
        <v>1551598907402141</v>
      </c>
      <c r="C2555" t="s">
        <v>40</v>
      </c>
      <c r="D2555">
        <v>5.9043559999999999</v>
      </c>
      <c r="E2555">
        <v>0.57756759999999996</v>
      </c>
      <c r="F2555" t="s">
        <v>42</v>
      </c>
      <c r="G2555">
        <v>-305.09910000000002</v>
      </c>
      <c r="H2555">
        <v>0.87353630000000004</v>
      </c>
      <c r="I2555">
        <v>283.92660000000001</v>
      </c>
      <c r="J2555">
        <v>-304.7208</v>
      </c>
      <c r="K2555">
        <v>1.120897</v>
      </c>
      <c r="L2555">
        <v>283.77850000000001</v>
      </c>
      <c r="M2555">
        <v>-0.99986489999999995</v>
      </c>
      <c r="N2555">
        <v>-1.492191E-2</v>
      </c>
      <c r="O2555">
        <v>6.9097209999999997E-3</v>
      </c>
      <c r="P2555">
        <v>-0.99617239999999996</v>
      </c>
      <c r="Q2555">
        <v>-8.4409189999999995E-2</v>
      </c>
      <c r="R2555">
        <v>-2.270782E-2</v>
      </c>
      <c r="S2555">
        <v>-2.944366</v>
      </c>
      <c r="T2555">
        <v>-0.93350880000000003</v>
      </c>
      <c r="U2555">
        <v>0.56814580000000003</v>
      </c>
      <c r="V2555">
        <v>-2.9573439999999999E-2</v>
      </c>
      <c r="W2555">
        <v>-6.9545360000000001E-2</v>
      </c>
      <c r="X2555">
        <v>0.99714029999999998</v>
      </c>
      <c r="Y2555">
        <v>0.17430570000000001</v>
      </c>
      <c r="Z2555">
        <v>2.6064779999999999E-2</v>
      </c>
      <c r="AA2555">
        <v>0.98434659999999996</v>
      </c>
      <c r="AB2555">
        <v>39</v>
      </c>
      <c r="AC2555">
        <v>-0.37830000000002401</v>
      </c>
      <c r="AD2555">
        <v>-0.24736069999999899</v>
      </c>
      <c r="AE2555">
        <v>0.14809999999999901</v>
      </c>
      <c r="AF2555">
        <v>0.106134679016789</v>
      </c>
      <c r="AG2555">
        <v>-0.24736069999999899</v>
      </c>
      <c r="AH2555">
        <v>0.27672393020983399</v>
      </c>
      <c r="AI2555">
        <v>129.84866208462799</v>
      </c>
      <c r="AJ2555">
        <v>69.016186328143803</v>
      </c>
      <c r="AK2555">
        <v>0.38604147386681698</v>
      </c>
      <c r="AL2555">
        <v>93.987874779184907</v>
      </c>
      <c r="AM2555">
        <v>91.698794788550003</v>
      </c>
      <c r="AN2555">
        <v>0.99999996166752503</v>
      </c>
    </row>
    <row r="2556" spans="1:40" x14ac:dyDescent="0.25">
      <c r="A2556" t="str">
        <f>"20190303154147433"</f>
        <v>20190303154147433</v>
      </c>
      <c r="B2556" t="str">
        <f>"1551598907421662"</f>
        <v>1551598907421662</v>
      </c>
      <c r="C2556" t="s">
        <v>40</v>
      </c>
      <c r="D2556">
        <v>5.9051669999999996</v>
      </c>
      <c r="E2556">
        <v>0.57684760000000002</v>
      </c>
      <c r="F2556" t="s">
        <v>42</v>
      </c>
      <c r="G2556">
        <v>-305.45</v>
      </c>
      <c r="H2556">
        <v>0.89115829999999996</v>
      </c>
      <c r="I2556">
        <v>283.91649999999998</v>
      </c>
      <c r="J2556">
        <v>-305.09120000000001</v>
      </c>
      <c r="K2556">
        <v>1.120916</v>
      </c>
      <c r="L2556">
        <v>283.78089999999997</v>
      </c>
      <c r="M2556">
        <v>-0.99986580000000003</v>
      </c>
      <c r="N2556">
        <v>-1.4925570000000001E-2</v>
      </c>
      <c r="O2556">
        <v>6.7626630000000004E-3</v>
      </c>
      <c r="P2556">
        <v>-0.99617250000000002</v>
      </c>
      <c r="Q2556">
        <v>-8.4234260000000005E-2</v>
      </c>
      <c r="R2556">
        <v>-2.3344750000000001E-2</v>
      </c>
      <c r="S2556">
        <v>-2.9455870000000002</v>
      </c>
      <c r="T2556">
        <v>-0.92804310000000001</v>
      </c>
      <c r="U2556">
        <v>0.5569153</v>
      </c>
      <c r="V2556">
        <v>-3.0062599999999998E-2</v>
      </c>
      <c r="W2556">
        <v>-6.9367609999999996E-2</v>
      </c>
      <c r="X2556">
        <v>0.99713810000000003</v>
      </c>
      <c r="Y2556">
        <v>0.17100129999999999</v>
      </c>
      <c r="Z2556">
        <v>2.5438530000000001E-2</v>
      </c>
      <c r="AA2556">
        <v>0.9849424</v>
      </c>
      <c r="AB2556">
        <v>38</v>
      </c>
      <c r="AC2556">
        <v>-0.35879999999997297</v>
      </c>
      <c r="AD2556">
        <v>-0.22975769999999901</v>
      </c>
      <c r="AE2556">
        <v>0.13560000000000999</v>
      </c>
      <c r="AF2556">
        <v>9.8005620170940694E-2</v>
      </c>
      <c r="AG2556">
        <v>-0.22975769999999901</v>
      </c>
      <c r="AH2556">
        <v>0.264725134222074</v>
      </c>
      <c r="AI2556">
        <v>129.14292487095901</v>
      </c>
      <c r="AJ2556">
        <v>69.684614786018003</v>
      </c>
      <c r="AK2556">
        <v>0.36396854120002697</v>
      </c>
      <c r="AL2556">
        <v>93.977665615092704</v>
      </c>
      <c r="AM2556">
        <v>91.726880665741007</v>
      </c>
      <c r="AN2556">
        <v>1.0000000078537401</v>
      </c>
    </row>
    <row r="2557" spans="1:40" x14ac:dyDescent="0.25">
      <c r="A2557" t="str">
        <f>"20190303154147454"</f>
        <v>20190303154147454</v>
      </c>
      <c r="B2557" t="str">
        <f>"1551598907451917"</f>
        <v>1551598907451917</v>
      </c>
      <c r="C2557" t="s">
        <v>40</v>
      </c>
      <c r="D2557">
        <v>5.8592440000000003</v>
      </c>
      <c r="E2557">
        <v>0.57616789999999996</v>
      </c>
      <c r="F2557" t="s">
        <v>42</v>
      </c>
      <c r="G2557">
        <v>-305.79680000000002</v>
      </c>
      <c r="H2557">
        <v>0.89980849999999901</v>
      </c>
      <c r="I2557">
        <v>283.91239999999999</v>
      </c>
      <c r="J2557">
        <v>-305.46339999999998</v>
      </c>
      <c r="K2557">
        <v>1.1209260000000001</v>
      </c>
      <c r="L2557">
        <v>283.78339999999997</v>
      </c>
      <c r="M2557">
        <v>-0.99986679999999994</v>
      </c>
      <c r="N2557">
        <v>-1.492811E-2</v>
      </c>
      <c r="O2557">
        <v>6.61183E-3</v>
      </c>
      <c r="P2557">
        <v>-0.99617940000000005</v>
      </c>
      <c r="Q2557">
        <v>-8.4195300000000001E-2</v>
      </c>
      <c r="R2557">
        <v>-2.3190860000000001E-2</v>
      </c>
      <c r="S2557">
        <v>-2.9462890000000002</v>
      </c>
      <c r="T2557">
        <v>-0.92328480000000002</v>
      </c>
      <c r="U2557">
        <v>0.54855350000000003</v>
      </c>
      <c r="V2557">
        <v>-2.9756950000000001E-2</v>
      </c>
      <c r="W2557">
        <v>-6.9326410000000005E-2</v>
      </c>
      <c r="X2557">
        <v>0.99715010000000004</v>
      </c>
      <c r="Y2557">
        <v>0.16859479999999999</v>
      </c>
      <c r="Z2557">
        <v>2.498073E-2</v>
      </c>
      <c r="AA2557">
        <v>0.98536880000000004</v>
      </c>
      <c r="AB2557">
        <v>38</v>
      </c>
      <c r="AC2557">
        <v>-0.33340000000004</v>
      </c>
      <c r="AD2557">
        <v>-0.22111749999999999</v>
      </c>
      <c r="AE2557">
        <v>0.12900000000001899</v>
      </c>
      <c r="AF2557">
        <v>9.1706926123229296E-2</v>
      </c>
      <c r="AG2557">
        <v>-0.22111749999999999</v>
      </c>
      <c r="AH2557">
        <v>0.241754335115024</v>
      </c>
      <c r="AI2557">
        <v>130.53624333222101</v>
      </c>
      <c r="AJ2557">
        <v>69.226293776338196</v>
      </c>
      <c r="AK2557">
        <v>0.34021797079538402</v>
      </c>
      <c r="AL2557">
        <v>93.975299464954105</v>
      </c>
      <c r="AM2557">
        <v>91.709313177327502</v>
      </c>
      <c r="AN2557">
        <v>0.99999997456339995</v>
      </c>
    </row>
    <row r="2558" spans="1:40" x14ac:dyDescent="0.25">
      <c r="A2558" t="str">
        <f>"20190303154147477"</f>
        <v>20190303154147477</v>
      </c>
      <c r="B2558" t="str">
        <f>"1551598907472413"</f>
        <v>1551598907472413</v>
      </c>
      <c r="C2558" t="s">
        <v>40</v>
      </c>
      <c r="D2558">
        <v>5.806953</v>
      </c>
      <c r="E2558">
        <v>0.57595580000000002</v>
      </c>
      <c r="F2558" t="s">
        <v>42</v>
      </c>
      <c r="G2558">
        <v>-306.1438</v>
      </c>
      <c r="H2558">
        <v>0.90955220000000003</v>
      </c>
      <c r="I2558">
        <v>283.90940000000001</v>
      </c>
      <c r="J2558">
        <v>-305.84359999999998</v>
      </c>
      <c r="K2558">
        <v>1.120935</v>
      </c>
      <c r="L2558">
        <v>283.78570000000002</v>
      </c>
      <c r="M2558">
        <v>-0.99986790000000003</v>
      </c>
      <c r="N2558">
        <v>-1.492973E-2</v>
      </c>
      <c r="O2558">
        <v>6.4550800000000002E-3</v>
      </c>
      <c r="P2558">
        <v>-0.99619150000000001</v>
      </c>
      <c r="Q2558">
        <v>-8.4063189999999996E-2</v>
      </c>
      <c r="R2558">
        <v>-2.3159539999999999E-2</v>
      </c>
      <c r="S2558">
        <v>-2.946777</v>
      </c>
      <c r="T2558">
        <v>-0.91544700000000001</v>
      </c>
      <c r="U2558">
        <v>0.54406739999999998</v>
      </c>
      <c r="V2558">
        <v>-2.9568460000000001E-2</v>
      </c>
      <c r="W2558">
        <v>-6.9192770000000001E-2</v>
      </c>
      <c r="X2558">
        <v>0.99716499999999997</v>
      </c>
      <c r="Y2558">
        <v>0.16744579999999901</v>
      </c>
      <c r="Z2558">
        <v>2.4651340000000001E-2</v>
      </c>
      <c r="AA2558">
        <v>0.98557309999999998</v>
      </c>
      <c r="AB2558">
        <v>38</v>
      </c>
      <c r="AC2558">
        <v>-0.30020000000001801</v>
      </c>
      <c r="AD2558">
        <v>-0.21138280000000001</v>
      </c>
      <c r="AE2558">
        <v>0.123699999999985</v>
      </c>
      <c r="AF2558">
        <v>8.5514376350526694E-2</v>
      </c>
      <c r="AG2558">
        <v>-0.21138280000000001</v>
      </c>
      <c r="AH2558">
        <v>0.21139372286045999</v>
      </c>
      <c r="AI2558">
        <v>132.82973997254899</v>
      </c>
      <c r="AJ2558">
        <v>67.975359900721202</v>
      </c>
      <c r="AK2558">
        <v>0.31093842278377998</v>
      </c>
      <c r="AL2558">
        <v>93.967623983113597</v>
      </c>
      <c r="AM2558">
        <v>91.698466840898504</v>
      </c>
      <c r="AN2558">
        <v>0.99999998523602196</v>
      </c>
    </row>
    <row r="2559" spans="1:40" x14ac:dyDescent="0.25">
      <c r="A2559" t="str">
        <f>"20190303154147500"</f>
        <v>20190303154147500</v>
      </c>
      <c r="B2559" t="str">
        <f>"1551598907491933"</f>
        <v>1551598907491933</v>
      </c>
      <c r="C2559" t="s">
        <v>40</v>
      </c>
      <c r="D2559">
        <v>5.7772810000000003</v>
      </c>
      <c r="E2559">
        <v>0.57585640000000005</v>
      </c>
      <c r="F2559" t="s">
        <v>42</v>
      </c>
      <c r="G2559">
        <v>-306.79480000000001</v>
      </c>
      <c r="H2559">
        <v>0.82672049999999997</v>
      </c>
      <c r="I2559">
        <v>283.96109999999999</v>
      </c>
      <c r="J2559">
        <v>-306.23660000000001</v>
      </c>
      <c r="K2559">
        <v>1.1209389999999999</v>
      </c>
      <c r="L2559">
        <v>283.78809999999999</v>
      </c>
      <c r="M2559">
        <v>-0.9998688</v>
      </c>
      <c r="N2559">
        <v>-1.4930570000000001E-2</v>
      </c>
      <c r="O2559">
        <v>6.2920469999999899E-3</v>
      </c>
      <c r="P2559">
        <v>-0.99614170000000002</v>
      </c>
      <c r="Q2559">
        <v>-8.4799830000000007E-2</v>
      </c>
      <c r="R2559">
        <v>-2.259707E-2</v>
      </c>
      <c r="S2559">
        <v>-2.9471440000000002</v>
      </c>
      <c r="T2559">
        <v>-0.91159840000000003</v>
      </c>
      <c r="U2559">
        <v>0.54229740000000004</v>
      </c>
      <c r="V2559">
        <v>-2.8842329999999999E-2</v>
      </c>
      <c r="W2559">
        <v>-6.9929179999999994E-2</v>
      </c>
      <c r="X2559">
        <v>0.99713490000000005</v>
      </c>
      <c r="Y2559">
        <v>0.16708529999999999</v>
      </c>
      <c r="Z2559">
        <v>2.454574E-2</v>
      </c>
      <c r="AA2559">
        <v>0.98563679999999998</v>
      </c>
      <c r="AB2559">
        <v>38</v>
      </c>
      <c r="AC2559">
        <v>-0.55819999999999903</v>
      </c>
      <c r="AD2559">
        <v>-0.29421849999999899</v>
      </c>
      <c r="AE2559">
        <v>0.17300000000000099</v>
      </c>
      <c r="AF2559">
        <v>0.13521169443745601</v>
      </c>
      <c r="AG2559">
        <v>-0.29421849999999899</v>
      </c>
      <c r="AH2559">
        <v>0.44618304784573298</v>
      </c>
      <c r="AI2559">
        <v>122.254860537082</v>
      </c>
      <c r="AJ2559">
        <v>73.141047247881801</v>
      </c>
      <c r="AK2559">
        <v>0.55129487594190996</v>
      </c>
      <c r="AL2559">
        <v>94.009919605208495</v>
      </c>
      <c r="AM2559">
        <v>91.656830119014998</v>
      </c>
      <c r="AN2559">
        <v>0.99999998950665503</v>
      </c>
    </row>
    <row r="2560" spans="1:40" x14ac:dyDescent="0.25">
      <c r="A2560" t="str">
        <f>"20190303154147522"</f>
        <v>20190303154147522</v>
      </c>
      <c r="B2560" t="str">
        <f>"1551598907512429"</f>
        <v>1551598907512429</v>
      </c>
      <c r="C2560" t="s">
        <v>40</v>
      </c>
      <c r="D2560">
        <v>5.7383170000000003</v>
      </c>
      <c r="E2560">
        <v>0.57585540000000002</v>
      </c>
      <c r="F2560" t="s">
        <v>42</v>
      </c>
      <c r="G2560">
        <v>-307.14249999999998</v>
      </c>
      <c r="H2560">
        <v>0.84102080000000001</v>
      </c>
      <c r="I2560">
        <v>283.95510000000002</v>
      </c>
      <c r="J2560">
        <v>-306.60829999999999</v>
      </c>
      <c r="K2560">
        <v>1.12094</v>
      </c>
      <c r="L2560">
        <v>283.7903</v>
      </c>
      <c r="M2560">
        <v>-0.99986980000000003</v>
      </c>
      <c r="N2560">
        <v>-1.493072E-2</v>
      </c>
      <c r="O2560">
        <v>6.1378569999999896E-3</v>
      </c>
      <c r="P2560">
        <v>-0.99613030000000002</v>
      </c>
      <c r="Q2560">
        <v>-8.4998950000000004E-2</v>
      </c>
      <c r="R2560">
        <v>-2.2360749999999999E-2</v>
      </c>
      <c r="S2560">
        <v>-2.9464419999999998</v>
      </c>
      <c r="T2560">
        <v>-0.9104004</v>
      </c>
      <c r="U2560">
        <v>0.54275509999999905</v>
      </c>
      <c r="V2560">
        <v>-2.8451569999999999E-2</v>
      </c>
      <c r="W2560">
        <v>-7.0128319999999994E-2</v>
      </c>
      <c r="X2560">
        <v>0.99713209999999997</v>
      </c>
      <c r="Y2560">
        <v>0.16742089999999901</v>
      </c>
      <c r="Z2560">
        <v>2.4618270000000001E-2</v>
      </c>
      <c r="AA2560">
        <v>0.98557810000000001</v>
      </c>
      <c r="AB2560">
        <v>38</v>
      </c>
      <c r="AC2560">
        <v>-0.53419999999999801</v>
      </c>
      <c r="AD2560">
        <v>-0.27991919999999998</v>
      </c>
      <c r="AE2560">
        <v>0.16480000000001299</v>
      </c>
      <c r="AF2560">
        <v>0.129140568309456</v>
      </c>
      <c r="AG2560">
        <v>-0.27991919999999998</v>
      </c>
      <c r="AH2560">
        <v>0.427917436918684</v>
      </c>
      <c r="AI2560">
        <v>122.05670197888099</v>
      </c>
      <c r="AJ2560">
        <v>73.206788871523898</v>
      </c>
      <c r="AK2560">
        <v>0.52739489733119804</v>
      </c>
      <c r="AL2560">
        <v>94.021357730637106</v>
      </c>
      <c r="AM2560">
        <v>91.634399993680503</v>
      </c>
      <c r="AN2560">
        <v>0.99999994897594702</v>
      </c>
    </row>
    <row r="2561" spans="1:40" x14ac:dyDescent="0.25">
      <c r="A2561" t="str">
        <f>"20190303154147543"</f>
        <v>20190303154147543</v>
      </c>
      <c r="B2561" t="str">
        <f>"1551598907531950"</f>
        <v>1551598907531950</v>
      </c>
      <c r="C2561" t="s">
        <v>40</v>
      </c>
      <c r="D2561">
        <v>5.6825830000000002</v>
      </c>
      <c r="E2561">
        <v>0.57583200000000001</v>
      </c>
      <c r="F2561" t="s">
        <v>42</v>
      </c>
      <c r="G2561">
        <v>-307.48779999999999</v>
      </c>
      <c r="H2561">
        <v>0.85039209999999998</v>
      </c>
      <c r="I2561">
        <v>283.9529</v>
      </c>
      <c r="J2561">
        <v>-306.98770000000002</v>
      </c>
      <c r="K2561">
        <v>1.120943</v>
      </c>
      <c r="L2561">
        <v>283.79239999999999</v>
      </c>
      <c r="M2561">
        <v>-0.9998707</v>
      </c>
      <c r="N2561">
        <v>-1.4930280000000001E-2</v>
      </c>
      <c r="O2561">
        <v>5.9808219999999898E-3</v>
      </c>
      <c r="P2561">
        <v>-0.99608439999999998</v>
      </c>
      <c r="Q2561">
        <v>-8.5555530000000005E-2</v>
      </c>
      <c r="R2561">
        <v>-2.2275719999999999E-2</v>
      </c>
      <c r="S2561">
        <v>-2.9465029999999999</v>
      </c>
      <c r="T2561">
        <v>-0.90635399999999999</v>
      </c>
      <c r="U2561">
        <v>0.54394529999999996</v>
      </c>
      <c r="V2561">
        <v>-2.8209390000000001E-2</v>
      </c>
      <c r="W2561">
        <v>-7.0685990000000004E-2</v>
      </c>
      <c r="X2561">
        <v>0.99709959999999997</v>
      </c>
      <c r="Y2561">
        <v>0.16798969999999999</v>
      </c>
      <c r="Z2561">
        <v>2.465175E-2</v>
      </c>
      <c r="AA2561">
        <v>0.98548049999999998</v>
      </c>
      <c r="AB2561">
        <v>38</v>
      </c>
      <c r="AC2561">
        <v>-0.50009999999997401</v>
      </c>
      <c r="AD2561">
        <v>-0.27055089999999998</v>
      </c>
      <c r="AE2561">
        <v>0.16050000000001299</v>
      </c>
      <c r="AF2561">
        <v>0.124476680185612</v>
      </c>
      <c r="AG2561">
        <v>-0.27055089999999998</v>
      </c>
      <c r="AH2561">
        <v>0.39598021614238699</v>
      </c>
      <c r="AI2561">
        <v>123.096222599976</v>
      </c>
      <c r="AJ2561">
        <v>72.549420047674005</v>
      </c>
      <c r="AK2561">
        <v>0.49547206276137601</v>
      </c>
      <c r="AL2561">
        <v>94.0533893755089</v>
      </c>
      <c r="AM2561">
        <v>91.620548208199196</v>
      </c>
      <c r="AN2561">
        <v>0.99999994559330396</v>
      </c>
    </row>
    <row r="2562" spans="1:40" x14ac:dyDescent="0.25">
      <c r="A2562" t="str">
        <f>"20190303154147558"</f>
        <v>20190303154147558</v>
      </c>
      <c r="B2562" t="str">
        <f>"1551598907552446"</f>
        <v>1551598907552446</v>
      </c>
      <c r="C2562" t="s">
        <v>40</v>
      </c>
      <c r="D2562">
        <v>5.6566530000000004</v>
      </c>
      <c r="E2562">
        <v>0.57588209999999995</v>
      </c>
      <c r="F2562" t="s">
        <v>42</v>
      </c>
      <c r="G2562">
        <v>-307.83350000000002</v>
      </c>
      <c r="H2562">
        <v>0.86155149999999903</v>
      </c>
      <c r="I2562">
        <v>283.94880000000001</v>
      </c>
      <c r="J2562">
        <v>-307.22460000000001</v>
      </c>
      <c r="K2562">
        <v>1.120943</v>
      </c>
      <c r="L2562">
        <v>283.79379999999998</v>
      </c>
      <c r="M2562">
        <v>-0.99987130000000002</v>
      </c>
      <c r="N2562">
        <v>-1.492977E-2</v>
      </c>
      <c r="O2562">
        <v>5.8825219999999899E-3</v>
      </c>
      <c r="P2562">
        <v>-0.99609219999999998</v>
      </c>
      <c r="Q2562">
        <v>-8.5451609999999997E-2</v>
      </c>
      <c r="R2562">
        <v>-2.233429E-2</v>
      </c>
      <c r="S2562">
        <v>-2.9463810000000001</v>
      </c>
      <c r="T2562">
        <v>-0.90366519999999995</v>
      </c>
      <c r="U2562">
        <v>0.54446410000000001</v>
      </c>
      <c r="V2562">
        <v>-2.8169659999999999E-2</v>
      </c>
      <c r="W2562">
        <v>-7.0582519999999996E-2</v>
      </c>
      <c r="X2562">
        <v>0.99710810000000005</v>
      </c>
      <c r="Y2562">
        <v>0.16828670000000001</v>
      </c>
      <c r="Z2562">
        <v>2.4660339999999999E-2</v>
      </c>
      <c r="AA2562">
        <v>0.98542960000000002</v>
      </c>
      <c r="AB2562">
        <v>38</v>
      </c>
      <c r="AC2562">
        <v>-0.60890000000000499</v>
      </c>
      <c r="AD2562">
        <v>-0.2593915</v>
      </c>
      <c r="AE2562">
        <v>0.155000000000029</v>
      </c>
      <c r="AF2562">
        <v>0.12936678260638099</v>
      </c>
      <c r="AG2562">
        <v>-0.2593915</v>
      </c>
      <c r="AH2562">
        <v>0.52100526897907395</v>
      </c>
      <c r="AI2562">
        <v>115.789585228863</v>
      </c>
      <c r="AJ2562">
        <v>76.055344742880294</v>
      </c>
      <c r="AK2562">
        <v>0.59620986658905095</v>
      </c>
      <c r="AL2562">
        <v>94.047445946251599</v>
      </c>
      <c r="AM2562">
        <v>91.618253260770103</v>
      </c>
      <c r="AN2562">
        <v>0.99999999247983795</v>
      </c>
    </row>
    <row r="2563" spans="1:40" x14ac:dyDescent="0.25">
      <c r="A2563" t="str">
        <f>"20190303154147578"</f>
        <v>20190303154147578</v>
      </c>
      <c r="B2563" t="str">
        <f>"1551598907571966"</f>
        <v>1551598907571966</v>
      </c>
      <c r="C2563" t="s">
        <v>40</v>
      </c>
      <c r="D2563">
        <v>5.594735</v>
      </c>
      <c r="E2563">
        <v>0.57595909999999995</v>
      </c>
      <c r="F2563" t="s">
        <v>42</v>
      </c>
      <c r="G2563">
        <v>-308.16320000000002</v>
      </c>
      <c r="H2563">
        <v>0.83450480000000005</v>
      </c>
      <c r="I2563">
        <v>283.96749999999997</v>
      </c>
      <c r="J2563">
        <v>-307.57389999999998</v>
      </c>
      <c r="K2563">
        <v>1.120949</v>
      </c>
      <c r="L2563">
        <v>283.79570000000001</v>
      </c>
      <c r="M2563">
        <v>-0.99987230000000005</v>
      </c>
      <c r="N2563">
        <v>-1.492865E-2</v>
      </c>
      <c r="O2563">
        <v>5.7382659999999997E-3</v>
      </c>
      <c r="P2563">
        <v>-0.99604389999999998</v>
      </c>
      <c r="Q2563">
        <v>-8.5886870000000004E-2</v>
      </c>
      <c r="R2563">
        <v>-2.2809449999999998E-2</v>
      </c>
      <c r="S2563">
        <v>-2.946869</v>
      </c>
      <c r="T2563">
        <v>-0.89938499999999999</v>
      </c>
      <c r="U2563">
        <v>0.54489140000000003</v>
      </c>
      <c r="V2563">
        <v>-2.8500640000000001E-2</v>
      </c>
      <c r="W2563">
        <v>-7.1019760000000001E-2</v>
      </c>
      <c r="X2563">
        <v>0.99706760000000005</v>
      </c>
      <c r="Y2563">
        <v>0.168589299999999</v>
      </c>
      <c r="Z2563">
        <v>2.463827E-2</v>
      </c>
      <c r="AA2563">
        <v>0.98537839999999999</v>
      </c>
      <c r="AB2563">
        <v>38</v>
      </c>
      <c r="AC2563">
        <v>-0.58930000000003602</v>
      </c>
      <c r="AD2563">
        <v>-0.28644419999999898</v>
      </c>
      <c r="AE2563">
        <v>0.17179999999996101</v>
      </c>
      <c r="AF2563">
        <v>0.138299035389951</v>
      </c>
      <c r="AG2563">
        <v>-0.28644419999999898</v>
      </c>
      <c r="AH2563">
        <v>0.48472238722618799</v>
      </c>
      <c r="AI2563">
        <v>119.60815659260101</v>
      </c>
      <c r="AJ2563">
        <v>74.075706022343198</v>
      </c>
      <c r="AK2563">
        <v>0.57976951936237997</v>
      </c>
      <c r="AL2563">
        <v>94.072561170803993</v>
      </c>
      <c r="AM2563">
        <v>91.637323139653105</v>
      </c>
      <c r="AN2563">
        <v>0.99999994588031205</v>
      </c>
    </row>
    <row r="2564" spans="1:40" x14ac:dyDescent="0.25">
      <c r="A2564" t="str">
        <f>"20190303154147601"</f>
        <v>20190303154147601</v>
      </c>
      <c r="B2564" t="str">
        <f>"1551598907592461"</f>
        <v>1551598907592461</v>
      </c>
      <c r="C2564" t="s">
        <v>40</v>
      </c>
      <c r="D2564">
        <v>5.5230949999999996</v>
      </c>
      <c r="E2564">
        <v>0.57615119999999997</v>
      </c>
      <c r="F2564" t="s">
        <v>42</v>
      </c>
      <c r="G2564">
        <v>-308.50470000000001</v>
      </c>
      <c r="H2564">
        <v>0.83763529999999997</v>
      </c>
      <c r="I2564">
        <v>283.9676</v>
      </c>
      <c r="J2564">
        <v>-307.9547</v>
      </c>
      <c r="K2564">
        <v>1.1209519999999999</v>
      </c>
      <c r="L2564">
        <v>283.79770000000002</v>
      </c>
      <c r="M2564">
        <v>-0.99987309999999996</v>
      </c>
      <c r="N2564">
        <v>-1.4927019999999999E-2</v>
      </c>
      <c r="O2564">
        <v>5.5812630000000004E-3</v>
      </c>
      <c r="P2564">
        <v>-0.99606790000000001</v>
      </c>
      <c r="Q2564">
        <v>-8.5534009999999994E-2</v>
      </c>
      <c r="R2564">
        <v>-2.3084159999999999E-2</v>
      </c>
      <c r="S2564">
        <v>-2.9470209999999999</v>
      </c>
      <c r="T2564">
        <v>-0.89692369999999899</v>
      </c>
      <c r="U2564">
        <v>0.54382319999999995</v>
      </c>
      <c r="V2564">
        <v>-2.8618790000000002E-2</v>
      </c>
      <c r="W2564">
        <v>-7.0668300000000003E-2</v>
      </c>
      <c r="X2564">
        <v>0.99708929999999996</v>
      </c>
      <c r="Y2564">
        <v>0.1684302</v>
      </c>
      <c r="Z2564">
        <v>2.4595929999999998E-2</v>
      </c>
      <c r="AA2564">
        <v>0.98540669999999997</v>
      </c>
      <c r="AB2564">
        <v>38</v>
      </c>
      <c r="AC2564">
        <v>-0.55000000000001104</v>
      </c>
      <c r="AD2564">
        <v>-0.28331669999999898</v>
      </c>
      <c r="AE2564">
        <v>0.16989999999998401</v>
      </c>
      <c r="AF2564">
        <v>0.13429613108965899</v>
      </c>
      <c r="AG2564">
        <v>-0.28331669999999898</v>
      </c>
      <c r="AH2564">
        <v>0.44350700002918098</v>
      </c>
      <c r="AI2564">
        <v>121.441405550765</v>
      </c>
      <c r="AJ2564">
        <v>73.153425905715693</v>
      </c>
      <c r="AK2564">
        <v>0.54314110726350395</v>
      </c>
      <c r="AL2564">
        <v>94.052372815932699</v>
      </c>
      <c r="AM2564">
        <v>91.644071217732005</v>
      </c>
      <c r="AN2564">
        <v>1.00000005797022</v>
      </c>
    </row>
    <row r="2565" spans="1:40" x14ac:dyDescent="0.25">
      <c r="A2565" t="str">
        <f>"20190303154147613"</f>
        <v>20190303154147613</v>
      </c>
      <c r="B2565" t="str">
        <f>"1551598907602222"</f>
        <v>1551598907602222</v>
      </c>
      <c r="C2565" t="s">
        <v>40</v>
      </c>
      <c r="D2565">
        <v>5.503145</v>
      </c>
      <c r="E2565">
        <v>0.57624069999999905</v>
      </c>
      <c r="F2565" t="s">
        <v>42</v>
      </c>
      <c r="G2565">
        <v>-308.84980000000002</v>
      </c>
      <c r="H2565">
        <v>0.85010580000000002</v>
      </c>
      <c r="I2565">
        <v>283.9633</v>
      </c>
      <c r="J2565">
        <v>-308.1773</v>
      </c>
      <c r="K2565">
        <v>1.1209450000000001</v>
      </c>
      <c r="L2565">
        <v>283.7989</v>
      </c>
      <c r="M2565">
        <v>-0.99987360000000003</v>
      </c>
      <c r="N2565">
        <v>-1.492593E-2</v>
      </c>
      <c r="O2565">
        <v>5.4891230000000003E-3</v>
      </c>
      <c r="P2565">
        <v>-0.99603359999999996</v>
      </c>
      <c r="Q2565">
        <v>-8.5814500000000002E-2</v>
      </c>
      <c r="R2565">
        <v>-2.35187E-2</v>
      </c>
      <c r="S2565">
        <v>-2.9478759999999999</v>
      </c>
      <c r="T2565">
        <v>-0.89201779999999997</v>
      </c>
      <c r="U2565">
        <v>0.5446472</v>
      </c>
      <c r="V2565">
        <v>-2.896195E-2</v>
      </c>
      <c r="W2565">
        <v>-7.0950490000000005E-2</v>
      </c>
      <c r="X2565">
        <v>0.99705929999999998</v>
      </c>
      <c r="Y2565">
        <v>0.168799</v>
      </c>
      <c r="Z2565">
        <v>2.454974E-2</v>
      </c>
      <c r="AA2565">
        <v>0.98534469999999996</v>
      </c>
      <c r="AB2565">
        <v>38</v>
      </c>
      <c r="AC2565">
        <v>-0.67250000000001298</v>
      </c>
      <c r="AD2565">
        <v>-0.270839199999999</v>
      </c>
      <c r="AE2565">
        <v>0.16439999999999999</v>
      </c>
      <c r="AF2565">
        <v>0.139374543413712</v>
      </c>
      <c r="AG2565">
        <v>-0.270839199999999</v>
      </c>
      <c r="AH2565">
        <v>0.584010206550858</v>
      </c>
      <c r="AI2565">
        <v>114.279649383264</v>
      </c>
      <c r="AJ2565">
        <v>76.57737860652</v>
      </c>
      <c r="AK2565">
        <v>0.65867067413389202</v>
      </c>
      <c r="AL2565">
        <v>94.068582004932296</v>
      </c>
      <c r="AM2565">
        <v>91.663823838988705</v>
      </c>
      <c r="AN2565">
        <v>1.0000000071477599</v>
      </c>
    </row>
    <row r="2566" spans="1:40" x14ac:dyDescent="0.25">
      <c r="A2566" t="str">
        <f>"20190303154147625"</f>
        <v>20190303154147625</v>
      </c>
      <c r="B2566" t="str">
        <f>"1551598907621742"</f>
        <v>1551598907621742</v>
      </c>
      <c r="C2566" t="s">
        <v>40</v>
      </c>
      <c r="D2566">
        <v>5.4869810000000001</v>
      </c>
      <c r="E2566">
        <v>0.57641759999999997</v>
      </c>
      <c r="F2566" t="s">
        <v>42</v>
      </c>
      <c r="G2566">
        <v>-308.87430000000001</v>
      </c>
      <c r="H2566">
        <v>0.91030359999999999</v>
      </c>
      <c r="I2566">
        <v>283.92770000000002</v>
      </c>
      <c r="J2566">
        <v>-308.37540000000001</v>
      </c>
      <c r="K2566">
        <v>1.1209480000000001</v>
      </c>
      <c r="L2566">
        <v>283.79989999999998</v>
      </c>
      <c r="M2566">
        <v>-0.99987409999999999</v>
      </c>
      <c r="N2566">
        <v>-1.492485E-2</v>
      </c>
      <c r="O2566">
        <v>5.4072919999999898E-3</v>
      </c>
      <c r="P2566">
        <v>-0.99603140000000001</v>
      </c>
      <c r="Q2566">
        <v>-8.5751369999999993E-2</v>
      </c>
      <c r="R2566">
        <v>-2.3840449999999999E-2</v>
      </c>
      <c r="S2566">
        <v>-2.948029</v>
      </c>
      <c r="T2566">
        <v>-0.89103559999999904</v>
      </c>
      <c r="U2566">
        <v>0.54403690000000005</v>
      </c>
      <c r="V2566">
        <v>-2.9202180000000001E-2</v>
      </c>
      <c r="W2566">
        <v>-7.0888569999999998E-2</v>
      </c>
      <c r="X2566">
        <v>0.99705670000000002</v>
      </c>
      <c r="Y2566">
        <v>0.16869089999999901</v>
      </c>
      <c r="Z2566">
        <v>2.453052E-2</v>
      </c>
      <c r="AA2566">
        <v>0.98536369999999895</v>
      </c>
      <c r="AB2566">
        <v>38</v>
      </c>
      <c r="AC2566">
        <v>-0.49889999999999102</v>
      </c>
      <c r="AD2566">
        <v>-0.21064440000000001</v>
      </c>
      <c r="AE2566">
        <v>0.127800000000036</v>
      </c>
      <c r="AF2566">
        <v>0.107171404836124</v>
      </c>
      <c r="AG2566">
        <v>-0.21064440000000001</v>
      </c>
      <c r="AH2566">
        <v>0.42798596602533401</v>
      </c>
      <c r="AI2566">
        <v>115.521436073812</v>
      </c>
      <c r="AJ2566">
        <v>75.941719896452796</v>
      </c>
      <c r="AK2566">
        <v>0.488905676363597</v>
      </c>
      <c r="AL2566">
        <v>94.065025283656496</v>
      </c>
      <c r="AM2566">
        <v>91.677621237280803</v>
      </c>
      <c r="AN2566">
        <v>1.0000000098441399</v>
      </c>
    </row>
    <row r="2567" spans="1:40" x14ac:dyDescent="0.25">
      <c r="A2567" t="str">
        <f>"20190303154147638"</f>
        <v>20190303154147638</v>
      </c>
      <c r="B2567" t="str">
        <f>"1551598907632478"</f>
        <v>1551598907632478</v>
      </c>
      <c r="C2567" t="s">
        <v>40</v>
      </c>
      <c r="D2567">
        <v>5.4975069999999997</v>
      </c>
      <c r="E2567">
        <v>0.57650959999999996</v>
      </c>
      <c r="F2567" t="s">
        <v>42</v>
      </c>
      <c r="G2567">
        <v>-309.19880000000001</v>
      </c>
      <c r="H2567">
        <v>0.87328030000000001</v>
      </c>
      <c r="I2567">
        <v>283.95209999999997</v>
      </c>
      <c r="J2567">
        <v>-308.59629999999999</v>
      </c>
      <c r="K2567">
        <v>1.1209499999999999</v>
      </c>
      <c r="L2567">
        <v>283.80099999999999</v>
      </c>
      <c r="M2567">
        <v>-0.9998745</v>
      </c>
      <c r="N2567">
        <v>-1.4923580000000001E-2</v>
      </c>
      <c r="O2567">
        <v>5.3158090000000003E-3</v>
      </c>
      <c r="P2567">
        <v>-0.99605909999999998</v>
      </c>
      <c r="Q2567">
        <v>-8.5308389999999998E-2</v>
      </c>
      <c r="R2567">
        <v>-2.426437E-2</v>
      </c>
      <c r="S2567">
        <v>-2.948639</v>
      </c>
      <c r="T2567">
        <v>-0.88695299999999999</v>
      </c>
      <c r="U2567">
        <v>0.54486080000000003</v>
      </c>
      <c r="V2567">
        <v>-2.9534950000000001E-2</v>
      </c>
      <c r="W2567">
        <v>-7.0446629999999996E-2</v>
      </c>
      <c r="X2567">
        <v>0.99707820000000003</v>
      </c>
      <c r="Y2567">
        <v>0.16905919999999999</v>
      </c>
      <c r="Z2567">
        <v>2.450542E-2</v>
      </c>
      <c r="AA2567">
        <v>0.98530119999999999</v>
      </c>
      <c r="AB2567">
        <v>38</v>
      </c>
      <c r="AC2567">
        <v>-0.60250000000002002</v>
      </c>
      <c r="AD2567">
        <v>-0.24766969999999899</v>
      </c>
      <c r="AE2567">
        <v>0.151099999999985</v>
      </c>
      <c r="AF2567">
        <v>0.127607711603136</v>
      </c>
      <c r="AG2567">
        <v>-0.24766969999999899</v>
      </c>
      <c r="AH2567">
        <v>0.52053961950335503</v>
      </c>
      <c r="AI2567">
        <v>114.80218623020799</v>
      </c>
      <c r="AJ2567">
        <v>76.225859372057101</v>
      </c>
      <c r="AK2567">
        <v>0.59041130056205504</v>
      </c>
      <c r="AL2567">
        <v>94.039640607580694</v>
      </c>
      <c r="AM2567">
        <v>91.696690695429893</v>
      </c>
      <c r="AN2567">
        <v>0.99999998893254904</v>
      </c>
    </row>
    <row r="2568" spans="1:40" x14ac:dyDescent="0.25">
      <c r="A2568" t="str">
        <f>"20190303154147656"</f>
        <v>20190303154147656</v>
      </c>
      <c r="B2568" t="str">
        <f>"1551598907651998"</f>
        <v>1551598907651998</v>
      </c>
      <c r="C2568" t="s">
        <v>40</v>
      </c>
      <c r="D2568">
        <v>5.4095449999999996</v>
      </c>
      <c r="E2568">
        <v>0.57660699999999998</v>
      </c>
      <c r="F2568" t="s">
        <v>42</v>
      </c>
      <c r="G2568">
        <v>-309.52539999999999</v>
      </c>
      <c r="H2568">
        <v>0.84246100000000002</v>
      </c>
      <c r="I2568">
        <v>283.97280000000001</v>
      </c>
      <c r="J2568">
        <v>-308.89620000000002</v>
      </c>
      <c r="K2568">
        <v>1.1209629999999999</v>
      </c>
      <c r="L2568">
        <v>283.80250000000001</v>
      </c>
      <c r="M2568">
        <v>-0.99987510000000002</v>
      </c>
      <c r="N2568">
        <v>-1.492166E-2</v>
      </c>
      <c r="O2568">
        <v>5.1914350000000003E-3</v>
      </c>
      <c r="P2568">
        <v>-0.99607900000000005</v>
      </c>
      <c r="Q2568">
        <v>-8.4937199999999893E-2</v>
      </c>
      <c r="R2568">
        <v>-2.4741929999999999E-2</v>
      </c>
      <c r="S2568">
        <v>-2.9493710000000002</v>
      </c>
      <c r="T2568">
        <v>-0.88405199999999995</v>
      </c>
      <c r="U2568">
        <v>0.54431149999999995</v>
      </c>
      <c r="V2568">
        <v>-2.9888990000000001E-2</v>
      </c>
      <c r="W2568">
        <v>-7.0077199999999895E-2</v>
      </c>
      <c r="X2568">
        <v>0.99709369999999997</v>
      </c>
      <c r="Y2568">
        <v>0.1690073</v>
      </c>
      <c r="Z2568">
        <v>2.4453920000000001E-2</v>
      </c>
      <c r="AA2568">
        <v>0.98531139999999995</v>
      </c>
      <c r="AB2568">
        <v>38</v>
      </c>
      <c r="AC2568">
        <v>-0.62919999999996801</v>
      </c>
      <c r="AD2568">
        <v>-0.27850199999999897</v>
      </c>
      <c r="AE2568">
        <v>0.17029999999999701</v>
      </c>
      <c r="AF2568">
        <v>0.14124669425327899</v>
      </c>
      <c r="AG2568">
        <v>-0.27850199999999897</v>
      </c>
      <c r="AH2568">
        <v>0.53281229971411703</v>
      </c>
      <c r="AI2568">
        <v>116.805178510437</v>
      </c>
      <c r="AJ2568">
        <v>75.152604969308399</v>
      </c>
      <c r="AK2568">
        <v>0.61757828602382503</v>
      </c>
      <c r="AL2568">
        <v>94.018421316512999</v>
      </c>
      <c r="AM2568">
        <v>91.716990410539395</v>
      </c>
      <c r="AN2568">
        <v>1.0000000061313701</v>
      </c>
    </row>
    <row r="2569" spans="1:40" x14ac:dyDescent="0.25">
      <c r="A2569" t="str">
        <f>"20190303154147669"</f>
        <v>20190303154147669</v>
      </c>
      <c r="B2569" t="str">
        <f>"1551598907661758"</f>
        <v>1551598907661758</v>
      </c>
      <c r="C2569" t="s">
        <v>40</v>
      </c>
      <c r="D2569">
        <v>5.3666559999999999</v>
      </c>
      <c r="E2569">
        <v>0.57682419999999901</v>
      </c>
      <c r="F2569" t="s">
        <v>42</v>
      </c>
      <c r="G2569">
        <v>-309.8605</v>
      </c>
      <c r="H2569">
        <v>0.83331259999999996</v>
      </c>
      <c r="I2569">
        <v>283.97989999999999</v>
      </c>
      <c r="J2569">
        <v>-309.12150000000003</v>
      </c>
      <c r="K2569">
        <v>1.1209639999999901</v>
      </c>
      <c r="L2569">
        <v>283.80349999999999</v>
      </c>
      <c r="M2569">
        <v>-0.99987579999999998</v>
      </c>
      <c r="N2569">
        <v>-1.492008E-2</v>
      </c>
      <c r="O2569">
        <v>5.0982850000000001E-3</v>
      </c>
      <c r="P2569">
        <v>-0.99610189999999998</v>
      </c>
      <c r="Q2569">
        <v>-8.4620249999999994E-2</v>
      </c>
      <c r="R2569">
        <v>-2.4914639999999998E-2</v>
      </c>
      <c r="S2569">
        <v>-2.950256</v>
      </c>
      <c r="T2569">
        <v>-0.88010909999999998</v>
      </c>
      <c r="U2569">
        <v>0.54309079999999998</v>
      </c>
      <c r="V2569">
        <v>-2.9968580000000002E-2</v>
      </c>
      <c r="W2569">
        <v>-6.9761509999999999E-2</v>
      </c>
      <c r="X2569">
        <v>0.99711349999999999</v>
      </c>
      <c r="Y2569">
        <v>0.16872699999999999</v>
      </c>
      <c r="Z2569">
        <v>2.433194E-2</v>
      </c>
      <c r="AA2569">
        <v>0.98536250000000003</v>
      </c>
      <c r="AB2569">
        <v>38</v>
      </c>
      <c r="AC2569">
        <v>-0.73899999999997501</v>
      </c>
      <c r="AD2569">
        <v>-0.287651399999999</v>
      </c>
      <c r="AE2569">
        <v>0.176400000000001</v>
      </c>
      <c r="AF2569">
        <v>0.15098668990686201</v>
      </c>
      <c r="AG2569">
        <v>-0.287651399999999</v>
      </c>
      <c r="AH2569">
        <v>0.64712819063678295</v>
      </c>
      <c r="AI2569">
        <v>113.406738126856</v>
      </c>
      <c r="AJ2569">
        <v>76.866807954363395</v>
      </c>
      <c r="AK2569">
        <v>0.72409612867893902</v>
      </c>
      <c r="AL2569">
        <v>94.000289028593798</v>
      </c>
      <c r="AM2569">
        <v>91.721525591690195</v>
      </c>
      <c r="AN2569">
        <v>1.00000005797347</v>
      </c>
    </row>
    <row r="2570" spans="1:40" x14ac:dyDescent="0.25">
      <c r="A2570" t="str">
        <f>"20190303154147682"</f>
        <v>20190303154147682</v>
      </c>
      <c r="B2570" t="str">
        <f>"1551598907672493"</f>
        <v>1551598907672493</v>
      </c>
      <c r="C2570" t="s">
        <v>40</v>
      </c>
      <c r="D2570">
        <v>5.3654099999999998</v>
      </c>
      <c r="E2570">
        <v>0.57701020000000003</v>
      </c>
      <c r="F2570" t="s">
        <v>42</v>
      </c>
      <c r="G2570">
        <v>-309.8852</v>
      </c>
      <c r="H2570">
        <v>0.89412930000000002</v>
      </c>
      <c r="I2570">
        <v>283.9443</v>
      </c>
      <c r="J2570">
        <v>-309.32429999999999</v>
      </c>
      <c r="K2570">
        <v>1.1209720000000001</v>
      </c>
      <c r="L2570">
        <v>283.80450000000002</v>
      </c>
      <c r="M2570">
        <v>-0.99987619999999999</v>
      </c>
      <c r="N2570">
        <v>-1.4918600000000001E-2</v>
      </c>
      <c r="O2570">
        <v>5.0145529999999997E-3</v>
      </c>
      <c r="P2570">
        <v>-0.99608660000000004</v>
      </c>
      <c r="Q2570">
        <v>-8.4745760000000003E-2</v>
      </c>
      <c r="R2570">
        <v>-2.5097629999999999E-2</v>
      </c>
      <c r="S2570">
        <v>-2.9508969999999999</v>
      </c>
      <c r="T2570">
        <v>-0.87644959999999905</v>
      </c>
      <c r="U2570">
        <v>0.54428100000000001</v>
      </c>
      <c r="V2570">
        <v>-3.006816E-2</v>
      </c>
      <c r="W2570">
        <v>-6.9888749999999999E-2</v>
      </c>
      <c r="X2570">
        <v>0.99710149999999997</v>
      </c>
      <c r="Y2570">
        <v>0.16919339999999999</v>
      </c>
      <c r="Z2570">
        <v>2.4328329999999999E-2</v>
      </c>
      <c r="AA2570">
        <v>0.98528249999999995</v>
      </c>
      <c r="AB2570">
        <v>38</v>
      </c>
      <c r="AC2570">
        <v>-0.56090000000000295</v>
      </c>
      <c r="AD2570">
        <v>-0.22684269999999901</v>
      </c>
      <c r="AE2570">
        <v>0.139799999999979</v>
      </c>
      <c r="AF2570">
        <v>0.11870533040921</v>
      </c>
      <c r="AG2570">
        <v>-0.22684269999999901</v>
      </c>
      <c r="AH2570">
        <v>0.486652397892607</v>
      </c>
      <c r="AI2570">
        <v>114.363468730663</v>
      </c>
      <c r="AJ2570">
        <v>76.291969587936407</v>
      </c>
      <c r="AK2570">
        <v>0.54989010027956797</v>
      </c>
      <c r="AL2570">
        <v>94.007597547892601</v>
      </c>
      <c r="AM2570">
        <v>91.727263215283102</v>
      </c>
      <c r="AN2570">
        <v>0.99999996646229805</v>
      </c>
    </row>
    <row r="2571" spans="1:40" x14ac:dyDescent="0.25">
      <c r="A2571" t="str">
        <f>"20190303154147693"</f>
        <v>20190303154147693</v>
      </c>
      <c r="B2571" t="str">
        <f>"1551598907692015"</f>
        <v>1551598907692015</v>
      </c>
      <c r="C2571" t="s">
        <v>40</v>
      </c>
      <c r="D2571">
        <v>5.4004849999999998</v>
      </c>
      <c r="E2571">
        <v>0.57718780000000003</v>
      </c>
      <c r="F2571" t="s">
        <v>42</v>
      </c>
      <c r="G2571">
        <v>-310.20940000000002</v>
      </c>
      <c r="H2571">
        <v>0.85892060000000003</v>
      </c>
      <c r="I2571">
        <v>283.96839999999997</v>
      </c>
      <c r="J2571">
        <v>-309.54939999999999</v>
      </c>
      <c r="K2571">
        <v>1.120973</v>
      </c>
      <c r="L2571">
        <v>283.80560000000003</v>
      </c>
      <c r="M2571">
        <v>-0.99987669999999995</v>
      </c>
      <c r="N2571">
        <v>-1.491688E-2</v>
      </c>
      <c r="O2571">
        <v>4.9214080000000004E-3</v>
      </c>
      <c r="P2571">
        <v>-0.99608390000000002</v>
      </c>
      <c r="Q2571">
        <v>-8.4723110000000004E-2</v>
      </c>
      <c r="R2571">
        <v>-2.527925E-2</v>
      </c>
      <c r="S2571">
        <v>-2.9511720000000001</v>
      </c>
      <c r="T2571">
        <v>-0.87381299999999995</v>
      </c>
      <c r="U2571">
        <v>0.54541019999999996</v>
      </c>
      <c r="V2571">
        <v>-3.0157110000000001E-2</v>
      </c>
      <c r="W2571">
        <v>-6.9867890000000002E-2</v>
      </c>
      <c r="X2571">
        <v>0.99710030000000005</v>
      </c>
      <c r="Y2571">
        <v>0.1696531</v>
      </c>
      <c r="Z2571">
        <v>2.43541E-2</v>
      </c>
      <c r="AA2571">
        <v>0.98520280000000005</v>
      </c>
      <c r="AB2571">
        <v>38</v>
      </c>
      <c r="AC2571">
        <v>-0.66000000000002501</v>
      </c>
      <c r="AD2571">
        <v>-0.26205240000000002</v>
      </c>
      <c r="AE2571">
        <v>0.16279999999994699</v>
      </c>
      <c r="AF2571">
        <v>0.138907092930278</v>
      </c>
      <c r="AG2571">
        <v>-0.26205240000000002</v>
      </c>
      <c r="AH2571">
        <v>0.57530017144324597</v>
      </c>
      <c r="AI2571">
        <v>113.882877063059</v>
      </c>
      <c r="AJ2571">
        <v>76.425656900566096</v>
      </c>
      <c r="AK2571">
        <v>0.64725337239347702</v>
      </c>
      <c r="AL2571">
        <v>94.006399331458098</v>
      </c>
      <c r="AM2571">
        <v>91.732371916024206</v>
      </c>
      <c r="AN2571">
        <v>0.999999990798347</v>
      </c>
    </row>
    <row r="2572" spans="1:40" x14ac:dyDescent="0.25">
      <c r="A2572" t="str">
        <f>"20190303154147711"</f>
        <v>20190303154147711</v>
      </c>
      <c r="B2572" t="str">
        <f>"1551598907701773"</f>
        <v>1551598907701773</v>
      </c>
      <c r="C2572" t="s">
        <v>40</v>
      </c>
      <c r="D2572">
        <v>5.4119250000000001</v>
      </c>
      <c r="E2572">
        <v>0.57718549999999902</v>
      </c>
      <c r="F2572" t="s">
        <v>42</v>
      </c>
      <c r="G2572">
        <v>-310.23390000000001</v>
      </c>
      <c r="H2572">
        <v>0.91933370000000003</v>
      </c>
      <c r="I2572">
        <v>283.93259999999998</v>
      </c>
      <c r="J2572">
        <v>-309.83409999999998</v>
      </c>
      <c r="K2572">
        <v>1.1209690000000001</v>
      </c>
      <c r="L2572">
        <v>283.80689999999998</v>
      </c>
      <c r="M2572">
        <v>-0.99987729999999997</v>
      </c>
      <c r="N2572">
        <v>-1.491458E-2</v>
      </c>
      <c r="O2572">
        <v>4.803061E-3</v>
      </c>
      <c r="P2572">
        <v>-0.99606950000000005</v>
      </c>
      <c r="Q2572">
        <v>-8.4773780000000007E-2</v>
      </c>
      <c r="R2572">
        <v>-2.5675429999999999E-2</v>
      </c>
      <c r="S2572">
        <v>-2.9516909999999998</v>
      </c>
      <c r="T2572">
        <v>-0.86951299999999898</v>
      </c>
      <c r="U2572">
        <v>0.54653929999999995</v>
      </c>
      <c r="V2572">
        <v>-3.0435139999999999E-2</v>
      </c>
      <c r="W2572">
        <v>-6.9921109999999995E-2</v>
      </c>
      <c r="X2572">
        <v>0.99708810000000003</v>
      </c>
      <c r="Y2572">
        <v>0.1701481</v>
      </c>
      <c r="Z2572">
        <v>2.4347339999999999E-2</v>
      </c>
      <c r="AA2572">
        <v>0.98511769999999999</v>
      </c>
      <c r="AB2572">
        <v>38</v>
      </c>
      <c r="AC2572">
        <v>-0.39980000000002702</v>
      </c>
      <c r="AD2572">
        <v>-0.20163529999999999</v>
      </c>
      <c r="AE2572">
        <v>0.12569999999999401</v>
      </c>
      <c r="AF2572">
        <v>0.100511859464429</v>
      </c>
      <c r="AG2572">
        <v>-0.20163529999999999</v>
      </c>
      <c r="AH2572">
        <v>0.32513729806293001</v>
      </c>
      <c r="AI2572">
        <v>120.64629302195701</v>
      </c>
      <c r="AJ2572">
        <v>72.821703499745297</v>
      </c>
      <c r="AK2572">
        <v>0.39556755515429998</v>
      </c>
      <c r="AL2572">
        <v>94.009456174985303</v>
      </c>
      <c r="AM2572">
        <v>91.7483548308645</v>
      </c>
      <c r="AN2572">
        <v>0.99999996926602996</v>
      </c>
    </row>
    <row r="2573" spans="1:40" x14ac:dyDescent="0.25">
      <c r="A2573" t="str">
        <f>"20190303154147733"</f>
        <v>20190303154147733</v>
      </c>
      <c r="B2573" t="str">
        <f>"1551598907722270"</f>
        <v>1551598907722270</v>
      </c>
      <c r="C2573" t="s">
        <v>40</v>
      </c>
      <c r="D2573">
        <v>5.4114820000000003</v>
      </c>
      <c r="E2573">
        <v>0.57713490000000001</v>
      </c>
      <c r="F2573" t="s">
        <v>42</v>
      </c>
      <c r="G2573">
        <v>-310.56630000000001</v>
      </c>
      <c r="H2573">
        <v>0.90564979999999995</v>
      </c>
      <c r="I2573">
        <v>283.94229999999999</v>
      </c>
      <c r="J2573">
        <v>-310.21050000000002</v>
      </c>
      <c r="K2573">
        <v>1.1209720000000001</v>
      </c>
      <c r="L2573">
        <v>283.80849999999998</v>
      </c>
      <c r="M2573">
        <v>-0.99987820000000005</v>
      </c>
      <c r="N2573">
        <v>-1.491139E-2</v>
      </c>
      <c r="O2573">
        <v>4.6473449999999998E-3</v>
      </c>
      <c r="P2573">
        <v>-0.99609490000000001</v>
      </c>
      <c r="Q2573">
        <v>-8.4510299999999997E-2</v>
      </c>
      <c r="R2573">
        <v>-2.5561500000000001E-2</v>
      </c>
      <c r="S2573">
        <v>-2.9520569999999999</v>
      </c>
      <c r="T2573">
        <v>-0.86810759999999898</v>
      </c>
      <c r="U2573">
        <v>0.54565430000000004</v>
      </c>
      <c r="V2573">
        <v>-3.0166579999999998E-2</v>
      </c>
      <c r="W2573">
        <v>-6.9660280000000005E-2</v>
      </c>
      <c r="X2573">
        <v>0.99711450000000001</v>
      </c>
      <c r="Y2573">
        <v>0.17001720000000001</v>
      </c>
      <c r="Z2573">
        <v>2.4331680000000001E-2</v>
      </c>
      <c r="AA2573">
        <v>0.98514069999999998</v>
      </c>
      <c r="AB2573">
        <v>38</v>
      </c>
      <c r="AC2573">
        <v>-0.35579999999998702</v>
      </c>
      <c r="AD2573">
        <v>-0.21532219999999899</v>
      </c>
      <c r="AE2573">
        <v>0.133800000000007</v>
      </c>
      <c r="AF2573">
        <v>0.100044216967278</v>
      </c>
      <c r="AG2573">
        <v>-0.21532219999999899</v>
      </c>
      <c r="AH2573">
        <v>0.26983696229600301</v>
      </c>
      <c r="AI2573">
        <v>126.803918837399</v>
      </c>
      <c r="AJ2573">
        <v>69.657334330795905</v>
      </c>
      <c r="AK2573">
        <v>0.35942242748967401</v>
      </c>
      <c r="AL2573">
        <v>93.994475258062906</v>
      </c>
      <c r="AM2573">
        <v>91.732890923939607</v>
      </c>
      <c r="AN2573">
        <v>0.99999995163441102</v>
      </c>
    </row>
    <row r="2574" spans="1:40" x14ac:dyDescent="0.25">
      <c r="A2574" t="str">
        <f>"20190303154147747"</f>
        <v>20190303154147747</v>
      </c>
      <c r="B2574" t="str">
        <f>"1551598907741790"</f>
        <v>1551598907741790</v>
      </c>
      <c r="C2574" t="s">
        <v>40</v>
      </c>
      <c r="D2574">
        <v>5.3763249999999996</v>
      </c>
      <c r="E2574">
        <v>0.57715499999999997</v>
      </c>
      <c r="F2574" t="s">
        <v>42</v>
      </c>
      <c r="G2574">
        <v>-310.90839999999997</v>
      </c>
      <c r="H2574">
        <v>0.91656150000000003</v>
      </c>
      <c r="I2574">
        <v>283.93759999999997</v>
      </c>
      <c r="J2574">
        <v>-310.4391</v>
      </c>
      <c r="K2574">
        <v>1.1209769999999999</v>
      </c>
      <c r="L2574">
        <v>283.80950000000001</v>
      </c>
      <c r="M2574">
        <v>-0.9998785</v>
      </c>
      <c r="N2574">
        <v>-1.490937E-2</v>
      </c>
      <c r="O2574">
        <v>4.5528340000000004E-3</v>
      </c>
      <c r="P2574">
        <v>-0.99610220000000005</v>
      </c>
      <c r="Q2574">
        <v>-8.4314E-2</v>
      </c>
      <c r="R2574">
        <v>-2.591456E-2</v>
      </c>
      <c r="S2574">
        <v>-2.9523320000000002</v>
      </c>
      <c r="T2574">
        <v>-0.86481790000000003</v>
      </c>
      <c r="U2574">
        <v>0.54531859999999999</v>
      </c>
      <c r="V2574">
        <v>-3.0425649999999999E-2</v>
      </c>
      <c r="W2574">
        <v>-6.9466009999999995E-2</v>
      </c>
      <c r="X2574">
        <v>0.99712020000000001</v>
      </c>
      <c r="Y2574">
        <v>0.1700342</v>
      </c>
      <c r="Z2574">
        <v>2.427402E-2</v>
      </c>
      <c r="AA2574">
        <v>0.98513910000000005</v>
      </c>
      <c r="AB2574">
        <v>38</v>
      </c>
      <c r="AC2574">
        <v>-0.46929999999997501</v>
      </c>
      <c r="AD2574">
        <v>-0.2044155</v>
      </c>
      <c r="AE2574">
        <v>0.12809999999996</v>
      </c>
      <c r="AF2574">
        <v>0.10705846110623</v>
      </c>
      <c r="AG2574">
        <v>-0.2044155</v>
      </c>
      <c r="AH2574">
        <v>0.39936285831971202</v>
      </c>
      <c r="AI2574">
        <v>116.307687026868</v>
      </c>
      <c r="AJ2574">
        <v>74.993373494747502</v>
      </c>
      <c r="AK2574">
        <v>0.46123519308480199</v>
      </c>
      <c r="AL2574">
        <v>93.983317303795701</v>
      </c>
      <c r="AM2574">
        <v>91.747753781602</v>
      </c>
      <c r="AN2574">
        <v>0.99999996998564</v>
      </c>
    </row>
    <row r="2575" spans="1:40" x14ac:dyDescent="0.25">
      <c r="A2575" t="str">
        <f>"20190303154147763"</f>
        <v>20190303154147763</v>
      </c>
      <c r="B2575" t="str">
        <f>"1551598907752526"</f>
        <v>1551598907752526</v>
      </c>
      <c r="C2575" t="s">
        <v>40</v>
      </c>
      <c r="D2575">
        <v>5.3777929999999996</v>
      </c>
      <c r="E2575">
        <v>0.57719119999999902</v>
      </c>
      <c r="F2575" t="s">
        <v>42</v>
      </c>
      <c r="G2575">
        <v>-311.23430000000002</v>
      </c>
      <c r="H2575">
        <v>0.88879359999999996</v>
      </c>
      <c r="I2575">
        <v>283.95609999999999</v>
      </c>
      <c r="J2575">
        <v>-310.68900000000002</v>
      </c>
      <c r="K2575">
        <v>1.120978</v>
      </c>
      <c r="L2575">
        <v>283.81049999999999</v>
      </c>
      <c r="M2575">
        <v>-0.99987910000000002</v>
      </c>
      <c r="N2575">
        <v>-1.4907119999999999E-2</v>
      </c>
      <c r="O2575">
        <v>4.449087E-3</v>
      </c>
      <c r="P2575">
        <v>-0.99610849999999995</v>
      </c>
      <c r="Q2575">
        <v>-8.4276660000000003E-2</v>
      </c>
      <c r="R2575">
        <v>-2.5803059999999999E-2</v>
      </c>
      <c r="S2575">
        <v>-2.9529109999999998</v>
      </c>
      <c r="T2575">
        <v>-0.86222269999999901</v>
      </c>
      <c r="U2575">
        <v>0.54400630000000005</v>
      </c>
      <c r="V2575">
        <v>-3.0210339999999999E-2</v>
      </c>
      <c r="W2575">
        <v>-6.943067E-2</v>
      </c>
      <c r="X2575">
        <v>0.9971293</v>
      </c>
      <c r="Y2575">
        <v>0.1697303</v>
      </c>
      <c r="Z2575">
        <v>2.4186679999999999E-2</v>
      </c>
      <c r="AA2575">
        <v>0.98519369999999995</v>
      </c>
      <c r="AB2575">
        <v>38</v>
      </c>
      <c r="AC2575">
        <v>-0.54529999999999701</v>
      </c>
      <c r="AD2575">
        <v>-0.23218440000000001</v>
      </c>
      <c r="AE2575">
        <v>0.14560000000000101</v>
      </c>
      <c r="AF2575">
        <v>0.12244961759048199</v>
      </c>
      <c r="AG2575">
        <v>-0.23218440000000001</v>
      </c>
      <c r="AH2575">
        <v>0.46692335900200399</v>
      </c>
      <c r="AI2575">
        <v>115.68752555323201</v>
      </c>
      <c r="AJ2575">
        <v>75.305216122359198</v>
      </c>
      <c r="AK2575">
        <v>0.53565000479149605</v>
      </c>
      <c r="AL2575">
        <v>93.981287204269194</v>
      </c>
      <c r="AM2575">
        <v>91.735377397974602</v>
      </c>
      <c r="AN2575">
        <v>1.0000000617490199</v>
      </c>
    </row>
    <row r="2576" spans="1:40" x14ac:dyDescent="0.25">
      <c r="A2576" t="str">
        <f>"20190303154147779"</f>
        <v>20190303154147779</v>
      </c>
      <c r="B2576" t="str">
        <f>"1551598907772046"</f>
        <v>1551598907772046</v>
      </c>
      <c r="C2576" t="s">
        <v>40</v>
      </c>
      <c r="D2576">
        <v>5.3732499999999996</v>
      </c>
      <c r="E2576">
        <v>0.57720649999999996</v>
      </c>
      <c r="F2576" t="s">
        <v>42</v>
      </c>
      <c r="G2576">
        <v>-311.56220000000002</v>
      </c>
      <c r="H2576">
        <v>0.86655159999999998</v>
      </c>
      <c r="I2576">
        <v>283.9717</v>
      </c>
      <c r="J2576">
        <v>-310.98399999999998</v>
      </c>
      <c r="K2576">
        <v>1.1209830000000001</v>
      </c>
      <c r="L2576">
        <v>283.81169999999997</v>
      </c>
      <c r="M2576">
        <v>-0.99987969999999904</v>
      </c>
      <c r="N2576">
        <v>-1.490439E-2</v>
      </c>
      <c r="O2576">
        <v>4.3266290000000002E-3</v>
      </c>
      <c r="P2576">
        <v>-0.99613479999999999</v>
      </c>
      <c r="Q2576">
        <v>-8.4044220000000003E-2</v>
      </c>
      <c r="R2576">
        <v>-2.5539969999999999E-2</v>
      </c>
      <c r="S2576">
        <v>-2.953033</v>
      </c>
      <c r="T2576">
        <v>-0.86044359999999998</v>
      </c>
      <c r="U2576">
        <v>0.54470830000000003</v>
      </c>
      <c r="V2576">
        <v>-2.982568E-2</v>
      </c>
      <c r="W2576">
        <v>-6.9200360000000002E-2</v>
      </c>
      <c r="X2576">
        <v>0.99715679999999995</v>
      </c>
      <c r="Y2576">
        <v>0.1700796</v>
      </c>
      <c r="Z2576">
        <v>2.4224780000000001E-2</v>
      </c>
      <c r="AA2576">
        <v>0.98513249999999997</v>
      </c>
      <c r="AB2576">
        <v>38</v>
      </c>
      <c r="AC2576">
        <v>-0.57819999999998095</v>
      </c>
      <c r="AD2576">
        <v>-0.25443139999999997</v>
      </c>
      <c r="AE2576">
        <v>0.16000000000002401</v>
      </c>
      <c r="AF2576">
        <v>0.13348719622254901</v>
      </c>
      <c r="AG2576">
        <v>-0.25443139999999997</v>
      </c>
      <c r="AH2576">
        <v>0.49063921596952598</v>
      </c>
      <c r="AI2576">
        <v>116.582578844015</v>
      </c>
      <c r="AJ2576">
        <v>74.780049326154199</v>
      </c>
      <c r="AK2576">
        <v>0.56857805894046698</v>
      </c>
      <c r="AL2576">
        <v>93.968059953986796</v>
      </c>
      <c r="AM2576">
        <v>91.713247344437804</v>
      </c>
      <c r="AN2576">
        <v>0.99999997239891503</v>
      </c>
    </row>
    <row r="2577" spans="1:40" x14ac:dyDescent="0.25">
      <c r="A2577" t="str">
        <f>"20190303154147801"</f>
        <v>20190303154147801</v>
      </c>
      <c r="B2577" t="str">
        <f>"1551598907791565"</f>
        <v>1551598907791565</v>
      </c>
      <c r="C2577" t="s">
        <v>40</v>
      </c>
      <c r="D2577">
        <v>5.3770499999999997</v>
      </c>
      <c r="E2577">
        <v>0.57723829999999998</v>
      </c>
      <c r="F2577" t="s">
        <v>42</v>
      </c>
      <c r="G2577">
        <v>-311.89460000000003</v>
      </c>
      <c r="H2577">
        <v>0.85640260000000001</v>
      </c>
      <c r="I2577">
        <v>283.98</v>
      </c>
      <c r="J2577">
        <v>-311.3417</v>
      </c>
      <c r="K2577">
        <v>1.120984</v>
      </c>
      <c r="L2577">
        <v>283.81310000000002</v>
      </c>
      <c r="M2577">
        <v>-0.99988030000000006</v>
      </c>
      <c r="N2577">
        <v>-1.490094E-2</v>
      </c>
      <c r="O2577">
        <v>4.1784880000000002E-3</v>
      </c>
      <c r="P2577">
        <v>-0.9961411</v>
      </c>
      <c r="Q2577">
        <v>-8.3974170000000001E-2</v>
      </c>
      <c r="R2577">
        <v>-2.552103E-2</v>
      </c>
      <c r="S2577">
        <v>-2.9532470000000002</v>
      </c>
      <c r="T2577">
        <v>-0.85803169999999995</v>
      </c>
      <c r="U2577">
        <v>0.54580689999999998</v>
      </c>
      <c r="V2577">
        <v>-2.9659399999999999E-2</v>
      </c>
      <c r="W2577">
        <v>-6.9133539999999993E-2</v>
      </c>
      <c r="X2577">
        <v>0.99716640000000001</v>
      </c>
      <c r="Y2577">
        <v>0.17057999999999901</v>
      </c>
      <c r="Z2577">
        <v>2.4274690000000002E-2</v>
      </c>
      <c r="AA2577">
        <v>0.98504480000000005</v>
      </c>
      <c r="AB2577">
        <v>38</v>
      </c>
      <c r="AC2577">
        <v>-0.55290000000002204</v>
      </c>
      <c r="AD2577">
        <v>-0.26458140000000002</v>
      </c>
      <c r="AE2577">
        <v>0.16689999999999799</v>
      </c>
      <c r="AF2577">
        <v>0.136037643376444</v>
      </c>
      <c r="AG2577">
        <v>-0.26458140000000002</v>
      </c>
      <c r="AH2577">
        <v>0.45756335770561701</v>
      </c>
      <c r="AI2577">
        <v>118.99794807258399</v>
      </c>
      <c r="AJ2577">
        <v>73.442319573209701</v>
      </c>
      <c r="AK2577">
        <v>0.54577814536331004</v>
      </c>
      <c r="AL2577">
        <v>93.964222237447103</v>
      </c>
      <c r="AM2577">
        <v>91.703685137721195</v>
      </c>
      <c r="AN2577">
        <v>0.99999997782512495</v>
      </c>
    </row>
    <row r="2578" spans="1:40" x14ac:dyDescent="0.25">
      <c r="A2578" t="str">
        <f>"20190303154147816"</f>
        <v>20190303154147816</v>
      </c>
      <c r="B2578" t="str">
        <f>"1551598907812062"</f>
        <v>1551598907812062</v>
      </c>
      <c r="C2578" t="s">
        <v>40</v>
      </c>
      <c r="D2578">
        <v>5.3900699999999997</v>
      </c>
      <c r="E2578">
        <v>0.57718709999999995</v>
      </c>
      <c r="F2578" t="s">
        <v>42</v>
      </c>
      <c r="G2578">
        <v>-312.23320000000001</v>
      </c>
      <c r="H2578">
        <v>0.862548599999999</v>
      </c>
      <c r="I2578">
        <v>283.97829999999999</v>
      </c>
      <c r="J2578">
        <v>-311.59500000000003</v>
      </c>
      <c r="K2578">
        <v>1.1209819999999999</v>
      </c>
      <c r="L2578">
        <v>283.8141</v>
      </c>
      <c r="M2578">
        <v>-0.99988069999999896</v>
      </c>
      <c r="N2578">
        <v>-1.4898450000000001E-2</v>
      </c>
      <c r="O2578">
        <v>4.0731989999999996E-3</v>
      </c>
      <c r="P2578">
        <v>-0.99613759999999996</v>
      </c>
      <c r="Q2578">
        <v>-8.4104520000000002E-2</v>
      </c>
      <c r="R2578">
        <v>-2.5218810000000001E-2</v>
      </c>
      <c r="S2578">
        <v>-2.9533999999999998</v>
      </c>
      <c r="T2578">
        <v>-0.85620379999999996</v>
      </c>
      <c r="U2578">
        <v>0.54598999999999998</v>
      </c>
      <c r="V2578">
        <v>-2.9252110000000001E-2</v>
      </c>
      <c r="W2578">
        <v>-6.9266170000000002E-2</v>
      </c>
      <c r="X2578">
        <v>0.99716930000000004</v>
      </c>
      <c r="Y2578">
        <v>0.17075190000000001</v>
      </c>
      <c r="Z2578">
        <v>2.4279889999999998E-2</v>
      </c>
      <c r="AA2578">
        <v>0.98501490000000003</v>
      </c>
      <c r="AB2578">
        <v>38</v>
      </c>
      <c r="AC2578">
        <v>-0.638199999999983</v>
      </c>
      <c r="AD2578">
        <v>-0.25843339999999998</v>
      </c>
      <c r="AE2578">
        <v>0.16419999999999299</v>
      </c>
      <c r="AF2578">
        <v>0.14005834418863899</v>
      </c>
      <c r="AG2578">
        <v>-0.25843339999999998</v>
      </c>
      <c r="AH2578">
        <v>0.55370559208556602</v>
      </c>
      <c r="AI2578">
        <v>114.345955926888</v>
      </c>
      <c r="AJ2578">
        <v>75.804931691763102</v>
      </c>
      <c r="AK2578">
        <v>0.62689237092123695</v>
      </c>
      <c r="AL2578">
        <v>93.9718393478298</v>
      </c>
      <c r="AM2578">
        <v>91.680298345883898</v>
      </c>
      <c r="AN2578">
        <v>1.0000000505541999</v>
      </c>
    </row>
    <row r="2579" spans="1:40" x14ac:dyDescent="0.25">
      <c r="A2579" t="str">
        <f>"20190303154147834"</f>
        <v>20190303154147834</v>
      </c>
      <c r="B2579" t="str">
        <f>"1551598907831582"</f>
        <v>1551598907831582</v>
      </c>
      <c r="C2579" t="s">
        <v>40</v>
      </c>
      <c r="D2579">
        <v>5.3457499999999998</v>
      </c>
      <c r="E2579">
        <v>0.54938189999999998</v>
      </c>
      <c r="F2579" t="s">
        <v>42</v>
      </c>
      <c r="G2579">
        <v>-312.56029999999998</v>
      </c>
      <c r="H2579">
        <v>0.84120509999999904</v>
      </c>
      <c r="I2579">
        <v>283.99259999999998</v>
      </c>
      <c r="J2579">
        <v>-311.90769999999998</v>
      </c>
      <c r="K2579">
        <v>1.1209849999999999</v>
      </c>
      <c r="L2579">
        <v>283.8152</v>
      </c>
      <c r="M2579">
        <v>-0.99988140000000003</v>
      </c>
      <c r="N2579">
        <v>-1.489533E-2</v>
      </c>
      <c r="O2579">
        <v>3.9431780000000003E-3</v>
      </c>
      <c r="P2579">
        <v>-0.99612750000000005</v>
      </c>
      <c r="Q2579">
        <v>-8.4255700000000003E-2</v>
      </c>
      <c r="R2579">
        <v>-2.5126740000000002E-2</v>
      </c>
      <c r="S2579">
        <v>-2.953217</v>
      </c>
      <c r="T2579">
        <v>-0.85599459999999905</v>
      </c>
      <c r="U2579">
        <v>0.54675289999999999</v>
      </c>
      <c r="V2579">
        <v>-2.9030219999999999E-2</v>
      </c>
      <c r="W2579">
        <v>-6.9420419999999997E-2</v>
      </c>
      <c r="X2579">
        <v>0.99716499999999997</v>
      </c>
      <c r="Y2579">
        <v>0.17111960000000001</v>
      </c>
      <c r="Z2579">
        <v>2.4364440000000001E-2</v>
      </c>
      <c r="AA2579">
        <v>0.98494890000000002</v>
      </c>
      <c r="AB2579">
        <v>38</v>
      </c>
      <c r="AC2579">
        <v>-0.65260000000000595</v>
      </c>
      <c r="AD2579">
        <v>-0.27977990000000003</v>
      </c>
      <c r="AE2579">
        <v>0.17739999999997699</v>
      </c>
      <c r="AF2579">
        <v>0.14927635236895301</v>
      </c>
      <c r="AG2579">
        <v>-0.27977990000000003</v>
      </c>
      <c r="AH2579">
        <v>0.55782304412300099</v>
      </c>
      <c r="AI2579">
        <v>115.85057041325599</v>
      </c>
      <c r="AJ2579">
        <v>75.018390134602598</v>
      </c>
      <c r="AK2579">
        <v>0.64165938812990297</v>
      </c>
      <c r="AL2579">
        <v>93.980698776992696</v>
      </c>
      <c r="AM2579">
        <v>91.667566961578501</v>
      </c>
      <c r="AN2579">
        <v>0.99999999280561203</v>
      </c>
    </row>
    <row r="2580" spans="1:40" x14ac:dyDescent="0.25">
      <c r="A2580" t="str">
        <f>"20190303154147850"</f>
        <v>20190303154147850</v>
      </c>
      <c r="B2580" t="str">
        <f>"1551598907842318"</f>
        <v>1551598907842318</v>
      </c>
      <c r="C2580" t="s">
        <v>40</v>
      </c>
      <c r="D2580">
        <v>5.3223699999999896</v>
      </c>
      <c r="E2580">
        <v>0.54825649999999904</v>
      </c>
      <c r="F2580" t="s">
        <v>42</v>
      </c>
      <c r="G2580">
        <v>-312.59460000000001</v>
      </c>
      <c r="H2580">
        <v>0.92865770000000003</v>
      </c>
      <c r="I2580">
        <v>283.89069999999998</v>
      </c>
      <c r="J2580">
        <v>-312.15550000000002</v>
      </c>
      <c r="K2580">
        <v>1.1209899999999999</v>
      </c>
      <c r="L2580">
        <v>283.81610000000001</v>
      </c>
      <c r="M2580">
        <v>-0.99988169999999998</v>
      </c>
      <c r="N2580">
        <v>-1.4892860000000001E-2</v>
      </c>
      <c r="O2580">
        <v>3.8400299999999999E-3</v>
      </c>
      <c r="P2580">
        <v>-0.99614409999999998</v>
      </c>
      <c r="Q2580">
        <v>-8.4115640000000005E-2</v>
      </c>
      <c r="R2580">
        <v>-2.4931660000000001E-2</v>
      </c>
      <c r="S2580">
        <v>-2.9500120000000001</v>
      </c>
      <c r="T2580">
        <v>-0.82583839999999997</v>
      </c>
      <c r="U2580">
        <v>0.32467649999999998</v>
      </c>
      <c r="V2580">
        <v>-2.873332E-2</v>
      </c>
      <c r="W2580">
        <v>-6.9282449999999995E-2</v>
      </c>
      <c r="X2580">
        <v>0.99718320000000005</v>
      </c>
      <c r="Y2580">
        <v>0.1016349</v>
      </c>
      <c r="Z2580">
        <v>1.3696409999999999E-2</v>
      </c>
      <c r="AA2580">
        <v>0.99472749999999999</v>
      </c>
      <c r="AB2580">
        <v>38</v>
      </c>
      <c r="AC2580">
        <v>-0.43909999999999599</v>
      </c>
      <c r="AD2580">
        <v>-0.19233229999999901</v>
      </c>
      <c r="AE2580">
        <v>7.4599999999975297E-2</v>
      </c>
      <c r="AF2580">
        <v>6.1453573031206597E-2</v>
      </c>
      <c r="AG2580">
        <v>-0.19233229999999901</v>
      </c>
      <c r="AH2580">
        <v>0.37032671995490701</v>
      </c>
      <c r="AI2580">
        <v>117.12841830643499</v>
      </c>
      <c r="AJ2580">
        <v>80.577957767214798</v>
      </c>
      <c r="AK2580">
        <v>0.42179394824268401</v>
      </c>
      <c r="AL2580">
        <v>93.972774578605893</v>
      </c>
      <c r="AM2580">
        <v>91.650491672764105</v>
      </c>
      <c r="AN2580">
        <v>0.999999997959232</v>
      </c>
    </row>
    <row r="2581" spans="1:40" x14ac:dyDescent="0.25">
      <c r="A2581" t="str">
        <f>"20190303154147862"</f>
        <v>20190303154147862</v>
      </c>
      <c r="B2581" t="str">
        <f>"1551598907852079"</f>
        <v>1551598907852079</v>
      </c>
      <c r="C2581" t="s">
        <v>40</v>
      </c>
      <c r="D2581">
        <v>5.3251030000000004</v>
      </c>
      <c r="E2581">
        <v>0.54733189999999998</v>
      </c>
      <c r="F2581" t="s">
        <v>42</v>
      </c>
      <c r="G2581">
        <v>-312.92079999999999</v>
      </c>
      <c r="H2581">
        <v>0.90934060000000005</v>
      </c>
      <c r="I2581">
        <v>283.89839999999998</v>
      </c>
      <c r="J2581">
        <v>-312.37720000000002</v>
      </c>
      <c r="K2581">
        <v>1.1209929999999999</v>
      </c>
      <c r="L2581">
        <v>283.81689999999998</v>
      </c>
      <c r="M2581">
        <v>-0.99988200000000005</v>
      </c>
      <c r="N2581">
        <v>-1.489062E-2</v>
      </c>
      <c r="O2581">
        <v>3.7480249999999999E-3</v>
      </c>
      <c r="P2581">
        <v>-0.99615739999999997</v>
      </c>
      <c r="Q2581">
        <v>-8.3916980000000002E-2</v>
      </c>
      <c r="R2581">
        <v>-2.5062020000000001E-2</v>
      </c>
      <c r="S2581">
        <v>-2.950653</v>
      </c>
      <c r="T2581">
        <v>-0.81610059999999995</v>
      </c>
      <c r="U2581">
        <v>0.31619259999999999</v>
      </c>
      <c r="V2581">
        <v>-2.8771749999999999E-2</v>
      </c>
      <c r="W2581">
        <v>-6.9085809999999997E-2</v>
      </c>
      <c r="X2581">
        <v>0.99719570000000002</v>
      </c>
      <c r="Y2581">
        <v>9.9062170000000005E-2</v>
      </c>
      <c r="Z2581">
        <v>1.3204560000000001E-2</v>
      </c>
      <c r="AA2581">
        <v>0.99499360000000003</v>
      </c>
      <c r="AB2581">
        <v>38</v>
      </c>
      <c r="AC2581">
        <v>-0.543599999999969</v>
      </c>
      <c r="AD2581">
        <v>-0.21165239999999999</v>
      </c>
      <c r="AE2581">
        <v>8.1500000000005401E-2</v>
      </c>
      <c r="AF2581">
        <v>6.9201704364195399E-2</v>
      </c>
      <c r="AG2581">
        <v>-0.21165239999999999</v>
      </c>
      <c r="AH2581">
        <v>0.47367332570939202</v>
      </c>
      <c r="AI2581">
        <v>113.85206272358499</v>
      </c>
      <c r="AJ2581">
        <v>81.688128037490003</v>
      </c>
      <c r="AK2581">
        <v>0.523404273770539</v>
      </c>
      <c r="AL2581">
        <v>93.961481012768601</v>
      </c>
      <c r="AM2581">
        <v>91.652677229751703</v>
      </c>
      <c r="AN2581">
        <v>0.99999996341995301</v>
      </c>
    </row>
    <row r="2582" spans="1:40" x14ac:dyDescent="0.25">
      <c r="A2582" t="str">
        <f>"20190303154147879"</f>
        <v>20190303154147879</v>
      </c>
      <c r="B2582" t="str">
        <f>"1551598907871597"</f>
        <v>1551598907871597</v>
      </c>
      <c r="C2582" t="s">
        <v>40</v>
      </c>
      <c r="D2582">
        <v>5.3524240000000001</v>
      </c>
      <c r="E2582">
        <v>0.54507039999999995</v>
      </c>
      <c r="F2582" t="s">
        <v>42</v>
      </c>
      <c r="G2582">
        <v>-313.24450000000002</v>
      </c>
      <c r="H2582">
        <v>0.88260509999999903</v>
      </c>
      <c r="I2582">
        <v>283.9076</v>
      </c>
      <c r="J2582">
        <v>-312.6551</v>
      </c>
      <c r="K2582">
        <v>1.120992</v>
      </c>
      <c r="L2582">
        <v>283.81779999999998</v>
      </c>
      <c r="M2582">
        <v>-0.99988250000000001</v>
      </c>
      <c r="N2582">
        <v>-1.4887829999999999E-2</v>
      </c>
      <c r="O2582">
        <v>3.6327780000000001E-3</v>
      </c>
      <c r="P2582">
        <v>-0.99616530000000003</v>
      </c>
      <c r="Q2582">
        <v>-8.3712880000000003E-2</v>
      </c>
      <c r="R2582">
        <v>-2.5430970000000001E-2</v>
      </c>
      <c r="S2582">
        <v>-2.950958</v>
      </c>
      <c r="T2582">
        <v>-0.81110119999999997</v>
      </c>
      <c r="U2582">
        <v>0.30841059999999998</v>
      </c>
      <c r="V2582">
        <v>-2.9026070000000001E-2</v>
      </c>
      <c r="W2582">
        <v>-6.8884470000000003E-2</v>
      </c>
      <c r="X2582">
        <v>0.99720229999999999</v>
      </c>
      <c r="Y2582">
        <v>9.6701910000000002E-2</v>
      </c>
      <c r="Z2582">
        <v>1.2825049999999999E-2</v>
      </c>
      <c r="AA2582">
        <v>0.99523070000000002</v>
      </c>
      <c r="AB2582">
        <v>38</v>
      </c>
      <c r="AC2582">
        <v>-0.58940000000001103</v>
      </c>
      <c r="AD2582">
        <v>-0.23838690000000001</v>
      </c>
      <c r="AE2582">
        <v>8.9800000000025096E-2</v>
      </c>
      <c r="AF2582">
        <v>7.5575445249882897E-2</v>
      </c>
      <c r="AG2582">
        <v>-0.23838690000000001</v>
      </c>
      <c r="AH2582">
        <v>0.50843648413411202</v>
      </c>
      <c r="AI2582">
        <v>114.88032780841201</v>
      </c>
      <c r="AJ2582">
        <v>81.545297686874804</v>
      </c>
      <c r="AK2582">
        <v>0.56661064269477401</v>
      </c>
      <c r="AL2582">
        <v>93.949917367612599</v>
      </c>
      <c r="AM2582">
        <v>91.667266379338898</v>
      </c>
      <c r="AN2582">
        <v>1.00000000503605</v>
      </c>
    </row>
    <row r="2583" spans="1:40" x14ac:dyDescent="0.25">
      <c r="A2583" t="str">
        <f>"20190303154147894"</f>
        <v>20190303154147894</v>
      </c>
      <c r="B2583" t="str">
        <f>"1551598907882334"</f>
        <v>1551598907882334</v>
      </c>
      <c r="C2583" t="s">
        <v>40</v>
      </c>
      <c r="D2583">
        <v>5.3230789999999999</v>
      </c>
      <c r="E2583">
        <v>0.54498089999999999</v>
      </c>
      <c r="F2583" t="s">
        <v>42</v>
      </c>
      <c r="G2583">
        <v>-313.57319999999999</v>
      </c>
      <c r="H2583">
        <v>0.86817350000000004</v>
      </c>
      <c r="I2583">
        <v>283.90800000000002</v>
      </c>
      <c r="J2583">
        <v>-312.9058</v>
      </c>
      <c r="K2583">
        <v>1.1209929999999999</v>
      </c>
      <c r="L2583">
        <v>283.8186</v>
      </c>
      <c r="M2583">
        <v>-0.99988299999999997</v>
      </c>
      <c r="N2583">
        <v>-1.4885300000000001E-2</v>
      </c>
      <c r="O2583">
        <v>3.528677E-3</v>
      </c>
      <c r="P2583">
        <v>-0.99618300000000004</v>
      </c>
      <c r="Q2583">
        <v>-8.3342630000000001E-2</v>
      </c>
      <c r="R2583">
        <v>-2.5950790000000001E-2</v>
      </c>
      <c r="S2583">
        <v>-2.950653</v>
      </c>
      <c r="T2583">
        <v>-0.8125019</v>
      </c>
      <c r="U2583">
        <v>0.28964230000000002</v>
      </c>
      <c r="V2583">
        <v>-2.9442409999999999E-2</v>
      </c>
      <c r="W2583">
        <v>-6.8516599999999997E-2</v>
      </c>
      <c r="X2583">
        <v>0.99721539999999997</v>
      </c>
      <c r="Y2583">
        <v>9.0760889999999997E-2</v>
      </c>
      <c r="Z2583">
        <v>1.202984E-2</v>
      </c>
      <c r="AA2583">
        <v>0.99580009999999997</v>
      </c>
      <c r="AB2583">
        <v>37</v>
      </c>
      <c r="AC2583">
        <v>-0.667399999999986</v>
      </c>
      <c r="AD2583">
        <v>-0.25281949999999997</v>
      </c>
      <c r="AE2583">
        <v>8.9400000000011901E-2</v>
      </c>
      <c r="AF2583">
        <v>7.62896325364779E-2</v>
      </c>
      <c r="AG2583">
        <v>-0.25281949999999997</v>
      </c>
      <c r="AH2583">
        <v>0.58521401909126702</v>
      </c>
      <c r="AI2583">
        <v>113.18967784163399</v>
      </c>
      <c r="AJ2583">
        <v>82.572696045190995</v>
      </c>
      <c r="AK2583">
        <v>0.64203836003291404</v>
      </c>
      <c r="AL2583">
        <v>93.928790201964901</v>
      </c>
      <c r="AM2583">
        <v>91.691145084154201</v>
      </c>
      <c r="AN2583">
        <v>0.99999996698966298</v>
      </c>
    </row>
    <row r="2584" spans="1:40" x14ac:dyDescent="0.25">
      <c r="A2584" t="str">
        <f>"20190303154147913"</f>
        <v>20190303154147913</v>
      </c>
      <c r="B2584" t="str">
        <f>"1551598907901855"</f>
        <v>1551598907901855</v>
      </c>
      <c r="C2584" t="s">
        <v>40</v>
      </c>
      <c r="D2584">
        <v>5.2876070000000004</v>
      </c>
      <c r="E2584">
        <v>0.54509280000000004</v>
      </c>
      <c r="F2584" t="s">
        <v>42</v>
      </c>
      <c r="G2584">
        <v>-313.6003</v>
      </c>
      <c r="H2584">
        <v>0.93026260000000005</v>
      </c>
      <c r="I2584">
        <v>283.88639999999998</v>
      </c>
      <c r="J2584">
        <v>-313.22379999999998</v>
      </c>
      <c r="K2584">
        <v>1.120994</v>
      </c>
      <c r="L2584">
        <v>283.81959999999998</v>
      </c>
      <c r="M2584">
        <v>-0.99988359999999998</v>
      </c>
      <c r="N2584">
        <v>-1.4882050000000001E-2</v>
      </c>
      <c r="O2584">
        <v>3.3960980000000002E-3</v>
      </c>
      <c r="P2584">
        <v>-0.99617180000000005</v>
      </c>
      <c r="Q2584">
        <v>-8.3243230000000001E-2</v>
      </c>
      <c r="R2584">
        <v>-2.66967E-2</v>
      </c>
      <c r="S2584">
        <v>-2.9511720000000001</v>
      </c>
      <c r="T2584">
        <v>-0.81057369999999995</v>
      </c>
      <c r="U2584">
        <v>0.28750609999999999</v>
      </c>
      <c r="V2584">
        <v>-3.005648E-2</v>
      </c>
      <c r="W2584">
        <v>-6.8420809999999999E-2</v>
      </c>
      <c r="X2584">
        <v>0.99720370000000003</v>
      </c>
      <c r="Y2584">
        <v>9.0195780000000003E-2</v>
      </c>
      <c r="Z2584">
        <v>1.195565E-2</v>
      </c>
      <c r="AA2584">
        <v>0.99585230000000002</v>
      </c>
      <c r="AB2584">
        <v>37</v>
      </c>
      <c r="AC2584">
        <v>-0.37650000000002098</v>
      </c>
      <c r="AD2584">
        <v>-0.1907314</v>
      </c>
      <c r="AE2584">
        <v>6.6800000000000595E-2</v>
      </c>
      <c r="AF2584">
        <v>5.2466955489818098E-2</v>
      </c>
      <c r="AG2584">
        <v>-0.1907314</v>
      </c>
      <c r="AH2584">
        <v>0.30166887415161298</v>
      </c>
      <c r="AI2584">
        <v>121.918912677424</v>
      </c>
      <c r="AJ2584">
        <v>80.133676229531304</v>
      </c>
      <c r="AK2584">
        <v>0.36074278647844399</v>
      </c>
      <c r="AL2584">
        <v>93.9232887629217</v>
      </c>
      <c r="AM2584">
        <v>91.726415819263195</v>
      </c>
      <c r="AN2584">
        <v>1.00000000926236</v>
      </c>
    </row>
    <row r="2585" spans="1:40" x14ac:dyDescent="0.25">
      <c r="A2585" t="str">
        <f>"20190303154147929"</f>
        <v>20190303154147929</v>
      </c>
      <c r="B2585" t="str">
        <f>"1551598907922350"</f>
        <v>1551598907922350</v>
      </c>
      <c r="C2585" t="s">
        <v>40</v>
      </c>
      <c r="D2585">
        <v>5.3086399999999996</v>
      </c>
      <c r="E2585">
        <v>0.54520959999999996</v>
      </c>
      <c r="F2585" t="s">
        <v>42</v>
      </c>
      <c r="G2585">
        <v>-313.93299999999999</v>
      </c>
      <c r="H2585">
        <v>0.92746039999999996</v>
      </c>
      <c r="I2585">
        <v>283.8886</v>
      </c>
      <c r="J2585">
        <v>-313.4769</v>
      </c>
      <c r="K2585">
        <v>1.120997</v>
      </c>
      <c r="L2585">
        <v>283.82040000000001</v>
      </c>
      <c r="M2585">
        <v>-0.99988390000000005</v>
      </c>
      <c r="N2585">
        <v>-1.4879430000000001E-2</v>
      </c>
      <c r="O2585">
        <v>3.2911009999999998E-3</v>
      </c>
      <c r="P2585">
        <v>-0.99613050000000003</v>
      </c>
      <c r="Q2585">
        <v>-8.3634760000000002E-2</v>
      </c>
      <c r="R2585">
        <v>-2.7011509999999999E-2</v>
      </c>
      <c r="S2585">
        <v>-2.9519350000000002</v>
      </c>
      <c r="T2585">
        <v>-0.80547480000000005</v>
      </c>
      <c r="U2585">
        <v>0.286499</v>
      </c>
      <c r="V2585">
        <v>-3.0265830000000001E-2</v>
      </c>
      <c r="W2585">
        <v>-6.8815539999999994E-2</v>
      </c>
      <c r="X2585">
        <v>0.99717020000000001</v>
      </c>
      <c r="Y2585">
        <v>8.9985659999999995E-2</v>
      </c>
      <c r="Z2585">
        <v>1.188152E-2</v>
      </c>
      <c r="AA2585">
        <v>0.99587219999999999</v>
      </c>
      <c r="AB2585">
        <v>37</v>
      </c>
      <c r="AC2585">
        <v>-0.45609999999999201</v>
      </c>
      <c r="AD2585">
        <v>-0.1935366</v>
      </c>
      <c r="AE2585">
        <v>6.8199999999990199E-2</v>
      </c>
      <c r="AF2585">
        <v>5.6710650317024998E-2</v>
      </c>
      <c r="AG2585">
        <v>-0.1935366</v>
      </c>
      <c r="AH2585">
        <v>0.38799012285816697</v>
      </c>
      <c r="AI2585">
        <v>116.269739908378</v>
      </c>
      <c r="AJ2585">
        <v>81.6842378408885</v>
      </c>
      <c r="AK2585">
        <v>0.43727434047109998</v>
      </c>
      <c r="AL2585">
        <v>93.945958581933994</v>
      </c>
      <c r="AM2585">
        <v>91.738491699247604</v>
      </c>
      <c r="AN2585">
        <v>1.00000000338956</v>
      </c>
    </row>
    <row r="2586" spans="1:40" x14ac:dyDescent="0.25">
      <c r="A2586" t="str">
        <f>"20190303154147945"</f>
        <v>20190303154147945</v>
      </c>
      <c r="B2586" t="str">
        <f>"1551598907941870"</f>
        <v>1551598907941870</v>
      </c>
      <c r="C2586" t="s">
        <v>40</v>
      </c>
      <c r="D2586">
        <v>5.3422660000000004</v>
      </c>
      <c r="E2586">
        <v>0.54532429999999998</v>
      </c>
      <c r="F2586" t="s">
        <v>42</v>
      </c>
      <c r="G2586">
        <v>-314.25740000000002</v>
      </c>
      <c r="H2586">
        <v>0.90780309999999997</v>
      </c>
      <c r="I2586">
        <v>283.8963</v>
      </c>
      <c r="J2586">
        <v>-313.76369999999997</v>
      </c>
      <c r="K2586">
        <v>1.1209960000000001</v>
      </c>
      <c r="L2586">
        <v>283.82119999999998</v>
      </c>
      <c r="M2586">
        <v>-0.99988429999999995</v>
      </c>
      <c r="N2586">
        <v>-1.4876449999999999E-2</v>
      </c>
      <c r="O2586">
        <v>3.171629E-3</v>
      </c>
      <c r="P2586">
        <v>-0.99610189999999998</v>
      </c>
      <c r="Q2586">
        <v>-8.3793699999999999E-2</v>
      </c>
      <c r="R2586">
        <v>-2.7567649999999999E-2</v>
      </c>
      <c r="S2586">
        <v>-2.9517519999999999</v>
      </c>
      <c r="T2586">
        <v>-0.80630800000000002</v>
      </c>
      <c r="U2586">
        <v>0.28662110000000002</v>
      </c>
      <c r="V2586">
        <v>-3.070341E-2</v>
      </c>
      <c r="W2586">
        <v>-6.897797E-2</v>
      </c>
      <c r="X2586">
        <v>0.99714559999999997</v>
      </c>
      <c r="Y2586">
        <v>9.0134829999999999E-2</v>
      </c>
      <c r="Z2586">
        <v>1.19445E-2</v>
      </c>
      <c r="AA2586">
        <v>0.99585800000000002</v>
      </c>
      <c r="AB2586">
        <v>37</v>
      </c>
      <c r="AC2586">
        <v>-0.49370000000004599</v>
      </c>
      <c r="AD2586">
        <v>-0.21319289999999999</v>
      </c>
      <c r="AE2586">
        <v>7.5100000000020303E-2</v>
      </c>
      <c r="AF2586">
        <v>6.2197653722780702E-2</v>
      </c>
      <c r="AG2586">
        <v>-0.21319289999999999</v>
      </c>
      <c r="AH2586">
        <v>0.41779046702017097</v>
      </c>
      <c r="AI2586">
        <v>116.781181960062</v>
      </c>
      <c r="AJ2586">
        <v>81.532405161789001</v>
      </c>
      <c r="AK2586">
        <v>0.47314758276034902</v>
      </c>
      <c r="AL2586">
        <v>93.9552873012356</v>
      </c>
      <c r="AM2586">
        <v>91.763654340002205</v>
      </c>
      <c r="AN2586">
        <v>1.00000000366515</v>
      </c>
    </row>
    <row r="2587" spans="1:40" x14ac:dyDescent="0.25">
      <c r="A2587" t="str">
        <f>"20190303154147961"</f>
        <v>20190303154147961</v>
      </c>
      <c r="B2587" t="str">
        <f>"1551598907951630"</f>
        <v>1551598907951630</v>
      </c>
      <c r="C2587" t="s">
        <v>40</v>
      </c>
      <c r="D2587">
        <v>5.3475080000000004</v>
      </c>
      <c r="E2587">
        <v>0.54536799999999996</v>
      </c>
      <c r="F2587" t="s">
        <v>42</v>
      </c>
      <c r="G2587">
        <v>-314.58600000000001</v>
      </c>
      <c r="H2587">
        <v>0.89657929999999997</v>
      </c>
      <c r="I2587">
        <v>283.9008</v>
      </c>
      <c r="J2587">
        <v>-314.01740000000001</v>
      </c>
      <c r="K2587">
        <v>1.1209990000000001</v>
      </c>
      <c r="L2587">
        <v>283.82190000000003</v>
      </c>
      <c r="M2587">
        <v>-0.99988480000000002</v>
      </c>
      <c r="N2587">
        <v>-1.487379E-2</v>
      </c>
      <c r="O2587">
        <v>3.0656250000000002E-3</v>
      </c>
      <c r="P2587">
        <v>-0.99607120000000005</v>
      </c>
      <c r="Q2587">
        <v>-8.4089990000000003E-2</v>
      </c>
      <c r="R2587">
        <v>-2.77694E-2</v>
      </c>
      <c r="S2587">
        <v>-2.9518740000000001</v>
      </c>
      <c r="T2587">
        <v>-0.80559250000000004</v>
      </c>
      <c r="U2587">
        <v>0.28564450000000002</v>
      </c>
      <c r="V2587">
        <v>-3.079929E-2</v>
      </c>
      <c r="W2587">
        <v>-6.9277320000000003E-2</v>
      </c>
      <c r="X2587">
        <v>0.99712190000000001</v>
      </c>
      <c r="Y2587">
        <v>8.9920650000000005E-2</v>
      </c>
      <c r="Z2587">
        <v>1.1931000000000001E-2</v>
      </c>
      <c r="AA2587">
        <v>0.99587740000000002</v>
      </c>
      <c r="AB2587">
        <v>37</v>
      </c>
      <c r="AC2587">
        <v>-0.56860000000000299</v>
      </c>
      <c r="AD2587">
        <v>-0.2244197</v>
      </c>
      <c r="AE2587">
        <v>7.8899999999975906E-2</v>
      </c>
      <c r="AF2587">
        <v>6.6927409499243001E-2</v>
      </c>
      <c r="AG2587">
        <v>-0.2244197</v>
      </c>
      <c r="AH2587">
        <v>0.49342601049926199</v>
      </c>
      <c r="AI2587">
        <v>114.260727451609</v>
      </c>
      <c r="AJ2587">
        <v>82.275644326527498</v>
      </c>
      <c r="AK2587">
        <v>0.54618010557652796</v>
      </c>
      <c r="AL2587">
        <v>93.972479881907304</v>
      </c>
      <c r="AM2587">
        <v>91.769200373596206</v>
      </c>
      <c r="AN2587">
        <v>1.00000001339524</v>
      </c>
    </row>
    <row r="2588" spans="1:40" x14ac:dyDescent="0.25">
      <c r="A2588" t="str">
        <f>"20190303154147980"</f>
        <v>20190303154147980</v>
      </c>
      <c r="B2588" t="str">
        <f>"1551598907972126"</f>
        <v>1551598907972126</v>
      </c>
      <c r="C2588" t="s">
        <v>40</v>
      </c>
      <c r="D2588">
        <v>5.3260310000000004</v>
      </c>
      <c r="E2588">
        <v>0.54537800000000003</v>
      </c>
      <c r="F2588" t="s">
        <v>42</v>
      </c>
      <c r="G2588">
        <v>-314.91120000000001</v>
      </c>
      <c r="H2588">
        <v>0.8770926</v>
      </c>
      <c r="I2588">
        <v>283.90879999999999</v>
      </c>
      <c r="J2588">
        <v>-314.33539999999999</v>
      </c>
      <c r="K2588">
        <v>1.1209929999999999</v>
      </c>
      <c r="L2588">
        <v>283.82279999999997</v>
      </c>
      <c r="M2588">
        <v>-0.99988529999999998</v>
      </c>
      <c r="N2588">
        <v>-1.487043E-2</v>
      </c>
      <c r="O2588">
        <v>2.9333390000000001E-3</v>
      </c>
      <c r="P2588">
        <v>-0.99608399999999997</v>
      </c>
      <c r="Q2588">
        <v>-8.3783730000000001E-2</v>
      </c>
      <c r="R2588">
        <v>-2.8240629999999999E-2</v>
      </c>
      <c r="S2588">
        <v>-2.9517820000000001</v>
      </c>
      <c r="T2588">
        <v>-0.80550100000000002</v>
      </c>
      <c r="U2588">
        <v>0.285705599999999</v>
      </c>
      <c r="V2588">
        <v>-3.1138949999999999E-2</v>
      </c>
      <c r="W2588">
        <v>-6.8974289999999994E-2</v>
      </c>
      <c r="X2588">
        <v>0.99713240000000003</v>
      </c>
      <c r="Y2588">
        <v>9.0066450000000006E-2</v>
      </c>
      <c r="Z2588">
        <v>1.198397E-2</v>
      </c>
      <c r="AA2588">
        <v>0.99586370000000002</v>
      </c>
      <c r="AB2588">
        <v>37</v>
      </c>
      <c r="AC2588">
        <v>-0.57580000000001497</v>
      </c>
      <c r="AD2588">
        <v>-0.24390039999999999</v>
      </c>
      <c r="AE2588">
        <v>8.6000000000012705E-2</v>
      </c>
      <c r="AF2588">
        <v>7.1722467761969902E-2</v>
      </c>
      <c r="AG2588">
        <v>-0.24390039999999999</v>
      </c>
      <c r="AH2588">
        <v>0.490042762101152</v>
      </c>
      <c r="AI2588">
        <v>116.218671183007</v>
      </c>
      <c r="AJ2588">
        <v>81.673331724228007</v>
      </c>
      <c r="AK2588">
        <v>0.552062882459736</v>
      </c>
      <c r="AL2588">
        <v>93.955075746001597</v>
      </c>
      <c r="AM2588">
        <v>91.788679998573301</v>
      </c>
      <c r="AN2588">
        <v>1.0000000550089301</v>
      </c>
    </row>
    <row r="2589" spans="1:40" x14ac:dyDescent="0.25">
      <c r="A2589" t="str">
        <f>"20190303154148002"</f>
        <v>20190303154148002</v>
      </c>
      <c r="B2589" t="str">
        <f>"1551598907991645"</f>
        <v>1551598907991645</v>
      </c>
      <c r="C2589" t="s">
        <v>40</v>
      </c>
      <c r="D2589">
        <v>5.3289749999999998</v>
      </c>
      <c r="E2589">
        <v>0.54507709999999998</v>
      </c>
      <c r="F2589" t="s">
        <v>42</v>
      </c>
      <c r="G2589">
        <v>-315.24259999999998</v>
      </c>
      <c r="H2589">
        <v>0.87381209999999898</v>
      </c>
      <c r="I2589">
        <v>283.9101</v>
      </c>
      <c r="J2589">
        <v>-314.7081</v>
      </c>
      <c r="K2589">
        <v>1.1209960000000001</v>
      </c>
      <c r="L2589">
        <v>283.82369999999997</v>
      </c>
      <c r="M2589">
        <v>-0.99988560000000004</v>
      </c>
      <c r="N2589">
        <v>-1.486648E-2</v>
      </c>
      <c r="O2589">
        <v>2.7787060000000001E-3</v>
      </c>
      <c r="P2589">
        <v>-0.99612109999999998</v>
      </c>
      <c r="Q2589">
        <v>-8.3118520000000001E-2</v>
      </c>
      <c r="R2589">
        <v>-2.8878999999999998E-2</v>
      </c>
      <c r="S2589">
        <v>-2.9521790000000001</v>
      </c>
      <c r="T2589">
        <v>-0.80439700000000003</v>
      </c>
      <c r="U2589">
        <v>0.28436280000000003</v>
      </c>
      <c r="V2589">
        <v>-3.1623459999999999E-2</v>
      </c>
      <c r="W2589">
        <v>-6.8312639999999994E-2</v>
      </c>
      <c r="X2589">
        <v>0.99716260000000001</v>
      </c>
      <c r="Y2589">
        <v>8.9774439999999997E-2</v>
      </c>
      <c r="Z2589">
        <v>1.1965440000000001E-2</v>
      </c>
      <c r="AA2589">
        <v>0.99589030000000001</v>
      </c>
      <c r="AB2589">
        <v>37</v>
      </c>
      <c r="AC2589">
        <v>-0.53449999999997999</v>
      </c>
      <c r="AD2589">
        <v>-0.24718389999999901</v>
      </c>
      <c r="AE2589">
        <v>8.6400000000025998E-2</v>
      </c>
      <c r="AF2589">
        <v>7.0268756549825895E-2</v>
      </c>
      <c r="AG2589">
        <v>-0.24718389999999901</v>
      </c>
      <c r="AH2589">
        <v>0.44250950083064999</v>
      </c>
      <c r="AI2589">
        <v>118.88478885474601</v>
      </c>
      <c r="AJ2589">
        <v>80.976995635549699</v>
      </c>
      <c r="AK2589">
        <v>0.51171499576586499</v>
      </c>
      <c r="AL2589">
        <v>93.917076754741601</v>
      </c>
      <c r="AM2589">
        <v>91.816437686314799</v>
      </c>
      <c r="AN2589">
        <v>0.99999995542244902</v>
      </c>
    </row>
    <row r="2590" spans="1:40" x14ac:dyDescent="0.25">
      <c r="A2590" t="str">
        <f>"20190303154148046"</f>
        <v>20190303154148046</v>
      </c>
      <c r="B2590" t="str">
        <f>"1551598908042397"</f>
        <v>1551598908042397</v>
      </c>
      <c r="C2590" t="s">
        <v>40</v>
      </c>
      <c r="D2590">
        <v>4.8274900000000001</v>
      </c>
      <c r="E2590">
        <v>0.566527</v>
      </c>
      <c r="F2590" t="s">
        <v>42</v>
      </c>
      <c r="G2590">
        <v>-315.57889999999998</v>
      </c>
      <c r="H2590">
        <v>0.88383419999999902</v>
      </c>
      <c r="I2590">
        <v>283.90660000000003</v>
      </c>
      <c r="J2590">
        <v>-315.43630000000002</v>
      </c>
      <c r="K2590">
        <v>1.121005</v>
      </c>
      <c r="L2590">
        <v>283.8254</v>
      </c>
      <c r="M2590">
        <v>-0.99988659999999996</v>
      </c>
      <c r="N2590">
        <v>-1.4858619999999999E-2</v>
      </c>
      <c r="O2590">
        <v>2.4754070000000002E-3</v>
      </c>
      <c r="P2590">
        <v>-0.99618600000000002</v>
      </c>
      <c r="Q2590">
        <v>-8.2507949999999997E-2</v>
      </c>
      <c r="R2590">
        <v>-2.8389520000000001E-2</v>
      </c>
      <c r="S2590">
        <v>-2.9526669999999999</v>
      </c>
      <c r="T2590">
        <v>-0.80421969999999898</v>
      </c>
      <c r="U2590">
        <v>0.28027340000000001</v>
      </c>
      <c r="V2590">
        <v>-3.0832100000000001E-2</v>
      </c>
      <c r="W2590">
        <v>-6.7708539999999998E-2</v>
      </c>
      <c r="X2590">
        <v>0.99722860000000002</v>
      </c>
      <c r="Y2590">
        <v>8.8726159999999998E-2</v>
      </c>
      <c r="Z2590">
        <v>1.189021E-2</v>
      </c>
      <c r="AA2590">
        <v>0.99598509999999996</v>
      </c>
      <c r="AB2590">
        <v>37</v>
      </c>
      <c r="AC2590">
        <v>-0.14259999999995801</v>
      </c>
      <c r="AD2590">
        <v>-0.23717079999999999</v>
      </c>
      <c r="AE2590">
        <v>8.1200000000023906E-2</v>
      </c>
      <c r="AF2590">
        <v>2.6173407545993201E-2</v>
      </c>
      <c r="AG2590">
        <v>-0.23717079999999999</v>
      </c>
      <c r="AH2590">
        <v>4.6230422605134998E-2</v>
      </c>
      <c r="AI2590">
        <v>167.37438001349199</v>
      </c>
      <c r="AJ2590">
        <v>60.4835797413525</v>
      </c>
      <c r="AK2590">
        <v>0.24304791216848101</v>
      </c>
      <c r="AL2590">
        <v>93.8823839774725</v>
      </c>
      <c r="AM2590">
        <v>91.770894496119297</v>
      </c>
      <c r="AN2590">
        <v>0.99999997271865004</v>
      </c>
    </row>
    <row r="2591" spans="1:40" x14ac:dyDescent="0.25">
      <c r="A2591" t="str">
        <f>"20190303154148204"</f>
        <v>20190303154148204</v>
      </c>
      <c r="B2591" t="str">
        <f>"1551598908191726"</f>
        <v>1551598908191726</v>
      </c>
      <c r="C2591" t="s">
        <v>40</v>
      </c>
      <c r="D2591">
        <v>5.1961680000000001</v>
      </c>
      <c r="E2591">
        <v>0.53949209999999903</v>
      </c>
      <c r="F2591" t="s">
        <v>42</v>
      </c>
      <c r="G2591">
        <v>-318.53660000000002</v>
      </c>
      <c r="H2591">
        <v>0.84200379999999997</v>
      </c>
      <c r="I2591">
        <v>283.9622</v>
      </c>
      <c r="J2591">
        <v>-318.03339999999997</v>
      </c>
      <c r="K2591">
        <v>1.1210260000000001</v>
      </c>
      <c r="L2591">
        <v>283.8295</v>
      </c>
      <c r="M2591">
        <v>-0.99988909999999998</v>
      </c>
      <c r="N2591">
        <v>-1.4830019999999999E-2</v>
      </c>
      <c r="O2591">
        <v>1.3905790000000001E-3</v>
      </c>
      <c r="P2591">
        <v>-0.99617089999999997</v>
      </c>
      <c r="Q2591">
        <v>-8.3059759999999996E-2</v>
      </c>
      <c r="R2591">
        <v>-2.7288489999999999E-2</v>
      </c>
      <c r="S2591">
        <v>-2.944366</v>
      </c>
      <c r="T2591">
        <v>-0.95605110000000004</v>
      </c>
      <c r="U2591">
        <v>0.4558411</v>
      </c>
      <c r="V2591">
        <v>-2.865065E-2</v>
      </c>
      <c r="W2591">
        <v>-6.8287570000000006E-2</v>
      </c>
      <c r="X2591">
        <v>0.99725419999999998</v>
      </c>
      <c r="Y2591">
        <v>0.14409439999999901</v>
      </c>
      <c r="Z2591">
        <v>2.3367160000000001E-2</v>
      </c>
      <c r="AA2591">
        <v>0.98928799999999995</v>
      </c>
      <c r="AB2591">
        <v>37</v>
      </c>
      <c r="AC2591">
        <v>-0.50320000000004905</v>
      </c>
      <c r="AD2591">
        <v>-0.2790222</v>
      </c>
      <c r="AE2591">
        <v>0.13269999999999901</v>
      </c>
      <c r="AF2591">
        <v>0.102526439835637</v>
      </c>
      <c r="AG2591">
        <v>-0.2790222</v>
      </c>
      <c r="AH2591">
        <v>0.39098601701073898</v>
      </c>
      <c r="AI2591">
        <v>124.617265053564</v>
      </c>
      <c r="AJ2591">
        <v>75.306419680306902</v>
      </c>
      <c r="AK2591">
        <v>0.49115692447132703</v>
      </c>
      <c r="AL2591">
        <v>93.915636829452595</v>
      </c>
      <c r="AM2591">
        <v>91.645628474812099</v>
      </c>
      <c r="AN2591">
        <v>0.99999999568978304</v>
      </c>
    </row>
    <row r="2592" spans="1:40" x14ac:dyDescent="0.25">
      <c r="A2592" t="str">
        <f>"20190303154148225"</f>
        <v>20190303154148225</v>
      </c>
      <c r="B2592" t="str">
        <f>"1551598908221983"</f>
        <v>1551598908221983</v>
      </c>
      <c r="C2592" t="s">
        <v>40</v>
      </c>
      <c r="D2592">
        <v>5.27196</v>
      </c>
      <c r="E2592">
        <v>0.53188709999999995</v>
      </c>
      <c r="F2592" t="s">
        <v>52</v>
      </c>
      <c r="G2592">
        <v>-511.82029999999997</v>
      </c>
      <c r="H2592">
        <v>0.58984349999999997</v>
      </c>
      <c r="I2592">
        <v>298.59289999999999</v>
      </c>
      <c r="J2592">
        <v>-318.39240000000001</v>
      </c>
      <c r="K2592">
        <v>1.1210260000000001</v>
      </c>
      <c r="L2592">
        <v>283.82990000000001</v>
      </c>
      <c r="M2592">
        <v>-0.99988960000000005</v>
      </c>
      <c r="N2592">
        <v>-1.4821519999999999E-2</v>
      </c>
      <c r="O2592">
        <v>1.240215E-3</v>
      </c>
      <c r="P2592">
        <v>-0.99617330000000004</v>
      </c>
      <c r="Q2592">
        <v>-8.2933660000000006E-2</v>
      </c>
      <c r="R2592">
        <v>-2.7590859999999998E-2</v>
      </c>
      <c r="S2592">
        <v>-3.0171510000000001</v>
      </c>
      <c r="T2592">
        <v>-8.2688329999999997E-3</v>
      </c>
      <c r="U2592">
        <v>0.22985839999999999</v>
      </c>
      <c r="V2592">
        <v>-2.8803530000000001E-2</v>
      </c>
      <c r="W2592">
        <v>-6.8169919999999995E-2</v>
      </c>
      <c r="X2592">
        <v>0.99725779999999997</v>
      </c>
      <c r="Y2592">
        <v>7.4725260000000002E-2</v>
      </c>
      <c r="Z2592">
        <v>6.7181990000000002E-4</v>
      </c>
      <c r="AA2592">
        <v>0.99720390000000003</v>
      </c>
      <c r="AB2592">
        <v>37</v>
      </c>
      <c r="AC2592">
        <v>-193.42789999999999</v>
      </c>
      <c r="AD2592">
        <v>-0.5311825</v>
      </c>
      <c r="AE2592">
        <v>14.7629999999999</v>
      </c>
      <c r="AF2592">
        <v>14.522961269825901</v>
      </c>
      <c r="AG2592">
        <v>-0.5311825</v>
      </c>
      <c r="AH2592">
        <v>193.444612124543</v>
      </c>
      <c r="AI2592">
        <v>90.156887444291399</v>
      </c>
      <c r="AJ2592">
        <v>85.706542029401604</v>
      </c>
      <c r="AK2592">
        <v>193.989733024477</v>
      </c>
      <c r="AL2592">
        <v>93.908880413025102</v>
      </c>
      <c r="AM2592">
        <v>91.654398719906396</v>
      </c>
      <c r="AN2592">
        <v>0.99999995049705204</v>
      </c>
    </row>
    <row r="2593" spans="1:40" x14ac:dyDescent="0.25">
      <c r="A2593" t="str">
        <f>"20190303154148249"</f>
        <v>20190303154148249</v>
      </c>
      <c r="B2593" t="str">
        <f>"1551598908242478"</f>
        <v>1551598908242478</v>
      </c>
      <c r="C2593" t="s">
        <v>40</v>
      </c>
      <c r="D2593">
        <v>5.2799829999999996</v>
      </c>
      <c r="E2593">
        <v>0.52933200000000002</v>
      </c>
      <c r="F2593" t="s">
        <v>50</v>
      </c>
      <c r="G2593">
        <v>-392.63929999999999</v>
      </c>
      <c r="H2593" s="1">
        <v>-1.323056E-7</v>
      </c>
      <c r="I2593">
        <v>287.9864</v>
      </c>
      <c r="J2593">
        <v>-318.76609999999999</v>
      </c>
      <c r="K2593">
        <v>1.1210230000000001</v>
      </c>
      <c r="L2593">
        <v>283.83019999999999</v>
      </c>
      <c r="M2593">
        <v>-0.9998901</v>
      </c>
      <c r="N2593">
        <v>-1.478675E-2</v>
      </c>
      <c r="O2593">
        <v>1.0834950000000001E-3</v>
      </c>
      <c r="P2593">
        <v>-0.99619259999999998</v>
      </c>
      <c r="Q2593">
        <v>-8.2535269999999994E-2</v>
      </c>
      <c r="R2593">
        <v>-2.8083400000000001E-2</v>
      </c>
      <c r="S2593">
        <v>-3.0124209999999998</v>
      </c>
      <c r="T2593">
        <v>-4.5483469999999998E-2</v>
      </c>
      <c r="U2593">
        <v>0.16864009999999999</v>
      </c>
      <c r="V2593">
        <v>-2.9139970000000001E-2</v>
      </c>
      <c r="W2593">
        <v>-6.7805980000000002E-2</v>
      </c>
      <c r="X2593">
        <v>0.99727290000000002</v>
      </c>
      <c r="Y2593">
        <v>5.4799800000000003E-2</v>
      </c>
      <c r="Z2593">
        <v>8.1855890000000003E-4</v>
      </c>
      <c r="AA2593">
        <v>0.99849699999999997</v>
      </c>
      <c r="AB2593">
        <v>37</v>
      </c>
      <c r="AC2593">
        <v>-73.873199999999997</v>
      </c>
      <c r="AD2593">
        <v>-1.1210231323055999</v>
      </c>
      <c r="AE2593">
        <v>4.1562000000000099</v>
      </c>
      <c r="AF2593">
        <v>4.0752120897106403</v>
      </c>
      <c r="AG2593">
        <v>-1.1210231323055999</v>
      </c>
      <c r="AH2593">
        <v>73.860705402434803</v>
      </c>
      <c r="AI2593">
        <v>90.868221380788597</v>
      </c>
      <c r="AJ2593">
        <v>86.841947945817097</v>
      </c>
      <c r="AK2593">
        <v>73.981537216960703</v>
      </c>
      <c r="AL2593">
        <v>93.887979581797893</v>
      </c>
      <c r="AM2593">
        <v>91.6736866895303</v>
      </c>
      <c r="AN2593">
        <v>1.0000000129248801</v>
      </c>
    </row>
    <row r="2594" spans="1:40" x14ac:dyDescent="0.25">
      <c r="A2594" t="str">
        <f>"20190303154148270"</f>
        <v>20190303154148270</v>
      </c>
      <c r="B2594" t="str">
        <f>"1551598908261998"</f>
        <v>1551598908261998</v>
      </c>
      <c r="C2594" t="s">
        <v>40</v>
      </c>
      <c r="D2594">
        <v>5.2882850000000001</v>
      </c>
      <c r="E2594">
        <v>0.52756150000000002</v>
      </c>
      <c r="F2594" t="s">
        <v>50</v>
      </c>
      <c r="G2594">
        <v>-378.5224</v>
      </c>
      <c r="H2594" s="1">
        <v>2.9984240000000002E-6</v>
      </c>
      <c r="I2594">
        <v>286.74950000000001</v>
      </c>
      <c r="J2594">
        <v>-319.11739999999998</v>
      </c>
      <c r="K2594">
        <v>1.121005</v>
      </c>
      <c r="L2594">
        <v>283.8304</v>
      </c>
      <c r="M2594">
        <v>-0.99989150000000004</v>
      </c>
      <c r="N2594">
        <v>-1.470895E-2</v>
      </c>
      <c r="O2594">
        <v>9.3548969999999998E-4</v>
      </c>
      <c r="P2594">
        <v>-0.99618019999999996</v>
      </c>
      <c r="Q2594">
        <v>-8.2573519999999997E-2</v>
      </c>
      <c r="R2594">
        <v>-2.8403979999999999E-2</v>
      </c>
      <c r="S2594">
        <v>-3.0109249999999999</v>
      </c>
      <c r="T2594">
        <v>-5.648446E-2</v>
      </c>
      <c r="U2594">
        <v>0.14709469999999999</v>
      </c>
      <c r="V2594">
        <v>-2.9313309999999999E-2</v>
      </c>
      <c r="W2594">
        <v>-6.792202E-2</v>
      </c>
      <c r="X2594">
        <v>0.99725989999999998</v>
      </c>
      <c r="Y2594">
        <v>4.7845989999999998E-2</v>
      </c>
      <c r="Z2594">
        <v>7.9686549999999996E-4</v>
      </c>
      <c r="AA2594">
        <v>0.99885440000000003</v>
      </c>
      <c r="AB2594">
        <v>37</v>
      </c>
      <c r="AC2594">
        <v>-59.405000000000001</v>
      </c>
      <c r="AD2594">
        <v>-1.1210020015760001</v>
      </c>
      <c r="AE2594">
        <v>2.91910000000001</v>
      </c>
      <c r="AF2594">
        <v>2.8625030810337</v>
      </c>
      <c r="AG2594">
        <v>-1.1210020015760001</v>
      </c>
      <c r="AH2594">
        <v>59.3866087054693</v>
      </c>
      <c r="AI2594">
        <v>91.080152602316204</v>
      </c>
      <c r="AJ2594">
        <v>87.240413139895196</v>
      </c>
      <c r="AK2594">
        <v>59.466123658037297</v>
      </c>
      <c r="AL2594">
        <v>93.894643638393504</v>
      </c>
      <c r="AM2594">
        <v>91.683658887352905</v>
      </c>
      <c r="AN2594">
        <v>0.99999998954602298</v>
      </c>
    </row>
    <row r="2595" spans="1:40" x14ac:dyDescent="0.25">
      <c r="A2595" t="str">
        <f>"20190303154148292"</f>
        <v>20190303154148292</v>
      </c>
      <c r="B2595" t="str">
        <f>"1551598908282495"</f>
        <v>1551598908282495</v>
      </c>
      <c r="C2595" t="s">
        <v>40</v>
      </c>
      <c r="D2595">
        <v>5.3326560000000001</v>
      </c>
      <c r="E2595">
        <v>0.52594359999999996</v>
      </c>
      <c r="F2595" t="s">
        <v>50</v>
      </c>
      <c r="G2595">
        <v>-370.70760000000001</v>
      </c>
      <c r="H2595" s="1">
        <v>-1.1602229999999999E-6</v>
      </c>
      <c r="I2595">
        <v>286.09109999999998</v>
      </c>
      <c r="J2595">
        <v>-319.48590000000002</v>
      </c>
      <c r="K2595">
        <v>1.1209769999999999</v>
      </c>
      <c r="L2595">
        <v>283.8306</v>
      </c>
      <c r="M2595">
        <v>-0.99989349999999999</v>
      </c>
      <c r="N2595">
        <v>-1.457923E-2</v>
      </c>
      <c r="O2595">
        <v>7.8020339999999996E-4</v>
      </c>
      <c r="P2595">
        <v>-0.99614449999999999</v>
      </c>
      <c r="Q2595">
        <v>-8.2741709999999996E-2</v>
      </c>
      <c r="R2595">
        <v>-2.9158079999999999E-2</v>
      </c>
      <c r="S2595">
        <v>-3.0098569999999998</v>
      </c>
      <c r="T2595">
        <v>-6.5401319999999999E-2</v>
      </c>
      <c r="U2595">
        <v>0.13189699999999999</v>
      </c>
      <c r="V2595">
        <v>-2.9912339999999999E-2</v>
      </c>
      <c r="W2595">
        <v>-6.8220409999999995E-2</v>
      </c>
      <c r="X2595">
        <v>0.99722180000000005</v>
      </c>
      <c r="Y2595">
        <v>4.2983189999999998E-2</v>
      </c>
      <c r="Z2595">
        <v>7.7469889999999997E-4</v>
      </c>
      <c r="AA2595">
        <v>0.99907550000000001</v>
      </c>
      <c r="AB2595">
        <v>37</v>
      </c>
      <c r="AC2595">
        <v>-51.221699999999998</v>
      </c>
      <c r="AD2595">
        <v>-1.120978160223</v>
      </c>
      <c r="AE2595">
        <v>2.2604999999999702</v>
      </c>
      <c r="AF2595">
        <v>2.2194707831619902</v>
      </c>
      <c r="AG2595">
        <v>-1.120978160223</v>
      </c>
      <c r="AH2595">
        <v>51.198974378127097</v>
      </c>
      <c r="AI2595">
        <v>91.253088048172998</v>
      </c>
      <c r="AJ2595">
        <v>87.517787372126904</v>
      </c>
      <c r="AK2595">
        <v>51.259317396597503</v>
      </c>
      <c r="AL2595">
        <v>93.911779655522594</v>
      </c>
      <c r="AM2595">
        <v>91.718110361894404</v>
      </c>
      <c r="AN2595">
        <v>1.00000004541004</v>
      </c>
    </row>
    <row r="2596" spans="1:40" x14ac:dyDescent="0.25">
      <c r="A2596" t="str">
        <f>"20190303154148314"</f>
        <v>20190303154148314</v>
      </c>
      <c r="B2596" t="str">
        <f>"1551598908311774"</f>
        <v>1551598908311774</v>
      </c>
      <c r="C2596" t="s">
        <v>40</v>
      </c>
      <c r="D2596">
        <v>5.352004</v>
      </c>
      <c r="E2596">
        <v>0.52453950000000005</v>
      </c>
      <c r="F2596" t="s">
        <v>50</v>
      </c>
      <c r="G2596">
        <v>-367.13060000000002</v>
      </c>
      <c r="H2596" s="1">
        <v>2.2577809999999999E-6</v>
      </c>
      <c r="I2596">
        <v>285.67880000000002</v>
      </c>
      <c r="J2596">
        <v>-319.8451</v>
      </c>
      <c r="K2596">
        <v>1.1209530000000001</v>
      </c>
      <c r="L2596">
        <v>283.83069999999998</v>
      </c>
      <c r="M2596">
        <v>-0.99989600000000001</v>
      </c>
      <c r="N2596">
        <v>-1.441918E-2</v>
      </c>
      <c r="O2596">
        <v>6.3276900000000004E-4</v>
      </c>
      <c r="P2596">
        <v>-0.99613320000000005</v>
      </c>
      <c r="Q2596">
        <v>-8.2767220000000002E-2</v>
      </c>
      <c r="R2596">
        <v>-2.9467569999999998E-2</v>
      </c>
      <c r="S2596">
        <v>-3.0091860000000001</v>
      </c>
      <c r="T2596">
        <v>-7.0799470000000003E-2</v>
      </c>
      <c r="U2596">
        <v>0.11672970000000001</v>
      </c>
      <c r="V2596">
        <v>-3.0073630000000001E-2</v>
      </c>
      <c r="W2596">
        <v>-6.8406330000000001E-2</v>
      </c>
      <c r="X2596">
        <v>0.99720419999999999</v>
      </c>
      <c r="Y2596">
        <v>3.8112649999999998E-2</v>
      </c>
      <c r="Z2596">
        <v>7.1731850000000005E-4</v>
      </c>
      <c r="AA2596">
        <v>0.99927319999999997</v>
      </c>
      <c r="AB2596">
        <v>37</v>
      </c>
      <c r="AC2596">
        <v>-47.285499999999999</v>
      </c>
      <c r="AD2596">
        <v>-1.1209507422189999</v>
      </c>
      <c r="AE2596">
        <v>1.84810000000004</v>
      </c>
      <c r="AF2596">
        <v>1.8171560863359599</v>
      </c>
      <c r="AG2596">
        <v>-1.1209507422189999</v>
      </c>
      <c r="AH2596">
        <v>47.260141558074402</v>
      </c>
      <c r="AI2596">
        <v>91.357725723908999</v>
      </c>
      <c r="AJ2596">
        <v>87.798057556567997</v>
      </c>
      <c r="AK2596">
        <v>47.308345636872801</v>
      </c>
      <c r="AL2596">
        <v>93.922457078990504</v>
      </c>
      <c r="AM2596">
        <v>91.727399436818104</v>
      </c>
      <c r="AN2596">
        <v>1.0000000328515399</v>
      </c>
    </row>
    <row r="2597" spans="1:40" x14ac:dyDescent="0.25">
      <c r="A2597" t="str">
        <f>"20190303154148337"</f>
        <v>20190303154148337</v>
      </c>
      <c r="B2597" t="str">
        <f>"1551598908332270"</f>
        <v>1551598908332270</v>
      </c>
      <c r="C2597" t="s">
        <v>40</v>
      </c>
      <c r="D2597">
        <v>5.3636939999999997</v>
      </c>
      <c r="E2597">
        <v>0.52374679999999996</v>
      </c>
      <c r="F2597" t="s">
        <v>50</v>
      </c>
      <c r="G2597">
        <v>-363.19540000000001</v>
      </c>
      <c r="H2597" s="1">
        <v>1.636305E-7</v>
      </c>
      <c r="I2597">
        <v>285.34129999999999</v>
      </c>
      <c r="J2597">
        <v>-320.21859999999998</v>
      </c>
      <c r="K2597">
        <v>1.1209309999999999</v>
      </c>
      <c r="L2597">
        <v>283.83069999999998</v>
      </c>
      <c r="M2597">
        <v>-0.99989870000000003</v>
      </c>
      <c r="N2597">
        <v>-1.423787E-2</v>
      </c>
      <c r="O2597">
        <v>4.7237819999999998E-4</v>
      </c>
      <c r="P2597">
        <v>-0.99612869999999998</v>
      </c>
      <c r="Q2597">
        <v>-8.2593680000000003E-2</v>
      </c>
      <c r="R2597">
        <v>-3.0105799999999999E-2</v>
      </c>
      <c r="S2597">
        <v>-3.00827</v>
      </c>
      <c r="T2597">
        <v>-7.7787880000000004E-2</v>
      </c>
      <c r="U2597">
        <v>0.1048279</v>
      </c>
      <c r="V2597">
        <v>-3.0551020000000002E-2</v>
      </c>
      <c r="W2597">
        <v>-6.8414160000000002E-2</v>
      </c>
      <c r="X2597">
        <v>0.99718910000000005</v>
      </c>
      <c r="Y2597">
        <v>3.4335539999999998E-2</v>
      </c>
      <c r="Z2597">
        <v>6.8281220000000005E-4</v>
      </c>
      <c r="AA2597">
        <v>0.99941020000000003</v>
      </c>
      <c r="AB2597">
        <v>37</v>
      </c>
      <c r="AC2597">
        <v>-42.976799999999997</v>
      </c>
      <c r="AD2597">
        <v>-1.1209308363695001</v>
      </c>
      <c r="AE2597">
        <v>1.5106000000000099</v>
      </c>
      <c r="AF2597">
        <v>1.48928458901438</v>
      </c>
      <c r="AG2597">
        <v>-1.1209308363695001</v>
      </c>
      <c r="AH2597">
        <v>42.948327894668097</v>
      </c>
      <c r="AI2597">
        <v>91.494155422790001</v>
      </c>
      <c r="AJ2597">
        <v>88.013996142990095</v>
      </c>
      <c r="AK2597">
        <v>42.988758105752801</v>
      </c>
      <c r="AL2597">
        <v>93.922906959636094</v>
      </c>
      <c r="AM2597">
        <v>91.754829789403601</v>
      </c>
      <c r="AN2597">
        <v>0.999999981635177</v>
      </c>
    </row>
    <row r="2598" spans="1:40" x14ac:dyDescent="0.25">
      <c r="A2598" t="str">
        <f>"20190303154148359"</f>
        <v>20190303154148359</v>
      </c>
      <c r="B2598" t="str">
        <f>"1551598908352237"</f>
        <v>1551598908352237</v>
      </c>
      <c r="C2598" t="s">
        <v>40</v>
      </c>
      <c r="D2598">
        <v>5.3859050000000002</v>
      </c>
      <c r="E2598">
        <v>0.52330670000000001</v>
      </c>
      <c r="F2598" t="s">
        <v>50</v>
      </c>
      <c r="G2598">
        <v>-359.58150000000001</v>
      </c>
      <c r="H2598" s="1">
        <v>3.562016E-6</v>
      </c>
      <c r="I2598">
        <v>285.09570000000002</v>
      </c>
      <c r="J2598">
        <v>-320.57859999999999</v>
      </c>
      <c r="K2598">
        <v>1.1209039999999999</v>
      </c>
      <c r="L2598">
        <v>283.83069999999998</v>
      </c>
      <c r="M2598">
        <v>-0.99990120000000005</v>
      </c>
      <c r="N2598">
        <v>-1.406057E-2</v>
      </c>
      <c r="O2598">
        <v>3.1074599999999998E-4</v>
      </c>
      <c r="P2598">
        <v>-0.99615089999999995</v>
      </c>
      <c r="Q2598">
        <v>-8.2161129999999999E-2</v>
      </c>
      <c r="R2598">
        <v>-3.054743E-2</v>
      </c>
      <c r="S2598">
        <v>-3.0074770000000002</v>
      </c>
      <c r="T2598">
        <v>-8.5643170000000005E-2</v>
      </c>
      <c r="U2598">
        <v>9.6649170000000006E-2</v>
      </c>
      <c r="V2598">
        <v>-3.0832109999999999E-2</v>
      </c>
      <c r="W2598">
        <v>-6.8158060000000006E-2</v>
      </c>
      <c r="X2598">
        <v>0.99719800000000003</v>
      </c>
      <c r="Y2598">
        <v>3.1789890000000001E-2</v>
      </c>
      <c r="Z2598">
        <v>6.7157929999999897E-4</v>
      </c>
      <c r="AA2598">
        <v>0.99949440000000001</v>
      </c>
      <c r="AB2598">
        <v>37</v>
      </c>
      <c r="AC2598">
        <v>-39.002899999999997</v>
      </c>
      <c r="AD2598">
        <v>-1.120900437984</v>
      </c>
      <c r="AE2598">
        <v>1.2650000000000401</v>
      </c>
      <c r="AF2598">
        <v>1.2518459032060201</v>
      </c>
      <c r="AG2598">
        <v>-1.120900437984</v>
      </c>
      <c r="AH2598">
        <v>38.971137859834101</v>
      </c>
      <c r="AI2598">
        <v>91.646656618700405</v>
      </c>
      <c r="AJ2598">
        <v>88.160155537417594</v>
      </c>
      <c r="AK2598">
        <v>39.007347026521103</v>
      </c>
      <c r="AL2598">
        <v>93.908199124021607</v>
      </c>
      <c r="AM2598">
        <v>91.770949377171704</v>
      </c>
      <c r="AN2598">
        <v>0.99999999567700704</v>
      </c>
    </row>
    <row r="2599" spans="1:40" x14ac:dyDescent="0.25">
      <c r="A2599" t="str">
        <f>"20190303154148382"</f>
        <v>20190303154148382</v>
      </c>
      <c r="B2599" t="str">
        <f>"1551598908371757"</f>
        <v>1551598908371757</v>
      </c>
      <c r="C2599" t="s">
        <v>40</v>
      </c>
      <c r="D2599">
        <v>5.3984449999999997</v>
      </c>
      <c r="E2599">
        <v>0.52307979999999998</v>
      </c>
      <c r="F2599" t="s">
        <v>50</v>
      </c>
      <c r="G2599">
        <v>-358.12509999999997</v>
      </c>
      <c r="H2599" s="1">
        <v>2.7869919999999999E-6</v>
      </c>
      <c r="I2599">
        <v>284.97730000000001</v>
      </c>
      <c r="J2599">
        <v>-320.95769999999999</v>
      </c>
      <c r="K2599">
        <v>1.1208769999999999</v>
      </c>
      <c r="L2599">
        <v>283.8306</v>
      </c>
      <c r="M2599">
        <v>-0.99990369999999995</v>
      </c>
      <c r="N2599">
        <v>-1.3879600000000001E-2</v>
      </c>
      <c r="O2599">
        <v>1.349891E-4</v>
      </c>
      <c r="P2599">
        <v>-0.99622820000000001</v>
      </c>
      <c r="Q2599">
        <v>-8.1101179999999995E-2</v>
      </c>
      <c r="R2599">
        <v>-3.0863450000000001E-2</v>
      </c>
      <c r="S2599">
        <v>-3.0069889999999999</v>
      </c>
      <c r="T2599">
        <v>-8.9769600000000005E-2</v>
      </c>
      <c r="U2599">
        <v>9.1827389999999995E-2</v>
      </c>
      <c r="V2599">
        <v>-3.0973750000000001E-2</v>
      </c>
      <c r="W2599">
        <v>-6.7277229999999993E-2</v>
      </c>
      <c r="X2599">
        <v>0.99725339999999996</v>
      </c>
      <c r="Y2599">
        <v>3.0369030000000002E-2</v>
      </c>
      <c r="Z2599">
        <v>6.6183490000000002E-4</v>
      </c>
      <c r="AA2599">
        <v>0.9995385</v>
      </c>
      <c r="AB2599">
        <v>37</v>
      </c>
      <c r="AC2599">
        <v>-37.167400000000001</v>
      </c>
      <c r="AD2599">
        <v>-1.1208742130080001</v>
      </c>
      <c r="AE2599">
        <v>1.1467000000000001</v>
      </c>
      <c r="AF2599">
        <v>1.14064591336807</v>
      </c>
      <c r="AG2599">
        <v>-1.1208742130080001</v>
      </c>
      <c r="AH2599">
        <v>37.133814415086903</v>
      </c>
      <c r="AI2599">
        <v>91.728118161989798</v>
      </c>
      <c r="AJ2599">
        <v>88.240588678009303</v>
      </c>
      <c r="AK2599">
        <v>37.168233817538102</v>
      </c>
      <c r="AL2599">
        <v>93.857615260527098</v>
      </c>
      <c r="AM2599">
        <v>91.778980977453401</v>
      </c>
      <c r="AN2599">
        <v>0.99999997133854701</v>
      </c>
    </row>
    <row r="2600" spans="1:40" x14ac:dyDescent="0.25">
      <c r="A2600" t="str">
        <f>"20190303154148404"</f>
        <v>20190303154148404</v>
      </c>
      <c r="B2600" t="str">
        <f>"1551598908392253"</f>
        <v>1551598908392253</v>
      </c>
      <c r="C2600" t="s">
        <v>40</v>
      </c>
      <c r="D2600">
        <v>5.4459850000000003</v>
      </c>
      <c r="E2600">
        <v>0.52294119999999999</v>
      </c>
      <c r="F2600" t="s">
        <v>50</v>
      </c>
      <c r="G2600">
        <v>-358.3596</v>
      </c>
      <c r="H2600" s="1">
        <v>2.9117699999999998E-6</v>
      </c>
      <c r="I2600">
        <v>284.93639999999999</v>
      </c>
      <c r="J2600">
        <v>-321.32249999999999</v>
      </c>
      <c r="K2600">
        <v>1.1208610000000001</v>
      </c>
      <c r="L2600">
        <v>283.83049999999997</v>
      </c>
      <c r="M2600">
        <v>-0.99990610000000002</v>
      </c>
      <c r="N2600">
        <v>-1.371112E-2</v>
      </c>
      <c r="O2600" s="1">
        <v>-3.2834250000000002E-5</v>
      </c>
      <c r="P2600">
        <v>-0.9962858</v>
      </c>
      <c r="Q2600">
        <v>-8.0469209999999999E-2</v>
      </c>
      <c r="R2600">
        <v>-3.0649880000000001E-2</v>
      </c>
      <c r="S2600">
        <v>-3.0068049999999999</v>
      </c>
      <c r="T2600">
        <v>-9.0109110000000006E-2</v>
      </c>
      <c r="U2600">
        <v>8.8897710000000005E-2</v>
      </c>
      <c r="V2600">
        <v>-3.059429E-2</v>
      </c>
      <c r="W2600">
        <v>-6.6812049999999998E-2</v>
      </c>
      <c r="X2600">
        <v>0.99729639999999997</v>
      </c>
      <c r="Y2600">
        <v>2.956607E-2</v>
      </c>
      <c r="Z2600">
        <v>6.4617310000000003E-4</v>
      </c>
      <c r="AA2600">
        <v>0.99956259999999997</v>
      </c>
      <c r="AB2600">
        <v>37</v>
      </c>
      <c r="AC2600">
        <v>-37.037100000000002</v>
      </c>
      <c r="AD2600">
        <v>-1.1208580882299899</v>
      </c>
      <c r="AE2600">
        <v>1.1059000000000101</v>
      </c>
      <c r="AF2600">
        <v>1.1061040690733701</v>
      </c>
      <c r="AG2600">
        <v>-1.1208580882299899</v>
      </c>
      <c r="AH2600">
        <v>37.0032042376898</v>
      </c>
      <c r="AI2600">
        <v>91.734232542419505</v>
      </c>
      <c r="AJ2600">
        <v>88.287817764764398</v>
      </c>
      <c r="AK2600">
        <v>37.036696841399802</v>
      </c>
      <c r="AL2600">
        <v>93.830902251503304</v>
      </c>
      <c r="AM2600">
        <v>91.757124679061704</v>
      </c>
      <c r="AN2600">
        <v>0.99999998502938303</v>
      </c>
    </row>
    <row r="2601" spans="1:40" x14ac:dyDescent="0.25">
      <c r="A2601" t="str">
        <f>"20190303154148426"</f>
        <v>20190303154148426</v>
      </c>
      <c r="B2601" t="str">
        <f>"1551598908422509"</f>
        <v>1551598908422509</v>
      </c>
      <c r="C2601" t="s">
        <v>40</v>
      </c>
      <c r="D2601">
        <v>5.434914</v>
      </c>
      <c r="E2601">
        <v>0.52285839999999995</v>
      </c>
      <c r="F2601" t="s">
        <v>50</v>
      </c>
      <c r="G2601">
        <v>-358.45359999999999</v>
      </c>
      <c r="H2601" s="1">
        <v>2.9618000000000002E-6</v>
      </c>
      <c r="I2601">
        <v>284.92500000000001</v>
      </c>
      <c r="J2601">
        <v>-321.67509999999999</v>
      </c>
      <c r="K2601">
        <v>1.120849</v>
      </c>
      <c r="L2601">
        <v>283.8304</v>
      </c>
      <c r="M2601">
        <v>-0.99990820000000002</v>
      </c>
      <c r="N2601">
        <v>-1.355427E-2</v>
      </c>
      <c r="O2601">
        <v>-1.9071109999999999E-4</v>
      </c>
      <c r="P2601">
        <v>-0.99632039999999999</v>
      </c>
      <c r="Q2601">
        <v>-7.99898E-2</v>
      </c>
      <c r="R2601">
        <v>-3.0780749999999999E-2</v>
      </c>
      <c r="S2601">
        <v>-3.006561</v>
      </c>
      <c r="T2601">
        <v>-9.0757610000000002E-2</v>
      </c>
      <c r="U2601">
        <v>8.8623049999999995E-2</v>
      </c>
      <c r="V2601">
        <v>-3.056832E-2</v>
      </c>
      <c r="W2601">
        <v>-6.6488389999999994E-2</v>
      </c>
      <c r="X2601">
        <v>0.99731890000000001</v>
      </c>
      <c r="Y2601">
        <v>2.9634819999999999E-2</v>
      </c>
      <c r="Z2601">
        <v>6.5121560000000001E-4</v>
      </c>
      <c r="AA2601">
        <v>0.99956060000000002</v>
      </c>
      <c r="AB2601">
        <v>37</v>
      </c>
      <c r="AC2601">
        <v>-36.778500000000001</v>
      </c>
      <c r="AD2601">
        <v>-1.1208460381999901</v>
      </c>
      <c r="AE2601">
        <v>1.09460000000001</v>
      </c>
      <c r="AF2601">
        <v>1.1005934086698099</v>
      </c>
      <c r="AG2601">
        <v>-1.1208460381999901</v>
      </c>
      <c r="AH2601">
        <v>36.744194192435401</v>
      </c>
      <c r="AI2601">
        <v>91.746427680812801</v>
      </c>
      <c r="AJ2601">
        <v>88.284340957371398</v>
      </c>
      <c r="AK2601">
        <v>36.7777569808704</v>
      </c>
      <c r="AL2601">
        <v>93.812316292530198</v>
      </c>
      <c r="AM2601">
        <v>91.755594492314799</v>
      </c>
      <c r="AN2601">
        <v>1.0000000582448101</v>
      </c>
    </row>
    <row r="2602" spans="1:40" x14ac:dyDescent="0.25">
      <c r="A2602" t="str">
        <f>"20190303154148448"</f>
        <v>20190303154148448</v>
      </c>
      <c r="B2602" t="str">
        <f>"1551598908442029"</f>
        <v>1551598908442029</v>
      </c>
      <c r="C2602" t="s">
        <v>40</v>
      </c>
      <c r="D2602">
        <v>5.4643709999999999</v>
      </c>
      <c r="E2602">
        <v>0.52281309999999903</v>
      </c>
      <c r="F2602" t="s">
        <v>50</v>
      </c>
      <c r="G2602">
        <v>-358.22480000000002</v>
      </c>
      <c r="H2602" s="1">
        <v>2.8400229999999999E-6</v>
      </c>
      <c r="I2602">
        <v>284.8981</v>
      </c>
      <c r="J2602">
        <v>-322.04500000000002</v>
      </c>
      <c r="K2602">
        <v>1.120838</v>
      </c>
      <c r="L2602">
        <v>283.83010000000002</v>
      </c>
      <c r="M2602">
        <v>-0.99991019999999997</v>
      </c>
      <c r="N2602">
        <v>-1.33983E-2</v>
      </c>
      <c r="O2602">
        <v>-3.5149250000000002E-4</v>
      </c>
      <c r="P2602">
        <v>-0.99632469999999995</v>
      </c>
      <c r="Q2602">
        <v>-7.9902100000000004E-2</v>
      </c>
      <c r="R2602">
        <v>-3.0873540000000001E-2</v>
      </c>
      <c r="S2602">
        <v>-3.006348</v>
      </c>
      <c r="T2602">
        <v>-9.2193839999999999E-2</v>
      </c>
      <c r="U2602">
        <v>8.7829589999999999E-2</v>
      </c>
      <c r="V2602">
        <v>-3.0500650000000001E-2</v>
      </c>
      <c r="W2602">
        <v>-6.6556009999999999E-2</v>
      </c>
      <c r="X2602">
        <v>0.99731639999999999</v>
      </c>
      <c r="Y2602">
        <v>2.953364E-2</v>
      </c>
      <c r="Z2602">
        <v>6.5667649999999998E-4</v>
      </c>
      <c r="AA2602">
        <v>0.9995636</v>
      </c>
      <c r="AB2602">
        <v>37</v>
      </c>
      <c r="AC2602">
        <v>-36.1798</v>
      </c>
      <c r="AD2602">
        <v>-1.1208351599769999</v>
      </c>
      <c r="AE2602">
        <v>1.0679999999999801</v>
      </c>
      <c r="AF2602">
        <v>1.0796826969328801</v>
      </c>
      <c r="AG2602">
        <v>-1.1208351599769999</v>
      </c>
      <c r="AH2602">
        <v>36.144763157335298</v>
      </c>
      <c r="AI2602">
        <v>91.7753594734085</v>
      </c>
      <c r="AJ2602">
        <v>88.289022613914597</v>
      </c>
      <c r="AK2602">
        <v>36.1782516144957</v>
      </c>
      <c r="AL2602">
        <v>93.8161994682429</v>
      </c>
      <c r="AM2602">
        <v>91.751714892870993</v>
      </c>
      <c r="AN2602">
        <v>0.99999999691325103</v>
      </c>
    </row>
    <row r="2603" spans="1:40" x14ac:dyDescent="0.25">
      <c r="A2603" t="str">
        <f>"20190303154148471"</f>
        <v>20190303154148471</v>
      </c>
      <c r="B2603" t="str">
        <f>"1551598908462528"</f>
        <v>1551598908462528</v>
      </c>
      <c r="C2603" t="s">
        <v>40</v>
      </c>
      <c r="D2603">
        <v>5.4218679999999999</v>
      </c>
      <c r="E2603">
        <v>0.52261000000000002</v>
      </c>
      <c r="F2603" t="s">
        <v>50</v>
      </c>
      <c r="G2603">
        <v>-358.11689999999999</v>
      </c>
      <c r="H2603" s="1">
        <v>2.7826319999999999E-6</v>
      </c>
      <c r="I2603">
        <v>284.87110000000001</v>
      </c>
      <c r="J2603">
        <v>-322.41520000000003</v>
      </c>
      <c r="K2603">
        <v>1.1208279999999999</v>
      </c>
      <c r="L2603">
        <v>283.82979999999998</v>
      </c>
      <c r="M2603">
        <v>-0.99991209999999997</v>
      </c>
      <c r="N2603">
        <v>-1.325223E-2</v>
      </c>
      <c r="O2603">
        <v>-5.0974419999999998E-4</v>
      </c>
      <c r="P2603">
        <v>-0.99634610000000001</v>
      </c>
      <c r="Q2603">
        <v>-7.9793710000000004E-2</v>
      </c>
      <c r="R2603">
        <v>-3.0461680000000001E-2</v>
      </c>
      <c r="S2603">
        <v>-3.0062869999999999</v>
      </c>
      <c r="T2603">
        <v>-9.3412159999999994E-2</v>
      </c>
      <c r="U2603">
        <v>8.6761469999999993E-2</v>
      </c>
      <c r="V2603">
        <v>-2.993086E-2</v>
      </c>
      <c r="W2603">
        <v>-6.6592760000000001E-2</v>
      </c>
      <c r="X2603">
        <v>0.99733119999999997</v>
      </c>
      <c r="Y2603">
        <v>2.9337309999999998E-2</v>
      </c>
      <c r="Z2603">
        <v>6.5917069999999996E-4</v>
      </c>
      <c r="AA2603">
        <v>0.99956940000000005</v>
      </c>
      <c r="AB2603">
        <v>37</v>
      </c>
      <c r="AC2603">
        <v>-35.701699999999903</v>
      </c>
      <c r="AD2603">
        <v>-1.120825217368</v>
      </c>
      <c r="AE2603">
        <v>1.0413000000000301</v>
      </c>
      <c r="AF2603">
        <v>1.05845787374564</v>
      </c>
      <c r="AG2603">
        <v>-1.120825217368</v>
      </c>
      <c r="AH2603">
        <v>35.666042163436302</v>
      </c>
      <c r="AI2603">
        <v>91.799167791777407</v>
      </c>
      <c r="AJ2603">
        <v>88.300137304271004</v>
      </c>
      <c r="AK2603">
        <v>35.699343773274002</v>
      </c>
      <c r="AL2603">
        <v>93.818309806766194</v>
      </c>
      <c r="AM2603">
        <v>91.718985011105701</v>
      </c>
      <c r="AN2603">
        <v>0.999999987279098</v>
      </c>
    </row>
    <row r="2604" spans="1:40" x14ac:dyDescent="0.25">
      <c r="A2604" t="str">
        <f>"20190303154148492"</f>
        <v>20190303154148492</v>
      </c>
      <c r="B2604" t="str">
        <f>"1551598908482046"</f>
        <v>1551598908482046</v>
      </c>
      <c r="C2604" t="s">
        <v>40</v>
      </c>
      <c r="D2604">
        <v>5.4749460000000001</v>
      </c>
      <c r="E2604">
        <v>0.52256829999999999</v>
      </c>
      <c r="F2604" t="s">
        <v>50</v>
      </c>
      <c r="G2604">
        <v>-358.76029999999997</v>
      </c>
      <c r="H2604" s="1">
        <v>3.1250120000000001E-6</v>
      </c>
      <c r="I2604">
        <v>284.8777</v>
      </c>
      <c r="J2604">
        <v>-322.77010000000001</v>
      </c>
      <c r="K2604">
        <v>1.1208180000000001</v>
      </c>
      <c r="L2604">
        <v>283.8295</v>
      </c>
      <c r="M2604">
        <v>-0.99991370000000002</v>
      </c>
      <c r="N2604">
        <v>-1.3120690000000001E-2</v>
      </c>
      <c r="O2604">
        <v>-6.6047950000000001E-4</v>
      </c>
      <c r="P2604">
        <v>-0.99636720000000001</v>
      </c>
      <c r="Q2604">
        <v>-7.9475980000000002E-2</v>
      </c>
      <c r="R2604">
        <v>-3.0592870000000001E-2</v>
      </c>
      <c r="S2604">
        <v>-3.006256</v>
      </c>
      <c r="T2604">
        <v>-9.2707990000000004E-2</v>
      </c>
      <c r="U2604">
        <v>8.6669919999999998E-2</v>
      </c>
      <c r="V2604">
        <v>-2.9912680000000001E-2</v>
      </c>
      <c r="W2604">
        <v>-6.6405919999999993E-2</v>
      </c>
      <c r="X2604">
        <v>0.99734420000000001</v>
      </c>
      <c r="Y2604">
        <v>2.9458080000000001E-2</v>
      </c>
      <c r="Z2604">
        <v>6.5908190000000004E-4</v>
      </c>
      <c r="AA2604">
        <v>0.99956579999999995</v>
      </c>
      <c r="AB2604">
        <v>37</v>
      </c>
      <c r="AC2604">
        <v>-35.990199999999902</v>
      </c>
      <c r="AD2604">
        <v>-1.120814874988</v>
      </c>
      <c r="AE2604">
        <v>1.0482</v>
      </c>
      <c r="AF2604">
        <v>1.0709348538580701</v>
      </c>
      <c r="AG2604">
        <v>-1.120814874988</v>
      </c>
      <c r="AH2604">
        <v>35.954659128519197</v>
      </c>
      <c r="AI2604">
        <v>91.784712581857704</v>
      </c>
      <c r="AJ2604">
        <v>88.293909261561495</v>
      </c>
      <c r="AK2604">
        <v>35.988062472064399</v>
      </c>
      <c r="AL2604">
        <v>93.807580927110294</v>
      </c>
      <c r="AM2604">
        <v>91.717919146433701</v>
      </c>
      <c r="AN2604">
        <v>0.999999983954734</v>
      </c>
    </row>
    <row r="2605" spans="1:40" x14ac:dyDescent="0.25">
      <c r="A2605" t="str">
        <f>"20190303154148515"</f>
        <v>20190303154148515</v>
      </c>
      <c r="B2605" t="str">
        <f>"1551598908512301"</f>
        <v>1551598908512301</v>
      </c>
      <c r="C2605" t="s">
        <v>40</v>
      </c>
      <c r="D2605">
        <v>5.5329220000000001</v>
      </c>
      <c r="E2605">
        <v>0.52245719999999995</v>
      </c>
      <c r="F2605" t="s">
        <v>50</v>
      </c>
      <c r="G2605">
        <v>-359.6148</v>
      </c>
      <c r="H2605" s="1">
        <v>3.5797530000000002E-6</v>
      </c>
      <c r="I2605">
        <v>284.88350000000003</v>
      </c>
      <c r="J2605">
        <v>-323.1343</v>
      </c>
      <c r="K2605">
        <v>1.1208089999999999</v>
      </c>
      <c r="L2605">
        <v>283.82909999999998</v>
      </c>
      <c r="M2605">
        <v>-0.99991529999999995</v>
      </c>
      <c r="N2605">
        <v>-1.2994779999999999E-2</v>
      </c>
      <c r="O2605">
        <v>-8.1531289999999998E-4</v>
      </c>
      <c r="P2605">
        <v>-0.99635490000000004</v>
      </c>
      <c r="Q2605">
        <v>-7.9424949999999994E-2</v>
      </c>
      <c r="R2605">
        <v>-3.112504E-2</v>
      </c>
      <c r="S2605">
        <v>-3.0062869999999999</v>
      </c>
      <c r="T2605">
        <v>-9.145093E-2</v>
      </c>
      <c r="U2605">
        <v>8.5998539999999998E-2</v>
      </c>
      <c r="V2605">
        <v>-3.0290609999999999E-2</v>
      </c>
      <c r="W2605">
        <v>-6.6480650000000002E-2</v>
      </c>
      <c r="X2605">
        <v>0.99732779999999999</v>
      </c>
      <c r="Y2605">
        <v>2.9390059999999999E-2</v>
      </c>
      <c r="Z2605">
        <v>6.5209489999999996E-4</v>
      </c>
      <c r="AA2605">
        <v>0.99956780000000001</v>
      </c>
      <c r="AB2605">
        <v>37</v>
      </c>
      <c r="AC2605">
        <v>-36.480499999999999</v>
      </c>
      <c r="AD2605">
        <v>-1.1208054202469999</v>
      </c>
      <c r="AE2605">
        <v>1.05440000000004</v>
      </c>
      <c r="AF2605">
        <v>1.0831236439190799</v>
      </c>
      <c r="AG2605">
        <v>-1.1208054202469999</v>
      </c>
      <c r="AH2605">
        <v>36.445255151651203</v>
      </c>
      <c r="AI2605">
        <v>91.760692110765305</v>
      </c>
      <c r="AJ2605">
        <v>88.297716608745205</v>
      </c>
      <c r="AK2605">
        <v>36.478568840992601</v>
      </c>
      <c r="AL2605">
        <v>93.811872179530098</v>
      </c>
      <c r="AM2605">
        <v>91.739639430032696</v>
      </c>
      <c r="AN2605">
        <v>0.99999996926571599</v>
      </c>
    </row>
    <row r="2606" spans="1:40" x14ac:dyDescent="0.25">
      <c r="A2606" t="str">
        <f>"20190303154148538"</f>
        <v>20190303154148538</v>
      </c>
      <c r="B2606" t="str">
        <f>"1551598908531824"</f>
        <v>1551598908531824</v>
      </c>
      <c r="C2606" t="s">
        <v>40</v>
      </c>
      <c r="D2606">
        <v>5.5504939999999996</v>
      </c>
      <c r="E2606">
        <v>0.52237440000000002</v>
      </c>
      <c r="F2606" t="s">
        <v>50</v>
      </c>
      <c r="G2606">
        <v>-359.82679999999999</v>
      </c>
      <c r="H2606" s="1">
        <v>3.692568E-6</v>
      </c>
      <c r="I2606">
        <v>284.84890000000001</v>
      </c>
      <c r="J2606">
        <v>-323.51170000000002</v>
      </c>
      <c r="K2606">
        <v>1.1207990000000001</v>
      </c>
      <c r="L2606">
        <v>283.82859999999999</v>
      </c>
      <c r="M2606">
        <v>-0.99991669999999999</v>
      </c>
      <c r="N2606">
        <v>-1.2872140000000001E-2</v>
      </c>
      <c r="O2606">
        <v>-9.7601399999999998E-4</v>
      </c>
      <c r="P2606">
        <v>-0.99634560000000005</v>
      </c>
      <c r="Q2606">
        <v>-7.9525929999999995E-2</v>
      </c>
      <c r="R2606">
        <v>-3.1162559999999999E-2</v>
      </c>
      <c r="S2606">
        <v>-3.006256</v>
      </c>
      <c r="T2606">
        <v>-9.1828580000000007E-2</v>
      </c>
      <c r="U2606">
        <v>8.3557129999999993E-2</v>
      </c>
      <c r="V2606">
        <v>-3.0167940000000001E-2</v>
      </c>
      <c r="W2606">
        <v>-6.6703949999999998E-2</v>
      </c>
      <c r="X2606">
        <v>0.99731669999999994</v>
      </c>
      <c r="Y2606">
        <v>2.8740189999999999E-2</v>
      </c>
      <c r="Z2606">
        <v>6.4107889999999999E-4</v>
      </c>
      <c r="AA2606">
        <v>0.99958670000000005</v>
      </c>
      <c r="AB2606">
        <v>37</v>
      </c>
      <c r="AC2606">
        <v>-36.315099999999902</v>
      </c>
      <c r="AD2606">
        <v>-1.1207953074319901</v>
      </c>
      <c r="AE2606">
        <v>1.02030000000002</v>
      </c>
      <c r="AF2606">
        <v>1.0547426155170501</v>
      </c>
      <c r="AG2606">
        <v>-1.1207953074319901</v>
      </c>
      <c r="AH2606">
        <v>36.279556724744197</v>
      </c>
      <c r="AI2606">
        <v>91.768746182966197</v>
      </c>
      <c r="AJ2606">
        <v>88.334729300542506</v>
      </c>
      <c r="AK2606">
        <v>36.312186663021002</v>
      </c>
      <c r="AL2606">
        <v>93.824694439557405</v>
      </c>
      <c r="AM2606">
        <v>91.732617865298806</v>
      </c>
      <c r="AN2606">
        <v>1.0000000608241599</v>
      </c>
    </row>
    <row r="2607" spans="1:40" x14ac:dyDescent="0.25">
      <c r="A2607" t="str">
        <f>"20190303154148552"</f>
        <v>20190303154148552</v>
      </c>
      <c r="B2607" t="str">
        <f>"1551598908541581"</f>
        <v>1551598908541581</v>
      </c>
      <c r="C2607" t="s">
        <v>40</v>
      </c>
      <c r="D2607">
        <v>5.5337050000000003</v>
      </c>
      <c r="E2607">
        <v>0.52231689999999997</v>
      </c>
      <c r="F2607" t="s">
        <v>50</v>
      </c>
      <c r="G2607">
        <v>-359.8442</v>
      </c>
      <c r="H2607" s="1">
        <v>3.701797E-6</v>
      </c>
      <c r="I2607">
        <v>284.83069999999998</v>
      </c>
      <c r="J2607">
        <v>-323.74369999999999</v>
      </c>
      <c r="K2607">
        <v>1.1207910000000001</v>
      </c>
      <c r="L2607">
        <v>283.82830000000001</v>
      </c>
      <c r="M2607">
        <v>-0.99991759999999996</v>
      </c>
      <c r="N2607">
        <v>-1.2798749999999999E-2</v>
      </c>
      <c r="O2607">
        <v>-1.075178E-3</v>
      </c>
      <c r="P2607">
        <v>-0.99632299999999996</v>
      </c>
      <c r="Q2607">
        <v>-7.9752530000000002E-2</v>
      </c>
      <c r="R2607">
        <v>-3.1309660000000003E-2</v>
      </c>
      <c r="S2607">
        <v>-3.0062259999999998</v>
      </c>
      <c r="T2607">
        <v>-9.2736959999999993E-2</v>
      </c>
      <c r="U2607">
        <v>8.2916260000000006E-2</v>
      </c>
      <c r="V2607">
        <v>-3.0215840000000001E-2</v>
      </c>
      <c r="W2607">
        <v>-6.7003930000000003E-2</v>
      </c>
      <c r="X2607">
        <v>0.99729509999999999</v>
      </c>
      <c r="Y2607">
        <v>2.862644E-2</v>
      </c>
      <c r="Z2607">
        <v>6.440412E-4</v>
      </c>
      <c r="AA2607">
        <v>0.99958999999999998</v>
      </c>
      <c r="AB2607">
        <v>37</v>
      </c>
      <c r="AC2607">
        <v>-36.100499999999997</v>
      </c>
      <c r="AD2607">
        <v>-1.120787298203</v>
      </c>
      <c r="AE2607">
        <v>1.00239999999996</v>
      </c>
      <c r="AF2607">
        <v>1.04021519678358</v>
      </c>
      <c r="AG2607">
        <v>-1.120787298203</v>
      </c>
      <c r="AH2607">
        <v>36.064666294233703</v>
      </c>
      <c r="AI2607">
        <v>91.779277564568602</v>
      </c>
      <c r="AJ2607">
        <v>88.347872656816094</v>
      </c>
      <c r="AK2607">
        <v>36.097068672371002</v>
      </c>
      <c r="AL2607">
        <v>93.841920722143001</v>
      </c>
      <c r="AM2607">
        <v>91.735404760136802</v>
      </c>
      <c r="AN2607">
        <v>1.00000002005318</v>
      </c>
    </row>
    <row r="2608" spans="1:40" x14ac:dyDescent="0.25">
      <c r="A2608" t="str">
        <f>"20190303154148565"</f>
        <v>20190303154148565</v>
      </c>
      <c r="B2608" t="str">
        <f>"1551598908562077"</f>
        <v>1551598908562077</v>
      </c>
      <c r="C2608" t="s">
        <v>40</v>
      </c>
      <c r="D2608">
        <v>5.7122299999999999</v>
      </c>
      <c r="E2608">
        <v>0.52227730000000006</v>
      </c>
      <c r="F2608" t="s">
        <v>50</v>
      </c>
      <c r="G2608">
        <v>-359.65949999999998</v>
      </c>
      <c r="H2608" s="1">
        <v>3.6034979999999998E-6</v>
      </c>
      <c r="I2608">
        <v>284.80579999999998</v>
      </c>
      <c r="J2608">
        <v>-323.94690000000003</v>
      </c>
      <c r="K2608">
        <v>1.1207860000000001</v>
      </c>
      <c r="L2608">
        <v>283.82799999999997</v>
      </c>
      <c r="M2608">
        <v>-0.99991830000000004</v>
      </c>
      <c r="N2608">
        <v>-1.2736829999999999E-2</v>
      </c>
      <c r="O2608">
        <v>-1.162026E-3</v>
      </c>
      <c r="P2608">
        <v>-0.99632169999999998</v>
      </c>
      <c r="Q2608">
        <v>-7.9760479999999995E-2</v>
      </c>
      <c r="R2608">
        <v>-3.1329799999999998E-2</v>
      </c>
      <c r="S2608">
        <v>-3.0060730000000002</v>
      </c>
      <c r="T2608">
        <v>-9.3807459999999995E-2</v>
      </c>
      <c r="U2608">
        <v>8.1817630000000002E-2</v>
      </c>
      <c r="V2608">
        <v>-3.0150070000000001E-2</v>
      </c>
      <c r="W2608">
        <v>-6.7073579999999994E-2</v>
      </c>
      <c r="X2608">
        <v>0.99729239999999997</v>
      </c>
      <c r="Y2608">
        <v>2.834942E-2</v>
      </c>
      <c r="Z2608">
        <v>6.4424030000000002E-4</v>
      </c>
      <c r="AA2608">
        <v>0.99959779999999998</v>
      </c>
      <c r="AB2608">
        <v>37</v>
      </c>
      <c r="AC2608">
        <v>-35.712599999999902</v>
      </c>
      <c r="AD2608">
        <v>-1.1207823965019901</v>
      </c>
      <c r="AE2608">
        <v>0.977800000000002</v>
      </c>
      <c r="AF2608">
        <v>1.0182994829227601</v>
      </c>
      <c r="AG2608">
        <v>-1.1207823965019901</v>
      </c>
      <c r="AH2608">
        <v>35.6763276610885</v>
      </c>
      <c r="AI2608">
        <v>91.798640053606704</v>
      </c>
      <c r="AJ2608">
        <v>88.365066414819296</v>
      </c>
      <c r="AK2608">
        <v>35.708450574038899</v>
      </c>
      <c r="AL2608">
        <v>93.845920403862394</v>
      </c>
      <c r="AM2608">
        <v>91.731634339164302</v>
      </c>
      <c r="AN2608">
        <v>1.0000000114763901</v>
      </c>
    </row>
    <row r="2609" spans="1:40" x14ac:dyDescent="0.25">
      <c r="A2609" t="str">
        <f>"20190303154148578"</f>
        <v>20190303154148578</v>
      </c>
      <c r="B2609" t="str">
        <f>"1551598908571838"</f>
        <v>1551598908571838</v>
      </c>
      <c r="C2609" t="s">
        <v>40</v>
      </c>
      <c r="D2609">
        <v>5.5791360000000001</v>
      </c>
      <c r="E2609">
        <v>0.52225459999999901</v>
      </c>
      <c r="F2609" t="s">
        <v>50</v>
      </c>
      <c r="G2609">
        <v>-359.6619</v>
      </c>
      <c r="H2609" s="1">
        <v>3.6047879999999999E-6</v>
      </c>
      <c r="I2609">
        <v>284.79750000000001</v>
      </c>
      <c r="J2609">
        <v>-324.17110000000002</v>
      </c>
      <c r="K2609">
        <v>1.1207800000000001</v>
      </c>
      <c r="L2609">
        <v>283.82760000000002</v>
      </c>
      <c r="M2609">
        <v>-0.99991890000000005</v>
      </c>
      <c r="N2609">
        <v>-1.2668489999999999E-2</v>
      </c>
      <c r="O2609">
        <v>-1.257656E-3</v>
      </c>
      <c r="P2609">
        <v>-0.99632909999999997</v>
      </c>
      <c r="Q2609">
        <v>-7.9772170000000003E-2</v>
      </c>
      <c r="R2609">
        <v>-3.106132E-2</v>
      </c>
      <c r="S2609">
        <v>-3.0061040000000001</v>
      </c>
      <c r="T2609">
        <v>-9.4335440000000007E-2</v>
      </c>
      <c r="U2609">
        <v>8.1603999999999996E-2</v>
      </c>
      <c r="V2609">
        <v>-2.9786119999999999E-2</v>
      </c>
      <c r="W2609">
        <v>-6.7153190000000001E-2</v>
      </c>
      <c r="X2609">
        <v>0.99729789999999996</v>
      </c>
      <c r="Y2609">
        <v>2.8373570000000001E-2</v>
      </c>
      <c r="Z2609">
        <v>6.4835800000000003E-4</v>
      </c>
      <c r="AA2609">
        <v>0.99959719999999996</v>
      </c>
      <c r="AB2609">
        <v>37</v>
      </c>
      <c r="AC2609">
        <v>-35.490799999999901</v>
      </c>
      <c r="AD2609">
        <v>-1.12077639521199</v>
      </c>
      <c r="AE2609">
        <v>0.96989999999999499</v>
      </c>
      <c r="AF2609">
        <v>1.0135280433309299</v>
      </c>
      <c r="AG2609">
        <v>-1.12077639521199</v>
      </c>
      <c r="AH2609">
        <v>35.4542215030527</v>
      </c>
      <c r="AI2609">
        <v>91.809888357127406</v>
      </c>
      <c r="AJ2609">
        <v>88.362534394517397</v>
      </c>
      <c r="AK2609">
        <v>35.486408682905697</v>
      </c>
      <c r="AL2609">
        <v>93.8504923323475</v>
      </c>
      <c r="AM2609">
        <v>91.710734360673001</v>
      </c>
      <c r="AN2609">
        <v>0.99999993260811704</v>
      </c>
    </row>
    <row r="2610" spans="1:40" x14ac:dyDescent="0.25">
      <c r="A2610" t="str">
        <f>"20190303154148594"</f>
        <v>20190303154148594</v>
      </c>
      <c r="B2610" t="str">
        <f>"1551598908582573"</f>
        <v>1551598908582573</v>
      </c>
      <c r="C2610" t="s">
        <v>40</v>
      </c>
      <c r="D2610">
        <v>5.5751269999999904</v>
      </c>
      <c r="E2610">
        <v>0.52221700000000004</v>
      </c>
      <c r="F2610" t="s">
        <v>50</v>
      </c>
      <c r="G2610">
        <v>-359.59339999999997</v>
      </c>
      <c r="H2610" s="1">
        <v>3.5683230000000002E-6</v>
      </c>
      <c r="I2610">
        <v>284.79570000000001</v>
      </c>
      <c r="J2610">
        <v>-324.4391</v>
      </c>
      <c r="K2610">
        <v>1.1207720000000001</v>
      </c>
      <c r="L2610">
        <v>283.8272</v>
      </c>
      <c r="M2610">
        <v>-0.99991989999999997</v>
      </c>
      <c r="N2610">
        <v>-1.258188E-2</v>
      </c>
      <c r="O2610">
        <v>-1.371885E-3</v>
      </c>
      <c r="P2610">
        <v>-0.99631890000000001</v>
      </c>
      <c r="Q2610">
        <v>-7.9938319999999993E-2</v>
      </c>
      <c r="R2610">
        <v>-3.0960700000000001E-2</v>
      </c>
      <c r="S2610">
        <v>-3.0060120000000001</v>
      </c>
      <c r="T2610">
        <v>-9.5111730000000005E-2</v>
      </c>
      <c r="U2610">
        <v>8.2153320000000002E-2</v>
      </c>
      <c r="V2610">
        <v>-2.9571610000000002E-2</v>
      </c>
      <c r="W2610">
        <v>-6.7405690000000004E-2</v>
      </c>
      <c r="X2610">
        <v>0.99728729999999999</v>
      </c>
      <c r="Y2610">
        <v>2.8670629999999999E-2</v>
      </c>
      <c r="Z2610">
        <v>6.5998049999999996E-4</v>
      </c>
      <c r="AA2610">
        <v>0.9995887</v>
      </c>
      <c r="AB2610">
        <v>37</v>
      </c>
      <c r="AC2610">
        <v>-35.1542999999999</v>
      </c>
      <c r="AD2610">
        <v>-1.1207684316769999</v>
      </c>
      <c r="AE2610">
        <v>0.96850000000000602</v>
      </c>
      <c r="AF2610">
        <v>1.0156989655442401</v>
      </c>
      <c r="AG2610">
        <v>-1.1207684316769999</v>
      </c>
      <c r="AH2610">
        <v>35.1172711749077</v>
      </c>
      <c r="AI2610">
        <v>91.827211917393598</v>
      </c>
      <c r="AJ2610">
        <v>88.343292557960496</v>
      </c>
      <c r="AK2610">
        <v>35.149829317338899</v>
      </c>
      <c r="AL2610">
        <v>93.864992177423304</v>
      </c>
      <c r="AM2610">
        <v>91.698439489028701</v>
      </c>
      <c r="AN2610">
        <v>0.99999998295182901</v>
      </c>
    </row>
    <row r="2611" spans="1:40" x14ac:dyDescent="0.25">
      <c r="A2611" t="str">
        <f>"20190303154148610"</f>
        <v>20190303154148610</v>
      </c>
      <c r="B2611" t="str">
        <f>"1551598908602093"</f>
        <v>1551598908602093</v>
      </c>
      <c r="C2611" t="s">
        <v>40</v>
      </c>
      <c r="D2611">
        <v>5.620711</v>
      </c>
      <c r="E2611">
        <v>0.52220279999999997</v>
      </c>
      <c r="F2611" t="s">
        <v>50</v>
      </c>
      <c r="G2611">
        <v>-359.44459999999998</v>
      </c>
      <c r="H2611" s="1">
        <v>3.4891589999999999E-6</v>
      </c>
      <c r="I2611">
        <v>284.7835</v>
      </c>
      <c r="J2611">
        <v>-324.6968</v>
      </c>
      <c r="K2611">
        <v>1.120762</v>
      </c>
      <c r="L2611">
        <v>283.82670000000002</v>
      </c>
      <c r="M2611">
        <v>-0.99992099999999995</v>
      </c>
      <c r="N2611">
        <v>-1.249248E-2</v>
      </c>
      <c r="O2611">
        <v>-1.4818089999999999E-3</v>
      </c>
      <c r="P2611">
        <v>-0.99633059999999996</v>
      </c>
      <c r="Q2611">
        <v>-7.9926800000000006E-2</v>
      </c>
      <c r="R2611">
        <v>-3.0614599999999902E-2</v>
      </c>
      <c r="S2611">
        <v>-3.0059200000000001</v>
      </c>
      <c r="T2611">
        <v>-9.6240279999999997E-2</v>
      </c>
      <c r="U2611">
        <v>8.2122799999999996E-2</v>
      </c>
      <c r="V2611">
        <v>-2.911588E-2</v>
      </c>
      <c r="W2611">
        <v>-6.7482979999999998E-2</v>
      </c>
      <c r="X2611">
        <v>0.9972955</v>
      </c>
      <c r="Y2611">
        <v>2.877074E-2</v>
      </c>
      <c r="Z2611">
        <v>6.691011E-4</v>
      </c>
      <c r="AA2611">
        <v>0.99958579999999997</v>
      </c>
      <c r="AB2611">
        <v>37</v>
      </c>
      <c r="AC2611">
        <v>-34.747799999999899</v>
      </c>
      <c r="AD2611">
        <v>-1.1207585108409901</v>
      </c>
      <c r="AE2611">
        <v>0.95679999999998699</v>
      </c>
      <c r="AF2611">
        <v>1.0072454938033499</v>
      </c>
      <c r="AG2611">
        <v>-1.1207585108409901</v>
      </c>
      <c r="AH2611">
        <v>34.7102613096298</v>
      </c>
      <c r="AI2611">
        <v>91.848601419333093</v>
      </c>
      <c r="AJ2611">
        <v>88.337819347814403</v>
      </c>
      <c r="AK2611">
        <v>34.742954441256103</v>
      </c>
      <c r="AL2611">
        <v>93.869430605848194</v>
      </c>
      <c r="AM2611">
        <v>91.672265964459896</v>
      </c>
      <c r="AN2611">
        <v>1.0000000006890499</v>
      </c>
    </row>
    <row r="2612" spans="1:40" x14ac:dyDescent="0.25">
      <c r="A2612" t="str">
        <f>"20190303154148628"</f>
        <v>20190303154148628</v>
      </c>
      <c r="B2612" t="str">
        <f>"1551598908621614"</f>
        <v>1551598908621614</v>
      </c>
      <c r="C2612" t="s">
        <v>40</v>
      </c>
      <c r="D2612">
        <v>5.759493</v>
      </c>
      <c r="E2612">
        <v>0.52697450000000001</v>
      </c>
      <c r="F2612" t="s">
        <v>50</v>
      </c>
      <c r="G2612">
        <v>-359.24880000000002</v>
      </c>
      <c r="H2612" s="1">
        <v>3.3849489999999999E-6</v>
      </c>
      <c r="I2612">
        <v>284.78160000000003</v>
      </c>
      <c r="J2612">
        <v>-324.98090000000002</v>
      </c>
      <c r="K2612">
        <v>1.120743</v>
      </c>
      <c r="L2612">
        <v>283.82619999999997</v>
      </c>
      <c r="M2612">
        <v>-0.99992199999999998</v>
      </c>
      <c r="N2612">
        <v>-1.238939E-2</v>
      </c>
      <c r="O2612">
        <v>-1.602972E-3</v>
      </c>
      <c r="P2612">
        <v>-0.99635200000000002</v>
      </c>
      <c r="Q2612">
        <v>-7.9680520000000005E-2</v>
      </c>
      <c r="R2612">
        <v>-3.055532E-2</v>
      </c>
      <c r="S2612">
        <v>-3.0057680000000002</v>
      </c>
      <c r="T2612">
        <v>-9.7497819999999999E-2</v>
      </c>
      <c r="U2612">
        <v>8.306885E-2</v>
      </c>
      <c r="V2612">
        <v>-2.8936409999999999E-2</v>
      </c>
      <c r="W2612">
        <v>-6.7339140000000006E-2</v>
      </c>
      <c r="X2612">
        <v>0.99731049999999999</v>
      </c>
      <c r="Y2612">
        <v>2.9206840000000001E-2</v>
      </c>
      <c r="Z2612">
        <v>6.8662829999999999E-4</v>
      </c>
      <c r="AA2612">
        <v>0.99957320000000005</v>
      </c>
      <c r="AB2612">
        <v>37</v>
      </c>
      <c r="AC2612">
        <v>-34.267899999999997</v>
      </c>
      <c r="AD2612">
        <v>-1.1207396150510001</v>
      </c>
      <c r="AE2612">
        <v>0.95540000000005398</v>
      </c>
      <c r="AF2612">
        <v>1.0092547779548799</v>
      </c>
      <c r="AG2612">
        <v>-1.1207396150510001</v>
      </c>
      <c r="AH2612">
        <v>34.2297395767092</v>
      </c>
      <c r="AI2612">
        <v>91.874476853579395</v>
      </c>
      <c r="AJ2612">
        <v>88.311138452515195</v>
      </c>
      <c r="AK2612">
        <v>34.262949726795298</v>
      </c>
      <c r="AL2612">
        <v>93.861170183199405</v>
      </c>
      <c r="AM2612">
        <v>91.661938949599303</v>
      </c>
      <c r="AN2612">
        <v>1.0000000545049299</v>
      </c>
    </row>
    <row r="2613" spans="1:40" x14ac:dyDescent="0.25">
      <c r="A2613" t="str">
        <f>"20190303154148649"</f>
        <v>20190303154148649</v>
      </c>
      <c r="B2613" t="str">
        <f>"1551598908642109"</f>
        <v>1551598908642109</v>
      </c>
      <c r="C2613" t="s">
        <v>40</v>
      </c>
      <c r="D2613">
        <v>5.733841</v>
      </c>
      <c r="E2613">
        <v>0.52723229999999999</v>
      </c>
      <c r="F2613" t="s">
        <v>50</v>
      </c>
      <c r="G2613">
        <v>-342.4477</v>
      </c>
      <c r="H2613" s="1">
        <v>-2.342632E-7</v>
      </c>
      <c r="I2613">
        <v>284.54039999999998</v>
      </c>
      <c r="J2613">
        <v>-325.3476</v>
      </c>
      <c r="K2613">
        <v>1.120722</v>
      </c>
      <c r="L2613">
        <v>283.8254</v>
      </c>
      <c r="M2613">
        <v>-0.99992329999999996</v>
      </c>
      <c r="N2613">
        <v>-1.2254650000000001E-2</v>
      </c>
      <c r="O2613">
        <v>-1.7591110000000001E-3</v>
      </c>
      <c r="P2613">
        <v>-0.99635549999999995</v>
      </c>
      <c r="Q2613">
        <v>-7.9567899999999997E-2</v>
      </c>
      <c r="R2613">
        <v>-3.074348E-2</v>
      </c>
      <c r="S2613">
        <v>-2.99939</v>
      </c>
      <c r="T2613">
        <v>-0.19245409999999999</v>
      </c>
      <c r="U2613">
        <v>0.1226501</v>
      </c>
      <c r="V2613">
        <v>-2.8968710000000002E-2</v>
      </c>
      <c r="W2613">
        <v>-6.7360799999999998E-2</v>
      </c>
      <c r="X2613">
        <v>0.99730799999999997</v>
      </c>
      <c r="Y2613">
        <v>4.2508909999999997E-2</v>
      </c>
      <c r="Z2613">
        <v>1.7138940000000001E-3</v>
      </c>
      <c r="AA2613">
        <v>0.99909460000000005</v>
      </c>
      <c r="AB2613">
        <v>37</v>
      </c>
      <c r="AC2613">
        <v>-17.100099999999902</v>
      </c>
      <c r="AD2613">
        <v>-1.1207222342631999</v>
      </c>
      <c r="AE2613">
        <v>0.71499999999997499</v>
      </c>
      <c r="AF2613">
        <v>0.74190096483941204</v>
      </c>
      <c r="AG2613">
        <v>-1.1207222342631999</v>
      </c>
      <c r="AH2613">
        <v>17.025811472863001</v>
      </c>
      <c r="AI2613">
        <v>93.762495420299601</v>
      </c>
      <c r="AJ2613">
        <v>87.504910684278201</v>
      </c>
      <c r="AK2613">
        <v>17.078778986727201</v>
      </c>
      <c r="AL2613">
        <v>93.862414418126605</v>
      </c>
      <c r="AM2613">
        <v>91.663797199819697</v>
      </c>
      <c r="AN2613">
        <v>0.99999995519985097</v>
      </c>
    </row>
    <row r="2614" spans="1:40" x14ac:dyDescent="0.25">
      <c r="A2614" t="str">
        <f>"20190303154148672"</f>
        <v>20190303154148672</v>
      </c>
      <c r="B2614" t="str">
        <f>"1551598908661630"</f>
        <v>1551598908661630</v>
      </c>
      <c r="C2614" t="s">
        <v>40</v>
      </c>
      <c r="D2614">
        <v>5.7272089999999896</v>
      </c>
      <c r="E2614">
        <v>0.52689859999999999</v>
      </c>
      <c r="F2614" t="s">
        <v>50</v>
      </c>
      <c r="G2614">
        <v>-343.70530000000002</v>
      </c>
      <c r="H2614" s="1">
        <v>4.3498489999999998E-7</v>
      </c>
      <c r="I2614">
        <v>284.5838</v>
      </c>
      <c r="J2614">
        <v>-325.70920000000001</v>
      </c>
      <c r="K2614">
        <v>1.1207039999999999</v>
      </c>
      <c r="L2614">
        <v>283.82459999999998</v>
      </c>
      <c r="M2614">
        <v>-0.99992479999999995</v>
      </c>
      <c r="N2614">
        <v>-1.212456E-2</v>
      </c>
      <c r="O2614">
        <v>-1.9138600000000001E-3</v>
      </c>
      <c r="P2614">
        <v>-0.99639619999999995</v>
      </c>
      <c r="Q2614">
        <v>-7.882343E-2</v>
      </c>
      <c r="R2614">
        <v>-3.1336839999999998E-2</v>
      </c>
      <c r="S2614">
        <v>-3.0001829999999998</v>
      </c>
      <c r="T2614">
        <v>-0.18315880000000001</v>
      </c>
      <c r="U2614">
        <v>0.1239319</v>
      </c>
      <c r="V2614">
        <v>-2.9407429999999998E-2</v>
      </c>
      <c r="W2614">
        <v>-6.6745700000000005E-2</v>
      </c>
      <c r="X2614">
        <v>0.99733660000000002</v>
      </c>
      <c r="Y2614">
        <v>4.3086880000000001E-2</v>
      </c>
      <c r="Z2614">
        <v>1.6685479999999999E-3</v>
      </c>
      <c r="AA2614">
        <v>0.99906989999999996</v>
      </c>
      <c r="AB2614">
        <v>37</v>
      </c>
      <c r="AC2614">
        <v>-17.996099999999998</v>
      </c>
      <c r="AD2614">
        <v>-1.1207035650151</v>
      </c>
      <c r="AE2614">
        <v>0.75920000000002097</v>
      </c>
      <c r="AF2614">
        <v>0.79058260075604403</v>
      </c>
      <c r="AG2614">
        <v>-1.1207035650151</v>
      </c>
      <c r="AH2614">
        <v>17.925220716912499</v>
      </c>
      <c r="AI2614">
        <v>93.574070137055202</v>
      </c>
      <c r="AJ2614">
        <v>87.474635841922904</v>
      </c>
      <c r="AK2614">
        <v>17.9776120516403</v>
      </c>
      <c r="AL2614">
        <v>93.827091962632593</v>
      </c>
      <c r="AM2614">
        <v>91.688931878409704</v>
      </c>
      <c r="AN2614">
        <v>1.0000000395536199</v>
      </c>
    </row>
    <row r="2615" spans="1:40" x14ac:dyDescent="0.25">
      <c r="A2615" t="str">
        <f>"20190303154148684"</f>
        <v>20190303154148684</v>
      </c>
      <c r="B2615" t="str">
        <f>"1551598908682125"</f>
        <v>1551598908682125</v>
      </c>
      <c r="C2615" t="s">
        <v>40</v>
      </c>
      <c r="D2615">
        <v>5.7352629999999998</v>
      </c>
      <c r="E2615">
        <v>0.52725140000000004</v>
      </c>
      <c r="F2615" t="s">
        <v>50</v>
      </c>
      <c r="G2615">
        <v>-344.36860000000001</v>
      </c>
      <c r="H2615" s="1">
        <v>7.8797479999999998E-7</v>
      </c>
      <c r="I2615">
        <v>284.56819999999999</v>
      </c>
      <c r="J2615">
        <v>-325.90780000000001</v>
      </c>
      <c r="K2615">
        <v>1.1206969999999901</v>
      </c>
      <c r="L2615">
        <v>283.82420000000002</v>
      </c>
      <c r="M2615">
        <v>-0.99992539999999996</v>
      </c>
      <c r="N2615">
        <v>-1.2056040000000001E-2</v>
      </c>
      <c r="O2615">
        <v>-1.9986689999999998E-3</v>
      </c>
      <c r="P2615">
        <v>-0.99638919999999997</v>
      </c>
      <c r="Q2615">
        <v>-7.8803239999999997E-2</v>
      </c>
      <c r="R2615">
        <v>-3.1603310000000003E-2</v>
      </c>
      <c r="S2615">
        <v>-3.0004270000000002</v>
      </c>
      <c r="T2615">
        <v>-0.18020829999999999</v>
      </c>
      <c r="U2615">
        <v>0.1195679</v>
      </c>
      <c r="V2615">
        <v>-2.9589480000000001E-2</v>
      </c>
      <c r="W2615">
        <v>-6.6794010000000001E-2</v>
      </c>
      <c r="X2615">
        <v>0.99732790000000004</v>
      </c>
      <c r="Y2615">
        <v>4.1723339999999998E-2</v>
      </c>
      <c r="Z2615">
        <v>1.5990550000000001E-3</v>
      </c>
      <c r="AA2615">
        <v>0.99912789999999996</v>
      </c>
      <c r="AB2615">
        <v>37</v>
      </c>
      <c r="AC2615">
        <v>-18.460799999999999</v>
      </c>
      <c r="AD2615">
        <v>-1.12069621202519</v>
      </c>
      <c r="AE2615">
        <v>0.74399999999997102</v>
      </c>
      <c r="AF2615">
        <v>0.77803556385347705</v>
      </c>
      <c r="AG2615">
        <v>-1.12069621202519</v>
      </c>
      <c r="AH2615">
        <v>18.391607023740999</v>
      </c>
      <c r="AI2615">
        <v>93.483909693856702</v>
      </c>
      <c r="AJ2615">
        <v>87.577612983641203</v>
      </c>
      <c r="AK2615">
        <v>18.442139470625101</v>
      </c>
      <c r="AL2615">
        <v>93.829866422886496</v>
      </c>
      <c r="AM2615">
        <v>91.699396104608994</v>
      </c>
      <c r="AN2615">
        <v>0.99999995860847901</v>
      </c>
    </row>
    <row r="2616" spans="1:40" x14ac:dyDescent="0.25">
      <c r="A2616" t="str">
        <f>"20190303154148696"</f>
        <v>20190303154148696</v>
      </c>
      <c r="B2616" t="str">
        <f>"1551598908691885"</f>
        <v>1551598908691885</v>
      </c>
      <c r="C2616" t="s">
        <v>40</v>
      </c>
      <c r="D2616">
        <v>5.7338820000000004</v>
      </c>
      <c r="E2616">
        <v>0.52730630000000001</v>
      </c>
      <c r="F2616" t="s">
        <v>50</v>
      </c>
      <c r="G2616">
        <v>-344.85860000000002</v>
      </c>
      <c r="H2616" s="1">
        <v>1.0487119999999999E-6</v>
      </c>
      <c r="I2616">
        <v>284.59089999999998</v>
      </c>
      <c r="J2616">
        <v>-326.1078</v>
      </c>
      <c r="K2616">
        <v>1.120689</v>
      </c>
      <c r="L2616">
        <v>283.82369999999997</v>
      </c>
      <c r="M2616">
        <v>-0.99992610000000004</v>
      </c>
      <c r="N2616">
        <v>-1.198831E-2</v>
      </c>
      <c r="O2616">
        <v>-2.0839640000000002E-3</v>
      </c>
      <c r="P2616">
        <v>-0.99637339999999996</v>
      </c>
      <c r="Q2616">
        <v>-7.8850429999999999E-2</v>
      </c>
      <c r="R2616">
        <v>-3.198434E-2</v>
      </c>
      <c r="S2616">
        <v>-3.000702</v>
      </c>
      <c r="T2616">
        <v>-0.17745329999999901</v>
      </c>
      <c r="U2616">
        <v>0.1213989</v>
      </c>
      <c r="V2616">
        <v>-2.9885999999999999E-2</v>
      </c>
      <c r="W2616">
        <v>-6.6908990000000002E-2</v>
      </c>
      <c r="X2616">
        <v>0.99731139999999996</v>
      </c>
      <c r="Y2616">
        <v>4.2414750000000001E-2</v>
      </c>
      <c r="Z2616">
        <v>1.6052880000000001E-3</v>
      </c>
      <c r="AA2616">
        <v>0.99909879999999995</v>
      </c>
      <c r="AB2616">
        <v>37</v>
      </c>
      <c r="AC2616">
        <v>-18.750800000000002</v>
      </c>
      <c r="AD2616">
        <v>-1.1206879512879999</v>
      </c>
      <c r="AE2616">
        <v>0.76720000000000199</v>
      </c>
      <c r="AF2616">
        <v>0.80341201649784599</v>
      </c>
      <c r="AG2616">
        <v>-1.1206879512879999</v>
      </c>
      <c r="AH2616">
        <v>18.682535046935399</v>
      </c>
      <c r="AI2616">
        <v>93.429660987701695</v>
      </c>
      <c r="AJ2616">
        <v>87.537605388996695</v>
      </c>
      <c r="AK2616">
        <v>18.7333533605808</v>
      </c>
      <c r="AL2616">
        <v>93.836468875510107</v>
      </c>
      <c r="AM2616">
        <v>91.716444216233896</v>
      </c>
      <c r="AN2616">
        <v>1.00000000725439</v>
      </c>
    </row>
    <row r="2617" spans="1:40" x14ac:dyDescent="0.25">
      <c r="A2617" t="str">
        <f>"20190303154148709"</f>
        <v>20190303154148709</v>
      </c>
      <c r="B2617" t="str">
        <f>"1551598908701645"</f>
        <v>1551598908701645</v>
      </c>
      <c r="C2617" t="s">
        <v>40</v>
      </c>
      <c r="D2617">
        <v>5.7342190000000004</v>
      </c>
      <c r="E2617">
        <v>0.52723739999999997</v>
      </c>
      <c r="F2617" t="s">
        <v>50</v>
      </c>
      <c r="G2617">
        <v>-345.07659999999998</v>
      </c>
      <c r="H2617" s="1">
        <v>1.164735E-6</v>
      </c>
      <c r="I2617">
        <v>284.58789999999999</v>
      </c>
      <c r="J2617">
        <v>-326.31869999999998</v>
      </c>
      <c r="K2617">
        <v>1.120681</v>
      </c>
      <c r="L2617">
        <v>283.82319999999999</v>
      </c>
      <c r="M2617">
        <v>-0.99992669999999995</v>
      </c>
      <c r="N2617">
        <v>-1.191949E-2</v>
      </c>
      <c r="O2617">
        <v>-2.1736699999999999E-3</v>
      </c>
      <c r="P2617">
        <v>-0.9963533</v>
      </c>
      <c r="Q2617">
        <v>-7.9011170000000006E-2</v>
      </c>
      <c r="R2617">
        <v>-3.2218280000000002E-2</v>
      </c>
      <c r="S2617">
        <v>-3.0007929999999998</v>
      </c>
      <c r="T2617">
        <v>-0.17728840000000001</v>
      </c>
      <c r="U2617">
        <v>0.1208801</v>
      </c>
      <c r="V2617">
        <v>-3.002962E-2</v>
      </c>
      <c r="W2617">
        <v>-6.7138630000000005E-2</v>
      </c>
      <c r="X2617">
        <v>0.99729159999999994</v>
      </c>
      <c r="Y2617">
        <v>4.2331029999999999E-2</v>
      </c>
      <c r="Z2617">
        <v>1.6039100000000001E-3</v>
      </c>
      <c r="AA2617">
        <v>0.99910239999999995</v>
      </c>
      <c r="AB2617">
        <v>37</v>
      </c>
      <c r="AC2617">
        <v>-18.757899999999999</v>
      </c>
      <c r="AD2617">
        <v>-1.120679835265</v>
      </c>
      <c r="AE2617">
        <v>0.76470000000000404</v>
      </c>
      <c r="AF2617">
        <v>0.80261447498419103</v>
      </c>
      <c r="AG2617">
        <v>-1.120679835265</v>
      </c>
      <c r="AH2617">
        <v>18.689593488250701</v>
      </c>
      <c r="AI2617">
        <v>93.428352682334094</v>
      </c>
      <c r="AJ2617">
        <v>87.540974688998006</v>
      </c>
      <c r="AK2617">
        <v>18.740358002041599</v>
      </c>
      <c r="AL2617">
        <v>93.849656134087297</v>
      </c>
      <c r="AM2617">
        <v>91.724722002299202</v>
      </c>
      <c r="AN2617">
        <v>0.99999995457308899</v>
      </c>
    </row>
    <row r="2618" spans="1:40" x14ac:dyDescent="0.25">
      <c r="A2618" t="str">
        <f>"20190303154148722"</f>
        <v>20190303154148722</v>
      </c>
      <c r="B2618" t="str">
        <f>"1551598908712382"</f>
        <v>1551598908712382</v>
      </c>
      <c r="C2618" t="s">
        <v>40</v>
      </c>
      <c r="D2618">
        <v>5.7238689999999997</v>
      </c>
      <c r="E2618">
        <v>0.52724059999999995</v>
      </c>
      <c r="F2618" t="s">
        <v>50</v>
      </c>
      <c r="G2618">
        <v>-344.91800000000001</v>
      </c>
      <c r="H2618" s="1">
        <v>1.080343E-6</v>
      </c>
      <c r="I2618">
        <v>284.56529999999998</v>
      </c>
      <c r="J2618">
        <v>-326.53219999999999</v>
      </c>
      <c r="K2618">
        <v>1.1206719999999999</v>
      </c>
      <c r="L2618">
        <v>283.8227</v>
      </c>
      <c r="M2618">
        <v>-0.99992720000000002</v>
      </c>
      <c r="N2618">
        <v>-1.185169E-2</v>
      </c>
      <c r="O2618">
        <v>-2.2642180000000001E-3</v>
      </c>
      <c r="P2618">
        <v>-0.99634299999999998</v>
      </c>
      <c r="Q2618">
        <v>-7.9028399999999999E-2</v>
      </c>
      <c r="R2618">
        <v>-3.248674E-2</v>
      </c>
      <c r="S2618">
        <v>-3.0005190000000002</v>
      </c>
      <c r="T2618">
        <v>-0.18079219999999999</v>
      </c>
      <c r="U2618">
        <v>0.11972049999999999</v>
      </c>
      <c r="V2618">
        <v>-3.0208260000000001E-2</v>
      </c>
      <c r="W2618">
        <v>-6.7223679999999994E-2</v>
      </c>
      <c r="X2618">
        <v>0.99728050000000001</v>
      </c>
      <c r="Y2618">
        <v>4.203689E-2</v>
      </c>
      <c r="Z2618">
        <v>1.6237160000000001E-3</v>
      </c>
      <c r="AA2618">
        <v>0.99911479999999997</v>
      </c>
      <c r="AB2618">
        <v>37</v>
      </c>
      <c r="AC2618">
        <v>-18.3858</v>
      </c>
      <c r="AD2618">
        <v>-1.1206709196569999</v>
      </c>
      <c r="AE2618">
        <v>0.74259999999998105</v>
      </c>
      <c r="AF2618">
        <v>0.78133234176339705</v>
      </c>
      <c r="AG2618">
        <v>-1.1206709196569999</v>
      </c>
      <c r="AH2618">
        <v>18.316132671487299</v>
      </c>
      <c r="AI2618">
        <v>93.498098904280795</v>
      </c>
      <c r="AJ2618">
        <v>87.557348948655203</v>
      </c>
      <c r="AK2618">
        <v>18.3670111770526</v>
      </c>
      <c r="AL2618">
        <v>93.854540080490096</v>
      </c>
      <c r="AM2618">
        <v>91.734995063590802</v>
      </c>
      <c r="AN2618">
        <v>0.99999997890260905</v>
      </c>
    </row>
    <row r="2619" spans="1:40" x14ac:dyDescent="0.25">
      <c r="A2619" t="str">
        <f>"20190303154148739"</f>
        <v>20190303154148739</v>
      </c>
      <c r="B2619" t="str">
        <f>"1551598908731901"</f>
        <v>1551598908731901</v>
      </c>
      <c r="C2619" t="s">
        <v>40</v>
      </c>
      <c r="D2619">
        <v>5.7095760000000002</v>
      </c>
      <c r="E2619">
        <v>0.52727709999999905</v>
      </c>
      <c r="F2619" t="s">
        <v>50</v>
      </c>
      <c r="G2619">
        <v>-345.14449999999999</v>
      </c>
      <c r="H2619" s="1">
        <v>1.200845E-6</v>
      </c>
      <c r="I2619">
        <v>284.55919999999998</v>
      </c>
      <c r="J2619">
        <v>-326.82049999999998</v>
      </c>
      <c r="K2619">
        <v>1.120662</v>
      </c>
      <c r="L2619">
        <v>283.82190000000003</v>
      </c>
      <c r="M2619">
        <v>-0.99992809999999999</v>
      </c>
      <c r="N2619">
        <v>-1.1763559999999999E-2</v>
      </c>
      <c r="O2619">
        <v>-2.3869500000000001E-3</v>
      </c>
      <c r="P2619">
        <v>-0.99632779999999999</v>
      </c>
      <c r="Q2619">
        <v>-7.9107960000000005E-2</v>
      </c>
      <c r="R2619">
        <v>-3.275993E-2</v>
      </c>
      <c r="S2619">
        <v>-3.0005799999999998</v>
      </c>
      <c r="T2619">
        <v>-0.1806691</v>
      </c>
      <c r="U2619">
        <v>0.1187439</v>
      </c>
      <c r="V2619">
        <v>-3.0359130000000002E-2</v>
      </c>
      <c r="W2619">
        <v>-6.7391350000000003E-2</v>
      </c>
      <c r="X2619">
        <v>0.99726459999999995</v>
      </c>
      <c r="Y2619">
        <v>4.1834570000000001E-2</v>
      </c>
      <c r="Z2619">
        <v>1.6197500000000001E-3</v>
      </c>
      <c r="AA2619">
        <v>0.99912319999999999</v>
      </c>
      <c r="AB2619">
        <v>37</v>
      </c>
      <c r="AC2619">
        <v>-18.324000000000002</v>
      </c>
      <c r="AD2619">
        <v>-1.1206607991549999</v>
      </c>
      <c r="AE2619">
        <v>0.737299999999947</v>
      </c>
      <c r="AF2619">
        <v>0.77813363361322696</v>
      </c>
      <c r="AG2619">
        <v>-1.1206607991549999</v>
      </c>
      <c r="AH2619">
        <v>18.254022398778801</v>
      </c>
      <c r="AI2619">
        <v>93.509944529154097</v>
      </c>
      <c r="AJ2619">
        <v>87.559069646488297</v>
      </c>
      <c r="AK2619">
        <v>18.304936665108698</v>
      </c>
      <c r="AL2619">
        <v>93.864168707916306</v>
      </c>
      <c r="AM2619">
        <v>91.743682647574104</v>
      </c>
      <c r="AN2619">
        <v>0.99999997662116902</v>
      </c>
    </row>
    <row r="2620" spans="1:40" x14ac:dyDescent="0.25">
      <c r="A2620" t="str">
        <f>"20190303154148753"</f>
        <v>20190303154148753</v>
      </c>
      <c r="B2620" t="str">
        <f>"1551598908741661"</f>
        <v>1551598908741661</v>
      </c>
      <c r="C2620" t="s">
        <v>40</v>
      </c>
      <c r="D2620">
        <v>5.7293029999999998</v>
      </c>
      <c r="E2620">
        <v>0.5273584</v>
      </c>
      <c r="F2620" t="s">
        <v>50</v>
      </c>
      <c r="G2620">
        <v>-345.47050000000002</v>
      </c>
      <c r="H2620" s="1">
        <v>1.374349E-6</v>
      </c>
      <c r="I2620">
        <v>284.55669999999998</v>
      </c>
      <c r="J2620">
        <v>-327.04180000000002</v>
      </c>
      <c r="K2620">
        <v>1.1206609999999999</v>
      </c>
      <c r="L2620">
        <v>283.82130000000001</v>
      </c>
      <c r="M2620">
        <v>-0.9999285</v>
      </c>
      <c r="N2620">
        <v>-1.1698099999999999E-2</v>
      </c>
      <c r="O2620">
        <v>-2.4814479999999998E-3</v>
      </c>
      <c r="P2620">
        <v>-0.99634829999999996</v>
      </c>
      <c r="Q2620">
        <v>-7.886891E-2</v>
      </c>
      <c r="R2620">
        <v>-3.271114E-2</v>
      </c>
      <c r="S2620">
        <v>-3.0006409999999999</v>
      </c>
      <c r="T2620">
        <v>-0.18030570000000001</v>
      </c>
      <c r="U2620">
        <v>0.1182251</v>
      </c>
      <c r="V2620">
        <v>-3.0216349999999999E-2</v>
      </c>
      <c r="W2620">
        <v>-6.7217330000000006E-2</v>
      </c>
      <c r="X2620">
        <v>0.99728070000000002</v>
      </c>
      <c r="Y2620">
        <v>4.1756189999999999E-2</v>
      </c>
      <c r="Z2620">
        <v>1.617451E-3</v>
      </c>
      <c r="AA2620">
        <v>0.99912650000000003</v>
      </c>
      <c r="AB2620">
        <v>37</v>
      </c>
      <c r="AC2620">
        <v>-18.4286999999999</v>
      </c>
      <c r="AD2620">
        <v>-1.120659625651</v>
      </c>
      <c r="AE2620">
        <v>0.73539999999996997</v>
      </c>
      <c r="AF2620">
        <v>0.77825736395100198</v>
      </c>
      <c r="AG2620">
        <v>-1.120659625651</v>
      </c>
      <c r="AH2620">
        <v>18.359035880074</v>
      </c>
      <c r="AI2620">
        <v>93.489948827034098</v>
      </c>
      <c r="AJ2620">
        <v>87.572629546673497</v>
      </c>
      <c r="AK2620">
        <v>18.409664879268</v>
      </c>
      <c r="AL2620">
        <v>93.854175361779298</v>
      </c>
      <c r="AM2620">
        <v>91.735459076433898</v>
      </c>
      <c r="AN2620">
        <v>0.99999999592607003</v>
      </c>
    </row>
    <row r="2621" spans="1:40" x14ac:dyDescent="0.25">
      <c r="A2621" t="str">
        <f>"20190303154148766"</f>
        <v>20190303154148766</v>
      </c>
      <c r="B2621" t="str">
        <f>"1551598908762158"</f>
        <v>1551598908762158</v>
      </c>
      <c r="C2621" t="s">
        <v>40</v>
      </c>
      <c r="D2621">
        <v>5.7141739999999999</v>
      </c>
      <c r="E2621">
        <v>0.52751099999999995</v>
      </c>
      <c r="F2621" t="s">
        <v>50</v>
      </c>
      <c r="G2621">
        <v>-345.89530000000002</v>
      </c>
      <c r="H2621" s="1">
        <v>1.6003970000000001E-6</v>
      </c>
      <c r="I2621">
        <v>284.56950000000001</v>
      </c>
      <c r="J2621">
        <v>-327.2482</v>
      </c>
      <c r="K2621">
        <v>1.1206579999999999</v>
      </c>
      <c r="L2621">
        <v>283.82069999999999</v>
      </c>
      <c r="M2621">
        <v>-0.99992910000000002</v>
      </c>
      <c r="N2621">
        <v>-1.163991E-2</v>
      </c>
      <c r="O2621">
        <v>-2.5693159999999999E-3</v>
      </c>
      <c r="P2621">
        <v>-0.9963206</v>
      </c>
      <c r="Q2621">
        <v>-7.9171690000000003E-2</v>
      </c>
      <c r="R2621">
        <v>-3.2820370000000001E-2</v>
      </c>
      <c r="S2621">
        <v>-3.0007929999999998</v>
      </c>
      <c r="T2621">
        <v>-0.17836840000000001</v>
      </c>
      <c r="U2621">
        <v>0.11907959999999999</v>
      </c>
      <c r="V2621">
        <v>-3.0237489999999999E-2</v>
      </c>
      <c r="W2621">
        <v>-6.757842E-2</v>
      </c>
      <c r="X2621">
        <v>0.99725569999999997</v>
      </c>
      <c r="Y2621">
        <v>4.2127079999999997E-2</v>
      </c>
      <c r="Z2621">
        <v>1.618626E-3</v>
      </c>
      <c r="AA2621">
        <v>0.99911090000000002</v>
      </c>
      <c r="AB2621">
        <v>37</v>
      </c>
      <c r="AC2621">
        <v>-18.647099999999998</v>
      </c>
      <c r="AD2621">
        <v>-1.1206563996029999</v>
      </c>
      <c r="AE2621">
        <v>0.74880000000001701</v>
      </c>
      <c r="AF2621">
        <v>0.79384846241957596</v>
      </c>
      <c r="AG2621">
        <v>-1.1206563996029999</v>
      </c>
      <c r="AH2621">
        <v>18.5781221823311</v>
      </c>
      <c r="AI2621">
        <v>93.448833325812501</v>
      </c>
      <c r="AJ2621">
        <v>87.553223437990695</v>
      </c>
      <c r="AK2621">
        <v>18.628813434271098</v>
      </c>
      <c r="AL2621">
        <v>93.874911274442795</v>
      </c>
      <c r="AM2621">
        <v>91.736716006810099</v>
      </c>
      <c r="AN2621">
        <v>1.0000000399168401</v>
      </c>
    </row>
    <row r="2622" spans="1:40" x14ac:dyDescent="0.25">
      <c r="A2622" t="str">
        <f>"20190303154148779"</f>
        <v>20190303154148779</v>
      </c>
      <c r="B2622" t="str">
        <f>"1551598908772090"</f>
        <v>1551598908772090</v>
      </c>
      <c r="C2622" t="s">
        <v>40</v>
      </c>
      <c r="D2622">
        <v>5.7224729999999999</v>
      </c>
      <c r="E2622">
        <v>0.52758680000000002</v>
      </c>
      <c r="F2622" t="s">
        <v>50</v>
      </c>
      <c r="G2622">
        <v>-345.95209999999997</v>
      </c>
      <c r="H2622" s="1">
        <v>1.6306389999999999E-6</v>
      </c>
      <c r="I2622">
        <v>284.56900000000002</v>
      </c>
      <c r="J2622">
        <v>-327.47750000000002</v>
      </c>
      <c r="K2622">
        <v>1.1206499999999999</v>
      </c>
      <c r="L2622">
        <v>283.82</v>
      </c>
      <c r="M2622">
        <v>-0.99992950000000003</v>
      </c>
      <c r="N2622">
        <v>-1.157613E-2</v>
      </c>
      <c r="O2622">
        <v>-2.6669279999999998E-3</v>
      </c>
      <c r="P2622">
        <v>-0.9963341</v>
      </c>
      <c r="Q2622">
        <v>-7.9044680000000006E-2</v>
      </c>
      <c r="R2622">
        <v>-3.271665E-2</v>
      </c>
      <c r="S2622">
        <v>-3.0007630000000001</v>
      </c>
      <c r="T2622">
        <v>-0.1797926</v>
      </c>
      <c r="U2622">
        <v>0.1200562</v>
      </c>
      <c r="V2622">
        <v>-3.0036469999999999E-2</v>
      </c>
      <c r="W2622">
        <v>-6.7514820000000003E-2</v>
      </c>
      <c r="X2622">
        <v>0.99726610000000004</v>
      </c>
      <c r="Y2622">
        <v>4.2547340000000003E-2</v>
      </c>
      <c r="Z2622">
        <v>1.6483589999999901E-3</v>
      </c>
      <c r="AA2622">
        <v>0.99909309999999996</v>
      </c>
      <c r="AB2622">
        <v>37</v>
      </c>
      <c r="AC2622">
        <v>-18.474599999999899</v>
      </c>
      <c r="AD2622">
        <v>-1.1206483693610001</v>
      </c>
      <c r="AE2622">
        <v>0.74900000000002298</v>
      </c>
      <c r="AF2622">
        <v>0.79534937796226901</v>
      </c>
      <c r="AG2622">
        <v>-1.1206483693610001</v>
      </c>
      <c r="AH2622">
        <v>18.404926853725598</v>
      </c>
      <c r="AI2622">
        <v>93.481111411458301</v>
      </c>
      <c r="AJ2622">
        <v>87.525563230102193</v>
      </c>
      <c r="AK2622">
        <v>18.4561579396083</v>
      </c>
      <c r="AL2622">
        <v>93.871258853960299</v>
      </c>
      <c r="AM2622">
        <v>91.725159272059201</v>
      </c>
      <c r="AN2622">
        <v>1.0000000573294501</v>
      </c>
    </row>
    <row r="2623" spans="1:40" x14ac:dyDescent="0.25">
      <c r="A2623" t="str">
        <f>"20190303154148795"</f>
        <v>20190303154148795</v>
      </c>
      <c r="B2623" t="str">
        <f>"1551598908791597"</f>
        <v>1551598908791597</v>
      </c>
      <c r="C2623" t="s">
        <v>40</v>
      </c>
      <c r="D2623">
        <v>5.7169429999999997</v>
      </c>
      <c r="E2623">
        <v>0.52767219999999904</v>
      </c>
      <c r="F2623" t="s">
        <v>50</v>
      </c>
      <c r="G2623">
        <v>-346.28410000000002</v>
      </c>
      <c r="H2623" s="1">
        <v>1.807277E-6</v>
      </c>
      <c r="I2623">
        <v>284.5772</v>
      </c>
      <c r="J2623">
        <v>-327.73739999999998</v>
      </c>
      <c r="K2623">
        <v>1.120633</v>
      </c>
      <c r="L2623">
        <v>283.81920000000002</v>
      </c>
      <c r="M2623">
        <v>-0.99993010000000004</v>
      </c>
      <c r="N2623">
        <v>-1.150379E-2</v>
      </c>
      <c r="O2623">
        <v>-2.7778429999999999E-3</v>
      </c>
      <c r="P2623">
        <v>-0.99634829999999996</v>
      </c>
      <c r="Q2623">
        <v>-7.8829170000000004E-2</v>
      </c>
      <c r="R2623">
        <v>-3.2811779999999999E-2</v>
      </c>
      <c r="S2623">
        <v>-3.0008539999999999</v>
      </c>
      <c r="T2623">
        <v>-0.17881549999999999</v>
      </c>
      <c r="U2623">
        <v>0.1208191</v>
      </c>
      <c r="V2623">
        <v>-3.002107E-2</v>
      </c>
      <c r="W2623">
        <v>-6.7371260000000002E-2</v>
      </c>
      <c r="X2623">
        <v>0.99727619999999895</v>
      </c>
      <c r="Y2623">
        <v>4.291068E-2</v>
      </c>
      <c r="Z2623">
        <v>1.6574179999999999E-3</v>
      </c>
      <c r="AA2623">
        <v>0.99907760000000001</v>
      </c>
      <c r="AB2623">
        <v>37</v>
      </c>
      <c r="AC2623">
        <v>-18.546700000000001</v>
      </c>
      <c r="AD2623">
        <v>-1.1206311927229999</v>
      </c>
      <c r="AE2623">
        <v>0.75799999999998102</v>
      </c>
      <c r="AF2623">
        <v>0.80658051716607604</v>
      </c>
      <c r="AG2623">
        <v>-1.1206311927229999</v>
      </c>
      <c r="AH2623">
        <v>18.477178062822802</v>
      </c>
      <c r="AI2623">
        <v>93.467413692097296</v>
      </c>
      <c r="AJ2623">
        <v>87.500465794820499</v>
      </c>
      <c r="AK2623">
        <v>18.5286938440365</v>
      </c>
      <c r="AL2623">
        <v>93.863014980475796</v>
      </c>
      <c r="AM2623">
        <v>91.7242578474455</v>
      </c>
      <c r="AN2623">
        <v>0.99999998520218603</v>
      </c>
    </row>
    <row r="2624" spans="1:40" x14ac:dyDescent="0.25">
      <c r="A2624" t="str">
        <f>"20190303154148818"</f>
        <v>20190303154148818</v>
      </c>
      <c r="B2624" t="str">
        <f>"1551598908812092"</f>
        <v>1551598908812092</v>
      </c>
      <c r="C2624" t="s">
        <v>40</v>
      </c>
      <c r="D2624">
        <v>5.7009860000000003</v>
      </c>
      <c r="E2624">
        <v>0.52772410000000003</v>
      </c>
      <c r="F2624" t="s">
        <v>50</v>
      </c>
      <c r="G2624">
        <v>-346.87270000000001</v>
      </c>
      <c r="H2624" s="1">
        <v>2.1205089999999999E-6</v>
      </c>
      <c r="I2624">
        <v>284.59249999999997</v>
      </c>
      <c r="J2624">
        <v>-328.11759999999998</v>
      </c>
      <c r="K2624">
        <v>1.1206259999999999</v>
      </c>
      <c r="L2624">
        <v>283.81799999999998</v>
      </c>
      <c r="M2624">
        <v>-0.99993089999999996</v>
      </c>
      <c r="N2624">
        <v>-1.139572E-2</v>
      </c>
      <c r="O2624">
        <v>-2.940167E-3</v>
      </c>
      <c r="P2624">
        <v>-0.99635010000000002</v>
      </c>
      <c r="Q2624">
        <v>-7.8815800000000005E-2</v>
      </c>
      <c r="R2624">
        <v>-3.2787900000000002E-2</v>
      </c>
      <c r="S2624">
        <v>-3.00116</v>
      </c>
      <c r="T2624">
        <v>-0.17575850000000001</v>
      </c>
      <c r="U2624">
        <v>0.12127690000000001</v>
      </c>
      <c r="V2624">
        <v>-2.9835420000000001E-2</v>
      </c>
      <c r="W2624">
        <v>-6.7465579999999997E-2</v>
      </c>
      <c r="X2624">
        <v>0.99727540000000003</v>
      </c>
      <c r="Y2624">
        <v>4.3223200000000003E-2</v>
      </c>
      <c r="Z2624">
        <v>1.6491959999999999E-3</v>
      </c>
      <c r="AA2624">
        <v>0.99906410000000001</v>
      </c>
      <c r="AB2624">
        <v>37</v>
      </c>
      <c r="AC2624">
        <v>-18.755099999999999</v>
      </c>
      <c r="AD2624">
        <v>-1.120623879491</v>
      </c>
      <c r="AE2624">
        <v>0.77449999999998898</v>
      </c>
      <c r="AF2624">
        <v>0.82669697985219903</v>
      </c>
      <c r="AG2624">
        <v>-1.120623879491</v>
      </c>
      <c r="AH2624">
        <v>18.686143694594598</v>
      </c>
      <c r="AI2624">
        <v>93.428620317730903</v>
      </c>
      <c r="AJ2624">
        <v>87.466819164704603</v>
      </c>
      <c r="AK2624">
        <v>18.737961253851001</v>
      </c>
      <c r="AL2624">
        <v>93.868431423061693</v>
      </c>
      <c r="AM2624">
        <v>91.713602804889604</v>
      </c>
      <c r="AN2624">
        <v>0.99999999010823604</v>
      </c>
    </row>
    <row r="2625" spans="1:40" x14ac:dyDescent="0.25">
      <c r="A2625" t="str">
        <f>"20190303154148840"</f>
        <v>20190303154148840</v>
      </c>
      <c r="B2625" t="str">
        <f>"1551598908831612"</f>
        <v>1551598908831612</v>
      </c>
      <c r="C2625" t="s">
        <v>40</v>
      </c>
      <c r="D2625">
        <v>5.7204309999999996</v>
      </c>
      <c r="E2625">
        <v>0.52779500000000001</v>
      </c>
      <c r="F2625" t="s">
        <v>50</v>
      </c>
      <c r="G2625">
        <v>-347.39319999999998</v>
      </c>
      <c r="H2625" s="1">
        <v>2.3975260000000002E-6</v>
      </c>
      <c r="I2625">
        <v>284.59949999999998</v>
      </c>
      <c r="J2625">
        <v>-328.47829999999999</v>
      </c>
      <c r="K2625">
        <v>1.1206130000000001</v>
      </c>
      <c r="L2625">
        <v>283.8168</v>
      </c>
      <c r="M2625">
        <v>-0.99993149999999997</v>
      </c>
      <c r="N2625">
        <v>-1.129266E-2</v>
      </c>
      <c r="O2625">
        <v>-3.094416E-3</v>
      </c>
      <c r="P2625">
        <v>-0.99634710000000004</v>
      </c>
      <c r="Q2625">
        <v>-7.8821039999999995E-2</v>
      </c>
      <c r="R2625">
        <v>-3.286149E-2</v>
      </c>
      <c r="S2625">
        <v>-3.00116</v>
      </c>
      <c r="T2625">
        <v>-0.1744782</v>
      </c>
      <c r="U2625">
        <v>0.12167360000000001</v>
      </c>
      <c r="V2625">
        <v>-2.975531E-2</v>
      </c>
      <c r="W2625">
        <v>-6.7573560000000005E-2</v>
      </c>
      <c r="X2625">
        <v>0.99727049999999995</v>
      </c>
      <c r="Y2625">
        <v>4.3509770000000003E-2</v>
      </c>
      <c r="Z2625">
        <v>1.6539739999999999E-3</v>
      </c>
      <c r="AA2625">
        <v>0.99905160000000004</v>
      </c>
      <c r="AB2625">
        <v>37</v>
      </c>
      <c r="AC2625">
        <v>-18.9148999999999</v>
      </c>
      <c r="AD2625">
        <v>-1.1206106024739999</v>
      </c>
      <c r="AE2625">
        <v>0.78269999999997697</v>
      </c>
      <c r="AF2625">
        <v>0.83829321021625602</v>
      </c>
      <c r="AG2625">
        <v>-1.1206106024739999</v>
      </c>
      <c r="AH2625">
        <v>18.846350538123499</v>
      </c>
      <c r="AI2625">
        <v>93.399467248490893</v>
      </c>
      <c r="AJ2625">
        <v>87.453139583985504</v>
      </c>
      <c r="AK2625">
        <v>18.898238865949899</v>
      </c>
      <c r="AL2625">
        <v>93.874632305455194</v>
      </c>
      <c r="AM2625">
        <v>91.7090127967017</v>
      </c>
      <c r="AN2625">
        <v>1.0000000073272499</v>
      </c>
    </row>
    <row r="2626" spans="1:40" x14ac:dyDescent="0.25">
      <c r="A2626" t="str">
        <f>"20190303154148852"</f>
        <v>20190303154148852</v>
      </c>
      <c r="B2626" t="str">
        <f>"1551598908842348"</f>
        <v>1551598908842348</v>
      </c>
      <c r="C2626" t="s">
        <v>40</v>
      </c>
      <c r="D2626">
        <v>5.703322</v>
      </c>
      <c r="E2626">
        <v>0.52778939999999996</v>
      </c>
      <c r="F2626" t="s">
        <v>50</v>
      </c>
      <c r="G2626">
        <v>-347.73090000000002</v>
      </c>
      <c r="H2626" s="1">
        <v>2.577205E-6</v>
      </c>
      <c r="I2626">
        <v>284.59930000000003</v>
      </c>
      <c r="J2626">
        <v>-328.68549999999999</v>
      </c>
      <c r="K2626">
        <v>1.1205989999999999</v>
      </c>
      <c r="L2626">
        <v>283.81610000000001</v>
      </c>
      <c r="M2626">
        <v>-0.99993189999999998</v>
      </c>
      <c r="N2626">
        <v>-1.123505E-2</v>
      </c>
      <c r="O2626">
        <v>-3.1826580000000001E-3</v>
      </c>
      <c r="P2626">
        <v>-0.99637589999999998</v>
      </c>
      <c r="Q2626">
        <v>-7.8429970000000002E-2</v>
      </c>
      <c r="R2626">
        <v>-3.2924879999999997E-2</v>
      </c>
      <c r="S2626">
        <v>-3.00116</v>
      </c>
      <c r="T2626">
        <v>-0.17468429999999999</v>
      </c>
      <c r="U2626">
        <v>0.1219788</v>
      </c>
      <c r="V2626">
        <v>-2.9730779999999998E-2</v>
      </c>
      <c r="W2626">
        <v>-6.7239629999999995E-2</v>
      </c>
      <c r="X2626">
        <v>0.99729380000000001</v>
      </c>
      <c r="Y2626">
        <v>4.369874E-2</v>
      </c>
      <c r="Z2626">
        <v>1.6652920000000001E-3</v>
      </c>
      <c r="AA2626">
        <v>0.99904329999999997</v>
      </c>
      <c r="AB2626">
        <v>37</v>
      </c>
      <c r="AC2626">
        <v>-19.045400000000001</v>
      </c>
      <c r="AD2626">
        <v>-1.1205964227949901</v>
      </c>
      <c r="AE2626">
        <v>0.78320000000002199</v>
      </c>
      <c r="AF2626">
        <v>0.84090859675278695</v>
      </c>
      <c r="AG2626">
        <v>-1.1205964227949901</v>
      </c>
      <c r="AH2626">
        <v>18.977223809179499</v>
      </c>
      <c r="AI2626">
        <v>93.376060393670699</v>
      </c>
      <c r="AJ2626">
        <v>87.462799780886797</v>
      </c>
      <c r="AK2626">
        <v>19.0288698328241</v>
      </c>
      <c r="AL2626">
        <v>93.855455918599802</v>
      </c>
      <c r="AM2626">
        <v>91.707564865443402</v>
      </c>
      <c r="AN2626">
        <v>1.0000000053201901</v>
      </c>
    </row>
    <row r="2627" spans="1:40" x14ac:dyDescent="0.25">
      <c r="A2627" t="str">
        <f>"20190303154148865"</f>
        <v>20190303154148865</v>
      </c>
      <c r="B2627" t="str">
        <f>"1551598908861868"</f>
        <v>1551598908861868</v>
      </c>
      <c r="C2627" t="s">
        <v>40</v>
      </c>
      <c r="D2627">
        <v>5.7365560000000002</v>
      </c>
      <c r="E2627">
        <v>0.52780899999999997</v>
      </c>
      <c r="F2627" t="s">
        <v>50</v>
      </c>
      <c r="G2627">
        <v>-348.0548</v>
      </c>
      <c r="H2627" s="1">
        <v>2.7495690000000001E-6</v>
      </c>
      <c r="I2627">
        <v>284.60149999999999</v>
      </c>
      <c r="J2627">
        <v>-328.89699999999999</v>
      </c>
      <c r="K2627">
        <v>1.12059</v>
      </c>
      <c r="L2627">
        <v>283.81529999999998</v>
      </c>
      <c r="M2627">
        <v>-0.99993220000000005</v>
      </c>
      <c r="N2627">
        <v>-1.117946E-2</v>
      </c>
      <c r="O2627">
        <v>-3.2731739999999998E-3</v>
      </c>
      <c r="P2627">
        <v>-0.9963881</v>
      </c>
      <c r="Q2627">
        <v>-7.825116E-2</v>
      </c>
      <c r="R2627">
        <v>-3.2981280000000002E-2</v>
      </c>
      <c r="S2627">
        <v>-3.0012819999999998</v>
      </c>
      <c r="T2627">
        <v>-0.1736374</v>
      </c>
      <c r="U2627">
        <v>0.1217041</v>
      </c>
      <c r="V2627">
        <v>-2.9696779999999999E-2</v>
      </c>
      <c r="W2627">
        <v>-6.7116110000000007E-2</v>
      </c>
      <c r="X2627">
        <v>0.9973031</v>
      </c>
      <c r="Y2627">
        <v>4.3697229999999997E-2</v>
      </c>
      <c r="Z2627">
        <v>1.659654E-3</v>
      </c>
      <c r="AA2627">
        <v>0.99904349999999997</v>
      </c>
      <c r="AB2627">
        <v>37</v>
      </c>
      <c r="AC2627">
        <v>-19.157800000000002</v>
      </c>
      <c r="AD2627">
        <v>-1.1205872504309999</v>
      </c>
      <c r="AE2627">
        <v>0.786200000000007</v>
      </c>
      <c r="AF2627">
        <v>0.84601684625436102</v>
      </c>
      <c r="AG2627">
        <v>-1.1205872504309999</v>
      </c>
      <c r="AH2627">
        <v>19.0899199576812</v>
      </c>
      <c r="AI2627">
        <v>93.356147428876497</v>
      </c>
      <c r="AJ2627">
        <v>87.462456744403795</v>
      </c>
      <c r="AK2627">
        <v>19.1414864699858</v>
      </c>
      <c r="AL2627">
        <v>93.848362848493593</v>
      </c>
      <c r="AM2627">
        <v>91.705597359558894</v>
      </c>
      <c r="AN2627">
        <v>0.99999997211675395</v>
      </c>
    </row>
    <row r="2628" spans="1:40" x14ac:dyDescent="0.25">
      <c r="A2628" t="str">
        <f>"20190303154148879"</f>
        <v>20190303154148879</v>
      </c>
      <c r="B2628" t="str">
        <f>"1551598908872605"</f>
        <v>1551598908872605</v>
      </c>
      <c r="C2628" t="s">
        <v>40</v>
      </c>
      <c r="D2628">
        <v>5.703773</v>
      </c>
      <c r="E2628">
        <v>0.5277636</v>
      </c>
      <c r="F2628" t="s">
        <v>50</v>
      </c>
      <c r="G2628">
        <v>-348.34809999999999</v>
      </c>
      <c r="H2628" s="1">
        <v>2.9056670000000001E-6</v>
      </c>
      <c r="I2628">
        <v>284.60449999999997</v>
      </c>
      <c r="J2628">
        <v>-329.12909999999999</v>
      </c>
      <c r="K2628">
        <v>1.120582</v>
      </c>
      <c r="L2628">
        <v>283.81450000000001</v>
      </c>
      <c r="M2628">
        <v>-0.9999325</v>
      </c>
      <c r="N2628">
        <v>-1.112032E-2</v>
      </c>
      <c r="O2628">
        <v>-3.3724929999999998E-3</v>
      </c>
      <c r="P2628">
        <v>-0.99634339999999999</v>
      </c>
      <c r="Q2628">
        <v>-7.8652169999999993E-2</v>
      </c>
      <c r="R2628">
        <v>-3.3365739999999998E-2</v>
      </c>
      <c r="S2628">
        <v>-3.001312</v>
      </c>
      <c r="T2628">
        <v>-0.1729069</v>
      </c>
      <c r="U2628">
        <v>0.1217651</v>
      </c>
      <c r="V2628">
        <v>-2.9982129999999999E-2</v>
      </c>
      <c r="W2628">
        <v>-6.7576639999999993E-2</v>
      </c>
      <c r="X2628">
        <v>0.99726349999999997</v>
      </c>
      <c r="Y2628">
        <v>4.3816760000000003E-2</v>
      </c>
      <c r="Z2628">
        <v>1.661154E-3</v>
      </c>
      <c r="AA2628">
        <v>0.99903819999999999</v>
      </c>
      <c r="AB2628">
        <v>37</v>
      </c>
      <c r="AC2628">
        <v>-19.218999999999902</v>
      </c>
      <c r="AD2628">
        <v>-1.1205790943330001</v>
      </c>
      <c r="AE2628">
        <v>0.78999999999996295</v>
      </c>
      <c r="AF2628">
        <v>0.85192416938558602</v>
      </c>
      <c r="AG2628">
        <v>-1.1205790943330001</v>
      </c>
      <c r="AH2628">
        <v>19.151230207616202</v>
      </c>
      <c r="AI2628">
        <v>93.345378655420504</v>
      </c>
      <c r="AJ2628">
        <v>87.452931203182303</v>
      </c>
      <c r="AK2628">
        <v>19.202892770677799</v>
      </c>
      <c r="AL2628">
        <v>93.874809172665294</v>
      </c>
      <c r="AM2628">
        <v>91.722044595495504</v>
      </c>
      <c r="AN2628">
        <v>1.00000000941263</v>
      </c>
    </row>
    <row r="2629" spans="1:40" x14ac:dyDescent="0.25">
      <c r="A2629" t="str">
        <f>"20190303154148892"</f>
        <v>20190303154148892</v>
      </c>
      <c r="B2629" t="str">
        <f>"1551598908882365"</f>
        <v>1551598908882365</v>
      </c>
      <c r="C2629" t="s">
        <v>40</v>
      </c>
      <c r="D2629">
        <v>5.7143199999999998</v>
      </c>
      <c r="E2629">
        <v>0.52774259999999995</v>
      </c>
      <c r="F2629" t="s">
        <v>50</v>
      </c>
      <c r="G2629">
        <v>-348.4391</v>
      </c>
      <c r="H2629" s="1">
        <v>2.9540879999999999E-6</v>
      </c>
      <c r="I2629">
        <v>284.58769999999998</v>
      </c>
      <c r="J2629">
        <v>-329.34769999999997</v>
      </c>
      <c r="K2629">
        <v>1.1205769999999999</v>
      </c>
      <c r="L2629">
        <v>283.81369999999998</v>
      </c>
      <c r="M2629">
        <v>-0.99993290000000001</v>
      </c>
      <c r="N2629">
        <v>-1.1066619999999999E-2</v>
      </c>
      <c r="O2629">
        <v>-3.4661240000000001E-3</v>
      </c>
      <c r="P2629">
        <v>-0.99632929999999997</v>
      </c>
      <c r="Q2629">
        <v>-7.8734349999999995E-2</v>
      </c>
      <c r="R2629">
        <v>-3.3609109999999998E-2</v>
      </c>
      <c r="S2629">
        <v>-3.0012819999999998</v>
      </c>
      <c r="T2629">
        <v>-0.17416699999999999</v>
      </c>
      <c r="U2629">
        <v>0.1201782</v>
      </c>
      <c r="V2629">
        <v>-3.0132119999999998E-2</v>
      </c>
      <c r="W2629">
        <v>-6.7712519999999998E-2</v>
      </c>
      <c r="X2629">
        <v>0.99724979999999996</v>
      </c>
      <c r="Y2629">
        <v>4.3382940000000002E-2</v>
      </c>
      <c r="Z2629">
        <v>1.6601879999999999E-3</v>
      </c>
      <c r="AA2629">
        <v>0.99905710000000003</v>
      </c>
      <c r="AB2629">
        <v>37</v>
      </c>
      <c r="AC2629">
        <v>-19.0914</v>
      </c>
      <c r="AD2629">
        <v>-1.1205740459119999</v>
      </c>
      <c r="AE2629">
        <v>0.77400000000000002</v>
      </c>
      <c r="AF2629">
        <v>0.83729270421164304</v>
      </c>
      <c r="AG2629">
        <v>-1.1205740459119999</v>
      </c>
      <c r="AH2629">
        <v>19.023172607295699</v>
      </c>
      <c r="AI2629">
        <v>93.367901515518497</v>
      </c>
      <c r="AJ2629">
        <v>87.479789721905703</v>
      </c>
      <c r="AK2629">
        <v>19.074533842583499</v>
      </c>
      <c r="AL2629">
        <v>93.882612251118402</v>
      </c>
      <c r="AM2629">
        <v>91.730677910904603</v>
      </c>
      <c r="AN2629">
        <v>1.0000000468102399</v>
      </c>
    </row>
    <row r="2630" spans="1:40" x14ac:dyDescent="0.25">
      <c r="A2630" t="str">
        <f>"20190303154148906"</f>
        <v>20190303154148906</v>
      </c>
      <c r="B2630" t="str">
        <f>"1551598908901884"</f>
        <v>1551598908901884</v>
      </c>
      <c r="C2630" t="s">
        <v>40</v>
      </c>
      <c r="D2630">
        <v>5.7408609999999998</v>
      </c>
      <c r="E2630">
        <v>0.52773130000000001</v>
      </c>
      <c r="F2630" t="s">
        <v>50</v>
      </c>
      <c r="G2630">
        <v>-348.50290000000001</v>
      </c>
      <c r="H2630" s="1">
        <v>2.9880079999999998E-6</v>
      </c>
      <c r="I2630">
        <v>284.57490000000001</v>
      </c>
      <c r="J2630">
        <v>-329.57060000000001</v>
      </c>
      <c r="K2630">
        <v>1.1205689999999999</v>
      </c>
      <c r="L2630">
        <v>283.81279999999998</v>
      </c>
      <c r="M2630">
        <v>-0.99993310000000002</v>
      </c>
      <c r="N2630">
        <v>-1.1014309999999999E-2</v>
      </c>
      <c r="O2630">
        <v>-3.561079E-3</v>
      </c>
      <c r="P2630">
        <v>-0.99631510000000001</v>
      </c>
      <c r="Q2630">
        <v>-7.896098E-2</v>
      </c>
      <c r="R2630">
        <v>-3.3493679999999998E-2</v>
      </c>
      <c r="S2630">
        <v>-3.0011899999999998</v>
      </c>
      <c r="T2630">
        <v>-0.17556920000000001</v>
      </c>
      <c r="U2630">
        <v>0.1192627</v>
      </c>
      <c r="V2630">
        <v>-2.9922319999999999E-2</v>
      </c>
      <c r="W2630">
        <v>-6.799144E-2</v>
      </c>
      <c r="X2630">
        <v>0.99723709999999999</v>
      </c>
      <c r="Y2630">
        <v>4.3173740000000002E-2</v>
      </c>
      <c r="Z2630">
        <v>1.6682450000000001E-3</v>
      </c>
      <c r="AA2630">
        <v>0.99906620000000002</v>
      </c>
      <c r="AB2630">
        <v>37</v>
      </c>
      <c r="AC2630">
        <v>-18.932300000000001</v>
      </c>
      <c r="AD2630">
        <v>-1.120566011992</v>
      </c>
      <c r="AE2630">
        <v>0.76210000000003197</v>
      </c>
      <c r="AF2630">
        <v>0.82662748827425903</v>
      </c>
      <c r="AG2630">
        <v>-1.120566011992</v>
      </c>
      <c r="AH2630">
        <v>18.863489721295799</v>
      </c>
      <c r="AI2630">
        <v>93.396349299897494</v>
      </c>
      <c r="AJ2630">
        <v>87.490815069312106</v>
      </c>
      <c r="AK2630">
        <v>18.914814978133801</v>
      </c>
      <c r="AL2630">
        <v>93.898630257958303</v>
      </c>
      <c r="AM2630">
        <v>91.718656898290405</v>
      </c>
      <c r="AN2630">
        <v>1.00000000738193</v>
      </c>
    </row>
    <row r="2631" spans="1:40" x14ac:dyDescent="0.25">
      <c r="A2631" t="str">
        <f>"20190303154148919"</f>
        <v>20190303154148919</v>
      </c>
      <c r="B2631" t="str">
        <f>"1551598908912620"</f>
        <v>1551598908912620</v>
      </c>
      <c r="C2631" t="s">
        <v>40</v>
      </c>
      <c r="D2631">
        <v>5.6973529999999997</v>
      </c>
      <c r="E2631">
        <v>0.5277212</v>
      </c>
      <c r="F2631" t="s">
        <v>50</v>
      </c>
      <c r="G2631">
        <v>-348.53280000000001</v>
      </c>
      <c r="H2631" s="1">
        <v>3.0039339999999998E-6</v>
      </c>
      <c r="I2631">
        <v>284.56810000000002</v>
      </c>
      <c r="J2631">
        <v>-329.77659999999997</v>
      </c>
      <c r="K2631">
        <v>1.120573</v>
      </c>
      <c r="L2631">
        <v>283.81200000000001</v>
      </c>
      <c r="M2631">
        <v>-0.99993330000000002</v>
      </c>
      <c r="N2631">
        <v>-1.096748E-2</v>
      </c>
      <c r="O2631">
        <v>-3.6485549999999999E-3</v>
      </c>
      <c r="P2631">
        <v>-0.99629840000000003</v>
      </c>
      <c r="Q2631">
        <v>-7.9293310000000006E-2</v>
      </c>
      <c r="R2631">
        <v>-3.3202879999999997E-2</v>
      </c>
      <c r="S2631">
        <v>-3.0010680000000001</v>
      </c>
      <c r="T2631">
        <v>-0.17734730000000001</v>
      </c>
      <c r="U2631">
        <v>0.1195374</v>
      </c>
      <c r="V2631">
        <v>-2.9543989999999999E-2</v>
      </c>
      <c r="W2631">
        <v>-6.8370509999999995E-2</v>
      </c>
      <c r="X2631">
        <v>0.99722250000000001</v>
      </c>
      <c r="Y2631">
        <v>4.3351870000000001E-2</v>
      </c>
      <c r="Z2631">
        <v>1.692757E-3</v>
      </c>
      <c r="AA2631">
        <v>0.99905840000000001</v>
      </c>
      <c r="AB2631">
        <v>37</v>
      </c>
      <c r="AC2631">
        <v>-18.7562</v>
      </c>
      <c r="AD2631">
        <v>-1.1205699960660001</v>
      </c>
      <c r="AE2631">
        <v>0.75610000000000299</v>
      </c>
      <c r="AF2631">
        <v>0.82160427382364798</v>
      </c>
      <c r="AG2631">
        <v>-1.1205699960660001</v>
      </c>
      <c r="AH2631">
        <v>18.686725190541701</v>
      </c>
      <c r="AI2631">
        <v>93.428390655872093</v>
      </c>
      <c r="AJ2631">
        <v>87.482482434019303</v>
      </c>
      <c r="AK2631">
        <v>18.7383139328402</v>
      </c>
      <c r="AL2631">
        <v>93.920399883240194</v>
      </c>
      <c r="AM2631">
        <v>91.696964265647907</v>
      </c>
      <c r="AN2631">
        <v>1.0000000442445101</v>
      </c>
    </row>
    <row r="2632" spans="1:40" x14ac:dyDescent="0.25">
      <c r="A2632" t="str">
        <f>"20190303154148939"</f>
        <v>20190303154148939</v>
      </c>
      <c r="B2632" t="str">
        <f>"1551598908932140"</f>
        <v>1551598908932140</v>
      </c>
      <c r="C2632" t="s">
        <v>40</v>
      </c>
      <c r="D2632">
        <v>5.5326380000000004</v>
      </c>
      <c r="E2632">
        <v>0.52773829999999999</v>
      </c>
      <c r="F2632" t="s">
        <v>50</v>
      </c>
      <c r="G2632">
        <v>-348.61779999999999</v>
      </c>
      <c r="H2632" s="1">
        <v>3.0491510000000001E-6</v>
      </c>
      <c r="I2632">
        <v>284.56790000000001</v>
      </c>
      <c r="J2632">
        <v>-330.13420000000002</v>
      </c>
      <c r="K2632">
        <v>1.1205670000000001</v>
      </c>
      <c r="L2632">
        <v>283.81060000000002</v>
      </c>
      <c r="M2632">
        <v>-0.99993350000000003</v>
      </c>
      <c r="N2632">
        <v>-1.0891980000000001E-2</v>
      </c>
      <c r="O2632">
        <v>-3.8010779999999998E-3</v>
      </c>
      <c r="P2632">
        <v>-0.99628209999999995</v>
      </c>
      <c r="Q2632">
        <v>-7.9648899999999995E-2</v>
      </c>
      <c r="R2632">
        <v>-3.2837900000000003E-2</v>
      </c>
      <c r="S2632">
        <v>-3.0009459999999999</v>
      </c>
      <c r="T2632">
        <v>-0.1784799</v>
      </c>
      <c r="U2632">
        <v>0.12039179999999999</v>
      </c>
      <c r="V2632">
        <v>-2.9026719999999999E-2</v>
      </c>
      <c r="W2632">
        <v>-6.8801370000000001E-2</v>
      </c>
      <c r="X2632">
        <v>0.99720799999999998</v>
      </c>
      <c r="Y2632">
        <v>4.3787760000000002E-2</v>
      </c>
      <c r="Z2632">
        <v>1.7237029999999901E-3</v>
      </c>
      <c r="AA2632">
        <v>0.99903940000000002</v>
      </c>
      <c r="AB2632">
        <v>37</v>
      </c>
      <c r="AC2632">
        <v>-18.4835999999999</v>
      </c>
      <c r="AD2632">
        <v>-1.120563950849</v>
      </c>
      <c r="AE2632">
        <v>0.75729999999998598</v>
      </c>
      <c r="AF2632">
        <v>0.82453092722557197</v>
      </c>
      <c r="AG2632">
        <v>-1.120563950849</v>
      </c>
      <c r="AH2632">
        <v>18.413026595499598</v>
      </c>
      <c r="AI2632">
        <v>93.479083752719006</v>
      </c>
      <c r="AJ2632">
        <v>87.436021567250904</v>
      </c>
      <c r="AK2632">
        <v>18.465510099222001</v>
      </c>
      <c r="AL2632">
        <v>93.945144836185506</v>
      </c>
      <c r="AM2632">
        <v>91.667294169604503</v>
      </c>
      <c r="AN2632">
        <v>0.99999998712591698</v>
      </c>
    </row>
    <row r="2633" spans="1:40" x14ac:dyDescent="0.25">
      <c r="A2633" t="str">
        <f>"20190303154148952"</f>
        <v>20190303154148952</v>
      </c>
      <c r="B2633" t="str">
        <f>"1551598908941901"</f>
        <v>1551598908941901</v>
      </c>
      <c r="C2633" t="s">
        <v>40</v>
      </c>
      <c r="D2633">
        <v>5.56351</v>
      </c>
      <c r="E2633">
        <v>0.52232440000000002</v>
      </c>
      <c r="F2633" t="s">
        <v>50</v>
      </c>
      <c r="G2633">
        <v>-348.8519</v>
      </c>
      <c r="H2633" s="1">
        <v>3.1737569999999999E-6</v>
      </c>
      <c r="I2633">
        <v>284.56950000000001</v>
      </c>
      <c r="J2633">
        <v>-330.34160000000003</v>
      </c>
      <c r="K2633">
        <v>1.120563</v>
      </c>
      <c r="L2633">
        <v>283.80970000000002</v>
      </c>
      <c r="M2633">
        <v>-0.99993379999999998</v>
      </c>
      <c r="N2633">
        <v>-1.08498E-2</v>
      </c>
      <c r="O2633">
        <v>-3.8896540000000002E-3</v>
      </c>
      <c r="P2633">
        <v>-0.99627670000000002</v>
      </c>
      <c r="Q2633">
        <v>-7.9739889999999994E-2</v>
      </c>
      <c r="R2633">
        <v>-3.2781680000000001E-2</v>
      </c>
      <c r="S2633">
        <v>-3.0008240000000002</v>
      </c>
      <c r="T2633">
        <v>-0.17964939999999999</v>
      </c>
      <c r="U2633">
        <v>0.12167360000000001</v>
      </c>
      <c r="V2633">
        <v>-2.8882850000000002E-2</v>
      </c>
      <c r="W2633">
        <v>-6.8934399999999896E-2</v>
      </c>
      <c r="X2633">
        <v>0.99720299999999995</v>
      </c>
      <c r="Y2633">
        <v>4.4301569999999998E-2</v>
      </c>
      <c r="Z2633">
        <v>1.7554630000000001E-3</v>
      </c>
      <c r="AA2633">
        <v>0.99901660000000003</v>
      </c>
      <c r="AB2633">
        <v>37</v>
      </c>
      <c r="AC2633">
        <v>-18.510299999999901</v>
      </c>
      <c r="AD2633">
        <v>-1.1205598262430001</v>
      </c>
      <c r="AE2633">
        <v>0.75979999999998404</v>
      </c>
      <c r="AF2633">
        <v>0.82876503623959596</v>
      </c>
      <c r="AG2633">
        <v>-1.1205598262430001</v>
      </c>
      <c r="AH2633">
        <v>18.439741234448601</v>
      </c>
      <c r="AI2633">
        <v>93.474017454121494</v>
      </c>
      <c r="AJ2633">
        <v>87.426601399388005</v>
      </c>
      <c r="AK2633">
        <v>18.492337943129499</v>
      </c>
      <c r="AL2633">
        <v>93.952784994709702</v>
      </c>
      <c r="AM2633">
        <v>91.659043223540806</v>
      </c>
      <c r="AN2633">
        <v>0.99999999686824104</v>
      </c>
    </row>
    <row r="2634" spans="1:40" x14ac:dyDescent="0.25">
      <c r="A2634" t="str">
        <f>"20190303154148964"</f>
        <v>20190303154148964</v>
      </c>
      <c r="B2634" t="str">
        <f>"1551598908961927"</f>
        <v>1551598908961927</v>
      </c>
      <c r="C2634" t="s">
        <v>40</v>
      </c>
      <c r="D2634">
        <v>5.5580850000000002</v>
      </c>
      <c r="E2634">
        <v>0.52153769999999999</v>
      </c>
      <c r="F2634" t="s">
        <v>50</v>
      </c>
      <c r="G2634">
        <v>-370.48500000000001</v>
      </c>
      <c r="H2634" s="1">
        <v>-1.278702E-6</v>
      </c>
      <c r="I2634">
        <v>284.83960000000002</v>
      </c>
      <c r="J2634">
        <v>-330.54239999999999</v>
      </c>
      <c r="K2634">
        <v>1.1205560000000001</v>
      </c>
      <c r="L2634">
        <v>283.80889999999999</v>
      </c>
      <c r="M2634">
        <v>-0.99993379999999998</v>
      </c>
      <c r="N2634">
        <v>-1.081065E-2</v>
      </c>
      <c r="O2634">
        <v>-3.9752670000000002E-3</v>
      </c>
      <c r="P2634">
        <v>-0.99628749999999999</v>
      </c>
      <c r="Q2634">
        <v>-7.9707700000000006E-2</v>
      </c>
      <c r="R2634">
        <v>-3.2527309999999997E-2</v>
      </c>
      <c r="S2634">
        <v>-3.0069889999999999</v>
      </c>
      <c r="T2634">
        <v>-8.3937289999999998E-2</v>
      </c>
      <c r="U2634">
        <v>7.7148439999999999E-2</v>
      </c>
      <c r="V2634">
        <v>-2.8542850000000002E-2</v>
      </c>
      <c r="W2634">
        <v>-6.894103E-2</v>
      </c>
      <c r="X2634">
        <v>0.9972124</v>
      </c>
      <c r="Y2634">
        <v>2.9605349999999999E-2</v>
      </c>
      <c r="Z2634">
        <v>6.411187E-4</v>
      </c>
      <c r="AA2634">
        <v>0.99956149999999999</v>
      </c>
      <c r="AB2634">
        <v>37</v>
      </c>
      <c r="AC2634">
        <v>-39.942599999999999</v>
      </c>
      <c r="AD2634">
        <v>-1.1205572787019999</v>
      </c>
      <c r="AE2634">
        <v>1.0307000000000199</v>
      </c>
      <c r="AF2634">
        <v>1.18854880192435</v>
      </c>
      <c r="AG2634">
        <v>-1.1205572787019999</v>
      </c>
      <c r="AH2634">
        <v>39.906799563694001</v>
      </c>
      <c r="AI2634">
        <v>91.607693523463695</v>
      </c>
      <c r="AJ2634">
        <v>88.294057498345893</v>
      </c>
      <c r="AK2634">
        <v>39.940217178756697</v>
      </c>
      <c r="AL2634">
        <v>93.953165500623797</v>
      </c>
      <c r="AM2634">
        <v>91.639508754974202</v>
      </c>
      <c r="AN2634">
        <v>1.00000006530866</v>
      </c>
    </row>
    <row r="2635" spans="1:40" x14ac:dyDescent="0.25">
      <c r="A2635" t="str">
        <f>"20190303154148977"</f>
        <v>20190303154148977</v>
      </c>
      <c r="B2635" t="str">
        <f>"1551598908971687"</f>
        <v>1551598908971687</v>
      </c>
      <c r="C2635" t="s">
        <v>40</v>
      </c>
      <c r="D2635">
        <v>5.5599030000000003</v>
      </c>
      <c r="E2635">
        <v>0.52199340000000005</v>
      </c>
      <c r="F2635" t="s">
        <v>50</v>
      </c>
      <c r="G2635">
        <v>-377.798</v>
      </c>
      <c r="H2635" s="1">
        <v>2.6129209999999999E-6</v>
      </c>
      <c r="I2635">
        <v>284.9298</v>
      </c>
      <c r="J2635">
        <v>-330.7484</v>
      </c>
      <c r="K2635">
        <v>1.1205510000000001</v>
      </c>
      <c r="L2635">
        <v>283.80799999999999</v>
      </c>
      <c r="M2635">
        <v>-0.99993370000000004</v>
      </c>
      <c r="N2635">
        <v>-1.077117E-2</v>
      </c>
      <c r="O2635">
        <v>-4.0630249999999996E-3</v>
      </c>
      <c r="P2635">
        <v>-0.99626630000000005</v>
      </c>
      <c r="Q2635">
        <v>-8.0014020000000005E-2</v>
      </c>
      <c r="R2635">
        <v>-3.2427289999999998E-2</v>
      </c>
      <c r="S2635">
        <v>-3.0078130000000001</v>
      </c>
      <c r="T2635">
        <v>-7.1323159999999997E-2</v>
      </c>
      <c r="U2635">
        <v>7.13501E-2</v>
      </c>
      <c r="V2635">
        <v>-2.8354819999999999E-2</v>
      </c>
      <c r="W2635">
        <v>-6.9286860000000006E-2</v>
      </c>
      <c r="X2635">
        <v>0.99719380000000002</v>
      </c>
      <c r="Y2635">
        <v>2.7765160000000001E-2</v>
      </c>
      <c r="Z2635">
        <v>5.3125150000000001E-4</v>
      </c>
      <c r="AA2635">
        <v>0.99961440000000001</v>
      </c>
      <c r="AB2635">
        <v>37</v>
      </c>
      <c r="AC2635">
        <v>-47.049599999999998</v>
      </c>
      <c r="AD2635">
        <v>-1.1205483870790001</v>
      </c>
      <c r="AE2635">
        <v>1.1217999999999999</v>
      </c>
      <c r="AF2635">
        <v>1.31222164557131</v>
      </c>
      <c r="AG2635">
        <v>-1.1205483870790001</v>
      </c>
      <c r="AH2635">
        <v>47.0179991725809</v>
      </c>
      <c r="AI2635">
        <v>91.364702201188905</v>
      </c>
      <c r="AJ2635">
        <v>88.401351570691602</v>
      </c>
      <c r="AK2635">
        <v>47.049652501668</v>
      </c>
      <c r="AL2635">
        <v>93.973027575877794</v>
      </c>
      <c r="AM2635">
        <v>91.628744462299096</v>
      </c>
      <c r="AN2635">
        <v>1.00000006977216</v>
      </c>
    </row>
    <row r="2636" spans="1:40" x14ac:dyDescent="0.25">
      <c r="A2636" t="str">
        <f>"20190303154148988"</f>
        <v>20190303154148988</v>
      </c>
      <c r="B2636" t="str">
        <f>"1551598908982424"</f>
        <v>1551598908982424</v>
      </c>
      <c r="C2636" t="s">
        <v>40</v>
      </c>
      <c r="D2636">
        <v>5.548762</v>
      </c>
      <c r="E2636">
        <v>0.52204249999999996</v>
      </c>
      <c r="F2636" t="s">
        <v>50</v>
      </c>
      <c r="G2636">
        <v>-382.3854</v>
      </c>
      <c r="H2636" s="1">
        <v>-2.6739070000000001E-7</v>
      </c>
      <c r="I2636">
        <v>285.0992</v>
      </c>
      <c r="J2636">
        <v>-330.9461</v>
      </c>
      <c r="K2636">
        <v>1.1205400000000001</v>
      </c>
      <c r="L2636">
        <v>283.80709999999999</v>
      </c>
      <c r="M2636">
        <v>-0.99993379999999998</v>
      </c>
      <c r="N2636">
        <v>-1.073408E-2</v>
      </c>
      <c r="O2636">
        <v>-4.1474579999999997E-3</v>
      </c>
      <c r="P2636">
        <v>-0.99625129999999995</v>
      </c>
      <c r="Q2636">
        <v>-8.0203120000000003E-2</v>
      </c>
      <c r="R2636">
        <v>-3.2423630000000002E-2</v>
      </c>
      <c r="S2636">
        <v>-3.0084529999999998</v>
      </c>
      <c r="T2636">
        <v>-6.5285090000000004E-2</v>
      </c>
      <c r="U2636">
        <v>7.5225829999999994E-2</v>
      </c>
      <c r="V2636">
        <v>-2.8266880000000001E-2</v>
      </c>
      <c r="W2636">
        <v>-6.9513039999999998E-2</v>
      </c>
      <c r="X2636">
        <v>0.99718050000000003</v>
      </c>
      <c r="Y2636">
        <v>2.9132689999999999E-2</v>
      </c>
      <c r="Z2636">
        <v>5.1789199999999896E-4</v>
      </c>
      <c r="AA2636">
        <v>0.9995754</v>
      </c>
      <c r="AB2636">
        <v>37</v>
      </c>
      <c r="AC2636">
        <v>-51.439300000000003</v>
      </c>
      <c r="AD2636">
        <v>-1.1205402673906999</v>
      </c>
      <c r="AE2636">
        <v>1.2921</v>
      </c>
      <c r="AF2636">
        <v>1.5047299198131801</v>
      </c>
      <c r="AG2636">
        <v>-1.1205402673906999</v>
      </c>
      <c r="AH2636">
        <v>51.409118442257601</v>
      </c>
      <c r="AI2636">
        <v>91.248116965604396</v>
      </c>
      <c r="AJ2636">
        <v>88.323447892522793</v>
      </c>
      <c r="AK2636">
        <v>51.443340498382298</v>
      </c>
      <c r="AL2636">
        <v>93.986018276575606</v>
      </c>
      <c r="AM2636">
        <v>91.623717406351105</v>
      </c>
      <c r="AN2636">
        <v>1.00000001440761</v>
      </c>
    </row>
    <row r="2637" spans="1:40" x14ac:dyDescent="0.25">
      <c r="A2637" t="str">
        <f>"20190303154149008"</f>
        <v>20190303154149008</v>
      </c>
      <c r="B2637" t="str">
        <f>"1551598909001944"</f>
        <v>1551598909001944</v>
      </c>
      <c r="C2637" t="s">
        <v>40</v>
      </c>
      <c r="D2637">
        <v>5.5703139999999998</v>
      </c>
      <c r="E2637">
        <v>0.522115</v>
      </c>
      <c r="F2637" t="s">
        <v>50</v>
      </c>
      <c r="G2637">
        <v>-384.2704</v>
      </c>
      <c r="H2637" s="1">
        <v>7.357089E-7</v>
      </c>
      <c r="I2637">
        <v>285.1474</v>
      </c>
      <c r="J2637">
        <v>-331.27339999999998</v>
      </c>
      <c r="K2637">
        <v>1.120533</v>
      </c>
      <c r="L2637">
        <v>283.80560000000003</v>
      </c>
      <c r="M2637">
        <v>-0.99993379999999998</v>
      </c>
      <c r="N2637">
        <v>-1.0674339999999999E-2</v>
      </c>
      <c r="O2637">
        <v>-4.2875550000000002E-3</v>
      </c>
      <c r="P2637">
        <v>-0.99628289999999997</v>
      </c>
      <c r="Q2637">
        <v>-7.9777669999999995E-2</v>
      </c>
      <c r="R2637">
        <v>-3.2497499999999999E-2</v>
      </c>
      <c r="S2637">
        <v>-3.008667</v>
      </c>
      <c r="T2637">
        <v>-6.3223119999999994E-2</v>
      </c>
      <c r="U2637">
        <v>7.5622560000000005E-2</v>
      </c>
      <c r="V2637">
        <v>-2.8201509999999999E-2</v>
      </c>
      <c r="W2637">
        <v>-6.9146810000000003E-2</v>
      </c>
      <c r="X2637">
        <v>0.99720779999999998</v>
      </c>
      <c r="Y2637">
        <v>2.9403169999999999E-2</v>
      </c>
      <c r="Z2637">
        <v>5.1015269999999996E-4</v>
      </c>
      <c r="AA2637">
        <v>0.99956750000000005</v>
      </c>
      <c r="AB2637">
        <v>37</v>
      </c>
      <c r="AC2637">
        <v>-52.997</v>
      </c>
      <c r="AD2637">
        <v>-1.1205322642911</v>
      </c>
      <c r="AE2637">
        <v>1.3417999999999699</v>
      </c>
      <c r="AF2637">
        <v>1.5683275164944199</v>
      </c>
      <c r="AG2637">
        <v>-1.1205322642911</v>
      </c>
      <c r="AH2637">
        <v>52.967096217833301</v>
      </c>
      <c r="AI2637">
        <v>91.211395121627206</v>
      </c>
      <c r="AJ2637">
        <v>88.303998000077996</v>
      </c>
      <c r="AK2637">
        <v>53.002155857130198</v>
      </c>
      <c r="AL2637">
        <v>93.964984282507999</v>
      </c>
      <c r="AM2637">
        <v>91.619920074657699</v>
      </c>
      <c r="AN2637">
        <v>1.00000000144014</v>
      </c>
    </row>
    <row r="2638" spans="1:40" x14ac:dyDescent="0.25">
      <c r="A2638" t="str">
        <f>"20190303154149030"</f>
        <v>20190303154149030</v>
      </c>
      <c r="B2638" t="str">
        <f>"1551598909022441"</f>
        <v>1551598909022441</v>
      </c>
      <c r="C2638" t="s">
        <v>40</v>
      </c>
      <c r="D2638">
        <v>5.515555</v>
      </c>
      <c r="E2638">
        <v>0.52175020000000005</v>
      </c>
      <c r="F2638" t="s">
        <v>50</v>
      </c>
      <c r="G2638">
        <v>-388.84050000000002</v>
      </c>
      <c r="H2638" s="1">
        <v>3.1677129999999999E-6</v>
      </c>
      <c r="I2638">
        <v>285.2518</v>
      </c>
      <c r="J2638">
        <v>-331.63099999999997</v>
      </c>
      <c r="K2638">
        <v>1.1205320000000001</v>
      </c>
      <c r="L2638">
        <v>283.8039</v>
      </c>
      <c r="M2638">
        <v>-0.99993379999999998</v>
      </c>
      <c r="N2638">
        <v>-1.061346E-2</v>
      </c>
      <c r="O2638">
        <v>-4.4399299999999999E-3</v>
      </c>
      <c r="P2638">
        <v>-0.99637969999999998</v>
      </c>
      <c r="Q2638">
        <v>-7.8729250000000001E-2</v>
      </c>
      <c r="R2638">
        <v>-3.2087169999999998E-2</v>
      </c>
      <c r="S2638">
        <v>-3.008972</v>
      </c>
      <c r="T2638">
        <v>-5.8568839999999997E-2</v>
      </c>
      <c r="U2638">
        <v>7.5592039999999999E-2</v>
      </c>
      <c r="V2638">
        <v>-2.7638960000000001E-2</v>
      </c>
      <c r="W2638">
        <v>-6.8157930000000005E-2</v>
      </c>
      <c r="X2638">
        <v>0.99729159999999994</v>
      </c>
      <c r="Y2638">
        <v>2.9544009999999999E-2</v>
      </c>
      <c r="Z2638">
        <v>4.8358150000000003E-4</v>
      </c>
      <c r="AA2638">
        <v>0.99956330000000004</v>
      </c>
      <c r="AB2638">
        <v>37</v>
      </c>
      <c r="AC2638">
        <v>-57.209499999999998</v>
      </c>
      <c r="AD2638">
        <v>-1.120528832287</v>
      </c>
      <c r="AE2638">
        <v>1.4479</v>
      </c>
      <c r="AF2638">
        <v>1.7012539846058199</v>
      </c>
      <c r="AG2638">
        <v>-1.120528832287</v>
      </c>
      <c r="AH2638">
        <v>57.180585107008298</v>
      </c>
      <c r="AI2638">
        <v>91.122146104305799</v>
      </c>
      <c r="AJ2638">
        <v>88.2958214440539</v>
      </c>
      <c r="AK2638">
        <v>57.216860829338998</v>
      </c>
      <c r="AL2638">
        <v>93.908191737260594</v>
      </c>
      <c r="AM2638">
        <v>91.5874900671175</v>
      </c>
      <c r="AN2638">
        <v>0.99999997548116204</v>
      </c>
    </row>
    <row r="2639" spans="1:40" x14ac:dyDescent="0.25">
      <c r="A2639" t="str">
        <f>"20190303154149052"</f>
        <v>20190303154149052</v>
      </c>
      <c r="B2639" t="str">
        <f>"1551598909041959"</f>
        <v>1551598909041959</v>
      </c>
      <c r="C2639" t="s">
        <v>40</v>
      </c>
      <c r="D2639">
        <v>5.5405550000000003</v>
      </c>
      <c r="E2639">
        <v>0.52180709999999997</v>
      </c>
      <c r="F2639" t="s">
        <v>51</v>
      </c>
      <c r="G2639">
        <v>-401.3125</v>
      </c>
      <c r="H2639" s="1">
        <v>7.6359219999999994E-6</v>
      </c>
      <c r="I2639">
        <v>285.50830000000002</v>
      </c>
      <c r="J2639">
        <v>-331.98860000000002</v>
      </c>
      <c r="K2639">
        <v>1.1205309999999999</v>
      </c>
      <c r="L2639">
        <v>283.80220000000003</v>
      </c>
      <c r="M2639">
        <v>-0.99993370000000004</v>
      </c>
      <c r="N2639">
        <v>-1.05556E-2</v>
      </c>
      <c r="O2639">
        <v>-4.5923240000000001E-3</v>
      </c>
      <c r="P2639">
        <v>-0.99642209999999998</v>
      </c>
      <c r="Q2639">
        <v>-7.8385289999999996E-2</v>
      </c>
      <c r="R2639">
        <v>-3.1603979999999997E-2</v>
      </c>
      <c r="S2639">
        <v>-3.0094599999999998</v>
      </c>
      <c r="T2639">
        <v>-4.8394079999999999E-2</v>
      </c>
      <c r="U2639">
        <v>7.3608399999999893E-2</v>
      </c>
      <c r="V2639">
        <v>-2.7003679999999999E-2</v>
      </c>
      <c r="W2639">
        <v>-6.7871050000000002E-2</v>
      </c>
      <c r="X2639">
        <v>0.99732860000000001</v>
      </c>
      <c r="Y2639">
        <v>2.9036360000000001E-2</v>
      </c>
      <c r="Z2639">
        <v>4.1206879999999997E-4</v>
      </c>
      <c r="AA2639">
        <v>0.99957830000000003</v>
      </c>
      <c r="AB2639">
        <v>37</v>
      </c>
      <c r="AC2639">
        <v>-69.323899999999895</v>
      </c>
      <c r="AD2639">
        <v>-1.1205233640779999</v>
      </c>
      <c r="AE2639">
        <v>1.70609999999999</v>
      </c>
      <c r="AF2639">
        <v>2.0239291129891899</v>
      </c>
      <c r="AG2639">
        <v>-1.1205233640779999</v>
      </c>
      <c r="AH2639">
        <v>69.2972397524467</v>
      </c>
      <c r="AI2639">
        <v>90.925986482398699</v>
      </c>
      <c r="AJ2639">
        <v>88.327066983904103</v>
      </c>
      <c r="AK2639">
        <v>69.335844258016493</v>
      </c>
      <c r="AL2639">
        <v>93.891716448680398</v>
      </c>
      <c r="AM2639">
        <v>91.550962213306903</v>
      </c>
      <c r="AN2639">
        <v>1.0000000072698001</v>
      </c>
    </row>
    <row r="2640" spans="1:40" x14ac:dyDescent="0.25">
      <c r="A2640" t="str">
        <f>"20190303154149064"</f>
        <v>20190303154149064</v>
      </c>
      <c r="B2640" t="str">
        <f>"1551598909061861"</f>
        <v>1551598909061861</v>
      </c>
      <c r="C2640" t="s">
        <v>40</v>
      </c>
      <c r="D2640">
        <v>5.5205640000000002</v>
      </c>
      <c r="E2640">
        <v>0.52137290000000003</v>
      </c>
      <c r="F2640" t="s">
        <v>51</v>
      </c>
      <c r="G2640">
        <v>-402.26</v>
      </c>
      <c r="H2640" s="1">
        <v>7.2039669999999997E-6</v>
      </c>
      <c r="I2640">
        <v>285.5652</v>
      </c>
      <c r="J2640">
        <v>-332.21289999999999</v>
      </c>
      <c r="K2640">
        <v>1.1205240000000001</v>
      </c>
      <c r="L2640">
        <v>283.80110000000002</v>
      </c>
      <c r="M2640">
        <v>-0.99993370000000004</v>
      </c>
      <c r="N2640">
        <v>-1.0520669999999999E-2</v>
      </c>
      <c r="O2640">
        <v>-4.6872579999999997E-3</v>
      </c>
      <c r="P2640">
        <v>-0.99639750000000005</v>
      </c>
      <c r="Q2640">
        <v>-7.8614539999999997E-2</v>
      </c>
      <c r="R2640">
        <v>-3.1808280000000001E-2</v>
      </c>
      <c r="S2640">
        <v>-3.0093990000000002</v>
      </c>
      <c r="T2640">
        <v>-4.7986870000000001E-2</v>
      </c>
      <c r="U2640">
        <v>7.5500490000000003E-2</v>
      </c>
      <c r="V2640">
        <v>-2.7113990000000001E-2</v>
      </c>
      <c r="W2640">
        <v>-6.8135370000000001E-2</v>
      </c>
      <c r="X2640">
        <v>0.99730759999999996</v>
      </c>
      <c r="Y2640">
        <v>2.975976E-2</v>
      </c>
      <c r="Z2640">
        <v>4.1922969999999999E-4</v>
      </c>
      <c r="AA2640">
        <v>0.99955700000000003</v>
      </c>
      <c r="AB2640">
        <v>37</v>
      </c>
      <c r="AC2640">
        <v>-70.0471</v>
      </c>
      <c r="AD2640">
        <v>-1.120516796033</v>
      </c>
      <c r="AE2640">
        <v>1.76409999999998</v>
      </c>
      <c r="AF2640">
        <v>2.0918926519130099</v>
      </c>
      <c r="AG2640">
        <v>-1.120516796033</v>
      </c>
      <c r="AH2640">
        <v>70.020154951943795</v>
      </c>
      <c r="AI2640">
        <v>90.9164044128852</v>
      </c>
      <c r="AJ2640">
        <v>88.288764428392</v>
      </c>
      <c r="AK2640">
        <v>70.060357351725898</v>
      </c>
      <c r="AL2640">
        <v>93.906895946402699</v>
      </c>
      <c r="AM2640">
        <v>91.557327553883098</v>
      </c>
      <c r="AN2640">
        <v>1.00000002305825</v>
      </c>
    </row>
    <row r="2641" spans="1:40" x14ac:dyDescent="0.25">
      <c r="A2641" t="str">
        <f>"20190303154149079"</f>
        <v>20190303154149079</v>
      </c>
      <c r="B2641" t="str">
        <f>"1551598909072597"</f>
        <v>1551598909072597</v>
      </c>
      <c r="C2641" t="s">
        <v>40</v>
      </c>
      <c r="D2641">
        <v>5.5845549999999999</v>
      </c>
      <c r="E2641">
        <v>0.52145109999999995</v>
      </c>
      <c r="F2641" t="s">
        <v>51</v>
      </c>
      <c r="G2641">
        <v>-401.91210000000001</v>
      </c>
      <c r="H2641" s="1">
        <v>7.3806949999999898E-6</v>
      </c>
      <c r="I2641">
        <v>285.45650000000001</v>
      </c>
      <c r="J2641">
        <v>-332.44690000000003</v>
      </c>
      <c r="K2641">
        <v>1.120517</v>
      </c>
      <c r="L2641">
        <v>283.79989999999998</v>
      </c>
      <c r="M2641">
        <v>-0.99993370000000004</v>
      </c>
      <c r="N2641">
        <v>-1.0485349999999999E-2</v>
      </c>
      <c r="O2641">
        <v>-4.7845650000000002E-3</v>
      </c>
      <c r="P2641">
        <v>-0.99635839999999998</v>
      </c>
      <c r="Q2641">
        <v>-7.8921980000000003E-2</v>
      </c>
      <c r="R2641">
        <v>-3.22741E-2</v>
      </c>
      <c r="S2641">
        <v>-3.0093079999999999</v>
      </c>
      <c r="T2641">
        <v>-4.8378940000000002E-2</v>
      </c>
      <c r="U2641">
        <v>7.1472170000000002E-2</v>
      </c>
      <c r="V2641">
        <v>-2.748285E-2</v>
      </c>
      <c r="W2641">
        <v>-6.8478419999999998E-2</v>
      </c>
      <c r="X2641">
        <v>0.99727399999999999</v>
      </c>
      <c r="Y2641">
        <v>2.8520719999999999E-2</v>
      </c>
      <c r="Z2641">
        <v>4.05518E-4</v>
      </c>
      <c r="AA2641">
        <v>0.99959310000000001</v>
      </c>
      <c r="AB2641">
        <v>37</v>
      </c>
      <c r="AC2641">
        <v>-69.465199999999896</v>
      </c>
      <c r="AD2641">
        <v>-1.1205096193049999</v>
      </c>
      <c r="AE2641">
        <v>1.6566000000000201</v>
      </c>
      <c r="AF2641">
        <v>1.9884429469953899</v>
      </c>
      <c r="AG2641">
        <v>-1.1205096193049999</v>
      </c>
      <c r="AH2641">
        <v>69.438421099473899</v>
      </c>
      <c r="AI2641">
        <v>90.924108001344905</v>
      </c>
      <c r="AJ2641">
        <v>88.359722750577504</v>
      </c>
      <c r="AK2641">
        <v>69.475922246115303</v>
      </c>
      <c r="AL2641">
        <v>93.926597306008105</v>
      </c>
      <c r="AM2641">
        <v>91.578556020524303</v>
      </c>
      <c r="AN2641">
        <v>1.0000000160628999</v>
      </c>
    </row>
    <row r="2642" spans="1:40" x14ac:dyDescent="0.25">
      <c r="A2642" t="str">
        <f>"20190303154149096"</f>
        <v>20190303154149096</v>
      </c>
      <c r="B2642" t="str">
        <f>"1551598909092118"</f>
        <v>1551598909092118</v>
      </c>
      <c r="C2642" t="s">
        <v>40</v>
      </c>
      <c r="D2642">
        <v>5.5552229999999998</v>
      </c>
      <c r="E2642">
        <v>0.52140920000000002</v>
      </c>
      <c r="F2642" t="s">
        <v>51</v>
      </c>
      <c r="G2642">
        <v>-401.41480000000001</v>
      </c>
      <c r="H2642" s="1">
        <v>7.608726E-6</v>
      </c>
      <c r="I2642">
        <v>285.42039999999997</v>
      </c>
      <c r="J2642">
        <v>-332.7328</v>
      </c>
      <c r="K2642">
        <v>1.120501</v>
      </c>
      <c r="L2642">
        <v>283.79840000000002</v>
      </c>
      <c r="M2642">
        <v>-0.99993359999999998</v>
      </c>
      <c r="N2642">
        <v>-1.044486E-2</v>
      </c>
      <c r="O2642">
        <v>-4.8980330000000004E-3</v>
      </c>
      <c r="P2642">
        <v>-0.99631069999999999</v>
      </c>
      <c r="Q2642">
        <v>-7.9130930000000002E-2</v>
      </c>
      <c r="R2642">
        <v>-3.3222920000000003E-2</v>
      </c>
      <c r="S2642">
        <v>-3.0093990000000002</v>
      </c>
      <c r="T2642">
        <v>-4.8893209999999999E-2</v>
      </c>
      <c r="U2642">
        <v>7.0709229999999998E-2</v>
      </c>
      <c r="V2642">
        <v>-2.8318820000000001E-2</v>
      </c>
      <c r="W2642">
        <v>-6.8728269999999994E-2</v>
      </c>
      <c r="X2642">
        <v>0.99723340000000005</v>
      </c>
      <c r="Y2642">
        <v>2.8380079999999999E-2</v>
      </c>
      <c r="Z2642">
        <v>4.0716009999999998E-4</v>
      </c>
      <c r="AA2642">
        <v>0.99959710000000002</v>
      </c>
      <c r="AB2642">
        <v>37</v>
      </c>
      <c r="AC2642">
        <v>-68.682000000000002</v>
      </c>
      <c r="AD2642">
        <v>-1.1204933912740001</v>
      </c>
      <c r="AE2642">
        <v>1.6219999999999499</v>
      </c>
      <c r="AF2642">
        <v>1.9578847385567999</v>
      </c>
      <c r="AG2642">
        <v>-1.1204933912740001</v>
      </c>
      <c r="AH2642">
        <v>68.654968400178404</v>
      </c>
      <c r="AI2642">
        <v>90.934641176079197</v>
      </c>
      <c r="AJ2642">
        <v>88.3664964157811</v>
      </c>
      <c r="AK2642">
        <v>68.692019217073906</v>
      </c>
      <c r="AL2642">
        <v>93.940946556243603</v>
      </c>
      <c r="AM2642">
        <v>91.626613118233493</v>
      </c>
      <c r="AN2642">
        <v>0.99999999236947201</v>
      </c>
    </row>
    <row r="2643" spans="1:40" x14ac:dyDescent="0.25">
      <c r="A2643" t="str">
        <f>"20190303154149109"</f>
        <v>20190303154149109</v>
      </c>
      <c r="B2643" t="str">
        <f>"1551598909101878"</f>
        <v>1551598909101878</v>
      </c>
      <c r="C2643" t="s">
        <v>40</v>
      </c>
      <c r="D2643">
        <v>5.5336959999999999</v>
      </c>
      <c r="E2643">
        <v>0.52140059999999999</v>
      </c>
      <c r="F2643" t="s">
        <v>51</v>
      </c>
      <c r="G2643">
        <v>-401.86360000000002</v>
      </c>
      <c r="H2643" s="1">
        <v>7.425573E-6</v>
      </c>
      <c r="I2643">
        <v>285.34339999999997</v>
      </c>
      <c r="J2643">
        <v>-332.9615</v>
      </c>
      <c r="K2643">
        <v>1.1204940000000001</v>
      </c>
      <c r="L2643">
        <v>283.79719999999998</v>
      </c>
      <c r="M2643">
        <v>-0.99993339999999997</v>
      </c>
      <c r="N2643">
        <v>-1.041575E-2</v>
      </c>
      <c r="O2643">
        <v>-4.9823350000000001E-3</v>
      </c>
      <c r="P2643">
        <v>-0.9962683</v>
      </c>
      <c r="Q2643">
        <v>-7.9138990000000006E-2</v>
      </c>
      <c r="R2643">
        <v>-3.4450290000000001E-2</v>
      </c>
      <c r="S2643">
        <v>-3.0095209999999999</v>
      </c>
      <c r="T2643">
        <v>-4.8779250000000003E-2</v>
      </c>
      <c r="U2643">
        <v>6.7260739999999999E-2</v>
      </c>
      <c r="V2643">
        <v>-2.9463300000000001E-2</v>
      </c>
      <c r="W2643">
        <v>-6.8765770000000004E-2</v>
      </c>
      <c r="X2643">
        <v>0.99719769999999996</v>
      </c>
      <c r="Y2643">
        <v>2.731884E-2</v>
      </c>
      <c r="Z2643">
        <v>3.9251679999999998E-4</v>
      </c>
      <c r="AA2643">
        <v>0.99962669999999998</v>
      </c>
      <c r="AB2643">
        <v>37</v>
      </c>
      <c r="AC2643">
        <v>-68.902100000000004</v>
      </c>
      <c r="AD2643">
        <v>-1.1204865744270001</v>
      </c>
      <c r="AE2643">
        <v>1.54619999999999</v>
      </c>
      <c r="AF2643">
        <v>1.8889934557847301</v>
      </c>
      <c r="AG2643">
        <v>-1.1204865744270001</v>
      </c>
      <c r="AH2643">
        <v>68.875335479757695</v>
      </c>
      <c r="AI2643">
        <v>90.931674063560095</v>
      </c>
      <c r="AJ2643">
        <v>88.428984384379405</v>
      </c>
      <c r="AK2643">
        <v>68.910344824914603</v>
      </c>
      <c r="AL2643">
        <v>93.943100074873897</v>
      </c>
      <c r="AM2643">
        <v>91.692374310317106</v>
      </c>
      <c r="AN2643">
        <v>1.0000000350279299</v>
      </c>
    </row>
    <row r="2644" spans="1:40" x14ac:dyDescent="0.25">
      <c r="A2644" t="str">
        <f>"20190303154149121"</f>
        <v>20190303154149121</v>
      </c>
      <c r="B2644" t="str">
        <f>"1551598909112614"</f>
        <v>1551598909112614</v>
      </c>
      <c r="C2644" t="s">
        <v>40</v>
      </c>
      <c r="D2644">
        <v>5.5466530000000001</v>
      </c>
      <c r="E2644">
        <v>0.52144429999999997</v>
      </c>
      <c r="F2644" t="s">
        <v>51</v>
      </c>
      <c r="G2644">
        <v>-401.66770000000002</v>
      </c>
      <c r="H2644" s="1">
        <v>7.5320680000000002E-6</v>
      </c>
      <c r="I2644">
        <v>285.24849999999998</v>
      </c>
      <c r="J2644">
        <v>-333.15089999999998</v>
      </c>
      <c r="K2644">
        <v>1.1204889999999901</v>
      </c>
      <c r="L2644">
        <v>283.7962</v>
      </c>
      <c r="M2644">
        <v>-0.99993319999999997</v>
      </c>
      <c r="N2644">
        <v>-1.0392820000000001E-2</v>
      </c>
      <c r="O2644">
        <v>-5.0485479999999999E-3</v>
      </c>
      <c r="P2644">
        <v>-0.99624009999999996</v>
      </c>
      <c r="Q2644">
        <v>-7.9147270000000006E-2</v>
      </c>
      <c r="R2644">
        <v>-3.5237280000000003E-2</v>
      </c>
      <c r="S2644">
        <v>-3.0095519999999998</v>
      </c>
      <c r="T2644">
        <v>-4.9080850000000002E-2</v>
      </c>
      <c r="U2644">
        <v>6.3568120000000006E-2</v>
      </c>
      <c r="V2644">
        <v>-3.018504E-2</v>
      </c>
      <c r="W2644">
        <v>-6.8797040000000004E-2</v>
      </c>
      <c r="X2644">
        <v>0.99717389999999995</v>
      </c>
      <c r="Y2644">
        <v>2.6159060000000001E-2</v>
      </c>
      <c r="Z2644">
        <v>3.7909169999999999E-4</v>
      </c>
      <c r="AA2644">
        <v>0.99965780000000004</v>
      </c>
      <c r="AB2644">
        <v>37</v>
      </c>
      <c r="AC2644">
        <v>-68.516800000000003</v>
      </c>
      <c r="AD2644">
        <v>-1.1204814679320001</v>
      </c>
      <c r="AE2644">
        <v>1.4522999999999699</v>
      </c>
      <c r="AF2644">
        <v>1.79772998613919</v>
      </c>
      <c r="AG2644">
        <v>-1.1204814679320001</v>
      </c>
      <c r="AH2644">
        <v>68.490285978711796</v>
      </c>
      <c r="AI2644">
        <v>90.936936296926007</v>
      </c>
      <c r="AJ2644">
        <v>88.4964481525152</v>
      </c>
      <c r="AK2644">
        <v>68.523036894673396</v>
      </c>
      <c r="AL2644">
        <v>93.944896191891601</v>
      </c>
      <c r="AM2644">
        <v>91.733847468671598</v>
      </c>
      <c r="AN2644">
        <v>0.99999997809688601</v>
      </c>
    </row>
    <row r="2645" spans="1:40" x14ac:dyDescent="0.25">
      <c r="A2645" t="str">
        <f>"20190303154149140"</f>
        <v>20190303154149140</v>
      </c>
      <c r="B2645" t="str">
        <f>"1551598909132133"</f>
        <v>1551598909132133</v>
      </c>
      <c r="C2645" t="s">
        <v>40</v>
      </c>
      <c r="D2645">
        <v>5.4781909999999998</v>
      </c>
      <c r="E2645">
        <v>0.52116759999999995</v>
      </c>
      <c r="F2645" t="s">
        <v>51</v>
      </c>
      <c r="G2645">
        <v>-402.36869999999999</v>
      </c>
      <c r="H2645" s="1">
        <v>7.22933E-6</v>
      </c>
      <c r="I2645">
        <v>285.20909999999998</v>
      </c>
      <c r="J2645">
        <v>-333.47989999999999</v>
      </c>
      <c r="K2645">
        <v>1.120476</v>
      </c>
      <c r="L2645">
        <v>283.79450000000003</v>
      </c>
      <c r="M2645">
        <v>-0.99993310000000002</v>
      </c>
      <c r="N2645">
        <v>-1.03564E-2</v>
      </c>
      <c r="O2645">
        <v>-5.1517969999999996E-3</v>
      </c>
      <c r="P2645">
        <v>-0.9962531</v>
      </c>
      <c r="Q2645">
        <v>-7.8597719999999996E-2</v>
      </c>
      <c r="R2645">
        <v>-3.6083009999999999E-2</v>
      </c>
      <c r="S2645">
        <v>-3.0096129999999999</v>
      </c>
      <c r="T2645">
        <v>-4.8718930000000001E-2</v>
      </c>
      <c r="U2645">
        <v>6.1431880000000001E-2</v>
      </c>
      <c r="V2645">
        <v>-3.0930260000000001E-2</v>
      </c>
      <c r="W2645">
        <v>-6.8282990000000002E-2</v>
      </c>
      <c r="X2645">
        <v>0.99718640000000003</v>
      </c>
      <c r="Y2645">
        <v>2.5552789999999999E-2</v>
      </c>
      <c r="Z2645">
        <v>3.6916999999999999E-4</v>
      </c>
      <c r="AA2645">
        <v>0.99967340000000005</v>
      </c>
      <c r="AB2645">
        <v>37</v>
      </c>
      <c r="AC2645">
        <v>-68.888800000000003</v>
      </c>
      <c r="AD2645">
        <v>-1.1204687706700001</v>
      </c>
      <c r="AE2645">
        <v>1.4145999999999499</v>
      </c>
      <c r="AF2645">
        <v>1.7690335778203801</v>
      </c>
      <c r="AG2645">
        <v>-1.1204687706700001</v>
      </c>
      <c r="AH2645">
        <v>68.862387947797302</v>
      </c>
      <c r="AI2645">
        <v>90.931877348751499</v>
      </c>
      <c r="AJ2645">
        <v>88.528429339712702</v>
      </c>
      <c r="AK2645">
        <v>68.894218944251406</v>
      </c>
      <c r="AL2645">
        <v>93.915373854411698</v>
      </c>
      <c r="AM2645">
        <v>91.776604009678607</v>
      </c>
      <c r="AN2645">
        <v>0.99999998202598295</v>
      </c>
    </row>
    <row r="2646" spans="1:40" x14ac:dyDescent="0.25">
      <c r="A2646" t="str">
        <f>"20190303154149163"</f>
        <v>20190303154149163</v>
      </c>
      <c r="B2646" t="str">
        <f>"1551598909152171"</f>
        <v>1551598909152171</v>
      </c>
      <c r="C2646" t="s">
        <v>40</v>
      </c>
      <c r="D2646">
        <v>5.557995</v>
      </c>
      <c r="E2646">
        <v>0.5212156</v>
      </c>
      <c r="F2646" t="s">
        <v>51</v>
      </c>
      <c r="G2646">
        <v>-409.84109999999998</v>
      </c>
      <c r="H2646" s="1">
        <v>3.9111679999999999E-6</v>
      </c>
      <c r="I2646">
        <v>285.23070000000001</v>
      </c>
      <c r="J2646">
        <v>-333.86630000000002</v>
      </c>
      <c r="K2646">
        <v>1.120452</v>
      </c>
      <c r="L2646">
        <v>283.79239999999999</v>
      </c>
      <c r="M2646">
        <v>-0.99993299999999996</v>
      </c>
      <c r="N2646">
        <v>-1.0319180000000001E-2</v>
      </c>
      <c r="O2646">
        <v>-5.2476729999999996E-3</v>
      </c>
      <c r="P2646">
        <v>-0.99625620000000004</v>
      </c>
      <c r="Q2646">
        <v>-7.8692780000000004E-2</v>
      </c>
      <c r="R2646">
        <v>-3.5790870000000002E-2</v>
      </c>
      <c r="S2646">
        <v>-3.0098880000000001</v>
      </c>
      <c r="T2646">
        <v>-4.4165019999999999E-2</v>
      </c>
      <c r="U2646">
        <v>5.6610109999999998E-2</v>
      </c>
      <c r="V2646">
        <v>-3.054579E-2</v>
      </c>
      <c r="W2646">
        <v>-6.841361E-2</v>
      </c>
      <c r="X2646">
        <v>0.99718929999999995</v>
      </c>
      <c r="Y2646">
        <v>2.404703E-2</v>
      </c>
      <c r="Z2646">
        <v>3.2334170000000001E-4</v>
      </c>
      <c r="AA2646">
        <v>0.99971080000000001</v>
      </c>
      <c r="AB2646">
        <v>37</v>
      </c>
      <c r="AC2646">
        <v>-75.974799999999902</v>
      </c>
      <c r="AD2646">
        <v>-1.1204480888320001</v>
      </c>
      <c r="AE2646">
        <v>1.4383000000000199</v>
      </c>
      <c r="AF2646">
        <v>1.83659302173273</v>
      </c>
      <c r="AG2646">
        <v>-1.1204480888320001</v>
      </c>
      <c r="AH2646">
        <v>75.9496930787422</v>
      </c>
      <c r="AI2646">
        <v>90.844947886365304</v>
      </c>
      <c r="AJ2646">
        <v>88.614760367076101</v>
      </c>
      <c r="AK2646">
        <v>75.9801576505497</v>
      </c>
      <c r="AL2646">
        <v>93.922875364926696</v>
      </c>
      <c r="AM2646">
        <v>91.7545292178701</v>
      </c>
      <c r="AN2646">
        <v>0.99999998367722198</v>
      </c>
    </row>
    <row r="2647" spans="1:40" x14ac:dyDescent="0.25">
      <c r="A2647" t="str">
        <f>"20190303154149185"</f>
        <v>20190303154149185</v>
      </c>
      <c r="B2647" t="str">
        <f>"1551598909182418"</f>
        <v>1551598909182418</v>
      </c>
      <c r="C2647" t="s">
        <v>40</v>
      </c>
      <c r="D2647">
        <v>5.5416730000000003</v>
      </c>
      <c r="E2647">
        <v>0.52115519999999904</v>
      </c>
      <c r="F2647" t="s">
        <v>51</v>
      </c>
      <c r="G2647">
        <v>-409.42750000000001</v>
      </c>
      <c r="H2647" s="1">
        <v>4.0903679999999998E-6</v>
      </c>
      <c r="I2647">
        <v>285.25119999999998</v>
      </c>
      <c r="J2647">
        <v>-334.22750000000002</v>
      </c>
      <c r="K2647">
        <v>1.1204229999999999</v>
      </c>
      <c r="L2647">
        <v>283.79039999999998</v>
      </c>
      <c r="M2647">
        <v>-0.99993299999999996</v>
      </c>
      <c r="N2647">
        <v>-1.0289029999999999E-2</v>
      </c>
      <c r="O2647">
        <v>-5.313534E-3</v>
      </c>
      <c r="P2647">
        <v>-0.9962261</v>
      </c>
      <c r="Q2647">
        <v>-7.9409919999999995E-2</v>
      </c>
      <c r="R2647">
        <v>-3.5038279999999998E-2</v>
      </c>
      <c r="S2647">
        <v>-3.009827</v>
      </c>
      <c r="T2647">
        <v>-4.463077E-2</v>
      </c>
      <c r="U2647">
        <v>5.8105469999999999E-2</v>
      </c>
      <c r="V2647">
        <v>-2.9731150000000001E-2</v>
      </c>
      <c r="W2647">
        <v>-6.9159440000000003E-2</v>
      </c>
      <c r="X2647">
        <v>0.99716249999999995</v>
      </c>
      <c r="Y2647">
        <v>2.4609579999999999E-2</v>
      </c>
      <c r="Z2647">
        <v>3.3317790000000002E-4</v>
      </c>
      <c r="AA2647">
        <v>0.99969710000000001</v>
      </c>
      <c r="AB2647">
        <v>38</v>
      </c>
      <c r="AC2647">
        <v>-75.199999999999903</v>
      </c>
      <c r="AD2647">
        <v>-1.1204189096320001</v>
      </c>
      <c r="AE2647">
        <v>1.4608000000000001</v>
      </c>
      <c r="AF2647">
        <v>1.8599655341631101</v>
      </c>
      <c r="AG2647">
        <v>-1.1204189096320001</v>
      </c>
      <c r="AH2647">
        <v>75.174494499298206</v>
      </c>
      <c r="AI2647">
        <v>90.8536257784545</v>
      </c>
      <c r="AJ2647">
        <v>88.582678366399705</v>
      </c>
      <c r="AK2647">
        <v>75.205847070200306</v>
      </c>
      <c r="AL2647">
        <v>93.9657096290818</v>
      </c>
      <c r="AM2647">
        <v>91.707810814439696</v>
      </c>
      <c r="AN2647">
        <v>1.00000001041384</v>
      </c>
    </row>
    <row r="2648" spans="1:40" x14ac:dyDescent="0.25">
      <c r="A2648" t="str">
        <f>"20190303154149209"</f>
        <v>20190303154149209</v>
      </c>
      <c r="B2648" t="str">
        <f>"1551598909201938"</f>
        <v>1551598909201938</v>
      </c>
      <c r="C2648" t="s">
        <v>40</v>
      </c>
      <c r="D2648">
        <v>5.4532629999999997</v>
      </c>
      <c r="E2648">
        <v>0.52109859999999997</v>
      </c>
      <c r="F2648" t="s">
        <v>51</v>
      </c>
      <c r="G2648">
        <v>-400.90879999999999</v>
      </c>
      <c r="H2648" s="1">
        <v>7.8960599999999994E-6</v>
      </c>
      <c r="I2648">
        <v>285.11579999999998</v>
      </c>
      <c r="J2648">
        <v>-334.6232</v>
      </c>
      <c r="K2648">
        <v>1.1203939999999999</v>
      </c>
      <c r="L2648">
        <v>283.78829999999999</v>
      </c>
      <c r="M2648">
        <v>-0.99993310000000002</v>
      </c>
      <c r="N2648">
        <v>-1.026081E-2</v>
      </c>
      <c r="O2648">
        <v>-5.3624700000000003E-3</v>
      </c>
      <c r="P2648">
        <v>-0.99619800000000003</v>
      </c>
      <c r="Q2648">
        <v>-8.0132129999999996E-2</v>
      </c>
      <c r="R2648">
        <v>-3.4192569999999999E-2</v>
      </c>
      <c r="S2648">
        <v>-3.0093990000000002</v>
      </c>
      <c r="T2648">
        <v>-5.0565600000000002E-2</v>
      </c>
      <c r="U2648">
        <v>5.9814449999999998E-2</v>
      </c>
      <c r="V2648">
        <v>-2.8839989999999999E-2</v>
      </c>
      <c r="W2648">
        <v>-6.9908399999999996E-2</v>
      </c>
      <c r="X2648">
        <v>0.99713640000000003</v>
      </c>
      <c r="Y2648">
        <v>2.5227510000000002E-2</v>
      </c>
      <c r="Z2648">
        <v>3.7643730000000002E-4</v>
      </c>
      <c r="AA2648">
        <v>0.99968170000000001</v>
      </c>
      <c r="AB2648">
        <v>38</v>
      </c>
      <c r="AC2648">
        <v>-66.285599999999903</v>
      </c>
      <c r="AD2648">
        <v>-1.12038610394</v>
      </c>
      <c r="AE2648">
        <v>1.3274999999999799</v>
      </c>
      <c r="AF2648">
        <v>1.68247364687627</v>
      </c>
      <c r="AG2648">
        <v>-1.12038610394</v>
      </c>
      <c r="AH2648">
        <v>66.258605863752095</v>
      </c>
      <c r="AI2648">
        <v>90.968426634281499</v>
      </c>
      <c r="AJ2648">
        <v>88.545427764344495</v>
      </c>
      <c r="AK2648">
        <v>66.289432292050705</v>
      </c>
      <c r="AL2648">
        <v>94.008726177129205</v>
      </c>
      <c r="AM2648">
        <v>91.656693283258704</v>
      </c>
      <c r="AN2648">
        <v>0.99999996480935904</v>
      </c>
    </row>
    <row r="2649" spans="1:40" x14ac:dyDescent="0.25">
      <c r="A2649" t="str">
        <f>"20190303154149232"</f>
        <v>20190303154149232</v>
      </c>
      <c r="B2649" t="str">
        <f>"1551598909222434"</f>
        <v>1551598909222434</v>
      </c>
      <c r="C2649" t="s">
        <v>40</v>
      </c>
      <c r="D2649">
        <v>5.5343090000000004</v>
      </c>
      <c r="E2649">
        <v>0.5212388</v>
      </c>
      <c r="F2649" t="s">
        <v>50</v>
      </c>
      <c r="G2649">
        <v>-396.20949999999999</v>
      </c>
      <c r="H2649" s="1">
        <v>1.7675809999999999E-6</v>
      </c>
      <c r="I2649">
        <v>285.05500000000001</v>
      </c>
      <c r="J2649">
        <v>-335.00369999999998</v>
      </c>
      <c r="K2649">
        <v>1.1203689999999999</v>
      </c>
      <c r="L2649">
        <v>283.78629999999998</v>
      </c>
      <c r="M2649">
        <v>-0.99993310000000002</v>
      </c>
      <c r="N2649">
        <v>-1.023782E-2</v>
      </c>
      <c r="O2649">
        <v>-5.3900390000000001E-3</v>
      </c>
      <c r="P2649">
        <v>-0.99619009999999997</v>
      </c>
      <c r="Q2649">
        <v>-8.0546140000000002E-2</v>
      </c>
      <c r="R2649">
        <v>-3.3434819999999997E-2</v>
      </c>
      <c r="S2649">
        <v>-3.0091549999999998</v>
      </c>
      <c r="T2649">
        <v>-5.474329E-2</v>
      </c>
      <c r="U2649">
        <v>6.1889649999999997E-2</v>
      </c>
      <c r="V2649">
        <v>-2.8057450000000001E-2</v>
      </c>
      <c r="W2649">
        <v>-7.0344190000000001E-2</v>
      </c>
      <c r="X2649">
        <v>0.99712809999999996</v>
      </c>
      <c r="Y2649">
        <v>2.5944780000000001E-2</v>
      </c>
      <c r="Z2649">
        <v>4.1166020000000001E-4</v>
      </c>
      <c r="AA2649">
        <v>0.99966330000000003</v>
      </c>
      <c r="AB2649">
        <v>38</v>
      </c>
      <c r="AC2649">
        <v>-61.205800000000004</v>
      </c>
      <c r="AD2649">
        <v>-1.1203672324189999</v>
      </c>
      <c r="AE2649">
        <v>1.2687000000000199</v>
      </c>
      <c r="AF2649">
        <v>1.59806526242753</v>
      </c>
      <c r="AG2649">
        <v>-1.1203672324189999</v>
      </c>
      <c r="AH2649">
        <v>61.177582135402297</v>
      </c>
      <c r="AI2649">
        <v>91.048803413534401</v>
      </c>
      <c r="AJ2649">
        <v>88.503674474906106</v>
      </c>
      <c r="AK2649">
        <v>61.208705191764501</v>
      </c>
      <c r="AL2649">
        <v>94.033756639755893</v>
      </c>
      <c r="AM2649">
        <v>91.611778264640805</v>
      </c>
      <c r="AN2649">
        <v>0.99999998668843404</v>
      </c>
    </row>
    <row r="2650" spans="1:40" x14ac:dyDescent="0.25">
      <c r="A2650" t="str">
        <f>"20190303154149253"</f>
        <v>20190303154149253</v>
      </c>
      <c r="B2650" t="str">
        <f>"1551598909241954"</f>
        <v>1551598909241954</v>
      </c>
      <c r="C2650" t="s">
        <v>40</v>
      </c>
      <c r="D2650">
        <v>5.5302910000000001</v>
      </c>
      <c r="E2650">
        <v>0.52133350000000001</v>
      </c>
      <c r="F2650" t="s">
        <v>50</v>
      </c>
      <c r="G2650">
        <v>-394.68970000000002</v>
      </c>
      <c r="H2650" s="1">
        <v>9.58814E-7</v>
      </c>
      <c r="I2650">
        <v>285.08409999999998</v>
      </c>
      <c r="J2650">
        <v>-335.37290000000002</v>
      </c>
      <c r="K2650">
        <v>1.120352</v>
      </c>
      <c r="L2650">
        <v>283.7842</v>
      </c>
      <c r="M2650">
        <v>-0.99993319999999997</v>
      </c>
      <c r="N2650">
        <v>-1.021588E-2</v>
      </c>
      <c r="O2650">
        <v>-5.404196E-3</v>
      </c>
      <c r="P2650">
        <v>-0.99619480000000005</v>
      </c>
      <c r="Q2650">
        <v>-8.0667210000000003E-2</v>
      </c>
      <c r="R2650">
        <v>-3.2996449999999997E-2</v>
      </c>
      <c r="S2650">
        <v>-3.0090940000000002</v>
      </c>
      <c r="T2650">
        <v>-5.6483859999999997E-2</v>
      </c>
      <c r="U2650">
        <v>6.5429689999999999E-2</v>
      </c>
      <c r="V2650">
        <v>-2.7607380000000001E-2</v>
      </c>
      <c r="W2650">
        <v>-7.048625E-2</v>
      </c>
      <c r="X2650">
        <v>0.99713059999999998</v>
      </c>
      <c r="Y2650">
        <v>2.7134149999999999E-2</v>
      </c>
      <c r="Z2650">
        <v>4.3947609999999998E-4</v>
      </c>
      <c r="AA2650">
        <v>0.99963170000000001</v>
      </c>
      <c r="AB2650">
        <v>38</v>
      </c>
      <c r="AC2650">
        <v>-59.316800000000001</v>
      </c>
      <c r="AD2650">
        <v>-1.120351041186</v>
      </c>
      <c r="AE2650">
        <v>1.2998999999999701</v>
      </c>
      <c r="AF2650">
        <v>1.6198797622590899</v>
      </c>
      <c r="AG2650">
        <v>-1.120351041186</v>
      </c>
      <c r="AH2650">
        <v>59.287768223645699</v>
      </c>
      <c r="AI2650">
        <v>91.082176160370196</v>
      </c>
      <c r="AJ2650">
        <v>88.434935371444197</v>
      </c>
      <c r="AK2650">
        <v>59.3204741875888</v>
      </c>
      <c r="AL2650">
        <v>94.041916456149394</v>
      </c>
      <c r="AM2650">
        <v>91.585933041292407</v>
      </c>
      <c r="AN2650">
        <v>0.99999995616294202</v>
      </c>
    </row>
    <row r="2651" spans="1:40" x14ac:dyDescent="0.25">
      <c r="A2651" t="str">
        <f>"20190303154149274"</f>
        <v>20190303154149274</v>
      </c>
      <c r="B2651" t="str">
        <f>"1551598909271741"</f>
        <v>1551598909271741</v>
      </c>
      <c r="C2651" t="s">
        <v>40</v>
      </c>
      <c r="D2651">
        <v>5.5296779999999996</v>
      </c>
      <c r="E2651">
        <v>0.52148130000000004</v>
      </c>
      <c r="F2651" t="s">
        <v>50</v>
      </c>
      <c r="G2651">
        <v>-394.49790000000002</v>
      </c>
      <c r="H2651" s="1">
        <v>8.5678860000000004E-7</v>
      </c>
      <c r="I2651">
        <v>285.11239999999998</v>
      </c>
      <c r="J2651">
        <v>-335.73469999999998</v>
      </c>
      <c r="K2651">
        <v>1.1203299999999901</v>
      </c>
      <c r="L2651">
        <v>283.78230000000002</v>
      </c>
      <c r="M2651">
        <v>-0.99993339999999997</v>
      </c>
      <c r="N2651">
        <v>-1.0190279999999999E-2</v>
      </c>
      <c r="O2651">
        <v>-5.4095609999999898E-3</v>
      </c>
      <c r="P2651">
        <v>-0.99621729999999997</v>
      </c>
      <c r="Q2651">
        <v>-8.0478649999999999E-2</v>
      </c>
      <c r="R2651">
        <v>-3.2778050000000003E-2</v>
      </c>
      <c r="S2651">
        <v>-3.009064</v>
      </c>
      <c r="T2651">
        <v>-5.7018279999999998E-2</v>
      </c>
      <c r="U2651">
        <v>6.7596439999999994E-2</v>
      </c>
      <c r="V2651">
        <v>-2.7384700000000001E-2</v>
      </c>
      <c r="W2651">
        <v>-7.0322430000000005E-2</v>
      </c>
      <c r="X2651">
        <v>0.99714829999999999</v>
      </c>
      <c r="Y2651">
        <v>2.7858859999999999E-2</v>
      </c>
      <c r="Z2651">
        <v>4.532432E-4</v>
      </c>
      <c r="AA2651">
        <v>0.99961169999999999</v>
      </c>
      <c r="AB2651">
        <v>38</v>
      </c>
      <c r="AC2651">
        <v>-58.763199999999998</v>
      </c>
      <c r="AD2651">
        <v>-1.12032914321139</v>
      </c>
      <c r="AE2651">
        <v>1.3300999999999501</v>
      </c>
      <c r="AF2651">
        <v>1.6473816881413199</v>
      </c>
      <c r="AG2651">
        <v>-1.12032914321139</v>
      </c>
      <c r="AH2651">
        <v>58.733806843535604</v>
      </c>
      <c r="AI2651">
        <v>91.092337213560796</v>
      </c>
      <c r="AJ2651">
        <v>88.393373716616296</v>
      </c>
      <c r="AK2651">
        <v>58.767585199234702</v>
      </c>
      <c r="AL2651">
        <v>94.032506940309204</v>
      </c>
      <c r="AM2651">
        <v>91.573119513959</v>
      </c>
      <c r="AN2651">
        <v>0.99999994907404099</v>
      </c>
    </row>
    <row r="2652" spans="1:40" x14ac:dyDescent="0.25">
      <c r="A2652" t="str">
        <f>"20190303154149298"</f>
        <v>20190303154149298</v>
      </c>
      <c r="B2652" t="str">
        <f>"1551598909292236"</f>
        <v>1551598909292236</v>
      </c>
      <c r="C2652" t="s">
        <v>40</v>
      </c>
      <c r="D2652">
        <v>5.5208640000000004</v>
      </c>
      <c r="E2652">
        <v>0.52153709999999998</v>
      </c>
      <c r="F2652" t="s">
        <v>50</v>
      </c>
      <c r="G2652">
        <v>-395.04379999999998</v>
      </c>
      <c r="H2652" s="1">
        <v>1.147268E-6</v>
      </c>
      <c r="I2652">
        <v>285.15309999999999</v>
      </c>
      <c r="J2652">
        <v>-336.11419999999998</v>
      </c>
      <c r="K2652">
        <v>1.1203190000000001</v>
      </c>
      <c r="L2652">
        <v>283.78019999999998</v>
      </c>
      <c r="M2652">
        <v>-0.99993379999999998</v>
      </c>
      <c r="N2652">
        <v>-1.016062E-2</v>
      </c>
      <c r="O2652">
        <v>-5.4099250000000003E-3</v>
      </c>
      <c r="P2652">
        <v>-0.99621800000000005</v>
      </c>
      <c r="Q2652">
        <v>-8.0571219999999999E-2</v>
      </c>
      <c r="R2652">
        <v>-3.2528799999999997E-2</v>
      </c>
      <c r="S2652">
        <v>-3.009064</v>
      </c>
      <c r="T2652">
        <v>-5.6840179999999997E-2</v>
      </c>
      <c r="U2652">
        <v>6.9549559999999996E-2</v>
      </c>
      <c r="V2652">
        <v>-2.7136270000000001E-2</v>
      </c>
      <c r="W2652">
        <v>-7.0444119999999999E-2</v>
      </c>
      <c r="X2652">
        <v>0.99714650000000005</v>
      </c>
      <c r="Y2652">
        <v>2.8507580000000001E-2</v>
      </c>
      <c r="Z2652">
        <v>4.6127039999999998E-4</v>
      </c>
      <c r="AA2652">
        <v>0.99959350000000002</v>
      </c>
      <c r="AB2652">
        <v>38</v>
      </c>
      <c r="AC2652">
        <v>-58.929599999999901</v>
      </c>
      <c r="AD2652">
        <v>-1.1203178527319999</v>
      </c>
      <c r="AE2652">
        <v>1.37290000000001</v>
      </c>
      <c r="AF2652">
        <v>1.69109019673059</v>
      </c>
      <c r="AG2652">
        <v>-1.1203178527319999</v>
      </c>
      <c r="AH2652">
        <v>58.900033614757</v>
      </c>
      <c r="AI2652">
        <v>91.089223734410695</v>
      </c>
      <c r="AJ2652">
        <v>88.355421645293703</v>
      </c>
      <c r="AK2652">
        <v>58.934954466463502</v>
      </c>
      <c r="AL2652">
        <v>94.039496607367596</v>
      </c>
      <c r="AM2652">
        <v>91.558858289761304</v>
      </c>
      <c r="AN2652">
        <v>0.99999994682716697</v>
      </c>
    </row>
    <row r="2653" spans="1:40" x14ac:dyDescent="0.25">
      <c r="A2653" t="str">
        <f>"20190303154149320"</f>
        <v>20190303154149320</v>
      </c>
      <c r="B2653" t="str">
        <f>"1551598909311757"</f>
        <v>1551598909311757</v>
      </c>
      <c r="C2653" t="s">
        <v>40</v>
      </c>
      <c r="D2653">
        <v>5.5200269999999998</v>
      </c>
      <c r="E2653">
        <v>0.52145439999999998</v>
      </c>
      <c r="F2653" t="s">
        <v>50</v>
      </c>
      <c r="G2653">
        <v>-394.55540000000002</v>
      </c>
      <c r="H2653" s="1">
        <v>8.8738559999999898E-7</v>
      </c>
      <c r="I2653">
        <v>285.15410000000003</v>
      </c>
      <c r="J2653">
        <v>-336.50459999999998</v>
      </c>
      <c r="K2653">
        <v>1.120303</v>
      </c>
      <c r="L2653">
        <v>283.77809999999999</v>
      </c>
      <c r="M2653">
        <v>-0.99993410000000005</v>
      </c>
      <c r="N2653">
        <v>-1.0131640000000001E-2</v>
      </c>
      <c r="O2653">
        <v>-5.4085180000000002E-3</v>
      </c>
      <c r="P2653">
        <v>-0.99621780000000004</v>
      </c>
      <c r="Q2653">
        <v>-8.078333E-2</v>
      </c>
      <c r="R2653">
        <v>-3.2002339999999997E-2</v>
      </c>
      <c r="S2653">
        <v>-3.0090330000000001</v>
      </c>
      <c r="T2653">
        <v>-5.7683110000000003E-2</v>
      </c>
      <c r="U2653">
        <v>7.0739750000000004E-2</v>
      </c>
      <c r="V2653">
        <v>-2.6612299999999998E-2</v>
      </c>
      <c r="W2653">
        <v>-7.0684780000000003E-2</v>
      </c>
      <c r="X2653">
        <v>0.99714360000000002</v>
      </c>
      <c r="Y2653">
        <v>2.8901260000000002E-2</v>
      </c>
      <c r="Z2653">
        <v>4.7227830000000001E-4</v>
      </c>
      <c r="AA2653">
        <v>0.99958219999999998</v>
      </c>
      <c r="AB2653">
        <v>38</v>
      </c>
      <c r="AC2653">
        <v>-58.050800000000002</v>
      </c>
      <c r="AD2653">
        <v>-1.1203021126143999</v>
      </c>
      <c r="AE2653">
        <v>1.3760000000000301</v>
      </c>
      <c r="AF2653">
        <v>1.68933594859989</v>
      </c>
      <c r="AG2653">
        <v>-1.1203021126143999</v>
      </c>
      <c r="AH2653">
        <v>58.020911298234601</v>
      </c>
      <c r="AI2653">
        <v>91.105694929605704</v>
      </c>
      <c r="AJ2653">
        <v>88.332248144282303</v>
      </c>
      <c r="AK2653">
        <v>58.056309567939003</v>
      </c>
      <c r="AL2653">
        <v>94.053319832210704</v>
      </c>
      <c r="AM2653">
        <v>91.528777407030503</v>
      </c>
      <c r="AN2653">
        <v>0.99999995582794798</v>
      </c>
    </row>
    <row r="2654" spans="1:40" x14ac:dyDescent="0.25">
      <c r="A2654" t="str">
        <f>"20190303154149341"</f>
        <v>20190303154149341</v>
      </c>
      <c r="B2654" t="str">
        <f>"1551598909332256"</f>
        <v>1551598909332256</v>
      </c>
      <c r="C2654" t="s">
        <v>40</v>
      </c>
      <c r="D2654">
        <v>5.4961500000000001</v>
      </c>
      <c r="E2654">
        <v>0.52134099999999906</v>
      </c>
      <c r="F2654" t="s">
        <v>50</v>
      </c>
      <c r="G2654">
        <v>-394.52710000000002</v>
      </c>
      <c r="H2654" s="1">
        <v>8.7229879999999998E-7</v>
      </c>
      <c r="I2654">
        <v>285.1574</v>
      </c>
      <c r="J2654">
        <v>-336.86450000000002</v>
      </c>
      <c r="K2654">
        <v>1.1202989999999999</v>
      </c>
      <c r="L2654">
        <v>283.77620000000002</v>
      </c>
      <c r="M2654">
        <v>-0.9999344</v>
      </c>
      <c r="N2654">
        <v>-1.0106550000000001E-2</v>
      </c>
      <c r="O2654">
        <v>-5.4075030000000001E-3</v>
      </c>
      <c r="P2654">
        <v>-0.99616269999999996</v>
      </c>
      <c r="Q2654">
        <v>-8.1284809999999999E-2</v>
      </c>
      <c r="R2654">
        <v>-3.2447320000000002E-2</v>
      </c>
      <c r="S2654">
        <v>-3.0090029999999999</v>
      </c>
      <c r="T2654">
        <v>-5.8098080000000003E-2</v>
      </c>
      <c r="U2654">
        <v>7.1533200000000005E-2</v>
      </c>
      <c r="V2654">
        <v>-2.7059179999999999E-2</v>
      </c>
      <c r="W2654">
        <v>-7.121152E-2</v>
      </c>
      <c r="X2654">
        <v>0.99709420000000004</v>
      </c>
      <c r="Y2654">
        <v>2.916374E-2</v>
      </c>
      <c r="Z2654">
        <v>4.7864350000000001E-4</v>
      </c>
      <c r="AA2654">
        <v>0.99957450000000003</v>
      </c>
      <c r="AB2654">
        <v>38</v>
      </c>
      <c r="AC2654">
        <v>-57.662599999999998</v>
      </c>
      <c r="AD2654">
        <v>-1.1202981277012001</v>
      </c>
      <c r="AE2654">
        <v>1.38119999999997</v>
      </c>
      <c r="AF2654">
        <v>1.6923679364411299</v>
      </c>
      <c r="AG2654">
        <v>-1.1202981277012001</v>
      </c>
      <c r="AH2654">
        <v>57.632545726248999</v>
      </c>
      <c r="AI2654">
        <v>91.113131904666801</v>
      </c>
      <c r="AJ2654">
        <v>88.318004480184499</v>
      </c>
      <c r="AK2654">
        <v>57.668271207097902</v>
      </c>
      <c r="AL2654">
        <v>94.083575625124595</v>
      </c>
      <c r="AM2654">
        <v>91.554513480851</v>
      </c>
      <c r="AN2654">
        <v>1.0000000617383</v>
      </c>
    </row>
    <row r="2655" spans="1:40" x14ac:dyDescent="0.25">
      <c r="A2655" t="str">
        <f>"20190303154149363"</f>
        <v>20190303154149363</v>
      </c>
      <c r="B2655" t="str">
        <f>"1551598909351772"</f>
        <v>1551598909351772</v>
      </c>
      <c r="C2655" t="s">
        <v>40</v>
      </c>
      <c r="D2655">
        <v>5.516025</v>
      </c>
      <c r="E2655">
        <v>0.52133589999999996</v>
      </c>
      <c r="F2655" t="s">
        <v>50</v>
      </c>
      <c r="G2655">
        <v>-393.58960000000002</v>
      </c>
      <c r="H2655" s="1">
        <v>3.7343680000000003E-7</v>
      </c>
      <c r="I2655">
        <v>285.08269999999999</v>
      </c>
      <c r="J2655">
        <v>-337.24059999999997</v>
      </c>
      <c r="K2655">
        <v>1.12029</v>
      </c>
      <c r="L2655">
        <v>283.77409999999998</v>
      </c>
      <c r="M2655">
        <v>-0.99993460000000001</v>
      </c>
      <c r="N2655">
        <v>-1.007913E-2</v>
      </c>
      <c r="O2655">
        <v>-5.4071950000000001E-3</v>
      </c>
      <c r="P2655">
        <v>-0.99613320000000005</v>
      </c>
      <c r="Q2655">
        <v>-8.1305559999999999E-2</v>
      </c>
      <c r="R2655">
        <v>-3.3289350000000002E-2</v>
      </c>
      <c r="S2655">
        <v>-3.008972</v>
      </c>
      <c r="T2655">
        <v>-5.9425949999999998E-2</v>
      </c>
      <c r="U2655">
        <v>6.9305420000000006E-2</v>
      </c>
      <c r="V2655">
        <v>-2.7902529999999998E-2</v>
      </c>
      <c r="W2655">
        <v>-7.1259569999999994E-2</v>
      </c>
      <c r="X2655">
        <v>0.9970675</v>
      </c>
      <c r="Y2655">
        <v>2.842389E-2</v>
      </c>
      <c r="Z2655">
        <v>4.761791E-4</v>
      </c>
      <c r="AA2655">
        <v>0.99959580000000003</v>
      </c>
      <c r="AB2655">
        <v>38</v>
      </c>
      <c r="AC2655">
        <v>-56.348999999999997</v>
      </c>
      <c r="AD2655">
        <v>-1.1202896265631901</v>
      </c>
      <c r="AE2655">
        <v>1.30860000000001</v>
      </c>
      <c r="AF2655">
        <v>1.6126492917300701</v>
      </c>
      <c r="AG2655">
        <v>-1.1202896265631901</v>
      </c>
      <c r="AH2655">
        <v>56.318851072903897</v>
      </c>
      <c r="AI2655">
        <v>91.139105542043893</v>
      </c>
      <c r="AJ2655">
        <v>88.359825247295902</v>
      </c>
      <c r="AK2655">
        <v>56.3530715467883</v>
      </c>
      <c r="AL2655">
        <v>94.086335794079901</v>
      </c>
      <c r="AM2655">
        <v>91.602980810682595</v>
      </c>
      <c r="AN2655">
        <v>1.0000000385266099</v>
      </c>
    </row>
    <row r="2656" spans="1:40" x14ac:dyDescent="0.25">
      <c r="A2656" t="str">
        <f>"20190303154149385"</f>
        <v>20190303154149385</v>
      </c>
      <c r="B2656" t="str">
        <f>"1551598909382029"</f>
        <v>1551598909382029</v>
      </c>
      <c r="C2656" t="s">
        <v>40</v>
      </c>
      <c r="D2656">
        <v>5.510243</v>
      </c>
      <c r="E2656">
        <v>0.5211692</v>
      </c>
      <c r="F2656" t="s">
        <v>50</v>
      </c>
      <c r="G2656">
        <v>-394.2176</v>
      </c>
      <c r="H2656" s="1">
        <v>7.0759559999999898E-7</v>
      </c>
      <c r="I2656">
        <v>285.03379999999999</v>
      </c>
      <c r="J2656">
        <v>-337.6182</v>
      </c>
      <c r="K2656">
        <v>1.1202829999999999</v>
      </c>
      <c r="L2656">
        <v>283.77210000000002</v>
      </c>
      <c r="M2656">
        <v>-0.99993489999999996</v>
      </c>
      <c r="N2656">
        <v>-1.0051529999999999E-2</v>
      </c>
      <c r="O2656">
        <v>-5.4079649999999998E-3</v>
      </c>
      <c r="P2656">
        <v>-0.99611819999999895</v>
      </c>
      <c r="Q2656">
        <v>-8.1130659999999993E-2</v>
      </c>
      <c r="R2656">
        <v>-3.4150489999999999E-2</v>
      </c>
      <c r="S2656">
        <v>-3.009064</v>
      </c>
      <c r="T2656">
        <v>-5.9164639999999998E-2</v>
      </c>
      <c r="U2656">
        <v>6.6528320000000002E-2</v>
      </c>
      <c r="V2656">
        <v>-2.876337E-2</v>
      </c>
      <c r="W2656">
        <v>-7.1112049999999996E-2</v>
      </c>
      <c r="X2656">
        <v>0.99705350000000004</v>
      </c>
      <c r="Y2656">
        <v>2.7502220000000001E-2</v>
      </c>
      <c r="Z2656">
        <v>4.6053780000000001E-4</v>
      </c>
      <c r="AA2656">
        <v>0.9996216</v>
      </c>
      <c r="AB2656">
        <v>38</v>
      </c>
      <c r="AC2656">
        <v>-56.599400000000003</v>
      </c>
      <c r="AD2656">
        <v>-1.1202822924044</v>
      </c>
      <c r="AE2656">
        <v>1.2616999999999601</v>
      </c>
      <c r="AF2656">
        <v>1.5671709074611</v>
      </c>
      <c r="AG2656">
        <v>-1.1202822924044</v>
      </c>
      <c r="AH2656">
        <v>56.569597411666201</v>
      </c>
      <c r="AI2656">
        <v>91.134080028963993</v>
      </c>
      <c r="AJ2656">
        <v>88.413117253419699</v>
      </c>
      <c r="AK2656">
        <v>56.6023887162535</v>
      </c>
      <c r="AL2656">
        <v>94.077862309762907</v>
      </c>
      <c r="AM2656">
        <v>91.652431647220496</v>
      </c>
      <c r="AN2656">
        <v>0.99999996848560402</v>
      </c>
    </row>
    <row r="2657" spans="1:40" x14ac:dyDescent="0.25">
      <c r="A2657" t="str">
        <f>"20190303154149410"</f>
        <v>20190303154149410</v>
      </c>
      <c r="B2657" t="str">
        <f>"1551598909402524"</f>
        <v>1551598909402524</v>
      </c>
      <c r="C2657" t="s">
        <v>40</v>
      </c>
      <c r="D2657">
        <v>5.4709089999999998</v>
      </c>
      <c r="E2657">
        <v>0.5210747</v>
      </c>
      <c r="F2657" t="s">
        <v>50</v>
      </c>
      <c r="G2657">
        <v>-395.31319999999999</v>
      </c>
      <c r="H2657" s="1">
        <v>1.2906270000000001E-6</v>
      </c>
      <c r="I2657">
        <v>284.97390000000001</v>
      </c>
      <c r="J2657">
        <v>-338.01650000000001</v>
      </c>
      <c r="K2657">
        <v>1.1202799999999999</v>
      </c>
      <c r="L2657">
        <v>283.76990000000001</v>
      </c>
      <c r="M2657">
        <v>-0.99993520000000002</v>
      </c>
      <c r="N2657">
        <v>-1.002458E-2</v>
      </c>
      <c r="O2657">
        <v>-5.4092230000000003E-3</v>
      </c>
      <c r="P2657">
        <v>-0.99610410000000005</v>
      </c>
      <c r="Q2657">
        <v>-8.0906370000000005E-2</v>
      </c>
      <c r="R2657">
        <v>-3.5086260000000001E-2</v>
      </c>
      <c r="S2657">
        <v>-3.0090940000000002</v>
      </c>
      <c r="T2657">
        <v>-5.8428529999999999E-2</v>
      </c>
      <c r="U2657">
        <v>6.268311E-2</v>
      </c>
      <c r="V2657">
        <v>-2.9698470000000001E-2</v>
      </c>
      <c r="W2657">
        <v>-7.0914489999999997E-2</v>
      </c>
      <c r="X2657">
        <v>0.99704020000000004</v>
      </c>
      <c r="Y2657">
        <v>2.6226989999999999E-2</v>
      </c>
      <c r="Z2657">
        <v>4.3686549999999999E-4</v>
      </c>
      <c r="AA2657">
        <v>0.99965590000000004</v>
      </c>
      <c r="AB2657">
        <v>38</v>
      </c>
      <c r="AC2657">
        <v>-57.296699999999902</v>
      </c>
      <c r="AD2657">
        <v>-1.120278709373</v>
      </c>
      <c r="AE2657">
        <v>1.204</v>
      </c>
      <c r="AF2657">
        <v>1.5133502776797501</v>
      </c>
      <c r="AG2657">
        <v>-1.120278709373</v>
      </c>
      <c r="AH2657">
        <v>57.267465519573904</v>
      </c>
      <c r="AI2657">
        <v>91.120298650025603</v>
      </c>
      <c r="AJ2657">
        <v>88.486253797675602</v>
      </c>
      <c r="AK2657">
        <v>57.298410627915402</v>
      </c>
      <c r="AL2657">
        <v>94.066514127561305</v>
      </c>
      <c r="AM2657">
        <v>91.7061438577079</v>
      </c>
      <c r="AN2657">
        <v>1.0000000122141699</v>
      </c>
    </row>
    <row r="2658" spans="1:40" x14ac:dyDescent="0.25">
      <c r="A2658" t="str">
        <f>"20190303154149432"</f>
        <v>20190303154149432</v>
      </c>
      <c r="B2658" t="str">
        <f>"1551598909422045"</f>
        <v>1551598909422045</v>
      </c>
      <c r="C2658" t="s">
        <v>40</v>
      </c>
      <c r="D2658">
        <v>5.4791420000000004</v>
      </c>
      <c r="E2658">
        <v>0.52100369999999996</v>
      </c>
      <c r="F2658" t="s">
        <v>50</v>
      </c>
      <c r="G2658">
        <v>-396.08690000000001</v>
      </c>
      <c r="H2658" s="1">
        <v>1.7023349999999999E-6</v>
      </c>
      <c r="I2658">
        <v>284.91129999999998</v>
      </c>
      <c r="J2658">
        <v>-338.3999</v>
      </c>
      <c r="K2658">
        <v>1.120276</v>
      </c>
      <c r="L2658">
        <v>283.7679</v>
      </c>
      <c r="M2658">
        <v>-0.99993540000000003</v>
      </c>
      <c r="N2658">
        <v>-1.000154E-2</v>
      </c>
      <c r="O2658">
        <v>-5.4105109999999998E-3</v>
      </c>
      <c r="P2658">
        <v>-0.99609449999999999</v>
      </c>
      <c r="Q2658">
        <v>-8.0600740000000004E-2</v>
      </c>
      <c r="R2658">
        <v>-3.605005E-2</v>
      </c>
      <c r="S2658">
        <v>-3.0090940000000002</v>
      </c>
      <c r="T2658">
        <v>-5.8050629999999999E-2</v>
      </c>
      <c r="U2658">
        <v>5.9143069999999999E-2</v>
      </c>
      <c r="V2658">
        <v>-3.0661339999999999E-2</v>
      </c>
      <c r="W2658">
        <v>-7.0631700000000006E-2</v>
      </c>
      <c r="X2658">
        <v>0.99703109999999995</v>
      </c>
      <c r="Y2658">
        <v>2.5053120000000002E-2</v>
      </c>
      <c r="Z2658">
        <v>4.1718369999999997E-4</v>
      </c>
      <c r="AA2658">
        <v>0.99968610000000002</v>
      </c>
      <c r="AB2658">
        <v>38</v>
      </c>
      <c r="AC2658">
        <v>-57.686999999999998</v>
      </c>
      <c r="AD2658">
        <v>-1.120274297665</v>
      </c>
      <c r="AE2658">
        <v>1.14339999999998</v>
      </c>
      <c r="AF2658">
        <v>1.4549665071109801</v>
      </c>
      <c r="AG2658">
        <v>-1.120274297665</v>
      </c>
      <c r="AH2658">
        <v>57.658232670322597</v>
      </c>
      <c r="AI2658">
        <v>91.112737803935403</v>
      </c>
      <c r="AJ2658">
        <v>88.554486521501005</v>
      </c>
      <c r="AK2658">
        <v>57.6874660277592</v>
      </c>
      <c r="AL2658">
        <v>94.050270834981006</v>
      </c>
      <c r="AM2658">
        <v>91.761441428086101</v>
      </c>
      <c r="AN2658">
        <v>0.99999998459134698</v>
      </c>
    </row>
    <row r="2659" spans="1:40" x14ac:dyDescent="0.25">
      <c r="A2659" t="str">
        <f>"20190303154149453"</f>
        <v>20190303154149453</v>
      </c>
      <c r="B2659" t="str">
        <f>"1551598909442541"</f>
        <v>1551598909442541</v>
      </c>
      <c r="C2659" t="s">
        <v>40</v>
      </c>
      <c r="D2659">
        <v>5.5025259999999996</v>
      </c>
      <c r="E2659">
        <v>0.52088509999999999</v>
      </c>
      <c r="F2659" t="s">
        <v>50</v>
      </c>
      <c r="G2659">
        <v>-397.02109999999999</v>
      </c>
      <c r="H2659" s="1">
        <v>2.1994940000000001E-6</v>
      </c>
      <c r="I2659">
        <v>284.84989999999999</v>
      </c>
      <c r="J2659">
        <v>-338.76769999999999</v>
      </c>
      <c r="K2659">
        <v>1.120263</v>
      </c>
      <c r="L2659">
        <v>283.76589999999999</v>
      </c>
      <c r="M2659">
        <v>-0.99993560000000004</v>
      </c>
      <c r="N2659">
        <v>-9.9791700000000007E-3</v>
      </c>
      <c r="O2659">
        <v>-5.4114539999999996E-3</v>
      </c>
      <c r="P2659">
        <v>-0.99610169999999998</v>
      </c>
      <c r="Q2659">
        <v>-8.039818E-2</v>
      </c>
      <c r="R2659">
        <v>-3.62981E-2</v>
      </c>
      <c r="S2659">
        <v>-3.009125</v>
      </c>
      <c r="T2659">
        <v>-5.7505489999999999E-2</v>
      </c>
      <c r="U2659">
        <v>5.5541989999999999E-2</v>
      </c>
      <c r="V2659">
        <v>-3.0908950000000001E-2</v>
      </c>
      <c r="W2659">
        <v>-7.0451239999999998E-2</v>
      </c>
      <c r="X2659">
        <v>0.99703620000000004</v>
      </c>
      <c r="Y2659">
        <v>2.385839E-2</v>
      </c>
      <c r="Z2659">
        <v>3.9640610000000001E-4</v>
      </c>
      <c r="AA2659">
        <v>0.99971529999999997</v>
      </c>
      <c r="AB2659">
        <v>38</v>
      </c>
      <c r="AC2659">
        <v>-58.253399999999999</v>
      </c>
      <c r="AD2659">
        <v>-1.120260800506</v>
      </c>
      <c r="AE2659">
        <v>1.0840000000000001</v>
      </c>
      <c r="AF2659">
        <v>1.3987183056521899</v>
      </c>
      <c r="AG2659">
        <v>-1.120260800506</v>
      </c>
      <c r="AH2659">
        <v>58.225155022063198</v>
      </c>
      <c r="AI2659">
        <v>91.101925649948697</v>
      </c>
      <c r="AJ2659">
        <v>88.623872362776396</v>
      </c>
      <c r="AK2659">
        <v>58.252725897617999</v>
      </c>
      <c r="AL2659">
        <v>94.039905506968793</v>
      </c>
      <c r="AM2659">
        <v>91.775648051320303</v>
      </c>
      <c r="AN2659">
        <v>0.99999996225903898</v>
      </c>
    </row>
    <row r="2660" spans="1:40" x14ac:dyDescent="0.25">
      <c r="A2660" t="str">
        <f>"20190303154149475"</f>
        <v>20190303154149475</v>
      </c>
      <c r="B2660" t="str">
        <f>"1551598909471821"</f>
        <v>1551598909471821</v>
      </c>
      <c r="C2660" t="s">
        <v>40</v>
      </c>
      <c r="D2660">
        <v>5.50448</v>
      </c>
      <c r="E2660">
        <v>0.520756</v>
      </c>
      <c r="F2660" t="s">
        <v>50</v>
      </c>
      <c r="G2660">
        <v>-397.9452</v>
      </c>
      <c r="H2660" s="1">
        <v>2.6912479999999998E-6</v>
      </c>
      <c r="I2660">
        <v>284.8288</v>
      </c>
      <c r="J2660">
        <v>-339.14330000000001</v>
      </c>
      <c r="K2660">
        <v>1.1202510000000001</v>
      </c>
      <c r="L2660">
        <v>283.7638</v>
      </c>
      <c r="M2660">
        <v>-0.99993580000000004</v>
      </c>
      <c r="N2660">
        <v>-9.9550530000000002E-3</v>
      </c>
      <c r="O2660">
        <v>-5.4121550000000001E-3</v>
      </c>
      <c r="P2660">
        <v>-0.99611229999999995</v>
      </c>
      <c r="Q2660">
        <v>-8.0234810000000004E-2</v>
      </c>
      <c r="R2660">
        <v>-3.6364540000000001E-2</v>
      </c>
      <c r="S2660">
        <v>-3.0090940000000002</v>
      </c>
      <c r="T2660">
        <v>-5.6963680000000003E-2</v>
      </c>
      <c r="U2660">
        <v>5.4046629999999998E-2</v>
      </c>
      <c r="V2660">
        <v>-3.0974870000000002E-2</v>
      </c>
      <c r="W2660">
        <v>-7.0311750000000006E-2</v>
      </c>
      <c r="X2660">
        <v>0.99704400000000004</v>
      </c>
      <c r="Y2660">
        <v>2.3362879999999999E-2</v>
      </c>
      <c r="Z2660">
        <v>3.8598130000000002E-4</v>
      </c>
      <c r="AA2660">
        <v>0.99972700000000003</v>
      </c>
      <c r="AB2660">
        <v>38</v>
      </c>
      <c r="AC2660">
        <v>-58.801899999999897</v>
      </c>
      <c r="AD2660">
        <v>-1.1202483087520001</v>
      </c>
      <c r="AE2660">
        <v>1.06499999999999</v>
      </c>
      <c r="AF2660">
        <v>1.3827434675749599</v>
      </c>
      <c r="AG2660">
        <v>-1.1202483087520001</v>
      </c>
      <c r="AH2660">
        <v>58.773949517740803</v>
      </c>
      <c r="AI2660">
        <v>91.091639752322905</v>
      </c>
      <c r="AJ2660">
        <v>88.652281267409805</v>
      </c>
      <c r="AK2660">
        <v>58.800885007662302</v>
      </c>
      <c r="AL2660">
        <v>94.031893453336593</v>
      </c>
      <c r="AM2660">
        <v>91.779418659814198</v>
      </c>
      <c r="AN2660">
        <v>0.99999996134778801</v>
      </c>
    </row>
    <row r="2661" spans="1:40" x14ac:dyDescent="0.25">
      <c r="A2661" t="str">
        <f>"20190303154149499"</f>
        <v>20190303154149499</v>
      </c>
      <c r="B2661" t="str">
        <f>"1551598909492320"</f>
        <v>1551598909492320</v>
      </c>
      <c r="C2661" t="s">
        <v>40</v>
      </c>
      <c r="D2661">
        <v>5.5381619999999998</v>
      </c>
      <c r="E2661">
        <v>0.52068099999999995</v>
      </c>
      <c r="F2661" t="s">
        <v>50</v>
      </c>
      <c r="G2661">
        <v>-399.51710000000003</v>
      </c>
      <c r="H2661" s="1">
        <v>3.52771E-6</v>
      </c>
      <c r="I2661">
        <v>284.82119999999998</v>
      </c>
      <c r="J2661">
        <v>-339.53129999999999</v>
      </c>
      <c r="K2661">
        <v>1.120247</v>
      </c>
      <c r="L2661">
        <v>283.76170000000002</v>
      </c>
      <c r="M2661">
        <v>-0.99993609999999999</v>
      </c>
      <c r="N2661">
        <v>-9.9315229999999994E-3</v>
      </c>
      <c r="O2661">
        <v>-5.4133369999999998E-3</v>
      </c>
      <c r="P2661">
        <v>-0.9961681</v>
      </c>
      <c r="Q2661">
        <v>-7.9688949999999995E-2</v>
      </c>
      <c r="R2661">
        <v>-3.6041049999999998E-2</v>
      </c>
      <c r="S2661">
        <v>-3.0091549999999998</v>
      </c>
      <c r="T2661">
        <v>-5.5835490000000002E-2</v>
      </c>
      <c r="U2661">
        <v>5.2703859999999998E-2</v>
      </c>
      <c r="V2661">
        <v>-3.0649840000000001E-2</v>
      </c>
      <c r="W2661">
        <v>-6.9788729999999993E-2</v>
      </c>
      <c r="X2661">
        <v>0.99709080000000005</v>
      </c>
      <c r="Y2661">
        <v>2.291808E-2</v>
      </c>
      <c r="Z2661">
        <v>3.7309529999999999E-4</v>
      </c>
      <c r="AA2661">
        <v>0.99973730000000005</v>
      </c>
      <c r="AB2661">
        <v>38</v>
      </c>
      <c r="AC2661">
        <v>-59.985799999999998</v>
      </c>
      <c r="AD2661">
        <v>-1.1202434722900001</v>
      </c>
      <c r="AE2661">
        <v>1.0594999999999499</v>
      </c>
      <c r="AF2661">
        <v>1.3837413729802599</v>
      </c>
      <c r="AG2661">
        <v>-1.1202434722900001</v>
      </c>
      <c r="AH2661">
        <v>59.958280686132099</v>
      </c>
      <c r="AI2661">
        <v>91.070088652535304</v>
      </c>
      <c r="AJ2661">
        <v>88.677939584497807</v>
      </c>
      <c r="AK2661">
        <v>59.984707288287296</v>
      </c>
      <c r="AL2661">
        <v>94.001852776702094</v>
      </c>
      <c r="AM2661">
        <v>91.760675829773106</v>
      </c>
      <c r="AN2661">
        <v>0.99999997148583897</v>
      </c>
    </row>
    <row r="2662" spans="1:40" x14ac:dyDescent="0.25">
      <c r="A2662" t="str">
        <f>"20190303154149520"</f>
        <v>20190303154149520</v>
      </c>
      <c r="B2662" t="str">
        <f>"1551598909511840"</f>
        <v>1551598909511840</v>
      </c>
      <c r="C2662" t="s">
        <v>40</v>
      </c>
      <c r="D2662">
        <v>5.5518549999999998</v>
      </c>
      <c r="E2662">
        <v>0.5206423</v>
      </c>
      <c r="F2662" t="s">
        <v>51</v>
      </c>
      <c r="G2662">
        <v>-400.77460000000002</v>
      </c>
      <c r="H2662" s="1">
        <v>8.0117720000000002E-6</v>
      </c>
      <c r="I2662">
        <v>284.84370000000001</v>
      </c>
      <c r="J2662">
        <v>-339.90600000000001</v>
      </c>
      <c r="K2662">
        <v>1.1202529999999999</v>
      </c>
      <c r="L2662">
        <v>283.75970000000001</v>
      </c>
      <c r="M2662">
        <v>-0.99993620000000005</v>
      </c>
      <c r="N2662">
        <v>-9.9115910000000008E-3</v>
      </c>
      <c r="O2662">
        <v>-5.4140669999999998E-3</v>
      </c>
      <c r="P2662">
        <v>-0.99622929999999998</v>
      </c>
      <c r="Q2662">
        <v>-7.9386769999999995E-2</v>
      </c>
      <c r="R2662">
        <v>-3.499799E-2</v>
      </c>
      <c r="S2662">
        <v>-3.0090330000000001</v>
      </c>
      <c r="T2662">
        <v>-5.5040119999999998E-2</v>
      </c>
      <c r="U2662">
        <v>5.316162E-2</v>
      </c>
      <c r="V2662">
        <v>-2.960585E-2</v>
      </c>
      <c r="W2662">
        <v>-6.9505890000000001E-2</v>
      </c>
      <c r="X2662">
        <v>0.99714210000000003</v>
      </c>
      <c r="Y2662">
        <v>2.3071669999999999E-2</v>
      </c>
      <c r="Z2662">
        <v>3.7070039999999999E-4</v>
      </c>
      <c r="AA2662">
        <v>0.99973369999999995</v>
      </c>
      <c r="AB2662">
        <v>38</v>
      </c>
      <c r="AC2662">
        <v>-60.868600000000001</v>
      </c>
      <c r="AD2662">
        <v>-1.1202449882279999</v>
      </c>
      <c r="AE2662">
        <v>1.0840000000000001</v>
      </c>
      <c r="AF2662">
        <v>1.41306850427752</v>
      </c>
      <c r="AG2662">
        <v>-1.1202449882279999</v>
      </c>
      <c r="AH2662">
        <v>60.841237133541597</v>
      </c>
      <c r="AI2662">
        <v>91.054560397034095</v>
      </c>
      <c r="AJ2662">
        <v>88.669515739517607</v>
      </c>
      <c r="AK2662">
        <v>60.867954190783102</v>
      </c>
      <c r="AL2662">
        <v>93.985607790401403</v>
      </c>
      <c r="AM2662">
        <v>91.700652363742194</v>
      </c>
      <c r="AN2662">
        <v>0.99999997134566099</v>
      </c>
    </row>
    <row r="2663" spans="1:40" x14ac:dyDescent="0.25">
      <c r="A2663" t="str">
        <f>"20190303154149543"</f>
        <v>20190303154149543</v>
      </c>
      <c r="B2663" t="str">
        <f>"1551598909532333"</f>
        <v>1551598909532333</v>
      </c>
      <c r="C2663" t="s">
        <v>40</v>
      </c>
      <c r="D2663">
        <v>5.682747</v>
      </c>
      <c r="E2663">
        <v>0.5204664</v>
      </c>
      <c r="F2663" t="s">
        <v>51</v>
      </c>
      <c r="G2663">
        <v>-401.36470000000003</v>
      </c>
      <c r="H2663" s="1">
        <v>7.7368440000000006E-6</v>
      </c>
      <c r="I2663">
        <v>284.90789999999998</v>
      </c>
      <c r="J2663">
        <v>-340.2921</v>
      </c>
      <c r="K2663">
        <v>1.1202529999999999</v>
      </c>
      <c r="L2663">
        <v>283.75760000000002</v>
      </c>
      <c r="M2663">
        <v>-0.9999363</v>
      </c>
      <c r="N2663">
        <v>-9.8940290000000004E-3</v>
      </c>
      <c r="O2663">
        <v>-5.4149289999999997E-3</v>
      </c>
      <c r="P2663">
        <v>-0.99627730000000003</v>
      </c>
      <c r="Q2663">
        <v>-7.9328339999999997E-2</v>
      </c>
      <c r="R2663">
        <v>-3.3744509999999998E-2</v>
      </c>
      <c r="S2663">
        <v>-3.0090029999999999</v>
      </c>
      <c r="T2663">
        <v>-5.4847E-2</v>
      </c>
      <c r="U2663">
        <v>5.621338E-2</v>
      </c>
      <c r="V2663">
        <v>-2.8351609999999999E-2</v>
      </c>
      <c r="W2663">
        <v>-6.9464590000000007E-2</v>
      </c>
      <c r="X2663">
        <v>0.99718150000000005</v>
      </c>
      <c r="Y2663">
        <v>2.4086090000000001E-2</v>
      </c>
      <c r="Z2663">
        <v>3.8377760000000001E-4</v>
      </c>
      <c r="AA2663">
        <v>0.99970979999999998</v>
      </c>
      <c r="AB2663">
        <v>38</v>
      </c>
      <c r="AC2663">
        <v>-61.072600000000001</v>
      </c>
      <c r="AD2663">
        <v>-1.120245263156</v>
      </c>
      <c r="AE2663">
        <v>1.1502999999999499</v>
      </c>
      <c r="AF2663">
        <v>1.48050519073363</v>
      </c>
      <c r="AG2663">
        <v>-1.120245263156</v>
      </c>
      <c r="AH2663">
        <v>61.044943541909497</v>
      </c>
      <c r="AI2663">
        <v>91.051016778394796</v>
      </c>
      <c r="AJ2663">
        <v>88.610694540637894</v>
      </c>
      <c r="AK2663">
        <v>61.073169044223697</v>
      </c>
      <c r="AL2663">
        <v>93.983235453485506</v>
      </c>
      <c r="AM2663">
        <v>91.628580251354705</v>
      </c>
      <c r="AN2663">
        <v>1.00000004349785</v>
      </c>
    </row>
    <row r="2664" spans="1:40" x14ac:dyDescent="0.25">
      <c r="A2664" t="str">
        <f>"20190303154149576"</f>
        <v>20190303154149576</v>
      </c>
      <c r="B2664" t="str">
        <f>"1551598909572348"</f>
        <v>1551598909572348</v>
      </c>
      <c r="C2664" t="s">
        <v>40</v>
      </c>
      <c r="D2664">
        <v>5.5153210000000001</v>
      </c>
      <c r="E2664">
        <v>0.52032889999999998</v>
      </c>
      <c r="F2664" t="s">
        <v>50</v>
      </c>
      <c r="G2664">
        <v>-399.16430000000003</v>
      </c>
      <c r="H2664" s="1">
        <v>3.339976E-6</v>
      </c>
      <c r="I2664">
        <v>284.90710000000001</v>
      </c>
      <c r="J2664">
        <v>-340.86130000000003</v>
      </c>
      <c r="K2664">
        <v>1.1202490000000001</v>
      </c>
      <c r="L2664">
        <v>283.75450000000001</v>
      </c>
      <c r="M2664">
        <v>-0.99993659999999995</v>
      </c>
      <c r="N2664">
        <v>-9.8726690000000006E-3</v>
      </c>
      <c r="O2664">
        <v>-5.4156550000000001E-3</v>
      </c>
      <c r="P2664">
        <v>-0.99632449999999995</v>
      </c>
      <c r="Q2664">
        <v>-7.9077969999999997E-2</v>
      </c>
      <c r="R2664">
        <v>-3.2930710000000002E-2</v>
      </c>
      <c r="S2664">
        <v>-3.0086360000000001</v>
      </c>
      <c r="T2664">
        <v>-5.7249899999999999E-2</v>
      </c>
      <c r="U2664">
        <v>5.8746340000000001E-2</v>
      </c>
      <c r="V2664">
        <v>-2.753657E-2</v>
      </c>
      <c r="W2664">
        <v>-6.9235110000000002E-2</v>
      </c>
      <c r="X2664">
        <v>0.99722029999999995</v>
      </c>
      <c r="Y2664">
        <v>2.4929699999999999E-2</v>
      </c>
      <c r="Z2664">
        <v>4.0980999999999998E-4</v>
      </c>
      <c r="AA2664">
        <v>0.9996891</v>
      </c>
      <c r="AB2664">
        <v>38</v>
      </c>
      <c r="AC2664">
        <v>-58.302999999999997</v>
      </c>
      <c r="AD2664">
        <v>-1.1202456600240001</v>
      </c>
      <c r="AE2664">
        <v>1.1526000000000001</v>
      </c>
      <c r="AF2664">
        <v>1.4678057368078901</v>
      </c>
      <c r="AG2664">
        <v>-1.1202456600240001</v>
      </c>
      <c r="AH2664">
        <v>58.274396866066098</v>
      </c>
      <c r="AI2664">
        <v>91.100948336805502</v>
      </c>
      <c r="AJ2664">
        <v>88.5571485892943</v>
      </c>
      <c r="AK2664">
        <v>58.303642545930003</v>
      </c>
      <c r="AL2664">
        <v>93.970055480744193</v>
      </c>
      <c r="AM2664">
        <v>91.581725144026095</v>
      </c>
      <c r="AN2664">
        <v>1.0000000449380799</v>
      </c>
    </row>
    <row r="2665" spans="1:40" x14ac:dyDescent="0.25">
      <c r="A2665" t="str">
        <f>"20190303154149598"</f>
        <v>20190303154149598</v>
      </c>
      <c r="B2665" t="str">
        <f>"1551598909591872"</f>
        <v>1551598909591872</v>
      </c>
      <c r="C2665" t="s">
        <v>40</v>
      </c>
      <c r="D2665">
        <v>5.5133349999999997</v>
      </c>
      <c r="E2665">
        <v>0.52025429999999995</v>
      </c>
      <c r="F2665" t="s">
        <v>51</v>
      </c>
      <c r="G2665">
        <v>-400.71319999999997</v>
      </c>
      <c r="H2665" s="1">
        <v>8.0168109999999993E-6</v>
      </c>
      <c r="I2665">
        <v>284.9511</v>
      </c>
      <c r="J2665">
        <v>-341.25020000000001</v>
      </c>
      <c r="K2665">
        <v>1.120247</v>
      </c>
      <c r="L2665">
        <v>283.75240000000002</v>
      </c>
      <c r="M2665">
        <v>-0.99993679999999996</v>
      </c>
      <c r="N2665">
        <v>-9.8615109999999999E-3</v>
      </c>
      <c r="O2665">
        <v>-5.4160750000000002E-3</v>
      </c>
      <c r="P2665">
        <v>-0.99641690000000005</v>
      </c>
      <c r="Q2665">
        <v>-7.7977660000000004E-2</v>
      </c>
      <c r="R2665">
        <v>-3.2754419999999999E-2</v>
      </c>
      <c r="S2665">
        <v>-3.008575</v>
      </c>
      <c r="T2665">
        <v>-5.6311130000000001E-2</v>
      </c>
      <c r="U2665">
        <v>6.0150149999999999E-2</v>
      </c>
      <c r="V2665">
        <v>-2.735984E-2</v>
      </c>
      <c r="W2665">
        <v>-6.81451E-2</v>
      </c>
      <c r="X2665">
        <v>0.99730019999999997</v>
      </c>
      <c r="Y2665">
        <v>2.5396869999999998E-2</v>
      </c>
      <c r="Z2665">
        <v>4.108386E-4</v>
      </c>
      <c r="AA2665">
        <v>0.99967740000000005</v>
      </c>
      <c r="AB2665">
        <v>38</v>
      </c>
      <c r="AC2665">
        <v>-59.462999999999901</v>
      </c>
      <c r="AD2665">
        <v>-1.1202389831890001</v>
      </c>
      <c r="AE2665">
        <v>1.1986999999999699</v>
      </c>
      <c r="AF2665">
        <v>1.52021478344542</v>
      </c>
      <c r="AG2665">
        <v>-1.1202389831890001</v>
      </c>
      <c r="AH2665">
        <v>59.434549396504501</v>
      </c>
      <c r="AI2665">
        <v>91.079446031478099</v>
      </c>
      <c r="AJ2665">
        <v>88.534810065421397</v>
      </c>
      <c r="AK2665">
        <v>59.464541117650903</v>
      </c>
      <c r="AL2665">
        <v>93.907454814675006</v>
      </c>
      <c r="AM2665">
        <v>91.571452876660302</v>
      </c>
      <c r="AN2665">
        <v>1.00000000220943</v>
      </c>
    </row>
    <row r="2666" spans="1:40" x14ac:dyDescent="0.25">
      <c r="A2666" t="str">
        <f>"20190303154149622"</f>
        <v>20190303154149622</v>
      </c>
      <c r="B2666" t="str">
        <f>"1551598909612365"</f>
        <v>1551598909612365</v>
      </c>
      <c r="C2666" t="s">
        <v>40</v>
      </c>
      <c r="D2666">
        <v>5.491752</v>
      </c>
      <c r="E2666">
        <v>0.52018169999999997</v>
      </c>
      <c r="F2666" t="s">
        <v>51</v>
      </c>
      <c r="G2666">
        <v>-404.24450000000002</v>
      </c>
      <c r="H2666" s="1">
        <v>6.4397079999999997E-6</v>
      </c>
      <c r="I2666">
        <v>285.00479999999999</v>
      </c>
      <c r="J2666">
        <v>-341.64760000000001</v>
      </c>
      <c r="K2666">
        <v>1.120252</v>
      </c>
      <c r="L2666">
        <v>283.75020000000001</v>
      </c>
      <c r="M2666">
        <v>-0.99993679999999996</v>
      </c>
      <c r="N2666">
        <v>-9.8520369999999993E-3</v>
      </c>
      <c r="O2666">
        <v>-5.4165029999999996E-3</v>
      </c>
      <c r="P2666">
        <v>-0.99646889999999999</v>
      </c>
      <c r="Q2666">
        <v>-7.7267649999999993E-2</v>
      </c>
      <c r="R2666">
        <v>-3.285714E-2</v>
      </c>
      <c r="S2666">
        <v>-3.008575</v>
      </c>
      <c r="T2666">
        <v>-5.350208E-2</v>
      </c>
      <c r="U2666">
        <v>5.9814449999999998E-2</v>
      </c>
      <c r="V2666">
        <v>-2.7461490000000002E-2</v>
      </c>
      <c r="W2666">
        <v>-6.7444030000000002E-2</v>
      </c>
      <c r="X2666">
        <v>0.99734500000000004</v>
      </c>
      <c r="Y2666">
        <v>2.528642E-2</v>
      </c>
      <c r="Z2666">
        <v>3.9233809999999998E-4</v>
      </c>
      <c r="AA2666">
        <v>0.99968020000000002</v>
      </c>
      <c r="AB2666">
        <v>38</v>
      </c>
      <c r="AC2666">
        <v>-62.596899999999998</v>
      </c>
      <c r="AD2666">
        <v>-1.1202455602920001</v>
      </c>
      <c r="AE2666">
        <v>1.25459999999998</v>
      </c>
      <c r="AF2666">
        <v>1.59314430906016</v>
      </c>
      <c r="AG2666">
        <v>-1.1202455602920001</v>
      </c>
      <c r="AH2666">
        <v>62.569154593398501</v>
      </c>
      <c r="AI2666">
        <v>91.0253885710395</v>
      </c>
      <c r="AJ2666">
        <v>88.541442232938493</v>
      </c>
      <c r="AK2666">
        <v>62.5994581880501</v>
      </c>
      <c r="AL2666">
        <v>93.867194075056702</v>
      </c>
      <c r="AM2666">
        <v>91.577217536096398</v>
      </c>
      <c r="AN2666">
        <v>0.99999993982032798</v>
      </c>
    </row>
    <row r="2667" spans="1:40" x14ac:dyDescent="0.25">
      <c r="A2667" t="str">
        <f>"20190303154149644"</f>
        <v>20190303154149644</v>
      </c>
      <c r="B2667" t="str">
        <f>"1551598909631885"</f>
        <v>1551598909631885</v>
      </c>
      <c r="C2667" t="s">
        <v>40</v>
      </c>
      <c r="D2667">
        <v>5.4912679999999998</v>
      </c>
      <c r="E2667">
        <v>0.52008160000000003</v>
      </c>
      <c r="F2667" t="s">
        <v>51</v>
      </c>
      <c r="G2667">
        <v>-406.74639999999999</v>
      </c>
      <c r="H2667" s="1">
        <v>5.325733E-6</v>
      </c>
      <c r="I2667">
        <v>285.02670000000001</v>
      </c>
      <c r="J2667">
        <v>-342.03199999999998</v>
      </c>
      <c r="K2667">
        <v>1.120252</v>
      </c>
      <c r="L2667">
        <v>283.7482</v>
      </c>
      <c r="M2667">
        <v>-0.99993679999999996</v>
      </c>
      <c r="N2667">
        <v>-9.8449030000000003E-3</v>
      </c>
      <c r="O2667">
        <v>-5.4171820000000004E-3</v>
      </c>
      <c r="P2667">
        <v>-0.9965252</v>
      </c>
      <c r="Q2667">
        <v>-7.6515819999999998E-2</v>
      </c>
      <c r="R2667">
        <v>-3.290941E-2</v>
      </c>
      <c r="S2667">
        <v>-3.008575</v>
      </c>
      <c r="T2667">
        <v>-5.1772829999999999E-2</v>
      </c>
      <c r="U2667">
        <v>5.8990479999999998E-2</v>
      </c>
      <c r="V2667">
        <v>-2.7512809999999999E-2</v>
      </c>
      <c r="W2667">
        <v>-6.6698770000000004E-2</v>
      </c>
      <c r="X2667">
        <v>0.9973938</v>
      </c>
      <c r="Y2667">
        <v>2.5013830000000001E-2</v>
      </c>
      <c r="Z2667">
        <v>3.7822669999999997E-4</v>
      </c>
      <c r="AA2667">
        <v>0.99968699999999999</v>
      </c>
      <c r="AB2667">
        <v>38</v>
      </c>
      <c r="AC2667">
        <v>-64.714399999999998</v>
      </c>
      <c r="AD2667">
        <v>-1.1202466742669901</v>
      </c>
      <c r="AE2667">
        <v>1.2785</v>
      </c>
      <c r="AF2667">
        <v>1.6285801079779001</v>
      </c>
      <c r="AG2667">
        <v>-1.1202466742669901</v>
      </c>
      <c r="AH2667">
        <v>64.687147707236306</v>
      </c>
      <c r="AI2667">
        <v>90.991830174229307</v>
      </c>
      <c r="AJ2667">
        <v>88.557811516353496</v>
      </c>
      <c r="AK2667">
        <v>64.717341603909503</v>
      </c>
      <c r="AL2667">
        <v>93.824397078333803</v>
      </c>
      <c r="AM2667">
        <v>91.5800862711109</v>
      </c>
      <c r="AN2667">
        <v>1.00000003645602</v>
      </c>
    </row>
    <row r="2668" spans="1:40" x14ac:dyDescent="0.25">
      <c r="A2668" t="str">
        <f>"20190303154149665"</f>
        <v>20190303154149665</v>
      </c>
      <c r="B2668" t="str">
        <f>"1551598909662141"</f>
        <v>1551598909662141</v>
      </c>
      <c r="C2668" t="s">
        <v>40</v>
      </c>
      <c r="D2668">
        <v>5.5117370000000001</v>
      </c>
      <c r="E2668">
        <v>0.51999309999999999</v>
      </c>
      <c r="F2668" t="s">
        <v>51</v>
      </c>
      <c r="G2668">
        <v>-409.36989999999997</v>
      </c>
      <c r="H2668" s="1">
        <v>4.1584739999999998E-6</v>
      </c>
      <c r="I2668">
        <v>285.0453</v>
      </c>
      <c r="J2668">
        <v>-342.39670000000001</v>
      </c>
      <c r="K2668">
        <v>1.1202510000000001</v>
      </c>
      <c r="L2668">
        <v>283.74619999999999</v>
      </c>
      <c r="M2668">
        <v>-0.99993690000000002</v>
      </c>
      <c r="N2668">
        <v>-9.8398210000000003E-3</v>
      </c>
      <c r="O2668">
        <v>-5.4176320000000004E-3</v>
      </c>
      <c r="P2668">
        <v>-0.99650589999999994</v>
      </c>
      <c r="Q2668">
        <v>-7.6706070000000001E-2</v>
      </c>
      <c r="R2668">
        <v>-3.3048029999999999E-2</v>
      </c>
      <c r="S2668">
        <v>-3.0085449999999998</v>
      </c>
      <c r="T2668">
        <v>-5.0050850000000001E-2</v>
      </c>
      <c r="U2668">
        <v>5.7952879999999998E-2</v>
      </c>
      <c r="V2668">
        <v>-2.7650839999999999E-2</v>
      </c>
      <c r="W2668">
        <v>-6.6894250000000002E-2</v>
      </c>
      <c r="X2668">
        <v>0.99737690000000001</v>
      </c>
      <c r="Y2668">
        <v>2.467024E-2</v>
      </c>
      <c r="Z2668">
        <v>3.6339210000000001E-4</v>
      </c>
      <c r="AA2668">
        <v>0.99969560000000002</v>
      </c>
      <c r="AB2668">
        <v>38</v>
      </c>
      <c r="AC2668">
        <v>-66.973199999999906</v>
      </c>
      <c r="AD2668">
        <v>-1.1202468415260001</v>
      </c>
      <c r="AE2668">
        <v>1.2991000000000099</v>
      </c>
      <c r="AF2668">
        <v>1.6614699749336099</v>
      </c>
      <c r="AG2668">
        <v>-1.1202468415260001</v>
      </c>
      <c r="AH2668">
        <v>66.946455045544397</v>
      </c>
      <c r="AI2668">
        <v>90.958372986638395</v>
      </c>
      <c r="AJ2668">
        <v>88.578331294088798</v>
      </c>
      <c r="AK2668">
        <v>66.976438234864801</v>
      </c>
      <c r="AL2668">
        <v>93.835622293800796</v>
      </c>
      <c r="AM2668">
        <v>91.588036307664495</v>
      </c>
      <c r="AN2668">
        <v>1.00000004514468</v>
      </c>
    </row>
    <row r="2669" spans="1:40" x14ac:dyDescent="0.25">
      <c r="A2669" t="str">
        <f>"20190303154149688"</f>
        <v>20190303154149688</v>
      </c>
      <c r="B2669" t="str">
        <f>"1551598909682637"</f>
        <v>1551598909682637</v>
      </c>
      <c r="C2669" t="s">
        <v>40</v>
      </c>
      <c r="D2669">
        <v>5.4876230000000001</v>
      </c>
      <c r="E2669">
        <v>0.51990630000000004</v>
      </c>
      <c r="F2669" t="s">
        <v>51</v>
      </c>
      <c r="G2669">
        <v>-407.03680000000003</v>
      </c>
      <c r="H2669" s="1">
        <v>5.2076120000000002E-6</v>
      </c>
      <c r="I2669">
        <v>284.97500000000002</v>
      </c>
      <c r="J2669">
        <v>-342.79450000000003</v>
      </c>
      <c r="K2669">
        <v>1.12025</v>
      </c>
      <c r="L2669">
        <v>283.74400000000003</v>
      </c>
      <c r="M2669">
        <v>-0.99993690000000002</v>
      </c>
      <c r="N2669">
        <v>-9.8358879999999992E-3</v>
      </c>
      <c r="O2669">
        <v>-5.4180890000000001E-3</v>
      </c>
      <c r="P2669">
        <v>-0.99652189999999996</v>
      </c>
      <c r="Q2669">
        <v>-7.6569680000000001E-2</v>
      </c>
      <c r="R2669">
        <v>-3.2882630000000003E-2</v>
      </c>
      <c r="S2669">
        <v>-3.0083920000000002</v>
      </c>
      <c r="T2669">
        <v>-5.2137019999999999E-2</v>
      </c>
      <c r="U2669">
        <v>5.7189940000000002E-2</v>
      </c>
      <c r="V2669">
        <v>-2.7485099999999998E-2</v>
      </c>
      <c r="W2669">
        <v>-6.6761650000000006E-2</v>
      </c>
      <c r="X2669">
        <v>0.99739029999999995</v>
      </c>
      <c r="Y2669">
        <v>2.4417899999999999E-2</v>
      </c>
      <c r="Z2669">
        <v>3.7226400000000003E-4</v>
      </c>
      <c r="AA2669">
        <v>0.99970179999999997</v>
      </c>
      <c r="AB2669">
        <v>39</v>
      </c>
      <c r="AC2669">
        <v>-64.2423</v>
      </c>
      <c r="AD2669">
        <v>-1.1202447923879999</v>
      </c>
      <c r="AE2669">
        <v>1.2309999999999901</v>
      </c>
      <c r="AF2669">
        <v>1.5785894468049899</v>
      </c>
      <c r="AG2669">
        <v>-1.1202447923879999</v>
      </c>
      <c r="AH2669">
        <v>64.215167778166304</v>
      </c>
      <c r="AI2669">
        <v>90.999131691124205</v>
      </c>
      <c r="AJ2669">
        <v>88.591792200618102</v>
      </c>
      <c r="AK2669">
        <v>64.244335671049498</v>
      </c>
      <c r="AL2669">
        <v>93.828008103139695</v>
      </c>
      <c r="AM2669">
        <v>91.578501201959497</v>
      </c>
      <c r="AN2669">
        <v>0.99999997958341102</v>
      </c>
    </row>
    <row r="2670" spans="1:40" x14ac:dyDescent="0.25">
      <c r="A2670" t="str">
        <f>"20190303154149699"</f>
        <v>20190303154149699</v>
      </c>
      <c r="B2670" t="str">
        <f>"1551598909692397"</f>
        <v>1551598909692397</v>
      </c>
      <c r="C2670" t="s">
        <v>40</v>
      </c>
      <c r="D2670">
        <v>5.4871840000000001</v>
      </c>
      <c r="E2670">
        <v>0.51988769999999995</v>
      </c>
      <c r="F2670" t="s">
        <v>51</v>
      </c>
      <c r="G2670">
        <v>-407.18400000000003</v>
      </c>
      <c r="H2670" s="1">
        <v>5.1463379999999898E-6</v>
      </c>
      <c r="I2670">
        <v>284.95569999999998</v>
      </c>
      <c r="J2670">
        <v>-342.9828</v>
      </c>
      <c r="K2670">
        <v>1.1202479999999999</v>
      </c>
      <c r="L2670">
        <v>283.74299999999999</v>
      </c>
      <c r="M2670">
        <v>-0.99993710000000002</v>
      </c>
      <c r="N2670">
        <v>-9.8345059999999998E-3</v>
      </c>
      <c r="O2670">
        <v>-5.4184389999999997E-3</v>
      </c>
      <c r="P2670">
        <v>-0.9965676</v>
      </c>
      <c r="Q2670">
        <v>-7.598038E-2</v>
      </c>
      <c r="R2670">
        <v>-3.286932E-2</v>
      </c>
      <c r="S2670">
        <v>-3.0083009999999999</v>
      </c>
      <c r="T2670">
        <v>-5.2338240000000001E-2</v>
      </c>
      <c r="U2670">
        <v>5.6610109999999998E-2</v>
      </c>
      <c r="V2670">
        <v>-2.7470970000000001E-2</v>
      </c>
      <c r="W2670">
        <v>-6.6173300000000004E-2</v>
      </c>
      <c r="X2670">
        <v>0.99742989999999998</v>
      </c>
      <c r="Y2670">
        <v>2.4226210000000001E-2</v>
      </c>
      <c r="Z2670">
        <v>3.7083549999999998E-4</v>
      </c>
      <c r="AA2670">
        <v>0.9997064</v>
      </c>
      <c r="AB2670">
        <v>39</v>
      </c>
      <c r="AC2670">
        <v>-64.2012</v>
      </c>
      <c r="AD2670">
        <v>-1.1202428536619999</v>
      </c>
      <c r="AE2670">
        <v>1.2126999999999799</v>
      </c>
      <c r="AF2670">
        <v>1.5600944313801399</v>
      </c>
      <c r="AG2670">
        <v>-1.1202428536619999</v>
      </c>
      <c r="AH2670">
        <v>64.174154340985396</v>
      </c>
      <c r="AI2670">
        <v>90.999775027207306</v>
      </c>
      <c r="AJ2670">
        <v>88.607395379678593</v>
      </c>
      <c r="AK2670">
        <v>64.202888751726903</v>
      </c>
      <c r="AL2670">
        <v>93.794223406824699</v>
      </c>
      <c r="AM2670">
        <v>91.577627504041899</v>
      </c>
      <c r="AN2670">
        <v>0.99999998261982004</v>
      </c>
    </row>
    <row r="2671" spans="1:40" x14ac:dyDescent="0.25">
      <c r="A2671" t="str">
        <f>"20190303154149721"</f>
        <v>20190303154149721</v>
      </c>
      <c r="B2671" t="str">
        <f>"1551598909711917"</f>
        <v>1551598909711917</v>
      </c>
      <c r="C2671" t="s">
        <v>40</v>
      </c>
      <c r="D2671">
        <v>5.5023960000000001</v>
      </c>
      <c r="E2671">
        <v>0.51981790000000005</v>
      </c>
      <c r="F2671" t="s">
        <v>51</v>
      </c>
      <c r="G2671">
        <v>-409.5258</v>
      </c>
      <c r="H2671" s="1">
        <v>4.0988030000000003E-6</v>
      </c>
      <c r="I2671">
        <v>284.99930000000001</v>
      </c>
      <c r="J2671">
        <v>-343.3689</v>
      </c>
      <c r="K2671">
        <v>1.1202449999999999</v>
      </c>
      <c r="L2671">
        <v>283.74099999999999</v>
      </c>
      <c r="M2671">
        <v>-0.99993710000000002</v>
      </c>
      <c r="N2671">
        <v>-9.8327180000000007E-3</v>
      </c>
      <c r="O2671">
        <v>-5.4189069999999997E-3</v>
      </c>
      <c r="P2671">
        <v>-0.99657980000000002</v>
      </c>
      <c r="Q2671">
        <v>-7.5742719999999999E-2</v>
      </c>
      <c r="R2671">
        <v>-3.304998E-2</v>
      </c>
      <c r="S2671">
        <v>-3.0083310000000001</v>
      </c>
      <c r="T2671">
        <v>-5.0644870000000002E-2</v>
      </c>
      <c r="U2671">
        <v>5.6793209999999997E-2</v>
      </c>
      <c r="V2671">
        <v>-2.7651180000000001E-2</v>
      </c>
      <c r="W2671">
        <v>-6.5937280000000001E-2</v>
      </c>
      <c r="X2671">
        <v>0.99744060000000001</v>
      </c>
      <c r="Y2671">
        <v>2.4287630000000001E-2</v>
      </c>
      <c r="Z2671">
        <v>3.6177630000000001E-4</v>
      </c>
      <c r="AA2671">
        <v>0.99970499999999995</v>
      </c>
      <c r="AB2671">
        <v>39</v>
      </c>
      <c r="AC2671">
        <v>-66.156899999999993</v>
      </c>
      <c r="AD2671">
        <v>-1.120240901197</v>
      </c>
      <c r="AE2671">
        <v>1.25830000000001</v>
      </c>
      <c r="AF2671">
        <v>1.6163336152605501</v>
      </c>
      <c r="AG2671">
        <v>-1.120240901197</v>
      </c>
      <c r="AH2671">
        <v>66.130155008689101</v>
      </c>
      <c r="AI2671">
        <v>90.970204580272096</v>
      </c>
      <c r="AJ2671">
        <v>88.599872333971803</v>
      </c>
      <c r="AK2671">
        <v>66.159389926946801</v>
      </c>
      <c r="AL2671">
        <v>93.780670672019895</v>
      </c>
      <c r="AM2671">
        <v>91.587954457663997</v>
      </c>
      <c r="AN2671">
        <v>1.00000003158877</v>
      </c>
    </row>
    <row r="2672" spans="1:40" x14ac:dyDescent="0.25">
      <c r="A2672" t="str">
        <f>"20190303154149733"</f>
        <v>20190303154149733</v>
      </c>
      <c r="B2672" t="str">
        <f>"1551598909722653"</f>
        <v>1551598909722653</v>
      </c>
      <c r="C2672" t="s">
        <v>40</v>
      </c>
      <c r="D2672">
        <v>5.4878609999999997</v>
      </c>
      <c r="E2672">
        <v>0.51978250000000004</v>
      </c>
      <c r="F2672" t="s">
        <v>51</v>
      </c>
      <c r="G2672">
        <v>-410.23050000000001</v>
      </c>
      <c r="H2672" s="1">
        <v>2.2153690000000002E-6</v>
      </c>
      <c r="I2672">
        <v>284.97410000000002</v>
      </c>
      <c r="J2672">
        <v>-343.58429999999998</v>
      </c>
      <c r="K2672">
        <v>1.120241</v>
      </c>
      <c r="L2672">
        <v>283.7398</v>
      </c>
      <c r="M2672">
        <v>-0.99993710000000002</v>
      </c>
      <c r="N2672">
        <v>-9.832159E-3</v>
      </c>
      <c r="O2672">
        <v>-5.4192619999999898E-3</v>
      </c>
      <c r="P2672">
        <v>-0.99660729999999997</v>
      </c>
      <c r="Q2672">
        <v>-7.5424840000000007E-2</v>
      </c>
      <c r="R2672">
        <v>-3.2938790000000003E-2</v>
      </c>
      <c r="S2672">
        <v>-3.00827</v>
      </c>
      <c r="T2672">
        <v>-5.0402519999999999E-2</v>
      </c>
      <c r="U2672">
        <v>5.5480960000000003E-2</v>
      </c>
      <c r="V2672">
        <v>-2.753951E-2</v>
      </c>
      <c r="W2672">
        <v>-6.5619750000000004E-2</v>
      </c>
      <c r="X2672">
        <v>0.99746460000000003</v>
      </c>
      <c r="Y2672">
        <v>2.3852559999999998E-2</v>
      </c>
      <c r="Z2672">
        <v>3.5458339999999998E-4</v>
      </c>
      <c r="AA2672">
        <v>0.99971540000000003</v>
      </c>
      <c r="AB2672">
        <v>39</v>
      </c>
      <c r="AC2672">
        <v>-66.646199999999993</v>
      </c>
      <c r="AD2672">
        <v>-1.120238784631</v>
      </c>
      <c r="AE2672">
        <v>1.2343000000000099</v>
      </c>
      <c r="AF2672">
        <v>1.5950220141877001</v>
      </c>
      <c r="AG2672">
        <v>-1.120238784631</v>
      </c>
      <c r="AH2672">
        <v>66.619716066302104</v>
      </c>
      <c r="AI2672">
        <v>90.963086101006994</v>
      </c>
      <c r="AJ2672">
        <v>88.628475487944897</v>
      </c>
      <c r="AK2672">
        <v>66.648222773867303</v>
      </c>
      <c r="AL2672">
        <v>93.762438166961502</v>
      </c>
      <c r="AM2672">
        <v>91.581506692232395</v>
      </c>
      <c r="AN2672">
        <v>1.00000000222713</v>
      </c>
    </row>
    <row r="2673" spans="1:40" x14ac:dyDescent="0.25">
      <c r="A2673" t="str">
        <f>"20190303154149746"</f>
        <v>20190303154149746</v>
      </c>
      <c r="B2673" t="str">
        <f>"1551598909742172"</f>
        <v>1551598909742172</v>
      </c>
      <c r="C2673" t="s">
        <v>40</v>
      </c>
      <c r="D2673">
        <v>5.5029729999999999</v>
      </c>
      <c r="E2673">
        <v>0.51970909999999904</v>
      </c>
      <c r="F2673" t="s">
        <v>51</v>
      </c>
      <c r="G2673">
        <v>-411.48520000000002</v>
      </c>
      <c r="H2673" s="1">
        <v>2.4363580000000002E-6</v>
      </c>
      <c r="I2673">
        <v>284.99209999999999</v>
      </c>
      <c r="J2673">
        <v>-343.79509999999999</v>
      </c>
      <c r="K2673">
        <v>1.120242</v>
      </c>
      <c r="L2673">
        <v>283.73860000000002</v>
      </c>
      <c r="M2673">
        <v>-0.99993710000000002</v>
      </c>
      <c r="N2673">
        <v>-9.8320409999999997E-3</v>
      </c>
      <c r="O2673">
        <v>-5.4196189999999997E-3</v>
      </c>
      <c r="P2673">
        <v>-0.99661100000000002</v>
      </c>
      <c r="Q2673">
        <v>-7.5326489999999996E-2</v>
      </c>
      <c r="R2673">
        <v>-3.3055380000000002E-2</v>
      </c>
      <c r="S2673">
        <v>-3.0083310000000001</v>
      </c>
      <c r="T2673">
        <v>-4.9631830000000002E-2</v>
      </c>
      <c r="U2673">
        <v>5.5480960000000003E-2</v>
      </c>
      <c r="V2673">
        <v>-2.7655740000000002E-2</v>
      </c>
      <c r="W2673">
        <v>-6.5521460000000004E-2</v>
      </c>
      <c r="X2673">
        <v>0.99746780000000002</v>
      </c>
      <c r="Y2673">
        <v>2.3852689999999999E-2</v>
      </c>
      <c r="Z2673">
        <v>3.5013809999999998E-4</v>
      </c>
      <c r="AA2673">
        <v>0.99971540000000003</v>
      </c>
      <c r="AB2673">
        <v>39</v>
      </c>
      <c r="AC2673">
        <v>-67.690100000000001</v>
      </c>
      <c r="AD2673">
        <v>-1.1202395636419999</v>
      </c>
      <c r="AE2673">
        <v>1.2534999999999701</v>
      </c>
      <c r="AF2673">
        <v>1.61991030875498</v>
      </c>
      <c r="AG2673">
        <v>-1.1202395636419999</v>
      </c>
      <c r="AH2673">
        <v>67.663786088976494</v>
      </c>
      <c r="AI2673">
        <v>90.948228859487699</v>
      </c>
      <c r="AJ2673">
        <v>88.628567758644294</v>
      </c>
      <c r="AK2673">
        <v>67.6924441424826</v>
      </c>
      <c r="AL2673">
        <v>93.756794589769399</v>
      </c>
      <c r="AM2673">
        <v>91.588172908675404</v>
      </c>
      <c r="AN2673">
        <v>0.99999995685615795</v>
      </c>
    </row>
    <row r="2674" spans="1:40" x14ac:dyDescent="0.25">
      <c r="A2674" t="str">
        <f>"20190303154149759"</f>
        <v>20190303154149759</v>
      </c>
      <c r="B2674" t="str">
        <f>"1551598909751933"</f>
        <v>1551598909751933</v>
      </c>
      <c r="C2674" t="s">
        <v>40</v>
      </c>
      <c r="D2674">
        <v>5.5354130000000001</v>
      </c>
      <c r="E2674">
        <v>0.51967589999999997</v>
      </c>
      <c r="F2674" t="s">
        <v>51</v>
      </c>
      <c r="G2674">
        <v>-411.61700000000002</v>
      </c>
      <c r="H2674" s="1">
        <v>2.461712E-6</v>
      </c>
      <c r="I2674">
        <v>284.96949999999998</v>
      </c>
      <c r="J2674">
        <v>-344.02940000000001</v>
      </c>
      <c r="K2674">
        <v>1.120241</v>
      </c>
      <c r="L2674">
        <v>283.73739999999998</v>
      </c>
      <c r="M2674">
        <v>-0.99993710000000002</v>
      </c>
      <c r="N2674">
        <v>-9.8328029999999993E-3</v>
      </c>
      <c r="O2674">
        <v>-5.4199799999999996E-3</v>
      </c>
      <c r="P2674">
        <v>-0.99661180000000005</v>
      </c>
      <c r="Q2674">
        <v>-7.5198520000000005E-2</v>
      </c>
      <c r="R2674">
        <v>-3.3325510000000003E-2</v>
      </c>
      <c r="S2674">
        <v>-3.00827</v>
      </c>
      <c r="T2674">
        <v>-4.9688700000000002E-2</v>
      </c>
      <c r="U2674">
        <v>5.4595949999999997E-2</v>
      </c>
      <c r="V2674">
        <v>-2.7925660000000001E-2</v>
      </c>
      <c r="W2674">
        <v>-6.5392679999999995E-2</v>
      </c>
      <c r="X2674">
        <v>0.99746880000000004</v>
      </c>
      <c r="Y2674">
        <v>2.3559460000000001E-2</v>
      </c>
      <c r="Z2674">
        <v>3.4661609999999998E-4</v>
      </c>
      <c r="AA2674">
        <v>0.99972240000000001</v>
      </c>
      <c r="AB2674">
        <v>39</v>
      </c>
      <c r="AC2674">
        <v>-67.587599999999895</v>
      </c>
      <c r="AD2674">
        <v>-1.120238538288</v>
      </c>
      <c r="AE2674">
        <v>1.2321</v>
      </c>
      <c r="AF2674">
        <v>1.5979841538547299</v>
      </c>
      <c r="AG2674">
        <v>-1.120238538288</v>
      </c>
      <c r="AH2674">
        <v>67.561374731317301</v>
      </c>
      <c r="AI2674">
        <v>90.949671587455299</v>
      </c>
      <c r="AJ2674">
        <v>88.645073751591497</v>
      </c>
      <c r="AK2674">
        <v>67.589554247118002</v>
      </c>
      <c r="AL2674">
        <v>93.749399921081604</v>
      </c>
      <c r="AM2674">
        <v>91.603663813031005</v>
      </c>
      <c r="AN2674">
        <v>1.0000000260287201</v>
      </c>
    </row>
    <row r="2675" spans="1:40" x14ac:dyDescent="0.25">
      <c r="A2675" t="str">
        <f>"20190303154149772"</f>
        <v>20190303154149772</v>
      </c>
      <c r="B2675" t="str">
        <f>"1551598909762670"</f>
        <v>1551598909762670</v>
      </c>
      <c r="C2675" t="s">
        <v>40</v>
      </c>
      <c r="D2675">
        <v>5.502726</v>
      </c>
      <c r="E2675">
        <v>0.51964239999999995</v>
      </c>
      <c r="F2675" t="s">
        <v>51</v>
      </c>
      <c r="G2675">
        <v>-412.05250000000001</v>
      </c>
      <c r="H2675" s="1">
        <v>2.5407329999999999E-6</v>
      </c>
      <c r="I2675">
        <v>284.94909999999999</v>
      </c>
      <c r="J2675">
        <v>-344.26049999999998</v>
      </c>
      <c r="K2675">
        <v>1.1202399999999999</v>
      </c>
      <c r="L2675">
        <v>283.73610000000002</v>
      </c>
      <c r="M2675">
        <v>-0.99993690000000002</v>
      </c>
      <c r="N2675">
        <v>-9.8355279999999996E-3</v>
      </c>
      <c r="O2675">
        <v>-5.4201120000000004E-3</v>
      </c>
      <c r="P2675">
        <v>-0.9966294</v>
      </c>
      <c r="Q2675">
        <v>-7.4946470000000001E-2</v>
      </c>
      <c r="R2675">
        <v>-3.3363379999999998E-2</v>
      </c>
      <c r="S2675">
        <v>-3.0082399999999998</v>
      </c>
      <c r="T2675">
        <v>-4.9541229999999999E-2</v>
      </c>
      <c r="U2675">
        <v>5.3588869999999997E-2</v>
      </c>
      <c r="V2675">
        <v>-2.796322E-2</v>
      </c>
      <c r="W2675">
        <v>-6.5137760000000003E-2</v>
      </c>
      <c r="X2675">
        <v>0.99748440000000005</v>
      </c>
      <c r="Y2675">
        <v>2.3225309999999999E-2</v>
      </c>
      <c r="Z2675">
        <v>3.4139990000000002E-4</v>
      </c>
      <c r="AA2675">
        <v>0.99973020000000001</v>
      </c>
      <c r="AB2675">
        <v>39</v>
      </c>
      <c r="AC2675">
        <v>-67.792000000000002</v>
      </c>
      <c r="AD2675">
        <v>-1.1202374592669999</v>
      </c>
      <c r="AE2675">
        <v>1.2129999999999601</v>
      </c>
      <c r="AF2675">
        <v>1.5800088977929001</v>
      </c>
      <c r="AG2675">
        <v>-1.1202374592669999</v>
      </c>
      <c r="AH2675">
        <v>67.765930734234999</v>
      </c>
      <c r="AI2675">
        <v>90.9468120308577</v>
      </c>
      <c r="AJ2675">
        <v>88.664351813293095</v>
      </c>
      <c r="AK2675">
        <v>67.793603889743096</v>
      </c>
      <c r="AL2675">
        <v>93.734762976095595</v>
      </c>
      <c r="AM2675">
        <v>91.605794510735706</v>
      </c>
      <c r="AN2675">
        <v>0.99999999884697299</v>
      </c>
    </row>
    <row r="2676" spans="1:40" x14ac:dyDescent="0.25">
      <c r="A2676" t="str">
        <f>"20190303154149785"</f>
        <v>20190303154149785</v>
      </c>
      <c r="B2676" t="str">
        <f>"1551598909782189"</f>
        <v>1551598909782189</v>
      </c>
      <c r="C2676" t="s">
        <v>40</v>
      </c>
      <c r="D2676">
        <v>5.4897130000000001</v>
      </c>
      <c r="E2676">
        <v>0.51955899999999999</v>
      </c>
      <c r="F2676" t="s">
        <v>51</v>
      </c>
      <c r="G2676">
        <v>-413.24740000000003</v>
      </c>
      <c r="H2676" s="1">
        <v>2.7522830000000001E-6</v>
      </c>
      <c r="I2676">
        <v>284.95389999999998</v>
      </c>
      <c r="J2676">
        <v>-344.46629999999999</v>
      </c>
      <c r="K2676">
        <v>1.1202369999999999</v>
      </c>
      <c r="L2676">
        <v>283.73500000000001</v>
      </c>
      <c r="M2676">
        <v>-0.99993690000000002</v>
      </c>
      <c r="N2676">
        <v>-9.8396890000000004E-3</v>
      </c>
      <c r="O2676">
        <v>-5.4203699999999999E-3</v>
      </c>
      <c r="P2676">
        <v>-0.99663310000000005</v>
      </c>
      <c r="Q2676">
        <v>-7.490898E-2</v>
      </c>
      <c r="R2676">
        <v>-3.3334040000000002E-2</v>
      </c>
      <c r="S2676">
        <v>-3.0082399999999998</v>
      </c>
      <c r="T2676">
        <v>-4.8848990000000002E-2</v>
      </c>
      <c r="U2676">
        <v>5.3100590000000003E-2</v>
      </c>
      <c r="V2676">
        <v>-2.7933820000000002E-2</v>
      </c>
      <c r="W2676">
        <v>-6.5096080000000001E-2</v>
      </c>
      <c r="X2676">
        <v>0.99748800000000004</v>
      </c>
      <c r="Y2676">
        <v>2.3063509999999999E-2</v>
      </c>
      <c r="Z2676">
        <v>3.3539879999999999E-4</v>
      </c>
      <c r="AA2676">
        <v>0.99973389999999995</v>
      </c>
      <c r="AB2676">
        <v>39</v>
      </c>
      <c r="AC2676">
        <v>-68.781099999999995</v>
      </c>
      <c r="AD2676">
        <v>-1.120234247717</v>
      </c>
      <c r="AE2676">
        <v>1.2188999999999599</v>
      </c>
      <c r="AF2676">
        <v>1.59129716947022</v>
      </c>
      <c r="AG2676">
        <v>-1.120234247717</v>
      </c>
      <c r="AH2676">
        <v>68.755249662802001</v>
      </c>
      <c r="AI2676">
        <v>90.933191820416596</v>
      </c>
      <c r="AJ2676">
        <v>88.674161786236795</v>
      </c>
      <c r="AK2676">
        <v>68.782784965756903</v>
      </c>
      <c r="AL2676">
        <v>93.732369602559302</v>
      </c>
      <c r="AM2676">
        <v>91.604101305043102</v>
      </c>
      <c r="AN2676">
        <v>1.00000005403757</v>
      </c>
    </row>
    <row r="2677" spans="1:40" x14ac:dyDescent="0.25">
      <c r="A2677" t="str">
        <f>"20190303154149800"</f>
        <v>20190303154149800</v>
      </c>
      <c r="B2677" t="str">
        <f>"1551598909791950"</f>
        <v>1551598909791950</v>
      </c>
      <c r="C2677" t="s">
        <v>40</v>
      </c>
      <c r="D2677">
        <v>5.539231</v>
      </c>
      <c r="E2677">
        <v>0.51950629999999998</v>
      </c>
      <c r="F2677" t="s">
        <v>51</v>
      </c>
      <c r="G2677">
        <v>-413.29750000000001</v>
      </c>
      <c r="H2677" s="1">
        <v>2.7629720000000001E-6</v>
      </c>
      <c r="I2677">
        <v>284.9332</v>
      </c>
      <c r="J2677">
        <v>-344.73270000000002</v>
      </c>
      <c r="K2677">
        <v>1.120239</v>
      </c>
      <c r="L2677">
        <v>283.73360000000002</v>
      </c>
      <c r="M2677">
        <v>-0.99993690000000002</v>
      </c>
      <c r="N2677">
        <v>-9.8469219999999993E-3</v>
      </c>
      <c r="O2677">
        <v>-5.4207630000000003E-3</v>
      </c>
      <c r="P2677">
        <v>-0.99661630000000001</v>
      </c>
      <c r="Q2677">
        <v>-7.5214619999999996E-2</v>
      </c>
      <c r="R2677">
        <v>-3.3148089999999998E-2</v>
      </c>
      <c r="S2677">
        <v>-3.0082399999999998</v>
      </c>
      <c r="T2677">
        <v>-4.8959370000000002E-2</v>
      </c>
      <c r="U2677">
        <v>5.2368159999999997E-2</v>
      </c>
      <c r="V2677">
        <v>-2.7747770000000001E-2</v>
      </c>
      <c r="W2677">
        <v>-6.5394679999999997E-2</v>
      </c>
      <c r="X2677">
        <v>0.99747359999999896</v>
      </c>
      <c r="Y2677">
        <v>2.28206E-2</v>
      </c>
      <c r="Z2677">
        <v>3.3289510000000002E-4</v>
      </c>
      <c r="AA2677">
        <v>0.9997395</v>
      </c>
      <c r="AB2677">
        <v>39</v>
      </c>
      <c r="AC2677">
        <v>-68.564799999999906</v>
      </c>
      <c r="AD2677">
        <v>-1.1202362370279999</v>
      </c>
      <c r="AE2677">
        <v>1.19959999999997</v>
      </c>
      <c r="AF2677">
        <v>1.57085469791804</v>
      </c>
      <c r="AG2677">
        <v>-1.1202362370279999</v>
      </c>
      <c r="AH2677">
        <v>68.538999121517193</v>
      </c>
      <c r="AI2677">
        <v>90.936142168570299</v>
      </c>
      <c r="AJ2677">
        <v>88.687060048339902</v>
      </c>
      <c r="AK2677">
        <v>68.566149915888303</v>
      </c>
      <c r="AL2677">
        <v>93.749514883194607</v>
      </c>
      <c r="AM2677">
        <v>91.593445890467507</v>
      </c>
      <c r="AN2677">
        <v>0.99999999280461704</v>
      </c>
    </row>
    <row r="2678" spans="1:40" x14ac:dyDescent="0.25">
      <c r="A2678" t="str">
        <f>"20190303154149812"</f>
        <v>20190303154149812</v>
      </c>
      <c r="B2678" t="str">
        <f>"1551598909802685"</f>
        <v>1551598909802685</v>
      </c>
      <c r="C2678" t="s">
        <v>40</v>
      </c>
      <c r="D2678">
        <v>5.495654</v>
      </c>
      <c r="E2678">
        <v>0.51945699999999995</v>
      </c>
      <c r="F2678" t="s">
        <v>51</v>
      </c>
      <c r="G2678">
        <v>-411.64100000000002</v>
      </c>
      <c r="H2678" s="1">
        <v>2.471946E-6</v>
      </c>
      <c r="I2678">
        <v>284.90109999999999</v>
      </c>
      <c r="J2678">
        <v>-344.95</v>
      </c>
      <c r="K2678">
        <v>1.120242</v>
      </c>
      <c r="L2678">
        <v>283.73239999999998</v>
      </c>
      <c r="M2678">
        <v>-0.99993679999999996</v>
      </c>
      <c r="N2678">
        <v>-9.8551460000000004E-3</v>
      </c>
      <c r="O2678">
        <v>-5.4209219999999999E-3</v>
      </c>
      <c r="P2678">
        <v>-0.99661619999999995</v>
      </c>
      <c r="Q2678">
        <v>-7.5214219999999998E-2</v>
      </c>
      <c r="R2678">
        <v>-3.3149089999999999E-2</v>
      </c>
      <c r="S2678">
        <v>-3.0081180000000001</v>
      </c>
      <c r="T2678">
        <v>-5.0364489999999998E-2</v>
      </c>
      <c r="U2678">
        <v>5.2490229999999999E-2</v>
      </c>
      <c r="V2678">
        <v>-2.774826E-2</v>
      </c>
      <c r="W2678">
        <v>-6.5386059999999996E-2</v>
      </c>
      <c r="X2678">
        <v>0.99747410000000003</v>
      </c>
      <c r="Y2678">
        <v>2.2861759999999998E-2</v>
      </c>
      <c r="Z2678">
        <v>3.4136440000000001E-4</v>
      </c>
      <c r="AA2678">
        <v>0.99973860000000003</v>
      </c>
      <c r="AB2678">
        <v>39</v>
      </c>
      <c r="AC2678">
        <v>-66.690999999999903</v>
      </c>
      <c r="AD2678">
        <v>-1.1202395280540001</v>
      </c>
      <c r="AE2678">
        <v>1.1687000000000001</v>
      </c>
      <c r="AF2678">
        <v>1.52979556589497</v>
      </c>
      <c r="AG2678">
        <v>-1.1202395280540001</v>
      </c>
      <c r="AH2678">
        <v>66.664880218520196</v>
      </c>
      <c r="AI2678">
        <v>90.962456817349107</v>
      </c>
      <c r="AJ2678">
        <v>88.6854330396134</v>
      </c>
      <c r="AK2678">
        <v>66.691839572943906</v>
      </c>
      <c r="AL2678">
        <v>93.7490201269799</v>
      </c>
      <c r="AM2678">
        <v>91.593473216400696</v>
      </c>
      <c r="AN2678">
        <v>0.99999994147307802</v>
      </c>
    </row>
    <row r="2679" spans="1:40" x14ac:dyDescent="0.25">
      <c r="A2679" t="str">
        <f>"20190303154149834"</f>
        <v>20190303154149834</v>
      </c>
      <c r="B2679" t="str">
        <f>"1551598909822207"</f>
        <v>1551598909822207</v>
      </c>
      <c r="C2679" t="s">
        <v>40</v>
      </c>
      <c r="D2679">
        <v>5.4943619999999997</v>
      </c>
      <c r="E2679">
        <v>0.51937679999999997</v>
      </c>
      <c r="F2679" t="s">
        <v>51</v>
      </c>
      <c r="G2679">
        <v>-411.71559999999999</v>
      </c>
      <c r="H2679" s="1">
        <v>2.4863299999999998E-6</v>
      </c>
      <c r="I2679">
        <v>284.8879</v>
      </c>
      <c r="J2679">
        <v>-345.3295</v>
      </c>
      <c r="K2679">
        <v>1.120247</v>
      </c>
      <c r="L2679">
        <v>283.7303</v>
      </c>
      <c r="M2679">
        <v>-0.99993670000000001</v>
      </c>
      <c r="N2679">
        <v>-9.8761639999999998E-3</v>
      </c>
      <c r="O2679">
        <v>-5.4215009999999996E-3</v>
      </c>
      <c r="P2679">
        <v>-0.99663590000000002</v>
      </c>
      <c r="Q2679">
        <v>-7.5139800000000007E-2</v>
      </c>
      <c r="R2679">
        <v>-3.2729229999999998E-2</v>
      </c>
      <c r="S2679">
        <v>-3.0080870000000002</v>
      </c>
      <c r="T2679">
        <v>-5.0471780000000001E-2</v>
      </c>
      <c r="U2679">
        <v>5.2062990000000003E-2</v>
      </c>
      <c r="V2679">
        <v>-2.732797E-2</v>
      </c>
      <c r="W2679">
        <v>-6.5290529999999999E-2</v>
      </c>
      <c r="X2679">
        <v>0.99749200000000005</v>
      </c>
      <c r="Y2679">
        <v>2.2720580000000001E-2</v>
      </c>
      <c r="Z2679">
        <v>3.4021719999999999E-4</v>
      </c>
      <c r="AA2679">
        <v>0.99974180000000001</v>
      </c>
      <c r="AB2679">
        <v>39</v>
      </c>
      <c r="AC2679">
        <v>-66.386099999999999</v>
      </c>
      <c r="AD2679">
        <v>-1.1202445136700001</v>
      </c>
      <c r="AE2679">
        <v>1.1576</v>
      </c>
      <c r="AF2679">
        <v>1.51708092184376</v>
      </c>
      <c r="AG2679">
        <v>-1.1202445136700001</v>
      </c>
      <c r="AH2679">
        <v>66.359957445971503</v>
      </c>
      <c r="AI2679">
        <v>90.966884659872207</v>
      </c>
      <c r="AJ2679">
        <v>88.690366917472105</v>
      </c>
      <c r="AK2679">
        <v>66.386748937758497</v>
      </c>
      <c r="AL2679">
        <v>93.743534793030904</v>
      </c>
      <c r="AM2679">
        <v>91.569321632568403</v>
      </c>
      <c r="AN2679">
        <v>0.999999980658</v>
      </c>
    </row>
    <row r="2680" spans="1:40" x14ac:dyDescent="0.25">
      <c r="A2680" t="str">
        <f>"20190303154149858"</f>
        <v>20190303154149858</v>
      </c>
      <c r="B2680" t="str">
        <f>"1551598909852461"</f>
        <v>1551598909852461</v>
      </c>
      <c r="C2680" t="s">
        <v>40</v>
      </c>
      <c r="D2680">
        <v>5.4847650000000003</v>
      </c>
      <c r="E2680">
        <v>0.51924229999999905</v>
      </c>
      <c r="F2680" t="s">
        <v>51</v>
      </c>
      <c r="G2680">
        <v>-411.71589999999998</v>
      </c>
      <c r="H2680" s="1">
        <v>2.48583E-6</v>
      </c>
      <c r="I2680">
        <v>284.89409999999998</v>
      </c>
      <c r="J2680">
        <v>-345.72359999999998</v>
      </c>
      <c r="K2680">
        <v>1.120252</v>
      </c>
      <c r="L2680">
        <v>283.72809999999998</v>
      </c>
      <c r="M2680">
        <v>-0.9999363</v>
      </c>
      <c r="N2680">
        <v>-9.9079530000000006E-3</v>
      </c>
      <c r="O2680">
        <v>-5.4216560000000004E-3</v>
      </c>
      <c r="P2680">
        <v>-0.99671889999999996</v>
      </c>
      <c r="Q2680">
        <v>-7.423594E-2</v>
      </c>
      <c r="R2680">
        <v>-3.226383E-2</v>
      </c>
      <c r="S2680">
        <v>-3.0080260000000001</v>
      </c>
      <c r="T2680">
        <v>-5.0759319999999997E-2</v>
      </c>
      <c r="U2680">
        <v>5.2734379999999997E-2</v>
      </c>
      <c r="V2680">
        <v>-2.6861099999999999E-2</v>
      </c>
      <c r="W2680">
        <v>-6.4354199999999903E-2</v>
      </c>
      <c r="X2680">
        <v>0.99756560000000005</v>
      </c>
      <c r="Y2680">
        <v>2.2944039999999999E-2</v>
      </c>
      <c r="Z2680">
        <v>3.4500900000000002E-4</v>
      </c>
      <c r="AA2680">
        <v>0.99973670000000003</v>
      </c>
      <c r="AB2680">
        <v>39</v>
      </c>
      <c r="AC2680">
        <v>-65.9923</v>
      </c>
      <c r="AD2680">
        <v>-1.12024951417</v>
      </c>
      <c r="AE2680">
        <v>1.1659999999999899</v>
      </c>
      <c r="AF2680">
        <v>1.5233491030158399</v>
      </c>
      <c r="AG2680">
        <v>-1.12024951417</v>
      </c>
      <c r="AH2680">
        <v>65.966004797982805</v>
      </c>
      <c r="AI2680">
        <v>90.972657012462705</v>
      </c>
      <c r="AJ2680">
        <v>88.677107029785205</v>
      </c>
      <c r="AK2680">
        <v>65.993100703567094</v>
      </c>
      <c r="AL2680">
        <v>93.689773692909995</v>
      </c>
      <c r="AM2680">
        <v>91.542410714939095</v>
      </c>
      <c r="AN2680">
        <v>1.0000000540270999</v>
      </c>
    </row>
    <row r="2681" spans="1:40" x14ac:dyDescent="0.25">
      <c r="A2681" t="str">
        <f>"20190303154149878"</f>
        <v>20190303154149878</v>
      </c>
      <c r="B2681" t="str">
        <f>"1551598909871981"</f>
        <v>1551598909871981</v>
      </c>
      <c r="C2681" t="s">
        <v>40</v>
      </c>
      <c r="D2681">
        <v>5.5308250000000001</v>
      </c>
      <c r="E2681">
        <v>0.51917899999999995</v>
      </c>
      <c r="F2681" t="s">
        <v>51</v>
      </c>
      <c r="G2681">
        <v>-414.6866</v>
      </c>
      <c r="H2681" s="1">
        <v>3.0081800000000001E-6</v>
      </c>
      <c r="I2681">
        <v>284.947</v>
      </c>
      <c r="J2681">
        <v>-346.101</v>
      </c>
      <c r="K2681">
        <v>1.1202669999999999</v>
      </c>
      <c r="L2681">
        <v>283.72609999999997</v>
      </c>
      <c r="M2681">
        <v>-0.99993589999999999</v>
      </c>
      <c r="N2681">
        <v>-9.9476289999999995E-3</v>
      </c>
      <c r="O2681">
        <v>-5.4220889999999997E-3</v>
      </c>
      <c r="P2681">
        <v>-0.99680829999999998</v>
      </c>
      <c r="Q2681">
        <v>-7.3130239999999999E-2</v>
      </c>
      <c r="R2681">
        <v>-3.202029E-2</v>
      </c>
      <c r="S2681">
        <v>-3.007965</v>
      </c>
      <c r="T2681">
        <v>-4.8861979999999999E-2</v>
      </c>
      <c r="U2681">
        <v>5.316162E-2</v>
      </c>
      <c r="V2681">
        <v>-2.6617129999999999E-2</v>
      </c>
      <c r="W2681">
        <v>-6.3208109999999998E-2</v>
      </c>
      <c r="X2681">
        <v>0.99764540000000002</v>
      </c>
      <c r="Y2681">
        <v>2.3087090000000001E-2</v>
      </c>
      <c r="Z2681">
        <v>3.3647689999999998E-4</v>
      </c>
      <c r="AA2681">
        <v>0.99973339999999999</v>
      </c>
      <c r="AB2681">
        <v>39</v>
      </c>
      <c r="AC2681">
        <v>-68.585599999999999</v>
      </c>
      <c r="AD2681">
        <v>-1.1202639918199999</v>
      </c>
      <c r="AE2681">
        <v>1.2209000000000201</v>
      </c>
      <c r="AF2681">
        <v>1.5923529557987199</v>
      </c>
      <c r="AG2681">
        <v>-1.1202639918199999</v>
      </c>
      <c r="AH2681">
        <v>68.559686093257696</v>
      </c>
      <c r="AI2681">
        <v>90.935876316072793</v>
      </c>
      <c r="AJ2681">
        <v>88.669499393015499</v>
      </c>
      <c r="AK2681">
        <v>68.587324897193994</v>
      </c>
      <c r="AL2681">
        <v>93.623973647147693</v>
      </c>
      <c r="AM2681">
        <v>91.528286015077896</v>
      </c>
      <c r="AN2681">
        <v>1.0000000404601801</v>
      </c>
    </row>
    <row r="2682" spans="1:40" x14ac:dyDescent="0.25">
      <c r="A2682" t="str">
        <f>"20190303154149901"</f>
        <v>20190303154149901</v>
      </c>
      <c r="B2682" t="str">
        <f>"1551598909892477"</f>
        <v>1551598909892477</v>
      </c>
      <c r="C2682" t="s">
        <v>40</v>
      </c>
      <c r="D2682">
        <v>5.5111080000000001</v>
      </c>
      <c r="E2682">
        <v>0.51909430000000001</v>
      </c>
      <c r="F2682" t="s">
        <v>51</v>
      </c>
      <c r="G2682">
        <v>-419.40539999999999</v>
      </c>
      <c r="H2682" s="1">
        <v>3.8388099999999901E-6</v>
      </c>
      <c r="I2682">
        <v>285.02010000000001</v>
      </c>
      <c r="J2682">
        <v>-346.48360000000002</v>
      </c>
      <c r="K2682">
        <v>1.120277</v>
      </c>
      <c r="L2682">
        <v>283.72399999999999</v>
      </c>
      <c r="M2682">
        <v>-0.99993540000000003</v>
      </c>
      <c r="N2682">
        <v>-9.9913469999999994E-3</v>
      </c>
      <c r="O2682">
        <v>-5.4226619999999904E-3</v>
      </c>
      <c r="P2682">
        <v>-0.9968302</v>
      </c>
      <c r="Q2682">
        <v>-7.2881280000000007E-2</v>
      </c>
      <c r="R2682">
        <v>-3.1899690000000001E-2</v>
      </c>
      <c r="S2682">
        <v>-3.007965</v>
      </c>
      <c r="T2682">
        <v>-4.5968769999999999E-2</v>
      </c>
      <c r="U2682">
        <v>5.3100590000000003E-2</v>
      </c>
      <c r="V2682">
        <v>-2.6495830000000001E-2</v>
      </c>
      <c r="W2682">
        <v>-6.2915360000000004E-2</v>
      </c>
      <c r="X2682">
        <v>0.99766710000000003</v>
      </c>
      <c r="Y2682">
        <v>2.3067870000000001E-2</v>
      </c>
      <c r="Z2682">
        <v>3.2018930000000001E-4</v>
      </c>
      <c r="AA2682">
        <v>0.99973389999999995</v>
      </c>
      <c r="AB2682">
        <v>39</v>
      </c>
      <c r="AC2682">
        <v>-72.921799999999905</v>
      </c>
      <c r="AD2682">
        <v>-1.1202731611900001</v>
      </c>
      <c r="AE2682">
        <v>1.29610000000002</v>
      </c>
      <c r="AF2682">
        <v>1.69113194680853</v>
      </c>
      <c r="AG2682">
        <v>-1.1202731611900001</v>
      </c>
      <c r="AH2682">
        <v>72.896500103288503</v>
      </c>
      <c r="AI2682">
        <v>90.880215236203298</v>
      </c>
      <c r="AJ2682">
        <v>88.671028845077004</v>
      </c>
      <c r="AK2682">
        <v>72.924719173445894</v>
      </c>
      <c r="AL2682">
        <v>93.607166977489996</v>
      </c>
      <c r="AM2682">
        <v>91.521291492341803</v>
      </c>
      <c r="AN2682">
        <v>1.00000000697686</v>
      </c>
    </row>
    <row r="2683" spans="1:40" x14ac:dyDescent="0.25">
      <c r="A2683" t="str">
        <f>"20190303154149913"</f>
        <v>20190303154149913</v>
      </c>
      <c r="B2683" t="str">
        <f>"1551598909902237"</f>
        <v>1551598909902237</v>
      </c>
      <c r="C2683" t="s">
        <v>40</v>
      </c>
      <c r="D2683">
        <v>5.4865190000000004</v>
      </c>
      <c r="E2683">
        <v>0.51905590000000001</v>
      </c>
      <c r="F2683" t="s">
        <v>51</v>
      </c>
      <c r="G2683">
        <v>-419.67230000000001</v>
      </c>
      <c r="H2683" s="1">
        <v>3.8865830000000004E-6</v>
      </c>
      <c r="I2683">
        <v>285.01530000000002</v>
      </c>
      <c r="J2683">
        <v>-346.7122</v>
      </c>
      <c r="K2683">
        <v>1.120279</v>
      </c>
      <c r="L2683">
        <v>283.72269999999997</v>
      </c>
      <c r="M2683">
        <v>-0.99993520000000002</v>
      </c>
      <c r="N2683">
        <v>-1.001753E-2</v>
      </c>
      <c r="O2683">
        <v>-5.4229109999999999E-3</v>
      </c>
      <c r="P2683">
        <v>-0.99681790000000003</v>
      </c>
      <c r="Q2683">
        <v>-7.3096309999999998E-2</v>
      </c>
      <c r="R2683">
        <v>-3.1797890000000002E-2</v>
      </c>
      <c r="S2683">
        <v>-3.0079039999999999</v>
      </c>
      <c r="T2683">
        <v>-4.6040890000000001E-2</v>
      </c>
      <c r="U2683">
        <v>5.3070069999999997E-2</v>
      </c>
      <c r="V2683">
        <v>-2.6393710000000001E-2</v>
      </c>
      <c r="W2683">
        <v>-6.3104370000000007E-2</v>
      </c>
      <c r="X2683">
        <v>0.99765780000000004</v>
      </c>
      <c r="Y2683">
        <v>2.3058329999999998E-2</v>
      </c>
      <c r="Z2683">
        <v>3.2064160000000002E-4</v>
      </c>
      <c r="AA2683">
        <v>0.99973400000000001</v>
      </c>
      <c r="AB2683">
        <v>39</v>
      </c>
      <c r="AC2683">
        <v>-72.960099999999997</v>
      </c>
      <c r="AD2683">
        <v>-1.1202751134169999</v>
      </c>
      <c r="AE2683">
        <v>1.2926000000000499</v>
      </c>
      <c r="AF2683">
        <v>1.68785912938226</v>
      </c>
      <c r="AG2683">
        <v>-1.1202751134169999</v>
      </c>
      <c r="AH2683">
        <v>72.934827022333494</v>
      </c>
      <c r="AI2683">
        <v>90.879755455086695</v>
      </c>
      <c r="AJ2683">
        <v>88.674296627912298</v>
      </c>
      <c r="AK2683">
        <v>72.9629555154401</v>
      </c>
      <c r="AL2683">
        <v>93.618018265851703</v>
      </c>
      <c r="AM2683">
        <v>91.515445003194202</v>
      </c>
      <c r="AN2683">
        <v>0.99999993767074802</v>
      </c>
    </row>
    <row r="2684" spans="1:40" x14ac:dyDescent="0.25">
      <c r="A2684" t="str">
        <f>"20190303154149926"</f>
        <v>20190303154149926</v>
      </c>
      <c r="B2684" t="str">
        <f>"1551598909921757"</f>
        <v>1551598909921757</v>
      </c>
      <c r="C2684" t="s">
        <v>40</v>
      </c>
      <c r="D2684">
        <v>5.4606599999999998</v>
      </c>
      <c r="E2684">
        <v>0.51894830000000003</v>
      </c>
      <c r="F2684" t="s">
        <v>51</v>
      </c>
      <c r="G2684">
        <v>-418.51060000000001</v>
      </c>
      <c r="H2684" s="1">
        <v>3.6828850000000001E-6</v>
      </c>
      <c r="I2684">
        <v>284.98809999999997</v>
      </c>
      <c r="J2684">
        <v>-346.92989999999998</v>
      </c>
      <c r="K2684">
        <v>1.1202829999999999</v>
      </c>
      <c r="L2684">
        <v>283.72160000000002</v>
      </c>
      <c r="M2684">
        <v>-0.99993500000000002</v>
      </c>
      <c r="N2684">
        <v>-1.004158E-2</v>
      </c>
      <c r="O2684">
        <v>-5.4231490000000004E-3</v>
      </c>
      <c r="P2684">
        <v>-0.99681059999999999</v>
      </c>
      <c r="Q2684">
        <v>-7.332089E-2</v>
      </c>
      <c r="R2684">
        <v>-3.1508300000000003E-2</v>
      </c>
      <c r="S2684">
        <v>-3.0078429999999998</v>
      </c>
      <c r="T2684">
        <v>-4.693162E-2</v>
      </c>
      <c r="U2684">
        <v>5.3009029999999999E-2</v>
      </c>
      <c r="V2684">
        <v>-2.6104140000000001E-2</v>
      </c>
      <c r="W2684">
        <v>-6.3305040000000007E-2</v>
      </c>
      <c r="X2684">
        <v>0.99765280000000001</v>
      </c>
      <c r="Y2684">
        <v>2.30385E-2</v>
      </c>
      <c r="Z2684">
        <v>3.2556019999999998E-4</v>
      </c>
      <c r="AA2684">
        <v>0.99973449999999997</v>
      </c>
      <c r="AB2684">
        <v>39</v>
      </c>
      <c r="AC2684">
        <v>-71.580699999999993</v>
      </c>
      <c r="AD2684">
        <v>-1.1202793171149901</v>
      </c>
      <c r="AE2684">
        <v>1.26649999999995</v>
      </c>
      <c r="AF2684">
        <v>1.6542886244742201</v>
      </c>
      <c r="AG2684">
        <v>-1.1202793171149901</v>
      </c>
      <c r="AH2684">
        <v>71.555257207426294</v>
      </c>
      <c r="AI2684">
        <v>90.896718046364199</v>
      </c>
      <c r="AJ2684">
        <v>88.675612688638196</v>
      </c>
      <c r="AK2684">
        <v>71.583144179494894</v>
      </c>
      <c r="AL2684">
        <v>93.629538503063401</v>
      </c>
      <c r="AM2684">
        <v>91.498833925910702</v>
      </c>
      <c r="AN2684">
        <v>1.0000000317811899</v>
      </c>
    </row>
    <row r="2685" spans="1:40" x14ac:dyDescent="0.25">
      <c r="A2685" t="str">
        <f>"20190303154149940"</f>
        <v>20190303154149940</v>
      </c>
      <c r="B2685" t="str">
        <f>"1551598909932493"</f>
        <v>1551598909932493</v>
      </c>
      <c r="C2685" t="s">
        <v>40</v>
      </c>
      <c r="D2685">
        <v>5.4319040000000003</v>
      </c>
      <c r="E2685">
        <v>0.51888719999999999</v>
      </c>
      <c r="F2685" t="s">
        <v>51</v>
      </c>
      <c r="G2685">
        <v>-416.31099999999998</v>
      </c>
      <c r="H2685" s="1">
        <v>3.2968540000000001E-6</v>
      </c>
      <c r="I2685">
        <v>284.9409</v>
      </c>
      <c r="J2685">
        <v>-347.15910000000002</v>
      </c>
      <c r="K2685">
        <v>1.1202840000000001</v>
      </c>
      <c r="L2685">
        <v>283.72030000000001</v>
      </c>
      <c r="M2685">
        <v>-0.99993469999999995</v>
      </c>
      <c r="N2685">
        <v>-1.006633E-2</v>
      </c>
      <c r="O2685">
        <v>-5.4235100000000003E-3</v>
      </c>
      <c r="P2685">
        <v>-0.99681929999999996</v>
      </c>
      <c r="Q2685">
        <v>-7.3225490000000004E-2</v>
      </c>
      <c r="R2685">
        <v>-3.1457659999999998E-2</v>
      </c>
      <c r="S2685">
        <v>-3.0077509999999998</v>
      </c>
      <c r="T2685">
        <v>-4.856539E-2</v>
      </c>
      <c r="U2685">
        <v>5.2856449999999999E-2</v>
      </c>
      <c r="V2685">
        <v>-2.605296E-2</v>
      </c>
      <c r="W2685">
        <v>-6.3184889999999994E-2</v>
      </c>
      <c r="X2685">
        <v>0.99766169999999998</v>
      </c>
      <c r="Y2685">
        <v>2.2988430000000001E-2</v>
      </c>
      <c r="Z2685">
        <v>3.3426639999999997E-4</v>
      </c>
      <c r="AA2685">
        <v>0.9997357</v>
      </c>
      <c r="AB2685">
        <v>39</v>
      </c>
      <c r="AC2685">
        <v>-69.151899999999898</v>
      </c>
      <c r="AD2685">
        <v>-1.120280703146</v>
      </c>
      <c r="AE2685">
        <v>1.2205999999999899</v>
      </c>
      <c r="AF2685">
        <v>1.5952285065702001</v>
      </c>
      <c r="AG2685">
        <v>-1.120280703146</v>
      </c>
      <c r="AH2685">
        <v>69.126126130178704</v>
      </c>
      <c r="AI2685">
        <v>90.928225852099899</v>
      </c>
      <c r="AJ2685">
        <v>88.678015881279293</v>
      </c>
      <c r="AK2685">
        <v>69.153605087568593</v>
      </c>
      <c r="AL2685">
        <v>93.622640803465004</v>
      </c>
      <c r="AM2685">
        <v>91.495883297211705</v>
      </c>
      <c r="AN2685">
        <v>0.99999997734798096</v>
      </c>
    </row>
    <row r="2686" spans="1:40" x14ac:dyDescent="0.25">
      <c r="A2686" t="str">
        <f>"20190303154149956"</f>
        <v>20190303154149956</v>
      </c>
      <c r="B2686" t="str">
        <f>"1551598909952013"</f>
        <v>1551598909952013</v>
      </c>
      <c r="C2686" t="s">
        <v>40</v>
      </c>
      <c r="D2686">
        <v>5.4630539999999996</v>
      </c>
      <c r="E2686">
        <v>0.51878639999999998</v>
      </c>
      <c r="F2686" t="s">
        <v>51</v>
      </c>
      <c r="G2686">
        <v>-416.4341</v>
      </c>
      <c r="H2686" s="1">
        <v>3.3198040000000001E-6</v>
      </c>
      <c r="I2686">
        <v>284.92790000000002</v>
      </c>
      <c r="J2686">
        <v>-347.45549999999997</v>
      </c>
      <c r="K2686">
        <v>1.1202890000000001</v>
      </c>
      <c r="L2686">
        <v>283.71870000000001</v>
      </c>
      <c r="M2686">
        <v>-0.9999342</v>
      </c>
      <c r="N2686">
        <v>-1.0097E-2</v>
      </c>
      <c r="O2686">
        <v>-5.4236639999999999E-3</v>
      </c>
      <c r="P2686">
        <v>-0.99684759999999994</v>
      </c>
      <c r="Q2686">
        <v>-7.2952080000000002E-2</v>
      </c>
      <c r="R2686">
        <v>-3.119009E-2</v>
      </c>
      <c r="S2686">
        <v>-3.00766</v>
      </c>
      <c r="T2686">
        <v>-4.8638460000000001E-2</v>
      </c>
      <c r="U2686">
        <v>5.2429199999999898E-2</v>
      </c>
      <c r="V2686">
        <v>-2.578515E-2</v>
      </c>
      <c r="W2686">
        <v>-6.2880619999999998E-2</v>
      </c>
      <c r="X2686">
        <v>0.99768789999999996</v>
      </c>
      <c r="Y2686">
        <v>2.284715E-2</v>
      </c>
      <c r="Z2686">
        <v>3.330176E-4</v>
      </c>
      <c r="AA2686">
        <v>0.99973889999999999</v>
      </c>
      <c r="AB2686">
        <v>39</v>
      </c>
      <c r="AC2686">
        <v>-68.9786</v>
      </c>
      <c r="AD2686">
        <v>-1.1202856801959999</v>
      </c>
      <c r="AE2686">
        <v>1.2092000000000001</v>
      </c>
      <c r="AF2686">
        <v>1.5829006809206501</v>
      </c>
      <c r="AG2686">
        <v>-1.1202856801959999</v>
      </c>
      <c r="AH2686">
        <v>68.952844469994901</v>
      </c>
      <c r="AI2686">
        <v>90.930564835374796</v>
      </c>
      <c r="AJ2686">
        <v>88.684933122211902</v>
      </c>
      <c r="AK2686">
        <v>68.980108546407905</v>
      </c>
      <c r="AL2686">
        <v>93.605172612501207</v>
      </c>
      <c r="AM2686">
        <v>91.480474462655295</v>
      </c>
      <c r="AN2686">
        <v>0.99999999606925805</v>
      </c>
    </row>
    <row r="2687" spans="1:40" x14ac:dyDescent="0.25">
      <c r="A2687" t="str">
        <f>"20190303154149968"</f>
        <v>20190303154149968</v>
      </c>
      <c r="B2687" t="str">
        <f>"1551598909961773"</f>
        <v>1551598909961773</v>
      </c>
      <c r="C2687" t="s">
        <v>40</v>
      </c>
      <c r="D2687">
        <v>5.4640559999999896</v>
      </c>
      <c r="E2687">
        <v>0.51873570000000002</v>
      </c>
      <c r="F2687" t="s">
        <v>51</v>
      </c>
      <c r="G2687">
        <v>-416.65260000000001</v>
      </c>
      <c r="H2687" s="1">
        <v>3.3587039999999998E-6</v>
      </c>
      <c r="I2687">
        <v>284.9264</v>
      </c>
      <c r="J2687">
        <v>-347.67090000000002</v>
      </c>
      <c r="K2687">
        <v>1.12029</v>
      </c>
      <c r="L2687">
        <v>283.7176</v>
      </c>
      <c r="M2687">
        <v>-0.99993410000000005</v>
      </c>
      <c r="N2687">
        <v>-1.011984E-2</v>
      </c>
      <c r="O2687">
        <v>-5.4241350000000001E-3</v>
      </c>
      <c r="P2687">
        <v>-0.99687510000000001</v>
      </c>
      <c r="Q2687">
        <v>-7.2610899999999895E-2</v>
      </c>
      <c r="R2687">
        <v>-3.11116E-2</v>
      </c>
      <c r="S2687">
        <v>-3.007568</v>
      </c>
      <c r="T2687">
        <v>-4.8691869999999998E-2</v>
      </c>
      <c r="U2687">
        <v>5.2490229999999999E-2</v>
      </c>
      <c r="V2687">
        <v>-2.570629E-2</v>
      </c>
      <c r="W2687">
        <v>-6.2516409999999994E-2</v>
      </c>
      <c r="X2687">
        <v>0.99771290000000001</v>
      </c>
      <c r="Y2687">
        <v>2.286842E-2</v>
      </c>
      <c r="Z2687">
        <v>3.3374469999999999E-4</v>
      </c>
      <c r="AA2687">
        <v>0.99973849999999997</v>
      </c>
      <c r="AB2687">
        <v>39</v>
      </c>
      <c r="AC2687">
        <v>-68.981699999999904</v>
      </c>
      <c r="AD2687">
        <v>-1.120286641296</v>
      </c>
      <c r="AE2687">
        <v>1.2087999999999901</v>
      </c>
      <c r="AF2687">
        <v>1.5825501555588399</v>
      </c>
      <c r="AG2687">
        <v>-1.120286641296</v>
      </c>
      <c r="AH2687">
        <v>68.955946628349196</v>
      </c>
      <c r="AI2687">
        <v>90.930523907613306</v>
      </c>
      <c r="AJ2687">
        <v>88.685283362665601</v>
      </c>
      <c r="AK2687">
        <v>68.983201451985806</v>
      </c>
      <c r="AL2687">
        <v>93.584263503031806</v>
      </c>
      <c r="AM2687">
        <v>91.475911693279201</v>
      </c>
      <c r="AN2687">
        <v>1.00000007284562</v>
      </c>
    </row>
    <row r="2688" spans="1:40" x14ac:dyDescent="0.25">
      <c r="A2688" t="str">
        <f>"20190303154149982"</f>
        <v>20190303154149982</v>
      </c>
      <c r="B2688" t="str">
        <f>"1551598909972510"</f>
        <v>1551598909972510</v>
      </c>
      <c r="C2688" t="s">
        <v>40</v>
      </c>
      <c r="D2688">
        <v>5.4598420000000001</v>
      </c>
      <c r="E2688">
        <v>0.51868930000000002</v>
      </c>
      <c r="F2688" t="s">
        <v>51</v>
      </c>
      <c r="G2688">
        <v>-417.83049999999997</v>
      </c>
      <c r="H2688" s="1">
        <v>3.5662109999999999E-6</v>
      </c>
      <c r="I2688">
        <v>284.9427</v>
      </c>
      <c r="J2688">
        <v>-347.90769999999998</v>
      </c>
      <c r="K2688">
        <v>1.1202970000000001</v>
      </c>
      <c r="L2688">
        <v>283.71629999999999</v>
      </c>
      <c r="M2688">
        <v>-0.99993379999999998</v>
      </c>
      <c r="N2688">
        <v>-1.014525E-2</v>
      </c>
      <c r="O2688">
        <v>-5.4242630000000003E-3</v>
      </c>
      <c r="P2688">
        <v>-0.99689830000000001</v>
      </c>
      <c r="Q2688">
        <v>-7.2349759999999999E-2</v>
      </c>
      <c r="R2688">
        <v>-3.0973629999999999E-2</v>
      </c>
      <c r="S2688">
        <v>-3.007568</v>
      </c>
      <c r="T2688">
        <v>-4.8023940000000001E-2</v>
      </c>
      <c r="U2688">
        <v>5.2520749999999998E-2</v>
      </c>
      <c r="V2688">
        <v>-2.556831E-2</v>
      </c>
      <c r="W2688">
        <v>-6.2229699999999999E-2</v>
      </c>
      <c r="X2688">
        <v>0.99773429999999996</v>
      </c>
      <c r="Y2688">
        <v>2.2878800000000001E-2</v>
      </c>
      <c r="Z2688">
        <v>3.3029039999999998E-4</v>
      </c>
      <c r="AA2688">
        <v>0.99973820000000002</v>
      </c>
      <c r="AB2688">
        <v>39</v>
      </c>
      <c r="AC2688">
        <v>-69.922799999999995</v>
      </c>
      <c r="AD2688">
        <v>-1.12029343378899</v>
      </c>
      <c r="AE2688">
        <v>1.2264000000000099</v>
      </c>
      <c r="AF2688">
        <v>1.60526919627541</v>
      </c>
      <c r="AG2688">
        <v>-1.12029343378899</v>
      </c>
      <c r="AH2688">
        <v>69.897181479256005</v>
      </c>
      <c r="AI2688">
        <v>90.918000867820794</v>
      </c>
      <c r="AJ2688">
        <v>88.6843677739827</v>
      </c>
      <c r="AK2688">
        <v>69.9245874161182</v>
      </c>
      <c r="AL2688">
        <v>93.567804430334803</v>
      </c>
      <c r="AM2688">
        <v>91.467961655044306</v>
      </c>
      <c r="AN2688">
        <v>1.0000000037174099</v>
      </c>
    </row>
    <row r="2689" spans="1:40" x14ac:dyDescent="0.25">
      <c r="A2689" t="str">
        <f>"20190303154149994"</f>
        <v>20190303154149994</v>
      </c>
      <c r="B2689" t="str">
        <f>"1551598909982270"</f>
        <v>1551598909982270</v>
      </c>
      <c r="C2689" t="s">
        <v>40</v>
      </c>
      <c r="D2689">
        <v>5.4606500000000002</v>
      </c>
      <c r="E2689">
        <v>0.51864529999999998</v>
      </c>
      <c r="F2689" t="s">
        <v>51</v>
      </c>
      <c r="G2689">
        <v>-418.65519999999998</v>
      </c>
      <c r="H2689" s="1">
        <v>3.711649E-6</v>
      </c>
      <c r="I2689">
        <v>284.95249999999999</v>
      </c>
      <c r="J2689">
        <v>-348.12979999999999</v>
      </c>
      <c r="K2689">
        <v>1.1203000000000001</v>
      </c>
      <c r="L2689">
        <v>283.71510000000001</v>
      </c>
      <c r="M2689">
        <v>-0.99993359999999998</v>
      </c>
      <c r="N2689">
        <v>-1.0169360000000001E-2</v>
      </c>
      <c r="O2689">
        <v>-5.4245040000000001E-3</v>
      </c>
      <c r="P2689">
        <v>-0.99691149999999995</v>
      </c>
      <c r="Q2689">
        <v>-7.2238919999999998E-2</v>
      </c>
      <c r="R2689">
        <v>-3.0812590000000001E-2</v>
      </c>
      <c r="S2689">
        <v>-3.0075379999999998</v>
      </c>
      <c r="T2689">
        <v>-4.7624710000000001E-2</v>
      </c>
      <c r="U2689">
        <v>5.2551269999999997E-2</v>
      </c>
      <c r="V2689">
        <v>-2.5406290000000002E-2</v>
      </c>
      <c r="W2689">
        <v>-6.2094679999999999E-2</v>
      </c>
      <c r="X2689">
        <v>0.99774680000000004</v>
      </c>
      <c r="Y2689">
        <v>2.2889420000000001E-2</v>
      </c>
      <c r="Z2689">
        <v>3.2833960000000002E-4</v>
      </c>
      <c r="AA2689">
        <v>0.99973800000000002</v>
      </c>
      <c r="AB2689">
        <v>39</v>
      </c>
      <c r="AC2689">
        <v>-70.525399999999905</v>
      </c>
      <c r="AD2689">
        <v>-1.1202962883509999</v>
      </c>
      <c r="AE2689">
        <v>1.2373999999999701</v>
      </c>
      <c r="AF2689">
        <v>1.6195583386377399</v>
      </c>
      <c r="AG2689">
        <v>-1.1202962883509999</v>
      </c>
      <c r="AH2689">
        <v>70.499865649744393</v>
      </c>
      <c r="AI2689">
        <v>90.910156640011095</v>
      </c>
      <c r="AJ2689">
        <v>88.684004029769099</v>
      </c>
      <c r="AK2689">
        <v>70.5273641193115</v>
      </c>
      <c r="AL2689">
        <v>93.560053545325005</v>
      </c>
      <c r="AM2689">
        <v>91.458645313412006</v>
      </c>
      <c r="AN2689">
        <v>0.99999995288305199</v>
      </c>
    </row>
    <row r="2690" spans="1:40" x14ac:dyDescent="0.25">
      <c r="A2690" t="str">
        <f>"20190303154150012"</f>
        <v>20190303154150012</v>
      </c>
      <c r="B2690" t="str">
        <f>"1551598910001790"</f>
        <v>1551598910001790</v>
      </c>
      <c r="C2690" t="s">
        <v>40</v>
      </c>
      <c r="D2690">
        <v>5.3626699999999996</v>
      </c>
      <c r="E2690">
        <v>0.51859489999999997</v>
      </c>
      <c r="F2690" t="s">
        <v>51</v>
      </c>
      <c r="G2690">
        <v>-418.8073</v>
      </c>
      <c r="H2690" s="1">
        <v>3.7385989999999998E-6</v>
      </c>
      <c r="I2690">
        <v>284.9529</v>
      </c>
      <c r="J2690">
        <v>-348.42770000000002</v>
      </c>
      <c r="K2690">
        <v>1.1203050000000001</v>
      </c>
      <c r="L2690">
        <v>283.71350000000001</v>
      </c>
      <c r="M2690">
        <v>-0.99993319999999997</v>
      </c>
      <c r="N2690">
        <v>-1.020079E-2</v>
      </c>
      <c r="O2690">
        <v>-5.4246619999999898E-3</v>
      </c>
      <c r="P2690">
        <v>-0.99696620000000002</v>
      </c>
      <c r="Q2690">
        <v>-7.157587E-2</v>
      </c>
      <c r="R2690">
        <v>-3.058307E-2</v>
      </c>
      <c r="S2690">
        <v>-3.0075069999999999</v>
      </c>
      <c r="T2690">
        <v>-4.7671440000000002E-2</v>
      </c>
      <c r="U2690">
        <v>5.2673339999999999E-2</v>
      </c>
      <c r="V2690">
        <v>-2.5176150000000001E-2</v>
      </c>
      <c r="W2690">
        <v>-6.1399769999999999E-2</v>
      </c>
      <c r="X2690">
        <v>0.99779569999999995</v>
      </c>
      <c r="Y2690">
        <v>2.2930300000000001E-2</v>
      </c>
      <c r="Z2690">
        <v>3.2932700000000003E-4</v>
      </c>
      <c r="AA2690">
        <v>0.99973699999999999</v>
      </c>
      <c r="AB2690">
        <v>39</v>
      </c>
      <c r="AC2690">
        <v>-70.379599999999897</v>
      </c>
      <c r="AD2690">
        <v>-1.1203012614009999</v>
      </c>
      <c r="AE2690">
        <v>1.2393999999999801</v>
      </c>
      <c r="AF2690">
        <v>1.6207766417648499</v>
      </c>
      <c r="AG2690">
        <v>-1.1203012614009999</v>
      </c>
      <c r="AH2690">
        <v>70.354019751453805</v>
      </c>
      <c r="AI2690">
        <v>90.912045788756998</v>
      </c>
      <c r="AJ2690">
        <v>88.680285243860695</v>
      </c>
      <c r="AK2690">
        <v>70.3816033280483</v>
      </c>
      <c r="AL2690">
        <v>93.520161794673896</v>
      </c>
      <c r="AM2690">
        <v>91.4453671630733</v>
      </c>
      <c r="AN2690">
        <v>1.0000000146116801</v>
      </c>
    </row>
    <row r="2691" spans="1:40" x14ac:dyDescent="0.25">
      <c r="A2691" t="str">
        <f>"20190303154150035"</f>
        <v>20190303154150035</v>
      </c>
      <c r="B2691" t="str">
        <f>"1551598910032065"</f>
        <v>1551598910032065</v>
      </c>
      <c r="C2691" t="s">
        <v>40</v>
      </c>
      <c r="D2691">
        <v>5.4535900000000002</v>
      </c>
      <c r="E2691">
        <v>0.51846859999999995</v>
      </c>
      <c r="F2691" t="s">
        <v>51</v>
      </c>
      <c r="G2691">
        <v>-421.63249999999999</v>
      </c>
      <c r="H2691" s="1">
        <v>3.640832E-6</v>
      </c>
      <c r="I2691">
        <v>285.00749999999999</v>
      </c>
      <c r="J2691">
        <v>-348.83319999999998</v>
      </c>
      <c r="K2691">
        <v>1.120309</v>
      </c>
      <c r="L2691">
        <v>283.71129999999999</v>
      </c>
      <c r="M2691">
        <v>-0.99993290000000001</v>
      </c>
      <c r="N2691">
        <v>-1.024135E-2</v>
      </c>
      <c r="O2691">
        <v>-5.4252249999999997E-3</v>
      </c>
      <c r="P2691">
        <v>-0.99695679999999998</v>
      </c>
      <c r="Q2691">
        <v>-7.184372E-2</v>
      </c>
      <c r="R2691">
        <v>-3.0262210000000001E-2</v>
      </c>
      <c r="S2691">
        <v>-3.0074770000000002</v>
      </c>
      <c r="T2691">
        <v>-4.6025400000000001E-2</v>
      </c>
      <c r="U2691">
        <v>5.316162E-2</v>
      </c>
      <c r="V2691">
        <v>-2.4855599999999999E-2</v>
      </c>
      <c r="W2691">
        <v>-6.1627260000000003E-2</v>
      </c>
      <c r="X2691">
        <v>0.9977897</v>
      </c>
      <c r="Y2691">
        <v>2.3093550000000001E-2</v>
      </c>
      <c r="Z2691">
        <v>3.224201E-4</v>
      </c>
      <c r="AA2691">
        <v>0.99973330000000005</v>
      </c>
      <c r="AB2691">
        <v>39</v>
      </c>
      <c r="AC2691">
        <v>-72.799300000000002</v>
      </c>
      <c r="AD2691">
        <v>-1.1203053591679999</v>
      </c>
      <c r="AE2691">
        <v>1.29619999999999</v>
      </c>
      <c r="AF2691">
        <v>1.6907539168694301</v>
      </c>
      <c r="AG2691">
        <v>-1.1203053591679999</v>
      </c>
      <c r="AH2691">
        <v>72.773967110844495</v>
      </c>
      <c r="AI2691">
        <v>90.881721706972002</v>
      </c>
      <c r="AJ2691">
        <v>88.669089464313402</v>
      </c>
      <c r="AK2691">
        <v>72.802225391504706</v>
      </c>
      <c r="AL2691">
        <v>93.533220783813107</v>
      </c>
      <c r="AM2691">
        <v>91.426980566897498</v>
      </c>
      <c r="AN2691">
        <v>1.0000000027262701</v>
      </c>
    </row>
    <row r="2692" spans="1:40" x14ac:dyDescent="0.25">
      <c r="A2692" t="str">
        <f>"20190303154150057"</f>
        <v>20190303154150057</v>
      </c>
      <c r="B2692" t="str">
        <f>"1551598910052564"</f>
        <v>1551598910052564</v>
      </c>
      <c r="C2692" t="s">
        <v>40</v>
      </c>
      <c r="D2692">
        <v>5.430377</v>
      </c>
      <c r="E2692">
        <v>0.51837230000000001</v>
      </c>
      <c r="F2692" t="s">
        <v>51</v>
      </c>
      <c r="G2692">
        <v>-419.28210000000001</v>
      </c>
      <c r="H2692" s="1">
        <v>3.82255999999999E-6</v>
      </c>
      <c r="I2692">
        <v>284.95589999999999</v>
      </c>
      <c r="J2692">
        <v>-349.2192</v>
      </c>
      <c r="K2692">
        <v>1.120304</v>
      </c>
      <c r="L2692">
        <v>283.70920000000001</v>
      </c>
      <c r="M2692">
        <v>-0.99993259999999995</v>
      </c>
      <c r="N2692">
        <v>-1.0275950000000001E-2</v>
      </c>
      <c r="O2692">
        <v>-5.4257589999999996E-3</v>
      </c>
      <c r="P2692">
        <v>-0.99694720000000003</v>
      </c>
      <c r="Q2692">
        <v>-7.2227959999999994E-2</v>
      </c>
      <c r="R2692">
        <v>-2.9660180000000001E-2</v>
      </c>
      <c r="S2692">
        <v>-3.007263</v>
      </c>
      <c r="T2692">
        <v>-4.7822589999999998E-2</v>
      </c>
      <c r="U2692">
        <v>5.3131100000000001E-2</v>
      </c>
      <c r="V2692">
        <v>-2.425273E-2</v>
      </c>
      <c r="W2692">
        <v>-6.1977110000000002E-2</v>
      </c>
      <c r="X2692">
        <v>0.99778290000000003</v>
      </c>
      <c r="Y2692">
        <v>2.308489E-2</v>
      </c>
      <c r="Z2692">
        <v>3.3268129999999998E-4</v>
      </c>
      <c r="AA2692">
        <v>0.99973339999999999</v>
      </c>
      <c r="AB2692">
        <v>39</v>
      </c>
      <c r="AC2692">
        <v>-70.062899999999999</v>
      </c>
      <c r="AD2692">
        <v>-1.1203001774400001</v>
      </c>
      <c r="AE2692">
        <v>1.2466999999999699</v>
      </c>
      <c r="AF2692">
        <v>1.6264303742984501</v>
      </c>
      <c r="AG2692">
        <v>-1.1203001774400001</v>
      </c>
      <c r="AH2692">
        <v>70.037202675516596</v>
      </c>
      <c r="AI2692">
        <v>90.916165973105294</v>
      </c>
      <c r="AJ2692">
        <v>88.669694867695796</v>
      </c>
      <c r="AK2692">
        <v>70.065041974306993</v>
      </c>
      <c r="AL2692">
        <v>93.553303983772196</v>
      </c>
      <c r="AM2692">
        <v>91.392392581332899</v>
      </c>
      <c r="AN2692">
        <v>1.0000000363043999</v>
      </c>
    </row>
    <row r="2693" spans="1:40" x14ac:dyDescent="0.25">
      <c r="A2693" t="str">
        <f>"20190303154150079"</f>
        <v>20190303154150079</v>
      </c>
      <c r="B2693" t="str">
        <f>"1551598910072083"</f>
        <v>1551598910072083</v>
      </c>
      <c r="C2693" t="s">
        <v>40</v>
      </c>
      <c r="D2693">
        <v>5.4219160000000004</v>
      </c>
      <c r="E2693">
        <v>0.51827690000000004</v>
      </c>
      <c r="F2693" t="s">
        <v>51</v>
      </c>
      <c r="G2693">
        <v>-417.19490000000002</v>
      </c>
      <c r="H2693" s="1">
        <v>3.4544490000000002E-6</v>
      </c>
      <c r="I2693">
        <v>284.9316</v>
      </c>
      <c r="J2693">
        <v>-349.61169999999998</v>
      </c>
      <c r="K2693">
        <v>1.1203099999999999</v>
      </c>
      <c r="L2693">
        <v>283.70710000000003</v>
      </c>
      <c r="M2693">
        <v>-0.99993209999999999</v>
      </c>
      <c r="N2693">
        <v>-1.030797E-2</v>
      </c>
      <c r="O2693">
        <v>-5.4262800000000003E-3</v>
      </c>
      <c r="P2693">
        <v>-0.99691459999999998</v>
      </c>
      <c r="Q2693">
        <v>-7.2758719999999999E-2</v>
      </c>
      <c r="R2693">
        <v>-2.9455849999999999E-2</v>
      </c>
      <c r="S2693">
        <v>-3.0072019999999999</v>
      </c>
      <c r="T2693">
        <v>-4.9561380000000002E-2</v>
      </c>
      <c r="U2693">
        <v>5.4077149999999997E-2</v>
      </c>
      <c r="V2693">
        <v>-2.4047869999999999E-2</v>
      </c>
      <c r="W2693">
        <v>-6.2476240000000002E-2</v>
      </c>
      <c r="X2693">
        <v>0.99775670000000005</v>
      </c>
      <c r="Y2693">
        <v>2.3399799999999998E-2</v>
      </c>
      <c r="Z2693">
        <v>3.469131E-4</v>
      </c>
      <c r="AA2693">
        <v>0.99972609999999995</v>
      </c>
      <c r="AB2693">
        <v>39</v>
      </c>
      <c r="AC2693">
        <v>-67.583200000000005</v>
      </c>
      <c r="AD2693">
        <v>-1.120306545551</v>
      </c>
      <c r="AE2693">
        <v>1.2244999999999699</v>
      </c>
      <c r="AF2693">
        <v>1.5907898543975401</v>
      </c>
      <c r="AG2693">
        <v>-1.120306545551</v>
      </c>
      <c r="AH2693">
        <v>67.557002379794895</v>
      </c>
      <c r="AI2693">
        <v>90.949793036465493</v>
      </c>
      <c r="AJ2693">
        <v>88.651084253992806</v>
      </c>
      <c r="AK2693">
        <v>67.585015126583201</v>
      </c>
      <c r="AL2693">
        <v>93.581957661737206</v>
      </c>
      <c r="AM2693">
        <v>91.380672014160197</v>
      </c>
      <c r="AN2693">
        <v>1.0000000065054799</v>
      </c>
    </row>
    <row r="2694" spans="1:40" x14ac:dyDescent="0.25">
      <c r="A2694" t="str">
        <f>"20190303154150092"</f>
        <v>20190303154150092</v>
      </c>
      <c r="B2694" t="str">
        <f>"1551598910081842"</f>
        <v>1551598910081842</v>
      </c>
      <c r="C2694" t="s">
        <v>40</v>
      </c>
      <c r="D2694">
        <v>5.4443849999999996</v>
      </c>
      <c r="E2694">
        <v>0.51823560000000002</v>
      </c>
      <c r="F2694" t="s">
        <v>51</v>
      </c>
      <c r="G2694">
        <v>-414.5224</v>
      </c>
      <c r="H2694" s="1">
        <v>2.9856280000000002E-6</v>
      </c>
      <c r="I2694">
        <v>284.87169999999998</v>
      </c>
      <c r="J2694">
        <v>-349.8535</v>
      </c>
      <c r="K2694">
        <v>1.1203099999999999</v>
      </c>
      <c r="L2694">
        <v>283.70580000000001</v>
      </c>
      <c r="M2694">
        <v>-0.99993200000000004</v>
      </c>
      <c r="N2694">
        <v>-1.032635E-2</v>
      </c>
      <c r="O2694">
        <v>-5.4264930000000001E-3</v>
      </c>
      <c r="P2694">
        <v>-0.99691730000000001</v>
      </c>
      <c r="Q2694">
        <v>-7.2693010000000002E-2</v>
      </c>
      <c r="R2694">
        <v>-2.952347E-2</v>
      </c>
      <c r="S2694">
        <v>-3.0070800000000002</v>
      </c>
      <c r="T2694">
        <v>-5.1899790000000001E-2</v>
      </c>
      <c r="U2694">
        <v>5.3955080000000002E-2</v>
      </c>
      <c r="V2694">
        <v>-2.4115549999999999E-2</v>
      </c>
      <c r="W2694">
        <v>-6.2392179999999998E-2</v>
      </c>
      <c r="X2694">
        <v>0.99776030000000004</v>
      </c>
      <c r="Y2694">
        <v>2.3359749999999999E-2</v>
      </c>
      <c r="Z2694">
        <v>3.598044E-4</v>
      </c>
      <c r="AA2694">
        <v>0.99972709999999998</v>
      </c>
      <c r="AB2694">
        <v>39</v>
      </c>
      <c r="AC2694">
        <v>-64.668899999999994</v>
      </c>
      <c r="AD2694">
        <v>-1.120307014372</v>
      </c>
      <c r="AE2694">
        <v>1.16589999999996</v>
      </c>
      <c r="AF2694">
        <v>1.5163719286367801</v>
      </c>
      <c r="AG2694">
        <v>-1.120307014372</v>
      </c>
      <c r="AH2694">
        <v>64.642227063758199</v>
      </c>
      <c r="AI2694">
        <v>90.992614163123406</v>
      </c>
      <c r="AJ2694">
        <v>88.656206869032602</v>
      </c>
      <c r="AK2694">
        <v>64.669714638266996</v>
      </c>
      <c r="AL2694">
        <v>93.577132058697799</v>
      </c>
      <c r="AM2694">
        <v>91.384551254728393</v>
      </c>
      <c r="AN2694">
        <v>0.99999998006652202</v>
      </c>
    </row>
    <row r="2695" spans="1:40" x14ac:dyDescent="0.25">
      <c r="A2695" t="str">
        <f>"20190303154150106"</f>
        <v>20190303154150106</v>
      </c>
      <c r="B2695" t="str">
        <f>"1551598910102338"</f>
        <v>1551598910102338</v>
      </c>
      <c r="C2695" t="s">
        <v>40</v>
      </c>
      <c r="D2695">
        <v>5.4365329999999998</v>
      </c>
      <c r="E2695">
        <v>0.51814859999999996</v>
      </c>
      <c r="F2695" t="s">
        <v>51</v>
      </c>
      <c r="G2695">
        <v>-414.48910000000001</v>
      </c>
      <c r="H2695" s="1">
        <v>2.9813460000000002E-6</v>
      </c>
      <c r="I2695">
        <v>284.85309999999998</v>
      </c>
      <c r="J2695">
        <v>-350.07780000000002</v>
      </c>
      <c r="K2695">
        <v>1.1203110000000001</v>
      </c>
      <c r="L2695">
        <v>283.70460000000003</v>
      </c>
      <c r="M2695">
        <v>-0.99993189999999998</v>
      </c>
      <c r="N2695">
        <v>-1.034237E-2</v>
      </c>
      <c r="O2695">
        <v>-5.4266949999999996E-3</v>
      </c>
      <c r="P2695">
        <v>-0.99690679999999998</v>
      </c>
      <c r="Q2695">
        <v>-7.2811719999999996E-2</v>
      </c>
      <c r="R2695">
        <v>-2.9587559999999999E-2</v>
      </c>
      <c r="S2695">
        <v>-3.0070190000000001</v>
      </c>
      <c r="T2695">
        <v>-5.2119609999999997E-2</v>
      </c>
      <c r="U2695">
        <v>5.3375239999999997E-2</v>
      </c>
      <c r="V2695">
        <v>-2.417915E-2</v>
      </c>
      <c r="W2695">
        <v>-6.2495000000000002E-2</v>
      </c>
      <c r="X2695">
        <v>0.99775239999999998</v>
      </c>
      <c r="Y2695">
        <v>2.3167610000000002E-2</v>
      </c>
      <c r="Z2695">
        <v>3.585037E-4</v>
      </c>
      <c r="AA2695">
        <v>0.9997315</v>
      </c>
      <c r="AB2695">
        <v>39</v>
      </c>
      <c r="AC2695">
        <v>-64.411299999999898</v>
      </c>
      <c r="AD2695">
        <v>-1.120308018654</v>
      </c>
      <c r="AE2695">
        <v>1.1484999999999499</v>
      </c>
      <c r="AF2695">
        <v>1.4975893209504001</v>
      </c>
      <c r="AG2695">
        <v>-1.120308018654</v>
      </c>
      <c r="AH2695">
        <v>64.384647271630101</v>
      </c>
      <c r="AI2695">
        <v>90.996589951914402</v>
      </c>
      <c r="AJ2695">
        <v>88.667538275797597</v>
      </c>
      <c r="AK2695">
        <v>64.411805347491295</v>
      </c>
      <c r="AL2695">
        <v>93.583034464663498</v>
      </c>
      <c r="AM2695">
        <v>91.388212295419095</v>
      </c>
      <c r="AN2695">
        <v>1.0000000540127301</v>
      </c>
    </row>
    <row r="2696" spans="1:40" x14ac:dyDescent="0.25">
      <c r="A2696" t="str">
        <f>"20190303154150135"</f>
        <v>20190303154150135</v>
      </c>
      <c r="B2696" t="str">
        <f>"1551598910132594"</f>
        <v>1551598910132594</v>
      </c>
      <c r="C2696" t="s">
        <v>40</v>
      </c>
      <c r="D2696">
        <v>5.4613100000000001</v>
      </c>
      <c r="E2696">
        <v>0.51805310000000004</v>
      </c>
      <c r="F2696" t="s">
        <v>51</v>
      </c>
      <c r="G2696">
        <v>-413.39409999999998</v>
      </c>
      <c r="H2696" s="1">
        <v>2.7909019999999999E-6</v>
      </c>
      <c r="I2696">
        <v>284.8098</v>
      </c>
      <c r="J2696">
        <v>-350.5829</v>
      </c>
      <c r="K2696">
        <v>1.1203000000000001</v>
      </c>
      <c r="L2696">
        <v>283.70179999999999</v>
      </c>
      <c r="M2696">
        <v>-0.99993149999999997</v>
      </c>
      <c r="N2696">
        <v>-1.0379029999999999E-2</v>
      </c>
      <c r="O2696">
        <v>-5.4272419999999997E-3</v>
      </c>
      <c r="P2696">
        <v>-0.9968977</v>
      </c>
      <c r="Q2696">
        <v>-7.2452550000000004E-2</v>
      </c>
      <c r="R2696">
        <v>-3.075636E-2</v>
      </c>
      <c r="S2696">
        <v>-3.0069889999999999</v>
      </c>
      <c r="T2696">
        <v>-5.3205130000000003E-2</v>
      </c>
      <c r="U2696">
        <v>5.2490229999999999E-2</v>
      </c>
      <c r="V2696">
        <v>-2.5347290000000001E-2</v>
      </c>
      <c r="W2696">
        <v>-6.209924E-2</v>
      </c>
      <c r="X2696">
        <v>0.99774810000000003</v>
      </c>
      <c r="Y2696">
        <v>2.287405E-2</v>
      </c>
      <c r="Z2696">
        <v>3.6075590000000002E-4</v>
      </c>
      <c r="AA2696">
        <v>0.99973829999999997</v>
      </c>
      <c r="AB2696">
        <v>39</v>
      </c>
      <c r="AC2696">
        <v>-62.8111999999999</v>
      </c>
      <c r="AD2696">
        <v>-1.1202972090979999</v>
      </c>
      <c r="AE2696">
        <v>1.1080000000000001</v>
      </c>
      <c r="AF2696">
        <v>1.4484329604775299</v>
      </c>
      <c r="AG2696">
        <v>-1.1202972090979999</v>
      </c>
      <c r="AH2696">
        <v>62.784294346865003</v>
      </c>
      <c r="AI2696">
        <v>91.021982048622803</v>
      </c>
      <c r="AJ2696">
        <v>88.678421440170496</v>
      </c>
      <c r="AK2696">
        <v>62.810991398890501</v>
      </c>
      <c r="AL2696">
        <v>93.5603150233853</v>
      </c>
      <c r="AM2696">
        <v>91.4552575234096</v>
      </c>
      <c r="AN2696">
        <v>1.00000003588626</v>
      </c>
    </row>
    <row r="2697" spans="1:40" x14ac:dyDescent="0.25">
      <c r="A2697" t="str">
        <f>"20190303154150157"</f>
        <v>20190303154150157</v>
      </c>
      <c r="B2697" t="str">
        <f>"1551598910152113"</f>
        <v>1551598910152113</v>
      </c>
      <c r="C2697" t="s">
        <v>40</v>
      </c>
      <c r="D2697">
        <v>5.4502280000000001</v>
      </c>
      <c r="E2697">
        <v>0.51798140000000004</v>
      </c>
      <c r="F2697" t="s">
        <v>51</v>
      </c>
      <c r="G2697">
        <v>-414.37369999999999</v>
      </c>
      <c r="H2697" s="1">
        <v>2.9723779999999999E-6</v>
      </c>
      <c r="I2697">
        <v>284.72140000000002</v>
      </c>
      <c r="J2697">
        <v>-350.98320000000001</v>
      </c>
      <c r="K2697">
        <v>1.1202989999999999</v>
      </c>
      <c r="L2697">
        <v>283.69959999999998</v>
      </c>
      <c r="M2697">
        <v>-0.99993120000000002</v>
      </c>
      <c r="N2697">
        <v>-1.0410350000000001E-2</v>
      </c>
      <c r="O2697">
        <v>-5.4276419999999999E-3</v>
      </c>
      <c r="P2697">
        <v>-0.99685159999999995</v>
      </c>
      <c r="Q2697">
        <v>-7.2812260000000004E-2</v>
      </c>
      <c r="R2697">
        <v>-3.1387539999999998E-2</v>
      </c>
      <c r="S2697">
        <v>-3.0070190000000001</v>
      </c>
      <c r="T2697">
        <v>-5.2809479999999999E-2</v>
      </c>
      <c r="U2697">
        <v>4.8065190000000001E-2</v>
      </c>
      <c r="V2697">
        <v>-2.5978560000000001E-2</v>
      </c>
      <c r="W2697">
        <v>-6.2428119999999997E-2</v>
      </c>
      <c r="X2697">
        <v>0.99771129999999997</v>
      </c>
      <c r="Y2697">
        <v>2.14039E-2</v>
      </c>
      <c r="Z2697">
        <v>3.3816530000000002E-4</v>
      </c>
      <c r="AA2697">
        <v>0.99977090000000002</v>
      </c>
      <c r="AB2697">
        <v>39</v>
      </c>
      <c r="AC2697">
        <v>-63.390499999999903</v>
      </c>
      <c r="AD2697">
        <v>-1.120296027622</v>
      </c>
      <c r="AE2697">
        <v>1.02180000000004</v>
      </c>
      <c r="AF2697">
        <v>1.36543813191307</v>
      </c>
      <c r="AG2697">
        <v>-1.120296027622</v>
      </c>
      <c r="AH2697">
        <v>63.364234336219702</v>
      </c>
      <c r="AI2697">
        <v>91.012663602271999</v>
      </c>
      <c r="AJ2697">
        <v>88.765522273610401</v>
      </c>
      <c r="AK2697">
        <v>63.388845055711201</v>
      </c>
      <c r="AL2697">
        <v>93.579195230650697</v>
      </c>
      <c r="AM2697">
        <v>91.491539283405004</v>
      </c>
      <c r="AN2697">
        <v>0.999999996947048</v>
      </c>
    </row>
    <row r="2698" spans="1:40" x14ac:dyDescent="0.25">
      <c r="A2698" t="str">
        <f>"20190303154150179"</f>
        <v>20190303154150179</v>
      </c>
      <c r="B2698" t="str">
        <f>"1551598910171637"</f>
        <v>1551598910171637</v>
      </c>
      <c r="C2698" t="s">
        <v>40</v>
      </c>
      <c r="D2698">
        <v>5.4610310000000002</v>
      </c>
      <c r="E2698">
        <v>0.51790909999999901</v>
      </c>
      <c r="F2698" t="s">
        <v>51</v>
      </c>
      <c r="G2698">
        <v>-412.7921</v>
      </c>
      <c r="H2698" s="1">
        <v>2.6993900000000001E-6</v>
      </c>
      <c r="I2698">
        <v>284.63490000000002</v>
      </c>
      <c r="J2698">
        <v>-351.37</v>
      </c>
      <c r="K2698">
        <v>1.120306</v>
      </c>
      <c r="L2698">
        <v>283.69740000000002</v>
      </c>
      <c r="M2698">
        <v>-0.99993080000000001</v>
      </c>
      <c r="N2698">
        <v>-1.044783E-2</v>
      </c>
      <c r="O2698">
        <v>-5.4283129999999997E-3</v>
      </c>
      <c r="P2698">
        <v>-0.99684189999999995</v>
      </c>
      <c r="Q2698">
        <v>-7.2471030000000006E-2</v>
      </c>
      <c r="R2698">
        <v>-3.2472420000000002E-2</v>
      </c>
      <c r="S2698">
        <v>-3.0069270000000001</v>
      </c>
      <c r="T2698">
        <v>-5.4501059999999997E-2</v>
      </c>
      <c r="U2698">
        <v>4.5501710000000001E-2</v>
      </c>
      <c r="V2698">
        <v>-2.7062940000000001E-2</v>
      </c>
      <c r="W2698">
        <v>-6.2049510000000002E-2</v>
      </c>
      <c r="X2698">
        <v>0.99770610000000004</v>
      </c>
      <c r="Y2698">
        <v>2.0552850000000001E-2</v>
      </c>
      <c r="Z2698">
        <v>3.352912E-4</v>
      </c>
      <c r="AA2698">
        <v>0.99978869999999997</v>
      </c>
      <c r="AB2698">
        <v>39</v>
      </c>
      <c r="AC2698">
        <v>-61.4221</v>
      </c>
      <c r="AD2698">
        <v>-1.1203033006100001</v>
      </c>
      <c r="AE2698">
        <v>0.9375</v>
      </c>
      <c r="AF2698">
        <v>1.2705001638425599</v>
      </c>
      <c r="AG2698">
        <v>-1.1203033006100001</v>
      </c>
      <c r="AH2698">
        <v>61.395685489957799</v>
      </c>
      <c r="AI2698">
        <v>91.045151511976599</v>
      </c>
      <c r="AJ2698">
        <v>88.814511011216197</v>
      </c>
      <c r="AK2698">
        <v>61.419047916208299</v>
      </c>
      <c r="AL2698">
        <v>93.557460315366797</v>
      </c>
      <c r="AM2698">
        <v>91.553776323144604</v>
      </c>
      <c r="AN2698">
        <v>1.0000000031949401</v>
      </c>
    </row>
    <row r="2699" spans="1:40" x14ac:dyDescent="0.25">
      <c r="A2699" t="str">
        <f>"20190303154150202"</f>
        <v>20190303154150202</v>
      </c>
      <c r="B2699" t="str">
        <f>"1551598910192130"</f>
        <v>1551598910192130</v>
      </c>
      <c r="C2699" t="s">
        <v>40</v>
      </c>
      <c r="D2699">
        <v>5.4475790000000002</v>
      </c>
      <c r="E2699">
        <v>0.51784839999999999</v>
      </c>
      <c r="F2699" t="s">
        <v>51</v>
      </c>
      <c r="G2699">
        <v>-413.32100000000003</v>
      </c>
      <c r="H2699" s="1">
        <v>2.7999839999999999E-6</v>
      </c>
      <c r="I2699">
        <v>284.55759999999998</v>
      </c>
      <c r="J2699">
        <v>-351.76870000000002</v>
      </c>
      <c r="K2699">
        <v>1.120312</v>
      </c>
      <c r="L2699">
        <v>283.69529999999997</v>
      </c>
      <c r="M2699">
        <v>-0.99993030000000005</v>
      </c>
      <c r="N2699">
        <v>-1.0493010000000001E-2</v>
      </c>
      <c r="O2699">
        <v>-5.4280680000000003E-3</v>
      </c>
      <c r="P2699">
        <v>-0.99680420000000003</v>
      </c>
      <c r="Q2699">
        <v>-7.2624729999999998E-2</v>
      </c>
      <c r="R2699">
        <v>-3.327509E-2</v>
      </c>
      <c r="S2699">
        <v>-3.0069270000000001</v>
      </c>
      <c r="T2699">
        <v>-5.4376359999999999E-2</v>
      </c>
      <c r="U2699">
        <v>4.1748050000000002E-2</v>
      </c>
      <c r="V2699">
        <v>-2.7865790000000001E-2</v>
      </c>
      <c r="W2699">
        <v>-6.2158409999999997E-2</v>
      </c>
      <c r="X2699">
        <v>0.99767720000000004</v>
      </c>
      <c r="Y2699">
        <v>1.930511E-2</v>
      </c>
      <c r="Z2699">
        <v>3.1703040000000002E-4</v>
      </c>
      <c r="AA2699">
        <v>0.99981359999999997</v>
      </c>
      <c r="AB2699">
        <v>39</v>
      </c>
      <c r="AC2699">
        <v>-61.552299999999903</v>
      </c>
      <c r="AD2699">
        <v>-1.120309200016</v>
      </c>
      <c r="AE2699">
        <v>0.86230000000000395</v>
      </c>
      <c r="AF2699">
        <v>1.19601959882963</v>
      </c>
      <c r="AG2699">
        <v>-1.120309200016</v>
      </c>
      <c r="AH2699">
        <v>61.5263341572945</v>
      </c>
      <c r="AI2699">
        <v>91.042964394678407</v>
      </c>
      <c r="AJ2699">
        <v>88.886359045023596</v>
      </c>
      <c r="AK2699">
        <v>61.548154727981</v>
      </c>
      <c r="AL2699">
        <v>93.563711966047904</v>
      </c>
      <c r="AM2699">
        <v>91.599893407445805</v>
      </c>
      <c r="AN2699">
        <v>0.999999982792946</v>
      </c>
    </row>
    <row r="2700" spans="1:40" x14ac:dyDescent="0.25">
      <c r="A2700" t="str">
        <f>"20190303154150225"</f>
        <v>20190303154150225</v>
      </c>
      <c r="B2700" t="str">
        <f>"1551598910222385"</f>
        <v>1551598910222385</v>
      </c>
      <c r="C2700" t="s">
        <v>40</v>
      </c>
      <c r="D2700">
        <v>5.4996619999999998</v>
      </c>
      <c r="E2700">
        <v>0.51776390000000005</v>
      </c>
      <c r="F2700" t="s">
        <v>51</v>
      </c>
      <c r="G2700">
        <v>-412.77359999999999</v>
      </c>
      <c r="H2700" s="1">
        <v>2.7095730000000002E-6</v>
      </c>
      <c r="I2700">
        <v>284.48099999999999</v>
      </c>
      <c r="J2700">
        <v>-352.17520000000002</v>
      </c>
      <c r="K2700">
        <v>1.12032</v>
      </c>
      <c r="L2700">
        <v>283.69310000000002</v>
      </c>
      <c r="M2700">
        <v>-0.99992959999999997</v>
      </c>
      <c r="N2700">
        <v>-1.05538E-2</v>
      </c>
      <c r="O2700">
        <v>-5.4232319999999896E-3</v>
      </c>
      <c r="P2700">
        <v>-0.99677340000000003</v>
      </c>
      <c r="Q2700">
        <v>-7.2708819999999993E-2</v>
      </c>
      <c r="R2700">
        <v>-3.4005260000000002E-2</v>
      </c>
      <c r="S2700">
        <v>-3.0068969999999999</v>
      </c>
      <c r="T2700">
        <v>-5.5219409999999997E-2</v>
      </c>
      <c r="U2700">
        <v>3.872681E-2</v>
      </c>
      <c r="V2700">
        <v>-2.8601689999999999E-2</v>
      </c>
      <c r="W2700">
        <v>-6.2181960000000001E-2</v>
      </c>
      <c r="X2700">
        <v>0.99765490000000001</v>
      </c>
      <c r="Y2700">
        <v>1.8296130000000001E-2</v>
      </c>
      <c r="Z2700">
        <v>3.0689159999999999E-4</v>
      </c>
      <c r="AA2700">
        <v>0.99983259999999996</v>
      </c>
      <c r="AB2700">
        <v>39</v>
      </c>
      <c r="AC2700">
        <v>-60.598399999999899</v>
      </c>
      <c r="AD2700">
        <v>-1.120317290427</v>
      </c>
      <c r="AE2700">
        <v>0.78789999999997895</v>
      </c>
      <c r="AF2700">
        <v>1.1161644683177301</v>
      </c>
      <c r="AG2700">
        <v>-1.120317290427</v>
      </c>
      <c r="AH2700">
        <v>60.572535941116399</v>
      </c>
      <c r="AI2700">
        <v>91.0594115354547</v>
      </c>
      <c r="AJ2700">
        <v>88.944335489782006</v>
      </c>
      <c r="AK2700">
        <v>60.593176548926699</v>
      </c>
      <c r="AL2700">
        <v>93.565063920591399</v>
      </c>
      <c r="AM2700">
        <v>91.642158402478501</v>
      </c>
      <c r="AN2700">
        <v>0.99999997615715297</v>
      </c>
    </row>
    <row r="2701" spans="1:40" x14ac:dyDescent="0.25">
      <c r="A2701" t="str">
        <f>"20190303154150247"</f>
        <v>20190303154150247</v>
      </c>
      <c r="B2701" t="str">
        <f>"1551598910241906"</f>
        <v>1551598910241906</v>
      </c>
      <c r="C2701" t="s">
        <v>40</v>
      </c>
      <c r="D2701">
        <v>5.4521959999999998</v>
      </c>
      <c r="E2701">
        <v>0.51771120000000004</v>
      </c>
      <c r="F2701" t="s">
        <v>51</v>
      </c>
      <c r="G2701">
        <v>-411.86110000000002</v>
      </c>
      <c r="H2701" s="1">
        <v>2.5543089999999999E-6</v>
      </c>
      <c r="I2701">
        <v>284.40550000000002</v>
      </c>
      <c r="J2701">
        <v>-352.56560000000002</v>
      </c>
      <c r="K2701">
        <v>1.1203339999999999</v>
      </c>
      <c r="L2701">
        <v>283.69099999999997</v>
      </c>
      <c r="M2701">
        <v>-0.99992899999999996</v>
      </c>
      <c r="N2701">
        <v>-1.0641329999999999E-2</v>
      </c>
      <c r="O2701">
        <v>-5.4099100000000004E-3</v>
      </c>
      <c r="P2701">
        <v>-0.9967551</v>
      </c>
      <c r="Q2701">
        <v>-7.2826760000000004E-2</v>
      </c>
      <c r="R2701">
        <v>-3.4293369999999997E-2</v>
      </c>
      <c r="S2701">
        <v>-3.0068049999999999</v>
      </c>
      <c r="T2701">
        <v>-5.6438450000000001E-2</v>
      </c>
      <c r="U2701">
        <v>3.5888669999999998E-2</v>
      </c>
      <c r="V2701">
        <v>-2.8903729999999999E-2</v>
      </c>
      <c r="W2701">
        <v>-6.2212320000000002E-2</v>
      </c>
      <c r="X2701">
        <v>0.99764430000000004</v>
      </c>
      <c r="Y2701">
        <v>1.733966E-2</v>
      </c>
      <c r="Z2701">
        <v>2.9895909999999999E-4</v>
      </c>
      <c r="AA2701">
        <v>0.99984960000000001</v>
      </c>
      <c r="AB2701">
        <v>39</v>
      </c>
      <c r="AC2701">
        <v>-59.295499999999997</v>
      </c>
      <c r="AD2701">
        <v>-1.1203314456909901</v>
      </c>
      <c r="AE2701">
        <v>0.71450000000004299</v>
      </c>
      <c r="AF2701">
        <v>1.0349215460988299</v>
      </c>
      <c r="AG2701">
        <v>-1.1203314456909901</v>
      </c>
      <c r="AH2701">
        <v>59.269611321169499</v>
      </c>
      <c r="AI2701">
        <v>91.082727535931298</v>
      </c>
      <c r="AJ2701">
        <v>88.999645685576795</v>
      </c>
      <c r="AK2701">
        <v>59.289232001412302</v>
      </c>
      <c r="AL2701">
        <v>93.566806803163999</v>
      </c>
      <c r="AM2701">
        <v>91.659507924622901</v>
      </c>
      <c r="AN2701">
        <v>0.99999997384509198</v>
      </c>
    </row>
    <row r="2702" spans="1:40" x14ac:dyDescent="0.25">
      <c r="A2702" t="str">
        <f>"20190303154150270"</f>
        <v>20190303154150270</v>
      </c>
      <c r="B2702" t="str">
        <f>"1551598910262402"</f>
        <v>1551598910262402</v>
      </c>
      <c r="C2702" t="s">
        <v>40</v>
      </c>
      <c r="D2702">
        <v>5.4507469999999998</v>
      </c>
      <c r="E2702">
        <v>0.51765969999999994</v>
      </c>
      <c r="F2702" t="s">
        <v>51</v>
      </c>
      <c r="G2702">
        <v>-411.10669999999999</v>
      </c>
      <c r="H2702" s="1">
        <v>2.4240509999999999E-6</v>
      </c>
      <c r="I2702">
        <v>284.3648</v>
      </c>
      <c r="J2702">
        <v>-352.96559999999999</v>
      </c>
      <c r="K2702">
        <v>1.12035</v>
      </c>
      <c r="L2702">
        <v>283.68880000000001</v>
      </c>
      <c r="M2702">
        <v>-0.99992749999999997</v>
      </c>
      <c r="N2702">
        <v>-1.077758E-2</v>
      </c>
      <c r="O2702">
        <v>-5.3811700000000002E-3</v>
      </c>
      <c r="P2702">
        <v>-0.99677490000000002</v>
      </c>
      <c r="Q2702">
        <v>-7.2780170000000005E-2</v>
      </c>
      <c r="R2702">
        <v>-3.3809699999999998E-2</v>
      </c>
      <c r="S2702">
        <v>-3.0067439999999999</v>
      </c>
      <c r="T2702">
        <v>-5.754161E-2</v>
      </c>
      <c r="U2702">
        <v>3.4606930000000001E-2</v>
      </c>
      <c r="V2702">
        <v>-2.845021E-2</v>
      </c>
      <c r="W2702">
        <v>-6.2028930000000003E-2</v>
      </c>
      <c r="X2702">
        <v>0.99766880000000002</v>
      </c>
      <c r="Y2702">
        <v>1.6884949999999999E-2</v>
      </c>
      <c r="Z2702">
        <v>2.9753260000000003E-4</v>
      </c>
      <c r="AA2702">
        <v>0.99985740000000001</v>
      </c>
      <c r="AB2702">
        <v>39</v>
      </c>
      <c r="AC2702">
        <v>-58.141100000000002</v>
      </c>
      <c r="AD2702">
        <v>-1.120347575949</v>
      </c>
      <c r="AE2702">
        <v>0.67599999999998694</v>
      </c>
      <c r="AF2702">
        <v>0.98850851266539697</v>
      </c>
      <c r="AG2702">
        <v>-1.120347575949</v>
      </c>
      <c r="AH2702">
        <v>58.115044317773801</v>
      </c>
      <c r="AI2702">
        <v>91.104257211818407</v>
      </c>
      <c r="AJ2702">
        <v>89.025520754082805</v>
      </c>
      <c r="AK2702">
        <v>58.134247254328201</v>
      </c>
      <c r="AL2702">
        <v>93.556278837791794</v>
      </c>
      <c r="AM2702">
        <v>91.633443197166798</v>
      </c>
      <c r="AN2702">
        <v>1.00000001854971</v>
      </c>
    </row>
    <row r="2703" spans="1:40" x14ac:dyDescent="0.25">
      <c r="A2703" t="str">
        <f>"20190303154150291"</f>
        <v>20190303154150291</v>
      </c>
      <c r="B2703" t="str">
        <f>"1551598910281923"</f>
        <v>1551598910281923</v>
      </c>
      <c r="C2703" t="s">
        <v>40</v>
      </c>
      <c r="D2703">
        <v>5.449872</v>
      </c>
      <c r="E2703">
        <v>0.51760459999999997</v>
      </c>
      <c r="F2703" t="s">
        <v>51</v>
      </c>
      <c r="G2703">
        <v>-411.19409999999999</v>
      </c>
      <c r="H2703" s="1">
        <v>2.4381399999999998E-6</v>
      </c>
      <c r="I2703">
        <v>284.3809</v>
      </c>
      <c r="J2703">
        <v>-353.34449999999998</v>
      </c>
      <c r="K2703">
        <v>1.1203730000000001</v>
      </c>
      <c r="L2703">
        <v>283.68680000000001</v>
      </c>
      <c r="M2703">
        <v>-0.99992570000000003</v>
      </c>
      <c r="N2703">
        <v>-1.0960259999999999E-2</v>
      </c>
      <c r="O2703">
        <v>-5.34338E-3</v>
      </c>
      <c r="P2703">
        <v>-0.99674790000000002</v>
      </c>
      <c r="Q2703">
        <v>-7.3396580000000003E-2</v>
      </c>
      <c r="R2703">
        <v>-3.3267669999999999E-2</v>
      </c>
      <c r="S2703">
        <v>-3.0067140000000001</v>
      </c>
      <c r="T2703">
        <v>-5.7850840000000001E-2</v>
      </c>
      <c r="U2703">
        <v>3.5736080000000003E-2</v>
      </c>
      <c r="V2703">
        <v>-2.794804E-2</v>
      </c>
      <c r="W2703">
        <v>-6.2462669999999998E-2</v>
      </c>
      <c r="X2703">
        <v>0.99765590000000004</v>
      </c>
      <c r="Y2703">
        <v>1.7222560000000001E-2</v>
      </c>
      <c r="Z2703">
        <v>3.0430129999999998E-4</v>
      </c>
      <c r="AA2703">
        <v>0.99985159999999995</v>
      </c>
      <c r="AB2703">
        <v>39</v>
      </c>
      <c r="AC2703">
        <v>-57.849600000000002</v>
      </c>
      <c r="AD2703">
        <v>-1.1203705618599999</v>
      </c>
      <c r="AE2703">
        <v>0.69409999999999095</v>
      </c>
      <c r="AF2703">
        <v>1.00284494868297</v>
      </c>
      <c r="AG2703">
        <v>-1.1203705618599999</v>
      </c>
      <c r="AH2703">
        <v>57.823379770722099</v>
      </c>
      <c r="AI2703">
        <v>91.109842166700901</v>
      </c>
      <c r="AJ2703">
        <v>89.006404963523806</v>
      </c>
      <c r="AK2703">
        <v>57.842926761153201</v>
      </c>
      <c r="AL2703">
        <v>93.581178708418605</v>
      </c>
      <c r="AM2703">
        <v>91.604647504885307</v>
      </c>
      <c r="AN2703">
        <v>0.99999998644409005</v>
      </c>
    </row>
    <row r="2704" spans="1:40" x14ac:dyDescent="0.25">
      <c r="A2704" t="str">
        <f>"20190303154150314"</f>
        <v>20190303154150314</v>
      </c>
      <c r="B2704" t="str">
        <f>"1551598910302418"</f>
        <v>1551598910302418</v>
      </c>
      <c r="C2704" t="s">
        <v>40</v>
      </c>
      <c r="D2704">
        <v>5.4190339999999999</v>
      </c>
      <c r="E2704">
        <v>0.51754179999999905</v>
      </c>
      <c r="F2704" t="s">
        <v>51</v>
      </c>
      <c r="G2704">
        <v>-409.02080000000001</v>
      </c>
      <c r="H2704" s="1">
        <v>4.4522100000000002E-6</v>
      </c>
      <c r="I2704">
        <v>284.37290000000002</v>
      </c>
      <c r="J2704">
        <v>-353.73860000000002</v>
      </c>
      <c r="K2704">
        <v>1.1204050000000001</v>
      </c>
      <c r="L2704">
        <v>283.6848</v>
      </c>
      <c r="M2704">
        <v>-0.99992329999999996</v>
      </c>
      <c r="N2704">
        <v>-1.1207719999999999E-2</v>
      </c>
      <c r="O2704">
        <v>-5.2977529999999997E-3</v>
      </c>
      <c r="P2704">
        <v>-0.99672169999999904</v>
      </c>
      <c r="Q2704">
        <v>-7.4086150000000003E-2</v>
      </c>
      <c r="R2704">
        <v>-3.2516690000000001E-2</v>
      </c>
      <c r="S2704">
        <v>-3.0065919999999999</v>
      </c>
      <c r="T2704">
        <v>-6.0501340000000001E-2</v>
      </c>
      <c r="U2704">
        <v>3.7048339999999999E-2</v>
      </c>
      <c r="V2704">
        <v>-2.7243679999999999E-2</v>
      </c>
      <c r="W2704">
        <v>-6.2905089999999997E-2</v>
      </c>
      <c r="X2704">
        <v>0.99764759999999997</v>
      </c>
      <c r="Y2704">
        <v>1.7613190000000001E-2</v>
      </c>
      <c r="Z2704">
        <v>3.231331E-4</v>
      </c>
      <c r="AA2704">
        <v>0.99984479999999998</v>
      </c>
      <c r="AB2704">
        <v>39</v>
      </c>
      <c r="AC2704">
        <v>-55.282199999999897</v>
      </c>
      <c r="AD2704">
        <v>-1.1204005477900001</v>
      </c>
      <c r="AE2704">
        <v>0.68810000000001903</v>
      </c>
      <c r="AF2704">
        <v>0.98057742933785597</v>
      </c>
      <c r="AG2704">
        <v>-1.1204005477900001</v>
      </c>
      <c r="AH2704">
        <v>55.255086076564901</v>
      </c>
      <c r="AI2704">
        <v>91.161437429544193</v>
      </c>
      <c r="AJ2704">
        <v>88.983314382072393</v>
      </c>
      <c r="AK2704">
        <v>55.275142395212498</v>
      </c>
      <c r="AL2704">
        <v>93.606577403124504</v>
      </c>
      <c r="AM2704">
        <v>91.564239762246302</v>
      </c>
      <c r="AN2704">
        <v>1.0000000011168</v>
      </c>
    </row>
    <row r="2705" spans="1:40" x14ac:dyDescent="0.25">
      <c r="A2705" t="str">
        <f>"20190303154150335"</f>
        <v>20190303154150335</v>
      </c>
      <c r="B2705" t="str">
        <f>"1551598910332674"</f>
        <v>1551598910332674</v>
      </c>
      <c r="C2705" t="s">
        <v>40</v>
      </c>
      <c r="D2705">
        <v>5.4507859999999999</v>
      </c>
      <c r="E2705">
        <v>0.51747540000000003</v>
      </c>
      <c r="F2705" t="s">
        <v>51</v>
      </c>
      <c r="G2705">
        <v>-407.10980000000001</v>
      </c>
      <c r="H2705" s="1">
        <v>5.3004670000000001E-6</v>
      </c>
      <c r="I2705">
        <v>284.36900000000003</v>
      </c>
      <c r="J2705">
        <v>-354.12599999999998</v>
      </c>
      <c r="K2705">
        <v>1.1204529999999999</v>
      </c>
      <c r="L2705">
        <v>283.68270000000001</v>
      </c>
      <c r="M2705">
        <v>-0.99992009999999998</v>
      </c>
      <c r="N2705">
        <v>-1.150631E-2</v>
      </c>
      <c r="O2705">
        <v>-5.2456859999999899E-3</v>
      </c>
      <c r="P2705">
        <v>-0.99668599999999996</v>
      </c>
      <c r="Q2705">
        <v>-7.4868870000000004E-2</v>
      </c>
      <c r="R2705">
        <v>-3.1809369999999997E-2</v>
      </c>
      <c r="S2705">
        <v>-3.0064389999999999</v>
      </c>
      <c r="T2705">
        <v>-6.3112970000000004E-2</v>
      </c>
      <c r="U2705">
        <v>3.8543699999999903E-2</v>
      </c>
      <c r="V2705">
        <v>-2.6589700000000001E-2</v>
      </c>
      <c r="W2705">
        <v>-6.3390000000000002E-2</v>
      </c>
      <c r="X2705">
        <v>0.99763449999999998</v>
      </c>
      <c r="Y2705">
        <v>1.8058370000000001E-2</v>
      </c>
      <c r="Z2705">
        <v>3.4318519999999999E-4</v>
      </c>
      <c r="AA2705">
        <v>0.99983690000000003</v>
      </c>
      <c r="AB2705">
        <v>39</v>
      </c>
      <c r="AC2705">
        <v>-52.983800000000002</v>
      </c>
      <c r="AD2705">
        <v>-1.1204476995329999</v>
      </c>
      <c r="AE2705">
        <v>0.68630000000001701</v>
      </c>
      <c r="AF2705">
        <v>0.96381437737213904</v>
      </c>
      <c r="AG2705">
        <v>-1.1204476995329999</v>
      </c>
      <c r="AH2705">
        <v>52.955792967581402</v>
      </c>
      <c r="AI2705">
        <v>91.211892379817698</v>
      </c>
      <c r="AJ2705">
        <v>88.957311435912402</v>
      </c>
      <c r="AK2705">
        <v>52.976413147992197</v>
      </c>
      <c r="AL2705">
        <v>93.634416446871896</v>
      </c>
      <c r="AM2705">
        <v>91.526728474691495</v>
      </c>
      <c r="AN2705">
        <v>0.99999994991816799</v>
      </c>
    </row>
    <row r="2706" spans="1:40" x14ac:dyDescent="0.25">
      <c r="A2706" t="str">
        <f>"20190303154150359"</f>
        <v>20190303154150359</v>
      </c>
      <c r="B2706" t="str">
        <f>"1551598910352193"</f>
        <v>1551598910352193</v>
      </c>
      <c r="C2706" t="s">
        <v>40</v>
      </c>
      <c r="D2706">
        <v>5.4637260000000003</v>
      </c>
      <c r="E2706">
        <v>0.5174107</v>
      </c>
      <c r="F2706" t="s">
        <v>51</v>
      </c>
      <c r="G2706">
        <v>-404.9074</v>
      </c>
      <c r="H2706" s="1">
        <v>6.277997E-6</v>
      </c>
      <c r="I2706">
        <v>284.36470000000003</v>
      </c>
      <c r="J2706">
        <v>-354.52339999999998</v>
      </c>
      <c r="K2706">
        <v>1.1205069999999999</v>
      </c>
      <c r="L2706">
        <v>283.68079999999998</v>
      </c>
      <c r="M2706">
        <v>-0.99991629999999998</v>
      </c>
      <c r="N2706">
        <v>-1.185255E-2</v>
      </c>
      <c r="O2706">
        <v>-5.1846679999999999E-3</v>
      </c>
      <c r="P2706">
        <v>-0.99670219999999998</v>
      </c>
      <c r="Q2706">
        <v>-7.4929350000000006E-2</v>
      </c>
      <c r="R2706">
        <v>-3.115093E-2</v>
      </c>
      <c r="S2706">
        <v>-3.0063170000000001</v>
      </c>
      <c r="T2706">
        <v>-6.633174E-2</v>
      </c>
      <c r="U2706">
        <v>4.0374760000000003E-2</v>
      </c>
      <c r="V2706">
        <v>-2.5992680000000001E-2</v>
      </c>
      <c r="W2706">
        <v>-6.31047E-2</v>
      </c>
      <c r="X2706">
        <v>0.99766840000000001</v>
      </c>
      <c r="Y2706">
        <v>1.8605920000000001E-2</v>
      </c>
      <c r="Z2706">
        <v>3.684502E-4</v>
      </c>
      <c r="AA2706">
        <v>0.99982680000000002</v>
      </c>
      <c r="AB2706">
        <v>39</v>
      </c>
      <c r="AC2706">
        <v>-50.384</v>
      </c>
      <c r="AD2706">
        <v>-1.1205007220030001</v>
      </c>
      <c r="AE2706">
        <v>0.68390000000005002</v>
      </c>
      <c r="AF2706">
        <v>0.94466634416902595</v>
      </c>
      <c r="AG2706">
        <v>-1.1205007220030001</v>
      </c>
      <c r="AH2706">
        <v>50.354876608728297</v>
      </c>
      <c r="AI2706">
        <v>91.274515690182596</v>
      </c>
      <c r="AJ2706">
        <v>88.925247168735595</v>
      </c>
      <c r="AK2706">
        <v>50.376199882981197</v>
      </c>
      <c r="AL2706">
        <v>93.618036878654905</v>
      </c>
      <c r="AM2706">
        <v>91.492413748368506</v>
      </c>
      <c r="AN2706">
        <v>1.0000000294671101</v>
      </c>
    </row>
    <row r="2707" spans="1:40" x14ac:dyDescent="0.25">
      <c r="A2707" t="str">
        <f>"20190303154150380"</f>
        <v>20190303154150380</v>
      </c>
      <c r="B2707" t="str">
        <f>"1551598910371714"</f>
        <v>1551598910371714</v>
      </c>
      <c r="C2707" t="s">
        <v>40</v>
      </c>
      <c r="D2707">
        <v>5.453659</v>
      </c>
      <c r="E2707">
        <v>0.51736919999999997</v>
      </c>
      <c r="F2707" t="s">
        <v>51</v>
      </c>
      <c r="G2707">
        <v>-404.66489999999999</v>
      </c>
      <c r="H2707" s="1">
        <v>6.3818449999999901E-6</v>
      </c>
      <c r="I2707">
        <v>284.3827</v>
      </c>
      <c r="J2707">
        <v>-354.9092</v>
      </c>
      <c r="K2707">
        <v>1.1205579999999999</v>
      </c>
      <c r="L2707">
        <v>283.67880000000002</v>
      </c>
      <c r="M2707">
        <v>-0.99991269999999999</v>
      </c>
      <c r="N2707">
        <v>-1.21917E-2</v>
      </c>
      <c r="O2707">
        <v>-5.1215339999999996E-3</v>
      </c>
      <c r="P2707">
        <v>-0.99666429999999995</v>
      </c>
      <c r="Q2707">
        <v>-7.5806570000000004E-2</v>
      </c>
      <c r="R2707">
        <v>-3.0228850000000002E-2</v>
      </c>
      <c r="S2707">
        <v>-3.006195</v>
      </c>
      <c r="T2707">
        <v>-6.7178730000000006E-2</v>
      </c>
      <c r="U2707">
        <v>4.2083740000000001E-2</v>
      </c>
      <c r="V2707">
        <v>-2.5134549999999999E-2</v>
      </c>
      <c r="W2707">
        <v>-6.3643900000000003E-2</v>
      </c>
      <c r="X2707">
        <v>0.99765610000000005</v>
      </c>
      <c r="Y2707">
        <v>1.9111220000000002E-2</v>
      </c>
      <c r="Z2707">
        <v>3.820265E-4</v>
      </c>
      <c r="AA2707">
        <v>0.99981730000000002</v>
      </c>
      <c r="AB2707">
        <v>39</v>
      </c>
      <c r="AC2707">
        <v>-49.755699999999898</v>
      </c>
      <c r="AD2707">
        <v>-1.1205516181549999</v>
      </c>
      <c r="AE2707">
        <v>0.70389999999997599</v>
      </c>
      <c r="AF2707">
        <v>0.95824925603975397</v>
      </c>
      <c r="AG2707">
        <v>-1.1205516181549999</v>
      </c>
      <c r="AH2707">
        <v>49.7262260090463</v>
      </c>
      <c r="AI2707">
        <v>91.290669088057896</v>
      </c>
      <c r="AJ2707">
        <v>88.896018302269596</v>
      </c>
      <c r="AK2707">
        <v>49.748079668148101</v>
      </c>
      <c r="AL2707">
        <v>93.648993123723599</v>
      </c>
      <c r="AM2707">
        <v>91.443181738269899</v>
      </c>
      <c r="AN2707">
        <v>0.99999999273906104</v>
      </c>
    </row>
    <row r="2708" spans="1:40" x14ac:dyDescent="0.25">
      <c r="A2708" t="str">
        <f>"20190303154150402"</f>
        <v>20190303154150402</v>
      </c>
      <c r="B2708" t="str">
        <f>"1551598910392210"</f>
        <v>1551598910392210</v>
      </c>
      <c r="C2708" t="s">
        <v>40</v>
      </c>
      <c r="D2708">
        <v>5.4910110000000003</v>
      </c>
      <c r="E2708">
        <v>0.51732690000000003</v>
      </c>
      <c r="F2708" t="s">
        <v>51</v>
      </c>
      <c r="G2708">
        <v>-402.76080000000002</v>
      </c>
      <c r="H2708" s="1">
        <v>7.2250189999999997E-6</v>
      </c>
      <c r="I2708">
        <v>284.38850000000002</v>
      </c>
      <c r="J2708">
        <v>-355.30279999999999</v>
      </c>
      <c r="K2708">
        <v>1.1205940000000001</v>
      </c>
      <c r="L2708">
        <v>283.67680000000001</v>
      </c>
      <c r="M2708">
        <v>-0.99990880000000004</v>
      </c>
      <c r="N2708">
        <v>-1.251883E-2</v>
      </c>
      <c r="O2708">
        <v>-5.0554040000000003E-3</v>
      </c>
      <c r="P2708">
        <v>-0.99662329999999999</v>
      </c>
      <c r="Q2708">
        <v>-7.6565460000000002E-2</v>
      </c>
      <c r="R2708">
        <v>-2.9658199999999999E-2</v>
      </c>
      <c r="S2708">
        <v>-3.0060730000000002</v>
      </c>
      <c r="T2708">
        <v>-7.0393799999999895E-2</v>
      </c>
      <c r="U2708">
        <v>4.4586180000000003E-2</v>
      </c>
      <c r="V2708">
        <v>-2.4630550000000001E-2</v>
      </c>
      <c r="W2708">
        <v>-6.4076839999999996E-2</v>
      </c>
      <c r="X2708">
        <v>0.997641</v>
      </c>
      <c r="Y2708">
        <v>1.98768E-2</v>
      </c>
      <c r="Z2708">
        <v>4.1221889999999998E-4</v>
      </c>
      <c r="AA2708">
        <v>0.99980239999999998</v>
      </c>
      <c r="AB2708">
        <v>39</v>
      </c>
      <c r="AC2708">
        <v>-47.457999999999998</v>
      </c>
      <c r="AD2708">
        <v>-1.1205867749809999</v>
      </c>
      <c r="AE2708">
        <v>0.71170000000000699</v>
      </c>
      <c r="AF2708">
        <v>0.95109893139090795</v>
      </c>
      <c r="AG2708">
        <v>-1.1205867749809999</v>
      </c>
      <c r="AH2708">
        <v>47.427358776923697</v>
      </c>
      <c r="AI2708">
        <v>91.353228427450205</v>
      </c>
      <c r="AJ2708">
        <v>88.8511556867319</v>
      </c>
      <c r="AK2708">
        <v>47.450128181624599</v>
      </c>
      <c r="AL2708">
        <v>93.673849338606104</v>
      </c>
      <c r="AM2708">
        <v>91.414276213174503</v>
      </c>
      <c r="AN2708">
        <v>1.0000000351493401</v>
      </c>
    </row>
    <row r="2709" spans="1:40" x14ac:dyDescent="0.25">
      <c r="A2709" t="str">
        <f>"20190303154150425"</f>
        <v>20190303154150425</v>
      </c>
      <c r="B2709" t="str">
        <f>"1551598910422465"</f>
        <v>1551598910422465</v>
      </c>
      <c r="C2709" t="s">
        <v>40</v>
      </c>
      <c r="D2709">
        <v>5.4451450000000001</v>
      </c>
      <c r="E2709">
        <v>0.51722860000000004</v>
      </c>
      <c r="F2709" t="s">
        <v>51</v>
      </c>
      <c r="G2709">
        <v>-401.48090000000002</v>
      </c>
      <c r="H2709" s="1">
        <v>7.7937619999999992E-6</v>
      </c>
      <c r="I2709">
        <v>284.38290000000001</v>
      </c>
      <c r="J2709">
        <v>-355.702</v>
      </c>
      <c r="K2709">
        <v>1.1206199999999999</v>
      </c>
      <c r="L2709">
        <v>283.67489999999998</v>
      </c>
      <c r="M2709">
        <v>-0.99990540000000006</v>
      </c>
      <c r="N2709">
        <v>-1.2823090000000001E-2</v>
      </c>
      <c r="O2709">
        <v>-4.9885850000000002E-3</v>
      </c>
      <c r="P2709">
        <v>-0.99655000000000005</v>
      </c>
      <c r="Q2709">
        <v>-7.7491519999999994E-2</v>
      </c>
      <c r="R2709">
        <v>-2.972147E-2</v>
      </c>
      <c r="S2709">
        <v>-3.0058590000000001</v>
      </c>
      <c r="T2709">
        <v>-7.2942019999999996E-2</v>
      </c>
      <c r="U2709">
        <v>4.5959470000000002E-2</v>
      </c>
      <c r="V2709">
        <v>-2.4760850000000001E-2</v>
      </c>
      <c r="W2709">
        <v>-6.4699989999999999E-2</v>
      </c>
      <c r="X2709">
        <v>0.99759750000000003</v>
      </c>
      <c r="Y2709">
        <v>2.0266949999999999E-2</v>
      </c>
      <c r="Z2709">
        <v>4.3290789999999999E-4</v>
      </c>
      <c r="AA2709">
        <v>0.99979450000000003</v>
      </c>
      <c r="AB2709">
        <v>39</v>
      </c>
      <c r="AC2709">
        <v>-45.7789</v>
      </c>
      <c r="AD2709">
        <v>-1.120612206238</v>
      </c>
      <c r="AE2709">
        <v>0.70800000000002605</v>
      </c>
      <c r="AF2709">
        <v>0.93582126578227698</v>
      </c>
      <c r="AG2709">
        <v>-1.120612206238</v>
      </c>
      <c r="AH2709">
        <v>45.747392268976299</v>
      </c>
      <c r="AI2709">
        <v>91.402923481807093</v>
      </c>
      <c r="AJ2709">
        <v>88.828105186783205</v>
      </c>
      <c r="AK2709">
        <v>45.770683112335703</v>
      </c>
      <c r="AL2709">
        <v>93.709627649738707</v>
      </c>
      <c r="AM2709">
        <v>91.421816893464595</v>
      </c>
      <c r="AN2709">
        <v>0.99999998020248604</v>
      </c>
    </row>
    <row r="2710" spans="1:40" x14ac:dyDescent="0.25">
      <c r="A2710" t="str">
        <f>"20190303154150449"</f>
        <v>20190303154150449</v>
      </c>
      <c r="B2710" t="str">
        <f>"1551598910441986"</f>
        <v>1551598910441986</v>
      </c>
      <c r="C2710" t="s">
        <v>40</v>
      </c>
      <c r="D2710">
        <v>5.4490449999999999</v>
      </c>
      <c r="E2710">
        <v>0.51716549999999994</v>
      </c>
      <c r="F2710" t="s">
        <v>50</v>
      </c>
      <c r="G2710">
        <v>-399.83280000000002</v>
      </c>
      <c r="H2710" s="1">
        <v>3.6957119999999999E-6</v>
      </c>
      <c r="I2710">
        <v>284.33260000000001</v>
      </c>
      <c r="J2710">
        <v>-356.10860000000002</v>
      </c>
      <c r="K2710">
        <v>1.120638</v>
      </c>
      <c r="L2710">
        <v>283.67290000000003</v>
      </c>
      <c r="M2710">
        <v>-0.99990210000000002</v>
      </c>
      <c r="N2710">
        <v>-1.310352E-2</v>
      </c>
      <c r="O2710">
        <v>-4.9214209999999996E-3</v>
      </c>
      <c r="P2710">
        <v>-0.99655400000000005</v>
      </c>
      <c r="Q2710">
        <v>-7.7218759999999997E-2</v>
      </c>
      <c r="R2710">
        <v>-3.0289070000000001E-2</v>
      </c>
      <c r="S2710">
        <v>-3.0058289999999999</v>
      </c>
      <c r="T2710">
        <v>-7.6327199999999998E-2</v>
      </c>
      <c r="U2710">
        <v>4.4799800000000001E-2</v>
      </c>
      <c r="V2710">
        <v>-2.539632E-2</v>
      </c>
      <c r="W2710">
        <v>-6.4147129999999997E-2</v>
      </c>
      <c r="X2710">
        <v>0.99761719999999998</v>
      </c>
      <c r="Y2710">
        <v>1.981372E-2</v>
      </c>
      <c r="Z2710">
        <v>4.418321E-4</v>
      </c>
      <c r="AA2710">
        <v>0.99980360000000001</v>
      </c>
      <c r="AB2710">
        <v>39</v>
      </c>
      <c r="AC2710">
        <v>-43.724200000000003</v>
      </c>
      <c r="AD2710">
        <v>-1.120634304288</v>
      </c>
      <c r="AE2710">
        <v>0.65969999999998596</v>
      </c>
      <c r="AF2710">
        <v>0.87432147662276705</v>
      </c>
      <c r="AG2710">
        <v>-1.120634304288</v>
      </c>
      <c r="AH2710">
        <v>43.691729895142501</v>
      </c>
      <c r="AI2710">
        <v>91.468943858534004</v>
      </c>
      <c r="AJ2710">
        <v>88.853598941830697</v>
      </c>
      <c r="AK2710">
        <v>43.714843251675099</v>
      </c>
      <c r="AL2710">
        <v>93.677885265473407</v>
      </c>
      <c r="AM2710">
        <v>91.458262491149497</v>
      </c>
      <c r="AN2710">
        <v>0.99999995254630802</v>
      </c>
    </row>
    <row r="2711" spans="1:40" x14ac:dyDescent="0.25">
      <c r="A2711" t="str">
        <f>"20190303154150470"</f>
        <v>20190303154150470</v>
      </c>
      <c r="B2711" t="str">
        <f>"1551598910462488"</f>
        <v>1551598910462488</v>
      </c>
      <c r="C2711" t="s">
        <v>40</v>
      </c>
      <c r="D2711">
        <v>5.4501629999999999</v>
      </c>
      <c r="E2711">
        <v>0.51711099999999999</v>
      </c>
      <c r="F2711" t="s">
        <v>51</v>
      </c>
      <c r="G2711">
        <v>-400.40190000000001</v>
      </c>
      <c r="H2711" s="1">
        <v>8.2890679999999906E-6</v>
      </c>
      <c r="I2711">
        <v>284.30160000000001</v>
      </c>
      <c r="J2711">
        <v>-356.48079999999999</v>
      </c>
      <c r="K2711">
        <v>1.120652</v>
      </c>
      <c r="L2711">
        <v>283.67110000000002</v>
      </c>
      <c r="M2711">
        <v>-0.99989930000000005</v>
      </c>
      <c r="N2711">
        <v>-1.3333970000000001E-2</v>
      </c>
      <c r="O2711">
        <v>-4.8605360000000004E-3</v>
      </c>
      <c r="P2711">
        <v>-0.99654580000000004</v>
      </c>
      <c r="Q2711">
        <v>-7.7049199999999998E-2</v>
      </c>
      <c r="R2711">
        <v>-3.098279E-2</v>
      </c>
      <c r="S2711">
        <v>-3.005798</v>
      </c>
      <c r="T2711">
        <v>-7.6047420000000004E-2</v>
      </c>
      <c r="U2711">
        <v>4.2663569999999998E-2</v>
      </c>
      <c r="V2711">
        <v>-2.6150980000000001E-2</v>
      </c>
      <c r="W2711">
        <v>-6.3747440000000002E-2</v>
      </c>
      <c r="X2711">
        <v>0.99762340000000005</v>
      </c>
      <c r="Y2711">
        <v>1.9042989999999999E-2</v>
      </c>
      <c r="Z2711">
        <v>4.2599080000000001E-4</v>
      </c>
      <c r="AA2711">
        <v>0.9998186</v>
      </c>
      <c r="AB2711">
        <v>39</v>
      </c>
      <c r="AC2711">
        <v>-43.921100000000003</v>
      </c>
      <c r="AD2711">
        <v>-1.120643710932</v>
      </c>
      <c r="AE2711">
        <v>0.63049999999998296</v>
      </c>
      <c r="AF2711">
        <v>0.84344263802303598</v>
      </c>
      <c r="AG2711">
        <v>-1.120643710932</v>
      </c>
      <c r="AH2711">
        <v>43.888949923580498</v>
      </c>
      <c r="AI2711">
        <v>91.462380874645504</v>
      </c>
      <c r="AJ2711">
        <v>88.899045075475101</v>
      </c>
      <c r="AK2711">
        <v>43.911355743190697</v>
      </c>
      <c r="AL2711">
        <v>93.654937466942698</v>
      </c>
      <c r="AM2711">
        <v>91.501566360214696</v>
      </c>
      <c r="AN2711">
        <v>1.0000000290445299</v>
      </c>
    </row>
    <row r="2712" spans="1:40" x14ac:dyDescent="0.25">
      <c r="A2712" t="str">
        <f>"20190303154150492"</f>
        <v>20190303154150492</v>
      </c>
      <c r="B2712" t="str">
        <f>"1551598910482003"</f>
        <v>1551598910482003</v>
      </c>
      <c r="C2712" t="s">
        <v>40</v>
      </c>
      <c r="D2712">
        <v>5.4266300000000003</v>
      </c>
      <c r="E2712">
        <v>0.5170553</v>
      </c>
      <c r="F2712" t="s">
        <v>51</v>
      </c>
      <c r="G2712">
        <v>-400.81169999999997</v>
      </c>
      <c r="H2712" s="1">
        <v>8.1151229999999992E-6</v>
      </c>
      <c r="I2712">
        <v>284.26389999999998</v>
      </c>
      <c r="J2712">
        <v>-356.87189999999998</v>
      </c>
      <c r="K2712">
        <v>1.120671</v>
      </c>
      <c r="L2712">
        <v>283.66930000000002</v>
      </c>
      <c r="M2712">
        <v>-0.99989680000000003</v>
      </c>
      <c r="N2712">
        <v>-1.3550390000000001E-2</v>
      </c>
      <c r="O2712">
        <v>-4.7968489999999997E-3</v>
      </c>
      <c r="P2712">
        <v>-0.99648890000000001</v>
      </c>
      <c r="Q2712">
        <v>-7.7329019999999998E-2</v>
      </c>
      <c r="R2712">
        <v>-3.2102980000000003E-2</v>
      </c>
      <c r="S2712">
        <v>-3.0057680000000002</v>
      </c>
      <c r="T2712">
        <v>-7.5983049999999996E-2</v>
      </c>
      <c r="U2712">
        <v>4.0191650000000002E-2</v>
      </c>
      <c r="V2712">
        <v>-2.7335350000000001E-2</v>
      </c>
      <c r="W2712">
        <v>-6.3811690000000004E-2</v>
      </c>
      <c r="X2712">
        <v>0.99758749999999996</v>
      </c>
      <c r="Y2712">
        <v>1.8157779999999998E-2</v>
      </c>
      <c r="Z2712">
        <v>4.0876459999999998E-4</v>
      </c>
      <c r="AA2712">
        <v>0.99983509999999998</v>
      </c>
      <c r="AB2712">
        <v>39</v>
      </c>
      <c r="AC2712">
        <v>-43.939799999999899</v>
      </c>
      <c r="AD2712">
        <v>-1.1206628848769999</v>
      </c>
      <c r="AE2712">
        <v>0.59459999999995705</v>
      </c>
      <c r="AF2712">
        <v>0.80486162156114505</v>
      </c>
      <c r="AG2712">
        <v>-1.1206628848769999</v>
      </c>
      <c r="AH2712">
        <v>43.907885949785801</v>
      </c>
      <c r="AI2712">
        <v>91.461799793632906</v>
      </c>
      <c r="AJ2712">
        <v>88.949846731712398</v>
      </c>
      <c r="AK2712">
        <v>43.929558797133403</v>
      </c>
      <c r="AL2712">
        <v>93.658626386276296</v>
      </c>
      <c r="AM2712">
        <v>91.569595022528503</v>
      </c>
      <c r="AN2712">
        <v>0.99999998664826395</v>
      </c>
    </row>
    <row r="2713" spans="1:40" x14ac:dyDescent="0.25">
      <c r="A2713" t="str">
        <f>"20190303154150514"</f>
        <v>20190303154150514</v>
      </c>
      <c r="B2713" t="str">
        <f>"1551598910502497"</f>
        <v>1551598910502497</v>
      </c>
      <c r="C2713" t="s">
        <v>40</v>
      </c>
      <c r="D2713">
        <v>5.4716310000000004</v>
      </c>
      <c r="E2713">
        <v>0.51701379999999997</v>
      </c>
      <c r="F2713" t="s">
        <v>51</v>
      </c>
      <c r="G2713">
        <v>-400.51209999999998</v>
      </c>
      <c r="H2713" s="1">
        <v>8.2624489999999997E-6</v>
      </c>
      <c r="I2713">
        <v>284.19389999999999</v>
      </c>
      <c r="J2713">
        <v>-357.24689999999998</v>
      </c>
      <c r="K2713">
        <v>1.1206830000000001</v>
      </c>
      <c r="L2713">
        <v>283.66759999999999</v>
      </c>
      <c r="M2713">
        <v>-0.99989450000000002</v>
      </c>
      <c r="N2713">
        <v>-1.373398E-2</v>
      </c>
      <c r="O2713">
        <v>-4.735001E-3</v>
      </c>
      <c r="P2713">
        <v>-0.996421</v>
      </c>
      <c r="Q2713">
        <v>-7.7922899999999906E-2</v>
      </c>
      <c r="R2713">
        <v>-3.2761640000000002E-2</v>
      </c>
      <c r="S2713">
        <v>-3.0057680000000002</v>
      </c>
      <c r="T2713">
        <v>-7.7186820000000003E-2</v>
      </c>
      <c r="U2713">
        <v>3.6132810000000001E-2</v>
      </c>
      <c r="V2713">
        <v>-2.8055739999999999E-2</v>
      </c>
      <c r="W2713">
        <v>-6.4223039999999995E-2</v>
      </c>
      <c r="X2713">
        <v>0.99754109999999996</v>
      </c>
      <c r="Y2713">
        <v>1.674645E-2</v>
      </c>
      <c r="Z2713">
        <v>3.8655699999999999E-4</v>
      </c>
      <c r="AA2713">
        <v>0.99985970000000002</v>
      </c>
      <c r="AB2713">
        <v>39</v>
      </c>
      <c r="AC2713">
        <v>-43.265199999999901</v>
      </c>
      <c r="AD2713">
        <v>-1.120674737551</v>
      </c>
      <c r="AE2713">
        <v>0.526299999999992</v>
      </c>
      <c r="AF2713">
        <v>0.73068401172937703</v>
      </c>
      <c r="AG2713">
        <v>-1.120674737551</v>
      </c>
      <c r="AH2713">
        <v>43.2332201570796</v>
      </c>
      <c r="AI2713">
        <v>91.484654491533902</v>
      </c>
      <c r="AJ2713">
        <v>89.031737067051495</v>
      </c>
      <c r="AK2713">
        <v>43.253914691538597</v>
      </c>
      <c r="AL2713">
        <v>93.6822434561535</v>
      </c>
      <c r="AM2713">
        <v>91.611013171496495</v>
      </c>
      <c r="AN2713">
        <v>0.99999998480149899</v>
      </c>
    </row>
    <row r="2714" spans="1:40" x14ac:dyDescent="0.25">
      <c r="A2714" t="str">
        <f>"20190303154150537"</f>
        <v>20190303154150537</v>
      </c>
      <c r="B2714" t="str">
        <f>"1551598910532755"</f>
        <v>1551598910532755</v>
      </c>
      <c r="C2714" t="s">
        <v>40</v>
      </c>
      <c r="D2714">
        <v>5.4502269999999999</v>
      </c>
      <c r="E2714">
        <v>0.51693029999999995</v>
      </c>
      <c r="F2714" t="s">
        <v>50</v>
      </c>
      <c r="G2714">
        <v>-399.73680000000002</v>
      </c>
      <c r="H2714" s="1">
        <v>3.644654E-6</v>
      </c>
      <c r="I2714">
        <v>284.14769999999999</v>
      </c>
      <c r="J2714">
        <v>-357.64109999999999</v>
      </c>
      <c r="K2714">
        <v>1.120692</v>
      </c>
      <c r="L2714">
        <v>283.66570000000002</v>
      </c>
      <c r="M2714">
        <v>-0.99989240000000001</v>
      </c>
      <c r="N2714">
        <v>-1.390336E-2</v>
      </c>
      <c r="O2714">
        <v>-4.6696230000000003E-3</v>
      </c>
      <c r="P2714">
        <v>-0.99640609999999996</v>
      </c>
      <c r="Q2714">
        <v>-7.8047800000000001E-2</v>
      </c>
      <c r="R2714">
        <v>-3.2915989999999999E-2</v>
      </c>
      <c r="S2714">
        <v>-3.0057070000000001</v>
      </c>
      <c r="T2714">
        <v>-7.9276079999999999E-2</v>
      </c>
      <c r="U2714">
        <v>3.3966059999999999E-2</v>
      </c>
      <c r="V2714">
        <v>-2.8275580000000002E-2</v>
      </c>
      <c r="W2714">
        <v>-6.4179089999999994E-2</v>
      </c>
      <c r="X2714">
        <v>0.99753769999999997</v>
      </c>
      <c r="Y2714">
        <v>1.5960619999999998E-2</v>
      </c>
      <c r="Z2714">
        <v>3.7964869999999998E-4</v>
      </c>
      <c r="AA2714">
        <v>0.9998726</v>
      </c>
      <c r="AB2714">
        <v>39</v>
      </c>
      <c r="AC2714">
        <v>-42.095700000000001</v>
      </c>
      <c r="AD2714">
        <v>-1.1206883553460001</v>
      </c>
      <c r="AE2714">
        <v>0.48199999999997001</v>
      </c>
      <c r="AF2714">
        <v>0.67810425759897297</v>
      </c>
      <c r="AG2714">
        <v>-1.1206883553460001</v>
      </c>
      <c r="AH2714">
        <v>42.063181523871798</v>
      </c>
      <c r="AI2714">
        <v>91.525970872033398</v>
      </c>
      <c r="AJ2714">
        <v>89.076409692249698</v>
      </c>
      <c r="AK2714">
        <v>42.083571707783697</v>
      </c>
      <c r="AL2714">
        <v>93.679720179486097</v>
      </c>
      <c r="AM2714">
        <v>91.623635596591598</v>
      </c>
      <c r="AN2714">
        <v>0.99999996346942599</v>
      </c>
    </row>
    <row r="2715" spans="1:40" x14ac:dyDescent="0.25">
      <c r="A2715" t="str">
        <f>"20190303154150559"</f>
        <v>20190303154150559</v>
      </c>
      <c r="B2715" t="str">
        <f>"1551598910552277"</f>
        <v>1551598910552277</v>
      </c>
      <c r="C2715" t="s">
        <v>40</v>
      </c>
      <c r="D2715">
        <v>5.4507989999999999</v>
      </c>
      <c r="E2715">
        <v>0.51688489999999998</v>
      </c>
      <c r="F2715" t="s">
        <v>50</v>
      </c>
      <c r="G2715">
        <v>-399.55130000000003</v>
      </c>
      <c r="H2715" s="1">
        <v>3.5459530000000002E-6</v>
      </c>
      <c r="I2715">
        <v>284.12569999999999</v>
      </c>
      <c r="J2715">
        <v>-358.02969999999999</v>
      </c>
      <c r="K2715">
        <v>1.1206969999999901</v>
      </c>
      <c r="L2715">
        <v>283.66390000000001</v>
      </c>
      <c r="M2715">
        <v>-0.99989070000000002</v>
      </c>
      <c r="N2715">
        <v>-1.4048130000000001E-2</v>
      </c>
      <c r="O2715">
        <v>-4.6050459999999998E-3</v>
      </c>
      <c r="P2715">
        <v>-0.99644169999999999</v>
      </c>
      <c r="Q2715">
        <v>-7.7895850000000003E-2</v>
      </c>
      <c r="R2715">
        <v>-3.2192909999999998E-2</v>
      </c>
      <c r="S2715">
        <v>-3.0056150000000001</v>
      </c>
      <c r="T2715">
        <v>-8.0370780000000003E-2</v>
      </c>
      <c r="U2715">
        <v>3.2989499999999998E-2</v>
      </c>
      <c r="V2715">
        <v>-2.7616829999999998E-2</v>
      </c>
      <c r="W2715">
        <v>-6.3882389999999997E-2</v>
      </c>
      <c r="X2715">
        <v>0.9975752</v>
      </c>
      <c r="Y2715">
        <v>1.557154E-2</v>
      </c>
      <c r="Z2715">
        <v>3.7599060000000003E-4</v>
      </c>
      <c r="AA2715">
        <v>0.99987870000000001</v>
      </c>
      <c r="AB2715">
        <v>39</v>
      </c>
      <c r="AC2715">
        <v>-41.521599999999999</v>
      </c>
      <c r="AD2715">
        <v>-1.1206934540469999</v>
      </c>
      <c r="AE2715">
        <v>0.461799999999982</v>
      </c>
      <c r="AF2715">
        <v>0.652547536127979</v>
      </c>
      <c r="AG2715">
        <v>-1.1206934540469999</v>
      </c>
      <c r="AH2715">
        <v>41.488812247835497</v>
      </c>
      <c r="AI2715">
        <v>91.547102854087996</v>
      </c>
      <c r="AJ2715">
        <v>89.098910400963405</v>
      </c>
      <c r="AK2715">
        <v>41.509075078119899</v>
      </c>
      <c r="AL2715">
        <v>93.662685561497497</v>
      </c>
      <c r="AM2715">
        <v>91.585768927989605</v>
      </c>
      <c r="AN2715">
        <v>0.99999996435319904</v>
      </c>
    </row>
    <row r="2716" spans="1:40" x14ac:dyDescent="0.25">
      <c r="A2716" t="str">
        <f>"20190303154150581"</f>
        <v>20190303154150581</v>
      </c>
      <c r="B2716" t="str">
        <f>"1551598910571794"</f>
        <v>1551598910571794</v>
      </c>
      <c r="C2716" t="s">
        <v>40</v>
      </c>
      <c r="D2716">
        <v>5.4555910000000001</v>
      </c>
      <c r="E2716">
        <v>0.51686909999999997</v>
      </c>
      <c r="F2716" t="s">
        <v>51</v>
      </c>
      <c r="G2716">
        <v>-400.00200000000001</v>
      </c>
      <c r="H2716" s="1">
        <v>8.4978470000000004E-6</v>
      </c>
      <c r="I2716">
        <v>284.14940000000001</v>
      </c>
      <c r="J2716">
        <v>-358.42149999999998</v>
      </c>
      <c r="K2716">
        <v>1.1206929999999999</v>
      </c>
      <c r="L2716">
        <v>283.66219999999998</v>
      </c>
      <c r="M2716">
        <v>-0.99988929999999998</v>
      </c>
      <c r="N2716">
        <v>-1.417527E-2</v>
      </c>
      <c r="O2716">
        <v>-4.5396439999999998E-3</v>
      </c>
      <c r="P2716">
        <v>-0.99643530000000002</v>
      </c>
      <c r="Q2716">
        <v>-7.8193750000000006E-2</v>
      </c>
      <c r="R2716">
        <v>-3.1665020000000002E-2</v>
      </c>
      <c r="S2716">
        <v>-3.005585</v>
      </c>
      <c r="T2716">
        <v>-8.0251100000000006E-2</v>
      </c>
      <c r="U2716">
        <v>3.4759520000000002E-2</v>
      </c>
      <c r="V2716">
        <v>-2.715416E-2</v>
      </c>
      <c r="W2716">
        <v>-6.4053650000000004E-2</v>
      </c>
      <c r="X2716">
        <v>0.99757700000000005</v>
      </c>
      <c r="Y2716">
        <v>1.609474E-2</v>
      </c>
      <c r="Z2716">
        <v>3.8577920000000001E-4</v>
      </c>
      <c r="AA2716">
        <v>0.99987040000000005</v>
      </c>
      <c r="AB2716">
        <v>39</v>
      </c>
      <c r="AC2716">
        <v>-41.580499999999901</v>
      </c>
      <c r="AD2716">
        <v>-1.1206845021530001</v>
      </c>
      <c r="AE2716">
        <v>0.487200000000029</v>
      </c>
      <c r="AF2716">
        <v>0.67548398140769905</v>
      </c>
      <c r="AG2716">
        <v>-1.1206845021530001</v>
      </c>
      <c r="AH2716">
        <v>41.547682630368101</v>
      </c>
      <c r="AI2716">
        <v>91.544886358312993</v>
      </c>
      <c r="AJ2716">
        <v>89.068564854513696</v>
      </c>
      <c r="AK2716">
        <v>41.568282912772602</v>
      </c>
      <c r="AL2716">
        <v>93.672517879251203</v>
      </c>
      <c r="AM2716">
        <v>91.559212653886206</v>
      </c>
      <c r="AN2716">
        <v>1.00000004470631</v>
      </c>
    </row>
    <row r="2717" spans="1:40" x14ac:dyDescent="0.25">
      <c r="A2717" t="str">
        <f>"20190303154150604"</f>
        <v>20190303154150604</v>
      </c>
      <c r="B2717" t="str">
        <f>"1551598910592293"</f>
        <v>1551598910592293</v>
      </c>
      <c r="C2717" t="s">
        <v>40</v>
      </c>
      <c r="D2717">
        <v>5.4716069999999997</v>
      </c>
      <c r="E2717">
        <v>0.51687939999999999</v>
      </c>
      <c r="F2717" t="s">
        <v>50</v>
      </c>
      <c r="G2717">
        <v>-399.76510000000002</v>
      </c>
      <c r="H2717" s="1">
        <v>3.6597260000000002E-6</v>
      </c>
      <c r="I2717">
        <v>284.15800000000002</v>
      </c>
      <c r="J2717">
        <v>-358.81079999999997</v>
      </c>
      <c r="K2717">
        <v>1.1206969999999901</v>
      </c>
      <c r="L2717">
        <v>283.66059999999999</v>
      </c>
      <c r="M2717">
        <v>-0.99988790000000005</v>
      </c>
      <c r="N2717">
        <v>-1.428459E-2</v>
      </c>
      <c r="O2717">
        <v>-4.4748419999999997E-3</v>
      </c>
      <c r="P2717">
        <v>-0.99645450000000002</v>
      </c>
      <c r="Q2717">
        <v>-7.8180879999999994E-2</v>
      </c>
      <c r="R2717">
        <v>-3.1082829999999999E-2</v>
      </c>
      <c r="S2717">
        <v>-3.0054630000000002</v>
      </c>
      <c r="T2717">
        <v>-8.1468219999999994E-2</v>
      </c>
      <c r="U2717">
        <v>3.6041259999999999E-2</v>
      </c>
      <c r="V2717">
        <v>-2.663635E-2</v>
      </c>
      <c r="W2717">
        <v>-6.3931600000000005E-2</v>
      </c>
      <c r="X2717">
        <v>0.99759880000000001</v>
      </c>
      <c r="Y2717">
        <v>1.645632E-2</v>
      </c>
      <c r="Z2717">
        <v>3.9792419999999998E-4</v>
      </c>
      <c r="AA2717">
        <v>0.99986450000000004</v>
      </c>
      <c r="AB2717">
        <v>39</v>
      </c>
      <c r="AC2717">
        <v>-40.954300000000003</v>
      </c>
      <c r="AD2717">
        <v>-1.12069334027399</v>
      </c>
      <c r="AE2717">
        <v>0.49740000000002699</v>
      </c>
      <c r="AF2717">
        <v>0.68016850610867097</v>
      </c>
      <c r="AG2717">
        <v>-1.12069334027399</v>
      </c>
      <c r="AH2717">
        <v>40.921026100632098</v>
      </c>
      <c r="AI2717">
        <v>91.568535713023493</v>
      </c>
      <c r="AJ2717">
        <v>89.0477463496334</v>
      </c>
      <c r="AK2717">
        <v>40.942019489617898</v>
      </c>
      <c r="AL2717">
        <v>93.665510528801704</v>
      </c>
      <c r="AM2717">
        <v>91.529460460434194</v>
      </c>
      <c r="AN2717">
        <v>1.0000000551906501</v>
      </c>
    </row>
    <row r="2718" spans="1:40" x14ac:dyDescent="0.25">
      <c r="A2718" t="str">
        <f>"20190303154150627"</f>
        <v>20190303154150627</v>
      </c>
      <c r="B2718" t="str">
        <f>"1551598910622545"</f>
        <v>1551598910622545</v>
      </c>
      <c r="C2718" t="s">
        <v>40</v>
      </c>
      <c r="D2718">
        <v>5.4665309999999998</v>
      </c>
      <c r="E2718">
        <v>0.52391599999999905</v>
      </c>
      <c r="F2718" t="s">
        <v>50</v>
      </c>
      <c r="G2718">
        <v>-399.78930000000003</v>
      </c>
      <c r="H2718" s="1">
        <v>3.6725879999999999E-6</v>
      </c>
      <c r="I2718">
        <v>284.18110000000001</v>
      </c>
      <c r="J2718">
        <v>-359.2054</v>
      </c>
      <c r="K2718">
        <v>1.1207049999999901</v>
      </c>
      <c r="L2718">
        <v>283.65879999999999</v>
      </c>
      <c r="M2718">
        <v>-0.99988690000000002</v>
      </c>
      <c r="N2718">
        <v>-1.438011E-2</v>
      </c>
      <c r="O2718">
        <v>-4.4093530000000004E-3</v>
      </c>
      <c r="P2718">
        <v>-0.99646599999999996</v>
      </c>
      <c r="Q2718">
        <v>-7.8173160000000005E-2</v>
      </c>
      <c r="R2718">
        <v>-3.0737509999999999E-2</v>
      </c>
      <c r="S2718">
        <v>-3.0054020000000001</v>
      </c>
      <c r="T2718">
        <v>-8.2192660000000001E-2</v>
      </c>
      <c r="U2718">
        <v>3.8177490000000001E-2</v>
      </c>
      <c r="V2718">
        <v>-2.6356339999999999E-2</v>
      </c>
      <c r="W2718">
        <v>-6.3828510000000005E-2</v>
      </c>
      <c r="X2718">
        <v>0.99761279999999997</v>
      </c>
      <c r="Y2718">
        <v>1.7101140000000001E-2</v>
      </c>
      <c r="Z2718">
        <v>4.1395469999999998E-4</v>
      </c>
      <c r="AA2718">
        <v>0.99985369999999996</v>
      </c>
      <c r="AB2718">
        <v>39</v>
      </c>
      <c r="AC2718">
        <v>-40.5839</v>
      </c>
      <c r="AD2718">
        <v>-1.1207013274119999</v>
      </c>
      <c r="AE2718">
        <v>0.52230000000002896</v>
      </c>
      <c r="AF2718">
        <v>0.70072790762877502</v>
      </c>
      <c r="AG2718">
        <v>-1.1207013274119999</v>
      </c>
      <c r="AH2718">
        <v>40.5502853729093</v>
      </c>
      <c r="AI2718">
        <v>91.582862773398205</v>
      </c>
      <c r="AJ2718">
        <v>89.010000652110605</v>
      </c>
      <c r="AK2718">
        <v>40.571820699719296</v>
      </c>
      <c r="AL2718">
        <v>93.659591958568299</v>
      </c>
      <c r="AM2718">
        <v>91.513368561816094</v>
      </c>
      <c r="AN2718">
        <v>1.00000001703542</v>
      </c>
    </row>
    <row r="2719" spans="1:40" x14ac:dyDescent="0.25">
      <c r="A2719" t="str">
        <f>"20190303154150649"</f>
        <v>20190303154150649</v>
      </c>
      <c r="B2719" t="str">
        <f>"1551598910642066"</f>
        <v>1551598910642066</v>
      </c>
      <c r="C2719" t="s">
        <v>40</v>
      </c>
      <c r="D2719">
        <v>5.6232160000000002</v>
      </c>
      <c r="E2719">
        <v>0.52918449999999995</v>
      </c>
      <c r="F2719" t="s">
        <v>42</v>
      </c>
      <c r="G2719">
        <v>-360.08199999999999</v>
      </c>
      <c r="H2719">
        <v>1.031083</v>
      </c>
      <c r="I2719">
        <v>283.6884</v>
      </c>
      <c r="J2719">
        <v>-359.59629999999999</v>
      </c>
      <c r="K2719">
        <v>1.120708</v>
      </c>
      <c r="L2719">
        <v>283.65719999999999</v>
      </c>
      <c r="M2719">
        <v>-0.99988600000000005</v>
      </c>
      <c r="N2719">
        <v>-1.4461979999999999E-2</v>
      </c>
      <c r="O2719">
        <v>-4.3441290000000004E-3</v>
      </c>
      <c r="P2719">
        <v>-0.99645490000000003</v>
      </c>
      <c r="Q2719">
        <v>-7.8385259999999998E-2</v>
      </c>
      <c r="R2719">
        <v>-3.055225E-2</v>
      </c>
      <c r="S2719">
        <v>-2.989716</v>
      </c>
      <c r="T2719">
        <v>-0.3058285</v>
      </c>
      <c r="U2719">
        <v>9.9884029999999999E-2</v>
      </c>
      <c r="V2719">
        <v>-2.6236249999999999E-2</v>
      </c>
      <c r="W2719">
        <v>-6.3959130000000003E-2</v>
      </c>
      <c r="X2719">
        <v>0.99760760000000004</v>
      </c>
      <c r="Y2719">
        <v>3.7492490000000003E-2</v>
      </c>
      <c r="Z2719">
        <v>2.5645360000000001E-3</v>
      </c>
      <c r="AA2719">
        <v>0.9992936</v>
      </c>
      <c r="AB2719">
        <v>39</v>
      </c>
      <c r="AC2719">
        <v>-0.48570000000000801</v>
      </c>
      <c r="AD2719">
        <v>-8.9624999999999996E-2</v>
      </c>
      <c r="AE2719">
        <v>3.1200000000012499E-2</v>
      </c>
      <c r="AF2719">
        <v>3.22173638708999E-2</v>
      </c>
      <c r="AG2719">
        <v>-8.9624999999999996E-2</v>
      </c>
      <c r="AH2719">
        <v>0.46963434628249701</v>
      </c>
      <c r="AI2719">
        <v>100.77966968142699</v>
      </c>
      <c r="AJ2719">
        <v>86.075603385850798</v>
      </c>
      <c r="AK2719">
        <v>0.47919413432134</v>
      </c>
      <c r="AL2719">
        <v>93.667091255304399</v>
      </c>
      <c r="AM2719">
        <v>91.506484084560498</v>
      </c>
      <c r="AN2719">
        <v>1.0000000173510799</v>
      </c>
    </row>
    <row r="2720" spans="1:40" x14ac:dyDescent="0.25">
      <c r="A2720" t="str">
        <f>"20190303154150671"</f>
        <v>20190303154150671</v>
      </c>
      <c r="B2720" t="str">
        <f>"1551598910662562"</f>
        <v>1551598910662562</v>
      </c>
      <c r="C2720" t="s">
        <v>40</v>
      </c>
      <c r="D2720">
        <v>5.5298970000000001</v>
      </c>
      <c r="E2720">
        <v>0.53319380000000005</v>
      </c>
      <c r="F2720" t="s">
        <v>42</v>
      </c>
      <c r="G2720">
        <v>-360.36779999999999</v>
      </c>
      <c r="H2720">
        <v>0.90794790000000003</v>
      </c>
      <c r="I2720">
        <v>283.69760000000002</v>
      </c>
      <c r="J2720">
        <v>-359.9701</v>
      </c>
      <c r="K2720">
        <v>1.120711</v>
      </c>
      <c r="L2720">
        <v>283.65559999999999</v>
      </c>
      <c r="M2720">
        <v>-0.99988549999999998</v>
      </c>
      <c r="N2720">
        <v>-1.45297E-2</v>
      </c>
      <c r="O2720">
        <v>-4.2822670000000002E-3</v>
      </c>
      <c r="P2720">
        <v>-0.99645740000000005</v>
      </c>
      <c r="Q2720">
        <v>-7.8370209999999996E-2</v>
      </c>
      <c r="R2720">
        <v>-3.051096E-2</v>
      </c>
      <c r="S2720">
        <v>-2.951355</v>
      </c>
      <c r="T2720">
        <v>-0.81394820000000001</v>
      </c>
      <c r="U2720">
        <v>0.1534729</v>
      </c>
      <c r="V2720">
        <v>-2.6256370000000001E-2</v>
      </c>
      <c r="W2720">
        <v>-6.3876479999999999E-2</v>
      </c>
      <c r="X2720">
        <v>0.99761239999999995</v>
      </c>
      <c r="Y2720">
        <v>5.394525E-2</v>
      </c>
      <c r="Z2720">
        <v>8.7950389999999993E-3</v>
      </c>
      <c r="AA2720">
        <v>0.99850519999999998</v>
      </c>
      <c r="AB2720">
        <v>39</v>
      </c>
      <c r="AC2720">
        <v>-0.39769999999998601</v>
      </c>
      <c r="AD2720">
        <v>-0.21276310000000001</v>
      </c>
      <c r="AE2720">
        <v>4.2000000000029999E-2</v>
      </c>
      <c r="AF2720">
        <v>3.4061665259609797E-2</v>
      </c>
      <c r="AG2720">
        <v>-0.21276310000000001</v>
      </c>
      <c r="AH2720">
        <v>0.309821274070049</v>
      </c>
      <c r="AI2720">
        <v>124.318054663837</v>
      </c>
      <c r="AJ2720">
        <v>83.726113823119704</v>
      </c>
      <c r="AK2720">
        <v>0.377382505726294</v>
      </c>
      <c r="AL2720">
        <v>93.662345932120203</v>
      </c>
      <c r="AM2720">
        <v>91.507631590261894</v>
      </c>
      <c r="AN2720">
        <v>1.0000000511482601</v>
      </c>
    </row>
    <row r="2721" spans="1:40" x14ac:dyDescent="0.25">
      <c r="A2721" t="str">
        <f>"20190303154150693"</f>
        <v>20190303154150693</v>
      </c>
      <c r="B2721" t="str">
        <f>"1551598910682082"</f>
        <v>1551598910682082</v>
      </c>
      <c r="C2721" t="s">
        <v>40</v>
      </c>
      <c r="D2721">
        <v>5.5395629999999896</v>
      </c>
      <c r="E2721">
        <v>0.53455889999999995</v>
      </c>
      <c r="F2721" t="s">
        <v>42</v>
      </c>
      <c r="G2721">
        <v>-360.71620000000001</v>
      </c>
      <c r="H2721">
        <v>0.91533679999999995</v>
      </c>
      <c r="I2721">
        <v>283.70280000000002</v>
      </c>
      <c r="J2721">
        <v>-360.3537</v>
      </c>
      <c r="K2721">
        <v>1.1207210000000001</v>
      </c>
      <c r="L2721">
        <v>283.654</v>
      </c>
      <c r="M2721">
        <v>-0.99988469999999996</v>
      </c>
      <c r="N2721">
        <v>-1.4589349999999999E-2</v>
      </c>
      <c r="O2721">
        <v>-4.2183239999999999E-3</v>
      </c>
      <c r="P2721">
        <v>-0.99645130000000004</v>
      </c>
      <c r="Q2721">
        <v>-7.846119E-2</v>
      </c>
      <c r="R2721">
        <v>-3.0480130000000001E-2</v>
      </c>
      <c r="S2721">
        <v>-2.952423</v>
      </c>
      <c r="T2721">
        <v>-0.81268869999999904</v>
      </c>
      <c r="U2721">
        <v>0.18545529999999999</v>
      </c>
      <c r="V2721">
        <v>-2.6289139999999999E-2</v>
      </c>
      <c r="W2721">
        <v>-6.3908049999999994E-2</v>
      </c>
      <c r="X2721">
        <v>0.99760939999999998</v>
      </c>
      <c r="Y2721">
        <v>6.4248910000000006E-2</v>
      </c>
      <c r="Z2721">
        <v>1.0229749999999999E-2</v>
      </c>
      <c r="AA2721">
        <v>0.99788149999999998</v>
      </c>
      <c r="AB2721">
        <v>39</v>
      </c>
      <c r="AC2721">
        <v>-0.36250000000001098</v>
      </c>
      <c r="AD2721">
        <v>-0.20538419999999899</v>
      </c>
      <c r="AE2721">
        <v>4.88000000000283E-2</v>
      </c>
      <c r="AF2721">
        <v>3.8264304241479301E-2</v>
      </c>
      <c r="AG2721">
        <v>-0.20538419999999899</v>
      </c>
      <c r="AH2721">
        <v>0.27544446948560602</v>
      </c>
      <c r="AI2721">
        <v>126.447873874417</v>
      </c>
      <c r="AJ2721">
        <v>82.091178593969104</v>
      </c>
      <c r="AK2721">
        <v>0.34571155948121102</v>
      </c>
      <c r="AL2721">
        <v>93.664158884350698</v>
      </c>
      <c r="AM2721">
        <v>91.509516899451796</v>
      </c>
      <c r="AN2721">
        <v>0.99999993635254902</v>
      </c>
    </row>
    <row r="2722" spans="1:40" x14ac:dyDescent="0.25">
      <c r="A2722" t="str">
        <f>"20190303154150705"</f>
        <v>20190303154150705</v>
      </c>
      <c r="B2722" t="str">
        <f>"1551598910702578"</f>
        <v>1551598910702578</v>
      </c>
      <c r="C2722" t="s">
        <v>40</v>
      </c>
      <c r="D2722">
        <v>5.5892080000000002</v>
      </c>
      <c r="E2722">
        <v>0.53456029999999999</v>
      </c>
      <c r="F2722" t="s">
        <v>42</v>
      </c>
      <c r="G2722">
        <v>-361.0643</v>
      </c>
      <c r="H2722">
        <v>0.92243600000000003</v>
      </c>
      <c r="I2722">
        <v>283.70159999999998</v>
      </c>
      <c r="J2722">
        <v>-360.56360000000001</v>
      </c>
      <c r="K2722">
        <v>1.120725</v>
      </c>
      <c r="L2722">
        <v>283.65320000000003</v>
      </c>
      <c r="M2722">
        <v>-0.99988440000000001</v>
      </c>
      <c r="N2722">
        <v>-1.4617649999999999E-2</v>
      </c>
      <c r="O2722">
        <v>-4.1834819999999997E-3</v>
      </c>
      <c r="P2722">
        <v>-0.99645349999999999</v>
      </c>
      <c r="Q2722">
        <v>-7.8403349999999997E-2</v>
      </c>
      <c r="R2722">
        <v>-3.055685E-2</v>
      </c>
      <c r="S2722">
        <v>-2.951813</v>
      </c>
      <c r="T2722">
        <v>-0.82380429999999905</v>
      </c>
      <c r="U2722">
        <v>0.19628909999999999</v>
      </c>
      <c r="V2722">
        <v>-2.6401069999999999E-2</v>
      </c>
      <c r="W2722">
        <v>-6.3821920000000004E-2</v>
      </c>
      <c r="X2722">
        <v>0.99761200000000005</v>
      </c>
      <c r="Y2722">
        <v>6.7667030000000003E-2</v>
      </c>
      <c r="Z2722">
        <v>1.084507E-2</v>
      </c>
      <c r="AA2722">
        <v>0.99764900000000001</v>
      </c>
      <c r="AB2722">
        <v>39</v>
      </c>
      <c r="AC2722">
        <v>-0.50069999999999404</v>
      </c>
      <c r="AD2722">
        <v>-0.19828899999999899</v>
      </c>
      <c r="AE2722">
        <v>4.8399999999958199E-2</v>
      </c>
      <c r="AF2722">
        <v>4.3703672401684303E-2</v>
      </c>
      <c r="AG2722">
        <v>-0.19828899999999899</v>
      </c>
      <c r="AH2722">
        <v>0.43318381810546902</v>
      </c>
      <c r="AI2722">
        <v>114.486225140562</v>
      </c>
      <c r="AJ2722">
        <v>84.238954781839197</v>
      </c>
      <c r="AK2722">
        <v>0.478410659131698</v>
      </c>
      <c r="AL2722">
        <v>93.659213750058399</v>
      </c>
      <c r="AM2722">
        <v>91.515936954875301</v>
      </c>
      <c r="AN2722">
        <v>0.99999997825681497</v>
      </c>
    </row>
    <row r="2723" spans="1:40" x14ac:dyDescent="0.25">
      <c r="A2723" t="str">
        <f>"20190303154150720"</f>
        <v>20190303154150720</v>
      </c>
      <c r="B2723" t="str">
        <f>"1551598910712339"</f>
        <v>1551598910712339</v>
      </c>
      <c r="C2723" t="s">
        <v>40</v>
      </c>
      <c r="D2723">
        <v>5.6007230000000003</v>
      </c>
      <c r="E2723">
        <v>0.53476990000000002</v>
      </c>
      <c r="F2723" t="s">
        <v>42</v>
      </c>
      <c r="G2723">
        <v>-361.39350000000002</v>
      </c>
      <c r="H2723">
        <v>0.88912380000000002</v>
      </c>
      <c r="I2723">
        <v>283.70850000000002</v>
      </c>
      <c r="J2723">
        <v>-360.7989</v>
      </c>
      <c r="K2723">
        <v>1.1207279999999999</v>
      </c>
      <c r="L2723">
        <v>283.65219999999999</v>
      </c>
      <c r="M2723">
        <v>-0.99988410000000005</v>
      </c>
      <c r="N2723">
        <v>-1.4647469999999999E-2</v>
      </c>
      <c r="O2723">
        <v>-4.1442409999999999E-3</v>
      </c>
      <c r="P2723">
        <v>-0.9964558</v>
      </c>
      <c r="Q2723">
        <v>-7.8315659999999995E-2</v>
      </c>
      <c r="R2723">
        <v>-3.0701760000000002E-2</v>
      </c>
      <c r="S2723">
        <v>-2.9519039999999999</v>
      </c>
      <c r="T2723">
        <v>-0.82384059999999903</v>
      </c>
      <c r="U2723">
        <v>0.19607540000000001</v>
      </c>
      <c r="V2723">
        <v>-2.6584409999999999E-2</v>
      </c>
      <c r="W2723">
        <v>-6.3704449999999996E-2</v>
      </c>
      <c r="X2723">
        <v>0.99761469999999997</v>
      </c>
      <c r="Y2723">
        <v>6.7559289999999994E-2</v>
      </c>
      <c r="Z2723">
        <v>1.0820420000000001E-2</v>
      </c>
      <c r="AA2723">
        <v>0.9976566</v>
      </c>
      <c r="AB2723">
        <v>39</v>
      </c>
      <c r="AC2723">
        <v>-0.59460000000001401</v>
      </c>
      <c r="AD2723">
        <v>-0.23160420000000001</v>
      </c>
      <c r="AE2723">
        <v>5.63000000000215E-2</v>
      </c>
      <c r="AF2723">
        <v>5.1082562561036E-2</v>
      </c>
      <c r="AG2723">
        <v>-0.23160420000000001</v>
      </c>
      <c r="AH2723">
        <v>0.51666902367179701</v>
      </c>
      <c r="AI2723">
        <v>114.04113275682499</v>
      </c>
      <c r="AJ2723">
        <v>84.3535725362173</v>
      </c>
      <c r="AK2723">
        <v>0.56850401377422999</v>
      </c>
      <c r="AL2723">
        <v>93.652469269330695</v>
      </c>
      <c r="AM2723">
        <v>91.526455158114004</v>
      </c>
      <c r="AN2723">
        <v>1.00000003873046</v>
      </c>
    </row>
    <row r="2724" spans="1:40" x14ac:dyDescent="0.25">
      <c r="A2724" t="str">
        <f>"20190303154150732"</f>
        <v>20190303154150732</v>
      </c>
      <c r="B2724" t="str">
        <f>"1551598910722099"</f>
        <v>1551598910722099</v>
      </c>
      <c r="C2724" t="s">
        <v>40</v>
      </c>
      <c r="D2724">
        <v>5.5881589999999903</v>
      </c>
      <c r="E2724">
        <v>0.53476290000000004</v>
      </c>
      <c r="F2724" t="s">
        <v>42</v>
      </c>
      <c r="G2724">
        <v>-361.72669999999999</v>
      </c>
      <c r="H2724">
        <v>0.86187409999999998</v>
      </c>
      <c r="I2724">
        <v>283.71480000000003</v>
      </c>
      <c r="J2724">
        <v>-361.04759999999999</v>
      </c>
      <c r="K2724">
        <v>1.1207339999999999</v>
      </c>
      <c r="L2724">
        <v>283.65120000000002</v>
      </c>
      <c r="M2724">
        <v>-0.999884</v>
      </c>
      <c r="N2724">
        <v>-1.4675830000000001E-2</v>
      </c>
      <c r="O2724">
        <v>-4.1029630000000003E-3</v>
      </c>
      <c r="P2724">
        <v>-0.99647770000000002</v>
      </c>
      <c r="Q2724">
        <v>-7.7989310000000006E-2</v>
      </c>
      <c r="R2724">
        <v>-3.0824629999999999E-2</v>
      </c>
      <c r="S2724">
        <v>-2.952026</v>
      </c>
      <c r="T2724">
        <v>-0.82358629999999999</v>
      </c>
      <c r="U2724">
        <v>0.19726560000000001</v>
      </c>
      <c r="V2724">
        <v>-2.674866E-2</v>
      </c>
      <c r="W2724">
        <v>-6.3349470000000005E-2</v>
      </c>
      <c r="X2724">
        <v>0.99763290000000004</v>
      </c>
      <c r="Y2724">
        <v>6.7905119999999999E-2</v>
      </c>
      <c r="Z2724">
        <v>1.085684E-2</v>
      </c>
      <c r="AA2724">
        <v>0.99763270000000004</v>
      </c>
      <c r="AB2724">
        <v>39</v>
      </c>
      <c r="AC2724">
        <v>-0.67910000000000503</v>
      </c>
      <c r="AD2724">
        <v>-0.25885989999999998</v>
      </c>
      <c r="AE2724">
        <v>6.3600000000008095E-2</v>
      </c>
      <c r="AF2724">
        <v>5.80279954752249E-2</v>
      </c>
      <c r="AG2724">
        <v>-0.25885989999999998</v>
      </c>
      <c r="AH2724">
        <v>0.59336734675370295</v>
      </c>
      <c r="AI2724">
        <v>113.469735952569</v>
      </c>
      <c r="AJ2724">
        <v>84.414555142774901</v>
      </c>
      <c r="AK2724">
        <v>0.649969617967188</v>
      </c>
      <c r="AL2724">
        <v>93.632089300229097</v>
      </c>
      <c r="AM2724">
        <v>91.535853749869304</v>
      </c>
      <c r="AN2724">
        <v>1.00000002466174</v>
      </c>
    </row>
    <row r="2725" spans="1:40" x14ac:dyDescent="0.25">
      <c r="A2725" t="str">
        <f>"20190303154150750"</f>
        <v>20190303154150750</v>
      </c>
      <c r="B2725" t="str">
        <f>"1551598910742594"</f>
        <v>1551598910742594</v>
      </c>
      <c r="C2725" t="s">
        <v>40</v>
      </c>
      <c r="D2725">
        <v>5.6036440000000001</v>
      </c>
      <c r="E2725">
        <v>0.53487589999999996</v>
      </c>
      <c r="F2725" t="s">
        <v>42</v>
      </c>
      <c r="G2725">
        <v>-361.75369999999998</v>
      </c>
      <c r="H2725">
        <v>0.92408970000000001</v>
      </c>
      <c r="I2725">
        <v>283.69889999999998</v>
      </c>
      <c r="J2725">
        <v>-361.31950000000001</v>
      </c>
      <c r="K2725">
        <v>1.1207419999999999</v>
      </c>
      <c r="L2725">
        <v>283.65010000000001</v>
      </c>
      <c r="M2725">
        <v>-0.99988379999999999</v>
      </c>
      <c r="N2725">
        <v>-1.47031E-2</v>
      </c>
      <c r="O2725">
        <v>-4.0579800000000001E-3</v>
      </c>
      <c r="P2725">
        <v>-0.99647509999999995</v>
      </c>
      <c r="Q2725">
        <v>-7.7981739999999994E-2</v>
      </c>
      <c r="R2725">
        <v>-3.0929069999999999E-2</v>
      </c>
      <c r="S2725">
        <v>-2.9523320000000002</v>
      </c>
      <c r="T2725">
        <v>-0.8222777</v>
      </c>
      <c r="U2725">
        <v>0.19671630000000001</v>
      </c>
      <c r="V2725">
        <v>-2.6897609999999999E-2</v>
      </c>
      <c r="W2725">
        <v>-6.3314699999999904E-2</v>
      </c>
      <c r="X2725">
        <v>0.99763109999999999</v>
      </c>
      <c r="Y2725">
        <v>6.7687839999999999E-2</v>
      </c>
      <c r="Z2725">
        <v>1.079781E-2</v>
      </c>
      <c r="AA2725">
        <v>0.99764810000000004</v>
      </c>
      <c r="AB2725">
        <v>39</v>
      </c>
      <c r="AC2725">
        <v>-0.43419999999997499</v>
      </c>
      <c r="AD2725">
        <v>-0.1966523</v>
      </c>
      <c r="AE2725">
        <v>4.8799999999971498E-2</v>
      </c>
      <c r="AF2725">
        <v>4.2044890638013602E-2</v>
      </c>
      <c r="AG2725">
        <v>-0.1966523</v>
      </c>
      <c r="AH2725">
        <v>0.36089354804274099</v>
      </c>
      <c r="AI2725">
        <v>118.42416602089</v>
      </c>
      <c r="AJ2725">
        <v>83.354872099584398</v>
      </c>
      <c r="AK2725">
        <v>0.41313926579657201</v>
      </c>
      <c r="AL2725">
        <v>93.630093127751906</v>
      </c>
      <c r="AM2725">
        <v>91.544404811099895</v>
      </c>
      <c r="AN2725">
        <v>1.0000000221734999</v>
      </c>
    </row>
    <row r="2726" spans="1:40" x14ac:dyDescent="0.25">
      <c r="A2726" t="str">
        <f>"20190303154150763"</f>
        <v>20190303154150763</v>
      </c>
      <c r="B2726" t="str">
        <f>"1551598910752354"</f>
        <v>1551598910752354</v>
      </c>
      <c r="C2726" t="s">
        <v>40</v>
      </c>
      <c r="D2726">
        <v>5.6081649999999996</v>
      </c>
      <c r="E2726">
        <v>0.53486669999999903</v>
      </c>
      <c r="F2726" t="s">
        <v>42</v>
      </c>
      <c r="G2726">
        <v>-362.08909999999997</v>
      </c>
      <c r="H2726">
        <v>0.90620800000000001</v>
      </c>
      <c r="I2726">
        <v>283.70170000000002</v>
      </c>
      <c r="J2726">
        <v>-361.55700000000002</v>
      </c>
      <c r="K2726">
        <v>1.120746</v>
      </c>
      <c r="L2726">
        <v>283.64920000000001</v>
      </c>
      <c r="M2726">
        <v>-0.99988359999999998</v>
      </c>
      <c r="N2726">
        <v>-1.4724640000000001E-2</v>
      </c>
      <c r="O2726">
        <v>-4.0183240000000002E-3</v>
      </c>
      <c r="P2726">
        <v>-0.99647090000000005</v>
      </c>
      <c r="Q2726">
        <v>-7.8034249999999999E-2</v>
      </c>
      <c r="R2726">
        <v>-3.092659E-2</v>
      </c>
      <c r="S2726">
        <v>-2.9523320000000002</v>
      </c>
      <c r="T2726">
        <v>-0.82298899999999997</v>
      </c>
      <c r="U2726">
        <v>0.19711300000000001</v>
      </c>
      <c r="V2726">
        <v>-2.6934659999999999E-2</v>
      </c>
      <c r="W2726">
        <v>-6.3345810000000002E-2</v>
      </c>
      <c r="X2726">
        <v>0.99762810000000002</v>
      </c>
      <c r="Y2726">
        <v>6.7774749999999995E-2</v>
      </c>
      <c r="Z2726">
        <v>1.0809330000000001E-2</v>
      </c>
      <c r="AA2726">
        <v>0.99764209999999998</v>
      </c>
      <c r="AB2726">
        <v>38</v>
      </c>
      <c r="AC2726">
        <v>-0.53210000000001401</v>
      </c>
      <c r="AD2726">
        <v>-0.21453800000000001</v>
      </c>
      <c r="AE2726">
        <v>5.2500000000008998E-2</v>
      </c>
      <c r="AF2726">
        <v>4.7061287885344999E-2</v>
      </c>
      <c r="AG2726">
        <v>-0.21453800000000001</v>
      </c>
      <c r="AH2726">
        <v>0.458128027025694</v>
      </c>
      <c r="AI2726">
        <v>114.97804533428901</v>
      </c>
      <c r="AJ2726">
        <v>84.1348531041847</v>
      </c>
      <c r="AK2726">
        <v>0.50805768118185402</v>
      </c>
      <c r="AL2726">
        <v>93.631879277224996</v>
      </c>
      <c r="AM2726">
        <v>91.546535760974606</v>
      </c>
      <c r="AN2726">
        <v>0.99999999673174</v>
      </c>
    </row>
    <row r="2727" spans="1:40" x14ac:dyDescent="0.25">
      <c r="A2727" t="str">
        <f>"20190303154150777"</f>
        <v>20190303154150777</v>
      </c>
      <c r="B2727" t="str">
        <f>"1551598910772127"</f>
        <v>1551598910772127</v>
      </c>
      <c r="C2727" t="s">
        <v>40</v>
      </c>
      <c r="D2727">
        <v>5.6087759999999998</v>
      </c>
      <c r="E2727">
        <v>0.53497039999999996</v>
      </c>
      <c r="F2727" t="s">
        <v>42</v>
      </c>
      <c r="G2727">
        <v>-362.42079999999999</v>
      </c>
      <c r="H2727">
        <v>0.87983140000000004</v>
      </c>
      <c r="I2727">
        <v>283.70740000000001</v>
      </c>
      <c r="J2727">
        <v>-361.78789999999998</v>
      </c>
      <c r="K2727">
        <v>1.120749</v>
      </c>
      <c r="L2727">
        <v>283.64830000000001</v>
      </c>
      <c r="M2727">
        <v>-0.99988350000000004</v>
      </c>
      <c r="N2727">
        <v>-1.4743920000000001E-2</v>
      </c>
      <c r="O2727">
        <v>-3.9796079999999999E-3</v>
      </c>
      <c r="P2727">
        <v>-0.99648099999999995</v>
      </c>
      <c r="Q2727">
        <v>-7.7955410000000003E-2</v>
      </c>
      <c r="R2727">
        <v>-3.0806610000000002E-2</v>
      </c>
      <c r="S2727">
        <v>-2.9522710000000001</v>
      </c>
      <c r="T2727">
        <v>-0.8233625</v>
      </c>
      <c r="U2727">
        <v>0.19735720000000001</v>
      </c>
      <c r="V2727">
        <v>-2.6853490000000001E-2</v>
      </c>
      <c r="W2727">
        <v>-6.3247639999999994E-2</v>
      </c>
      <c r="X2727">
        <v>0.99763650000000004</v>
      </c>
      <c r="Y2727">
        <v>6.7816509999999997E-2</v>
      </c>
      <c r="Z2727">
        <v>1.081064E-2</v>
      </c>
      <c r="AA2727">
        <v>0.99763919999999995</v>
      </c>
      <c r="AB2727">
        <v>38</v>
      </c>
      <c r="AC2727">
        <v>-0.63290000000000601</v>
      </c>
      <c r="AD2727">
        <v>-0.24091759999999901</v>
      </c>
      <c r="AE2727">
        <v>5.9100000000000798E-2</v>
      </c>
      <c r="AF2727">
        <v>5.3878953335650598E-2</v>
      </c>
      <c r="AG2727">
        <v>-0.24091759999999901</v>
      </c>
      <c r="AH2727">
        <v>0.55319500523764897</v>
      </c>
      <c r="AI2727">
        <v>113.43437454754</v>
      </c>
      <c r="AJ2727">
        <v>84.437168440956498</v>
      </c>
      <c r="AK2727">
        <v>0.605779617866256</v>
      </c>
      <c r="AL2727">
        <v>93.626243309606494</v>
      </c>
      <c r="AM2727">
        <v>91.541864414547803</v>
      </c>
      <c r="AN2727">
        <v>0.99999998001149903</v>
      </c>
    </row>
    <row r="2728" spans="1:40" x14ac:dyDescent="0.25">
      <c r="A2728" t="str">
        <f>"20190303154150790"</f>
        <v>20190303154150790</v>
      </c>
      <c r="B2728" t="str">
        <f>"1551598910781886"</f>
        <v>1551598910781886</v>
      </c>
      <c r="C2728" t="s">
        <v>40</v>
      </c>
      <c r="D2728">
        <v>5.6235759999999999</v>
      </c>
      <c r="E2728">
        <v>0.53504069999999904</v>
      </c>
      <c r="F2728" t="s">
        <v>42</v>
      </c>
      <c r="G2728">
        <v>-362.7525</v>
      </c>
      <c r="H2728">
        <v>0.85151290000000002</v>
      </c>
      <c r="I2728">
        <v>283.71350000000001</v>
      </c>
      <c r="J2728">
        <v>-362.02890000000002</v>
      </c>
      <c r="K2728">
        <v>1.120754</v>
      </c>
      <c r="L2728">
        <v>283.6474</v>
      </c>
      <c r="M2728">
        <v>-0.99988330000000003</v>
      </c>
      <c r="N2728">
        <v>-1.4761359999999999E-2</v>
      </c>
      <c r="O2728">
        <v>-3.9392079999999996E-3</v>
      </c>
      <c r="P2728">
        <v>-0.99649069999999995</v>
      </c>
      <c r="Q2728">
        <v>-7.7880309999999994E-2</v>
      </c>
      <c r="R2728">
        <v>-3.0676970000000001E-2</v>
      </c>
      <c r="S2728">
        <v>-2.9522710000000001</v>
      </c>
      <c r="T2728">
        <v>-0.82400209999999996</v>
      </c>
      <c r="U2728">
        <v>0.19845579999999999</v>
      </c>
      <c r="V2728">
        <v>-2.676421E-2</v>
      </c>
      <c r="W2728">
        <v>-6.3155059999999999E-2</v>
      </c>
      <c r="X2728">
        <v>0.9976448</v>
      </c>
      <c r="Y2728">
        <v>6.8130259999999998E-2</v>
      </c>
      <c r="Z2728">
        <v>1.0853639999999999E-2</v>
      </c>
      <c r="AA2728">
        <v>0.99761739999999999</v>
      </c>
      <c r="AB2728">
        <v>38</v>
      </c>
      <c r="AC2728">
        <v>-0.72359999999997604</v>
      </c>
      <c r="AD2728">
        <v>-0.26924109999999901</v>
      </c>
      <c r="AE2728">
        <v>6.6100000000005807E-2</v>
      </c>
      <c r="AF2728">
        <v>6.0626125013186101E-2</v>
      </c>
      <c r="AG2728">
        <v>-0.26924109999999901</v>
      </c>
      <c r="AH2728">
        <v>0.63600875063956597</v>
      </c>
      <c r="AI2728">
        <v>112.851480706283</v>
      </c>
      <c r="AJ2728">
        <v>84.554859292406306</v>
      </c>
      <c r="AK2728">
        <v>0.69330615737452295</v>
      </c>
      <c r="AL2728">
        <v>93.620928110731697</v>
      </c>
      <c r="AM2728">
        <v>91.536727849623304</v>
      </c>
      <c r="AN2728">
        <v>1.0000000157537801</v>
      </c>
    </row>
    <row r="2729" spans="1:40" x14ac:dyDescent="0.25">
      <c r="A2729" t="str">
        <f>"20190303154150805"</f>
        <v>20190303154150805</v>
      </c>
      <c r="B2729" t="str">
        <f>"1551598910802383"</f>
        <v>1551598910802383</v>
      </c>
      <c r="C2729" t="s">
        <v>40</v>
      </c>
      <c r="D2729">
        <v>5.6221709999999998</v>
      </c>
      <c r="E2729">
        <v>0.53512389999999999</v>
      </c>
      <c r="F2729" t="s">
        <v>42</v>
      </c>
      <c r="G2729">
        <v>-362.77789999999999</v>
      </c>
      <c r="H2729">
        <v>0.91183559999999997</v>
      </c>
      <c r="I2729">
        <v>283.69830000000002</v>
      </c>
      <c r="J2729">
        <v>-362.26979999999998</v>
      </c>
      <c r="K2729">
        <v>1.1207590000000001</v>
      </c>
      <c r="L2729">
        <v>283.6465</v>
      </c>
      <c r="M2729">
        <v>-0.99988319999999997</v>
      </c>
      <c r="N2729">
        <v>-1.477726E-2</v>
      </c>
      <c r="O2729">
        <v>-3.8989150000000002E-3</v>
      </c>
      <c r="P2729">
        <v>-0.99647209999999997</v>
      </c>
      <c r="Q2729">
        <v>-7.8118699999999999E-2</v>
      </c>
      <c r="R2729">
        <v>-3.067806E-2</v>
      </c>
      <c r="S2729">
        <v>-2.9523619999999999</v>
      </c>
      <c r="T2729">
        <v>-0.82359340000000003</v>
      </c>
      <c r="U2729">
        <v>0.19924929999999999</v>
      </c>
      <c r="V2729">
        <v>-2.6805220000000001E-2</v>
      </c>
      <c r="W2729">
        <v>-6.3377849999999999E-2</v>
      </c>
      <c r="X2729">
        <v>0.99762960000000001</v>
      </c>
      <c r="Y2729">
        <v>6.8350270000000005E-2</v>
      </c>
      <c r="Z2729">
        <v>1.0870070000000001E-2</v>
      </c>
      <c r="AA2729">
        <v>0.99760219999999999</v>
      </c>
      <c r="AB2729">
        <v>38</v>
      </c>
      <c r="AC2729">
        <v>-0.50810000000001299</v>
      </c>
      <c r="AD2729">
        <v>-0.20892340000000001</v>
      </c>
      <c r="AE2729">
        <v>5.1800000000014203E-2</v>
      </c>
      <c r="AF2729">
        <v>4.6071512182873503E-2</v>
      </c>
      <c r="AG2729">
        <v>-0.20892340000000001</v>
      </c>
      <c r="AH2729">
        <v>0.43508882221947298</v>
      </c>
      <c r="AI2729">
        <v>115.525220816442</v>
      </c>
      <c r="AJ2729">
        <v>83.955480177591895</v>
      </c>
      <c r="AK2729">
        <v>0.484844154881447</v>
      </c>
      <c r="AL2729">
        <v>93.633718553652798</v>
      </c>
      <c r="AM2729">
        <v>91.539104838493699</v>
      </c>
      <c r="AN2729">
        <v>1.00000004524301</v>
      </c>
    </row>
    <row r="2730" spans="1:40" x14ac:dyDescent="0.25">
      <c r="A2730" t="str">
        <f>"20190303154150828"</f>
        <v>20190303154150828</v>
      </c>
      <c r="B2730" t="str">
        <f>"1551598910821904"</f>
        <v>1551598910821904</v>
      </c>
      <c r="C2730" t="s">
        <v>40</v>
      </c>
      <c r="D2730">
        <v>5.6347069999999997</v>
      </c>
      <c r="E2730">
        <v>0.53512590000000004</v>
      </c>
      <c r="F2730" t="s">
        <v>42</v>
      </c>
      <c r="G2730">
        <v>-363.10890000000001</v>
      </c>
      <c r="H2730">
        <v>0.88627789999999995</v>
      </c>
      <c r="I2730">
        <v>283.70359999999999</v>
      </c>
      <c r="J2730">
        <v>-362.66559999999998</v>
      </c>
      <c r="K2730">
        <v>1.12077</v>
      </c>
      <c r="L2730">
        <v>283.64499999999998</v>
      </c>
      <c r="M2730">
        <v>-0.99988310000000002</v>
      </c>
      <c r="N2730">
        <v>-1.480013E-2</v>
      </c>
      <c r="O2730">
        <v>-3.83257E-3</v>
      </c>
      <c r="P2730">
        <v>-0.99648270000000005</v>
      </c>
      <c r="Q2730">
        <v>-7.8099580000000002E-2</v>
      </c>
      <c r="R2730">
        <v>-3.037548E-2</v>
      </c>
      <c r="S2730">
        <v>-2.9520569999999999</v>
      </c>
      <c r="T2730">
        <v>-0.82498400000000005</v>
      </c>
      <c r="U2730">
        <v>0.19982910000000001</v>
      </c>
      <c r="V2730">
        <v>-2.656886E-2</v>
      </c>
      <c r="W2730">
        <v>-6.3335849999999999E-2</v>
      </c>
      <c r="X2730">
        <v>0.99763849999999998</v>
      </c>
      <c r="Y2730">
        <v>6.8473329999999999E-2</v>
      </c>
      <c r="Z2730">
        <v>1.0889299999999999E-2</v>
      </c>
      <c r="AA2730">
        <v>0.99759350000000002</v>
      </c>
      <c r="AB2730">
        <v>38</v>
      </c>
      <c r="AC2730">
        <v>-0.44330000000002201</v>
      </c>
      <c r="AD2730">
        <v>-0.23449210000000001</v>
      </c>
      <c r="AE2730">
        <v>5.86000000000126E-2</v>
      </c>
      <c r="AF2730">
        <v>4.7293011289208202E-2</v>
      </c>
      <c r="AG2730">
        <v>-0.23449210000000001</v>
      </c>
      <c r="AH2730">
        <v>0.34750672005078398</v>
      </c>
      <c r="AI2730">
        <v>123.767517216741</v>
      </c>
      <c r="AJ2730">
        <v>82.250093514093805</v>
      </c>
      <c r="AK2730">
        <v>0.42188161178186601</v>
      </c>
      <c r="AL2730">
        <v>93.631307613139001</v>
      </c>
      <c r="AM2730">
        <v>91.525526334708502</v>
      </c>
      <c r="AN2730">
        <v>0.99999995544958498</v>
      </c>
    </row>
    <row r="2731" spans="1:40" x14ac:dyDescent="0.25">
      <c r="A2731" t="str">
        <f>"20190303154150852"</f>
        <v>20190303154150852</v>
      </c>
      <c r="B2731" t="str">
        <f>"1551598910842399"</f>
        <v>1551598910842399</v>
      </c>
      <c r="C2731" t="s">
        <v>40</v>
      </c>
      <c r="D2731">
        <v>5.5111350000000003</v>
      </c>
      <c r="E2731">
        <v>0.5354911</v>
      </c>
      <c r="F2731" t="s">
        <v>42</v>
      </c>
      <c r="G2731">
        <v>-363.45690000000002</v>
      </c>
      <c r="H2731">
        <v>0.89960989999999996</v>
      </c>
      <c r="I2731">
        <v>283.69920000000002</v>
      </c>
      <c r="J2731">
        <v>-363.06180000000001</v>
      </c>
      <c r="K2731">
        <v>1.1207750000000001</v>
      </c>
      <c r="L2731">
        <v>283.64359999999999</v>
      </c>
      <c r="M2731">
        <v>-0.99988319999999997</v>
      </c>
      <c r="N2731">
        <v>-1.4819199999999999E-2</v>
      </c>
      <c r="O2731">
        <v>-3.7663150000000001E-3</v>
      </c>
      <c r="P2731">
        <v>-0.99651239999999996</v>
      </c>
      <c r="Q2731">
        <v>-7.7868099999999996E-2</v>
      </c>
      <c r="R2731">
        <v>-3.0002270000000001E-2</v>
      </c>
      <c r="S2731">
        <v>-2.951965</v>
      </c>
      <c r="T2731">
        <v>-0.82515339999999904</v>
      </c>
      <c r="U2731">
        <v>0.20062260000000001</v>
      </c>
      <c r="V2731">
        <v>-2.62615E-2</v>
      </c>
      <c r="W2731">
        <v>-6.3085050000000004E-2</v>
      </c>
      <c r="X2731">
        <v>0.99766250000000001</v>
      </c>
      <c r="Y2731">
        <v>6.86692E-2</v>
      </c>
      <c r="Z2731">
        <v>1.0903309999999999E-2</v>
      </c>
      <c r="AA2731">
        <v>0.99757989999999996</v>
      </c>
      <c r="AB2731">
        <v>38</v>
      </c>
      <c r="AC2731">
        <v>-0.395100000000013</v>
      </c>
      <c r="AD2731">
        <v>-0.2211651</v>
      </c>
      <c r="AE2731">
        <v>5.5600000000026698E-2</v>
      </c>
      <c r="AF2731">
        <v>4.3669920918540599E-2</v>
      </c>
      <c r="AG2731">
        <v>-0.2211651</v>
      </c>
      <c r="AH2731">
        <v>0.30207339408934503</v>
      </c>
      <c r="AI2731">
        <v>125.927980325653</v>
      </c>
      <c r="AJ2731">
        <v>81.773898243340994</v>
      </c>
      <c r="AK2731">
        <v>0.37692094511674201</v>
      </c>
      <c r="AL2731">
        <v>93.616909140329398</v>
      </c>
      <c r="AM2731">
        <v>91.507850327942705</v>
      </c>
      <c r="AN2731">
        <v>0.99999992691099804</v>
      </c>
    </row>
    <row r="2732" spans="1:40" x14ac:dyDescent="0.25">
      <c r="A2732" t="str">
        <f>"20190303154150872"</f>
        <v>20190303154150872</v>
      </c>
      <c r="B2732" t="str">
        <f>"1551598910861918"</f>
        <v>1551598910861918</v>
      </c>
      <c r="C2732" t="s">
        <v>40</v>
      </c>
      <c r="D2732">
        <v>5.4972250000000003</v>
      </c>
      <c r="E2732">
        <v>0.53619399999999995</v>
      </c>
      <c r="F2732" t="s">
        <v>42</v>
      </c>
      <c r="G2732">
        <v>-363.8048</v>
      </c>
      <c r="H2732">
        <v>0.91309320000000005</v>
      </c>
      <c r="I2732">
        <v>283.69549999999998</v>
      </c>
      <c r="J2732">
        <v>-363.42939999999999</v>
      </c>
      <c r="K2732">
        <v>1.1207780000000001</v>
      </c>
      <c r="L2732">
        <v>283.6422</v>
      </c>
      <c r="M2732">
        <v>-0.99988310000000002</v>
      </c>
      <c r="N2732">
        <v>-1.483377E-2</v>
      </c>
      <c r="O2732">
        <v>-3.7047949999999999E-3</v>
      </c>
      <c r="P2732">
        <v>-0.99648769999999998</v>
      </c>
      <c r="Q2732">
        <v>-7.8134419999999996E-2</v>
      </c>
      <c r="R2732">
        <v>-3.0116190000000001E-2</v>
      </c>
      <c r="S2732">
        <v>-2.9522089999999999</v>
      </c>
      <c r="T2732">
        <v>-0.82521129999999998</v>
      </c>
      <c r="U2732">
        <v>0.20516970000000001</v>
      </c>
      <c r="V2732">
        <v>-2.643709E-2</v>
      </c>
      <c r="W2732">
        <v>-6.3337180000000007E-2</v>
      </c>
      <c r="X2732">
        <v>0.99764200000000003</v>
      </c>
      <c r="Y2732">
        <v>7.0077139999999996E-2</v>
      </c>
      <c r="Z2732">
        <v>1.109071E-2</v>
      </c>
      <c r="AA2732">
        <v>0.99747989999999997</v>
      </c>
      <c r="AB2732">
        <v>38</v>
      </c>
      <c r="AC2732">
        <v>-0.375400000000013</v>
      </c>
      <c r="AD2732">
        <v>-0.2076848</v>
      </c>
      <c r="AE2732">
        <v>5.3299999999978802E-2</v>
      </c>
      <c r="AF2732">
        <v>4.2068955546829399E-2</v>
      </c>
      <c r="AG2732">
        <v>-0.2076848</v>
      </c>
      <c r="AH2732">
        <v>0.28861045371479699</v>
      </c>
      <c r="AI2732">
        <v>125.45381116686499</v>
      </c>
      <c r="AJ2732">
        <v>81.706756247587705</v>
      </c>
      <c r="AK2732">
        <v>0.35804855420082599</v>
      </c>
      <c r="AL2732">
        <v>93.631383665549095</v>
      </c>
      <c r="AM2732">
        <v>91.517958612769107</v>
      </c>
      <c r="AN2732">
        <v>1.000000039131</v>
      </c>
    </row>
    <row r="2733" spans="1:40" x14ac:dyDescent="0.25">
      <c r="A2733" t="str">
        <f>"20190303154150894"</f>
        <v>20190303154150894</v>
      </c>
      <c r="B2733" t="str">
        <f>"1551598910882415"</f>
        <v>1551598910882415</v>
      </c>
      <c r="C2733" t="s">
        <v>40</v>
      </c>
      <c r="D2733">
        <v>5.5267299999999997</v>
      </c>
      <c r="E2733">
        <v>0.53656329999999997</v>
      </c>
      <c r="F2733" t="s">
        <v>42</v>
      </c>
      <c r="G2733">
        <v>-364.14920000000001</v>
      </c>
      <c r="H2733">
        <v>0.91968550000000004</v>
      </c>
      <c r="I2733">
        <v>283.69380000000001</v>
      </c>
      <c r="J2733">
        <v>-363.7946</v>
      </c>
      <c r="K2733">
        <v>1.1207830000000001</v>
      </c>
      <c r="L2733">
        <v>283.64100000000002</v>
      </c>
      <c r="M2733">
        <v>-0.99988319999999997</v>
      </c>
      <c r="N2733">
        <v>-1.484576E-2</v>
      </c>
      <c r="O2733">
        <v>-3.6436139999999999E-3</v>
      </c>
      <c r="P2733">
        <v>-0.99643590000000004</v>
      </c>
      <c r="Q2733">
        <v>-7.8713569999999997E-2</v>
      </c>
      <c r="R2733">
        <v>-3.033259E-2</v>
      </c>
      <c r="S2733">
        <v>-2.9522710000000001</v>
      </c>
      <c r="T2733">
        <v>-0.82478499999999999</v>
      </c>
      <c r="U2733">
        <v>0.21063229999999999</v>
      </c>
      <c r="V2733">
        <v>-2.6714410000000001E-2</v>
      </c>
      <c r="W2733">
        <v>-6.3905020000000007E-2</v>
      </c>
      <c r="X2733">
        <v>0.9975984</v>
      </c>
      <c r="Y2733">
        <v>7.1787820000000002E-2</v>
      </c>
      <c r="Z2733">
        <v>1.131627E-2</v>
      </c>
      <c r="AA2733">
        <v>0.99735580000000001</v>
      </c>
      <c r="AB2733">
        <v>38</v>
      </c>
      <c r="AC2733">
        <v>-0.35460000000000402</v>
      </c>
      <c r="AD2733">
        <v>-0.20109750000000001</v>
      </c>
      <c r="AE2733">
        <v>5.2800000000047399E-2</v>
      </c>
      <c r="AF2733">
        <v>4.1145765035513301E-2</v>
      </c>
      <c r="AG2733">
        <v>-0.20109750000000001</v>
      </c>
      <c r="AH2733">
        <v>0.26958374714231298</v>
      </c>
      <c r="AI2733">
        <v>126.40565597318501</v>
      </c>
      <c r="AJ2733">
        <v>81.322086154721404</v>
      </c>
      <c r="AK2733">
        <v>0.33883414115153498</v>
      </c>
      <c r="AL2733">
        <v>93.663984544146999</v>
      </c>
      <c r="AM2733">
        <v>91.533941145702002</v>
      </c>
      <c r="AN2733">
        <v>1.0000000394827</v>
      </c>
    </row>
    <row r="2734" spans="1:40" x14ac:dyDescent="0.25">
      <c r="A2734" t="str">
        <f>"20190303154150917"</f>
        <v>20190303154150917</v>
      </c>
      <c r="B2734" t="str">
        <f>"1551598910912671"</f>
        <v>1551598910912671</v>
      </c>
      <c r="C2734" t="s">
        <v>40</v>
      </c>
      <c r="D2734">
        <v>5.3801889999999997</v>
      </c>
      <c r="E2734">
        <v>0.57338940000000005</v>
      </c>
      <c r="F2734" t="s">
        <v>42</v>
      </c>
      <c r="G2734">
        <v>-364.49299999999999</v>
      </c>
      <c r="H2734">
        <v>0.92551470000000002</v>
      </c>
      <c r="I2734">
        <v>283.69170000000003</v>
      </c>
      <c r="J2734">
        <v>-364.17950000000002</v>
      </c>
      <c r="K2734">
        <v>1.1207800000000001</v>
      </c>
      <c r="L2734">
        <v>283.63959999999997</v>
      </c>
      <c r="M2734">
        <v>-0.99988339999999998</v>
      </c>
      <c r="N2734">
        <v>-1.485613E-2</v>
      </c>
      <c r="O2734">
        <v>-3.5793219999999998E-3</v>
      </c>
      <c r="P2734">
        <v>-0.99641579999999996</v>
      </c>
      <c r="Q2734">
        <v>-7.8792329999999994E-2</v>
      </c>
      <c r="R2734">
        <v>-3.0784039999999999E-2</v>
      </c>
      <c r="S2734">
        <v>-2.9519959999999998</v>
      </c>
      <c r="T2734">
        <v>-0.82542749999999998</v>
      </c>
      <c r="U2734">
        <v>0.21270749999999999</v>
      </c>
      <c r="V2734">
        <v>-2.7230420000000002E-2</v>
      </c>
      <c r="W2734">
        <v>-6.3973639999999998E-2</v>
      </c>
      <c r="X2734">
        <v>0.99758000000000002</v>
      </c>
      <c r="Y2734">
        <v>7.240038E-2</v>
      </c>
      <c r="Z2734">
        <v>1.139737E-2</v>
      </c>
      <c r="AA2734">
        <v>0.99731049999999999</v>
      </c>
      <c r="AB2734">
        <v>38</v>
      </c>
      <c r="AC2734">
        <v>-0.31350000000003297</v>
      </c>
      <c r="AD2734">
        <v>-0.1952653</v>
      </c>
      <c r="AE2734">
        <v>5.2100000000052597E-2</v>
      </c>
      <c r="AF2734">
        <v>3.8635955073026203E-2</v>
      </c>
      <c r="AG2734">
        <v>-0.1952653</v>
      </c>
      <c r="AH2734">
        <v>0.22744559888553001</v>
      </c>
      <c r="AI2734">
        <v>130.24423111185999</v>
      </c>
      <c r="AJ2734">
        <v>80.359250099561294</v>
      </c>
      <c r="AK2734">
        <v>0.30224621562708098</v>
      </c>
      <c r="AL2734">
        <v>93.667924425813098</v>
      </c>
      <c r="AM2734">
        <v>91.563584690940004</v>
      </c>
      <c r="AN2734">
        <v>0.99999998939411205</v>
      </c>
    </row>
    <row r="2735" spans="1:40" x14ac:dyDescent="0.25">
      <c r="A2735" t="str">
        <f>"20190303154150939"</f>
        <v>20190303154150939</v>
      </c>
      <c r="B2735" t="str">
        <f>"1551598910932190"</f>
        <v>1551598910932190</v>
      </c>
      <c r="C2735" t="s">
        <v>40</v>
      </c>
      <c r="D2735">
        <v>5.3357419999999998</v>
      </c>
      <c r="E2735">
        <v>0.57903359999999904</v>
      </c>
      <c r="F2735" t="s">
        <v>42</v>
      </c>
      <c r="G2735">
        <v>-365.15320000000003</v>
      </c>
      <c r="H2735">
        <v>0.86880079999999904</v>
      </c>
      <c r="I2735">
        <v>283.80540000000002</v>
      </c>
      <c r="J2735">
        <v>-364.56229999999999</v>
      </c>
      <c r="K2735">
        <v>1.120784</v>
      </c>
      <c r="L2735">
        <v>283.63830000000002</v>
      </c>
      <c r="M2735">
        <v>-0.99988350000000004</v>
      </c>
      <c r="N2735">
        <v>-1.4864179999999999E-2</v>
      </c>
      <c r="O2735">
        <v>-3.515252E-3</v>
      </c>
      <c r="P2735">
        <v>-0.99641550000000001</v>
      </c>
      <c r="Q2735">
        <v>-7.8732129999999997E-2</v>
      </c>
      <c r="R2735">
        <v>-3.0945420000000001E-2</v>
      </c>
      <c r="S2735">
        <v>-2.965668</v>
      </c>
      <c r="T2735">
        <v>-0.76750989999999997</v>
      </c>
      <c r="U2735">
        <v>0.50347900000000001</v>
      </c>
      <c r="V2735">
        <v>-2.7455529999999999E-2</v>
      </c>
      <c r="W2735">
        <v>-6.3905400000000001E-2</v>
      </c>
      <c r="X2735">
        <v>0.99757819999999997</v>
      </c>
      <c r="Y2735">
        <v>0.16512760000000001</v>
      </c>
      <c r="Z2735">
        <v>2.2973230000000001E-2</v>
      </c>
      <c r="AA2735">
        <v>0.98600469999999896</v>
      </c>
      <c r="AB2735">
        <v>38</v>
      </c>
      <c r="AC2735">
        <v>-0.59090000000003295</v>
      </c>
      <c r="AD2735">
        <v>-0.25198320000000002</v>
      </c>
      <c r="AE2735">
        <v>0.167100000000004</v>
      </c>
      <c r="AF2735">
        <v>0.14479503264487401</v>
      </c>
      <c r="AG2735">
        <v>-0.25198320000000002</v>
      </c>
      <c r="AH2735">
        <v>0.50523486141727902</v>
      </c>
      <c r="AI2735">
        <v>115.615106715563</v>
      </c>
      <c r="AJ2735">
        <v>74.008250591218101</v>
      </c>
      <c r="AK2735">
        <v>0.58285795847033595</v>
      </c>
      <c r="AL2735">
        <v>93.664006558480807</v>
      </c>
      <c r="AM2735">
        <v>91.576506969510206</v>
      </c>
      <c r="AN2735">
        <v>0.99999998569599002</v>
      </c>
    </row>
    <row r="2736" spans="1:40" x14ac:dyDescent="0.25">
      <c r="A2736" t="str">
        <f>"20190303154150950"</f>
        <v>20190303154150950</v>
      </c>
      <c r="B2736" t="str">
        <f>"1551598910941950"</f>
        <v>1551598910941950</v>
      </c>
      <c r="C2736" t="s">
        <v>40</v>
      </c>
      <c r="D2736">
        <v>5.3421320000000003</v>
      </c>
      <c r="E2736">
        <v>0.58039960000000002</v>
      </c>
      <c r="F2736" t="s">
        <v>42</v>
      </c>
      <c r="G2736">
        <v>-365.49950000000001</v>
      </c>
      <c r="H2736">
        <v>0.88278459999999903</v>
      </c>
      <c r="I2736">
        <v>283.8116</v>
      </c>
      <c r="J2736">
        <v>-364.76530000000002</v>
      </c>
      <c r="K2736">
        <v>1.1207849999999999</v>
      </c>
      <c r="L2736">
        <v>283.63760000000002</v>
      </c>
      <c r="M2736">
        <v>-0.99988339999999998</v>
      </c>
      <c r="N2736">
        <v>-1.4867750000000001E-2</v>
      </c>
      <c r="O2736">
        <v>-3.4811870000000002E-3</v>
      </c>
      <c r="P2736">
        <v>-0.99644080000000002</v>
      </c>
      <c r="Q2736">
        <v>-7.8469140000000007E-2</v>
      </c>
      <c r="R2736">
        <v>-3.0798869999999999E-2</v>
      </c>
      <c r="S2736">
        <v>-2.9682309999999998</v>
      </c>
      <c r="T2736">
        <v>-0.75380849999999999</v>
      </c>
      <c r="U2736">
        <v>0.5476685</v>
      </c>
      <c r="V2736">
        <v>-2.7342310000000002E-2</v>
      </c>
      <c r="W2736">
        <v>-6.3638539999999993E-2</v>
      </c>
      <c r="X2736">
        <v>0.9975984</v>
      </c>
      <c r="Y2736">
        <v>0.17893789999999901</v>
      </c>
      <c r="Z2736">
        <v>2.4363249999999999E-2</v>
      </c>
      <c r="AA2736">
        <v>0.98355870000000001</v>
      </c>
      <c r="AB2736">
        <v>38</v>
      </c>
      <c r="AC2736">
        <v>-0.73419999999998697</v>
      </c>
      <c r="AD2736">
        <v>-0.2380004</v>
      </c>
      <c r="AE2736">
        <v>0.17399999999997801</v>
      </c>
      <c r="AF2736">
        <v>0.16057859219803999</v>
      </c>
      <c r="AG2736">
        <v>-0.2380004</v>
      </c>
      <c r="AH2736">
        <v>0.66720700818124601</v>
      </c>
      <c r="AI2736">
        <v>109.126990482952</v>
      </c>
      <c r="AJ2736">
        <v>76.467822073287394</v>
      </c>
      <c r="AK2736">
        <v>0.72635725813034602</v>
      </c>
      <c r="AL2736">
        <v>93.648685307034498</v>
      </c>
      <c r="AM2736">
        <v>91.569977319988098</v>
      </c>
      <c r="AN2736">
        <v>1.0000000166860099</v>
      </c>
    </row>
    <row r="2737" spans="1:40" x14ac:dyDescent="0.25">
      <c r="A2737" t="str">
        <f>"20190303154150973"</f>
        <v>20190303154150973</v>
      </c>
      <c r="B2737" t="str">
        <f>"1551598910962446"</f>
        <v>1551598910962446</v>
      </c>
      <c r="C2737" t="s">
        <v>40</v>
      </c>
      <c r="D2737">
        <v>5.306889</v>
      </c>
      <c r="E2737">
        <v>0.58236969999999899</v>
      </c>
      <c r="F2737" t="s">
        <v>42</v>
      </c>
      <c r="G2737">
        <v>-365.51819999999998</v>
      </c>
      <c r="H2737">
        <v>0.92998159999999996</v>
      </c>
      <c r="I2737">
        <v>283.77969999999999</v>
      </c>
      <c r="J2737">
        <v>-365.13290000000001</v>
      </c>
      <c r="K2737">
        <v>1.120792</v>
      </c>
      <c r="L2737">
        <v>283.63639999999998</v>
      </c>
      <c r="M2737">
        <v>-0.99988370000000004</v>
      </c>
      <c r="N2737">
        <v>-1.48732E-2</v>
      </c>
      <c r="O2737">
        <v>-3.4197210000000001E-3</v>
      </c>
      <c r="P2737">
        <v>-0.996452</v>
      </c>
      <c r="Q2737">
        <v>-7.8505999999999895E-2</v>
      </c>
      <c r="R2737">
        <v>-3.0338589999999999E-2</v>
      </c>
      <c r="S2737">
        <v>-2.96875</v>
      </c>
      <c r="T2737">
        <v>-0.75240450000000003</v>
      </c>
      <c r="U2737">
        <v>0.55902099999999999</v>
      </c>
      <c r="V2737">
        <v>-2.694363E-2</v>
      </c>
      <c r="W2737">
        <v>-6.3669950000000003E-2</v>
      </c>
      <c r="X2737">
        <v>0.99760720000000003</v>
      </c>
      <c r="Y2737">
        <v>0.18239759999999999</v>
      </c>
      <c r="Z2737">
        <v>2.4751019999999999E-2</v>
      </c>
      <c r="AA2737">
        <v>0.98291329999999999</v>
      </c>
      <c r="AB2737">
        <v>38</v>
      </c>
      <c r="AC2737">
        <v>-0.385299999999972</v>
      </c>
      <c r="AD2737">
        <v>-0.19081039999999999</v>
      </c>
      <c r="AE2737">
        <v>0.14330000000001</v>
      </c>
      <c r="AF2737">
        <v>0.118982497435191</v>
      </c>
      <c r="AG2737">
        <v>-0.19081039999999999</v>
      </c>
      <c r="AH2737">
        <v>0.31659762160645399</v>
      </c>
      <c r="AI2737">
        <v>119.43018055506001</v>
      </c>
      <c r="AJ2737">
        <v>69.402969294361796</v>
      </c>
      <c r="AK2737">
        <v>0.38832910971357598</v>
      </c>
      <c r="AL2737">
        <v>93.6504887820021</v>
      </c>
      <c r="AM2737">
        <v>91.547082945824499</v>
      </c>
      <c r="AN2737">
        <v>0.99999997361120896</v>
      </c>
    </row>
    <row r="2738" spans="1:40" x14ac:dyDescent="0.25">
      <c r="A2738" t="str">
        <f>"20190303154150994"</f>
        <v>20190303154150994</v>
      </c>
      <c r="B2738" t="str">
        <f>"1551598910992703"</f>
        <v>1551598910992703</v>
      </c>
      <c r="C2738" t="s">
        <v>40</v>
      </c>
      <c r="D2738">
        <v>5.2446890000000002</v>
      </c>
      <c r="E2738">
        <v>0.58407410000000004</v>
      </c>
      <c r="F2738" t="s">
        <v>42</v>
      </c>
      <c r="G2738">
        <v>-365.86070000000001</v>
      </c>
      <c r="H2738">
        <v>0.93645230000000002</v>
      </c>
      <c r="I2738">
        <v>283.77800000000002</v>
      </c>
      <c r="J2738">
        <v>-365.49849999999998</v>
      </c>
      <c r="K2738">
        <v>1.120795</v>
      </c>
      <c r="L2738">
        <v>283.6352</v>
      </c>
      <c r="M2738">
        <v>-0.99988379999999999</v>
      </c>
      <c r="N2738">
        <v>-1.4877349999999999E-2</v>
      </c>
      <c r="O2738">
        <v>-3.3582439999999998E-3</v>
      </c>
      <c r="P2738">
        <v>-0.99647600000000003</v>
      </c>
      <c r="Q2738">
        <v>-7.8476420000000005E-2</v>
      </c>
      <c r="R2738">
        <v>-2.961805E-2</v>
      </c>
      <c r="S2738">
        <v>-2.9689329999999998</v>
      </c>
      <c r="T2738">
        <v>-0.75206280000000003</v>
      </c>
      <c r="U2738">
        <v>0.57608029999999999</v>
      </c>
      <c r="V2738">
        <v>-2.628436E-2</v>
      </c>
      <c r="W2738">
        <v>-6.3636070000000003E-2</v>
      </c>
      <c r="X2738">
        <v>0.99762700000000004</v>
      </c>
      <c r="Y2738">
        <v>0.1876179</v>
      </c>
      <c r="Z2738">
        <v>2.5399109999999999E-2</v>
      </c>
      <c r="AA2738">
        <v>0.98191360000000005</v>
      </c>
      <c r="AB2738">
        <v>38</v>
      </c>
      <c r="AC2738">
        <v>-0.362200000000029</v>
      </c>
      <c r="AD2738">
        <v>-0.184342699999999</v>
      </c>
      <c r="AE2738">
        <v>0.14280000000002199</v>
      </c>
      <c r="AF2738">
        <v>0.117642018811228</v>
      </c>
      <c r="AG2738">
        <v>-0.184342699999999</v>
      </c>
      <c r="AH2738">
        <v>0.29547668053792697</v>
      </c>
      <c r="AI2738">
        <v>120.09789552107</v>
      </c>
      <c r="AJ2738">
        <v>68.29036401514</v>
      </c>
      <c r="AK2738">
        <v>0.36759807449847198</v>
      </c>
      <c r="AL2738">
        <v>93.648543472098794</v>
      </c>
      <c r="AM2738">
        <v>91.509215946272604</v>
      </c>
      <c r="AN2738">
        <v>1.0000000240573199</v>
      </c>
    </row>
    <row r="2739" spans="1:40" x14ac:dyDescent="0.25">
      <c r="A2739" t="str">
        <f>"20190303154151017"</f>
        <v>20190303154151017</v>
      </c>
      <c r="B2739" t="str">
        <f>"1551598911012222"</f>
        <v>1551598911012222</v>
      </c>
      <c r="C2739" t="s">
        <v>40</v>
      </c>
      <c r="D2739">
        <v>5.2205069999999996</v>
      </c>
      <c r="E2739">
        <v>0.58481799999999995</v>
      </c>
      <c r="F2739" t="s">
        <v>42</v>
      </c>
      <c r="G2739">
        <v>-366.20249999999999</v>
      </c>
      <c r="H2739">
        <v>0.94237110000000002</v>
      </c>
      <c r="I2739">
        <v>283.7758</v>
      </c>
      <c r="J2739">
        <v>-365.8811</v>
      </c>
      <c r="K2739">
        <v>1.120806</v>
      </c>
      <c r="L2739">
        <v>283.63400000000001</v>
      </c>
      <c r="M2739">
        <v>-0.99988390000000005</v>
      </c>
      <c r="N2739">
        <v>-1.488051E-2</v>
      </c>
      <c r="O2739">
        <v>-3.2937819999999999E-3</v>
      </c>
      <c r="P2739">
        <v>-0.9964558</v>
      </c>
      <c r="Q2739">
        <v>-7.8735429999999995E-2</v>
      </c>
      <c r="R2739">
        <v>-2.961101E-2</v>
      </c>
      <c r="S2739">
        <v>-2.9689329999999998</v>
      </c>
      <c r="T2739">
        <v>-0.75257209999999997</v>
      </c>
      <c r="U2739">
        <v>0.5918274</v>
      </c>
      <c r="V2739">
        <v>-2.6341489999999999E-2</v>
      </c>
      <c r="W2739">
        <v>-6.3892190000000001E-2</v>
      </c>
      <c r="X2739">
        <v>0.99760910000000003</v>
      </c>
      <c r="Y2739">
        <v>0.1924121</v>
      </c>
      <c r="Z2739">
        <v>2.6018429999999999E-2</v>
      </c>
      <c r="AA2739">
        <v>0.98096930000000004</v>
      </c>
      <c r="AB2739">
        <v>38</v>
      </c>
      <c r="AC2739">
        <v>-0.32139999999998198</v>
      </c>
      <c r="AD2739">
        <v>-0.17843490000000001</v>
      </c>
      <c r="AE2739">
        <v>0.14179999999998899</v>
      </c>
      <c r="AF2739">
        <v>0.113559248855266</v>
      </c>
      <c r="AG2739">
        <v>-0.17843490000000001</v>
      </c>
      <c r="AH2739">
        <v>0.25511142334535702</v>
      </c>
      <c r="AI2739">
        <v>122.578229088691</v>
      </c>
      <c r="AJ2739">
        <v>66.004437657273598</v>
      </c>
      <c r="AK2739">
        <v>0.331385809683934</v>
      </c>
      <c r="AL2739">
        <v>93.663248074340302</v>
      </c>
      <c r="AM2739">
        <v>91.512521885162201</v>
      </c>
      <c r="AN2739">
        <v>1.0000000012206101</v>
      </c>
    </row>
    <row r="2740" spans="1:40" x14ac:dyDescent="0.25">
      <c r="A2740" t="str">
        <f>"20190303154151029"</f>
        <v>20190303154151029</v>
      </c>
      <c r="B2740" t="str">
        <f>"1551598911021984"</f>
        <v>1551598911021984</v>
      </c>
      <c r="C2740" t="s">
        <v>40</v>
      </c>
      <c r="D2740">
        <v>5.3725199999999997</v>
      </c>
      <c r="E2740">
        <v>0.58407589999999998</v>
      </c>
      <c r="F2740" t="s">
        <v>42</v>
      </c>
      <c r="G2740">
        <v>-366.8528</v>
      </c>
      <c r="H2740">
        <v>0.87466290000000002</v>
      </c>
      <c r="I2740">
        <v>283.8297</v>
      </c>
      <c r="J2740">
        <v>-366.09620000000001</v>
      </c>
      <c r="K2740">
        <v>1.1208070000000001</v>
      </c>
      <c r="L2740">
        <v>283.63330000000002</v>
      </c>
      <c r="M2740">
        <v>-0.99988390000000005</v>
      </c>
      <c r="N2740">
        <v>-1.4881770000000001E-2</v>
      </c>
      <c r="O2740">
        <v>-3.2576739999999999E-3</v>
      </c>
      <c r="P2740">
        <v>-0.99650229999999995</v>
      </c>
      <c r="Q2740">
        <v>-7.8333040000000007E-2</v>
      </c>
      <c r="R2740">
        <v>-2.9104379999999999E-2</v>
      </c>
      <c r="S2740">
        <v>-2.969055</v>
      </c>
      <c r="T2740">
        <v>-0.75202990000000003</v>
      </c>
      <c r="U2740">
        <v>0.59780880000000003</v>
      </c>
      <c r="V2740">
        <v>-2.587074E-2</v>
      </c>
      <c r="W2740">
        <v>-6.3488050000000004E-2</v>
      </c>
      <c r="X2740">
        <v>0.99764719999999996</v>
      </c>
      <c r="Y2740">
        <v>0.19422320000000001</v>
      </c>
      <c r="Z2740">
        <v>2.6225109999999999E-2</v>
      </c>
      <c r="AA2740">
        <v>0.98060670000000005</v>
      </c>
      <c r="AB2740">
        <v>38</v>
      </c>
      <c r="AC2740">
        <v>-0.75659999999999095</v>
      </c>
      <c r="AD2740">
        <v>-0.24614409999999901</v>
      </c>
      <c r="AE2740">
        <v>0.19639999999998201</v>
      </c>
      <c r="AF2740">
        <v>0.18092400120205299</v>
      </c>
      <c r="AG2740">
        <v>-0.24614409999999901</v>
      </c>
      <c r="AH2740">
        <v>0.68775953674673396</v>
      </c>
      <c r="AI2740">
        <v>109.091605994029</v>
      </c>
      <c r="AJ2740">
        <v>75.261528894701897</v>
      </c>
      <c r="AK2740">
        <v>0.75255138865186599</v>
      </c>
      <c r="AL2740">
        <v>93.640045521373693</v>
      </c>
      <c r="AM2740">
        <v>91.4854470518368</v>
      </c>
      <c r="AN2740">
        <v>0.99999998167439397</v>
      </c>
    </row>
    <row r="2741" spans="1:40" x14ac:dyDescent="0.25">
      <c r="A2741" t="str">
        <f>"20190303154151051"</f>
        <v>20190303154151051</v>
      </c>
      <c r="B2741" t="str">
        <f>"1551598911042478"</f>
        <v>1551598911042478</v>
      </c>
      <c r="C2741" t="s">
        <v>40</v>
      </c>
      <c r="D2741">
        <v>5.3269399999999996</v>
      </c>
      <c r="E2741">
        <v>0.582619</v>
      </c>
      <c r="F2741" t="s">
        <v>42</v>
      </c>
      <c r="G2741">
        <v>-366.87139999999999</v>
      </c>
      <c r="H2741">
        <v>0.92285589999999995</v>
      </c>
      <c r="I2741">
        <v>283.78840000000002</v>
      </c>
      <c r="J2741">
        <v>-366.45850000000002</v>
      </c>
      <c r="K2741">
        <v>1.120814</v>
      </c>
      <c r="L2741">
        <v>283.63220000000001</v>
      </c>
      <c r="M2741">
        <v>-0.99988410000000005</v>
      </c>
      <c r="N2741">
        <v>-1.4883459999999999E-2</v>
      </c>
      <c r="O2741">
        <v>-3.1967749999999998E-3</v>
      </c>
      <c r="P2741">
        <v>-0.99646869999999999</v>
      </c>
      <c r="Q2741">
        <v>-7.8698489999999996E-2</v>
      </c>
      <c r="R2741">
        <v>-2.9269949999999999E-2</v>
      </c>
      <c r="S2741">
        <v>-2.9683229999999998</v>
      </c>
      <c r="T2741">
        <v>-0.75793459999999901</v>
      </c>
      <c r="U2741">
        <v>0.59371949999999996</v>
      </c>
      <c r="V2741">
        <v>-2.609705E-2</v>
      </c>
      <c r="W2741">
        <v>-6.3852240000000005E-2</v>
      </c>
      <c r="X2741">
        <v>0.99761809999999995</v>
      </c>
      <c r="Y2741">
        <v>0.1928569</v>
      </c>
      <c r="Z2741">
        <v>2.622853E-2</v>
      </c>
      <c r="AA2741">
        <v>0.98087630000000003</v>
      </c>
      <c r="AB2741">
        <v>38</v>
      </c>
      <c r="AC2741">
        <v>-0.41289999999997901</v>
      </c>
      <c r="AD2741">
        <v>-0.197958099999999</v>
      </c>
      <c r="AE2741">
        <v>0.156200000000012</v>
      </c>
      <c r="AF2741">
        <v>0.13114806736852799</v>
      </c>
      <c r="AG2741">
        <v>-0.197958099999999</v>
      </c>
      <c r="AH2741">
        <v>0.34335644759666401</v>
      </c>
      <c r="AI2741">
        <v>118.30634129144001</v>
      </c>
      <c r="AJ2741">
        <v>69.095195741902501</v>
      </c>
      <c r="AK2741">
        <v>0.417469609715857</v>
      </c>
      <c r="AL2741">
        <v>93.660954359300604</v>
      </c>
      <c r="AM2741">
        <v>91.498479117398702</v>
      </c>
      <c r="AN2741">
        <v>1.0000000190096601</v>
      </c>
    </row>
    <row r="2742" spans="1:40" x14ac:dyDescent="0.25">
      <c r="A2742" t="str">
        <f>"20190303154151074"</f>
        <v>20190303154151074</v>
      </c>
      <c r="B2742" t="str">
        <f>"1551598911061998"</f>
        <v>1551598911061998</v>
      </c>
      <c r="C2742" t="s">
        <v>40</v>
      </c>
      <c r="D2742">
        <v>5.3467580000000003</v>
      </c>
      <c r="E2742">
        <v>0.58143230000000001</v>
      </c>
      <c r="F2742" t="s">
        <v>42</v>
      </c>
      <c r="G2742">
        <v>-367.21010000000001</v>
      </c>
      <c r="H2742">
        <v>0.92567359999999999</v>
      </c>
      <c r="I2742">
        <v>283.77999999999997</v>
      </c>
      <c r="J2742">
        <v>-366.84120000000001</v>
      </c>
      <c r="K2742">
        <v>1.120822</v>
      </c>
      <c r="L2742">
        <v>283.63099999999997</v>
      </c>
      <c r="M2742">
        <v>-0.99988440000000001</v>
      </c>
      <c r="N2742">
        <v>-1.4884349999999999E-2</v>
      </c>
      <c r="O2742">
        <v>-3.132653E-3</v>
      </c>
      <c r="P2742">
        <v>-0.99645039999999996</v>
      </c>
      <c r="Q2742">
        <v>-7.9028080000000001E-2</v>
      </c>
      <c r="R2742">
        <v>-2.9007270000000002E-2</v>
      </c>
      <c r="S2742">
        <v>-2.9668580000000002</v>
      </c>
      <c r="T2742">
        <v>-0.77034389999999997</v>
      </c>
      <c r="U2742">
        <v>0.58203130000000003</v>
      </c>
      <c r="V2742">
        <v>-2.5898129999999998E-2</v>
      </c>
      <c r="W2742">
        <v>-6.4181279999999993E-2</v>
      </c>
      <c r="X2742">
        <v>0.99760219999999999</v>
      </c>
      <c r="Y2742">
        <v>0.18908259999999999</v>
      </c>
      <c r="Z2742">
        <v>2.6121519999999999E-2</v>
      </c>
      <c r="AA2742">
        <v>0.98161370000000003</v>
      </c>
      <c r="AB2742">
        <v>38</v>
      </c>
      <c r="AC2742">
        <v>-0.36889999999999601</v>
      </c>
      <c r="AD2742">
        <v>-0.1951484</v>
      </c>
      <c r="AE2742">
        <v>0.14899999999999999</v>
      </c>
      <c r="AF2742">
        <v>0.121034970640147</v>
      </c>
      <c r="AG2742">
        <v>-0.1951484</v>
      </c>
      <c r="AH2742">
        <v>0.29698025871304201</v>
      </c>
      <c r="AI2742">
        <v>121.32104881744</v>
      </c>
      <c r="AJ2742">
        <v>67.8265373688929</v>
      </c>
      <c r="AK2742">
        <v>0.375405961867532</v>
      </c>
      <c r="AL2742">
        <v>93.679845598936495</v>
      </c>
      <c r="AM2742">
        <v>91.487086072639499</v>
      </c>
      <c r="AN2742">
        <v>1.00000004964238</v>
      </c>
    </row>
    <row r="2743" spans="1:40" x14ac:dyDescent="0.25">
      <c r="A2743" t="str">
        <f>"20190303154151106"</f>
        <v>20190303154151106</v>
      </c>
      <c r="B2743" t="str">
        <f>"1551598911102015"</f>
        <v>1551598911102015</v>
      </c>
      <c r="C2743" t="s">
        <v>40</v>
      </c>
      <c r="D2743">
        <v>5.1385079999999999</v>
      </c>
      <c r="E2743">
        <v>0.58168959999999903</v>
      </c>
      <c r="F2743" t="s">
        <v>42</v>
      </c>
      <c r="G2743">
        <v>-367.55079999999998</v>
      </c>
      <c r="H2743">
        <v>0.93402589999999996</v>
      </c>
      <c r="I2743">
        <v>283.76839999999999</v>
      </c>
      <c r="J2743">
        <v>-367.39249999999998</v>
      </c>
      <c r="K2743">
        <v>1.120824</v>
      </c>
      <c r="L2743">
        <v>283.62939999999998</v>
      </c>
      <c r="M2743">
        <v>-0.99988460000000001</v>
      </c>
      <c r="N2743">
        <v>-1.48843E-2</v>
      </c>
      <c r="O2743">
        <v>-3.0397990000000001E-3</v>
      </c>
      <c r="P2743">
        <v>-0.99646869999999999</v>
      </c>
      <c r="Q2743">
        <v>-7.8812939999999998E-2</v>
      </c>
      <c r="R2743">
        <v>-2.8958210000000002E-2</v>
      </c>
      <c r="S2743">
        <v>-2.9654539999999998</v>
      </c>
      <c r="T2743">
        <v>-0.78066349999999995</v>
      </c>
      <c r="U2743">
        <v>0.57308959999999998</v>
      </c>
      <c r="V2743">
        <v>-2.5941780000000001E-2</v>
      </c>
      <c r="W2743">
        <v>-6.3966010000000004E-2</v>
      </c>
      <c r="X2743">
        <v>0.99761489999999997</v>
      </c>
      <c r="Y2743">
        <v>0.18615329999999999</v>
      </c>
      <c r="Z2743">
        <v>2.6039840000000002E-2</v>
      </c>
      <c r="AA2743">
        <v>0.98217560000000004</v>
      </c>
      <c r="AB2743">
        <v>38</v>
      </c>
      <c r="AC2743">
        <v>-0.158299999999996</v>
      </c>
      <c r="AD2743">
        <v>-0.18679809999999999</v>
      </c>
      <c r="AE2743">
        <v>0.13900000000001</v>
      </c>
      <c r="AF2743">
        <v>7.8085872502449694E-2</v>
      </c>
      <c r="AG2743">
        <v>-0.18679809999999999</v>
      </c>
      <c r="AH2743">
        <v>8.8384607387257799E-2</v>
      </c>
      <c r="AI2743">
        <v>147.73319209985399</v>
      </c>
      <c r="AJ2743">
        <v>48.540104945056299</v>
      </c>
      <c r="AK2743">
        <v>0.220913495448056</v>
      </c>
      <c r="AL2743">
        <v>93.667486111503905</v>
      </c>
      <c r="AM2743">
        <v>91.489572398877996</v>
      </c>
      <c r="AN2743">
        <v>1.00000005754344</v>
      </c>
    </row>
    <row r="2744" spans="1:40" x14ac:dyDescent="0.25">
      <c r="A2744" t="str">
        <f>"20190303154151129"</f>
        <v>20190303154151129</v>
      </c>
      <c r="B2744" t="str">
        <f>"1551598911122510"</f>
        <v>1551598911122510</v>
      </c>
      <c r="C2744" t="s">
        <v>40</v>
      </c>
      <c r="D2744">
        <v>5.1559939999999997</v>
      </c>
      <c r="E2744">
        <v>0.58192889999999997</v>
      </c>
      <c r="F2744" t="s">
        <v>42</v>
      </c>
      <c r="G2744">
        <v>-368.21300000000002</v>
      </c>
      <c r="H2744">
        <v>0.90483939999999996</v>
      </c>
      <c r="I2744">
        <v>283.78840000000002</v>
      </c>
      <c r="J2744">
        <v>-367.76679999999999</v>
      </c>
      <c r="K2744">
        <v>1.120827</v>
      </c>
      <c r="L2744">
        <v>283.62830000000002</v>
      </c>
      <c r="M2744">
        <v>-0.99988489999999997</v>
      </c>
      <c r="N2744">
        <v>-1.488362E-2</v>
      </c>
      <c r="O2744">
        <v>-2.976621E-3</v>
      </c>
      <c r="P2744">
        <v>-0.99647580000000002</v>
      </c>
      <c r="Q2744">
        <v>-7.8837260000000006E-2</v>
      </c>
      <c r="R2744">
        <v>-2.8651349999999999E-2</v>
      </c>
      <c r="S2744">
        <v>-2.965576</v>
      </c>
      <c r="T2744">
        <v>-0.78057959999999904</v>
      </c>
      <c r="U2744">
        <v>0.5744629</v>
      </c>
      <c r="V2744">
        <v>-2.56977E-2</v>
      </c>
      <c r="W2744">
        <v>-6.3990989999999998E-2</v>
      </c>
      <c r="X2744">
        <v>0.99761960000000005</v>
      </c>
      <c r="Y2744">
        <v>0.18651400000000001</v>
      </c>
      <c r="Z2744">
        <v>2.6068999999999998E-2</v>
      </c>
      <c r="AA2744">
        <v>0.98210640000000005</v>
      </c>
      <c r="AB2744">
        <v>38</v>
      </c>
      <c r="AC2744">
        <v>-0.44620000000003202</v>
      </c>
      <c r="AD2744">
        <v>-0.215987599999999</v>
      </c>
      <c r="AE2744">
        <v>0.16009999999999899</v>
      </c>
      <c r="AF2744">
        <v>0.133677652564473</v>
      </c>
      <c r="AG2744">
        <v>-0.215987599999999</v>
      </c>
      <c r="AH2744">
        <v>0.36910038945722701</v>
      </c>
      <c r="AI2744">
        <v>118.81959818545</v>
      </c>
      <c r="AJ2744">
        <v>70.091055238455894</v>
      </c>
      <c r="AK2744">
        <v>0.44805742449644198</v>
      </c>
      <c r="AL2744">
        <v>93.668920353714398</v>
      </c>
      <c r="AM2744">
        <v>91.475556645483707</v>
      </c>
      <c r="AN2744">
        <v>1.0000000424453099</v>
      </c>
    </row>
    <row r="2745" spans="1:40" x14ac:dyDescent="0.25">
      <c r="A2745" t="str">
        <f>"20190303154151151"</f>
        <v>20190303154151151</v>
      </c>
      <c r="B2745" t="str">
        <f>"1551598911142030"</f>
        <v>1551598911142030</v>
      </c>
      <c r="C2745" t="s">
        <v>40</v>
      </c>
      <c r="D2745">
        <v>5.1311169999999997</v>
      </c>
      <c r="E2745">
        <v>0.58222010000000002</v>
      </c>
      <c r="F2745" t="s">
        <v>42</v>
      </c>
      <c r="G2745">
        <v>-368.5532</v>
      </c>
      <c r="H2745">
        <v>0.91430259999999997</v>
      </c>
      <c r="I2745">
        <v>283.78199999999998</v>
      </c>
      <c r="J2745">
        <v>-368.14</v>
      </c>
      <c r="K2745">
        <v>1.1208309999999999</v>
      </c>
      <c r="L2745">
        <v>283.62729999999999</v>
      </c>
      <c r="M2745">
        <v>-0.99988500000000002</v>
      </c>
      <c r="N2745">
        <v>-1.488248E-2</v>
      </c>
      <c r="O2745">
        <v>-2.9136750000000001E-3</v>
      </c>
      <c r="P2745">
        <v>-0.99646599999999996</v>
      </c>
      <c r="Q2745">
        <v>-7.8967899999999994E-2</v>
      </c>
      <c r="R2745">
        <v>-2.8634349999999999E-2</v>
      </c>
      <c r="S2745">
        <v>-2.9656370000000001</v>
      </c>
      <c r="T2745">
        <v>-0.77897689999999997</v>
      </c>
      <c r="U2745">
        <v>0.57818599999999998</v>
      </c>
      <c r="V2745">
        <v>-2.5743149999999999E-2</v>
      </c>
      <c r="W2745">
        <v>-6.412292E-2</v>
      </c>
      <c r="X2745">
        <v>0.99760990000000005</v>
      </c>
      <c r="Y2745">
        <v>0.18762760000000001</v>
      </c>
      <c r="Z2745">
        <v>2.6152470000000001E-2</v>
      </c>
      <c r="AA2745">
        <v>0.98189199999999999</v>
      </c>
      <c r="AB2745">
        <v>38</v>
      </c>
      <c r="AC2745">
        <v>-0.413200000000017</v>
      </c>
      <c r="AD2745">
        <v>-0.206528399999999</v>
      </c>
      <c r="AE2745">
        <v>0.15469999999999101</v>
      </c>
      <c r="AF2745">
        <v>0.12788262448013599</v>
      </c>
      <c r="AG2745">
        <v>-0.206528399999999</v>
      </c>
      <c r="AH2745">
        <v>0.33856365411878198</v>
      </c>
      <c r="AI2745">
        <v>119.711730435352</v>
      </c>
      <c r="AJ2745">
        <v>69.307392827257502</v>
      </c>
      <c r="AK2745">
        <v>0.41669328473200801</v>
      </c>
      <c r="AL2745">
        <v>93.676495151186003</v>
      </c>
      <c r="AM2745">
        <v>91.478179584493105</v>
      </c>
      <c r="AN2745">
        <v>0.99999998560962899</v>
      </c>
    </row>
    <row r="2746" spans="1:40" x14ac:dyDescent="0.25">
      <c r="A2746" t="str">
        <f>"20190303154151173"</f>
        <v>20190303154151173</v>
      </c>
      <c r="B2746" t="str">
        <f>"1551598911162526"</f>
        <v>1551598911162526</v>
      </c>
      <c r="C2746" t="s">
        <v>40</v>
      </c>
      <c r="D2746">
        <v>5.1305079999999998</v>
      </c>
      <c r="E2746">
        <v>0.58235709999999996</v>
      </c>
      <c r="F2746" t="s">
        <v>42</v>
      </c>
      <c r="G2746">
        <v>-368.89280000000002</v>
      </c>
      <c r="H2746">
        <v>0.92339230000000005</v>
      </c>
      <c r="I2746">
        <v>283.7749</v>
      </c>
      <c r="J2746">
        <v>-368.51859999999999</v>
      </c>
      <c r="K2746">
        <v>1.120838</v>
      </c>
      <c r="L2746">
        <v>283.62619999999998</v>
      </c>
      <c r="M2746">
        <v>-0.99988529999999998</v>
      </c>
      <c r="N2746">
        <v>-1.4880890000000001E-2</v>
      </c>
      <c r="O2746">
        <v>-2.85001E-3</v>
      </c>
      <c r="P2746">
        <v>-0.99646369999999895</v>
      </c>
      <c r="Q2746">
        <v>-7.9110699999999895E-2</v>
      </c>
      <c r="R2746">
        <v>-2.8311639999999999E-2</v>
      </c>
      <c r="S2746">
        <v>-2.9656370000000001</v>
      </c>
      <c r="T2746">
        <v>-0.77779889999999996</v>
      </c>
      <c r="U2746">
        <v>0.58050539999999995</v>
      </c>
      <c r="V2746">
        <v>-2.5484130000000001E-2</v>
      </c>
      <c r="W2746">
        <v>-6.4267389999999994E-2</v>
      </c>
      <c r="X2746">
        <v>0.99760729999999997</v>
      </c>
      <c r="Y2746">
        <v>0.18830359999999999</v>
      </c>
      <c r="Z2746">
        <v>2.619055E-2</v>
      </c>
      <c r="AA2746">
        <v>0.98176160000000001</v>
      </c>
      <c r="AB2746">
        <v>38</v>
      </c>
      <c r="AC2746">
        <v>-0.37420000000003001</v>
      </c>
      <c r="AD2746">
        <v>-0.197445699999999</v>
      </c>
      <c r="AE2746">
        <v>0.14870000000001901</v>
      </c>
      <c r="AF2746">
        <v>0.120735877417083</v>
      </c>
      <c r="AG2746">
        <v>-0.197445699999999</v>
      </c>
      <c r="AH2746">
        <v>0.30132348067061598</v>
      </c>
      <c r="AI2746">
        <v>121.310111263511</v>
      </c>
      <c r="AJ2746">
        <v>68.164751489678594</v>
      </c>
      <c r="AK2746">
        <v>0.37994446508354102</v>
      </c>
      <c r="AL2746">
        <v>93.6847896114772</v>
      </c>
      <c r="AM2746">
        <v>91.463316888072995</v>
      </c>
      <c r="AN2746">
        <v>1.00000003165627</v>
      </c>
    </row>
    <row r="2747" spans="1:40" x14ac:dyDescent="0.25">
      <c r="A2747" t="str">
        <f>"20190303154151196"</f>
        <v>20190303154151196</v>
      </c>
      <c r="B2747" t="str">
        <f>"1551598911191807"</f>
        <v>1551598911191807</v>
      </c>
      <c r="C2747" t="s">
        <v>40</v>
      </c>
      <c r="D2747">
        <v>5.0856539999999999</v>
      </c>
      <c r="E2747">
        <v>0.58268540000000002</v>
      </c>
      <c r="F2747" t="s">
        <v>42</v>
      </c>
      <c r="G2747">
        <v>-369.23270000000002</v>
      </c>
      <c r="H2747">
        <v>0.93376979999999998</v>
      </c>
      <c r="I2747">
        <v>283.76690000000002</v>
      </c>
      <c r="J2747">
        <v>-368.89109999999999</v>
      </c>
      <c r="K2747">
        <v>1.120838</v>
      </c>
      <c r="L2747">
        <v>283.62520000000001</v>
      </c>
      <c r="M2747">
        <v>-0.99988560000000004</v>
      </c>
      <c r="N2747">
        <v>-1.487867E-2</v>
      </c>
      <c r="O2747">
        <v>-2.7872940000000001E-3</v>
      </c>
      <c r="P2747">
        <v>-0.9965041</v>
      </c>
      <c r="Q2747">
        <v>-7.843907E-2</v>
      </c>
      <c r="R2747">
        <v>-2.8759340000000001E-2</v>
      </c>
      <c r="S2747">
        <v>-2.9655149999999999</v>
      </c>
      <c r="T2747">
        <v>-0.77700459999999905</v>
      </c>
      <c r="U2747">
        <v>0.58251949999999997</v>
      </c>
      <c r="V2747">
        <v>-2.5994239999999998E-2</v>
      </c>
      <c r="W2747">
        <v>-6.3597379999999995E-2</v>
      </c>
      <c r="X2747">
        <v>0.997637</v>
      </c>
      <c r="Y2747">
        <v>0.1888869</v>
      </c>
      <c r="Z2747">
        <v>2.6229120000000002E-2</v>
      </c>
      <c r="AA2747">
        <v>0.98164850000000003</v>
      </c>
      <c r="AB2747">
        <v>38</v>
      </c>
      <c r="AC2747">
        <v>-0.34160000000002799</v>
      </c>
      <c r="AD2747">
        <v>-0.18706819999999999</v>
      </c>
      <c r="AE2747">
        <v>0.14170000000001401</v>
      </c>
      <c r="AF2747">
        <v>0.113588401243312</v>
      </c>
      <c r="AG2747">
        <v>-0.18706819999999999</v>
      </c>
      <c r="AH2747">
        <v>0.27168818084554103</v>
      </c>
      <c r="AI2747">
        <v>122.425974433864</v>
      </c>
      <c r="AJ2747">
        <v>67.310989959309197</v>
      </c>
      <c r="AK2747">
        <v>0.34887147197701801</v>
      </c>
      <c r="AL2747">
        <v>93.646322449316898</v>
      </c>
      <c r="AM2747">
        <v>91.492550232256505</v>
      </c>
      <c r="AN2747">
        <v>0.99999995551251997</v>
      </c>
    </row>
    <row r="2748" spans="1:40" x14ac:dyDescent="0.25">
      <c r="A2748" t="str">
        <f>"20190303154151218"</f>
        <v>20190303154151218</v>
      </c>
      <c r="B2748" t="str">
        <f>"1551598911212303"</f>
        <v>1551598911212303</v>
      </c>
      <c r="C2748" t="s">
        <v>40</v>
      </c>
      <c r="D2748">
        <v>5.0981800000000002</v>
      </c>
      <c r="E2748">
        <v>0.58290869999999995</v>
      </c>
      <c r="F2748" t="s">
        <v>42</v>
      </c>
      <c r="G2748">
        <v>-369.87569999999999</v>
      </c>
      <c r="H2748">
        <v>0.86459399999999997</v>
      </c>
      <c r="I2748">
        <v>283.81950000000001</v>
      </c>
      <c r="J2748">
        <v>-369.26920000000001</v>
      </c>
      <c r="K2748">
        <v>1.1208400000000001</v>
      </c>
      <c r="L2748">
        <v>283.62419999999997</v>
      </c>
      <c r="M2748">
        <v>-0.99988560000000004</v>
      </c>
      <c r="N2748">
        <v>-1.487629E-2</v>
      </c>
      <c r="O2748">
        <v>-2.7236249999999999E-3</v>
      </c>
      <c r="P2748">
        <v>-0.99645839999999997</v>
      </c>
      <c r="Q2748">
        <v>-7.8657110000000002E-2</v>
      </c>
      <c r="R2748">
        <v>-2.9731029999999999E-2</v>
      </c>
      <c r="S2748">
        <v>-2.9666440000000001</v>
      </c>
      <c r="T2748">
        <v>-0.77216629999999997</v>
      </c>
      <c r="U2748">
        <v>0.58432010000000001</v>
      </c>
      <c r="V2748">
        <v>-2.702947E-2</v>
      </c>
      <c r="W2748">
        <v>-6.3818219999999995E-2</v>
      </c>
      <c r="X2748">
        <v>0.99759540000000002</v>
      </c>
      <c r="Y2748">
        <v>0.18939590000000001</v>
      </c>
      <c r="Z2748">
        <v>2.6121869999999998E-2</v>
      </c>
      <c r="AA2748">
        <v>0.98155329999999996</v>
      </c>
      <c r="AB2748">
        <v>37</v>
      </c>
      <c r="AC2748">
        <v>-0.60649999999998205</v>
      </c>
      <c r="AD2748">
        <v>-0.25624599999999997</v>
      </c>
      <c r="AE2748">
        <v>0.195300000000031</v>
      </c>
      <c r="AF2748">
        <v>0.169532019259554</v>
      </c>
      <c r="AG2748">
        <v>-0.25624599999999997</v>
      </c>
      <c r="AH2748">
        <v>0.52160397447513596</v>
      </c>
      <c r="AI2748">
        <v>115.04232633988001</v>
      </c>
      <c r="AJ2748">
        <v>71.994772603156903</v>
      </c>
      <c r="AK2748">
        <v>0.60537081549945904</v>
      </c>
      <c r="AL2748">
        <v>93.659001353690101</v>
      </c>
      <c r="AM2748">
        <v>91.552027756028394</v>
      </c>
      <c r="AN2748">
        <v>0.99999996977680405</v>
      </c>
    </row>
    <row r="2749" spans="1:40" x14ac:dyDescent="0.25">
      <c r="A2749" t="str">
        <f>"20190303154151242"</f>
        <v>20190303154151242</v>
      </c>
      <c r="B2749" t="str">
        <f>"1551598911231823"</f>
        <v>1551598911231823</v>
      </c>
      <c r="C2749" t="s">
        <v>40</v>
      </c>
      <c r="D2749">
        <v>5.0547559999999896</v>
      </c>
      <c r="E2749">
        <v>0.58313890000000002</v>
      </c>
      <c r="F2749" t="s">
        <v>42</v>
      </c>
      <c r="G2749">
        <v>-370.21429999999998</v>
      </c>
      <c r="H2749">
        <v>0.87524579999999996</v>
      </c>
      <c r="I2749">
        <v>283.81020000000001</v>
      </c>
      <c r="J2749">
        <v>-369.6678</v>
      </c>
      <c r="K2749">
        <v>1.120838</v>
      </c>
      <c r="L2749">
        <v>283.6232</v>
      </c>
      <c r="M2749">
        <v>-0.99988580000000005</v>
      </c>
      <c r="N2749">
        <v>-1.48738E-2</v>
      </c>
      <c r="O2749">
        <v>-2.6564990000000001E-3</v>
      </c>
      <c r="P2749">
        <v>-0.99642209999999998</v>
      </c>
      <c r="Q2749">
        <v>-7.8779119999999994E-2</v>
      </c>
      <c r="R2749">
        <v>-3.0611079999999999E-2</v>
      </c>
      <c r="S2749">
        <v>-2.9671940000000001</v>
      </c>
      <c r="T2749">
        <v>-0.77110649999999903</v>
      </c>
      <c r="U2749">
        <v>0.58331299999999997</v>
      </c>
      <c r="V2749">
        <v>-2.7976339999999999E-2</v>
      </c>
      <c r="W2749">
        <v>-6.3943059999999996E-2</v>
      </c>
      <c r="X2749">
        <v>0.99756129999999998</v>
      </c>
      <c r="Y2749">
        <v>0.18900900000000001</v>
      </c>
      <c r="Z2749">
        <v>2.6017080000000001E-2</v>
      </c>
      <c r="AA2749">
        <v>0.98163060000000002</v>
      </c>
      <c r="AB2749">
        <v>37</v>
      </c>
      <c r="AC2749">
        <v>-0.54649999999998</v>
      </c>
      <c r="AD2749">
        <v>-0.24559219999999901</v>
      </c>
      <c r="AE2749">
        <v>0.18700000000001099</v>
      </c>
      <c r="AF2749">
        <v>0.15959829765731101</v>
      </c>
      <c r="AG2749">
        <v>-0.24559219999999901</v>
      </c>
      <c r="AH2749">
        <v>0.46240530372452998</v>
      </c>
      <c r="AI2749">
        <v>116.659207273262</v>
      </c>
      <c r="AJ2749">
        <v>70.957984635661205</v>
      </c>
      <c r="AK2749">
        <v>0.547362594838674</v>
      </c>
      <c r="AL2749">
        <v>93.666168801457502</v>
      </c>
      <c r="AM2749">
        <v>91.606423754455506</v>
      </c>
      <c r="AN2749">
        <v>0.99999996888982401</v>
      </c>
    </row>
    <row r="2750" spans="1:40" x14ac:dyDescent="0.25">
      <c r="A2750" t="str">
        <f>"20190303154151265"</f>
        <v>20190303154151265</v>
      </c>
      <c r="B2750" t="str">
        <f>"1551598911252319"</f>
        <v>1551598911252319</v>
      </c>
      <c r="C2750" t="s">
        <v>40</v>
      </c>
      <c r="D2750">
        <v>5.0592560000000004</v>
      </c>
      <c r="E2750">
        <v>0.58332359999999905</v>
      </c>
      <c r="F2750" t="s">
        <v>42</v>
      </c>
      <c r="G2750">
        <v>-370.55450000000002</v>
      </c>
      <c r="H2750">
        <v>0.89084289999999999</v>
      </c>
      <c r="I2750">
        <v>283.79759999999999</v>
      </c>
      <c r="J2750">
        <v>-370.03620000000001</v>
      </c>
      <c r="K2750">
        <v>1.1208389999999999</v>
      </c>
      <c r="L2750">
        <v>283.6223</v>
      </c>
      <c r="M2750">
        <v>-0.99988619999999995</v>
      </c>
      <c r="N2750">
        <v>-1.487139E-2</v>
      </c>
      <c r="O2750">
        <v>-2.5944990000000001E-3</v>
      </c>
      <c r="P2750">
        <v>-0.99640070000000003</v>
      </c>
      <c r="Q2750">
        <v>-7.9037800000000005E-2</v>
      </c>
      <c r="R2750">
        <v>-3.0649409999999998E-2</v>
      </c>
      <c r="S2750">
        <v>-2.9678040000000001</v>
      </c>
      <c r="T2750">
        <v>-0.76992879999999997</v>
      </c>
      <c r="U2750">
        <v>0.58230590000000004</v>
      </c>
      <c r="V2750">
        <v>-2.80767E-2</v>
      </c>
      <c r="W2750">
        <v>-6.4204419999999998E-2</v>
      </c>
      <c r="X2750">
        <v>0.99754169999999998</v>
      </c>
      <c r="Y2750">
        <v>0.18862509999999999</v>
      </c>
      <c r="Z2750">
        <v>2.5909999999999999E-2</v>
      </c>
      <c r="AA2750">
        <v>0.98170729999999995</v>
      </c>
      <c r="AB2750">
        <v>37</v>
      </c>
      <c r="AC2750">
        <v>-0.51830000000000997</v>
      </c>
      <c r="AD2750">
        <v>-0.22999609999999901</v>
      </c>
      <c r="AE2750">
        <v>0.17529999999999199</v>
      </c>
      <c r="AF2750">
        <v>0.15011819459828099</v>
      </c>
      <c r="AG2750">
        <v>-0.22999609999999901</v>
      </c>
      <c r="AH2750">
        <v>0.44008054778945699</v>
      </c>
      <c r="AI2750">
        <v>116.318683478694</v>
      </c>
      <c r="AJ2750">
        <v>71.164707460870801</v>
      </c>
      <c r="AK2750">
        <v>0.51875289580620798</v>
      </c>
      <c r="AL2750">
        <v>93.681174435061394</v>
      </c>
      <c r="AM2750">
        <v>91.6122151298148</v>
      </c>
      <c r="AN2750">
        <v>0.99999997593465695</v>
      </c>
    </row>
    <row r="2751" spans="1:40" x14ac:dyDescent="0.25">
      <c r="A2751" t="str">
        <f>"20190303154151285"</f>
        <v>20190303154151285</v>
      </c>
      <c r="B2751" t="str">
        <f>"1551598911282575"</f>
        <v>1551598911282575</v>
      </c>
      <c r="C2751" t="s">
        <v>40</v>
      </c>
      <c r="D2751">
        <v>5.0646509999999996</v>
      </c>
      <c r="E2751">
        <v>0.58351039999999998</v>
      </c>
      <c r="F2751" t="s">
        <v>42</v>
      </c>
      <c r="G2751">
        <v>-370.89150000000001</v>
      </c>
      <c r="H2751">
        <v>0.89914309999999997</v>
      </c>
      <c r="I2751">
        <v>283.79059999999998</v>
      </c>
      <c r="J2751">
        <v>-370.3904</v>
      </c>
      <c r="K2751">
        <v>1.120838</v>
      </c>
      <c r="L2751">
        <v>283.62139999999999</v>
      </c>
      <c r="M2751">
        <v>-0.99988630000000001</v>
      </c>
      <c r="N2751">
        <v>-1.4868869999999999E-2</v>
      </c>
      <c r="O2751">
        <v>-2.5345239999999998E-3</v>
      </c>
      <c r="P2751">
        <v>-0.99638510000000002</v>
      </c>
      <c r="Q2751">
        <v>-7.9265569999999994E-2</v>
      </c>
      <c r="R2751">
        <v>-3.056122E-2</v>
      </c>
      <c r="S2751">
        <v>-2.9677730000000002</v>
      </c>
      <c r="T2751">
        <v>-0.76931309999999997</v>
      </c>
      <c r="U2751">
        <v>0.58349609999999996</v>
      </c>
      <c r="V2751">
        <v>-2.8048219999999999E-2</v>
      </c>
      <c r="W2751">
        <v>-6.4435000000000006E-2</v>
      </c>
      <c r="X2751">
        <v>0.99752770000000002</v>
      </c>
      <c r="Y2751">
        <v>0.18894839999999999</v>
      </c>
      <c r="Z2751">
        <v>2.5919169999999998E-2</v>
      </c>
      <c r="AA2751">
        <v>0.98164490000000004</v>
      </c>
      <c r="AB2751">
        <v>37</v>
      </c>
      <c r="AC2751">
        <v>-0.50110000000000798</v>
      </c>
      <c r="AD2751">
        <v>-0.221694899999999</v>
      </c>
      <c r="AE2751">
        <v>0.169199999999989</v>
      </c>
      <c r="AF2751">
        <v>0.144994129451817</v>
      </c>
      <c r="AG2751">
        <v>-0.221694899999999</v>
      </c>
      <c r="AH2751">
        <v>0.42584788478707097</v>
      </c>
      <c r="AI2751">
        <v>116.234718214143</v>
      </c>
      <c r="AJ2751">
        <v>71.197144387366293</v>
      </c>
      <c r="AK2751">
        <v>0.50151604883505296</v>
      </c>
      <c r="AL2751">
        <v>93.694412864329095</v>
      </c>
      <c r="AM2751">
        <v>91.6106032103541</v>
      </c>
      <c r="AN2751">
        <v>1.0000000420687201</v>
      </c>
    </row>
    <row r="2752" spans="1:40" x14ac:dyDescent="0.25">
      <c r="A2752" t="str">
        <f>"20190303154151307"</f>
        <v>20190303154151307</v>
      </c>
      <c r="B2752" t="str">
        <f>"1551598911302095"</f>
        <v>1551598911302095</v>
      </c>
      <c r="C2752" t="s">
        <v>40</v>
      </c>
      <c r="D2752">
        <v>5.0334490000000001</v>
      </c>
      <c r="E2752">
        <v>0.58377559999999995</v>
      </c>
      <c r="F2752" t="s">
        <v>42</v>
      </c>
      <c r="G2752">
        <v>-371.2269</v>
      </c>
      <c r="H2752">
        <v>0.90431209999999995</v>
      </c>
      <c r="I2752">
        <v>283.7867</v>
      </c>
      <c r="J2752">
        <v>-370.7672</v>
      </c>
      <c r="K2752">
        <v>1.1208480000000001</v>
      </c>
      <c r="L2752">
        <v>283.62049999999999</v>
      </c>
      <c r="M2752">
        <v>-0.99988650000000001</v>
      </c>
      <c r="N2752">
        <v>-1.4865980000000001E-2</v>
      </c>
      <c r="O2752">
        <v>-2.47109E-3</v>
      </c>
      <c r="P2752">
        <v>-0.99646319999999999</v>
      </c>
      <c r="Q2752">
        <v>-7.854295E-2</v>
      </c>
      <c r="R2752">
        <v>-2.9867089999999999E-2</v>
      </c>
      <c r="S2752">
        <v>-2.9677120000000001</v>
      </c>
      <c r="T2752">
        <v>-0.76829389999999997</v>
      </c>
      <c r="U2752">
        <v>0.585449199999999</v>
      </c>
      <c r="V2752">
        <v>-2.741733E-2</v>
      </c>
      <c r="W2752">
        <v>-6.3714339999999994E-2</v>
      </c>
      <c r="X2752">
        <v>0.99759149999999996</v>
      </c>
      <c r="Y2752">
        <v>0.18951190000000001</v>
      </c>
      <c r="Z2752">
        <v>2.5946759999999999E-2</v>
      </c>
      <c r="AA2752">
        <v>0.98153559999999995</v>
      </c>
      <c r="AB2752">
        <v>37</v>
      </c>
      <c r="AC2752">
        <v>-0.459699999999998</v>
      </c>
      <c r="AD2752">
        <v>-0.2165359</v>
      </c>
      <c r="AE2752">
        <v>0.16620000000000301</v>
      </c>
      <c r="AF2752">
        <v>0.13988612309382301</v>
      </c>
      <c r="AG2752">
        <v>-0.2165359</v>
      </c>
      <c r="AH2752">
        <v>0.38394702594065</v>
      </c>
      <c r="AI2752">
        <v>117.91907714416701</v>
      </c>
      <c r="AJ2752">
        <v>69.981444202691307</v>
      </c>
      <c r="AK2752">
        <v>0.46246215212890701</v>
      </c>
      <c r="AL2752">
        <v>93.653037168579303</v>
      </c>
      <c r="AM2752">
        <v>91.574293637234206</v>
      </c>
      <c r="AN2752">
        <v>1.0000000139891001</v>
      </c>
    </row>
    <row r="2753" spans="1:40" x14ac:dyDescent="0.25">
      <c r="A2753" t="str">
        <f>"20190303154151329"</f>
        <v>20190303154151329</v>
      </c>
      <c r="B2753" t="str">
        <f>"1551598911322591"</f>
        <v>1551598911322591</v>
      </c>
      <c r="C2753" t="s">
        <v>40</v>
      </c>
      <c r="D2753">
        <v>5.0448550000000001</v>
      </c>
      <c r="E2753">
        <v>0.58399440000000002</v>
      </c>
      <c r="F2753" t="s">
        <v>42</v>
      </c>
      <c r="G2753">
        <v>-371.56439999999998</v>
      </c>
      <c r="H2753">
        <v>0.91568079999999996</v>
      </c>
      <c r="I2753">
        <v>283.77929999999998</v>
      </c>
      <c r="J2753">
        <v>-371.12720000000002</v>
      </c>
      <c r="K2753">
        <v>1.120852</v>
      </c>
      <c r="L2753">
        <v>283.61970000000002</v>
      </c>
      <c r="M2753">
        <v>-0.99988679999999996</v>
      </c>
      <c r="N2753">
        <v>-1.4863070000000001E-2</v>
      </c>
      <c r="O2753">
        <v>-2.4105160000000001E-3</v>
      </c>
      <c r="P2753">
        <v>-0.99655210000000005</v>
      </c>
      <c r="Q2753">
        <v>-7.7678170000000005E-2</v>
      </c>
      <c r="R2753">
        <v>-2.9163700000000001E-2</v>
      </c>
      <c r="S2753">
        <v>-2.96814</v>
      </c>
      <c r="T2753">
        <v>-0.76395069999999998</v>
      </c>
      <c r="U2753">
        <v>0.58975219999999995</v>
      </c>
      <c r="V2753">
        <v>-2.6773760000000001E-2</v>
      </c>
      <c r="W2753">
        <v>-6.2851439999999995E-2</v>
      </c>
      <c r="X2753">
        <v>0.99766370000000004</v>
      </c>
      <c r="Y2753">
        <v>0.1908263</v>
      </c>
      <c r="Z2753">
        <v>2.5965999999999999E-2</v>
      </c>
      <c r="AA2753">
        <v>0.98128029999999999</v>
      </c>
      <c r="AB2753">
        <v>37</v>
      </c>
      <c r="AC2753">
        <v>-0.43719999999996101</v>
      </c>
      <c r="AD2753">
        <v>-0.205171199999999</v>
      </c>
      <c r="AE2753">
        <v>0.159599999999954</v>
      </c>
      <c r="AF2753">
        <v>0.13451339640649601</v>
      </c>
      <c r="AG2753">
        <v>-0.205171199999999</v>
      </c>
      <c r="AH2753">
        <v>0.36573943013423799</v>
      </c>
      <c r="AI2753">
        <v>117.766668546124</v>
      </c>
      <c r="AJ2753">
        <v>69.807245946488607</v>
      </c>
      <c r="AK2753">
        <v>0.44040254980775101</v>
      </c>
      <c r="AL2753">
        <v>93.603497401026999</v>
      </c>
      <c r="AM2753">
        <v>91.537246812892903</v>
      </c>
      <c r="AN2753">
        <v>0.99999999801615003</v>
      </c>
    </row>
    <row r="2754" spans="1:40" x14ac:dyDescent="0.25">
      <c r="A2754" t="str">
        <f>"20190303154151352"</f>
        <v>20190303154151352</v>
      </c>
      <c r="B2754" t="str">
        <f>"1551598911342111"</f>
        <v>1551598911342111</v>
      </c>
      <c r="C2754" t="s">
        <v>40</v>
      </c>
      <c r="D2754">
        <v>5.000597</v>
      </c>
      <c r="E2754">
        <v>0.58410359999999995</v>
      </c>
      <c r="F2754" t="s">
        <v>42</v>
      </c>
      <c r="G2754">
        <v>-371.9</v>
      </c>
      <c r="H2754">
        <v>0.92304900000000001</v>
      </c>
      <c r="I2754">
        <v>283.77449999999999</v>
      </c>
      <c r="J2754">
        <v>-371.5034</v>
      </c>
      <c r="K2754">
        <v>1.120851</v>
      </c>
      <c r="L2754">
        <v>283.61880000000002</v>
      </c>
      <c r="M2754">
        <v>-0.99988690000000002</v>
      </c>
      <c r="N2754">
        <v>-1.485973E-2</v>
      </c>
      <c r="O2754">
        <v>-2.3471989999999999E-3</v>
      </c>
      <c r="P2754">
        <v>-0.99662300000000004</v>
      </c>
      <c r="Q2754">
        <v>-7.6939199999999999E-2</v>
      </c>
      <c r="R2754">
        <v>-2.869213E-2</v>
      </c>
      <c r="S2754">
        <v>-2.9685060000000001</v>
      </c>
      <c r="T2754">
        <v>-0.75981509999999997</v>
      </c>
      <c r="U2754">
        <v>0.59332280000000004</v>
      </c>
      <c r="V2754">
        <v>-2.6364909999999998E-2</v>
      </c>
      <c r="W2754">
        <v>-6.2114969999999999E-2</v>
      </c>
      <c r="X2754">
        <v>0.99772070000000002</v>
      </c>
      <c r="Y2754">
        <v>0.1919119</v>
      </c>
      <c r="Z2754">
        <v>2.596002E-2</v>
      </c>
      <c r="AA2754">
        <v>0.98106870000000002</v>
      </c>
      <c r="AB2754">
        <v>37</v>
      </c>
      <c r="AC2754">
        <v>-0.39659999999997803</v>
      </c>
      <c r="AD2754">
        <v>-0.19780200000000001</v>
      </c>
      <c r="AE2754">
        <v>0.155699999999967</v>
      </c>
      <c r="AF2754">
        <v>0.128858077241092</v>
      </c>
      <c r="AG2754">
        <v>-0.19780200000000001</v>
      </c>
      <c r="AH2754">
        <v>0.32597643082865202</v>
      </c>
      <c r="AI2754">
        <v>119.436402490628</v>
      </c>
      <c r="AJ2754">
        <v>68.431174475245598</v>
      </c>
      <c r="AK2754">
        <v>0.40248064391975202</v>
      </c>
      <c r="AL2754">
        <v>93.561218204996806</v>
      </c>
      <c r="AM2754">
        <v>91.513696775675896</v>
      </c>
      <c r="AN2754">
        <v>0.99999998659294898</v>
      </c>
    </row>
    <row r="2755" spans="1:40" x14ac:dyDescent="0.25">
      <c r="A2755" t="str">
        <f>"20190303154151374"</f>
        <v>20190303154151374</v>
      </c>
      <c r="B2755" t="str">
        <f>"1551598911362607"</f>
        <v>1551598911362607</v>
      </c>
      <c r="C2755" t="s">
        <v>40</v>
      </c>
      <c r="D2755">
        <v>5.0052370000000002</v>
      </c>
      <c r="E2755">
        <v>0.58427180000000001</v>
      </c>
      <c r="F2755" t="s">
        <v>42</v>
      </c>
      <c r="G2755">
        <v>-372.23660000000001</v>
      </c>
      <c r="H2755">
        <v>0.9341429</v>
      </c>
      <c r="I2755">
        <v>283.76639999999998</v>
      </c>
      <c r="J2755">
        <v>-371.86439999999999</v>
      </c>
      <c r="K2755">
        <v>1.120849</v>
      </c>
      <c r="L2755">
        <v>283.61799999999999</v>
      </c>
      <c r="M2755">
        <v>-0.99988719999999998</v>
      </c>
      <c r="N2755">
        <v>-1.4856390000000001E-2</v>
      </c>
      <c r="O2755">
        <v>-2.2863839999999998E-3</v>
      </c>
      <c r="P2755">
        <v>-0.99665389999999998</v>
      </c>
      <c r="Q2755">
        <v>-7.6659870000000005E-2</v>
      </c>
      <c r="R2755">
        <v>-2.8370220000000002E-2</v>
      </c>
      <c r="S2755">
        <v>-2.9689329999999998</v>
      </c>
      <c r="T2755">
        <v>-0.75602199999999997</v>
      </c>
      <c r="U2755">
        <v>0.59606930000000002</v>
      </c>
      <c r="V2755">
        <v>-2.610322E-2</v>
      </c>
      <c r="W2755">
        <v>-6.1838629999999999E-2</v>
      </c>
      <c r="X2755">
        <v>0.99774470000000004</v>
      </c>
      <c r="Y2755">
        <v>0.19273650000000001</v>
      </c>
      <c r="Z2755">
        <v>2.5929819999999999E-2</v>
      </c>
      <c r="AA2755">
        <v>0.98090790000000005</v>
      </c>
      <c r="AB2755">
        <v>37</v>
      </c>
      <c r="AC2755">
        <v>-0.37220000000002001</v>
      </c>
      <c r="AD2755">
        <v>-0.18670610000000001</v>
      </c>
      <c r="AE2755">
        <v>0.14839999999998099</v>
      </c>
      <c r="AF2755">
        <v>0.12262650517484799</v>
      </c>
      <c r="AG2755">
        <v>-0.18670610000000001</v>
      </c>
      <c r="AH2755">
        <v>0.30552523272356802</v>
      </c>
      <c r="AI2755">
        <v>119.55861500682001</v>
      </c>
      <c r="AJ2755">
        <v>68.131302667937703</v>
      </c>
      <c r="AK2755">
        <v>0.37847337472984499</v>
      </c>
      <c r="AL2755">
        <v>93.545354756936305</v>
      </c>
      <c r="AM2755">
        <v>91.498643139554503</v>
      </c>
      <c r="AN2755">
        <v>0.99999994031636497</v>
      </c>
    </row>
    <row r="2756" spans="1:40" x14ac:dyDescent="0.25">
      <c r="A2756" t="str">
        <f>"20190303154151397"</f>
        <v>20190303154151397</v>
      </c>
      <c r="B2756" t="str">
        <f>"1551598911391891"</f>
        <v>1551598911391891</v>
      </c>
      <c r="C2756" t="s">
        <v>40</v>
      </c>
      <c r="D2756">
        <v>5.0025539999999999</v>
      </c>
      <c r="E2756">
        <v>0.58433539999999995</v>
      </c>
      <c r="F2756" t="s">
        <v>42</v>
      </c>
      <c r="G2756">
        <v>-372.57170000000002</v>
      </c>
      <c r="H2756">
        <v>0.94141909999999895</v>
      </c>
      <c r="I2756">
        <v>283.7611</v>
      </c>
      <c r="J2756">
        <v>-372.24560000000002</v>
      </c>
      <c r="K2756">
        <v>1.120852</v>
      </c>
      <c r="L2756">
        <v>283.61720000000003</v>
      </c>
      <c r="M2756">
        <v>-0.99988719999999998</v>
      </c>
      <c r="N2756">
        <v>-1.4852799999999999E-2</v>
      </c>
      <c r="O2756">
        <v>-2.2212820000000002E-3</v>
      </c>
      <c r="P2756">
        <v>-0.99663650000000004</v>
      </c>
      <c r="Q2756">
        <v>-7.6782160000000002E-2</v>
      </c>
      <c r="R2756">
        <v>-2.863978E-2</v>
      </c>
      <c r="S2756">
        <v>-2.9692080000000001</v>
      </c>
      <c r="T2756">
        <v>-0.75323609999999996</v>
      </c>
      <c r="U2756">
        <v>0.59854130000000005</v>
      </c>
      <c r="V2756">
        <v>-2.6437950000000002E-2</v>
      </c>
      <c r="W2756">
        <v>-6.1964739999999997E-2</v>
      </c>
      <c r="X2756">
        <v>0.99772810000000001</v>
      </c>
      <c r="Y2756">
        <v>0.19346530000000001</v>
      </c>
      <c r="Z2756">
        <v>2.591833E-2</v>
      </c>
      <c r="AA2756">
        <v>0.98076470000000004</v>
      </c>
      <c r="AB2756">
        <v>37</v>
      </c>
      <c r="AC2756">
        <v>-0.326099999999996</v>
      </c>
      <c r="AD2756">
        <v>-0.17943290000000001</v>
      </c>
      <c r="AE2756">
        <v>0.14389999999997299</v>
      </c>
      <c r="AF2756">
        <v>0.115383900880089</v>
      </c>
      <c r="AG2756">
        <v>-0.17943290000000001</v>
      </c>
      <c r="AH2756">
        <v>0.25991321977224302</v>
      </c>
      <c r="AI2756">
        <v>122.250942567427</v>
      </c>
      <c r="AJ2756">
        <v>66.062014146483804</v>
      </c>
      <c r="AK2756">
        <v>0.33625063865677701</v>
      </c>
      <c r="AL2756">
        <v>93.552594078007701</v>
      </c>
      <c r="AM2756">
        <v>91.5178770321277</v>
      </c>
      <c r="AN2756">
        <v>0.99999997786653905</v>
      </c>
    </row>
    <row r="2757" spans="1:40" x14ac:dyDescent="0.25">
      <c r="A2757" t="str">
        <f>"20190303154151419"</f>
        <v>20190303154151419</v>
      </c>
      <c r="B2757" t="str">
        <f>"1551598911412386"</f>
        <v>1551598911412386</v>
      </c>
      <c r="C2757" t="s">
        <v>40</v>
      </c>
      <c r="D2757">
        <v>4.9921740000000003</v>
      </c>
      <c r="E2757">
        <v>0.58438239999999997</v>
      </c>
      <c r="F2757" t="s">
        <v>42</v>
      </c>
      <c r="G2757">
        <v>-373.20859999999999</v>
      </c>
      <c r="H2757">
        <v>0.87654030000000005</v>
      </c>
      <c r="I2757">
        <v>283.81150000000002</v>
      </c>
      <c r="J2757">
        <v>-372.60570000000001</v>
      </c>
      <c r="K2757">
        <v>1.120862</v>
      </c>
      <c r="L2757">
        <v>283.61649999999997</v>
      </c>
      <c r="M2757">
        <v>-0.99988750000000004</v>
      </c>
      <c r="N2757">
        <v>-1.4849350000000001E-2</v>
      </c>
      <c r="O2757">
        <v>-2.1609390000000002E-3</v>
      </c>
      <c r="P2757">
        <v>-0.9966043</v>
      </c>
      <c r="Q2757">
        <v>-7.7072920000000003E-2</v>
      </c>
      <c r="R2757">
        <v>-2.8980889999999999E-2</v>
      </c>
      <c r="S2757">
        <v>-2.9692690000000002</v>
      </c>
      <c r="T2757">
        <v>-0.75335600000000003</v>
      </c>
      <c r="U2757">
        <v>0.59753420000000002</v>
      </c>
      <c r="V2757">
        <v>-2.6839459999999999E-2</v>
      </c>
      <c r="W2757">
        <v>-6.2259299999999997E-2</v>
      </c>
      <c r="X2757">
        <v>0.99769909999999995</v>
      </c>
      <c r="Y2757">
        <v>0.19309409999999999</v>
      </c>
      <c r="Z2757">
        <v>2.5859239999999999E-2</v>
      </c>
      <c r="AA2757">
        <v>0.98083940000000003</v>
      </c>
      <c r="AB2757">
        <v>37</v>
      </c>
      <c r="AC2757">
        <v>-0.60289999999997601</v>
      </c>
      <c r="AD2757">
        <v>-0.2443217</v>
      </c>
      <c r="AE2757">
        <v>0.19500000000004999</v>
      </c>
      <c r="AF2757">
        <v>0.17089545133260001</v>
      </c>
      <c r="AG2757">
        <v>-0.2443217</v>
      </c>
      <c r="AH2757">
        <v>0.52449967278557097</v>
      </c>
      <c r="AI2757">
        <v>113.888635917847</v>
      </c>
      <c r="AJ2757">
        <v>71.9530614427091</v>
      </c>
      <c r="AK2757">
        <v>0.60332267911063497</v>
      </c>
      <c r="AL2757">
        <v>93.569503566429702</v>
      </c>
      <c r="AM2757">
        <v>91.540962587245005</v>
      </c>
      <c r="AN2757">
        <v>1.0000000355951899</v>
      </c>
    </row>
    <row r="2758" spans="1:40" x14ac:dyDescent="0.25">
      <c r="A2758" t="str">
        <f>"20190303154151442"</f>
        <v>20190303154151442</v>
      </c>
      <c r="B2758" t="str">
        <f>"1551598911431902"</f>
        <v>1551598911431902</v>
      </c>
      <c r="C2758" t="s">
        <v>40</v>
      </c>
      <c r="D2758">
        <v>4.9968309999999896</v>
      </c>
      <c r="E2758">
        <v>0.58446960000000003</v>
      </c>
      <c r="F2758" t="s">
        <v>42</v>
      </c>
      <c r="G2758">
        <v>-373.54180000000002</v>
      </c>
      <c r="H2758">
        <v>0.88313399999999997</v>
      </c>
      <c r="I2758">
        <v>283.80500000000001</v>
      </c>
      <c r="J2758">
        <v>-372.99239999999998</v>
      </c>
      <c r="K2758">
        <v>1.12086</v>
      </c>
      <c r="L2758">
        <v>283.6157</v>
      </c>
      <c r="M2758">
        <v>-0.99988759999999999</v>
      </c>
      <c r="N2758">
        <v>-1.4845529999999999E-2</v>
      </c>
      <c r="O2758">
        <v>-2.0954699999999999E-3</v>
      </c>
      <c r="P2758">
        <v>-0.99659089999999995</v>
      </c>
      <c r="Q2758">
        <v>-7.6987860000000005E-2</v>
      </c>
      <c r="R2758">
        <v>-2.9659330000000001E-2</v>
      </c>
      <c r="S2758">
        <v>-2.9692690000000002</v>
      </c>
      <c r="T2758">
        <v>-0.75403980000000004</v>
      </c>
      <c r="U2758">
        <v>0.59689329999999996</v>
      </c>
      <c r="V2758">
        <v>-2.7583179999999999E-2</v>
      </c>
      <c r="W2758">
        <v>-6.2178160000000003E-2</v>
      </c>
      <c r="X2758">
        <v>0.99768380000000001</v>
      </c>
      <c r="Y2758">
        <v>0.19282579999999999</v>
      </c>
      <c r="Z2758">
        <v>2.5830349999999998E-2</v>
      </c>
      <c r="AA2758">
        <v>0.98089300000000001</v>
      </c>
      <c r="AB2758">
        <v>37</v>
      </c>
      <c r="AC2758">
        <v>-0.54940000000004796</v>
      </c>
      <c r="AD2758">
        <v>-0.23772599999999999</v>
      </c>
      <c r="AE2758">
        <v>0.18930000000000199</v>
      </c>
      <c r="AF2758">
        <v>0.16314656563279301</v>
      </c>
      <c r="AG2758">
        <v>-0.23772599999999999</v>
      </c>
      <c r="AH2758">
        <v>0.47029325718032799</v>
      </c>
      <c r="AI2758">
        <v>115.52751162638</v>
      </c>
      <c r="AJ2758">
        <v>70.868140291958298</v>
      </c>
      <c r="AK2758">
        <v>0.55163955686939004</v>
      </c>
      <c r="AL2758">
        <v>93.564845831846696</v>
      </c>
      <c r="AM2758">
        <v>91.583665400605895</v>
      </c>
      <c r="AN2758">
        <v>0.99999996009116798</v>
      </c>
    </row>
    <row r="2759" spans="1:40" x14ac:dyDescent="0.25">
      <c r="A2759" t="str">
        <f>"20190303154151465"</f>
        <v>20190303154151465</v>
      </c>
      <c r="B2759" t="str">
        <f>"1551598911452399"</f>
        <v>1551598911452399</v>
      </c>
      <c r="C2759" t="s">
        <v>40</v>
      </c>
      <c r="D2759">
        <v>4.965573</v>
      </c>
      <c r="E2759">
        <v>0.58459269999999997</v>
      </c>
      <c r="F2759" t="s">
        <v>42</v>
      </c>
      <c r="G2759">
        <v>-373.87729999999999</v>
      </c>
      <c r="H2759">
        <v>0.89651510000000001</v>
      </c>
      <c r="I2759">
        <v>283.79360000000003</v>
      </c>
      <c r="J2759">
        <v>-373.35500000000002</v>
      </c>
      <c r="K2759">
        <v>1.12086</v>
      </c>
      <c r="L2759">
        <v>283.61500000000001</v>
      </c>
      <c r="M2759">
        <v>-0.99988779999999999</v>
      </c>
      <c r="N2759">
        <v>-1.4841899999999899E-2</v>
      </c>
      <c r="O2759">
        <v>-2.034531E-3</v>
      </c>
      <c r="P2759">
        <v>-0.99658809999999998</v>
      </c>
      <c r="Q2759">
        <v>-7.7138990000000004E-2</v>
      </c>
      <c r="R2759">
        <v>-2.935627E-2</v>
      </c>
      <c r="S2759">
        <v>-2.969849</v>
      </c>
      <c r="T2759">
        <v>-0.75294280000000002</v>
      </c>
      <c r="U2759">
        <v>0.59558109999999997</v>
      </c>
      <c r="V2759">
        <v>-2.7340759999999999E-2</v>
      </c>
      <c r="W2759">
        <v>-6.2333E-2</v>
      </c>
      <c r="X2759">
        <v>0.99768080000000003</v>
      </c>
      <c r="Y2759">
        <v>0.19234879999999999</v>
      </c>
      <c r="Z2759">
        <v>2.5715129999999999E-2</v>
      </c>
      <c r="AA2759">
        <v>0.98098960000000002</v>
      </c>
      <c r="AB2759">
        <v>37</v>
      </c>
      <c r="AC2759">
        <v>-0.52229999999997201</v>
      </c>
      <c r="AD2759">
        <v>-0.22434490000000001</v>
      </c>
      <c r="AE2759">
        <v>0.178600000000017</v>
      </c>
      <c r="AF2759">
        <v>0.154192347949899</v>
      </c>
      <c r="AG2759">
        <v>-0.22434490000000001</v>
      </c>
      <c r="AH2759">
        <v>0.447942750834598</v>
      </c>
      <c r="AI2759">
        <v>115.34049994595</v>
      </c>
      <c r="AJ2759">
        <v>71.0053415484971</v>
      </c>
      <c r="AK2759">
        <v>0.52417422899984201</v>
      </c>
      <c r="AL2759">
        <v>93.573734791457696</v>
      </c>
      <c r="AM2759">
        <v>91.569758769922899</v>
      </c>
      <c r="AN2759">
        <v>0.99999994936750702</v>
      </c>
    </row>
    <row r="2760" spans="1:40" x14ac:dyDescent="0.25">
      <c r="A2760" t="str">
        <f>"20190303154151485"</f>
        <v>20190303154151485</v>
      </c>
      <c r="B2760" t="str">
        <f>"1551598911482655"</f>
        <v>1551598911482655</v>
      </c>
      <c r="C2760" t="s">
        <v>40</v>
      </c>
      <c r="D2760">
        <v>4.9388399999999999</v>
      </c>
      <c r="E2760">
        <v>0.58467740000000001</v>
      </c>
      <c r="F2760" t="s">
        <v>42</v>
      </c>
      <c r="G2760">
        <v>-374.21050000000002</v>
      </c>
      <c r="H2760">
        <v>0.90448030000000001</v>
      </c>
      <c r="I2760">
        <v>283.78730000000002</v>
      </c>
      <c r="J2760">
        <v>-373.71280000000002</v>
      </c>
      <c r="K2760">
        <v>1.1208640000000001</v>
      </c>
      <c r="L2760">
        <v>283.61430000000001</v>
      </c>
      <c r="M2760">
        <v>-0.99988809999999995</v>
      </c>
      <c r="N2760">
        <v>-1.4833600000000001E-2</v>
      </c>
      <c r="O2760">
        <v>-1.974511E-3</v>
      </c>
      <c r="P2760">
        <v>-0.99664399999999997</v>
      </c>
      <c r="Q2760">
        <v>-7.6632279999999997E-2</v>
      </c>
      <c r="R2760">
        <v>-2.8789260000000001E-2</v>
      </c>
      <c r="S2760">
        <v>-2.9696959999999999</v>
      </c>
      <c r="T2760">
        <v>-0.75115419999999999</v>
      </c>
      <c r="U2760">
        <v>0.59719849999999997</v>
      </c>
      <c r="V2760">
        <v>-2.6833039999999999E-2</v>
      </c>
      <c r="W2760">
        <v>-6.1833939999999997E-2</v>
      </c>
      <c r="X2760">
        <v>0.99772570000000005</v>
      </c>
      <c r="Y2760">
        <v>0.19282840000000001</v>
      </c>
      <c r="Z2760">
        <v>2.5707150000000002E-2</v>
      </c>
      <c r="AA2760">
        <v>0.98089570000000004</v>
      </c>
      <c r="AB2760">
        <v>37</v>
      </c>
      <c r="AC2760">
        <v>-0.49770000000000802</v>
      </c>
      <c r="AD2760">
        <v>-0.21638369999999901</v>
      </c>
      <c r="AE2760">
        <v>0.17300000000000099</v>
      </c>
      <c r="AF2760">
        <v>0.148875269795777</v>
      </c>
      <c r="AG2760">
        <v>-0.21638369999999901</v>
      </c>
      <c r="AH2760">
        <v>0.42558431905323002</v>
      </c>
      <c r="AI2760">
        <v>115.637388926116</v>
      </c>
      <c r="AJ2760">
        <v>70.719458309956593</v>
      </c>
      <c r="AK2760">
        <v>0.50010775259583495</v>
      </c>
      <c r="AL2760">
        <v>93.545085276049207</v>
      </c>
      <c r="AM2760">
        <v>91.540553113159802</v>
      </c>
      <c r="AN2760">
        <v>1.00000001030602</v>
      </c>
    </row>
    <row r="2761" spans="1:40" x14ac:dyDescent="0.25">
      <c r="A2761" t="str">
        <f>"20190303154151509"</f>
        <v>20190303154151509</v>
      </c>
      <c r="B2761" t="str">
        <f>"1551598911502175"</f>
        <v>1551598911502175</v>
      </c>
      <c r="C2761" t="s">
        <v>40</v>
      </c>
      <c r="D2761">
        <v>4.9204230000000004</v>
      </c>
      <c r="E2761">
        <v>0.58469839999999995</v>
      </c>
      <c r="F2761" t="s">
        <v>42</v>
      </c>
      <c r="G2761">
        <v>-374.54300000000001</v>
      </c>
      <c r="H2761">
        <v>0.91171840000000004</v>
      </c>
      <c r="I2761">
        <v>283.78250000000003</v>
      </c>
      <c r="J2761">
        <v>-374.08670000000001</v>
      </c>
      <c r="K2761">
        <v>1.12086</v>
      </c>
      <c r="L2761">
        <v>283.61360000000002</v>
      </c>
      <c r="M2761">
        <v>-0.99988869999999996</v>
      </c>
      <c r="N2761">
        <v>-1.4801699999999999E-2</v>
      </c>
      <c r="O2761">
        <v>-1.9113419999999999E-3</v>
      </c>
      <c r="P2761">
        <v>-0.99665119999999896</v>
      </c>
      <c r="Q2761">
        <v>-7.6691980000000007E-2</v>
      </c>
      <c r="R2761">
        <v>-2.8373240000000001E-2</v>
      </c>
      <c r="S2761">
        <v>-2.9698790000000002</v>
      </c>
      <c r="T2761">
        <v>-0.74827290000000002</v>
      </c>
      <c r="U2761">
        <v>0.59979249999999995</v>
      </c>
      <c r="V2761">
        <v>-2.648035E-2</v>
      </c>
      <c r="W2761">
        <v>-6.1925479999999998E-2</v>
      </c>
      <c r="X2761">
        <v>0.99772939999999999</v>
      </c>
      <c r="Y2761">
        <v>0.19360359999999999</v>
      </c>
      <c r="Z2761">
        <v>2.5696779999999999E-2</v>
      </c>
      <c r="AA2761">
        <v>0.98074320000000004</v>
      </c>
      <c r="AB2761">
        <v>37</v>
      </c>
      <c r="AC2761">
        <v>-0.45629999999999798</v>
      </c>
      <c r="AD2761">
        <v>-0.20914159999999901</v>
      </c>
      <c r="AE2761">
        <v>0.16890000000000699</v>
      </c>
      <c r="AF2761">
        <v>0.143296118227355</v>
      </c>
      <c r="AG2761">
        <v>-0.20914159999999901</v>
      </c>
      <c r="AH2761">
        <v>0.38486711959597603</v>
      </c>
      <c r="AI2761">
        <v>116.987889500135</v>
      </c>
      <c r="AJ2761">
        <v>69.578382006336398</v>
      </c>
      <c r="AK2761">
        <v>0.460865149578151</v>
      </c>
      <c r="AL2761">
        <v>93.550340363826805</v>
      </c>
      <c r="AM2761">
        <v>91.520308213804498</v>
      </c>
      <c r="AN2761">
        <v>0.99999996481685505</v>
      </c>
    </row>
    <row r="2762" spans="1:40" x14ac:dyDescent="0.25">
      <c r="A2762" t="str">
        <f>"20190303154151530"</f>
        <v>20190303154151530</v>
      </c>
      <c r="B2762" t="str">
        <f>"1551598911522671"</f>
        <v>1551598911522671</v>
      </c>
      <c r="C2762" t="s">
        <v>40</v>
      </c>
      <c r="D2762">
        <v>4.8724089999999904</v>
      </c>
      <c r="E2762">
        <v>0.58475730000000004</v>
      </c>
      <c r="F2762" t="s">
        <v>42</v>
      </c>
      <c r="G2762">
        <v>-374.87630000000001</v>
      </c>
      <c r="H2762">
        <v>0.92206429999999995</v>
      </c>
      <c r="I2762">
        <v>283.77370000000002</v>
      </c>
      <c r="J2762">
        <v>-374.4479</v>
      </c>
      <c r="K2762">
        <v>1.120843</v>
      </c>
      <c r="L2762">
        <v>283.613</v>
      </c>
      <c r="M2762">
        <v>-0.9998899</v>
      </c>
      <c r="N2762">
        <v>-1.4734479999999999E-2</v>
      </c>
      <c r="O2762">
        <v>-1.84994E-3</v>
      </c>
      <c r="P2762">
        <v>-0.99667159999999999</v>
      </c>
      <c r="Q2762">
        <v>-7.6604340000000007E-2</v>
      </c>
      <c r="R2762">
        <v>-2.7887849999999999E-2</v>
      </c>
      <c r="S2762">
        <v>-2.9696660000000001</v>
      </c>
      <c r="T2762">
        <v>-0.74772830000000001</v>
      </c>
      <c r="U2762">
        <v>0.60104369999999996</v>
      </c>
      <c r="V2762">
        <v>-2.6056010000000001E-2</v>
      </c>
      <c r="W2762">
        <v>-6.1904729999999998E-2</v>
      </c>
      <c r="X2762">
        <v>0.99774189999999996</v>
      </c>
      <c r="Y2762">
        <v>0.1939546</v>
      </c>
      <c r="Z2762">
        <v>2.5705370000000002E-2</v>
      </c>
      <c r="AA2762">
        <v>0.98067369999999998</v>
      </c>
      <c r="AB2762">
        <v>37</v>
      </c>
      <c r="AC2762">
        <v>-0.42840000000001</v>
      </c>
      <c r="AD2762">
        <v>-0.1987787</v>
      </c>
      <c r="AE2762">
        <v>0.16070000000001899</v>
      </c>
      <c r="AF2762">
        <v>0.13585164953314199</v>
      </c>
      <c r="AG2762">
        <v>-0.1987787</v>
      </c>
      <c r="AH2762">
        <v>0.36013077344931199</v>
      </c>
      <c r="AI2762">
        <v>117.313605966019</v>
      </c>
      <c r="AJ2762">
        <v>69.332086965464299</v>
      </c>
      <c r="AK2762">
        <v>0.433200665096171</v>
      </c>
      <c r="AL2762">
        <v>93.549149047721997</v>
      </c>
      <c r="AM2762">
        <v>91.495938138754894</v>
      </c>
      <c r="AN2762">
        <v>1.0000000051345499</v>
      </c>
    </row>
    <row r="2763" spans="1:40" x14ac:dyDescent="0.25">
      <c r="A2763" t="str">
        <f>"20190303154151553"</f>
        <v>20190303154151553</v>
      </c>
      <c r="B2763" t="str">
        <f>"1551598911542192"</f>
        <v>1551598911542192</v>
      </c>
      <c r="C2763" t="s">
        <v>40</v>
      </c>
      <c r="D2763">
        <v>4.847601</v>
      </c>
      <c r="E2763">
        <v>0.58479139999999996</v>
      </c>
      <c r="F2763" t="s">
        <v>42</v>
      </c>
      <c r="G2763">
        <v>-375.20859999999999</v>
      </c>
      <c r="H2763">
        <v>0.92976329999999996</v>
      </c>
      <c r="I2763">
        <v>283.76799999999997</v>
      </c>
      <c r="J2763">
        <v>-374.82240000000002</v>
      </c>
      <c r="K2763">
        <v>1.1208209999999901</v>
      </c>
      <c r="L2763">
        <v>283.61239999999998</v>
      </c>
      <c r="M2763">
        <v>-0.99989150000000004</v>
      </c>
      <c r="N2763">
        <v>-1.4632640000000001E-2</v>
      </c>
      <c r="O2763">
        <v>-1.7866150000000001E-3</v>
      </c>
      <c r="P2763">
        <v>-0.99667570000000005</v>
      </c>
      <c r="Q2763">
        <v>-7.6559429999999998E-2</v>
      </c>
      <c r="R2763">
        <v>-2.7865939999999999E-2</v>
      </c>
      <c r="S2763">
        <v>-2.9695740000000002</v>
      </c>
      <c r="T2763">
        <v>-0.746089</v>
      </c>
      <c r="U2763">
        <v>0.60308839999999997</v>
      </c>
      <c r="V2763">
        <v>-2.6097309999999999E-2</v>
      </c>
      <c r="W2763">
        <v>-6.1961389999999998E-2</v>
      </c>
      <c r="X2763">
        <v>0.99773730000000005</v>
      </c>
      <c r="Y2763">
        <v>0.1945588</v>
      </c>
      <c r="Z2763">
        <v>2.5706840000000002E-2</v>
      </c>
      <c r="AA2763">
        <v>0.98055389999999998</v>
      </c>
      <c r="AB2763">
        <v>37</v>
      </c>
      <c r="AC2763">
        <v>-0.38619999999997301</v>
      </c>
      <c r="AD2763">
        <v>-0.191057699999999</v>
      </c>
      <c r="AE2763">
        <v>0.15559999999999199</v>
      </c>
      <c r="AF2763">
        <v>0.12910539578235899</v>
      </c>
      <c r="AG2763">
        <v>-0.191057699999999</v>
      </c>
      <c r="AH2763">
        <v>0.31879575211229599</v>
      </c>
      <c r="AI2763">
        <v>119.051615272679</v>
      </c>
      <c r="AJ2763">
        <v>67.953115407944793</v>
      </c>
      <c r="AK2763">
        <v>0.39344882705919199</v>
      </c>
      <c r="AL2763">
        <v>93.552401683096505</v>
      </c>
      <c r="AM2763">
        <v>91.498315095698203</v>
      </c>
      <c r="AN2763">
        <v>1.0000000016256201</v>
      </c>
    </row>
    <row r="2764" spans="1:40" x14ac:dyDescent="0.25">
      <c r="A2764" t="str">
        <f>"20190303154151575"</f>
        <v>20190303154151575</v>
      </c>
      <c r="B2764" t="str">
        <f>"1551598911572446"</f>
        <v>1551598911572446</v>
      </c>
      <c r="C2764" t="s">
        <v>40</v>
      </c>
      <c r="D2764">
        <v>4.8049999999999997</v>
      </c>
      <c r="E2764">
        <v>0.58490620000000004</v>
      </c>
      <c r="F2764" t="s">
        <v>42</v>
      </c>
      <c r="G2764">
        <v>-375.54199999999997</v>
      </c>
      <c r="H2764">
        <v>0.94056649999999997</v>
      </c>
      <c r="I2764">
        <v>283.75889999999998</v>
      </c>
      <c r="J2764">
        <v>-375.18119999999999</v>
      </c>
      <c r="K2764">
        <v>1.1208</v>
      </c>
      <c r="L2764">
        <v>283.61180000000002</v>
      </c>
      <c r="M2764">
        <v>-0.99989320000000004</v>
      </c>
      <c r="N2764">
        <v>-1.451772E-2</v>
      </c>
      <c r="O2764">
        <v>-1.7268889999999999E-3</v>
      </c>
      <c r="P2764">
        <v>-0.99669359999999996</v>
      </c>
      <c r="Q2764">
        <v>-7.6269000000000003E-2</v>
      </c>
      <c r="R2764">
        <v>-2.8019539999999999E-2</v>
      </c>
      <c r="S2764">
        <v>-2.969757</v>
      </c>
      <c r="T2764">
        <v>-0.74394850000000001</v>
      </c>
      <c r="U2764">
        <v>0.60375979999999996</v>
      </c>
      <c r="V2764">
        <v>-2.6310259999999999E-2</v>
      </c>
      <c r="W2764">
        <v>-6.1785310000000003E-2</v>
      </c>
      <c r="X2764">
        <v>0.99774269999999998</v>
      </c>
      <c r="Y2764">
        <v>0.1947354</v>
      </c>
      <c r="Z2764">
        <v>2.5635069999999999E-2</v>
      </c>
      <c r="AA2764">
        <v>0.98052079999999997</v>
      </c>
      <c r="AB2764">
        <v>37</v>
      </c>
      <c r="AC2764">
        <v>-0.36079999999998302</v>
      </c>
      <c r="AD2764">
        <v>-0.18023349999999999</v>
      </c>
      <c r="AE2764">
        <v>0.14709999999996601</v>
      </c>
      <c r="AF2764">
        <v>0.121685633737018</v>
      </c>
      <c r="AG2764">
        <v>-0.18023349999999999</v>
      </c>
      <c r="AH2764">
        <v>0.29699656835188498</v>
      </c>
      <c r="AI2764">
        <v>119.31628781983299</v>
      </c>
      <c r="AJ2764">
        <v>67.720073307240895</v>
      </c>
      <c r="AK2764">
        <v>0.36810116760617001</v>
      </c>
      <c r="AL2764">
        <v>93.542293415646796</v>
      </c>
      <c r="AM2764">
        <v>91.510527301379895</v>
      </c>
      <c r="AN2764">
        <v>1.0000000748581701</v>
      </c>
    </row>
    <row r="2765" spans="1:40" x14ac:dyDescent="0.25">
      <c r="A2765" t="str">
        <f>"20190303154151598"</f>
        <v>20190303154151598</v>
      </c>
      <c r="B2765" t="str">
        <f>"1551598911591966"</f>
        <v>1551598911591966</v>
      </c>
      <c r="C2765" t="s">
        <v>40</v>
      </c>
      <c r="D2765">
        <v>4.7970499999999996</v>
      </c>
      <c r="E2765">
        <v>0.584920199999999</v>
      </c>
      <c r="F2765" t="s">
        <v>42</v>
      </c>
      <c r="G2765">
        <v>-375.8741</v>
      </c>
      <c r="H2765">
        <v>0.94785989999999998</v>
      </c>
      <c r="I2765">
        <v>283.75319999999999</v>
      </c>
      <c r="J2765">
        <v>-375.55790000000002</v>
      </c>
      <c r="K2765">
        <v>1.1207780000000001</v>
      </c>
      <c r="L2765">
        <v>283.6112</v>
      </c>
      <c r="M2765">
        <v>-0.99989519999999998</v>
      </c>
      <c r="N2765">
        <v>-1.438382E-2</v>
      </c>
      <c r="O2765">
        <v>-1.6661929999999901E-3</v>
      </c>
      <c r="P2765">
        <v>-0.99670230000000004</v>
      </c>
      <c r="Q2765">
        <v>-7.6082239999999995E-2</v>
      </c>
      <c r="R2765">
        <v>-2.8219169999999998E-2</v>
      </c>
      <c r="S2765">
        <v>-2.9701840000000002</v>
      </c>
      <c r="T2765">
        <v>-0.74138590000000004</v>
      </c>
      <c r="U2765">
        <v>0.60391240000000002</v>
      </c>
      <c r="V2765">
        <v>-2.6570590000000002E-2</v>
      </c>
      <c r="W2765">
        <v>-6.1731960000000002E-2</v>
      </c>
      <c r="X2765">
        <v>0.99773900000000004</v>
      </c>
      <c r="Y2765">
        <v>0.19474379999999999</v>
      </c>
      <c r="Z2765">
        <v>2.552453E-2</v>
      </c>
      <c r="AA2765">
        <v>0.980522</v>
      </c>
      <c r="AB2765">
        <v>37</v>
      </c>
      <c r="AC2765">
        <v>-0.31619999999998</v>
      </c>
      <c r="AD2765">
        <v>-0.17291809999999999</v>
      </c>
      <c r="AE2765">
        <v>0.14199999999999499</v>
      </c>
      <c r="AF2765">
        <v>0.114124667897414</v>
      </c>
      <c r="AG2765">
        <v>-0.17291809999999999</v>
      </c>
      <c r="AH2765">
        <v>0.252999356279626</v>
      </c>
      <c r="AI2765">
        <v>121.92371626233199</v>
      </c>
      <c r="AJ2765">
        <v>65.720493152040902</v>
      </c>
      <c r="AK2765">
        <v>0.32700731399803601</v>
      </c>
      <c r="AL2765">
        <v>93.539231205744699</v>
      </c>
      <c r="AM2765">
        <v>91.525472020400201</v>
      </c>
      <c r="AN2765">
        <v>0.99999997162969401</v>
      </c>
    </row>
    <row r="2766" spans="1:40" x14ac:dyDescent="0.25">
      <c r="A2766" t="str">
        <f>"20190303154151620"</f>
        <v>20190303154151620</v>
      </c>
      <c r="B2766" t="str">
        <f>"1551598911612466"</f>
        <v>1551598911612466</v>
      </c>
      <c r="C2766" t="s">
        <v>40</v>
      </c>
      <c r="D2766">
        <v>4.7627750000000004</v>
      </c>
      <c r="E2766">
        <v>0.58496020000000004</v>
      </c>
      <c r="F2766" t="s">
        <v>42</v>
      </c>
      <c r="G2766">
        <v>-376.50619999999998</v>
      </c>
      <c r="H2766">
        <v>0.88470890000000002</v>
      </c>
      <c r="I2766">
        <v>283.80430000000001</v>
      </c>
      <c r="J2766">
        <v>-375.91829999999999</v>
      </c>
      <c r="K2766">
        <v>1.120752</v>
      </c>
      <c r="L2766">
        <v>283.61070000000001</v>
      </c>
      <c r="M2766">
        <v>-0.99989740000000005</v>
      </c>
      <c r="N2766">
        <v>-1.4245030000000001E-2</v>
      </c>
      <c r="O2766">
        <v>-1.6111809999999999E-3</v>
      </c>
      <c r="P2766">
        <v>-0.99673520000000004</v>
      </c>
      <c r="Q2766">
        <v>-7.5567930000000005E-2</v>
      </c>
      <c r="R2766">
        <v>-2.8440969999999999E-2</v>
      </c>
      <c r="S2766">
        <v>-2.9705810000000001</v>
      </c>
      <c r="T2766">
        <v>-0.73950649999999996</v>
      </c>
      <c r="U2766">
        <v>0.6034851</v>
      </c>
      <c r="V2766">
        <v>-2.684715E-2</v>
      </c>
      <c r="W2766">
        <v>-6.1355529999999998E-2</v>
      </c>
      <c r="X2766">
        <v>0.9977549</v>
      </c>
      <c r="Y2766">
        <v>0.1945702</v>
      </c>
      <c r="Z2766">
        <v>2.5413720000000001E-2</v>
      </c>
      <c r="AA2766">
        <v>0.98055930000000002</v>
      </c>
      <c r="AB2766">
        <v>37</v>
      </c>
      <c r="AC2766">
        <v>-0.58789999999998999</v>
      </c>
      <c r="AD2766">
        <v>-0.23604309999999901</v>
      </c>
      <c r="AE2766">
        <v>0.19360000000000299</v>
      </c>
      <c r="AF2766">
        <v>0.16984590657017901</v>
      </c>
      <c r="AG2766">
        <v>-0.23604309999999901</v>
      </c>
      <c r="AH2766">
        <v>0.51298279916763201</v>
      </c>
      <c r="AI2766">
        <v>113.596577017011</v>
      </c>
      <c r="AJ2766">
        <v>71.680564346259999</v>
      </c>
      <c r="AK2766">
        <v>0.58967391775295197</v>
      </c>
      <c r="AL2766">
        <v>93.517622097380396</v>
      </c>
      <c r="AM2766">
        <v>91.541317726171201</v>
      </c>
      <c r="AN2766">
        <v>1.00000005549935</v>
      </c>
    </row>
    <row r="2767" spans="1:40" x14ac:dyDescent="0.25">
      <c r="A2767" t="str">
        <f>"20190303154151631"</f>
        <v>20190303154151631</v>
      </c>
      <c r="B2767" t="str">
        <f>"1551598911622224"</f>
        <v>1551598911622224</v>
      </c>
      <c r="C2767" t="s">
        <v>40</v>
      </c>
      <c r="D2767">
        <v>4.7540360000000002</v>
      </c>
      <c r="E2767">
        <v>0.58496669999999995</v>
      </c>
      <c r="F2767" t="s">
        <v>42</v>
      </c>
      <c r="G2767">
        <v>-376.83800000000002</v>
      </c>
      <c r="H2767">
        <v>0.89304159999999899</v>
      </c>
      <c r="I2767">
        <v>283.79750000000001</v>
      </c>
      <c r="J2767">
        <v>-376.1234</v>
      </c>
      <c r="K2767">
        <v>1.120736</v>
      </c>
      <c r="L2767">
        <v>283.61040000000003</v>
      </c>
      <c r="M2767">
        <v>-0.99989850000000002</v>
      </c>
      <c r="N2767">
        <v>-1.4164650000000001E-2</v>
      </c>
      <c r="O2767">
        <v>-1.58482E-3</v>
      </c>
      <c r="P2767">
        <v>-0.99673460000000003</v>
      </c>
      <c r="Q2767">
        <v>-7.5567549999999997E-2</v>
      </c>
      <c r="R2767">
        <v>-2.846272E-2</v>
      </c>
      <c r="S2767">
        <v>-2.9712519999999998</v>
      </c>
      <c r="T2767">
        <v>-0.73566619999999905</v>
      </c>
      <c r="U2767">
        <v>0.60308839999999997</v>
      </c>
      <c r="V2767">
        <v>-2.689602E-2</v>
      </c>
      <c r="W2767">
        <v>-6.1435160000000003E-2</v>
      </c>
      <c r="X2767">
        <v>0.99774859999999999</v>
      </c>
      <c r="Y2767">
        <v>0.1944448</v>
      </c>
      <c r="Z2767">
        <v>2.525753E-2</v>
      </c>
      <c r="AA2767">
        <v>0.98058820000000002</v>
      </c>
      <c r="AB2767">
        <v>37</v>
      </c>
      <c r="AC2767">
        <v>-0.714600000000018</v>
      </c>
      <c r="AD2767">
        <v>-0.22769439999999999</v>
      </c>
      <c r="AE2767">
        <v>0.187099999999986</v>
      </c>
      <c r="AF2767">
        <v>0.17189968975050399</v>
      </c>
      <c r="AG2767">
        <v>-0.22769439999999999</v>
      </c>
      <c r="AH2767">
        <v>0.65232336814011804</v>
      </c>
      <c r="AI2767">
        <v>108.651015791761</v>
      </c>
      <c r="AJ2767">
        <v>75.237081853897905</v>
      </c>
      <c r="AK2767">
        <v>0.71198315973718596</v>
      </c>
      <c r="AL2767">
        <v>93.522193478498906</v>
      </c>
      <c r="AM2767">
        <v>91.544131782574794</v>
      </c>
      <c r="AN2767">
        <v>0.99999997178901201</v>
      </c>
    </row>
    <row r="2768" spans="1:40" x14ac:dyDescent="0.25">
      <c r="A2768" t="str">
        <f>"20190303154151646"</f>
        <v>20190303154151646</v>
      </c>
      <c r="B2768" t="str">
        <f>"1551598911642719"</f>
        <v>1551598911642719</v>
      </c>
      <c r="C2768" t="s">
        <v>40</v>
      </c>
      <c r="D2768">
        <v>4.7215360000000004</v>
      </c>
      <c r="E2768">
        <v>0.58496119999999996</v>
      </c>
      <c r="F2768" t="s">
        <v>42</v>
      </c>
      <c r="G2768">
        <v>-376.8562</v>
      </c>
      <c r="H2768">
        <v>0.93959340000000002</v>
      </c>
      <c r="I2768">
        <v>283.7593</v>
      </c>
      <c r="J2768">
        <v>-376.34660000000002</v>
      </c>
      <c r="K2768">
        <v>1.1207279999999999</v>
      </c>
      <c r="L2768">
        <v>283.61020000000002</v>
      </c>
      <c r="M2768">
        <v>-0.99989989999999995</v>
      </c>
      <c r="N2768">
        <v>-1.407775E-2</v>
      </c>
      <c r="O2768">
        <v>-1.551092E-3</v>
      </c>
      <c r="P2768">
        <v>-0.99674700000000005</v>
      </c>
      <c r="Q2768">
        <v>-7.5280810000000004E-2</v>
      </c>
      <c r="R2768">
        <v>-2.8784730000000001E-2</v>
      </c>
      <c r="S2768">
        <v>-2.9713440000000002</v>
      </c>
      <c r="T2768">
        <v>-0.73450360000000003</v>
      </c>
      <c r="U2768">
        <v>0.60324100000000003</v>
      </c>
      <c r="V2768">
        <v>-2.7251279999999999E-2</v>
      </c>
      <c r="W2768">
        <v>-6.1234980000000001E-2</v>
      </c>
      <c r="X2768">
        <v>0.99775130000000001</v>
      </c>
      <c r="Y2768">
        <v>0.19447500000000001</v>
      </c>
      <c r="Z2768">
        <v>2.520766E-2</v>
      </c>
      <c r="AA2768">
        <v>0.98058350000000005</v>
      </c>
      <c r="AB2768">
        <v>37</v>
      </c>
      <c r="AC2768">
        <v>-0.50959999999997696</v>
      </c>
      <c r="AD2768">
        <v>-0.18113460000000001</v>
      </c>
      <c r="AE2768">
        <v>0.149099999999975</v>
      </c>
      <c r="AF2768">
        <v>0.13426481171193799</v>
      </c>
      <c r="AG2768">
        <v>-0.18113460000000001</v>
      </c>
      <c r="AH2768">
        <v>0.45626832044634602</v>
      </c>
      <c r="AI2768">
        <v>110.84905661483801</v>
      </c>
      <c r="AJ2768">
        <v>73.602572232793804</v>
      </c>
      <c r="AK2768">
        <v>0.50893768108102599</v>
      </c>
      <c r="AL2768">
        <v>93.510702254221499</v>
      </c>
      <c r="AM2768">
        <v>91.564513369842899</v>
      </c>
      <c r="AN2768">
        <v>1.00000000584446</v>
      </c>
    </row>
    <row r="2769" spans="1:40" x14ac:dyDescent="0.25">
      <c r="A2769" t="str">
        <f>"20190303154151665"</f>
        <v>20190303154151665</v>
      </c>
      <c r="B2769" t="str">
        <f>"1551598911652479"</f>
        <v>1551598911652479</v>
      </c>
      <c r="C2769" t="s">
        <v>40</v>
      </c>
      <c r="D2769">
        <v>4.6946629999999896</v>
      </c>
      <c r="E2769">
        <v>0.57062259999999998</v>
      </c>
      <c r="F2769" t="s">
        <v>42</v>
      </c>
      <c r="G2769">
        <v>-377.1755</v>
      </c>
      <c r="H2769">
        <v>0.9163578</v>
      </c>
      <c r="I2769">
        <v>283.77859999999998</v>
      </c>
      <c r="J2769">
        <v>-376.65710000000001</v>
      </c>
      <c r="K2769">
        <v>1.1207180000000001</v>
      </c>
      <c r="L2769">
        <v>283.60969999999998</v>
      </c>
      <c r="M2769">
        <v>-0.99990159999999995</v>
      </c>
      <c r="N2769">
        <v>-1.3957819999999999E-2</v>
      </c>
      <c r="O2769">
        <v>-1.49752E-3</v>
      </c>
      <c r="P2769">
        <v>-0.99674419999999997</v>
      </c>
      <c r="Q2769">
        <v>-7.5221640000000006E-2</v>
      </c>
      <c r="R2769">
        <v>-2.903801E-2</v>
      </c>
      <c r="S2769">
        <v>-2.9718629999999999</v>
      </c>
      <c r="T2769">
        <v>-0.73276809999999903</v>
      </c>
      <c r="U2769">
        <v>0.60220340000000006</v>
      </c>
      <c r="V2769">
        <v>-2.7558039999999999E-2</v>
      </c>
      <c r="W2769">
        <v>-6.129573E-2</v>
      </c>
      <c r="X2769">
        <v>0.99773909999999999</v>
      </c>
      <c r="Y2769">
        <v>0.19410440000000001</v>
      </c>
      <c r="Z2769">
        <v>2.507846E-2</v>
      </c>
      <c r="AA2769">
        <v>0.98066030000000004</v>
      </c>
      <c r="AB2769">
        <v>37</v>
      </c>
      <c r="AC2769">
        <v>-0.51839999999998498</v>
      </c>
      <c r="AD2769">
        <v>-0.20436019999999999</v>
      </c>
      <c r="AE2769">
        <v>0.16890000000000699</v>
      </c>
      <c r="AF2769">
        <v>0.14877472727296001</v>
      </c>
      <c r="AG2769">
        <v>-0.20436019999999999</v>
      </c>
      <c r="AH2769">
        <v>0.45431886432809299</v>
      </c>
      <c r="AI2769">
        <v>113.145731086902</v>
      </c>
      <c r="AJ2769">
        <v>71.868052967134105</v>
      </c>
      <c r="AK2769">
        <v>0.51990637744073898</v>
      </c>
      <c r="AL2769">
        <v>93.514189678299104</v>
      </c>
      <c r="AM2769">
        <v>91.582135091775399</v>
      </c>
      <c r="AN2769">
        <v>0.99999996187684104</v>
      </c>
    </row>
    <row r="2770" spans="1:40" x14ac:dyDescent="0.25">
      <c r="A2770" t="str">
        <f>"20190303154151688"</f>
        <v>20190303154151688</v>
      </c>
      <c r="B2770" t="str">
        <f>"1551598911682735"</f>
        <v>1551598911682735</v>
      </c>
      <c r="C2770" t="s">
        <v>40</v>
      </c>
      <c r="D2770">
        <v>4.7259289999999998</v>
      </c>
      <c r="E2770">
        <v>0.53102169999999904</v>
      </c>
      <c r="F2770" t="s">
        <v>42</v>
      </c>
      <c r="G2770">
        <v>-377.5204</v>
      </c>
      <c r="H2770">
        <v>0.95587999999999995</v>
      </c>
      <c r="I2770">
        <v>283.75009999999997</v>
      </c>
      <c r="J2770">
        <v>-377.02870000000001</v>
      </c>
      <c r="K2770">
        <v>1.120709</v>
      </c>
      <c r="L2770">
        <v>283.60930000000002</v>
      </c>
      <c r="M2770">
        <v>-0.9999036</v>
      </c>
      <c r="N2770">
        <v>-1.3815600000000001E-2</v>
      </c>
      <c r="O2770">
        <v>-1.423293E-3</v>
      </c>
      <c r="P2770">
        <v>-0.99679300000000004</v>
      </c>
      <c r="Q2770">
        <v>-7.4663510000000002E-2</v>
      </c>
      <c r="R2770">
        <v>-2.8799519999999999E-2</v>
      </c>
      <c r="S2770">
        <v>-2.9808650000000001</v>
      </c>
      <c r="T2770">
        <v>-0.56925680000000001</v>
      </c>
      <c r="U2770">
        <v>0.48367310000000002</v>
      </c>
      <c r="V2770">
        <v>-2.7392699999999999E-2</v>
      </c>
      <c r="W2770">
        <v>-6.087919E-2</v>
      </c>
      <c r="X2770">
        <v>0.99776920000000002</v>
      </c>
      <c r="Y2770">
        <v>0.15854560000000001</v>
      </c>
      <c r="Z2770">
        <v>1.6269220000000001E-2</v>
      </c>
      <c r="AA2770">
        <v>0.98721760000000003</v>
      </c>
      <c r="AB2770">
        <v>37</v>
      </c>
      <c r="AC2770">
        <v>-0.49169999999997999</v>
      </c>
      <c r="AD2770">
        <v>-0.164829</v>
      </c>
      <c r="AE2770">
        <v>0.14079999999995599</v>
      </c>
      <c r="AF2770">
        <v>0.12818654960232001</v>
      </c>
      <c r="AG2770">
        <v>-0.164829</v>
      </c>
      <c r="AH2770">
        <v>0.44525568667058801</v>
      </c>
      <c r="AI2770">
        <v>109.582534661702</v>
      </c>
      <c r="AJ2770">
        <v>73.939194864059502</v>
      </c>
      <c r="AK2770">
        <v>0.49178553989767299</v>
      </c>
      <c r="AL2770">
        <v>93.4902788834696</v>
      </c>
      <c r="AM2770">
        <v>91.572600116841897</v>
      </c>
      <c r="AN2770">
        <v>1.0000000061284899</v>
      </c>
    </row>
    <row r="2771" spans="1:40" x14ac:dyDescent="0.25">
      <c r="A2771" t="str">
        <f>"20190303154151710"</f>
        <v>20190303154151710</v>
      </c>
      <c r="B2771" t="str">
        <f>"1551598911702258"</f>
        <v>1551598911702258</v>
      </c>
      <c r="C2771" t="s">
        <v>40</v>
      </c>
      <c r="D2771">
        <v>4.6717329999999997</v>
      </c>
      <c r="E2771">
        <v>0.52575879999999997</v>
      </c>
      <c r="F2771" t="s">
        <v>50</v>
      </c>
      <c r="G2771">
        <v>-398.1936</v>
      </c>
      <c r="H2771" s="1">
        <v>2.823439E-6</v>
      </c>
      <c r="I2771">
        <v>284.73329999999999</v>
      </c>
      <c r="J2771">
        <v>-377.39510000000001</v>
      </c>
      <c r="K2771">
        <v>1.1206959999999999</v>
      </c>
      <c r="L2771">
        <v>283.60879999999997</v>
      </c>
      <c r="M2771">
        <v>-0.99990559999999995</v>
      </c>
      <c r="N2771">
        <v>-1.367936E-2</v>
      </c>
      <c r="O2771">
        <v>-1.3453460000000001E-3</v>
      </c>
      <c r="P2771">
        <v>-0.9968264</v>
      </c>
      <c r="Q2771">
        <v>-7.4417059999999993E-2</v>
      </c>
      <c r="R2771">
        <v>-2.827928E-2</v>
      </c>
      <c r="S2771">
        <v>-3.0023499999999999</v>
      </c>
      <c r="T2771">
        <v>-0.15897819999999999</v>
      </c>
      <c r="U2771">
        <v>0.15945429999999999</v>
      </c>
      <c r="V2771">
        <v>-2.6950410000000001E-2</v>
      </c>
      <c r="W2771">
        <v>-6.0768280000000001E-2</v>
      </c>
      <c r="X2771">
        <v>0.99778800000000001</v>
      </c>
      <c r="Y2771">
        <v>5.42821E-2</v>
      </c>
      <c r="Z2771">
        <v>1.859772E-3</v>
      </c>
      <c r="AA2771">
        <v>0.99852390000000002</v>
      </c>
      <c r="AB2771">
        <v>37</v>
      </c>
      <c r="AC2771">
        <v>-20.798499999999901</v>
      </c>
      <c r="AD2771">
        <v>-1.120693176561</v>
      </c>
      <c r="AE2771">
        <v>1.12450000000001</v>
      </c>
      <c r="AF2771">
        <v>1.1491560227564599</v>
      </c>
      <c r="AG2771">
        <v>-1.120693176561</v>
      </c>
      <c r="AH2771">
        <v>20.736935703577998</v>
      </c>
      <c r="AI2771">
        <v>93.088715957401803</v>
      </c>
      <c r="AJ2771">
        <v>86.828146809237296</v>
      </c>
      <c r="AK2771">
        <v>20.798966684307999</v>
      </c>
      <c r="AL2771">
        <v>93.483912440179395</v>
      </c>
      <c r="AM2771">
        <v>91.547191792155104</v>
      </c>
      <c r="AN2771">
        <v>1.00000000069866</v>
      </c>
    </row>
    <row r="2772" spans="1:40" x14ac:dyDescent="0.25">
      <c r="A2772" t="str">
        <f>"20190303154151722"</f>
        <v>20190303154151722</v>
      </c>
      <c r="B2772" t="str">
        <f>"1551598911712016"</f>
        <v>1551598911712016</v>
      </c>
      <c r="C2772" t="s">
        <v>40</v>
      </c>
      <c r="D2772">
        <v>4.7003149999999998</v>
      </c>
      <c r="E2772">
        <v>0.52474809999999905</v>
      </c>
      <c r="F2772" t="s">
        <v>51</v>
      </c>
      <c r="G2772">
        <v>-433.79660000000001</v>
      </c>
      <c r="H2772" s="1">
        <v>3.7969220000000002E-6</v>
      </c>
      <c r="I2772">
        <v>285.80239999999998</v>
      </c>
      <c r="J2772">
        <v>-377.60579999999999</v>
      </c>
      <c r="K2772">
        <v>1.120687</v>
      </c>
      <c r="L2772">
        <v>283.60860000000002</v>
      </c>
      <c r="M2772">
        <v>-0.99990679999999998</v>
      </c>
      <c r="N2772">
        <v>-1.360505E-2</v>
      </c>
      <c r="O2772">
        <v>-1.301548E-3</v>
      </c>
      <c r="P2772">
        <v>-0.9968167</v>
      </c>
      <c r="Q2772">
        <v>-7.4496229999999997E-2</v>
      </c>
      <c r="R2772">
        <v>-2.840912E-2</v>
      </c>
      <c r="S2772">
        <v>-3.0084230000000001</v>
      </c>
      <c r="T2772">
        <v>-5.977702E-2</v>
      </c>
      <c r="U2772">
        <v>0.117004399999999</v>
      </c>
      <c r="V2772">
        <v>-2.7124289999999999E-2</v>
      </c>
      <c r="W2772">
        <v>-6.0921589999999998E-2</v>
      </c>
      <c r="X2772">
        <v>0.99777389999999999</v>
      </c>
      <c r="Y2772">
        <v>4.0150180000000001E-2</v>
      </c>
      <c r="Z2772">
        <v>6.8013190000000003E-4</v>
      </c>
      <c r="AA2772">
        <v>0.99919340000000001</v>
      </c>
      <c r="AB2772">
        <v>37</v>
      </c>
      <c r="AC2772">
        <v>-56.190800000000003</v>
      </c>
      <c r="AD2772">
        <v>-1.1206832030779901</v>
      </c>
      <c r="AE2772">
        <v>2.1937999999999498</v>
      </c>
      <c r="AF2772">
        <v>2.2660399220509402</v>
      </c>
      <c r="AG2772">
        <v>-1.1206832030779901</v>
      </c>
      <c r="AH2772">
        <v>56.165589644562701</v>
      </c>
      <c r="AI2772">
        <v>91.142153464122103</v>
      </c>
      <c r="AJ2772">
        <v>87.689614831067601</v>
      </c>
      <c r="AK2772">
        <v>56.222453947612401</v>
      </c>
      <c r="AL2772">
        <v>93.492712898608502</v>
      </c>
      <c r="AM2772">
        <v>91.557191136611706</v>
      </c>
      <c r="AN2772">
        <v>0.99999996137866998</v>
      </c>
    </row>
    <row r="2773" spans="1:40" x14ac:dyDescent="0.25">
      <c r="A2773" t="str">
        <f>"20190303154151743"</f>
        <v>20190303154151743</v>
      </c>
      <c r="B2773" t="str">
        <f>"1551598911732512"</f>
        <v>1551598911732512</v>
      </c>
      <c r="C2773" t="s">
        <v>40</v>
      </c>
      <c r="D2773">
        <v>4.7668350000000004</v>
      </c>
      <c r="E2773">
        <v>0.52159670000000002</v>
      </c>
      <c r="F2773" t="s">
        <v>46</v>
      </c>
      <c r="G2773">
        <v>-488.07490000000001</v>
      </c>
      <c r="H2773" s="1">
        <v>3.8957940000000003E-6</v>
      </c>
      <c r="I2773">
        <v>287.56389999999999</v>
      </c>
      <c r="J2773">
        <v>-377.93740000000003</v>
      </c>
      <c r="K2773">
        <v>1.1206750000000001</v>
      </c>
      <c r="L2773">
        <v>283.60820000000001</v>
      </c>
      <c r="M2773">
        <v>-0.99990820000000002</v>
      </c>
      <c r="N2773">
        <v>-1.349551E-2</v>
      </c>
      <c r="O2773">
        <v>-1.234611E-3</v>
      </c>
      <c r="P2773">
        <v>-0.99685049999999997</v>
      </c>
      <c r="Q2773">
        <v>-7.4115829999999994E-2</v>
      </c>
      <c r="R2773">
        <v>-2.8215219999999999E-2</v>
      </c>
      <c r="S2773">
        <v>-3.0104060000000001</v>
      </c>
      <c r="T2773">
        <v>-3.053987E-2</v>
      </c>
      <c r="U2773">
        <v>0.1077881</v>
      </c>
      <c r="V2773">
        <v>-2.6997230000000001E-2</v>
      </c>
      <c r="W2773">
        <v>-6.0649929999999998E-2</v>
      </c>
      <c r="X2773">
        <v>0.99779390000000001</v>
      </c>
      <c r="Y2773">
        <v>3.701169E-2</v>
      </c>
      <c r="Z2773">
        <v>4.3338799999999999E-4</v>
      </c>
      <c r="AA2773">
        <v>0.9993147</v>
      </c>
      <c r="AB2773">
        <v>37</v>
      </c>
      <c r="AC2773">
        <v>-110.1375</v>
      </c>
      <c r="AD2773">
        <v>-1.120671104206</v>
      </c>
      <c r="AE2773">
        <v>3.95569999999997</v>
      </c>
      <c r="AF2773">
        <v>4.0912632918663698</v>
      </c>
      <c r="AG2773">
        <v>-1.120671104206</v>
      </c>
      <c r="AH2773">
        <v>110.12114517885099</v>
      </c>
      <c r="AI2773">
        <v>90.582660523186306</v>
      </c>
      <c r="AJ2773">
        <v>87.872303676514406</v>
      </c>
      <c r="AK2773">
        <v>110.20281736212</v>
      </c>
      <c r="AL2773">
        <v>93.477119076091796</v>
      </c>
      <c r="AM2773">
        <v>91.549869204170406</v>
      </c>
      <c r="AN2773">
        <v>0.99999996565694305</v>
      </c>
    </row>
    <row r="2774" spans="1:40" x14ac:dyDescent="0.25">
      <c r="A2774" t="str">
        <f>"20190303154151764"</f>
        <v>20190303154151764</v>
      </c>
      <c r="B2774" t="str">
        <f>"1551598911761791"</f>
        <v>1551598911761791</v>
      </c>
      <c r="C2774" t="s">
        <v>40</v>
      </c>
      <c r="D2774">
        <v>4.6684070000000002</v>
      </c>
      <c r="E2774">
        <v>0.52063599999999999</v>
      </c>
      <c r="F2774" t="s">
        <v>53</v>
      </c>
      <c r="G2774">
        <v>-616.71010000000001</v>
      </c>
      <c r="H2774">
        <v>-0.1</v>
      </c>
      <c r="I2774">
        <v>290.19380000000001</v>
      </c>
      <c r="J2774">
        <v>-378.30079999999998</v>
      </c>
      <c r="K2774">
        <v>1.120668</v>
      </c>
      <c r="L2774">
        <v>283.60789999999997</v>
      </c>
      <c r="M2774">
        <v>-0.99990979999999996</v>
      </c>
      <c r="N2774">
        <v>-1.3387029999999999E-2</v>
      </c>
      <c r="O2774">
        <v>-1.16281E-3</v>
      </c>
      <c r="P2774">
        <v>-0.99680530000000001</v>
      </c>
      <c r="Q2774">
        <v>-7.4755820000000001E-2</v>
      </c>
      <c r="R2774">
        <v>-2.8121839999999999E-2</v>
      </c>
      <c r="S2774">
        <v>-3.0106809999999999</v>
      </c>
      <c r="T2774">
        <v>-1.5391470000000001E-2</v>
      </c>
      <c r="U2774">
        <v>8.3038329999999994E-2</v>
      </c>
      <c r="V2774">
        <v>-2.6976010000000002E-2</v>
      </c>
      <c r="W2774">
        <v>-6.139857E-2</v>
      </c>
      <c r="X2774">
        <v>0.99774870000000004</v>
      </c>
      <c r="Y2774">
        <v>2.8731820000000002E-2</v>
      </c>
      <c r="Z2774">
        <v>2.561738E-4</v>
      </c>
      <c r="AA2774">
        <v>0.99958709999999995</v>
      </c>
      <c r="AB2774">
        <v>37</v>
      </c>
      <c r="AC2774">
        <v>-238.4093</v>
      </c>
      <c r="AD2774">
        <v>-1.2206680000000001</v>
      </c>
      <c r="AE2774">
        <v>6.5859000000000298</v>
      </c>
      <c r="AF2774">
        <v>6.8629653103192503</v>
      </c>
      <c r="AG2774">
        <v>-1.2206680000000001</v>
      </c>
      <c r="AH2774">
        <v>238.39523520575301</v>
      </c>
      <c r="AI2774">
        <v>90.293250621058803</v>
      </c>
      <c r="AJ2774">
        <v>88.351014134553495</v>
      </c>
      <c r="AK2774">
        <v>238.49712470389099</v>
      </c>
      <c r="AL2774">
        <v>93.520093035525605</v>
      </c>
      <c r="AM2774">
        <v>91.548721713101997</v>
      </c>
      <c r="AN2774">
        <v>0.99999997893262704</v>
      </c>
    </row>
    <row r="2775" spans="1:40" x14ac:dyDescent="0.25">
      <c r="A2775" t="str">
        <f>"20190303154151779"</f>
        <v>20190303154151779</v>
      </c>
      <c r="B2775" t="str">
        <f>"1551598911772528"</f>
        <v>1551598911772528</v>
      </c>
      <c r="C2775" t="s">
        <v>40</v>
      </c>
      <c r="D2775">
        <v>4.6592830000000003</v>
      </c>
      <c r="E2775">
        <v>0.520486</v>
      </c>
      <c r="F2775" t="s">
        <v>54</v>
      </c>
      <c r="G2775">
        <v>0</v>
      </c>
      <c r="H2775">
        <v>0</v>
      </c>
      <c r="I2775">
        <v>0</v>
      </c>
      <c r="J2775">
        <v>-378.53030000000001</v>
      </c>
      <c r="K2775">
        <v>1.1206659999999999</v>
      </c>
      <c r="L2775">
        <v>283.60759999999999</v>
      </c>
      <c r="M2775">
        <v>-0.99991070000000004</v>
      </c>
      <c r="N2775">
        <v>-1.332388E-2</v>
      </c>
      <c r="O2775">
        <v>-1.1176820000000001E-3</v>
      </c>
      <c r="P2775">
        <v>-0.99679139999999999</v>
      </c>
      <c r="Q2775">
        <v>-7.4938450000000004E-2</v>
      </c>
      <c r="R2775">
        <v>-2.8129100000000001E-2</v>
      </c>
      <c r="S2775">
        <v>-3.0124819999999999</v>
      </c>
      <c r="T2775">
        <v>9.8916290000000007E-3</v>
      </c>
      <c r="U2775">
        <v>7.4951169999999998E-2</v>
      </c>
      <c r="V2775">
        <v>-2.7028409999999999E-2</v>
      </c>
      <c r="W2775">
        <v>-6.1644369999999997E-2</v>
      </c>
      <c r="X2775">
        <v>0.99773219999999996</v>
      </c>
      <c r="Y2775">
        <v>2.599021E-2</v>
      </c>
      <c r="Z2775">
        <v>1.119556E-4</v>
      </c>
      <c r="AA2775">
        <v>0.99966219999999995</v>
      </c>
      <c r="AB2775">
        <v>37</v>
      </c>
      <c r="AC2775">
        <v>-3.0124819999999999</v>
      </c>
      <c r="AD2775">
        <v>9.8916290000000007E-3</v>
      </c>
      <c r="AE2775">
        <v>7.4951169999999998E-2</v>
      </c>
      <c r="AF2775">
        <v>7.8317574806287593E-2</v>
      </c>
      <c r="AG2775">
        <v>9.8916290000000007E-3</v>
      </c>
      <c r="AH2775">
        <v>3.0123638807752</v>
      </c>
      <c r="AI2775">
        <v>89.811923414054206</v>
      </c>
      <c r="AJ2775">
        <v>88.510719137821994</v>
      </c>
      <c r="AK2775">
        <v>3.0133980216770002</v>
      </c>
      <c r="AL2775">
        <v>93.5342028037592</v>
      </c>
      <c r="AM2775">
        <v>91.551754233172304</v>
      </c>
      <c r="AN2775">
        <v>1.00000005310833</v>
      </c>
    </row>
    <row r="2776" spans="1:40" x14ac:dyDescent="0.25">
      <c r="A2776" t="str">
        <f>"20190303154151791"</f>
        <v>20190303154151791</v>
      </c>
      <c r="B2776" t="str">
        <f>"1551598911782287"</f>
        <v>1551598911782287</v>
      </c>
      <c r="C2776" t="s">
        <v>40</v>
      </c>
      <c r="D2776">
        <v>4.7411199999999996</v>
      </c>
      <c r="E2776">
        <v>0.51940949999999997</v>
      </c>
      <c r="F2776" t="s">
        <v>54</v>
      </c>
      <c r="G2776">
        <v>0</v>
      </c>
      <c r="H2776">
        <v>0</v>
      </c>
      <c r="I2776">
        <v>0</v>
      </c>
      <c r="J2776">
        <v>-378.73230000000001</v>
      </c>
      <c r="K2776">
        <v>1.120662</v>
      </c>
      <c r="L2776">
        <v>283.60750000000002</v>
      </c>
      <c r="M2776">
        <v>-0.99991140000000001</v>
      </c>
      <c r="N2776">
        <v>-1.327249E-2</v>
      </c>
      <c r="O2776">
        <v>-1.078128E-3</v>
      </c>
      <c r="P2776">
        <v>-0.99681249999999999</v>
      </c>
      <c r="Q2776">
        <v>-7.4729939999999995E-2</v>
      </c>
      <c r="R2776">
        <v>-2.7938500000000002E-2</v>
      </c>
      <c r="S2776">
        <v>-3.0129090000000001</v>
      </c>
      <c r="T2776">
        <v>1.553035E-2</v>
      </c>
      <c r="U2776">
        <v>7.3760989999999999E-2</v>
      </c>
      <c r="V2776">
        <v>-2.6877379999999999E-2</v>
      </c>
      <c r="W2776">
        <v>-6.1486909999999999E-2</v>
      </c>
      <c r="X2776">
        <v>0.99774589999999996</v>
      </c>
      <c r="Y2776">
        <v>2.555255E-2</v>
      </c>
      <c r="Z2776" s="1">
        <v>8.3893809999999994E-5</v>
      </c>
      <c r="AA2776">
        <v>0.99967349999999999</v>
      </c>
      <c r="AB2776">
        <v>37</v>
      </c>
      <c r="AC2776">
        <v>-3.0129090000000001</v>
      </c>
      <c r="AD2776">
        <v>1.553035E-2</v>
      </c>
      <c r="AE2776">
        <v>7.3760989999999999E-2</v>
      </c>
      <c r="AF2776">
        <v>7.7007489756806199E-2</v>
      </c>
      <c r="AG2776">
        <v>1.553035E-2</v>
      </c>
      <c r="AH2776">
        <v>3.01274771730376</v>
      </c>
      <c r="AI2776">
        <v>89.704746237681604</v>
      </c>
      <c r="AJ2776">
        <v>88.535807159440196</v>
      </c>
      <c r="AK2776">
        <v>3.0137717487176698</v>
      </c>
      <c r="AL2776">
        <v>93.525164202377397</v>
      </c>
      <c r="AM2776">
        <v>91.543066329721</v>
      </c>
      <c r="AN2776">
        <v>0.99999995731191005</v>
      </c>
    </row>
    <row r="2777" spans="1:40" x14ac:dyDescent="0.25">
      <c r="A2777" t="str">
        <f>"20190303154151803"</f>
        <v>20190303154151803</v>
      </c>
      <c r="B2777" t="str">
        <f>"1551598911792048"</f>
        <v>1551598911792048</v>
      </c>
      <c r="C2777" t="s">
        <v>40</v>
      </c>
      <c r="D2777">
        <v>4.8080639999999999</v>
      </c>
      <c r="E2777">
        <v>0.51870130000000003</v>
      </c>
      <c r="F2777" t="s">
        <v>54</v>
      </c>
      <c r="G2777">
        <v>0</v>
      </c>
      <c r="H2777">
        <v>0</v>
      </c>
      <c r="I2777">
        <v>0</v>
      </c>
      <c r="J2777">
        <v>-378.92970000000003</v>
      </c>
      <c r="K2777">
        <v>1.120662</v>
      </c>
      <c r="L2777">
        <v>283.60719999999998</v>
      </c>
      <c r="M2777">
        <v>-0.99991200000000002</v>
      </c>
      <c r="N2777">
        <v>-1.3226979999999999E-2</v>
      </c>
      <c r="O2777">
        <v>-1.040415E-3</v>
      </c>
      <c r="P2777">
        <v>-0.99680939999999996</v>
      </c>
      <c r="Q2777">
        <v>-7.4808250000000007E-2</v>
      </c>
      <c r="R2777">
        <v>-2.7837319999999999E-2</v>
      </c>
      <c r="S2777">
        <v>-3.0123899999999999</v>
      </c>
      <c r="T2777">
        <v>1.2836810000000001E-2</v>
      </c>
      <c r="U2777">
        <v>6.5795899999999893E-2</v>
      </c>
      <c r="V2777">
        <v>-2.6813429999999999E-2</v>
      </c>
      <c r="W2777">
        <v>-6.1610770000000002E-2</v>
      </c>
      <c r="X2777">
        <v>0.99773999999999996</v>
      </c>
      <c r="Y2777">
        <v>2.2877080000000001E-2</v>
      </c>
      <c r="Z2777" s="1">
        <v>8.4389789999999996E-5</v>
      </c>
      <c r="AA2777">
        <v>0.99973829999999997</v>
      </c>
      <c r="AB2777">
        <v>37</v>
      </c>
      <c r="AC2777">
        <v>-3.0123899999999999</v>
      </c>
      <c r="AD2777">
        <v>1.2836810000000001E-2</v>
      </c>
      <c r="AE2777">
        <v>6.5795899999999893E-2</v>
      </c>
      <c r="AF2777">
        <v>6.8929023171255502E-2</v>
      </c>
      <c r="AG2777">
        <v>1.2836810000000001E-2</v>
      </c>
      <c r="AH2777">
        <v>3.0122652346551302</v>
      </c>
      <c r="AI2777">
        <v>89.755898619716803</v>
      </c>
      <c r="AJ2777">
        <v>88.689141658571899</v>
      </c>
      <c r="AK2777">
        <v>3.0130811203547498</v>
      </c>
      <c r="AL2777">
        <v>93.532274267528194</v>
      </c>
      <c r="AM2777">
        <v>91.539405742044096</v>
      </c>
      <c r="AN2777">
        <v>0.999999977304178</v>
      </c>
    </row>
    <row r="2778" spans="1:40" x14ac:dyDescent="0.25">
      <c r="A2778" t="str">
        <f>"20190303154151821"</f>
        <v>20190303154151821</v>
      </c>
      <c r="B2778" t="str">
        <f>"1551598911812544"</f>
        <v>1551598911812544</v>
      </c>
      <c r="C2778" t="s">
        <v>40</v>
      </c>
      <c r="D2778">
        <v>4.7597589999999999</v>
      </c>
      <c r="E2778">
        <v>0.51738450000000002</v>
      </c>
      <c r="F2778" t="s">
        <v>54</v>
      </c>
      <c r="G2778">
        <v>0</v>
      </c>
      <c r="H2778">
        <v>0</v>
      </c>
      <c r="I2778">
        <v>0</v>
      </c>
      <c r="J2778">
        <v>-379.22620000000001</v>
      </c>
      <c r="K2778">
        <v>1.120662</v>
      </c>
      <c r="L2778">
        <v>283.60700000000003</v>
      </c>
      <c r="M2778">
        <v>-0.99991289999999999</v>
      </c>
      <c r="N2778">
        <v>-1.316698E-2</v>
      </c>
      <c r="O2778">
        <v>-9.8582179999999898E-4</v>
      </c>
      <c r="P2778">
        <v>-0.99681010000000003</v>
      </c>
      <c r="Q2778">
        <v>-7.4920039999999993E-2</v>
      </c>
      <c r="R2778">
        <v>-2.751232E-2</v>
      </c>
      <c r="S2778">
        <v>-3.0120849999999999</v>
      </c>
      <c r="T2778">
        <v>1.1015179999999999E-2</v>
      </c>
      <c r="U2778">
        <v>6.0943600000000001E-2</v>
      </c>
      <c r="V2778">
        <v>-2.6542429999999999E-2</v>
      </c>
      <c r="W2778">
        <v>-6.1782610000000002E-2</v>
      </c>
      <c r="X2778">
        <v>0.99773659999999997</v>
      </c>
      <c r="Y2778">
        <v>2.1214819999999999E-2</v>
      </c>
      <c r="Z2778" s="1">
        <v>8.4315469999999906E-5</v>
      </c>
      <c r="AA2778">
        <v>0.99977490000000002</v>
      </c>
      <c r="AB2778">
        <v>37</v>
      </c>
      <c r="AC2778">
        <v>-3.0120849999999999</v>
      </c>
      <c r="AD2778">
        <v>1.1015179999999999E-2</v>
      </c>
      <c r="AE2778">
        <v>6.0943600000000001E-2</v>
      </c>
      <c r="AF2778">
        <v>6.3912352260345306E-2</v>
      </c>
      <c r="AG2778">
        <v>1.1015179999999999E-2</v>
      </c>
      <c r="AH2778">
        <v>3.0119831867591098</v>
      </c>
      <c r="AI2778">
        <v>89.790510624890103</v>
      </c>
      <c r="AJ2778">
        <v>88.784402714207999</v>
      </c>
      <c r="AK2778">
        <v>3.0126813373275101</v>
      </c>
      <c r="AL2778">
        <v>93.542138838115704</v>
      </c>
      <c r="AM2778">
        <v>91.523859723621101</v>
      </c>
      <c r="AN2778">
        <v>0.99999995723413704</v>
      </c>
    </row>
    <row r="2779" spans="1:40" x14ac:dyDescent="0.25">
      <c r="A2779" t="str">
        <f>"20190303154151844"</f>
        <v>20190303154151844</v>
      </c>
      <c r="B2779" t="str">
        <f>"1551598911832063"</f>
        <v>1551598911832063</v>
      </c>
      <c r="C2779" t="s">
        <v>40</v>
      </c>
      <c r="D2779">
        <v>4.7394309999999997</v>
      </c>
      <c r="E2779">
        <v>0.51640280000000005</v>
      </c>
      <c r="F2779" t="s">
        <v>54</v>
      </c>
      <c r="G2779">
        <v>0</v>
      </c>
      <c r="H2779">
        <v>0</v>
      </c>
      <c r="I2779">
        <v>0</v>
      </c>
      <c r="J2779">
        <v>-379.59469999999999</v>
      </c>
      <c r="K2779">
        <v>1.120662</v>
      </c>
      <c r="L2779">
        <v>283.60680000000002</v>
      </c>
      <c r="M2779">
        <v>-0.99991359999999996</v>
      </c>
      <c r="N2779">
        <v>-1.311067E-2</v>
      </c>
      <c r="O2779">
        <v>-9.2362049999999995E-4</v>
      </c>
      <c r="P2779">
        <v>-0.99685159999999995</v>
      </c>
      <c r="Q2779">
        <v>-7.4438240000000003E-2</v>
      </c>
      <c r="R2779">
        <v>-2.7314660000000001E-2</v>
      </c>
      <c r="S2779">
        <v>-3.0114139999999998</v>
      </c>
      <c r="T2779">
        <v>5.4662230000000001E-3</v>
      </c>
      <c r="U2779">
        <v>5.1361080000000003E-2</v>
      </c>
      <c r="V2779">
        <v>-2.640611E-2</v>
      </c>
      <c r="W2779">
        <v>-6.1356670000000002E-2</v>
      </c>
      <c r="X2779">
        <v>0.99776659999999995</v>
      </c>
      <c r="Y2779">
        <v>1.797663E-2</v>
      </c>
      <c r="Z2779" s="1">
        <v>8.7756550000000003E-5</v>
      </c>
      <c r="AA2779">
        <v>0.99983840000000002</v>
      </c>
      <c r="AB2779">
        <v>37</v>
      </c>
      <c r="AC2779">
        <v>-3.0114139999999998</v>
      </c>
      <c r="AD2779">
        <v>5.4662230000000001E-3</v>
      </c>
      <c r="AE2779">
        <v>5.1361080000000003E-2</v>
      </c>
      <c r="AF2779">
        <v>5.4142522601719603E-2</v>
      </c>
      <c r="AG2779">
        <v>5.4662230000000001E-3</v>
      </c>
      <c r="AH2779">
        <v>3.0113553540372102</v>
      </c>
      <c r="AI2779">
        <v>89.896013416499997</v>
      </c>
      <c r="AJ2779">
        <v>88.969964195207297</v>
      </c>
      <c r="AK2779">
        <v>3.0118470015318</v>
      </c>
      <c r="AL2779">
        <v>93.5176875366693</v>
      </c>
      <c r="AM2779">
        <v>91.515991390584205</v>
      </c>
      <c r="AN2779">
        <v>1.00000005583718</v>
      </c>
    </row>
    <row r="2780" spans="1:40" x14ac:dyDescent="0.25">
      <c r="A2780" t="str">
        <f>"20190303154151867"</f>
        <v>20190303154151867</v>
      </c>
      <c r="B2780" t="str">
        <f>"1551598911862320"</f>
        <v>1551598911862320</v>
      </c>
      <c r="C2780" t="s">
        <v>40</v>
      </c>
      <c r="D2780">
        <v>4.7136750000000003</v>
      </c>
      <c r="E2780">
        <v>0.51514519999999997</v>
      </c>
      <c r="F2780" t="s">
        <v>54</v>
      </c>
      <c r="G2780">
        <v>0</v>
      </c>
      <c r="H2780">
        <v>0</v>
      </c>
      <c r="I2780">
        <v>0</v>
      </c>
      <c r="J2780">
        <v>-379.96289999999999</v>
      </c>
      <c r="K2780">
        <v>1.1206609999999999</v>
      </c>
      <c r="L2780">
        <v>283.60649999999998</v>
      </c>
      <c r="M2780">
        <v>-0.99991410000000003</v>
      </c>
      <c r="N2780">
        <v>-1.3075760000000001E-2</v>
      </c>
      <c r="O2780">
        <v>-8.6892060000000001E-4</v>
      </c>
      <c r="P2780">
        <v>-0.99687400000000004</v>
      </c>
      <c r="Q2780">
        <v>-7.4201340000000005E-2</v>
      </c>
      <c r="R2780">
        <v>-2.7139779999999999E-2</v>
      </c>
      <c r="S2780">
        <v>-3.0109560000000002</v>
      </c>
      <c r="T2780">
        <v>4.054546E-3</v>
      </c>
      <c r="U2780">
        <v>4.4036869999999999E-2</v>
      </c>
      <c r="V2780">
        <v>-2.6286070000000002E-2</v>
      </c>
      <c r="W2780">
        <v>-6.1154399999999998E-2</v>
      </c>
      <c r="X2780">
        <v>0.99778210000000001</v>
      </c>
      <c r="Y2780">
        <v>1.549291E-2</v>
      </c>
      <c r="Z2780" s="1">
        <v>7.8337679999999999E-5</v>
      </c>
      <c r="AA2780">
        <v>0.99987999999999999</v>
      </c>
      <c r="AB2780">
        <v>37</v>
      </c>
      <c r="AC2780">
        <v>-3.0109560000000002</v>
      </c>
      <c r="AD2780">
        <v>4.054546E-3</v>
      </c>
      <c r="AE2780">
        <v>4.4036869999999999E-2</v>
      </c>
      <c r="AF2780">
        <v>4.6653274257339401E-2</v>
      </c>
      <c r="AG2780">
        <v>4.054546E-3</v>
      </c>
      <c r="AH2780">
        <v>3.0109111367257801</v>
      </c>
      <c r="AI2780">
        <v>89.922853800510694</v>
      </c>
      <c r="AJ2780">
        <v>89.112288040196702</v>
      </c>
      <c r="AK2780">
        <v>3.0112752847591802</v>
      </c>
      <c r="AL2780">
        <v>93.506076822082093</v>
      </c>
      <c r="AM2780">
        <v>91.509079580504903</v>
      </c>
      <c r="AN2780">
        <v>0.99999996859790696</v>
      </c>
    </row>
    <row r="2781" spans="1:40" x14ac:dyDescent="0.25">
      <c r="A2781" t="str">
        <f>"20190303154151888"</f>
        <v>20190303154151888</v>
      </c>
      <c r="B2781" t="str">
        <f>"1551598911881839"</f>
        <v>1551598911881839</v>
      </c>
      <c r="C2781" t="s">
        <v>40</v>
      </c>
      <c r="D2781">
        <v>4.6049439999999997</v>
      </c>
      <c r="E2781">
        <v>0.51436890000000002</v>
      </c>
      <c r="F2781" t="s">
        <v>54</v>
      </c>
      <c r="G2781">
        <v>0</v>
      </c>
      <c r="H2781">
        <v>0</v>
      </c>
      <c r="I2781">
        <v>0</v>
      </c>
      <c r="J2781">
        <v>-380.3279</v>
      </c>
      <c r="K2781">
        <v>1.120668</v>
      </c>
      <c r="L2781">
        <v>283.60629999999998</v>
      </c>
      <c r="M2781">
        <v>-0.99991439999999998</v>
      </c>
      <c r="N2781">
        <v>-1.30657E-2</v>
      </c>
      <c r="O2781">
        <v>-8.1406380000000002E-4</v>
      </c>
      <c r="P2781">
        <v>-0.99684859999999997</v>
      </c>
      <c r="Q2781">
        <v>-7.4371119999999999E-2</v>
      </c>
      <c r="R2781">
        <v>-2.761044E-2</v>
      </c>
      <c r="S2781">
        <v>-3.0104060000000001</v>
      </c>
      <c r="T2781">
        <v>8.5687640000000004E-4</v>
      </c>
      <c r="U2781">
        <v>3.4454350000000002E-2</v>
      </c>
      <c r="V2781">
        <v>-2.6810549999999999E-2</v>
      </c>
      <c r="W2781">
        <v>-6.1334600000000003E-2</v>
      </c>
      <c r="X2781">
        <v>0.99775709999999995</v>
      </c>
      <c r="Y2781">
        <v>1.2258359999999999E-2</v>
      </c>
      <c r="Z2781" s="1">
        <v>6.7475319999999996E-5</v>
      </c>
      <c r="AA2781">
        <v>0.99992479999999995</v>
      </c>
      <c r="AB2781">
        <v>37</v>
      </c>
      <c r="AC2781">
        <v>-3.0104060000000001</v>
      </c>
      <c r="AD2781">
        <v>8.5687640000000004E-4</v>
      </c>
      <c r="AE2781">
        <v>3.4454350000000002E-2</v>
      </c>
      <c r="AF2781">
        <v>3.69052071223177E-2</v>
      </c>
      <c r="AG2781">
        <v>8.5687640000000004E-4</v>
      </c>
      <c r="AH2781">
        <v>3.0103767080355599</v>
      </c>
      <c r="AI2781">
        <v>89.983692502357002</v>
      </c>
      <c r="AJ2781">
        <v>89.297627209518197</v>
      </c>
      <c r="AK2781">
        <v>3.01060303806943</v>
      </c>
      <c r="AL2781">
        <v>93.516420883330696</v>
      </c>
      <c r="AM2781">
        <v>91.539214108283801</v>
      </c>
      <c r="AN2781">
        <v>0.99999998467443596</v>
      </c>
    </row>
    <row r="2782" spans="1:40" x14ac:dyDescent="0.25">
      <c r="A2782" t="str">
        <f>"20190303154151911"</f>
        <v>20190303154151911</v>
      </c>
      <c r="B2782" t="str">
        <f>"1551598911902339"</f>
        <v>1551598911902339</v>
      </c>
      <c r="C2782" t="s">
        <v>40</v>
      </c>
      <c r="D2782">
        <v>4.6430680000000004</v>
      </c>
      <c r="E2782">
        <v>0.47965619999999998</v>
      </c>
      <c r="F2782" t="s">
        <v>54</v>
      </c>
      <c r="G2782">
        <v>0</v>
      </c>
      <c r="H2782">
        <v>0</v>
      </c>
      <c r="I2782">
        <v>0</v>
      </c>
      <c r="J2782">
        <v>-380.68040000000002</v>
      </c>
      <c r="K2782">
        <v>1.120687</v>
      </c>
      <c r="L2782">
        <v>283.60599999999999</v>
      </c>
      <c r="M2782">
        <v>-0.99991410000000003</v>
      </c>
      <c r="N2782">
        <v>-1.308631E-2</v>
      </c>
      <c r="O2782">
        <v>-7.5491259999999896E-4</v>
      </c>
      <c r="P2782">
        <v>-0.99682630000000005</v>
      </c>
      <c r="Q2782">
        <v>-7.4428010000000003E-2</v>
      </c>
      <c r="R2782">
        <v>-2.8249670000000001E-2</v>
      </c>
      <c r="S2782">
        <v>-3.0102540000000002</v>
      </c>
      <c r="T2782">
        <v>3.1423570000000002E-4</v>
      </c>
      <c r="U2782">
        <v>2.6916499999999999E-2</v>
      </c>
      <c r="V2782">
        <v>-2.750843E-2</v>
      </c>
      <c r="W2782">
        <v>-6.1371439999999999E-2</v>
      </c>
      <c r="X2782">
        <v>0.99773590000000001</v>
      </c>
      <c r="Y2782">
        <v>9.6961329999999991E-3</v>
      </c>
      <c r="Z2782" s="1">
        <v>5.2983150000000001E-5</v>
      </c>
      <c r="AA2782">
        <v>0.99995299999999998</v>
      </c>
      <c r="AB2782">
        <v>37</v>
      </c>
      <c r="AC2782">
        <v>-3.0102540000000002</v>
      </c>
      <c r="AD2782">
        <v>3.1423570000000002E-4</v>
      </c>
      <c r="AE2782">
        <v>2.6916499999999999E-2</v>
      </c>
      <c r="AF2782">
        <v>2.9189165259661799E-2</v>
      </c>
      <c r="AG2782">
        <v>3.1423570000000002E-4</v>
      </c>
      <c r="AH2782">
        <v>3.0102327879470598</v>
      </c>
      <c r="AI2782">
        <v>89.994019222361004</v>
      </c>
      <c r="AJ2782">
        <v>89.444440453158194</v>
      </c>
      <c r="AK2782">
        <v>3.0103743195397099</v>
      </c>
      <c r="AL2782">
        <v>93.518535425095607</v>
      </c>
      <c r="AM2782">
        <v>91.579293437564502</v>
      </c>
      <c r="AN2782">
        <v>1.00000004675877</v>
      </c>
    </row>
    <row r="2783" spans="1:40" x14ac:dyDescent="0.25">
      <c r="A2783" t="str">
        <f>"20190303154151933"</f>
        <v>20190303154151933</v>
      </c>
      <c r="B2783" t="str">
        <f>"1551598911921855"</f>
        <v>1551598911921855</v>
      </c>
      <c r="C2783" t="s">
        <v>40</v>
      </c>
      <c r="D2783">
        <v>4.6836869999999999</v>
      </c>
      <c r="E2783">
        <v>0.47363369999999999</v>
      </c>
      <c r="F2783" t="s">
        <v>51</v>
      </c>
      <c r="G2783">
        <v>-427.09109999999998</v>
      </c>
      <c r="H2783" s="1">
        <v>3.1337280000000001E-6</v>
      </c>
      <c r="I2783">
        <v>279.73230000000001</v>
      </c>
      <c r="J2783">
        <v>-381.05290000000002</v>
      </c>
      <c r="K2783">
        <v>1.1207129999999901</v>
      </c>
      <c r="L2783">
        <v>283.60579999999999</v>
      </c>
      <c r="M2783">
        <v>-0.9999133</v>
      </c>
      <c r="N2783">
        <v>-1.3155180000000001E-2</v>
      </c>
      <c r="O2783">
        <v>-6.8855719999999997E-4</v>
      </c>
      <c r="P2783">
        <v>-0.99681410000000004</v>
      </c>
      <c r="Q2783">
        <v>-7.414084E-2</v>
      </c>
      <c r="R2783">
        <v>-2.941413E-2</v>
      </c>
      <c r="S2783">
        <v>-2.9970699999999999</v>
      </c>
      <c r="T2783">
        <v>-7.2370530000000002E-2</v>
      </c>
      <c r="U2783">
        <v>-0.2501526</v>
      </c>
      <c r="V2783">
        <v>-2.873887E-2</v>
      </c>
      <c r="W2783">
        <v>-6.1015819999999998E-2</v>
      </c>
      <c r="X2783">
        <v>0.99772300000000003</v>
      </c>
      <c r="Y2783">
        <v>-8.2453330000000005E-2</v>
      </c>
      <c r="Z2783">
        <v>-1.5295090000000001E-3</v>
      </c>
      <c r="AA2783">
        <v>0.99659379999999997</v>
      </c>
      <c r="AB2783">
        <v>37</v>
      </c>
      <c r="AC2783">
        <v>-46.038199999999897</v>
      </c>
      <c r="AD2783">
        <v>-1.1207098662720001</v>
      </c>
      <c r="AE2783">
        <v>-3.8734999999999702</v>
      </c>
      <c r="AF2783">
        <v>-3.8395371523905202</v>
      </c>
      <c r="AG2783">
        <v>-1.1207098662720001</v>
      </c>
      <c r="AH2783">
        <v>46.013781089388402</v>
      </c>
      <c r="AI2783">
        <v>91.390387768290495</v>
      </c>
      <c r="AJ2783">
        <v>94.769893134642004</v>
      </c>
      <c r="AK2783">
        <v>46.187293558846903</v>
      </c>
      <c r="AL2783">
        <v>93.498121741450404</v>
      </c>
      <c r="AM2783">
        <v>91.649917650713405</v>
      </c>
      <c r="AN2783">
        <v>1.0000000188340701</v>
      </c>
    </row>
    <row r="2784" spans="1:40" x14ac:dyDescent="0.25">
      <c r="A2784" t="str">
        <f>"20190303154151955"</f>
        <v>20190303154151955</v>
      </c>
      <c r="B2784" t="str">
        <f>"1551598911942352"</f>
        <v>1551598911942352</v>
      </c>
      <c r="C2784" t="s">
        <v>40</v>
      </c>
      <c r="D2784">
        <v>4.654814</v>
      </c>
      <c r="E2784">
        <v>0.47125519999999999</v>
      </c>
      <c r="F2784" t="s">
        <v>51</v>
      </c>
      <c r="G2784">
        <v>-411.81479999999999</v>
      </c>
      <c r="H2784" s="1">
        <v>2.8864469999999998E-6</v>
      </c>
      <c r="I2784">
        <v>280.51249999999999</v>
      </c>
      <c r="J2784">
        <v>-381.40839999999997</v>
      </c>
      <c r="K2784">
        <v>1.120743</v>
      </c>
      <c r="L2784">
        <v>283.60559999999998</v>
      </c>
      <c r="M2784">
        <v>-0.99991189999999996</v>
      </c>
      <c r="N2784">
        <v>-1.326987E-2</v>
      </c>
      <c r="O2784">
        <v>-6.2520519999999995E-4</v>
      </c>
      <c r="P2784">
        <v>-0.99674680000000004</v>
      </c>
      <c r="Q2784">
        <v>-7.4918129999999999E-2</v>
      </c>
      <c r="R2784">
        <v>-2.9716570000000001E-2</v>
      </c>
      <c r="S2784">
        <v>-2.992645</v>
      </c>
      <c r="T2784">
        <v>-0.109027</v>
      </c>
      <c r="U2784">
        <v>-0.30093379999999997</v>
      </c>
      <c r="V2784">
        <v>-2.910401E-2</v>
      </c>
      <c r="W2784">
        <v>-6.1679629999999999E-2</v>
      </c>
      <c r="X2784">
        <v>0.99767159999999999</v>
      </c>
      <c r="Y2784">
        <v>-9.9342009999999994E-2</v>
      </c>
      <c r="Z2784">
        <v>-2.4511239999999998E-3</v>
      </c>
      <c r="AA2784">
        <v>0.99505030000000005</v>
      </c>
      <c r="AB2784">
        <v>37</v>
      </c>
      <c r="AC2784">
        <v>-30.406400000000001</v>
      </c>
      <c r="AD2784">
        <v>-1.120740113553</v>
      </c>
      <c r="AE2784">
        <v>-3.09309999999999</v>
      </c>
      <c r="AF2784">
        <v>-3.0699594678705102</v>
      </c>
      <c r="AG2784">
        <v>-1.120740113553</v>
      </c>
      <c r="AH2784">
        <v>30.367494437871201</v>
      </c>
      <c r="AI2784">
        <v>92.102885165177696</v>
      </c>
      <c r="AJ2784">
        <v>95.772624925157402</v>
      </c>
      <c r="AK2784">
        <v>30.542845773939199</v>
      </c>
      <c r="AL2784">
        <v>93.536227018914303</v>
      </c>
      <c r="AM2784">
        <v>91.670954806852905</v>
      </c>
      <c r="AN2784">
        <v>1.00000002080078</v>
      </c>
    </row>
    <row r="2785" spans="1:40" x14ac:dyDescent="0.25">
      <c r="A2785" t="str">
        <f>"20190303154151967"</f>
        <v>20190303154151967</v>
      </c>
      <c r="B2785" t="str">
        <f>"1551598911961871"</f>
        <v>1551598911961871</v>
      </c>
      <c r="C2785" t="s">
        <v>40</v>
      </c>
      <c r="D2785">
        <v>4.666112</v>
      </c>
      <c r="E2785">
        <v>0.46999930000000001</v>
      </c>
      <c r="F2785" t="s">
        <v>51</v>
      </c>
      <c r="G2785">
        <v>-408.23829999999998</v>
      </c>
      <c r="H2785" s="1">
        <v>5.5519400000000004E-6</v>
      </c>
      <c r="I2785">
        <v>280.73</v>
      </c>
      <c r="J2785">
        <v>-381.6155</v>
      </c>
      <c r="K2785">
        <v>1.1207590000000001</v>
      </c>
      <c r="L2785">
        <v>283.60550000000001</v>
      </c>
      <c r="M2785">
        <v>-0.99991079999999999</v>
      </c>
      <c r="N2785">
        <v>-1.3350549999999999E-2</v>
      </c>
      <c r="O2785">
        <v>-5.8949489999999996E-4</v>
      </c>
      <c r="P2785">
        <v>-0.99672400000000005</v>
      </c>
      <c r="Q2785">
        <v>-7.5269299999999997E-2</v>
      </c>
      <c r="R2785">
        <v>-2.9597809999999999E-2</v>
      </c>
      <c r="S2785">
        <v>-2.990875</v>
      </c>
      <c r="T2785">
        <v>-0.1249344</v>
      </c>
      <c r="U2785">
        <v>-0.32055660000000002</v>
      </c>
      <c r="V2785">
        <v>-2.9020750000000001E-2</v>
      </c>
      <c r="W2785">
        <v>-6.1950560000000002E-2</v>
      </c>
      <c r="X2785">
        <v>0.99765720000000002</v>
      </c>
      <c r="Y2785">
        <v>-0.1058612</v>
      </c>
      <c r="Z2785">
        <v>-2.896151E-3</v>
      </c>
      <c r="AA2785">
        <v>0.9943767</v>
      </c>
      <c r="AB2785">
        <v>37</v>
      </c>
      <c r="AC2785">
        <v>-26.622799999999899</v>
      </c>
      <c r="AD2785">
        <v>-1.1207534480600001</v>
      </c>
      <c r="AE2785">
        <v>-2.8754999999999802</v>
      </c>
      <c r="AF2785">
        <v>-2.8548031569059802</v>
      </c>
      <c r="AG2785">
        <v>-1.1207534480600001</v>
      </c>
      <c r="AH2785">
        <v>26.577932353152899</v>
      </c>
      <c r="AI2785">
        <v>92.400856766731593</v>
      </c>
      <c r="AJ2785">
        <v>96.130779314376895</v>
      </c>
      <c r="AK2785">
        <v>26.754298299988999</v>
      </c>
      <c r="AL2785">
        <v>93.551780044291107</v>
      </c>
      <c r="AM2785">
        <v>91.666201316621795</v>
      </c>
      <c r="AN2785">
        <v>0.99999998226335796</v>
      </c>
    </row>
    <row r="2786" spans="1:40" x14ac:dyDescent="0.25">
      <c r="A2786" t="str">
        <f>"20190303154151981"</f>
        <v>20190303154151981</v>
      </c>
      <c r="B2786" t="str">
        <f>"1551598911972608"</f>
        <v>1551598911972608</v>
      </c>
      <c r="C2786" t="s">
        <v>40</v>
      </c>
      <c r="D2786">
        <v>4.6397040000000001</v>
      </c>
      <c r="E2786">
        <v>0.46960010000000002</v>
      </c>
      <c r="F2786" t="s">
        <v>51</v>
      </c>
      <c r="G2786">
        <v>-407.36270000000002</v>
      </c>
      <c r="H2786" s="1">
        <v>5.933645E-6</v>
      </c>
      <c r="I2786">
        <v>280.762</v>
      </c>
      <c r="J2786">
        <v>-381.8331</v>
      </c>
      <c r="K2786">
        <v>1.1207720000000001</v>
      </c>
      <c r="L2786">
        <v>283.60539999999997</v>
      </c>
      <c r="M2786">
        <v>-0.99990959999999995</v>
      </c>
      <c r="N2786">
        <v>-1.3436470000000001E-2</v>
      </c>
      <c r="O2786">
        <v>-5.5274299999999996E-4</v>
      </c>
      <c r="P2786">
        <v>-0.99672110000000003</v>
      </c>
      <c r="Q2786">
        <v>-7.5315770000000004E-2</v>
      </c>
      <c r="R2786">
        <v>-2.957255E-2</v>
      </c>
      <c r="S2786">
        <v>-2.990173</v>
      </c>
      <c r="T2786">
        <v>-0.1301601</v>
      </c>
      <c r="U2786">
        <v>-0.33023069999999999</v>
      </c>
      <c r="V2786">
        <v>-2.903176E-2</v>
      </c>
      <c r="W2786">
        <v>-6.1911309999999997E-2</v>
      </c>
      <c r="X2786">
        <v>0.99765930000000003</v>
      </c>
      <c r="Y2786">
        <v>-0.10908809999999999</v>
      </c>
      <c r="Z2786">
        <v>-3.0849689999999999E-3</v>
      </c>
      <c r="AA2786">
        <v>0.99402729999999995</v>
      </c>
      <c r="AB2786">
        <v>37</v>
      </c>
      <c r="AC2786">
        <v>-25.529599999999999</v>
      </c>
      <c r="AD2786">
        <v>-1.1207660663550001</v>
      </c>
      <c r="AE2786">
        <v>-2.8433999999999702</v>
      </c>
      <c r="AF2786">
        <v>-2.8239112375683</v>
      </c>
      <c r="AG2786">
        <v>-1.1207660663550001</v>
      </c>
      <c r="AH2786">
        <v>25.4826577765377</v>
      </c>
      <c r="AI2786">
        <v>92.503030062179903</v>
      </c>
      <c r="AJ2786">
        <v>96.323544389759803</v>
      </c>
      <c r="AK2786">
        <v>25.663133842329099</v>
      </c>
      <c r="AL2786">
        <v>93.549526917095505</v>
      </c>
      <c r="AM2786">
        <v>91.666829583155902</v>
      </c>
      <c r="AN2786">
        <v>0.99999996613555098</v>
      </c>
    </row>
    <row r="2787" spans="1:40" x14ac:dyDescent="0.25">
      <c r="A2787" t="str">
        <f>"20190303154151994"</f>
        <v>20190303154151994</v>
      </c>
      <c r="B2787" t="str">
        <f>"1551598911982368"</f>
        <v>1551598911982368</v>
      </c>
      <c r="C2787" t="s">
        <v>40</v>
      </c>
      <c r="D2787">
        <v>4.6448700000000001</v>
      </c>
      <c r="E2787">
        <v>0.46930379999999999</v>
      </c>
      <c r="F2787" t="s">
        <v>51</v>
      </c>
      <c r="G2787">
        <v>-407.47899999999998</v>
      </c>
      <c r="H2787" s="1">
        <v>5.8849000000000002E-6</v>
      </c>
      <c r="I2787">
        <v>280.7482</v>
      </c>
      <c r="J2787">
        <v>-382.05040000000002</v>
      </c>
      <c r="K2787">
        <v>1.120787</v>
      </c>
      <c r="L2787">
        <v>283.6053</v>
      </c>
      <c r="M2787">
        <v>-0.99990840000000003</v>
      </c>
      <c r="N2787">
        <v>-1.352278E-2</v>
      </c>
      <c r="O2787">
        <v>-5.1670449999999897E-4</v>
      </c>
      <c r="P2787">
        <v>-0.99669149999999995</v>
      </c>
      <c r="Q2787">
        <v>-7.5824719999999998E-2</v>
      </c>
      <c r="R2787">
        <v>-2.9269E-2</v>
      </c>
      <c r="S2787">
        <v>-2.9900820000000001</v>
      </c>
      <c r="T2787">
        <v>-0.13067129999999999</v>
      </c>
      <c r="U2787">
        <v>-0.33312989999999998</v>
      </c>
      <c r="V2787">
        <v>-2.876507E-2</v>
      </c>
      <c r="W2787">
        <v>-6.2334500000000001E-2</v>
      </c>
      <c r="X2787">
        <v>0.99764070000000005</v>
      </c>
      <c r="Y2787">
        <v>-0.11007690000000001</v>
      </c>
      <c r="Z2787">
        <v>-3.1282430000000002E-3</v>
      </c>
      <c r="AA2787">
        <v>0.99391810000000003</v>
      </c>
      <c r="AB2787">
        <v>36</v>
      </c>
      <c r="AC2787">
        <v>-25.428599999999999</v>
      </c>
      <c r="AD2787">
        <v>-1.1207811151</v>
      </c>
      <c r="AE2787">
        <v>-2.8571</v>
      </c>
      <c r="AF2787">
        <v>-2.8385138241308101</v>
      </c>
      <c r="AG2787">
        <v>-1.1207811151</v>
      </c>
      <c r="AH2787">
        <v>25.381380343187701</v>
      </c>
      <c r="AI2787">
        <v>92.512757833485594</v>
      </c>
      <c r="AJ2787">
        <v>96.381129818563494</v>
      </c>
      <c r="AK2787">
        <v>25.564189389912201</v>
      </c>
      <c r="AL2787">
        <v>93.573820747453198</v>
      </c>
      <c r="AM2787">
        <v>91.651557135526204</v>
      </c>
      <c r="AN2787">
        <v>0.99999999271942197</v>
      </c>
    </row>
    <row r="2788" spans="1:40" x14ac:dyDescent="0.25">
      <c r="A2788" t="str">
        <f>"20190303154152007"</f>
        <v>20190303154152007</v>
      </c>
      <c r="B2788" t="str">
        <f>"1551598912001887"</f>
        <v>1551598912001887</v>
      </c>
      <c r="C2788" t="s">
        <v>40</v>
      </c>
      <c r="D2788">
        <v>4.6391939999999998</v>
      </c>
      <c r="E2788">
        <v>0.46871940000000001</v>
      </c>
      <c r="F2788" t="s">
        <v>51</v>
      </c>
      <c r="G2788">
        <v>-407.16120000000001</v>
      </c>
      <c r="H2788" s="1">
        <v>6.0164770000000003E-6</v>
      </c>
      <c r="I2788">
        <v>280.79349999999999</v>
      </c>
      <c r="J2788">
        <v>-382.2756</v>
      </c>
      <c r="K2788">
        <v>1.120797</v>
      </c>
      <c r="L2788">
        <v>283.6053</v>
      </c>
      <c r="M2788">
        <v>-0.99990730000000005</v>
      </c>
      <c r="N2788">
        <v>-1.3608500000000001E-2</v>
      </c>
      <c r="O2788">
        <v>-4.8018520000000001E-4</v>
      </c>
      <c r="P2788">
        <v>-0.99667539999999999</v>
      </c>
      <c r="Q2788">
        <v>-7.6099520000000004E-2</v>
      </c>
      <c r="R2788">
        <v>-2.9102050000000001E-2</v>
      </c>
      <c r="S2788">
        <v>-2.9899900000000001</v>
      </c>
      <c r="T2788">
        <v>-0.13345360000000001</v>
      </c>
      <c r="U2788">
        <v>-0.3348083</v>
      </c>
      <c r="V2788">
        <v>-2.8634389999999999E-2</v>
      </c>
      <c r="W2788">
        <v>-6.2523919999999997E-2</v>
      </c>
      <c r="X2788">
        <v>0.99763259999999998</v>
      </c>
      <c r="Y2788">
        <v>-0.1106615</v>
      </c>
      <c r="Z2788">
        <v>-3.2016879999999998E-3</v>
      </c>
      <c r="AA2788">
        <v>0.99385299999999999</v>
      </c>
      <c r="AB2788">
        <v>36</v>
      </c>
      <c r="AC2788">
        <v>-24.8856</v>
      </c>
      <c r="AD2788">
        <v>-1.1207909835230001</v>
      </c>
      <c r="AE2788">
        <v>-2.8117999999999999</v>
      </c>
      <c r="AF2788">
        <v>-2.7942524649926801</v>
      </c>
      <c r="AG2788">
        <v>-1.1207909835230001</v>
      </c>
      <c r="AH2788">
        <v>24.837202791208199</v>
      </c>
      <c r="AI2788">
        <v>92.567571670312802</v>
      </c>
      <c r="AJ2788">
        <v>96.418939701602199</v>
      </c>
      <c r="AK2788">
        <v>25.019006010600499</v>
      </c>
      <c r="AL2788">
        <v>93.584694946860395</v>
      </c>
      <c r="AM2788">
        <v>91.644071563301395</v>
      </c>
      <c r="AN2788">
        <v>0.99999998672279899</v>
      </c>
    </row>
    <row r="2789" spans="1:40" x14ac:dyDescent="0.25">
      <c r="A2789" t="str">
        <f>"20190303154152022"</f>
        <v>20190303154152022</v>
      </c>
      <c r="B2789" t="str">
        <f>"1551598912012624"</f>
        <v>1551598912012624</v>
      </c>
      <c r="C2789" t="s">
        <v>40</v>
      </c>
      <c r="D2789">
        <v>4.6306089999999998</v>
      </c>
      <c r="E2789">
        <v>0.46851389999999998</v>
      </c>
      <c r="F2789" t="s">
        <v>51</v>
      </c>
      <c r="G2789">
        <v>-407.06630000000001</v>
      </c>
      <c r="H2789" s="1">
        <v>6.0581230000000001E-6</v>
      </c>
      <c r="I2789">
        <v>280.79570000000001</v>
      </c>
      <c r="J2789">
        <v>-382.50909999999999</v>
      </c>
      <c r="K2789">
        <v>1.120811</v>
      </c>
      <c r="L2789">
        <v>283.60520000000002</v>
      </c>
      <c r="M2789">
        <v>-0.99990619999999997</v>
      </c>
      <c r="N2789">
        <v>-1.3694349999999999E-2</v>
      </c>
      <c r="O2789">
        <v>-4.4235960000000001E-4</v>
      </c>
      <c r="P2789">
        <v>-0.99673750000000005</v>
      </c>
      <c r="Q2789">
        <v>-7.5423229999999994E-2</v>
      </c>
      <c r="R2789">
        <v>-2.873701E-2</v>
      </c>
      <c r="S2789">
        <v>-2.9898069999999999</v>
      </c>
      <c r="T2789">
        <v>-0.1351697</v>
      </c>
      <c r="U2789">
        <v>-0.33883669999999999</v>
      </c>
      <c r="V2789">
        <v>-2.8307490000000001E-2</v>
      </c>
      <c r="W2789">
        <v>-6.1761190000000001E-2</v>
      </c>
      <c r="X2789">
        <v>0.99768939999999995</v>
      </c>
      <c r="Y2789">
        <v>-0.11202280000000001</v>
      </c>
      <c r="Z2789">
        <v>-3.2790699999999998E-3</v>
      </c>
      <c r="AA2789">
        <v>0.99370020000000003</v>
      </c>
      <c r="AB2789">
        <v>36</v>
      </c>
      <c r="AC2789">
        <v>-24.557200000000002</v>
      </c>
      <c r="AD2789">
        <v>-1.1208049418770001</v>
      </c>
      <c r="AE2789">
        <v>-2.8095000000000101</v>
      </c>
      <c r="AF2789">
        <v>-2.7928929861348801</v>
      </c>
      <c r="AG2789">
        <v>-1.1208049418770001</v>
      </c>
      <c r="AH2789">
        <v>24.508048291618099</v>
      </c>
      <c r="AI2789">
        <v>92.601617847157101</v>
      </c>
      <c r="AJ2789">
        <v>96.5012776270719</v>
      </c>
      <c r="AK2789">
        <v>24.692121942312301</v>
      </c>
      <c r="AL2789">
        <v>93.540909244407899</v>
      </c>
      <c r="AM2789">
        <v>91.625219922946599</v>
      </c>
      <c r="AN2789">
        <v>0.99999994872633602</v>
      </c>
    </row>
    <row r="2790" spans="1:40" x14ac:dyDescent="0.25">
      <c r="A2790" t="str">
        <f>"20190303154152057"</f>
        <v>20190303154152057</v>
      </c>
      <c r="B2790" t="str">
        <f>"1551598912052641"</f>
        <v>1551598912052641</v>
      </c>
      <c r="C2790" t="s">
        <v>40</v>
      </c>
      <c r="D2790">
        <v>4.669556</v>
      </c>
      <c r="E2790">
        <v>0.4681401</v>
      </c>
      <c r="F2790" t="s">
        <v>51</v>
      </c>
      <c r="G2790">
        <v>-407.66129999999998</v>
      </c>
      <c r="H2790" s="1">
        <v>5.8033430000000001E-6</v>
      </c>
      <c r="I2790">
        <v>280.75170000000003</v>
      </c>
      <c r="J2790">
        <v>-383.06279999999998</v>
      </c>
      <c r="K2790">
        <v>1.12083</v>
      </c>
      <c r="L2790">
        <v>283.60500000000002</v>
      </c>
      <c r="M2790">
        <v>-0.99990369999999995</v>
      </c>
      <c r="N2790">
        <v>-1.3882139999999999E-2</v>
      </c>
      <c r="O2790">
        <v>-3.5169779999999999E-4</v>
      </c>
      <c r="P2790">
        <v>-0.99686319999999995</v>
      </c>
      <c r="Q2790">
        <v>-7.4209910000000004E-2</v>
      </c>
      <c r="R2790">
        <v>-2.7509760000000001E-2</v>
      </c>
      <c r="S2790">
        <v>-2.98996</v>
      </c>
      <c r="T2790">
        <v>-0.13323560000000001</v>
      </c>
      <c r="U2790">
        <v>-0.33920289999999997</v>
      </c>
      <c r="V2790">
        <v>-2.7170420000000001E-2</v>
      </c>
      <c r="W2790">
        <v>-6.035898E-2</v>
      </c>
      <c r="X2790">
        <v>0.99780679999999999</v>
      </c>
      <c r="Y2790">
        <v>-0.11223030000000001</v>
      </c>
      <c r="Z2790">
        <v>-3.2626069999999998E-3</v>
      </c>
      <c r="AA2790">
        <v>0.99367680000000003</v>
      </c>
      <c r="AB2790">
        <v>36</v>
      </c>
      <c r="AC2790">
        <v>-24.598500000000001</v>
      </c>
      <c r="AD2790">
        <v>-1.1208241966570001</v>
      </c>
      <c r="AE2790">
        <v>-2.8532999999999902</v>
      </c>
      <c r="AF2790">
        <v>-2.83883217195585</v>
      </c>
      <c r="AG2790">
        <v>-1.1208241966570001</v>
      </c>
      <c r="AH2790">
        <v>24.549211001979799</v>
      </c>
      <c r="AI2790">
        <v>92.596812392480302</v>
      </c>
      <c r="AJ2790">
        <v>96.596295570864001</v>
      </c>
      <c r="AK2790">
        <v>24.738208823600601</v>
      </c>
      <c r="AL2790">
        <v>93.460418415097195</v>
      </c>
      <c r="AM2790">
        <v>91.559786722192797</v>
      </c>
      <c r="AN2790">
        <v>0.99999992415792505</v>
      </c>
    </row>
    <row r="2791" spans="1:40" x14ac:dyDescent="0.25">
      <c r="A2791" t="str">
        <f>"20190303154152079"</f>
        <v>20190303154152079</v>
      </c>
      <c r="B2791" t="str">
        <f>"1551598912072540"</f>
        <v>1551598912072540</v>
      </c>
      <c r="C2791" t="s">
        <v>40</v>
      </c>
      <c r="D2791">
        <v>4.6959220000000004</v>
      </c>
      <c r="E2791">
        <v>0.46775810000000001</v>
      </c>
      <c r="F2791" t="s">
        <v>51</v>
      </c>
      <c r="G2791">
        <v>-409.45620000000002</v>
      </c>
      <c r="H2791" s="1">
        <v>5.0350250000000001E-6</v>
      </c>
      <c r="I2791">
        <v>280.61799999999999</v>
      </c>
      <c r="J2791">
        <v>-383.42720000000003</v>
      </c>
      <c r="K2791">
        <v>1.120844</v>
      </c>
      <c r="L2791">
        <v>283.60500000000002</v>
      </c>
      <c r="M2791">
        <v>-0.99990219999999996</v>
      </c>
      <c r="N2791">
        <v>-1.399106E-2</v>
      </c>
      <c r="O2791">
        <v>-2.9033290000000001E-4</v>
      </c>
      <c r="P2791">
        <v>-0.99693290000000001</v>
      </c>
      <c r="Q2791">
        <v>-7.3461199999999893E-2</v>
      </c>
      <c r="R2791">
        <v>-2.6993860000000001E-2</v>
      </c>
      <c r="S2791">
        <v>-2.9906619999999999</v>
      </c>
      <c r="T2791">
        <v>-0.1270019</v>
      </c>
      <c r="U2791">
        <v>-0.33847050000000001</v>
      </c>
      <c r="V2791">
        <v>-2.6715039999999999E-2</v>
      </c>
      <c r="W2791">
        <v>-5.9500740000000003E-2</v>
      </c>
      <c r="X2791">
        <v>0.9978707</v>
      </c>
      <c r="Y2791">
        <v>-0.1120365</v>
      </c>
      <c r="Z2791">
        <v>-3.148769E-3</v>
      </c>
      <c r="AA2791">
        <v>0.99369909999999995</v>
      </c>
      <c r="AB2791">
        <v>36</v>
      </c>
      <c r="AC2791">
        <v>-26.029</v>
      </c>
      <c r="AD2791">
        <v>-1.1208389649749999</v>
      </c>
      <c r="AE2791">
        <v>-2.9870000000000201</v>
      </c>
      <c r="AF2791">
        <v>-2.9739991597906399</v>
      </c>
      <c r="AG2791">
        <v>-1.1208389649749999</v>
      </c>
      <c r="AH2791">
        <v>25.982314366149801</v>
      </c>
      <c r="AI2791">
        <v>92.454120062862202</v>
      </c>
      <c r="AJ2791">
        <v>96.529796773635098</v>
      </c>
      <c r="AK2791">
        <v>26.175973922841401</v>
      </c>
      <c r="AL2791">
        <v>93.411156136057699</v>
      </c>
      <c r="AM2791">
        <v>91.533558909600202</v>
      </c>
      <c r="AN2791">
        <v>0.99999998267061896</v>
      </c>
    </row>
    <row r="2792" spans="1:40" x14ac:dyDescent="0.25">
      <c r="A2792" t="str">
        <f>"20190303154152100"</f>
        <v>20190303154152100</v>
      </c>
      <c r="B2792" t="str">
        <f>"1551598912092060"</f>
        <v>1551598912092060</v>
      </c>
      <c r="C2792" t="s">
        <v>40</v>
      </c>
      <c r="D2792">
        <v>4.7312159999999999</v>
      </c>
      <c r="E2792">
        <v>0.46742909999999999</v>
      </c>
      <c r="F2792" t="s">
        <v>51</v>
      </c>
      <c r="G2792">
        <v>-410.89640000000003</v>
      </c>
      <c r="H2792" s="1">
        <v>2.7262829999999998E-6</v>
      </c>
      <c r="I2792">
        <v>280.48090000000002</v>
      </c>
      <c r="J2792">
        <v>-383.77480000000003</v>
      </c>
      <c r="K2792">
        <v>1.120849</v>
      </c>
      <c r="L2792">
        <v>283.60500000000002</v>
      </c>
      <c r="M2792">
        <v>-0.99990089999999998</v>
      </c>
      <c r="N2792">
        <v>-1.40845E-2</v>
      </c>
      <c r="O2792">
        <v>-2.3101710000000001E-4</v>
      </c>
      <c r="P2792">
        <v>-0.99694400000000005</v>
      </c>
      <c r="Q2792">
        <v>-7.3493619999999996E-2</v>
      </c>
      <c r="R2792">
        <v>-2.6487170000000001E-2</v>
      </c>
      <c r="S2792">
        <v>-2.991028</v>
      </c>
      <c r="T2792">
        <v>-0.122044899999999</v>
      </c>
      <c r="U2792">
        <v>-0.34017940000000002</v>
      </c>
      <c r="V2792">
        <v>-2.6267849999999999E-2</v>
      </c>
      <c r="W2792">
        <v>-5.9439850000000002E-2</v>
      </c>
      <c r="X2792">
        <v>0.99788619999999995</v>
      </c>
      <c r="Y2792">
        <v>-0.112650399999999</v>
      </c>
      <c r="Z2792">
        <v>-3.080139E-3</v>
      </c>
      <c r="AA2792">
        <v>0.99362989999999995</v>
      </c>
      <c r="AB2792">
        <v>36</v>
      </c>
      <c r="AC2792">
        <v>-27.121600000000001</v>
      </c>
      <c r="AD2792">
        <v>-1.120846273717</v>
      </c>
      <c r="AE2792">
        <v>-3.1240999999999901</v>
      </c>
      <c r="AF2792">
        <v>-3.1125873770228298</v>
      </c>
      <c r="AG2792">
        <v>-1.120846273717</v>
      </c>
      <c r="AH2792">
        <v>27.076682455354302</v>
      </c>
      <c r="AI2792">
        <v>92.3549293125579</v>
      </c>
      <c r="AJ2792">
        <v>96.557625301918705</v>
      </c>
      <c r="AK2792">
        <v>27.278035657594501</v>
      </c>
      <c r="AL2792">
        <v>93.407661212750895</v>
      </c>
      <c r="AM2792">
        <v>91.507876809798404</v>
      </c>
      <c r="AN2792">
        <v>0.999999981931042</v>
      </c>
    </row>
    <row r="2793" spans="1:40" x14ac:dyDescent="0.25">
      <c r="A2793" t="str">
        <f>"20190303154152124"</f>
        <v>20190303154152124</v>
      </c>
      <c r="B2793" t="str">
        <f>"1551598912112557"</f>
        <v>1551598912112557</v>
      </c>
      <c r="C2793" t="s">
        <v>40</v>
      </c>
      <c r="D2793">
        <v>4.7874439999999998</v>
      </c>
      <c r="E2793">
        <v>0.46704210000000002</v>
      </c>
      <c r="F2793" t="s">
        <v>51</v>
      </c>
      <c r="G2793">
        <v>-411.34480000000002</v>
      </c>
      <c r="H2793" s="1">
        <v>2.8077569999999999E-6</v>
      </c>
      <c r="I2793">
        <v>280.4588</v>
      </c>
      <c r="J2793">
        <v>-384.14139999999998</v>
      </c>
      <c r="K2793">
        <v>1.1208560000000001</v>
      </c>
      <c r="L2793">
        <v>283.60489999999999</v>
      </c>
      <c r="M2793">
        <v>-0.99989950000000005</v>
      </c>
      <c r="N2793">
        <v>-1.417188E-2</v>
      </c>
      <c r="O2793">
        <v>-1.6820769999999999E-4</v>
      </c>
      <c r="P2793">
        <v>-0.99693390000000004</v>
      </c>
      <c r="Q2793">
        <v>-7.3636010000000002E-2</v>
      </c>
      <c r="R2793">
        <v>-2.646099E-2</v>
      </c>
      <c r="S2793">
        <v>-2.9911500000000002</v>
      </c>
      <c r="T2793">
        <v>-0.1216038</v>
      </c>
      <c r="U2793">
        <v>-0.34133909999999901</v>
      </c>
      <c r="V2793">
        <v>-2.630441E-2</v>
      </c>
      <c r="W2793">
        <v>-5.9495180000000002E-2</v>
      </c>
      <c r="X2793">
        <v>0.99788189999999999</v>
      </c>
      <c r="Y2793">
        <v>-0.1130887</v>
      </c>
      <c r="Z2793">
        <v>-3.0903879999999999E-3</v>
      </c>
      <c r="AA2793">
        <v>0.99358009999999997</v>
      </c>
      <c r="AB2793">
        <v>36</v>
      </c>
      <c r="AC2793">
        <v>-27.203399999999998</v>
      </c>
      <c r="AD2793">
        <v>-1.1208531922429901</v>
      </c>
      <c r="AE2793">
        <v>-3.1460999999999899</v>
      </c>
      <c r="AF2793">
        <v>-3.1362696239096501</v>
      </c>
      <c r="AG2793">
        <v>-1.1208531922429901</v>
      </c>
      <c r="AH2793">
        <v>27.158431576810901</v>
      </c>
      <c r="AI2793">
        <v>92.347722941247397</v>
      </c>
      <c r="AJ2793">
        <v>96.587366961056901</v>
      </c>
      <c r="AK2793">
        <v>27.361887813978399</v>
      </c>
      <c r="AL2793">
        <v>93.410837143715696</v>
      </c>
      <c r="AM2793">
        <v>91.509981028798705</v>
      </c>
      <c r="AN2793">
        <v>0.99999994238814305</v>
      </c>
    </row>
    <row r="2794" spans="1:40" x14ac:dyDescent="0.25">
      <c r="A2794" t="str">
        <f>"20190303154152144"</f>
        <v>20190303154152144</v>
      </c>
      <c r="B2794" t="str">
        <f>"1551598912141836"</f>
        <v>1551598912141836</v>
      </c>
      <c r="C2794" t="s">
        <v>40</v>
      </c>
      <c r="D2794">
        <v>4.9526579999999996</v>
      </c>
      <c r="E2794">
        <v>0.4897918</v>
      </c>
      <c r="F2794" t="s">
        <v>51</v>
      </c>
      <c r="G2794">
        <v>-411.45870000000002</v>
      </c>
      <c r="H2794" s="1">
        <v>2.8276549999999999E-6</v>
      </c>
      <c r="I2794">
        <v>280.4624</v>
      </c>
      <c r="J2794">
        <v>-384.48899999999998</v>
      </c>
      <c r="K2794">
        <v>1.120859</v>
      </c>
      <c r="L2794">
        <v>283.60500000000002</v>
      </c>
      <c r="M2794">
        <v>-0.99989870000000003</v>
      </c>
      <c r="N2794">
        <v>-1.424505E-2</v>
      </c>
      <c r="O2794">
        <v>-1.092359E-4</v>
      </c>
      <c r="P2794">
        <v>-0.99693359999999998</v>
      </c>
      <c r="Q2794">
        <v>-7.3758359999999995E-2</v>
      </c>
      <c r="R2794">
        <v>-2.6140969999999999E-2</v>
      </c>
      <c r="S2794">
        <v>-2.9910580000000002</v>
      </c>
      <c r="T2794">
        <v>-0.12272569999999999</v>
      </c>
      <c r="U2794">
        <v>-0.34408569999999999</v>
      </c>
      <c r="V2794">
        <v>-2.604358E-2</v>
      </c>
      <c r="W2794">
        <v>-5.9544560000000003E-2</v>
      </c>
      <c r="X2794">
        <v>0.99788589999999999</v>
      </c>
      <c r="Y2794">
        <v>-0.11404789999999999</v>
      </c>
      <c r="Z2794">
        <v>-3.1436429999999998E-3</v>
      </c>
      <c r="AA2794">
        <v>0.99347030000000003</v>
      </c>
      <c r="AB2794">
        <v>36</v>
      </c>
      <c r="AC2794">
        <v>-26.9696999999999</v>
      </c>
      <c r="AD2794">
        <v>-1.1208561723449999</v>
      </c>
      <c r="AE2794">
        <v>-3.1426000000000101</v>
      </c>
      <c r="AF2794">
        <v>-3.1343124976964498</v>
      </c>
      <c r="AG2794">
        <v>-1.1208561723449999</v>
      </c>
      <c r="AH2794">
        <v>26.9241621772426</v>
      </c>
      <c r="AI2794">
        <v>92.367881567368102</v>
      </c>
      <c r="AJ2794">
        <v>96.640064783107107</v>
      </c>
      <c r="AK2794">
        <v>27.129149311004198</v>
      </c>
      <c r="AL2794">
        <v>93.413671080033197</v>
      </c>
      <c r="AM2794">
        <v>91.495009156026498</v>
      </c>
      <c r="AN2794">
        <v>1.0000000460517999</v>
      </c>
    </row>
    <row r="2795" spans="1:40" x14ac:dyDescent="0.25">
      <c r="A2795" t="str">
        <f>"20190303154152168"</f>
        <v>20190303154152168</v>
      </c>
      <c r="B2795" t="str">
        <f>"1551598912162332"</f>
        <v>1551598912162332</v>
      </c>
      <c r="C2795" t="s">
        <v>40</v>
      </c>
      <c r="D2795">
        <v>4.8788390000000001</v>
      </c>
      <c r="E2795">
        <v>0.50576160000000003</v>
      </c>
      <c r="F2795" t="s">
        <v>51</v>
      </c>
      <c r="G2795">
        <v>-423.38639999999998</v>
      </c>
      <c r="H2795" s="1">
        <v>3.6365849999999998E-6</v>
      </c>
      <c r="I2795">
        <v>281.4973</v>
      </c>
      <c r="J2795">
        <v>-384.86149999999998</v>
      </c>
      <c r="K2795">
        <v>1.120857</v>
      </c>
      <c r="L2795">
        <v>283.60500000000002</v>
      </c>
      <c r="M2795">
        <v>-0.99989760000000005</v>
      </c>
      <c r="N2795">
        <v>-1.43135E-2</v>
      </c>
      <c r="O2795" s="1">
        <v>-4.5644040000000001E-5</v>
      </c>
      <c r="P2795">
        <v>-0.99684379999999995</v>
      </c>
      <c r="Q2795">
        <v>-7.4865929999999997E-2</v>
      </c>
      <c r="R2795">
        <v>-2.6416889999999998E-2</v>
      </c>
      <c r="S2795">
        <v>-2.9985659999999998</v>
      </c>
      <c r="T2795">
        <v>-8.6405869999999996E-2</v>
      </c>
      <c r="U2795">
        <v>-0.1624756</v>
      </c>
      <c r="V2795">
        <v>-2.6383090000000001E-2</v>
      </c>
      <c r="W2795">
        <v>-6.0584939999999997E-2</v>
      </c>
      <c r="X2795">
        <v>0.99781430000000004</v>
      </c>
      <c r="Y2795">
        <v>-5.4025999999999998E-2</v>
      </c>
      <c r="Z2795">
        <v>-1.1640800000000001E-3</v>
      </c>
      <c r="AA2795">
        <v>0.99853890000000001</v>
      </c>
      <c r="AB2795">
        <v>36</v>
      </c>
      <c r="AC2795">
        <v>-38.524900000000002</v>
      </c>
      <c r="AD2795">
        <v>-1.120853363415</v>
      </c>
      <c r="AE2795">
        <v>-2.1077000000000199</v>
      </c>
      <c r="AF2795">
        <v>-2.1041655756987399</v>
      </c>
      <c r="AG2795">
        <v>-1.120853363415</v>
      </c>
      <c r="AH2795">
        <v>38.492510430253397</v>
      </c>
      <c r="AI2795">
        <v>91.665424508753304</v>
      </c>
      <c r="AJ2795">
        <v>93.128918727701105</v>
      </c>
      <c r="AK2795">
        <v>38.566270032962699</v>
      </c>
      <c r="AL2795">
        <v>93.473388479013806</v>
      </c>
      <c r="AM2795">
        <v>91.514598039509096</v>
      </c>
      <c r="AN2795">
        <v>0.99999998983862004</v>
      </c>
    </row>
    <row r="2796" spans="1:40" x14ac:dyDescent="0.25">
      <c r="A2796" t="str">
        <f>"20190303154152190"</f>
        <v>20190303154152190</v>
      </c>
      <c r="B2796" t="str">
        <f>"1551598912181855"</f>
        <v>1551598912181855</v>
      </c>
      <c r="C2796" t="s">
        <v>40</v>
      </c>
      <c r="D2796">
        <v>4.8926049999999996</v>
      </c>
      <c r="E2796">
        <v>0.51277109999999904</v>
      </c>
      <c r="F2796" t="s">
        <v>51</v>
      </c>
      <c r="G2796">
        <v>-415.82459999999998</v>
      </c>
      <c r="H2796" s="1">
        <v>3.3595070000000002E-6</v>
      </c>
      <c r="I2796">
        <v>283.23719999999997</v>
      </c>
      <c r="J2796">
        <v>-385.22300000000001</v>
      </c>
      <c r="K2796">
        <v>1.1208530000000001</v>
      </c>
      <c r="L2796">
        <v>283.60500000000002</v>
      </c>
      <c r="M2796">
        <v>-0.99989680000000003</v>
      </c>
      <c r="N2796">
        <v>-1.4371180000000001E-2</v>
      </c>
      <c r="O2796" s="1">
        <v>1.5521170000000001E-5</v>
      </c>
      <c r="P2796">
        <v>-0.99677610000000005</v>
      </c>
      <c r="Q2796">
        <v>-7.5689140000000002E-2</v>
      </c>
      <c r="R2796">
        <v>-2.6622719999999999E-2</v>
      </c>
      <c r="S2796">
        <v>-3.000397</v>
      </c>
      <c r="T2796">
        <v>-0.1086136</v>
      </c>
      <c r="U2796">
        <v>-3.5644530000000001E-2</v>
      </c>
      <c r="V2796">
        <v>-2.6649719999999998E-2</v>
      </c>
      <c r="W2796">
        <v>-6.1351429999999998E-2</v>
      </c>
      <c r="X2796">
        <v>0.99776039999999999</v>
      </c>
      <c r="Y2796">
        <v>-1.188374E-2</v>
      </c>
      <c r="Z2796">
        <v>-3.0079320000000001E-4</v>
      </c>
      <c r="AA2796">
        <v>0.99992939999999997</v>
      </c>
      <c r="AB2796">
        <v>36</v>
      </c>
      <c r="AC2796">
        <v>-30.601599999999902</v>
      </c>
      <c r="AD2796">
        <v>-1.120849640493</v>
      </c>
      <c r="AE2796">
        <v>-0.36780000000004498</v>
      </c>
      <c r="AF2796">
        <v>-0.36778169581854497</v>
      </c>
      <c r="AG2796">
        <v>-1.120849640493</v>
      </c>
      <c r="AH2796">
        <v>30.560601672955201</v>
      </c>
      <c r="AI2796">
        <v>92.100303485173399</v>
      </c>
      <c r="AJ2796">
        <v>90.689493026646204</v>
      </c>
      <c r="AK2796">
        <v>30.583360539767401</v>
      </c>
      <c r="AL2796">
        <v>93.517386899178106</v>
      </c>
      <c r="AM2796">
        <v>91.529980079470903</v>
      </c>
      <c r="AN2796">
        <v>1.00000001067364</v>
      </c>
    </row>
    <row r="2797" spans="1:40" x14ac:dyDescent="0.25">
      <c r="A2797" t="str">
        <f>"20190303154152213"</f>
        <v>20190303154152213</v>
      </c>
      <c r="B2797" t="str">
        <f>"1551598912202348"</f>
        <v>1551598912202348</v>
      </c>
      <c r="C2797" t="s">
        <v>40</v>
      </c>
      <c r="D2797">
        <v>4.9033199999999999</v>
      </c>
      <c r="E2797">
        <v>0.51615859999999902</v>
      </c>
      <c r="F2797" t="s">
        <v>51</v>
      </c>
      <c r="G2797">
        <v>-414.57900000000001</v>
      </c>
      <c r="H2797" s="1">
        <v>3.089529E-6</v>
      </c>
      <c r="I2797">
        <v>283.79809999999998</v>
      </c>
      <c r="J2797">
        <v>-385.58530000000002</v>
      </c>
      <c r="K2797">
        <v>1.1208469999999999</v>
      </c>
      <c r="L2797">
        <v>283.60509999999999</v>
      </c>
      <c r="M2797">
        <v>-0.99989600000000001</v>
      </c>
      <c r="N2797">
        <v>-1.442128E-2</v>
      </c>
      <c r="O2797" s="1">
        <v>7.6675859999999999E-5</v>
      </c>
      <c r="P2797">
        <v>-0.9967317</v>
      </c>
      <c r="Q2797">
        <v>-7.6296589999999997E-2</v>
      </c>
      <c r="R2797">
        <v>-2.654693E-2</v>
      </c>
      <c r="S2797">
        <v>-3.0014949999999998</v>
      </c>
      <c r="T2797">
        <v>-0.11460090000000001</v>
      </c>
      <c r="U2797">
        <v>1.9744870000000001E-2</v>
      </c>
      <c r="V2797">
        <v>-2.663548E-2</v>
      </c>
      <c r="W2797">
        <v>-6.1909489999999998E-2</v>
      </c>
      <c r="X2797">
        <v>0.99772629999999995</v>
      </c>
      <c r="Y2797">
        <v>6.4950229999999999E-3</v>
      </c>
      <c r="Z2797">
        <v>1.6898640000000001E-4</v>
      </c>
      <c r="AA2797">
        <v>0.9999789</v>
      </c>
      <c r="AB2797">
        <v>36</v>
      </c>
      <c r="AC2797">
        <v>-28.993699999999901</v>
      </c>
      <c r="AD2797">
        <v>-1.120843910471</v>
      </c>
      <c r="AE2797">
        <v>0.19299999999998299</v>
      </c>
      <c r="AF2797">
        <v>0.190491982149737</v>
      </c>
      <c r="AG2797">
        <v>-1.120843910471</v>
      </c>
      <c r="AH2797">
        <v>28.950451469950799</v>
      </c>
      <c r="AI2797">
        <v>92.217104613852996</v>
      </c>
      <c r="AJ2797">
        <v>89.623003146977197</v>
      </c>
      <c r="AK2797">
        <v>28.972766843725498</v>
      </c>
      <c r="AL2797">
        <v>93.549422311853803</v>
      </c>
      <c r="AM2797">
        <v>91.529215177305304</v>
      </c>
      <c r="AN2797">
        <v>1.00000000172929</v>
      </c>
    </row>
    <row r="2798" spans="1:40" x14ac:dyDescent="0.25">
      <c r="A2798" t="str">
        <f>"20190303154152234"</f>
        <v>20190303154152234</v>
      </c>
      <c r="B2798" t="str">
        <f>"1551598912221869"</f>
        <v>1551598912221869</v>
      </c>
      <c r="C2798" t="s">
        <v>40</v>
      </c>
      <c r="D2798">
        <v>4.9437490000000004</v>
      </c>
      <c r="E2798">
        <v>0.51832739999999999</v>
      </c>
      <c r="F2798" t="s">
        <v>51</v>
      </c>
      <c r="G2798">
        <v>-414.46350000000001</v>
      </c>
      <c r="H2798" s="1">
        <v>3.046265E-6</v>
      </c>
      <c r="I2798">
        <v>284.05860000000001</v>
      </c>
      <c r="J2798">
        <v>-385.93349999999998</v>
      </c>
      <c r="K2798">
        <v>1.1208450000000001</v>
      </c>
      <c r="L2798">
        <v>283.60520000000002</v>
      </c>
      <c r="M2798">
        <v>-0.99989550000000005</v>
      </c>
      <c r="N2798">
        <v>-1.446277E-2</v>
      </c>
      <c r="O2798">
        <v>1.3621400000000001E-4</v>
      </c>
      <c r="P2798">
        <v>-0.99670959999999997</v>
      </c>
      <c r="Q2798">
        <v>-7.6725470000000004E-2</v>
      </c>
      <c r="R2798">
        <v>-2.6136070000000001E-2</v>
      </c>
      <c r="S2798">
        <v>-3.0021059999999999</v>
      </c>
      <c r="T2798">
        <v>-0.1165202</v>
      </c>
      <c r="U2798">
        <v>4.7149660000000003E-2</v>
      </c>
      <c r="V2798">
        <v>-2.6283250000000001E-2</v>
      </c>
      <c r="W2798">
        <v>-6.2297350000000001E-2</v>
      </c>
      <c r="X2798">
        <v>0.99771149999999997</v>
      </c>
      <c r="Y2798">
        <v>1.555135E-2</v>
      </c>
      <c r="Z2798">
        <v>4.108774E-4</v>
      </c>
      <c r="AA2798">
        <v>0.99987899999999996</v>
      </c>
      <c r="AB2798">
        <v>36</v>
      </c>
      <c r="AC2798">
        <v>-28.53</v>
      </c>
      <c r="AD2798">
        <v>-1.1208419537350001</v>
      </c>
      <c r="AE2798">
        <v>0.45339999999998698</v>
      </c>
      <c r="AF2798">
        <v>0.44882085833971602</v>
      </c>
      <c r="AG2798">
        <v>-1.1208419537350001</v>
      </c>
      <c r="AH2798">
        <v>28.4861064655184</v>
      </c>
      <c r="AI2798">
        <v>92.252973596033598</v>
      </c>
      <c r="AJ2798">
        <v>89.097334928054593</v>
      </c>
      <c r="AK2798">
        <v>28.511681613208701</v>
      </c>
      <c r="AL2798">
        <v>93.5716880270366</v>
      </c>
      <c r="AM2798">
        <v>91.509024484129895</v>
      </c>
      <c r="AN2798">
        <v>1.0000000031399101</v>
      </c>
    </row>
    <row r="2799" spans="1:40" x14ac:dyDescent="0.25">
      <c r="A2799" t="str">
        <f>"20190303154152257"</f>
        <v>20190303154152257</v>
      </c>
      <c r="B2799" t="str">
        <f>"1551598912252124"</f>
        <v>1551598912252124</v>
      </c>
      <c r="C2799" t="s">
        <v>40</v>
      </c>
      <c r="D2799">
        <v>5.0286900000000001</v>
      </c>
      <c r="E2799">
        <v>0.51836340000000003</v>
      </c>
      <c r="F2799" t="s">
        <v>51</v>
      </c>
      <c r="G2799">
        <v>-414.3562</v>
      </c>
      <c r="H2799" s="1">
        <v>3.0126990000000002E-6</v>
      </c>
      <c r="I2799">
        <v>284.22480000000002</v>
      </c>
      <c r="J2799">
        <v>-386.30900000000003</v>
      </c>
      <c r="K2799">
        <v>1.1208499999999999</v>
      </c>
      <c r="L2799">
        <v>283.6053</v>
      </c>
      <c r="M2799">
        <v>-0.99989479999999997</v>
      </c>
      <c r="N2799">
        <v>-1.4500880000000001E-2</v>
      </c>
      <c r="O2799">
        <v>2.004861E-4</v>
      </c>
      <c r="P2799">
        <v>-0.99668120000000004</v>
      </c>
      <c r="Q2799">
        <v>-7.7194390000000002E-2</v>
      </c>
      <c r="R2799">
        <v>-2.5842759999999999E-2</v>
      </c>
      <c r="S2799">
        <v>-3.0025019999999998</v>
      </c>
      <c r="T2799">
        <v>-0.1184027</v>
      </c>
      <c r="U2799">
        <v>6.5460210000000005E-2</v>
      </c>
      <c r="V2799">
        <v>-2.6054190000000001E-2</v>
      </c>
      <c r="W2799">
        <v>-6.2728679999999995E-2</v>
      </c>
      <c r="X2799">
        <v>0.99769050000000004</v>
      </c>
      <c r="Y2799">
        <v>2.157338E-2</v>
      </c>
      <c r="Z2799">
        <v>5.766845E-4</v>
      </c>
      <c r="AA2799">
        <v>0.99976710000000002</v>
      </c>
      <c r="AB2799">
        <v>36</v>
      </c>
      <c r="AC2799">
        <v>-28.047199999999901</v>
      </c>
      <c r="AD2799">
        <v>-1.1208469873010001</v>
      </c>
      <c r="AE2799">
        <v>0.61950000000001604</v>
      </c>
      <c r="AF2799">
        <v>0.61289798188178202</v>
      </c>
      <c r="AG2799">
        <v>-1.1208469873010001</v>
      </c>
      <c r="AH2799">
        <v>28.002624368912901</v>
      </c>
      <c r="AI2799">
        <v>92.291577600627207</v>
      </c>
      <c r="AJ2799">
        <v>88.746158171002605</v>
      </c>
      <c r="AK2799">
        <v>28.031748312432601</v>
      </c>
      <c r="AL2799">
        <v>93.596449782024607</v>
      </c>
      <c r="AM2799">
        <v>91.495910724472594</v>
      </c>
      <c r="AN2799">
        <v>1.0000000209506701</v>
      </c>
    </row>
    <row r="2800" spans="1:40" x14ac:dyDescent="0.25">
      <c r="A2800" t="str">
        <f>"20190303154152280"</f>
        <v>20190303154152280</v>
      </c>
      <c r="B2800" t="str">
        <f>"1551598912272621"</f>
        <v>1551598912272621</v>
      </c>
      <c r="C2800" t="s">
        <v>40</v>
      </c>
      <c r="D2800">
        <v>5.0116579999999997</v>
      </c>
      <c r="E2800">
        <v>0.51931329999999998</v>
      </c>
      <c r="F2800" t="s">
        <v>51</v>
      </c>
      <c r="G2800">
        <v>-412.76429999999999</v>
      </c>
      <c r="H2800" s="1">
        <v>2.7329920000000001E-6</v>
      </c>
      <c r="I2800">
        <v>284.1943</v>
      </c>
      <c r="J2800">
        <v>-386.6671</v>
      </c>
      <c r="K2800">
        <v>1.1208499999999999</v>
      </c>
      <c r="L2800">
        <v>283.60539999999997</v>
      </c>
      <c r="M2800">
        <v>-0.99989439999999996</v>
      </c>
      <c r="N2800">
        <v>-1.4531479999999999E-2</v>
      </c>
      <c r="O2800">
        <v>2.6165370000000001E-4</v>
      </c>
      <c r="P2800">
        <v>-0.99673279999999997</v>
      </c>
      <c r="Q2800">
        <v>-7.6613029999999999E-2</v>
      </c>
      <c r="R2800">
        <v>-2.5582799999999999E-2</v>
      </c>
      <c r="S2800">
        <v>-3.0018919999999998</v>
      </c>
      <c r="T2800">
        <v>-0.12718299999999999</v>
      </c>
      <c r="U2800">
        <v>6.6833500000000004E-2</v>
      </c>
      <c r="V2800">
        <v>-2.5855369999999999E-2</v>
      </c>
      <c r="W2800">
        <v>-6.211618E-2</v>
      </c>
      <c r="X2800">
        <v>0.99773400000000001</v>
      </c>
      <c r="Y2800">
        <v>2.197029E-2</v>
      </c>
      <c r="Z2800">
        <v>6.1762429999999999E-4</v>
      </c>
      <c r="AA2800">
        <v>0.99975840000000005</v>
      </c>
      <c r="AB2800">
        <v>36</v>
      </c>
      <c r="AC2800">
        <v>-26.097199999999901</v>
      </c>
      <c r="AD2800">
        <v>-1.1208472670080001</v>
      </c>
      <c r="AE2800">
        <v>0.58890000000002296</v>
      </c>
      <c r="AF2800">
        <v>0.58099965644260698</v>
      </c>
      <c r="AG2800">
        <v>-1.1208472670080001</v>
      </c>
      <c r="AH2800">
        <v>26.0493267634244</v>
      </c>
      <c r="AI2800">
        <v>92.463184262461596</v>
      </c>
      <c r="AJ2800">
        <v>88.722296733380801</v>
      </c>
      <c r="AK2800">
        <v>26.079901917461299</v>
      </c>
      <c r="AL2800">
        <v>93.561287521633503</v>
      </c>
      <c r="AM2800">
        <v>91.4844358365863</v>
      </c>
      <c r="AN2800">
        <v>1.0000000273658101</v>
      </c>
    </row>
    <row r="2801" spans="1:40" x14ac:dyDescent="0.25">
      <c r="A2801" t="str">
        <f>"20190303154152302"</f>
        <v>20190303154152302</v>
      </c>
      <c r="B2801" t="str">
        <f>"1551598912292140"</f>
        <v>1551598912292140</v>
      </c>
      <c r="C2801" t="s">
        <v>40</v>
      </c>
      <c r="D2801">
        <v>4.9911399999999997</v>
      </c>
      <c r="E2801">
        <v>0.5200321</v>
      </c>
      <c r="F2801" t="s">
        <v>51</v>
      </c>
      <c r="G2801">
        <v>-413.74299999999999</v>
      </c>
      <c r="H2801" s="1">
        <v>2.8988250000000002E-6</v>
      </c>
      <c r="I2801">
        <v>284.28309999999999</v>
      </c>
      <c r="J2801">
        <v>-387.01729999999998</v>
      </c>
      <c r="K2801">
        <v>1.120851</v>
      </c>
      <c r="L2801">
        <v>283.60559999999998</v>
      </c>
      <c r="M2801">
        <v>-0.99989399999999995</v>
      </c>
      <c r="N2801">
        <v>-1.455706E-2</v>
      </c>
      <c r="O2801">
        <v>3.2142770000000002E-4</v>
      </c>
      <c r="P2801">
        <v>-0.99675639999999999</v>
      </c>
      <c r="Q2801">
        <v>-7.6368279999999997E-2</v>
      </c>
      <c r="R2801">
        <v>-2.5388830000000001E-2</v>
      </c>
      <c r="S2801">
        <v>-3.0021969999999998</v>
      </c>
      <c r="T2801">
        <v>-0.12428069999999999</v>
      </c>
      <c r="U2801">
        <v>7.5134279999999998E-2</v>
      </c>
      <c r="V2801">
        <v>-2.5720690000000001E-2</v>
      </c>
      <c r="W2801">
        <v>-6.1845629999999999E-2</v>
      </c>
      <c r="X2801">
        <v>0.99775429999999998</v>
      </c>
      <c r="Y2801">
        <v>2.4668809999999999E-2</v>
      </c>
      <c r="Z2801">
        <v>6.8137690000000001E-4</v>
      </c>
      <c r="AA2801">
        <v>0.99969540000000001</v>
      </c>
      <c r="AB2801">
        <v>36</v>
      </c>
      <c r="AC2801">
        <v>-26.7257</v>
      </c>
      <c r="AD2801">
        <v>-1.120848101175</v>
      </c>
      <c r="AE2801">
        <v>0.67750000000000898</v>
      </c>
      <c r="AF2801">
        <v>0.66773496541043997</v>
      </c>
      <c r="AG2801">
        <v>-1.120848101175</v>
      </c>
      <c r="AH2801">
        <v>26.679021442075602</v>
      </c>
      <c r="AI2801">
        <v>92.404962742926699</v>
      </c>
      <c r="AJ2801">
        <v>88.566273887685</v>
      </c>
      <c r="AK2801">
        <v>26.710903308511799</v>
      </c>
      <c r="AL2801">
        <v>93.545756244407499</v>
      </c>
      <c r="AM2801">
        <v>91.476676847481201</v>
      </c>
      <c r="AN2801">
        <v>1.00000003950633</v>
      </c>
    </row>
    <row r="2802" spans="1:40" x14ac:dyDescent="0.25">
      <c r="A2802" t="str">
        <f>"20190303154152324"</f>
        <v>20190303154152324</v>
      </c>
      <c r="B2802" t="str">
        <f>"1551598912312636"</f>
        <v>1551598912312636</v>
      </c>
      <c r="C2802" t="s">
        <v>40</v>
      </c>
      <c r="D2802">
        <v>5.0127030000000001</v>
      </c>
      <c r="E2802">
        <v>0.52056859999999905</v>
      </c>
      <c r="F2802" t="s">
        <v>51</v>
      </c>
      <c r="G2802">
        <v>-414.36360000000002</v>
      </c>
      <c r="H2802" s="1">
        <v>3.0033379999999999E-6</v>
      </c>
      <c r="I2802">
        <v>284.34690000000001</v>
      </c>
      <c r="J2802">
        <v>-387.37049999999999</v>
      </c>
      <c r="K2802">
        <v>1.1208560000000001</v>
      </c>
      <c r="L2802">
        <v>283.60579999999999</v>
      </c>
      <c r="M2802">
        <v>-0.99989360000000005</v>
      </c>
      <c r="N2802">
        <v>-1.4578900000000001E-2</v>
      </c>
      <c r="O2802">
        <v>3.8146959999999999E-4</v>
      </c>
      <c r="P2802">
        <v>-0.99680380000000002</v>
      </c>
      <c r="Q2802">
        <v>-7.5907169999999996E-2</v>
      </c>
      <c r="R2802">
        <v>-2.4905710000000001E-2</v>
      </c>
      <c r="S2802">
        <v>-3.0024410000000001</v>
      </c>
      <c r="T2802">
        <v>-0.1230618</v>
      </c>
      <c r="U2802">
        <v>8.1390379999999998E-2</v>
      </c>
      <c r="V2802">
        <v>-2.529754E-2</v>
      </c>
      <c r="W2802">
        <v>-6.1362189999999997E-2</v>
      </c>
      <c r="X2802">
        <v>0.99779490000000004</v>
      </c>
      <c r="Y2802">
        <v>2.6686499999999998E-2</v>
      </c>
      <c r="Z2802">
        <v>7.3119310000000002E-4</v>
      </c>
      <c r="AA2802">
        <v>0.99964359999999997</v>
      </c>
      <c r="AB2802">
        <v>36</v>
      </c>
      <c r="AC2802">
        <v>-26.993099999999998</v>
      </c>
      <c r="AD2802">
        <v>-1.12085299666199</v>
      </c>
      <c r="AE2802">
        <v>0.74110000000001697</v>
      </c>
      <c r="AF2802">
        <v>0.72954485824731297</v>
      </c>
      <c r="AG2802">
        <v>-1.12085299666199</v>
      </c>
      <c r="AH2802">
        <v>26.946953388431201</v>
      </c>
      <c r="AI2802">
        <v>92.380961781015898</v>
      </c>
      <c r="AJ2802">
        <v>88.449188945805005</v>
      </c>
      <c r="AK2802">
        <v>26.9801194226158</v>
      </c>
      <c r="AL2802">
        <v>93.518004697579599</v>
      </c>
      <c r="AM2802">
        <v>91.452334370462097</v>
      </c>
      <c r="AN2802">
        <v>0.99999997317882805</v>
      </c>
    </row>
    <row r="2803" spans="1:40" x14ac:dyDescent="0.25">
      <c r="A2803" t="str">
        <f>"20190303154152345"</f>
        <v>20190303154152345</v>
      </c>
      <c r="B2803" t="str">
        <f>"1551598912341917"</f>
        <v>1551598912341917</v>
      </c>
      <c r="C2803" t="s">
        <v>40</v>
      </c>
      <c r="D2803">
        <v>5.0862610000000004</v>
      </c>
      <c r="E2803">
        <v>0.52094879999999999</v>
      </c>
      <c r="F2803" t="s">
        <v>51</v>
      </c>
      <c r="G2803">
        <v>-414.8578</v>
      </c>
      <c r="H2803" s="1">
        <v>3.0859329999999998E-6</v>
      </c>
      <c r="I2803">
        <v>284.40480000000002</v>
      </c>
      <c r="J2803">
        <v>-387.72109999999998</v>
      </c>
      <c r="K2803">
        <v>1.1208530000000001</v>
      </c>
      <c r="L2803">
        <v>283.60599999999999</v>
      </c>
      <c r="M2803">
        <v>-0.99989340000000004</v>
      </c>
      <c r="N2803">
        <v>-1.4597209999999999E-2</v>
      </c>
      <c r="O2803">
        <v>4.4064259999999997E-4</v>
      </c>
      <c r="P2803">
        <v>-0.99681960000000003</v>
      </c>
      <c r="Q2803">
        <v>-7.5716699999999998E-2</v>
      </c>
      <c r="R2803">
        <v>-2.485923E-2</v>
      </c>
      <c r="S2803">
        <v>-3.002472</v>
      </c>
      <c r="T2803">
        <v>-0.122432</v>
      </c>
      <c r="U2803">
        <v>8.7280269999999993E-2</v>
      </c>
      <c r="V2803">
        <v>-2.531023E-2</v>
      </c>
      <c r="W2803">
        <v>-6.1153230000000003E-2</v>
      </c>
      <c r="X2803">
        <v>0.99780740000000001</v>
      </c>
      <c r="Y2803">
        <v>2.8584600000000002E-2</v>
      </c>
      <c r="Z2803">
        <v>7.7970619999999998E-4</v>
      </c>
      <c r="AA2803">
        <v>0.99959109999999995</v>
      </c>
      <c r="AB2803">
        <v>36</v>
      </c>
      <c r="AC2803">
        <v>-27.136700000000001</v>
      </c>
      <c r="AD2803">
        <v>-1.1208499140670001</v>
      </c>
      <c r="AE2803">
        <v>0.79880000000002804</v>
      </c>
      <c r="AF2803">
        <v>0.78550215056544204</v>
      </c>
      <c r="AG2803">
        <v>-1.1208499140670001</v>
      </c>
      <c r="AH2803">
        <v>27.0908721767975</v>
      </c>
      <c r="AI2803">
        <v>92.3681936443692</v>
      </c>
      <c r="AJ2803">
        <v>88.339169307795302</v>
      </c>
      <c r="AK2803">
        <v>27.125424853041299</v>
      </c>
      <c r="AL2803">
        <v>93.506009668071101</v>
      </c>
      <c r="AM2803">
        <v>91.453044397014395</v>
      </c>
      <c r="AN2803">
        <v>0.99999996638842203</v>
      </c>
    </row>
    <row r="2804" spans="1:40" x14ac:dyDescent="0.25">
      <c r="A2804" t="str">
        <f>"20190303154152368"</f>
        <v>20190303154152368</v>
      </c>
      <c r="B2804" t="str">
        <f>"1551598912362416"</f>
        <v>1551598912362416</v>
      </c>
      <c r="C2804" t="s">
        <v>40</v>
      </c>
      <c r="D2804">
        <v>5.0875510000000004</v>
      </c>
      <c r="E2804">
        <v>0.521121099999999</v>
      </c>
      <c r="F2804" t="s">
        <v>51</v>
      </c>
      <c r="G2804">
        <v>-414.65589999999997</v>
      </c>
      <c r="H2804" s="1">
        <v>3.0490229999999999E-6</v>
      </c>
      <c r="I2804">
        <v>284.41739999999999</v>
      </c>
      <c r="J2804">
        <v>-388.07749999999999</v>
      </c>
      <c r="K2804">
        <v>1.1208499999999999</v>
      </c>
      <c r="L2804">
        <v>283.60610000000003</v>
      </c>
      <c r="M2804">
        <v>-0.99989309999999998</v>
      </c>
      <c r="N2804">
        <v>-1.461283E-2</v>
      </c>
      <c r="O2804">
        <v>5.0138240000000001E-4</v>
      </c>
      <c r="P2804">
        <v>-0.99676030000000004</v>
      </c>
      <c r="Q2804">
        <v>-7.6482499999999995E-2</v>
      </c>
      <c r="R2804">
        <v>-2.4889319999999999E-2</v>
      </c>
      <c r="S2804">
        <v>-3.0023499999999999</v>
      </c>
      <c r="T2804">
        <v>-0.12493799999999999</v>
      </c>
      <c r="U2804">
        <v>9.0454099999999996E-2</v>
      </c>
      <c r="V2804">
        <v>-2.5400880000000001E-2</v>
      </c>
      <c r="W2804">
        <v>-6.1904239999999999E-2</v>
      </c>
      <c r="X2804">
        <v>0.99775879999999995</v>
      </c>
      <c r="Y2804">
        <v>2.9578500000000001E-2</v>
      </c>
      <c r="Z2804">
        <v>8.1779800000000001E-4</v>
      </c>
      <c r="AA2804">
        <v>0.99956210000000001</v>
      </c>
      <c r="AB2804">
        <v>36</v>
      </c>
      <c r="AC2804">
        <v>-26.578399999999899</v>
      </c>
      <c r="AD2804">
        <v>-1.1208469509769901</v>
      </c>
      <c r="AE2804">
        <v>0.81129999999996005</v>
      </c>
      <c r="AF2804">
        <v>0.79655723635133502</v>
      </c>
      <c r="AG2804">
        <v>-1.1208469509769901</v>
      </c>
      <c r="AH2804">
        <v>26.531662889110301</v>
      </c>
      <c r="AI2804">
        <v>92.417969981744307</v>
      </c>
      <c r="AJ2804">
        <v>88.280331592021</v>
      </c>
      <c r="AK2804">
        <v>26.567271914513402</v>
      </c>
      <c r="AL2804">
        <v>93.549121003519602</v>
      </c>
      <c r="AM2804">
        <v>91.458317312754204</v>
      </c>
      <c r="AN2804">
        <v>0.99999998130609502</v>
      </c>
    </row>
    <row r="2805" spans="1:40" x14ac:dyDescent="0.25">
      <c r="A2805" t="str">
        <f>"20190303154152390"</f>
        <v>20190303154152390</v>
      </c>
      <c r="B2805" t="str">
        <f>"1551598912381932"</f>
        <v>1551598912381932</v>
      </c>
      <c r="C2805" t="s">
        <v>40</v>
      </c>
      <c r="D2805">
        <v>5.1050329999999997</v>
      </c>
      <c r="E2805">
        <v>0.52132840000000003</v>
      </c>
      <c r="F2805" t="s">
        <v>51</v>
      </c>
      <c r="G2805">
        <v>-413.96409999999997</v>
      </c>
      <c r="H2805" s="1">
        <v>2.9281310000000002E-6</v>
      </c>
      <c r="I2805">
        <v>284.39659999999998</v>
      </c>
      <c r="J2805">
        <v>-388.43329999999997</v>
      </c>
      <c r="K2805">
        <v>1.1208450000000001</v>
      </c>
      <c r="L2805">
        <v>283.60640000000001</v>
      </c>
      <c r="M2805">
        <v>-0.99989289999999997</v>
      </c>
      <c r="N2805">
        <v>-1.462579E-2</v>
      </c>
      <c r="O2805">
        <v>5.6448070000000004E-4</v>
      </c>
      <c r="P2805">
        <v>-0.99663950000000001</v>
      </c>
      <c r="Q2805">
        <v>-7.8190389999999999E-2</v>
      </c>
      <c r="R2805">
        <v>-2.4415019999999999E-2</v>
      </c>
      <c r="S2805">
        <v>-3.002075</v>
      </c>
      <c r="T2805">
        <v>-0.12998470000000001</v>
      </c>
      <c r="U2805">
        <v>9.1674800000000001E-2</v>
      </c>
      <c r="V2805">
        <v>-2.4989999999999998E-2</v>
      </c>
      <c r="W2805">
        <v>-6.3600840000000006E-2</v>
      </c>
      <c r="X2805">
        <v>0.99766250000000001</v>
      </c>
      <c r="Y2805">
        <v>2.9921380000000001E-2</v>
      </c>
      <c r="Z2805">
        <v>8.5015799999999995E-4</v>
      </c>
      <c r="AA2805">
        <v>0.99955190000000005</v>
      </c>
      <c r="AB2805">
        <v>36</v>
      </c>
      <c r="AC2805">
        <v>-25.530799999999999</v>
      </c>
      <c r="AD2805">
        <v>-1.120842071869</v>
      </c>
      <c r="AE2805">
        <v>0.79019999999997004</v>
      </c>
      <c r="AF2805">
        <v>0.77429578013582201</v>
      </c>
      <c r="AG2805">
        <v>-1.120842071869</v>
      </c>
      <c r="AH2805">
        <v>25.482176029348899</v>
      </c>
      <c r="AI2805">
        <v>92.517390338717405</v>
      </c>
      <c r="AJ2805">
        <v>88.259558597116595</v>
      </c>
      <c r="AK2805">
        <v>25.5185641464392</v>
      </c>
      <c r="AL2805">
        <v>93.646520876098705</v>
      </c>
      <c r="AM2805">
        <v>91.434876209971804</v>
      </c>
      <c r="AN2805">
        <v>1.00000001542747</v>
      </c>
    </row>
    <row r="2806" spans="1:40" x14ac:dyDescent="0.25">
      <c r="A2806" t="str">
        <f>"20190303154152413"</f>
        <v>20190303154152413</v>
      </c>
      <c r="B2806" t="str">
        <f>"1551598912402430"</f>
        <v>1551598912402430</v>
      </c>
      <c r="C2806" t="s">
        <v>40</v>
      </c>
      <c r="D2806">
        <v>5.1046709999999997</v>
      </c>
      <c r="E2806">
        <v>0.52125909999999998</v>
      </c>
      <c r="F2806" t="s">
        <v>51</v>
      </c>
      <c r="G2806">
        <v>-413.14819999999997</v>
      </c>
      <c r="H2806" s="1">
        <v>2.784234E-6</v>
      </c>
      <c r="I2806">
        <v>284.38709999999998</v>
      </c>
      <c r="J2806">
        <v>-388.791</v>
      </c>
      <c r="K2806">
        <v>1.120838</v>
      </c>
      <c r="L2806">
        <v>283.60669999999999</v>
      </c>
      <c r="M2806">
        <v>-0.99989269999999997</v>
      </c>
      <c r="N2806">
        <v>-1.463651E-2</v>
      </c>
      <c r="O2806">
        <v>6.3371119999999998E-4</v>
      </c>
      <c r="P2806">
        <v>-0.99660689999999996</v>
      </c>
      <c r="Q2806">
        <v>-7.8812789999999994E-2</v>
      </c>
      <c r="R2806">
        <v>-2.3735949999999999E-2</v>
      </c>
      <c r="S2806">
        <v>-3.0018009999999999</v>
      </c>
      <c r="T2806">
        <v>-0.1361339</v>
      </c>
      <c r="U2806">
        <v>9.4818120000000006E-2</v>
      </c>
      <c r="V2806">
        <v>-2.438011E-2</v>
      </c>
      <c r="W2806">
        <v>-6.4212930000000001E-2</v>
      </c>
      <c r="X2806">
        <v>0.99763829999999998</v>
      </c>
      <c r="Y2806">
        <v>3.0896179999999999E-2</v>
      </c>
      <c r="Z2806">
        <v>9.0692940000000003E-4</v>
      </c>
      <c r="AA2806">
        <v>0.99952220000000003</v>
      </c>
      <c r="AB2806">
        <v>36</v>
      </c>
      <c r="AC2806">
        <v>-24.357199999999899</v>
      </c>
      <c r="AD2806">
        <v>-1.120835215766</v>
      </c>
      <c r="AE2806">
        <v>0.78039999999998599</v>
      </c>
      <c r="AF2806">
        <v>0.76334800767394695</v>
      </c>
      <c r="AG2806">
        <v>-1.120835215766</v>
      </c>
      <c r="AH2806">
        <v>24.306273318035799</v>
      </c>
      <c r="AI2806">
        <v>92.638910816999498</v>
      </c>
      <c r="AJ2806">
        <v>88.201194895278604</v>
      </c>
      <c r="AK2806">
        <v>24.344073085101801</v>
      </c>
      <c r="AL2806">
        <v>93.681663185402897</v>
      </c>
      <c r="AM2806">
        <v>91.399905588572196</v>
      </c>
      <c r="AN2806">
        <v>0.99999993388484099</v>
      </c>
    </row>
    <row r="2807" spans="1:40" x14ac:dyDescent="0.25">
      <c r="A2807" t="str">
        <f>"20190303154152435"</f>
        <v>20190303154152435</v>
      </c>
      <c r="B2807" t="str">
        <f>"1551598912432685"</f>
        <v>1551598912432685</v>
      </c>
      <c r="C2807" t="s">
        <v>40</v>
      </c>
      <c r="D2807">
        <v>5.1469050000000003</v>
      </c>
      <c r="E2807">
        <v>0.52136870000000002</v>
      </c>
      <c r="F2807" t="s">
        <v>51</v>
      </c>
      <c r="G2807">
        <v>-412.69450000000001</v>
      </c>
      <c r="H2807" s="1">
        <v>2.704871E-6</v>
      </c>
      <c r="I2807">
        <v>284.37419999999997</v>
      </c>
      <c r="J2807">
        <v>-389.14060000000001</v>
      </c>
      <c r="K2807">
        <v>1.12083</v>
      </c>
      <c r="L2807">
        <v>283.60700000000003</v>
      </c>
      <c r="M2807">
        <v>-0.99989249999999996</v>
      </c>
      <c r="N2807">
        <v>-1.464472E-2</v>
      </c>
      <c r="O2807">
        <v>7.1454139999999999E-4</v>
      </c>
      <c r="P2807">
        <v>-0.99664430000000004</v>
      </c>
      <c r="Q2807">
        <v>-7.8465090000000001E-2</v>
      </c>
      <c r="R2807">
        <v>-2.3313500000000001E-2</v>
      </c>
      <c r="S2807">
        <v>-3.0013429999999999</v>
      </c>
      <c r="T2807">
        <v>-0.14073289999999999</v>
      </c>
      <c r="U2807">
        <v>9.6374509999999997E-2</v>
      </c>
      <c r="V2807">
        <v>-2.4039580000000001E-2</v>
      </c>
      <c r="W2807">
        <v>-6.3856170000000004E-2</v>
      </c>
      <c r="X2807">
        <v>0.99766949999999999</v>
      </c>
      <c r="Y2807">
        <v>3.1334880000000002E-2</v>
      </c>
      <c r="Z2807">
        <v>9.4071599999999997E-4</v>
      </c>
      <c r="AA2807">
        <v>0.99950850000000002</v>
      </c>
      <c r="AB2807">
        <v>36</v>
      </c>
      <c r="AC2807">
        <v>-23.553899999999999</v>
      </c>
      <c r="AD2807">
        <v>-1.1208272951289999</v>
      </c>
      <c r="AE2807">
        <v>0.76719999999994504</v>
      </c>
      <c r="AF2807">
        <v>0.74867426644204604</v>
      </c>
      <c r="AG2807">
        <v>-1.1208272951289999</v>
      </c>
      <c r="AH2807">
        <v>23.501282507869501</v>
      </c>
      <c r="AI2807">
        <v>92.729109056787294</v>
      </c>
      <c r="AJ2807">
        <v>88.1753602798142</v>
      </c>
      <c r="AK2807">
        <v>23.539903281394999</v>
      </c>
      <c r="AL2807">
        <v>93.661180166197596</v>
      </c>
      <c r="AM2807">
        <v>91.3803168280904</v>
      </c>
      <c r="AN2807">
        <v>0.99999997154194697</v>
      </c>
    </row>
    <row r="2808" spans="1:40" x14ac:dyDescent="0.25">
      <c r="A2808" t="str">
        <f>"20190303154152459"</f>
        <v>20190303154152459</v>
      </c>
      <c r="B2808" t="str">
        <f>"1551598912452204"</f>
        <v>1551598912452204</v>
      </c>
      <c r="C2808" t="s">
        <v>40</v>
      </c>
      <c r="D2808">
        <v>5.0016990000000003</v>
      </c>
      <c r="E2808">
        <v>0.52141919999999997</v>
      </c>
      <c r="F2808" t="s">
        <v>51</v>
      </c>
      <c r="G2808">
        <v>-412.92959999999999</v>
      </c>
      <c r="H2808" s="1">
        <v>2.7453350000000001E-6</v>
      </c>
      <c r="I2808">
        <v>284.38850000000002</v>
      </c>
      <c r="J2808">
        <v>-389.50990000000002</v>
      </c>
      <c r="K2808">
        <v>1.1208229999999999</v>
      </c>
      <c r="L2808">
        <v>283.60739999999998</v>
      </c>
      <c r="M2808">
        <v>-0.99989249999999996</v>
      </c>
      <c r="N2808">
        <v>-1.465175E-2</v>
      </c>
      <c r="O2808">
        <v>8.2616429999999902E-4</v>
      </c>
      <c r="P2808">
        <v>-0.99663469999999998</v>
      </c>
      <c r="Q2808">
        <v>-7.8348280000000006E-2</v>
      </c>
      <c r="R2808">
        <v>-2.4101830000000001E-2</v>
      </c>
      <c r="S2808">
        <v>-3.001312</v>
      </c>
      <c r="T2808">
        <v>-0.1414078</v>
      </c>
      <c r="U2808">
        <v>9.8602289999999995E-2</v>
      </c>
      <c r="V2808">
        <v>-2.4941270000000001E-2</v>
      </c>
      <c r="W2808">
        <v>-6.3731389999999999E-2</v>
      </c>
      <c r="X2808">
        <v>0.99765539999999997</v>
      </c>
      <c r="Y2808">
        <v>3.1963499999999999E-2</v>
      </c>
      <c r="Z2808">
        <v>9.5997680000000003E-4</v>
      </c>
      <c r="AA2808">
        <v>0.99948859999999995</v>
      </c>
      <c r="AB2808">
        <v>36</v>
      </c>
      <c r="AC2808">
        <v>-23.419699999999899</v>
      </c>
      <c r="AD2808">
        <v>-1.1208202546649999</v>
      </c>
      <c r="AE2808">
        <v>0.78110000000003699</v>
      </c>
      <c r="AF2808">
        <v>0.76001035440842601</v>
      </c>
      <c r="AG2808">
        <v>-1.1208202546649999</v>
      </c>
      <c r="AH2808">
        <v>23.366877615096101</v>
      </c>
      <c r="AI2808">
        <v>92.744706674678</v>
      </c>
      <c r="AJ2808">
        <v>88.137104972182996</v>
      </c>
      <c r="AK2808">
        <v>23.406085175888698</v>
      </c>
      <c r="AL2808">
        <v>93.654016003137599</v>
      </c>
      <c r="AM2808">
        <v>91.432089583790301</v>
      </c>
      <c r="AN2808">
        <v>1.0000000270848499</v>
      </c>
    </row>
    <row r="2809" spans="1:40" x14ac:dyDescent="0.25">
      <c r="A2809" t="str">
        <f>"20190303154152481"</f>
        <v>20190303154152481</v>
      </c>
      <c r="B2809" t="str">
        <f>"1551598912472654"</f>
        <v>1551598912472654</v>
      </c>
      <c r="C2809" t="s">
        <v>40</v>
      </c>
      <c r="D2809">
        <v>5.0167650000000004</v>
      </c>
      <c r="E2809">
        <v>0.52105190000000001</v>
      </c>
      <c r="F2809" t="s">
        <v>51</v>
      </c>
      <c r="G2809">
        <v>-413.64159999999998</v>
      </c>
      <c r="H2809" s="1">
        <v>2.872091E-6</v>
      </c>
      <c r="I2809">
        <v>284.38319999999999</v>
      </c>
      <c r="J2809">
        <v>-389.86320000000001</v>
      </c>
      <c r="K2809">
        <v>1.1208020000000001</v>
      </c>
      <c r="L2809">
        <v>283.6078</v>
      </c>
      <c r="M2809">
        <v>-0.99989209999999995</v>
      </c>
      <c r="N2809">
        <v>-1.465731E-2</v>
      </c>
      <c r="O2809">
        <v>9.6551479999999995E-4</v>
      </c>
      <c r="P2809">
        <v>-0.99658519999999995</v>
      </c>
      <c r="Q2809">
        <v>-7.8757430000000003E-2</v>
      </c>
      <c r="R2809">
        <v>-2.4802270000000001E-2</v>
      </c>
      <c r="S2809">
        <v>-3.0015260000000001</v>
      </c>
      <c r="T2809">
        <v>-0.13940859999999999</v>
      </c>
      <c r="U2809">
        <v>9.6496579999999998E-2</v>
      </c>
      <c r="V2809">
        <v>-2.5784519999999998E-2</v>
      </c>
      <c r="W2809">
        <v>-6.4134079999999996E-2</v>
      </c>
      <c r="X2809">
        <v>0.9976081</v>
      </c>
      <c r="Y2809">
        <v>3.1123809999999998E-2</v>
      </c>
      <c r="Z2809">
        <v>9.1987489999999998E-4</v>
      </c>
      <c r="AA2809">
        <v>0.99951509999999999</v>
      </c>
      <c r="AB2809">
        <v>35</v>
      </c>
      <c r="AC2809">
        <v>-23.778399999999898</v>
      </c>
      <c r="AD2809">
        <v>-1.1207991279089999</v>
      </c>
      <c r="AE2809">
        <v>0.77539999999998999</v>
      </c>
      <c r="AF2809">
        <v>0.75077253629179996</v>
      </c>
      <c r="AG2809">
        <v>-1.1207991279089999</v>
      </c>
      <c r="AH2809">
        <v>23.726479934961901</v>
      </c>
      <c r="AI2809">
        <v>92.703195088631205</v>
      </c>
      <c r="AJ2809">
        <v>88.187605175035202</v>
      </c>
      <c r="AK2809">
        <v>23.764799603416002</v>
      </c>
      <c r="AL2809">
        <v>93.677135943146894</v>
      </c>
      <c r="AM2809">
        <v>91.480556676336107</v>
      </c>
      <c r="AN2809">
        <v>0.99999997143734298</v>
      </c>
    </row>
    <row r="2810" spans="1:40" x14ac:dyDescent="0.25">
      <c r="A2810" t="str">
        <f>"20190303154152502"</f>
        <v>20190303154152502</v>
      </c>
      <c r="B2810" t="str">
        <f>"1551598912492173"</f>
        <v>1551598912492173</v>
      </c>
      <c r="C2810" t="s">
        <v>40</v>
      </c>
      <c r="D2810">
        <v>5.0163500000000001</v>
      </c>
      <c r="E2810">
        <v>0.52068309999999995</v>
      </c>
      <c r="F2810" t="s">
        <v>51</v>
      </c>
      <c r="G2810">
        <v>-414.17630000000003</v>
      </c>
      <c r="H2810" s="1">
        <v>2.9700509999999999E-6</v>
      </c>
      <c r="I2810">
        <v>284.3476</v>
      </c>
      <c r="J2810">
        <v>-390.21409999999997</v>
      </c>
      <c r="K2810">
        <v>1.1207780000000001</v>
      </c>
      <c r="L2810">
        <v>283.60829999999999</v>
      </c>
      <c r="M2810">
        <v>-0.99989189999999994</v>
      </c>
      <c r="N2810">
        <v>-1.466168E-2</v>
      </c>
      <c r="O2810">
        <v>1.1336009999999999E-3</v>
      </c>
      <c r="P2810">
        <v>-0.99654330000000002</v>
      </c>
      <c r="Q2810">
        <v>-7.9103590000000001E-2</v>
      </c>
      <c r="R2810">
        <v>-2.5381049999999999E-2</v>
      </c>
      <c r="S2810">
        <v>-3.001617</v>
      </c>
      <c r="T2810">
        <v>-0.1383703</v>
      </c>
      <c r="U2810">
        <v>9.1339110000000001E-2</v>
      </c>
      <c r="V2810">
        <v>-2.6535050000000001E-2</v>
      </c>
      <c r="W2810">
        <v>-6.4474610000000002E-2</v>
      </c>
      <c r="X2810">
        <v>0.99756650000000002</v>
      </c>
      <c r="Y2810">
        <v>2.9242310000000001E-2</v>
      </c>
      <c r="Z2810">
        <v>8.5247719999999999E-4</v>
      </c>
      <c r="AA2810">
        <v>0.99957200000000002</v>
      </c>
      <c r="AB2810">
        <v>35</v>
      </c>
      <c r="AC2810">
        <v>-23.962199999999999</v>
      </c>
      <c r="AD2810">
        <v>-1.120775029949</v>
      </c>
      <c r="AE2810">
        <v>0.73930000000001395</v>
      </c>
      <c r="AF2810">
        <v>0.71057998945819101</v>
      </c>
      <c r="AG2810">
        <v>-1.120775029949</v>
      </c>
      <c r="AH2810">
        <v>23.910763441740599</v>
      </c>
      <c r="AI2810">
        <v>92.682492181419605</v>
      </c>
      <c r="AJ2810">
        <v>88.297785203540698</v>
      </c>
      <c r="AK2810">
        <v>23.947560814330402</v>
      </c>
      <c r="AL2810">
        <v>93.696687223375093</v>
      </c>
      <c r="AM2810">
        <v>91.523695867365404</v>
      </c>
      <c r="AN2810">
        <v>1.0000000030677001</v>
      </c>
    </row>
    <row r="2811" spans="1:40" x14ac:dyDescent="0.25">
      <c r="A2811" t="str">
        <f>"20190303154152524"</f>
        <v>20190303154152524</v>
      </c>
      <c r="B2811" t="str">
        <f>"1551598912512670"</f>
        <v>1551598912512670</v>
      </c>
      <c r="C2811" t="s">
        <v>40</v>
      </c>
      <c r="D2811">
        <v>5.036181</v>
      </c>
      <c r="E2811">
        <v>0.5203565</v>
      </c>
      <c r="F2811" t="s">
        <v>51</v>
      </c>
      <c r="G2811">
        <v>-414.6979</v>
      </c>
      <c r="H2811" s="1">
        <v>3.065335E-6</v>
      </c>
      <c r="I2811">
        <v>284.31599999999997</v>
      </c>
      <c r="J2811">
        <v>-390.55459999999999</v>
      </c>
      <c r="K2811">
        <v>1.1207560000000001</v>
      </c>
      <c r="L2811">
        <v>283.60890000000001</v>
      </c>
      <c r="M2811">
        <v>-0.99989150000000004</v>
      </c>
      <c r="N2811">
        <v>-1.466489E-2</v>
      </c>
      <c r="O2811">
        <v>1.3316479999999999E-3</v>
      </c>
      <c r="P2811">
        <v>-0.99647229999999998</v>
      </c>
      <c r="Q2811">
        <v>-7.9804819999999999E-2</v>
      </c>
      <c r="R2811">
        <v>-2.5969099999999998E-2</v>
      </c>
      <c r="S2811">
        <v>-3.0016780000000001</v>
      </c>
      <c r="T2811">
        <v>-0.13740520000000001</v>
      </c>
      <c r="U2811">
        <v>8.6761469999999993E-2</v>
      </c>
      <c r="V2811">
        <v>-2.7324859999999999E-2</v>
      </c>
      <c r="W2811">
        <v>-6.5171530000000005E-2</v>
      </c>
      <c r="X2811">
        <v>0.99749989999999999</v>
      </c>
      <c r="Y2811">
        <v>2.7523590000000001E-2</v>
      </c>
      <c r="Z2811">
        <v>7.9011399999999996E-4</v>
      </c>
      <c r="AA2811">
        <v>0.99962090000000003</v>
      </c>
      <c r="AB2811">
        <v>35</v>
      </c>
      <c r="AC2811">
        <v>-24.1433</v>
      </c>
      <c r="AD2811">
        <v>-1.12075293466499</v>
      </c>
      <c r="AE2811">
        <v>0.70709999999996798</v>
      </c>
      <c r="AF2811">
        <v>0.67349546607093103</v>
      </c>
      <c r="AG2811">
        <v>-1.12075293466499</v>
      </c>
      <c r="AH2811">
        <v>24.092348264612699</v>
      </c>
      <c r="AI2811">
        <v>92.662385999246993</v>
      </c>
      <c r="AJ2811">
        <v>88.398728088379201</v>
      </c>
      <c r="AK2811">
        <v>24.127804048167398</v>
      </c>
      <c r="AL2811">
        <v>93.736701920146302</v>
      </c>
      <c r="AM2811">
        <v>91.569130707548894</v>
      </c>
      <c r="AN2811">
        <v>1.00000001339828</v>
      </c>
    </row>
    <row r="2812" spans="1:40" x14ac:dyDescent="0.25">
      <c r="A2812" t="str">
        <f>"20190303154152547"</f>
        <v>20190303154152547</v>
      </c>
      <c r="B2812" t="str">
        <f>"1551598912541951"</f>
        <v>1551598912541951</v>
      </c>
      <c r="C2812" t="s">
        <v>40</v>
      </c>
      <c r="D2812">
        <v>5.0473809999999997</v>
      </c>
      <c r="E2812">
        <v>0.51992109999999903</v>
      </c>
      <c r="F2812" t="s">
        <v>51</v>
      </c>
      <c r="G2812">
        <v>-414.93630000000002</v>
      </c>
      <c r="H2812" s="1">
        <v>3.1109569999999998E-6</v>
      </c>
      <c r="I2812">
        <v>284.27789999999999</v>
      </c>
      <c r="J2812">
        <v>-390.92529999999999</v>
      </c>
      <c r="K2812">
        <v>1.1207309999999999</v>
      </c>
      <c r="L2812">
        <v>283.6096</v>
      </c>
      <c r="M2812">
        <v>-0.99989130000000004</v>
      </c>
      <c r="N2812">
        <v>-1.4667370000000001E-2</v>
      </c>
      <c r="O2812">
        <v>1.591837E-3</v>
      </c>
      <c r="P2812">
        <v>-0.9964828</v>
      </c>
      <c r="Q2812">
        <v>-7.9927590000000007E-2</v>
      </c>
      <c r="R2812">
        <v>-2.5173259999999999E-2</v>
      </c>
      <c r="S2812">
        <v>-3.001709</v>
      </c>
      <c r="T2812">
        <v>-0.1379793</v>
      </c>
      <c r="U2812">
        <v>8.236694E-2</v>
      </c>
      <c r="V2812">
        <v>-2.6793819999999999E-2</v>
      </c>
      <c r="W2812">
        <v>-6.528979E-2</v>
      </c>
      <c r="X2812">
        <v>0.99750660000000002</v>
      </c>
      <c r="Y2812">
        <v>2.5803090000000001E-2</v>
      </c>
      <c r="Z2812">
        <v>7.3224679999999895E-4</v>
      </c>
      <c r="AA2812">
        <v>0.99966679999999997</v>
      </c>
      <c r="AB2812">
        <v>35</v>
      </c>
      <c r="AC2812">
        <v>-24.010999999999999</v>
      </c>
      <c r="AD2812">
        <v>-1.1207278890429999</v>
      </c>
      <c r="AE2812">
        <v>0.66829999999998702</v>
      </c>
      <c r="AF2812">
        <v>0.62870480471255896</v>
      </c>
      <c r="AG2812">
        <v>-1.1207278890429999</v>
      </c>
      <c r="AH2812">
        <v>23.9598746505227</v>
      </c>
      <c r="AI2812">
        <v>92.677149303690399</v>
      </c>
      <c r="AJ2812">
        <v>88.496909172580899</v>
      </c>
      <c r="AK2812">
        <v>23.994309617105198</v>
      </c>
      <c r="AL2812">
        <v>93.743492076322795</v>
      </c>
      <c r="AM2812">
        <v>91.538640198020104</v>
      </c>
      <c r="AN2812">
        <v>1.00000004125599</v>
      </c>
    </row>
    <row r="2813" spans="1:40" x14ac:dyDescent="0.25">
      <c r="A2813" t="str">
        <f>"20190303154152569"</f>
        <v>20190303154152569</v>
      </c>
      <c r="B2813" t="str">
        <f>"1551598912562449"</f>
        <v>1551598912562449</v>
      </c>
      <c r="C2813" t="s">
        <v>40</v>
      </c>
      <c r="D2813">
        <v>5.0708390000000003</v>
      </c>
      <c r="E2813">
        <v>0.51960379999999995</v>
      </c>
      <c r="F2813" t="s">
        <v>51</v>
      </c>
      <c r="G2813">
        <v>-415.6472</v>
      </c>
      <c r="H2813" s="1">
        <v>3.236904E-6</v>
      </c>
      <c r="I2813">
        <v>284.27969999999999</v>
      </c>
      <c r="J2813">
        <v>-391.26249999999999</v>
      </c>
      <c r="K2813">
        <v>1.1207020000000001</v>
      </c>
      <c r="L2813">
        <v>283.61040000000003</v>
      </c>
      <c r="M2813">
        <v>-0.99989070000000002</v>
      </c>
      <c r="N2813">
        <v>-1.466888E-2</v>
      </c>
      <c r="O2813">
        <v>1.868387E-3</v>
      </c>
      <c r="P2813">
        <v>-0.99647929999999996</v>
      </c>
      <c r="Q2813">
        <v>-8.0231549999999999E-2</v>
      </c>
      <c r="R2813">
        <v>-2.4328889999999999E-2</v>
      </c>
      <c r="S2813">
        <v>-3.0017399999999999</v>
      </c>
      <c r="T2813">
        <v>-0.13607900000000001</v>
      </c>
      <c r="U2813">
        <v>8.1359860000000006E-2</v>
      </c>
      <c r="V2813">
        <v>-2.6230610000000001E-2</v>
      </c>
      <c r="W2813">
        <v>-6.5590599999999999E-2</v>
      </c>
      <c r="X2813">
        <v>0.99750179999999999</v>
      </c>
      <c r="Y2813">
        <v>2.519298E-2</v>
      </c>
      <c r="Z2813">
        <v>6.9834289999999902E-4</v>
      </c>
      <c r="AA2813">
        <v>0.99968239999999997</v>
      </c>
      <c r="AB2813">
        <v>35</v>
      </c>
      <c r="AC2813">
        <v>-24.384699999999999</v>
      </c>
      <c r="AD2813">
        <v>-1.1206987630959999</v>
      </c>
      <c r="AE2813">
        <v>0.66929999999996403</v>
      </c>
      <c r="AF2813">
        <v>0.62242016421971302</v>
      </c>
      <c r="AG2813">
        <v>-1.1206987630959999</v>
      </c>
      <c r="AH2813">
        <v>24.334546403589201</v>
      </c>
      <c r="AI2813">
        <v>92.635965353090398</v>
      </c>
      <c r="AJ2813">
        <v>88.534828878014807</v>
      </c>
      <c r="AK2813">
        <v>24.3682892556468</v>
      </c>
      <c r="AL2813">
        <v>93.760764373554593</v>
      </c>
      <c r="AM2813">
        <v>91.506320062509204</v>
      </c>
      <c r="AN2813">
        <v>1.0000000063562799</v>
      </c>
    </row>
    <row r="2814" spans="1:40" x14ac:dyDescent="0.25">
      <c r="A2814" t="str">
        <f>"20190303154152581"</f>
        <v>20190303154152581</v>
      </c>
      <c r="B2814" t="str">
        <f>"1551598912572223"</f>
        <v>1551598912572223</v>
      </c>
      <c r="C2814" t="s">
        <v>40</v>
      </c>
      <c r="D2814">
        <v>5.0665209999999998</v>
      </c>
      <c r="E2814">
        <v>0.51947549999999998</v>
      </c>
      <c r="F2814" t="s">
        <v>51</v>
      </c>
      <c r="G2814">
        <v>-415.93540000000002</v>
      </c>
      <c r="H2814" s="1">
        <v>3.2881069999999999E-6</v>
      </c>
      <c r="I2814">
        <v>284.27870000000001</v>
      </c>
      <c r="J2814">
        <v>-391.46589999999998</v>
      </c>
      <c r="K2814">
        <v>1.120684</v>
      </c>
      <c r="L2814">
        <v>283.61099999999999</v>
      </c>
      <c r="M2814">
        <v>-0.99989039999999996</v>
      </c>
      <c r="N2814">
        <v>-1.4669410000000001E-2</v>
      </c>
      <c r="O2814">
        <v>2.0512569999999999E-3</v>
      </c>
      <c r="P2814">
        <v>-0.99647719999999995</v>
      </c>
      <c r="Q2814">
        <v>-8.0391249999999997E-2</v>
      </c>
      <c r="R2814">
        <v>-2.3887350000000002E-2</v>
      </c>
      <c r="S2814">
        <v>-3.0015869999999998</v>
      </c>
      <c r="T2814">
        <v>-0.13633870000000001</v>
      </c>
      <c r="U2814">
        <v>8.1298830000000002E-2</v>
      </c>
      <c r="V2814">
        <v>-2.5974440000000001E-2</v>
      </c>
      <c r="W2814">
        <v>-6.5748829999999994E-2</v>
      </c>
      <c r="X2814">
        <v>0.99749810000000005</v>
      </c>
      <c r="Y2814">
        <v>2.499146E-2</v>
      </c>
      <c r="Z2814">
        <v>6.8763050000000001E-4</v>
      </c>
      <c r="AA2814">
        <v>0.9996874</v>
      </c>
      <c r="AB2814">
        <v>35</v>
      </c>
      <c r="AC2814">
        <v>-24.4695</v>
      </c>
      <c r="AD2814">
        <v>-1.120680711893</v>
      </c>
      <c r="AE2814">
        <v>0.66770000000002405</v>
      </c>
      <c r="AF2814">
        <v>0.61620839560410601</v>
      </c>
      <c r="AG2814">
        <v>-1.120680711893</v>
      </c>
      <c r="AH2814">
        <v>24.419634834820901</v>
      </c>
      <c r="AI2814">
        <v>92.626774037790497</v>
      </c>
      <c r="AJ2814">
        <v>88.554497247648101</v>
      </c>
      <c r="AK2814">
        <v>24.4531021244917</v>
      </c>
      <c r="AL2814">
        <v>93.769849845665405</v>
      </c>
      <c r="AM2814">
        <v>91.491621442809304</v>
      </c>
      <c r="AN2814">
        <v>1.0000000198416401</v>
      </c>
    </row>
    <row r="2815" spans="1:40" x14ac:dyDescent="0.25">
      <c r="A2815" t="str">
        <f>"20190303154152603"</f>
        <v>20190303154152603</v>
      </c>
      <c r="B2815" t="str">
        <f>"1551598912592705"</f>
        <v>1551598912592705</v>
      </c>
      <c r="C2815" t="s">
        <v>40</v>
      </c>
      <c r="D2815">
        <v>5.0696849999999998</v>
      </c>
      <c r="E2815">
        <v>0.51921110000000004</v>
      </c>
      <c r="F2815" t="s">
        <v>51</v>
      </c>
      <c r="G2815">
        <v>-416.11950000000002</v>
      </c>
      <c r="H2815" s="1">
        <v>3.3205650000000001E-6</v>
      </c>
      <c r="I2815">
        <v>284.28100000000001</v>
      </c>
      <c r="J2815">
        <v>-391.7971</v>
      </c>
      <c r="K2815">
        <v>1.1206579999999999</v>
      </c>
      <c r="L2815">
        <v>283.61200000000002</v>
      </c>
      <c r="M2815">
        <v>-0.99988960000000005</v>
      </c>
      <c r="N2815">
        <v>-1.4669700000000001E-2</v>
      </c>
      <c r="O2815">
        <v>2.369805E-3</v>
      </c>
      <c r="P2815">
        <v>-0.99650000000000005</v>
      </c>
      <c r="Q2815">
        <v>-8.0606129999999998E-2</v>
      </c>
      <c r="R2815">
        <v>-2.2149450000000001E-2</v>
      </c>
      <c r="S2815">
        <v>-3.0015559999999999</v>
      </c>
      <c r="T2815">
        <v>-0.1364418</v>
      </c>
      <c r="U2815">
        <v>8.1573489999999999E-2</v>
      </c>
      <c r="V2815">
        <v>-2.4558070000000001E-2</v>
      </c>
      <c r="W2815">
        <v>-6.5962450000000006E-2</v>
      </c>
      <c r="X2815">
        <v>0.99751990000000001</v>
      </c>
      <c r="Y2815">
        <v>2.4765079999999998E-2</v>
      </c>
      <c r="Z2815">
        <v>6.7139450000000002E-4</v>
      </c>
      <c r="AA2815">
        <v>0.9996931</v>
      </c>
      <c r="AB2815">
        <v>35</v>
      </c>
      <c r="AC2815">
        <v>-24.322399999999998</v>
      </c>
      <c r="AD2815">
        <v>-1.1206546794350001</v>
      </c>
      <c r="AE2815">
        <v>0.66899999999998205</v>
      </c>
      <c r="AF2815">
        <v>0.61005845604531395</v>
      </c>
      <c r="AG2815">
        <v>-1.1206546794350001</v>
      </c>
      <c r="AH2815">
        <v>24.272428129245601</v>
      </c>
      <c r="AI2815">
        <v>92.642627666453805</v>
      </c>
      <c r="AJ2815">
        <v>88.560242214102203</v>
      </c>
      <c r="AK2815">
        <v>24.305941773972101</v>
      </c>
      <c r="AL2815">
        <v>93.782115893877403</v>
      </c>
      <c r="AM2815">
        <v>91.410287244229806</v>
      </c>
      <c r="AN2815">
        <v>1.00000004725406</v>
      </c>
    </row>
    <row r="2816" spans="1:40" x14ac:dyDescent="0.25">
      <c r="A2816" t="str">
        <f>"20190303154152617"</f>
        <v>20190303154152617</v>
      </c>
      <c r="B2816" t="str">
        <f>"1551598912612225"</f>
        <v>1551598912612225</v>
      </c>
      <c r="C2816" t="s">
        <v>40</v>
      </c>
      <c r="D2816">
        <v>5.0927350000000002</v>
      </c>
      <c r="E2816">
        <v>0.51895139999999995</v>
      </c>
      <c r="F2816" t="s">
        <v>51</v>
      </c>
      <c r="G2816">
        <v>-416.47570000000002</v>
      </c>
      <c r="H2816" s="1">
        <v>3.3811640000000002E-6</v>
      </c>
      <c r="I2816">
        <v>284.31060000000002</v>
      </c>
      <c r="J2816">
        <v>-392.01209999999998</v>
      </c>
      <c r="K2816">
        <v>1.120638</v>
      </c>
      <c r="L2816">
        <v>283.61270000000002</v>
      </c>
      <c r="M2816">
        <v>-0.99988909999999998</v>
      </c>
      <c r="N2816">
        <v>-1.4669669999999999E-2</v>
      </c>
      <c r="O2816">
        <v>2.5854049999999998E-3</v>
      </c>
      <c r="P2816">
        <v>-0.99649799999999999</v>
      </c>
      <c r="Q2816">
        <v>-8.0850560000000002E-2</v>
      </c>
      <c r="R2816">
        <v>-2.133285E-2</v>
      </c>
      <c r="S2816">
        <v>-3.001404</v>
      </c>
      <c r="T2816">
        <v>-0.1362939</v>
      </c>
      <c r="U2816">
        <v>8.4960939999999999E-2</v>
      </c>
      <c r="V2816">
        <v>-2.395883E-2</v>
      </c>
      <c r="W2816">
        <v>-6.6206470000000003E-2</v>
      </c>
      <c r="X2816">
        <v>0.99751820000000002</v>
      </c>
      <c r="Y2816">
        <v>2.5677209999999999E-2</v>
      </c>
      <c r="Z2816">
        <v>6.9168970000000002E-4</v>
      </c>
      <c r="AA2816">
        <v>0.99966999999999995</v>
      </c>
      <c r="AB2816">
        <v>35</v>
      </c>
      <c r="AC2816">
        <v>-24.4636</v>
      </c>
      <c r="AD2816">
        <v>-1.1206346188359999</v>
      </c>
      <c r="AE2816">
        <v>0.69790000000000396</v>
      </c>
      <c r="AF2816">
        <v>0.63331468571503002</v>
      </c>
      <c r="AG2816">
        <v>-1.1206346188359999</v>
      </c>
      <c r="AH2816">
        <v>24.414133921976699</v>
      </c>
      <c r="AI2816">
        <v>92.627209767337007</v>
      </c>
      <c r="AJ2816">
        <v>88.514052438787502</v>
      </c>
      <c r="AK2816">
        <v>24.448043778598901</v>
      </c>
      <c r="AL2816">
        <v>93.796128243844905</v>
      </c>
      <c r="AM2816">
        <v>91.375890646613797</v>
      </c>
      <c r="AN2816">
        <v>0.999999940768033</v>
      </c>
    </row>
    <row r="2817" spans="1:40" x14ac:dyDescent="0.25">
      <c r="A2817" t="str">
        <f>"20190303154152638"</f>
        <v>20190303154152638</v>
      </c>
      <c r="B2817" t="str">
        <f>"1551598912632721"</f>
        <v>1551598912632721</v>
      </c>
      <c r="C2817" t="s">
        <v>40</v>
      </c>
      <c r="D2817">
        <v>5.0867899999999997</v>
      </c>
      <c r="E2817">
        <v>0.51869089999999995</v>
      </c>
      <c r="F2817" t="s">
        <v>51</v>
      </c>
      <c r="G2817">
        <v>-416.71230000000003</v>
      </c>
      <c r="H2817" s="1">
        <v>3.4227779999999999E-6</v>
      </c>
      <c r="I2817">
        <v>284.31459999999998</v>
      </c>
      <c r="J2817">
        <v>-392.32159999999999</v>
      </c>
      <c r="K2817">
        <v>1.1206179999999999</v>
      </c>
      <c r="L2817">
        <v>283.61380000000003</v>
      </c>
      <c r="M2817">
        <v>-0.9998882</v>
      </c>
      <c r="N2817">
        <v>-1.466925E-2</v>
      </c>
      <c r="O2817">
        <v>2.9090890000000001E-3</v>
      </c>
      <c r="P2817">
        <v>-0.99651829999999997</v>
      </c>
      <c r="Q2817">
        <v>-8.1005859999999999E-2</v>
      </c>
      <c r="R2817">
        <v>-1.9734459999999999E-2</v>
      </c>
      <c r="S2817">
        <v>-3.0013429999999999</v>
      </c>
      <c r="T2817">
        <v>-0.13616900000000001</v>
      </c>
      <c r="U2817">
        <v>8.5296629999999998E-2</v>
      </c>
      <c r="V2817">
        <v>-2.2686209999999998E-2</v>
      </c>
      <c r="W2817">
        <v>-6.6361959999999998E-2</v>
      </c>
      <c r="X2817">
        <v>0.99753769999999997</v>
      </c>
      <c r="Y2817">
        <v>2.5466389999999998E-2</v>
      </c>
      <c r="Z2817">
        <v>6.7501039999999903E-4</v>
      </c>
      <c r="AA2817">
        <v>0.99967550000000005</v>
      </c>
      <c r="AB2817">
        <v>35</v>
      </c>
      <c r="AC2817">
        <v>-24.390699999999999</v>
      </c>
      <c r="AD2817">
        <v>-1.120614577222</v>
      </c>
      <c r="AE2817">
        <v>0.70079999999995801</v>
      </c>
      <c r="AF2817">
        <v>0.62850906934961903</v>
      </c>
      <c r="AG2817">
        <v>-1.120614577222</v>
      </c>
      <c r="AH2817">
        <v>24.341296452010099</v>
      </c>
      <c r="AI2817">
        <v>92.635021305488806</v>
      </c>
      <c r="AJ2817">
        <v>88.520912088322007</v>
      </c>
      <c r="AK2817">
        <v>24.3751823305094</v>
      </c>
      <c r="AL2817">
        <v>93.805056505181994</v>
      </c>
      <c r="AM2817">
        <v>91.3028079665674</v>
      </c>
      <c r="AN2817">
        <v>1.00000001839024</v>
      </c>
    </row>
    <row r="2818" spans="1:40" x14ac:dyDescent="0.25">
      <c r="A2818" t="str">
        <f>"20190303154152650"</f>
        <v>20190303154152650</v>
      </c>
      <c r="B2818" t="str">
        <f>"1551598912642481"</f>
        <v>1551598912642481</v>
      </c>
      <c r="C2818" t="s">
        <v>40</v>
      </c>
      <c r="D2818">
        <v>5.0903239999999998</v>
      </c>
      <c r="E2818">
        <v>0.5185767</v>
      </c>
      <c r="F2818" t="s">
        <v>51</v>
      </c>
      <c r="G2818">
        <v>-417.01069999999999</v>
      </c>
      <c r="H2818" s="1">
        <v>3.473683E-6</v>
      </c>
      <c r="I2818">
        <v>284.33789999999999</v>
      </c>
      <c r="J2818">
        <v>-392.55160000000001</v>
      </c>
      <c r="K2818">
        <v>1.120611</v>
      </c>
      <c r="L2818">
        <v>283.61470000000003</v>
      </c>
      <c r="M2818">
        <v>-0.99988750000000004</v>
      </c>
      <c r="N2818">
        <v>-1.466868E-2</v>
      </c>
      <c r="O2818">
        <v>3.1559930000000002E-3</v>
      </c>
      <c r="P2818">
        <v>-0.99650289999999997</v>
      </c>
      <c r="Q2818">
        <v>-8.1258049999999998E-2</v>
      </c>
      <c r="R2818">
        <v>-1.9469279999999999E-2</v>
      </c>
      <c r="S2818">
        <v>-3.0011899999999998</v>
      </c>
      <c r="T2818">
        <v>-0.13622119999999999</v>
      </c>
      <c r="U2818">
        <v>8.8012699999999999E-2</v>
      </c>
      <c r="V2818">
        <v>-2.26687E-2</v>
      </c>
      <c r="W2818">
        <v>-6.6614530000000005E-2</v>
      </c>
      <c r="X2818">
        <v>0.9975212</v>
      </c>
      <c r="Y2818">
        <v>2.6124120000000001E-2</v>
      </c>
      <c r="Z2818">
        <v>6.8735729999999998E-4</v>
      </c>
      <c r="AA2818">
        <v>0.99965850000000001</v>
      </c>
      <c r="AB2818">
        <v>35</v>
      </c>
      <c r="AC2818">
        <v>-24.4590999999999</v>
      </c>
      <c r="AD2818">
        <v>-1.1206075263169999</v>
      </c>
      <c r="AE2818">
        <v>0.72319999999996298</v>
      </c>
      <c r="AF2818">
        <v>0.64464338144394295</v>
      </c>
      <c r="AG2818">
        <v>-1.1206075263169999</v>
      </c>
      <c r="AH2818">
        <v>24.410067233407599</v>
      </c>
      <c r="AI2818">
        <v>92.627551258062098</v>
      </c>
      <c r="AJ2818">
        <v>88.487232268938698</v>
      </c>
      <c r="AK2818">
        <v>24.444277625995799</v>
      </c>
      <c r="AL2818">
        <v>93.819560035189099</v>
      </c>
      <c r="AM2818">
        <v>91.301824286281402</v>
      </c>
      <c r="AN2818">
        <v>0.999999955008124</v>
      </c>
    </row>
    <row r="2819" spans="1:40" x14ac:dyDescent="0.25">
      <c r="A2819" t="str">
        <f>"20190303154152672"</f>
        <v>20190303154152672</v>
      </c>
      <c r="B2819" t="str">
        <f>"1551598912662001"</f>
        <v>1551598912662001</v>
      </c>
      <c r="C2819" t="s">
        <v>40</v>
      </c>
      <c r="D2819">
        <v>5.1150580000000003</v>
      </c>
      <c r="E2819">
        <v>0.51834990000000003</v>
      </c>
      <c r="F2819" t="s">
        <v>51</v>
      </c>
      <c r="G2819">
        <v>-417.22390000000001</v>
      </c>
      <c r="H2819" s="1">
        <v>3.511625E-6</v>
      </c>
      <c r="I2819">
        <v>284.3365</v>
      </c>
      <c r="J2819">
        <v>-392.8691</v>
      </c>
      <c r="K2819">
        <v>1.120601</v>
      </c>
      <c r="L2819">
        <v>283.61610000000002</v>
      </c>
      <c r="M2819">
        <v>-0.99988630000000001</v>
      </c>
      <c r="N2819">
        <v>-1.4667619999999999E-2</v>
      </c>
      <c r="O2819">
        <v>3.5008349999999999E-3</v>
      </c>
      <c r="P2819">
        <v>-0.99648930000000002</v>
      </c>
      <c r="Q2819">
        <v>-8.1401539999999994E-2</v>
      </c>
      <c r="R2819">
        <v>-1.9573500000000001E-2</v>
      </c>
      <c r="S2819">
        <v>-3.0011290000000002</v>
      </c>
      <c r="T2819">
        <v>-0.13630989999999901</v>
      </c>
      <c r="U2819">
        <v>8.7799070000000007E-2</v>
      </c>
      <c r="V2819">
        <v>-2.3117970000000002E-2</v>
      </c>
      <c r="W2819">
        <v>-6.675847E-2</v>
      </c>
      <c r="X2819">
        <v>0.99750130000000004</v>
      </c>
      <c r="Y2819">
        <v>2.5709550000000001E-2</v>
      </c>
      <c r="Z2819">
        <v>6.6459549999999998E-4</v>
      </c>
      <c r="AA2819">
        <v>0.99966929999999998</v>
      </c>
      <c r="AB2819">
        <v>35</v>
      </c>
      <c r="AC2819">
        <v>-24.354800000000001</v>
      </c>
      <c r="AD2819">
        <v>-1.1205974883750001</v>
      </c>
      <c r="AE2819">
        <v>0.72039999999998305</v>
      </c>
      <c r="AF2819">
        <v>0.63378369957951797</v>
      </c>
      <c r="AG2819">
        <v>-1.1205974883750001</v>
      </c>
      <c r="AH2819">
        <v>24.305761579142001</v>
      </c>
      <c r="AI2819">
        <v>92.638810656377402</v>
      </c>
      <c r="AJ2819">
        <v>88.506325167843599</v>
      </c>
      <c r="AK2819">
        <v>24.3398329174812</v>
      </c>
      <c r="AL2819">
        <v>93.8278254603063</v>
      </c>
      <c r="AM2819">
        <v>91.327642418202203</v>
      </c>
      <c r="AN2819">
        <v>0.99999998867767503</v>
      </c>
    </row>
    <row r="2820" spans="1:40" x14ac:dyDescent="0.25">
      <c r="A2820" t="str">
        <f>"20190303154152692"</f>
        <v>20190303154152692</v>
      </c>
      <c r="B2820" t="str">
        <f>"1551598912682027"</f>
        <v>1551598912682027</v>
      </c>
      <c r="C2820" t="s">
        <v>40</v>
      </c>
      <c r="D2820">
        <v>5.1077979999999998</v>
      </c>
      <c r="E2820">
        <v>0.51809659999999902</v>
      </c>
      <c r="F2820" t="s">
        <v>51</v>
      </c>
      <c r="G2820">
        <v>-417.63240000000002</v>
      </c>
      <c r="H2820" s="1">
        <v>3.5852489999999999E-6</v>
      </c>
      <c r="I2820">
        <v>284.32319999999999</v>
      </c>
      <c r="J2820">
        <v>-393.20370000000003</v>
      </c>
      <c r="K2820">
        <v>1.120593</v>
      </c>
      <c r="L2820">
        <v>283.61759999999998</v>
      </c>
      <c r="M2820">
        <v>-0.99988500000000002</v>
      </c>
      <c r="N2820">
        <v>-1.4666129999999999E-2</v>
      </c>
      <c r="O2820">
        <v>3.8667409999999999E-3</v>
      </c>
      <c r="P2820">
        <v>-0.99647830000000004</v>
      </c>
      <c r="Q2820">
        <v>-8.1416790000000003E-2</v>
      </c>
      <c r="R2820">
        <v>-2.0065510000000002E-2</v>
      </c>
      <c r="S2820">
        <v>-3.001099</v>
      </c>
      <c r="T2820">
        <v>-0.13580639999999999</v>
      </c>
      <c r="U2820">
        <v>8.5693359999999996E-2</v>
      </c>
      <c r="V2820">
        <v>-2.3976000000000001E-2</v>
      </c>
      <c r="W2820">
        <v>-6.6774379999999994E-2</v>
      </c>
      <c r="X2820">
        <v>0.99748000000000003</v>
      </c>
      <c r="Y2820">
        <v>2.4645E-2</v>
      </c>
      <c r="Z2820">
        <v>6.1994630000000001E-4</v>
      </c>
      <c r="AA2820">
        <v>0.99969609999999998</v>
      </c>
      <c r="AB2820">
        <v>35</v>
      </c>
      <c r="AC2820">
        <v>-24.4286999999999</v>
      </c>
      <c r="AD2820">
        <v>-1.120589414751</v>
      </c>
      <c r="AE2820">
        <v>0.705600000000004</v>
      </c>
      <c r="AF2820">
        <v>0.60984293287523506</v>
      </c>
      <c r="AG2820">
        <v>-1.120589414751</v>
      </c>
      <c r="AH2820">
        <v>24.379987768258999</v>
      </c>
      <c r="AI2820">
        <v>92.630840212692604</v>
      </c>
      <c r="AJ2820">
        <v>88.567097669552297</v>
      </c>
      <c r="AK2820">
        <v>24.4133453795191</v>
      </c>
      <c r="AL2820">
        <v>93.828738999153202</v>
      </c>
      <c r="AM2820">
        <v>91.376929002979693</v>
      </c>
      <c r="AN2820">
        <v>1.0000000084001901</v>
      </c>
    </row>
    <row r="2821" spans="1:40" x14ac:dyDescent="0.25">
      <c r="A2821" t="str">
        <f>"20190303154152706"</f>
        <v>20190303154152706</v>
      </c>
      <c r="B2821" t="str">
        <f>"1551598912702524"</f>
        <v>1551598912702524</v>
      </c>
      <c r="C2821" t="s">
        <v>40</v>
      </c>
      <c r="D2821">
        <v>5.1661299999999999</v>
      </c>
      <c r="E2821">
        <v>0.51781909999999998</v>
      </c>
      <c r="F2821" t="s">
        <v>51</v>
      </c>
      <c r="G2821">
        <v>-418.01659999999998</v>
      </c>
      <c r="H2821" s="1">
        <v>3.6558129999999999E-6</v>
      </c>
      <c r="I2821">
        <v>284.2955</v>
      </c>
      <c r="J2821">
        <v>-393.4153</v>
      </c>
      <c r="K2821">
        <v>1.1205909999999999</v>
      </c>
      <c r="L2821">
        <v>283.61860000000001</v>
      </c>
      <c r="M2821">
        <v>-0.9998842</v>
      </c>
      <c r="N2821">
        <v>-1.4665009999999999E-2</v>
      </c>
      <c r="O2821">
        <v>4.0984749999999999E-3</v>
      </c>
      <c r="P2821">
        <v>-0.99648270000000005</v>
      </c>
      <c r="Q2821">
        <v>-8.1231860000000003E-2</v>
      </c>
      <c r="R2821">
        <v>-2.059385E-2</v>
      </c>
      <c r="S2821">
        <v>-3.0011899999999998</v>
      </c>
      <c r="T2821">
        <v>-0.135538299999999</v>
      </c>
      <c r="U2821">
        <v>8.2000729999999994E-2</v>
      </c>
      <c r="V2821">
        <v>-2.4735409999999999E-2</v>
      </c>
      <c r="W2821">
        <v>-6.6589789999999996E-2</v>
      </c>
      <c r="X2821">
        <v>0.99747379999999997</v>
      </c>
      <c r="Y2821">
        <v>2.3185540000000001E-2</v>
      </c>
      <c r="Z2821">
        <v>5.6846160000000002E-4</v>
      </c>
      <c r="AA2821">
        <v>0.99973100000000004</v>
      </c>
      <c r="AB2821">
        <v>35</v>
      </c>
      <c r="AC2821">
        <v>-24.601299999999899</v>
      </c>
      <c r="AD2821">
        <v>-1.12058734418699</v>
      </c>
      <c r="AE2821">
        <v>0.67689999999998895</v>
      </c>
      <c r="AF2821">
        <v>0.57486384784288402</v>
      </c>
      <c r="AG2821">
        <v>-1.12058734418699</v>
      </c>
      <c r="AH2821">
        <v>24.552964046728</v>
      </c>
      <c r="AI2821">
        <v>92.612427883372902</v>
      </c>
      <c r="AJ2821">
        <v>88.658766587664502</v>
      </c>
      <c r="AK2821">
        <v>24.585244109413001</v>
      </c>
      <c r="AL2821">
        <v>93.818139168413694</v>
      </c>
      <c r="AM2821">
        <v>91.4205327480812</v>
      </c>
      <c r="AN2821">
        <v>1.0000000111632701</v>
      </c>
    </row>
    <row r="2822" spans="1:40" x14ac:dyDescent="0.25">
      <c r="A2822" t="str">
        <f>"20190303154152724"</f>
        <v>20190303154152724</v>
      </c>
      <c r="B2822" t="str">
        <f>"1551598912722044"</f>
        <v>1551598912722044</v>
      </c>
      <c r="C2822" t="s">
        <v>40</v>
      </c>
      <c r="D2822">
        <v>5.1776350000000004</v>
      </c>
      <c r="E2822">
        <v>0.51759520000000003</v>
      </c>
      <c r="F2822" t="s">
        <v>51</v>
      </c>
      <c r="G2822">
        <v>-418.28469999999999</v>
      </c>
      <c r="H2822" s="1">
        <v>3.7058359999999999E-6</v>
      </c>
      <c r="I2822">
        <v>284.2672</v>
      </c>
      <c r="J2822">
        <v>-393.709</v>
      </c>
      <c r="K2822">
        <v>1.1205940000000001</v>
      </c>
      <c r="L2822">
        <v>283.62009999999998</v>
      </c>
      <c r="M2822">
        <v>-0.99988279999999996</v>
      </c>
      <c r="N2822">
        <v>-1.4663310000000001E-2</v>
      </c>
      <c r="O2822">
        <v>4.4193289999999996E-3</v>
      </c>
      <c r="P2822">
        <v>-0.9964191</v>
      </c>
      <c r="Q2822">
        <v>-8.1786529999999996E-2</v>
      </c>
      <c r="R2822">
        <v>-2.1452869999999999E-2</v>
      </c>
      <c r="S2822">
        <v>-3.0012509999999999</v>
      </c>
      <c r="T2822">
        <v>-0.13523289999999999</v>
      </c>
      <c r="U2822">
        <v>7.8277589999999994E-2</v>
      </c>
      <c r="V2822">
        <v>-2.5914940000000001E-2</v>
      </c>
      <c r="W2822">
        <v>-6.7145930000000006E-2</v>
      </c>
      <c r="X2822">
        <v>0.99740649999999997</v>
      </c>
      <c r="Y2822">
        <v>2.1627190000000001E-2</v>
      </c>
      <c r="Z2822">
        <v>5.1140530000000003E-4</v>
      </c>
      <c r="AA2822">
        <v>0.99976600000000004</v>
      </c>
      <c r="AB2822">
        <v>35</v>
      </c>
      <c r="AC2822">
        <v>-24.575699999999902</v>
      </c>
      <c r="AD2822">
        <v>-1.120590294164</v>
      </c>
      <c r="AE2822">
        <v>0.64710000000002299</v>
      </c>
      <c r="AF2822">
        <v>0.53735744377489403</v>
      </c>
      <c r="AG2822">
        <v>-1.120590294164</v>
      </c>
      <c r="AH2822">
        <v>24.527359744706001</v>
      </c>
      <c r="AI2822">
        <v>92.615247112583205</v>
      </c>
      <c r="AJ2822">
        <v>88.744936698792799</v>
      </c>
      <c r="AK2822">
        <v>24.5588243137977</v>
      </c>
      <c r="AL2822">
        <v>93.850075383368704</v>
      </c>
      <c r="AM2822">
        <v>91.488342716486997</v>
      </c>
      <c r="AN2822">
        <v>0.99999994313650697</v>
      </c>
    </row>
    <row r="2823" spans="1:40" x14ac:dyDescent="0.25">
      <c r="A2823" t="str">
        <f>"20190303154152748"</f>
        <v>20190303154152748</v>
      </c>
      <c r="B2823" t="str">
        <f>"1551598912742550"</f>
        <v>1551598912742550</v>
      </c>
      <c r="C2823" t="s">
        <v>40</v>
      </c>
      <c r="D2823">
        <v>5.1954739999999999</v>
      </c>
      <c r="E2823">
        <v>0.5173394</v>
      </c>
      <c r="F2823" t="s">
        <v>51</v>
      </c>
      <c r="G2823">
        <v>-418.31880000000001</v>
      </c>
      <c r="H2823" s="1">
        <v>3.7153779999999999E-6</v>
      </c>
      <c r="I2823">
        <v>284.22719999999998</v>
      </c>
      <c r="J2823">
        <v>-394.0711</v>
      </c>
      <c r="K2823">
        <v>1.1205969999999901</v>
      </c>
      <c r="L2823">
        <v>283.62209999999999</v>
      </c>
      <c r="M2823">
        <v>-0.99988109999999997</v>
      </c>
      <c r="N2823">
        <v>-1.4660960000000001E-2</v>
      </c>
      <c r="O2823">
        <v>4.8133150000000003E-3</v>
      </c>
      <c r="P2823">
        <v>-0.99644299999999997</v>
      </c>
      <c r="Q2823">
        <v>-8.13411E-2</v>
      </c>
      <c r="R2823">
        <v>-2.2025530000000001E-2</v>
      </c>
      <c r="S2823">
        <v>-3.00116</v>
      </c>
      <c r="T2823">
        <v>-0.13665569999999999</v>
      </c>
      <c r="U2823">
        <v>7.403564E-2</v>
      </c>
      <c r="V2823">
        <v>-2.6881200000000001E-2</v>
      </c>
      <c r="W2823">
        <v>-6.6701650000000001E-2</v>
      </c>
      <c r="X2823">
        <v>0.99741080000000004</v>
      </c>
      <c r="Y2823">
        <v>1.9824000000000001E-2</v>
      </c>
      <c r="Z2823">
        <v>4.479997E-4</v>
      </c>
      <c r="AA2823">
        <v>0.99980340000000001</v>
      </c>
      <c r="AB2823">
        <v>35</v>
      </c>
      <c r="AC2823">
        <v>-24.247699999999998</v>
      </c>
      <c r="AD2823">
        <v>-1.1205932846219999</v>
      </c>
      <c r="AE2823">
        <v>0.60509999999999298</v>
      </c>
      <c r="AF2823">
        <v>0.48732846978021599</v>
      </c>
      <c r="AG2823">
        <v>-1.1205932846219999</v>
      </c>
      <c r="AH2823">
        <v>24.198681196886799</v>
      </c>
      <c r="AI2823">
        <v>92.650823888346594</v>
      </c>
      <c r="AJ2823">
        <v>88.846297013529593</v>
      </c>
      <c r="AK2823">
        <v>24.229514853078701</v>
      </c>
      <c r="AL2823">
        <v>93.824562573236307</v>
      </c>
      <c r="AM2823">
        <v>91.543803781577395</v>
      </c>
      <c r="AN2823">
        <v>1.0000000064914001</v>
      </c>
    </row>
    <row r="2824" spans="1:40" x14ac:dyDescent="0.25">
      <c r="A2824" t="str">
        <f>"20190303154152770"</f>
        <v>20190303154152770</v>
      </c>
      <c r="B2824" t="str">
        <f>"1551598912762060"</f>
        <v>1551598912762060</v>
      </c>
      <c r="C2824" t="s">
        <v>40</v>
      </c>
      <c r="D2824">
        <v>5.1984529999999998</v>
      </c>
      <c r="E2824">
        <v>0.5171521</v>
      </c>
      <c r="F2824" t="s">
        <v>51</v>
      </c>
      <c r="G2824">
        <v>-418.8689</v>
      </c>
      <c r="H2824" s="1">
        <v>3.8150349999999998E-6</v>
      </c>
      <c r="I2824">
        <v>284.20359999999999</v>
      </c>
      <c r="J2824">
        <v>-394.41539999999998</v>
      </c>
      <c r="K2824">
        <v>1.1206</v>
      </c>
      <c r="L2824">
        <v>283.6241</v>
      </c>
      <c r="M2824">
        <v>-0.99987910000000002</v>
      </c>
      <c r="N2824">
        <v>-1.465848E-2</v>
      </c>
      <c r="O2824">
        <v>5.1863630000000003E-3</v>
      </c>
      <c r="P2824">
        <v>-0.99645649999999997</v>
      </c>
      <c r="Q2824">
        <v>-8.1105549999999998E-2</v>
      </c>
      <c r="R2824">
        <v>-2.228378E-2</v>
      </c>
      <c r="S2824">
        <v>-3.0011899999999998</v>
      </c>
      <c r="T2824">
        <v>-0.1356212</v>
      </c>
      <c r="U2824">
        <v>7.0373539999999998E-2</v>
      </c>
      <c r="V2824">
        <v>-2.751085E-2</v>
      </c>
      <c r="W2824">
        <v>-6.6467830000000006E-2</v>
      </c>
      <c r="X2824">
        <v>0.9974092</v>
      </c>
      <c r="Y2824">
        <v>1.823406E-2</v>
      </c>
      <c r="Z2824">
        <v>3.8726359999999998E-4</v>
      </c>
      <c r="AA2824">
        <v>0.99983359999999999</v>
      </c>
      <c r="AB2824">
        <v>35</v>
      </c>
      <c r="AC2824">
        <v>-24.453499999999998</v>
      </c>
      <c r="AD2824">
        <v>-1.1205961849649999</v>
      </c>
      <c r="AE2824">
        <v>0.57949999999999502</v>
      </c>
      <c r="AF2824">
        <v>0.45170580509736002</v>
      </c>
      <c r="AG2824">
        <v>-1.1205961849649999</v>
      </c>
      <c r="AH2824">
        <v>24.404955589333198</v>
      </c>
      <c r="AI2824">
        <v>92.628539708356698</v>
      </c>
      <c r="AJ2824">
        <v>88.939646443817693</v>
      </c>
      <c r="AK2824">
        <v>24.434844612999701</v>
      </c>
      <c r="AL2824">
        <v>93.811136032679499</v>
      </c>
      <c r="AM2824">
        <v>91.579949381112101</v>
      </c>
      <c r="AN2824">
        <v>0.99999996576863504</v>
      </c>
    </row>
    <row r="2825" spans="1:40" x14ac:dyDescent="0.25">
      <c r="A2825" t="str">
        <f>"20190303154152784"</f>
        <v>20190303154152784</v>
      </c>
      <c r="B2825" t="str">
        <f>"1551598912772355"</f>
        <v>1551598912772355</v>
      </c>
      <c r="C2825" t="s">
        <v>40</v>
      </c>
      <c r="D2825">
        <v>5.2118699999999896</v>
      </c>
      <c r="E2825">
        <v>0.51707289999999995</v>
      </c>
      <c r="F2825" t="s">
        <v>51</v>
      </c>
      <c r="G2825">
        <v>-419.32459999999998</v>
      </c>
      <c r="H2825" s="1">
        <v>3.8969949999999998E-6</v>
      </c>
      <c r="I2825">
        <v>284.19069999999999</v>
      </c>
      <c r="J2825">
        <v>-394.61689999999999</v>
      </c>
      <c r="K2825">
        <v>1.12059</v>
      </c>
      <c r="L2825">
        <v>283.62540000000001</v>
      </c>
      <c r="M2825">
        <v>-0.99987809999999999</v>
      </c>
      <c r="N2825">
        <v>-1.465693E-2</v>
      </c>
      <c r="O2825">
        <v>5.4042939999999996E-3</v>
      </c>
      <c r="P2825">
        <v>-0.99649569999999998</v>
      </c>
      <c r="Q2825">
        <v>-8.0711420000000006E-2</v>
      </c>
      <c r="R2825">
        <v>-2.1954729999999999E-2</v>
      </c>
      <c r="S2825">
        <v>-3.0012210000000001</v>
      </c>
      <c r="T2825">
        <v>-0.13501640000000001</v>
      </c>
      <c r="U2825">
        <v>6.8267820000000007E-2</v>
      </c>
      <c r="V2825">
        <v>-2.739933E-2</v>
      </c>
      <c r="W2825">
        <v>-6.6074830000000001E-2</v>
      </c>
      <c r="X2825">
        <v>0.99743839999999995</v>
      </c>
      <c r="Y2825">
        <v>1.731626E-2</v>
      </c>
      <c r="Z2825">
        <v>3.524814E-4</v>
      </c>
      <c r="AA2825">
        <v>0.99985000000000002</v>
      </c>
      <c r="AB2825">
        <v>35</v>
      </c>
      <c r="AC2825">
        <v>-24.7076999999999</v>
      </c>
      <c r="AD2825">
        <v>-1.1205861030049999</v>
      </c>
      <c r="AE2825">
        <v>0.56529999999997904</v>
      </c>
      <c r="AF2825">
        <v>0.43086393357093</v>
      </c>
      <c r="AG2825">
        <v>-1.1205861030049999</v>
      </c>
      <c r="AH2825">
        <v>24.659697014517299</v>
      </c>
      <c r="AI2825">
        <v>92.601448718167802</v>
      </c>
      <c r="AJ2825">
        <v>88.9990074399891</v>
      </c>
      <c r="AK2825">
        <v>24.688904669735599</v>
      </c>
      <c r="AL2825">
        <v>93.788569110697196</v>
      </c>
      <c r="AM2825">
        <v>91.573501966440205</v>
      </c>
      <c r="AN2825">
        <v>0.99999998411926805</v>
      </c>
    </row>
    <row r="2826" spans="1:40" x14ac:dyDescent="0.25">
      <c r="A2826" t="str">
        <f>"20190303154152804"</f>
        <v>20190303154152804</v>
      </c>
      <c r="B2826" t="str">
        <f>"1551598912791847"</f>
        <v>1551598912791847</v>
      </c>
      <c r="C2826" t="s">
        <v>40</v>
      </c>
      <c r="D2826">
        <v>5.2107510000000001</v>
      </c>
      <c r="E2826">
        <v>0.51686390000000004</v>
      </c>
      <c r="F2826" t="s">
        <v>51</v>
      </c>
      <c r="G2826">
        <v>-419.7824</v>
      </c>
      <c r="H2826" s="1">
        <v>3.9774869999999999E-6</v>
      </c>
      <c r="I2826">
        <v>284.19889999999998</v>
      </c>
      <c r="J2826">
        <v>-394.94690000000003</v>
      </c>
      <c r="K2826">
        <v>1.1205940000000001</v>
      </c>
      <c r="L2826">
        <v>283.6275</v>
      </c>
      <c r="M2826">
        <v>-0.99987599999999999</v>
      </c>
      <c r="N2826">
        <v>-1.465429E-2</v>
      </c>
      <c r="O2826">
        <v>5.7611650000000004E-3</v>
      </c>
      <c r="P2826">
        <v>-0.99651120000000004</v>
      </c>
      <c r="Q2826">
        <v>-8.0585889999999993E-2</v>
      </c>
      <c r="R2826">
        <v>-2.1718689999999999E-2</v>
      </c>
      <c r="S2826">
        <v>-3.0012210000000001</v>
      </c>
      <c r="T2826">
        <v>-0.13364010000000001</v>
      </c>
      <c r="U2826">
        <v>6.8389889999999995E-2</v>
      </c>
      <c r="V2826">
        <v>-2.751893E-2</v>
      </c>
      <c r="W2826">
        <v>-6.5951659999999995E-2</v>
      </c>
      <c r="X2826">
        <v>0.99744330000000003</v>
      </c>
      <c r="Y2826">
        <v>1.7000959999999999E-2</v>
      </c>
      <c r="Z2826">
        <v>3.3097319999999999E-4</v>
      </c>
      <c r="AA2826">
        <v>0.99985539999999995</v>
      </c>
      <c r="AB2826">
        <v>35</v>
      </c>
      <c r="AC2826">
        <v>-24.8354999999999</v>
      </c>
      <c r="AD2826">
        <v>-1.1205900225130001</v>
      </c>
      <c r="AE2826">
        <v>0.57139999999998203</v>
      </c>
      <c r="AF2826">
        <v>0.42742401824854698</v>
      </c>
      <c r="AG2826">
        <v>-1.1205900225130001</v>
      </c>
      <c r="AH2826">
        <v>24.787941978689499</v>
      </c>
      <c r="AI2826">
        <v>92.588027310428103</v>
      </c>
      <c r="AJ2826">
        <v>89.012133979947194</v>
      </c>
      <c r="AK2826">
        <v>24.816939392858401</v>
      </c>
      <c r="AL2826">
        <v>93.781496408189696</v>
      </c>
      <c r="AM2826">
        <v>91.580359177753493</v>
      </c>
      <c r="AN2826">
        <v>1.0000000248399901</v>
      </c>
    </row>
    <row r="2827" spans="1:40" x14ac:dyDescent="0.25">
      <c r="A2827" t="str">
        <f>"20190303154152826"</f>
        <v>20190303154152826</v>
      </c>
      <c r="B2827" t="str">
        <f>"1551598912822104"</f>
        <v>1551598912822104</v>
      </c>
      <c r="C2827" t="s">
        <v>40</v>
      </c>
      <c r="D2827">
        <v>5.2407909999999998</v>
      </c>
      <c r="E2827">
        <v>0.51657489999999995</v>
      </c>
      <c r="F2827" t="s">
        <v>51</v>
      </c>
      <c r="G2827">
        <v>-420.16930000000002</v>
      </c>
      <c r="H2827" s="1">
        <v>3.971383E-6</v>
      </c>
      <c r="I2827">
        <v>284.19540000000001</v>
      </c>
      <c r="J2827">
        <v>-395.28559999999999</v>
      </c>
      <c r="K2827">
        <v>1.1205989999999999</v>
      </c>
      <c r="L2827">
        <v>283.62990000000002</v>
      </c>
      <c r="M2827">
        <v>-0.99987400000000004</v>
      </c>
      <c r="N2827">
        <v>-1.465147E-2</v>
      </c>
      <c r="O2827">
        <v>6.1266109999999997E-3</v>
      </c>
      <c r="P2827">
        <v>-0.99655590000000005</v>
      </c>
      <c r="Q2827">
        <v>-8.0309580000000005E-2</v>
      </c>
      <c r="R2827">
        <v>-2.066374E-2</v>
      </c>
      <c r="S2827">
        <v>-3.0011899999999998</v>
      </c>
      <c r="T2827">
        <v>-0.1333385</v>
      </c>
      <c r="U2827">
        <v>6.7565920000000002E-2</v>
      </c>
      <c r="V2827">
        <v>-2.6828339999999999E-2</v>
      </c>
      <c r="W2827">
        <v>-6.5678159999999999E-2</v>
      </c>
      <c r="X2827">
        <v>0.99748020000000004</v>
      </c>
      <c r="Y2827">
        <v>1.6362450000000001E-2</v>
      </c>
      <c r="Z2827">
        <v>3.0092969999999999E-4</v>
      </c>
      <c r="AA2827">
        <v>0.99986609999999998</v>
      </c>
      <c r="AB2827">
        <v>35</v>
      </c>
      <c r="AC2827">
        <v>-24.883700000000001</v>
      </c>
      <c r="AD2827">
        <v>-1.1205950286170001</v>
      </c>
      <c r="AE2827">
        <v>0.56549999999998501</v>
      </c>
      <c r="AF2827">
        <v>0.41218480670649799</v>
      </c>
      <c r="AG2827">
        <v>-1.1205950286170001</v>
      </c>
      <c r="AH2827">
        <v>24.836355782056199</v>
      </c>
      <c r="AI2827">
        <v>92.583029039303099</v>
      </c>
      <c r="AJ2827">
        <v>89.049205038048996</v>
      </c>
      <c r="AK2827">
        <v>24.865039675534799</v>
      </c>
      <c r="AL2827">
        <v>93.765791811914298</v>
      </c>
      <c r="AM2827">
        <v>91.540662316330099</v>
      </c>
      <c r="AN2827">
        <v>1.00000006496008</v>
      </c>
    </row>
    <row r="2828" spans="1:40" x14ac:dyDescent="0.25">
      <c r="A2828" t="str">
        <f>"20190303154152849"</f>
        <v>20190303154152849</v>
      </c>
      <c r="B2828" t="str">
        <f>"1551598912842598"</f>
        <v>1551598912842598</v>
      </c>
      <c r="C2828" t="s">
        <v>40</v>
      </c>
      <c r="D2828">
        <v>5.2305229999999998</v>
      </c>
      <c r="E2828">
        <v>0.51636490000000002</v>
      </c>
      <c r="F2828" t="s">
        <v>51</v>
      </c>
      <c r="G2828">
        <v>-420.6096</v>
      </c>
      <c r="H2828" s="1">
        <v>3.8921350000000003E-6</v>
      </c>
      <c r="I2828">
        <v>284.20830000000001</v>
      </c>
      <c r="J2828">
        <v>-395.63589999999999</v>
      </c>
      <c r="K2828">
        <v>1.1206069999999999</v>
      </c>
      <c r="L2828">
        <v>283.63240000000002</v>
      </c>
      <c r="M2828">
        <v>-0.99987159999999997</v>
      </c>
      <c r="N2828">
        <v>-1.4648410000000001E-2</v>
      </c>
      <c r="O2828">
        <v>6.501972E-3</v>
      </c>
      <c r="P2828">
        <v>-0.99661739999999999</v>
      </c>
      <c r="Q2828">
        <v>-7.9810710000000007E-2</v>
      </c>
      <c r="R2828">
        <v>-1.9599729999999999E-2</v>
      </c>
      <c r="S2828">
        <v>-3.001099</v>
      </c>
      <c r="T2828">
        <v>-0.13279939999999901</v>
      </c>
      <c r="U2828">
        <v>6.8542480000000003E-2</v>
      </c>
      <c r="V2828">
        <v>-2.6137609999999999E-2</v>
      </c>
      <c r="W2828">
        <v>-6.5182249999999997E-2</v>
      </c>
      <c r="X2828">
        <v>0.99753099999999995</v>
      </c>
      <c r="Y2828">
        <v>1.6313319999999999E-2</v>
      </c>
      <c r="Z2828">
        <v>2.879712E-4</v>
      </c>
      <c r="AA2828">
        <v>0.9998669</v>
      </c>
      <c r="AB2828">
        <v>35</v>
      </c>
      <c r="AC2828">
        <v>-24.973700000000001</v>
      </c>
      <c r="AD2828">
        <v>-1.1206031078649901</v>
      </c>
      <c r="AE2828">
        <v>0.57589999999998998</v>
      </c>
      <c r="AF2828">
        <v>0.41266168098774397</v>
      </c>
      <c r="AG2828">
        <v>-1.1206031078649901</v>
      </c>
      <c r="AH2828">
        <v>24.926755123562899</v>
      </c>
      <c r="AI2828">
        <v>92.573694327092994</v>
      </c>
      <c r="AJ2828">
        <v>89.051556733619904</v>
      </c>
      <c r="AK2828">
        <v>24.955343355249301</v>
      </c>
      <c r="AL2828">
        <v>93.737317496665298</v>
      </c>
      <c r="AM2828">
        <v>91.500937971197104</v>
      </c>
      <c r="AN2828">
        <v>0.99999999816628704</v>
      </c>
    </row>
    <row r="2829" spans="1:40" x14ac:dyDescent="0.25">
      <c r="A2829" t="str">
        <f>"20190303154152872"</f>
        <v>20190303154152872</v>
      </c>
      <c r="B2829" t="str">
        <f>"1551598912862119"</f>
        <v>1551598912862119</v>
      </c>
      <c r="C2829" t="s">
        <v>40</v>
      </c>
      <c r="D2829">
        <v>5.2970119999999996</v>
      </c>
      <c r="E2829">
        <v>0.51616629999999997</v>
      </c>
      <c r="F2829" t="s">
        <v>51</v>
      </c>
      <c r="G2829">
        <v>-421.17430000000002</v>
      </c>
      <c r="H2829" s="1">
        <v>3.7901119999999998E-6</v>
      </c>
      <c r="I2829">
        <v>284.22949999999997</v>
      </c>
      <c r="J2829">
        <v>-395.9871</v>
      </c>
      <c r="K2829">
        <v>1.1206149999999999</v>
      </c>
      <c r="L2829">
        <v>283.63510000000002</v>
      </c>
      <c r="M2829">
        <v>-0.99986929999999996</v>
      </c>
      <c r="N2829">
        <v>-1.464523E-2</v>
      </c>
      <c r="O2829">
        <v>6.8698830000000002E-3</v>
      </c>
      <c r="P2829">
        <v>-0.99667660000000002</v>
      </c>
      <c r="Q2829">
        <v>-7.9289310000000002E-2</v>
      </c>
      <c r="R2829">
        <v>-1.8687390000000002E-2</v>
      </c>
      <c r="S2829">
        <v>-3.0010379999999999</v>
      </c>
      <c r="T2829">
        <v>-0.13168299999999999</v>
      </c>
      <c r="U2829">
        <v>7.0159910000000006E-2</v>
      </c>
      <c r="V2829">
        <v>-2.559146E-2</v>
      </c>
      <c r="W2829">
        <v>-6.4664100000000002E-2</v>
      </c>
      <c r="X2829">
        <v>0.99757890000000005</v>
      </c>
      <c r="Y2829">
        <v>1.648465E-2</v>
      </c>
      <c r="Z2829">
        <v>2.8157639999999999E-4</v>
      </c>
      <c r="AA2829">
        <v>0.99986410000000003</v>
      </c>
      <c r="AB2829">
        <v>35</v>
      </c>
      <c r="AC2829">
        <v>-25.187200000000001</v>
      </c>
      <c r="AD2829">
        <v>-1.1206112098879999</v>
      </c>
      <c r="AE2829">
        <v>0.59439999999994997</v>
      </c>
      <c r="AF2829">
        <v>0.42050240861043198</v>
      </c>
      <c r="AG2829">
        <v>-1.1206112098879999</v>
      </c>
      <c r="AH2829">
        <v>25.140951204944699</v>
      </c>
      <c r="AI2829">
        <v>92.551807237235494</v>
      </c>
      <c r="AJ2829">
        <v>89.041771857489607</v>
      </c>
      <c r="AK2829">
        <v>25.1694262796907</v>
      </c>
      <c r="AL2829">
        <v>93.707566859092694</v>
      </c>
      <c r="AM2829">
        <v>91.469518972616001</v>
      </c>
      <c r="AN2829">
        <v>1.0000000151894699</v>
      </c>
    </row>
    <row r="2830" spans="1:40" x14ac:dyDescent="0.25">
      <c r="A2830" t="str">
        <f>"20190303154152893"</f>
        <v>20190303154152893</v>
      </c>
      <c r="B2830" t="str">
        <f>"1551598912882147"</f>
        <v>1551598912882147</v>
      </c>
      <c r="C2830" t="s">
        <v>40</v>
      </c>
      <c r="D2830">
        <v>5.2683910000000003</v>
      </c>
      <c r="E2830">
        <v>0.51595400000000002</v>
      </c>
      <c r="F2830" t="s">
        <v>51</v>
      </c>
      <c r="G2830">
        <v>-421.74349999999998</v>
      </c>
      <c r="H2830" s="1">
        <v>3.68772E-6</v>
      </c>
      <c r="I2830">
        <v>284.24590000000001</v>
      </c>
      <c r="J2830">
        <v>-396.3288</v>
      </c>
      <c r="K2830">
        <v>1.1206240000000001</v>
      </c>
      <c r="L2830">
        <v>283.63780000000003</v>
      </c>
      <c r="M2830">
        <v>-0.9998667</v>
      </c>
      <c r="N2830">
        <v>-1.464203E-2</v>
      </c>
      <c r="O2830">
        <v>7.2133969999999999E-3</v>
      </c>
      <c r="P2830">
        <v>-0.99669379999999996</v>
      </c>
      <c r="Q2830">
        <v>-7.9274330000000004E-2</v>
      </c>
      <c r="R2830">
        <v>-1.7805890000000001E-2</v>
      </c>
      <c r="S2830">
        <v>-3.0009160000000001</v>
      </c>
      <c r="T2830">
        <v>-0.13056429999999999</v>
      </c>
      <c r="U2830">
        <v>7.1166989999999999E-2</v>
      </c>
      <c r="V2830">
        <v>-2.5050619999999999E-2</v>
      </c>
      <c r="W2830">
        <v>-6.4653189999999999E-2</v>
      </c>
      <c r="X2830">
        <v>0.99759330000000002</v>
      </c>
      <c r="Y2830">
        <v>1.6477840000000001E-2</v>
      </c>
      <c r="Z2830">
        <v>2.7091339999999999E-4</v>
      </c>
      <c r="AA2830">
        <v>0.99986419999999998</v>
      </c>
      <c r="AB2830">
        <v>35</v>
      </c>
      <c r="AC2830">
        <v>-25.4146999999999</v>
      </c>
      <c r="AD2830">
        <v>-1.12062031227999</v>
      </c>
      <c r="AE2830">
        <v>0.60809999999997899</v>
      </c>
      <c r="AF2830">
        <v>0.42391447113747399</v>
      </c>
      <c r="AG2830">
        <v>-1.12062031227999</v>
      </c>
      <c r="AH2830">
        <v>25.369130453446999</v>
      </c>
      <c r="AI2830">
        <v>92.528906468011897</v>
      </c>
      <c r="AJ2830">
        <v>89.042684971502197</v>
      </c>
      <c r="AK2830">
        <v>25.397406822885401</v>
      </c>
      <c r="AL2830">
        <v>93.706940580598101</v>
      </c>
      <c r="AM2830">
        <v>91.438455162055007</v>
      </c>
      <c r="AN2830">
        <v>0.99999998037222504</v>
      </c>
    </row>
    <row r="2831" spans="1:40" x14ac:dyDescent="0.25">
      <c r="A2831" t="str">
        <f>"20190303154152915"</f>
        <v>20190303154152915</v>
      </c>
      <c r="B2831" t="str">
        <f>"1551598912912403"</f>
        <v>1551598912912403</v>
      </c>
      <c r="C2831" t="s">
        <v>40</v>
      </c>
      <c r="D2831">
        <v>5.2938980000000004</v>
      </c>
      <c r="E2831">
        <v>0.51566880000000004</v>
      </c>
      <c r="F2831" t="s">
        <v>51</v>
      </c>
      <c r="G2831">
        <v>-421.96789999999999</v>
      </c>
      <c r="H2831" s="1">
        <v>3.6470009999999998E-6</v>
      </c>
      <c r="I2831">
        <v>284.25630000000001</v>
      </c>
      <c r="J2831">
        <v>-396.6635</v>
      </c>
      <c r="K2831">
        <v>1.1206430000000001</v>
      </c>
      <c r="L2831">
        <v>283.64060000000001</v>
      </c>
      <c r="M2831">
        <v>-0.99986450000000004</v>
      </c>
      <c r="N2831">
        <v>-1.4638770000000001E-2</v>
      </c>
      <c r="O2831">
        <v>7.5294100000000003E-3</v>
      </c>
      <c r="P2831">
        <v>-0.99671359999999998</v>
      </c>
      <c r="Q2831">
        <v>-7.9157539999999998E-2</v>
      </c>
      <c r="R2831">
        <v>-1.721628E-2</v>
      </c>
      <c r="S2831">
        <v>-3.0008240000000002</v>
      </c>
      <c r="T2831">
        <v>-0.13115859999999999</v>
      </c>
      <c r="U2831">
        <v>7.2387699999999999E-2</v>
      </c>
      <c r="V2831">
        <v>-2.4773949999999999E-2</v>
      </c>
      <c r="W2831">
        <v>-6.4540539999999993E-2</v>
      </c>
      <c r="X2831">
        <v>0.99760749999999998</v>
      </c>
      <c r="Y2831">
        <v>1.6568949999999999E-2</v>
      </c>
      <c r="Z2831">
        <v>2.6454670000000002E-4</v>
      </c>
      <c r="AA2831">
        <v>0.99986269999999999</v>
      </c>
      <c r="AB2831">
        <v>35</v>
      </c>
      <c r="AC2831">
        <v>-25.304399999999902</v>
      </c>
      <c r="AD2831">
        <v>-1.120639352999</v>
      </c>
      <c r="AE2831">
        <v>0.61570000000000302</v>
      </c>
      <c r="AF2831">
        <v>0.424303238520579</v>
      </c>
      <c r="AG2831">
        <v>-1.120639352999</v>
      </c>
      <c r="AH2831">
        <v>25.2588086216806</v>
      </c>
      <c r="AI2831">
        <v>92.539976777692303</v>
      </c>
      <c r="AJ2831">
        <v>89.037622918966093</v>
      </c>
      <c r="AK2831">
        <v>25.287215718311</v>
      </c>
      <c r="AL2831">
        <v>93.700472714936396</v>
      </c>
      <c r="AM2831">
        <v>91.422554558360105</v>
      </c>
      <c r="AN2831">
        <v>0.99999997697917098</v>
      </c>
    </row>
    <row r="2832" spans="1:40" x14ac:dyDescent="0.25">
      <c r="A2832" t="str">
        <f>"20190303154152939"</f>
        <v>20190303154152939</v>
      </c>
      <c r="B2832" t="str">
        <f>"1551598912931923"</f>
        <v>1551598912931923</v>
      </c>
      <c r="C2832" t="s">
        <v>40</v>
      </c>
      <c r="D2832">
        <v>5.3407720000000003</v>
      </c>
      <c r="E2832">
        <v>0.50587660000000001</v>
      </c>
      <c r="F2832" t="s">
        <v>51</v>
      </c>
      <c r="G2832">
        <v>-422.12150000000003</v>
      </c>
      <c r="H2832" s="1">
        <v>3.6202160000000001E-6</v>
      </c>
      <c r="I2832">
        <v>284.25119999999998</v>
      </c>
      <c r="J2832">
        <v>-397.02379999999999</v>
      </c>
      <c r="K2832">
        <v>1.120668</v>
      </c>
      <c r="L2832">
        <v>283.64359999999999</v>
      </c>
      <c r="M2832">
        <v>-0.99986229999999998</v>
      </c>
      <c r="N2832">
        <v>-1.4634289999999999E-2</v>
      </c>
      <c r="O2832">
        <v>7.8373829999999998E-3</v>
      </c>
      <c r="P2832">
        <v>-0.99672450000000001</v>
      </c>
      <c r="Q2832">
        <v>-7.916202E-2</v>
      </c>
      <c r="R2832">
        <v>-1.6559250000000001E-2</v>
      </c>
      <c r="S2832">
        <v>-3.0006409999999999</v>
      </c>
      <c r="T2832">
        <v>-0.13208619999999999</v>
      </c>
      <c r="U2832">
        <v>7.1960449999999995E-2</v>
      </c>
      <c r="V2832">
        <v>-2.442049E-2</v>
      </c>
      <c r="W2832">
        <v>-6.4550999999999997E-2</v>
      </c>
      <c r="X2832">
        <v>0.99761560000000005</v>
      </c>
      <c r="Y2832">
        <v>1.6120679999999998E-2</v>
      </c>
      <c r="Z2832">
        <v>2.4252639999999999E-4</v>
      </c>
      <c r="AA2832">
        <v>0.99987000000000004</v>
      </c>
      <c r="AB2832">
        <v>35</v>
      </c>
      <c r="AC2832">
        <v>-25.0977</v>
      </c>
      <c r="AD2832">
        <v>-1.1206643797839999</v>
      </c>
      <c r="AE2832">
        <v>0.60759999999999004</v>
      </c>
      <c r="AF2832">
        <v>0.41004293367233602</v>
      </c>
      <c r="AG2832">
        <v>-1.1206643797839999</v>
      </c>
      <c r="AH2832">
        <v>25.0517723573175</v>
      </c>
      <c r="AI2832">
        <v>92.561015533086106</v>
      </c>
      <c r="AJ2832">
        <v>89.062276653044705</v>
      </c>
      <c r="AK2832">
        <v>25.080177872224599</v>
      </c>
      <c r="AL2832">
        <v>93.701073052576902</v>
      </c>
      <c r="AM2832">
        <v>91.402255176491195</v>
      </c>
      <c r="AN2832">
        <v>1.0000000386480901</v>
      </c>
    </row>
    <row r="2833" spans="1:40" x14ac:dyDescent="0.25">
      <c r="A2833" t="str">
        <f>"20190303154152951"</f>
        <v>20190303154152951</v>
      </c>
      <c r="B2833" t="str">
        <f>"1551598912942659"</f>
        <v>1551598912942659</v>
      </c>
      <c r="C2833" t="s">
        <v>40</v>
      </c>
      <c r="D2833">
        <v>5.3229660000000001</v>
      </c>
      <c r="E2833">
        <v>0.50671729999999904</v>
      </c>
      <c r="F2833" t="s">
        <v>51</v>
      </c>
      <c r="G2833">
        <v>-412.8768</v>
      </c>
      <c r="H2833" s="1">
        <v>2.8025810000000002E-6</v>
      </c>
      <c r="I2833">
        <v>283.62650000000002</v>
      </c>
      <c r="J2833">
        <v>-397.233</v>
      </c>
      <c r="K2833">
        <v>1.120684</v>
      </c>
      <c r="L2833">
        <v>283.6454</v>
      </c>
      <c r="M2833">
        <v>-0.99986109999999995</v>
      </c>
      <c r="N2833">
        <v>-1.4628250000000001E-2</v>
      </c>
      <c r="O2833">
        <v>8.0005409999999999E-3</v>
      </c>
      <c r="P2833">
        <v>-0.9967049</v>
      </c>
      <c r="Q2833">
        <v>-7.9462389999999994E-2</v>
      </c>
      <c r="R2833">
        <v>-1.628976E-2</v>
      </c>
      <c r="S2833">
        <v>-2.9930110000000001</v>
      </c>
      <c r="T2833">
        <v>-0.2115792</v>
      </c>
      <c r="U2833">
        <v>-3.2348630000000001E-3</v>
      </c>
      <c r="V2833">
        <v>-2.4311070000000001E-2</v>
      </c>
      <c r="W2833">
        <v>-6.4858659999999999E-2</v>
      </c>
      <c r="X2833">
        <v>0.99759830000000005</v>
      </c>
      <c r="Y2833">
        <v>-9.0423599999999993E-3</v>
      </c>
      <c r="Z2833">
        <v>-8.3338140000000004E-4</v>
      </c>
      <c r="AA2833">
        <v>0.99995880000000004</v>
      </c>
      <c r="AB2833">
        <v>35</v>
      </c>
      <c r="AC2833">
        <v>-15.643800000000001</v>
      </c>
      <c r="AD2833">
        <v>-1.1206811974190001</v>
      </c>
      <c r="AE2833">
        <v>-1.8899999999973702E-2</v>
      </c>
      <c r="AF2833">
        <v>-0.14333605045037501</v>
      </c>
      <c r="AG2833">
        <v>-1.1206811974190001</v>
      </c>
      <c r="AH2833">
        <v>15.563278644732801</v>
      </c>
      <c r="AI2833">
        <v>94.118473945002606</v>
      </c>
      <c r="AJ2833">
        <v>90.527672782863405</v>
      </c>
      <c r="AK2833">
        <v>15.6042338403141</v>
      </c>
      <c r="AL2833">
        <v>93.718737754273903</v>
      </c>
      <c r="AM2833">
        <v>91.395998833516899</v>
      </c>
      <c r="AN2833">
        <v>1.00000002103221</v>
      </c>
    </row>
    <row r="2834" spans="1:40" x14ac:dyDescent="0.25">
      <c r="A2834" t="str">
        <f>"20190303154152965"</f>
        <v>20190303154152965</v>
      </c>
      <c r="B2834" t="str">
        <f>"1551598912962178"</f>
        <v>1551598912962178</v>
      </c>
      <c r="C2834" t="s">
        <v>40</v>
      </c>
      <c r="D2834">
        <v>5.3886940000000001</v>
      </c>
      <c r="E2834">
        <v>0.50649319999999998</v>
      </c>
      <c r="F2834" t="s">
        <v>51</v>
      </c>
      <c r="G2834">
        <v>-413.9264</v>
      </c>
      <c r="H2834" s="1">
        <v>2.9851149999999998E-6</v>
      </c>
      <c r="I2834">
        <v>283.66820000000001</v>
      </c>
      <c r="J2834">
        <v>-397.42939999999999</v>
      </c>
      <c r="K2834">
        <v>1.1206989999999999</v>
      </c>
      <c r="L2834">
        <v>283.6472</v>
      </c>
      <c r="M2834">
        <v>-0.99985990000000002</v>
      </c>
      <c r="N2834">
        <v>-1.4620319999999999E-2</v>
      </c>
      <c r="O2834">
        <v>8.1441139999999992E-3</v>
      </c>
      <c r="P2834">
        <v>-0.99669140000000001</v>
      </c>
      <c r="Q2834">
        <v>-7.9720819999999998E-2</v>
      </c>
      <c r="R2834">
        <v>-1.583996E-2</v>
      </c>
      <c r="S2834">
        <v>-2.9939580000000001</v>
      </c>
      <c r="T2834">
        <v>-0.20099339999999999</v>
      </c>
      <c r="U2834">
        <v>4.0893550000000002E-3</v>
      </c>
      <c r="V2834">
        <v>-2.40024E-2</v>
      </c>
      <c r="W2834">
        <v>-6.5126219999999999E-2</v>
      </c>
      <c r="X2834">
        <v>0.99758829999999998</v>
      </c>
      <c r="Y2834">
        <v>-6.7494319999999997E-3</v>
      </c>
      <c r="Z2834">
        <v>-7.0285629999999996E-4</v>
      </c>
      <c r="AA2834">
        <v>0.999977</v>
      </c>
      <c r="AB2834">
        <v>35</v>
      </c>
      <c r="AC2834">
        <v>-16.497</v>
      </c>
      <c r="AD2834">
        <v>-1.12069601488499</v>
      </c>
      <c r="AE2834">
        <v>2.1000000000015E-2</v>
      </c>
      <c r="AF2834">
        <v>-0.112847729315457</v>
      </c>
      <c r="AG2834">
        <v>-1.12069601488499</v>
      </c>
      <c r="AH2834">
        <v>16.420842803718301</v>
      </c>
      <c r="AI2834">
        <v>93.904198213953293</v>
      </c>
      <c r="AJ2834">
        <v>90.393743299985502</v>
      </c>
      <c r="AK2834">
        <v>16.459428074882101</v>
      </c>
      <c r="AL2834">
        <v>93.734100453763403</v>
      </c>
      <c r="AM2834">
        <v>91.378294967656998</v>
      </c>
      <c r="AN2834">
        <v>0.99999997801706897</v>
      </c>
    </row>
    <row r="2835" spans="1:40" x14ac:dyDescent="0.25">
      <c r="A2835" t="str">
        <f>"20190303154152983"</f>
        <v>20190303154152983</v>
      </c>
      <c r="B2835" t="str">
        <f>"1551598912971939"</f>
        <v>1551598912971939</v>
      </c>
      <c r="C2835" t="s">
        <v>40</v>
      </c>
      <c r="D2835">
        <v>5.3191959999999998</v>
      </c>
      <c r="E2835">
        <v>0.50677890000000003</v>
      </c>
      <c r="F2835" t="s">
        <v>51</v>
      </c>
      <c r="G2835">
        <v>-413.9581</v>
      </c>
      <c r="H2835" s="1">
        <v>2.9906729999999999E-6</v>
      </c>
      <c r="I2835">
        <v>283.66890000000001</v>
      </c>
      <c r="J2835">
        <v>-397.70949999999999</v>
      </c>
      <c r="K2835">
        <v>1.1207119999999999</v>
      </c>
      <c r="L2835">
        <v>283.6497</v>
      </c>
      <c r="M2835">
        <v>-0.99985869999999999</v>
      </c>
      <c r="N2835">
        <v>-1.4601060000000001E-2</v>
      </c>
      <c r="O2835">
        <v>8.3328959999999994E-3</v>
      </c>
      <c r="P2835">
        <v>-0.99665780000000004</v>
      </c>
      <c r="Q2835">
        <v>-8.0213419999999994E-2</v>
      </c>
      <c r="R2835">
        <v>-1.54707E-2</v>
      </c>
      <c r="S2835">
        <v>-2.9937740000000002</v>
      </c>
      <c r="T2835">
        <v>-0.202988</v>
      </c>
      <c r="U2835">
        <v>3.9367680000000002E-3</v>
      </c>
      <c r="V2835">
        <v>-2.3817979999999999E-2</v>
      </c>
      <c r="W2835">
        <v>-6.5639790000000003E-2</v>
      </c>
      <c r="X2835">
        <v>0.99755910000000003</v>
      </c>
      <c r="Y2835">
        <v>-6.987554E-3</v>
      </c>
      <c r="Z2835">
        <v>-7.3048239999999999E-4</v>
      </c>
      <c r="AA2835">
        <v>0.99997530000000001</v>
      </c>
      <c r="AB2835">
        <v>34</v>
      </c>
      <c r="AC2835">
        <v>-16.2486</v>
      </c>
      <c r="AD2835">
        <v>-1.120709009327</v>
      </c>
      <c r="AE2835">
        <v>1.9200000000011999E-2</v>
      </c>
      <c r="AF2835">
        <v>-0.115662759373431</v>
      </c>
      <c r="AG2835">
        <v>-1.120709009327</v>
      </c>
      <c r="AH2835">
        <v>16.171265484690998</v>
      </c>
      <c r="AI2835">
        <v>93.964300589192902</v>
      </c>
      <c r="AJ2835">
        <v>90.409793220241497</v>
      </c>
      <c r="AK2835">
        <v>16.210465568078199</v>
      </c>
      <c r="AL2835">
        <v>93.763588795399102</v>
      </c>
      <c r="AM2835">
        <v>91.367749036096797</v>
      </c>
      <c r="AN2835">
        <v>1.00000001809766</v>
      </c>
    </row>
    <row r="2836" spans="1:40" x14ac:dyDescent="0.25">
      <c r="A2836" t="str">
        <f>"20190303154152995"</f>
        <v>20190303154152995</v>
      </c>
      <c r="B2836" t="str">
        <f>"1551598912992435"</f>
        <v>1551598912992435</v>
      </c>
      <c r="C2836" t="s">
        <v>40</v>
      </c>
      <c r="D2836">
        <v>5.3518299999999996</v>
      </c>
      <c r="E2836">
        <v>0.5070981</v>
      </c>
      <c r="F2836" t="s">
        <v>51</v>
      </c>
      <c r="G2836">
        <v>-414.58679999999998</v>
      </c>
      <c r="H2836" s="1">
        <v>3.1003440000000001E-6</v>
      </c>
      <c r="I2836">
        <v>283.69009999999997</v>
      </c>
      <c r="J2836">
        <v>-397.90010000000001</v>
      </c>
      <c r="K2836">
        <v>1.1207210000000001</v>
      </c>
      <c r="L2836">
        <v>283.65140000000002</v>
      </c>
      <c r="M2836">
        <v>-0.99985800000000002</v>
      </c>
      <c r="N2836">
        <v>-1.458131E-2</v>
      </c>
      <c r="O2836">
        <v>8.4516390000000004E-3</v>
      </c>
      <c r="P2836">
        <v>-0.99666580000000005</v>
      </c>
      <c r="Q2836">
        <v>-8.0130729999999997E-2</v>
      </c>
      <c r="R2836">
        <v>-1.537787E-2</v>
      </c>
      <c r="S2836">
        <v>-2.994202</v>
      </c>
      <c r="T2836">
        <v>-0.19882569999999999</v>
      </c>
      <c r="U2836">
        <v>7.1716310000000004E-3</v>
      </c>
      <c r="V2836">
        <v>-2.3841379999999999E-2</v>
      </c>
      <c r="W2836">
        <v>-6.5577570000000002E-2</v>
      </c>
      <c r="X2836">
        <v>0.99756259999999997</v>
      </c>
      <c r="Y2836">
        <v>-6.0298959999999999E-3</v>
      </c>
      <c r="Z2836">
        <v>-6.8146259999999996E-4</v>
      </c>
      <c r="AA2836">
        <v>0.99998160000000003</v>
      </c>
      <c r="AB2836">
        <v>34</v>
      </c>
      <c r="AC2836">
        <v>-16.686699999999899</v>
      </c>
      <c r="AD2836">
        <v>-1.1207178996560001</v>
      </c>
      <c r="AE2836">
        <v>3.8699999999948803E-2</v>
      </c>
      <c r="AF2836">
        <v>-0.101886751013403</v>
      </c>
      <c r="AG2836">
        <v>-1.1207178996560001</v>
      </c>
      <c r="AH2836">
        <v>16.611500577752</v>
      </c>
      <c r="AI2836">
        <v>93.859617785587105</v>
      </c>
      <c r="AJ2836">
        <v>90.351419643960696</v>
      </c>
      <c r="AK2836">
        <v>16.649574798333301</v>
      </c>
      <c r="AL2836">
        <v>93.760016279170401</v>
      </c>
      <c r="AM2836">
        <v>91.369087469710095</v>
      </c>
      <c r="AN2836">
        <v>0.99999998500308396</v>
      </c>
    </row>
    <row r="2837" spans="1:40" x14ac:dyDescent="0.25">
      <c r="A2837" t="str">
        <f>"20190303154153009"</f>
        <v>20190303154153009</v>
      </c>
      <c r="B2837" t="str">
        <f>"1551598913002196"</f>
        <v>1551598913002196</v>
      </c>
      <c r="C2837" t="s">
        <v>40</v>
      </c>
      <c r="D2837">
        <v>5.3949189999999998</v>
      </c>
      <c r="E2837">
        <v>0.50668760000000002</v>
      </c>
      <c r="F2837" t="s">
        <v>51</v>
      </c>
      <c r="G2837">
        <v>-415.17559999999997</v>
      </c>
      <c r="H2837" s="1">
        <v>3.2031720000000002E-6</v>
      </c>
      <c r="I2837">
        <v>283.70859999999999</v>
      </c>
      <c r="J2837">
        <v>-398.1035</v>
      </c>
      <c r="K2837">
        <v>1.12073</v>
      </c>
      <c r="L2837">
        <v>283.65320000000003</v>
      </c>
      <c r="M2837">
        <v>-0.99985749999999995</v>
      </c>
      <c r="N2837">
        <v>-1.454887E-2</v>
      </c>
      <c r="O2837">
        <v>8.561216E-3</v>
      </c>
      <c r="P2837">
        <v>-0.99667879999999998</v>
      </c>
      <c r="Q2837">
        <v>-7.9962920000000007E-2</v>
      </c>
      <c r="R2837">
        <v>-1.54042E-2</v>
      </c>
      <c r="S2837">
        <v>-2.9945979999999999</v>
      </c>
      <c r="T2837">
        <v>-0.19426979999999999</v>
      </c>
      <c r="U2837">
        <v>9.9182130000000004E-3</v>
      </c>
      <c r="V2837">
        <v>-2.3974309999999999E-2</v>
      </c>
      <c r="W2837">
        <v>-6.5442790000000001E-2</v>
      </c>
      <c r="X2837">
        <v>0.99756829999999996</v>
      </c>
      <c r="Y2837">
        <v>-5.2258979999999997E-3</v>
      </c>
      <c r="Z2837">
        <v>-6.3774000000000003E-4</v>
      </c>
      <c r="AA2837">
        <v>0.99998609999999999</v>
      </c>
      <c r="AB2837">
        <v>34</v>
      </c>
      <c r="AC2837">
        <v>-17.072099999999899</v>
      </c>
      <c r="AD2837">
        <v>-1.1207267968279999</v>
      </c>
      <c r="AE2837">
        <v>5.5399999999963201E-2</v>
      </c>
      <c r="AF2837">
        <v>-9.0385925683291596E-2</v>
      </c>
      <c r="AG2837">
        <v>-1.1207267968279999</v>
      </c>
      <c r="AH2837">
        <v>16.9986936671846</v>
      </c>
      <c r="AI2837">
        <v>93.772008299109999</v>
      </c>
      <c r="AJ2837">
        <v>90.304651837683096</v>
      </c>
      <c r="AK2837">
        <v>17.035838240587701</v>
      </c>
      <c r="AL2837">
        <v>93.752277199349706</v>
      </c>
      <c r="AM2837">
        <v>91.376710160821403</v>
      </c>
      <c r="AN2837">
        <v>1.0000000197339201</v>
      </c>
    </row>
    <row r="2838" spans="1:40" x14ac:dyDescent="0.25">
      <c r="A2838" t="str">
        <f>"20190303154153027"</f>
        <v>20190303154153027</v>
      </c>
      <c r="B2838" t="str">
        <f>"1551598913022691"</f>
        <v>1551598913022691</v>
      </c>
      <c r="C2838" t="s">
        <v>40</v>
      </c>
      <c r="D2838">
        <v>5.3426489999999998</v>
      </c>
      <c r="E2838">
        <v>0.50785670000000005</v>
      </c>
      <c r="F2838" t="s">
        <v>51</v>
      </c>
      <c r="G2838">
        <v>-415.0573</v>
      </c>
      <c r="H2838" s="1">
        <v>3.1837600000000001E-6</v>
      </c>
      <c r="I2838">
        <v>283.69069999999999</v>
      </c>
      <c r="J2838">
        <v>-398.3895</v>
      </c>
      <c r="K2838">
        <v>1.120735</v>
      </c>
      <c r="L2838">
        <v>283.6558</v>
      </c>
      <c r="M2838">
        <v>-0.99985710000000005</v>
      </c>
      <c r="N2838">
        <v>-1.4496530000000001E-2</v>
      </c>
      <c r="O2838">
        <v>8.6995590000000008E-3</v>
      </c>
      <c r="P2838">
        <v>-0.99672240000000001</v>
      </c>
      <c r="Q2838">
        <v>-7.9364149999999994E-2</v>
      </c>
      <c r="R2838">
        <v>-1.5681110000000002E-2</v>
      </c>
      <c r="S2838">
        <v>-2.9942319999999998</v>
      </c>
      <c r="T2838">
        <v>-0.1979332</v>
      </c>
      <c r="U2838">
        <v>6.6223139999999998E-3</v>
      </c>
      <c r="V2838">
        <v>-2.4386169999999999E-2</v>
      </c>
      <c r="W2838">
        <v>-6.4896789999999996E-2</v>
      </c>
      <c r="X2838">
        <v>0.99759390000000003</v>
      </c>
      <c r="Y2838">
        <v>-6.4600810000000003E-3</v>
      </c>
      <c r="Z2838">
        <v>-7.0861169999999996E-4</v>
      </c>
      <c r="AA2838">
        <v>0.9999789</v>
      </c>
      <c r="AB2838">
        <v>34</v>
      </c>
      <c r="AC2838">
        <v>-16.6678</v>
      </c>
      <c r="AD2838">
        <v>-1.12073181624</v>
      </c>
      <c r="AE2838">
        <v>3.48999999999932E-2</v>
      </c>
      <c r="AF2838">
        <v>-0.109623445673797</v>
      </c>
      <c r="AG2838">
        <v>-1.12073181624</v>
      </c>
      <c r="AH2838">
        <v>16.5924564757781</v>
      </c>
      <c r="AI2838">
        <v>93.864070497078202</v>
      </c>
      <c r="AJ2838">
        <v>90.378537644266501</v>
      </c>
      <c r="AK2838">
        <v>16.630624432184302</v>
      </c>
      <c r="AL2838">
        <v>93.720927379049598</v>
      </c>
      <c r="AM2838">
        <v>91.400315711561703</v>
      </c>
      <c r="AN2838">
        <v>0.99999993397838904</v>
      </c>
    </row>
    <row r="2839" spans="1:40" x14ac:dyDescent="0.25">
      <c r="A2839" t="str">
        <f>"20190303154153050"</f>
        <v>20190303154153050</v>
      </c>
      <c r="B2839" t="str">
        <f>"1551598913042211"</f>
        <v>1551598913042211</v>
      </c>
      <c r="C2839" t="s">
        <v>40</v>
      </c>
      <c r="D2839">
        <v>5.3616149999999996</v>
      </c>
      <c r="E2839">
        <v>0.50866889999999998</v>
      </c>
      <c r="F2839" t="s">
        <v>51</v>
      </c>
      <c r="G2839">
        <v>-416.92410000000001</v>
      </c>
      <c r="H2839" s="1">
        <v>3.5098639999999999E-6</v>
      </c>
      <c r="I2839">
        <v>283.7482</v>
      </c>
      <c r="J2839">
        <v>-398.73430000000002</v>
      </c>
      <c r="K2839">
        <v>1.1207469999999999</v>
      </c>
      <c r="L2839">
        <v>283.65899999999999</v>
      </c>
      <c r="M2839">
        <v>-0.999857</v>
      </c>
      <c r="N2839">
        <v>-1.442385E-2</v>
      </c>
      <c r="O2839">
        <v>8.8392909999999904E-3</v>
      </c>
      <c r="P2839">
        <v>-0.99674010000000002</v>
      </c>
      <c r="Q2839">
        <v>-7.9162049999999998E-2</v>
      </c>
      <c r="R2839">
        <v>-1.5580709999999999E-2</v>
      </c>
      <c r="S2839">
        <v>-2.9956969999999998</v>
      </c>
      <c r="T2839">
        <v>-0.18114079999999999</v>
      </c>
      <c r="U2839">
        <v>1.49231E-2</v>
      </c>
      <c r="V2839">
        <v>-2.4420620000000001E-2</v>
      </c>
      <c r="W2839">
        <v>-6.4768450000000005E-2</v>
      </c>
      <c r="X2839">
        <v>0.99760139999999997</v>
      </c>
      <c r="Y2839">
        <v>-3.8407950000000001E-3</v>
      </c>
      <c r="Z2839">
        <v>-5.5031679999999997E-4</v>
      </c>
      <c r="AA2839">
        <v>0.99999249999999995</v>
      </c>
      <c r="AB2839">
        <v>34</v>
      </c>
      <c r="AC2839">
        <v>-18.189799999999899</v>
      </c>
      <c r="AD2839">
        <v>-1.1207434901359901</v>
      </c>
      <c r="AE2839">
        <v>8.9200000000005206E-2</v>
      </c>
      <c r="AF2839">
        <v>-7.1334335277330796E-2</v>
      </c>
      <c r="AG2839">
        <v>-1.1207434901359901</v>
      </c>
      <c r="AH2839">
        <v>18.121086965891799</v>
      </c>
      <c r="AI2839">
        <v>93.539064115410795</v>
      </c>
      <c r="AJ2839">
        <v>90.225545809789494</v>
      </c>
      <c r="AK2839">
        <v>18.155851601714701</v>
      </c>
      <c r="AL2839">
        <v>93.713558527627498</v>
      </c>
      <c r="AM2839">
        <v>91.402282590309696</v>
      </c>
      <c r="AN2839">
        <v>0.99999993603927095</v>
      </c>
    </row>
    <row r="2840" spans="1:40" x14ac:dyDescent="0.25">
      <c r="A2840" t="str">
        <f>"20190303154153072"</f>
        <v>20190303154153072</v>
      </c>
      <c r="B2840" t="str">
        <f>"1551598913062707"</f>
        <v>1551598913062707</v>
      </c>
      <c r="C2840" t="s">
        <v>40</v>
      </c>
      <c r="D2840">
        <v>5.3729940000000003</v>
      </c>
      <c r="E2840">
        <v>0.50925229999999999</v>
      </c>
      <c r="F2840" t="s">
        <v>51</v>
      </c>
      <c r="G2840">
        <v>-418.98329999999999</v>
      </c>
      <c r="H2840" s="1">
        <v>3.8702450000000004E-6</v>
      </c>
      <c r="I2840">
        <v>283.80410000000001</v>
      </c>
      <c r="J2840">
        <v>-399.0847</v>
      </c>
      <c r="K2840">
        <v>1.120757</v>
      </c>
      <c r="L2840">
        <v>283.66219999999998</v>
      </c>
      <c r="M2840">
        <v>-0.999857</v>
      </c>
      <c r="N2840">
        <v>-1.4346070000000001E-2</v>
      </c>
      <c r="O2840">
        <v>8.9558880000000004E-3</v>
      </c>
      <c r="P2840">
        <v>-0.99672969999999905</v>
      </c>
      <c r="Q2840">
        <v>-7.9157370000000005E-2</v>
      </c>
      <c r="R2840">
        <v>-1.6248240000000001E-2</v>
      </c>
      <c r="S2840">
        <v>-2.996918</v>
      </c>
      <c r="T2840">
        <v>-0.1658733</v>
      </c>
      <c r="U2840">
        <v>2.1484380000000001E-2</v>
      </c>
      <c r="V2840">
        <v>-2.5201100000000001E-2</v>
      </c>
      <c r="W2840">
        <v>-6.4842789999999997E-2</v>
      </c>
      <c r="X2840">
        <v>0.9975773</v>
      </c>
      <c r="Y2840">
        <v>-1.7772790000000001E-3</v>
      </c>
      <c r="Z2840">
        <v>-4.2878719999999999E-4</v>
      </c>
      <c r="AA2840">
        <v>0.99999830000000001</v>
      </c>
      <c r="AB2840">
        <v>34</v>
      </c>
      <c r="AC2840">
        <v>-19.898599999999899</v>
      </c>
      <c r="AD2840">
        <v>-1.120753129755</v>
      </c>
      <c r="AE2840">
        <v>0.14190000000002001</v>
      </c>
      <c r="AF2840">
        <v>-3.62187719343822E-2</v>
      </c>
      <c r="AG2840">
        <v>-1.120753129755</v>
      </c>
      <c r="AH2840">
        <v>19.836149669890101</v>
      </c>
      <c r="AI2840">
        <v>93.233798814756199</v>
      </c>
      <c r="AJ2840">
        <v>90.104616092304894</v>
      </c>
      <c r="AK2840">
        <v>19.8678190323844</v>
      </c>
      <c r="AL2840">
        <v>93.717826346904999</v>
      </c>
      <c r="AM2840">
        <v>91.447115552014694</v>
      </c>
      <c r="AN2840">
        <v>1.0000000761657299</v>
      </c>
    </row>
    <row r="2841" spans="1:40" x14ac:dyDescent="0.25">
      <c r="A2841" t="str">
        <f>"20190303154153095"</f>
        <v>20190303154153095</v>
      </c>
      <c r="B2841" t="str">
        <f>"1551598913092465"</f>
        <v>1551598913092465</v>
      </c>
      <c r="C2841" t="s">
        <v>40</v>
      </c>
      <c r="D2841">
        <v>5.381195</v>
      </c>
      <c r="E2841">
        <v>0.50969620000000004</v>
      </c>
      <c r="F2841" t="s">
        <v>51</v>
      </c>
      <c r="G2841">
        <v>-420.6669</v>
      </c>
      <c r="H2841" s="1">
        <v>3.9145590000000001E-6</v>
      </c>
      <c r="I2841">
        <v>283.8356</v>
      </c>
      <c r="J2841">
        <v>-399.42669999999998</v>
      </c>
      <c r="K2841">
        <v>1.1207670000000001</v>
      </c>
      <c r="L2841">
        <v>283.66539999999998</v>
      </c>
      <c r="M2841">
        <v>-0.99985740000000001</v>
      </c>
      <c r="N2841">
        <v>-1.426784E-2</v>
      </c>
      <c r="O2841">
        <v>9.0505489999999997E-3</v>
      </c>
      <c r="P2841">
        <v>-0.99672039999999995</v>
      </c>
      <c r="Q2841">
        <v>-7.9170500000000005E-2</v>
      </c>
      <c r="R2841">
        <v>-1.6762099999999999E-2</v>
      </c>
      <c r="S2841">
        <v>-2.9978940000000001</v>
      </c>
      <c r="T2841">
        <v>-0.15567909999999999</v>
      </c>
      <c r="U2841">
        <v>2.4078370000000002E-2</v>
      </c>
      <c r="V2841">
        <v>-2.5805539999999998E-2</v>
      </c>
      <c r="W2841">
        <v>-6.4935300000000001E-2</v>
      </c>
      <c r="X2841">
        <v>0.99755570000000005</v>
      </c>
      <c r="Y2841">
        <v>-1.011854E-3</v>
      </c>
      <c r="Z2841">
        <v>-3.740611E-4</v>
      </c>
      <c r="AA2841">
        <v>0.99999939999999998</v>
      </c>
      <c r="AB2841">
        <v>34</v>
      </c>
      <c r="AC2841">
        <v>-21.240200000000002</v>
      </c>
      <c r="AD2841">
        <v>-1.120763085441</v>
      </c>
      <c r="AE2841">
        <v>0.170200000000022</v>
      </c>
      <c r="AF2841">
        <v>-2.20007318273375E-2</v>
      </c>
      <c r="AG2841">
        <v>-1.120763085441</v>
      </c>
      <c r="AH2841">
        <v>21.181898234151198</v>
      </c>
      <c r="AI2841">
        <v>93.0287717439261</v>
      </c>
      <c r="AJ2841">
        <v>90.059510654459501</v>
      </c>
      <c r="AK2841">
        <v>21.2115394709536</v>
      </c>
      <c r="AL2841">
        <v>93.723138455566499</v>
      </c>
      <c r="AM2841">
        <v>91.4818409145674</v>
      </c>
      <c r="AN2841">
        <v>0.99999994684163396</v>
      </c>
    </row>
    <row r="2842" spans="1:40" x14ac:dyDescent="0.25">
      <c r="A2842" t="str">
        <f>"20190303154153116"</f>
        <v>20190303154153116</v>
      </c>
      <c r="B2842" t="str">
        <f>"1551598913111985"</f>
        <v>1551598913111985</v>
      </c>
      <c r="C2842" t="s">
        <v>40</v>
      </c>
      <c r="D2842">
        <v>5.3840960000000004</v>
      </c>
      <c r="E2842">
        <v>0.50993270000000002</v>
      </c>
      <c r="F2842" t="s">
        <v>51</v>
      </c>
      <c r="G2842">
        <v>-422.13400000000001</v>
      </c>
      <c r="H2842" s="1">
        <v>3.652071E-6</v>
      </c>
      <c r="I2842">
        <v>283.8614</v>
      </c>
      <c r="J2842">
        <v>-399.75700000000001</v>
      </c>
      <c r="K2842">
        <v>1.1207780000000001</v>
      </c>
      <c r="L2842">
        <v>283.66849999999999</v>
      </c>
      <c r="M2842">
        <v>-0.99985769999999996</v>
      </c>
      <c r="N2842">
        <v>-1.4183039999999999E-2</v>
      </c>
      <c r="O2842">
        <v>9.1296980000000003E-3</v>
      </c>
      <c r="P2842">
        <v>-0.99669850000000004</v>
      </c>
      <c r="Q2842">
        <v>-7.9382809999999998E-2</v>
      </c>
      <c r="R2842">
        <v>-1.7034009999999999E-2</v>
      </c>
      <c r="S2842">
        <v>-2.998596</v>
      </c>
      <c r="T2842">
        <v>-0.14800179999999999</v>
      </c>
      <c r="U2842">
        <v>2.5878910000000001E-2</v>
      </c>
      <c r="V2842">
        <v>-2.615369E-2</v>
      </c>
      <c r="W2842">
        <v>-6.5233570000000005E-2</v>
      </c>
      <c r="X2842">
        <v>0.99752719999999995</v>
      </c>
      <c r="Y2842">
        <v>-4.9419989999999897E-4</v>
      </c>
      <c r="Z2842">
        <v>-3.3658180000000002E-4</v>
      </c>
      <c r="AA2842">
        <v>0.99999979999999999</v>
      </c>
      <c r="AB2842">
        <v>34</v>
      </c>
      <c r="AC2842">
        <v>-22.376999999999999</v>
      </c>
      <c r="AD2842">
        <v>-1.120774347929</v>
      </c>
      <c r="AE2842">
        <v>0.19290000000000801</v>
      </c>
      <c r="AF2842">
        <v>-1.13952671517528E-2</v>
      </c>
      <c r="AG2842">
        <v>-1.120774347929</v>
      </c>
      <c r="AH2842">
        <v>22.321835957409</v>
      </c>
      <c r="AI2842">
        <v>92.874393942118203</v>
      </c>
      <c r="AJ2842">
        <v>90.029249415628101</v>
      </c>
      <c r="AK2842">
        <v>22.349958064850298</v>
      </c>
      <c r="AL2842">
        <v>93.740264276359497</v>
      </c>
      <c r="AM2842">
        <v>91.501866652230404</v>
      </c>
      <c r="AN2842">
        <v>0.99999997444769995</v>
      </c>
    </row>
    <row r="2843" spans="1:40" x14ac:dyDescent="0.25">
      <c r="A2843" t="str">
        <f>"20190303154153139"</f>
        <v>20190303154153139</v>
      </c>
      <c r="B2843" t="str">
        <f>"1551598913132485"</f>
        <v>1551598913132485</v>
      </c>
      <c r="C2843" t="s">
        <v>40</v>
      </c>
      <c r="D2843">
        <v>5.4128509999999999</v>
      </c>
      <c r="E2843">
        <v>0.51011490000000004</v>
      </c>
      <c r="F2843" t="s">
        <v>51</v>
      </c>
      <c r="G2843">
        <v>-423.03440000000001</v>
      </c>
      <c r="H2843" s="1">
        <v>3.4910589999999998E-6</v>
      </c>
      <c r="I2843">
        <v>283.87619999999998</v>
      </c>
      <c r="J2843">
        <v>-400.1096</v>
      </c>
      <c r="K2843">
        <v>1.1207769999999999</v>
      </c>
      <c r="L2843">
        <v>283.67180000000002</v>
      </c>
      <c r="M2843">
        <v>-0.99985860000000004</v>
      </c>
      <c r="N2843">
        <v>-1.4078240000000001E-2</v>
      </c>
      <c r="O2843">
        <v>9.2018450000000002E-3</v>
      </c>
      <c r="P2843">
        <v>-0.99666580000000005</v>
      </c>
      <c r="Q2843">
        <v>-7.976606E-2</v>
      </c>
      <c r="R2843">
        <v>-1.71813E-2</v>
      </c>
      <c r="S2843">
        <v>-2.9989319999999999</v>
      </c>
      <c r="T2843">
        <v>-0.14439440000000001</v>
      </c>
      <c r="U2843">
        <v>2.676392E-2</v>
      </c>
      <c r="V2843">
        <v>-2.637022E-2</v>
      </c>
      <c r="W2843">
        <v>-6.5722610000000001E-2</v>
      </c>
      <c r="X2843">
        <v>0.99748950000000003</v>
      </c>
      <c r="Y2843">
        <v>-2.7289559999999998E-4</v>
      </c>
      <c r="Z2843">
        <v>-3.2177060000000002E-4</v>
      </c>
      <c r="AA2843">
        <v>0.99999990000000005</v>
      </c>
      <c r="AB2843">
        <v>34</v>
      </c>
      <c r="AC2843">
        <v>-22.924800000000001</v>
      </c>
      <c r="AD2843">
        <v>-1.120773508941</v>
      </c>
      <c r="AE2843">
        <v>0.204399999999964</v>
      </c>
      <c r="AF2843">
        <v>-6.5643217717516996E-3</v>
      </c>
      <c r="AG2843">
        <v>-1.120773508941</v>
      </c>
      <c r="AH2843">
        <v>22.871049440114199</v>
      </c>
      <c r="AI2843">
        <v>92.805479520834496</v>
      </c>
      <c r="AJ2843">
        <v>90.016444716432602</v>
      </c>
      <c r="AK2843">
        <v>22.898495121750098</v>
      </c>
      <c r="AL2843">
        <v>93.768344080930305</v>
      </c>
      <c r="AM2843">
        <v>91.514352253219101</v>
      </c>
      <c r="AN2843">
        <v>1.0000000762891501</v>
      </c>
    </row>
    <row r="2844" spans="1:40" x14ac:dyDescent="0.25">
      <c r="A2844" t="str">
        <f>"20190303154153161"</f>
        <v>20190303154153161</v>
      </c>
      <c r="B2844" t="str">
        <f>"1551598913152002"</f>
        <v>1551598913152002</v>
      </c>
      <c r="C2844" t="s">
        <v>40</v>
      </c>
      <c r="D2844">
        <v>5.3911100000000003</v>
      </c>
      <c r="E2844">
        <v>0.51026210000000005</v>
      </c>
      <c r="F2844" t="s">
        <v>51</v>
      </c>
      <c r="G2844">
        <v>-423.56909999999999</v>
      </c>
      <c r="H2844" s="1">
        <v>3.3950819999999998E-6</v>
      </c>
      <c r="I2844">
        <v>283.88900000000001</v>
      </c>
      <c r="J2844">
        <v>-400.4418</v>
      </c>
      <c r="K2844">
        <v>1.120771</v>
      </c>
      <c r="L2844">
        <v>283.67500000000001</v>
      </c>
      <c r="M2844">
        <v>-0.99985959999999996</v>
      </c>
      <c r="N2844">
        <v>-1.397472E-2</v>
      </c>
      <c r="O2844">
        <v>9.2623229999999994E-3</v>
      </c>
      <c r="P2844">
        <v>-0.99671980000000004</v>
      </c>
      <c r="Q2844">
        <v>-7.9085680000000005E-2</v>
      </c>
      <c r="R2844">
        <v>-1.7188620000000002E-2</v>
      </c>
      <c r="S2844">
        <v>-2.9990230000000002</v>
      </c>
      <c r="T2844">
        <v>-0.14327809999999999</v>
      </c>
      <c r="U2844">
        <v>2.7771000000000001E-2</v>
      </c>
      <c r="V2844">
        <v>-2.643686E-2</v>
      </c>
      <c r="W2844">
        <v>-6.5145339999999996E-2</v>
      </c>
      <c r="X2844">
        <v>0.99752549999999995</v>
      </c>
      <c r="Y2844" s="1">
        <v>1.6733079999999999E-6</v>
      </c>
      <c r="Z2844">
        <v>-3.1279149999999999E-4</v>
      </c>
      <c r="AA2844">
        <v>0.99999990000000005</v>
      </c>
      <c r="AB2844">
        <v>34</v>
      </c>
      <c r="AC2844">
        <v>-23.127299999999899</v>
      </c>
      <c r="AD2844">
        <v>-1.120767604918</v>
      </c>
      <c r="AE2844">
        <v>0.213999999999998</v>
      </c>
      <c r="AF2844">
        <v>-2.4202363882530601E-4</v>
      </c>
      <c r="AG2844">
        <v>-1.120767604918</v>
      </c>
      <c r="AH2844">
        <v>23.074106322982399</v>
      </c>
      <c r="AI2844">
        <v>92.780815136966993</v>
      </c>
      <c r="AJ2844">
        <v>90.000600973786405</v>
      </c>
      <c r="AK2844">
        <v>23.1013095448527</v>
      </c>
      <c r="AL2844">
        <v>93.735198299115694</v>
      </c>
      <c r="AM2844">
        <v>91.518122609223894</v>
      </c>
      <c r="AN2844">
        <v>0.99999997302031196</v>
      </c>
    </row>
    <row r="2845" spans="1:40" x14ac:dyDescent="0.25">
      <c r="A2845" t="str">
        <f>"20190303154153183"</f>
        <v>20190303154153183</v>
      </c>
      <c r="B2845" t="str">
        <f>"1551598913172499"</f>
        <v>1551598913172499</v>
      </c>
      <c r="C2845" t="s">
        <v>40</v>
      </c>
      <c r="D2845">
        <v>5.4110300000000002</v>
      </c>
      <c r="E2845">
        <v>0.51045799999999997</v>
      </c>
      <c r="F2845" t="s">
        <v>51</v>
      </c>
      <c r="G2845">
        <v>-424.6463</v>
      </c>
      <c r="H2845" s="1">
        <v>3.2024329999999999E-6</v>
      </c>
      <c r="I2845">
        <v>283.90699999999998</v>
      </c>
      <c r="J2845">
        <v>-400.78620000000001</v>
      </c>
      <c r="K2845">
        <v>1.1207659999999999</v>
      </c>
      <c r="L2845">
        <v>283.67829999999998</v>
      </c>
      <c r="M2845">
        <v>-0.99986059999999999</v>
      </c>
      <c r="N2845">
        <v>-1.386016E-2</v>
      </c>
      <c r="O2845">
        <v>9.3181129999999994E-3</v>
      </c>
      <c r="P2845">
        <v>-0.99674039999999997</v>
      </c>
      <c r="Q2845">
        <v>-7.8901250000000006E-2</v>
      </c>
      <c r="R2845">
        <v>-1.6836980000000001E-2</v>
      </c>
      <c r="S2845">
        <v>-2.9993590000000001</v>
      </c>
      <c r="T2845">
        <v>-0.13888259999999999</v>
      </c>
      <c r="U2845">
        <v>2.8747559999999998E-2</v>
      </c>
      <c r="V2845">
        <v>-2.6140170000000001E-2</v>
      </c>
      <c r="W2845">
        <v>-6.5075270000000004E-2</v>
      </c>
      <c r="X2845">
        <v>0.99753789999999998</v>
      </c>
      <c r="Y2845">
        <v>2.6965529999999999E-4</v>
      </c>
      <c r="Z2845">
        <v>-2.939986E-4</v>
      </c>
      <c r="AA2845">
        <v>0.99999990000000005</v>
      </c>
      <c r="AB2845">
        <v>34</v>
      </c>
      <c r="AC2845">
        <v>-23.8600999999999</v>
      </c>
      <c r="AD2845">
        <v>-1.120762797567</v>
      </c>
      <c r="AE2845">
        <v>0.22870000000000301</v>
      </c>
      <c r="AF2845">
        <v>6.3236683050178696E-3</v>
      </c>
      <c r="AG2845">
        <v>-1.120762797567</v>
      </c>
      <c r="AH2845">
        <v>23.8086687253811</v>
      </c>
      <c r="AI2845">
        <v>92.695136275318305</v>
      </c>
      <c r="AJ2845">
        <v>89.984782034620295</v>
      </c>
      <c r="AK2845">
        <v>23.835034208327301</v>
      </c>
      <c r="AL2845">
        <v>93.731175018385102</v>
      </c>
      <c r="AM2845">
        <v>91.501074532242797</v>
      </c>
      <c r="AN2845">
        <v>0.99999998059480499</v>
      </c>
    </row>
    <row r="2846" spans="1:40" x14ac:dyDescent="0.25">
      <c r="A2846" t="str">
        <f>"20190303154153207"</f>
        <v>20190303154153207</v>
      </c>
      <c r="B2846" t="str">
        <f>"1551598913202286"</f>
        <v>1551598913202286</v>
      </c>
      <c r="C2846" t="s">
        <v>40</v>
      </c>
      <c r="D2846">
        <v>5.3676629999999896</v>
      </c>
      <c r="E2846">
        <v>0.51054140000000003</v>
      </c>
      <c r="F2846" t="s">
        <v>51</v>
      </c>
      <c r="G2846">
        <v>-425.53039999999999</v>
      </c>
      <c r="H2846" s="1">
        <v>3.0429129999999998E-6</v>
      </c>
      <c r="I2846">
        <v>283.93779999999998</v>
      </c>
      <c r="J2846">
        <v>-401.1311</v>
      </c>
      <c r="K2846">
        <v>1.1207530000000001</v>
      </c>
      <c r="L2846">
        <v>283.68150000000003</v>
      </c>
      <c r="M2846">
        <v>-0.99986169999999996</v>
      </c>
      <c r="N2846">
        <v>-1.37337E-2</v>
      </c>
      <c r="O2846">
        <v>9.3774689999999994E-3</v>
      </c>
      <c r="P2846">
        <v>-0.99678999999999995</v>
      </c>
      <c r="Q2846">
        <v>-7.8340989999999999E-2</v>
      </c>
      <c r="R2846">
        <v>-1.6498260000000001E-2</v>
      </c>
      <c r="S2846">
        <v>-2.9996339999999999</v>
      </c>
      <c r="T2846">
        <v>-0.13586500000000001</v>
      </c>
      <c r="U2846">
        <v>3.1463619999999998E-2</v>
      </c>
      <c r="V2846">
        <v>-2.5860729999999998E-2</v>
      </c>
      <c r="W2846">
        <v>-6.4640749999999997E-2</v>
      </c>
      <c r="X2846">
        <v>0.99757340000000005</v>
      </c>
      <c r="Y2846">
        <v>1.1134579999999999E-3</v>
      </c>
      <c r="Z2846">
        <v>-2.629013E-4</v>
      </c>
      <c r="AA2846">
        <v>0.99999930000000004</v>
      </c>
      <c r="AB2846">
        <v>34</v>
      </c>
      <c r="AC2846">
        <v>-24.399299999999901</v>
      </c>
      <c r="AD2846">
        <v>-1.1207499570870001</v>
      </c>
      <c r="AE2846">
        <v>0.25629999999995301</v>
      </c>
      <c r="AF2846">
        <v>2.7405647957728398E-2</v>
      </c>
      <c r="AG2846">
        <v>-1.1207499570870001</v>
      </c>
      <c r="AH2846">
        <v>24.349261705970498</v>
      </c>
      <c r="AI2846">
        <v>92.635353482199505</v>
      </c>
      <c r="AJ2846">
        <v>89.935512323999504</v>
      </c>
      <c r="AK2846">
        <v>24.3750564545335</v>
      </c>
      <c r="AL2846">
        <v>93.706226454013603</v>
      </c>
      <c r="AM2846">
        <v>91.484982355644803</v>
      </c>
      <c r="AN2846">
        <v>0.99999994615212595</v>
      </c>
    </row>
    <row r="2847" spans="1:40" x14ac:dyDescent="0.25">
      <c r="A2847" t="str">
        <f>"20190303154153228"</f>
        <v>20190303154153228</v>
      </c>
      <c r="B2847" t="str">
        <f>"1551598913222785"</f>
        <v>1551598913222785</v>
      </c>
      <c r="C2847" t="s">
        <v>40</v>
      </c>
      <c r="D2847">
        <v>5.3852200000000003</v>
      </c>
      <c r="E2847">
        <v>0.51062479999999999</v>
      </c>
      <c r="F2847" t="s">
        <v>51</v>
      </c>
      <c r="G2847">
        <v>-426.44749999999999</v>
      </c>
      <c r="H2847" s="1">
        <v>2.8781960000000001E-6</v>
      </c>
      <c r="I2847">
        <v>283.96120000000002</v>
      </c>
      <c r="J2847">
        <v>-401.47359999999998</v>
      </c>
      <c r="K2847">
        <v>1.120741</v>
      </c>
      <c r="L2847">
        <v>283.6848</v>
      </c>
      <c r="M2847">
        <v>-0.99986299999999995</v>
      </c>
      <c r="N2847">
        <v>-1.3598259999999999E-2</v>
      </c>
      <c r="O2847">
        <v>9.4467909999999995E-3</v>
      </c>
      <c r="P2847">
        <v>-0.99673990000000001</v>
      </c>
      <c r="Q2847">
        <v>-7.902431E-2</v>
      </c>
      <c r="R2847">
        <v>-1.6276430000000001E-2</v>
      </c>
      <c r="S2847">
        <v>-2.9997859999999998</v>
      </c>
      <c r="T2847">
        <v>-0.1327999</v>
      </c>
      <c r="U2847">
        <v>3.3142089999999999E-2</v>
      </c>
      <c r="V2847">
        <v>-2.570714E-2</v>
      </c>
      <c r="W2847">
        <v>-6.5460149999999995E-2</v>
      </c>
      <c r="X2847">
        <v>0.99752399999999997</v>
      </c>
      <c r="Y2847">
        <v>1.6022829999999999E-3</v>
      </c>
      <c r="Z2847">
        <v>-2.4320839999999999E-4</v>
      </c>
      <c r="AA2847">
        <v>0.99999870000000002</v>
      </c>
      <c r="AB2847">
        <v>34</v>
      </c>
      <c r="AC2847">
        <v>-24.9739</v>
      </c>
      <c r="AD2847">
        <v>-1.120738121804</v>
      </c>
      <c r="AE2847">
        <v>0.27640000000002302</v>
      </c>
      <c r="AF2847">
        <v>4.0361381900955499E-2</v>
      </c>
      <c r="AG2847">
        <v>-1.120738121804</v>
      </c>
      <c r="AH2847">
        <v>24.925206291288799</v>
      </c>
      <c r="AI2847">
        <v>92.574512605773904</v>
      </c>
      <c r="AJ2847">
        <v>89.907221036008295</v>
      </c>
      <c r="AK2847">
        <v>24.950422674618501</v>
      </c>
      <c r="AL2847">
        <v>93.753274030157101</v>
      </c>
      <c r="AM2847">
        <v>91.476239851256807</v>
      </c>
      <c r="AN2847">
        <v>1.0000000094304999</v>
      </c>
    </row>
    <row r="2848" spans="1:40" x14ac:dyDescent="0.25">
      <c r="A2848" t="str">
        <f>"20190303154153251"</f>
        <v>20190303154153251</v>
      </c>
      <c r="B2848" t="str">
        <f>"1551598913242301"</f>
        <v>1551598913242301</v>
      </c>
      <c r="C2848" t="s">
        <v>40</v>
      </c>
      <c r="D2848">
        <v>5.4002290000000004</v>
      </c>
      <c r="E2848">
        <v>0.51069560000000003</v>
      </c>
      <c r="F2848" t="s">
        <v>51</v>
      </c>
      <c r="G2848">
        <v>-426.65879999999999</v>
      </c>
      <c r="H2848" s="1">
        <v>2.8395609999999999E-6</v>
      </c>
      <c r="I2848">
        <v>283.97430000000003</v>
      </c>
      <c r="J2848">
        <v>-401.81290000000001</v>
      </c>
      <c r="K2848">
        <v>1.120733</v>
      </c>
      <c r="L2848">
        <v>283.68810000000002</v>
      </c>
      <c r="M2848">
        <v>-0.99986419999999998</v>
      </c>
      <c r="N2848">
        <v>-1.346019E-2</v>
      </c>
      <c r="O2848">
        <v>9.5182470000000005E-3</v>
      </c>
      <c r="P2848">
        <v>-0.99675670000000005</v>
      </c>
      <c r="Q2848">
        <v>-7.8956789999999999E-2</v>
      </c>
      <c r="R2848">
        <v>-1.5556459999999999E-2</v>
      </c>
      <c r="S2848">
        <v>-2.9997560000000001</v>
      </c>
      <c r="T2848">
        <v>-0.13348879999999999</v>
      </c>
      <c r="U2848">
        <v>3.4484859999999999E-2</v>
      </c>
      <c r="V2848">
        <v>-2.505775E-2</v>
      </c>
      <c r="W2848">
        <v>-6.5530580000000005E-2</v>
      </c>
      <c r="X2848">
        <v>0.99753590000000003</v>
      </c>
      <c r="Y2848">
        <v>1.9781600000000001E-3</v>
      </c>
      <c r="Z2848">
        <v>-2.3793520000000001E-4</v>
      </c>
      <c r="AA2848">
        <v>0.99999800000000005</v>
      </c>
      <c r="AB2848">
        <v>34</v>
      </c>
      <c r="AC2848">
        <v>-24.845899999999901</v>
      </c>
      <c r="AD2848">
        <v>-1.1207301604390001</v>
      </c>
      <c r="AE2848">
        <v>0.286200000000008</v>
      </c>
      <c r="AF2848">
        <v>4.9575360611391499E-2</v>
      </c>
      <c r="AG2848">
        <v>-1.1207301604390001</v>
      </c>
      <c r="AH2848">
        <v>24.797051688131599</v>
      </c>
      <c r="AI2848">
        <v>92.587779868654593</v>
      </c>
      <c r="AJ2848">
        <v>89.885451900403794</v>
      </c>
      <c r="AK2848">
        <v>24.822414593120602</v>
      </c>
      <c r="AL2848">
        <v>93.757318053627898</v>
      </c>
      <c r="AM2848">
        <v>91.438947168410394</v>
      </c>
      <c r="AN2848">
        <v>1.0000000097695001</v>
      </c>
    </row>
    <row r="2849" spans="1:40" x14ac:dyDescent="0.25">
      <c r="A2849" t="str">
        <f>"20190303154153275"</f>
        <v>20190303154153275</v>
      </c>
      <c r="B2849" t="str">
        <f>"1551598913272557"</f>
        <v>1551598913272557</v>
      </c>
      <c r="C2849" t="s">
        <v>40</v>
      </c>
      <c r="D2849">
        <v>5.4061159999999999</v>
      </c>
      <c r="E2849">
        <v>0.51072419999999996</v>
      </c>
      <c r="F2849" t="s">
        <v>51</v>
      </c>
      <c r="G2849">
        <v>-427.2013</v>
      </c>
      <c r="H2849" s="1">
        <v>2.740791E-6</v>
      </c>
      <c r="I2849">
        <v>284.00349999999997</v>
      </c>
      <c r="J2849">
        <v>-402.17450000000002</v>
      </c>
      <c r="K2849">
        <v>1.1207180000000001</v>
      </c>
      <c r="L2849">
        <v>283.69159999999999</v>
      </c>
      <c r="M2849">
        <v>-0.99986540000000002</v>
      </c>
      <c r="N2849">
        <v>-1.3316120000000001E-2</v>
      </c>
      <c r="O2849">
        <v>9.5942860000000005E-3</v>
      </c>
      <c r="P2849">
        <v>-0.99678080000000002</v>
      </c>
      <c r="Q2849">
        <v>-7.8741729999999996E-2</v>
      </c>
      <c r="R2849">
        <v>-1.510498E-2</v>
      </c>
      <c r="S2849">
        <v>-2.9998469999999999</v>
      </c>
      <c r="T2849">
        <v>-0.1324236</v>
      </c>
      <c r="U2849">
        <v>3.7261959999999997E-2</v>
      </c>
      <c r="V2849">
        <v>-2.4681140000000001E-2</v>
      </c>
      <c r="W2849">
        <v>-6.5459299999999998E-2</v>
      </c>
      <c r="X2849">
        <v>0.99755000000000005</v>
      </c>
      <c r="Y2849">
        <v>2.8263329999999999E-3</v>
      </c>
      <c r="Z2849">
        <v>-2.1439129999999999E-4</v>
      </c>
      <c r="AA2849">
        <v>0.999996</v>
      </c>
      <c r="AB2849">
        <v>34</v>
      </c>
      <c r="AC2849">
        <v>-25.026799999999898</v>
      </c>
      <c r="AD2849">
        <v>-1.1207152592089999</v>
      </c>
      <c r="AE2849">
        <v>0.31189999999998003</v>
      </c>
      <c r="AF2849">
        <v>7.1606525823936604E-2</v>
      </c>
      <c r="AG2849">
        <v>-1.1207152592089999</v>
      </c>
      <c r="AH2849">
        <v>24.978558838495001</v>
      </c>
      <c r="AI2849">
        <v>92.568961477528205</v>
      </c>
      <c r="AJ2849">
        <v>89.835749512092605</v>
      </c>
      <c r="AK2849">
        <v>25.003790349363499</v>
      </c>
      <c r="AL2849">
        <v>93.753225107047399</v>
      </c>
      <c r="AM2849">
        <v>91.417309114454596</v>
      </c>
      <c r="AN2849">
        <v>1.0000000405640901</v>
      </c>
    </row>
    <row r="2850" spans="1:40" x14ac:dyDescent="0.25">
      <c r="A2850" t="str">
        <f>"20190303154153296"</f>
        <v>20190303154153296</v>
      </c>
      <c r="B2850" t="str">
        <f>"1551598913292582"</f>
        <v>1551598913292582</v>
      </c>
      <c r="C2850" t="s">
        <v>40</v>
      </c>
      <c r="D2850">
        <v>5.4057079999999997</v>
      </c>
      <c r="E2850">
        <v>0.48399490000000001</v>
      </c>
      <c r="F2850" t="s">
        <v>51</v>
      </c>
      <c r="G2850">
        <v>-427.74020000000002</v>
      </c>
      <c r="H2850" s="1">
        <v>2.643586E-6</v>
      </c>
      <c r="I2850">
        <v>284.02190000000002</v>
      </c>
      <c r="J2850">
        <v>-402.50450000000001</v>
      </c>
      <c r="K2850">
        <v>1.120706</v>
      </c>
      <c r="L2850">
        <v>283.69490000000002</v>
      </c>
      <c r="M2850">
        <v>-0.99986640000000004</v>
      </c>
      <c r="N2850">
        <v>-1.318949E-2</v>
      </c>
      <c r="O2850">
        <v>9.6611920000000007E-3</v>
      </c>
      <c r="P2850">
        <v>-0.99683319999999997</v>
      </c>
      <c r="Q2850">
        <v>-7.8108060000000007E-2</v>
      </c>
      <c r="R2850">
        <v>-1.4929939999999999E-2</v>
      </c>
      <c r="S2850">
        <v>-2.9998469999999999</v>
      </c>
      <c r="T2850">
        <v>-0.1315035</v>
      </c>
      <c r="U2850">
        <v>3.8757319999999998E-2</v>
      </c>
      <c r="V2850">
        <v>-2.4573029999999999E-2</v>
      </c>
      <c r="W2850">
        <v>-6.4951439999999999E-2</v>
      </c>
      <c r="X2850">
        <v>0.99758579999999997</v>
      </c>
      <c r="Y2850">
        <v>3.2573229999999999E-3</v>
      </c>
      <c r="Z2850">
        <v>-2.03041E-4</v>
      </c>
      <c r="AA2850">
        <v>0.99999470000000001</v>
      </c>
      <c r="AB2850">
        <v>34</v>
      </c>
      <c r="AC2850">
        <v>-25.235700000000001</v>
      </c>
      <c r="AD2850">
        <v>-1.1207033564140001</v>
      </c>
      <c r="AE2850">
        <v>0.32699999999999801</v>
      </c>
      <c r="AF2850">
        <v>8.2992947186121199E-2</v>
      </c>
      <c r="AG2850">
        <v>-1.1207033564140001</v>
      </c>
      <c r="AH2850">
        <v>25.188014094069</v>
      </c>
      <c r="AI2850">
        <v>92.547596722709699</v>
      </c>
      <c r="AJ2850">
        <v>89.8112146365646</v>
      </c>
      <c r="AK2850">
        <v>25.2130703771948</v>
      </c>
      <c r="AL2850">
        <v>93.724065057603497</v>
      </c>
      <c r="AM2850">
        <v>91.411052817489093</v>
      </c>
      <c r="AN2850">
        <v>0.99999997586154699</v>
      </c>
    </row>
    <row r="2851" spans="1:40" x14ac:dyDescent="0.25">
      <c r="A2851" t="str">
        <f>"20190303154153317"</f>
        <v>20190303154153317</v>
      </c>
      <c r="B2851" t="str">
        <f>"1551598913312102"</f>
        <v>1551598913312102</v>
      </c>
      <c r="C2851" t="s">
        <v>40</v>
      </c>
      <c r="D2851">
        <v>5.4322280000000003</v>
      </c>
      <c r="E2851">
        <v>0.47560439999999998</v>
      </c>
      <c r="F2851" t="s">
        <v>51</v>
      </c>
      <c r="G2851">
        <v>-421.70979999999997</v>
      </c>
      <c r="H2851" s="1">
        <v>3.839124E-6</v>
      </c>
      <c r="I2851">
        <v>282.58229999999998</v>
      </c>
      <c r="J2851">
        <v>-402.84469999999999</v>
      </c>
      <c r="K2851">
        <v>1.1206940000000001</v>
      </c>
      <c r="L2851">
        <v>283.69819999999999</v>
      </c>
      <c r="M2851">
        <v>-0.99986739999999996</v>
      </c>
      <c r="N2851">
        <v>-1.3066589999999999E-2</v>
      </c>
      <c r="O2851">
        <v>9.7269060000000004E-3</v>
      </c>
      <c r="P2851">
        <v>-0.99684810000000001</v>
      </c>
      <c r="Q2851">
        <v>-7.7933069999999993E-2</v>
      </c>
      <c r="R2851">
        <v>-1.483898E-2</v>
      </c>
      <c r="S2851">
        <v>-2.9932249999999998</v>
      </c>
      <c r="T2851">
        <v>-0.17466590000000001</v>
      </c>
      <c r="U2851">
        <v>-0.1734009</v>
      </c>
      <c r="V2851">
        <v>-2.4547889999999999E-2</v>
      </c>
      <c r="W2851">
        <v>-6.4898880000000006E-2</v>
      </c>
      <c r="X2851">
        <v>0.99758990000000003</v>
      </c>
      <c r="Y2851">
        <v>-6.7392969999999996E-2</v>
      </c>
      <c r="Z2851">
        <v>-2.8439200000000002E-3</v>
      </c>
      <c r="AA2851">
        <v>0.99772240000000001</v>
      </c>
      <c r="AB2851">
        <v>34</v>
      </c>
      <c r="AC2851">
        <v>-18.865099999999899</v>
      </c>
      <c r="AD2851">
        <v>-1.12069016087599</v>
      </c>
      <c r="AE2851">
        <v>-1.1159000000000101</v>
      </c>
      <c r="AF2851">
        <v>-1.29480844677513</v>
      </c>
      <c r="AG2851">
        <v>-1.12069016087599</v>
      </c>
      <c r="AH2851">
        <v>18.787282867819101</v>
      </c>
      <c r="AI2851">
        <v>93.405676067152697</v>
      </c>
      <c r="AJ2851">
        <v>93.9425569636349</v>
      </c>
      <c r="AK2851">
        <v>18.865165594448701</v>
      </c>
      <c r="AL2851">
        <v>93.721046999841406</v>
      </c>
      <c r="AM2851">
        <v>91.409603999374795</v>
      </c>
      <c r="AN2851">
        <v>1.00000003605535</v>
      </c>
    </row>
    <row r="2852" spans="1:40" x14ac:dyDescent="0.25">
      <c r="A2852" t="str">
        <f>"20190303154153340"</f>
        <v>20190303154153340</v>
      </c>
      <c r="B2852" t="str">
        <f>"1551598913332598"</f>
        <v>1551598913332598</v>
      </c>
      <c r="C2852" t="s">
        <v>40</v>
      </c>
      <c r="D2852">
        <v>5.4814259999999999</v>
      </c>
      <c r="E2852">
        <v>0.4713849</v>
      </c>
      <c r="F2852" t="s">
        <v>51</v>
      </c>
      <c r="G2852">
        <v>-421.08260000000001</v>
      </c>
      <c r="H2852" s="1">
        <v>3.980605E-6</v>
      </c>
      <c r="I2852">
        <v>282.23660000000001</v>
      </c>
      <c r="J2852">
        <v>-403.18040000000002</v>
      </c>
      <c r="K2852">
        <v>1.120679</v>
      </c>
      <c r="L2852">
        <v>283.70150000000001</v>
      </c>
      <c r="M2852">
        <v>-0.99986819999999998</v>
      </c>
      <c r="N2852">
        <v>-1.295557E-2</v>
      </c>
      <c r="O2852">
        <v>9.7905800000000001E-3</v>
      </c>
      <c r="P2852">
        <v>-0.99687740000000002</v>
      </c>
      <c r="Q2852">
        <v>-7.7479320000000004E-2</v>
      </c>
      <c r="R2852">
        <v>-1.5245659999999999E-2</v>
      </c>
      <c r="S2852">
        <v>-2.9915769999999999</v>
      </c>
      <c r="T2852">
        <v>-0.1838274</v>
      </c>
      <c r="U2852">
        <v>-0.23974609999999999</v>
      </c>
      <c r="V2852">
        <v>-2.5018430000000001E-2</v>
      </c>
      <c r="W2852">
        <v>-6.4555470000000004E-2</v>
      </c>
      <c r="X2852">
        <v>0.99760040000000005</v>
      </c>
      <c r="Y2852">
        <v>-8.9425889999999994E-2</v>
      </c>
      <c r="Z2852">
        <v>-3.7950570000000001E-3</v>
      </c>
      <c r="AA2852">
        <v>0.99598620000000004</v>
      </c>
      <c r="AB2852">
        <v>34</v>
      </c>
      <c r="AC2852">
        <v>-17.902199999999901</v>
      </c>
      <c r="AD2852">
        <v>-1.1206750193949999</v>
      </c>
      <c r="AE2852">
        <v>-1.4649000000000001</v>
      </c>
      <c r="AF2852">
        <v>-1.63375770912691</v>
      </c>
      <c r="AG2852">
        <v>-1.1206750193949999</v>
      </c>
      <c r="AH2852">
        <v>17.8176400914518</v>
      </c>
      <c r="AI2852">
        <v>93.583992723126201</v>
      </c>
      <c r="AJ2852">
        <v>95.238987701780502</v>
      </c>
      <c r="AK2852">
        <v>17.927447536661202</v>
      </c>
      <c r="AL2852">
        <v>93.701330049650394</v>
      </c>
      <c r="AM2852">
        <v>91.436597304799605</v>
      </c>
      <c r="AN2852">
        <v>0.99999994431337103</v>
      </c>
    </row>
    <row r="2853" spans="1:40" x14ac:dyDescent="0.25">
      <c r="A2853" t="str">
        <f>"20190303154153362"</f>
        <v>20190303154153362</v>
      </c>
      <c r="B2853" t="str">
        <f>"1551598913352119"</f>
        <v>1551598913352119</v>
      </c>
      <c r="C2853" t="s">
        <v>40</v>
      </c>
      <c r="D2853">
        <v>5.405354</v>
      </c>
      <c r="E2853">
        <v>0.46980670000000002</v>
      </c>
      <c r="F2853" t="s">
        <v>51</v>
      </c>
      <c r="G2853">
        <v>-420.23050000000001</v>
      </c>
      <c r="H2853" s="1">
        <v>4.1404969999999997E-6</v>
      </c>
      <c r="I2853">
        <v>282.13650000000001</v>
      </c>
      <c r="J2853">
        <v>-403.51990000000001</v>
      </c>
      <c r="K2853">
        <v>1.1206689999999999</v>
      </c>
      <c r="L2853">
        <v>283.70490000000001</v>
      </c>
      <c r="M2853">
        <v>-0.9998688</v>
      </c>
      <c r="N2853">
        <v>-1.2852799999999999E-2</v>
      </c>
      <c r="O2853">
        <v>9.8547879999999997E-3</v>
      </c>
      <c r="P2853">
        <v>-0.99688120000000002</v>
      </c>
      <c r="Q2853">
        <v>-7.7381249999999999E-2</v>
      </c>
      <c r="R2853">
        <v>-1.5486959999999999E-2</v>
      </c>
      <c r="S2853">
        <v>-2.98996</v>
      </c>
      <c r="T2853">
        <v>-0.1965249</v>
      </c>
      <c r="U2853">
        <v>-0.27444459999999998</v>
      </c>
      <c r="V2853">
        <v>-2.532382E-2</v>
      </c>
      <c r="W2853">
        <v>-6.4559850000000002E-2</v>
      </c>
      <c r="X2853">
        <v>0.99759240000000005</v>
      </c>
      <c r="Y2853">
        <v>-0.10094210000000001</v>
      </c>
      <c r="Z2853">
        <v>-4.477254E-3</v>
      </c>
      <c r="AA2853">
        <v>0.99488220000000005</v>
      </c>
      <c r="AB2853">
        <v>34</v>
      </c>
      <c r="AC2853">
        <v>-16.710599999999999</v>
      </c>
      <c r="AD2853">
        <v>-1.120664859503</v>
      </c>
      <c r="AE2853">
        <v>-1.56839999999999</v>
      </c>
      <c r="AF2853">
        <v>-1.7253250319590301</v>
      </c>
      <c r="AG2853">
        <v>-1.120664859503</v>
      </c>
      <c r="AH2853">
        <v>16.6202347362361</v>
      </c>
      <c r="AI2853">
        <v>93.836929582400501</v>
      </c>
      <c r="AJ2853">
        <v>95.926572725531102</v>
      </c>
      <c r="AK2853">
        <v>16.747084488973599</v>
      </c>
      <c r="AL2853">
        <v>93.701581570541293</v>
      </c>
      <c r="AM2853">
        <v>91.454137447691394</v>
      </c>
      <c r="AN2853">
        <v>0.99999993331458503</v>
      </c>
    </row>
    <row r="2854" spans="1:40" x14ac:dyDescent="0.25">
      <c r="A2854" t="str">
        <f>"20190303154153384"</f>
        <v>20190303154153384</v>
      </c>
      <c r="B2854" t="str">
        <f>"1551598913372616"</f>
        <v>1551598913372616</v>
      </c>
      <c r="C2854" t="s">
        <v>40</v>
      </c>
      <c r="D2854">
        <v>5.4038409999999999</v>
      </c>
      <c r="E2854">
        <v>0.468669</v>
      </c>
      <c r="F2854" t="s">
        <v>51</v>
      </c>
      <c r="G2854">
        <v>-420.6112</v>
      </c>
      <c r="H2854" s="1">
        <v>4.0796519999999996E-6</v>
      </c>
      <c r="I2854">
        <v>282.06009999999998</v>
      </c>
      <c r="J2854">
        <v>-403.8571</v>
      </c>
      <c r="K2854">
        <v>1.120668</v>
      </c>
      <c r="L2854">
        <v>283.70830000000001</v>
      </c>
      <c r="M2854">
        <v>-0.99986949999999997</v>
      </c>
      <c r="N2854">
        <v>-1.27568E-2</v>
      </c>
      <c r="O2854">
        <v>9.9190000000000007E-3</v>
      </c>
      <c r="P2854">
        <v>-0.99685880000000004</v>
      </c>
      <c r="Q2854">
        <v>-7.7588389999999993E-2</v>
      </c>
      <c r="R2854">
        <v>-1.5904930000000001E-2</v>
      </c>
      <c r="S2854">
        <v>-2.989716</v>
      </c>
      <c r="T2854">
        <v>-0.1960334</v>
      </c>
      <c r="U2854">
        <v>-0.28771970000000002</v>
      </c>
      <c r="V2854">
        <v>-2.580518E-2</v>
      </c>
      <c r="W2854">
        <v>-6.4863000000000004E-2</v>
      </c>
      <c r="X2854">
        <v>0.99756040000000001</v>
      </c>
      <c r="Y2854">
        <v>-0.1053814</v>
      </c>
      <c r="Z2854">
        <v>-4.6399839999999998E-3</v>
      </c>
      <c r="AA2854">
        <v>0.99442109999999995</v>
      </c>
      <c r="AB2854">
        <v>34</v>
      </c>
      <c r="AC2854">
        <v>-16.754099999999902</v>
      </c>
      <c r="AD2854">
        <v>-1.120663920348</v>
      </c>
      <c r="AE2854">
        <v>-1.6482000000000301</v>
      </c>
      <c r="AF2854">
        <v>-1.80631212299627</v>
      </c>
      <c r="AG2854">
        <v>-1.120663920348</v>
      </c>
      <c r="AH2854">
        <v>16.663087608783702</v>
      </c>
      <c r="AI2854">
        <v>93.825249692401997</v>
      </c>
      <c r="AJ2854">
        <v>96.186819149606706</v>
      </c>
      <c r="AK2854">
        <v>16.798129055524399</v>
      </c>
      <c r="AL2854">
        <v>93.718987267288895</v>
      </c>
      <c r="AM2854">
        <v>91.481813272898805</v>
      </c>
      <c r="AN2854">
        <v>0.99999993386599395</v>
      </c>
    </row>
    <row r="2855" spans="1:40" x14ac:dyDescent="0.25">
      <c r="A2855" t="str">
        <f>"20190303154153407"</f>
        <v>20190303154153407</v>
      </c>
      <c r="B2855" t="str">
        <f>"1551598913402870"</f>
        <v>1551598913402870</v>
      </c>
      <c r="C2855" t="s">
        <v>40</v>
      </c>
      <c r="D2855">
        <v>5.4594279999999999</v>
      </c>
      <c r="E2855">
        <v>0.46726129999999999</v>
      </c>
      <c r="F2855" t="s">
        <v>51</v>
      </c>
      <c r="G2855">
        <v>-420.68209999999999</v>
      </c>
      <c r="H2855" s="1">
        <v>4.0696479999999996E-6</v>
      </c>
      <c r="I2855">
        <v>282.0308</v>
      </c>
      <c r="J2855">
        <v>-404.21050000000002</v>
      </c>
      <c r="K2855">
        <v>1.1206640000000001</v>
      </c>
      <c r="L2855">
        <v>283.71190000000001</v>
      </c>
      <c r="M2855">
        <v>-0.99987000000000004</v>
      </c>
      <c r="N2855">
        <v>-1.266398E-2</v>
      </c>
      <c r="O2855">
        <v>9.9877090000000009E-3</v>
      </c>
      <c r="P2855">
        <v>-0.99688920000000003</v>
      </c>
      <c r="Q2855">
        <v>-7.7001630000000001E-2</v>
      </c>
      <c r="R2855">
        <v>-1.681245E-2</v>
      </c>
      <c r="S2855">
        <v>-2.9891969999999999</v>
      </c>
      <c r="T2855">
        <v>-0.19910259999999999</v>
      </c>
      <c r="U2855">
        <v>-0.29803469999999999</v>
      </c>
      <c r="V2855">
        <v>-2.6781630000000001E-2</v>
      </c>
      <c r="W2855">
        <v>-6.4368460000000002E-2</v>
      </c>
      <c r="X2855">
        <v>0.99756679999999998</v>
      </c>
      <c r="Y2855">
        <v>-0.10884720000000001</v>
      </c>
      <c r="Z2855">
        <v>-4.8408349999999999E-3</v>
      </c>
      <c r="AA2855">
        <v>0.99404669999999895</v>
      </c>
      <c r="AB2855">
        <v>34</v>
      </c>
      <c r="AC2855">
        <v>-16.471599999999899</v>
      </c>
      <c r="AD2855">
        <v>-1.120659930352</v>
      </c>
      <c r="AE2855">
        <v>-1.68110000000001</v>
      </c>
      <c r="AF2855">
        <v>-1.8371266881294199</v>
      </c>
      <c r="AG2855">
        <v>-1.120659930352</v>
      </c>
      <c r="AH2855">
        <v>16.378951958822</v>
      </c>
      <c r="AI2855">
        <v>93.889802871367493</v>
      </c>
      <c r="AJ2855">
        <v>96.399768060934804</v>
      </c>
      <c r="AK2855">
        <v>16.5197149012061</v>
      </c>
      <c r="AL2855">
        <v>93.690592489627505</v>
      </c>
      <c r="AM2855">
        <v>91.537847755949301</v>
      </c>
      <c r="AN2855">
        <v>1.00000003740523</v>
      </c>
    </row>
    <row r="2856" spans="1:40" x14ac:dyDescent="0.25">
      <c r="A2856" t="str">
        <f>"20190303154153429"</f>
        <v>20190303154153429</v>
      </c>
      <c r="B2856" t="str">
        <f>"1551598913422394"</f>
        <v>1551598913422394</v>
      </c>
      <c r="C2856" t="s">
        <v>40</v>
      </c>
      <c r="D2856">
        <v>5.3924880000000002</v>
      </c>
      <c r="E2856">
        <v>0.46659089999999998</v>
      </c>
      <c r="F2856" t="s">
        <v>51</v>
      </c>
      <c r="G2856">
        <v>-420.90629999999999</v>
      </c>
      <c r="H2856" s="1">
        <v>4.0352209999999999E-6</v>
      </c>
      <c r="I2856">
        <v>281.96969999999999</v>
      </c>
      <c r="J2856">
        <v>-404.54579999999999</v>
      </c>
      <c r="K2856">
        <v>1.1206609999999999</v>
      </c>
      <c r="L2856">
        <v>283.71530000000001</v>
      </c>
      <c r="M2856">
        <v>-0.9998705</v>
      </c>
      <c r="N2856">
        <v>-1.258506E-2</v>
      </c>
      <c r="O2856">
        <v>1.0053110000000001E-2</v>
      </c>
      <c r="P2856">
        <v>-0.99692150000000002</v>
      </c>
      <c r="Q2856">
        <v>-7.6479580000000005E-2</v>
      </c>
      <c r="R2856">
        <v>-1.728588E-2</v>
      </c>
      <c r="S2856">
        <v>-2.9886170000000001</v>
      </c>
      <c r="T2856">
        <v>-0.200603</v>
      </c>
      <c r="U2856">
        <v>-0.3118591</v>
      </c>
      <c r="V2856">
        <v>-2.7319929999999999E-2</v>
      </c>
      <c r="W2856">
        <v>-6.3924770000000006E-2</v>
      </c>
      <c r="X2856">
        <v>0.99758069999999999</v>
      </c>
      <c r="Y2856">
        <v>-0.1134645</v>
      </c>
      <c r="Z2856">
        <v>-5.0565840000000003E-3</v>
      </c>
      <c r="AA2856">
        <v>0.9935292</v>
      </c>
      <c r="AB2856">
        <v>34</v>
      </c>
      <c r="AC2856">
        <v>-16.360499999999998</v>
      </c>
      <c r="AD2856">
        <v>-1.1206569647789999</v>
      </c>
      <c r="AE2856">
        <v>-1.74560000000002</v>
      </c>
      <c r="AF2856">
        <v>-1.9011788607856801</v>
      </c>
      <c r="AG2856">
        <v>-1.1206569647789999</v>
      </c>
      <c r="AH2856">
        <v>16.266659934954799</v>
      </c>
      <c r="AI2856">
        <v>93.914482344952205</v>
      </c>
      <c r="AJ2856">
        <v>96.666246201448303</v>
      </c>
      <c r="AK2856">
        <v>16.415680873264801</v>
      </c>
      <c r="AL2856">
        <v>93.665118584773197</v>
      </c>
      <c r="AM2856">
        <v>91.568720736861493</v>
      </c>
      <c r="AN2856">
        <v>1.0000000039036201</v>
      </c>
    </row>
    <row r="2857" spans="1:40" x14ac:dyDescent="0.25">
      <c r="A2857" t="str">
        <f>"20190303154153451"</f>
        <v>20190303154153451</v>
      </c>
      <c r="B2857" t="str">
        <f>"1551598913442887"</f>
        <v>1551598913442887</v>
      </c>
      <c r="C2857" t="s">
        <v>40</v>
      </c>
      <c r="D2857">
        <v>5.441948</v>
      </c>
      <c r="E2857">
        <v>0.46603220000000001</v>
      </c>
      <c r="F2857" t="s">
        <v>51</v>
      </c>
      <c r="G2857">
        <v>-421.31689999999998</v>
      </c>
      <c r="H2857" s="1">
        <v>3.9661540000000002E-6</v>
      </c>
      <c r="I2857">
        <v>281.92660000000001</v>
      </c>
      <c r="J2857">
        <v>-404.89139999999998</v>
      </c>
      <c r="K2857">
        <v>1.120662</v>
      </c>
      <c r="L2857">
        <v>283.71879999999999</v>
      </c>
      <c r="M2857">
        <v>-0.9998705</v>
      </c>
      <c r="N2857">
        <v>-1.251293E-2</v>
      </c>
      <c r="O2857">
        <v>1.0120789999999999E-2</v>
      </c>
      <c r="P2857">
        <v>-0.99693639999999994</v>
      </c>
      <c r="Q2857">
        <v>-7.6262479999999994E-2</v>
      </c>
      <c r="R2857">
        <v>-1.738694E-2</v>
      </c>
      <c r="S2857">
        <v>-2.9884339999999998</v>
      </c>
      <c r="T2857">
        <v>-0.19968939999999999</v>
      </c>
      <c r="U2857">
        <v>-0.3187256</v>
      </c>
      <c r="V2857">
        <v>-2.7488579999999999E-2</v>
      </c>
      <c r="W2857">
        <v>-6.3779450000000001E-2</v>
      </c>
      <c r="X2857">
        <v>0.99758539999999996</v>
      </c>
      <c r="Y2857">
        <v>-0.1157922</v>
      </c>
      <c r="Z2857">
        <v>-5.1284800000000004E-3</v>
      </c>
      <c r="AA2857">
        <v>0.99326020000000004</v>
      </c>
      <c r="AB2857">
        <v>34</v>
      </c>
      <c r="AC2857">
        <v>-16.4255</v>
      </c>
      <c r="AD2857">
        <v>-1.1206580338459999</v>
      </c>
      <c r="AE2857">
        <v>-1.79219999999997</v>
      </c>
      <c r="AF2857">
        <v>-1.9493928039577799</v>
      </c>
      <c r="AG2857">
        <v>-1.1206580338459999</v>
      </c>
      <c r="AH2857">
        <v>16.331392339733501</v>
      </c>
      <c r="AI2857">
        <v>93.897891373935494</v>
      </c>
      <c r="AJ2857">
        <v>96.806891086312305</v>
      </c>
      <c r="AK2857">
        <v>16.4854597293266</v>
      </c>
      <c r="AL2857">
        <v>93.656775221750195</v>
      </c>
      <c r="AM2857">
        <v>91.578392367398905</v>
      </c>
      <c r="AN2857">
        <v>1.0000000352829299</v>
      </c>
    </row>
    <row r="2858" spans="1:40" x14ac:dyDescent="0.25">
      <c r="A2858" t="str">
        <f>"20190303154153475"</f>
        <v>20190303154153475</v>
      </c>
      <c r="B2858" t="str">
        <f>"1551598913462410"</f>
        <v>1551598913462410</v>
      </c>
      <c r="C2858" t="s">
        <v>40</v>
      </c>
      <c r="D2858">
        <v>5.3944960000000002</v>
      </c>
      <c r="E2858">
        <v>0.46574470000000001</v>
      </c>
      <c r="F2858" t="s">
        <v>51</v>
      </c>
      <c r="G2858">
        <v>-421.44619999999998</v>
      </c>
      <c r="H2858" s="1">
        <v>3.9432169999999996E-6</v>
      </c>
      <c r="I2858">
        <v>281.92660000000001</v>
      </c>
      <c r="J2858">
        <v>-405.23660000000001</v>
      </c>
      <c r="K2858">
        <v>1.120662</v>
      </c>
      <c r="L2858">
        <v>283.72239999999999</v>
      </c>
      <c r="M2858">
        <v>-0.99987060000000005</v>
      </c>
      <c r="N2858">
        <v>-1.244954E-2</v>
      </c>
      <c r="O2858">
        <v>1.018812E-2</v>
      </c>
      <c r="P2858">
        <v>-0.99696770000000001</v>
      </c>
      <c r="Q2858">
        <v>-7.5897080000000006E-2</v>
      </c>
      <c r="R2858">
        <v>-1.7183219999999999E-2</v>
      </c>
      <c r="S2858">
        <v>-2.9880680000000002</v>
      </c>
      <c r="T2858">
        <v>-0.2022738</v>
      </c>
      <c r="U2858">
        <v>-0.3234863</v>
      </c>
      <c r="V2858">
        <v>-2.7352580000000001E-2</v>
      </c>
      <c r="W2858">
        <v>-6.3476959999999999E-2</v>
      </c>
      <c r="X2858">
        <v>0.99760839999999995</v>
      </c>
      <c r="Y2858">
        <v>-0.11742420000000001</v>
      </c>
      <c r="Z2858">
        <v>-5.2530859999999997E-3</v>
      </c>
      <c r="AA2858">
        <v>0.99306799999999995</v>
      </c>
      <c r="AB2858">
        <v>34</v>
      </c>
      <c r="AC2858">
        <v>-16.209599999999899</v>
      </c>
      <c r="AD2858">
        <v>-1.120658056783</v>
      </c>
      <c r="AE2858">
        <v>-1.7957999999999801</v>
      </c>
      <c r="AF2858">
        <v>-1.9516497142045399</v>
      </c>
      <c r="AG2858">
        <v>-1.120658056783</v>
      </c>
      <c r="AH2858">
        <v>16.114373171104301</v>
      </c>
      <c r="AI2858">
        <v>93.949405387598802</v>
      </c>
      <c r="AJ2858">
        <v>96.905593742757802</v>
      </c>
      <c r="AK2858">
        <v>16.2707662322582</v>
      </c>
      <c r="AL2858">
        <v>93.6394087458646</v>
      </c>
      <c r="AM2858">
        <v>91.570550985851696</v>
      </c>
      <c r="AN2858">
        <v>1.00000000391702</v>
      </c>
    </row>
    <row r="2859" spans="1:40" x14ac:dyDescent="0.25">
      <c r="A2859" t="str">
        <f>"20190303154153497"</f>
        <v>20190303154153497</v>
      </c>
      <c r="B2859" t="str">
        <f>"1551598913492663"</f>
        <v>1551598913492663</v>
      </c>
      <c r="C2859" t="s">
        <v>40</v>
      </c>
      <c r="D2859">
        <v>5.4710739999999998</v>
      </c>
      <c r="E2859">
        <v>0.4651092</v>
      </c>
      <c r="F2859" t="s">
        <v>51</v>
      </c>
      <c r="G2859">
        <v>-421.82650000000001</v>
      </c>
      <c r="H2859" s="1">
        <v>3.8765679999999901E-6</v>
      </c>
      <c r="I2859">
        <v>281.91730000000001</v>
      </c>
      <c r="J2859">
        <v>-405.57850000000002</v>
      </c>
      <c r="K2859">
        <v>1.1206590000000001</v>
      </c>
      <c r="L2859">
        <v>283.726</v>
      </c>
      <c r="M2859">
        <v>-0.9998707</v>
      </c>
      <c r="N2859">
        <v>-1.2394759999999999E-2</v>
      </c>
      <c r="O2859">
        <v>1.025438E-2</v>
      </c>
      <c r="P2859">
        <v>-0.99699629999999995</v>
      </c>
      <c r="Q2859">
        <v>-7.5552549999999996E-2</v>
      </c>
      <c r="R2859">
        <v>-1.7037589999999998E-2</v>
      </c>
      <c r="S2859">
        <v>-2.9881289999999998</v>
      </c>
      <c r="T2859">
        <v>-0.20184959999999999</v>
      </c>
      <c r="U2859">
        <v>-0.32513429999999999</v>
      </c>
      <c r="V2859">
        <v>-2.7273639999999998E-2</v>
      </c>
      <c r="W2859">
        <v>-6.3186740000000005E-2</v>
      </c>
      <c r="X2859">
        <v>0.99762899999999999</v>
      </c>
      <c r="Y2859">
        <v>-0.11802890000000001</v>
      </c>
      <c r="Z2859">
        <v>-5.2682270000000003E-3</v>
      </c>
      <c r="AA2859">
        <v>0.9929962</v>
      </c>
      <c r="AB2859">
        <v>34</v>
      </c>
      <c r="AC2859">
        <v>-16.247999999999902</v>
      </c>
      <c r="AD2859">
        <v>-1.1206551234319999</v>
      </c>
      <c r="AE2859">
        <v>-1.80869999999998</v>
      </c>
      <c r="AF2859">
        <v>-1.96599284831719</v>
      </c>
      <c r="AG2859">
        <v>-1.1206551234319999</v>
      </c>
      <c r="AH2859">
        <v>16.1526972762003</v>
      </c>
      <c r="AI2859">
        <v>93.939771999461101</v>
      </c>
      <c r="AJ2859">
        <v>96.9395067434575</v>
      </c>
      <c r="AK2859">
        <v>16.3104452754019</v>
      </c>
      <c r="AL2859">
        <v>93.622746863259295</v>
      </c>
      <c r="AM2859">
        <v>91.565988289369002</v>
      </c>
      <c r="AN2859">
        <v>1.00000001859583</v>
      </c>
    </row>
    <row r="2860" spans="1:40" x14ac:dyDescent="0.25">
      <c r="A2860" t="str">
        <f>"20190303154153519"</f>
        <v>20190303154153519</v>
      </c>
      <c r="B2860" t="str">
        <f>"1551598913512183"</f>
        <v>1551598913512183</v>
      </c>
      <c r="C2860" t="s">
        <v>40</v>
      </c>
      <c r="D2860">
        <v>5.4758420000000001</v>
      </c>
      <c r="E2860">
        <v>0.46455590000000002</v>
      </c>
      <c r="F2860" t="s">
        <v>51</v>
      </c>
      <c r="G2860">
        <v>-422.00779999999997</v>
      </c>
      <c r="H2860" s="1">
        <v>3.84482199999999E-6</v>
      </c>
      <c r="I2860">
        <v>281.91269999999997</v>
      </c>
      <c r="J2860">
        <v>-405.92250000000001</v>
      </c>
      <c r="K2860">
        <v>1.1206579999999999</v>
      </c>
      <c r="L2860">
        <v>283.7296</v>
      </c>
      <c r="M2860">
        <v>-0.9998705</v>
      </c>
      <c r="N2860">
        <v>-1.235707E-2</v>
      </c>
      <c r="O2860">
        <v>1.0321500000000001E-2</v>
      </c>
      <c r="P2860">
        <v>-0.9969981</v>
      </c>
      <c r="Q2860">
        <v>-7.5657779999999994E-2</v>
      </c>
      <c r="R2860">
        <v>-1.6456749999999999E-2</v>
      </c>
      <c r="S2860">
        <v>-2.9878849999999999</v>
      </c>
      <c r="T2860">
        <v>-0.2038064</v>
      </c>
      <c r="U2860">
        <v>-0.32977289999999998</v>
      </c>
      <c r="V2860">
        <v>-2.676011E-2</v>
      </c>
      <c r="W2860">
        <v>-6.3329549999999998E-2</v>
      </c>
      <c r="X2860">
        <v>0.99763380000000002</v>
      </c>
      <c r="Y2860">
        <v>-0.1196171</v>
      </c>
      <c r="Z2860">
        <v>-5.3790629999999999E-3</v>
      </c>
      <c r="AA2860">
        <v>0.99280550000000001</v>
      </c>
      <c r="AB2860">
        <v>34</v>
      </c>
      <c r="AC2860">
        <v>-16.085299999999901</v>
      </c>
      <c r="AD2860">
        <v>-1.1206541551779901</v>
      </c>
      <c r="AE2860">
        <v>-1.8169000000000299</v>
      </c>
      <c r="AF2860">
        <v>-1.9733824813930001</v>
      </c>
      <c r="AG2860">
        <v>-1.1206541551779901</v>
      </c>
      <c r="AH2860">
        <v>15.989057946572901</v>
      </c>
      <c r="AI2860">
        <v>93.979143023408795</v>
      </c>
      <c r="AJ2860">
        <v>97.035910188695894</v>
      </c>
      <c r="AK2860">
        <v>16.149305810846801</v>
      </c>
      <c r="AL2860">
        <v>93.630945881081601</v>
      </c>
      <c r="AM2860">
        <v>91.536509485058801</v>
      </c>
      <c r="AN2860">
        <v>0.99999996714642603</v>
      </c>
    </row>
    <row r="2861" spans="1:40" x14ac:dyDescent="0.25">
      <c r="A2861" t="str">
        <f>"20190303154153540"</f>
        <v>20190303154153540</v>
      </c>
      <c r="B2861" t="str">
        <f>"1551598913532678"</f>
        <v>1551598913532678</v>
      </c>
      <c r="C2861" t="s">
        <v>40</v>
      </c>
      <c r="D2861">
        <v>5.4342739999999896</v>
      </c>
      <c r="E2861">
        <v>0.46424110000000002</v>
      </c>
      <c r="F2861" t="s">
        <v>51</v>
      </c>
      <c r="G2861">
        <v>-422.1902</v>
      </c>
      <c r="H2861" s="1">
        <v>3.8118040000000002E-6</v>
      </c>
      <c r="I2861">
        <v>281.92009999999999</v>
      </c>
      <c r="J2861">
        <v>-406.25040000000001</v>
      </c>
      <c r="K2861">
        <v>1.1206499999999999</v>
      </c>
      <c r="L2861">
        <v>283.733</v>
      </c>
      <c r="M2861">
        <v>-0.99987000000000004</v>
      </c>
      <c r="N2861">
        <v>-1.233336E-2</v>
      </c>
      <c r="O2861">
        <v>1.0386390000000001E-2</v>
      </c>
      <c r="P2861">
        <v>-0.99701019999999896</v>
      </c>
      <c r="Q2861">
        <v>-7.5518589999999997E-2</v>
      </c>
      <c r="R2861">
        <v>-1.635882E-2</v>
      </c>
      <c r="S2861">
        <v>-2.9879150000000001</v>
      </c>
      <c r="T2861">
        <v>-0.20583190000000001</v>
      </c>
      <c r="U2861">
        <v>-0.33233639999999998</v>
      </c>
      <c r="V2861">
        <v>-2.6726529999999998E-2</v>
      </c>
      <c r="W2861">
        <v>-6.3213829999999999E-2</v>
      </c>
      <c r="X2861">
        <v>0.99764209999999998</v>
      </c>
      <c r="Y2861">
        <v>-0.120513</v>
      </c>
      <c r="Z2861">
        <v>-5.464834E-3</v>
      </c>
      <c r="AA2861">
        <v>0.99269669999999999</v>
      </c>
      <c r="AB2861">
        <v>34</v>
      </c>
      <c r="AC2861">
        <v>-15.9397999999999</v>
      </c>
      <c r="AD2861">
        <v>-1.1206461881959999</v>
      </c>
      <c r="AE2861">
        <v>-1.8129000000000099</v>
      </c>
      <c r="AF2861">
        <v>-1.9687648668245501</v>
      </c>
      <c r="AG2861">
        <v>-1.1206461881959999</v>
      </c>
      <c r="AH2861">
        <v>15.842801678815199</v>
      </c>
      <c r="AI2861">
        <v>94.015315311121498</v>
      </c>
      <c r="AJ2861">
        <v>97.083758633528205</v>
      </c>
      <c r="AK2861">
        <v>16.003944764158302</v>
      </c>
      <c r="AL2861">
        <v>93.624302082014694</v>
      </c>
      <c r="AM2861">
        <v>91.534569553270998</v>
      </c>
      <c r="AN2861">
        <v>1.0000000277007499</v>
      </c>
    </row>
    <row r="2862" spans="1:40" x14ac:dyDescent="0.25">
      <c r="A2862" t="str">
        <f>"20190303154153553"</f>
        <v>20190303154153553</v>
      </c>
      <c r="B2862" t="str">
        <f>"1551598913542439"</f>
        <v>1551598913542439</v>
      </c>
      <c r="C2862" t="s">
        <v>40</v>
      </c>
      <c r="D2862">
        <v>5.4128949999999998</v>
      </c>
      <c r="E2862">
        <v>0.4641187</v>
      </c>
      <c r="F2862" t="s">
        <v>51</v>
      </c>
      <c r="G2862">
        <v>-422.54489999999998</v>
      </c>
      <c r="H2862" s="1">
        <v>3.7499919999999999E-6</v>
      </c>
      <c r="I2862">
        <v>281.90750000000003</v>
      </c>
      <c r="J2862">
        <v>-406.44450000000001</v>
      </c>
      <c r="K2862">
        <v>1.120649</v>
      </c>
      <c r="L2862">
        <v>283.73509999999999</v>
      </c>
      <c r="M2862">
        <v>-0.99986980000000003</v>
      </c>
      <c r="N2862">
        <v>-1.23225E-2</v>
      </c>
      <c r="O2862">
        <v>1.0424549999999999E-2</v>
      </c>
      <c r="P2862">
        <v>-0.99701329999999999</v>
      </c>
      <c r="Q2862">
        <v>-7.5531100000000004E-2</v>
      </c>
      <c r="R2862">
        <v>-1.611748E-2</v>
      </c>
      <c r="S2862">
        <v>-2.987946</v>
      </c>
      <c r="T2862">
        <v>-0.20549400000000001</v>
      </c>
      <c r="U2862">
        <v>-0.33474730000000003</v>
      </c>
      <c r="V2862">
        <v>-2.6523359999999999E-2</v>
      </c>
      <c r="W2862">
        <v>-6.3237109999999999E-2</v>
      </c>
      <c r="X2862">
        <v>0.99764600000000003</v>
      </c>
      <c r="Y2862">
        <v>-0.12133960000000001</v>
      </c>
      <c r="Z2862">
        <v>-5.4916929999999997E-3</v>
      </c>
      <c r="AA2862">
        <v>0.99259589999999998</v>
      </c>
      <c r="AB2862">
        <v>34</v>
      </c>
      <c r="AC2862">
        <v>-16.100399999999901</v>
      </c>
      <c r="AD2862">
        <v>-1.120645250008</v>
      </c>
      <c r="AE2862">
        <v>-1.8275999999999599</v>
      </c>
      <c r="AF2862">
        <v>-1.98585444205937</v>
      </c>
      <c r="AG2862">
        <v>-1.120645250008</v>
      </c>
      <c r="AH2862">
        <v>16.003924471651899</v>
      </c>
      <c r="AI2862">
        <v>93.975106031844405</v>
      </c>
      <c r="AJ2862">
        <v>97.073417811103198</v>
      </c>
      <c r="AK2862">
        <v>16.165551711455802</v>
      </c>
      <c r="AL2862">
        <v>93.625638771246699</v>
      </c>
      <c r="AM2862">
        <v>91.522903611295703</v>
      </c>
      <c r="AN2862">
        <v>0.99999998101141996</v>
      </c>
    </row>
    <row r="2863" spans="1:40" x14ac:dyDescent="0.25">
      <c r="A2863" t="str">
        <f>"20190303154153565"</f>
        <v>20190303154153565</v>
      </c>
      <c r="B2863" t="str">
        <f>"1551598913561959"</f>
        <v>1551598913561959</v>
      </c>
      <c r="C2863" t="s">
        <v>40</v>
      </c>
      <c r="D2863">
        <v>5.4211090000000004</v>
      </c>
      <c r="E2863">
        <v>0.46382220000000002</v>
      </c>
      <c r="F2863" t="s">
        <v>51</v>
      </c>
      <c r="G2863">
        <v>-422.72910000000002</v>
      </c>
      <c r="H2863" s="1">
        <v>3.7170869999999998E-6</v>
      </c>
      <c r="I2863">
        <v>281.9101</v>
      </c>
      <c r="J2863">
        <v>-406.63589999999999</v>
      </c>
      <c r="K2863">
        <v>1.1206499999999999</v>
      </c>
      <c r="L2863">
        <v>283.7371</v>
      </c>
      <c r="M2863">
        <v>-0.99986949999999997</v>
      </c>
      <c r="N2863">
        <v>-1.231579E-2</v>
      </c>
      <c r="O2863">
        <v>1.046269E-2</v>
      </c>
      <c r="P2863">
        <v>-0.9970021</v>
      </c>
      <c r="Q2863">
        <v>-7.5671699999999995E-2</v>
      </c>
      <c r="R2863">
        <v>-1.6146440000000001E-2</v>
      </c>
      <c r="S2863">
        <v>-2.9880369999999998</v>
      </c>
      <c r="T2863">
        <v>-0.2056258</v>
      </c>
      <c r="U2863">
        <v>-0.33486939999999998</v>
      </c>
      <c r="V2863">
        <v>-2.659019E-2</v>
      </c>
      <c r="W2863">
        <v>-6.3384499999999996E-2</v>
      </c>
      <c r="X2863">
        <v>0.99763489999999999</v>
      </c>
      <c r="Y2863">
        <v>-0.12141349999999999</v>
      </c>
      <c r="Z2863">
        <v>-5.4994450000000004E-3</v>
      </c>
      <c r="AA2863">
        <v>0.99258679999999999</v>
      </c>
      <c r="AB2863">
        <v>34</v>
      </c>
      <c r="AC2863">
        <v>-16.0932</v>
      </c>
      <c r="AD2863">
        <v>-1.1206462829129999</v>
      </c>
      <c r="AE2863">
        <v>-1.82699999999999</v>
      </c>
      <c r="AF2863">
        <v>-1.98578435482705</v>
      </c>
      <c r="AG2863">
        <v>-1.1206462829129999</v>
      </c>
      <c r="AH2863">
        <v>15.996621564609301</v>
      </c>
      <c r="AI2863">
        <v>93.976893286271903</v>
      </c>
      <c r="AJ2863">
        <v>97.076367067273694</v>
      </c>
      <c r="AK2863">
        <v>16.158313311623999</v>
      </c>
      <c r="AL2863">
        <v>93.634100454169101</v>
      </c>
      <c r="AM2863">
        <v>91.526755984354494</v>
      </c>
      <c r="AN2863">
        <v>1.0000000133712399</v>
      </c>
    </row>
    <row r="2864" spans="1:40" x14ac:dyDescent="0.25">
      <c r="A2864" t="str">
        <f>"20190303154153580"</f>
        <v>20190303154153580</v>
      </c>
      <c r="B2864" t="str">
        <f>"1551598913572694"</f>
        <v>1551598913572694</v>
      </c>
      <c r="C2864" t="s">
        <v>40</v>
      </c>
      <c r="D2864">
        <v>5.502567</v>
      </c>
      <c r="E2864">
        <v>0.4634547</v>
      </c>
      <c r="F2864" t="s">
        <v>51</v>
      </c>
      <c r="G2864">
        <v>-422.84399999999999</v>
      </c>
      <c r="H2864" s="1">
        <v>3.6969499999999998E-6</v>
      </c>
      <c r="I2864">
        <v>281.90730000000002</v>
      </c>
      <c r="J2864">
        <v>-406.85379999999998</v>
      </c>
      <c r="K2864">
        <v>1.1206529999999999</v>
      </c>
      <c r="L2864">
        <v>283.73939999999999</v>
      </c>
      <c r="M2864">
        <v>-0.99986900000000001</v>
      </c>
      <c r="N2864">
        <v>-1.23105E-2</v>
      </c>
      <c r="O2864">
        <v>1.0506659999999999E-2</v>
      </c>
      <c r="P2864">
        <v>-0.99699459999999995</v>
      </c>
      <c r="Q2864">
        <v>-7.585691E-2</v>
      </c>
      <c r="R2864">
        <v>-1.5738419999999999E-2</v>
      </c>
      <c r="S2864">
        <v>-2.9878849999999999</v>
      </c>
      <c r="T2864">
        <v>-0.20658609999999999</v>
      </c>
      <c r="U2864">
        <v>-0.33731080000000002</v>
      </c>
      <c r="V2864">
        <v>-2.6226429999999998E-2</v>
      </c>
      <c r="W2864">
        <v>-6.3575060000000003E-2</v>
      </c>
      <c r="X2864">
        <v>0.99763239999999997</v>
      </c>
      <c r="Y2864">
        <v>-0.122258199999999</v>
      </c>
      <c r="Z2864">
        <v>-5.5587630000000004E-3</v>
      </c>
      <c r="AA2864">
        <v>0.9924828</v>
      </c>
      <c r="AB2864">
        <v>34</v>
      </c>
      <c r="AC2864">
        <v>-15.9902</v>
      </c>
      <c r="AD2864">
        <v>-1.12064930305</v>
      </c>
      <c r="AE2864">
        <v>-1.8320999999999601</v>
      </c>
      <c r="AF2864">
        <v>-1.9903657887246</v>
      </c>
      <c r="AG2864">
        <v>-1.12064930305</v>
      </c>
      <c r="AH2864">
        <v>15.8930163516994</v>
      </c>
      <c r="AI2864">
        <v>94.0022074872074</v>
      </c>
      <c r="AJ2864">
        <v>97.138287119910601</v>
      </c>
      <c r="AK2864">
        <v>16.056318992494401</v>
      </c>
      <c r="AL2864">
        <v>93.645040816474705</v>
      </c>
      <c r="AM2864">
        <v>91.505883062153003</v>
      </c>
      <c r="AN2864">
        <v>1.00000000970715</v>
      </c>
    </row>
    <row r="2865" spans="1:40" x14ac:dyDescent="0.25">
      <c r="A2865" t="str">
        <f>"20190303154153597"</f>
        <v>20190303154153597</v>
      </c>
      <c r="B2865" t="str">
        <f>"1551598913592214"</f>
        <v>1551598913592214</v>
      </c>
      <c r="C2865" t="s">
        <v>40</v>
      </c>
      <c r="D2865">
        <v>5.4282269999999997</v>
      </c>
      <c r="E2865">
        <v>0.46320990000000001</v>
      </c>
      <c r="F2865" t="s">
        <v>51</v>
      </c>
      <c r="G2865">
        <v>-422.88889999999998</v>
      </c>
      <c r="H2865" s="1">
        <v>3.6879310000000001E-6</v>
      </c>
      <c r="I2865">
        <v>281.91930000000002</v>
      </c>
      <c r="J2865">
        <v>-407.11020000000002</v>
      </c>
      <c r="K2865">
        <v>1.120652</v>
      </c>
      <c r="L2865">
        <v>283.74220000000003</v>
      </c>
      <c r="M2865">
        <v>-0.9998686</v>
      </c>
      <c r="N2865">
        <v>-1.230793E-2</v>
      </c>
      <c r="O2865">
        <v>1.0559199999999999E-2</v>
      </c>
      <c r="P2865">
        <v>-0.99698560000000003</v>
      </c>
      <c r="Q2865">
        <v>-7.5930369999999997E-2</v>
      </c>
      <c r="R2865">
        <v>-1.5953820000000001E-2</v>
      </c>
      <c r="S2865">
        <v>-2.987854</v>
      </c>
      <c r="T2865">
        <v>-0.20881250000000001</v>
      </c>
      <c r="U2865">
        <v>-0.33914179999999999</v>
      </c>
      <c r="V2865">
        <v>-2.6494119999999999E-2</v>
      </c>
      <c r="W2865">
        <v>-6.3651100000000002E-2</v>
      </c>
      <c r="X2865">
        <v>0.99762050000000002</v>
      </c>
      <c r="Y2865">
        <v>-0.12290280000000001</v>
      </c>
      <c r="Z2865">
        <v>-5.6410119999999999E-3</v>
      </c>
      <c r="AA2865">
        <v>0.99240269999999997</v>
      </c>
      <c r="AB2865">
        <v>34</v>
      </c>
      <c r="AC2865">
        <v>-15.778699999999899</v>
      </c>
      <c r="AD2865">
        <v>-1.1206483120690001</v>
      </c>
      <c r="AE2865">
        <v>-1.8229</v>
      </c>
      <c r="AF2865">
        <v>-1.9795675062931199</v>
      </c>
      <c r="AG2865">
        <v>-1.1206483120690001</v>
      </c>
      <c r="AH2865">
        <v>15.6805158009214</v>
      </c>
      <c r="AI2865">
        <v>94.055756875022595</v>
      </c>
      <c r="AJ2865">
        <v>97.195172269292001</v>
      </c>
      <c r="AK2865">
        <v>15.844655753100399</v>
      </c>
      <c r="AL2865">
        <v>93.649406349918607</v>
      </c>
      <c r="AM2865">
        <v>91.521264379969395</v>
      </c>
      <c r="AN2865">
        <v>1.00000003147301</v>
      </c>
    </row>
    <row r="2866" spans="1:40" x14ac:dyDescent="0.25">
      <c r="A2866" t="str">
        <f>"20190303154153609"</f>
        <v>20190303154153609</v>
      </c>
      <c r="B2866" t="str">
        <f>"1551598913601975"</f>
        <v>1551598913601975</v>
      </c>
      <c r="C2866" t="s">
        <v>40</v>
      </c>
      <c r="D2866">
        <v>5.4278559999999896</v>
      </c>
      <c r="E2866">
        <v>0.4630958</v>
      </c>
      <c r="F2866" t="s">
        <v>51</v>
      </c>
      <c r="G2866">
        <v>-423.09989999999999</v>
      </c>
      <c r="H2866" s="1">
        <v>3.65099E-6</v>
      </c>
      <c r="I2866">
        <v>281.91370000000001</v>
      </c>
      <c r="J2866">
        <v>-407.32069999999999</v>
      </c>
      <c r="K2866">
        <v>1.1206430000000001</v>
      </c>
      <c r="L2866">
        <v>283.74439999999998</v>
      </c>
      <c r="M2866">
        <v>-0.99986810000000004</v>
      </c>
      <c r="N2866">
        <v>-1.230799E-2</v>
      </c>
      <c r="O2866">
        <v>1.06026E-2</v>
      </c>
      <c r="P2866">
        <v>-0.99696870000000004</v>
      </c>
      <c r="Q2866">
        <v>-7.6075030000000002E-2</v>
      </c>
      <c r="R2866">
        <v>-1.6301090000000001E-2</v>
      </c>
      <c r="S2866">
        <v>-2.9876710000000002</v>
      </c>
      <c r="T2866">
        <v>-0.20939169999999999</v>
      </c>
      <c r="U2866">
        <v>-0.34164430000000001</v>
      </c>
      <c r="V2866">
        <v>-2.6884419999999999E-2</v>
      </c>
      <c r="W2866">
        <v>-6.3795859999999996E-2</v>
      </c>
      <c r="X2866">
        <v>0.99760079999999995</v>
      </c>
      <c r="Y2866">
        <v>-0.1237688</v>
      </c>
      <c r="Z2866">
        <v>-5.6930599999999998E-3</v>
      </c>
      <c r="AA2866">
        <v>0.99229469999999997</v>
      </c>
      <c r="AB2866">
        <v>34</v>
      </c>
      <c r="AC2866">
        <v>-15.779199999999999</v>
      </c>
      <c r="AD2866">
        <v>-1.12063934901</v>
      </c>
      <c r="AE2866">
        <v>-1.83069999999997</v>
      </c>
      <c r="AF2866">
        <v>-1.98801622503574</v>
      </c>
      <c r="AG2866">
        <v>-1.12063934901</v>
      </c>
      <c r="AH2866">
        <v>15.6808599301834</v>
      </c>
      <c r="AI2866">
        <v>94.055366055580294</v>
      </c>
      <c r="AJ2866">
        <v>97.225400220157496</v>
      </c>
      <c r="AK2866">
        <v>15.846053427007799</v>
      </c>
      <c r="AL2866">
        <v>93.657717420201195</v>
      </c>
      <c r="AM2866">
        <v>91.543694697587597</v>
      </c>
      <c r="AN2866">
        <v>1.00000001997625</v>
      </c>
    </row>
    <row r="2867" spans="1:40" x14ac:dyDescent="0.25">
      <c r="A2867" t="str">
        <f>"20190303154153623"</f>
        <v>20190303154153623</v>
      </c>
      <c r="B2867" t="str">
        <f>"1551598913612711"</f>
        <v>1551598913612711</v>
      </c>
      <c r="C2867" t="s">
        <v>40</v>
      </c>
      <c r="D2867">
        <v>5.4559550000000003</v>
      </c>
      <c r="E2867">
        <v>0.46296019999999999</v>
      </c>
      <c r="F2867" t="s">
        <v>51</v>
      </c>
      <c r="G2867">
        <v>-423.25319999999999</v>
      </c>
      <c r="H2867" s="1">
        <v>3.6239480000000002E-6</v>
      </c>
      <c r="I2867">
        <v>281.91199999999998</v>
      </c>
      <c r="J2867">
        <v>-407.5111</v>
      </c>
      <c r="K2867">
        <v>1.120641</v>
      </c>
      <c r="L2867">
        <v>283.74650000000003</v>
      </c>
      <c r="M2867">
        <v>-0.99986770000000003</v>
      </c>
      <c r="N2867">
        <v>-1.2308629999999999E-2</v>
      </c>
      <c r="O2867">
        <v>1.06417E-2</v>
      </c>
      <c r="P2867">
        <v>-0.99698690000000001</v>
      </c>
      <c r="Q2867">
        <v>-7.5909560000000001E-2</v>
      </c>
      <c r="R2867">
        <v>-1.5970310000000001E-2</v>
      </c>
      <c r="S2867">
        <v>-2.9874879999999999</v>
      </c>
      <c r="T2867">
        <v>-0.21012900000000001</v>
      </c>
      <c r="U2867">
        <v>-0.3435974</v>
      </c>
      <c r="V2867">
        <v>-2.6593100000000001E-2</v>
      </c>
      <c r="W2867">
        <v>-6.3629550000000007E-2</v>
      </c>
      <c r="X2867">
        <v>0.99761920000000004</v>
      </c>
      <c r="Y2867">
        <v>-0.1244503</v>
      </c>
      <c r="Z2867">
        <v>-5.7413530000000003E-3</v>
      </c>
      <c r="AA2867">
        <v>0.99220929999999996</v>
      </c>
      <c r="AB2867">
        <v>34</v>
      </c>
      <c r="AC2867">
        <v>-15.742099999999899</v>
      </c>
      <c r="AD2867">
        <v>-1.1206373760519901</v>
      </c>
      <c r="AE2867">
        <v>-1.83449999999999</v>
      </c>
      <c r="AF2867">
        <v>-1.9919721633984699</v>
      </c>
      <c r="AG2867">
        <v>-1.1206373760519901</v>
      </c>
      <c r="AH2867">
        <v>15.6434716391534</v>
      </c>
      <c r="AI2867">
        <v>94.064737302199504</v>
      </c>
      <c r="AJ2867">
        <v>97.256744248474405</v>
      </c>
      <c r="AK2867">
        <v>15.8095536354875</v>
      </c>
      <c r="AL2867">
        <v>93.648169267942905</v>
      </c>
      <c r="AM2867">
        <v>91.526947010213505</v>
      </c>
      <c r="AN2867">
        <v>0.99999999040472598</v>
      </c>
    </row>
    <row r="2868" spans="1:40" x14ac:dyDescent="0.25">
      <c r="A2868" t="str">
        <f>"20190303154153637"</f>
        <v>20190303154153637</v>
      </c>
      <c r="B2868" t="str">
        <f>"1551598913632231"</f>
        <v>1551598913632231</v>
      </c>
      <c r="C2868" t="s">
        <v>40</v>
      </c>
      <c r="D2868">
        <v>5.3828809999999896</v>
      </c>
      <c r="E2868">
        <v>0.4627232</v>
      </c>
      <c r="F2868" t="s">
        <v>51</v>
      </c>
      <c r="G2868">
        <v>-423.4914</v>
      </c>
      <c r="H2868" s="1">
        <v>3.5820679999999999E-6</v>
      </c>
      <c r="I2868">
        <v>281.90780000000001</v>
      </c>
      <c r="J2868">
        <v>-407.721</v>
      </c>
      <c r="K2868">
        <v>1.1206430000000001</v>
      </c>
      <c r="L2868">
        <v>283.74880000000002</v>
      </c>
      <c r="M2868">
        <v>-0.99986710000000001</v>
      </c>
      <c r="N2868">
        <v>-1.2309850000000001E-2</v>
      </c>
      <c r="O2868">
        <v>1.068496E-2</v>
      </c>
      <c r="P2868">
        <v>-0.99697749999999996</v>
      </c>
      <c r="Q2868">
        <v>-7.5967709999999994E-2</v>
      </c>
      <c r="R2868">
        <v>-1.626799E-2</v>
      </c>
      <c r="S2868">
        <v>-2.9875790000000002</v>
      </c>
      <c r="T2868">
        <v>-0.2095072</v>
      </c>
      <c r="U2868">
        <v>-0.34375</v>
      </c>
      <c r="V2868">
        <v>-2.6933599999999999E-2</v>
      </c>
      <c r="W2868">
        <v>-6.3686569999999998E-2</v>
      </c>
      <c r="X2868">
        <v>0.99760649999999995</v>
      </c>
      <c r="Y2868">
        <v>-0.1245415</v>
      </c>
      <c r="Z2868">
        <v>-5.7324219999999896E-3</v>
      </c>
      <c r="AA2868">
        <v>0.99219780000000002</v>
      </c>
      <c r="AB2868">
        <v>34</v>
      </c>
      <c r="AC2868">
        <v>-15.770399999999899</v>
      </c>
      <c r="AD2868">
        <v>-1.1206394179320001</v>
      </c>
      <c r="AE2868">
        <v>-1.841</v>
      </c>
      <c r="AF2868">
        <v>-1.9994533027852199</v>
      </c>
      <c r="AG2868">
        <v>-1.1206394179320001</v>
      </c>
      <c r="AH2868">
        <v>15.671756840863599</v>
      </c>
      <c r="AI2868">
        <v>94.057307395912005</v>
      </c>
      <c r="AJ2868">
        <v>97.270700647190495</v>
      </c>
      <c r="AK2868">
        <v>15.8384850504774</v>
      </c>
      <c r="AL2868">
        <v>93.651442646041502</v>
      </c>
      <c r="AM2868">
        <v>91.546508395135405</v>
      </c>
      <c r="AN2868">
        <v>1.0000000634247801</v>
      </c>
    </row>
    <row r="2869" spans="1:40" x14ac:dyDescent="0.25">
      <c r="A2869" t="str">
        <f>"20190303154153652"</f>
        <v>20190303154153652</v>
      </c>
      <c r="B2869" t="str">
        <f>"1551598913641991"</f>
        <v>1551598913641991</v>
      </c>
      <c r="C2869" t="s">
        <v>40</v>
      </c>
      <c r="D2869">
        <v>5.4454479999999998</v>
      </c>
      <c r="E2869">
        <v>0.46284540000000002</v>
      </c>
      <c r="F2869" t="s">
        <v>51</v>
      </c>
      <c r="G2869">
        <v>-423.59219999999999</v>
      </c>
      <c r="H2869" s="1">
        <v>3.5641170000000002E-6</v>
      </c>
      <c r="I2869">
        <v>281.90879999999999</v>
      </c>
      <c r="J2869">
        <v>-407.97</v>
      </c>
      <c r="K2869">
        <v>1.120649</v>
      </c>
      <c r="L2869">
        <v>283.75150000000002</v>
      </c>
      <c r="M2869">
        <v>-0.99986649999999999</v>
      </c>
      <c r="N2869">
        <v>-1.231201E-2</v>
      </c>
      <c r="O2869">
        <v>1.07362E-2</v>
      </c>
      <c r="P2869">
        <v>-0.99699070000000001</v>
      </c>
      <c r="Q2869">
        <v>-7.584842E-2</v>
      </c>
      <c r="R2869">
        <v>-1.6022149999999999E-2</v>
      </c>
      <c r="S2869">
        <v>-2.9873660000000002</v>
      </c>
      <c r="T2869">
        <v>-0.2109337</v>
      </c>
      <c r="U2869">
        <v>-0.34634399999999999</v>
      </c>
      <c r="V2869">
        <v>-2.673878E-2</v>
      </c>
      <c r="W2869">
        <v>-6.3565010000000005E-2</v>
      </c>
      <c r="X2869">
        <v>0.99761949999999999</v>
      </c>
      <c r="Y2869">
        <v>-0.1254431</v>
      </c>
      <c r="Z2869">
        <v>-5.8075330000000001E-3</v>
      </c>
      <c r="AA2869">
        <v>0.99208379999999996</v>
      </c>
      <c r="AB2869">
        <v>34</v>
      </c>
      <c r="AC2869">
        <v>-15.6221999999999</v>
      </c>
      <c r="AD2869">
        <v>-1.120645435883</v>
      </c>
      <c r="AE2869">
        <v>-1.84270000000003</v>
      </c>
      <c r="AF2869">
        <v>-2.00017830686869</v>
      </c>
      <c r="AG2869">
        <v>-1.120645435883</v>
      </c>
      <c r="AH2869">
        <v>15.5227337425413</v>
      </c>
      <c r="AI2869">
        <v>94.095494050474002</v>
      </c>
      <c r="AJ2869">
        <v>97.342376432295396</v>
      </c>
      <c r="AK2869">
        <v>15.6911383364644</v>
      </c>
      <c r="AL2869">
        <v>93.644463607504207</v>
      </c>
      <c r="AM2869">
        <v>91.535307343950706</v>
      </c>
      <c r="AN2869">
        <v>1.0000000698162099</v>
      </c>
    </row>
    <row r="2870" spans="1:40" x14ac:dyDescent="0.25">
      <c r="A2870" t="str">
        <f>"20190303154153755"</f>
        <v>20190303154153755</v>
      </c>
      <c r="B2870" t="str">
        <f>"1551598913752279"</f>
        <v>1551598913752279</v>
      </c>
      <c r="C2870" t="s">
        <v>40</v>
      </c>
      <c r="D2870">
        <v>3.5796839999999999</v>
      </c>
      <c r="E2870">
        <v>0.4630069</v>
      </c>
      <c r="F2870" t="s">
        <v>51</v>
      </c>
      <c r="G2870">
        <v>-423.9769</v>
      </c>
      <c r="H2870" s="1">
        <v>3.4962320000000001E-6</v>
      </c>
      <c r="I2870">
        <v>281.90460000000002</v>
      </c>
      <c r="J2870">
        <v>-409.53559999999999</v>
      </c>
      <c r="K2870">
        <v>1.1206560000000001</v>
      </c>
      <c r="L2870">
        <v>283.76889999999997</v>
      </c>
      <c r="M2870">
        <v>-0.99986280000000005</v>
      </c>
      <c r="N2870">
        <v>-1.232959E-2</v>
      </c>
      <c r="O2870">
        <v>1.105685E-2</v>
      </c>
      <c r="P2870">
        <v>-0.9970485</v>
      </c>
      <c r="Q2870">
        <v>-7.5298279999999995E-2</v>
      </c>
      <c r="R2870">
        <v>-1.498502E-2</v>
      </c>
      <c r="S2870">
        <v>-2.9876100000000001</v>
      </c>
      <c r="T2870">
        <v>-0.2091633</v>
      </c>
      <c r="U2870">
        <v>-0.34472659999999899</v>
      </c>
      <c r="V2870">
        <v>-2.6021869999999999E-2</v>
      </c>
      <c r="W2870">
        <v>-6.299689E-2</v>
      </c>
      <c r="X2870">
        <v>0.99767439999999996</v>
      </c>
      <c r="Y2870">
        <v>-0.12522800000000001</v>
      </c>
      <c r="Z2870">
        <v>-5.7745080000000002E-3</v>
      </c>
      <c r="AA2870">
        <v>0.99211119999999997</v>
      </c>
      <c r="AB2870">
        <v>34</v>
      </c>
      <c r="AC2870">
        <v>-14.4413</v>
      </c>
      <c r="AD2870">
        <v>-1.120652503768</v>
      </c>
      <c r="AE2870">
        <v>-1.8642999999999501</v>
      </c>
      <c r="AF2870">
        <v>-2.0119563760590999</v>
      </c>
      <c r="AG2870">
        <v>-1.120652503768</v>
      </c>
      <c r="AH2870">
        <v>14.334894788935401</v>
      </c>
      <c r="AI2870">
        <v>94.426878987877998</v>
      </c>
      <c r="AJ2870">
        <v>97.989488721682704</v>
      </c>
      <c r="AK2870">
        <v>14.518713410740499</v>
      </c>
      <c r="AL2870">
        <v>93.611847695211694</v>
      </c>
      <c r="AM2870">
        <v>91.494080001050307</v>
      </c>
      <c r="AN2870">
        <v>0.999999977141664</v>
      </c>
    </row>
    <row r="2871" spans="1:40" x14ac:dyDescent="0.25">
      <c r="A2871" t="str">
        <f>"20190303154153821"</f>
        <v>20190303154153821</v>
      </c>
      <c r="B2871" t="str">
        <f>"1551598913812790"</f>
        <v>1551598913812790</v>
      </c>
      <c r="C2871" t="s">
        <v>40</v>
      </c>
      <c r="D2871">
        <v>5.216888</v>
      </c>
      <c r="E2871">
        <v>0.4809407</v>
      </c>
      <c r="F2871" t="s">
        <v>51</v>
      </c>
      <c r="G2871">
        <v>-425.87990000000002</v>
      </c>
      <c r="H2871" s="1">
        <v>3.158405E-6</v>
      </c>
      <c r="I2871">
        <v>281.90780000000001</v>
      </c>
      <c r="J2871">
        <v>-410.5496</v>
      </c>
      <c r="K2871">
        <v>1.1206529999999999</v>
      </c>
      <c r="L2871">
        <v>283.78039999999999</v>
      </c>
      <c r="M2871">
        <v>-0.99986050000000004</v>
      </c>
      <c r="N2871">
        <v>-1.233888E-2</v>
      </c>
      <c r="O2871">
        <v>1.1262599999999999E-2</v>
      </c>
      <c r="P2871">
        <v>-0.99700869999999997</v>
      </c>
      <c r="Q2871">
        <v>-7.5726409999999994E-2</v>
      </c>
      <c r="R2871">
        <v>-1.5472980000000001E-2</v>
      </c>
      <c r="S2871">
        <v>-2.9882810000000002</v>
      </c>
      <c r="T2871">
        <v>-0.20489379999999999</v>
      </c>
      <c r="U2871">
        <v>-0.34027099999999999</v>
      </c>
      <c r="V2871">
        <v>-2.6714769999999999E-2</v>
      </c>
      <c r="W2871">
        <v>-6.3416199999999895E-2</v>
      </c>
      <c r="X2871">
        <v>0.99762949999999995</v>
      </c>
      <c r="Y2871">
        <v>-0.123964</v>
      </c>
      <c r="Z2871">
        <v>-5.6301490000000001E-3</v>
      </c>
      <c r="AA2871">
        <v>0.99227080000000001</v>
      </c>
      <c r="AB2871">
        <v>34</v>
      </c>
      <c r="AC2871">
        <v>-15.330299999999999</v>
      </c>
      <c r="AD2871">
        <v>-1.1206498415949999</v>
      </c>
      <c r="AE2871">
        <v>-1.8725999999999701</v>
      </c>
      <c r="AF2871">
        <v>-2.0344418484078099</v>
      </c>
      <c r="AG2871">
        <v>-1.1206498415949999</v>
      </c>
      <c r="AH2871">
        <v>15.2280583578912</v>
      </c>
      <c r="AI2871">
        <v>94.171939361605197</v>
      </c>
      <c r="AJ2871">
        <v>97.609555962771495</v>
      </c>
      <c r="AK2871">
        <v>15.40417381924</v>
      </c>
      <c r="AL2871">
        <v>93.6359205994859</v>
      </c>
      <c r="AM2871">
        <v>91.533914010299895</v>
      </c>
      <c r="AN2871">
        <v>0.99999995631441996</v>
      </c>
    </row>
    <row r="2872" spans="1:40" x14ac:dyDescent="0.25">
      <c r="A2872" t="str">
        <f>"20190303154153843"</f>
        <v>20190303154153843</v>
      </c>
      <c r="B2872" t="str">
        <f>"1551598913832312"</f>
        <v>1551598913832312</v>
      </c>
      <c r="C2872" t="s">
        <v>40</v>
      </c>
      <c r="D2872">
        <v>5.3573700000000004</v>
      </c>
      <c r="E2872">
        <v>0.48495909999999898</v>
      </c>
      <c r="F2872" t="s">
        <v>55</v>
      </c>
      <c r="G2872">
        <v>-511.95920000000001</v>
      </c>
      <c r="H2872">
        <v>1.71905</v>
      </c>
      <c r="I2872">
        <v>276.95</v>
      </c>
      <c r="J2872">
        <v>-410.87040000000002</v>
      </c>
      <c r="K2872">
        <v>1.120649</v>
      </c>
      <c r="L2872">
        <v>283.78410000000002</v>
      </c>
      <c r="M2872">
        <v>-0.99985970000000002</v>
      </c>
      <c r="N2872">
        <v>-1.234114E-2</v>
      </c>
      <c r="O2872">
        <v>1.132814E-2</v>
      </c>
      <c r="P2872">
        <v>-0.99700040000000001</v>
      </c>
      <c r="Q2872">
        <v>-7.5807109999999997E-2</v>
      </c>
      <c r="R2872">
        <v>-1.5605839999999999E-2</v>
      </c>
      <c r="S2872">
        <v>-3.0071720000000002</v>
      </c>
      <c r="T2872">
        <v>1.7747039999999999E-2</v>
      </c>
      <c r="U2872">
        <v>-0.20254520000000001</v>
      </c>
      <c r="V2872">
        <v>-2.691253E-2</v>
      </c>
      <c r="W2872">
        <v>-6.3494750000000003E-2</v>
      </c>
      <c r="X2872">
        <v>0.99761920000000004</v>
      </c>
      <c r="Y2872">
        <v>-7.8500490000000006E-2</v>
      </c>
      <c r="Z2872" s="1">
        <v>-4.7163219999999997E-5</v>
      </c>
      <c r="AA2872">
        <v>0.99691410000000003</v>
      </c>
      <c r="AB2872">
        <v>34</v>
      </c>
      <c r="AC2872">
        <v>-101.08880000000001</v>
      </c>
      <c r="AD2872">
        <v>0.59840099999999996</v>
      </c>
      <c r="AE2872">
        <v>-6.8341000000000296</v>
      </c>
      <c r="AF2872">
        <v>-7.9786183773383303</v>
      </c>
      <c r="AG2872">
        <v>0.59840099999999996</v>
      </c>
      <c r="AH2872">
        <v>101.001365965986</v>
      </c>
      <c r="AI2872">
        <v>89.661598868473604</v>
      </c>
      <c r="AJ2872">
        <v>94.5167093550792</v>
      </c>
      <c r="AK2872">
        <v>101.31777910101999</v>
      </c>
      <c r="AL2872">
        <v>93.640430229485005</v>
      </c>
      <c r="AM2872">
        <v>91.545279494774704</v>
      </c>
      <c r="AN2872">
        <v>0.99999996787860101</v>
      </c>
    </row>
    <row r="2873" spans="1:40" x14ac:dyDescent="0.25">
      <c r="A2873" t="str">
        <f>"20190303154153854"</f>
        <v>20190303154153854</v>
      </c>
      <c r="B2873" t="str">
        <f>"1551598913842071"</f>
        <v>1551598913842071</v>
      </c>
      <c r="C2873" t="s">
        <v>40</v>
      </c>
      <c r="D2873">
        <v>5.38802</v>
      </c>
      <c r="E2873">
        <v>0.48260110000000001</v>
      </c>
      <c r="F2873" t="s">
        <v>55</v>
      </c>
      <c r="G2873">
        <v>-511.95859999999999</v>
      </c>
      <c r="H2873">
        <v>7.7982960000000004E-2</v>
      </c>
      <c r="I2873">
        <v>278.06290000000001</v>
      </c>
      <c r="J2873">
        <v>-411.06740000000002</v>
      </c>
      <c r="K2873">
        <v>1.1206469999999999</v>
      </c>
      <c r="L2873">
        <v>283.78629999999998</v>
      </c>
      <c r="M2873">
        <v>-0.99985930000000001</v>
      </c>
      <c r="N2873">
        <v>-1.234244E-2</v>
      </c>
      <c r="O2873">
        <v>1.136819E-2</v>
      </c>
      <c r="P2873">
        <v>-0.99699329999999997</v>
      </c>
      <c r="Q2873">
        <v>-7.5928490000000001E-2</v>
      </c>
      <c r="R2873">
        <v>-1.5471220000000001E-2</v>
      </c>
      <c r="S2873">
        <v>-3.0039980000000002</v>
      </c>
      <c r="T2873">
        <v>-3.0982019999999999E-2</v>
      </c>
      <c r="U2873">
        <v>-0.17001340000000001</v>
      </c>
      <c r="V2873">
        <v>-2.6818129999999999E-2</v>
      </c>
      <c r="W2873">
        <v>-6.3614920000000005E-2</v>
      </c>
      <c r="X2873">
        <v>0.99761409999999995</v>
      </c>
      <c r="Y2873">
        <v>-6.784461E-2</v>
      </c>
      <c r="Z2873">
        <v>-7.4559240000000003E-4</v>
      </c>
      <c r="AA2873">
        <v>0.99769560000000002</v>
      </c>
      <c r="AB2873">
        <v>34</v>
      </c>
      <c r="AC2873">
        <v>-100.891199999999</v>
      </c>
      <c r="AD2873">
        <v>-1.04266404</v>
      </c>
      <c r="AE2873">
        <v>-5.7233999999999696</v>
      </c>
      <c r="AF2873">
        <v>-6.8693363795910098</v>
      </c>
      <c r="AG2873">
        <v>-1.04266404</v>
      </c>
      <c r="AH2873">
        <v>100.80887765106699</v>
      </c>
      <c r="AI2873">
        <v>90.5912169489592</v>
      </c>
      <c r="AJ2873">
        <v>93.898232971097499</v>
      </c>
      <c r="AK2873">
        <v>101.048031865366</v>
      </c>
      <c r="AL2873">
        <v>93.647329362148497</v>
      </c>
      <c r="AM2873">
        <v>91.5398696625534</v>
      </c>
      <c r="AN2873">
        <v>0.99999998133105605</v>
      </c>
    </row>
    <row r="2874" spans="1:40" x14ac:dyDescent="0.25">
      <c r="A2874" t="str">
        <f>"20190303154153877"</f>
        <v>20190303154153877</v>
      </c>
      <c r="B2874" t="str">
        <f>"1551598913872327"</f>
        <v>1551598913872327</v>
      </c>
      <c r="C2874" t="s">
        <v>40</v>
      </c>
      <c r="D2874">
        <v>5.278861</v>
      </c>
      <c r="E2874">
        <v>0.48018040000000001</v>
      </c>
      <c r="F2874" t="s">
        <v>50</v>
      </c>
      <c r="G2874">
        <v>-469.28539999999998</v>
      </c>
      <c r="H2874" s="1">
        <v>3.6001539999999999E-6</v>
      </c>
      <c r="I2874">
        <v>280.13850000000002</v>
      </c>
      <c r="J2874">
        <v>-411.38299999999998</v>
      </c>
      <c r="K2874">
        <v>1.1206389999999999</v>
      </c>
      <c r="L2874">
        <v>283.79000000000002</v>
      </c>
      <c r="M2874">
        <v>-0.99985849999999998</v>
      </c>
      <c r="N2874">
        <v>-1.2344219999999999E-2</v>
      </c>
      <c r="O2874">
        <v>1.143255E-2</v>
      </c>
      <c r="P2874">
        <v>-0.99699179999999998</v>
      </c>
      <c r="Q2874">
        <v>-7.60522E-2</v>
      </c>
      <c r="R2874">
        <v>-1.4951799999999999E-2</v>
      </c>
      <c r="S2874">
        <v>-3.0017399999999999</v>
      </c>
      <c r="T2874">
        <v>-5.7780739999999997E-2</v>
      </c>
      <c r="U2874">
        <v>-0.18807979999999999</v>
      </c>
      <c r="V2874">
        <v>-2.6362690000000001E-2</v>
      </c>
      <c r="W2874">
        <v>-6.3736920000000002E-2</v>
      </c>
      <c r="X2874">
        <v>0.99761849999999996</v>
      </c>
      <c r="Y2874">
        <v>-7.3918590000000006E-2</v>
      </c>
      <c r="Z2874">
        <v>-1.246306E-3</v>
      </c>
      <c r="AA2874">
        <v>0.99726349999999997</v>
      </c>
      <c r="AB2874">
        <v>34</v>
      </c>
      <c r="AC2874">
        <v>-57.902399999999901</v>
      </c>
      <c r="AD2874">
        <v>-1.1206353998459999</v>
      </c>
      <c r="AE2874">
        <v>-3.6514999999999902</v>
      </c>
      <c r="AF2874">
        <v>-4.31167517864428</v>
      </c>
      <c r="AG2874">
        <v>-1.1206353998459999</v>
      </c>
      <c r="AH2874">
        <v>57.835288472230602</v>
      </c>
      <c r="AI2874">
        <v>91.106971636223804</v>
      </c>
      <c r="AJ2874">
        <v>94.2635672053283</v>
      </c>
      <c r="AK2874">
        <v>58.006611340533098</v>
      </c>
      <c r="AL2874">
        <v>93.654333487383695</v>
      </c>
      <c r="AM2874">
        <v>91.513724361335505</v>
      </c>
      <c r="AN2874">
        <v>1.0000000289686799</v>
      </c>
    </row>
    <row r="2875" spans="1:40" x14ac:dyDescent="0.25">
      <c r="A2875" t="str">
        <f>"20190303154153899"</f>
        <v>20190303154153899</v>
      </c>
      <c r="B2875" t="str">
        <f>"1551598913892823"</f>
        <v>1551598913892823</v>
      </c>
      <c r="C2875" t="s">
        <v>40</v>
      </c>
      <c r="D2875">
        <v>5.2556419999999999</v>
      </c>
      <c r="E2875">
        <v>0.4792884</v>
      </c>
      <c r="F2875" t="s">
        <v>50</v>
      </c>
      <c r="G2875">
        <v>-446.99790000000002</v>
      </c>
      <c r="H2875" s="1">
        <v>2.3297330000000002E-6</v>
      </c>
      <c r="I2875">
        <v>281.35399999999998</v>
      </c>
      <c r="J2875">
        <v>-411.73250000000002</v>
      </c>
      <c r="K2875">
        <v>1.1206370000000001</v>
      </c>
      <c r="L2875">
        <v>283.79410000000001</v>
      </c>
      <c r="M2875">
        <v>-0.99985769999999996</v>
      </c>
      <c r="N2875">
        <v>-1.234587E-2</v>
      </c>
      <c r="O2875">
        <v>1.1503579999999999E-2</v>
      </c>
      <c r="P2875">
        <v>-0.99697179999999996</v>
      </c>
      <c r="Q2875">
        <v>-7.644687E-2</v>
      </c>
      <c r="R2875">
        <v>-1.4259249999999999E-2</v>
      </c>
      <c r="S2875">
        <v>-2.9987789999999999</v>
      </c>
      <c r="T2875">
        <v>-9.4357849999999993E-2</v>
      </c>
      <c r="U2875">
        <v>-0.2051086</v>
      </c>
      <c r="V2875">
        <v>-2.574123E-2</v>
      </c>
      <c r="W2875">
        <v>-6.4130179999999995E-2</v>
      </c>
      <c r="X2875">
        <v>0.99760950000000004</v>
      </c>
      <c r="Y2875">
        <v>-7.9654269999999999E-2</v>
      </c>
      <c r="Z2875">
        <v>-1.963523E-3</v>
      </c>
      <c r="AA2875">
        <v>0.99682059999999995</v>
      </c>
      <c r="AB2875">
        <v>34</v>
      </c>
      <c r="AC2875">
        <v>-35.2654</v>
      </c>
      <c r="AD2875">
        <v>-1.120634670267</v>
      </c>
      <c r="AE2875">
        <v>-2.44009999999997</v>
      </c>
      <c r="AF2875">
        <v>-2.8427908133891999</v>
      </c>
      <c r="AG2875">
        <v>-1.120634670267</v>
      </c>
      <c r="AH2875">
        <v>35.1996193528215</v>
      </c>
      <c r="AI2875">
        <v>91.817570488118093</v>
      </c>
      <c r="AJ2875">
        <v>94.617298998709998</v>
      </c>
      <c r="AK2875">
        <v>35.332003683012601</v>
      </c>
      <c r="AL2875">
        <v>93.6769119135474</v>
      </c>
      <c r="AM2875">
        <v>91.478069978792504</v>
      </c>
      <c r="AN2875">
        <v>1.00000000269949</v>
      </c>
    </row>
    <row r="2876" spans="1:40" x14ac:dyDescent="0.25">
      <c r="A2876" t="str">
        <f>"20190303154153921"</f>
        <v>20190303154153921</v>
      </c>
      <c r="B2876" t="str">
        <f>"1551598913912343"</f>
        <v>1551598913912343</v>
      </c>
      <c r="C2876" t="s">
        <v>40</v>
      </c>
      <c r="D2876">
        <v>5.2848379999999997</v>
      </c>
      <c r="E2876">
        <v>0.47852289999999997</v>
      </c>
      <c r="F2876" t="s">
        <v>50</v>
      </c>
      <c r="G2876">
        <v>-443.46719999999999</v>
      </c>
      <c r="H2876" s="1">
        <v>4.4140779999999999E-7</v>
      </c>
      <c r="I2876">
        <v>281.57089999999999</v>
      </c>
      <c r="J2876">
        <v>-412.07240000000002</v>
      </c>
      <c r="K2876">
        <v>1.1206320000000001</v>
      </c>
      <c r="L2876">
        <v>283.79809999999998</v>
      </c>
      <c r="M2876">
        <v>-0.99985679999999999</v>
      </c>
      <c r="N2876">
        <v>-1.2348400000000001E-2</v>
      </c>
      <c r="O2876">
        <v>1.1573959999999999E-2</v>
      </c>
      <c r="P2876">
        <v>-0.99695860000000003</v>
      </c>
      <c r="Q2876">
        <v>-7.6744110000000004E-2</v>
      </c>
      <c r="R2876">
        <v>-1.356423E-2</v>
      </c>
      <c r="S2876">
        <v>-2.997986</v>
      </c>
      <c r="T2876">
        <v>-0.10586669999999999</v>
      </c>
      <c r="U2876">
        <v>-0.21002199999999999</v>
      </c>
      <c r="V2876">
        <v>-2.5116159999999998E-2</v>
      </c>
      <c r="W2876">
        <v>-6.4425079999999996E-2</v>
      </c>
      <c r="X2876">
        <v>0.99760649999999995</v>
      </c>
      <c r="Y2876">
        <v>-8.1353720000000004E-2</v>
      </c>
      <c r="Z2876">
        <v>-2.2027459999999998E-3</v>
      </c>
      <c r="AA2876">
        <v>0.99668290000000004</v>
      </c>
      <c r="AB2876">
        <v>34</v>
      </c>
      <c r="AC2876">
        <v>-31.394799999999901</v>
      </c>
      <c r="AD2876">
        <v>-1.1206315585922</v>
      </c>
      <c r="AE2876">
        <v>-2.2271999999999799</v>
      </c>
      <c r="AF2876">
        <v>-2.5871608070001</v>
      </c>
      <c r="AG2876">
        <v>-1.1206315585922</v>
      </c>
      <c r="AH2876">
        <v>31.3272026158991</v>
      </c>
      <c r="AI2876">
        <v>92.041756723714698</v>
      </c>
      <c r="AJ2876">
        <v>94.721065283287004</v>
      </c>
      <c r="AK2876">
        <v>31.4538207515237</v>
      </c>
      <c r="AL2876">
        <v>93.693843201145995</v>
      </c>
      <c r="AM2876">
        <v>91.442197933623405</v>
      </c>
      <c r="AN2876">
        <v>1.0000000706341901</v>
      </c>
    </row>
    <row r="2877" spans="1:40" x14ac:dyDescent="0.25">
      <c r="A2877" t="str">
        <f>"20190303154153934"</f>
        <v>20190303154153934</v>
      </c>
      <c r="B2877" t="str">
        <f>"1551598913922106"</f>
        <v>1551598913922106</v>
      </c>
      <c r="C2877" t="s">
        <v>40</v>
      </c>
      <c r="D2877">
        <v>5.3253940000000002</v>
      </c>
      <c r="E2877">
        <v>0.47828029999999999</v>
      </c>
      <c r="F2877" t="s">
        <v>50</v>
      </c>
      <c r="G2877">
        <v>-442.18669999999997</v>
      </c>
      <c r="H2877" s="1">
        <v>-2.4336890000000002E-7</v>
      </c>
      <c r="I2877">
        <v>281.64800000000002</v>
      </c>
      <c r="J2877">
        <v>-412.28050000000002</v>
      </c>
      <c r="K2877">
        <v>1.120633</v>
      </c>
      <c r="L2877">
        <v>283.8005</v>
      </c>
      <c r="M2877">
        <v>-0.99985619999999997</v>
      </c>
      <c r="N2877">
        <v>-1.235205E-2</v>
      </c>
      <c r="O2877">
        <v>1.1619259999999999E-2</v>
      </c>
      <c r="P2877">
        <v>-0.99693779999999999</v>
      </c>
      <c r="Q2877">
        <v>-7.6971990000000004E-2</v>
      </c>
      <c r="R2877">
        <v>-1.380355E-2</v>
      </c>
      <c r="S2877">
        <v>-2.99762</v>
      </c>
      <c r="T2877">
        <v>-0.11154940000000001</v>
      </c>
      <c r="U2877">
        <v>-0.21401980000000001</v>
      </c>
      <c r="V2877">
        <v>-2.5400740000000002E-2</v>
      </c>
      <c r="W2877">
        <v>-6.4649470000000001E-2</v>
      </c>
      <c r="X2877">
        <v>0.99758469999999999</v>
      </c>
      <c r="Y2877">
        <v>-8.2721580000000003E-2</v>
      </c>
      <c r="Z2877">
        <v>-2.336875E-3</v>
      </c>
      <c r="AA2877">
        <v>0.99656990000000001</v>
      </c>
      <c r="AB2877">
        <v>34</v>
      </c>
      <c r="AC2877">
        <v>-29.906199999999899</v>
      </c>
      <c r="AD2877">
        <v>-1.1206332433688999</v>
      </c>
      <c r="AE2877">
        <v>-2.1525000000000301</v>
      </c>
      <c r="AF2877">
        <v>-2.4963819389237898</v>
      </c>
      <c r="AG2877">
        <v>-1.1206332433688999</v>
      </c>
      <c r="AH2877">
        <v>29.837488954165899</v>
      </c>
      <c r="AI2877">
        <v>92.143415994513902</v>
      </c>
      <c r="AJ2877">
        <v>94.782567421496296</v>
      </c>
      <c r="AK2877">
        <v>29.962701626206901</v>
      </c>
      <c r="AL2877">
        <v>93.706726947992806</v>
      </c>
      <c r="AM2877">
        <v>91.458563674958</v>
      </c>
      <c r="AN2877">
        <v>0.999999992618959</v>
      </c>
    </row>
    <row r="2878" spans="1:40" x14ac:dyDescent="0.25">
      <c r="A2878" t="str">
        <f>"20190303154153954"</f>
        <v>20190303154153954</v>
      </c>
      <c r="B2878" t="str">
        <f>"1551598913942599"</f>
        <v>1551598913942599</v>
      </c>
      <c r="C2878" t="s">
        <v>40</v>
      </c>
      <c r="D2878">
        <v>5.277863</v>
      </c>
      <c r="E2878">
        <v>0.47794950000000003</v>
      </c>
      <c r="F2878" t="s">
        <v>50</v>
      </c>
      <c r="G2878">
        <v>-441.63139999999999</v>
      </c>
      <c r="H2878" s="1">
        <v>-5.4026559999999998E-7</v>
      </c>
      <c r="I2878">
        <v>281.67939999999999</v>
      </c>
      <c r="J2878">
        <v>-412.57330000000002</v>
      </c>
      <c r="K2878">
        <v>1.120633</v>
      </c>
      <c r="L2878">
        <v>283.80399999999997</v>
      </c>
      <c r="M2878">
        <v>-0.9998553</v>
      </c>
      <c r="N2878">
        <v>-1.2360080000000001E-2</v>
      </c>
      <c r="O2878">
        <v>1.168576E-2</v>
      </c>
      <c r="P2878">
        <v>-0.99694240000000001</v>
      </c>
      <c r="Q2878">
        <v>-7.6960990000000007E-2</v>
      </c>
      <c r="R2878">
        <v>-1.351727E-2</v>
      </c>
      <c r="S2878">
        <v>-2.9973450000000001</v>
      </c>
      <c r="T2878">
        <v>-0.11444029999999999</v>
      </c>
      <c r="U2878">
        <v>-0.2166138</v>
      </c>
      <c r="V2878">
        <v>-2.5181470000000001E-2</v>
      </c>
      <c r="W2878">
        <v>-6.4630259999999995E-2</v>
      </c>
      <c r="X2878">
        <v>0.99759149999999996</v>
      </c>
      <c r="Y2878">
        <v>-8.3647650000000004E-2</v>
      </c>
      <c r="Z2878">
        <v>-2.4133459999999998E-3</v>
      </c>
      <c r="AA2878">
        <v>0.99649239999999994</v>
      </c>
      <c r="AB2878">
        <v>34</v>
      </c>
      <c r="AC2878">
        <v>-29.0580999999999</v>
      </c>
      <c r="AD2878">
        <v>-1.1206335402656</v>
      </c>
      <c r="AE2878">
        <v>-2.12460000000004</v>
      </c>
      <c r="AF2878">
        <v>-2.46040698420593</v>
      </c>
      <c r="AG2878">
        <v>-1.1206335402656</v>
      </c>
      <c r="AH2878">
        <v>28.9884015026201</v>
      </c>
      <c r="AI2878">
        <v>92.205914284304001</v>
      </c>
      <c r="AJ2878">
        <v>94.851384441662901</v>
      </c>
      <c r="AK2878">
        <v>29.114203470756401</v>
      </c>
      <c r="AL2878">
        <v>93.705624003174904</v>
      </c>
      <c r="AM2878">
        <v>91.445968249019799</v>
      </c>
      <c r="AN2878">
        <v>0.99999998890563901</v>
      </c>
    </row>
    <row r="2879" spans="1:40" x14ac:dyDescent="0.25">
      <c r="A2879" t="str">
        <f>"20190303154153976"</f>
        <v>20190303154153976</v>
      </c>
      <c r="B2879" t="str">
        <f>"1551598913972855"</f>
        <v>1551598913972855</v>
      </c>
      <c r="C2879" t="s">
        <v>40</v>
      </c>
      <c r="D2879">
        <v>5.2748860000000004</v>
      </c>
      <c r="E2879">
        <v>0.47741099999999997</v>
      </c>
      <c r="F2879" t="s">
        <v>50</v>
      </c>
      <c r="G2879">
        <v>-440.9742</v>
      </c>
      <c r="H2879" s="1">
        <v>-8.9238340000000005E-7</v>
      </c>
      <c r="I2879">
        <v>281.7346</v>
      </c>
      <c r="J2879">
        <v>-412.91820000000001</v>
      </c>
      <c r="K2879">
        <v>1.1206309999999999</v>
      </c>
      <c r="L2879">
        <v>283.80810000000002</v>
      </c>
      <c r="M2879">
        <v>-0.99985429999999997</v>
      </c>
      <c r="N2879">
        <v>-1.237503E-2</v>
      </c>
      <c r="O2879">
        <v>1.1759240000000001E-2</v>
      </c>
      <c r="P2879">
        <v>-0.99687300000000001</v>
      </c>
      <c r="Q2879">
        <v>-7.7801480000000006E-2</v>
      </c>
      <c r="R2879">
        <v>-1.3822360000000001E-2</v>
      </c>
      <c r="S2879">
        <v>-2.997131</v>
      </c>
      <c r="T2879">
        <v>-0.1182598</v>
      </c>
      <c r="U2879">
        <v>-0.21838379999999999</v>
      </c>
      <c r="V2879">
        <v>-2.5559220000000001E-2</v>
      </c>
      <c r="W2879">
        <v>-6.5456559999999997E-2</v>
      </c>
      <c r="X2879">
        <v>0.99752799999999997</v>
      </c>
      <c r="Y2879">
        <v>-8.4305499999999894E-2</v>
      </c>
      <c r="Z2879">
        <v>-2.500979E-3</v>
      </c>
      <c r="AA2879">
        <v>0.99643680000000001</v>
      </c>
      <c r="AB2879">
        <v>34</v>
      </c>
      <c r="AC2879">
        <v>-28.055999999999901</v>
      </c>
      <c r="AD2879">
        <v>-1.1206318923834</v>
      </c>
      <c r="AE2879">
        <v>-2.0735000000000201</v>
      </c>
      <c r="AF2879">
        <v>-2.3994917112232201</v>
      </c>
      <c r="AG2879">
        <v>-1.1206318923834</v>
      </c>
      <c r="AH2879">
        <v>27.985269544525401</v>
      </c>
      <c r="AI2879">
        <v>92.284732228963506</v>
      </c>
      <c r="AJ2879">
        <v>94.900625550908998</v>
      </c>
      <c r="AK2879">
        <v>28.110295049860301</v>
      </c>
      <c r="AL2879">
        <v>93.753068033592299</v>
      </c>
      <c r="AM2879">
        <v>91.467743346510503</v>
      </c>
      <c r="AN2879">
        <v>0.99999997287901998</v>
      </c>
    </row>
    <row r="2880" spans="1:40" x14ac:dyDescent="0.25">
      <c r="A2880" t="str">
        <f>"20190303154153999"</f>
        <v>20190303154153999</v>
      </c>
      <c r="B2880" t="str">
        <f>"1551598913992378"</f>
        <v>1551598913992378</v>
      </c>
      <c r="C2880" t="s">
        <v>40</v>
      </c>
      <c r="D2880">
        <v>5.2490360000000003</v>
      </c>
      <c r="E2880">
        <v>0.47719509999999998</v>
      </c>
      <c r="F2880" t="s">
        <v>50</v>
      </c>
      <c r="G2880">
        <v>-439.96159999999998</v>
      </c>
      <c r="H2880" s="1">
        <v>-1.4338750000000001E-6</v>
      </c>
      <c r="I2880">
        <v>281.7946</v>
      </c>
      <c r="J2880">
        <v>-413.26609999999999</v>
      </c>
      <c r="K2880">
        <v>1.1206339999999999</v>
      </c>
      <c r="L2880">
        <v>283.81229999999999</v>
      </c>
      <c r="M2880">
        <v>-0.99985329999999994</v>
      </c>
      <c r="N2880">
        <v>-1.239909E-2</v>
      </c>
      <c r="O2880">
        <v>1.182743E-2</v>
      </c>
      <c r="P2880">
        <v>-0.99689380000000005</v>
      </c>
      <c r="Q2880">
        <v>-7.7607919999999997E-2</v>
      </c>
      <c r="R2880">
        <v>-1.3423010000000001E-2</v>
      </c>
      <c r="S2880">
        <v>-2.9966430000000002</v>
      </c>
      <c r="T2880">
        <v>-0.12417549999999999</v>
      </c>
      <c r="U2880">
        <v>-0.22311400000000001</v>
      </c>
      <c r="V2880">
        <v>-2.5227570000000001E-2</v>
      </c>
      <c r="W2880">
        <v>-6.5238879999999999E-2</v>
      </c>
      <c r="X2880">
        <v>0.99755070000000001</v>
      </c>
      <c r="Y2880">
        <v>-8.5939249999999995E-2</v>
      </c>
      <c r="Z2880">
        <v>-2.6540719999999999E-3</v>
      </c>
      <c r="AA2880">
        <v>0.99629679999999998</v>
      </c>
      <c r="AB2880">
        <v>34</v>
      </c>
      <c r="AC2880">
        <v>-26.6954999999999</v>
      </c>
      <c r="AD2880">
        <v>-1.120635433875</v>
      </c>
      <c r="AE2880">
        <v>-2.0176999999999898</v>
      </c>
      <c r="AF2880">
        <v>-2.329240990063</v>
      </c>
      <c r="AG2880">
        <v>-1.120635433875</v>
      </c>
      <c r="AH2880">
        <v>26.623117929679399</v>
      </c>
      <c r="AI2880">
        <v>92.401142389303502</v>
      </c>
      <c r="AJ2880">
        <v>95.000042679934495</v>
      </c>
      <c r="AK2880">
        <v>26.748300799547302</v>
      </c>
      <c r="AL2880">
        <v>93.740569181539101</v>
      </c>
      <c r="AM2880">
        <v>91.448673495742796</v>
      </c>
      <c r="AN2880">
        <v>0.99999997041112398</v>
      </c>
    </row>
    <row r="2881" spans="1:40" x14ac:dyDescent="0.25">
      <c r="A2881" t="str">
        <f>"20190303154154020"</f>
        <v>20190303154154020</v>
      </c>
      <c r="B2881" t="str">
        <f>"1551598914012871"</f>
        <v>1551598914012871</v>
      </c>
      <c r="C2881" t="s">
        <v>40</v>
      </c>
      <c r="D2881">
        <v>5.243366</v>
      </c>
      <c r="E2881">
        <v>0.4767634</v>
      </c>
      <c r="F2881" t="s">
        <v>50</v>
      </c>
      <c r="G2881">
        <v>-440.1474</v>
      </c>
      <c r="H2881" s="1">
        <v>-1.335362E-6</v>
      </c>
      <c r="I2881">
        <v>281.80309999999997</v>
      </c>
      <c r="J2881">
        <v>-413.59609999999998</v>
      </c>
      <c r="K2881">
        <v>1.120641</v>
      </c>
      <c r="L2881">
        <v>283.81630000000001</v>
      </c>
      <c r="M2881">
        <v>-0.99985219999999997</v>
      </c>
      <c r="N2881">
        <v>-1.2426299999999999E-2</v>
      </c>
      <c r="O2881">
        <v>1.188726E-2</v>
      </c>
      <c r="P2881">
        <v>-0.99691430000000003</v>
      </c>
      <c r="Q2881">
        <v>-7.7297939999999996E-2</v>
      </c>
      <c r="R2881">
        <v>-1.368014E-2</v>
      </c>
      <c r="S2881">
        <v>-2.996613</v>
      </c>
      <c r="T2881">
        <v>-0.12492350000000001</v>
      </c>
      <c r="U2881">
        <v>-0.22396849999999999</v>
      </c>
      <c r="V2881">
        <v>-2.554445E-2</v>
      </c>
      <c r="W2881">
        <v>-6.4901609999999998E-2</v>
      </c>
      <c r="X2881">
        <v>0.99756469999999997</v>
      </c>
      <c r="Y2881">
        <v>-8.6280609999999994E-2</v>
      </c>
      <c r="Z2881">
        <v>-2.6795500000000002E-3</v>
      </c>
      <c r="AA2881">
        <v>0.99626729999999997</v>
      </c>
      <c r="AB2881">
        <v>34</v>
      </c>
      <c r="AC2881">
        <v>-26.551300000000001</v>
      </c>
      <c r="AD2881">
        <v>-1.1206423353620001</v>
      </c>
      <c r="AE2881">
        <v>-2.0132000000000398</v>
      </c>
      <c r="AF2881">
        <v>-2.32458693073669</v>
      </c>
      <c r="AG2881">
        <v>-1.1206423353620001</v>
      </c>
      <c r="AH2881">
        <v>26.478590982651799</v>
      </c>
      <c r="AI2881">
        <v>92.414184537815999</v>
      </c>
      <c r="AJ2881">
        <v>95.017201196224207</v>
      </c>
      <c r="AK2881">
        <v>26.6040471370228</v>
      </c>
      <c r="AL2881">
        <v>93.721203754331796</v>
      </c>
      <c r="AM2881">
        <v>91.466841604070197</v>
      </c>
      <c r="AN2881">
        <v>1.0000000342962401</v>
      </c>
    </row>
    <row r="2882" spans="1:40" x14ac:dyDescent="0.25">
      <c r="A2882" t="str">
        <f>"20190303154154043"</f>
        <v>20190303154154043</v>
      </c>
      <c r="B2882" t="str">
        <f>"1551598914032391"</f>
        <v>1551598914032391</v>
      </c>
      <c r="C2882" t="s">
        <v>40</v>
      </c>
      <c r="D2882">
        <v>5.2534939999999999</v>
      </c>
      <c r="E2882">
        <v>0.4764448</v>
      </c>
      <c r="F2882" t="s">
        <v>50</v>
      </c>
      <c r="G2882">
        <v>-440.34800000000001</v>
      </c>
      <c r="H2882" s="1">
        <v>-1.2276229999999999E-6</v>
      </c>
      <c r="I2882">
        <v>281.77960000000002</v>
      </c>
      <c r="J2882">
        <v>-413.94260000000003</v>
      </c>
      <c r="K2882">
        <v>1.1206499999999999</v>
      </c>
      <c r="L2882">
        <v>283.82049999999998</v>
      </c>
      <c r="M2882">
        <v>-0.99985100000000005</v>
      </c>
      <c r="N2882">
        <v>-1.2462859999999999E-2</v>
      </c>
      <c r="O2882">
        <v>1.194449E-2</v>
      </c>
      <c r="P2882">
        <v>-0.99692309999999995</v>
      </c>
      <c r="Q2882">
        <v>-7.7172320000000003E-2</v>
      </c>
      <c r="R2882">
        <v>-1.3734980000000001E-2</v>
      </c>
      <c r="S2882">
        <v>-2.9963989999999998</v>
      </c>
      <c r="T2882">
        <v>-0.12551999999999999</v>
      </c>
      <c r="U2882">
        <v>-0.22811890000000001</v>
      </c>
      <c r="V2882">
        <v>-2.5656020000000002E-2</v>
      </c>
      <c r="W2882">
        <v>-6.4739400000000002E-2</v>
      </c>
      <c r="X2882">
        <v>0.99757240000000003</v>
      </c>
      <c r="Y2882">
        <v>-8.7712369999999998E-2</v>
      </c>
      <c r="Z2882">
        <v>-2.732258E-3</v>
      </c>
      <c r="AA2882">
        <v>0.99614210000000003</v>
      </c>
      <c r="AB2882">
        <v>34</v>
      </c>
      <c r="AC2882">
        <v>-26.405399999999901</v>
      </c>
      <c r="AD2882">
        <v>-1.1206512276229901</v>
      </c>
      <c r="AE2882">
        <v>-2.0408999999999602</v>
      </c>
      <c r="AF2882">
        <v>-2.3519667724329398</v>
      </c>
      <c r="AG2882">
        <v>-1.1206512276229901</v>
      </c>
      <c r="AH2882">
        <v>26.331989776996</v>
      </c>
      <c r="AI2882">
        <v>92.427302876218505</v>
      </c>
      <c r="AJ2882">
        <v>95.104099987786697</v>
      </c>
      <c r="AK2882">
        <v>26.460561076598999</v>
      </c>
      <c r="AL2882">
        <v>93.711890133968794</v>
      </c>
      <c r="AM2882">
        <v>91.473234115795904</v>
      </c>
      <c r="AN2882">
        <v>1.00000005725817</v>
      </c>
    </row>
    <row r="2883" spans="1:40" x14ac:dyDescent="0.25">
      <c r="A2883" t="str">
        <f>"20190303154154065"</f>
        <v>20190303154154065</v>
      </c>
      <c r="B2883" t="str">
        <f>"1551598914062647"</f>
        <v>1551598914062647</v>
      </c>
      <c r="C2883" t="s">
        <v>40</v>
      </c>
      <c r="D2883">
        <v>5.2667330000000003</v>
      </c>
      <c r="E2883">
        <v>0.4759313</v>
      </c>
      <c r="F2883" t="s">
        <v>50</v>
      </c>
      <c r="G2883">
        <v>-440.64780000000002</v>
      </c>
      <c r="H2883" s="1">
        <v>-1.0673619999999999E-6</v>
      </c>
      <c r="I2883">
        <v>281.76339999999999</v>
      </c>
      <c r="J2883">
        <v>-414.2817</v>
      </c>
      <c r="K2883">
        <v>1.120663</v>
      </c>
      <c r="L2883">
        <v>283.82459999999998</v>
      </c>
      <c r="M2883">
        <v>-0.99984969999999995</v>
      </c>
      <c r="N2883">
        <v>-1.251587E-2</v>
      </c>
      <c r="O2883">
        <v>1.200246E-2</v>
      </c>
      <c r="P2883">
        <v>-0.99691660000000004</v>
      </c>
      <c r="Q2883">
        <v>-7.7268669999999998E-2</v>
      </c>
      <c r="R2883">
        <v>-1.368424E-2</v>
      </c>
      <c r="S2883">
        <v>-2.9963069999999998</v>
      </c>
      <c r="T2883">
        <v>-0.12573619999999999</v>
      </c>
      <c r="U2883">
        <v>-0.23080439999999999</v>
      </c>
      <c r="V2883">
        <v>-2.5662609999999999E-2</v>
      </c>
      <c r="W2883">
        <v>-6.4783160000000006E-2</v>
      </c>
      <c r="X2883">
        <v>0.99756929999999999</v>
      </c>
      <c r="Y2883">
        <v>-8.8658509999999996E-2</v>
      </c>
      <c r="Z2883">
        <v>-2.765441E-3</v>
      </c>
      <c r="AA2883">
        <v>0.9960582</v>
      </c>
      <c r="AB2883">
        <v>34</v>
      </c>
      <c r="AC2883">
        <v>-26.366099999999999</v>
      </c>
      <c r="AD2883">
        <v>-1.1206640673620001</v>
      </c>
      <c r="AE2883">
        <v>-2.0611999999999799</v>
      </c>
      <c r="AF2883">
        <v>-2.3732728514183901</v>
      </c>
      <c r="AG2883">
        <v>-1.1206640673620001</v>
      </c>
      <c r="AH2883">
        <v>26.292248360081199</v>
      </c>
      <c r="AI2883">
        <v>92.430790774244002</v>
      </c>
      <c r="AJ2883">
        <v>95.157832185293103</v>
      </c>
      <c r="AK2883">
        <v>26.422918760185201</v>
      </c>
      <c r="AL2883">
        <v>93.714403004105094</v>
      </c>
      <c r="AM2883">
        <v>91.473616940882806</v>
      </c>
      <c r="AN2883">
        <v>0.99999996783704304</v>
      </c>
    </row>
    <row r="2884" spans="1:40" x14ac:dyDescent="0.25">
      <c r="A2884" t="str">
        <f>"20190303154154089"</f>
        <v>20190303154154089</v>
      </c>
      <c r="B2884" t="str">
        <f>"1551598914082167"</f>
        <v>1551598914082167</v>
      </c>
      <c r="C2884" t="s">
        <v>40</v>
      </c>
      <c r="D2884">
        <v>5.2857949999999896</v>
      </c>
      <c r="E2884">
        <v>0.4757363</v>
      </c>
      <c r="F2884" t="s">
        <v>50</v>
      </c>
      <c r="G2884">
        <v>-440.81009999999998</v>
      </c>
      <c r="H2884" s="1">
        <v>-9.8019980000000007E-7</v>
      </c>
      <c r="I2884">
        <v>281.7457</v>
      </c>
      <c r="J2884">
        <v>-414.63409999999999</v>
      </c>
      <c r="K2884">
        <v>1.120681</v>
      </c>
      <c r="L2884">
        <v>283.82889999999998</v>
      </c>
      <c r="M2884">
        <v>-0.99984770000000001</v>
      </c>
      <c r="N2884">
        <v>-1.2603690000000001E-2</v>
      </c>
      <c r="O2884">
        <v>1.207101E-2</v>
      </c>
      <c r="P2884">
        <v>-0.99689150000000004</v>
      </c>
      <c r="Q2884">
        <v>-7.7479999999999993E-2</v>
      </c>
      <c r="R2884">
        <v>-1.429328E-2</v>
      </c>
      <c r="S2884">
        <v>-2.9962770000000001</v>
      </c>
      <c r="T2884">
        <v>-0.1265743</v>
      </c>
      <c r="U2884">
        <v>-0.23480219999999999</v>
      </c>
      <c r="V2884">
        <v>-2.6338810000000001E-2</v>
      </c>
      <c r="W2884">
        <v>-6.4907599999999996E-2</v>
      </c>
      <c r="X2884">
        <v>0.99754359999999997</v>
      </c>
      <c r="Y2884">
        <v>-9.0045490000000006E-2</v>
      </c>
      <c r="Z2884">
        <v>-2.8239720000000001E-3</v>
      </c>
      <c r="AA2884">
        <v>0.99593370000000003</v>
      </c>
      <c r="AB2884">
        <v>34</v>
      </c>
      <c r="AC2884">
        <v>-26.175999999999899</v>
      </c>
      <c r="AD2884">
        <v>-1.1206819801998</v>
      </c>
      <c r="AE2884">
        <v>-2.08319999999997</v>
      </c>
      <c r="AF2884">
        <v>-2.3946822755125101</v>
      </c>
      <c r="AG2884">
        <v>-1.1206819801998</v>
      </c>
      <c r="AH2884">
        <v>26.101401974280101</v>
      </c>
      <c r="AI2884">
        <v>92.448254878602299</v>
      </c>
      <c r="AJ2884">
        <v>95.241946726400599</v>
      </c>
      <c r="AK2884">
        <v>26.234969341021799</v>
      </c>
      <c r="AL2884">
        <v>93.721547877324895</v>
      </c>
      <c r="AM2884">
        <v>91.512467329607603</v>
      </c>
      <c r="AN2884">
        <v>0.999999981675467</v>
      </c>
    </row>
    <row r="2885" spans="1:40" x14ac:dyDescent="0.25">
      <c r="A2885" t="str">
        <f>"20190303154154111"</f>
        <v>20190303154154111</v>
      </c>
      <c r="B2885" t="str">
        <f>"1551598914102663"</f>
        <v>1551598914102663</v>
      </c>
      <c r="C2885" t="s">
        <v>40</v>
      </c>
      <c r="D2885">
        <v>5.2679790000000004</v>
      </c>
      <c r="E2885">
        <v>0.47555560000000002</v>
      </c>
      <c r="F2885" t="s">
        <v>50</v>
      </c>
      <c r="G2885">
        <v>-440.81079999999997</v>
      </c>
      <c r="H2885" s="1">
        <v>-9.7993530000000008E-7</v>
      </c>
      <c r="I2885">
        <v>281.7475</v>
      </c>
      <c r="J2885">
        <v>-414.97800000000001</v>
      </c>
      <c r="K2885">
        <v>1.120711</v>
      </c>
      <c r="L2885">
        <v>283.83319999999998</v>
      </c>
      <c r="M2885">
        <v>-0.9998454</v>
      </c>
      <c r="N2885">
        <v>-1.27349E-2</v>
      </c>
      <c r="O2885">
        <v>1.214115E-2</v>
      </c>
      <c r="P2885">
        <v>-0.9968707</v>
      </c>
      <c r="Q2885">
        <v>-7.7650189999999994E-2</v>
      </c>
      <c r="R2885">
        <v>-1.482234E-2</v>
      </c>
      <c r="S2885">
        <v>-2.9959720000000001</v>
      </c>
      <c r="T2885">
        <v>-0.12826419999999999</v>
      </c>
      <c r="U2885">
        <v>-0.23822019999999999</v>
      </c>
      <c r="V2885">
        <v>-2.6936640000000001E-2</v>
      </c>
      <c r="W2885">
        <v>-6.4947480000000002E-2</v>
      </c>
      <c r="X2885">
        <v>0.997525</v>
      </c>
      <c r="Y2885">
        <v>-9.1248029999999994E-2</v>
      </c>
      <c r="Z2885">
        <v>-2.8960710000000001E-3</v>
      </c>
      <c r="AA2885">
        <v>0.99582400000000004</v>
      </c>
      <c r="AB2885">
        <v>34</v>
      </c>
      <c r="AC2885">
        <v>-25.832799999999899</v>
      </c>
      <c r="AD2885">
        <v>-1.1207119799353</v>
      </c>
      <c r="AE2885">
        <v>-2.0856999999999699</v>
      </c>
      <c r="AF2885">
        <v>-2.3947335547088202</v>
      </c>
      <c r="AG2885">
        <v>-1.1207119799353</v>
      </c>
      <c r="AH2885">
        <v>25.757406491292102</v>
      </c>
      <c r="AI2885">
        <v>92.480699097704701</v>
      </c>
      <c r="AJ2885">
        <v>95.311669303211005</v>
      </c>
      <c r="AK2885">
        <v>25.892754455593899</v>
      </c>
      <c r="AL2885">
        <v>93.723837813699006</v>
      </c>
      <c r="AM2885">
        <v>91.546809171040906</v>
      </c>
      <c r="AN2885">
        <v>0.99999994167891804</v>
      </c>
    </row>
    <row r="2886" spans="1:40" x14ac:dyDescent="0.25">
      <c r="A2886" t="str">
        <f>"20190303154154132"</f>
        <v>20190303154154132</v>
      </c>
      <c r="B2886" t="str">
        <f>"1551598914122183"</f>
        <v>1551598914122183</v>
      </c>
      <c r="C2886" t="s">
        <v>40</v>
      </c>
      <c r="D2886">
        <v>5.2756999999999996</v>
      </c>
      <c r="E2886">
        <v>0.47539789999999998</v>
      </c>
      <c r="F2886" t="s">
        <v>50</v>
      </c>
      <c r="G2886">
        <v>-440.9101</v>
      </c>
      <c r="H2886" s="1">
        <v>-9.2698799999999996E-7</v>
      </c>
      <c r="I2886">
        <v>281.74520000000001</v>
      </c>
      <c r="J2886">
        <v>-415.31049999999999</v>
      </c>
      <c r="K2886">
        <v>1.1207450000000001</v>
      </c>
      <c r="L2886">
        <v>283.8372</v>
      </c>
      <c r="M2886">
        <v>-0.99984249999999997</v>
      </c>
      <c r="N2886">
        <v>-1.289599E-2</v>
      </c>
      <c r="O2886">
        <v>1.2207620000000001E-2</v>
      </c>
      <c r="P2886">
        <v>-0.99684119999999998</v>
      </c>
      <c r="Q2886">
        <v>-7.8044530000000001E-2</v>
      </c>
      <c r="R2886">
        <v>-1.4735979999999999E-2</v>
      </c>
      <c r="S2886">
        <v>-2.9957889999999998</v>
      </c>
      <c r="T2886">
        <v>-0.12946939999999901</v>
      </c>
      <c r="U2886">
        <v>-0.24121090000000001</v>
      </c>
      <c r="V2886">
        <v>-2.691578E-2</v>
      </c>
      <c r="W2886">
        <v>-6.5181589999999998E-2</v>
      </c>
      <c r="X2886">
        <v>0.99751040000000002</v>
      </c>
      <c r="Y2886">
        <v>-9.230331E-2</v>
      </c>
      <c r="Z2886">
        <v>-2.9563340000000001E-3</v>
      </c>
      <c r="AA2886">
        <v>0.99572649999999996</v>
      </c>
      <c r="AB2886">
        <v>34</v>
      </c>
      <c r="AC2886">
        <v>-25.599599999999999</v>
      </c>
      <c r="AD2886">
        <v>-1.120745926988</v>
      </c>
      <c r="AE2886">
        <v>-2.0919999999999801</v>
      </c>
      <c r="AF2886">
        <v>-2.3998110705765301</v>
      </c>
      <c r="AG2886">
        <v>-1.120745926988</v>
      </c>
      <c r="AH2886">
        <v>25.5235558743483</v>
      </c>
      <c r="AI2886">
        <v>92.503231082052295</v>
      </c>
      <c r="AJ2886">
        <v>95.371351872762602</v>
      </c>
      <c r="AK2886">
        <v>25.660613185937301</v>
      </c>
      <c r="AL2886">
        <v>93.737279412490295</v>
      </c>
      <c r="AM2886">
        <v>91.545634499293996</v>
      </c>
      <c r="AN2886">
        <v>1.00000004849804</v>
      </c>
    </row>
    <row r="2887" spans="1:40" x14ac:dyDescent="0.25">
      <c r="A2887" t="str">
        <f>"20190303154154155"</f>
        <v>20190303154154155</v>
      </c>
      <c r="B2887" t="str">
        <f>"1551598914152440"</f>
        <v>1551598914152440</v>
      </c>
      <c r="C2887" t="s">
        <v>40</v>
      </c>
      <c r="D2887">
        <v>5.2941630000000002</v>
      </c>
      <c r="E2887">
        <v>0.47518129999999997</v>
      </c>
      <c r="F2887" t="s">
        <v>50</v>
      </c>
      <c r="G2887">
        <v>-440.85140000000001</v>
      </c>
      <c r="H2887" s="1">
        <v>-9.5942240000000002E-7</v>
      </c>
      <c r="I2887">
        <v>281.77260000000001</v>
      </c>
      <c r="J2887">
        <v>-415.64679999999998</v>
      </c>
      <c r="K2887">
        <v>1.120773</v>
      </c>
      <c r="L2887">
        <v>283.84140000000002</v>
      </c>
      <c r="M2887">
        <v>-0.99983940000000004</v>
      </c>
      <c r="N2887">
        <v>-1.3067840000000001E-2</v>
      </c>
      <c r="O2887">
        <v>1.2272140000000001E-2</v>
      </c>
      <c r="P2887">
        <v>-0.99683390000000005</v>
      </c>
      <c r="Q2887">
        <v>-7.8175250000000002E-2</v>
      </c>
      <c r="R2887">
        <v>-1.4527780000000001E-2</v>
      </c>
      <c r="S2887">
        <v>-2.9956360000000002</v>
      </c>
      <c r="T2887">
        <v>-0.13145019999999999</v>
      </c>
      <c r="U2887">
        <v>-0.24215700000000001</v>
      </c>
      <c r="V2887">
        <v>-2.6772199999999999E-2</v>
      </c>
      <c r="W2887">
        <v>-6.5140900000000002E-2</v>
      </c>
      <c r="X2887">
        <v>0.99751690000000004</v>
      </c>
      <c r="Y2887">
        <v>-9.2680009999999993E-2</v>
      </c>
      <c r="Z2887">
        <v>-3.0134799999999998E-3</v>
      </c>
      <c r="AA2887">
        <v>0.9956914</v>
      </c>
      <c r="AB2887">
        <v>34</v>
      </c>
      <c r="AC2887">
        <v>-25.204599999999999</v>
      </c>
      <c r="AD2887">
        <v>-1.12077395942239</v>
      </c>
      <c r="AE2887">
        <v>-2.0688000000000102</v>
      </c>
      <c r="AF2887">
        <v>-2.3733235343890402</v>
      </c>
      <c r="AG2887">
        <v>-1.12077395942239</v>
      </c>
      <c r="AH2887">
        <v>25.127957409905701</v>
      </c>
      <c r="AI2887">
        <v>92.542551469504403</v>
      </c>
      <c r="AJ2887">
        <v>95.395552846667201</v>
      </c>
      <c r="AK2887">
        <v>25.264659951422999</v>
      </c>
      <c r="AL2887">
        <v>93.734943163702198</v>
      </c>
      <c r="AM2887">
        <v>91.537383394489396</v>
      </c>
      <c r="AN2887">
        <v>1.0000000266656199</v>
      </c>
    </row>
    <row r="2888" spans="1:40" x14ac:dyDescent="0.25">
      <c r="A2888" t="str">
        <f>"20190303154154177"</f>
        <v>20190303154154177</v>
      </c>
      <c r="B2888" t="str">
        <f>"1551598914171959"</f>
        <v>1551598914171959</v>
      </c>
      <c r="C2888" t="s">
        <v>40</v>
      </c>
      <c r="D2888">
        <v>5.315849</v>
      </c>
      <c r="E2888">
        <v>0.47495660000000001</v>
      </c>
      <c r="F2888" t="s">
        <v>50</v>
      </c>
      <c r="G2888">
        <v>-440.49029999999999</v>
      </c>
      <c r="H2888" s="1">
        <v>-1.1537799999999999E-6</v>
      </c>
      <c r="I2888">
        <v>281.8229</v>
      </c>
      <c r="J2888">
        <v>-415.98259999999999</v>
      </c>
      <c r="K2888">
        <v>1.120803</v>
      </c>
      <c r="L2888">
        <v>283.84559999999999</v>
      </c>
      <c r="M2888">
        <v>-0.99983639999999996</v>
      </c>
      <c r="N2888">
        <v>-1.3231959999999999E-2</v>
      </c>
      <c r="O2888">
        <v>1.2333439999999999E-2</v>
      </c>
      <c r="P2888">
        <v>-0.99686680000000005</v>
      </c>
      <c r="Q2888">
        <v>-7.7802999999999997E-2</v>
      </c>
      <c r="R2888">
        <v>-1.4259809999999999E-2</v>
      </c>
      <c r="S2888">
        <v>-2.9953919999999998</v>
      </c>
      <c r="T2888">
        <v>-0.1351321</v>
      </c>
      <c r="U2888">
        <v>-0.2433777</v>
      </c>
      <c r="V2888">
        <v>-2.6565740000000001E-2</v>
      </c>
      <c r="W2888">
        <v>-6.4604380000000003E-2</v>
      </c>
      <c r="X2888">
        <v>0.99755729999999998</v>
      </c>
      <c r="Y2888">
        <v>-9.3143519999999994E-2</v>
      </c>
      <c r="Z2888">
        <v>-3.1065749999999999E-3</v>
      </c>
      <c r="AA2888">
        <v>0.99564779999999997</v>
      </c>
      <c r="AB2888">
        <v>34</v>
      </c>
      <c r="AC2888">
        <v>-24.5077</v>
      </c>
      <c r="AD2888">
        <v>-1.12080415378</v>
      </c>
      <c r="AE2888">
        <v>-2.02269999999998</v>
      </c>
      <c r="AF2888">
        <v>-2.32001738678666</v>
      </c>
      <c r="AG2888">
        <v>-1.12080415378</v>
      </c>
      <c r="AH2888">
        <v>24.4301370651892</v>
      </c>
      <c r="AI2888">
        <v>92.615021173157302</v>
      </c>
      <c r="AJ2888">
        <v>95.424846972259999</v>
      </c>
      <c r="AK2888">
        <v>24.565632083259199</v>
      </c>
      <c r="AL2888">
        <v>93.704137983893204</v>
      </c>
      <c r="AM2888">
        <v>91.525471378534405</v>
      </c>
      <c r="AN2888">
        <v>1.0000000156201101</v>
      </c>
    </row>
    <row r="2889" spans="1:40" x14ac:dyDescent="0.25">
      <c r="A2889" t="str">
        <f>"20190303154154202"</f>
        <v>20190303154154202</v>
      </c>
      <c r="B2889" t="str">
        <f>"1551598914192458"</f>
        <v>1551598914192458</v>
      </c>
      <c r="C2889" t="s">
        <v>40</v>
      </c>
      <c r="D2889">
        <v>5.2661889999999998</v>
      </c>
      <c r="E2889">
        <v>0.47482259999999998</v>
      </c>
      <c r="F2889" t="s">
        <v>50</v>
      </c>
      <c r="G2889">
        <v>-440.31380000000001</v>
      </c>
      <c r="H2889" s="1">
        <v>-1.2494019999999999E-6</v>
      </c>
      <c r="I2889">
        <v>281.8623</v>
      </c>
      <c r="J2889">
        <v>-416.33539999999999</v>
      </c>
      <c r="K2889">
        <v>1.120825</v>
      </c>
      <c r="L2889">
        <v>283.85000000000002</v>
      </c>
      <c r="M2889">
        <v>-0.99983350000000004</v>
      </c>
      <c r="N2889">
        <v>-1.3391490000000001E-2</v>
      </c>
      <c r="O2889">
        <v>1.2396910000000001E-2</v>
      </c>
      <c r="P2889">
        <v>-0.99691680000000005</v>
      </c>
      <c r="Q2889">
        <v>-7.7148240000000007E-2</v>
      </c>
      <c r="R2889">
        <v>-1.432371E-2</v>
      </c>
      <c r="S2889">
        <v>-2.9951479999999999</v>
      </c>
      <c r="T2889">
        <v>-0.1379697</v>
      </c>
      <c r="U2889">
        <v>-0.24414060000000001</v>
      </c>
      <c r="V2889">
        <v>-2.6693680000000001E-2</v>
      </c>
      <c r="W2889">
        <v>-6.3789699999999894E-2</v>
      </c>
      <c r="X2889">
        <v>0.99760629999999995</v>
      </c>
      <c r="Y2889">
        <v>-9.3459559999999997E-2</v>
      </c>
      <c r="Z2889">
        <v>-3.17936E-3</v>
      </c>
      <c r="AA2889">
        <v>0.995618</v>
      </c>
      <c r="AB2889">
        <v>34</v>
      </c>
      <c r="AC2889">
        <v>-23.978400000000001</v>
      </c>
      <c r="AD2889">
        <v>-1.120826249402</v>
      </c>
      <c r="AE2889">
        <v>-1.98770000000001</v>
      </c>
      <c r="AF2889">
        <v>-2.2798845702367401</v>
      </c>
      <c r="AG2889">
        <v>-1.120826249402</v>
      </c>
      <c r="AH2889">
        <v>23.900050122884</v>
      </c>
      <c r="AI2889">
        <v>92.672882467634494</v>
      </c>
      <c r="AJ2889">
        <v>95.449096839798301</v>
      </c>
      <c r="AK2889">
        <v>24.034694111041201</v>
      </c>
      <c r="AL2889">
        <v>93.657363816040103</v>
      </c>
      <c r="AM2889">
        <v>91.532739265352006</v>
      </c>
      <c r="AN2889">
        <v>1.0000000040888599</v>
      </c>
    </row>
    <row r="2890" spans="1:40" x14ac:dyDescent="0.25">
      <c r="A2890" t="str">
        <f>"20190303154154225"</f>
        <v>20190303154154225</v>
      </c>
      <c r="B2890" t="str">
        <f>"1551598914222712"</f>
        <v>1551598914222712</v>
      </c>
      <c r="C2890" t="s">
        <v>40</v>
      </c>
      <c r="D2890">
        <v>5.2633609999999997</v>
      </c>
      <c r="E2890">
        <v>0.4745994</v>
      </c>
      <c r="F2890" t="s">
        <v>50</v>
      </c>
      <c r="G2890">
        <v>-440.71010000000001</v>
      </c>
      <c r="H2890" s="1">
        <v>-1.0381329999999999E-6</v>
      </c>
      <c r="I2890">
        <v>281.85390000000001</v>
      </c>
      <c r="J2890">
        <v>-416.71019999999999</v>
      </c>
      <c r="K2890">
        <v>1.120846</v>
      </c>
      <c r="L2890">
        <v>283.85469999999998</v>
      </c>
      <c r="M2890">
        <v>-0.99983060000000001</v>
      </c>
      <c r="N2890">
        <v>-1.3546040000000001E-2</v>
      </c>
      <c r="O2890">
        <v>1.246592E-2</v>
      </c>
      <c r="P2890">
        <v>-0.99695929999999999</v>
      </c>
      <c r="Q2890">
        <v>-7.6675709999999994E-2</v>
      </c>
      <c r="R2890">
        <v>-1.3900590000000001E-2</v>
      </c>
      <c r="S2890">
        <v>-2.9950559999999999</v>
      </c>
      <c r="T2890">
        <v>-0.13772209999999999</v>
      </c>
      <c r="U2890">
        <v>-0.24526980000000001</v>
      </c>
      <c r="V2890">
        <v>-2.634034E-2</v>
      </c>
      <c r="W2890">
        <v>-6.3162369999999995E-2</v>
      </c>
      <c r="X2890">
        <v>0.99765559999999998</v>
      </c>
      <c r="Y2890">
        <v>-9.3903120000000007E-2</v>
      </c>
      <c r="Z2890">
        <v>-3.1952899999999999E-3</v>
      </c>
      <c r="AA2890">
        <v>0.99557620000000002</v>
      </c>
      <c r="AB2890">
        <v>34</v>
      </c>
      <c r="AC2890">
        <v>-23.9999</v>
      </c>
      <c r="AD2890">
        <v>-1.120847038133</v>
      </c>
      <c r="AE2890">
        <v>-2.0007999999999599</v>
      </c>
      <c r="AF2890">
        <v>-2.2948819724126102</v>
      </c>
      <c r="AG2890">
        <v>-1.120847038133</v>
      </c>
      <c r="AH2890">
        <v>23.921276330262099</v>
      </c>
      <c r="AI2890">
        <v>92.670426531563393</v>
      </c>
      <c r="AJ2890">
        <v>95.479886742663695</v>
      </c>
      <c r="AK2890">
        <v>24.0572284899769</v>
      </c>
      <c r="AL2890">
        <v>93.621347847469707</v>
      </c>
      <c r="AM2890">
        <v>91.512385421391599</v>
      </c>
      <c r="AN2890">
        <v>0.99999999735334599</v>
      </c>
    </row>
    <row r="2891" spans="1:40" x14ac:dyDescent="0.25">
      <c r="A2891" t="str">
        <f>"20190303154154245"</f>
        <v>20190303154154245</v>
      </c>
      <c r="B2891" t="str">
        <f>"1551598914232472"</f>
        <v>1551598914232472</v>
      </c>
      <c r="C2891" t="s">
        <v>40</v>
      </c>
      <c r="D2891">
        <v>5.2577870000000004</v>
      </c>
      <c r="E2891">
        <v>0.47458030000000001</v>
      </c>
      <c r="F2891" t="s">
        <v>50</v>
      </c>
      <c r="G2891">
        <v>-440.86470000000003</v>
      </c>
      <c r="H2891" s="1">
        <v>-9.5669620000000007E-7</v>
      </c>
      <c r="I2891">
        <v>281.87200000000001</v>
      </c>
      <c r="J2891">
        <v>-417.00360000000001</v>
      </c>
      <c r="K2891">
        <v>1.120859</v>
      </c>
      <c r="L2891">
        <v>283.85849999999999</v>
      </c>
      <c r="M2891">
        <v>-0.99982850000000001</v>
      </c>
      <c r="N2891">
        <v>-1.365594E-2</v>
      </c>
      <c r="O2891">
        <v>1.252115E-2</v>
      </c>
      <c r="P2891">
        <v>-0.99698330000000002</v>
      </c>
      <c r="Q2891">
        <v>-7.643577E-2</v>
      </c>
      <c r="R2891">
        <v>-1.3497840000000001E-2</v>
      </c>
      <c r="S2891">
        <v>-2.9950260000000002</v>
      </c>
      <c r="T2891">
        <v>-0.1389792</v>
      </c>
      <c r="U2891">
        <v>-0.2458496</v>
      </c>
      <c r="V2891">
        <v>-2.5993160000000001E-2</v>
      </c>
      <c r="W2891">
        <v>-6.2812469999999995E-2</v>
      </c>
      <c r="X2891">
        <v>0.99768679999999998</v>
      </c>
      <c r="Y2891">
        <v>-9.4147629999999996E-2</v>
      </c>
      <c r="Z2891">
        <v>-3.233114E-3</v>
      </c>
      <c r="AA2891">
        <v>0.99555300000000002</v>
      </c>
      <c r="AB2891">
        <v>34</v>
      </c>
      <c r="AC2891">
        <v>-23.8611</v>
      </c>
      <c r="AD2891">
        <v>-1.1208599566961901</v>
      </c>
      <c r="AE2891">
        <v>-1.98649999999997</v>
      </c>
      <c r="AF2891">
        <v>-2.2801437623392702</v>
      </c>
      <c r="AG2891">
        <v>-1.1208599566961901</v>
      </c>
      <c r="AH2891">
        <v>23.782237091668598</v>
      </c>
      <c r="AI2891">
        <v>92.6860618891576</v>
      </c>
      <c r="AJ2891">
        <v>95.476545786566305</v>
      </c>
      <c r="AK2891">
        <v>23.917570606225802</v>
      </c>
      <c r="AL2891">
        <v>93.601260153858206</v>
      </c>
      <c r="AM2891">
        <v>91.492413783775504</v>
      </c>
      <c r="AN2891">
        <v>1.00000000082426</v>
      </c>
    </row>
    <row r="2892" spans="1:40" x14ac:dyDescent="0.25">
      <c r="A2892" t="str">
        <f>"20190303154154267"</f>
        <v>20190303154154267</v>
      </c>
      <c r="B2892" t="str">
        <f>"1551598914262727"</f>
        <v>1551598914262727</v>
      </c>
      <c r="C2892" t="s">
        <v>40</v>
      </c>
      <c r="D2892">
        <v>5.3015589999999904</v>
      </c>
      <c r="E2892">
        <v>0.47446959999999999</v>
      </c>
      <c r="F2892" t="s">
        <v>50</v>
      </c>
      <c r="G2892">
        <v>-441.27249999999998</v>
      </c>
      <c r="H2892" s="1">
        <v>-7.3971989999999996E-7</v>
      </c>
      <c r="I2892">
        <v>281.87360000000001</v>
      </c>
      <c r="J2892">
        <v>-417.34289999999999</v>
      </c>
      <c r="K2892">
        <v>1.120868</v>
      </c>
      <c r="L2892">
        <v>283.86279999999999</v>
      </c>
      <c r="M2892">
        <v>-0.99982610000000005</v>
      </c>
      <c r="N2892">
        <v>-1.3770370000000001E-2</v>
      </c>
      <c r="O2892">
        <v>1.258605E-2</v>
      </c>
      <c r="P2892">
        <v>-0.99699230000000005</v>
      </c>
      <c r="Q2892">
        <v>-7.6363020000000004E-2</v>
      </c>
      <c r="R2892">
        <v>-1.324316E-2</v>
      </c>
      <c r="S2892">
        <v>-2.9951780000000001</v>
      </c>
      <c r="T2892">
        <v>-0.13833199999999901</v>
      </c>
      <c r="U2892">
        <v>-0.2449646</v>
      </c>
      <c r="V2892">
        <v>-2.580317E-2</v>
      </c>
      <c r="W2892">
        <v>-6.2625410000000006E-2</v>
      </c>
      <c r="X2892">
        <v>0.99770349999999997</v>
      </c>
      <c r="Y2892">
        <v>-9.3917169999999994E-2</v>
      </c>
      <c r="Z2892">
        <v>-3.2193270000000001E-3</v>
      </c>
      <c r="AA2892">
        <v>0.99557479999999998</v>
      </c>
      <c r="AB2892">
        <v>34</v>
      </c>
      <c r="AC2892">
        <v>-23.929599999999901</v>
      </c>
      <c r="AD2892">
        <v>-1.1208687397199</v>
      </c>
      <c r="AE2892">
        <v>-1.9891999999999801</v>
      </c>
      <c r="AF2892">
        <v>-2.2852705746917801</v>
      </c>
      <c r="AG2892">
        <v>-1.1208687397199</v>
      </c>
      <c r="AH2892">
        <v>23.8506961429817</v>
      </c>
      <c r="AI2892">
        <v>92.678399542110199</v>
      </c>
      <c r="AJ2892">
        <v>95.473125716712303</v>
      </c>
      <c r="AK2892">
        <v>23.9861317188928</v>
      </c>
      <c r="AL2892">
        <v>93.590521230881507</v>
      </c>
      <c r="AM2892">
        <v>91.481485479631999</v>
      </c>
      <c r="AN2892">
        <v>1.00000000973598</v>
      </c>
    </row>
    <row r="2893" spans="1:40" x14ac:dyDescent="0.25">
      <c r="A2893" t="str">
        <f>"20190303154154290"</f>
        <v>20190303154154290</v>
      </c>
      <c r="B2893" t="str">
        <f>"1551598914282264"</f>
        <v>1551598914282264</v>
      </c>
      <c r="C2893" t="s">
        <v>40</v>
      </c>
      <c r="D2893">
        <v>5.2456459999999998</v>
      </c>
      <c r="E2893">
        <v>0.4744563</v>
      </c>
      <c r="F2893" t="s">
        <v>50</v>
      </c>
      <c r="G2893">
        <v>-441.36779999999999</v>
      </c>
      <c r="H2893" s="1">
        <v>-6.9006890000000002E-7</v>
      </c>
      <c r="I2893">
        <v>281.89760000000001</v>
      </c>
      <c r="J2893">
        <v>-417.68270000000001</v>
      </c>
      <c r="K2893">
        <v>1.120868</v>
      </c>
      <c r="L2893">
        <v>283.86709999999999</v>
      </c>
      <c r="M2893">
        <v>-0.99982389999999999</v>
      </c>
      <c r="N2893">
        <v>-1.387183E-2</v>
      </c>
      <c r="O2893">
        <v>1.2651330000000001E-2</v>
      </c>
      <c r="P2893">
        <v>-0.99696589999999996</v>
      </c>
      <c r="Q2893">
        <v>-7.6741589999999998E-2</v>
      </c>
      <c r="R2893">
        <v>-1.303464E-2</v>
      </c>
      <c r="S2893">
        <v>-2.9950869999999998</v>
      </c>
      <c r="T2893">
        <v>-0.13973429999999901</v>
      </c>
      <c r="U2893">
        <v>-0.24499509999999999</v>
      </c>
      <c r="V2893">
        <v>-2.5659049999999999E-2</v>
      </c>
      <c r="W2893">
        <v>-6.2903109999999998E-2</v>
      </c>
      <c r="X2893">
        <v>0.99768970000000001</v>
      </c>
      <c r="Y2893">
        <v>-9.399188E-2</v>
      </c>
      <c r="Z2893">
        <v>-3.255104E-3</v>
      </c>
      <c r="AA2893">
        <v>0.9955676</v>
      </c>
      <c r="AB2893">
        <v>34</v>
      </c>
      <c r="AC2893">
        <v>-23.685099999999899</v>
      </c>
      <c r="AD2893">
        <v>-1.12086869006889</v>
      </c>
      <c r="AE2893">
        <v>-1.96949999999998</v>
      </c>
      <c r="AF2893">
        <v>-2.2639836849145398</v>
      </c>
      <c r="AG2893">
        <v>-1.12086869006889</v>
      </c>
      <c r="AH2893">
        <v>23.6057818141669</v>
      </c>
      <c r="AI2893">
        <v>92.7061235122477</v>
      </c>
      <c r="AJ2893">
        <v>95.4783681951955</v>
      </c>
      <c r="AK2893">
        <v>23.740575052091401</v>
      </c>
      <c r="AL2893">
        <v>93.606463870770796</v>
      </c>
      <c r="AM2893">
        <v>91.473234874804305</v>
      </c>
      <c r="AN2893">
        <v>0.99999996279033099</v>
      </c>
    </row>
    <row r="2894" spans="1:40" x14ac:dyDescent="0.25">
      <c r="A2894" t="str">
        <f>"20190303154154313"</f>
        <v>20190303154154313</v>
      </c>
      <c r="B2894" t="str">
        <f>"1551598914302744"</f>
        <v>1551598914302744</v>
      </c>
      <c r="C2894" t="s">
        <v>40</v>
      </c>
      <c r="D2894">
        <v>5.237317</v>
      </c>
      <c r="E2894">
        <v>0.4744004</v>
      </c>
      <c r="F2894" t="s">
        <v>50</v>
      </c>
      <c r="G2894">
        <v>-441.49160000000001</v>
      </c>
      <c r="H2894" s="1">
        <v>-6.2533510000000003E-7</v>
      </c>
      <c r="I2894">
        <v>281.92419999999998</v>
      </c>
      <c r="J2894">
        <v>-418.02350000000001</v>
      </c>
      <c r="K2894">
        <v>1.1208750000000001</v>
      </c>
      <c r="L2894">
        <v>283.87150000000003</v>
      </c>
      <c r="M2894">
        <v>-0.99982179999999998</v>
      </c>
      <c r="N2894">
        <v>-1.396147E-2</v>
      </c>
      <c r="O2894">
        <v>1.2716689999999999E-2</v>
      </c>
      <c r="P2894">
        <v>-0.99695339999999999</v>
      </c>
      <c r="Q2894">
        <v>-7.6842240000000006E-2</v>
      </c>
      <c r="R2894">
        <v>-1.339922E-2</v>
      </c>
      <c r="S2894">
        <v>-2.9950869999999998</v>
      </c>
      <c r="T2894">
        <v>-0.1410015</v>
      </c>
      <c r="U2894">
        <v>-0.2444153</v>
      </c>
      <c r="V2894">
        <v>-2.6089089999999999E-2</v>
      </c>
      <c r="W2894">
        <v>-6.2914490000000003E-2</v>
      </c>
      <c r="X2894">
        <v>0.99767790000000001</v>
      </c>
      <c r="Y2894">
        <v>-9.3863189999999999E-2</v>
      </c>
      <c r="Z2894">
        <v>-3.2816109999999998E-3</v>
      </c>
      <c r="AA2894">
        <v>0.99557969999999896</v>
      </c>
      <c r="AB2894">
        <v>34</v>
      </c>
      <c r="AC2894">
        <v>-23.4681</v>
      </c>
      <c r="AD2894">
        <v>-1.1208756253351</v>
      </c>
      <c r="AE2894">
        <v>-1.94730000000004</v>
      </c>
      <c r="AF2894">
        <v>-2.2405320119811698</v>
      </c>
      <c r="AG2894">
        <v>-1.1208756253351</v>
      </c>
      <c r="AH2894">
        <v>23.388448009796999</v>
      </c>
      <c r="AI2894">
        <v>92.7312776283174</v>
      </c>
      <c r="AJ2894">
        <v>95.472038344763007</v>
      </c>
      <c r="AK2894">
        <v>23.522241520976699</v>
      </c>
      <c r="AL2894">
        <v>93.607116937550401</v>
      </c>
      <c r="AM2894">
        <v>91.497932517286202</v>
      </c>
      <c r="AN2894">
        <v>1.00000003290869</v>
      </c>
    </row>
    <row r="2895" spans="1:40" x14ac:dyDescent="0.25">
      <c r="A2895" t="str">
        <f>"20190303154154333"</f>
        <v>20190303154154333</v>
      </c>
      <c r="B2895" t="str">
        <f>"1551598914322263"</f>
        <v>1551598914322263</v>
      </c>
      <c r="C2895" t="s">
        <v>40</v>
      </c>
      <c r="D2895">
        <v>5.2044280000000001</v>
      </c>
      <c r="E2895">
        <v>0.47452850000000002</v>
      </c>
      <c r="F2895" t="s">
        <v>50</v>
      </c>
      <c r="G2895">
        <v>-441.76859999999999</v>
      </c>
      <c r="H2895" s="1">
        <v>-4.7782779999999899E-7</v>
      </c>
      <c r="I2895">
        <v>281.92160000000001</v>
      </c>
      <c r="J2895">
        <v>-418.34809999999999</v>
      </c>
      <c r="K2895">
        <v>1.120878</v>
      </c>
      <c r="L2895">
        <v>283.87569999999999</v>
      </c>
      <c r="M2895">
        <v>-0.99981980000000004</v>
      </c>
      <c r="N2895">
        <v>-1.4035870000000001E-2</v>
      </c>
      <c r="O2895">
        <v>1.277934E-2</v>
      </c>
      <c r="P2895">
        <v>-0.99694430000000001</v>
      </c>
      <c r="Q2895">
        <v>-7.6986040000000006E-2</v>
      </c>
      <c r="R2895">
        <v>-1.3237799999999999E-2</v>
      </c>
      <c r="S2895">
        <v>-2.9949340000000002</v>
      </c>
      <c r="T2895">
        <v>-0.1413741</v>
      </c>
      <c r="U2895">
        <v>-0.2459412</v>
      </c>
      <c r="V2895">
        <v>-2.5990030000000001E-2</v>
      </c>
      <c r="W2895">
        <v>-6.2984189999999995E-2</v>
      </c>
      <c r="X2895">
        <v>0.99767609999999995</v>
      </c>
      <c r="Y2895">
        <v>-9.4431899999999999E-2</v>
      </c>
      <c r="Z2895">
        <v>-3.3111379999999999E-3</v>
      </c>
      <c r="AA2895">
        <v>0.99552580000000002</v>
      </c>
      <c r="AB2895">
        <v>34</v>
      </c>
      <c r="AC2895">
        <v>-23.420500000000001</v>
      </c>
      <c r="AD2895">
        <v>-1.1208784778278</v>
      </c>
      <c r="AE2895">
        <v>-1.95409999999998</v>
      </c>
      <c r="AF2895">
        <v>-2.2481546913508299</v>
      </c>
      <c r="AG2895">
        <v>-1.1208784778278</v>
      </c>
      <c r="AH2895">
        <v>23.340521370240499</v>
      </c>
      <c r="AI2895">
        <v>92.736748272809194</v>
      </c>
      <c r="AJ2895">
        <v>95.501746586956102</v>
      </c>
      <c r="AK2895">
        <v>23.4753169502129</v>
      </c>
      <c r="AL2895">
        <v>93.611118344863101</v>
      </c>
      <c r="AM2895">
        <v>91.492250150959805</v>
      </c>
      <c r="AN2895">
        <v>1.00000004518028</v>
      </c>
    </row>
    <row r="2896" spans="1:40" x14ac:dyDescent="0.25">
      <c r="A2896" t="str">
        <f>"20190303154154357"</f>
        <v>20190303154154357</v>
      </c>
      <c r="B2896" t="str">
        <f>"1551598914352519"</f>
        <v>1551598914352519</v>
      </c>
      <c r="C2896" t="s">
        <v>40</v>
      </c>
      <c r="D2896">
        <v>5.27067</v>
      </c>
      <c r="E2896">
        <v>0.49639519999999998</v>
      </c>
      <c r="F2896" t="s">
        <v>50</v>
      </c>
      <c r="G2896">
        <v>-442.1028</v>
      </c>
      <c r="H2896" s="1">
        <v>-3.0067110000000002E-7</v>
      </c>
      <c r="I2896">
        <v>281.93740000000003</v>
      </c>
      <c r="J2896">
        <v>-418.67930000000001</v>
      </c>
      <c r="K2896">
        <v>1.120876</v>
      </c>
      <c r="L2896">
        <v>283.88</v>
      </c>
      <c r="M2896">
        <v>-0.99981830000000005</v>
      </c>
      <c r="N2896">
        <v>-1.410224E-2</v>
      </c>
      <c r="O2896">
        <v>1.284253E-2</v>
      </c>
      <c r="P2896">
        <v>-0.99693889999999996</v>
      </c>
      <c r="Q2896">
        <v>-7.7077030000000005E-2</v>
      </c>
      <c r="R2896">
        <v>-1.3127939999999999E-2</v>
      </c>
      <c r="S2896">
        <v>-2.9950559999999999</v>
      </c>
      <c r="T2896">
        <v>-0.14132339999999999</v>
      </c>
      <c r="U2896">
        <v>-0.24438480000000001</v>
      </c>
      <c r="V2896">
        <v>-2.5943359999999999E-2</v>
      </c>
      <c r="W2896">
        <v>-6.3009019999999999E-2</v>
      </c>
      <c r="X2896">
        <v>0.99767570000000005</v>
      </c>
      <c r="Y2896">
        <v>-9.3978199999999998E-2</v>
      </c>
      <c r="Z2896">
        <v>-3.300547E-3</v>
      </c>
      <c r="AA2896">
        <v>0.99556880000000003</v>
      </c>
      <c r="AB2896">
        <v>34</v>
      </c>
      <c r="AC2896">
        <v>-23.423499999999901</v>
      </c>
      <c r="AD2896">
        <v>-1.1208763006711</v>
      </c>
      <c r="AE2896">
        <v>-1.9425999999999699</v>
      </c>
      <c r="AF2896">
        <v>-2.2381964369873901</v>
      </c>
      <c r="AG2896">
        <v>-1.1208763006711</v>
      </c>
      <c r="AH2896">
        <v>23.343528915501</v>
      </c>
      <c r="AI2896">
        <v>92.736505119765198</v>
      </c>
      <c r="AJ2896">
        <v>95.476823588309301</v>
      </c>
      <c r="AK2896">
        <v>23.4773556688308</v>
      </c>
      <c r="AL2896">
        <v>93.612543999426293</v>
      </c>
      <c r="AM2896">
        <v>91.489572339700302</v>
      </c>
      <c r="AN2896">
        <v>0.99999999844997001</v>
      </c>
    </row>
    <row r="2897" spans="1:40" x14ac:dyDescent="0.25">
      <c r="A2897" t="str">
        <f>"20190303154154378"</f>
        <v>20190303154154378</v>
      </c>
      <c r="B2897" t="str">
        <f>"1551598914372039"</f>
        <v>1551598914372039</v>
      </c>
      <c r="C2897" t="s">
        <v>40</v>
      </c>
      <c r="D2897">
        <v>5.2551769999999998</v>
      </c>
      <c r="E2897">
        <v>0.49721690000000002</v>
      </c>
      <c r="F2897" t="s">
        <v>50</v>
      </c>
      <c r="G2897">
        <v>-446.36509999999998</v>
      </c>
      <c r="H2897" s="1">
        <v>1.9109370000000002E-6</v>
      </c>
      <c r="I2897">
        <v>283.23169999999999</v>
      </c>
      <c r="J2897">
        <v>-419.01499999999999</v>
      </c>
      <c r="K2897">
        <v>1.1208750000000001</v>
      </c>
      <c r="L2897">
        <v>283.8843</v>
      </c>
      <c r="M2897">
        <v>-0.99981660000000006</v>
      </c>
      <c r="N2897">
        <v>-1.4159969999999999E-2</v>
      </c>
      <c r="O2897">
        <v>1.290643E-2</v>
      </c>
      <c r="P2897">
        <v>-0.99690040000000002</v>
      </c>
      <c r="Q2897">
        <v>-7.7605720000000003E-2</v>
      </c>
      <c r="R2897">
        <v>-1.293071E-2</v>
      </c>
      <c r="S2897">
        <v>-2.9989319999999999</v>
      </c>
      <c r="T2897">
        <v>-0.1214132</v>
      </c>
      <c r="U2897">
        <v>-7.0220950000000004E-2</v>
      </c>
      <c r="V2897">
        <v>-2.5808910000000001E-2</v>
      </c>
      <c r="W2897">
        <v>-6.3480620000000001E-2</v>
      </c>
      <c r="X2897">
        <v>0.99764929999999996</v>
      </c>
      <c r="Y2897">
        <v>-3.6266590000000001E-2</v>
      </c>
      <c r="Z2897">
        <v>-1.330251E-3</v>
      </c>
      <c r="AA2897">
        <v>0.99934120000000004</v>
      </c>
      <c r="AB2897">
        <v>34</v>
      </c>
      <c r="AC2897">
        <v>-27.350100000000001</v>
      </c>
      <c r="AD2897">
        <v>-1.1208730890629901</v>
      </c>
      <c r="AE2897">
        <v>-0.65260000000000595</v>
      </c>
      <c r="AF2897">
        <v>-1.0038879935473899</v>
      </c>
      <c r="AG2897">
        <v>-1.1208730890629901</v>
      </c>
      <c r="AH2897">
        <v>27.2935828601073</v>
      </c>
      <c r="AI2897">
        <v>92.350072793387199</v>
      </c>
      <c r="AJ2897">
        <v>92.106452219486897</v>
      </c>
      <c r="AK2897">
        <v>27.335029045657102</v>
      </c>
      <c r="AL2897">
        <v>93.639618859614998</v>
      </c>
      <c r="AM2897">
        <v>91.481895361738793</v>
      </c>
      <c r="AN2897">
        <v>1.00000000737073</v>
      </c>
    </row>
    <row r="2898" spans="1:40" x14ac:dyDescent="0.25">
      <c r="A2898" t="str">
        <f>"20190303154154401"</f>
        <v>20190303154154401</v>
      </c>
      <c r="B2898" t="str">
        <f>"1551598914392535"</f>
        <v>1551598914392535</v>
      </c>
      <c r="C2898" t="s">
        <v>40</v>
      </c>
      <c r="D2898">
        <v>5.2646790000000001</v>
      </c>
      <c r="E2898">
        <v>0.49742310000000001</v>
      </c>
      <c r="F2898" t="s">
        <v>50</v>
      </c>
      <c r="G2898">
        <v>-446.34399999999999</v>
      </c>
      <c r="H2898" s="1">
        <v>1.8962120000000001E-6</v>
      </c>
      <c r="I2898">
        <v>283.3109</v>
      </c>
      <c r="J2898">
        <v>-419.35109999999997</v>
      </c>
      <c r="K2898">
        <v>1.1208769999999999</v>
      </c>
      <c r="L2898">
        <v>283.8888</v>
      </c>
      <c r="M2898">
        <v>-0.99981500000000001</v>
      </c>
      <c r="N2898">
        <v>-1.420984E-2</v>
      </c>
      <c r="O2898">
        <v>1.2970870000000001E-2</v>
      </c>
      <c r="P2898">
        <v>-0.99691719999999895</v>
      </c>
      <c r="Q2898">
        <v>-7.7420009999999997E-2</v>
      </c>
      <c r="R2898">
        <v>-1.274718E-2</v>
      </c>
      <c r="S2898">
        <v>-2.9989319999999999</v>
      </c>
      <c r="T2898">
        <v>-0.1229985</v>
      </c>
      <c r="U2898">
        <v>-6.2927250000000004E-2</v>
      </c>
      <c r="V2898">
        <v>-2.568989E-2</v>
      </c>
      <c r="W2898">
        <v>-6.3244939999999999E-2</v>
      </c>
      <c r="X2898">
        <v>0.99766730000000003</v>
      </c>
      <c r="Y2898">
        <v>-3.3903129999999997E-2</v>
      </c>
      <c r="Z2898">
        <v>-1.2834019999999999E-3</v>
      </c>
      <c r="AA2898">
        <v>0.99942430000000004</v>
      </c>
      <c r="AB2898">
        <v>34</v>
      </c>
      <c r="AC2898">
        <v>-26.992899999999999</v>
      </c>
      <c r="AD2898">
        <v>-1.120875103788</v>
      </c>
      <c r="AE2898">
        <v>-0.57789999999999897</v>
      </c>
      <c r="AF2898">
        <v>-0.92641140139614098</v>
      </c>
      <c r="AG2898">
        <v>-1.120875103788</v>
      </c>
      <c r="AH2898">
        <v>26.9367061819509</v>
      </c>
      <c r="AI2898">
        <v>92.381378856806094</v>
      </c>
      <c r="AJ2898">
        <v>91.969749012749602</v>
      </c>
      <c r="AK2898">
        <v>26.975928881424601</v>
      </c>
      <c r="AL2898">
        <v>93.626088347229498</v>
      </c>
      <c r="AM2898">
        <v>91.475037899027896</v>
      </c>
      <c r="AN2898">
        <v>0.99999996718655204</v>
      </c>
    </row>
    <row r="2899" spans="1:40" x14ac:dyDescent="0.25">
      <c r="A2899" t="str">
        <f>"20190303154154423"</f>
        <v>20190303154154423</v>
      </c>
      <c r="B2899" t="str">
        <f>"1551598914412056"</f>
        <v>1551598914412056</v>
      </c>
      <c r="C2899" t="s">
        <v>40</v>
      </c>
      <c r="D2899">
        <v>5.2918960000000004</v>
      </c>
      <c r="E2899">
        <v>0.49736530000000001</v>
      </c>
      <c r="F2899" t="s">
        <v>50</v>
      </c>
      <c r="G2899">
        <v>-446.78179999999998</v>
      </c>
      <c r="H2899" s="1">
        <v>2.1281480000000001E-6</v>
      </c>
      <c r="I2899">
        <v>283.33499999999998</v>
      </c>
      <c r="J2899">
        <v>-419.68490000000003</v>
      </c>
      <c r="K2899">
        <v>1.120881</v>
      </c>
      <c r="L2899">
        <v>283.89319999999998</v>
      </c>
      <c r="M2899">
        <v>-0.99981350000000002</v>
      </c>
      <c r="N2899">
        <v>-1.4252610000000001E-2</v>
      </c>
      <c r="O2899">
        <v>1.303487E-2</v>
      </c>
      <c r="P2899">
        <v>-0.99691830000000003</v>
      </c>
      <c r="Q2899">
        <v>-7.7429090000000006E-2</v>
      </c>
      <c r="R2899">
        <v>-1.260856E-2</v>
      </c>
      <c r="S2899">
        <v>-2.998993</v>
      </c>
      <c r="T2899">
        <v>-0.12254520000000001</v>
      </c>
      <c r="U2899">
        <v>-6.0546879999999997E-2</v>
      </c>
      <c r="V2899">
        <v>-2.5615249999999999E-2</v>
      </c>
      <c r="W2899">
        <v>-6.3211340000000005E-2</v>
      </c>
      <c r="X2899">
        <v>0.99767139999999999</v>
      </c>
      <c r="Y2899">
        <v>-3.3174839999999997E-2</v>
      </c>
      <c r="Z2899">
        <v>-1.260672E-3</v>
      </c>
      <c r="AA2899">
        <v>0.99944880000000003</v>
      </c>
      <c r="AB2899">
        <v>34</v>
      </c>
      <c r="AC2899">
        <v>-27.096899999999899</v>
      </c>
      <c r="AD2899">
        <v>-1.120878871852</v>
      </c>
      <c r="AE2899">
        <v>-0.55819999999999903</v>
      </c>
      <c r="AF2899">
        <v>-0.909836830539828</v>
      </c>
      <c r="AG2899">
        <v>-1.120878871852</v>
      </c>
      <c r="AH2899">
        <v>27.041070002078399</v>
      </c>
      <c r="AI2899">
        <v>92.372266554458193</v>
      </c>
      <c r="AJ2899">
        <v>91.927074334688598</v>
      </c>
      <c r="AK2899">
        <v>27.079579748601599</v>
      </c>
      <c r="AL2899">
        <v>93.624159163178604</v>
      </c>
      <c r="AM2899">
        <v>91.470748133406303</v>
      </c>
      <c r="AN2899">
        <v>1.0000000184575499</v>
      </c>
    </row>
    <row r="2900" spans="1:40" x14ac:dyDescent="0.25">
      <c r="A2900" t="str">
        <f>"20190303154154445"</f>
        <v>20190303154154445</v>
      </c>
      <c r="B2900" t="str">
        <f>"1551598914442312"</f>
        <v>1551598914442312</v>
      </c>
      <c r="C2900" t="s">
        <v>40</v>
      </c>
      <c r="D2900">
        <v>5.2751229999999998</v>
      </c>
      <c r="E2900">
        <v>0.4975212</v>
      </c>
      <c r="F2900" t="s">
        <v>50</v>
      </c>
      <c r="G2900">
        <v>-447.58210000000003</v>
      </c>
      <c r="H2900" s="1">
        <v>2.5543919999999998E-6</v>
      </c>
      <c r="I2900">
        <v>283.32709999999997</v>
      </c>
      <c r="J2900">
        <v>-420.01409999999998</v>
      </c>
      <c r="K2900">
        <v>1.120892</v>
      </c>
      <c r="L2900">
        <v>283.89749999999998</v>
      </c>
      <c r="M2900">
        <v>-0.99981220000000004</v>
      </c>
      <c r="N2900">
        <v>-1.428872E-2</v>
      </c>
      <c r="O2900">
        <v>1.309773E-2</v>
      </c>
      <c r="P2900">
        <v>-0.99693160000000003</v>
      </c>
      <c r="Q2900">
        <v>-7.7285469999999995E-2</v>
      </c>
      <c r="R2900">
        <v>-1.2433130000000001E-2</v>
      </c>
      <c r="S2900">
        <v>-2.9991150000000002</v>
      </c>
      <c r="T2900">
        <v>-0.1205012</v>
      </c>
      <c r="U2900">
        <v>-6.0852049999999998E-2</v>
      </c>
      <c r="V2900">
        <v>-2.5502799999999999E-2</v>
      </c>
      <c r="W2900">
        <v>-6.3031530000000002E-2</v>
      </c>
      <c r="X2900">
        <v>0.99768559999999995</v>
      </c>
      <c r="Y2900">
        <v>-3.3339609999999999E-2</v>
      </c>
      <c r="Z2900">
        <v>-1.246696E-3</v>
      </c>
      <c r="AA2900">
        <v>0.99944330000000003</v>
      </c>
      <c r="AB2900">
        <v>33</v>
      </c>
      <c r="AC2900">
        <v>-27.568000000000001</v>
      </c>
      <c r="AD2900">
        <v>-1.1208894456080001</v>
      </c>
      <c r="AE2900">
        <v>-0.57040000000000601</v>
      </c>
      <c r="AF2900">
        <v>-0.92992945566234897</v>
      </c>
      <c r="AG2900">
        <v>-1.1208894456080001</v>
      </c>
      <c r="AH2900">
        <v>27.512699608850799</v>
      </c>
      <c r="AI2900">
        <v>92.331655764652297</v>
      </c>
      <c r="AJ2900">
        <v>91.935860805063399</v>
      </c>
      <c r="AK2900">
        <v>27.551221419542301</v>
      </c>
      <c r="AL2900">
        <v>93.613836429847495</v>
      </c>
      <c r="AM2900">
        <v>91.464273588566201</v>
      </c>
      <c r="AN2900">
        <v>0.99999996151466897</v>
      </c>
    </row>
    <row r="2901" spans="1:40" x14ac:dyDescent="0.25">
      <c r="A2901" t="str">
        <f>"20190303154154467"</f>
        <v>20190303154154467</v>
      </c>
      <c r="B2901" t="str">
        <f>"1551598914462807"</f>
        <v>1551598914462807</v>
      </c>
      <c r="C2901" t="s">
        <v>40</v>
      </c>
      <c r="D2901">
        <v>5.2909329999999999</v>
      </c>
      <c r="E2901">
        <v>0.49730010000000002</v>
      </c>
      <c r="F2901" t="s">
        <v>50</v>
      </c>
      <c r="G2901">
        <v>-448.20859999999999</v>
      </c>
      <c r="H2901" s="1">
        <v>2.8869409999999999E-6</v>
      </c>
      <c r="I2901">
        <v>283.34589999999997</v>
      </c>
      <c r="J2901">
        <v>-420.35019999999997</v>
      </c>
      <c r="K2901">
        <v>1.1208940000000001</v>
      </c>
      <c r="L2901">
        <v>283.90199999999999</v>
      </c>
      <c r="M2901">
        <v>-0.99981089999999995</v>
      </c>
      <c r="N2901">
        <v>-1.432025E-2</v>
      </c>
      <c r="O2901">
        <v>1.3162170000000001E-2</v>
      </c>
      <c r="P2901">
        <v>-0.99697020000000003</v>
      </c>
      <c r="Q2901">
        <v>-7.6784340000000006E-2</v>
      </c>
      <c r="R2901">
        <v>-1.244232E-2</v>
      </c>
      <c r="S2901">
        <v>-2.9993289999999999</v>
      </c>
      <c r="T2901">
        <v>-0.11924029999999999</v>
      </c>
      <c r="U2901">
        <v>-5.8685300000000003E-2</v>
      </c>
      <c r="V2901">
        <v>-2.5576439999999999E-2</v>
      </c>
      <c r="W2901">
        <v>-6.2498459999999999E-2</v>
      </c>
      <c r="X2901">
        <v>0.99771730000000003</v>
      </c>
      <c r="Y2901">
        <v>-3.2682339999999997E-2</v>
      </c>
      <c r="Z2901">
        <v>-1.218097E-3</v>
      </c>
      <c r="AA2901">
        <v>0.99946500000000005</v>
      </c>
      <c r="AB2901">
        <v>33</v>
      </c>
      <c r="AC2901">
        <v>-27.8584</v>
      </c>
      <c r="AD2901">
        <v>-1.120891113059</v>
      </c>
      <c r="AE2901">
        <v>-0.55610000000001403</v>
      </c>
      <c r="AF2901">
        <v>-0.92127555039791698</v>
      </c>
      <c r="AG2901">
        <v>-1.120891113059</v>
      </c>
      <c r="AH2901">
        <v>27.803673168425401</v>
      </c>
      <c r="AI2901">
        <v>92.307335482367407</v>
      </c>
      <c r="AJ2901">
        <v>91.897803036560603</v>
      </c>
      <c r="AK2901">
        <v>27.841504757891801</v>
      </c>
      <c r="AL2901">
        <v>93.583233249761705</v>
      </c>
      <c r="AM2901">
        <v>91.468453230467006</v>
      </c>
      <c r="AN2901">
        <v>1.0000000112523599</v>
      </c>
    </row>
    <row r="2902" spans="1:40" x14ac:dyDescent="0.25">
      <c r="A2902" t="str">
        <f>"20190303154154490"</f>
        <v>20190303154154490</v>
      </c>
      <c r="B2902" t="str">
        <f>"1551598914482331"</f>
        <v>1551598914482331</v>
      </c>
      <c r="C2902" t="s">
        <v>40</v>
      </c>
      <c r="D2902">
        <v>5.2884659999999997</v>
      </c>
      <c r="E2902">
        <v>0.49714249999999999</v>
      </c>
      <c r="F2902" t="s">
        <v>50</v>
      </c>
      <c r="G2902">
        <v>-448.7953</v>
      </c>
      <c r="H2902" s="1">
        <v>3.2000720000000001E-6</v>
      </c>
      <c r="I2902">
        <v>283.32549999999998</v>
      </c>
      <c r="J2902">
        <v>-420.67840000000001</v>
      </c>
      <c r="K2902">
        <v>1.1209020000000001</v>
      </c>
      <c r="L2902">
        <v>283.90640000000002</v>
      </c>
      <c r="M2902">
        <v>-0.99980970000000002</v>
      </c>
      <c r="N2902">
        <v>-1.434648E-2</v>
      </c>
      <c r="O2902">
        <v>1.3224919999999999E-2</v>
      </c>
      <c r="P2902">
        <v>-0.9969538</v>
      </c>
      <c r="Q2902">
        <v>-7.6970410000000003E-2</v>
      </c>
      <c r="R2902">
        <v>-1.2609860000000001E-2</v>
      </c>
      <c r="S2902">
        <v>-2.999298</v>
      </c>
      <c r="T2902">
        <v>-0.1181885</v>
      </c>
      <c r="U2902">
        <v>-6.0791020000000001E-2</v>
      </c>
      <c r="V2902">
        <v>-2.5805970000000001E-2</v>
      </c>
      <c r="W2902">
        <v>-6.265859E-2</v>
      </c>
      <c r="X2902">
        <v>0.99770130000000001</v>
      </c>
      <c r="Y2902">
        <v>-3.3446480000000001E-2</v>
      </c>
      <c r="Z2902">
        <v>-1.2299570000000001E-3</v>
      </c>
      <c r="AA2902">
        <v>0.99943979999999999</v>
      </c>
      <c r="AB2902">
        <v>33</v>
      </c>
      <c r="AC2902">
        <v>-28.116899999999902</v>
      </c>
      <c r="AD2902">
        <v>-1.120898799928</v>
      </c>
      <c r="AE2902">
        <v>-0.58090000000004205</v>
      </c>
      <c r="AF2902">
        <v>-0.95122008336674102</v>
      </c>
      <c r="AG2902">
        <v>-1.120898799928</v>
      </c>
      <c r="AH2902">
        <v>28.062178063495001</v>
      </c>
      <c r="AI2902">
        <v>92.2860606994916</v>
      </c>
      <c r="AJ2902">
        <v>91.941404427465798</v>
      </c>
      <c r="AK2902">
        <v>28.100659626314499</v>
      </c>
      <c r="AL2902">
        <v>93.5924262048716</v>
      </c>
      <c r="AM2902">
        <v>91.481649435268693</v>
      </c>
      <c r="AN2902">
        <v>0.99999996550505799</v>
      </c>
    </row>
    <row r="2903" spans="1:40" x14ac:dyDescent="0.25">
      <c r="A2903" t="str">
        <f>"20190303154154513"</f>
        <v>20190303154154513</v>
      </c>
      <c r="B2903" t="str">
        <f>"1551598914502823"</f>
        <v>1551598914502823</v>
      </c>
      <c r="C2903" t="s">
        <v>40</v>
      </c>
      <c r="D2903">
        <v>5.3089750000000002</v>
      </c>
      <c r="E2903">
        <v>0.49685220000000002</v>
      </c>
      <c r="F2903" t="s">
        <v>50</v>
      </c>
      <c r="G2903">
        <v>-449.01440000000002</v>
      </c>
      <c r="H2903" s="1">
        <v>3.31707E-6</v>
      </c>
      <c r="I2903">
        <v>283.31560000000002</v>
      </c>
      <c r="J2903">
        <v>-421.0231</v>
      </c>
      <c r="K2903">
        <v>1.120906</v>
      </c>
      <c r="L2903">
        <v>283.911</v>
      </c>
      <c r="M2903">
        <v>-0.99980840000000004</v>
      </c>
      <c r="N2903">
        <v>-1.436988E-2</v>
      </c>
      <c r="O2903">
        <v>1.329109E-2</v>
      </c>
      <c r="P2903">
        <v>-0.9969616</v>
      </c>
      <c r="Q2903">
        <v>-7.6899869999999995E-2</v>
      </c>
      <c r="R2903">
        <v>-1.2414690000000001E-2</v>
      </c>
      <c r="S2903">
        <v>-2.9991759999999998</v>
      </c>
      <c r="T2903">
        <v>-0.11863990000000001</v>
      </c>
      <c r="U2903">
        <v>-6.2530520000000006E-2</v>
      </c>
      <c r="V2903">
        <v>-2.5677189999999999E-2</v>
      </c>
      <c r="W2903">
        <v>-6.2564610000000007E-2</v>
      </c>
      <c r="X2903">
        <v>0.99771049999999994</v>
      </c>
      <c r="Y2903">
        <v>-3.4091870000000003E-2</v>
      </c>
      <c r="Z2903">
        <v>-1.2536520000000001E-3</v>
      </c>
      <c r="AA2903">
        <v>0.99941789999999997</v>
      </c>
      <c r="AB2903">
        <v>33</v>
      </c>
      <c r="AC2903">
        <v>-27.991299999999999</v>
      </c>
      <c r="AD2903">
        <v>-1.1209026829299999</v>
      </c>
      <c r="AE2903">
        <v>-0.59539999999998305</v>
      </c>
      <c r="AF2903">
        <v>-0.9658725551074</v>
      </c>
      <c r="AG2903">
        <v>-1.1209026829299999</v>
      </c>
      <c r="AH2903">
        <v>27.936135203335201</v>
      </c>
      <c r="AI2903">
        <v>92.296318788560797</v>
      </c>
      <c r="AJ2903">
        <v>91.980173182826107</v>
      </c>
      <c r="AK2903">
        <v>27.975292361588199</v>
      </c>
      <c r="AL2903">
        <v>93.587031034762106</v>
      </c>
      <c r="AM2903">
        <v>91.4742452161735</v>
      </c>
      <c r="AN2903">
        <v>0.99999994516049695</v>
      </c>
    </row>
    <row r="2904" spans="1:40" x14ac:dyDescent="0.25">
      <c r="A2904" t="str">
        <f>"20190303154154535"</f>
        <v>20190303154154535</v>
      </c>
      <c r="B2904" t="str">
        <f>"1551598914532103"</f>
        <v>1551598914532103</v>
      </c>
      <c r="C2904" t="s">
        <v>40</v>
      </c>
      <c r="D2904">
        <v>5.2883279999999999</v>
      </c>
      <c r="E2904">
        <v>0.4967319</v>
      </c>
      <c r="F2904" t="s">
        <v>50</v>
      </c>
      <c r="G2904">
        <v>-449.95960000000002</v>
      </c>
      <c r="H2904" s="1">
        <v>-1.5003879999999999E-6</v>
      </c>
      <c r="I2904">
        <v>283.2919</v>
      </c>
      <c r="J2904">
        <v>-421.34449999999998</v>
      </c>
      <c r="K2904">
        <v>1.1209070000000001</v>
      </c>
      <c r="L2904">
        <v>283.9153</v>
      </c>
      <c r="M2904">
        <v>-0.99980749999999996</v>
      </c>
      <c r="N2904">
        <v>-1.4388099999999999E-2</v>
      </c>
      <c r="O2904">
        <v>1.3352579999999999E-2</v>
      </c>
      <c r="P2904">
        <v>-0.99695710000000004</v>
      </c>
      <c r="Q2904">
        <v>-7.6898910000000001E-2</v>
      </c>
      <c r="R2904">
        <v>-1.278788E-2</v>
      </c>
      <c r="S2904">
        <v>-2.9994200000000002</v>
      </c>
      <c r="T2904">
        <v>-0.1161879</v>
      </c>
      <c r="U2904">
        <v>-6.4178470000000001E-2</v>
      </c>
      <c r="V2904">
        <v>-2.6111579999999999E-2</v>
      </c>
      <c r="W2904">
        <v>-6.2545550000000005E-2</v>
      </c>
      <c r="X2904">
        <v>0.99770049999999999</v>
      </c>
      <c r="Y2904">
        <v>-3.4701419999999997E-2</v>
      </c>
      <c r="Z2904">
        <v>-1.2465270000000001E-3</v>
      </c>
      <c r="AA2904">
        <v>0.99939690000000003</v>
      </c>
      <c r="AB2904">
        <v>33</v>
      </c>
      <c r="AC2904">
        <v>-28.615100000000002</v>
      </c>
      <c r="AD2904">
        <v>-1.1209085003879999</v>
      </c>
      <c r="AE2904">
        <v>-0.62340000000000295</v>
      </c>
      <c r="AF2904">
        <v>-1.0039295752986099</v>
      </c>
      <c r="AG2904">
        <v>-1.1209085003879999</v>
      </c>
      <c r="AH2904">
        <v>28.5604201383142</v>
      </c>
      <c r="AI2904">
        <v>92.246143513490793</v>
      </c>
      <c r="AJ2904">
        <v>92.013179566049104</v>
      </c>
      <c r="AK2904">
        <v>28.6000333729774</v>
      </c>
      <c r="AL2904">
        <v>93.585936550841197</v>
      </c>
      <c r="AM2904">
        <v>91.499189270153494</v>
      </c>
      <c r="AN2904">
        <v>1.0000000240675699</v>
      </c>
    </row>
    <row r="2905" spans="1:40" x14ac:dyDescent="0.25">
      <c r="A2905" t="str">
        <f>"20190303154154557"</f>
        <v>20190303154154557</v>
      </c>
      <c r="B2905" t="str">
        <f>"1551598914552599"</f>
        <v>1551598914552599</v>
      </c>
      <c r="C2905" t="s">
        <v>40</v>
      </c>
      <c r="D2905">
        <v>5.3067349999999998</v>
      </c>
      <c r="E2905">
        <v>0.49665939999999997</v>
      </c>
      <c r="F2905" t="s">
        <v>50</v>
      </c>
      <c r="G2905">
        <v>-450.68060000000003</v>
      </c>
      <c r="H2905" s="1">
        <v>-1.115554E-6</v>
      </c>
      <c r="I2905">
        <v>283.26560000000001</v>
      </c>
      <c r="J2905">
        <v>-421.67809999999997</v>
      </c>
      <c r="K2905">
        <v>1.1209100000000001</v>
      </c>
      <c r="L2905">
        <v>283.91989999999998</v>
      </c>
      <c r="M2905">
        <v>-0.99980630000000004</v>
      </c>
      <c r="N2905">
        <v>-1.440394E-2</v>
      </c>
      <c r="O2905">
        <v>1.3416600000000001E-2</v>
      </c>
      <c r="P2905">
        <v>-0.9969112</v>
      </c>
      <c r="Q2905">
        <v>-7.7470200000000003E-2</v>
      </c>
      <c r="R2905">
        <v>-1.290966E-2</v>
      </c>
      <c r="S2905">
        <v>-2.9994510000000001</v>
      </c>
      <c r="T2905">
        <v>-0.114606399999999</v>
      </c>
      <c r="U2905">
        <v>-6.6436770000000006E-2</v>
      </c>
      <c r="V2905">
        <v>-2.6296670000000001E-2</v>
      </c>
      <c r="W2905">
        <v>-6.3101669999999999E-2</v>
      </c>
      <c r="X2905">
        <v>0.99766060000000001</v>
      </c>
      <c r="Y2905">
        <v>-3.5517439999999997E-2</v>
      </c>
      <c r="Z2905">
        <v>-1.253386E-3</v>
      </c>
      <c r="AA2905">
        <v>0.99936829999999999</v>
      </c>
      <c r="AB2905">
        <v>33</v>
      </c>
      <c r="AC2905">
        <v>-29.002500000000001</v>
      </c>
      <c r="AD2905">
        <v>-1.1209111155539999</v>
      </c>
      <c r="AE2905">
        <v>-0.65429999999997701</v>
      </c>
      <c r="AF2905">
        <v>-1.0418409519390699</v>
      </c>
      <c r="AG2905">
        <v>-1.1209111155539999</v>
      </c>
      <c r="AH2905">
        <v>28.947891374217001</v>
      </c>
      <c r="AI2905">
        <v>92.216047941234294</v>
      </c>
      <c r="AJ2905">
        <v>92.061198009437405</v>
      </c>
      <c r="AK2905">
        <v>28.9883129780189</v>
      </c>
      <c r="AL2905">
        <v>93.617863017291995</v>
      </c>
      <c r="AM2905">
        <v>91.5098716155332</v>
      </c>
      <c r="AN2905">
        <v>1.0000000042011099</v>
      </c>
    </row>
    <row r="2906" spans="1:40" x14ac:dyDescent="0.25">
      <c r="A2906" t="str">
        <f>"20190303154154579"</f>
        <v>20190303154154579</v>
      </c>
      <c r="B2906" t="str">
        <f>"1551598914572119"</f>
        <v>1551598914572119</v>
      </c>
      <c r="C2906" t="s">
        <v>40</v>
      </c>
      <c r="D2906">
        <v>5.2480379999999904</v>
      </c>
      <c r="E2906">
        <v>0.49654740000000003</v>
      </c>
      <c r="F2906" t="s">
        <v>50</v>
      </c>
      <c r="G2906">
        <v>-450.73599999999999</v>
      </c>
      <c r="H2906" s="1">
        <v>-1.0862329999999999E-6</v>
      </c>
      <c r="I2906">
        <v>283.26859999999999</v>
      </c>
      <c r="J2906">
        <v>-422.01089999999999</v>
      </c>
      <c r="K2906">
        <v>1.1209070000000001</v>
      </c>
      <c r="L2906">
        <v>283.92439999999999</v>
      </c>
      <c r="M2906">
        <v>-0.99980519999999995</v>
      </c>
      <c r="N2906">
        <v>-1.4417060000000001E-2</v>
      </c>
      <c r="O2906">
        <v>1.3480280000000001E-2</v>
      </c>
      <c r="P2906">
        <v>-0.99689119999999998</v>
      </c>
      <c r="Q2906">
        <v>-7.7713760000000007E-2</v>
      </c>
      <c r="R2906">
        <v>-1.298496E-2</v>
      </c>
      <c r="S2906">
        <v>-2.9994510000000001</v>
      </c>
      <c r="T2906">
        <v>-0.1157043</v>
      </c>
      <c r="U2906">
        <v>-6.7230219999999993E-2</v>
      </c>
      <c r="V2906">
        <v>-2.6435190000000001E-2</v>
      </c>
      <c r="W2906">
        <v>-6.333242E-2</v>
      </c>
      <c r="X2906">
        <v>0.99764229999999998</v>
      </c>
      <c r="Y2906">
        <v>-3.5844260000000003E-2</v>
      </c>
      <c r="Z2906">
        <v>-1.2750369999999999E-3</v>
      </c>
      <c r="AA2906">
        <v>0.99935660000000004</v>
      </c>
      <c r="AB2906">
        <v>33</v>
      </c>
      <c r="AC2906">
        <v>-28.725100000000001</v>
      </c>
      <c r="AD2906">
        <v>-1.1209080862330001</v>
      </c>
      <c r="AE2906">
        <v>-0.65579999999999905</v>
      </c>
      <c r="AF2906">
        <v>-1.0414180872799701</v>
      </c>
      <c r="AG2906">
        <v>-1.1209080862330001</v>
      </c>
      <c r="AH2906">
        <v>28.670014773060601</v>
      </c>
      <c r="AI2906">
        <v>92.237471673734305</v>
      </c>
      <c r="AJ2906">
        <v>92.080314185066896</v>
      </c>
      <c r="AK2906">
        <v>28.710812138596999</v>
      </c>
      <c r="AL2906">
        <v>93.631110579562403</v>
      </c>
      <c r="AM2906">
        <v>91.5178491138346</v>
      </c>
      <c r="AN2906">
        <v>0.99999998672134105</v>
      </c>
    </row>
    <row r="2907" spans="1:40" x14ac:dyDescent="0.25">
      <c r="A2907" t="str">
        <f>"20190303154154593"</f>
        <v>20190303154154593</v>
      </c>
      <c r="B2907" t="str">
        <f>"1551598914582046"</f>
        <v>1551598914582046</v>
      </c>
      <c r="C2907" t="s">
        <v>40</v>
      </c>
      <c r="D2907">
        <v>5.2791610000000002</v>
      </c>
      <c r="E2907">
        <v>0.49644339999999998</v>
      </c>
      <c r="F2907" t="s">
        <v>50</v>
      </c>
      <c r="G2907">
        <v>-451.03739999999999</v>
      </c>
      <c r="H2907" s="1">
        <v>-9.2554529999999997E-7</v>
      </c>
      <c r="I2907">
        <v>283.26260000000002</v>
      </c>
      <c r="J2907">
        <v>-422.2167</v>
      </c>
      <c r="K2907">
        <v>1.1209089999999999</v>
      </c>
      <c r="L2907">
        <v>283.92720000000003</v>
      </c>
      <c r="M2907">
        <v>-0.99980460000000004</v>
      </c>
      <c r="N2907">
        <v>-1.442418E-2</v>
      </c>
      <c r="O2907">
        <v>1.3519740000000001E-2</v>
      </c>
      <c r="P2907">
        <v>-0.99686410000000003</v>
      </c>
      <c r="Q2907">
        <v>-7.804962E-2</v>
      </c>
      <c r="R2907">
        <v>-1.3047349999999999E-2</v>
      </c>
      <c r="S2907">
        <v>-2.9994510000000001</v>
      </c>
      <c r="T2907">
        <v>-0.1158289</v>
      </c>
      <c r="U2907">
        <v>-6.8389889999999995E-2</v>
      </c>
      <c r="V2907">
        <v>-2.653691E-2</v>
      </c>
      <c r="W2907">
        <v>-6.3661529999999994E-2</v>
      </c>
      <c r="X2907">
        <v>0.99761869999999997</v>
      </c>
      <c r="Y2907">
        <v>-3.6269349999999999E-2</v>
      </c>
      <c r="Z2907">
        <v>-1.288595E-3</v>
      </c>
      <c r="AA2907">
        <v>0.99934120000000004</v>
      </c>
      <c r="AB2907">
        <v>33</v>
      </c>
      <c r="AC2907">
        <v>-28.820699999999899</v>
      </c>
      <c r="AD2907">
        <v>-1.1209099255452999</v>
      </c>
      <c r="AE2907">
        <v>-0.66460000000000696</v>
      </c>
      <c r="AF2907">
        <v>-1.0526367393788201</v>
      </c>
      <c r="AG2907">
        <v>-1.1209099255452999</v>
      </c>
      <c r="AH2907">
        <v>28.765590668452401</v>
      </c>
      <c r="AI2907">
        <v>92.230026829963293</v>
      </c>
      <c r="AJ2907">
        <v>92.095724154678194</v>
      </c>
      <c r="AK2907">
        <v>28.806660508834302</v>
      </c>
      <c r="AL2907">
        <v>93.650005149034101</v>
      </c>
      <c r="AM2907">
        <v>91.5237229271725</v>
      </c>
      <c r="AN2907">
        <v>1.0000000342919799</v>
      </c>
    </row>
    <row r="2908" spans="1:40" x14ac:dyDescent="0.25">
      <c r="A2908" t="str">
        <f>"20190303154154613"</f>
        <v>20190303154154613</v>
      </c>
      <c r="B2908" t="str">
        <f>"1551598914602518"</f>
        <v>1551598914602518</v>
      </c>
      <c r="C2908" t="s">
        <v>40</v>
      </c>
      <c r="D2908">
        <v>5.2862799999999996</v>
      </c>
      <c r="E2908">
        <v>0.4963727</v>
      </c>
      <c r="F2908" t="s">
        <v>50</v>
      </c>
      <c r="G2908">
        <v>-450.87259999999998</v>
      </c>
      <c r="H2908" s="1">
        <v>-1.013374E-6</v>
      </c>
      <c r="I2908">
        <v>283.2645</v>
      </c>
      <c r="J2908">
        <v>-422.50740000000002</v>
      </c>
      <c r="K2908">
        <v>1.120908</v>
      </c>
      <c r="L2908">
        <v>283.93119999999999</v>
      </c>
      <c r="M2908">
        <v>-0.99980380000000002</v>
      </c>
      <c r="N2908">
        <v>-1.443272E-2</v>
      </c>
      <c r="O2908">
        <v>1.3575459999999999E-2</v>
      </c>
      <c r="P2908">
        <v>-0.99687579999999998</v>
      </c>
      <c r="Q2908">
        <v>-7.7979729999999997E-2</v>
      </c>
      <c r="R2908">
        <v>-1.2570660000000001E-2</v>
      </c>
      <c r="S2908">
        <v>-2.9993289999999999</v>
      </c>
      <c r="T2908">
        <v>-0.1173226</v>
      </c>
      <c r="U2908">
        <v>-6.9366460000000005E-2</v>
      </c>
      <c r="V2908">
        <v>-2.6115570000000001E-2</v>
      </c>
      <c r="W2908">
        <v>-6.3582979999999997E-2</v>
      </c>
      <c r="X2908">
        <v>0.99763480000000004</v>
      </c>
      <c r="Y2908">
        <v>-3.6649760000000003E-2</v>
      </c>
      <c r="Z2908">
        <v>-1.315989E-3</v>
      </c>
      <c r="AA2908">
        <v>0.99932730000000003</v>
      </c>
      <c r="AB2908">
        <v>33</v>
      </c>
      <c r="AC2908">
        <v>-28.365199999999898</v>
      </c>
      <c r="AD2908">
        <v>-1.1209090133740001</v>
      </c>
      <c r="AE2908">
        <v>-0.66669999999999097</v>
      </c>
      <c r="AF2908">
        <v>-1.0501103111332499</v>
      </c>
      <c r="AG2908">
        <v>-1.1209090133740001</v>
      </c>
      <c r="AH2908">
        <v>28.309350485470102</v>
      </c>
      <c r="AI2908">
        <v>92.265885777074601</v>
      </c>
      <c r="AJ2908">
        <v>92.124362253727895</v>
      </c>
      <c r="AK2908">
        <v>28.350987524088101</v>
      </c>
      <c r="AL2908">
        <v>93.645495531590896</v>
      </c>
      <c r="AM2908">
        <v>91.499516950596799</v>
      </c>
      <c r="AN2908">
        <v>1.0000000062565699</v>
      </c>
    </row>
    <row r="2909" spans="1:40" x14ac:dyDescent="0.25">
      <c r="A2909" t="str">
        <f>"20190303154154628"</f>
        <v>20190303154154628</v>
      </c>
      <c r="B2909" t="str">
        <f>"1551598914622037"</f>
        <v>1551598914622037</v>
      </c>
      <c r="C2909" t="s">
        <v>40</v>
      </c>
      <c r="D2909">
        <v>5.3201510000000001</v>
      </c>
      <c r="E2909">
        <v>0.49657299999999899</v>
      </c>
      <c r="F2909" t="s">
        <v>50</v>
      </c>
      <c r="G2909">
        <v>-451.3501</v>
      </c>
      <c r="H2909" s="1">
        <v>-7.5960109999999997E-7</v>
      </c>
      <c r="I2909">
        <v>283.2724</v>
      </c>
      <c r="J2909">
        <v>-422.73450000000003</v>
      </c>
      <c r="K2909">
        <v>1.120908</v>
      </c>
      <c r="L2909">
        <v>283.93439999999998</v>
      </c>
      <c r="M2909">
        <v>-0.99980309999999994</v>
      </c>
      <c r="N2909">
        <v>-1.4438309999999999E-2</v>
      </c>
      <c r="O2909">
        <v>1.361911E-2</v>
      </c>
      <c r="P2909">
        <v>-0.99690040000000002</v>
      </c>
      <c r="Q2909">
        <v>-7.7723769999999998E-2</v>
      </c>
      <c r="R2909">
        <v>-1.2202589999999999E-2</v>
      </c>
      <c r="S2909">
        <v>-2.9994510000000001</v>
      </c>
      <c r="T2909">
        <v>-0.1165673</v>
      </c>
      <c r="U2909">
        <v>-6.8511959999999997E-2</v>
      </c>
      <c r="V2909">
        <v>-2.5791089999999999E-2</v>
      </c>
      <c r="W2909">
        <v>-6.332111E-2</v>
      </c>
      <c r="X2909">
        <v>0.99765990000000004</v>
      </c>
      <c r="Y2909">
        <v>-3.6408660000000002E-2</v>
      </c>
      <c r="Z2909">
        <v>-1.302582E-3</v>
      </c>
      <c r="AA2909">
        <v>0.99933609999999995</v>
      </c>
      <c r="AB2909">
        <v>33</v>
      </c>
      <c r="AC2909">
        <v>-28.615599999999901</v>
      </c>
      <c r="AD2909">
        <v>-1.1209087596011</v>
      </c>
      <c r="AE2909">
        <v>-0.66199999999997705</v>
      </c>
      <c r="AF2909">
        <v>-1.0500878075754601</v>
      </c>
      <c r="AG2909">
        <v>-1.1209087596011</v>
      </c>
      <c r="AH2909">
        <v>28.560129879762599</v>
      </c>
      <c r="AI2909">
        <v>92.246036574147993</v>
      </c>
      <c r="AJ2909">
        <v>92.105680539446695</v>
      </c>
      <c r="AK2909">
        <v>28.601401007640799</v>
      </c>
      <c r="AL2909">
        <v>93.630461177537398</v>
      </c>
      <c r="AM2909">
        <v>91.480856902123193</v>
      </c>
      <c r="AN2909">
        <v>1.00000000968151</v>
      </c>
    </row>
    <row r="2910" spans="1:40" x14ac:dyDescent="0.25">
      <c r="A2910" t="str">
        <f>"20190303154154646"</f>
        <v>20190303154154646</v>
      </c>
      <c r="B2910" t="str">
        <f>"1551598914642533"</f>
        <v>1551598914642533</v>
      </c>
      <c r="C2910" t="s">
        <v>40</v>
      </c>
      <c r="D2910">
        <v>5.2548069999999996</v>
      </c>
      <c r="E2910">
        <v>0.52071959999999995</v>
      </c>
      <c r="F2910" t="s">
        <v>50</v>
      </c>
      <c r="G2910">
        <v>-451.97309999999999</v>
      </c>
      <c r="H2910" s="1">
        <v>-4.28914E-7</v>
      </c>
      <c r="I2910">
        <v>283.29239999999999</v>
      </c>
      <c r="J2910">
        <v>-422.9973</v>
      </c>
      <c r="K2910">
        <v>1.1209089999999999</v>
      </c>
      <c r="L2910">
        <v>283.93799999999999</v>
      </c>
      <c r="M2910">
        <v>-0.99980239999999998</v>
      </c>
      <c r="N2910">
        <v>-1.4443910000000001E-2</v>
      </c>
      <c r="O2910">
        <v>1.366943E-2</v>
      </c>
      <c r="P2910">
        <v>-0.99690290000000004</v>
      </c>
      <c r="Q2910">
        <v>-7.7781390000000006E-2</v>
      </c>
      <c r="R2910">
        <v>-1.162938E-2</v>
      </c>
      <c r="S2910">
        <v>-2.9995729999999998</v>
      </c>
      <c r="T2910">
        <v>-0.1149932</v>
      </c>
      <c r="U2910">
        <v>-6.5856929999999994E-2</v>
      </c>
      <c r="V2910">
        <v>-2.5268189999999999E-2</v>
      </c>
      <c r="W2910">
        <v>-6.3373139999999994E-2</v>
      </c>
      <c r="X2910">
        <v>0.99766999999999995</v>
      </c>
      <c r="Y2910">
        <v>-3.5575780000000001E-2</v>
      </c>
      <c r="Z2910">
        <v>-1.265106E-3</v>
      </c>
      <c r="AA2910">
        <v>0.99936619999999998</v>
      </c>
      <c r="AB2910">
        <v>33</v>
      </c>
      <c r="AC2910">
        <v>-28.9757999999999</v>
      </c>
      <c r="AD2910">
        <v>-1.120909428914</v>
      </c>
      <c r="AE2910">
        <v>-0.64560000000000095</v>
      </c>
      <c r="AF2910">
        <v>-1.04010787246543</v>
      </c>
      <c r="AG2910">
        <v>-1.120909428914</v>
      </c>
      <c r="AH2910">
        <v>28.921008132317201</v>
      </c>
      <c r="AI2910">
        <v>92.2181045637236</v>
      </c>
      <c r="AJ2910">
        <v>92.059683337537805</v>
      </c>
      <c r="AK2910">
        <v>28.961404898998801</v>
      </c>
      <c r="AL2910">
        <v>93.633448192959904</v>
      </c>
      <c r="AM2910">
        <v>91.450831636091294</v>
      </c>
      <c r="AN2910">
        <v>1.0000000325996601</v>
      </c>
    </row>
    <row r="2911" spans="1:40" x14ac:dyDescent="0.25">
      <c r="A2911" t="str">
        <f>"20190303154154669"</f>
        <v>20190303154154669</v>
      </c>
      <c r="B2911" t="str">
        <f>"1551598914662053"</f>
        <v>1551598914662053</v>
      </c>
      <c r="C2911" t="s">
        <v>40</v>
      </c>
      <c r="D2911">
        <v>5.2100540000000004</v>
      </c>
      <c r="E2911">
        <v>0.51833779999999996</v>
      </c>
      <c r="F2911" t="s">
        <v>50</v>
      </c>
      <c r="G2911">
        <v>-469.71300000000002</v>
      </c>
      <c r="H2911" s="1">
        <v>3.5748079999999999E-6</v>
      </c>
      <c r="I2911">
        <v>285.9248</v>
      </c>
      <c r="J2911">
        <v>-423.33030000000002</v>
      </c>
      <c r="K2911">
        <v>1.120914</v>
      </c>
      <c r="L2911">
        <v>283.94260000000003</v>
      </c>
      <c r="M2911">
        <v>-0.9998013</v>
      </c>
      <c r="N2911">
        <v>-1.444982E-2</v>
      </c>
      <c r="O2911">
        <v>1.373387E-2</v>
      </c>
      <c r="P2911">
        <v>-0.9968745</v>
      </c>
      <c r="Q2911">
        <v>-7.8201510000000002E-2</v>
      </c>
      <c r="R2911">
        <v>-1.122166E-2</v>
      </c>
      <c r="S2911">
        <v>-3.005188</v>
      </c>
      <c r="T2911">
        <v>-7.2107080000000004E-2</v>
      </c>
      <c r="U2911">
        <v>0.12780759999999999</v>
      </c>
      <c r="V2911">
        <v>-2.4924999999999999E-2</v>
      </c>
      <c r="W2911">
        <v>-6.3787750000000004E-2</v>
      </c>
      <c r="X2911">
        <v>0.99765219999999999</v>
      </c>
      <c r="Y2911">
        <v>2.875107E-2</v>
      </c>
      <c r="Z2911">
        <v>4.2167570000000001E-4</v>
      </c>
      <c r="AA2911">
        <v>0.99958650000000004</v>
      </c>
      <c r="AB2911">
        <v>33</v>
      </c>
      <c r="AC2911">
        <v>-46.3827</v>
      </c>
      <c r="AD2911">
        <v>-1.1209104251919999</v>
      </c>
      <c r="AE2911">
        <v>1.98219999999997</v>
      </c>
      <c r="AF2911">
        <v>1.3441489611625099</v>
      </c>
      <c r="AG2911">
        <v>-1.1209104251919999</v>
      </c>
      <c r="AH2911">
        <v>46.378513936808098</v>
      </c>
      <c r="AI2911">
        <v>91.383916615592199</v>
      </c>
      <c r="AJ2911">
        <v>88.339909932420298</v>
      </c>
      <c r="AK2911">
        <v>46.411525848627299</v>
      </c>
      <c r="AL2911">
        <v>93.6572517941337</v>
      </c>
      <c r="AM2911">
        <v>91.431160362491497</v>
      </c>
      <c r="AN2911">
        <v>1.0000000224199499</v>
      </c>
    </row>
    <row r="2912" spans="1:40" x14ac:dyDescent="0.25">
      <c r="A2912" t="str">
        <f>"20190303154154691"</f>
        <v>20190303154154691</v>
      </c>
      <c r="B2912" t="str">
        <f>"1551598914682338"</f>
        <v>1551598914682338</v>
      </c>
      <c r="C2912" t="s">
        <v>40</v>
      </c>
      <c r="D2912">
        <v>5.2538119999999999</v>
      </c>
      <c r="E2912">
        <v>0.51956080000000004</v>
      </c>
      <c r="F2912" t="s">
        <v>50</v>
      </c>
      <c r="G2912">
        <v>-456.37349999999998</v>
      </c>
      <c r="H2912" s="1">
        <v>1.8311890000000001E-6</v>
      </c>
      <c r="I2912">
        <v>285.15769999999998</v>
      </c>
      <c r="J2912">
        <v>-423.65620000000001</v>
      </c>
      <c r="K2912">
        <v>1.1209129999999901</v>
      </c>
      <c r="L2912">
        <v>283.94709999999998</v>
      </c>
      <c r="M2912">
        <v>-0.99980040000000003</v>
      </c>
      <c r="N2912">
        <v>-1.445428E-2</v>
      </c>
      <c r="O2912">
        <v>1.379677E-2</v>
      </c>
      <c r="P2912">
        <v>-0.99690299999999998</v>
      </c>
      <c r="Q2912">
        <v>-7.782356E-2</v>
      </c>
      <c r="R2912">
        <v>-1.131739E-2</v>
      </c>
      <c r="S2912">
        <v>-3.0026250000000001</v>
      </c>
      <c r="T2912">
        <v>-0.1018569</v>
      </c>
      <c r="U2912">
        <v>0.1104126</v>
      </c>
      <c r="V2912">
        <v>-2.508355E-2</v>
      </c>
      <c r="W2912">
        <v>-6.3405009999999998E-2</v>
      </c>
      <c r="X2912">
        <v>0.99767260000000002</v>
      </c>
      <c r="Y2912">
        <v>2.2938610000000002E-2</v>
      </c>
      <c r="Z2912">
        <v>2.8639959999999999E-4</v>
      </c>
      <c r="AA2912">
        <v>0.99973679999999998</v>
      </c>
      <c r="AB2912">
        <v>33</v>
      </c>
      <c r="AC2912">
        <v>-32.717299999999902</v>
      </c>
      <c r="AD2912">
        <v>-1.1209111688109901</v>
      </c>
      <c r="AE2912">
        <v>1.2105999999999899</v>
      </c>
      <c r="AF2912">
        <v>0.75815586000361901</v>
      </c>
      <c r="AG2912">
        <v>-1.1209111688109901</v>
      </c>
      <c r="AH2912">
        <v>32.692567948502699</v>
      </c>
      <c r="AI2912">
        <v>91.963170604082705</v>
      </c>
      <c r="AJ2912">
        <v>88.671522334466502</v>
      </c>
      <c r="AK2912">
        <v>32.720562972294502</v>
      </c>
      <c r="AL2912">
        <v>93.6352780140341</v>
      </c>
      <c r="AM2912">
        <v>91.440230832853999</v>
      </c>
      <c r="AN2912">
        <v>0.99999999828223096</v>
      </c>
    </row>
    <row r="2913" spans="1:40" x14ac:dyDescent="0.25">
      <c r="A2913" t="str">
        <f>"20190303154154715"</f>
        <v>20190303154154715</v>
      </c>
      <c r="B2913" t="str">
        <f>"1551598914712578"</f>
        <v>1551598914712578</v>
      </c>
      <c r="C2913" t="s">
        <v>40</v>
      </c>
      <c r="D2913">
        <v>5.280608</v>
      </c>
      <c r="E2913">
        <v>0.51956740000000001</v>
      </c>
      <c r="F2913" t="s">
        <v>50</v>
      </c>
      <c r="G2913">
        <v>-459.93020000000001</v>
      </c>
      <c r="H2913" s="1">
        <v>3.7135269999999998E-6</v>
      </c>
      <c r="I2913">
        <v>285.39490000000001</v>
      </c>
      <c r="J2913">
        <v>-424.00189999999998</v>
      </c>
      <c r="K2913">
        <v>1.120916</v>
      </c>
      <c r="L2913">
        <v>283.952</v>
      </c>
      <c r="M2913">
        <v>-0.99979929999999995</v>
      </c>
      <c r="N2913">
        <v>-1.445782E-2</v>
      </c>
      <c r="O2913">
        <v>1.386338E-2</v>
      </c>
      <c r="P2913">
        <v>-0.99687870000000001</v>
      </c>
      <c r="Q2913">
        <v>-7.8101649999999995E-2</v>
      </c>
      <c r="R2913">
        <v>-1.153087E-2</v>
      </c>
      <c r="S2913">
        <v>-3.003387</v>
      </c>
      <c r="T2913">
        <v>-9.2808249999999995E-2</v>
      </c>
      <c r="U2913">
        <v>0.11987299999999999</v>
      </c>
      <c r="V2913">
        <v>-2.5362840000000001E-2</v>
      </c>
      <c r="W2913">
        <v>-6.3679899999999998E-2</v>
      </c>
      <c r="X2913">
        <v>0.99764810000000004</v>
      </c>
      <c r="Y2913">
        <v>2.6006899999999999E-2</v>
      </c>
      <c r="Z2913">
        <v>3.6199419999999999E-4</v>
      </c>
      <c r="AA2913">
        <v>0.99966169999999999</v>
      </c>
      <c r="AB2913">
        <v>33</v>
      </c>
      <c r="AC2913">
        <v>-35.9283</v>
      </c>
      <c r="AD2913">
        <v>-1.1209122864729999</v>
      </c>
      <c r="AE2913">
        <v>1.4429000000000001</v>
      </c>
      <c r="AF2913">
        <v>0.94370445354755095</v>
      </c>
      <c r="AG2913">
        <v>-1.1209122864729999</v>
      </c>
      <c r="AH2913">
        <v>35.909955342995701</v>
      </c>
      <c r="AI2913">
        <v>91.787263503484596</v>
      </c>
      <c r="AJ2913">
        <v>88.494628035432001</v>
      </c>
      <c r="AK2913">
        <v>35.939837439609597</v>
      </c>
      <c r="AL2913">
        <v>93.651059691467395</v>
      </c>
      <c r="AM2913">
        <v>91.456295802769205</v>
      </c>
      <c r="AN2913">
        <v>1.0000000673752401</v>
      </c>
    </row>
    <row r="2914" spans="1:40" x14ac:dyDescent="0.25">
      <c r="A2914" t="str">
        <f>"20190303154154736"</f>
        <v>20190303154154736</v>
      </c>
      <c r="B2914" t="str">
        <f>"1551598914732098"</f>
        <v>1551598914732098</v>
      </c>
      <c r="C2914" t="s">
        <v>40</v>
      </c>
      <c r="D2914">
        <v>5.4113089999999904</v>
      </c>
      <c r="E2914">
        <v>0.51947379999999999</v>
      </c>
      <c r="F2914" t="s">
        <v>50</v>
      </c>
      <c r="G2914">
        <v>-458.71440000000001</v>
      </c>
      <c r="H2914" s="1">
        <v>3.0693469999999998E-6</v>
      </c>
      <c r="I2914">
        <v>285.33089999999999</v>
      </c>
      <c r="J2914">
        <v>-424.31869999999998</v>
      </c>
      <c r="K2914">
        <v>1.120922</v>
      </c>
      <c r="L2914">
        <v>283.95650000000001</v>
      </c>
      <c r="M2914">
        <v>-0.99979850000000003</v>
      </c>
      <c r="N2914">
        <v>-1.44601E-2</v>
      </c>
      <c r="O2914">
        <v>1.3924270000000001E-2</v>
      </c>
      <c r="P2914">
        <v>-0.99687599999999998</v>
      </c>
      <c r="Q2914">
        <v>-7.8104439999999997E-2</v>
      </c>
      <c r="R2914">
        <v>-1.175033E-2</v>
      </c>
      <c r="S2914">
        <v>-3.0031430000000001</v>
      </c>
      <c r="T2914">
        <v>-9.6975450000000005E-2</v>
      </c>
      <c r="U2914">
        <v>0.1192932</v>
      </c>
      <c r="V2914">
        <v>-2.5643030000000001E-2</v>
      </c>
      <c r="W2914">
        <v>-6.3680479999999998E-2</v>
      </c>
      <c r="X2914">
        <v>0.99764079999999999</v>
      </c>
      <c r="Y2914">
        <v>2.5755670000000001E-2</v>
      </c>
      <c r="Z2914">
        <v>3.5390870000000002E-4</v>
      </c>
      <c r="AA2914">
        <v>0.99966820000000001</v>
      </c>
      <c r="AB2914">
        <v>33</v>
      </c>
      <c r="AC2914">
        <v>-34.395699999999998</v>
      </c>
      <c r="AD2914">
        <v>-1.1209189306530001</v>
      </c>
      <c r="AE2914">
        <v>1.3743999999999801</v>
      </c>
      <c r="AF2914">
        <v>0.89433333779964996</v>
      </c>
      <c r="AG2914">
        <v>-1.1209189306530001</v>
      </c>
      <c r="AH2914">
        <v>34.375054828038202</v>
      </c>
      <c r="AI2914">
        <v>91.867036240843603</v>
      </c>
      <c r="AJ2914">
        <v>88.509676007238099</v>
      </c>
      <c r="AK2914">
        <v>34.404951472118498</v>
      </c>
      <c r="AL2914">
        <v>93.651093356947698</v>
      </c>
      <c r="AM2914">
        <v>91.472387613392002</v>
      </c>
      <c r="AN2914">
        <v>0.99999996717262496</v>
      </c>
    </row>
    <row r="2915" spans="1:40" x14ac:dyDescent="0.25">
      <c r="A2915" t="str">
        <f>"20190303154154758"</f>
        <v>20190303154154758</v>
      </c>
      <c r="B2915" t="str">
        <f>"1551598914752595"</f>
        <v>1551598914752595</v>
      </c>
      <c r="C2915" t="s">
        <v>40</v>
      </c>
      <c r="D2915">
        <v>5.4350199999999997</v>
      </c>
      <c r="E2915">
        <v>0.51872379999999996</v>
      </c>
      <c r="F2915" t="s">
        <v>50</v>
      </c>
      <c r="G2915">
        <v>-457.23129999999998</v>
      </c>
      <c r="H2915" s="1">
        <v>2.2836879999999999E-6</v>
      </c>
      <c r="I2915">
        <v>285.24930000000001</v>
      </c>
      <c r="J2915">
        <v>-424.64699999999999</v>
      </c>
      <c r="K2915">
        <v>1.1209260000000001</v>
      </c>
      <c r="L2915">
        <v>283.96109999999999</v>
      </c>
      <c r="M2915">
        <v>-0.99979770000000001</v>
      </c>
      <c r="N2915">
        <v>-1.4461679999999999E-2</v>
      </c>
      <c r="O2915">
        <v>1.3987019999999999E-2</v>
      </c>
      <c r="P2915">
        <v>-0.99687840000000005</v>
      </c>
      <c r="Q2915">
        <v>-7.8101050000000005E-2</v>
      </c>
      <c r="R2915">
        <v>-1.15821E-2</v>
      </c>
      <c r="S2915">
        <v>-3.002777</v>
      </c>
      <c r="T2915">
        <v>-0.102267</v>
      </c>
      <c r="U2915">
        <v>0.1179504</v>
      </c>
      <c r="V2915">
        <v>-2.553743E-2</v>
      </c>
      <c r="W2915">
        <v>-6.3675480000000007E-2</v>
      </c>
      <c r="X2915">
        <v>0.99764390000000003</v>
      </c>
      <c r="Y2915">
        <v>2.525049E-2</v>
      </c>
      <c r="Z2915">
        <v>3.38628E-4</v>
      </c>
      <c r="AA2915">
        <v>0.99968109999999999</v>
      </c>
      <c r="AB2915">
        <v>33</v>
      </c>
      <c r="AC2915">
        <v>-32.584299999999899</v>
      </c>
      <c r="AD2915">
        <v>-1.1209237163120001</v>
      </c>
      <c r="AE2915">
        <v>1.28820000000001</v>
      </c>
      <c r="AF2915">
        <v>0.83128686747943004</v>
      </c>
      <c r="AG2915">
        <v>-1.1209237163120001</v>
      </c>
      <c r="AH2915">
        <v>32.560659310114197</v>
      </c>
      <c r="AI2915">
        <v>91.971027320183396</v>
      </c>
      <c r="AJ2915">
        <v>88.537533150274797</v>
      </c>
      <c r="AK2915">
        <v>32.590551430486101</v>
      </c>
      <c r="AL2915">
        <v>93.650806032332795</v>
      </c>
      <c r="AM2915">
        <v>91.466322304520403</v>
      </c>
      <c r="AN2915">
        <v>1.00000003914572</v>
      </c>
    </row>
    <row r="2916" spans="1:40" x14ac:dyDescent="0.25">
      <c r="A2916" t="str">
        <f>"20190303154154780"</f>
        <v>20190303154154780</v>
      </c>
      <c r="B2916" t="str">
        <f>"1551598914772114"</f>
        <v>1551598914772114</v>
      </c>
      <c r="C2916" t="s">
        <v>40</v>
      </c>
      <c r="D2916">
        <v>5.4273600000000002</v>
      </c>
      <c r="E2916">
        <v>0.51864330000000003</v>
      </c>
      <c r="F2916" t="s">
        <v>50</v>
      </c>
      <c r="G2916">
        <v>-454.68200000000002</v>
      </c>
      <c r="H2916" s="1">
        <v>9.3405030000000001E-7</v>
      </c>
      <c r="I2916">
        <v>285.09019999999998</v>
      </c>
      <c r="J2916">
        <v>-424.96910000000003</v>
      </c>
      <c r="K2916">
        <v>1.1209290000000001</v>
      </c>
      <c r="L2916">
        <v>283.96570000000003</v>
      </c>
      <c r="M2916">
        <v>-0.99979669999999998</v>
      </c>
      <c r="N2916">
        <v>-1.4462539999999999E-2</v>
      </c>
      <c r="O2916">
        <v>1.4048939999999999E-2</v>
      </c>
      <c r="P2916">
        <v>-0.99684600000000001</v>
      </c>
      <c r="Q2916">
        <v>-7.8533749999999999E-2</v>
      </c>
      <c r="R2916">
        <v>-1.142467E-2</v>
      </c>
      <c r="S2916">
        <v>-3.0019230000000001</v>
      </c>
      <c r="T2916">
        <v>-0.11203349999999999</v>
      </c>
      <c r="U2916">
        <v>0.112854</v>
      </c>
      <c r="V2916">
        <v>-2.5441579999999998E-2</v>
      </c>
      <c r="W2916">
        <v>-6.4107780000000003E-2</v>
      </c>
      <c r="X2916">
        <v>0.99761860000000002</v>
      </c>
      <c r="Y2916">
        <v>2.350416E-2</v>
      </c>
      <c r="Z2916">
        <v>2.8760070000000002E-4</v>
      </c>
      <c r="AA2916">
        <v>0.99972369999999999</v>
      </c>
      <c r="AB2916">
        <v>33</v>
      </c>
      <c r="AC2916">
        <v>-29.712899999999902</v>
      </c>
      <c r="AD2916">
        <v>-1.1209280659496901</v>
      </c>
      <c r="AE2916">
        <v>1.1244999999999501</v>
      </c>
      <c r="AF2916">
        <v>0.70590737230951695</v>
      </c>
      <c r="AG2916">
        <v>-1.1209280659496901</v>
      </c>
      <c r="AH2916">
        <v>29.6835814691783</v>
      </c>
      <c r="AI2916">
        <v>92.161997130809198</v>
      </c>
      <c r="AJ2916">
        <v>88.637701745028707</v>
      </c>
      <c r="AK2916">
        <v>29.7131249414238</v>
      </c>
      <c r="AL2916">
        <v>93.675625939013301</v>
      </c>
      <c r="AM2916">
        <v>91.460858156313606</v>
      </c>
      <c r="AN2916">
        <v>0.99999997625769199</v>
      </c>
    </row>
    <row r="2917" spans="1:40" x14ac:dyDescent="0.25">
      <c r="A2917" t="str">
        <f>"20190303154154802"</f>
        <v>20190303154154802</v>
      </c>
      <c r="B2917" t="str">
        <f>"1551598914792142"</f>
        <v>1551598914792142</v>
      </c>
      <c r="C2917" t="s">
        <v>40</v>
      </c>
      <c r="D2917">
        <v>5.2692009999999998</v>
      </c>
      <c r="E2917">
        <v>0.51912190000000002</v>
      </c>
      <c r="F2917" t="s">
        <v>50</v>
      </c>
      <c r="G2917">
        <v>-454.00749999999999</v>
      </c>
      <c r="H2917" s="1">
        <v>5.7662890000000003E-7</v>
      </c>
      <c r="I2917">
        <v>285.05509999999998</v>
      </c>
      <c r="J2917">
        <v>-425.29669999999999</v>
      </c>
      <c r="K2917">
        <v>1.12093</v>
      </c>
      <c r="L2917">
        <v>283.97030000000001</v>
      </c>
      <c r="M2917">
        <v>-0.99979589999999996</v>
      </c>
      <c r="N2917">
        <v>-1.4462819999999999E-2</v>
      </c>
      <c r="O2917">
        <v>1.4112049999999999E-2</v>
      </c>
      <c r="P2917">
        <v>-0.99680440000000003</v>
      </c>
      <c r="Q2917">
        <v>-7.9092670000000004E-2</v>
      </c>
      <c r="R2917">
        <v>-1.1216469999999999E-2</v>
      </c>
      <c r="S2917">
        <v>-3.0016479999999999</v>
      </c>
      <c r="T2917">
        <v>-0.1158686</v>
      </c>
      <c r="U2917">
        <v>0.1126099</v>
      </c>
      <c r="V2917">
        <v>-2.5295580000000002E-2</v>
      </c>
      <c r="W2917">
        <v>-6.4666979999999999E-2</v>
      </c>
      <c r="X2917">
        <v>0.99758630000000004</v>
      </c>
      <c r="Y2917">
        <v>2.3362500000000001E-2</v>
      </c>
      <c r="Z2917">
        <v>2.7939330000000001E-4</v>
      </c>
      <c r="AA2917">
        <v>0.99972700000000003</v>
      </c>
      <c r="AB2917">
        <v>33</v>
      </c>
      <c r="AC2917">
        <v>-28.710799999999999</v>
      </c>
      <c r="AD2917">
        <v>-1.1209294233711</v>
      </c>
      <c r="AE2917">
        <v>1.08479999999997</v>
      </c>
      <c r="AF2917">
        <v>0.67844868517856105</v>
      </c>
      <c r="AG2917">
        <v>-1.1209294233711</v>
      </c>
      <c r="AH2917">
        <v>28.679597197568199</v>
      </c>
      <c r="AI2917">
        <v>92.237615678070696</v>
      </c>
      <c r="AJ2917">
        <v>88.644855529078995</v>
      </c>
      <c r="AK2917">
        <v>28.709511852439501</v>
      </c>
      <c r="AL2917">
        <v>93.707732068070797</v>
      </c>
      <c r="AM2917">
        <v>91.452525431216401</v>
      </c>
      <c r="AN2917">
        <v>1.00000005530877</v>
      </c>
    </row>
    <row r="2918" spans="1:40" x14ac:dyDescent="0.25">
      <c r="A2918" t="str">
        <f>"20190303154154820"</f>
        <v>20190303154154820</v>
      </c>
      <c r="B2918" t="str">
        <f>"1551598914812638"</f>
        <v>1551598914812638</v>
      </c>
      <c r="C2918" t="s">
        <v>40</v>
      </c>
      <c r="D2918">
        <v>5.2819779999999996</v>
      </c>
      <c r="E2918">
        <v>0.52014320000000003</v>
      </c>
      <c r="F2918" t="s">
        <v>50</v>
      </c>
      <c r="G2918">
        <v>-455.03129999999999</v>
      </c>
      <c r="H2918" s="1">
        <v>1.118219E-6</v>
      </c>
      <c r="I2918">
        <v>285.1293</v>
      </c>
      <c r="J2918">
        <v>-425.53829999999999</v>
      </c>
      <c r="K2918">
        <v>1.1209249999999999</v>
      </c>
      <c r="L2918">
        <v>283.97379999999998</v>
      </c>
      <c r="M2918">
        <v>-0.99979530000000005</v>
      </c>
      <c r="N2918">
        <v>-1.44627E-2</v>
      </c>
      <c r="O2918">
        <v>1.415842E-2</v>
      </c>
      <c r="P2918">
        <v>-0.99681070000000005</v>
      </c>
      <c r="Q2918">
        <v>-7.8981510000000005E-2</v>
      </c>
      <c r="R2918">
        <v>-1.1429760000000001E-2</v>
      </c>
      <c r="S2918">
        <v>-3.0019529999999999</v>
      </c>
      <c r="T2918">
        <v>-0.1131667</v>
      </c>
      <c r="U2918">
        <v>0.117004399999999</v>
      </c>
      <c r="V2918">
        <v>-2.555501E-2</v>
      </c>
      <c r="W2918">
        <v>-6.4555860000000007E-2</v>
      </c>
      <c r="X2918">
        <v>0.9975868</v>
      </c>
      <c r="Y2918">
        <v>2.4772949999999998E-2</v>
      </c>
      <c r="Z2918">
        <v>3.1728449999999999E-4</v>
      </c>
      <c r="AA2918">
        <v>0.99969300000000005</v>
      </c>
      <c r="AB2918">
        <v>33</v>
      </c>
      <c r="AC2918">
        <v>-29.492999999999899</v>
      </c>
      <c r="AD2918">
        <v>-1.1209238817810001</v>
      </c>
      <c r="AE2918">
        <v>1.15550000000001</v>
      </c>
      <c r="AF2918">
        <v>0.73670372106592596</v>
      </c>
      <c r="AG2918">
        <v>-1.1209238817810001</v>
      </c>
      <c r="AH2918">
        <v>29.463909826654</v>
      </c>
      <c r="AI2918">
        <v>92.178027715186104</v>
      </c>
      <c r="AJ2918">
        <v>88.567697863874997</v>
      </c>
      <c r="AK2918">
        <v>29.494426337777401</v>
      </c>
      <c r="AL2918">
        <v>93.701352344409898</v>
      </c>
      <c r="AM2918">
        <v>91.467415232125404</v>
      </c>
      <c r="AN2918">
        <v>0.99999997056533896</v>
      </c>
    </row>
    <row r="2919" spans="1:40" x14ac:dyDescent="0.25">
      <c r="A2919" t="str">
        <f>"20190303154154837"</f>
        <v>20190303154154837</v>
      </c>
      <c r="B2919" t="str">
        <f>"1551598914832158"</f>
        <v>1551598914832158</v>
      </c>
      <c r="C2919" t="s">
        <v>40</v>
      </c>
      <c r="D2919">
        <v>5.2805949999999999</v>
      </c>
      <c r="E2919">
        <v>0.52009729999999998</v>
      </c>
      <c r="F2919" t="s">
        <v>50</v>
      </c>
      <c r="G2919">
        <v>-457.8492</v>
      </c>
      <c r="H2919" s="1">
        <v>2.6097749999999999E-6</v>
      </c>
      <c r="I2919">
        <v>285.31119999999999</v>
      </c>
      <c r="J2919">
        <v>-425.79090000000002</v>
      </c>
      <c r="K2919">
        <v>1.120927</v>
      </c>
      <c r="L2919">
        <v>283.97739999999999</v>
      </c>
      <c r="M2919">
        <v>-0.99979470000000004</v>
      </c>
      <c r="N2919">
        <v>-1.4462300000000001E-2</v>
      </c>
      <c r="O2919">
        <v>1.420664E-2</v>
      </c>
      <c r="P2919">
        <v>-0.99680789999999997</v>
      </c>
      <c r="Q2919">
        <v>-7.9048259999999995E-2</v>
      </c>
      <c r="R2919">
        <v>-1.120816E-2</v>
      </c>
      <c r="S2919">
        <v>-3.0028079999999999</v>
      </c>
      <c r="T2919">
        <v>-0.1041729</v>
      </c>
      <c r="U2919">
        <v>0.12429809999999999</v>
      </c>
      <c r="V2919">
        <v>-2.5381750000000002E-2</v>
      </c>
      <c r="W2919">
        <v>-6.4623040000000007E-2</v>
      </c>
      <c r="X2919">
        <v>0.99758690000000005</v>
      </c>
      <c r="Y2919">
        <v>2.713819E-2</v>
      </c>
      <c r="Z2919">
        <v>3.7973290000000001E-4</v>
      </c>
      <c r="AA2919">
        <v>0.99963159999999895</v>
      </c>
      <c r="AB2919">
        <v>33</v>
      </c>
      <c r="AC2919">
        <v>-32.058299999999903</v>
      </c>
      <c r="AD2919">
        <v>-1.1209243902249999</v>
      </c>
      <c r="AE2919">
        <v>1.3337999999999901</v>
      </c>
      <c r="AF2919">
        <v>0.87710663300229097</v>
      </c>
      <c r="AG2919">
        <v>-1.1209243902249999</v>
      </c>
      <c r="AH2919">
        <v>32.034917749545997</v>
      </c>
      <c r="AI2919">
        <v>92.003252064604197</v>
      </c>
      <c r="AJ2919">
        <v>88.431650221286503</v>
      </c>
      <c r="AK2919">
        <v>32.066520590086398</v>
      </c>
      <c r="AL2919">
        <v>93.705209431786699</v>
      </c>
      <c r="AM2919">
        <v>91.457470487101403</v>
      </c>
      <c r="AN2919">
        <v>0.999999996791757</v>
      </c>
    </row>
    <row r="2920" spans="1:40" x14ac:dyDescent="0.25">
      <c r="A2920" t="str">
        <f>"20190303154154859"</f>
        <v>20190303154154859</v>
      </c>
      <c r="B2920" t="str">
        <f>"1551598914852657"</f>
        <v>1551598914852657</v>
      </c>
      <c r="C2920" t="s">
        <v>40</v>
      </c>
      <c r="D2920">
        <v>5.3023809999999996</v>
      </c>
      <c r="E2920">
        <v>0.5203451</v>
      </c>
      <c r="F2920" t="s">
        <v>50</v>
      </c>
      <c r="G2920">
        <v>-457.51569999999998</v>
      </c>
      <c r="H2920" s="1">
        <v>2.4329710000000001E-6</v>
      </c>
      <c r="I2920">
        <v>285.29559999999998</v>
      </c>
      <c r="J2920">
        <v>-426.11829999999998</v>
      </c>
      <c r="K2920">
        <v>1.120932</v>
      </c>
      <c r="L2920">
        <v>283.9821</v>
      </c>
      <c r="M2920">
        <v>-0.99979359999999995</v>
      </c>
      <c r="N2920">
        <v>-1.4461369999999999E-2</v>
      </c>
      <c r="O2920">
        <v>1.426959E-2</v>
      </c>
      <c r="P2920">
        <v>-0.99680530000000001</v>
      </c>
      <c r="Q2920">
        <v>-7.9048590000000002E-2</v>
      </c>
      <c r="R2920">
        <v>-1.142118E-2</v>
      </c>
      <c r="S2920">
        <v>-3.0025330000000001</v>
      </c>
      <c r="T2920">
        <v>-0.1060878</v>
      </c>
      <c r="U2920">
        <v>0.1247559</v>
      </c>
      <c r="V2920">
        <v>-2.565717E-2</v>
      </c>
      <c r="W2920">
        <v>-6.4624390000000004E-2</v>
      </c>
      <c r="X2920">
        <v>0.99757980000000002</v>
      </c>
      <c r="Y2920">
        <v>2.7230560000000001E-2</v>
      </c>
      <c r="Z2920">
        <v>3.802883E-4</v>
      </c>
      <c r="AA2920">
        <v>0.99962910000000005</v>
      </c>
      <c r="AB2920">
        <v>33</v>
      </c>
      <c r="AC2920">
        <v>-31.397400000000001</v>
      </c>
      <c r="AD2920">
        <v>-1.120929567029</v>
      </c>
      <c r="AE2920">
        <v>1.3134999999999699</v>
      </c>
      <c r="AF2920">
        <v>0.86419179242733402</v>
      </c>
      <c r="AG2920">
        <v>-1.120929567029</v>
      </c>
      <c r="AH2920">
        <v>31.373029871830798</v>
      </c>
      <c r="AI2920">
        <v>92.045479978904496</v>
      </c>
      <c r="AJ2920">
        <v>88.422147143768498</v>
      </c>
      <c r="AK2920">
        <v>31.4049409151988</v>
      </c>
      <c r="AL2920">
        <v>93.705286820777502</v>
      </c>
      <c r="AM2920">
        <v>91.473289198570896</v>
      </c>
      <c r="AN2920">
        <v>1.00000002976166</v>
      </c>
    </row>
    <row r="2921" spans="1:40" x14ac:dyDescent="0.25">
      <c r="A2921" t="str">
        <f>"20190303154154880"</f>
        <v>20190303154154880</v>
      </c>
      <c r="B2921" t="str">
        <f>"1551598914872174"</f>
        <v>1551598914872174</v>
      </c>
      <c r="C2921" t="s">
        <v>40</v>
      </c>
      <c r="D2921">
        <v>5.3279860000000001</v>
      </c>
      <c r="E2921">
        <v>0.52060899999999999</v>
      </c>
      <c r="F2921" t="s">
        <v>50</v>
      </c>
      <c r="G2921">
        <v>-458.51350000000002</v>
      </c>
      <c r="H2921" s="1">
        <v>2.9619529999999999E-6</v>
      </c>
      <c r="I2921">
        <v>285.34219999999999</v>
      </c>
      <c r="J2921">
        <v>-426.43950000000001</v>
      </c>
      <c r="K2921">
        <v>1.1209359999999999</v>
      </c>
      <c r="L2921">
        <v>283.98680000000002</v>
      </c>
      <c r="M2921">
        <v>-0.99979280000000004</v>
      </c>
      <c r="N2921">
        <v>-1.446009E-2</v>
      </c>
      <c r="O2921">
        <v>1.4331160000000001E-2</v>
      </c>
      <c r="P2921">
        <v>-0.99678480000000003</v>
      </c>
      <c r="Q2921">
        <v>-7.9246549999999999E-2</v>
      </c>
      <c r="R2921">
        <v>-1.185372E-2</v>
      </c>
      <c r="S2921">
        <v>-3.0028079999999999</v>
      </c>
      <c r="T2921">
        <v>-0.1039023</v>
      </c>
      <c r="U2921">
        <v>0.12606809999999999</v>
      </c>
      <c r="V2921">
        <v>-2.6150590000000001E-2</v>
      </c>
      <c r="W2921">
        <v>-6.4823900000000004E-2</v>
      </c>
      <c r="X2921">
        <v>0.99755400000000005</v>
      </c>
      <c r="Y2921">
        <v>2.760162E-2</v>
      </c>
      <c r="Z2921">
        <v>3.8859039999999999E-4</v>
      </c>
      <c r="AA2921">
        <v>0.99961889999999998</v>
      </c>
      <c r="AB2921">
        <v>33</v>
      </c>
      <c r="AC2921">
        <v>-32.073999999999998</v>
      </c>
      <c r="AD2921">
        <v>-1.120933038047</v>
      </c>
      <c r="AE2921">
        <v>1.35539999999997</v>
      </c>
      <c r="AF2921">
        <v>0.89446457502432997</v>
      </c>
      <c r="AG2921">
        <v>-1.120933038047</v>
      </c>
      <c r="AH2921">
        <v>32.051054972473501</v>
      </c>
      <c r="AI2921">
        <v>92.002230546571894</v>
      </c>
      <c r="AJ2921">
        <v>88.401433381898798</v>
      </c>
      <c r="AK2921">
        <v>32.083121459737697</v>
      </c>
      <c r="AL2921">
        <v>93.716742079172903</v>
      </c>
      <c r="AM2921">
        <v>91.501648391847496</v>
      </c>
      <c r="AN2921">
        <v>0.999999987142279</v>
      </c>
    </row>
    <row r="2922" spans="1:40" x14ac:dyDescent="0.25">
      <c r="A2922" t="str">
        <f>"20190303154154898"</f>
        <v>20190303154154898</v>
      </c>
      <c r="B2922" t="str">
        <f>"1551598914892201"</f>
        <v>1551598914892201</v>
      </c>
      <c r="C2922" t="s">
        <v>40</v>
      </c>
      <c r="D2922">
        <v>5.359191</v>
      </c>
      <c r="E2922">
        <v>0.52079640000000005</v>
      </c>
      <c r="F2922" t="s">
        <v>50</v>
      </c>
      <c r="G2922">
        <v>-459.4837</v>
      </c>
      <c r="H2922" s="1">
        <v>3.4764709999999999E-6</v>
      </c>
      <c r="I2922">
        <v>285.38299999999998</v>
      </c>
      <c r="J2922">
        <v>-426.6687</v>
      </c>
      <c r="K2922">
        <v>1.1209359999999999</v>
      </c>
      <c r="L2922">
        <v>283.99009999999998</v>
      </c>
      <c r="M2922">
        <v>-0.99979220000000002</v>
      </c>
      <c r="N2922">
        <v>-1.445899E-2</v>
      </c>
      <c r="O2922">
        <v>1.4375509999999999E-2</v>
      </c>
      <c r="P2922">
        <v>-0.99675990000000003</v>
      </c>
      <c r="Q2922">
        <v>-7.9594999999999999E-2</v>
      </c>
      <c r="R2922">
        <v>-1.160651E-2</v>
      </c>
      <c r="S2922">
        <v>-3.0031129999999999</v>
      </c>
      <c r="T2922">
        <v>-0.101872</v>
      </c>
      <c r="U2922">
        <v>0.12689210000000001</v>
      </c>
      <c r="V2922">
        <v>-2.5947830000000002E-2</v>
      </c>
      <c r="W2922">
        <v>-6.5173800000000004E-2</v>
      </c>
      <c r="X2922">
        <v>0.99753650000000005</v>
      </c>
      <c r="Y2922">
        <v>2.7827210000000002E-2</v>
      </c>
      <c r="Z2922">
        <v>3.9351179999999998E-4</v>
      </c>
      <c r="AA2922">
        <v>0.99961270000000002</v>
      </c>
      <c r="AB2922">
        <v>33</v>
      </c>
      <c r="AC2922">
        <v>-32.814999999999998</v>
      </c>
      <c r="AD2922">
        <v>-1.120932523529</v>
      </c>
      <c r="AE2922">
        <v>1.39289999999999</v>
      </c>
      <c r="AF2922">
        <v>0.91990294022985697</v>
      </c>
      <c r="AG2922">
        <v>-1.120932523529</v>
      </c>
      <c r="AH2922">
        <v>32.793438036027602</v>
      </c>
      <c r="AI2922">
        <v>91.956930617131206</v>
      </c>
      <c r="AJ2922">
        <v>88.393192629790903</v>
      </c>
      <c r="AK2922">
        <v>32.825482317317601</v>
      </c>
      <c r="AL2922">
        <v>93.736832340758895</v>
      </c>
      <c r="AM2922">
        <v>91.490036677620296</v>
      </c>
      <c r="AN2922">
        <v>0.99999999146019902</v>
      </c>
    </row>
    <row r="2923" spans="1:40" x14ac:dyDescent="0.25">
      <c r="A2923" t="str">
        <f>"20190303154154914"</f>
        <v>20190303154154914</v>
      </c>
      <c r="B2923" t="str">
        <f>"1551598914901961"</f>
        <v>1551598914901961</v>
      </c>
      <c r="C2923" t="s">
        <v>40</v>
      </c>
      <c r="D2923">
        <v>5.4823190000000004</v>
      </c>
      <c r="E2923">
        <v>0.52057249999999999</v>
      </c>
      <c r="F2923" t="s">
        <v>50</v>
      </c>
      <c r="G2923">
        <v>-459.7149</v>
      </c>
      <c r="H2923" s="1">
        <v>3.5983170000000002E-6</v>
      </c>
      <c r="I2923">
        <v>285.40960000000001</v>
      </c>
      <c r="J2923">
        <v>-426.92840000000001</v>
      </c>
      <c r="K2923">
        <v>1.1209370000000001</v>
      </c>
      <c r="L2923">
        <v>283.9939</v>
      </c>
      <c r="M2923">
        <v>-0.9997914</v>
      </c>
      <c r="N2923">
        <v>-1.4457579999999999E-2</v>
      </c>
      <c r="O2923">
        <v>1.442559E-2</v>
      </c>
      <c r="P2923">
        <v>-0.99672899999999998</v>
      </c>
      <c r="Q2923">
        <v>-7.9991090000000001E-2</v>
      </c>
      <c r="R2923">
        <v>-1.1531329999999999E-2</v>
      </c>
      <c r="S2923">
        <v>-3.0031129999999999</v>
      </c>
      <c r="T2923">
        <v>-0.1018661</v>
      </c>
      <c r="U2923">
        <v>0.1289978</v>
      </c>
      <c r="V2923">
        <v>-2.5921940000000001E-2</v>
      </c>
      <c r="W2923">
        <v>-6.5571699999999997E-2</v>
      </c>
      <c r="X2923">
        <v>0.99751109999999998</v>
      </c>
      <c r="Y2923">
        <v>2.8476250000000002E-2</v>
      </c>
      <c r="Z2923">
        <v>4.081965E-4</v>
      </c>
      <c r="AA2923">
        <v>0.99959439999999999</v>
      </c>
      <c r="AB2923">
        <v>33</v>
      </c>
      <c r="AC2923">
        <v>-32.786499999999897</v>
      </c>
      <c r="AD2923">
        <v>-1.1209334016829999</v>
      </c>
      <c r="AE2923">
        <v>1.41570000000001</v>
      </c>
      <c r="AF2923">
        <v>0.94144022491298895</v>
      </c>
      <c r="AG2923">
        <v>-1.1209334016829999</v>
      </c>
      <c r="AH2923">
        <v>32.7652847796207</v>
      </c>
      <c r="AI2923">
        <v>91.958574482098498</v>
      </c>
      <c r="AJ2923">
        <v>88.354181407679405</v>
      </c>
      <c r="AK2923">
        <v>32.797967743104699</v>
      </c>
      <c r="AL2923">
        <v>93.759679190911996</v>
      </c>
      <c r="AM2923">
        <v>91.488588517493497</v>
      </c>
      <c r="AN2923">
        <v>0.99999999471873102</v>
      </c>
    </row>
    <row r="2924" spans="1:40" x14ac:dyDescent="0.25">
      <c r="A2924" t="str">
        <f>"20190303154154938"</f>
        <v>20190303154154938</v>
      </c>
      <c r="B2924" t="str">
        <f>"1551598914932217"</f>
        <v>1551598914932217</v>
      </c>
      <c r="C2924" t="s">
        <v>40</v>
      </c>
      <c r="D2924">
        <v>5.3725370000000003</v>
      </c>
      <c r="E2924">
        <v>0.5205227</v>
      </c>
      <c r="F2924" t="s">
        <v>50</v>
      </c>
      <c r="G2924">
        <v>-458.69439999999997</v>
      </c>
      <c r="H2924" s="1">
        <v>3.058109E-6</v>
      </c>
      <c r="I2924">
        <v>285.34500000000003</v>
      </c>
      <c r="J2924">
        <v>-427.255</v>
      </c>
      <c r="K2924">
        <v>1.120938</v>
      </c>
      <c r="L2924">
        <v>283.99869999999999</v>
      </c>
      <c r="M2924">
        <v>-0.99979059999999997</v>
      </c>
      <c r="N2924">
        <v>-1.4455590000000001E-2</v>
      </c>
      <c r="O2924">
        <v>1.448848E-2</v>
      </c>
      <c r="P2924">
        <v>-0.99674490000000004</v>
      </c>
      <c r="Q2924">
        <v>-7.9784869999999994E-2</v>
      </c>
      <c r="R2924">
        <v>-1.1600640000000001E-2</v>
      </c>
      <c r="S2924">
        <v>-3.0028079999999999</v>
      </c>
      <c r="T2924">
        <v>-0.1059606</v>
      </c>
      <c r="U2924">
        <v>0.1277161</v>
      </c>
      <c r="V2924">
        <v>-2.6053570000000002E-2</v>
      </c>
      <c r="W2924">
        <v>-6.5367300000000003E-2</v>
      </c>
      <c r="X2924">
        <v>0.99752110000000005</v>
      </c>
      <c r="Y2924">
        <v>2.799105E-2</v>
      </c>
      <c r="Z2924">
        <v>3.9451420000000001E-4</v>
      </c>
      <c r="AA2924">
        <v>0.9996081</v>
      </c>
      <c r="AB2924">
        <v>33</v>
      </c>
      <c r="AC2924">
        <v>-31.4393999999999</v>
      </c>
      <c r="AD2924">
        <v>-1.120934941891</v>
      </c>
      <c r="AE2924">
        <v>1.34630000000004</v>
      </c>
      <c r="AF2924">
        <v>0.88947334338640605</v>
      </c>
      <c r="AG2924">
        <v>-1.120934941891</v>
      </c>
      <c r="AH2924">
        <v>31.415744744255701</v>
      </c>
      <c r="AI2924">
        <v>92.042667253206005</v>
      </c>
      <c r="AJ2924">
        <v>88.378219018116795</v>
      </c>
      <c r="AK2924">
        <v>31.448317535422699</v>
      </c>
      <c r="AL2924">
        <v>93.747942701393697</v>
      </c>
      <c r="AM2924">
        <v>91.496129058639994</v>
      </c>
      <c r="AN2924">
        <v>1.0000000086821199</v>
      </c>
    </row>
    <row r="2925" spans="1:40" x14ac:dyDescent="0.25">
      <c r="A2925" t="str">
        <f>"20190303154154960"</f>
        <v>20190303154154960</v>
      </c>
      <c r="B2925" t="str">
        <f>"1551598914952729"</f>
        <v>1551598914952729</v>
      </c>
      <c r="C2925" t="s">
        <v>40</v>
      </c>
      <c r="D2925">
        <v>5.5686070000000001</v>
      </c>
      <c r="E2925">
        <v>0.52045079999999999</v>
      </c>
      <c r="F2925" t="s">
        <v>50</v>
      </c>
      <c r="G2925">
        <v>-459.15249999999997</v>
      </c>
      <c r="H2925" s="1">
        <v>3.3017469999999999E-6</v>
      </c>
      <c r="I2925">
        <v>285.34750000000003</v>
      </c>
      <c r="J2925">
        <v>-427.5804</v>
      </c>
      <c r="K2925">
        <v>1.1209370000000001</v>
      </c>
      <c r="L2925">
        <v>284.00349999999997</v>
      </c>
      <c r="M2925">
        <v>-0.9997897</v>
      </c>
      <c r="N2925">
        <v>-1.445339E-2</v>
      </c>
      <c r="O2925">
        <v>1.45516E-2</v>
      </c>
      <c r="P2925">
        <v>-0.99679209999999996</v>
      </c>
      <c r="Q2925">
        <v>-7.9210100000000006E-2</v>
      </c>
      <c r="R2925">
        <v>-1.145734E-2</v>
      </c>
      <c r="S2925">
        <v>-3.0028079999999999</v>
      </c>
      <c r="T2925">
        <v>-0.1055242</v>
      </c>
      <c r="U2925">
        <v>0.1269836</v>
      </c>
      <c r="V2925">
        <v>-2.597416E-2</v>
      </c>
      <c r="W2925">
        <v>-6.4794149999999995E-2</v>
      </c>
      <c r="X2925">
        <v>0.99756060000000002</v>
      </c>
      <c r="Y2925">
        <v>2.7684960000000002E-2</v>
      </c>
      <c r="Z2925">
        <v>3.856299E-4</v>
      </c>
      <c r="AA2925">
        <v>0.99961659999999997</v>
      </c>
      <c r="AB2925">
        <v>32</v>
      </c>
      <c r="AC2925">
        <v>-31.572099999999899</v>
      </c>
      <c r="AD2925">
        <v>-1.1209336982529901</v>
      </c>
      <c r="AE2925">
        <v>1.34400000000005</v>
      </c>
      <c r="AF2925">
        <v>0.88327374565732197</v>
      </c>
      <c r="AG2925">
        <v>-1.1209336982529901</v>
      </c>
      <c r="AH2925">
        <v>31.548619814263699</v>
      </c>
      <c r="AI2925">
        <v>92.034087079386794</v>
      </c>
      <c r="AJ2925">
        <v>88.3962962120968</v>
      </c>
      <c r="AK2925">
        <v>31.580881511613899</v>
      </c>
      <c r="AL2925">
        <v>93.715033724282506</v>
      </c>
      <c r="AM2925">
        <v>91.491511959559901</v>
      </c>
      <c r="AN2925">
        <v>1.00000004476714</v>
      </c>
    </row>
    <row r="2926" spans="1:40" x14ac:dyDescent="0.25">
      <c r="A2926" t="str">
        <f>"20190303154154975"</f>
        <v>20190303154154975</v>
      </c>
      <c r="B2926" t="str">
        <f>"1551598914972233"</f>
        <v>1551598914972233</v>
      </c>
      <c r="C2926" t="s">
        <v>40</v>
      </c>
      <c r="D2926">
        <v>5.3872280000000003</v>
      </c>
      <c r="E2926">
        <v>0.52060819999999997</v>
      </c>
      <c r="F2926" t="s">
        <v>50</v>
      </c>
      <c r="G2926">
        <v>-459.53390000000002</v>
      </c>
      <c r="H2926" s="1">
        <v>3.5044350000000002E-6</v>
      </c>
      <c r="I2926">
        <v>285.3535</v>
      </c>
      <c r="J2926">
        <v>-427.80529999999999</v>
      </c>
      <c r="K2926">
        <v>1.120941</v>
      </c>
      <c r="L2926">
        <v>284.0068</v>
      </c>
      <c r="M2926">
        <v>-0.99978909999999999</v>
      </c>
      <c r="N2926">
        <v>-1.4451759999999999E-2</v>
      </c>
      <c r="O2926">
        <v>1.459512E-2</v>
      </c>
      <c r="P2926">
        <v>-0.99679989999999996</v>
      </c>
      <c r="Q2926">
        <v>-7.9086409999999996E-2</v>
      </c>
      <c r="R2926">
        <v>-1.1635100000000001E-2</v>
      </c>
      <c r="S2926">
        <v>-3.0027159999999999</v>
      </c>
      <c r="T2926">
        <v>-0.10533579999999999</v>
      </c>
      <c r="U2926">
        <v>0.12686159999999999</v>
      </c>
      <c r="V2926">
        <v>-2.619556E-2</v>
      </c>
      <c r="W2926">
        <v>-6.4671989999999999E-2</v>
      </c>
      <c r="X2926">
        <v>0.99756270000000002</v>
      </c>
      <c r="Y2926">
        <v>2.7602310000000001E-2</v>
      </c>
      <c r="Z2926">
        <v>3.8268409999999998E-4</v>
      </c>
      <c r="AA2926">
        <v>0.99961889999999998</v>
      </c>
      <c r="AB2926">
        <v>32</v>
      </c>
      <c r="AC2926">
        <v>-31.7286</v>
      </c>
      <c r="AD2926">
        <v>-1.120937495565</v>
      </c>
      <c r="AE2926">
        <v>1.34669999999999</v>
      </c>
      <c r="AF2926">
        <v>0.88232618325809198</v>
      </c>
      <c r="AG2926">
        <v>-1.120937495565</v>
      </c>
      <c r="AH2926">
        <v>31.705375667386601</v>
      </c>
      <c r="AI2926">
        <v>92.024054995925994</v>
      </c>
      <c r="AJ2926">
        <v>88.405932083313104</v>
      </c>
      <c r="AK2926">
        <v>31.737451797092</v>
      </c>
      <c r="AL2926">
        <v>93.708019901266894</v>
      </c>
      <c r="AM2926">
        <v>91.504216411268999</v>
      </c>
      <c r="AN2926">
        <v>1.0000000070427799</v>
      </c>
    </row>
    <row r="2927" spans="1:40" x14ac:dyDescent="0.25">
      <c r="A2927" t="str">
        <f>"20190303154154992"</f>
        <v>20190303154154992</v>
      </c>
      <c r="B2927" t="str">
        <f>"1551598914981993"</f>
        <v>1551598914981993</v>
      </c>
      <c r="C2927" t="s">
        <v>40</v>
      </c>
      <c r="D2927">
        <v>5.3953179999999996</v>
      </c>
      <c r="E2927">
        <v>0.52068230000000004</v>
      </c>
      <c r="F2927" t="s">
        <v>50</v>
      </c>
      <c r="G2927">
        <v>-460.15960000000001</v>
      </c>
      <c r="H2927" s="1">
        <v>-1.4853260000000001E-6</v>
      </c>
      <c r="I2927">
        <v>285.3818</v>
      </c>
      <c r="J2927">
        <v>-428.0598</v>
      </c>
      <c r="K2927">
        <v>1.1209499999999999</v>
      </c>
      <c r="L2927">
        <v>284.01049999999998</v>
      </c>
      <c r="M2927">
        <v>-0.99978829999999996</v>
      </c>
      <c r="N2927">
        <v>-1.444982E-2</v>
      </c>
      <c r="O2927">
        <v>1.464383E-2</v>
      </c>
      <c r="P2927">
        <v>-0.99683770000000005</v>
      </c>
      <c r="Q2927">
        <v>-7.862632E-2</v>
      </c>
      <c r="R2927">
        <v>-1.151545E-2</v>
      </c>
      <c r="S2927">
        <v>-3.0028990000000002</v>
      </c>
      <c r="T2927">
        <v>-0.10403800000000001</v>
      </c>
      <c r="U2927">
        <v>0.1276245</v>
      </c>
      <c r="V2927">
        <v>-2.612451E-2</v>
      </c>
      <c r="W2927">
        <v>-6.4213339999999994E-2</v>
      </c>
      <c r="X2927">
        <v>0.99759419999999999</v>
      </c>
      <c r="Y2927">
        <v>2.7804769999999999E-2</v>
      </c>
      <c r="Z2927">
        <v>3.8695910000000001E-4</v>
      </c>
      <c r="AA2927">
        <v>0.99961330000000004</v>
      </c>
      <c r="AB2927">
        <v>32</v>
      </c>
      <c r="AC2927">
        <v>-32.099800000000002</v>
      </c>
      <c r="AD2927">
        <v>-1.1209514853260001</v>
      </c>
      <c r="AE2927">
        <v>1.37130000000001</v>
      </c>
      <c r="AF2927">
        <v>0.89994435557914898</v>
      </c>
      <c r="AG2927">
        <v>-1.1209514853260001</v>
      </c>
      <c r="AH2927">
        <v>32.077394540386202</v>
      </c>
      <c r="AI2927">
        <v>92.000612430449493</v>
      </c>
      <c r="AJ2927">
        <v>88.392965140131395</v>
      </c>
      <c r="AK2927">
        <v>32.109588483429498</v>
      </c>
      <c r="AL2927">
        <v>93.681686424488205</v>
      </c>
      <c r="AM2927">
        <v>91.500091057727602</v>
      </c>
      <c r="AN2927">
        <v>1.00000001546516</v>
      </c>
    </row>
    <row r="2928" spans="1:40" x14ac:dyDescent="0.25">
      <c r="A2928" t="str">
        <f>"20190303154155015"</f>
        <v>20190303154155015</v>
      </c>
      <c r="B2928" t="str">
        <f>"1551598915012249"</f>
        <v>1551598915012249</v>
      </c>
      <c r="C2928" t="s">
        <v>40</v>
      </c>
      <c r="D2928">
        <v>5.6928049999999999</v>
      </c>
      <c r="E2928">
        <v>0.52043989999999996</v>
      </c>
      <c r="F2928" t="s">
        <v>50</v>
      </c>
      <c r="G2928">
        <v>-461.01479999999998</v>
      </c>
      <c r="H2928" s="1">
        <v>-1.031921E-6</v>
      </c>
      <c r="I2928">
        <v>285.4205</v>
      </c>
      <c r="J2928">
        <v>-428.37720000000002</v>
      </c>
      <c r="K2928">
        <v>1.1209519999999999</v>
      </c>
      <c r="L2928">
        <v>284.01519999999999</v>
      </c>
      <c r="M2928">
        <v>-0.9997876</v>
      </c>
      <c r="N2928">
        <v>-1.4447299999999901E-2</v>
      </c>
      <c r="O2928">
        <v>1.4704760000000001E-2</v>
      </c>
      <c r="P2928">
        <v>-0.99683429999999995</v>
      </c>
      <c r="Q2928">
        <v>-7.8614970000000006E-2</v>
      </c>
      <c r="R2928">
        <v>-1.1897939999999999E-2</v>
      </c>
      <c r="S2928">
        <v>-3.0028990000000002</v>
      </c>
      <c r="T2928">
        <v>-0.10214230000000001</v>
      </c>
      <c r="U2928">
        <v>0.12847900000000001</v>
      </c>
      <c r="V2928">
        <v>-2.6567859999999999E-2</v>
      </c>
      <c r="W2928">
        <v>-6.4204579999999997E-2</v>
      </c>
      <c r="X2928">
        <v>0.997583</v>
      </c>
      <c r="Y2928">
        <v>2.8028150000000002E-2</v>
      </c>
      <c r="Z2928">
        <v>3.9157390000000002E-4</v>
      </c>
      <c r="AA2928">
        <v>0.99960709999999997</v>
      </c>
      <c r="AB2928">
        <v>32</v>
      </c>
      <c r="AC2928">
        <v>-32.6375999999999</v>
      </c>
      <c r="AD2928">
        <v>-1.1209530319209999</v>
      </c>
      <c r="AE2928">
        <v>1.40530000000001</v>
      </c>
      <c r="AF2928">
        <v>0.92408186591188501</v>
      </c>
      <c r="AG2928">
        <v>-1.1209530319209999</v>
      </c>
      <c r="AH2928">
        <v>32.616333862574599</v>
      </c>
      <c r="AI2928">
        <v>91.967568708298202</v>
      </c>
      <c r="AJ2928">
        <v>88.377137314463496</v>
      </c>
      <c r="AK2928">
        <v>32.648670687021998</v>
      </c>
      <c r="AL2928">
        <v>93.681183677928203</v>
      </c>
      <c r="AM2928">
        <v>91.525553772557004</v>
      </c>
      <c r="AN2928">
        <v>0.99999996058347695</v>
      </c>
    </row>
    <row r="2929" spans="1:40" x14ac:dyDescent="0.25">
      <c r="A2929" t="str">
        <f>"20190303154155038"</f>
        <v>20190303154155038</v>
      </c>
      <c r="B2929" t="str">
        <f>"1551598915032744"</f>
        <v>1551598915032744</v>
      </c>
      <c r="C2929" t="s">
        <v>40</v>
      </c>
      <c r="D2929">
        <v>5.4311499999999997</v>
      </c>
      <c r="E2929">
        <v>0.52025779999999999</v>
      </c>
      <c r="F2929" t="s">
        <v>50</v>
      </c>
      <c r="G2929">
        <v>-460.43619999999999</v>
      </c>
      <c r="H2929" s="1">
        <v>-1.3370390000000001E-6</v>
      </c>
      <c r="I2929">
        <v>285.35660000000001</v>
      </c>
      <c r="J2929">
        <v>-428.71339999999998</v>
      </c>
      <c r="K2929">
        <v>1.1209519999999999</v>
      </c>
      <c r="L2929">
        <v>284.02030000000002</v>
      </c>
      <c r="M2929">
        <v>-0.99978670000000003</v>
      </c>
      <c r="N2929">
        <v>-1.4444480000000001E-2</v>
      </c>
      <c r="O2929">
        <v>1.476939E-2</v>
      </c>
      <c r="P2929">
        <v>-0.99684569999999995</v>
      </c>
      <c r="Q2929">
        <v>-7.8484250000000005E-2</v>
      </c>
      <c r="R2929">
        <v>-1.17941E-2</v>
      </c>
      <c r="S2929">
        <v>-3.0027469999999998</v>
      </c>
      <c r="T2929">
        <v>-0.10499219999999999</v>
      </c>
      <c r="U2929">
        <v>0.1256409</v>
      </c>
      <c r="V2929">
        <v>-2.6528599999999999E-2</v>
      </c>
      <c r="W2929">
        <v>-6.4076540000000001E-2</v>
      </c>
      <c r="X2929">
        <v>0.99759229999999999</v>
      </c>
      <c r="Y2929">
        <v>2.7022620000000001E-2</v>
      </c>
      <c r="Z2929">
        <v>3.6467919999999998E-4</v>
      </c>
      <c r="AA2929">
        <v>0.99963469999999999</v>
      </c>
      <c r="AB2929">
        <v>32</v>
      </c>
      <c r="AC2929">
        <v>-31.722799999999999</v>
      </c>
      <c r="AD2929">
        <v>-1.1209533370389999</v>
      </c>
      <c r="AE2929">
        <v>1.3362999999999901</v>
      </c>
      <c r="AF2929">
        <v>0.86649896120468595</v>
      </c>
      <c r="AG2929">
        <v>-1.1209533370389999</v>
      </c>
      <c r="AH2929">
        <v>31.699566795266001</v>
      </c>
      <c r="AI2929">
        <v>92.024481727632903</v>
      </c>
      <c r="AJ2929">
        <v>88.434225484671501</v>
      </c>
      <c r="AK2929">
        <v>31.731213210987001</v>
      </c>
      <c r="AL2929">
        <v>93.673832305195404</v>
      </c>
      <c r="AM2929">
        <v>91.523286291848393</v>
      </c>
      <c r="AN2929">
        <v>0.99999998330781004</v>
      </c>
    </row>
    <row r="2930" spans="1:40" x14ac:dyDescent="0.25">
      <c r="A2930" t="str">
        <f>"20190303154155060"</f>
        <v>20190303154155060</v>
      </c>
      <c r="B2930" t="str">
        <f>"1551598915052268"</f>
        <v>1551598915052268</v>
      </c>
      <c r="C2930" t="s">
        <v>40</v>
      </c>
      <c r="D2930">
        <v>5.5141910000000003</v>
      </c>
      <c r="E2930">
        <v>0.5198528</v>
      </c>
      <c r="F2930" t="s">
        <v>50</v>
      </c>
      <c r="G2930">
        <v>-460.86869999999999</v>
      </c>
      <c r="H2930" s="1">
        <v>-1.1067389999999999E-6</v>
      </c>
      <c r="I2930">
        <v>285.35300000000001</v>
      </c>
      <c r="J2930">
        <v>-429.02269999999999</v>
      </c>
      <c r="K2930">
        <v>1.1209530000000001</v>
      </c>
      <c r="L2930">
        <v>284.0249</v>
      </c>
      <c r="M2930">
        <v>-0.99978579999999995</v>
      </c>
      <c r="N2930">
        <v>-1.444178E-2</v>
      </c>
      <c r="O2930">
        <v>1.4829129999999999E-2</v>
      </c>
      <c r="P2930">
        <v>-0.99683489999999997</v>
      </c>
      <c r="Q2930">
        <v>-7.8609869999999998E-2</v>
      </c>
      <c r="R2930">
        <v>-1.1854089999999999E-2</v>
      </c>
      <c r="S2930">
        <v>-3.0027159999999999</v>
      </c>
      <c r="T2930">
        <v>-0.1046768</v>
      </c>
      <c r="U2930">
        <v>0.1244507</v>
      </c>
      <c r="V2930">
        <v>-2.6647770000000001E-2</v>
      </c>
      <c r="W2930">
        <v>-6.4205020000000002E-2</v>
      </c>
      <c r="X2930">
        <v>0.99758089999999999</v>
      </c>
      <c r="Y2930">
        <v>2.6568270000000001E-2</v>
      </c>
      <c r="Z2930">
        <v>3.5231759999999998E-4</v>
      </c>
      <c r="AA2930">
        <v>0.99964699999999995</v>
      </c>
      <c r="AB2930">
        <v>32</v>
      </c>
      <c r="AC2930">
        <v>-31.846</v>
      </c>
      <c r="AD2930">
        <v>-1.1209541067389901</v>
      </c>
      <c r="AE2930">
        <v>1.3281000000000001</v>
      </c>
      <c r="AF2930">
        <v>0.85459923596307896</v>
      </c>
      <c r="AG2930">
        <v>-1.1209541067389901</v>
      </c>
      <c r="AH2930">
        <v>31.822834635605702</v>
      </c>
      <c r="AI2930">
        <v>92.016673812813593</v>
      </c>
      <c r="AJ2930">
        <v>88.461696951044203</v>
      </c>
      <c r="AK2930">
        <v>31.854037141446099</v>
      </c>
      <c r="AL2930">
        <v>93.681208720645202</v>
      </c>
      <c r="AM2930">
        <v>91.530143328142699</v>
      </c>
      <c r="AN2930">
        <v>1.0000000201419901</v>
      </c>
    </row>
    <row r="2931" spans="1:40" x14ac:dyDescent="0.25">
      <c r="A2931" t="str">
        <f>"20190303154155082"</f>
        <v>20190303154155082</v>
      </c>
      <c r="B2931" t="str">
        <f>"1551598915072761"</f>
        <v>1551598915072761</v>
      </c>
      <c r="C2931" t="s">
        <v>40</v>
      </c>
      <c r="D2931">
        <v>5.4760150000000003</v>
      </c>
      <c r="E2931">
        <v>0.48003390000000001</v>
      </c>
      <c r="F2931" t="s">
        <v>50</v>
      </c>
      <c r="G2931">
        <v>-460.97239999999999</v>
      </c>
      <c r="H2931" s="1">
        <v>-1.049703E-6</v>
      </c>
      <c r="I2931">
        <v>285.31110000000001</v>
      </c>
      <c r="J2931">
        <v>-429.34980000000002</v>
      </c>
      <c r="K2931">
        <v>1.1209530000000001</v>
      </c>
      <c r="L2931">
        <v>284.02980000000002</v>
      </c>
      <c r="M2931">
        <v>-0.99978489999999998</v>
      </c>
      <c r="N2931">
        <v>-1.4438919999999999E-2</v>
      </c>
      <c r="O2931">
        <v>1.48922E-2</v>
      </c>
      <c r="P2931">
        <v>-0.99679700000000004</v>
      </c>
      <c r="Q2931">
        <v>-7.9119270000000005E-2</v>
      </c>
      <c r="R2931">
        <v>-1.165185E-2</v>
      </c>
      <c r="S2931">
        <v>-3.0026860000000002</v>
      </c>
      <c r="T2931">
        <v>-0.1053491</v>
      </c>
      <c r="U2931">
        <v>0.1208801</v>
      </c>
      <c r="V2931">
        <v>-2.6507989999999999E-2</v>
      </c>
      <c r="W2931">
        <v>-6.4717780000000003E-2</v>
      </c>
      <c r="X2931">
        <v>0.99755139999999998</v>
      </c>
      <c r="Y2931">
        <v>2.5319789999999998E-2</v>
      </c>
      <c r="Z2931">
        <v>3.1968190000000003E-4</v>
      </c>
      <c r="AA2931">
        <v>0.99967930000000005</v>
      </c>
      <c r="AB2931">
        <v>32</v>
      </c>
      <c r="AC2931">
        <v>-31.622599999999899</v>
      </c>
      <c r="AD2931">
        <v>-1.1209540497029999</v>
      </c>
      <c r="AE2931">
        <v>1.2812999999999799</v>
      </c>
      <c r="AF2931">
        <v>0.809163634318942</v>
      </c>
      <c r="AG2931">
        <v>-1.1209540497029999</v>
      </c>
      <c r="AH2931">
        <v>31.598535721683799</v>
      </c>
      <c r="AI2931">
        <v>92.031043260823296</v>
      </c>
      <c r="AJ2931">
        <v>88.533111417647007</v>
      </c>
      <c r="AK2931">
        <v>31.6287644956798</v>
      </c>
      <c r="AL2931">
        <v>93.710649268540294</v>
      </c>
      <c r="AM2931">
        <v>91.522165789124003</v>
      </c>
      <c r="AN2931">
        <v>0.99999993011196098</v>
      </c>
    </row>
    <row r="2932" spans="1:40" x14ac:dyDescent="0.25">
      <c r="A2932" t="str">
        <f>"20190303154155105"</f>
        <v>20190303154155105</v>
      </c>
      <c r="B2932" t="str">
        <f>"1551598915092281"</f>
        <v>1551598915092281</v>
      </c>
      <c r="C2932" t="s">
        <v>40</v>
      </c>
      <c r="D2932">
        <v>5.4550979999999996</v>
      </c>
      <c r="E2932">
        <v>0.47844389999999998</v>
      </c>
      <c r="F2932" t="s">
        <v>50</v>
      </c>
      <c r="G2932">
        <v>-452.88799999999998</v>
      </c>
      <c r="H2932" s="1">
        <v>9.2823039999999996E-8</v>
      </c>
      <c r="I2932">
        <v>282.4941</v>
      </c>
      <c r="J2932">
        <v>-429.67160000000001</v>
      </c>
      <c r="K2932">
        <v>1.1209519999999999</v>
      </c>
      <c r="L2932">
        <v>284.03469999999999</v>
      </c>
      <c r="M2932">
        <v>-0.99978409999999995</v>
      </c>
      <c r="N2932">
        <v>-1.44359E-2</v>
      </c>
      <c r="O2932">
        <v>1.4954439999999999E-2</v>
      </c>
      <c r="P2932">
        <v>-0.9967762</v>
      </c>
      <c r="Q2932">
        <v>-7.94271E-2</v>
      </c>
      <c r="R2932">
        <v>-1.1344430000000001E-2</v>
      </c>
      <c r="S2932">
        <v>-2.9960629999999999</v>
      </c>
      <c r="T2932">
        <v>-0.14268059999999999</v>
      </c>
      <c r="U2932">
        <v>-0.1954651</v>
      </c>
      <c r="V2932">
        <v>-2.6262489999999999E-2</v>
      </c>
      <c r="W2932">
        <v>-6.5028939999999993E-2</v>
      </c>
      <c r="X2932">
        <v>0.99753769999999997</v>
      </c>
      <c r="Y2932">
        <v>-7.9893400000000003E-2</v>
      </c>
      <c r="Z2932">
        <v>-2.9725329999999999E-3</v>
      </c>
      <c r="AA2932">
        <v>0.99679899999999999</v>
      </c>
      <c r="AB2932">
        <v>32</v>
      </c>
      <c r="AC2932">
        <v>-23.2164</v>
      </c>
      <c r="AD2932">
        <v>-1.12095190717696</v>
      </c>
      <c r="AE2932">
        <v>-1.54059999999998</v>
      </c>
      <c r="AF2932">
        <v>-1.88328097876051</v>
      </c>
      <c r="AG2932">
        <v>-1.12095190717696</v>
      </c>
      <c r="AH2932">
        <v>23.1370608759878</v>
      </c>
      <c r="AI2932">
        <v>92.764586955323097</v>
      </c>
      <c r="AJ2932">
        <v>94.653429910061803</v>
      </c>
      <c r="AK2932">
        <v>23.240629647286401</v>
      </c>
      <c r="AL2932">
        <v>93.728514901781793</v>
      </c>
      <c r="AM2932">
        <v>91.508095708507597</v>
      </c>
      <c r="AN2932">
        <v>0.99999997216990599</v>
      </c>
    </row>
    <row r="2933" spans="1:40" x14ac:dyDescent="0.25">
      <c r="A2933" t="str">
        <f>"20190303154155127"</f>
        <v>20190303154155127</v>
      </c>
      <c r="B2933" t="str">
        <f>"1551598915122537"</f>
        <v>1551598915122537</v>
      </c>
      <c r="C2933" t="s">
        <v>40</v>
      </c>
      <c r="D2933">
        <v>5.4454269999999996</v>
      </c>
      <c r="E2933">
        <v>0.47742059999999997</v>
      </c>
      <c r="F2933" t="s">
        <v>50</v>
      </c>
      <c r="G2933">
        <v>-451.38099999999997</v>
      </c>
      <c r="H2933" s="1">
        <v>-7.1085259999999899E-7</v>
      </c>
      <c r="I2933">
        <v>282.53309999999999</v>
      </c>
      <c r="J2933">
        <v>-429.99209999999999</v>
      </c>
      <c r="K2933">
        <v>1.120935</v>
      </c>
      <c r="L2933">
        <v>284.03960000000001</v>
      </c>
      <c r="M2933">
        <v>-0.99978319999999998</v>
      </c>
      <c r="N2933">
        <v>-1.4432810000000001E-2</v>
      </c>
      <c r="O2933">
        <v>1.501621E-2</v>
      </c>
      <c r="P2933">
        <v>-0.99675499999999995</v>
      </c>
      <c r="Q2933">
        <v>-7.9758700000000002E-2</v>
      </c>
      <c r="R2933">
        <v>-1.086902E-2</v>
      </c>
      <c r="S2933">
        <v>-2.9949650000000001</v>
      </c>
      <c r="T2933">
        <v>-0.1546438</v>
      </c>
      <c r="U2933">
        <v>-0.20715330000000001</v>
      </c>
      <c r="V2933">
        <v>-2.5848570000000001E-2</v>
      </c>
      <c r="W2933">
        <v>-6.5363850000000001E-2</v>
      </c>
      <c r="X2933">
        <v>0.99752660000000004</v>
      </c>
      <c r="Y2933">
        <v>-8.3823809999999999E-2</v>
      </c>
      <c r="Z2933">
        <v>-3.3239039999999999E-3</v>
      </c>
      <c r="AA2933">
        <v>0.996475</v>
      </c>
      <c r="AB2933">
        <v>32</v>
      </c>
      <c r="AC2933">
        <v>-21.3888999999999</v>
      </c>
      <c r="AD2933">
        <v>-1.1209357108525999</v>
      </c>
      <c r="AE2933">
        <v>-1.5065000000000099</v>
      </c>
      <c r="AF2933">
        <v>-1.82256272529932</v>
      </c>
      <c r="AG2933">
        <v>-1.1209357108525999</v>
      </c>
      <c r="AH2933">
        <v>21.305635905568899</v>
      </c>
      <c r="AI2933">
        <v>93.000739312823896</v>
      </c>
      <c r="AJ2933">
        <v>94.889389219283004</v>
      </c>
      <c r="AK2933">
        <v>21.412808155311701</v>
      </c>
      <c r="AL2933">
        <v>93.747744829114794</v>
      </c>
      <c r="AM2933">
        <v>91.484354018618504</v>
      </c>
      <c r="AN2933">
        <v>0.99999994958271199</v>
      </c>
    </row>
    <row r="2934" spans="1:40" x14ac:dyDescent="0.25">
      <c r="A2934" t="str">
        <f>"20190303154155149"</f>
        <v>20190303154155149</v>
      </c>
      <c r="B2934" t="str">
        <f>"1551598915142057"</f>
        <v>1551598915142057</v>
      </c>
      <c r="C2934" t="s">
        <v>40</v>
      </c>
      <c r="D2934">
        <v>5.4667459999999997</v>
      </c>
      <c r="E2934">
        <v>0.47691319999999998</v>
      </c>
      <c r="F2934" t="s">
        <v>50</v>
      </c>
      <c r="G2934">
        <v>-451.20319999999998</v>
      </c>
      <c r="H2934" s="1">
        <v>-8.0513839999999999E-7</v>
      </c>
      <c r="I2934">
        <v>282.52550000000002</v>
      </c>
      <c r="J2934">
        <v>-430.31200000000001</v>
      </c>
      <c r="K2934">
        <v>1.12094</v>
      </c>
      <c r="L2934">
        <v>284.0444</v>
      </c>
      <c r="M2934">
        <v>-0.99978230000000001</v>
      </c>
      <c r="N2934">
        <v>-1.442965E-2</v>
      </c>
      <c r="O2934">
        <v>1.507798E-2</v>
      </c>
      <c r="P2934">
        <v>-0.99671129999999997</v>
      </c>
      <c r="Q2934">
        <v>-8.0402760000000004E-2</v>
      </c>
      <c r="R2934">
        <v>-1.010257E-2</v>
      </c>
      <c r="S2934">
        <v>-2.994812</v>
      </c>
      <c r="T2934">
        <v>-0.1582662</v>
      </c>
      <c r="U2934">
        <v>-0.21377560000000001</v>
      </c>
      <c r="V2934">
        <v>-2.5143039999999998E-2</v>
      </c>
      <c r="W2934">
        <v>-6.6011619999999993E-2</v>
      </c>
      <c r="X2934">
        <v>0.997502</v>
      </c>
      <c r="Y2934">
        <v>-8.6070599999999997E-2</v>
      </c>
      <c r="Z2934">
        <v>-3.4703339999999998E-3</v>
      </c>
      <c r="AA2934">
        <v>0.99628300000000003</v>
      </c>
      <c r="AB2934">
        <v>32</v>
      </c>
      <c r="AC2934">
        <v>-20.891200000000001</v>
      </c>
      <c r="AD2934">
        <v>-1.1209408051384</v>
      </c>
      <c r="AE2934">
        <v>-1.5188999999999699</v>
      </c>
      <c r="AF2934">
        <v>-1.82852056598518</v>
      </c>
      <c r="AG2934">
        <v>-1.1209408051384</v>
      </c>
      <c r="AH2934">
        <v>20.806334248458999</v>
      </c>
      <c r="AI2934">
        <v>93.072010010341003</v>
      </c>
      <c r="AJ2934">
        <v>95.022414571293695</v>
      </c>
      <c r="AK2934">
        <v>20.9165852998871</v>
      </c>
      <c r="AL2934">
        <v>93.784939561473493</v>
      </c>
      <c r="AM2934">
        <v>91.443891945008801</v>
      </c>
      <c r="AN2934">
        <v>0.999999973219732</v>
      </c>
    </row>
    <row r="2935" spans="1:40" x14ac:dyDescent="0.25">
      <c r="A2935" t="str">
        <f>"20190303154155172"</f>
        <v>20190303154155172</v>
      </c>
      <c r="B2935" t="str">
        <f>"1551598915162554"</f>
        <v>1551598915162554</v>
      </c>
      <c r="C2935" t="s">
        <v>40</v>
      </c>
      <c r="D2935">
        <v>5.4281319999999997</v>
      </c>
      <c r="E2935">
        <v>0.47603709999999999</v>
      </c>
      <c r="F2935" t="s">
        <v>50</v>
      </c>
      <c r="G2935">
        <v>-451.09750000000003</v>
      </c>
      <c r="H2935" s="1">
        <v>-8.6237009999999995E-7</v>
      </c>
      <c r="I2935">
        <v>282.54899999999998</v>
      </c>
      <c r="J2935">
        <v>-430.6361</v>
      </c>
      <c r="K2935">
        <v>1.120938</v>
      </c>
      <c r="L2935">
        <v>284.04939999999999</v>
      </c>
      <c r="M2935">
        <v>-0.99978129999999998</v>
      </c>
      <c r="N2935">
        <v>-1.4426400000000001E-2</v>
      </c>
      <c r="O2935">
        <v>1.5140580000000001E-2</v>
      </c>
      <c r="P2935">
        <v>-0.99669529999999995</v>
      </c>
      <c r="Q2935">
        <v>-8.0697030000000003E-2</v>
      </c>
      <c r="R2935">
        <v>-9.2976320000000001E-3</v>
      </c>
      <c r="S2935">
        <v>-2.99472</v>
      </c>
      <c r="T2935">
        <v>-0.16150200000000001</v>
      </c>
      <c r="U2935">
        <v>-0.21545410000000001</v>
      </c>
      <c r="V2935">
        <v>-2.4400069999999999E-2</v>
      </c>
      <c r="W2935">
        <v>-6.6309320000000005E-2</v>
      </c>
      <c r="X2935">
        <v>0.99750070000000002</v>
      </c>
      <c r="Y2935">
        <v>-8.6683270000000007E-2</v>
      </c>
      <c r="Z2935">
        <v>-3.5562829999999999E-3</v>
      </c>
      <c r="AA2935">
        <v>0.99622960000000005</v>
      </c>
      <c r="AB2935">
        <v>32</v>
      </c>
      <c r="AC2935">
        <v>-20.461400000000001</v>
      </c>
      <c r="AD2935">
        <v>-1.1209388623701</v>
      </c>
      <c r="AE2935">
        <v>-1.50039999999995</v>
      </c>
      <c r="AF2935">
        <v>-1.80467049820569</v>
      </c>
      <c r="AG2935">
        <v>-1.1209388623701</v>
      </c>
      <c r="AH2935">
        <v>20.375511147782099</v>
      </c>
      <c r="AI2935">
        <v>93.1366428162613</v>
      </c>
      <c r="AJ2935">
        <v>95.061511613787701</v>
      </c>
      <c r="AK2935">
        <v>20.485965783278498</v>
      </c>
      <c r="AL2935">
        <v>93.802033989664494</v>
      </c>
      <c r="AM2935">
        <v>91.401244425507201</v>
      </c>
      <c r="AN2935">
        <v>0.99999996791767798</v>
      </c>
    </row>
    <row r="2936" spans="1:40" x14ac:dyDescent="0.25">
      <c r="A2936" t="str">
        <f>"20190303154155193"</f>
        <v>20190303154155193</v>
      </c>
      <c r="B2936" t="str">
        <f>"1551598915182073"</f>
        <v>1551598915182073</v>
      </c>
      <c r="C2936" t="s">
        <v>40</v>
      </c>
      <c r="D2936">
        <v>5.4200010000000001</v>
      </c>
      <c r="E2936">
        <v>0.47567779999999998</v>
      </c>
      <c r="F2936" t="s">
        <v>50</v>
      </c>
      <c r="G2936">
        <v>-451.03680000000003</v>
      </c>
      <c r="H2936" s="1">
        <v>-8.9478969999999905E-7</v>
      </c>
      <c r="I2936">
        <v>282.55149999999998</v>
      </c>
      <c r="J2936">
        <v>-430.94929999999999</v>
      </c>
      <c r="K2936">
        <v>1.1209450000000001</v>
      </c>
      <c r="L2936">
        <v>284.05419999999998</v>
      </c>
      <c r="M2936">
        <v>-0.99978049999999996</v>
      </c>
      <c r="N2936">
        <v>-1.442323E-2</v>
      </c>
      <c r="O2936">
        <v>1.5201330000000001E-2</v>
      </c>
      <c r="P2936">
        <v>-0.99669620000000003</v>
      </c>
      <c r="Q2936">
        <v>-8.0780980000000002E-2</v>
      </c>
      <c r="R2936">
        <v>-8.4574430000000003E-3</v>
      </c>
      <c r="S2936">
        <v>-2.9945680000000001</v>
      </c>
      <c r="T2936">
        <v>-0.16454009999999999</v>
      </c>
      <c r="U2936">
        <v>-0.2198792</v>
      </c>
      <c r="V2936">
        <v>-2.362034E-2</v>
      </c>
      <c r="W2936">
        <v>-6.6396419999999998E-2</v>
      </c>
      <c r="X2936">
        <v>0.99751369999999895</v>
      </c>
      <c r="Y2936">
        <v>-8.8202790000000003E-2</v>
      </c>
      <c r="Z2936">
        <v>-3.6704799999999998E-3</v>
      </c>
      <c r="AA2936">
        <v>0.99609579999999998</v>
      </c>
      <c r="AB2936">
        <v>32</v>
      </c>
      <c r="AC2936">
        <v>-20.087499999999999</v>
      </c>
      <c r="AD2936">
        <v>-1.1209458947897</v>
      </c>
      <c r="AE2936">
        <v>-1.5026999999999999</v>
      </c>
      <c r="AF2936">
        <v>-1.8023335712506501</v>
      </c>
      <c r="AG2936">
        <v>-1.1209458947897</v>
      </c>
      <c r="AH2936">
        <v>20.0003985680796</v>
      </c>
      <c r="AI2936">
        <v>93.194934122703003</v>
      </c>
      <c r="AJ2936">
        <v>95.149293897503497</v>
      </c>
      <c r="AK2936">
        <v>20.112704166350799</v>
      </c>
      <c r="AL2936">
        <v>93.807035377357096</v>
      </c>
      <c r="AM2936">
        <v>91.356465515280803</v>
      </c>
      <c r="AN2936">
        <v>0.99999999336911005</v>
      </c>
    </row>
    <row r="2937" spans="1:40" x14ac:dyDescent="0.25">
      <c r="A2937" t="str">
        <f>"20190303154155217"</f>
        <v>20190303154155217</v>
      </c>
      <c r="B2937" t="str">
        <f>"1551598915212329"</f>
        <v>1551598915212329</v>
      </c>
      <c r="C2937" t="s">
        <v>40</v>
      </c>
      <c r="D2937">
        <v>5.5059430000000003</v>
      </c>
      <c r="E2937">
        <v>0.47482770000000002</v>
      </c>
      <c r="F2937" t="s">
        <v>50</v>
      </c>
      <c r="G2937">
        <v>-450.91840000000002</v>
      </c>
      <c r="H2937" s="1">
        <v>-9.5930269999999991E-7</v>
      </c>
      <c r="I2937">
        <v>282.58620000000002</v>
      </c>
      <c r="J2937">
        <v>-431.26819999999998</v>
      </c>
      <c r="K2937">
        <v>1.1209499999999999</v>
      </c>
      <c r="L2937">
        <v>284.0591</v>
      </c>
      <c r="M2937">
        <v>-0.99977959999999999</v>
      </c>
      <c r="N2937">
        <v>-1.4419939999999999E-2</v>
      </c>
      <c r="O2937">
        <v>1.526304E-2</v>
      </c>
      <c r="P2937">
        <v>-0.99671330000000002</v>
      </c>
      <c r="Q2937">
        <v>-8.0562930000000005E-2</v>
      </c>
      <c r="R2937">
        <v>-8.5215480000000003E-3</v>
      </c>
      <c r="S2937">
        <v>-2.9944459999999999</v>
      </c>
      <c r="T2937">
        <v>-0.16809009999999999</v>
      </c>
      <c r="U2937">
        <v>-0.22012329999999999</v>
      </c>
      <c r="V2937">
        <v>-2.3746730000000001E-2</v>
      </c>
      <c r="W2937">
        <v>-6.6181429999999999E-2</v>
      </c>
      <c r="X2937">
        <v>0.997525</v>
      </c>
      <c r="Y2937">
        <v>-8.8340409999999994E-2</v>
      </c>
      <c r="Z2937">
        <v>-3.7480090000000001E-3</v>
      </c>
      <c r="AA2937">
        <v>0.9960833</v>
      </c>
      <c r="AB2937">
        <v>32</v>
      </c>
      <c r="AC2937">
        <v>-19.650200000000002</v>
      </c>
      <c r="AD2937">
        <v>-1.1209509593026901</v>
      </c>
      <c r="AE2937">
        <v>-1.4728999999999799</v>
      </c>
      <c r="AF2937">
        <v>-1.76696348305509</v>
      </c>
      <c r="AG2937">
        <v>-1.1209509593026901</v>
      </c>
      <c r="AH2937">
        <v>19.562124585753999</v>
      </c>
      <c r="AI2937">
        <v>93.266314028419302</v>
      </c>
      <c r="AJ2937">
        <v>95.161277887962896</v>
      </c>
      <c r="AK2937">
        <v>19.673723829315399</v>
      </c>
      <c r="AL2937">
        <v>93.794690151310206</v>
      </c>
      <c r="AM2937">
        <v>91.363705646060197</v>
      </c>
      <c r="AN2937">
        <v>1.00000000724376</v>
      </c>
    </row>
    <row r="2938" spans="1:40" x14ac:dyDescent="0.25">
      <c r="A2938" t="str">
        <f>"20190303154155239"</f>
        <v>20190303154155239</v>
      </c>
      <c r="B2938" t="str">
        <f>"1551598915232826"</f>
        <v>1551598915232826</v>
      </c>
      <c r="C2938" t="s">
        <v>40</v>
      </c>
      <c r="D2938">
        <v>5.5097449999999997</v>
      </c>
      <c r="E2938">
        <v>0.47449079999999899</v>
      </c>
      <c r="F2938" t="s">
        <v>50</v>
      </c>
      <c r="G2938">
        <v>-450.637</v>
      </c>
      <c r="H2938" s="1">
        <v>-1.109196E-6</v>
      </c>
      <c r="I2938">
        <v>282.58920000000001</v>
      </c>
      <c r="J2938">
        <v>-431.59629999999999</v>
      </c>
      <c r="K2938">
        <v>1.120951</v>
      </c>
      <c r="L2938">
        <v>284.06420000000003</v>
      </c>
      <c r="M2938">
        <v>-0.99977870000000002</v>
      </c>
      <c r="N2938">
        <v>-1.441657E-2</v>
      </c>
      <c r="O2938">
        <v>1.532648E-2</v>
      </c>
      <c r="P2938">
        <v>-0.99672110000000003</v>
      </c>
      <c r="Q2938">
        <v>-8.0447569999999996E-2</v>
      </c>
      <c r="R2938">
        <v>-8.6692000000000002E-3</v>
      </c>
      <c r="S2938">
        <v>-2.9939580000000001</v>
      </c>
      <c r="T2938">
        <v>-0.1732727</v>
      </c>
      <c r="U2938">
        <v>-0.2272034</v>
      </c>
      <c r="V2938">
        <v>-2.3957619999999999E-2</v>
      </c>
      <c r="W2938">
        <v>-6.6069359999999994E-2</v>
      </c>
      <c r="X2938">
        <v>0.99752739999999995</v>
      </c>
      <c r="Y2938">
        <v>-9.0741730000000007E-2</v>
      </c>
      <c r="Z2938">
        <v>-3.9402059999999999E-3</v>
      </c>
      <c r="AA2938">
        <v>0.99586669999999999</v>
      </c>
      <c r="AB2938">
        <v>32</v>
      </c>
      <c r="AC2938">
        <v>-19.040699999999902</v>
      </c>
      <c r="AD2938">
        <v>-1.120952109196</v>
      </c>
      <c r="AE2938">
        <v>-1.4750000000000201</v>
      </c>
      <c r="AF2938">
        <v>-1.76061830672682</v>
      </c>
      <c r="AG2938">
        <v>-1.120952109196</v>
      </c>
      <c r="AH2938">
        <v>18.950566347722201</v>
      </c>
      <c r="AI2938">
        <v>93.370697717583198</v>
      </c>
      <c r="AJ2938">
        <v>95.307875947479204</v>
      </c>
      <c r="AK2938">
        <v>19.065158676300399</v>
      </c>
      <c r="AL2938">
        <v>93.788254877205603</v>
      </c>
      <c r="AM2938">
        <v>91.375808502250607</v>
      </c>
      <c r="AN2938">
        <v>1.00000002081881</v>
      </c>
    </row>
    <row r="2939" spans="1:40" x14ac:dyDescent="0.25">
      <c r="A2939" t="str">
        <f>"20190303154155262"</f>
        <v>20190303154155262</v>
      </c>
      <c r="B2939" t="str">
        <f>"1551598915252346"</f>
        <v>1551598915252346</v>
      </c>
      <c r="C2939" t="s">
        <v>40</v>
      </c>
      <c r="D2939">
        <v>5.4750909999999999</v>
      </c>
      <c r="E2939">
        <v>0.47381079999999998</v>
      </c>
      <c r="F2939" t="s">
        <v>50</v>
      </c>
      <c r="G2939">
        <v>-450.61509999999998</v>
      </c>
      <c r="H2939" s="1">
        <v>-1.1214120000000001E-6</v>
      </c>
      <c r="I2939">
        <v>282.6019</v>
      </c>
      <c r="J2939">
        <v>-431.91390000000001</v>
      </c>
      <c r="K2939">
        <v>1.1209549999999999</v>
      </c>
      <c r="L2939">
        <v>284.06909999999999</v>
      </c>
      <c r="M2939">
        <v>-0.99977769999999999</v>
      </c>
      <c r="N2939">
        <v>-1.44133E-2</v>
      </c>
      <c r="O2939">
        <v>1.5387720000000001E-2</v>
      </c>
      <c r="P2939">
        <v>-0.99672450000000001</v>
      </c>
      <c r="Q2939">
        <v>-8.0399739999999997E-2</v>
      </c>
      <c r="R2939">
        <v>-8.7334930000000002E-3</v>
      </c>
      <c r="S2939">
        <v>-2.9936219999999998</v>
      </c>
      <c r="T2939">
        <v>-0.17644170000000001</v>
      </c>
      <c r="U2939">
        <v>-0.2301636</v>
      </c>
      <c r="V2939">
        <v>-2.408279E-2</v>
      </c>
      <c r="W2939">
        <v>-6.6024760000000002E-2</v>
      </c>
      <c r="X2939">
        <v>0.99752730000000001</v>
      </c>
      <c r="Y2939">
        <v>-9.1780849999999997E-2</v>
      </c>
      <c r="Z2939">
        <v>-4.045206E-3</v>
      </c>
      <c r="AA2939">
        <v>0.99577099999999996</v>
      </c>
      <c r="AB2939">
        <v>32</v>
      </c>
      <c r="AC2939">
        <v>-18.701199999999901</v>
      </c>
      <c r="AD2939">
        <v>-1.1209561214120001</v>
      </c>
      <c r="AE2939">
        <v>-1.4671999999999901</v>
      </c>
      <c r="AF2939">
        <v>-1.74858103384428</v>
      </c>
      <c r="AG2939">
        <v>-1.1209561214120001</v>
      </c>
      <c r="AH2939">
        <v>18.609952536754701</v>
      </c>
      <c r="AI2939">
        <v>93.431922800669199</v>
      </c>
      <c r="AJ2939">
        <v>95.367721250639804</v>
      </c>
      <c r="AK2939">
        <v>18.725501640231499</v>
      </c>
      <c r="AL2939">
        <v>93.785694040868506</v>
      </c>
      <c r="AM2939">
        <v>91.382993963987502</v>
      </c>
      <c r="AN2939">
        <v>0.99999998197626505</v>
      </c>
    </row>
    <row r="2940" spans="1:40" x14ac:dyDescent="0.25">
      <c r="A2940" t="str">
        <f>"20190303154155284"</f>
        <v>20190303154155284</v>
      </c>
      <c r="B2940" t="str">
        <f>"1551598915272841"</f>
        <v>1551598915272841</v>
      </c>
      <c r="C2940" t="s">
        <v>40</v>
      </c>
      <c r="D2940">
        <v>5.4827240000000002</v>
      </c>
      <c r="E2940">
        <v>0.47325739999999999</v>
      </c>
      <c r="F2940" t="s">
        <v>50</v>
      </c>
      <c r="G2940">
        <v>-450.24259999999998</v>
      </c>
      <c r="H2940" s="1">
        <v>-1.3206769999999999E-6</v>
      </c>
      <c r="I2940">
        <v>282.62599999999998</v>
      </c>
      <c r="J2940">
        <v>-432.23059999999998</v>
      </c>
      <c r="K2940">
        <v>1.120951</v>
      </c>
      <c r="L2940">
        <v>284.07400000000001</v>
      </c>
      <c r="M2940">
        <v>-0.99977680000000002</v>
      </c>
      <c r="N2940">
        <v>-1.4409999999999999E-2</v>
      </c>
      <c r="O2940">
        <v>1.5448470000000001E-2</v>
      </c>
      <c r="P2940">
        <v>-0.99676100000000001</v>
      </c>
      <c r="Q2940">
        <v>-7.9847249999999995E-2</v>
      </c>
      <c r="R2940">
        <v>-9.5811860000000002E-3</v>
      </c>
      <c r="S2940">
        <v>-2.9930729999999999</v>
      </c>
      <c r="T2940">
        <v>-0.18305170000000001</v>
      </c>
      <c r="U2940">
        <v>-0.2356567</v>
      </c>
      <c r="V2940">
        <v>-2.4991719999999999E-2</v>
      </c>
      <c r="W2940">
        <v>-6.5475140000000001E-2</v>
      </c>
      <c r="X2940">
        <v>0.99754120000000002</v>
      </c>
      <c r="Y2940">
        <v>-9.3652200000000005E-2</v>
      </c>
      <c r="Z2940">
        <v>-4.2538360000000004E-3</v>
      </c>
      <c r="AA2940">
        <v>0.99559589999999998</v>
      </c>
      <c r="AB2940">
        <v>32</v>
      </c>
      <c r="AC2940">
        <v>-18.012</v>
      </c>
      <c r="AD2940">
        <v>-1.120952320677</v>
      </c>
      <c r="AE2940">
        <v>-1.4480000000000299</v>
      </c>
      <c r="AF2940">
        <v>-1.7194970163241701</v>
      </c>
      <c r="AG2940">
        <v>-1.120952320677</v>
      </c>
      <c r="AH2940">
        <v>17.918525099678099</v>
      </c>
      <c r="AI2940">
        <v>93.563334463443795</v>
      </c>
      <c r="AJ2940">
        <v>95.481431528983805</v>
      </c>
      <c r="AK2940">
        <v>18.035707522638798</v>
      </c>
      <c r="AL2940">
        <v>93.754134727471097</v>
      </c>
      <c r="AM2940">
        <v>91.435149346194606</v>
      </c>
      <c r="AN2940">
        <v>1.0000000128619999</v>
      </c>
    </row>
    <row r="2941" spans="1:40" x14ac:dyDescent="0.25">
      <c r="A2941" t="str">
        <f>"20190303154155306"</f>
        <v>20190303154155306</v>
      </c>
      <c r="B2941" t="str">
        <f>"1551598915303098"</f>
        <v>1551598915303098</v>
      </c>
      <c r="C2941" t="s">
        <v>40</v>
      </c>
      <c r="D2941">
        <v>5.5108180000000004</v>
      </c>
      <c r="E2941">
        <v>0.47253990000000001</v>
      </c>
      <c r="F2941" t="s">
        <v>50</v>
      </c>
      <c r="G2941">
        <v>-450.12990000000002</v>
      </c>
      <c r="H2941" s="1">
        <v>-1.380532E-6</v>
      </c>
      <c r="I2941">
        <v>282.6234</v>
      </c>
      <c r="J2941">
        <v>-432.54469999999998</v>
      </c>
      <c r="K2941">
        <v>1.1209499999999999</v>
      </c>
      <c r="L2941">
        <v>284.07900000000001</v>
      </c>
      <c r="M2941">
        <v>-0.99977590000000005</v>
      </c>
      <c r="N2941">
        <v>-1.440672E-2</v>
      </c>
      <c r="O2941">
        <v>1.5509230000000001E-2</v>
      </c>
      <c r="P2941">
        <v>-0.99674130000000005</v>
      </c>
      <c r="Q2941">
        <v>-8.0014440000000006E-2</v>
      </c>
      <c r="R2941">
        <v>-1.022294E-2</v>
      </c>
      <c r="S2941">
        <v>-2.9924010000000001</v>
      </c>
      <c r="T2941">
        <v>-0.1874005</v>
      </c>
      <c r="U2941">
        <v>-0.24252319999999999</v>
      </c>
      <c r="V2941">
        <v>-2.5693509999999999E-2</v>
      </c>
      <c r="W2941">
        <v>-6.564594E-2</v>
      </c>
      <c r="X2941">
        <v>0.99751219999999996</v>
      </c>
      <c r="Y2941">
        <v>-9.5983840000000001E-2</v>
      </c>
      <c r="Z2941">
        <v>-4.4370499999999997E-3</v>
      </c>
      <c r="AA2941">
        <v>0.99537299999999995</v>
      </c>
      <c r="AB2941">
        <v>32</v>
      </c>
      <c r="AC2941">
        <v>-17.5852</v>
      </c>
      <c r="AD2941">
        <v>-1.1209513805319999</v>
      </c>
      <c r="AE2941">
        <v>-1.4556</v>
      </c>
      <c r="AF2941">
        <v>-1.72123979701046</v>
      </c>
      <c r="AG2941">
        <v>-1.1209513805319999</v>
      </c>
      <c r="AH2941">
        <v>17.489923707347199</v>
      </c>
      <c r="AI2941">
        <v>93.649560747277903</v>
      </c>
      <c r="AJ2941">
        <v>95.620563710304296</v>
      </c>
      <c r="AK2941">
        <v>17.610128611828902</v>
      </c>
      <c r="AL2941">
        <v>93.763941739778204</v>
      </c>
      <c r="AM2941">
        <v>91.475474936799003</v>
      </c>
      <c r="AN2941">
        <v>1.00000006752171</v>
      </c>
    </row>
    <row r="2942" spans="1:40" x14ac:dyDescent="0.25">
      <c r="A2942" t="str">
        <f>"20190303154155328"</f>
        <v>20190303154155328</v>
      </c>
      <c r="B2942" t="str">
        <f>"1551598915322618"</f>
        <v>1551598915322618</v>
      </c>
      <c r="C2942" t="s">
        <v>40</v>
      </c>
      <c r="D2942">
        <v>5.5221070000000001</v>
      </c>
      <c r="E2942">
        <v>0.47215960000000001</v>
      </c>
      <c r="F2942" t="s">
        <v>50</v>
      </c>
      <c r="G2942">
        <v>-449.7473</v>
      </c>
      <c r="H2942" s="1">
        <v>3.7366200000000001E-6</v>
      </c>
      <c r="I2942">
        <v>282.64</v>
      </c>
      <c r="J2942">
        <v>-432.86559999999997</v>
      </c>
      <c r="K2942">
        <v>1.1209480000000001</v>
      </c>
      <c r="L2942">
        <v>284.084</v>
      </c>
      <c r="M2942">
        <v>-0.99977510000000003</v>
      </c>
      <c r="N2942">
        <v>-1.440336E-2</v>
      </c>
      <c r="O2942">
        <v>1.55713E-2</v>
      </c>
      <c r="P2942">
        <v>-0.99672169999999904</v>
      </c>
      <c r="Q2942">
        <v>-8.0226599999999995E-2</v>
      </c>
      <c r="R2942">
        <v>-1.046705E-2</v>
      </c>
      <c r="S2942">
        <v>-2.9915769999999999</v>
      </c>
      <c r="T2942">
        <v>-0.19493540000000001</v>
      </c>
      <c r="U2942">
        <v>-0.25024410000000002</v>
      </c>
      <c r="V2942">
        <v>-2.599897E-2</v>
      </c>
      <c r="W2942">
        <v>-6.5861749999999997E-2</v>
      </c>
      <c r="X2942">
        <v>0.99748999999999999</v>
      </c>
      <c r="Y2942">
        <v>-9.8593180000000002E-2</v>
      </c>
      <c r="Z2942">
        <v>-4.7037420000000003E-3</v>
      </c>
      <c r="AA2942">
        <v>0.99511669999999997</v>
      </c>
      <c r="AB2942">
        <v>32</v>
      </c>
      <c r="AC2942">
        <v>-16.881699999999999</v>
      </c>
      <c r="AD2942">
        <v>-1.12094426338</v>
      </c>
      <c r="AE2942">
        <v>-1.4440000000000099</v>
      </c>
      <c r="AF2942">
        <v>-1.69928450514737</v>
      </c>
      <c r="AG2942">
        <v>-1.12094426338</v>
      </c>
      <c r="AH2942">
        <v>16.783704426261199</v>
      </c>
      <c r="AI2942">
        <v>93.801598680671603</v>
      </c>
      <c r="AJ2942">
        <v>95.781273381421798</v>
      </c>
      <c r="AK2942">
        <v>16.906709264050701</v>
      </c>
      <c r="AL2942">
        <v>93.776333782458494</v>
      </c>
      <c r="AM2942">
        <v>91.493041596282197</v>
      </c>
      <c r="AN2942">
        <v>1.0000000083270599</v>
      </c>
    </row>
    <row r="2943" spans="1:40" x14ac:dyDescent="0.25">
      <c r="A2943" t="str">
        <f>"20190303154155351"</f>
        <v>20190303154155351</v>
      </c>
      <c r="B2943" t="str">
        <f>"1551598915342643"</f>
        <v>1551598915342643</v>
      </c>
      <c r="C2943" t="s">
        <v>40</v>
      </c>
      <c r="D2943">
        <v>5.5494050000000001</v>
      </c>
      <c r="E2943">
        <v>0.47176509999999999</v>
      </c>
      <c r="F2943" t="s">
        <v>50</v>
      </c>
      <c r="G2943">
        <v>-449.7097</v>
      </c>
      <c r="H2943" s="1">
        <v>3.7159599999999998E-6</v>
      </c>
      <c r="I2943">
        <v>282.65440000000001</v>
      </c>
      <c r="J2943">
        <v>-433.1816</v>
      </c>
      <c r="K2943">
        <v>1.1209549999999999</v>
      </c>
      <c r="L2943">
        <v>284.089</v>
      </c>
      <c r="M2943">
        <v>-0.99977419999999995</v>
      </c>
      <c r="N2943">
        <v>-1.4400059999999999E-2</v>
      </c>
      <c r="O2943">
        <v>1.5632529999999999E-2</v>
      </c>
      <c r="P2943">
        <v>-0.99670499999999995</v>
      </c>
      <c r="Q2943">
        <v>-8.0450980000000005E-2</v>
      </c>
      <c r="R2943">
        <v>-1.0353390000000001E-2</v>
      </c>
      <c r="S2943">
        <v>-2.9911799999999999</v>
      </c>
      <c r="T2943">
        <v>-0.19905829999999999</v>
      </c>
      <c r="U2943">
        <v>-0.25387569999999998</v>
      </c>
      <c r="V2943">
        <v>-2.594627E-2</v>
      </c>
      <c r="W2943">
        <v>-6.6089659999999995E-2</v>
      </c>
      <c r="X2943">
        <v>0.99747629999999998</v>
      </c>
      <c r="Y2943">
        <v>-9.9850229999999998E-2</v>
      </c>
      <c r="Z2943">
        <v>-4.8470029999999999E-3</v>
      </c>
      <c r="AA2943">
        <v>0.99499059999999995</v>
      </c>
      <c r="AB2943">
        <v>32</v>
      </c>
      <c r="AC2943">
        <v>-16.528099999999899</v>
      </c>
      <c r="AD2943">
        <v>-1.12095128404</v>
      </c>
      <c r="AE2943">
        <v>-1.4345999999999799</v>
      </c>
      <c r="AF2943">
        <v>-1.6851343296510399</v>
      </c>
      <c r="AG2943">
        <v>-1.12095128404</v>
      </c>
      <c r="AH2943">
        <v>16.428649689484502</v>
      </c>
      <c r="AI2943">
        <v>93.883015946331895</v>
      </c>
      <c r="AJ2943">
        <v>95.856512697185394</v>
      </c>
      <c r="AK2943">
        <v>16.552846888374098</v>
      </c>
      <c r="AL2943">
        <v>93.789420568079805</v>
      </c>
      <c r="AM2943">
        <v>91.490037017267497</v>
      </c>
      <c r="AN2943">
        <v>1.0000000105737501</v>
      </c>
    </row>
    <row r="2944" spans="1:40" x14ac:dyDescent="0.25">
      <c r="A2944" t="str">
        <f>"20190303154155372"</f>
        <v>20190303154155372</v>
      </c>
      <c r="B2944" t="str">
        <f>"1551598915362164"</f>
        <v>1551598915362164</v>
      </c>
      <c r="C2944" t="s">
        <v>40</v>
      </c>
      <c r="D2944">
        <v>5.5110060000000001</v>
      </c>
      <c r="E2944">
        <v>0.47138980000000003</v>
      </c>
      <c r="F2944" t="s">
        <v>50</v>
      </c>
      <c r="G2944">
        <v>-449.70429999999999</v>
      </c>
      <c r="H2944" s="1">
        <v>3.7123800000000001E-6</v>
      </c>
      <c r="I2944">
        <v>282.67129999999997</v>
      </c>
      <c r="J2944">
        <v>-433.49720000000002</v>
      </c>
      <c r="K2944">
        <v>1.1209530000000001</v>
      </c>
      <c r="L2944">
        <v>284.09399999999999</v>
      </c>
      <c r="M2944">
        <v>-0.99977329999999998</v>
      </c>
      <c r="N2944">
        <v>-1.439674E-2</v>
      </c>
      <c r="O2944">
        <v>1.5693760000000001E-2</v>
      </c>
      <c r="P2944">
        <v>-0.9966912</v>
      </c>
      <c r="Q2944">
        <v>-8.0693130000000002E-2</v>
      </c>
      <c r="R2944">
        <v>-9.7513470000000005E-3</v>
      </c>
      <c r="S2944">
        <v>-2.990875</v>
      </c>
      <c r="T2944">
        <v>-0.2029098</v>
      </c>
      <c r="U2944">
        <v>-0.25662230000000003</v>
      </c>
      <c r="V2944">
        <v>-2.5405529999999999E-2</v>
      </c>
      <c r="W2944">
        <v>-6.6335309999999995E-2</v>
      </c>
      <c r="X2944">
        <v>0.99747390000000002</v>
      </c>
      <c r="Y2944">
        <v>-0.1008135</v>
      </c>
      <c r="Z2944">
        <v>-4.9740260000000003E-3</v>
      </c>
      <c r="AA2944">
        <v>0.99489289999999997</v>
      </c>
      <c r="AB2944">
        <v>32</v>
      </c>
      <c r="AC2944">
        <v>-16.207099999999901</v>
      </c>
      <c r="AD2944">
        <v>-1.12094928762</v>
      </c>
      <c r="AE2944">
        <v>-1.4227000000000201</v>
      </c>
      <c r="AF2944">
        <v>-1.6689786320603499</v>
      </c>
      <c r="AG2944">
        <v>-1.12094928762</v>
      </c>
      <c r="AH2944">
        <v>16.106315636079501</v>
      </c>
      <c r="AI2944">
        <v>93.960051696344394</v>
      </c>
      <c r="AJ2944">
        <v>95.916024378475598</v>
      </c>
      <c r="AK2944">
        <v>16.231309877785801</v>
      </c>
      <c r="AL2944">
        <v>93.803526279305501</v>
      </c>
      <c r="AM2944">
        <v>91.459000586568393</v>
      </c>
      <c r="AN2944">
        <v>0.99999999774429305</v>
      </c>
    </row>
    <row r="2945" spans="1:40" x14ac:dyDescent="0.25">
      <c r="A2945" t="str">
        <f>"20190303154155395"</f>
        <v>20190303154155395</v>
      </c>
      <c r="B2945" t="str">
        <f>"1551598915382665"</f>
        <v>1551598915382665</v>
      </c>
      <c r="C2945" t="s">
        <v>40</v>
      </c>
      <c r="D2945">
        <v>5.5544760000000002</v>
      </c>
      <c r="E2945">
        <v>0.47110380000000002</v>
      </c>
      <c r="F2945" t="s">
        <v>50</v>
      </c>
      <c r="G2945">
        <v>-449.6737</v>
      </c>
      <c r="H2945" s="1">
        <v>3.6948260000000001E-6</v>
      </c>
      <c r="I2945">
        <v>282.69979999999998</v>
      </c>
      <c r="J2945">
        <v>-433.80889999999999</v>
      </c>
      <c r="K2945">
        <v>1.120938</v>
      </c>
      <c r="L2945">
        <v>284.09899999999999</v>
      </c>
      <c r="M2945">
        <v>-0.99977240000000001</v>
      </c>
      <c r="N2945">
        <v>-1.439343E-2</v>
      </c>
      <c r="O2945">
        <v>1.575416E-2</v>
      </c>
      <c r="P2945">
        <v>-0.99665280000000001</v>
      </c>
      <c r="Q2945">
        <v>-8.1203059999999994E-2</v>
      </c>
      <c r="R2945">
        <v>-9.4603989999999995E-3</v>
      </c>
      <c r="S2945">
        <v>-2.990631</v>
      </c>
      <c r="T2945">
        <v>-0.2072359</v>
      </c>
      <c r="U2945">
        <v>-0.25775150000000002</v>
      </c>
      <c r="V2945">
        <v>-2.5173979999999999E-2</v>
      </c>
      <c r="W2945">
        <v>-6.684901E-2</v>
      </c>
      <c r="X2945">
        <v>0.99744549999999998</v>
      </c>
      <c r="Y2945">
        <v>-0.1012398</v>
      </c>
      <c r="Z2945">
        <v>-5.0904920000000003E-3</v>
      </c>
      <c r="AA2945">
        <v>0.99484899999999998</v>
      </c>
      <c r="AB2945">
        <v>32</v>
      </c>
      <c r="AC2945">
        <v>-15.864800000000001</v>
      </c>
      <c r="AD2945">
        <v>-1.1209343051739999</v>
      </c>
      <c r="AE2945">
        <v>-1.3992</v>
      </c>
      <c r="AF2945">
        <v>-1.6408605186143701</v>
      </c>
      <c r="AG2945">
        <v>-1.1209343051739999</v>
      </c>
      <c r="AH2945">
        <v>15.762702152746501</v>
      </c>
      <c r="AI2945">
        <v>94.045843049573605</v>
      </c>
      <c r="AJ2945">
        <v>95.942952069076696</v>
      </c>
      <c r="AK2945">
        <v>15.887469783268299</v>
      </c>
      <c r="AL2945">
        <v>93.833024504897097</v>
      </c>
      <c r="AM2945">
        <v>91.445749840689203</v>
      </c>
      <c r="AN2945">
        <v>1.0000000224386301</v>
      </c>
    </row>
    <row r="2946" spans="1:40" x14ac:dyDescent="0.25">
      <c r="A2946" t="str">
        <f>"20190303154155417"</f>
        <v>20190303154155417</v>
      </c>
      <c r="B2946" t="str">
        <f>"1551598915412916"</f>
        <v>1551598915412916</v>
      </c>
      <c r="C2946" t="s">
        <v>40</v>
      </c>
      <c r="D2946">
        <v>5.5472270000000004</v>
      </c>
      <c r="E2946">
        <v>0.47071750000000001</v>
      </c>
      <c r="F2946" t="s">
        <v>50</v>
      </c>
      <c r="G2946">
        <v>-449.62520000000001</v>
      </c>
      <c r="H2946" s="1">
        <v>3.6678170000000001E-6</v>
      </c>
      <c r="I2946">
        <v>282.72739999999999</v>
      </c>
      <c r="J2946">
        <v>-434.1241</v>
      </c>
      <c r="K2946">
        <v>1.1209420000000001</v>
      </c>
      <c r="L2946">
        <v>284.10399999999998</v>
      </c>
      <c r="M2946">
        <v>-0.99977139999999998</v>
      </c>
      <c r="N2946">
        <v>-1.4390109999999999E-2</v>
      </c>
      <c r="O2946">
        <v>1.5815860000000001E-2</v>
      </c>
      <c r="P2946">
        <v>-0.99661699999999998</v>
      </c>
      <c r="Q2946">
        <v>-8.1723939999999995E-2</v>
      </c>
      <c r="R2946">
        <v>-8.6946360000000004E-3</v>
      </c>
      <c r="S2946">
        <v>-2.9903870000000001</v>
      </c>
      <c r="T2946">
        <v>-0.21193500000000001</v>
      </c>
      <c r="U2946">
        <v>-0.25933840000000002</v>
      </c>
      <c r="V2946">
        <v>-2.4469189999999998E-2</v>
      </c>
      <c r="W2946">
        <v>-6.7373669999999997E-2</v>
      </c>
      <c r="X2946">
        <v>0.99742770000000003</v>
      </c>
      <c r="Y2946">
        <v>-0.1018168</v>
      </c>
      <c r="Z2946">
        <v>-5.2224719999999997E-3</v>
      </c>
      <c r="AA2946">
        <v>0.99478949999999999</v>
      </c>
      <c r="AB2946">
        <v>32</v>
      </c>
      <c r="AC2946">
        <v>-15.501099999999999</v>
      </c>
      <c r="AD2946">
        <v>-1.120938332183</v>
      </c>
      <c r="AE2946">
        <v>-1.37660000000005</v>
      </c>
      <c r="AF2946">
        <v>-1.6132463499716601</v>
      </c>
      <c r="AG2946">
        <v>-1.120938332183</v>
      </c>
      <c r="AH2946">
        <v>15.3974992283659</v>
      </c>
      <c r="AI2946">
        <v>94.141200412960302</v>
      </c>
      <c r="AJ2946">
        <v>95.9812436570854</v>
      </c>
      <c r="AK2946">
        <v>15.522308108582999</v>
      </c>
      <c r="AL2946">
        <v>93.863153379710795</v>
      </c>
      <c r="AM2946">
        <v>91.405315055444603</v>
      </c>
      <c r="AN2946">
        <v>0.99999998469790696</v>
      </c>
    </row>
    <row r="2947" spans="1:40" x14ac:dyDescent="0.25">
      <c r="A2947" t="str">
        <f>"20190303154155441"</f>
        <v>20190303154155441</v>
      </c>
      <c r="B2947" t="str">
        <f>"1551598915432435"</f>
        <v>1551598915432435</v>
      </c>
      <c r="C2947" t="s">
        <v>40</v>
      </c>
      <c r="D2947">
        <v>5.5471089999999998</v>
      </c>
      <c r="E2947">
        <v>0.47049299999999999</v>
      </c>
      <c r="F2947" t="s">
        <v>50</v>
      </c>
      <c r="G2947">
        <v>-449.5772</v>
      </c>
      <c r="H2947" s="1">
        <v>3.640832E-6</v>
      </c>
      <c r="I2947">
        <v>282.76069999999999</v>
      </c>
      <c r="J2947">
        <v>-434.44760000000002</v>
      </c>
      <c r="K2947">
        <v>1.120951</v>
      </c>
      <c r="L2947">
        <v>284.10919999999999</v>
      </c>
      <c r="M2947">
        <v>-0.99977059999999995</v>
      </c>
      <c r="N2947">
        <v>-1.4386670000000001E-2</v>
      </c>
      <c r="O2947">
        <v>1.5878469999999999E-2</v>
      </c>
      <c r="P2947">
        <v>-0.99660689999999996</v>
      </c>
      <c r="Q2947">
        <v>-8.1893560000000004E-2</v>
      </c>
      <c r="R2947">
        <v>-8.2629920000000003E-3</v>
      </c>
      <c r="S2947">
        <v>-2.9901430000000002</v>
      </c>
      <c r="T2947">
        <v>-0.2168986</v>
      </c>
      <c r="U2947">
        <v>-0.25991819999999999</v>
      </c>
      <c r="V2947">
        <v>-2.4099829999999999E-2</v>
      </c>
      <c r="W2947">
        <v>-6.7546819999999994E-2</v>
      </c>
      <c r="X2947">
        <v>0.99742500000000001</v>
      </c>
      <c r="Y2947">
        <v>-0.1020619</v>
      </c>
      <c r="Z2947">
        <v>-5.3471559999999996E-3</v>
      </c>
      <c r="AA2947">
        <v>0.99476370000000003</v>
      </c>
      <c r="AB2947">
        <v>32</v>
      </c>
      <c r="AC2947">
        <v>-15.1295999999999</v>
      </c>
      <c r="AD2947">
        <v>-1.1209473591679999</v>
      </c>
      <c r="AE2947">
        <v>-1.3485</v>
      </c>
      <c r="AF2947">
        <v>-1.5799850535684701</v>
      </c>
      <c r="AG2947">
        <v>-1.1209473591679999</v>
      </c>
      <c r="AH2947">
        <v>15.0244544245657</v>
      </c>
      <c r="AI2947">
        <v>94.243515793199194</v>
      </c>
      <c r="AJ2947">
        <v>96.0032107965921</v>
      </c>
      <c r="AK2947">
        <v>15.148831852898001</v>
      </c>
      <c r="AL2947">
        <v>93.873096725887294</v>
      </c>
      <c r="AM2947">
        <v>91.384114024306996</v>
      </c>
      <c r="AN2947">
        <v>1.0000000026615701</v>
      </c>
    </row>
    <row r="2948" spans="1:40" x14ac:dyDescent="0.25">
      <c r="A2948" t="str">
        <f>"20190303154155462"</f>
        <v>20190303154155462</v>
      </c>
      <c r="B2948" t="str">
        <f>"1551598915452931"</f>
        <v>1551598915452931</v>
      </c>
      <c r="C2948" t="s">
        <v>40</v>
      </c>
      <c r="D2948">
        <v>5.5447340000000001</v>
      </c>
      <c r="E2948">
        <v>0.47029680000000001</v>
      </c>
      <c r="F2948" t="s">
        <v>50</v>
      </c>
      <c r="G2948">
        <v>-449.70499999999998</v>
      </c>
      <c r="H2948" s="1">
        <v>3.7080159999999999E-6</v>
      </c>
      <c r="I2948">
        <v>282.77980000000002</v>
      </c>
      <c r="J2948">
        <v>-434.76</v>
      </c>
      <c r="K2948">
        <v>1.120954</v>
      </c>
      <c r="L2948">
        <v>284.11430000000001</v>
      </c>
      <c r="M2948">
        <v>-0.99976960000000004</v>
      </c>
      <c r="N2948">
        <v>-1.4383369999999999E-2</v>
      </c>
      <c r="O2948">
        <v>1.5939160000000001E-2</v>
      </c>
      <c r="P2948">
        <v>-0.9966313</v>
      </c>
      <c r="Q2948">
        <v>-8.1626359999999995E-2</v>
      </c>
      <c r="R2948">
        <v>-7.9683259999999995E-3</v>
      </c>
      <c r="S2948">
        <v>-2.9899900000000001</v>
      </c>
      <c r="T2948">
        <v>-0.21967200000000001</v>
      </c>
      <c r="U2948">
        <v>-0.2605286</v>
      </c>
      <c r="V2948">
        <v>-2.386578E-2</v>
      </c>
      <c r="W2948">
        <v>-6.728257E-2</v>
      </c>
      <c r="X2948">
        <v>0.99744849999999996</v>
      </c>
      <c r="Y2948">
        <v>-0.1023189</v>
      </c>
      <c r="Z2948">
        <v>-5.4238269999999896E-3</v>
      </c>
      <c r="AA2948">
        <v>0.99473690000000003</v>
      </c>
      <c r="AB2948">
        <v>32</v>
      </c>
      <c r="AC2948">
        <v>-14.944999999999901</v>
      </c>
      <c r="AD2948">
        <v>-1.120950291984</v>
      </c>
      <c r="AE2948">
        <v>-1.33449999999999</v>
      </c>
      <c r="AF2948">
        <v>-1.5638376277255199</v>
      </c>
      <c r="AG2948">
        <v>-1.120950291984</v>
      </c>
      <c r="AH2948">
        <v>14.8390077687518</v>
      </c>
      <c r="AI2948">
        <v>94.296261139887505</v>
      </c>
      <c r="AJ2948">
        <v>96.016020360835199</v>
      </c>
      <c r="AK2948">
        <v>14.963230575115301</v>
      </c>
      <c r="AL2948">
        <v>93.857921746459098</v>
      </c>
      <c r="AM2948">
        <v>91.370644814630097</v>
      </c>
      <c r="AN2948">
        <v>1.00000001491653</v>
      </c>
    </row>
    <row r="2949" spans="1:40" x14ac:dyDescent="0.25">
      <c r="A2949" t="str">
        <f>"20190303154155485"</f>
        <v>20190303154155485</v>
      </c>
      <c r="B2949" t="str">
        <f>"1551598915472453"</f>
        <v>1551598915472453</v>
      </c>
      <c r="C2949" t="s">
        <v>40</v>
      </c>
      <c r="D2949">
        <v>5.5540289999999999</v>
      </c>
      <c r="E2949">
        <v>0.47013490000000002</v>
      </c>
      <c r="F2949" t="s">
        <v>50</v>
      </c>
      <c r="G2949">
        <v>-449.92149999999998</v>
      </c>
      <c r="H2949" s="1">
        <v>3.8226999999999998E-6</v>
      </c>
      <c r="I2949">
        <v>282.79149999999998</v>
      </c>
      <c r="J2949">
        <v>-435.06689999999998</v>
      </c>
      <c r="K2949">
        <v>1.120949</v>
      </c>
      <c r="L2949">
        <v>284.11919999999998</v>
      </c>
      <c r="M2949">
        <v>-0.99976869999999995</v>
      </c>
      <c r="N2949">
        <v>-1.438008E-2</v>
      </c>
      <c r="O2949">
        <v>1.5998729999999999E-2</v>
      </c>
      <c r="P2949">
        <v>-0.99661849999999996</v>
      </c>
      <c r="Q2949">
        <v>-8.1768480000000004E-2</v>
      </c>
      <c r="R2949">
        <v>-8.0977840000000002E-3</v>
      </c>
      <c r="S2949">
        <v>-2.98996</v>
      </c>
      <c r="T2949">
        <v>-0.2210599</v>
      </c>
      <c r="U2949">
        <v>-0.26086429999999999</v>
      </c>
      <c r="V2949">
        <v>-2.4054369999999999E-2</v>
      </c>
      <c r="W2949">
        <v>-6.7428210000000002E-2</v>
      </c>
      <c r="X2949">
        <v>0.99743409999999999</v>
      </c>
      <c r="Y2949">
        <v>-0.10248500000000001</v>
      </c>
      <c r="Z2949">
        <v>-5.4655789999999999E-3</v>
      </c>
      <c r="AA2949">
        <v>0.99471960000000004</v>
      </c>
      <c r="AB2949">
        <v>32</v>
      </c>
      <c r="AC2949">
        <v>-14.8546</v>
      </c>
      <c r="AD2949">
        <v>-1.1209451773000001</v>
      </c>
      <c r="AE2949">
        <v>-1.3276999999999901</v>
      </c>
      <c r="AF2949">
        <v>-1.5564167277810601</v>
      </c>
      <c r="AG2949">
        <v>-1.1209451773000001</v>
      </c>
      <c r="AH2949">
        <v>14.7481387006181</v>
      </c>
      <c r="AI2949">
        <v>94.322546772425497</v>
      </c>
      <c r="AJ2949">
        <v>96.024302310936207</v>
      </c>
      <c r="AK2949">
        <v>14.8723416533409</v>
      </c>
      <c r="AL2949">
        <v>93.866285431980103</v>
      </c>
      <c r="AM2949">
        <v>91.381491555477396</v>
      </c>
      <c r="AN2949">
        <v>0.99999998003135504</v>
      </c>
    </row>
    <row r="2950" spans="1:40" x14ac:dyDescent="0.25">
      <c r="A2950" t="str">
        <f>"20190303154155508"</f>
        <v>20190303154155508</v>
      </c>
      <c r="B2950" t="str">
        <f>"1551598915502707"</f>
        <v>1551598915502707</v>
      </c>
      <c r="C2950" t="s">
        <v>40</v>
      </c>
      <c r="D2950">
        <v>5.5243149999999996</v>
      </c>
      <c r="E2950">
        <v>0.46984789999999998</v>
      </c>
      <c r="F2950" t="s">
        <v>50</v>
      </c>
      <c r="G2950">
        <v>-450.07819999999998</v>
      </c>
      <c r="H2950" s="1">
        <v>-1.4157749999999901E-6</v>
      </c>
      <c r="I2950">
        <v>282.79919999999998</v>
      </c>
      <c r="J2950">
        <v>-435.39800000000002</v>
      </c>
      <c r="K2950">
        <v>1.1209530000000001</v>
      </c>
      <c r="L2950">
        <v>284.12459999999999</v>
      </c>
      <c r="M2950">
        <v>-0.99976759999999998</v>
      </c>
      <c r="N2950">
        <v>-1.43765E-2</v>
      </c>
      <c r="O2950">
        <v>1.6062940000000001E-2</v>
      </c>
      <c r="P2950">
        <v>-0.99663219999999997</v>
      </c>
      <c r="Q2950">
        <v>-8.1630620000000001E-2</v>
      </c>
      <c r="R2950">
        <v>-7.8133339999999999E-3</v>
      </c>
      <c r="S2950">
        <v>-2.9896850000000001</v>
      </c>
      <c r="T2950">
        <v>-0.2232518</v>
      </c>
      <c r="U2950">
        <v>-0.2629089</v>
      </c>
      <c r="V2950">
        <v>-2.3834379999999999E-2</v>
      </c>
      <c r="W2950">
        <v>-6.7293729999999996E-2</v>
      </c>
      <c r="X2950">
        <v>0.99744849999999996</v>
      </c>
      <c r="Y2950">
        <v>-0.10322249999999999</v>
      </c>
      <c r="Z2950">
        <v>-5.5514459999999998E-3</v>
      </c>
      <c r="AA2950">
        <v>0.99464280000000005</v>
      </c>
      <c r="AB2950">
        <v>31</v>
      </c>
      <c r="AC2950">
        <v>-14.6801999999999</v>
      </c>
      <c r="AD2950">
        <v>-1.120954415775</v>
      </c>
      <c r="AE2950">
        <v>-1.3253999999999999</v>
      </c>
      <c r="AF2950">
        <v>-1.5520841294483501</v>
      </c>
      <c r="AG2950">
        <v>-1.120954415775</v>
      </c>
      <c r="AH2950">
        <v>14.5727330618338</v>
      </c>
      <c r="AI2950">
        <v>94.373966089421003</v>
      </c>
      <c r="AJ2950">
        <v>96.079428456184303</v>
      </c>
      <c r="AK2950">
        <v>14.697960839469999</v>
      </c>
      <c r="AL2950">
        <v>93.858562611938495</v>
      </c>
      <c r="AM2950">
        <v>91.368842155692107</v>
      </c>
      <c r="AN2950">
        <v>1.00000001695977</v>
      </c>
    </row>
    <row r="2951" spans="1:40" x14ac:dyDescent="0.25">
      <c r="A2951" t="str">
        <f>"20190303154155530"</f>
        <v>20190303154155530</v>
      </c>
      <c r="B2951" t="str">
        <f>"1551598915522227"</f>
        <v>1551598915522227</v>
      </c>
      <c r="C2951" t="s">
        <v>40</v>
      </c>
      <c r="D2951">
        <v>5.4846649999999997</v>
      </c>
      <c r="E2951">
        <v>0.46971669999999999</v>
      </c>
      <c r="F2951" t="s">
        <v>50</v>
      </c>
      <c r="G2951">
        <v>-450.29520000000002</v>
      </c>
      <c r="H2951" s="1">
        <v>-1.3006690000000001E-6</v>
      </c>
      <c r="I2951">
        <v>282.80860000000001</v>
      </c>
      <c r="J2951">
        <v>-435.70280000000002</v>
      </c>
      <c r="K2951">
        <v>1.1209579999999999</v>
      </c>
      <c r="L2951">
        <v>284.12959999999998</v>
      </c>
      <c r="M2951">
        <v>-0.99976679999999996</v>
      </c>
      <c r="N2951">
        <v>-1.4373210000000001E-2</v>
      </c>
      <c r="O2951">
        <v>1.612185E-2</v>
      </c>
      <c r="P2951">
        <v>-0.99659600000000004</v>
      </c>
      <c r="Q2951">
        <v>-8.2057030000000003E-2</v>
      </c>
      <c r="R2951">
        <v>-7.9566280000000003E-3</v>
      </c>
      <c r="S2951">
        <v>-2.9896240000000001</v>
      </c>
      <c r="T2951">
        <v>-0.22495699999999999</v>
      </c>
      <c r="U2951">
        <v>-0.26409909999999998</v>
      </c>
      <c r="V2951">
        <v>-2.4035819999999999E-2</v>
      </c>
      <c r="W2951">
        <v>-6.7723920000000007E-2</v>
      </c>
      <c r="X2951">
        <v>0.99741449999999998</v>
      </c>
      <c r="Y2951">
        <v>-0.103668899999999</v>
      </c>
      <c r="Z2951">
        <v>-5.61328E-3</v>
      </c>
      <c r="AA2951">
        <v>0.99459600000000004</v>
      </c>
      <c r="AB2951">
        <v>31</v>
      </c>
      <c r="AC2951">
        <v>-14.5923999999999</v>
      </c>
      <c r="AD2951">
        <v>-1.120959300669</v>
      </c>
      <c r="AE2951">
        <v>-1.32099999999996</v>
      </c>
      <c r="AF2951">
        <v>-1.5470540768974901</v>
      </c>
      <c r="AG2951">
        <v>-1.120959300669</v>
      </c>
      <c r="AH2951">
        <v>14.484425978120001</v>
      </c>
      <c r="AI2951">
        <v>94.400407860854401</v>
      </c>
      <c r="AJ2951">
        <v>96.096540633869097</v>
      </c>
      <c r="AK2951">
        <v>14.609877548639499</v>
      </c>
      <c r="AL2951">
        <v>93.883267234645501</v>
      </c>
      <c r="AM2951">
        <v>91.380453719511195</v>
      </c>
      <c r="AN2951">
        <v>0.99999996739674302</v>
      </c>
    </row>
    <row r="2952" spans="1:40" x14ac:dyDescent="0.25">
      <c r="A2952" t="str">
        <f>"20190303154155552"</f>
        <v>20190303154155552</v>
      </c>
      <c r="B2952" t="str">
        <f>"1551598915542723"</f>
        <v>1551598915542723</v>
      </c>
      <c r="C2952" t="s">
        <v>40</v>
      </c>
      <c r="D2952">
        <v>5.5483039999999999</v>
      </c>
      <c r="E2952">
        <v>0.46948620000000002</v>
      </c>
      <c r="F2952" t="s">
        <v>50</v>
      </c>
      <c r="G2952">
        <v>-450.55739999999997</v>
      </c>
      <c r="H2952" s="1">
        <v>-1.161223E-6</v>
      </c>
      <c r="I2952">
        <v>282.81049999999999</v>
      </c>
      <c r="J2952">
        <v>-436.01650000000001</v>
      </c>
      <c r="K2952">
        <v>1.1209629999999999</v>
      </c>
      <c r="L2952">
        <v>284.13470000000001</v>
      </c>
      <c r="M2952">
        <v>-0.99976580000000004</v>
      </c>
      <c r="N2952">
        <v>-1.436981E-2</v>
      </c>
      <c r="O2952">
        <v>1.61829E-2</v>
      </c>
      <c r="P2952">
        <v>-0.99662519999999999</v>
      </c>
      <c r="Q2952">
        <v>-8.1700549999999997E-2</v>
      </c>
      <c r="R2952">
        <v>-7.9534080000000004E-3</v>
      </c>
      <c r="S2952">
        <v>-2.989563</v>
      </c>
      <c r="T2952">
        <v>-0.22559770000000001</v>
      </c>
      <c r="U2952">
        <v>-0.2654724</v>
      </c>
      <c r="V2952">
        <v>-2.4093940000000001E-2</v>
      </c>
      <c r="W2952">
        <v>-6.7370470000000002E-2</v>
      </c>
      <c r="X2952">
        <v>0.99743709999999997</v>
      </c>
      <c r="Y2952">
        <v>-0.1041808</v>
      </c>
      <c r="Z2952">
        <v>-5.6543239999999996E-3</v>
      </c>
      <c r="AA2952">
        <v>0.99454229999999999</v>
      </c>
      <c r="AB2952">
        <v>31</v>
      </c>
      <c r="AC2952">
        <v>-14.540899999999899</v>
      </c>
      <c r="AD2952">
        <v>-1.1209641612229999</v>
      </c>
      <c r="AE2952">
        <v>-1.32420000000001</v>
      </c>
      <c r="AF2952">
        <v>-1.5502276599736899</v>
      </c>
      <c r="AG2952">
        <v>-1.1209641612229999</v>
      </c>
      <c r="AH2952">
        <v>14.4324979376985</v>
      </c>
      <c r="AI2952">
        <v>94.415915630920296</v>
      </c>
      <c r="AJ2952">
        <v>96.130765316339804</v>
      </c>
      <c r="AK2952">
        <v>14.5587349440178</v>
      </c>
      <c r="AL2952">
        <v>93.862969427597406</v>
      </c>
      <c r="AM2952">
        <v>91.383759098110502</v>
      </c>
      <c r="AN2952">
        <v>1.00000003331457</v>
      </c>
    </row>
    <row r="2953" spans="1:40" x14ac:dyDescent="0.25">
      <c r="A2953" t="str">
        <f>"20190303154155573"</f>
        <v>20190303154155573</v>
      </c>
      <c r="B2953" t="str">
        <f>"1551598915562244"</f>
        <v>1551598915562244</v>
      </c>
      <c r="C2953" t="s">
        <v>40</v>
      </c>
      <c r="D2953">
        <v>5.5387380000000004</v>
      </c>
      <c r="E2953">
        <v>0.46934700000000001</v>
      </c>
      <c r="F2953" t="s">
        <v>50</v>
      </c>
      <c r="G2953">
        <v>-450.86829999999998</v>
      </c>
      <c r="H2953" s="1">
        <v>-9.9562270000000002E-7</v>
      </c>
      <c r="I2953">
        <v>282.80650000000003</v>
      </c>
      <c r="J2953">
        <v>-436.31610000000001</v>
      </c>
      <c r="K2953">
        <v>1.1209629999999999</v>
      </c>
      <c r="L2953">
        <v>284.13959999999997</v>
      </c>
      <c r="M2953">
        <v>-0.99976489999999996</v>
      </c>
      <c r="N2953">
        <v>-1.436658E-2</v>
      </c>
      <c r="O2953">
        <v>1.6241100000000001E-2</v>
      </c>
      <c r="P2953">
        <v>-0.9966178</v>
      </c>
      <c r="Q2953">
        <v>-8.1740279999999998E-2</v>
      </c>
      <c r="R2953">
        <v>-8.4642509999999904E-3</v>
      </c>
      <c r="S2953">
        <v>-2.989563</v>
      </c>
      <c r="T2953">
        <v>-0.22564219999999999</v>
      </c>
      <c r="U2953">
        <v>-0.2673645</v>
      </c>
      <c r="V2953">
        <v>-2.4662219999999999E-2</v>
      </c>
      <c r="W2953">
        <v>-6.7413529999999999E-2</v>
      </c>
      <c r="X2953">
        <v>0.99742030000000004</v>
      </c>
      <c r="Y2953">
        <v>-0.1048607</v>
      </c>
      <c r="Z2953">
        <v>-5.6891190000000003E-3</v>
      </c>
      <c r="AA2953">
        <v>0.99447070000000004</v>
      </c>
      <c r="AB2953">
        <v>31</v>
      </c>
      <c r="AC2953">
        <v>-14.5521999999999</v>
      </c>
      <c r="AD2953">
        <v>-1.1209639956227</v>
      </c>
      <c r="AE2953">
        <v>-1.33309999999994</v>
      </c>
      <c r="AF2953">
        <v>-1.5601120551239001</v>
      </c>
      <c r="AG2953">
        <v>-1.1209639956227</v>
      </c>
      <c r="AH2953">
        <v>14.443635952467201</v>
      </c>
      <c r="AI2953">
        <v>94.412241674647106</v>
      </c>
      <c r="AJ2953">
        <v>96.164834203627805</v>
      </c>
      <c r="AK2953">
        <v>14.570831459852499</v>
      </c>
      <c r="AL2953">
        <v>93.865442210594594</v>
      </c>
      <c r="AM2953">
        <v>91.416407164399402</v>
      </c>
      <c r="AN2953">
        <v>1.00000003198723</v>
      </c>
    </row>
    <row r="2954" spans="1:40" x14ac:dyDescent="0.25">
      <c r="A2954" t="str">
        <f>"20190303154155589"</f>
        <v>20190303154155589</v>
      </c>
      <c r="B2954" t="str">
        <f>"1551598915582741"</f>
        <v>1551598915582741</v>
      </c>
      <c r="C2954" t="s">
        <v>40</v>
      </c>
      <c r="D2954">
        <v>5.5804390000000001</v>
      </c>
      <c r="E2954">
        <v>0.4691343</v>
      </c>
      <c r="F2954" t="s">
        <v>50</v>
      </c>
      <c r="G2954">
        <v>-451.166</v>
      </c>
      <c r="H2954" s="1">
        <v>-8.36801E-7</v>
      </c>
      <c r="I2954">
        <v>282.798</v>
      </c>
      <c r="J2954">
        <v>-436.53109999999998</v>
      </c>
      <c r="K2954">
        <v>1.1209629999999999</v>
      </c>
      <c r="L2954">
        <v>284.1431</v>
      </c>
      <c r="M2954">
        <v>-0.99976430000000005</v>
      </c>
      <c r="N2954">
        <v>-1.436425E-2</v>
      </c>
      <c r="O2954">
        <v>1.628259E-2</v>
      </c>
      <c r="P2954">
        <v>-0.99660709999999997</v>
      </c>
      <c r="Q2954">
        <v>-8.1849340000000007E-2</v>
      </c>
      <c r="R2954">
        <v>-8.6848529999999993E-3</v>
      </c>
      <c r="S2954">
        <v>-2.9893800000000001</v>
      </c>
      <c r="T2954">
        <v>-0.22565660000000001</v>
      </c>
      <c r="U2954">
        <v>-0.270080599999999</v>
      </c>
      <c r="V2954">
        <v>-2.4924089999999999E-2</v>
      </c>
      <c r="W2954">
        <v>-6.7525119999999994E-2</v>
      </c>
      <c r="X2954">
        <v>0.99740620000000002</v>
      </c>
      <c r="Y2954">
        <v>-0.1058003</v>
      </c>
      <c r="Z2954">
        <v>-5.7341559999999998E-3</v>
      </c>
      <c r="AA2954">
        <v>0.99437089999999995</v>
      </c>
      <c r="AB2954">
        <v>31</v>
      </c>
      <c r="AC2954">
        <v>-14.6349</v>
      </c>
      <c r="AD2954">
        <v>-1.120963836801</v>
      </c>
      <c r="AE2954">
        <v>-1.3451</v>
      </c>
      <c r="AF2954">
        <v>-1.5740827725187301</v>
      </c>
      <c r="AG2954">
        <v>-1.120963836801</v>
      </c>
      <c r="AH2954">
        <v>14.5265445832738</v>
      </c>
      <c r="AI2954">
        <v>94.386995933646901</v>
      </c>
      <c r="AJ2954">
        <v>96.184387312632097</v>
      </c>
      <c r="AK2954">
        <v>14.6545144589644</v>
      </c>
      <c r="AL2954">
        <v>93.871850611592507</v>
      </c>
      <c r="AM2954">
        <v>91.431460954518698</v>
      </c>
      <c r="AN2954">
        <v>0.99999998994589101</v>
      </c>
    </row>
    <row r="2955" spans="1:40" x14ac:dyDescent="0.25">
      <c r="A2955" t="str">
        <f>"20190303154155607"</f>
        <v>20190303154155607</v>
      </c>
      <c r="B2955" t="str">
        <f>"1551598915602259"</f>
        <v>1551598915602259</v>
      </c>
      <c r="C2955" t="s">
        <v>40</v>
      </c>
      <c r="D2955">
        <v>5.4854320000000003</v>
      </c>
      <c r="E2955">
        <v>0.46152900000000002</v>
      </c>
      <c r="F2955" t="s">
        <v>50</v>
      </c>
      <c r="G2955">
        <v>-451.32190000000003</v>
      </c>
      <c r="H2955" s="1">
        <v>-7.5375559999999997E-7</v>
      </c>
      <c r="I2955">
        <v>282.79590000000002</v>
      </c>
      <c r="J2955">
        <v>-436.78519999999997</v>
      </c>
      <c r="K2955">
        <v>1.1209549999999999</v>
      </c>
      <c r="L2955">
        <v>284.14729999999997</v>
      </c>
      <c r="M2955">
        <v>-0.99976350000000003</v>
      </c>
      <c r="N2955">
        <v>-1.4361479999999999E-2</v>
      </c>
      <c r="O2955">
        <v>1.6332260000000001E-2</v>
      </c>
      <c r="P2955">
        <v>-0.99657600000000002</v>
      </c>
      <c r="Q2955">
        <v>-8.2238989999999998E-2</v>
      </c>
      <c r="R2955">
        <v>-8.5510629999999994E-3</v>
      </c>
      <c r="S2955">
        <v>-2.9892270000000001</v>
      </c>
      <c r="T2955">
        <v>-0.22654640000000001</v>
      </c>
      <c r="U2955">
        <v>-0.27227780000000001</v>
      </c>
      <c r="V2955">
        <v>-2.483925E-2</v>
      </c>
      <c r="W2955">
        <v>-6.7917959999999999E-2</v>
      </c>
      <c r="X2955">
        <v>0.99738159999999998</v>
      </c>
      <c r="Y2955">
        <v>-0.1065736</v>
      </c>
      <c r="Z2955">
        <v>-5.7924730000000002E-3</v>
      </c>
      <c r="AA2955">
        <v>0.99428799999999995</v>
      </c>
      <c r="AB2955">
        <v>31</v>
      </c>
      <c r="AC2955">
        <v>-14.5367</v>
      </c>
      <c r="AD2955">
        <v>-1.1209557537556001</v>
      </c>
      <c r="AE2955">
        <v>-1.35139999999995</v>
      </c>
      <c r="AF2955">
        <v>-1.57935056708984</v>
      </c>
      <c r="AG2955">
        <v>-1.1209557537556001</v>
      </c>
      <c r="AH2955">
        <v>14.427631365156699</v>
      </c>
      <c r="AI2955">
        <v>94.416397384420506</v>
      </c>
      <c r="AJ2955">
        <v>96.247127292464398</v>
      </c>
      <c r="AK2955">
        <v>14.5570407990257</v>
      </c>
      <c r="AL2955">
        <v>93.894410645738603</v>
      </c>
      <c r="AM2955">
        <v>91.426625542188503</v>
      </c>
      <c r="AN2955">
        <v>0.99999994682483995</v>
      </c>
    </row>
    <row r="2956" spans="1:40" x14ac:dyDescent="0.25">
      <c r="A2956" t="str">
        <f>"20190303154155629"</f>
        <v>20190303154155629</v>
      </c>
      <c r="B2956" t="str">
        <f>"1551598915622761"</f>
        <v>1551598915622761</v>
      </c>
      <c r="C2956" t="s">
        <v>40</v>
      </c>
      <c r="D2956">
        <v>5.573861</v>
      </c>
      <c r="E2956">
        <v>0.45681840000000001</v>
      </c>
      <c r="F2956" t="s">
        <v>50</v>
      </c>
      <c r="G2956">
        <v>-451.73899999999998</v>
      </c>
      <c r="H2956" s="1">
        <v>-5.1810029999999999E-7</v>
      </c>
      <c r="I2956">
        <v>282.4828</v>
      </c>
      <c r="J2956">
        <v>-437.09640000000002</v>
      </c>
      <c r="K2956">
        <v>1.1209530000000001</v>
      </c>
      <c r="L2956">
        <v>284.15249999999997</v>
      </c>
      <c r="M2956">
        <v>-0.9997625</v>
      </c>
      <c r="N2956">
        <v>-1.43581E-2</v>
      </c>
      <c r="O2956">
        <v>1.6392779999999999E-2</v>
      </c>
      <c r="P2956">
        <v>-0.9965193</v>
      </c>
      <c r="Q2956">
        <v>-8.2920530000000006E-2</v>
      </c>
      <c r="R2956">
        <v>-8.5722579999999993E-3</v>
      </c>
      <c r="S2956">
        <v>-2.988953</v>
      </c>
      <c r="T2956">
        <v>-0.22405520000000001</v>
      </c>
      <c r="U2956">
        <v>-0.33270260000000001</v>
      </c>
      <c r="V2956">
        <v>-2.4920350000000001E-2</v>
      </c>
      <c r="W2956">
        <v>-6.8603629999999999E-2</v>
      </c>
      <c r="X2956">
        <v>0.99733269999999996</v>
      </c>
      <c r="Y2956">
        <v>-0.12645819999999999</v>
      </c>
      <c r="Z2956">
        <v>-6.6199919999999999E-3</v>
      </c>
      <c r="AA2956">
        <v>0.99194990000000005</v>
      </c>
      <c r="AB2956">
        <v>31</v>
      </c>
      <c r="AC2956">
        <v>-14.6426</v>
      </c>
      <c r="AD2956">
        <v>-1.1209535181003001</v>
      </c>
      <c r="AE2956">
        <v>-1.66969999999997</v>
      </c>
      <c r="AF2956">
        <v>-1.89854953400982</v>
      </c>
      <c r="AG2956">
        <v>-1.1209535181003001</v>
      </c>
      <c r="AH2956">
        <v>14.529201986321301</v>
      </c>
      <c r="AI2956">
        <v>94.374686126485898</v>
      </c>
      <c r="AJ2956">
        <v>97.4447316297247</v>
      </c>
      <c r="AK2956">
        <v>14.6955346102874</v>
      </c>
      <c r="AL2956">
        <v>93.933788291748698</v>
      </c>
      <c r="AM2956">
        <v>91.431351679158695</v>
      </c>
      <c r="AN2956">
        <v>0.99999999819129404</v>
      </c>
    </row>
    <row r="2957" spans="1:40" x14ac:dyDescent="0.25">
      <c r="A2957" t="str">
        <f>"20190303154155645"</f>
        <v>20190303154155645</v>
      </c>
      <c r="B2957" t="str">
        <f>"1551598915642276"</f>
        <v>1551598915642276</v>
      </c>
      <c r="C2957" t="s">
        <v>40</v>
      </c>
      <c r="D2957">
        <v>5.5426089999999997</v>
      </c>
      <c r="E2957">
        <v>0.4551984</v>
      </c>
      <c r="F2957" t="s">
        <v>50</v>
      </c>
      <c r="G2957">
        <v>-451.28890000000001</v>
      </c>
      <c r="H2957" s="1">
        <v>-7.5375760000000002E-7</v>
      </c>
      <c r="I2957">
        <v>282.39440000000002</v>
      </c>
      <c r="J2957">
        <v>-437.31529999999998</v>
      </c>
      <c r="K2957">
        <v>1.1209530000000001</v>
      </c>
      <c r="L2957">
        <v>284.15609999999998</v>
      </c>
      <c r="M2957">
        <v>-0.99976189999999998</v>
      </c>
      <c r="N2957">
        <v>-1.4355740000000001E-2</v>
      </c>
      <c r="O2957">
        <v>1.6435109999999999E-2</v>
      </c>
      <c r="P2957">
        <v>-0.99649109999999996</v>
      </c>
      <c r="Q2957">
        <v>-8.3239499999999994E-2</v>
      </c>
      <c r="R2957">
        <v>-8.7641530000000002E-3</v>
      </c>
      <c r="S2957">
        <v>-2.9876710000000002</v>
      </c>
      <c r="T2957">
        <v>-0.2359724</v>
      </c>
      <c r="U2957">
        <v>-0.37008669999999999</v>
      </c>
      <c r="V2957">
        <v>-2.5153289999999998E-2</v>
      </c>
      <c r="W2957">
        <v>-6.892537E-2</v>
      </c>
      <c r="X2957">
        <v>0.99730469999999904</v>
      </c>
      <c r="Y2957">
        <v>-0.13868939999999999</v>
      </c>
      <c r="Z2957">
        <v>-7.5056200000000002E-3</v>
      </c>
      <c r="AA2957">
        <v>0.99030750000000001</v>
      </c>
      <c r="AB2957">
        <v>31</v>
      </c>
      <c r="AC2957">
        <v>-13.973599999999999</v>
      </c>
      <c r="AD2957">
        <v>-1.1209537537576</v>
      </c>
      <c r="AE2957">
        <v>-1.7616999999999601</v>
      </c>
      <c r="AF2957">
        <v>-1.97860987960029</v>
      </c>
      <c r="AG2957">
        <v>-1.1209537537576</v>
      </c>
      <c r="AH2957">
        <v>13.854991539278201</v>
      </c>
      <c r="AI2957">
        <v>94.579245949422102</v>
      </c>
      <c r="AJ2957">
        <v>98.1273682913599</v>
      </c>
      <c r="AK2957">
        <v>14.0403783754992</v>
      </c>
      <c r="AL2957">
        <v>93.952266250590398</v>
      </c>
      <c r="AM2957">
        <v>91.444765968563999</v>
      </c>
      <c r="AN2957">
        <v>1.00000002963477</v>
      </c>
    </row>
    <row r="2958" spans="1:40" x14ac:dyDescent="0.25">
      <c r="A2958" t="str">
        <f>"20190303154155663"</f>
        <v>20190303154155663</v>
      </c>
      <c r="B2958" t="str">
        <f>"1551598915653012"</f>
        <v>1551598915653012</v>
      </c>
      <c r="C2958" t="s">
        <v>40</v>
      </c>
      <c r="D2958">
        <v>5.5537710000000002</v>
      </c>
      <c r="E2958">
        <v>0.45475650000000001</v>
      </c>
      <c r="F2958" t="s">
        <v>50</v>
      </c>
      <c r="G2958">
        <v>-451.38549999999998</v>
      </c>
      <c r="H2958" s="1">
        <v>-7.0038629999999996E-7</v>
      </c>
      <c r="I2958">
        <v>282.34879999999998</v>
      </c>
      <c r="J2958">
        <v>-437.56110000000001</v>
      </c>
      <c r="K2958">
        <v>1.1209549999999999</v>
      </c>
      <c r="L2958">
        <v>284.16019999999997</v>
      </c>
      <c r="M2958">
        <v>-0.99976120000000002</v>
      </c>
      <c r="N2958">
        <v>-1.4353090000000001E-2</v>
      </c>
      <c r="O2958">
        <v>1.6482810000000001E-2</v>
      </c>
      <c r="P2958">
        <v>-0.99649359999999998</v>
      </c>
      <c r="Q2958">
        <v>-8.3216020000000002E-2</v>
      </c>
      <c r="R2958">
        <v>-8.7109790000000006E-3</v>
      </c>
      <c r="S2958">
        <v>-2.9873349999999999</v>
      </c>
      <c r="T2958">
        <v>-0.23799729999999999</v>
      </c>
      <c r="U2958">
        <v>-0.38372800000000001</v>
      </c>
      <c r="V2958">
        <v>-2.51481E-2</v>
      </c>
      <c r="W2958">
        <v>-6.8904469999999995E-2</v>
      </c>
      <c r="X2958">
        <v>0.99730620000000003</v>
      </c>
      <c r="Y2958">
        <v>-0.14317489999999999</v>
      </c>
      <c r="Z2958">
        <v>-7.7755069999999897E-3</v>
      </c>
      <c r="AA2958">
        <v>0.98966690000000002</v>
      </c>
      <c r="AB2958">
        <v>31</v>
      </c>
      <c r="AC2958">
        <v>-13.824399999999899</v>
      </c>
      <c r="AD2958">
        <v>-1.1209557003863</v>
      </c>
      <c r="AE2958">
        <v>-1.8113999999999899</v>
      </c>
      <c r="AF2958">
        <v>-2.0259468665218101</v>
      </c>
      <c r="AG2958">
        <v>-1.1209557003863</v>
      </c>
      <c r="AH2958">
        <v>13.7040803860941</v>
      </c>
      <c r="AI2958">
        <v>94.626166860093505</v>
      </c>
      <c r="AJ2958">
        <v>98.409428440383493</v>
      </c>
      <c r="AK2958">
        <v>13.898302832242701</v>
      </c>
      <c r="AL2958">
        <v>93.951066211473503</v>
      </c>
      <c r="AM2958">
        <v>91.444465817689306</v>
      </c>
      <c r="AN2958">
        <v>0.99999995473901404</v>
      </c>
    </row>
    <row r="2959" spans="1:40" x14ac:dyDescent="0.25">
      <c r="A2959" t="str">
        <f>"20190303154155685"</f>
        <v>20190303154155685</v>
      </c>
      <c r="B2959" t="str">
        <f>"1551598915682146"</f>
        <v>1551598915682146</v>
      </c>
      <c r="C2959" t="s">
        <v>40</v>
      </c>
      <c r="D2959">
        <v>5.4957039999999999</v>
      </c>
      <c r="E2959">
        <v>0.45380989999999999</v>
      </c>
      <c r="F2959" t="s">
        <v>50</v>
      </c>
      <c r="G2959">
        <v>-451.32389999999998</v>
      </c>
      <c r="H2959" s="1">
        <v>-7.3439510000000002E-7</v>
      </c>
      <c r="I2959">
        <v>282.3766</v>
      </c>
      <c r="J2959">
        <v>-437.86950000000002</v>
      </c>
      <c r="K2959">
        <v>1.1209559999999901</v>
      </c>
      <c r="L2959">
        <v>284.16539999999998</v>
      </c>
      <c r="M2959">
        <v>-0.99976030000000005</v>
      </c>
      <c r="N2959">
        <v>-1.434974E-2</v>
      </c>
      <c r="O2959">
        <v>1.6542319999999999E-2</v>
      </c>
      <c r="P2959">
        <v>-0.99650150000000004</v>
      </c>
      <c r="Q2959">
        <v>-8.3158620000000003E-2</v>
      </c>
      <c r="R2959">
        <v>-8.347742E-3</v>
      </c>
      <c r="S2959">
        <v>-2.9868769999999998</v>
      </c>
      <c r="T2959">
        <v>-0.24327650000000001</v>
      </c>
      <c r="U2959">
        <v>-0.38708500000000001</v>
      </c>
      <c r="V2959">
        <v>-2.4844310000000001E-2</v>
      </c>
      <c r="W2959">
        <v>-6.8850300000000003E-2</v>
      </c>
      <c r="X2959">
        <v>0.99731760000000003</v>
      </c>
      <c r="Y2959">
        <v>-0.14431859999999999</v>
      </c>
      <c r="Z2959">
        <v>-7.9888809999999998E-3</v>
      </c>
      <c r="AA2959">
        <v>0.98949900000000002</v>
      </c>
      <c r="AB2959">
        <v>31</v>
      </c>
      <c r="AC2959">
        <v>-13.4543999999999</v>
      </c>
      <c r="AD2959">
        <v>-1.1209567343950999</v>
      </c>
      <c r="AE2959">
        <v>-1.78879999999998</v>
      </c>
      <c r="AF2959">
        <v>-1.9975202544887301</v>
      </c>
      <c r="AG2959">
        <v>-1.1209567343950999</v>
      </c>
      <c r="AH2959">
        <v>13.3320287245933</v>
      </c>
      <c r="AI2959">
        <v>94.753314412462998</v>
      </c>
      <c r="AJ2959">
        <v>98.521165407499694</v>
      </c>
      <c r="AK2959">
        <v>13.5273656371394</v>
      </c>
      <c r="AL2959">
        <v>93.947954933867294</v>
      </c>
      <c r="AM2959">
        <v>91.427007570119002</v>
      </c>
      <c r="AN2959">
        <v>0.99999999940961304</v>
      </c>
    </row>
    <row r="2960" spans="1:40" x14ac:dyDescent="0.25">
      <c r="A2960" t="str">
        <f>"20190303154155699"</f>
        <v>20190303154155699</v>
      </c>
      <c r="B2960" t="str">
        <f>"1551598915692881"</f>
        <v>1551598915692881</v>
      </c>
      <c r="C2960" t="s">
        <v>40</v>
      </c>
      <c r="D2960">
        <v>5.5480179999999999</v>
      </c>
      <c r="E2960">
        <v>0.45351520000000001</v>
      </c>
      <c r="F2960" t="s">
        <v>50</v>
      </c>
      <c r="G2960">
        <v>-451.6739</v>
      </c>
      <c r="H2960" s="1">
        <v>-5.4679409999999998E-7</v>
      </c>
      <c r="I2960">
        <v>282.34660000000002</v>
      </c>
      <c r="J2960">
        <v>-438.06810000000002</v>
      </c>
      <c r="K2960">
        <v>1.1209579999999999</v>
      </c>
      <c r="L2960">
        <v>284.1687</v>
      </c>
      <c r="M2960">
        <v>-0.99975970000000003</v>
      </c>
      <c r="N2960">
        <v>-1.434758E-2</v>
      </c>
      <c r="O2960">
        <v>1.65805999999999E-2</v>
      </c>
      <c r="P2960">
        <v>-0.99652269999999998</v>
      </c>
      <c r="Q2960">
        <v>-8.2955689999999999E-2</v>
      </c>
      <c r="R2960">
        <v>-7.8097849999999996E-3</v>
      </c>
      <c r="S2960">
        <v>-2.9870299999999999</v>
      </c>
      <c r="T2960">
        <v>-0.24255489999999999</v>
      </c>
      <c r="U2960">
        <v>-0.39355469999999998</v>
      </c>
      <c r="V2960">
        <v>-2.434484E-2</v>
      </c>
      <c r="W2960">
        <v>-6.8649219999999997E-2</v>
      </c>
      <c r="X2960">
        <v>0.9973438</v>
      </c>
      <c r="Y2960">
        <v>-0.1464522</v>
      </c>
      <c r="Z2960">
        <v>-8.0703960000000005E-3</v>
      </c>
      <c r="AA2960">
        <v>0.98918479999999998</v>
      </c>
      <c r="AB2960">
        <v>31</v>
      </c>
      <c r="AC2960">
        <v>-13.605799999999901</v>
      </c>
      <c r="AD2960">
        <v>-1.1209585467940999</v>
      </c>
      <c r="AE2960">
        <v>-1.8220999999999701</v>
      </c>
      <c r="AF2960">
        <v>-2.0339024514383599</v>
      </c>
      <c r="AG2960">
        <v>-1.1209585467940999</v>
      </c>
      <c r="AH2960">
        <v>13.4838014660425</v>
      </c>
      <c r="AI2960">
        <v>94.699364145447404</v>
      </c>
      <c r="AJ2960">
        <v>98.577853449662399</v>
      </c>
      <c r="AK2960">
        <v>13.6823320096118</v>
      </c>
      <c r="AL2960">
        <v>93.936406489139102</v>
      </c>
      <c r="AM2960">
        <v>91.398293798355695</v>
      </c>
      <c r="AN2960">
        <v>1.0000000210198301</v>
      </c>
    </row>
    <row r="2961" spans="1:40" x14ac:dyDescent="0.25">
      <c r="A2961" t="str">
        <f>"20190303154155713"</f>
        <v>20190303154155713</v>
      </c>
      <c r="B2961" t="str">
        <f>"1551598915702642"</f>
        <v>1551598915702642</v>
      </c>
      <c r="C2961" t="s">
        <v>40</v>
      </c>
      <c r="D2961">
        <v>5.5357799999999999</v>
      </c>
      <c r="E2961">
        <v>0.45326919999999998</v>
      </c>
      <c r="F2961" t="s">
        <v>50</v>
      </c>
      <c r="G2961">
        <v>-451.78190000000001</v>
      </c>
      <c r="H2961" s="1">
        <v>-4.8989030000000003E-7</v>
      </c>
      <c r="I2961">
        <v>282.35939999999999</v>
      </c>
      <c r="J2961">
        <v>-438.26299999999998</v>
      </c>
      <c r="K2961">
        <v>1.120954</v>
      </c>
      <c r="L2961">
        <v>284.17200000000003</v>
      </c>
      <c r="M2961">
        <v>-0.99975910000000001</v>
      </c>
      <c r="N2961">
        <v>-1.4345460000000001E-2</v>
      </c>
      <c r="O2961">
        <v>1.6618399999999998E-2</v>
      </c>
      <c r="P2961">
        <v>-0.99657620000000002</v>
      </c>
      <c r="Q2961">
        <v>-8.231919E-2</v>
      </c>
      <c r="R2961">
        <v>-7.7290229999999998E-3</v>
      </c>
      <c r="S2961">
        <v>-2.9870299999999999</v>
      </c>
      <c r="T2961">
        <v>-0.24415709999999999</v>
      </c>
      <c r="U2961">
        <v>-0.39407350000000002</v>
      </c>
      <c r="V2961">
        <v>-2.430262E-2</v>
      </c>
      <c r="W2961">
        <v>-6.8014130000000006E-2</v>
      </c>
      <c r="X2961">
        <v>0.99738830000000001</v>
      </c>
      <c r="Y2961">
        <v>-0.14665029999999901</v>
      </c>
      <c r="Z2961">
        <v>-8.1299790000000007E-3</v>
      </c>
      <c r="AA2961">
        <v>0.98915500000000001</v>
      </c>
      <c r="AB2961">
        <v>31</v>
      </c>
      <c r="AC2961">
        <v>-13.518899999999901</v>
      </c>
      <c r="AD2961">
        <v>-1.1209544898903001</v>
      </c>
      <c r="AE2961">
        <v>-1.81260000000003</v>
      </c>
      <c r="AF2961">
        <v>-2.0233695664004898</v>
      </c>
      <c r="AG2961">
        <v>-1.1209544898903001</v>
      </c>
      <c r="AH2961">
        <v>13.396428849939401</v>
      </c>
      <c r="AI2961">
        <v>94.729720871005995</v>
      </c>
      <c r="AJ2961">
        <v>98.588919993208705</v>
      </c>
      <c r="AK2961">
        <v>13.5946632654925</v>
      </c>
      <c r="AL2961">
        <v>93.899933422164494</v>
      </c>
      <c r="AM2961">
        <v>91.395807515601604</v>
      </c>
      <c r="AN2961">
        <v>0.99999998009770497</v>
      </c>
    </row>
    <row r="2962" spans="1:40" x14ac:dyDescent="0.25">
      <c r="A2962" t="str">
        <f>"20190303154155730"</f>
        <v>20190303154155730</v>
      </c>
      <c r="B2962" t="str">
        <f>"1551598915722161"</f>
        <v>1551598915722161</v>
      </c>
      <c r="C2962" t="s">
        <v>40</v>
      </c>
      <c r="D2962">
        <v>5.4826439999999996</v>
      </c>
      <c r="E2962">
        <v>0.45341229999999899</v>
      </c>
      <c r="F2962" t="s">
        <v>50</v>
      </c>
      <c r="G2962">
        <v>-451.9144</v>
      </c>
      <c r="H2962" s="1">
        <v>-4.1956160000000001E-7</v>
      </c>
      <c r="I2962">
        <v>282.36329999999998</v>
      </c>
      <c r="J2962">
        <v>-438.4982</v>
      </c>
      <c r="K2962">
        <v>1.120962</v>
      </c>
      <c r="L2962">
        <v>284.17590000000001</v>
      </c>
      <c r="M2962">
        <v>-0.99975829999999999</v>
      </c>
      <c r="N2962">
        <v>-1.434291E-2</v>
      </c>
      <c r="O2962">
        <v>1.6664249999999999E-2</v>
      </c>
      <c r="P2962">
        <v>-0.99661960000000005</v>
      </c>
      <c r="Q2962">
        <v>-8.1817059999999997E-2</v>
      </c>
      <c r="R2962">
        <v>-7.4663999999999998E-3</v>
      </c>
      <c r="S2962">
        <v>-2.9869690000000002</v>
      </c>
      <c r="T2962">
        <v>-0.24526790000000001</v>
      </c>
      <c r="U2962">
        <v>-0.39575199999999999</v>
      </c>
      <c r="V2962">
        <v>-2.4086090000000001E-2</v>
      </c>
      <c r="W2962">
        <v>-6.7513970000000006E-2</v>
      </c>
      <c r="X2962">
        <v>0.99742759999999997</v>
      </c>
      <c r="Y2962">
        <v>-0.14723699999999901</v>
      </c>
      <c r="Z2962">
        <v>-8.1941889999999993E-3</v>
      </c>
      <c r="AA2962">
        <v>0.98906729999999998</v>
      </c>
      <c r="AB2962">
        <v>31</v>
      </c>
      <c r="AC2962">
        <v>-13.4162</v>
      </c>
      <c r="AD2962">
        <v>-1.1209624195615999</v>
      </c>
      <c r="AE2962">
        <v>-1.81260000000003</v>
      </c>
      <c r="AF2962">
        <v>-2.0220788994461998</v>
      </c>
      <c r="AG2962">
        <v>-1.1209624195615999</v>
      </c>
      <c r="AH2962">
        <v>13.2929919517941</v>
      </c>
      <c r="AI2962">
        <v>94.765631054713296</v>
      </c>
      <c r="AJ2962">
        <v>98.649307686929106</v>
      </c>
      <c r="AK2962">
        <v>13.4925533110719</v>
      </c>
      <c r="AL2962">
        <v>93.871210082931796</v>
      </c>
      <c r="AM2962">
        <v>91.383321603641406</v>
      </c>
      <c r="AN2962">
        <v>1.0000000465592001</v>
      </c>
    </row>
    <row r="2963" spans="1:40" x14ac:dyDescent="0.25">
      <c r="A2963" t="str">
        <f>"20190303154155753"</f>
        <v>20190303154155753</v>
      </c>
      <c r="B2963" t="str">
        <f>"1551598915742657"</f>
        <v>1551598915742657</v>
      </c>
      <c r="C2963" t="s">
        <v>40</v>
      </c>
      <c r="D2963">
        <v>5.5139659999999999</v>
      </c>
      <c r="E2963">
        <v>0.45315739999999999</v>
      </c>
      <c r="F2963" t="s">
        <v>50</v>
      </c>
      <c r="G2963">
        <v>-452.34809999999999</v>
      </c>
      <c r="H2963" s="1">
        <v>-1.8817549999999999E-7</v>
      </c>
      <c r="I2963">
        <v>282.3492</v>
      </c>
      <c r="J2963">
        <v>-438.80889999999999</v>
      </c>
      <c r="K2963">
        <v>1.1209709999999999</v>
      </c>
      <c r="L2963">
        <v>284.18119999999999</v>
      </c>
      <c r="M2963">
        <v>-0.99975729999999996</v>
      </c>
      <c r="N2963">
        <v>-1.4339350000000001E-2</v>
      </c>
      <c r="O2963">
        <v>1.6724579999999999E-2</v>
      </c>
      <c r="P2963">
        <v>-0.99663599999999997</v>
      </c>
      <c r="Q2963">
        <v>-8.1618250000000003E-2</v>
      </c>
      <c r="R2963">
        <v>-7.4390990000000002E-3</v>
      </c>
      <c r="S2963">
        <v>-2.9873660000000002</v>
      </c>
      <c r="T2963">
        <v>-0.24178769999999999</v>
      </c>
      <c r="U2963">
        <v>-0.39401249999999999</v>
      </c>
      <c r="V2963">
        <v>-2.4119229999999998E-2</v>
      </c>
      <c r="W2963">
        <v>-6.7318539999999996E-2</v>
      </c>
      <c r="X2963">
        <v>0.99743999999999999</v>
      </c>
      <c r="Y2963">
        <v>-0.14673159999999999</v>
      </c>
      <c r="Z2963">
        <v>-8.0689839999999995E-3</v>
      </c>
      <c r="AA2963">
        <v>0.98914340000000001</v>
      </c>
      <c r="AB2963">
        <v>31</v>
      </c>
      <c r="AC2963">
        <v>-13.5391999999999</v>
      </c>
      <c r="AD2963">
        <v>-1.1209711881755</v>
      </c>
      <c r="AE2963">
        <v>-1.8319999999999901</v>
      </c>
      <c r="AF2963">
        <v>-2.0444419080961902</v>
      </c>
      <c r="AG2963">
        <v>-1.1209711881755</v>
      </c>
      <c r="AH2963">
        <v>13.416348827020601</v>
      </c>
      <c r="AI2963">
        <v>94.721861591867594</v>
      </c>
      <c r="AJ2963">
        <v>98.664326989791505</v>
      </c>
      <c r="AK2963">
        <v>13.617442306417001</v>
      </c>
      <c r="AL2963">
        <v>93.859987268324303</v>
      </c>
      <c r="AM2963">
        <v>91.385206957660102</v>
      </c>
      <c r="AN2963">
        <v>1.00000003834176</v>
      </c>
    </row>
    <row r="2964" spans="1:40" x14ac:dyDescent="0.25">
      <c r="A2964" t="str">
        <f>"20190303154155774"</f>
        <v>20190303154155774</v>
      </c>
      <c r="B2964" t="str">
        <f>"1551598915762178"</f>
        <v>1551598915762178</v>
      </c>
      <c r="C2964" t="s">
        <v>40</v>
      </c>
      <c r="D2964">
        <v>5.681578</v>
      </c>
      <c r="E2964">
        <v>0.45310349999999999</v>
      </c>
      <c r="F2964" t="s">
        <v>50</v>
      </c>
      <c r="G2964">
        <v>-452.65949999999998</v>
      </c>
      <c r="H2964" s="1">
        <v>-2.2234100000000001E-8</v>
      </c>
      <c r="I2964">
        <v>282.34519999999998</v>
      </c>
      <c r="J2964">
        <v>-439.1078</v>
      </c>
      <c r="K2964">
        <v>1.1209739999999999</v>
      </c>
      <c r="L2964">
        <v>284.18619999999999</v>
      </c>
      <c r="M2964">
        <v>-0.99975650000000005</v>
      </c>
      <c r="N2964">
        <v>-1.4335850000000001E-2</v>
      </c>
      <c r="O2964">
        <v>1.677959E-2</v>
      </c>
      <c r="P2964">
        <v>-0.99663769999999996</v>
      </c>
      <c r="Q2964">
        <v>-8.1614229999999996E-2</v>
      </c>
      <c r="R2964">
        <v>-7.2640609999999996E-3</v>
      </c>
      <c r="S2964">
        <v>-2.9873660000000002</v>
      </c>
      <c r="T2964">
        <v>-0.24177609999999999</v>
      </c>
      <c r="U2964">
        <v>-0.39599610000000002</v>
      </c>
      <c r="V2964">
        <v>-2.39989E-2</v>
      </c>
      <c r="W2964">
        <v>-6.7318050000000004E-2</v>
      </c>
      <c r="X2964">
        <v>0.99744290000000002</v>
      </c>
      <c r="Y2964">
        <v>-0.1474289</v>
      </c>
      <c r="Z2964">
        <v>-8.1049050000000008E-3</v>
      </c>
      <c r="AA2964">
        <v>0.98903949999999996</v>
      </c>
      <c r="AB2964">
        <v>31</v>
      </c>
      <c r="AC2964">
        <v>-13.551699999999901</v>
      </c>
      <c r="AD2964">
        <v>-1.12097402223409</v>
      </c>
      <c r="AE2964">
        <v>-1.841</v>
      </c>
      <c r="AF2964">
        <v>-2.0543542446215599</v>
      </c>
      <c r="AG2964">
        <v>-1.12097402223409</v>
      </c>
      <c r="AH2964">
        <v>13.428678954376901</v>
      </c>
      <c r="AI2964">
        <v>94.717138294697094</v>
      </c>
      <c r="AJ2964">
        <v>98.697822107772794</v>
      </c>
      <c r="AK2964">
        <v>13.631081122957299</v>
      </c>
      <c r="AL2964">
        <v>93.859959266539505</v>
      </c>
      <c r="AM2964">
        <v>91.378294874999099</v>
      </c>
      <c r="AN2964">
        <v>1.0000000029087099</v>
      </c>
    </row>
    <row r="2965" spans="1:40" x14ac:dyDescent="0.25">
      <c r="A2965" t="str">
        <f>"20190303154155797"</f>
        <v>20190303154155797</v>
      </c>
      <c r="B2965" t="str">
        <f>"1551598915792437"</f>
        <v>1551598915792437</v>
      </c>
      <c r="C2965" t="s">
        <v>40</v>
      </c>
      <c r="D2965">
        <v>5.6663769999999998</v>
      </c>
      <c r="E2965">
        <v>0.50332460000000001</v>
      </c>
      <c r="F2965" t="s">
        <v>50</v>
      </c>
      <c r="G2965">
        <v>-453.07130000000001</v>
      </c>
      <c r="H2965" s="1">
        <v>1.9726869999999999E-7</v>
      </c>
      <c r="I2965">
        <v>282.33629999999999</v>
      </c>
      <c r="J2965">
        <v>-439.41489999999999</v>
      </c>
      <c r="K2965">
        <v>1.1209789999999999</v>
      </c>
      <c r="L2965">
        <v>284.19150000000002</v>
      </c>
      <c r="M2965">
        <v>-0.99975570000000002</v>
      </c>
      <c r="N2965">
        <v>-1.43328E-2</v>
      </c>
      <c r="O2965">
        <v>1.6830029999999999E-2</v>
      </c>
      <c r="P2965">
        <v>-0.99664520000000001</v>
      </c>
      <c r="Q2965">
        <v>-8.1544790000000006E-2</v>
      </c>
      <c r="R2965">
        <v>-6.9970659999999997E-3</v>
      </c>
      <c r="S2965">
        <v>-2.9876100000000001</v>
      </c>
      <c r="T2965">
        <v>-0.23984169999999999</v>
      </c>
      <c r="U2965">
        <v>-0.39581300000000003</v>
      </c>
      <c r="V2965">
        <v>-2.3781650000000001E-2</v>
      </c>
      <c r="W2965">
        <v>-6.7251820000000004E-2</v>
      </c>
      <c r="X2965">
        <v>0.99745260000000002</v>
      </c>
      <c r="Y2965">
        <v>-0.14741760000000001</v>
      </c>
      <c r="Z2965">
        <v>-8.0488450000000007E-3</v>
      </c>
      <c r="AA2965">
        <v>0.98904159999999997</v>
      </c>
      <c r="AB2965">
        <v>31</v>
      </c>
      <c r="AC2965">
        <v>-13.6564</v>
      </c>
      <c r="AD2965">
        <v>-1.1209788027312999</v>
      </c>
      <c r="AE2965">
        <v>-1.8552000000000199</v>
      </c>
      <c r="AF2965">
        <v>-2.0710964977669901</v>
      </c>
      <c r="AG2965">
        <v>-1.1209788027312999</v>
      </c>
      <c r="AH2965">
        <v>13.533703194772899</v>
      </c>
      <c r="AI2965">
        <v>94.680680747145203</v>
      </c>
      <c r="AJ2965">
        <v>98.700615928706995</v>
      </c>
      <c r="AK2965">
        <v>13.7370723352336</v>
      </c>
      <c r="AL2965">
        <v>93.856155836771705</v>
      </c>
      <c r="AM2965">
        <v>91.365809333573594</v>
      </c>
      <c r="AN2965">
        <v>1.0000000317083899</v>
      </c>
    </row>
    <row r="2966" spans="1:40" x14ac:dyDescent="0.25">
      <c r="A2966" t="str">
        <f>"20190303154155820"</f>
        <v>20190303154155820</v>
      </c>
      <c r="B2966" t="str">
        <f>"1551598915812930"</f>
        <v>1551598915812930</v>
      </c>
      <c r="C2966" t="s">
        <v>40</v>
      </c>
      <c r="D2966">
        <v>5.65496</v>
      </c>
      <c r="E2966">
        <v>0.51314399999999905</v>
      </c>
      <c r="F2966" t="s">
        <v>50</v>
      </c>
      <c r="G2966">
        <v>-459.3039</v>
      </c>
      <c r="H2966" s="1">
        <v>3.4313949999999999E-6</v>
      </c>
      <c r="I2966">
        <v>284.22449999999998</v>
      </c>
      <c r="J2966">
        <v>-439.7389</v>
      </c>
      <c r="K2966">
        <v>1.1209819999999999</v>
      </c>
      <c r="L2966">
        <v>284.197</v>
      </c>
      <c r="M2966">
        <v>-0.99975510000000001</v>
      </c>
      <c r="N2966">
        <v>-1.4329690000000001E-2</v>
      </c>
      <c r="O2966">
        <v>1.687338E-2</v>
      </c>
      <c r="P2966">
        <v>-0.99664839999999999</v>
      </c>
      <c r="Q2966">
        <v>-8.1519750000000002E-2</v>
      </c>
      <c r="R2966">
        <v>-6.8416369999999898E-3</v>
      </c>
      <c r="S2966">
        <v>-2.9963069999999998</v>
      </c>
      <c r="T2966">
        <v>-0.16887739999999901</v>
      </c>
      <c r="U2966">
        <v>4.9743649999999997E-3</v>
      </c>
      <c r="V2966">
        <v>-2.366801E-2</v>
      </c>
      <c r="W2966">
        <v>-6.7230219999999993E-2</v>
      </c>
      <c r="X2966">
        <v>0.99745669999999997</v>
      </c>
      <c r="Y2966">
        <v>-1.5170060000000001E-2</v>
      </c>
      <c r="Z2966">
        <v>-1.244525E-3</v>
      </c>
      <c r="AA2966">
        <v>0.99988410000000005</v>
      </c>
      <c r="AB2966">
        <v>31</v>
      </c>
      <c r="AC2966">
        <v>-19.565000000000001</v>
      </c>
      <c r="AD2966">
        <v>-1.120978568605</v>
      </c>
      <c r="AE2966">
        <v>2.7499999999974899E-2</v>
      </c>
      <c r="AF2966">
        <v>-0.30167512817943398</v>
      </c>
      <c r="AG2966">
        <v>-1.120978568605</v>
      </c>
      <c r="AH2966">
        <v>19.498669407294699</v>
      </c>
      <c r="AI2966">
        <v>93.289919939703196</v>
      </c>
      <c r="AJ2966">
        <v>90.886385235870506</v>
      </c>
      <c r="AK2966">
        <v>19.533195066071599</v>
      </c>
      <c r="AL2966">
        <v>93.854915668181306</v>
      </c>
      <c r="AM2966">
        <v>91.359279718241993</v>
      </c>
      <c r="AN2966">
        <v>0.99999997277674901</v>
      </c>
    </row>
    <row r="2967" spans="1:40" x14ac:dyDescent="0.25">
      <c r="A2967" t="str">
        <f>"20190303154155841"</f>
        <v>20190303154155841</v>
      </c>
      <c r="B2967" t="str">
        <f>"1551598915832449"</f>
        <v>1551598915832449</v>
      </c>
      <c r="C2967" t="s">
        <v>40</v>
      </c>
      <c r="D2967">
        <v>5.6479759999999999</v>
      </c>
      <c r="E2967">
        <v>0.51827479999999904</v>
      </c>
      <c r="F2967" t="s">
        <v>50</v>
      </c>
      <c r="G2967">
        <v>-458.86579999999998</v>
      </c>
      <c r="H2967" s="1">
        <v>3.1760970000000001E-6</v>
      </c>
      <c r="I2967">
        <v>284.73129999999998</v>
      </c>
      <c r="J2967">
        <v>-440.03230000000002</v>
      </c>
      <c r="K2967">
        <v>1.120986</v>
      </c>
      <c r="L2967">
        <v>284.202</v>
      </c>
      <c r="M2967">
        <v>-0.99975449999999999</v>
      </c>
      <c r="N2967">
        <v>-1.432688E-2</v>
      </c>
      <c r="O2967">
        <v>1.6905400000000001E-2</v>
      </c>
      <c r="P2967">
        <v>-0.99662010000000001</v>
      </c>
      <c r="Q2967">
        <v>-8.1874970000000005E-2</v>
      </c>
      <c r="R2967">
        <v>-6.7053779999999997E-3</v>
      </c>
      <c r="S2967">
        <v>-2.9963069999999998</v>
      </c>
      <c r="T2967">
        <v>-0.1756064</v>
      </c>
      <c r="U2967">
        <v>8.3709720000000001E-2</v>
      </c>
      <c r="V2967">
        <v>-2.3562329999999999E-2</v>
      </c>
      <c r="W2967">
        <v>-6.7589040000000003E-2</v>
      </c>
      <c r="X2967">
        <v>0.99743499999999996</v>
      </c>
      <c r="Y2967">
        <v>1.1015230000000001E-2</v>
      </c>
      <c r="Z2967">
        <v>-3.4615690000000001E-4</v>
      </c>
      <c r="AA2967">
        <v>0.99993929999999998</v>
      </c>
      <c r="AB2967">
        <v>31</v>
      </c>
      <c r="AC2967">
        <v>-18.833499999999901</v>
      </c>
      <c r="AD2967">
        <v>-1.120982823903</v>
      </c>
      <c r="AE2967">
        <v>0.52929999999997701</v>
      </c>
      <c r="AF2967">
        <v>0.21006023438478499</v>
      </c>
      <c r="AG2967">
        <v>-1.120982823903</v>
      </c>
      <c r="AH2967">
        <v>18.773301056240101</v>
      </c>
      <c r="AI2967">
        <v>93.416948760832597</v>
      </c>
      <c r="AJ2967">
        <v>89.358926669911995</v>
      </c>
      <c r="AK2967">
        <v>18.807912173917199</v>
      </c>
      <c r="AL2967">
        <v>93.875521225478707</v>
      </c>
      <c r="AM2967">
        <v>91.353242091286603</v>
      </c>
      <c r="AN2967">
        <v>1.00000002047407</v>
      </c>
    </row>
    <row r="2968" spans="1:40" x14ac:dyDescent="0.25">
      <c r="A2968" t="str">
        <f>"20190303154155856"</f>
        <v>20190303154155856</v>
      </c>
      <c r="B2968" t="str">
        <f>"1551598915852946"</f>
        <v>1551598915852946</v>
      </c>
      <c r="C2968" t="s">
        <v>40</v>
      </c>
      <c r="D2968">
        <v>5.6579990000000002</v>
      </c>
      <c r="E2968">
        <v>0.52126309999999998</v>
      </c>
      <c r="F2968" t="s">
        <v>50</v>
      </c>
      <c r="G2968">
        <v>-458.61869999999999</v>
      </c>
      <c r="H2968" s="1">
        <v>3.0338850000000001E-6</v>
      </c>
      <c r="I2968">
        <v>284.97739999999999</v>
      </c>
      <c r="J2968">
        <v>-440.23809999999997</v>
      </c>
      <c r="K2968">
        <v>1.1209910000000001</v>
      </c>
      <c r="L2968">
        <v>284.2054</v>
      </c>
      <c r="M2968">
        <v>-0.99975429999999998</v>
      </c>
      <c r="N2968">
        <v>-1.432487E-2</v>
      </c>
      <c r="O2968">
        <v>1.692331E-2</v>
      </c>
      <c r="P2968">
        <v>-0.99663409999999997</v>
      </c>
      <c r="Q2968">
        <v>-8.1740010000000002E-2</v>
      </c>
      <c r="R2968">
        <v>-6.2719230000000004E-3</v>
      </c>
      <c r="S2968">
        <v>-2.9961850000000001</v>
      </c>
      <c r="T2968">
        <v>-0.18070610000000001</v>
      </c>
      <c r="U2968">
        <v>0.125</v>
      </c>
      <c r="V2968">
        <v>-2.3145900000000001E-2</v>
      </c>
      <c r="W2968">
        <v>-6.7456150000000006E-2</v>
      </c>
      <c r="X2968">
        <v>0.9974537</v>
      </c>
      <c r="Y2968">
        <v>2.472945E-2</v>
      </c>
      <c r="Z2968">
        <v>1.4515909999999999E-4</v>
      </c>
      <c r="AA2968">
        <v>0.99969419999999998</v>
      </c>
      <c r="AB2968">
        <v>31</v>
      </c>
      <c r="AC2968">
        <v>-18.380600000000001</v>
      </c>
      <c r="AD2968">
        <v>-1.120987966115</v>
      </c>
      <c r="AE2968">
        <v>0.77199999999999103</v>
      </c>
      <c r="AF2968">
        <v>0.45909236928325697</v>
      </c>
      <c r="AG2968">
        <v>-1.120987966115</v>
      </c>
      <c r="AH2968">
        <v>18.323001247401201</v>
      </c>
      <c r="AI2968">
        <v>93.499855136764197</v>
      </c>
      <c r="AJ2968">
        <v>88.564724604649896</v>
      </c>
      <c r="AK2968">
        <v>18.3629996061639</v>
      </c>
      <c r="AL2968">
        <v>93.867889951625699</v>
      </c>
      <c r="AM2968">
        <v>91.329309246529505</v>
      </c>
      <c r="AN2968">
        <v>0.99999997425166098</v>
      </c>
    </row>
    <row r="2969" spans="1:40" x14ac:dyDescent="0.25">
      <c r="A2969" t="str">
        <f>"20190303154155876"</f>
        <v>20190303154155876</v>
      </c>
      <c r="B2969" t="str">
        <f>"1551598915872465"</f>
        <v>1551598915872465</v>
      </c>
      <c r="C2969" t="s">
        <v>40</v>
      </c>
      <c r="D2969">
        <v>5.6852470000000004</v>
      </c>
      <c r="E2969">
        <v>0.52280779999999905</v>
      </c>
      <c r="F2969" t="s">
        <v>50</v>
      </c>
      <c r="G2969">
        <v>-458.57560000000001</v>
      </c>
      <c r="H2969" s="1">
        <v>3.0044929999999998E-6</v>
      </c>
      <c r="I2969">
        <v>285.12479999999999</v>
      </c>
      <c r="J2969">
        <v>-440.50200000000001</v>
      </c>
      <c r="K2969">
        <v>1.121</v>
      </c>
      <c r="L2969">
        <v>284.20999999999998</v>
      </c>
      <c r="M2969">
        <v>-0.99975400000000003</v>
      </c>
      <c r="N2969">
        <v>-1.432227E-2</v>
      </c>
      <c r="O2969">
        <v>1.693793E-2</v>
      </c>
      <c r="P2969">
        <v>-0.99659710000000001</v>
      </c>
      <c r="Q2969">
        <v>-8.2163470000000002E-2</v>
      </c>
      <c r="R2969">
        <v>-6.5924690000000001E-3</v>
      </c>
      <c r="S2969">
        <v>-2.9960939999999998</v>
      </c>
      <c r="T2969">
        <v>-0.18315390000000001</v>
      </c>
      <c r="U2969">
        <v>0.15020749999999999</v>
      </c>
      <c r="V2969">
        <v>-2.3479570000000002E-2</v>
      </c>
      <c r="W2969">
        <v>-6.7883139999999995E-2</v>
      </c>
      <c r="X2969">
        <v>0.997417</v>
      </c>
      <c r="Y2969">
        <v>3.3088350000000002E-2</v>
      </c>
      <c r="Z2969">
        <v>4.5580810000000002E-4</v>
      </c>
      <c r="AA2969">
        <v>0.99945240000000002</v>
      </c>
      <c r="AB2969">
        <v>31</v>
      </c>
      <c r="AC2969">
        <v>-18.073599999999999</v>
      </c>
      <c r="AD2969">
        <v>-1.120996995507</v>
      </c>
      <c r="AE2969">
        <v>0.91480000000001305</v>
      </c>
      <c r="AF2969">
        <v>0.60618196787812495</v>
      </c>
      <c r="AG2969">
        <v>-1.120996995507</v>
      </c>
      <c r="AH2969">
        <v>18.017367812944801</v>
      </c>
      <c r="AI2969">
        <v>93.558207400910902</v>
      </c>
      <c r="AJ2969">
        <v>88.073049686813704</v>
      </c>
      <c r="AK2969">
        <v>18.062381729690401</v>
      </c>
      <c r="AL2969">
        <v>93.892410622897899</v>
      </c>
      <c r="AM2969">
        <v>91.348515067442605</v>
      </c>
      <c r="AN2969">
        <v>1.0000000413963199</v>
      </c>
    </row>
    <row r="2970" spans="1:40" x14ac:dyDescent="0.25">
      <c r="A2970" t="str">
        <f>"20190303154155897"</f>
        <v>20190303154155897</v>
      </c>
      <c r="B2970" t="str">
        <f>"1551598915892961"</f>
        <v>1551598915892961</v>
      </c>
      <c r="C2970" t="s">
        <v>40</v>
      </c>
      <c r="D2970">
        <v>5.6964290000000002</v>
      </c>
      <c r="E2970">
        <v>0.52392329999999998</v>
      </c>
      <c r="F2970" t="s">
        <v>50</v>
      </c>
      <c r="G2970">
        <v>-458.3999</v>
      </c>
      <c r="H2970" s="1">
        <v>2.9087670000000001E-6</v>
      </c>
      <c r="I2970">
        <v>285.17540000000002</v>
      </c>
      <c r="J2970">
        <v>-440.80270000000002</v>
      </c>
      <c r="K2970">
        <v>1.1210059999999999</v>
      </c>
      <c r="L2970">
        <v>284.21510000000001</v>
      </c>
      <c r="M2970">
        <v>-0.99975389999999997</v>
      </c>
      <c r="N2970">
        <v>-1.431929E-2</v>
      </c>
      <c r="O2970">
        <v>1.6946900000000001E-2</v>
      </c>
      <c r="P2970">
        <v>-0.9965832</v>
      </c>
      <c r="Q2970">
        <v>-8.2325759999999998E-2</v>
      </c>
      <c r="R2970">
        <v>-6.6804990000000003E-3</v>
      </c>
      <c r="S2970">
        <v>-2.9958499999999999</v>
      </c>
      <c r="T2970">
        <v>-0.18763850000000001</v>
      </c>
      <c r="U2970">
        <v>0.1615906</v>
      </c>
      <c r="V2970">
        <v>-2.3574910000000001E-2</v>
      </c>
      <c r="W2970">
        <v>-6.8048979999999995E-2</v>
      </c>
      <c r="X2970">
        <v>0.99740340000000005</v>
      </c>
      <c r="Y2970">
        <v>3.6859240000000001E-2</v>
      </c>
      <c r="Z2970">
        <v>5.9964649999999997E-4</v>
      </c>
      <c r="AA2970">
        <v>0.99932030000000005</v>
      </c>
      <c r="AB2970">
        <v>31</v>
      </c>
      <c r="AC2970">
        <v>-17.597199999999901</v>
      </c>
      <c r="AD2970">
        <v>-1.121003091233</v>
      </c>
      <c r="AE2970">
        <v>0.96030000000001803</v>
      </c>
      <c r="AF2970">
        <v>0.65924614556896599</v>
      </c>
      <c r="AG2970">
        <v>-1.121003091233</v>
      </c>
      <c r="AH2970">
        <v>17.539979881076299</v>
      </c>
      <c r="AI2970">
        <v>93.654301483204193</v>
      </c>
      <c r="AJ2970">
        <v>87.847531707438705</v>
      </c>
      <c r="AK2970">
        <v>17.588125188307099</v>
      </c>
      <c r="AL2970">
        <v>93.901934773640207</v>
      </c>
      <c r="AM2970">
        <v>91.354007203188502</v>
      </c>
      <c r="AN2970">
        <v>0.99999999119605398</v>
      </c>
    </row>
    <row r="2971" spans="1:40" x14ac:dyDescent="0.25">
      <c r="A2971" t="str">
        <f>"20190303154155913"</f>
        <v>20190303154155913</v>
      </c>
      <c r="B2971" t="str">
        <f>"1551598915902722"</f>
        <v>1551598915902722</v>
      </c>
      <c r="C2971" t="s">
        <v>40</v>
      </c>
      <c r="D2971">
        <v>5.7075440000000004</v>
      </c>
      <c r="E2971">
        <v>0.52442880000000003</v>
      </c>
      <c r="F2971" t="s">
        <v>50</v>
      </c>
      <c r="G2971">
        <v>-458.4896</v>
      </c>
      <c r="H2971" s="1">
        <v>2.9545869999999999E-6</v>
      </c>
      <c r="I2971">
        <v>285.2199</v>
      </c>
      <c r="J2971">
        <v>-441.02100000000002</v>
      </c>
      <c r="K2971">
        <v>1.1210059999999999</v>
      </c>
      <c r="L2971">
        <v>284.21879999999999</v>
      </c>
      <c r="M2971">
        <v>-0.99975389999999997</v>
      </c>
      <c r="N2971">
        <v>-1.4317099999999999E-2</v>
      </c>
      <c r="O2971">
        <v>1.695E-2</v>
      </c>
      <c r="P2971">
        <v>-0.99656239999999996</v>
      </c>
      <c r="Q2971">
        <v>-8.258153E-2</v>
      </c>
      <c r="R2971">
        <v>-6.6495840000000001E-3</v>
      </c>
      <c r="S2971">
        <v>-2.9956969999999998</v>
      </c>
      <c r="T2971">
        <v>-0.1898686</v>
      </c>
      <c r="U2971">
        <v>0.1701965</v>
      </c>
      <c r="V2971">
        <v>-2.354643E-2</v>
      </c>
      <c r="W2971">
        <v>-6.8307430000000002E-2</v>
      </c>
      <c r="X2971">
        <v>0.99738640000000001</v>
      </c>
      <c r="Y2971">
        <v>3.9712480000000001E-2</v>
      </c>
      <c r="Z2971">
        <v>7.1125149999999896E-4</v>
      </c>
      <c r="AA2971">
        <v>0.99921090000000001</v>
      </c>
      <c r="AB2971">
        <v>31</v>
      </c>
      <c r="AC2971">
        <v>-17.468599999999999</v>
      </c>
      <c r="AD2971">
        <v>-1.121003045413</v>
      </c>
      <c r="AE2971">
        <v>1.0011000000000001</v>
      </c>
      <c r="AF2971">
        <v>0.70195180268382895</v>
      </c>
      <c r="AG2971">
        <v>-1.121003045413</v>
      </c>
      <c r="AH2971">
        <v>17.411592262808298</v>
      </c>
      <c r="AI2971">
        <v>93.6807834591214</v>
      </c>
      <c r="AJ2971">
        <v>87.691359475792595</v>
      </c>
      <c r="AK2971">
        <v>17.461756191385799</v>
      </c>
      <c r="AL2971">
        <v>93.916777428257802</v>
      </c>
      <c r="AM2971">
        <v>91.352395125672899</v>
      </c>
      <c r="AN2971">
        <v>0.99999998513195398</v>
      </c>
    </row>
    <row r="2972" spans="1:40" x14ac:dyDescent="0.25">
      <c r="A2972" t="str">
        <f>"20190303154155932"</f>
        <v>20190303154155932</v>
      </c>
      <c r="B2972" t="str">
        <f>"1551598915922242"</f>
        <v>1551598915922242</v>
      </c>
      <c r="C2972" t="s">
        <v>40</v>
      </c>
      <c r="D2972">
        <v>5.7190130000000003</v>
      </c>
      <c r="E2972">
        <v>0.52525679999999997</v>
      </c>
      <c r="F2972" t="s">
        <v>50</v>
      </c>
      <c r="G2972">
        <v>-458.54390000000001</v>
      </c>
      <c r="H2972" s="1">
        <v>2.9826809999999999E-6</v>
      </c>
      <c r="I2972">
        <v>285.23849999999999</v>
      </c>
      <c r="J2972">
        <v>-441.2706</v>
      </c>
      <c r="K2972">
        <v>1.1210070000000001</v>
      </c>
      <c r="L2972">
        <v>284.22300000000001</v>
      </c>
      <c r="M2972">
        <v>-0.99975400000000003</v>
      </c>
      <c r="N2972">
        <v>-1.431459E-2</v>
      </c>
      <c r="O2972">
        <v>1.695027E-2</v>
      </c>
      <c r="P2972">
        <v>-0.99648899999999996</v>
      </c>
      <c r="Q2972">
        <v>-8.3459420000000006E-2</v>
      </c>
      <c r="R2972">
        <v>-6.6612269999999996E-3</v>
      </c>
      <c r="S2972">
        <v>-2.9956049999999999</v>
      </c>
      <c r="T2972">
        <v>-0.1916387</v>
      </c>
      <c r="U2972">
        <v>0.17431640000000001</v>
      </c>
      <c r="V2972">
        <v>-2.355641E-2</v>
      </c>
      <c r="W2972">
        <v>-6.9188970000000002E-2</v>
      </c>
      <c r="X2972">
        <v>0.99732540000000003</v>
      </c>
      <c r="Y2972">
        <v>4.1079030000000002E-2</v>
      </c>
      <c r="Z2972">
        <v>7.6629539999999998E-4</v>
      </c>
      <c r="AA2972">
        <v>0.99915560000000003</v>
      </c>
      <c r="AB2972">
        <v>31</v>
      </c>
      <c r="AC2972">
        <v>-17.273299999999999</v>
      </c>
      <c r="AD2972">
        <v>-1.1210040173189999</v>
      </c>
      <c r="AE2972">
        <v>1.0154999999999701</v>
      </c>
      <c r="AF2972">
        <v>0.71951702189646405</v>
      </c>
      <c r="AG2972">
        <v>-1.1210040173189999</v>
      </c>
      <c r="AH2972">
        <v>17.2157736895036</v>
      </c>
      <c r="AI2972">
        <v>93.722311222076101</v>
      </c>
      <c r="AJ2972">
        <v>87.606769746147705</v>
      </c>
      <c r="AK2972">
        <v>17.267229612183002</v>
      </c>
      <c r="AL2972">
        <v>93.967405734050004</v>
      </c>
      <c r="AM2972">
        <v>91.353050838090795</v>
      </c>
      <c r="AN2972">
        <v>0.99999998575345395</v>
      </c>
    </row>
    <row r="2973" spans="1:40" x14ac:dyDescent="0.25">
      <c r="A2973" t="str">
        <f>"20190303154155953"</f>
        <v>20190303154155953</v>
      </c>
      <c r="B2973" t="str">
        <f>"1551598915942737"</f>
        <v>1551598915942737</v>
      </c>
      <c r="C2973" t="s">
        <v>40</v>
      </c>
      <c r="D2973">
        <v>5.7216019999999999</v>
      </c>
      <c r="E2973">
        <v>0.52593509999999999</v>
      </c>
      <c r="F2973" t="s">
        <v>50</v>
      </c>
      <c r="G2973">
        <v>-458.33280000000002</v>
      </c>
      <c r="H2973" s="1">
        <v>2.8696410000000001E-6</v>
      </c>
      <c r="I2973">
        <v>285.25439999999998</v>
      </c>
      <c r="J2973">
        <v>-441.56700000000001</v>
      </c>
      <c r="K2973">
        <v>1.1210089999999999</v>
      </c>
      <c r="L2973">
        <v>284.22809999999998</v>
      </c>
      <c r="M2973">
        <v>-0.99975400000000003</v>
      </c>
      <c r="N2973">
        <v>-1.4311300000000001E-2</v>
      </c>
      <c r="O2973">
        <v>1.6948580000000001E-2</v>
      </c>
      <c r="P2973">
        <v>-0.99642319999999995</v>
      </c>
      <c r="Q2973">
        <v>-8.4239209999999995E-2</v>
      </c>
      <c r="R2973">
        <v>-6.6934990000000003E-3</v>
      </c>
      <c r="S2973">
        <v>-2.9952700000000001</v>
      </c>
      <c r="T2973">
        <v>-0.19679150000000001</v>
      </c>
      <c r="U2973">
        <v>0.18106079999999999</v>
      </c>
      <c r="V2973">
        <v>-2.358555E-2</v>
      </c>
      <c r="W2973">
        <v>-6.9973019999999997E-2</v>
      </c>
      <c r="X2973">
        <v>0.99726999999999999</v>
      </c>
      <c r="Y2973">
        <v>4.3319530000000002E-2</v>
      </c>
      <c r="Z2973">
        <v>8.6196350000000005E-4</v>
      </c>
      <c r="AA2973">
        <v>0.99906090000000003</v>
      </c>
      <c r="AB2973">
        <v>31</v>
      </c>
      <c r="AC2973">
        <v>-16.765799999999999</v>
      </c>
      <c r="AD2973">
        <v>-1.121006130359</v>
      </c>
      <c r="AE2973">
        <v>1.02629999999999</v>
      </c>
      <c r="AF2973">
        <v>0.73867695311958903</v>
      </c>
      <c r="AG2973">
        <v>-1.121006130359</v>
      </c>
      <c r="AH2973">
        <v>16.706378428088801</v>
      </c>
      <c r="AI2973">
        <v>93.835084471033696</v>
      </c>
      <c r="AJ2973">
        <v>87.468300868654893</v>
      </c>
      <c r="AK2973">
        <v>16.760232055907899</v>
      </c>
      <c r="AL2973">
        <v>94.012437669349694</v>
      </c>
      <c r="AM2973">
        <v>91.354799209128004</v>
      </c>
      <c r="AN2973">
        <v>0.99999997729836099</v>
      </c>
    </row>
    <row r="2974" spans="1:40" x14ac:dyDescent="0.25">
      <c r="A2974" t="str">
        <f>"20190303154155976"</f>
        <v>20190303154155976</v>
      </c>
      <c r="B2974" t="str">
        <f>"1551598915972994"</f>
        <v>1551598915972994</v>
      </c>
      <c r="C2974" t="s">
        <v>40</v>
      </c>
      <c r="D2974">
        <v>5.6853989999999897</v>
      </c>
      <c r="E2974">
        <v>0.52712890000000001</v>
      </c>
      <c r="F2974" t="s">
        <v>50</v>
      </c>
      <c r="G2974">
        <v>-458.28809999999999</v>
      </c>
      <c r="H2974" s="1">
        <v>2.8451760000000001E-6</v>
      </c>
      <c r="I2974">
        <v>285.26929999999999</v>
      </c>
      <c r="J2974">
        <v>-441.87299999999999</v>
      </c>
      <c r="K2974">
        <v>1.121008</v>
      </c>
      <c r="L2974">
        <v>284.23329999999999</v>
      </c>
      <c r="M2974">
        <v>-0.99975409999999998</v>
      </c>
      <c r="N2974">
        <v>-1.430794E-2</v>
      </c>
      <c r="O2974">
        <v>1.6946079999999999E-2</v>
      </c>
      <c r="P2974">
        <v>-0.99638819999999995</v>
      </c>
      <c r="Q2974">
        <v>-8.468473E-2</v>
      </c>
      <c r="R2974">
        <v>-6.2722589999999996E-3</v>
      </c>
      <c r="S2974">
        <v>-2.9950260000000002</v>
      </c>
      <c r="T2974">
        <v>-0.20079060000000001</v>
      </c>
      <c r="U2974">
        <v>0.18649289999999999</v>
      </c>
      <c r="V2974">
        <v>-2.3161109999999999E-2</v>
      </c>
      <c r="W2974">
        <v>-7.0422369999999998E-2</v>
      </c>
      <c r="X2974">
        <v>0.99724840000000003</v>
      </c>
      <c r="Y2974">
        <v>4.5124110000000002E-2</v>
      </c>
      <c r="Z2974">
        <v>9.4156079999999998E-4</v>
      </c>
      <c r="AA2974">
        <v>0.99898089999999995</v>
      </c>
      <c r="AB2974">
        <v>31</v>
      </c>
      <c r="AC2974">
        <v>-16.415099999999899</v>
      </c>
      <c r="AD2974">
        <v>-1.1210051548240001</v>
      </c>
      <c r="AE2974">
        <v>1.036</v>
      </c>
      <c r="AF2974">
        <v>0.75414800362599099</v>
      </c>
      <c r="AG2974">
        <v>-1.1210051548240001</v>
      </c>
      <c r="AH2974">
        <v>16.354331656978601</v>
      </c>
      <c r="AI2974">
        <v>93.917047541084798</v>
      </c>
      <c r="AJ2974">
        <v>87.359787572976401</v>
      </c>
      <c r="AK2974">
        <v>16.410044354448502</v>
      </c>
      <c r="AL2974">
        <v>94.038246866713394</v>
      </c>
      <c r="AM2974">
        <v>91.330456211049096</v>
      </c>
      <c r="AN2974">
        <v>1.0000000592577001</v>
      </c>
    </row>
    <row r="2975" spans="1:40" x14ac:dyDescent="0.25">
      <c r="A2975" t="str">
        <f>"20190303154155998"</f>
        <v>20190303154155998</v>
      </c>
      <c r="B2975" t="str">
        <f>"1551598915992513"</f>
        <v>1551598915992513</v>
      </c>
      <c r="C2975" t="s">
        <v>40</v>
      </c>
      <c r="D2975">
        <v>5.7042729999999997</v>
      </c>
      <c r="E2975">
        <v>0.52768689999999996</v>
      </c>
      <c r="F2975" t="s">
        <v>42</v>
      </c>
      <c r="G2975">
        <v>-442.88659999999999</v>
      </c>
      <c r="H2975">
        <v>1.0520449999999999</v>
      </c>
      <c r="I2975">
        <v>284.30020000000002</v>
      </c>
      <c r="J2975">
        <v>-442.17500000000001</v>
      </c>
      <c r="K2975">
        <v>1.1210089999999999</v>
      </c>
      <c r="L2975">
        <v>284.23829999999998</v>
      </c>
      <c r="M2975">
        <v>-0.99975409999999998</v>
      </c>
      <c r="N2975">
        <v>-1.430476E-2</v>
      </c>
      <c r="O2975">
        <v>1.6943400000000001E-2</v>
      </c>
      <c r="P2975">
        <v>-0.99638720000000003</v>
      </c>
      <c r="Q2975">
        <v>-8.4704500000000002E-2</v>
      </c>
      <c r="R2975">
        <v>-6.1447730000000001E-3</v>
      </c>
      <c r="S2975">
        <v>-2.994812</v>
      </c>
      <c r="T2975">
        <v>-0.2038616</v>
      </c>
      <c r="U2975">
        <v>0.19711300000000001</v>
      </c>
      <c r="V2975">
        <v>-2.3030780000000001E-2</v>
      </c>
      <c r="W2975">
        <v>-7.0445339999999995E-2</v>
      </c>
      <c r="X2975">
        <v>0.99724970000000002</v>
      </c>
      <c r="Y2975">
        <v>4.8646679999999998E-2</v>
      </c>
      <c r="Z2975">
        <v>1.092207E-3</v>
      </c>
      <c r="AA2975">
        <v>0.99881549999999997</v>
      </c>
      <c r="AB2975">
        <v>31</v>
      </c>
      <c r="AC2975">
        <v>-0.71159999999997503</v>
      </c>
      <c r="AD2975">
        <v>-6.8963999999999803E-2</v>
      </c>
      <c r="AE2975">
        <v>6.1900000000036898E-2</v>
      </c>
      <c r="AF2975">
        <v>4.9372713115029401E-2</v>
      </c>
      <c r="AG2975">
        <v>-6.8963999999999803E-2</v>
      </c>
      <c r="AH2975">
        <v>0.70596586938098704</v>
      </c>
      <c r="AI2975">
        <v>95.565866070891502</v>
      </c>
      <c r="AJ2975">
        <v>85.999453182035296</v>
      </c>
      <c r="AK2975">
        <v>0.71104254923822297</v>
      </c>
      <c r="AL2975">
        <v>94.039566615039604</v>
      </c>
      <c r="AM2975">
        <v>91.322970538411298</v>
      </c>
      <c r="AN2975">
        <v>0.999999963452606</v>
      </c>
    </row>
    <row r="2976" spans="1:40" x14ac:dyDescent="0.25">
      <c r="A2976" t="str">
        <f>"20190303154156020"</f>
        <v>20190303154156020</v>
      </c>
      <c r="B2976" t="str">
        <f>"1551598916013009"</f>
        <v>1551598916013009</v>
      </c>
      <c r="C2976" t="s">
        <v>40</v>
      </c>
      <c r="D2976">
        <v>5.7316019999999996</v>
      </c>
      <c r="E2976">
        <v>0.52822720000000001</v>
      </c>
      <c r="F2976" t="s">
        <v>50</v>
      </c>
      <c r="G2976">
        <v>-458.54</v>
      </c>
      <c r="H2976" s="1">
        <v>2.9760290000000001E-6</v>
      </c>
      <c r="I2976">
        <v>285.34269999999998</v>
      </c>
      <c r="J2976">
        <v>-442.4785</v>
      </c>
      <c r="K2976">
        <v>1.12101299999999</v>
      </c>
      <c r="L2976">
        <v>284.24349999999998</v>
      </c>
      <c r="M2976">
        <v>-0.99975429999999998</v>
      </c>
      <c r="N2976">
        <v>-1.430153E-2</v>
      </c>
      <c r="O2976">
        <v>1.6940920000000002E-2</v>
      </c>
      <c r="P2976">
        <v>-0.99640839999999997</v>
      </c>
      <c r="Q2976">
        <v>-8.4420010000000004E-2</v>
      </c>
      <c r="R2976">
        <v>-6.6223990000000002E-3</v>
      </c>
      <c r="S2976">
        <v>-2.9946899999999999</v>
      </c>
      <c r="T2976">
        <v>-0.20513629999999999</v>
      </c>
      <c r="U2976">
        <v>0.2020874</v>
      </c>
      <c r="V2976">
        <v>-2.3506289999999999E-2</v>
      </c>
      <c r="W2976">
        <v>-7.0163890000000007E-2</v>
      </c>
      <c r="X2976">
        <v>0.99725850000000005</v>
      </c>
      <c r="Y2976">
        <v>5.0297689999999999E-2</v>
      </c>
      <c r="Z2976">
        <v>1.163596E-3</v>
      </c>
      <c r="AA2976">
        <v>0.9987336</v>
      </c>
      <c r="AB2976">
        <v>31</v>
      </c>
      <c r="AC2976">
        <v>-16.061499999999999</v>
      </c>
      <c r="AD2976">
        <v>-1.1210100239709999</v>
      </c>
      <c r="AE2976">
        <v>1.09919999999999</v>
      </c>
      <c r="AF2976">
        <v>0.82292777468551104</v>
      </c>
      <c r="AG2976">
        <v>-1.1210100239709999</v>
      </c>
      <c r="AH2976">
        <v>16.0002389851694</v>
      </c>
      <c r="AI2976">
        <v>94.002439455370705</v>
      </c>
      <c r="AJ2976">
        <v>87.055745285376105</v>
      </c>
      <c r="AK2976">
        <v>16.060557934851602</v>
      </c>
      <c r="AL2976">
        <v>94.023400502164193</v>
      </c>
      <c r="AM2976">
        <v>91.350263615876003</v>
      </c>
      <c r="AN2976">
        <v>1.00000001647587</v>
      </c>
    </row>
    <row r="2977" spans="1:40" x14ac:dyDescent="0.25">
      <c r="A2977" t="str">
        <f>"20190303154156043"</f>
        <v>20190303154156043</v>
      </c>
      <c r="B2977" t="str">
        <f>"1551598916032530"</f>
        <v>1551598916032530</v>
      </c>
      <c r="C2977" t="s">
        <v>40</v>
      </c>
      <c r="D2977">
        <v>5.7133560000000001</v>
      </c>
      <c r="E2977">
        <v>0.52868660000000001</v>
      </c>
      <c r="F2977" t="s">
        <v>50</v>
      </c>
      <c r="G2977">
        <v>-458.84019999999998</v>
      </c>
      <c r="H2977" s="1">
        <v>3.1349400000000001E-6</v>
      </c>
      <c r="I2977">
        <v>285.36219999999997</v>
      </c>
      <c r="J2977">
        <v>-442.78570000000002</v>
      </c>
      <c r="K2977">
        <v>1.1210070000000001</v>
      </c>
      <c r="L2977">
        <v>284.24869999999999</v>
      </c>
      <c r="M2977">
        <v>-0.99975429999999998</v>
      </c>
      <c r="N2977">
        <v>-1.4298170000000001E-2</v>
      </c>
      <c r="O2977">
        <v>1.6940279999999999E-2</v>
      </c>
      <c r="P2977">
        <v>-0.99647079999999999</v>
      </c>
      <c r="Q2977">
        <v>-8.3633009999999994E-2</v>
      </c>
      <c r="R2977">
        <v>-7.1707139999999999E-3</v>
      </c>
      <c r="S2977">
        <v>-2.9947810000000001</v>
      </c>
      <c r="T2977">
        <v>-0.20518459999999999</v>
      </c>
      <c r="U2977">
        <v>0.20477290000000001</v>
      </c>
      <c r="V2977">
        <v>-2.4054470000000001E-2</v>
      </c>
      <c r="W2977">
        <v>-6.9379579999999996E-2</v>
      </c>
      <c r="X2977">
        <v>0.99730030000000003</v>
      </c>
      <c r="Y2977">
        <v>5.1185219999999997E-2</v>
      </c>
      <c r="Z2977">
        <v>1.200287E-3</v>
      </c>
      <c r="AA2977">
        <v>0.99868849999999998</v>
      </c>
      <c r="AB2977">
        <v>30</v>
      </c>
      <c r="AC2977">
        <v>-16.054499999999901</v>
      </c>
      <c r="AD2977">
        <v>-1.1210038650599901</v>
      </c>
      <c r="AE2977">
        <v>1.11349999999998</v>
      </c>
      <c r="AF2977">
        <v>0.83728202419347997</v>
      </c>
      <c r="AG2977">
        <v>-1.1210038650599901</v>
      </c>
      <c r="AH2977">
        <v>15.993457625060101</v>
      </c>
      <c r="AI2977">
        <v>94.003919197937194</v>
      </c>
      <c r="AJ2977">
        <v>87.003213858605406</v>
      </c>
      <c r="AK2977">
        <v>16.054543832140201</v>
      </c>
      <c r="AL2977">
        <v>93.978353069378997</v>
      </c>
      <c r="AM2977">
        <v>91.381682569326699</v>
      </c>
      <c r="AN2977">
        <v>1.0000000160140201</v>
      </c>
    </row>
    <row r="2978" spans="1:40" x14ac:dyDescent="0.25">
      <c r="A2978" t="str">
        <f>"20190303154156065"</f>
        <v>20190303154156065</v>
      </c>
      <c r="B2978" t="str">
        <f>"1551598916062786"</f>
        <v>1551598916062786</v>
      </c>
      <c r="C2978" t="s">
        <v>40</v>
      </c>
      <c r="D2978">
        <v>5.7401059999999999</v>
      </c>
      <c r="E2978">
        <v>0.52936719999999904</v>
      </c>
      <c r="F2978" t="s">
        <v>50</v>
      </c>
      <c r="G2978">
        <v>-459.23660000000001</v>
      </c>
      <c r="H2978" s="1">
        <v>3.3448729999999998E-6</v>
      </c>
      <c r="I2978">
        <v>285.38499999999999</v>
      </c>
      <c r="J2978">
        <v>-443.08870000000002</v>
      </c>
      <c r="K2978">
        <v>1.1210070000000001</v>
      </c>
      <c r="L2978">
        <v>284.25380000000001</v>
      </c>
      <c r="M2978">
        <v>-0.99975449999999999</v>
      </c>
      <c r="N2978">
        <v>-1.429482E-2</v>
      </c>
      <c r="O2978">
        <v>1.6939650000000001E-2</v>
      </c>
      <c r="P2978">
        <v>-0.99652030000000003</v>
      </c>
      <c r="Q2978">
        <v>-8.2938109999999995E-2</v>
      </c>
      <c r="R2978">
        <v>-8.2858259999999996E-3</v>
      </c>
      <c r="S2978">
        <v>-2.9949949999999999</v>
      </c>
      <c r="T2978">
        <v>-0.2040865</v>
      </c>
      <c r="U2978">
        <v>0.2068787</v>
      </c>
      <c r="V2978">
        <v>-2.5170350000000001E-2</v>
      </c>
      <c r="W2978">
        <v>-6.868763E-2</v>
      </c>
      <c r="X2978">
        <v>0.99732069999999995</v>
      </c>
      <c r="Y2978">
        <v>5.1879010000000003E-2</v>
      </c>
      <c r="Z2978">
        <v>1.225521E-3</v>
      </c>
      <c r="AA2978">
        <v>0.9986526</v>
      </c>
      <c r="AB2978">
        <v>30</v>
      </c>
      <c r="AC2978">
        <v>-16.1478999999999</v>
      </c>
      <c r="AD2978">
        <v>-1.121003655127</v>
      </c>
      <c r="AE2978">
        <v>1.13119999999997</v>
      </c>
      <c r="AF2978">
        <v>0.85337739842500904</v>
      </c>
      <c r="AG2978">
        <v>-1.121003655127</v>
      </c>
      <c r="AH2978">
        <v>16.087594638693002</v>
      </c>
      <c r="AI2978">
        <v>93.980420206810095</v>
      </c>
      <c r="AJ2978">
        <v>86.963552306461196</v>
      </c>
      <c r="AK2978">
        <v>16.149167267628901</v>
      </c>
      <c r="AL2978">
        <v>93.938612281762403</v>
      </c>
      <c r="AM2978">
        <v>91.445722268534595</v>
      </c>
      <c r="AN2978">
        <v>1.00000005784131</v>
      </c>
    </row>
    <row r="2979" spans="1:40" x14ac:dyDescent="0.25">
      <c r="A2979" t="str">
        <f>"20190303154156087"</f>
        <v>20190303154156087</v>
      </c>
      <c r="B2979" t="str">
        <f>"1551598916082306"</f>
        <v>1551598916082306</v>
      </c>
      <c r="C2979" t="s">
        <v>40</v>
      </c>
      <c r="D2979">
        <v>5.7754019999999997</v>
      </c>
      <c r="E2979">
        <v>0.52973709999999996</v>
      </c>
      <c r="F2979" t="s">
        <v>50</v>
      </c>
      <c r="G2979">
        <v>-459.61360000000002</v>
      </c>
      <c r="H2979" s="1">
        <v>3.5445889999999998E-6</v>
      </c>
      <c r="I2979">
        <v>285.40589999999997</v>
      </c>
      <c r="J2979">
        <v>-443.38139999999999</v>
      </c>
      <c r="K2979">
        <v>1.121005</v>
      </c>
      <c r="L2979">
        <v>284.25880000000001</v>
      </c>
      <c r="M2979">
        <v>-0.99975449999999999</v>
      </c>
      <c r="N2979">
        <v>-1.429155E-2</v>
      </c>
      <c r="O2979">
        <v>1.6939490000000001E-2</v>
      </c>
      <c r="P2979">
        <v>-0.9965463</v>
      </c>
      <c r="Q2979">
        <v>-8.2584599999999994E-2</v>
      </c>
      <c r="R2979">
        <v>-8.6969030000000006E-3</v>
      </c>
      <c r="S2979">
        <v>-2.9953310000000002</v>
      </c>
      <c r="T2979">
        <v>-0.20319400000000001</v>
      </c>
      <c r="U2979">
        <v>0.20883180000000001</v>
      </c>
      <c r="V2979">
        <v>-2.55809E-2</v>
      </c>
      <c r="W2979">
        <v>-6.8337110000000006E-2</v>
      </c>
      <c r="X2979">
        <v>0.99733430000000001</v>
      </c>
      <c r="Y2979">
        <v>5.2518670000000003E-2</v>
      </c>
      <c r="Z2979">
        <v>1.248868E-3</v>
      </c>
      <c r="AA2979">
        <v>0.99861909999999998</v>
      </c>
      <c r="AB2979">
        <v>30</v>
      </c>
      <c r="AC2979">
        <v>-16.232199999999999</v>
      </c>
      <c r="AD2979">
        <v>-1.1210014554109999</v>
      </c>
      <c r="AE2979">
        <v>1.14709999999996</v>
      </c>
      <c r="AF2979">
        <v>0.86782376433985697</v>
      </c>
      <c r="AG2979">
        <v>-1.1210014554109999</v>
      </c>
      <c r="AH2979">
        <v>16.1725547399957</v>
      </c>
      <c r="AI2979">
        <v>93.959439553022193</v>
      </c>
      <c r="AJ2979">
        <v>86.928438460726895</v>
      </c>
      <c r="AK2979">
        <v>16.234570803293298</v>
      </c>
      <c r="AL2979">
        <v>93.918481795456202</v>
      </c>
      <c r="AM2979">
        <v>91.469272958005902</v>
      </c>
      <c r="AN2979">
        <v>1.00000002450222</v>
      </c>
    </row>
    <row r="2980" spans="1:40" x14ac:dyDescent="0.25">
      <c r="A2980" t="str">
        <f>"20190303154156109"</f>
        <v>20190303154156109</v>
      </c>
      <c r="B2980" t="str">
        <f>"1551598916102802"</f>
        <v>1551598916102802</v>
      </c>
      <c r="C2980" t="s">
        <v>40</v>
      </c>
      <c r="D2980">
        <v>5.7723879999999896</v>
      </c>
      <c r="E2980">
        <v>0.52999510000000005</v>
      </c>
      <c r="F2980" t="s">
        <v>50</v>
      </c>
      <c r="G2980">
        <v>-459.89240000000001</v>
      </c>
      <c r="H2980" s="1">
        <v>3.692354E-6</v>
      </c>
      <c r="I2980">
        <v>285.4196</v>
      </c>
      <c r="J2980">
        <v>-443.6884</v>
      </c>
      <c r="K2980">
        <v>1.12101299999999</v>
      </c>
      <c r="L2980">
        <v>284.26389999999998</v>
      </c>
      <c r="M2980">
        <v>-0.99975449999999999</v>
      </c>
      <c r="N2980">
        <v>-1.428813E-2</v>
      </c>
      <c r="O2980">
        <v>1.693952E-2</v>
      </c>
      <c r="P2980">
        <v>-0.99652600000000002</v>
      </c>
      <c r="Q2980">
        <v>-8.2804260000000005E-2</v>
      </c>
      <c r="R2980">
        <v>-8.9225629999999997E-3</v>
      </c>
      <c r="S2980">
        <v>-2.9953919999999998</v>
      </c>
      <c r="T2980">
        <v>-0.20336989999999999</v>
      </c>
      <c r="U2980">
        <v>0.21060180000000001</v>
      </c>
      <c r="V2980">
        <v>-2.58064E-2</v>
      </c>
      <c r="W2980">
        <v>-6.8560469999999998E-2</v>
      </c>
      <c r="X2980">
        <v>0.99731309999999995</v>
      </c>
      <c r="Y2980">
        <v>5.3102669999999998E-2</v>
      </c>
      <c r="Z2980">
        <v>1.273204E-3</v>
      </c>
      <c r="AA2980">
        <v>0.99858829999999998</v>
      </c>
      <c r="AB2980">
        <v>30</v>
      </c>
      <c r="AC2980">
        <v>-16.204000000000001</v>
      </c>
      <c r="AD2980">
        <v>-1.1210093076459899</v>
      </c>
      <c r="AE2980">
        <v>1.1557000000000199</v>
      </c>
      <c r="AF2980">
        <v>0.87684281581683199</v>
      </c>
      <c r="AG2980">
        <v>-1.1210093076459899</v>
      </c>
      <c r="AH2980">
        <v>16.1443773498351</v>
      </c>
      <c r="AI2980">
        <v>93.966216943942698</v>
      </c>
      <c r="AJ2980">
        <v>86.891172750896999</v>
      </c>
      <c r="AK2980">
        <v>16.2069872340712</v>
      </c>
      <c r="AL2980">
        <v>93.931309704799901</v>
      </c>
      <c r="AM2980">
        <v>91.482250590987704</v>
      </c>
      <c r="AN2980">
        <v>0.999999963879594</v>
      </c>
    </row>
    <row r="2981" spans="1:40" x14ac:dyDescent="0.25">
      <c r="A2981" t="str">
        <f>"20190303154156133"</f>
        <v>20190303154156133</v>
      </c>
      <c r="B2981" t="str">
        <f>"1551598916122322"</f>
        <v>1551598916122322</v>
      </c>
      <c r="C2981" t="s">
        <v>40</v>
      </c>
      <c r="D2981">
        <v>5.8009029999999999</v>
      </c>
      <c r="E2981">
        <v>0.53020489999999998</v>
      </c>
      <c r="F2981" t="s">
        <v>50</v>
      </c>
      <c r="G2981">
        <v>-459.9991</v>
      </c>
      <c r="H2981" s="1">
        <v>-1.572303E-6</v>
      </c>
      <c r="I2981">
        <v>285.41820000000001</v>
      </c>
      <c r="J2981">
        <v>-444.00749999999999</v>
      </c>
      <c r="K2981">
        <v>1.121011</v>
      </c>
      <c r="L2981">
        <v>284.26929999999999</v>
      </c>
      <c r="M2981">
        <v>-0.99975449999999999</v>
      </c>
      <c r="N2981">
        <v>-1.428456E-2</v>
      </c>
      <c r="O2981">
        <v>1.6939539999999999E-2</v>
      </c>
      <c r="P2981">
        <v>-0.99645859999999997</v>
      </c>
      <c r="Q2981">
        <v>-8.3669560000000004E-2</v>
      </c>
      <c r="R2981">
        <v>-8.3500959999999996E-3</v>
      </c>
      <c r="S2981">
        <v>-2.9952700000000001</v>
      </c>
      <c r="T2981">
        <v>-0.2058606</v>
      </c>
      <c r="U2981">
        <v>0.2119751</v>
      </c>
      <c r="V2981">
        <v>-2.523326E-2</v>
      </c>
      <c r="W2981">
        <v>-6.9430140000000001E-2</v>
      </c>
      <c r="X2981">
        <v>0.99726769999999998</v>
      </c>
      <c r="Y2981">
        <v>5.3557220000000003E-2</v>
      </c>
      <c r="Z2981">
        <v>1.299868E-3</v>
      </c>
      <c r="AA2981">
        <v>0.99856389999999995</v>
      </c>
      <c r="AB2981">
        <v>30</v>
      </c>
      <c r="AC2981">
        <v>-15.9916</v>
      </c>
      <c r="AD2981">
        <v>-1.121012572303</v>
      </c>
      <c r="AE2981">
        <v>1.14890000000002</v>
      </c>
      <c r="AF2981">
        <v>0.87354655102011602</v>
      </c>
      <c r="AG2981">
        <v>-1.121012572303</v>
      </c>
      <c r="AH2981">
        <v>15.9308860764177</v>
      </c>
      <c r="AI2981">
        <v>94.019093653772799</v>
      </c>
      <c r="AJ2981">
        <v>86.861413854524699</v>
      </c>
      <c r="AK2981">
        <v>15.9941515543607</v>
      </c>
      <c r="AL2981">
        <v>93.981256756640605</v>
      </c>
      <c r="AM2981">
        <v>91.449411115409504</v>
      </c>
      <c r="AN2981">
        <v>1.0000000636069599</v>
      </c>
    </row>
    <row r="2982" spans="1:40" x14ac:dyDescent="0.25">
      <c r="A2982" t="str">
        <f>"20190303154156154"</f>
        <v>20190303154156154</v>
      </c>
      <c r="B2982" t="str">
        <f>"1551598916142818"</f>
        <v>1551598916142818</v>
      </c>
      <c r="C2982" t="s">
        <v>40</v>
      </c>
      <c r="D2982">
        <v>5.7920400000000001</v>
      </c>
      <c r="E2982">
        <v>0.53043490000000004</v>
      </c>
      <c r="F2982" t="s">
        <v>50</v>
      </c>
      <c r="G2982">
        <v>-460.00450000000001</v>
      </c>
      <c r="H2982" s="1">
        <v>-1.5695430000000001E-6</v>
      </c>
      <c r="I2982">
        <v>285.42</v>
      </c>
      <c r="J2982">
        <v>-444.29930000000002</v>
      </c>
      <c r="K2982">
        <v>1.121014</v>
      </c>
      <c r="L2982">
        <v>284.27429999999998</v>
      </c>
      <c r="M2982">
        <v>-0.99975449999999999</v>
      </c>
      <c r="N2982">
        <v>-1.428127E-2</v>
      </c>
      <c r="O2982">
        <v>1.6939739999999998E-2</v>
      </c>
      <c r="P2982">
        <v>-0.99642770000000003</v>
      </c>
      <c r="Q2982">
        <v>-8.4071759999999995E-2</v>
      </c>
      <c r="R2982">
        <v>-7.9809430000000008E-3</v>
      </c>
      <c r="S2982">
        <v>-2.9948730000000001</v>
      </c>
      <c r="T2982">
        <v>-0.20987059999999999</v>
      </c>
      <c r="U2982">
        <v>0.21542359999999999</v>
      </c>
      <c r="V2982">
        <v>-2.4864009999999999E-2</v>
      </c>
      <c r="W2982">
        <v>-6.9835939999999999E-2</v>
      </c>
      <c r="X2982">
        <v>0.99724860000000004</v>
      </c>
      <c r="Y2982">
        <v>5.4702689999999998E-2</v>
      </c>
      <c r="Z2982">
        <v>1.3611439999999999E-3</v>
      </c>
      <c r="AA2982">
        <v>0.99850179999999999</v>
      </c>
      <c r="AB2982">
        <v>30</v>
      </c>
      <c r="AC2982">
        <v>-15.7051999999999</v>
      </c>
      <c r="AD2982">
        <v>-1.121015569543</v>
      </c>
      <c r="AE2982">
        <v>1.1457000000000299</v>
      </c>
      <c r="AF2982">
        <v>0.87503182278674496</v>
      </c>
      <c r="AG2982">
        <v>-1.121015569543</v>
      </c>
      <c r="AH2982">
        <v>15.6430777341749</v>
      </c>
      <c r="AI2982">
        <v>94.092552023777401</v>
      </c>
      <c r="AJ2982">
        <v>86.798364234973604</v>
      </c>
      <c r="AK2982">
        <v>15.707585352162999</v>
      </c>
      <c r="AL2982">
        <v>94.004564116265698</v>
      </c>
      <c r="AM2982">
        <v>91.428237402876803</v>
      </c>
      <c r="AN2982">
        <v>1.0000000238554601</v>
      </c>
    </row>
    <row r="2983" spans="1:40" x14ac:dyDescent="0.25">
      <c r="A2983" t="str">
        <f>"20190303154156176"</f>
        <v>20190303154156176</v>
      </c>
      <c r="B2983" t="str">
        <f>"1551598916173074"</f>
        <v>1551598916173074</v>
      </c>
      <c r="C2983" t="s">
        <v>40</v>
      </c>
      <c r="D2983">
        <v>5.822972</v>
      </c>
      <c r="E2983">
        <v>0.53074940000000004</v>
      </c>
      <c r="F2983" t="s">
        <v>50</v>
      </c>
      <c r="G2983">
        <v>-460.1121</v>
      </c>
      <c r="H2983" s="1">
        <v>-1.5125510000000001E-6</v>
      </c>
      <c r="I2983">
        <v>285.42649999999998</v>
      </c>
      <c r="J2983">
        <v>-444.59350000000001</v>
      </c>
      <c r="K2983">
        <v>1.12101299999999</v>
      </c>
      <c r="L2983">
        <v>284.27929999999998</v>
      </c>
      <c r="M2983">
        <v>-0.99975460000000005</v>
      </c>
      <c r="N2983">
        <v>-1.4277959999999999E-2</v>
      </c>
      <c r="O2983">
        <v>1.693977E-2</v>
      </c>
      <c r="P2983">
        <v>-0.99637469999999995</v>
      </c>
      <c r="Q2983">
        <v>-8.4739490000000001E-2</v>
      </c>
      <c r="R2983">
        <v>-7.5428759999999996E-3</v>
      </c>
      <c r="S2983">
        <v>-2.9945680000000001</v>
      </c>
      <c r="T2983">
        <v>-0.21229390000000001</v>
      </c>
      <c r="U2983">
        <v>0.2182007</v>
      </c>
      <c r="V2983">
        <v>-2.4424419999999999E-2</v>
      </c>
      <c r="W2983">
        <v>-7.0507570000000006E-2</v>
      </c>
      <c r="X2983">
        <v>0.99721219999999999</v>
      </c>
      <c r="Y2983">
        <v>5.5625670000000002E-2</v>
      </c>
      <c r="Z2983">
        <v>1.408685E-3</v>
      </c>
      <c r="AA2983">
        <v>0.99845070000000002</v>
      </c>
      <c r="AB2983">
        <v>30</v>
      </c>
      <c r="AC2983">
        <v>-15.5185999999999</v>
      </c>
      <c r="AD2983">
        <v>-1.12101451255099</v>
      </c>
      <c r="AE2983">
        <v>1.14719999999999</v>
      </c>
      <c r="AF2983">
        <v>0.87956230102035704</v>
      </c>
      <c r="AG2983">
        <v>-1.12101451255099</v>
      </c>
      <c r="AH2983">
        <v>15.4555966567592</v>
      </c>
      <c r="AI2983">
        <v>94.141794707459297</v>
      </c>
      <c r="AJ2983">
        <v>86.742868592769099</v>
      </c>
      <c r="AK2983">
        <v>15.5211395005377</v>
      </c>
      <c r="AL2983">
        <v>94.043140787345095</v>
      </c>
      <c r="AM2983">
        <v>91.403047867539101</v>
      </c>
      <c r="AN2983">
        <v>1.0000000207742401</v>
      </c>
    </row>
    <row r="2984" spans="1:40" x14ac:dyDescent="0.25">
      <c r="A2984" t="str">
        <f>"20190303154156199"</f>
        <v>20190303154156199</v>
      </c>
      <c r="B2984" t="str">
        <f>"1551598916192601"</f>
        <v>1551598916192601</v>
      </c>
      <c r="C2984" t="s">
        <v>40</v>
      </c>
      <c r="D2984">
        <v>5.8990549999999997</v>
      </c>
      <c r="E2984">
        <v>0.5308948</v>
      </c>
      <c r="F2984" t="s">
        <v>42</v>
      </c>
      <c r="G2984">
        <v>-445.58620000000002</v>
      </c>
      <c r="H2984">
        <v>1.0494570000000001</v>
      </c>
      <c r="I2984">
        <v>284.35309999999998</v>
      </c>
      <c r="J2984">
        <v>-444.899</v>
      </c>
      <c r="K2984">
        <v>1.1210150000000001</v>
      </c>
      <c r="L2984">
        <v>284.28449999999998</v>
      </c>
      <c r="M2984">
        <v>-0.9997547</v>
      </c>
      <c r="N2984">
        <v>-1.4274530000000001E-2</v>
      </c>
      <c r="O2984">
        <v>1.6939610000000001E-2</v>
      </c>
      <c r="P2984">
        <v>-0.99631210000000003</v>
      </c>
      <c r="Q2984">
        <v>-8.5486740000000006E-2</v>
      </c>
      <c r="R2984">
        <v>-7.377771E-3</v>
      </c>
      <c r="S2984">
        <v>-2.9942630000000001</v>
      </c>
      <c r="T2984">
        <v>-0.21587790000000001</v>
      </c>
      <c r="U2984">
        <v>0.2222595</v>
      </c>
      <c r="V2984">
        <v>-2.425859E-2</v>
      </c>
      <c r="W2984">
        <v>-7.1259020000000006E-2</v>
      </c>
      <c r="X2984">
        <v>0.99716280000000002</v>
      </c>
      <c r="Y2984">
        <v>5.6971090000000002E-2</v>
      </c>
      <c r="Z2984">
        <v>1.479555E-3</v>
      </c>
      <c r="AA2984">
        <v>0.99837480000000001</v>
      </c>
      <c r="AB2984">
        <v>30</v>
      </c>
      <c r="AC2984">
        <v>-0.68720000000001802</v>
      </c>
      <c r="AD2984">
        <v>-7.1557999999999997E-2</v>
      </c>
      <c r="AE2984">
        <v>6.8600000000003505E-2</v>
      </c>
      <c r="AF2984">
        <v>5.6343167795855499E-2</v>
      </c>
      <c r="AG2984">
        <v>-7.1557999999999997E-2</v>
      </c>
      <c r="AH2984">
        <v>0.68095282231542198</v>
      </c>
      <c r="AI2984">
        <v>95.978634217029906</v>
      </c>
      <c r="AJ2984">
        <v>85.2700264682327</v>
      </c>
      <c r="AK2984">
        <v>0.68701662726648105</v>
      </c>
      <c r="AL2984">
        <v>94.086304406219</v>
      </c>
      <c r="AM2984">
        <v>91.3935946289225</v>
      </c>
      <c r="AN2984">
        <v>0.999999988411994</v>
      </c>
    </row>
    <row r="2985" spans="1:40" x14ac:dyDescent="0.25">
      <c r="A2985" t="str">
        <f>"20190303154156221"</f>
        <v>20190303154156221</v>
      </c>
      <c r="B2985" t="str">
        <f>"1551598916212118"</f>
        <v>1551598916212118</v>
      </c>
      <c r="C2985" t="s">
        <v>40</v>
      </c>
      <c r="D2985">
        <v>5.8351769999999998</v>
      </c>
      <c r="E2985">
        <v>0.55845519999999904</v>
      </c>
      <c r="F2985" t="s">
        <v>42</v>
      </c>
      <c r="G2985">
        <v>-445.85719999999998</v>
      </c>
      <c r="H2985">
        <v>1.051258</v>
      </c>
      <c r="I2985">
        <v>284.35640000000001</v>
      </c>
      <c r="J2985">
        <v>-445.19970000000001</v>
      </c>
      <c r="K2985">
        <v>1.121005</v>
      </c>
      <c r="L2985">
        <v>284.28960000000001</v>
      </c>
      <c r="M2985">
        <v>-0.9997547</v>
      </c>
      <c r="N2985">
        <v>-1.4271209999999999E-2</v>
      </c>
      <c r="O2985">
        <v>1.6939639999999999E-2</v>
      </c>
      <c r="P2985">
        <v>-0.99633059999999996</v>
      </c>
      <c r="Q2985">
        <v>-8.5198889999999999E-2</v>
      </c>
      <c r="R2985">
        <v>-8.1611879999999998E-3</v>
      </c>
      <c r="S2985">
        <v>-2.994049</v>
      </c>
      <c r="T2985">
        <v>-0.2180417</v>
      </c>
      <c r="U2985">
        <v>0.2236938</v>
      </c>
      <c r="V2985">
        <v>-2.504174E-2</v>
      </c>
      <c r="W2985">
        <v>-7.0974419999999996E-2</v>
      </c>
      <c r="X2985">
        <v>0.99716380000000004</v>
      </c>
      <c r="Y2985">
        <v>5.744792E-2</v>
      </c>
      <c r="Z2985">
        <v>1.5084880000000001E-3</v>
      </c>
      <c r="AA2985">
        <v>0.99834730000000005</v>
      </c>
      <c r="AB2985">
        <v>30</v>
      </c>
      <c r="AC2985">
        <v>-0.65749999999997</v>
      </c>
      <c r="AD2985">
        <v>-6.9747000000000003E-2</v>
      </c>
      <c r="AE2985">
        <v>6.6800000000000595E-2</v>
      </c>
      <c r="AF2985">
        <v>5.5038458112627898E-2</v>
      </c>
      <c r="AG2985">
        <v>-6.9747000000000003E-2</v>
      </c>
      <c r="AH2985">
        <v>0.65128345123215103</v>
      </c>
      <c r="AI2985">
        <v>96.091054196009296</v>
      </c>
      <c r="AJ2985">
        <v>85.169543356496305</v>
      </c>
      <c r="AK2985">
        <v>0.65731576105345102</v>
      </c>
      <c r="AL2985">
        <v>94.069956381316899</v>
      </c>
      <c r="AM2985">
        <v>91.438564563350695</v>
      </c>
      <c r="AN2985">
        <v>1.0000000505335001</v>
      </c>
    </row>
    <row r="2986" spans="1:40" x14ac:dyDescent="0.25">
      <c r="A2986" t="str">
        <f>"20190303154156244"</f>
        <v>20190303154156244</v>
      </c>
      <c r="B2986" t="str">
        <f>"1551598916232614"</f>
        <v>1551598916232614</v>
      </c>
      <c r="C2986" t="s">
        <v>40</v>
      </c>
      <c r="D2986">
        <v>5.8473959999999998</v>
      </c>
      <c r="E2986">
        <v>0.56137760000000003</v>
      </c>
      <c r="F2986" t="s">
        <v>50</v>
      </c>
      <c r="G2986">
        <v>-465.36500000000001</v>
      </c>
      <c r="H2986" s="1">
        <v>1.203017E-6</v>
      </c>
      <c r="I2986">
        <v>287.2509</v>
      </c>
      <c r="J2986">
        <v>-445.50020000000001</v>
      </c>
      <c r="K2986">
        <v>1.1210100000000001</v>
      </c>
      <c r="L2986">
        <v>284.2946</v>
      </c>
      <c r="M2986">
        <v>-0.9997547</v>
      </c>
      <c r="N2986">
        <v>-1.426789E-2</v>
      </c>
      <c r="O2986">
        <v>1.6939659999999999E-2</v>
      </c>
      <c r="P2986">
        <v>-0.99630090000000004</v>
      </c>
      <c r="Q2986">
        <v>-8.5471519999999995E-2</v>
      </c>
      <c r="R2986">
        <v>-8.9249629999999993E-3</v>
      </c>
      <c r="S2986">
        <v>-3.000397</v>
      </c>
      <c r="T2986">
        <v>-0.16679430000000001</v>
      </c>
      <c r="U2986">
        <v>0.44061280000000003</v>
      </c>
      <c r="V2986">
        <v>-2.5804850000000001E-2</v>
      </c>
      <c r="W2986">
        <v>-7.1250869999999994E-2</v>
      </c>
      <c r="X2986">
        <v>0.99712460000000003</v>
      </c>
      <c r="Y2986">
        <v>0.12828039999999999</v>
      </c>
      <c r="Z2986">
        <v>3.7695710000000002E-3</v>
      </c>
      <c r="AA2986">
        <v>0.99173069999999997</v>
      </c>
      <c r="AB2986">
        <v>30</v>
      </c>
      <c r="AC2986">
        <v>-19.864799999999999</v>
      </c>
      <c r="AD2986">
        <v>-1.121008796983</v>
      </c>
      <c r="AE2986">
        <v>2.9562999999999899</v>
      </c>
      <c r="AF2986">
        <v>2.6112031501226598</v>
      </c>
      <c r="AG2986">
        <v>-1.121008796983</v>
      </c>
      <c r="AH2986">
        <v>19.8501884724635</v>
      </c>
      <c r="AI2986">
        <v>93.204707320704401</v>
      </c>
      <c r="AJ2986">
        <v>82.506025629982901</v>
      </c>
      <c r="AK2986">
        <v>20.052556570334001</v>
      </c>
      <c r="AL2986">
        <v>94.085836116766501</v>
      </c>
      <c r="AM2986">
        <v>91.482441670956902</v>
      </c>
      <c r="AN2986">
        <v>1.0000000223422101</v>
      </c>
    </row>
    <row r="2987" spans="1:40" x14ac:dyDescent="0.25">
      <c r="A2987" t="str">
        <f>"20190303154156266"</f>
        <v>20190303154156266</v>
      </c>
      <c r="B2987" t="str">
        <f>"1551598916262870"</f>
        <v>1551598916262870</v>
      </c>
      <c r="C2987" t="s">
        <v>40</v>
      </c>
      <c r="D2987">
        <v>5.8422159999999996</v>
      </c>
      <c r="E2987">
        <v>0.563662</v>
      </c>
      <c r="F2987" t="s">
        <v>50</v>
      </c>
      <c r="G2987">
        <v>-466.55509999999998</v>
      </c>
      <c r="H2987" s="1">
        <v>1.8241E-6</v>
      </c>
      <c r="I2987">
        <v>287.53089999999997</v>
      </c>
      <c r="J2987">
        <v>-445.79899999999998</v>
      </c>
      <c r="K2987">
        <v>1.12101299999999</v>
      </c>
      <c r="L2987">
        <v>284.29969999999997</v>
      </c>
      <c r="M2987">
        <v>-0.9997549</v>
      </c>
      <c r="N2987">
        <v>-1.426462E-2</v>
      </c>
      <c r="O2987">
        <v>1.69395E-2</v>
      </c>
      <c r="P2987">
        <v>-0.99630419999999997</v>
      </c>
      <c r="Q2987">
        <v>-8.535653E-2</v>
      </c>
      <c r="R2987">
        <v>-9.6225930000000005E-3</v>
      </c>
      <c r="S2987">
        <v>-3.0015869999999998</v>
      </c>
      <c r="T2987">
        <v>-0.1598107</v>
      </c>
      <c r="U2987">
        <v>0.46136470000000002</v>
      </c>
      <c r="V2987">
        <v>-2.6502560000000001E-2</v>
      </c>
      <c r="W2987">
        <v>-7.1139279999999999E-2</v>
      </c>
      <c r="X2987">
        <v>0.99711419999999995</v>
      </c>
      <c r="Y2987">
        <v>0.134931299999999</v>
      </c>
      <c r="Z2987">
        <v>3.881963E-3</v>
      </c>
      <c r="AA2987">
        <v>0.99084729999999999</v>
      </c>
      <c r="AB2987">
        <v>30</v>
      </c>
      <c r="AC2987">
        <v>-20.756099999999901</v>
      </c>
      <c r="AD2987">
        <v>-1.1210111759000001</v>
      </c>
      <c r="AE2987">
        <v>3.2311999999999999</v>
      </c>
      <c r="AF2987">
        <v>2.8709264087191699</v>
      </c>
      <c r="AG2987">
        <v>-1.1210111759000001</v>
      </c>
      <c r="AH2987">
        <v>20.748770714165801</v>
      </c>
      <c r="AI2987">
        <v>93.063430689810403</v>
      </c>
      <c r="AJ2987">
        <v>82.122226314033696</v>
      </c>
      <c r="AK2987">
        <v>20.9764241626116</v>
      </c>
      <c r="AL2987">
        <v>94.0794264889538</v>
      </c>
      <c r="AM2987">
        <v>91.522521095652706</v>
      </c>
      <c r="AN2987">
        <v>0.99999995534355401</v>
      </c>
    </row>
    <row r="2988" spans="1:40" x14ac:dyDescent="0.25">
      <c r="A2988" t="str">
        <f>"20190303154156288"</f>
        <v>20190303154156288</v>
      </c>
      <c r="B2988" t="str">
        <f>"1551598916282896"</f>
        <v>1551598916282896</v>
      </c>
      <c r="C2988" t="s">
        <v>40</v>
      </c>
      <c r="D2988">
        <v>5.8617860000000004</v>
      </c>
      <c r="E2988">
        <v>0.56432040000000006</v>
      </c>
      <c r="F2988" t="s">
        <v>50</v>
      </c>
      <c r="G2988">
        <v>-467.81009999999998</v>
      </c>
      <c r="H2988" s="1">
        <v>2.4801650000000001E-6</v>
      </c>
      <c r="I2988">
        <v>287.8005</v>
      </c>
      <c r="J2988">
        <v>-446.10489999999999</v>
      </c>
      <c r="K2988">
        <v>1.121022</v>
      </c>
      <c r="L2988">
        <v>284.30489999999998</v>
      </c>
      <c r="M2988">
        <v>-0.9997549</v>
      </c>
      <c r="N2988">
        <v>-1.426127E-2</v>
      </c>
      <c r="O2988">
        <v>1.6939530000000001E-2</v>
      </c>
      <c r="P2988">
        <v>-0.99633070000000001</v>
      </c>
      <c r="Q2988">
        <v>-8.5026409999999997E-2</v>
      </c>
      <c r="R2988">
        <v>-9.8034460000000004E-3</v>
      </c>
      <c r="S2988">
        <v>-3.0026549999999999</v>
      </c>
      <c r="T2988">
        <v>-0.15292320000000001</v>
      </c>
      <c r="U2988">
        <v>0.47756959999999998</v>
      </c>
      <c r="V2988">
        <v>-2.668386E-2</v>
      </c>
      <c r="W2988">
        <v>-7.0812199999999895E-2</v>
      </c>
      <c r="X2988">
        <v>0.99713269999999998</v>
      </c>
      <c r="Y2988">
        <v>0.1401047</v>
      </c>
      <c r="Z2988">
        <v>3.9329170000000002E-3</v>
      </c>
      <c r="AA2988">
        <v>0.99012889999999998</v>
      </c>
      <c r="AB2988">
        <v>30</v>
      </c>
      <c r="AC2988">
        <v>-21.705199999999898</v>
      </c>
      <c r="AD2988">
        <v>-1.1210195198349999</v>
      </c>
      <c r="AE2988">
        <v>3.49560000000002</v>
      </c>
      <c r="AF2988">
        <v>3.1192748834720101</v>
      </c>
      <c r="AG2988">
        <v>-1.1210195198349999</v>
      </c>
      <c r="AH2988">
        <v>21.7048715603717</v>
      </c>
      <c r="AI2988">
        <v>92.9265874496583</v>
      </c>
      <c r="AJ2988">
        <v>81.821840228971993</v>
      </c>
      <c r="AK2988">
        <v>21.956502681773902</v>
      </c>
      <c r="AL2988">
        <v>94.060638585557101</v>
      </c>
      <c r="AM2988">
        <v>91.532903052005693</v>
      </c>
      <c r="AN2988">
        <v>1.0000000087313099</v>
      </c>
    </row>
    <row r="2989" spans="1:40" x14ac:dyDescent="0.25">
      <c r="A2989" t="str">
        <f>"20190303154156311"</f>
        <v>20190303154156311</v>
      </c>
      <c r="B2989" t="str">
        <f>"1551598916302416"</f>
        <v>1551598916302416</v>
      </c>
      <c r="C2989" t="s">
        <v>40</v>
      </c>
      <c r="D2989">
        <v>5.846686</v>
      </c>
      <c r="E2989">
        <v>0.56494149999999999</v>
      </c>
      <c r="F2989" t="s">
        <v>50</v>
      </c>
      <c r="G2989">
        <v>-468.31580000000002</v>
      </c>
      <c r="H2989" s="1">
        <v>2.7461470000000001E-6</v>
      </c>
      <c r="I2989">
        <v>287.87220000000002</v>
      </c>
      <c r="J2989">
        <v>-446.39429999999999</v>
      </c>
      <c r="K2989">
        <v>1.1210260000000001</v>
      </c>
      <c r="L2989">
        <v>284.3098</v>
      </c>
      <c r="M2989">
        <v>-0.99975499999999995</v>
      </c>
      <c r="N2989">
        <v>-1.4258069999999999E-2</v>
      </c>
      <c r="O2989">
        <v>1.6939429999999998E-2</v>
      </c>
      <c r="P2989">
        <v>-0.99632129999999997</v>
      </c>
      <c r="Q2989">
        <v>-8.5178569999999995E-2</v>
      </c>
      <c r="R2989">
        <v>-9.4344210000000001E-3</v>
      </c>
      <c r="S2989">
        <v>-3.002869</v>
      </c>
      <c r="T2989">
        <v>-0.15155950000000001</v>
      </c>
      <c r="U2989">
        <v>0.4822998</v>
      </c>
      <c r="V2989">
        <v>-2.63146E-2</v>
      </c>
      <c r="W2989">
        <v>-7.0967559999999999E-2</v>
      </c>
      <c r="X2989">
        <v>0.99713149999999995</v>
      </c>
      <c r="Y2989">
        <v>0.14161550000000001</v>
      </c>
      <c r="Z2989">
        <v>3.9569890000000002E-3</v>
      </c>
      <c r="AA2989">
        <v>0.98991379999999995</v>
      </c>
      <c r="AB2989">
        <v>30</v>
      </c>
      <c r="AC2989">
        <v>-21.921500000000002</v>
      </c>
      <c r="AD2989">
        <v>-1.1210232538530001</v>
      </c>
      <c r="AE2989">
        <v>3.5624000000000202</v>
      </c>
      <c r="AF2989">
        <v>3.18240515407703</v>
      </c>
      <c r="AG2989">
        <v>-1.1210232538530001</v>
      </c>
      <c r="AH2989">
        <v>21.922849726344399</v>
      </c>
      <c r="AI2989">
        <v>92.896954289403595</v>
      </c>
      <c r="AJ2989">
        <v>81.740418682836307</v>
      </c>
      <c r="AK2989">
        <v>22.1809768906658</v>
      </c>
      <c r="AL2989">
        <v>94.069562379487394</v>
      </c>
      <c r="AM2989">
        <v>91.511701967722104</v>
      </c>
      <c r="AN2989">
        <v>1.00000004051888</v>
      </c>
    </row>
    <row r="2990" spans="1:40" x14ac:dyDescent="0.25">
      <c r="A2990" t="str">
        <f>"20190303154156333"</f>
        <v>20190303154156333</v>
      </c>
      <c r="B2990" t="str">
        <f>"1551598916322912"</f>
        <v>1551598916322912</v>
      </c>
      <c r="C2990" t="s">
        <v>40</v>
      </c>
      <c r="D2990">
        <v>5.8378639999999997</v>
      </c>
      <c r="E2990">
        <v>0.56537249999999994</v>
      </c>
      <c r="F2990" t="s">
        <v>50</v>
      </c>
      <c r="G2990">
        <v>-468.78390000000002</v>
      </c>
      <c r="H2990" s="1">
        <v>2.991811E-6</v>
      </c>
      <c r="I2990">
        <v>287.95119999999997</v>
      </c>
      <c r="J2990">
        <v>-446.69940000000003</v>
      </c>
      <c r="K2990">
        <v>1.12103</v>
      </c>
      <c r="L2990">
        <v>284.31490000000002</v>
      </c>
      <c r="M2990">
        <v>-0.99975499999999995</v>
      </c>
      <c r="N2990">
        <v>-1.425468E-2</v>
      </c>
      <c r="O2990">
        <v>1.693946E-2</v>
      </c>
      <c r="P2990">
        <v>-0.99630059999999998</v>
      </c>
      <c r="Q2990">
        <v>-8.5442219999999999E-2</v>
      </c>
      <c r="R2990">
        <v>-9.2028279999999997E-3</v>
      </c>
      <c r="S2990">
        <v>-3.0028079999999999</v>
      </c>
      <c r="T2990">
        <v>-0.1503475</v>
      </c>
      <c r="U2990">
        <v>0.4883728</v>
      </c>
      <c r="V2990">
        <v>-2.6083019999999998E-2</v>
      </c>
      <c r="W2990">
        <v>-7.1234829999999999E-2</v>
      </c>
      <c r="X2990">
        <v>0.99711850000000002</v>
      </c>
      <c r="Y2990">
        <v>0.14356940000000001</v>
      </c>
      <c r="Z2990">
        <v>3.9974620000000002E-3</v>
      </c>
      <c r="AA2990">
        <v>0.98963219999999996</v>
      </c>
      <c r="AB2990">
        <v>30</v>
      </c>
      <c r="AC2990">
        <v>-22.084499999999899</v>
      </c>
      <c r="AD2990">
        <v>-1.1210270081889999</v>
      </c>
      <c r="AE2990">
        <v>3.6362999999999399</v>
      </c>
      <c r="AF2990">
        <v>3.25347883481931</v>
      </c>
      <c r="AG2990">
        <v>-1.1210270081889999</v>
      </c>
      <c r="AH2990">
        <v>22.087524004128099</v>
      </c>
      <c r="AI2990">
        <v>92.874524410619401</v>
      </c>
      <c r="AJ2990">
        <v>81.620622617905894</v>
      </c>
      <c r="AK2990">
        <v>22.353982703640099</v>
      </c>
      <c r="AL2990">
        <v>94.084914785470602</v>
      </c>
      <c r="AM2990">
        <v>91.498423947186296</v>
      </c>
      <c r="AN2990">
        <v>1.00000001398984</v>
      </c>
    </row>
    <row r="2991" spans="1:40" x14ac:dyDescent="0.25">
      <c r="A2991" t="str">
        <f>"20190303154156355"</f>
        <v>20190303154156355</v>
      </c>
      <c r="B2991" t="str">
        <f>"1551598916352192"</f>
        <v>1551598916352192</v>
      </c>
      <c r="C2991" t="s">
        <v>40</v>
      </c>
      <c r="D2991">
        <v>5.823296</v>
      </c>
      <c r="E2991">
        <v>0.56590109999999905</v>
      </c>
      <c r="F2991" t="s">
        <v>50</v>
      </c>
      <c r="G2991">
        <v>-469.04739999999998</v>
      </c>
      <c r="H2991" s="1">
        <v>3.1307689999999999E-6</v>
      </c>
      <c r="I2991">
        <v>287.98</v>
      </c>
      <c r="J2991">
        <v>-446.99380000000002</v>
      </c>
      <c r="K2991">
        <v>1.1210290000000001</v>
      </c>
      <c r="L2991">
        <v>284.31990000000002</v>
      </c>
      <c r="M2991">
        <v>-0.99975499999999995</v>
      </c>
      <c r="N2991">
        <v>-1.4251399999999999E-2</v>
      </c>
      <c r="O2991">
        <v>1.6939300000000001E-2</v>
      </c>
      <c r="P2991">
        <v>-0.99631170000000002</v>
      </c>
      <c r="Q2991">
        <v>-8.5368799999999995E-2</v>
      </c>
      <c r="R2991">
        <v>-8.6794530000000002E-3</v>
      </c>
      <c r="S2991">
        <v>-3.0028380000000001</v>
      </c>
      <c r="T2991">
        <v>-0.15062929999999999</v>
      </c>
      <c r="U2991">
        <v>0.49246220000000002</v>
      </c>
      <c r="V2991">
        <v>-2.5559189999999999E-2</v>
      </c>
      <c r="W2991">
        <v>-7.1164439999999995E-2</v>
      </c>
      <c r="X2991">
        <v>0.9971371</v>
      </c>
      <c r="Y2991">
        <v>0.1448779</v>
      </c>
      <c r="Z2991">
        <v>4.0440169999999996E-3</v>
      </c>
      <c r="AA2991">
        <v>0.98944129999999997</v>
      </c>
      <c r="AB2991">
        <v>30</v>
      </c>
      <c r="AC2991">
        <v>-22.0535999999999</v>
      </c>
      <c r="AD2991">
        <v>-1.121025869231</v>
      </c>
      <c r="AE2991">
        <v>3.6600999999999999</v>
      </c>
      <c r="AF2991">
        <v>3.27772205567021</v>
      </c>
      <c r="AG2991">
        <v>-1.121025869231</v>
      </c>
      <c r="AH2991">
        <v>22.056976079252301</v>
      </c>
      <c r="AI2991">
        <v>92.877953771799596</v>
      </c>
      <c r="AJ2991">
        <v>81.547558619670099</v>
      </c>
      <c r="AK2991">
        <v>22.327345445314801</v>
      </c>
      <c r="AL2991">
        <v>94.080871437379301</v>
      </c>
      <c r="AM2991">
        <v>91.4683167601478</v>
      </c>
      <c r="AN2991">
        <v>1.00000002295518</v>
      </c>
    </row>
    <row r="2992" spans="1:40" x14ac:dyDescent="0.25">
      <c r="A2992" t="str">
        <f>"20190303154156378"</f>
        <v>20190303154156378</v>
      </c>
      <c r="B2992" t="str">
        <f>"1551598916372691"</f>
        <v>1551598916372691</v>
      </c>
      <c r="C2992" t="s">
        <v>40</v>
      </c>
      <c r="D2992">
        <v>5.7979250000000002</v>
      </c>
      <c r="E2992">
        <v>0.56623639999999997</v>
      </c>
      <c r="F2992" t="s">
        <v>50</v>
      </c>
      <c r="G2992">
        <v>-469.57769999999999</v>
      </c>
      <c r="H2992" s="1">
        <v>3.409174E-6</v>
      </c>
      <c r="I2992">
        <v>288.06659999999999</v>
      </c>
      <c r="J2992">
        <v>-447.29649999999998</v>
      </c>
      <c r="K2992">
        <v>1.121024</v>
      </c>
      <c r="L2992">
        <v>284.32499999999999</v>
      </c>
      <c r="M2992">
        <v>-0.99975510000000001</v>
      </c>
      <c r="N2992">
        <v>-1.424808E-2</v>
      </c>
      <c r="O2992">
        <v>1.6939329999999999E-2</v>
      </c>
      <c r="P2992">
        <v>-0.99626170000000003</v>
      </c>
      <c r="Q2992">
        <v>-8.6008269999999998E-2</v>
      </c>
      <c r="R2992">
        <v>-8.0923750000000006E-3</v>
      </c>
      <c r="S2992">
        <v>-3.0026549999999999</v>
      </c>
      <c r="T2992">
        <v>-0.1490465</v>
      </c>
      <c r="U2992">
        <v>0.49813839999999998</v>
      </c>
      <c r="V2992">
        <v>-2.4971779999999999E-2</v>
      </c>
      <c r="W2992">
        <v>-7.1807750000000004E-2</v>
      </c>
      <c r="X2992">
        <v>0.99710580000000004</v>
      </c>
      <c r="Y2992">
        <v>0.14670929999999999</v>
      </c>
      <c r="Z2992">
        <v>4.0728320000000002E-3</v>
      </c>
      <c r="AA2992">
        <v>0.98917129999999998</v>
      </c>
      <c r="AB2992">
        <v>30</v>
      </c>
      <c r="AC2992">
        <v>-22.281199999999998</v>
      </c>
      <c r="AD2992">
        <v>-1.121020590826</v>
      </c>
      <c r="AE2992">
        <v>3.7416</v>
      </c>
      <c r="AF2992">
        <v>3.35533562186404</v>
      </c>
      <c r="AG2992">
        <v>-1.121020590826</v>
      </c>
      <c r="AH2992">
        <v>22.286521570785698</v>
      </c>
      <c r="AI2992">
        <v>92.847535277137794</v>
      </c>
      <c r="AJ2992">
        <v>81.4381667489356</v>
      </c>
      <c r="AK2992">
        <v>22.565549140792101</v>
      </c>
      <c r="AL2992">
        <v>94.117825188475905</v>
      </c>
      <c r="AM2992">
        <v>91.434630686472502</v>
      </c>
      <c r="AN2992">
        <v>0.99999995957503396</v>
      </c>
    </row>
    <row r="2993" spans="1:40" x14ac:dyDescent="0.25">
      <c r="A2993" t="str">
        <f>"20190303154156400"</f>
        <v>20190303154156400</v>
      </c>
      <c r="B2993" t="str">
        <f>"1551598916392208"</f>
        <v>1551598916392208</v>
      </c>
      <c r="C2993" t="s">
        <v>40</v>
      </c>
      <c r="D2993">
        <v>5.7906360000000001</v>
      </c>
      <c r="E2993">
        <v>0.56663769999999902</v>
      </c>
      <c r="F2993" t="s">
        <v>50</v>
      </c>
      <c r="G2993">
        <v>-469.77300000000002</v>
      </c>
      <c r="H2993" s="1">
        <v>3.5121889999999999E-6</v>
      </c>
      <c r="I2993">
        <v>288.08780000000002</v>
      </c>
      <c r="J2993">
        <v>-447.5899</v>
      </c>
      <c r="K2993">
        <v>1.121022</v>
      </c>
      <c r="L2993">
        <v>284.33</v>
      </c>
      <c r="M2993">
        <v>-0.99975519999999996</v>
      </c>
      <c r="N2993">
        <v>-1.42447999999999E-2</v>
      </c>
      <c r="O2993">
        <v>1.693917E-2</v>
      </c>
      <c r="P2993">
        <v>-0.99632670000000001</v>
      </c>
      <c r="Q2993">
        <v>-8.518568E-2</v>
      </c>
      <c r="R2993">
        <v>-8.7731509999999999E-3</v>
      </c>
      <c r="S2993">
        <v>-3.0024109999999999</v>
      </c>
      <c r="T2993">
        <v>-0.14974560000000001</v>
      </c>
      <c r="U2993">
        <v>0.50262450000000003</v>
      </c>
      <c r="V2993">
        <v>-2.5653180000000001E-2</v>
      </c>
      <c r="W2993">
        <v>-7.0987720000000004E-2</v>
      </c>
      <c r="X2993">
        <v>0.99714729999999996</v>
      </c>
      <c r="Y2993">
        <v>0.14815629999999999</v>
      </c>
      <c r="Z2993">
        <v>4.1317539999999996E-3</v>
      </c>
      <c r="AA2993">
        <v>0.98895529999999998</v>
      </c>
      <c r="AB2993">
        <v>30</v>
      </c>
      <c r="AC2993">
        <v>-22.1831</v>
      </c>
      <c r="AD2993">
        <v>-1.1210184878110001</v>
      </c>
      <c r="AE2993">
        <v>3.7578000000000298</v>
      </c>
      <c r="AF2993">
        <v>3.3730855794024701</v>
      </c>
      <c r="AG2993">
        <v>-1.1210184878110001</v>
      </c>
      <c r="AH2993">
        <v>22.1884934951612</v>
      </c>
      <c r="AI2993">
        <v>92.859470737895407</v>
      </c>
      <c r="AJ2993">
        <v>81.356100609365697</v>
      </c>
      <c r="AK2993">
        <v>22.471395870323601</v>
      </c>
      <c r="AL2993">
        <v>94.070720385201895</v>
      </c>
      <c r="AM2993">
        <v>91.473698824739301</v>
      </c>
      <c r="AN2993">
        <v>1.00000003996609</v>
      </c>
    </row>
    <row r="2994" spans="1:40" x14ac:dyDescent="0.25">
      <c r="A2994" t="str">
        <f>"20190303154156422"</f>
        <v>20190303154156422</v>
      </c>
      <c r="B2994" t="str">
        <f>"1551598916412705"</f>
        <v>1551598916412705</v>
      </c>
      <c r="C2994" t="s">
        <v>40</v>
      </c>
      <c r="D2994">
        <v>5.7882829999999998</v>
      </c>
      <c r="E2994">
        <v>0.56695769999999901</v>
      </c>
      <c r="F2994" t="s">
        <v>46</v>
      </c>
      <c r="G2994">
        <v>-470.74849999999998</v>
      </c>
      <c r="H2994" s="1">
        <v>6.5967319999999999E-6</v>
      </c>
      <c r="I2994">
        <v>288.21449999999999</v>
      </c>
      <c r="J2994">
        <v>-447.8845</v>
      </c>
      <c r="K2994">
        <v>1.1210209999999901</v>
      </c>
      <c r="L2994">
        <v>284.33499999999998</v>
      </c>
      <c r="M2994">
        <v>-0.99975519999999996</v>
      </c>
      <c r="N2994">
        <v>-1.4241419999999999E-2</v>
      </c>
      <c r="O2994">
        <v>1.6939019999999999E-2</v>
      </c>
      <c r="P2994">
        <v>-0.9963514</v>
      </c>
      <c r="Q2994">
        <v>-8.485173E-2</v>
      </c>
      <c r="R2994">
        <v>-9.1892980000000003E-3</v>
      </c>
      <c r="S2994">
        <v>-3.003082</v>
      </c>
      <c r="T2994">
        <v>-0.1453671</v>
      </c>
      <c r="U2994">
        <v>0.50372309999999998</v>
      </c>
      <c r="V2994">
        <v>-2.606984E-2</v>
      </c>
      <c r="W2994">
        <v>-7.0656880000000005E-2</v>
      </c>
      <c r="X2994">
        <v>0.99716000000000005</v>
      </c>
      <c r="Y2994">
        <v>0.148483</v>
      </c>
      <c r="Z2994">
        <v>4.0583279999999999E-3</v>
      </c>
      <c r="AA2994">
        <v>0.98890659999999997</v>
      </c>
      <c r="AB2994">
        <v>30</v>
      </c>
      <c r="AC2994">
        <v>-22.863999999999901</v>
      </c>
      <c r="AD2994">
        <v>-1.1210144032679901</v>
      </c>
      <c r="AE2994">
        <v>3.8795000000000002</v>
      </c>
      <c r="AF2994">
        <v>3.4834706768194499</v>
      </c>
      <c r="AG2994">
        <v>-1.1210144032679901</v>
      </c>
      <c r="AH2994">
        <v>22.872994633592501</v>
      </c>
      <c r="AI2994">
        <v>92.773909416551305</v>
      </c>
      <c r="AJ2994">
        <v>81.340609131993901</v>
      </c>
      <c r="AK2994">
        <v>23.163875426122999</v>
      </c>
      <c r="AL2994">
        <v>94.051716897196698</v>
      </c>
      <c r="AM2994">
        <v>91.497604822321307</v>
      </c>
      <c r="AN2994">
        <v>1.00000004842447</v>
      </c>
    </row>
    <row r="2995" spans="1:40" x14ac:dyDescent="0.25">
      <c r="A2995" t="str">
        <f>"20190303154156444"</f>
        <v>20190303154156444</v>
      </c>
      <c r="B2995" t="str">
        <f>"1551598916432224"</f>
        <v>1551598916432224</v>
      </c>
      <c r="C2995" t="s">
        <v>40</v>
      </c>
      <c r="D2995">
        <v>5.8567280000000004</v>
      </c>
      <c r="E2995">
        <v>0.54171359999999902</v>
      </c>
      <c r="F2995" t="s">
        <v>46</v>
      </c>
      <c r="G2995">
        <v>-471.5027</v>
      </c>
      <c r="H2995" s="1">
        <v>6.270364E-6</v>
      </c>
      <c r="I2995">
        <v>288.30689999999998</v>
      </c>
      <c r="J2995">
        <v>-448.1823</v>
      </c>
      <c r="K2995">
        <v>1.121022</v>
      </c>
      <c r="L2995">
        <v>284.34010000000001</v>
      </c>
      <c r="M2995">
        <v>-0.99975510000000001</v>
      </c>
      <c r="N2995">
        <v>-1.423811E-2</v>
      </c>
      <c r="O2995">
        <v>1.6939220000000001E-2</v>
      </c>
      <c r="P2995">
        <v>-0.996336</v>
      </c>
      <c r="Q2995">
        <v>-8.4999379999999999E-2</v>
      </c>
      <c r="R2995">
        <v>-9.4716929999999998E-3</v>
      </c>
      <c r="S2995">
        <v>-3.0035099999999999</v>
      </c>
      <c r="T2995">
        <v>-0.14255860000000001</v>
      </c>
      <c r="U2995">
        <v>0.5050964</v>
      </c>
      <c r="V2995">
        <v>-2.6351989999999999E-2</v>
      </c>
      <c r="W2995">
        <v>-7.0808129999999997E-2</v>
      </c>
      <c r="X2995">
        <v>0.99714179999999997</v>
      </c>
      <c r="Y2995">
        <v>0.14890599999999901</v>
      </c>
      <c r="Z2995">
        <v>4.0174080000000001E-3</v>
      </c>
      <c r="AA2995">
        <v>0.98884320000000003</v>
      </c>
      <c r="AB2995">
        <v>30</v>
      </c>
      <c r="AC2995">
        <v>-23.320399999999999</v>
      </c>
      <c r="AD2995">
        <v>-1.1210157296359999</v>
      </c>
      <c r="AE2995">
        <v>3.9667999999999699</v>
      </c>
      <c r="AF2995">
        <v>3.5631592729482899</v>
      </c>
      <c r="AG2995">
        <v>-1.1210157296359999</v>
      </c>
      <c r="AH2995">
        <v>23.331856830805499</v>
      </c>
      <c r="AI2995">
        <v>92.719271436225398</v>
      </c>
      <c r="AJ2995">
        <v>81.317076905644996</v>
      </c>
      <c r="AK2995">
        <v>23.628972119914401</v>
      </c>
      <c r="AL2995">
        <v>94.060404864902907</v>
      </c>
      <c r="AM2995">
        <v>91.5138332923229</v>
      </c>
      <c r="AN2995">
        <v>0.99999999397914796</v>
      </c>
    </row>
    <row r="2996" spans="1:40" x14ac:dyDescent="0.25">
      <c r="A2996" t="str">
        <f>"20190303154156467"</f>
        <v>20190303154156467</v>
      </c>
      <c r="B2996" t="str">
        <f>"1551598916462483"</f>
        <v>1551598916462483</v>
      </c>
      <c r="C2996" t="s">
        <v>40</v>
      </c>
      <c r="D2996">
        <v>5.6604739999999998</v>
      </c>
      <c r="E2996">
        <v>0.5243814</v>
      </c>
      <c r="F2996" t="s">
        <v>50</v>
      </c>
      <c r="G2996">
        <v>-467.24160000000001</v>
      </c>
      <c r="H2996" s="1">
        <v>2.2446449999999998E-6</v>
      </c>
      <c r="I2996">
        <v>286.26819999999998</v>
      </c>
      <c r="J2996">
        <v>-448.47710000000001</v>
      </c>
      <c r="K2996">
        <v>1.121022</v>
      </c>
      <c r="L2996">
        <v>284.3451</v>
      </c>
      <c r="M2996">
        <v>-0.99975530000000001</v>
      </c>
      <c r="N2996">
        <v>-1.423485E-2</v>
      </c>
      <c r="O2996">
        <v>1.6938890000000002E-2</v>
      </c>
      <c r="P2996">
        <v>-0.99634679999999998</v>
      </c>
      <c r="Q2996">
        <v>-8.483802E-2</v>
      </c>
      <c r="R2996">
        <v>-9.7976539999999994E-3</v>
      </c>
      <c r="S2996">
        <v>-2.9988709999999998</v>
      </c>
      <c r="T2996">
        <v>-0.17638519999999999</v>
      </c>
      <c r="U2996">
        <v>0.30337520000000001</v>
      </c>
      <c r="V2996">
        <v>-2.6677989999999999E-2</v>
      </c>
      <c r="W2996">
        <v>-7.064993E-2</v>
      </c>
      <c r="X2996">
        <v>0.99714429999999998</v>
      </c>
      <c r="Y2996">
        <v>8.3619100000000002E-2</v>
      </c>
      <c r="Z2996">
        <v>2.295853E-3</v>
      </c>
      <c r="AA2996">
        <v>0.99649509999999997</v>
      </c>
      <c r="AB2996">
        <v>30</v>
      </c>
      <c r="AC2996">
        <v>-18.764500000000002</v>
      </c>
      <c r="AD2996">
        <v>-1.1210197553550001</v>
      </c>
      <c r="AE2996">
        <v>1.9230999999999701</v>
      </c>
      <c r="AF2996">
        <v>1.5992934285028499</v>
      </c>
      <c r="AG2996">
        <v>-1.1210197553550001</v>
      </c>
      <c r="AH2996">
        <v>18.7282384924439</v>
      </c>
      <c r="AI2996">
        <v>93.413084882379096</v>
      </c>
      <c r="AJ2996">
        <v>85.119082000144502</v>
      </c>
      <c r="AK2996">
        <v>18.829799303025201</v>
      </c>
      <c r="AL2996">
        <v>94.051318128260604</v>
      </c>
      <c r="AM2996">
        <v>91.532548179802106</v>
      </c>
      <c r="AN2996">
        <v>0.99999994139096504</v>
      </c>
    </row>
    <row r="2997" spans="1:40" x14ac:dyDescent="0.25">
      <c r="A2997" t="str">
        <f>"20190303154156484"</f>
        <v>20190303154156484</v>
      </c>
      <c r="B2997" t="str">
        <f>"1551598916472240"</f>
        <v>1551598916472240</v>
      </c>
      <c r="C2997" t="s">
        <v>40</v>
      </c>
      <c r="D2997">
        <v>5.5340720000000001</v>
      </c>
      <c r="E2997">
        <v>0.52257449999999905</v>
      </c>
      <c r="F2997" t="s">
        <v>46</v>
      </c>
      <c r="G2997">
        <v>-471.86340000000001</v>
      </c>
      <c r="H2997" s="1">
        <v>5.87573099999999E-6</v>
      </c>
      <c r="I2997">
        <v>285.62240000000003</v>
      </c>
      <c r="J2997">
        <v>-448.71230000000003</v>
      </c>
      <c r="K2997">
        <v>1.121027</v>
      </c>
      <c r="L2997">
        <v>284.34910000000002</v>
      </c>
      <c r="M2997">
        <v>-0.99975530000000001</v>
      </c>
      <c r="N2997">
        <v>-1.4232130000000001E-2</v>
      </c>
      <c r="O2997">
        <v>1.6938789999999999E-2</v>
      </c>
      <c r="P2997">
        <v>-0.99634809999999996</v>
      </c>
      <c r="Q2997">
        <v>-8.4826680000000002E-2</v>
      </c>
      <c r="R2997">
        <v>-9.7550380000000006E-3</v>
      </c>
      <c r="S2997">
        <v>-3.0003359999999999</v>
      </c>
      <c r="T2997">
        <v>-0.14382020000000001</v>
      </c>
      <c r="U2997">
        <v>0.16387939999999901</v>
      </c>
      <c r="V2997">
        <v>-2.6635209999999999E-2</v>
      </c>
      <c r="W2997">
        <v>-7.0641280000000001E-2</v>
      </c>
      <c r="X2997">
        <v>0.99714610000000004</v>
      </c>
      <c r="Y2997">
        <v>3.7569709999999999E-2</v>
      </c>
      <c r="Z2997">
        <v>5.9710379999999895E-4</v>
      </c>
      <c r="AA2997">
        <v>0.99929380000000001</v>
      </c>
      <c r="AB2997">
        <v>30</v>
      </c>
      <c r="AC2997">
        <v>-23.1510999999999</v>
      </c>
      <c r="AD2997">
        <v>-1.121021124269</v>
      </c>
      <c r="AE2997">
        <v>1.2733000000000001</v>
      </c>
      <c r="AF2997">
        <v>0.87887150289459703</v>
      </c>
      <c r="AG2997">
        <v>-1.121021124269</v>
      </c>
      <c r="AH2997">
        <v>23.115313491789902</v>
      </c>
      <c r="AI2997">
        <v>92.774490965149994</v>
      </c>
      <c r="AJ2997">
        <v>87.822595656170094</v>
      </c>
      <c r="AK2997">
        <v>23.159162793662901</v>
      </c>
      <c r="AL2997">
        <v>94.050821102218407</v>
      </c>
      <c r="AM2997">
        <v>91.530089041379995</v>
      </c>
      <c r="AN2997">
        <v>0.99999998479849594</v>
      </c>
    </row>
    <row r="2998" spans="1:40" x14ac:dyDescent="0.25">
      <c r="A2998" t="str">
        <f>"20190303154156500"</f>
        <v>20190303154156500</v>
      </c>
      <c r="B2998" t="str">
        <f>"1551598916492736"</f>
        <v>1551598916492736</v>
      </c>
      <c r="C2998" t="s">
        <v>40</v>
      </c>
      <c r="D2998">
        <v>5.622465</v>
      </c>
      <c r="E2998">
        <v>0.51962739999999996</v>
      </c>
      <c r="F2998" t="s">
        <v>46</v>
      </c>
      <c r="G2998">
        <v>-473.50639999999999</v>
      </c>
      <c r="H2998" s="1">
        <v>5.1437310000000002E-6</v>
      </c>
      <c r="I2998">
        <v>285.58359999999999</v>
      </c>
      <c r="J2998">
        <v>-448.92059999999998</v>
      </c>
      <c r="K2998">
        <v>1.1210290000000001</v>
      </c>
      <c r="L2998">
        <v>284.3526</v>
      </c>
      <c r="M2998">
        <v>-0.99975530000000001</v>
      </c>
      <c r="N2998">
        <v>-1.422966E-2</v>
      </c>
      <c r="O2998">
        <v>1.693892E-2</v>
      </c>
      <c r="P2998">
        <v>-0.99635439999999997</v>
      </c>
      <c r="Q2998">
        <v>-8.4705039999999995E-2</v>
      </c>
      <c r="R2998">
        <v>-1.0163810000000001E-2</v>
      </c>
      <c r="S2998">
        <v>-3.0008849999999998</v>
      </c>
      <c r="T2998">
        <v>-0.13567979999999999</v>
      </c>
      <c r="U2998">
        <v>0.14941409999999999</v>
      </c>
      <c r="V2998">
        <v>-2.7043870000000001E-2</v>
      </c>
      <c r="W2998">
        <v>-7.0522070000000006E-2</v>
      </c>
      <c r="X2998">
        <v>0.99714360000000002</v>
      </c>
      <c r="Y2998">
        <v>3.2765759999999998E-2</v>
      </c>
      <c r="Z2998">
        <v>4.492791E-4</v>
      </c>
      <c r="AA2998">
        <v>0.99946299999999999</v>
      </c>
      <c r="AB2998">
        <v>30</v>
      </c>
      <c r="AC2998">
        <v>-24.585799999999999</v>
      </c>
      <c r="AD2998">
        <v>-1.121023856269</v>
      </c>
      <c r="AE2998">
        <v>1.2309999999999901</v>
      </c>
      <c r="AF2998">
        <v>0.81263901708868502</v>
      </c>
      <c r="AG2998">
        <v>-1.121023856269</v>
      </c>
      <c r="AH2998">
        <v>24.552208626776601</v>
      </c>
      <c r="AI2998">
        <v>92.612810863552397</v>
      </c>
      <c r="AJ2998">
        <v>88.104292965944396</v>
      </c>
      <c r="AK2998">
        <v>24.591218455196199</v>
      </c>
      <c r="AL2998">
        <v>94.043973546593193</v>
      </c>
      <c r="AM2998">
        <v>91.553557441475704</v>
      </c>
      <c r="AN2998">
        <v>1.0000000461412999</v>
      </c>
    </row>
    <row r="2999" spans="1:40" x14ac:dyDescent="0.25">
      <c r="A2999" t="str">
        <f>"20190303154156523"</f>
        <v>20190303154156523</v>
      </c>
      <c r="B2999" t="str">
        <f>"1551598916512256"</f>
        <v>1551598916512256</v>
      </c>
      <c r="C2999" t="s">
        <v>40</v>
      </c>
      <c r="D2999">
        <v>5.626792</v>
      </c>
      <c r="E2999">
        <v>0.51717760000000002</v>
      </c>
      <c r="F2999" t="s">
        <v>46</v>
      </c>
      <c r="G2999">
        <v>-473.91739999999999</v>
      </c>
      <c r="H2999" s="1">
        <v>4.9446229999999996E-6</v>
      </c>
      <c r="I2999">
        <v>285.39109999999999</v>
      </c>
      <c r="J2999">
        <v>-449.22829999999999</v>
      </c>
      <c r="K2999">
        <v>1.121035</v>
      </c>
      <c r="L2999">
        <v>284.3578</v>
      </c>
      <c r="M2999">
        <v>-0.99975539999999996</v>
      </c>
      <c r="N2999">
        <v>-1.4226310000000001E-2</v>
      </c>
      <c r="O2999">
        <v>1.6938829999999998E-2</v>
      </c>
      <c r="P2999">
        <v>-0.99638550000000004</v>
      </c>
      <c r="Q2999">
        <v>-8.4342169999999994E-2</v>
      </c>
      <c r="R2999">
        <v>-1.01286E-2</v>
      </c>
      <c r="S2999">
        <v>-3.0008240000000002</v>
      </c>
      <c r="T2999">
        <v>-0.13457669999999999</v>
      </c>
      <c r="U2999">
        <v>0.12466430000000001</v>
      </c>
      <c r="V2999">
        <v>-2.7008899999999999E-2</v>
      </c>
      <c r="W2999">
        <v>-7.0162160000000001E-2</v>
      </c>
      <c r="X2999">
        <v>0.99716990000000005</v>
      </c>
      <c r="Y2999">
        <v>2.4551110000000001E-2</v>
      </c>
      <c r="Z2999">
        <v>2.0682520000000001E-4</v>
      </c>
      <c r="AA2999">
        <v>0.99969859999999999</v>
      </c>
      <c r="AB2999">
        <v>30</v>
      </c>
      <c r="AC2999">
        <v>-24.6891</v>
      </c>
      <c r="AD2999">
        <v>-1.1210300553770001</v>
      </c>
      <c r="AE2999">
        <v>1.0332999999999899</v>
      </c>
      <c r="AF2999">
        <v>0.61364203278977303</v>
      </c>
      <c r="AG2999">
        <v>-1.1210300553770001</v>
      </c>
      <c r="AH2999">
        <v>24.652325091096699</v>
      </c>
      <c r="AI2999">
        <v>92.602846759620206</v>
      </c>
      <c r="AJ2999">
        <v>88.574096374160504</v>
      </c>
      <c r="AK2999">
        <v>24.685428846316999</v>
      </c>
      <c r="AL2999">
        <v>94.023301164014597</v>
      </c>
      <c r="AM2999">
        <v>91.551508641964205</v>
      </c>
      <c r="AN2999">
        <v>1.0000000094205399</v>
      </c>
    </row>
    <row r="3000" spans="1:40" x14ac:dyDescent="0.25">
      <c r="A3000" t="str">
        <f>"20190303154156546"</f>
        <v>20190303154156546</v>
      </c>
      <c r="B3000" t="str">
        <f>"1551598916542512"</f>
        <v>1551598916542512</v>
      </c>
      <c r="C3000" t="s">
        <v>40</v>
      </c>
      <c r="D3000">
        <v>5.4957070000000003</v>
      </c>
      <c r="E3000">
        <v>0.51631649999999996</v>
      </c>
      <c r="F3000" t="s">
        <v>46</v>
      </c>
      <c r="G3000">
        <v>-472.75490000000002</v>
      </c>
      <c r="H3000" s="1">
        <v>5.4419759999999999E-6</v>
      </c>
      <c r="I3000">
        <v>285.18329999999997</v>
      </c>
      <c r="J3000">
        <v>-449.51569999999998</v>
      </c>
      <c r="K3000">
        <v>1.1210279999999999</v>
      </c>
      <c r="L3000">
        <v>284.36270000000002</v>
      </c>
      <c r="M3000">
        <v>-0.99975550000000002</v>
      </c>
      <c r="N3000">
        <v>-1.4223380000000001E-2</v>
      </c>
      <c r="O3000">
        <v>1.6938669999999999E-2</v>
      </c>
      <c r="P3000">
        <v>-0.99646029999999997</v>
      </c>
      <c r="Q3000">
        <v>-8.3502229999999997E-2</v>
      </c>
      <c r="R3000">
        <v>-9.7381199999999994E-3</v>
      </c>
      <c r="S3000">
        <v>-2.9998170000000002</v>
      </c>
      <c r="T3000">
        <v>-0.14293939999999999</v>
      </c>
      <c r="U3000">
        <v>0.1052551</v>
      </c>
      <c r="V3000">
        <v>-2.6619609999999998E-2</v>
      </c>
      <c r="W3000">
        <v>-6.9324070000000002E-2</v>
      </c>
      <c r="X3000">
        <v>0.99723899999999999</v>
      </c>
      <c r="Y3000">
        <v>1.811339E-2</v>
      </c>
      <c r="Z3000" s="1">
        <v>-5.4024860000000004E-6</v>
      </c>
      <c r="AA3000">
        <v>0.99983599999999995</v>
      </c>
      <c r="AB3000">
        <v>30</v>
      </c>
      <c r="AC3000">
        <v>-23.2392</v>
      </c>
      <c r="AD3000">
        <v>-1.1210225580239901</v>
      </c>
      <c r="AE3000">
        <v>0.82059999999995603</v>
      </c>
      <c r="AF3000">
        <v>0.425811730065006</v>
      </c>
      <c r="AG3000">
        <v>-1.1210225580239901</v>
      </c>
      <c r="AH3000">
        <v>23.195858185976</v>
      </c>
      <c r="AI3000">
        <v>92.766404682871197</v>
      </c>
      <c r="AJ3000">
        <v>88.948326255665293</v>
      </c>
      <c r="AK3000">
        <v>23.226834571007899</v>
      </c>
      <c r="AL3000">
        <v>93.975164861823899</v>
      </c>
      <c r="AM3000">
        <v>91.529050920048505</v>
      </c>
      <c r="AN3000">
        <v>1.00000002671945</v>
      </c>
    </row>
    <row r="3001" spans="1:40" x14ac:dyDescent="0.25">
      <c r="A3001" t="str">
        <f>"20190303154156567"</f>
        <v>20190303154156567</v>
      </c>
      <c r="B3001" t="str">
        <f>"1551598916563008"</f>
        <v>1551598916563008</v>
      </c>
      <c r="C3001" t="s">
        <v>40</v>
      </c>
      <c r="D3001">
        <v>5.4451330000000002</v>
      </c>
      <c r="E3001">
        <v>0.51588990000000001</v>
      </c>
      <c r="F3001" t="s">
        <v>46</v>
      </c>
      <c r="G3001">
        <v>-475.71440000000001</v>
      </c>
      <c r="H3001" s="1">
        <v>4.133697E-6</v>
      </c>
      <c r="I3001">
        <v>285.23070000000001</v>
      </c>
      <c r="J3001">
        <v>-449.81130000000002</v>
      </c>
      <c r="K3001">
        <v>1.1210329999999999</v>
      </c>
      <c r="L3001">
        <v>284.36770000000001</v>
      </c>
      <c r="M3001">
        <v>-0.99975559999999997</v>
      </c>
      <c r="N3001">
        <v>-1.4220389999999999E-2</v>
      </c>
      <c r="O3001">
        <v>1.693851E-2</v>
      </c>
      <c r="P3001">
        <v>-0.99648360000000002</v>
      </c>
      <c r="Q3001">
        <v>-8.3253729999999998E-2</v>
      </c>
      <c r="R3001">
        <v>-9.4618770000000005E-3</v>
      </c>
      <c r="S3001">
        <v>-3.0008539999999999</v>
      </c>
      <c r="T3001">
        <v>-0.12840409999999999</v>
      </c>
      <c r="U3001">
        <v>9.9426269999999997E-2</v>
      </c>
      <c r="V3001">
        <v>-2.6343780000000001E-2</v>
      </c>
      <c r="W3001">
        <v>-6.9078210000000001E-2</v>
      </c>
      <c r="X3001">
        <v>0.99726340000000002</v>
      </c>
      <c r="Y3001">
        <v>1.6166E-2</v>
      </c>
      <c r="Z3001" s="1">
        <v>-2.2745300000000001E-5</v>
      </c>
      <c r="AA3001">
        <v>0.99986929999999996</v>
      </c>
      <c r="AB3001">
        <v>30</v>
      </c>
      <c r="AC3001">
        <v>-25.903099999999899</v>
      </c>
      <c r="AD3001">
        <v>-1.1210288663029999</v>
      </c>
      <c r="AE3001">
        <v>0.86299999999999899</v>
      </c>
      <c r="AF3001">
        <v>0.42328005067337998</v>
      </c>
      <c r="AG3001">
        <v>-1.1210288663029999</v>
      </c>
      <c r="AH3001">
        <v>25.865610704021702</v>
      </c>
      <c r="AI3001">
        <v>92.481343645520099</v>
      </c>
      <c r="AJ3001">
        <v>89.0624618852558</v>
      </c>
      <c r="AK3001">
        <v>25.893352212727901</v>
      </c>
      <c r="AL3001">
        <v>93.961044212627897</v>
      </c>
      <c r="AM3001">
        <v>91.513177430778299</v>
      </c>
      <c r="AN3001">
        <v>1.0000000414105199</v>
      </c>
    </row>
    <row r="3002" spans="1:40" x14ac:dyDescent="0.25">
      <c r="A3002" t="str">
        <f>"20190303154156590"</f>
        <v>20190303154156590</v>
      </c>
      <c r="B3002" t="str">
        <f>"1551598916582532"</f>
        <v>1551598916582532</v>
      </c>
      <c r="C3002" t="s">
        <v>40</v>
      </c>
      <c r="D3002">
        <v>5.4449589999999999</v>
      </c>
      <c r="E3002">
        <v>0.51557649999999999</v>
      </c>
      <c r="F3002" t="s">
        <v>46</v>
      </c>
      <c r="G3002">
        <v>-477.2638</v>
      </c>
      <c r="H3002" s="1">
        <v>3.4486150000000001E-6</v>
      </c>
      <c r="I3002">
        <v>285.2534</v>
      </c>
      <c r="J3002">
        <v>-450.10129999999998</v>
      </c>
      <c r="K3002">
        <v>1.1210340000000001</v>
      </c>
      <c r="L3002">
        <v>284.37259999999998</v>
      </c>
      <c r="M3002">
        <v>-0.99975559999999997</v>
      </c>
      <c r="N3002">
        <v>-1.421742E-2</v>
      </c>
      <c r="O3002">
        <v>1.6938539999999998E-2</v>
      </c>
      <c r="P3002">
        <v>-0.99650260000000002</v>
      </c>
      <c r="Q3002">
        <v>-8.3015740000000005E-2</v>
      </c>
      <c r="R3002">
        <v>-9.5570740000000005E-3</v>
      </c>
      <c r="S3002">
        <v>-3.0012509999999999</v>
      </c>
      <c r="T3002">
        <v>-0.122557</v>
      </c>
      <c r="U3002">
        <v>9.6832280000000007E-2</v>
      </c>
      <c r="V3002">
        <v>-2.6439319999999999E-2</v>
      </c>
      <c r="W3002">
        <v>-6.884295E-2</v>
      </c>
      <c r="X3002">
        <v>0.99727710000000003</v>
      </c>
      <c r="Y3002">
        <v>1.529994E-2</v>
      </c>
      <c r="Z3002" s="1">
        <v>-2.9383790000000001E-5</v>
      </c>
      <c r="AA3002">
        <v>0.99988290000000002</v>
      </c>
      <c r="AB3002">
        <v>30</v>
      </c>
      <c r="AC3002">
        <v>-27.162500000000001</v>
      </c>
      <c r="AD3002">
        <v>-1.1210305513850001</v>
      </c>
      <c r="AE3002">
        <v>0.88080000000002101</v>
      </c>
      <c r="AF3002">
        <v>0.41981974438318298</v>
      </c>
      <c r="AG3002">
        <v>-1.1210305513850001</v>
      </c>
      <c r="AH3002">
        <v>27.127365292868799</v>
      </c>
      <c r="AI3002">
        <v>92.366102130690606</v>
      </c>
      <c r="AJ3002">
        <v>89.113368393845093</v>
      </c>
      <c r="AK3002">
        <v>27.153764119319799</v>
      </c>
      <c r="AL3002">
        <v>93.947532798858106</v>
      </c>
      <c r="AM3002">
        <v>91.518641796668007</v>
      </c>
      <c r="AN3002">
        <v>1.0000000017955799</v>
      </c>
    </row>
    <row r="3003" spans="1:40" x14ac:dyDescent="0.25">
      <c r="A3003" t="str">
        <f>"20190303154156604"</f>
        <v>20190303154156604</v>
      </c>
      <c r="B3003" t="str">
        <f>"1551598916592289"</f>
        <v>1551598916592289</v>
      </c>
      <c r="C3003" t="s">
        <v>40</v>
      </c>
      <c r="D3003">
        <v>5.4611789999999996</v>
      </c>
      <c r="E3003">
        <v>0.51551119999999995</v>
      </c>
      <c r="F3003" t="s">
        <v>46</v>
      </c>
      <c r="G3003">
        <v>-478.53429999999997</v>
      </c>
      <c r="H3003" s="1">
        <v>2.8861460000000002E-6</v>
      </c>
      <c r="I3003">
        <v>285.26420000000002</v>
      </c>
      <c r="J3003">
        <v>-450.29559999999998</v>
      </c>
      <c r="K3003">
        <v>1.1210359999999999</v>
      </c>
      <c r="L3003">
        <v>284.3759</v>
      </c>
      <c r="M3003">
        <v>-0.99975539999999996</v>
      </c>
      <c r="N3003">
        <v>-1.4215449999999999E-2</v>
      </c>
      <c r="O3003">
        <v>1.693855E-2</v>
      </c>
      <c r="P3003">
        <v>-0.99651140000000005</v>
      </c>
      <c r="Q3003">
        <v>-8.2934019999999997E-2</v>
      </c>
      <c r="R3003">
        <v>-9.3410130000000004E-3</v>
      </c>
      <c r="S3003">
        <v>-3.0015559999999999</v>
      </c>
      <c r="T3003">
        <v>-0.118343</v>
      </c>
      <c r="U3003">
        <v>9.4116210000000006E-2</v>
      </c>
      <c r="V3003">
        <v>-2.6223570000000002E-2</v>
      </c>
      <c r="W3003">
        <v>-6.8763050000000006E-2</v>
      </c>
      <c r="X3003">
        <v>0.99728830000000002</v>
      </c>
      <c r="Y3003">
        <v>1.439413E-2</v>
      </c>
      <c r="Z3003" s="1">
        <v>-4.0666959999999999E-5</v>
      </c>
      <c r="AA3003">
        <v>0.99989640000000002</v>
      </c>
      <c r="AB3003">
        <v>29</v>
      </c>
      <c r="AC3003">
        <v>-28.238699999999898</v>
      </c>
      <c r="AD3003">
        <v>-1.121033113854</v>
      </c>
      <c r="AE3003">
        <v>0.88830000000001497</v>
      </c>
      <c r="AF3003">
        <v>0.409157346651289</v>
      </c>
      <c r="AG3003">
        <v>-1.121033113854</v>
      </c>
      <c r="AH3003">
        <v>28.2052891791881</v>
      </c>
      <c r="AI3003">
        <v>92.275811800676905</v>
      </c>
      <c r="AJ3003">
        <v>89.168902514561694</v>
      </c>
      <c r="AK3003">
        <v>28.230523598727299</v>
      </c>
      <c r="AL3003">
        <v>93.9429440265925</v>
      </c>
      <c r="AM3003">
        <v>91.506238208150194</v>
      </c>
      <c r="AN3003">
        <v>0.99999999299286801</v>
      </c>
    </row>
    <row r="3004" spans="1:40" x14ac:dyDescent="0.25">
      <c r="A3004" t="str">
        <f>"20190303154156623"</f>
        <v>20190303154156623</v>
      </c>
      <c r="B3004" t="str">
        <f>"1551598916612784"</f>
        <v>1551598916612784</v>
      </c>
      <c r="C3004" t="s">
        <v>40</v>
      </c>
      <c r="D3004">
        <v>5.4397359999999999</v>
      </c>
      <c r="E3004">
        <v>0.51536549999999903</v>
      </c>
      <c r="F3004" t="s">
        <v>46</v>
      </c>
      <c r="G3004">
        <v>-479.26859999999999</v>
      </c>
      <c r="H3004" s="1">
        <v>2.562298E-6</v>
      </c>
      <c r="I3004">
        <v>285.28460000000001</v>
      </c>
      <c r="J3004">
        <v>-450.53879999999998</v>
      </c>
      <c r="K3004">
        <v>1.1210420000000001</v>
      </c>
      <c r="L3004">
        <v>284.38</v>
      </c>
      <c r="M3004">
        <v>-0.99975550000000002</v>
      </c>
      <c r="N3004">
        <v>-1.4213E-2</v>
      </c>
      <c r="O3004">
        <v>1.6938390000000001E-2</v>
      </c>
      <c r="P3004">
        <v>-0.99649080000000001</v>
      </c>
      <c r="Q3004">
        <v>-8.3173449999999996E-2</v>
      </c>
      <c r="R3004">
        <v>-9.3914719999999997E-3</v>
      </c>
      <c r="S3004">
        <v>-3.001709</v>
      </c>
      <c r="T3004">
        <v>-0.116143</v>
      </c>
      <c r="U3004">
        <v>9.4146729999999998E-2</v>
      </c>
      <c r="V3004">
        <v>-2.627353E-2</v>
      </c>
      <c r="W3004">
        <v>-6.9005189999999994E-2</v>
      </c>
      <c r="X3004">
        <v>0.99727030000000005</v>
      </c>
      <c r="Y3004">
        <v>1.4403030000000001E-2</v>
      </c>
      <c r="Z3004" s="1">
        <v>-3.333774E-5</v>
      </c>
      <c r="AA3004">
        <v>0.99989629999999996</v>
      </c>
      <c r="AB3004">
        <v>29</v>
      </c>
      <c r="AC3004">
        <v>-28.729800000000001</v>
      </c>
      <c r="AD3004">
        <v>-1.1210394377020001</v>
      </c>
      <c r="AE3004">
        <v>0.90460000000001595</v>
      </c>
      <c r="AF3004">
        <v>0.41714996319508801</v>
      </c>
      <c r="AG3004">
        <v>-1.1210394377020001</v>
      </c>
      <c r="AH3004">
        <v>28.697351085756601</v>
      </c>
      <c r="AI3004">
        <v>92.236840995859396</v>
      </c>
      <c r="AJ3004">
        <v>89.167196685515705</v>
      </c>
      <c r="AK3004">
        <v>28.722268414104299</v>
      </c>
      <c r="AL3004">
        <v>93.956850501315998</v>
      </c>
      <c r="AM3004">
        <v>91.509133727330294</v>
      </c>
      <c r="AN3004">
        <v>1.0000000329438401</v>
      </c>
    </row>
    <row r="3005" spans="1:40" x14ac:dyDescent="0.25">
      <c r="A3005" t="str">
        <f>"20190303154156645"</f>
        <v>20190303154156645</v>
      </c>
      <c r="B3005" t="str">
        <f>"1551598916643041"</f>
        <v>1551598916643041</v>
      </c>
      <c r="C3005" t="s">
        <v>40</v>
      </c>
      <c r="D3005">
        <v>5.4540829999999998</v>
      </c>
      <c r="E3005">
        <v>0.51493310000000003</v>
      </c>
      <c r="F3005" t="s">
        <v>46</v>
      </c>
      <c r="G3005">
        <v>-479.81529999999998</v>
      </c>
      <c r="H3005" s="1">
        <v>2.319923E-6</v>
      </c>
      <c r="I3005">
        <v>285.28539999999998</v>
      </c>
      <c r="J3005">
        <v>-450.83229999999998</v>
      </c>
      <c r="K3005">
        <v>1.1210450000000001</v>
      </c>
      <c r="L3005">
        <v>284.38499999999999</v>
      </c>
      <c r="M3005">
        <v>-0.99975559999999997</v>
      </c>
      <c r="N3005">
        <v>-1.421002E-2</v>
      </c>
      <c r="O3005">
        <v>1.6938410000000001E-2</v>
      </c>
      <c r="P3005">
        <v>-0.99646440000000003</v>
      </c>
      <c r="Q3005">
        <v>-8.348709E-2</v>
      </c>
      <c r="R3005">
        <v>-9.4250840000000002E-3</v>
      </c>
      <c r="S3005">
        <v>-3.0018310000000001</v>
      </c>
      <c r="T3005">
        <v>-0.11494459999999999</v>
      </c>
      <c r="U3005">
        <v>9.2834470000000002E-2</v>
      </c>
      <c r="V3005">
        <v>-2.6306719999999999E-2</v>
      </c>
      <c r="W3005">
        <v>-6.9322149999999999E-2</v>
      </c>
      <c r="X3005">
        <v>0.99724740000000001</v>
      </c>
      <c r="Y3005">
        <v>1.396559E-2</v>
      </c>
      <c r="Z3005" s="1">
        <v>-4.0995989999999998E-5</v>
      </c>
      <c r="AA3005">
        <v>0.99990250000000003</v>
      </c>
      <c r="AB3005">
        <v>29</v>
      </c>
      <c r="AC3005">
        <v>-28.983000000000001</v>
      </c>
      <c r="AD3005">
        <v>-1.1210426800769999</v>
      </c>
      <c r="AE3005">
        <v>0.90039999999998999</v>
      </c>
      <c r="AF3005">
        <v>0.40868447236468097</v>
      </c>
      <c r="AG3005">
        <v>-1.1210426800769999</v>
      </c>
      <c r="AH3005">
        <v>28.9508227293373</v>
      </c>
      <c r="AI3005">
        <v>92.217296252299306</v>
      </c>
      <c r="AJ3005">
        <v>89.191237485125697</v>
      </c>
      <c r="AK3005">
        <v>28.975401574335699</v>
      </c>
      <c r="AL3005">
        <v>93.975054733236405</v>
      </c>
      <c r="AM3005">
        <v>91.511073937343795</v>
      </c>
      <c r="AN3005">
        <v>0.99999999040226994</v>
      </c>
    </row>
    <row r="3006" spans="1:40" x14ac:dyDescent="0.25">
      <c r="A3006" t="str">
        <f>"20190303154156668"</f>
        <v>20190303154156668</v>
      </c>
      <c r="B3006" t="str">
        <f>"1551598916662560"</f>
        <v>1551598916662560</v>
      </c>
      <c r="C3006" t="s">
        <v>40</v>
      </c>
      <c r="D3006">
        <v>5.5321109999999996</v>
      </c>
      <c r="E3006">
        <v>0.51454940000000005</v>
      </c>
      <c r="F3006" t="s">
        <v>46</v>
      </c>
      <c r="G3006">
        <v>-479.3177</v>
      </c>
      <c r="H3006" s="1">
        <v>2.536041E-6</v>
      </c>
      <c r="I3006">
        <v>285.23329999999999</v>
      </c>
      <c r="J3006">
        <v>-451.1266</v>
      </c>
      <c r="K3006">
        <v>1.1210469999999999</v>
      </c>
      <c r="L3006">
        <v>284.39</v>
      </c>
      <c r="M3006">
        <v>-0.99975570000000002</v>
      </c>
      <c r="N3006">
        <v>-1.4207020000000001E-2</v>
      </c>
      <c r="O3006">
        <v>1.6938249999999998E-2</v>
      </c>
      <c r="P3006">
        <v>-0.9964596</v>
      </c>
      <c r="Q3006">
        <v>-8.3566169999999995E-2</v>
      </c>
      <c r="R3006">
        <v>-9.2385579999999991E-3</v>
      </c>
      <c r="S3006">
        <v>-3.0015869999999998</v>
      </c>
      <c r="T3006">
        <v>-0.1181275</v>
      </c>
      <c r="U3006">
        <v>8.9385989999999999E-2</v>
      </c>
      <c r="V3006">
        <v>-2.6119690000000001E-2</v>
      </c>
      <c r="W3006">
        <v>-6.9404259999999995E-2</v>
      </c>
      <c r="X3006">
        <v>0.99724659999999998</v>
      </c>
      <c r="Y3006">
        <v>1.28215E-2</v>
      </c>
      <c r="Z3006" s="1">
        <v>-8.2276399999999997E-5</v>
      </c>
      <c r="AA3006">
        <v>0.99991779999999997</v>
      </c>
      <c r="AB3006">
        <v>29</v>
      </c>
      <c r="AC3006">
        <v>-28.191099999999999</v>
      </c>
      <c r="AD3006">
        <v>-1.12104446395899</v>
      </c>
      <c r="AE3006">
        <v>0.84329999999999905</v>
      </c>
      <c r="AF3006">
        <v>0.36504620420573602</v>
      </c>
      <c r="AG3006">
        <v>-1.12104446395899</v>
      </c>
      <c r="AH3006">
        <v>28.156854904060399</v>
      </c>
      <c r="AI3006">
        <v>92.279793705328004</v>
      </c>
      <c r="AJ3006">
        <v>89.257216931531005</v>
      </c>
      <c r="AK3006">
        <v>28.181527238772698</v>
      </c>
      <c r="AL3006">
        <v>93.979770668242793</v>
      </c>
      <c r="AM3006">
        <v>91.500336951747798</v>
      </c>
      <c r="AN3006">
        <v>0.99999998536170098</v>
      </c>
    </row>
    <row r="3007" spans="1:40" x14ac:dyDescent="0.25">
      <c r="A3007" t="str">
        <f>"20190303154156683"</f>
        <v>20190303154156683</v>
      </c>
      <c r="B3007" t="str">
        <f>"1551598916672320"</f>
        <v>1551598916672320</v>
      </c>
      <c r="C3007" t="s">
        <v>40</v>
      </c>
      <c r="D3007">
        <v>5.4215359999999997</v>
      </c>
      <c r="E3007">
        <v>0.51446069999999999</v>
      </c>
      <c r="F3007" t="s">
        <v>46</v>
      </c>
      <c r="G3007">
        <v>-478.83730000000003</v>
      </c>
      <c r="H3007" s="1">
        <v>2.7455300000000002E-6</v>
      </c>
      <c r="I3007">
        <v>285.1927</v>
      </c>
      <c r="J3007">
        <v>-451.3227</v>
      </c>
      <c r="K3007">
        <v>1.121041</v>
      </c>
      <c r="L3007">
        <v>284.39330000000001</v>
      </c>
      <c r="M3007">
        <v>-0.99975559999999997</v>
      </c>
      <c r="N3007">
        <v>-1.4204960000000001E-2</v>
      </c>
      <c r="O3007">
        <v>1.6938450000000001E-2</v>
      </c>
      <c r="P3007">
        <v>-0.99646579999999996</v>
      </c>
      <c r="Q3007">
        <v>-8.3494570000000004E-2</v>
      </c>
      <c r="R3007">
        <v>-9.1858719999999994E-3</v>
      </c>
      <c r="S3007">
        <v>-3.0013429999999999</v>
      </c>
      <c r="T3007">
        <v>-0.12142029999999999</v>
      </c>
      <c r="U3007">
        <v>8.6944579999999994E-2</v>
      </c>
      <c r="V3007">
        <v>-2.6067980000000001E-2</v>
      </c>
      <c r="W3007">
        <v>-6.9334610000000005E-2</v>
      </c>
      <c r="X3007">
        <v>0.99725280000000005</v>
      </c>
      <c r="Y3007">
        <v>1.201176E-2</v>
      </c>
      <c r="Z3007">
        <v>-1.160266E-4</v>
      </c>
      <c r="AA3007">
        <v>0.99992789999999998</v>
      </c>
      <c r="AB3007">
        <v>29</v>
      </c>
      <c r="AC3007">
        <v>-27.514600000000002</v>
      </c>
      <c r="AD3007">
        <v>-1.1210382544699999</v>
      </c>
      <c r="AE3007">
        <v>0.79939999999999101</v>
      </c>
      <c r="AF3007">
        <v>0.33263186376526599</v>
      </c>
      <c r="AG3007">
        <v>-1.1210382544699999</v>
      </c>
      <c r="AH3007">
        <v>27.478617060165998</v>
      </c>
      <c r="AI3007">
        <v>92.336015080962795</v>
      </c>
      <c r="AJ3007">
        <v>89.306461782079296</v>
      </c>
      <c r="AK3007">
        <v>27.503486438341302</v>
      </c>
      <c r="AL3007">
        <v>93.975770372421593</v>
      </c>
      <c r="AM3007">
        <v>91.497358734447403</v>
      </c>
      <c r="AN3007">
        <v>0.99999998741648599</v>
      </c>
    </row>
    <row r="3008" spans="1:40" x14ac:dyDescent="0.25">
      <c r="A3008" t="str">
        <f>"20190303154156701"</f>
        <v>20190303154156701</v>
      </c>
      <c r="B3008" t="str">
        <f>"1551598916693000"</f>
        <v>1551598916693000</v>
      </c>
      <c r="C3008" t="s">
        <v>40</v>
      </c>
      <c r="D3008">
        <v>5.4305909999999997</v>
      </c>
      <c r="E3008">
        <v>0.51416390000000001</v>
      </c>
      <c r="F3008" t="s">
        <v>46</v>
      </c>
      <c r="G3008">
        <v>-479.0838</v>
      </c>
      <c r="H3008" s="1">
        <v>2.6362479999999999E-6</v>
      </c>
      <c r="I3008">
        <v>285.19330000000002</v>
      </c>
      <c r="J3008">
        <v>-451.56450000000001</v>
      </c>
      <c r="K3008">
        <v>1.1210420000000001</v>
      </c>
      <c r="L3008">
        <v>284.3974</v>
      </c>
      <c r="M3008">
        <v>-0.99975570000000002</v>
      </c>
      <c r="N3008">
        <v>-1.4202360000000001E-2</v>
      </c>
      <c r="O3008">
        <v>1.6938169999999999E-2</v>
      </c>
      <c r="P3008">
        <v>-0.99647969999999997</v>
      </c>
      <c r="Q3008">
        <v>-8.3362500000000006E-2</v>
      </c>
      <c r="R3008">
        <v>-8.9044740000000008E-3</v>
      </c>
      <c r="S3008">
        <v>-3.0012509999999999</v>
      </c>
      <c r="T3008">
        <v>-0.1211951</v>
      </c>
      <c r="U3008">
        <v>8.6486820000000006E-2</v>
      </c>
      <c r="V3008">
        <v>-2.578575E-2</v>
      </c>
      <c r="W3008">
        <v>-6.9204879999999996E-2</v>
      </c>
      <c r="X3008">
        <v>0.99726919999999997</v>
      </c>
      <c r="Y3008">
        <v>1.186072E-2</v>
      </c>
      <c r="Z3008">
        <v>-1.1939540000000001E-4</v>
      </c>
      <c r="AA3008">
        <v>0.99992970000000003</v>
      </c>
      <c r="AB3008">
        <v>29</v>
      </c>
      <c r="AC3008">
        <v>-27.519299999999902</v>
      </c>
      <c r="AD3008">
        <v>-1.121039363752</v>
      </c>
      <c r="AE3008">
        <v>0.79590000000001704</v>
      </c>
      <c r="AF3008">
        <v>0.32906659623033602</v>
      </c>
      <c r="AG3008">
        <v>-1.121039363752</v>
      </c>
      <c r="AH3008">
        <v>27.483264424427301</v>
      </c>
      <c r="AI3008">
        <v>92.3356265122883</v>
      </c>
      <c r="AJ3008">
        <v>89.314010666745503</v>
      </c>
      <c r="AK3008">
        <v>27.5080867655827</v>
      </c>
      <c r="AL3008">
        <v>93.968319289376197</v>
      </c>
      <c r="AM3008">
        <v>91.481130206470596</v>
      </c>
      <c r="AN3008">
        <v>1.00000003879375</v>
      </c>
    </row>
    <row r="3009" spans="1:40" x14ac:dyDescent="0.25">
      <c r="A3009" t="str">
        <f>"20190303154156717"</f>
        <v>20190303154156717</v>
      </c>
      <c r="B3009" t="str">
        <f>"1551598916712522"</f>
        <v>1551598916712522</v>
      </c>
      <c r="C3009" t="s">
        <v>40</v>
      </c>
      <c r="D3009">
        <v>5.4047809999999998</v>
      </c>
      <c r="E3009">
        <v>0.4739796</v>
      </c>
      <c r="F3009" t="s">
        <v>46</v>
      </c>
      <c r="G3009">
        <v>-479.3066</v>
      </c>
      <c r="H3009" s="1">
        <v>2.5366310000000002E-6</v>
      </c>
      <c r="I3009">
        <v>285.18389999999999</v>
      </c>
      <c r="J3009">
        <v>-451.76659999999998</v>
      </c>
      <c r="K3009">
        <v>1.1210450000000001</v>
      </c>
      <c r="L3009">
        <v>284.4008</v>
      </c>
      <c r="M3009">
        <v>-0.99975570000000002</v>
      </c>
      <c r="N3009">
        <v>-1.420019E-2</v>
      </c>
      <c r="O3009">
        <v>1.6938299999999899E-2</v>
      </c>
      <c r="P3009">
        <v>-0.99647969999999997</v>
      </c>
      <c r="Q3009">
        <v>-8.3409579999999997E-2</v>
      </c>
      <c r="R3009">
        <v>-8.4357970000000001E-3</v>
      </c>
      <c r="S3009">
        <v>-3.0011899999999998</v>
      </c>
      <c r="T3009">
        <v>-0.12127590000000001</v>
      </c>
      <c r="U3009">
        <v>8.5083010000000001E-2</v>
      </c>
      <c r="V3009">
        <v>-2.5317260000000001E-2</v>
      </c>
      <c r="W3009">
        <v>-6.9254029999999994E-2</v>
      </c>
      <c r="X3009">
        <v>0.99727770000000004</v>
      </c>
      <c r="Y3009">
        <v>1.1394339999999999E-2</v>
      </c>
      <c r="Z3009">
        <v>-1.324877E-4</v>
      </c>
      <c r="AA3009">
        <v>0.99993509999999997</v>
      </c>
      <c r="AB3009">
        <v>29</v>
      </c>
      <c r="AC3009">
        <v>-27.54</v>
      </c>
      <c r="AD3009">
        <v>-1.1210424633689999</v>
      </c>
      <c r="AE3009">
        <v>0.78309999999999003</v>
      </c>
      <c r="AF3009">
        <v>0.31593673615627199</v>
      </c>
      <c r="AG3009">
        <v>-1.1210424633689999</v>
      </c>
      <c r="AH3009">
        <v>27.503777659205099</v>
      </c>
      <c r="AI3009">
        <v>92.333906194393293</v>
      </c>
      <c r="AJ3009">
        <v>89.341870572414393</v>
      </c>
      <c r="AK3009">
        <v>27.528427811135899</v>
      </c>
      <c r="AL3009">
        <v>93.971142512179995</v>
      </c>
      <c r="AM3009">
        <v>91.454219473293406</v>
      </c>
      <c r="AN3009">
        <v>0.99999994762121702</v>
      </c>
    </row>
    <row r="3010" spans="1:40" x14ac:dyDescent="0.25">
      <c r="A3010" t="str">
        <f>"20190303154156734"</f>
        <v>20190303154156734</v>
      </c>
      <c r="B3010" t="str">
        <f>"1551598916722280"</f>
        <v>1551598916722280</v>
      </c>
      <c r="C3010" t="s">
        <v>40</v>
      </c>
      <c r="D3010">
        <v>5.4424549999999998</v>
      </c>
      <c r="E3010">
        <v>0.4705606</v>
      </c>
      <c r="F3010" t="s">
        <v>50</v>
      </c>
      <c r="G3010">
        <v>-465.416</v>
      </c>
      <c r="H3010" s="1">
        <v>1.4012569999999999E-6</v>
      </c>
      <c r="I3010">
        <v>283.33749999999998</v>
      </c>
      <c r="J3010">
        <v>-452.00580000000002</v>
      </c>
      <c r="K3010">
        <v>1.121048</v>
      </c>
      <c r="L3010">
        <v>284.4049</v>
      </c>
      <c r="M3010">
        <v>-0.99975579999999997</v>
      </c>
      <c r="N3010">
        <v>-1.4197700000000001E-2</v>
      </c>
      <c r="O3010">
        <v>1.69382E-2</v>
      </c>
      <c r="P3010">
        <v>-0.99645439999999996</v>
      </c>
      <c r="Q3010">
        <v>-8.3700399999999994E-2</v>
      </c>
      <c r="R3010">
        <v>-8.5403519999999993E-3</v>
      </c>
      <c r="S3010">
        <v>-2.9880979999999999</v>
      </c>
      <c r="T3010">
        <v>-0.24541589999999999</v>
      </c>
      <c r="U3010">
        <v>-0.2327881</v>
      </c>
      <c r="V3010">
        <v>-2.5421349999999999E-2</v>
      </c>
      <c r="W3010">
        <v>-6.9547700000000004E-2</v>
      </c>
      <c r="X3010">
        <v>0.99725469999999905</v>
      </c>
      <c r="Y3010">
        <v>-9.4138470000000002E-2</v>
      </c>
      <c r="Z3010">
        <v>-5.6713090000000002E-3</v>
      </c>
      <c r="AA3010">
        <v>0.99554290000000001</v>
      </c>
      <c r="AB3010">
        <v>29</v>
      </c>
      <c r="AC3010">
        <v>-13.4101999999999</v>
      </c>
      <c r="AD3010">
        <v>-1.1210465987430001</v>
      </c>
      <c r="AE3010">
        <v>-1.0674000000000201</v>
      </c>
      <c r="AF3010">
        <v>-1.2854874448670801</v>
      </c>
      <c r="AG3010">
        <v>-1.1210465987430001</v>
      </c>
      <c r="AH3010">
        <v>13.2978486803528</v>
      </c>
      <c r="AI3010">
        <v>94.796549219862399</v>
      </c>
      <c r="AJ3010">
        <v>95.521559094972602</v>
      </c>
      <c r="AK3010">
        <v>13.4067894356936</v>
      </c>
      <c r="AL3010">
        <v>93.9880088952237</v>
      </c>
      <c r="AM3010">
        <v>91.460229465841905</v>
      </c>
      <c r="AN3010">
        <v>1.0000000321416</v>
      </c>
    </row>
    <row r="3011" spans="1:40" x14ac:dyDescent="0.25">
      <c r="A3011" t="str">
        <f>"20190303154156758"</f>
        <v>20190303154156758</v>
      </c>
      <c r="B3011" t="str">
        <f>"1551598916752536"</f>
        <v>1551598916752536</v>
      </c>
      <c r="C3011" t="s">
        <v>40</v>
      </c>
      <c r="D3011">
        <v>5.3754169999999997</v>
      </c>
      <c r="E3011">
        <v>0.46680369999999999</v>
      </c>
      <c r="F3011" t="s">
        <v>50</v>
      </c>
      <c r="G3011">
        <v>-465.02780000000001</v>
      </c>
      <c r="H3011" s="1">
        <v>1.197624E-6</v>
      </c>
      <c r="I3011">
        <v>283.27</v>
      </c>
      <c r="J3011">
        <v>-452.30619999999999</v>
      </c>
      <c r="K3011">
        <v>1.1210450000000001</v>
      </c>
      <c r="L3011">
        <v>284.41000000000003</v>
      </c>
      <c r="M3011">
        <v>-0.99975590000000003</v>
      </c>
      <c r="N3011">
        <v>-1.419458E-2</v>
      </c>
      <c r="O3011">
        <v>1.6937859999999999E-2</v>
      </c>
      <c r="P3011">
        <v>-0.99645899999999998</v>
      </c>
      <c r="Q3011">
        <v>-8.3658780000000002E-2</v>
      </c>
      <c r="R3011">
        <v>-8.4273500000000001E-3</v>
      </c>
      <c r="S3011">
        <v>-2.9868160000000001</v>
      </c>
      <c r="T3011">
        <v>-0.2571311</v>
      </c>
      <c r="U3011">
        <v>-0.26031490000000002</v>
      </c>
      <c r="V3011">
        <v>-2.5308250000000001E-2</v>
      </c>
      <c r="W3011">
        <v>-6.9509100000000004E-2</v>
      </c>
      <c r="X3011">
        <v>0.99726020000000004</v>
      </c>
      <c r="Y3011">
        <v>-0.10320319999999999</v>
      </c>
      <c r="Z3011">
        <v>-6.3745859999999998E-3</v>
      </c>
      <c r="AA3011">
        <v>0.99463990000000002</v>
      </c>
      <c r="AB3011">
        <v>29</v>
      </c>
      <c r="AC3011">
        <v>-12.7216</v>
      </c>
      <c r="AD3011">
        <v>-1.1210438023760001</v>
      </c>
      <c r="AE3011">
        <v>-1.1400000000000401</v>
      </c>
      <c r="AF3011">
        <v>-1.34497378568771</v>
      </c>
      <c r="AG3011">
        <v>-1.1210438023760001</v>
      </c>
      <c r="AH3011">
        <v>12.6033734398645</v>
      </c>
      <c r="AI3011">
        <v>95.0544144599574</v>
      </c>
      <c r="AJ3011">
        <v>96.091287808483798</v>
      </c>
      <c r="AK3011">
        <v>12.7244141615916</v>
      </c>
      <c r="AL3011">
        <v>93.985792183079298</v>
      </c>
      <c r="AM3011">
        <v>91.453727661141599</v>
      </c>
      <c r="AN3011">
        <v>0.99999996450245499</v>
      </c>
    </row>
    <row r="3012" spans="1:40" x14ac:dyDescent="0.25">
      <c r="A3012" t="str">
        <f>"20190303154156779"</f>
        <v>20190303154156779</v>
      </c>
      <c r="B3012" t="str">
        <f>"1551598916772056"</f>
        <v>1551598916772056</v>
      </c>
      <c r="C3012" t="s">
        <v>40</v>
      </c>
      <c r="D3012">
        <v>5.3521429999999999</v>
      </c>
      <c r="E3012">
        <v>0.46601999999999999</v>
      </c>
      <c r="F3012" t="s">
        <v>50</v>
      </c>
      <c r="G3012">
        <v>-464.79430000000002</v>
      </c>
      <c r="H3012" s="1">
        <v>1.0764969999999999E-6</v>
      </c>
      <c r="I3012">
        <v>283.19749999999999</v>
      </c>
      <c r="J3012">
        <v>-452.5829</v>
      </c>
      <c r="K3012">
        <v>1.1210469999999999</v>
      </c>
      <c r="L3012">
        <v>284.41469999999998</v>
      </c>
      <c r="M3012">
        <v>-0.99975579999999997</v>
      </c>
      <c r="N3012">
        <v>-1.419168E-2</v>
      </c>
      <c r="O3012">
        <v>1.6938060000000001E-2</v>
      </c>
      <c r="P3012">
        <v>-0.99646219999999996</v>
      </c>
      <c r="Q3012">
        <v>-8.3602199999999904E-2</v>
      </c>
      <c r="R3012">
        <v>-8.5900600000000001E-3</v>
      </c>
      <c r="S3012">
        <v>-2.985687</v>
      </c>
      <c r="T3012">
        <v>-0.26802330000000002</v>
      </c>
      <c r="U3012">
        <v>-0.28988649999999999</v>
      </c>
      <c r="V3012">
        <v>-2.547145E-2</v>
      </c>
      <c r="W3012">
        <v>-6.94554E-2</v>
      </c>
      <c r="X3012">
        <v>0.99725980000000003</v>
      </c>
      <c r="Y3012">
        <v>-0.1129144</v>
      </c>
      <c r="Z3012">
        <v>-7.1259579999999999E-3</v>
      </c>
      <c r="AA3012">
        <v>0.99357910000000005</v>
      </c>
      <c r="AB3012">
        <v>29</v>
      </c>
      <c r="AC3012">
        <v>-12.211399999999999</v>
      </c>
      <c r="AD3012">
        <v>-1.1210459235029999</v>
      </c>
      <c r="AE3012">
        <v>-1.2171999999999901</v>
      </c>
      <c r="AF3012">
        <v>-1.41209974754795</v>
      </c>
      <c r="AG3012">
        <v>-1.1210459235029999</v>
      </c>
      <c r="AH3012">
        <v>12.0881540366117</v>
      </c>
      <c r="AI3012">
        <v>95.262826517171405</v>
      </c>
      <c r="AJ3012">
        <v>96.662912681322794</v>
      </c>
      <c r="AK3012">
        <v>12.221875374609199</v>
      </c>
      <c r="AL3012">
        <v>93.982707891643201</v>
      </c>
      <c r="AM3012">
        <v>91.463098534542397</v>
      </c>
      <c r="AN3012">
        <v>0.99999997802515095</v>
      </c>
    </row>
    <row r="3013" spans="1:40" x14ac:dyDescent="0.25">
      <c r="A3013" t="str">
        <f>"20190303154156802"</f>
        <v>20190303154156802</v>
      </c>
      <c r="B3013" t="str">
        <f>"1551598916792363"</f>
        <v>1551598916792363</v>
      </c>
      <c r="C3013" t="s">
        <v>40</v>
      </c>
      <c r="D3013">
        <v>5.3597099999999998</v>
      </c>
      <c r="E3013">
        <v>0.46531460000000002</v>
      </c>
      <c r="F3013" t="s">
        <v>50</v>
      </c>
      <c r="G3013">
        <v>-465.077</v>
      </c>
      <c r="H3013" s="1">
        <v>1.2280369999999999E-6</v>
      </c>
      <c r="I3013">
        <v>283.17320000000001</v>
      </c>
      <c r="J3013">
        <v>-452.87479999999999</v>
      </c>
      <c r="K3013">
        <v>1.121048</v>
      </c>
      <c r="L3013">
        <v>284.4196</v>
      </c>
      <c r="M3013">
        <v>-0.99975590000000003</v>
      </c>
      <c r="N3013">
        <v>-1.4188600000000001E-2</v>
      </c>
      <c r="O3013">
        <v>1.6938089999999999E-2</v>
      </c>
      <c r="P3013">
        <v>-0.9964634</v>
      </c>
      <c r="Q3013">
        <v>-8.3598510000000001E-2</v>
      </c>
      <c r="R3013">
        <v>-8.4980679999999992E-3</v>
      </c>
      <c r="S3013">
        <v>-2.9855960000000001</v>
      </c>
      <c r="T3013">
        <v>-0.26788509999999999</v>
      </c>
      <c r="U3013">
        <v>-0.29666140000000002</v>
      </c>
      <c r="V3013">
        <v>-2.5379680000000002E-2</v>
      </c>
      <c r="W3013">
        <v>-6.9454769999999999E-2</v>
      </c>
      <c r="X3013">
        <v>0.99726219999999999</v>
      </c>
      <c r="Y3013">
        <v>-0.1151406</v>
      </c>
      <c r="Z3013">
        <v>-7.2373619999999998E-3</v>
      </c>
      <c r="AA3013">
        <v>0.99332279999999995</v>
      </c>
      <c r="AB3013">
        <v>29</v>
      </c>
      <c r="AC3013">
        <v>-12.202199999999999</v>
      </c>
      <c r="AD3013">
        <v>-1.121046771963</v>
      </c>
      <c r="AE3013">
        <v>-1.24639999999999</v>
      </c>
      <c r="AF3013">
        <v>-1.4408876043842</v>
      </c>
      <c r="AG3013">
        <v>-1.121046771963</v>
      </c>
      <c r="AH3013">
        <v>12.078439308842601</v>
      </c>
      <c r="AI3013">
        <v>95.265529094389095</v>
      </c>
      <c r="AJ3013">
        <v>96.802904086881298</v>
      </c>
      <c r="AK3013">
        <v>12.2156292957338</v>
      </c>
      <c r="AL3013">
        <v>93.982671642636504</v>
      </c>
      <c r="AM3013">
        <v>91.457825971300096</v>
      </c>
      <c r="AN3013">
        <v>0.99999999439074705</v>
      </c>
    </row>
    <row r="3014" spans="1:40" x14ac:dyDescent="0.25">
      <c r="A3014" t="str">
        <f>"20190303154156824"</f>
        <v>20190303154156824</v>
      </c>
      <c r="B3014" t="str">
        <f>"1551598916812842"</f>
        <v>1551598916812842</v>
      </c>
      <c r="C3014" t="s">
        <v>40</v>
      </c>
      <c r="D3014">
        <v>5.3658159999999997</v>
      </c>
      <c r="E3014">
        <v>0.46420030000000001</v>
      </c>
      <c r="F3014" t="s">
        <v>50</v>
      </c>
      <c r="G3014">
        <v>-465.22500000000002</v>
      </c>
      <c r="H3014" s="1">
        <v>1.306887E-6</v>
      </c>
      <c r="I3014">
        <v>283.17110000000002</v>
      </c>
      <c r="J3014">
        <v>-453.16590000000002</v>
      </c>
      <c r="K3014">
        <v>1.121043</v>
      </c>
      <c r="L3014">
        <v>284.42450000000002</v>
      </c>
      <c r="M3014">
        <v>-0.99975599999999998</v>
      </c>
      <c r="N3014">
        <v>-1.41856E-2</v>
      </c>
      <c r="O3014">
        <v>1.6937750000000001E-2</v>
      </c>
      <c r="P3014">
        <v>-0.99645919999999999</v>
      </c>
      <c r="Q3014">
        <v>-8.3627049999999994E-2</v>
      </c>
      <c r="R3014">
        <v>-8.7094359999999992E-3</v>
      </c>
      <c r="S3014">
        <v>-2.9853519999999998</v>
      </c>
      <c r="T3014">
        <v>-0.2709838</v>
      </c>
      <c r="U3014">
        <v>-0.30178829999999901</v>
      </c>
      <c r="V3014">
        <v>-2.5590749999999999E-2</v>
      </c>
      <c r="W3014">
        <v>-6.9486359999999997E-2</v>
      </c>
      <c r="X3014">
        <v>0.99725459999999999</v>
      </c>
      <c r="Y3014">
        <v>-0.1168163</v>
      </c>
      <c r="Z3014">
        <v>-7.4016680000000001E-3</v>
      </c>
      <c r="AA3014">
        <v>0.99312599999999995</v>
      </c>
      <c r="AB3014">
        <v>29</v>
      </c>
      <c r="AC3014">
        <v>-12.059100000000001</v>
      </c>
      <c r="AD3014">
        <v>-1.1210416931129901</v>
      </c>
      <c r="AE3014">
        <v>-1.2533999999999901</v>
      </c>
      <c r="AF3014">
        <v>-1.44513931385966</v>
      </c>
      <c r="AG3014">
        <v>-1.1210416931129901</v>
      </c>
      <c r="AH3014">
        <v>11.934105666028699</v>
      </c>
      <c r="AI3014">
        <v>95.327693900533404</v>
      </c>
      <c r="AJ3014">
        <v>96.904513275534597</v>
      </c>
      <c r="AK3014">
        <v>12.073443591705701</v>
      </c>
      <c r="AL3014">
        <v>93.984486021453506</v>
      </c>
      <c r="AM3014">
        <v>91.469955874787999</v>
      </c>
      <c r="AN3014">
        <v>0.99999998896638498</v>
      </c>
    </row>
    <row r="3015" spans="1:40" x14ac:dyDescent="0.25">
      <c r="A3015" t="str">
        <f>"20190303154156847"</f>
        <v>20190303154156847</v>
      </c>
      <c r="B3015" t="str">
        <f>"1551598916842122"</f>
        <v>1551598916842122</v>
      </c>
      <c r="C3015" t="s">
        <v>40</v>
      </c>
      <c r="D3015">
        <v>5.3683160000000001</v>
      </c>
      <c r="E3015">
        <v>0.46283560000000001</v>
      </c>
      <c r="F3015" t="s">
        <v>50</v>
      </c>
      <c r="G3015">
        <v>-465.59120000000001</v>
      </c>
      <c r="H3015" s="1">
        <v>1.503598E-6</v>
      </c>
      <c r="I3015">
        <v>283.12819999999999</v>
      </c>
      <c r="J3015">
        <v>-453.45490000000001</v>
      </c>
      <c r="K3015">
        <v>1.121049</v>
      </c>
      <c r="L3015">
        <v>284.42939999999999</v>
      </c>
      <c r="M3015">
        <v>-0.99975599999999998</v>
      </c>
      <c r="N3015">
        <v>-1.418265E-2</v>
      </c>
      <c r="O3015">
        <v>1.6937770000000001E-2</v>
      </c>
      <c r="P3015">
        <v>-0.99647149999999995</v>
      </c>
      <c r="Q3015">
        <v>-8.3442669999999997E-2</v>
      </c>
      <c r="R3015">
        <v>-9.0585179999999998E-3</v>
      </c>
      <c r="S3015">
        <v>-2.9853209999999999</v>
      </c>
      <c r="T3015">
        <v>-0.26934429999999998</v>
      </c>
      <c r="U3015">
        <v>-0.31146239999999997</v>
      </c>
      <c r="V3015">
        <v>-2.593964E-2</v>
      </c>
      <c r="W3015">
        <v>-6.9304859999999996E-2</v>
      </c>
      <c r="X3015">
        <v>0.99725819999999998</v>
      </c>
      <c r="Y3015">
        <v>-0.11999369999999999</v>
      </c>
      <c r="Z3015">
        <v>-7.5249469999999997E-3</v>
      </c>
      <c r="AA3015">
        <v>0.99274609999999996</v>
      </c>
      <c r="AB3015">
        <v>29</v>
      </c>
      <c r="AC3015">
        <v>-12.1363</v>
      </c>
      <c r="AD3015">
        <v>-1.1210474964020001</v>
      </c>
      <c r="AE3015">
        <v>-1.3011999999999899</v>
      </c>
      <c r="AF3015">
        <v>-1.4939932228958499</v>
      </c>
      <c r="AG3015">
        <v>-1.1210474964020001</v>
      </c>
      <c r="AH3015">
        <v>12.011196375156899</v>
      </c>
      <c r="AI3015">
        <v>95.291627982101005</v>
      </c>
      <c r="AJ3015">
        <v>97.090227617167201</v>
      </c>
      <c r="AK3015">
        <v>12.1555584652384</v>
      </c>
      <c r="AL3015">
        <v>93.974061770132096</v>
      </c>
      <c r="AM3015">
        <v>91.489982083052496</v>
      </c>
      <c r="AN3015">
        <v>0.99999997300509402</v>
      </c>
    </row>
    <row r="3016" spans="1:40" x14ac:dyDescent="0.25">
      <c r="A3016" t="str">
        <f>"20190303154156863"</f>
        <v>20190303154156863</v>
      </c>
      <c r="B3016" t="str">
        <f>"1551598916852859"</f>
        <v>1551598916852859</v>
      </c>
      <c r="C3016" t="s">
        <v>40</v>
      </c>
      <c r="D3016">
        <v>5.3185669999999998</v>
      </c>
      <c r="E3016">
        <v>0.46268920000000002</v>
      </c>
      <c r="F3016" t="s">
        <v>50</v>
      </c>
      <c r="G3016">
        <v>-465.64159999999998</v>
      </c>
      <c r="H3016" s="1">
        <v>1.5312479999999999E-6</v>
      </c>
      <c r="I3016">
        <v>283.10919999999999</v>
      </c>
      <c r="J3016">
        <v>-453.6583</v>
      </c>
      <c r="K3016">
        <v>1.1210500000000001</v>
      </c>
      <c r="L3016">
        <v>284.43290000000002</v>
      </c>
      <c r="M3016">
        <v>-0.99975610000000004</v>
      </c>
      <c r="N3016">
        <v>-1.418059E-2</v>
      </c>
      <c r="O3016">
        <v>1.6937790000000001E-2</v>
      </c>
      <c r="P3016">
        <v>-0.99647129999999995</v>
      </c>
      <c r="Q3016">
        <v>-8.3397399999999997E-2</v>
      </c>
      <c r="R3016">
        <v>-9.4876809999999995E-3</v>
      </c>
      <c r="S3016">
        <v>-2.9846499999999998</v>
      </c>
      <c r="T3016">
        <v>-0.27455629999999998</v>
      </c>
      <c r="U3016">
        <v>-0.3233337</v>
      </c>
      <c r="V3016">
        <v>-2.636865E-2</v>
      </c>
      <c r="W3016">
        <v>-6.9261740000000002E-2</v>
      </c>
      <c r="X3016">
        <v>0.99724999999999997</v>
      </c>
      <c r="Y3016">
        <v>-0.123879</v>
      </c>
      <c r="Z3016">
        <v>-7.863933E-3</v>
      </c>
      <c r="AA3016">
        <v>0.99226619999999999</v>
      </c>
      <c r="AB3016">
        <v>29</v>
      </c>
      <c r="AC3016">
        <v>-11.9832999999999</v>
      </c>
      <c r="AD3016">
        <v>-1.1210484687519999</v>
      </c>
      <c r="AE3016">
        <v>-1.3237000000000301</v>
      </c>
      <c r="AF3016">
        <v>-1.5134156761920501</v>
      </c>
      <c r="AG3016">
        <v>-1.1210484687519999</v>
      </c>
      <c r="AH3016">
        <v>11.8566420640157</v>
      </c>
      <c r="AI3016">
        <v>95.358056934184901</v>
      </c>
      <c r="AJ3016">
        <v>97.274062516560605</v>
      </c>
      <c r="AK3016">
        <v>12.005296235929499</v>
      </c>
      <c r="AL3016">
        <v>93.971585004556601</v>
      </c>
      <c r="AM3016">
        <v>91.514625631907293</v>
      </c>
      <c r="AN3016">
        <v>1.0000000284153201</v>
      </c>
    </row>
    <row r="3017" spans="1:40" x14ac:dyDescent="0.25">
      <c r="A3017" t="str">
        <f>"20190303154156877"</f>
        <v>20190303154156877</v>
      </c>
      <c r="B3017" t="str">
        <f>"1551598916872377"</f>
        <v>1551598916872377</v>
      </c>
      <c r="C3017" t="s">
        <v>40</v>
      </c>
      <c r="D3017">
        <v>5.3096220000000001</v>
      </c>
      <c r="E3017">
        <v>0.46238430000000003</v>
      </c>
      <c r="F3017" t="s">
        <v>50</v>
      </c>
      <c r="G3017">
        <v>-465.87869999999998</v>
      </c>
      <c r="H3017" s="1">
        <v>1.6578630000000001E-6</v>
      </c>
      <c r="I3017">
        <v>283.0992</v>
      </c>
      <c r="J3017">
        <v>-453.85520000000002</v>
      </c>
      <c r="K3017">
        <v>1.1210519999999999</v>
      </c>
      <c r="L3017">
        <v>284.43619999999999</v>
      </c>
      <c r="M3017">
        <v>-0.99975610000000004</v>
      </c>
      <c r="N3017">
        <v>-1.417859E-2</v>
      </c>
      <c r="O3017">
        <v>1.6937799999999999E-2</v>
      </c>
      <c r="P3017">
        <v>-0.99647090000000005</v>
      </c>
      <c r="Q3017">
        <v>-8.3369479999999996E-2</v>
      </c>
      <c r="R3017">
        <v>-9.7782830000000005E-3</v>
      </c>
      <c r="S3017">
        <v>-2.9846499999999998</v>
      </c>
      <c r="T3017">
        <v>-0.27379979999999998</v>
      </c>
      <c r="U3017">
        <v>-0.32571409999999901</v>
      </c>
      <c r="V3017">
        <v>-2.6659240000000001E-2</v>
      </c>
      <c r="W3017">
        <v>-6.9235859999999996E-2</v>
      </c>
      <c r="X3017">
        <v>0.99724409999999997</v>
      </c>
      <c r="Y3017">
        <v>-0.1246608</v>
      </c>
      <c r="Z3017">
        <v>-7.8850150000000004E-3</v>
      </c>
      <c r="AA3017">
        <v>0.9921681</v>
      </c>
      <c r="AB3017">
        <v>29</v>
      </c>
      <c r="AC3017">
        <v>-12.023499999999901</v>
      </c>
      <c r="AD3017">
        <v>-1.1210503421369999</v>
      </c>
      <c r="AE3017">
        <v>-1.33699999999998</v>
      </c>
      <c r="AF3017">
        <v>-1.5273644824519801</v>
      </c>
      <c r="AG3017">
        <v>-1.1210503421369999</v>
      </c>
      <c r="AH3017">
        <v>11.896965178500301</v>
      </c>
      <c r="AI3017">
        <v>95.339515880945598</v>
      </c>
      <c r="AJ3017">
        <v>97.315768762979005</v>
      </c>
      <c r="AK3017">
        <v>12.046882442786201</v>
      </c>
      <c r="AL3017">
        <v>93.970098507238902</v>
      </c>
      <c r="AM3017">
        <v>91.531318387107902</v>
      </c>
      <c r="AN3017">
        <v>1.0000000571860601</v>
      </c>
    </row>
    <row r="3018" spans="1:40" x14ac:dyDescent="0.25">
      <c r="A3018" t="str">
        <f>"20190303154156890"</f>
        <v>20190303154156890</v>
      </c>
      <c r="B3018" t="str">
        <f>"1551598916882138"</f>
        <v>1551598916882138</v>
      </c>
      <c r="C3018" t="s">
        <v>40</v>
      </c>
      <c r="D3018">
        <v>5.3199839999999998</v>
      </c>
      <c r="E3018">
        <v>0.46219470000000001</v>
      </c>
      <c r="F3018" t="s">
        <v>50</v>
      </c>
      <c r="G3018">
        <v>-466.09410000000003</v>
      </c>
      <c r="H3018" s="1">
        <v>1.7730400000000001E-6</v>
      </c>
      <c r="I3018">
        <v>283.08679999999998</v>
      </c>
      <c r="J3018">
        <v>-454.03269999999998</v>
      </c>
      <c r="K3018">
        <v>1.121054</v>
      </c>
      <c r="L3018">
        <v>284.43920000000003</v>
      </c>
      <c r="M3018">
        <v>-0.99975610000000004</v>
      </c>
      <c r="N3018">
        <v>-1.417676E-2</v>
      </c>
      <c r="O3018">
        <v>1.6937819999999999E-2</v>
      </c>
      <c r="P3018">
        <v>-0.99645810000000001</v>
      </c>
      <c r="Q3018">
        <v>-8.3436120000000003E-2</v>
      </c>
      <c r="R3018">
        <v>-1.048167E-2</v>
      </c>
      <c r="S3018">
        <v>-2.9845280000000001</v>
      </c>
      <c r="T3018">
        <v>-0.27337479999999997</v>
      </c>
      <c r="U3018">
        <v>-0.329071</v>
      </c>
      <c r="V3018">
        <v>-2.7362399999999999E-2</v>
      </c>
      <c r="W3018">
        <v>-6.9304660000000004E-2</v>
      </c>
      <c r="X3018">
        <v>0.9972202</v>
      </c>
      <c r="Y3018">
        <v>-0.1257645</v>
      </c>
      <c r="Z3018">
        <v>-7.931825E-3</v>
      </c>
      <c r="AA3018">
        <v>0.99202840000000003</v>
      </c>
      <c r="AB3018">
        <v>29</v>
      </c>
      <c r="AC3018">
        <v>-12.061400000000001</v>
      </c>
      <c r="AD3018">
        <v>-1.1210522269600001</v>
      </c>
      <c r="AE3018">
        <v>-1.35240000000004</v>
      </c>
      <c r="AF3018">
        <v>-1.54335303153579</v>
      </c>
      <c r="AG3018">
        <v>-1.1210522269600001</v>
      </c>
      <c r="AH3018">
        <v>11.934936336437399</v>
      </c>
      <c r="AI3018">
        <v>95.322010209860295</v>
      </c>
      <c r="AJ3018">
        <v>97.368250792817406</v>
      </c>
      <c r="AK3018">
        <v>12.086413944191101</v>
      </c>
      <c r="AL3018">
        <v>93.974050247314807</v>
      </c>
      <c r="AM3018">
        <v>91.571725855531497</v>
      </c>
      <c r="AN3018">
        <v>0.99999998205975704</v>
      </c>
    </row>
    <row r="3019" spans="1:40" x14ac:dyDescent="0.25">
      <c r="A3019" t="str">
        <f>"20190303154156913"</f>
        <v>20190303154156913</v>
      </c>
      <c r="B3019" t="str">
        <f>"1551598916902165"</f>
        <v>1551598916902165</v>
      </c>
      <c r="C3019" t="s">
        <v>40</v>
      </c>
      <c r="D3019">
        <v>5.336398</v>
      </c>
      <c r="E3019">
        <v>0.46192820000000001</v>
      </c>
      <c r="F3019" t="s">
        <v>50</v>
      </c>
      <c r="G3019">
        <v>-466.29910000000001</v>
      </c>
      <c r="H3019" s="1">
        <v>1.882784E-6</v>
      </c>
      <c r="I3019">
        <v>283.07159999999999</v>
      </c>
      <c r="J3019">
        <v>-454.32260000000002</v>
      </c>
      <c r="K3019">
        <v>1.121057</v>
      </c>
      <c r="L3019">
        <v>284.44420000000002</v>
      </c>
      <c r="M3019">
        <v>-0.99975610000000004</v>
      </c>
      <c r="N3019">
        <v>-1.4173740000000001E-2</v>
      </c>
      <c r="O3019">
        <v>1.6938189999999999E-2</v>
      </c>
      <c r="P3019">
        <v>-0.99646230000000002</v>
      </c>
      <c r="Q3019">
        <v>-8.3290810000000007E-2</v>
      </c>
      <c r="R3019">
        <v>-1.1200999999999999E-2</v>
      </c>
      <c r="S3019">
        <v>-2.9843440000000001</v>
      </c>
      <c r="T3019">
        <v>-0.27274720000000002</v>
      </c>
      <c r="U3019">
        <v>-0.33273320000000001</v>
      </c>
      <c r="V3019">
        <v>-2.8082119999999999E-2</v>
      </c>
      <c r="W3019">
        <v>-6.9162489999999993E-2</v>
      </c>
      <c r="X3019">
        <v>0.99721009999999999</v>
      </c>
      <c r="Y3019">
        <v>-0.1269711</v>
      </c>
      <c r="Z3019">
        <v>-7.9785519999999999E-3</v>
      </c>
      <c r="AA3019">
        <v>0.99187429999999999</v>
      </c>
      <c r="AB3019">
        <v>29</v>
      </c>
      <c r="AC3019">
        <v>-11.9764999999999</v>
      </c>
      <c r="AD3019">
        <v>-1.1210551172159999</v>
      </c>
      <c r="AE3019">
        <v>-1.37260000000003</v>
      </c>
      <c r="AF3019">
        <v>-1.5617770581541901</v>
      </c>
      <c r="AG3019">
        <v>-1.1210551172159999</v>
      </c>
      <c r="AH3019">
        <v>11.8490565301275</v>
      </c>
      <c r="AI3019">
        <v>95.358668395974902</v>
      </c>
      <c r="AJ3019">
        <v>97.508646515067298</v>
      </c>
      <c r="AK3019">
        <v>12.0040015332126</v>
      </c>
      <c r="AL3019">
        <v>93.965884764504096</v>
      </c>
      <c r="AM3019">
        <v>91.613062118174597</v>
      </c>
      <c r="AN3019">
        <v>1.0000000195143499</v>
      </c>
    </row>
    <row r="3020" spans="1:40" x14ac:dyDescent="0.25">
      <c r="A3020" t="str">
        <f>"20190303154156937"</f>
        <v>20190303154156937</v>
      </c>
      <c r="B3020" t="str">
        <f>"1551598916932420"</f>
        <v>1551598916932420</v>
      </c>
      <c r="C3020" t="s">
        <v>40</v>
      </c>
      <c r="D3020">
        <v>5.3899850000000002</v>
      </c>
      <c r="E3020">
        <v>0.46121600000000001</v>
      </c>
      <c r="F3020" t="s">
        <v>50</v>
      </c>
      <c r="G3020">
        <v>-466.54320000000001</v>
      </c>
      <c r="H3020" s="1">
        <v>2.0129970000000002E-6</v>
      </c>
      <c r="I3020">
        <v>283.0641</v>
      </c>
      <c r="J3020">
        <v>-454.61540000000002</v>
      </c>
      <c r="K3020">
        <v>1.1210599999999999</v>
      </c>
      <c r="L3020">
        <v>284.44909999999999</v>
      </c>
      <c r="M3020">
        <v>-0.99975619999999998</v>
      </c>
      <c r="N3020">
        <v>-1.417066E-2</v>
      </c>
      <c r="O3020">
        <v>1.6937859999999999E-2</v>
      </c>
      <c r="P3020">
        <v>-0.99648550000000002</v>
      </c>
      <c r="Q3020">
        <v>-8.2942799999999997E-2</v>
      </c>
      <c r="R3020">
        <v>-1.1730279999999999E-2</v>
      </c>
      <c r="S3020">
        <v>-2.983978</v>
      </c>
      <c r="T3020">
        <v>-0.27373530000000001</v>
      </c>
      <c r="U3020">
        <v>-0.33697510000000003</v>
      </c>
      <c r="V3020">
        <v>-2.8611560000000001E-2</v>
      </c>
      <c r="W3020">
        <v>-6.8817310000000007E-2</v>
      </c>
      <c r="X3020">
        <v>0.99721890000000002</v>
      </c>
      <c r="Y3020">
        <v>-0.12836520000000001</v>
      </c>
      <c r="Z3020">
        <v>-8.0787419999999999E-3</v>
      </c>
      <c r="AA3020">
        <v>0.99169399999999996</v>
      </c>
      <c r="AB3020">
        <v>29</v>
      </c>
      <c r="AC3020">
        <v>-11.9277999999999</v>
      </c>
      <c r="AD3020">
        <v>-1.121057987003</v>
      </c>
      <c r="AE3020">
        <v>-1.38499999999999</v>
      </c>
      <c r="AF3020">
        <v>-1.57314139267746</v>
      </c>
      <c r="AG3020">
        <v>-1.121057987003</v>
      </c>
      <c r="AH3020">
        <v>11.799779929377101</v>
      </c>
      <c r="AI3020">
        <v>95.379874494420605</v>
      </c>
      <c r="AJ3020">
        <v>97.5938676369734</v>
      </c>
      <c r="AK3020">
        <v>11.956853734712499</v>
      </c>
      <c r="AL3020">
        <v>93.946060293247697</v>
      </c>
      <c r="AM3020">
        <v>91.643442607115801</v>
      </c>
      <c r="AN3020">
        <v>0.99999998901923903</v>
      </c>
    </row>
    <row r="3021" spans="1:40" x14ac:dyDescent="0.25">
      <c r="A3021" t="str">
        <f>"20190303154156958"</f>
        <v>20190303154156958</v>
      </c>
      <c r="B3021" t="str">
        <f>"1551598916952916"</f>
        <v>1551598916952916</v>
      </c>
      <c r="C3021" t="s">
        <v>40</v>
      </c>
      <c r="D3021">
        <v>5.3736259999999998</v>
      </c>
      <c r="E3021">
        <v>0.46081359999999899</v>
      </c>
      <c r="F3021" t="s">
        <v>50</v>
      </c>
      <c r="G3021">
        <v>-466.73649999999998</v>
      </c>
      <c r="H3021" s="1">
        <v>2.116502E-6</v>
      </c>
      <c r="I3021">
        <v>283.05070000000001</v>
      </c>
      <c r="J3021">
        <v>-454.90019999999998</v>
      </c>
      <c r="K3021">
        <v>1.121062</v>
      </c>
      <c r="L3021">
        <v>284.45389999999998</v>
      </c>
      <c r="M3021">
        <v>-0.99975619999999998</v>
      </c>
      <c r="N3021">
        <v>-1.4167620000000001E-2</v>
      </c>
      <c r="O3021">
        <v>1.693824E-2</v>
      </c>
      <c r="P3021">
        <v>-0.99652499999999999</v>
      </c>
      <c r="Q3021">
        <v>-8.2494479999999995E-2</v>
      </c>
      <c r="R3021">
        <v>-1.151894E-2</v>
      </c>
      <c r="S3021">
        <v>-2.9835509999999998</v>
      </c>
      <c r="T3021">
        <v>-0.27594299999999999</v>
      </c>
      <c r="U3021">
        <v>-0.34420780000000001</v>
      </c>
      <c r="V3021">
        <v>-2.8400829999999998E-2</v>
      </c>
      <c r="W3021">
        <v>-6.837153E-2</v>
      </c>
      <c r="X3021">
        <v>0.99725560000000002</v>
      </c>
      <c r="Y3021">
        <v>-0.1307325</v>
      </c>
      <c r="Z3021">
        <v>-8.2640760000000004E-3</v>
      </c>
      <c r="AA3021">
        <v>0.99138329999999997</v>
      </c>
      <c r="AB3021">
        <v>29</v>
      </c>
      <c r="AC3021">
        <v>-11.8362999999999</v>
      </c>
      <c r="AD3021">
        <v>-1.1210598834979999</v>
      </c>
      <c r="AE3021">
        <v>-1.40319999999996</v>
      </c>
      <c r="AF3021">
        <v>-1.58944406760376</v>
      </c>
      <c r="AG3021">
        <v>-1.1210598834979999</v>
      </c>
      <c r="AH3021">
        <v>11.7072648174739</v>
      </c>
      <c r="AI3021">
        <v>95.420402995685393</v>
      </c>
      <c r="AJ3021">
        <v>97.731525026588997</v>
      </c>
      <c r="AK3021">
        <v>11.867735976709801</v>
      </c>
      <c r="AL3021">
        <v>93.920458625941194</v>
      </c>
      <c r="AM3021">
        <v>91.631284877944907</v>
      </c>
      <c r="AN3021">
        <v>1.00000000249529</v>
      </c>
    </row>
    <row r="3022" spans="1:40" x14ac:dyDescent="0.25">
      <c r="A3022" t="str">
        <f>"20190303154156981"</f>
        <v>20190303154156981</v>
      </c>
      <c r="B3022" t="str">
        <f>"1551598916972440"</f>
        <v>1551598916972440</v>
      </c>
      <c r="C3022" t="s">
        <v>40</v>
      </c>
      <c r="D3022">
        <v>5.3619620000000001</v>
      </c>
      <c r="E3022">
        <v>0.46051370000000003</v>
      </c>
      <c r="F3022" t="s">
        <v>50</v>
      </c>
      <c r="G3022">
        <v>-467.02679999999998</v>
      </c>
      <c r="H3022" s="1">
        <v>2.2712470000000002E-6</v>
      </c>
      <c r="I3022">
        <v>283.04410000000001</v>
      </c>
      <c r="J3022">
        <v>-455.18529999999998</v>
      </c>
      <c r="K3022">
        <v>1.1210599999999999</v>
      </c>
      <c r="L3022">
        <v>284.45870000000002</v>
      </c>
      <c r="M3022">
        <v>-0.99975619999999998</v>
      </c>
      <c r="N3022">
        <v>-1.416457E-2</v>
      </c>
      <c r="O3022">
        <v>1.69375999999999E-2</v>
      </c>
      <c r="P3022">
        <v>-0.99646319999999999</v>
      </c>
      <c r="Q3022">
        <v>-8.3259490000000005E-2</v>
      </c>
      <c r="R3022">
        <v>-1.134307E-2</v>
      </c>
      <c r="S3022">
        <v>-2.9836119999999999</v>
      </c>
      <c r="T3022">
        <v>-0.27582489999999998</v>
      </c>
      <c r="U3022">
        <v>-0.34686280000000003</v>
      </c>
      <c r="V3022">
        <v>-2.8223390000000001E-2</v>
      </c>
      <c r="W3022">
        <v>-6.9140300000000002E-2</v>
      </c>
      <c r="X3022">
        <v>0.99720759999999997</v>
      </c>
      <c r="Y3022">
        <v>-0.13159650000000001</v>
      </c>
      <c r="Z3022">
        <v>-8.3060449999999997E-3</v>
      </c>
      <c r="AA3022">
        <v>0.99126860000000006</v>
      </c>
      <c r="AB3022">
        <v>29</v>
      </c>
      <c r="AC3022">
        <v>-11.8414999999999</v>
      </c>
      <c r="AD3022">
        <v>-1.1210577287529999</v>
      </c>
      <c r="AE3022">
        <v>-1.4146000000000001</v>
      </c>
      <c r="AF3022">
        <v>-1.6008376786538401</v>
      </c>
      <c r="AG3022">
        <v>-1.1210577287529999</v>
      </c>
      <c r="AH3022">
        <v>11.712340586060201</v>
      </c>
      <c r="AI3022">
        <v>95.417399307484303</v>
      </c>
      <c r="AJ3022">
        <v>97.782936491441504</v>
      </c>
      <c r="AK3022">
        <v>11.8742736076135</v>
      </c>
      <c r="AL3022">
        <v>93.964610520332897</v>
      </c>
      <c r="AM3022">
        <v>91.621176536055501</v>
      </c>
      <c r="AN3022">
        <v>0.99999996916247003</v>
      </c>
    </row>
    <row r="3023" spans="1:40" x14ac:dyDescent="0.25">
      <c r="A3023" t="str">
        <f>"20190303154157003"</f>
        <v>20190303154157003</v>
      </c>
      <c r="B3023" t="str">
        <f>"1551598916992477"</f>
        <v>1551598916992477</v>
      </c>
      <c r="C3023" t="s">
        <v>40</v>
      </c>
      <c r="D3023">
        <v>5.3975549999999997</v>
      </c>
      <c r="E3023">
        <v>0.46011780000000002</v>
      </c>
      <c r="F3023" t="s">
        <v>50</v>
      </c>
      <c r="G3023">
        <v>-467.16680000000002</v>
      </c>
      <c r="H3023" s="1">
        <v>2.3451459999999998E-6</v>
      </c>
      <c r="I3023">
        <v>283.05810000000002</v>
      </c>
      <c r="J3023">
        <v>-455.47329999999999</v>
      </c>
      <c r="K3023">
        <v>1.1210549999999999</v>
      </c>
      <c r="L3023">
        <v>284.46359999999999</v>
      </c>
      <c r="M3023">
        <v>-0.99975639999999999</v>
      </c>
      <c r="N3023">
        <v>-1.4161460000000001E-2</v>
      </c>
      <c r="O3023">
        <v>1.693774E-2</v>
      </c>
      <c r="P3023">
        <v>-0.99646080000000004</v>
      </c>
      <c r="Q3023">
        <v>-8.3362459999999999E-2</v>
      </c>
      <c r="R3023">
        <v>-1.0806400000000001E-2</v>
      </c>
      <c r="S3023">
        <v>-2.9833980000000002</v>
      </c>
      <c r="T3023">
        <v>-0.27914349999999999</v>
      </c>
      <c r="U3023">
        <v>-0.34875489999999998</v>
      </c>
      <c r="V3023">
        <v>-2.7686809999999999E-2</v>
      </c>
      <c r="W3023">
        <v>-6.9246310000000005E-2</v>
      </c>
      <c r="X3023">
        <v>0.99721530000000003</v>
      </c>
      <c r="Y3023">
        <v>-0.13220599999999999</v>
      </c>
      <c r="Z3023">
        <v>-8.4301080000000004E-3</v>
      </c>
      <c r="AA3023">
        <v>0.99118640000000002</v>
      </c>
      <c r="AB3023">
        <v>29</v>
      </c>
      <c r="AC3023">
        <v>-11.6935</v>
      </c>
      <c r="AD3023">
        <v>-1.1210526548540001</v>
      </c>
      <c r="AE3023">
        <v>-1.40549999999996</v>
      </c>
      <c r="AF3023">
        <v>-1.58898326172855</v>
      </c>
      <c r="AG3023">
        <v>-1.1210526548540001</v>
      </c>
      <c r="AH3023">
        <v>11.563249443935099</v>
      </c>
      <c r="AI3023">
        <v>95.486259770421</v>
      </c>
      <c r="AJ3023">
        <v>97.824390732089199</v>
      </c>
      <c r="AK3023">
        <v>11.725628535975099</v>
      </c>
      <c r="AL3023">
        <v>93.970698984697407</v>
      </c>
      <c r="AM3023">
        <v>91.5903586136304</v>
      </c>
      <c r="AN3023">
        <v>0.99999998272534096</v>
      </c>
    </row>
    <row r="3024" spans="1:40" x14ac:dyDescent="0.25">
      <c r="A3024" t="str">
        <f>"20190303154157025"</f>
        <v>20190303154157025</v>
      </c>
      <c r="B3024" t="str">
        <f>"1551598917022719"</f>
        <v>1551598917022719</v>
      </c>
      <c r="C3024" t="s">
        <v>40</v>
      </c>
      <c r="D3024">
        <v>5.5666279999999997</v>
      </c>
      <c r="E3024">
        <v>0.45991379999999998</v>
      </c>
      <c r="F3024" t="s">
        <v>50</v>
      </c>
      <c r="G3024">
        <v>-467.3569</v>
      </c>
      <c r="H3024" s="1">
        <v>2.4457909999999999E-6</v>
      </c>
      <c r="I3024">
        <v>283.0693</v>
      </c>
      <c r="J3024">
        <v>-455.75599999999997</v>
      </c>
      <c r="K3024">
        <v>1.1210519999999999</v>
      </c>
      <c r="L3024">
        <v>284.46839999999997</v>
      </c>
      <c r="M3024">
        <v>-0.99975639999999999</v>
      </c>
      <c r="N3024">
        <v>-1.415841E-2</v>
      </c>
      <c r="O3024">
        <v>1.6937649999999999E-2</v>
      </c>
      <c r="P3024">
        <v>-0.99628720000000004</v>
      </c>
      <c r="Q3024">
        <v>-8.5555419999999993E-2</v>
      </c>
      <c r="R3024">
        <v>-9.618115E-3</v>
      </c>
      <c r="S3024">
        <v>-2.9833069999999999</v>
      </c>
      <c r="T3024">
        <v>-0.28143499999999999</v>
      </c>
      <c r="U3024">
        <v>-0.35003659999999998</v>
      </c>
      <c r="V3024">
        <v>-2.64958E-2</v>
      </c>
      <c r="W3024">
        <v>-7.1444300000000002E-2</v>
      </c>
      <c r="X3024">
        <v>0.9970926</v>
      </c>
      <c r="Y3024">
        <v>-0.13261629999999899</v>
      </c>
      <c r="Z3024">
        <v>-8.5153910000000006E-3</v>
      </c>
      <c r="AA3024">
        <v>0.99113090000000004</v>
      </c>
      <c r="AB3024">
        <v>29</v>
      </c>
      <c r="AC3024">
        <v>-11.600899999999999</v>
      </c>
      <c r="AD3024">
        <v>-1.121049554209</v>
      </c>
      <c r="AE3024">
        <v>-1.39909999999997</v>
      </c>
      <c r="AF3024">
        <v>-1.5808600670030899</v>
      </c>
      <c r="AG3024">
        <v>-1.121049554209</v>
      </c>
      <c r="AH3024">
        <v>11.469961670394101</v>
      </c>
      <c r="AI3024">
        <v>95.530286072444497</v>
      </c>
      <c r="AJ3024">
        <v>97.847413079369204</v>
      </c>
      <c r="AK3024">
        <v>11.6325358961298</v>
      </c>
      <c r="AL3024">
        <v>94.096947312040896</v>
      </c>
      <c r="AM3024">
        <v>91.522165887801506</v>
      </c>
      <c r="AN3024">
        <v>0.99999998419744396</v>
      </c>
    </row>
    <row r="3025" spans="1:40" x14ac:dyDescent="0.25">
      <c r="A3025" t="str">
        <f>"20190303154157048"</f>
        <v>20190303154157048</v>
      </c>
      <c r="B3025" t="str">
        <f>"1551598917042240"</f>
        <v>1551598917042240</v>
      </c>
      <c r="C3025" t="s">
        <v>40</v>
      </c>
      <c r="D3025">
        <v>5.5475960000000004</v>
      </c>
      <c r="E3025">
        <v>0.49462460000000003</v>
      </c>
      <c r="F3025" t="s">
        <v>50</v>
      </c>
      <c r="G3025">
        <v>-467.34379999999999</v>
      </c>
      <c r="H3025" s="1">
        <v>2.4368440000000001E-6</v>
      </c>
      <c r="I3025">
        <v>283.11540000000002</v>
      </c>
      <c r="J3025">
        <v>-456.04599999999999</v>
      </c>
      <c r="K3025">
        <v>1.121051</v>
      </c>
      <c r="L3025">
        <v>284.47329999999999</v>
      </c>
      <c r="M3025">
        <v>-0.99975650000000005</v>
      </c>
      <c r="N3025">
        <v>-1.4155289999999999E-2</v>
      </c>
      <c r="O3025">
        <v>1.6937669999999998E-2</v>
      </c>
      <c r="P3025">
        <v>-0.9961603</v>
      </c>
      <c r="Q3025">
        <v>-8.7130460000000007E-2</v>
      </c>
      <c r="R3025">
        <v>-8.5613340000000003E-3</v>
      </c>
      <c r="S3025">
        <v>-2.9830320000000001</v>
      </c>
      <c r="T3025">
        <v>-0.28859020000000002</v>
      </c>
      <c r="U3025">
        <v>-0.34829710000000003</v>
      </c>
      <c r="V3025">
        <v>-2.543689E-2</v>
      </c>
      <c r="W3025">
        <v>-7.3023889999999994E-2</v>
      </c>
      <c r="X3025">
        <v>0.99700580000000005</v>
      </c>
      <c r="Y3025">
        <v>-0.13202439999999999</v>
      </c>
      <c r="Z3025">
        <v>-8.6812920000000002E-3</v>
      </c>
      <c r="AA3025">
        <v>0.99120839999999999</v>
      </c>
      <c r="AB3025">
        <v>29</v>
      </c>
      <c r="AC3025">
        <v>-11.297799999999899</v>
      </c>
      <c r="AD3025">
        <v>-1.1210485631559901</v>
      </c>
      <c r="AE3025">
        <v>-1.3578999999999699</v>
      </c>
      <c r="AF3025">
        <v>-1.53419212905536</v>
      </c>
      <c r="AG3025">
        <v>-1.1210485631559901</v>
      </c>
      <c r="AH3025">
        <v>11.164813365119301</v>
      </c>
      <c r="AI3025">
        <v>95.680769972631296</v>
      </c>
      <c r="AJ3025">
        <v>97.824192424123794</v>
      </c>
      <c r="AK3025">
        <v>11.3253500099447</v>
      </c>
      <c r="AL3025">
        <v>94.187687952138702</v>
      </c>
      <c r="AM3025">
        <v>91.461486320384196</v>
      </c>
      <c r="AN3025">
        <v>1.0000000445586199</v>
      </c>
    </row>
    <row r="3026" spans="1:40" x14ac:dyDescent="0.25">
      <c r="A3026" t="str">
        <f>"20190303154157070"</f>
        <v>20190303154157070</v>
      </c>
      <c r="B3026" t="str">
        <f>"1551598917062738"</f>
        <v>1551598917062738</v>
      </c>
      <c r="C3026" t="s">
        <v>40</v>
      </c>
      <c r="D3026">
        <v>5.4323160000000001</v>
      </c>
      <c r="E3026">
        <v>0.51173789999999997</v>
      </c>
      <c r="F3026" t="s">
        <v>42</v>
      </c>
      <c r="G3026">
        <v>-456.86829999999998</v>
      </c>
      <c r="H3026">
        <v>1.0185949999999999</v>
      </c>
      <c r="I3026">
        <v>284.45479999999998</v>
      </c>
      <c r="J3026">
        <v>-456.33049999999997</v>
      </c>
      <c r="K3026">
        <v>1.121051</v>
      </c>
      <c r="L3026">
        <v>284.47809999999998</v>
      </c>
      <c r="M3026">
        <v>-0.99975630000000004</v>
      </c>
      <c r="N3026">
        <v>-1.415222E-2</v>
      </c>
      <c r="O3026">
        <v>1.6937810000000001E-2</v>
      </c>
      <c r="P3026">
        <v>-0.99609809999999999</v>
      </c>
      <c r="Q3026">
        <v>-8.7919999999999998E-2</v>
      </c>
      <c r="R3026">
        <v>-7.6664949999999997E-3</v>
      </c>
      <c r="S3026">
        <v>-2.9785159999999999</v>
      </c>
      <c r="T3026">
        <v>-0.37106</v>
      </c>
      <c r="U3026">
        <v>-6.7413329999999994E-2</v>
      </c>
      <c r="V3026">
        <v>-2.4541670000000002E-2</v>
      </c>
      <c r="W3026">
        <v>-7.3817099999999997E-2</v>
      </c>
      <c r="X3026">
        <v>0.99696980000000002</v>
      </c>
      <c r="Y3026">
        <v>-3.9119620000000001E-2</v>
      </c>
      <c r="Z3026">
        <v>-4.5679600000000002E-3</v>
      </c>
      <c r="AA3026">
        <v>0.99922409999999995</v>
      </c>
      <c r="AB3026">
        <v>29</v>
      </c>
      <c r="AC3026">
        <v>-0.53780000000000405</v>
      </c>
      <c r="AD3026">
        <v>-0.10245599999999901</v>
      </c>
      <c r="AE3026">
        <v>-2.3300000000006E-2</v>
      </c>
      <c r="AF3026">
        <v>-3.1273803530176697E-2</v>
      </c>
      <c r="AG3026">
        <v>-0.10245599999999901</v>
      </c>
      <c r="AH3026">
        <v>0.51854345794645995</v>
      </c>
      <c r="AI3026">
        <v>101.157017074972</v>
      </c>
      <c r="AJ3026">
        <v>93.451377288507004</v>
      </c>
      <c r="AK3026">
        <v>0.52949277662902605</v>
      </c>
      <c r="AL3026">
        <v>94.233258632528901</v>
      </c>
      <c r="AM3026">
        <v>91.410123151080299</v>
      </c>
      <c r="AN3026">
        <v>1.00000001996541</v>
      </c>
    </row>
    <row r="3027" spans="1:40" x14ac:dyDescent="0.25">
      <c r="A3027" t="str">
        <f>"20190303154157092"</f>
        <v>20190303154157092</v>
      </c>
      <c r="B3027" t="str">
        <f>"1551598917082255"</f>
        <v>1551598917082255</v>
      </c>
      <c r="C3027" t="s">
        <v>40</v>
      </c>
      <c r="D3027">
        <v>5.6756529999999996</v>
      </c>
      <c r="E3027">
        <v>0.51556570000000002</v>
      </c>
      <c r="F3027" t="s">
        <v>42</v>
      </c>
      <c r="G3027">
        <v>-457.12020000000001</v>
      </c>
      <c r="H3027">
        <v>1.0169699999999999</v>
      </c>
      <c r="I3027">
        <v>284.4973</v>
      </c>
      <c r="J3027">
        <v>-456.61919999999998</v>
      </c>
      <c r="K3027">
        <v>1.1210530000000001</v>
      </c>
      <c r="L3027">
        <v>284.483</v>
      </c>
      <c r="M3027">
        <v>-0.99975650000000005</v>
      </c>
      <c r="N3027">
        <v>-1.4149159999999999E-2</v>
      </c>
      <c r="O3027">
        <v>1.6937359999999999E-2</v>
      </c>
      <c r="P3027">
        <v>-0.99610220000000005</v>
      </c>
      <c r="Q3027">
        <v>-8.792142E-2</v>
      </c>
      <c r="R3027">
        <v>-7.0939990000000001E-3</v>
      </c>
      <c r="S3027">
        <v>-2.9776919999999998</v>
      </c>
      <c r="T3027">
        <v>-0.39259860000000002</v>
      </c>
      <c r="U3027">
        <v>7.1716310000000005E-2</v>
      </c>
      <c r="V3027">
        <v>-2.3968819999999998E-2</v>
      </c>
      <c r="W3027">
        <v>-7.3821390000000001E-2</v>
      </c>
      <c r="X3027">
        <v>0.99698339999999996</v>
      </c>
      <c r="Y3027">
        <v>7.1877620000000003E-3</v>
      </c>
      <c r="Z3027">
        <v>-1.46144E-3</v>
      </c>
      <c r="AA3027">
        <v>0.99997309999999995</v>
      </c>
      <c r="AB3027">
        <v>29</v>
      </c>
      <c r="AC3027">
        <v>-0.50100000000003297</v>
      </c>
      <c r="AD3027">
        <v>-0.104082999999999</v>
      </c>
      <c r="AE3027">
        <v>1.42999999999915E-2</v>
      </c>
      <c r="AF3027">
        <v>5.5712222443445904E-3</v>
      </c>
      <c r="AG3027">
        <v>-0.104082999999999</v>
      </c>
      <c r="AH3027">
        <v>0.48045083924149901</v>
      </c>
      <c r="AI3027">
        <v>102.222653288828</v>
      </c>
      <c r="AJ3027">
        <v>89.335638135673506</v>
      </c>
      <c r="AK3027">
        <v>0.49162721480218802</v>
      </c>
      <c r="AL3027">
        <v>94.233505184679899</v>
      </c>
      <c r="AM3027">
        <v>91.377202200623302</v>
      </c>
      <c r="AN3027">
        <v>1.0000000009146399</v>
      </c>
    </row>
    <row r="3028" spans="1:40" x14ac:dyDescent="0.25">
      <c r="A3028" t="str">
        <f>"20190303154157114"</f>
        <v>20190303154157114</v>
      </c>
      <c r="B3028" t="str">
        <f>"1551598917102751"</f>
        <v>1551598917102751</v>
      </c>
      <c r="C3028" t="s">
        <v>40</v>
      </c>
      <c r="D3028">
        <v>5.5120589999999998</v>
      </c>
      <c r="E3028">
        <v>0.51793020000000001</v>
      </c>
      <c r="F3028" t="s">
        <v>42</v>
      </c>
      <c r="G3028">
        <v>-457.37549999999999</v>
      </c>
      <c r="H3028">
        <v>1.017142</v>
      </c>
      <c r="I3028">
        <v>284.50990000000002</v>
      </c>
      <c r="J3028">
        <v>-456.89929999999998</v>
      </c>
      <c r="K3028">
        <v>1.121057</v>
      </c>
      <c r="L3028">
        <v>284.48779999999999</v>
      </c>
      <c r="M3028">
        <v>-0.9997566</v>
      </c>
      <c r="N3028">
        <v>-1.4146189999999999E-2</v>
      </c>
      <c r="O3028">
        <v>1.6937730000000002E-2</v>
      </c>
      <c r="P3028">
        <v>-0.99612140000000005</v>
      </c>
      <c r="Q3028">
        <v>-8.7682560000000007E-2</v>
      </c>
      <c r="R3028">
        <v>-7.3575869999999996E-3</v>
      </c>
      <c r="S3028">
        <v>-2.9763790000000001</v>
      </c>
      <c r="T3028">
        <v>-0.40907389999999999</v>
      </c>
      <c r="U3028">
        <v>0.10424799999999999</v>
      </c>
      <c r="V3028">
        <v>-2.4233089999999999E-2</v>
      </c>
      <c r="W3028">
        <v>-7.3585319999999996E-2</v>
      </c>
      <c r="X3028">
        <v>0.99699439999999995</v>
      </c>
      <c r="Y3028">
        <v>1.8010849999999998E-2</v>
      </c>
      <c r="Z3028">
        <v>-7.1787520000000005E-4</v>
      </c>
      <c r="AA3028">
        <v>0.99983750000000005</v>
      </c>
      <c r="AB3028">
        <v>29</v>
      </c>
      <c r="AC3028">
        <v>-0.47620000000000501</v>
      </c>
      <c r="AD3028">
        <v>-0.10391499999999899</v>
      </c>
      <c r="AE3028">
        <v>2.2100000000023101E-2</v>
      </c>
      <c r="AF3028">
        <v>1.3393848736110801E-2</v>
      </c>
      <c r="AG3028">
        <v>-0.10391499999999899</v>
      </c>
      <c r="AH3028">
        <v>0.45489125061199698</v>
      </c>
      <c r="AI3028">
        <v>102.862413343743</v>
      </c>
      <c r="AJ3028">
        <v>88.313466463724396</v>
      </c>
      <c r="AK3028">
        <v>0.466801641269943</v>
      </c>
      <c r="AL3028">
        <v>94.219942749094997</v>
      </c>
      <c r="AM3028">
        <v>91.392365344136493</v>
      </c>
      <c r="AN3028">
        <v>0.99999993780090302</v>
      </c>
    </row>
    <row r="3029" spans="1:40" x14ac:dyDescent="0.25">
      <c r="A3029" t="str">
        <f>"20190303154157138"</f>
        <v>20190303154157138</v>
      </c>
      <c r="B3029" t="str">
        <f>"1551598917133007"</f>
        <v>1551598917133007</v>
      </c>
      <c r="C3029" t="s">
        <v>40</v>
      </c>
      <c r="D3029">
        <v>5.5125400000000004</v>
      </c>
      <c r="E3029">
        <v>0.51932250000000002</v>
      </c>
      <c r="F3029" t="s">
        <v>42</v>
      </c>
      <c r="G3029">
        <v>-457.6311</v>
      </c>
      <c r="H3029">
        <v>1.018297</v>
      </c>
      <c r="I3029">
        <v>284.5181</v>
      </c>
      <c r="J3029">
        <v>-457.19349999999997</v>
      </c>
      <c r="K3029">
        <v>1.121054</v>
      </c>
      <c r="L3029">
        <v>284.49279999999999</v>
      </c>
      <c r="M3029">
        <v>-0.99975650000000005</v>
      </c>
      <c r="N3029">
        <v>-1.4143060000000001E-2</v>
      </c>
      <c r="O3029">
        <v>1.6937399999999998E-2</v>
      </c>
      <c r="P3029">
        <v>-0.99608010000000002</v>
      </c>
      <c r="Q3029">
        <v>-8.8077050000000004E-2</v>
      </c>
      <c r="R3029">
        <v>-8.1737749999999994E-3</v>
      </c>
      <c r="S3029">
        <v>-2.9758300000000002</v>
      </c>
      <c r="T3029">
        <v>-0.41783759999999998</v>
      </c>
      <c r="U3029">
        <v>0.1226807</v>
      </c>
      <c r="V3029">
        <v>-2.5048609999999999E-2</v>
      </c>
      <c r="W3029">
        <v>-7.3983599999999997E-2</v>
      </c>
      <c r="X3029">
        <v>0.99694479999999996</v>
      </c>
      <c r="Y3029">
        <v>2.4133780000000001E-2</v>
      </c>
      <c r="Z3029">
        <v>-2.6986060000000001E-4</v>
      </c>
      <c r="AA3029">
        <v>0.99970870000000001</v>
      </c>
      <c r="AB3029">
        <v>29</v>
      </c>
      <c r="AC3029">
        <v>-0.43760000000003102</v>
      </c>
      <c r="AD3029">
        <v>-0.102757</v>
      </c>
      <c r="AE3029">
        <v>2.5300000000015602E-2</v>
      </c>
      <c r="AF3029">
        <v>1.6952189515508701E-2</v>
      </c>
      <c r="AG3029">
        <v>-0.102757</v>
      </c>
      <c r="AH3029">
        <v>0.41515055823049002</v>
      </c>
      <c r="AI3029">
        <v>103.891164500855</v>
      </c>
      <c r="AJ3029">
        <v>87.661692632036804</v>
      </c>
      <c r="AK3029">
        <v>0.42801444342154699</v>
      </c>
      <c r="AL3029">
        <v>94.242824748353399</v>
      </c>
      <c r="AM3029">
        <v>91.439275020893405</v>
      </c>
      <c r="AN3029">
        <v>0.99999997008946495</v>
      </c>
    </row>
    <row r="3030" spans="1:40" x14ac:dyDescent="0.25">
      <c r="A3030" t="str">
        <f>"20190303154157160"</f>
        <v>20190303154157160</v>
      </c>
      <c r="B3030" t="str">
        <f>"1551598917152527"</f>
        <v>1551598917152527</v>
      </c>
      <c r="C3030" t="s">
        <v>40</v>
      </c>
      <c r="D3030">
        <v>5.5442130000000001</v>
      </c>
      <c r="E3030">
        <v>0.51978550000000001</v>
      </c>
      <c r="F3030" t="s">
        <v>42</v>
      </c>
      <c r="G3030">
        <v>-458.12549999999999</v>
      </c>
      <c r="H3030">
        <v>0.98806950000000004</v>
      </c>
      <c r="I3030">
        <v>284.53399999999999</v>
      </c>
      <c r="J3030">
        <v>-457.47820000000002</v>
      </c>
      <c r="K3030">
        <v>1.121043</v>
      </c>
      <c r="L3030">
        <v>284.49759999999998</v>
      </c>
      <c r="M3030">
        <v>-0.99975650000000005</v>
      </c>
      <c r="N3030">
        <v>-1.414003E-2</v>
      </c>
      <c r="O3030">
        <v>1.6937899999999999E-2</v>
      </c>
      <c r="P3030">
        <v>-0.9960715</v>
      </c>
      <c r="Q3030">
        <v>-8.8093389999999994E-2</v>
      </c>
      <c r="R3030">
        <v>-9.007981E-3</v>
      </c>
      <c r="S3030">
        <v>-2.9753419999999999</v>
      </c>
      <c r="T3030">
        <v>-0.4246086</v>
      </c>
      <c r="U3030">
        <v>0.131073</v>
      </c>
      <c r="V3030">
        <v>-2.5882849999999999E-2</v>
      </c>
      <c r="W3030">
        <v>-7.4003260000000001E-2</v>
      </c>
      <c r="X3030">
        <v>0.99692210000000003</v>
      </c>
      <c r="Y3030">
        <v>2.6920400000000001E-2</v>
      </c>
      <c r="Z3030" s="1">
        <v>-6.3425859999999894E-5</v>
      </c>
      <c r="AA3030">
        <v>0.99963760000000002</v>
      </c>
      <c r="AB3030">
        <v>29</v>
      </c>
      <c r="AC3030">
        <v>-0.64729999999997201</v>
      </c>
      <c r="AD3030">
        <v>-0.13297349999999999</v>
      </c>
      <c r="AE3030">
        <v>3.6400000000014601E-2</v>
      </c>
      <c r="AF3030">
        <v>2.4403193660431699E-2</v>
      </c>
      <c r="AG3030">
        <v>-0.13297349999999999</v>
      </c>
      <c r="AH3030">
        <v>0.62167149059899596</v>
      </c>
      <c r="AI3030">
        <v>102.06442789175399</v>
      </c>
      <c r="AJ3030">
        <v>87.752056302049397</v>
      </c>
      <c r="AK3030">
        <v>0.63620194104282302</v>
      </c>
      <c r="AL3030">
        <v>94.243953987023602</v>
      </c>
      <c r="AM3030">
        <v>91.487222515804703</v>
      </c>
      <c r="AN3030">
        <v>1.00000003894157</v>
      </c>
    </row>
    <row r="3031" spans="1:40" x14ac:dyDescent="0.25">
      <c r="A3031" t="str">
        <f>"20190303154157182"</f>
        <v>20190303154157182</v>
      </c>
      <c r="B3031" t="str">
        <f>"1551598917173023"</f>
        <v>1551598917173023</v>
      </c>
      <c r="C3031" t="s">
        <v>40</v>
      </c>
      <c r="D3031">
        <v>5.5504939999999996</v>
      </c>
      <c r="E3031">
        <v>0.52004259999999902</v>
      </c>
      <c r="F3031" t="s">
        <v>42</v>
      </c>
      <c r="G3031">
        <v>-458.38139999999999</v>
      </c>
      <c r="H3031">
        <v>0.99125479999999999</v>
      </c>
      <c r="I3031">
        <v>284.53829999999999</v>
      </c>
      <c r="J3031">
        <v>-457.76280000000003</v>
      </c>
      <c r="K3031">
        <v>1.121051</v>
      </c>
      <c r="L3031">
        <v>284.50240000000002</v>
      </c>
      <c r="M3031">
        <v>-0.9997568</v>
      </c>
      <c r="N3031">
        <v>-1.413707E-2</v>
      </c>
      <c r="O3031">
        <v>1.693762E-2</v>
      </c>
      <c r="P3031">
        <v>-0.99623790000000001</v>
      </c>
      <c r="Q3031">
        <v>-8.6159109999999997E-2</v>
      </c>
      <c r="R3031">
        <v>-9.3131370000000008E-3</v>
      </c>
      <c r="S3031">
        <v>-2.9751889999999999</v>
      </c>
      <c r="T3031">
        <v>-0.42768919999999999</v>
      </c>
      <c r="U3031">
        <v>0.1322632</v>
      </c>
      <c r="V3031">
        <v>-2.6190330000000001E-2</v>
      </c>
      <c r="W3031">
        <v>-7.2069850000000005E-2</v>
      </c>
      <c r="X3031">
        <v>0.99705560000000004</v>
      </c>
      <c r="Y3031">
        <v>2.731569E-2</v>
      </c>
      <c r="Z3031" s="1">
        <v>-3.5979790000000003E-5</v>
      </c>
      <c r="AA3031">
        <v>0.99962689999999998</v>
      </c>
      <c r="AB3031">
        <v>28</v>
      </c>
      <c r="AC3031">
        <v>-0.61859999999995796</v>
      </c>
      <c r="AD3031">
        <v>-0.129796199999999</v>
      </c>
      <c r="AE3031">
        <v>3.5899999999969602E-2</v>
      </c>
      <c r="AF3031">
        <v>2.4347863892901299E-2</v>
      </c>
      <c r="AG3031">
        <v>-0.129796199999999</v>
      </c>
      <c r="AH3031">
        <v>0.59309568754313902</v>
      </c>
      <c r="AI3031">
        <v>102.33422722269999</v>
      </c>
      <c r="AJ3031">
        <v>87.649204015849406</v>
      </c>
      <c r="AK3031">
        <v>0.60762024866922903</v>
      </c>
      <c r="AL3031">
        <v>94.132881532620701</v>
      </c>
      <c r="AM3031">
        <v>91.504680765669505</v>
      </c>
      <c r="AN3031">
        <v>0.99999993307794299</v>
      </c>
    </row>
    <row r="3032" spans="1:40" x14ac:dyDescent="0.25">
      <c r="A3032" t="str">
        <f>"20190303154157204"</f>
        <v>20190303154157204</v>
      </c>
      <c r="B3032" t="str">
        <f>"1551598917193034"</f>
        <v>1551598917193034</v>
      </c>
      <c r="C3032" t="s">
        <v>40</v>
      </c>
      <c r="D3032">
        <v>5.5227769999999996</v>
      </c>
      <c r="E3032">
        <v>0.52023069999999905</v>
      </c>
      <c r="F3032" t="s">
        <v>42</v>
      </c>
      <c r="G3032">
        <v>-458.63780000000003</v>
      </c>
      <c r="H3032">
        <v>0.99615589999999998</v>
      </c>
      <c r="I3032">
        <v>284.54180000000002</v>
      </c>
      <c r="J3032">
        <v>-458.04020000000003</v>
      </c>
      <c r="K3032">
        <v>1.1210629999999999</v>
      </c>
      <c r="L3032">
        <v>284.50709999999998</v>
      </c>
      <c r="M3032">
        <v>-0.9997566</v>
      </c>
      <c r="N3032">
        <v>-1.413418E-2</v>
      </c>
      <c r="O3032">
        <v>1.693764E-2</v>
      </c>
      <c r="P3032">
        <v>-0.99641970000000002</v>
      </c>
      <c r="Q3032">
        <v>-8.4097270000000002E-2</v>
      </c>
      <c r="R3032">
        <v>-8.7005069999999997E-3</v>
      </c>
      <c r="S3032">
        <v>-2.9758300000000002</v>
      </c>
      <c r="T3032">
        <v>-0.42475649999999998</v>
      </c>
      <c r="U3032">
        <v>0.133300799999999</v>
      </c>
      <c r="V3032">
        <v>-2.5580780000000001E-2</v>
      </c>
      <c r="W3032">
        <v>-7.0008399999999998E-2</v>
      </c>
      <c r="X3032">
        <v>0.99721839999999995</v>
      </c>
      <c r="Y3032">
        <v>2.7652159999999999E-2</v>
      </c>
      <c r="Z3032" s="1">
        <v>-6.5114580000000004E-6</v>
      </c>
      <c r="AA3032">
        <v>0.9996176</v>
      </c>
      <c r="AB3032">
        <v>28</v>
      </c>
      <c r="AC3032">
        <v>-0.59759999999999902</v>
      </c>
      <c r="AD3032">
        <v>-0.12490709999999899</v>
      </c>
      <c r="AE3032">
        <v>3.4700000000043398E-2</v>
      </c>
      <c r="AF3032">
        <v>2.3546839824624299E-2</v>
      </c>
      <c r="AG3032">
        <v>-0.12490709999999899</v>
      </c>
      <c r="AH3032">
        <v>0.57314706445433095</v>
      </c>
      <c r="AI3032">
        <v>102.28430571964201</v>
      </c>
      <c r="AJ3032">
        <v>87.647416605765599</v>
      </c>
      <c r="AK3032">
        <v>0.58707222280461702</v>
      </c>
      <c r="AL3032">
        <v>94.014469505952107</v>
      </c>
      <c r="AM3032">
        <v>91.469436756734694</v>
      </c>
      <c r="AN3032">
        <v>1.0000000448372599</v>
      </c>
    </row>
    <row r="3033" spans="1:40" x14ac:dyDescent="0.25">
      <c r="A3033" t="str">
        <f>"20190303154157228"</f>
        <v>20190303154157228</v>
      </c>
      <c r="B3033" t="str">
        <f>"1551598917222277"</f>
        <v>1551598917222277</v>
      </c>
      <c r="C3033" t="s">
        <v>40</v>
      </c>
      <c r="D3033">
        <v>5.5323560000000001</v>
      </c>
      <c r="E3033">
        <v>0.52042409999999995</v>
      </c>
      <c r="F3033" t="s">
        <v>42</v>
      </c>
      <c r="G3033">
        <v>-458.89330000000001</v>
      </c>
      <c r="H3033">
        <v>0.99987409999999999</v>
      </c>
      <c r="I3033">
        <v>284.54669999999999</v>
      </c>
      <c r="J3033">
        <v>-458.33010000000002</v>
      </c>
      <c r="K3033">
        <v>1.1210629999999999</v>
      </c>
      <c r="L3033">
        <v>284.512</v>
      </c>
      <c r="M3033">
        <v>-0.9997566</v>
      </c>
      <c r="N3033">
        <v>-1.413113E-2</v>
      </c>
      <c r="O3033">
        <v>1.693766E-2</v>
      </c>
      <c r="P3033">
        <v>-0.99652830000000003</v>
      </c>
      <c r="Q3033">
        <v>-8.2962049999999996E-2</v>
      </c>
      <c r="R3033">
        <v>-6.976604E-3</v>
      </c>
      <c r="S3033">
        <v>-2.9762879999999998</v>
      </c>
      <c r="T3033">
        <v>-0.42293330000000001</v>
      </c>
      <c r="U3033">
        <v>0.13659669999999999</v>
      </c>
      <c r="V3033">
        <v>-2.3858899999999999E-2</v>
      </c>
      <c r="W3033">
        <v>-6.8874459999999998E-2</v>
      </c>
      <c r="X3033">
        <v>0.99734</v>
      </c>
      <c r="Y3033">
        <v>2.8739199999999999E-2</v>
      </c>
      <c r="Z3033" s="1">
        <v>7.9886519999999996E-5</v>
      </c>
      <c r="AA3033">
        <v>0.99958689999999994</v>
      </c>
      <c r="AB3033">
        <v>28</v>
      </c>
      <c r="AC3033">
        <v>-0.56319999999999404</v>
      </c>
      <c r="AD3033">
        <v>-0.121188899999999</v>
      </c>
      <c r="AE3033">
        <v>3.4699999999986603E-2</v>
      </c>
      <c r="AF3033">
        <v>2.40456258966034E-2</v>
      </c>
      <c r="AG3033">
        <v>-0.121188899999999</v>
      </c>
      <c r="AH3033">
        <v>0.53885140558979605</v>
      </c>
      <c r="AI3033">
        <v>102.662858749002</v>
      </c>
      <c r="AJ3033">
        <v>87.444936615382701</v>
      </c>
      <c r="AK3033">
        <v>0.552834314161186</v>
      </c>
      <c r="AL3033">
        <v>93.949342463809401</v>
      </c>
      <c r="AM3033">
        <v>91.370398849150106</v>
      </c>
      <c r="AN3033">
        <v>1.0000000069747501</v>
      </c>
    </row>
    <row r="3034" spans="1:40" x14ac:dyDescent="0.25">
      <c r="A3034" t="str">
        <f>"20190303154157249"</f>
        <v>20190303154157249</v>
      </c>
      <c r="B3034" t="str">
        <f>"1551598917242774"</f>
        <v>1551598917242774</v>
      </c>
      <c r="C3034" t="s">
        <v>40</v>
      </c>
      <c r="D3034">
        <v>5.5323200000000003</v>
      </c>
      <c r="E3034">
        <v>0.52060709999999999</v>
      </c>
      <c r="F3034" t="s">
        <v>42</v>
      </c>
      <c r="G3034">
        <v>-459.149</v>
      </c>
      <c r="H3034">
        <v>1.00441</v>
      </c>
      <c r="I3034">
        <v>284.55180000000001</v>
      </c>
      <c r="J3034">
        <v>-458.61340000000001</v>
      </c>
      <c r="K3034">
        <v>1.121062</v>
      </c>
      <c r="L3034">
        <v>284.51679999999999</v>
      </c>
      <c r="M3034">
        <v>-0.99975689999999995</v>
      </c>
      <c r="N3034">
        <v>-1.41282E-2</v>
      </c>
      <c r="O3034">
        <v>1.6937509999999999E-2</v>
      </c>
      <c r="P3034">
        <v>-0.99655059999999995</v>
      </c>
      <c r="Q3034">
        <v>-8.2784490000000002E-2</v>
      </c>
      <c r="R3034">
        <v>-5.8227950000000004E-3</v>
      </c>
      <c r="S3034">
        <v>-2.9761350000000002</v>
      </c>
      <c r="T3034">
        <v>-0.42413119999999999</v>
      </c>
      <c r="U3034">
        <v>0.1434021</v>
      </c>
      <c r="V3034">
        <v>-2.270544E-2</v>
      </c>
      <c r="W3034">
        <v>-6.8699289999999996E-2</v>
      </c>
      <c r="X3034">
        <v>0.99737900000000002</v>
      </c>
      <c r="Y3034">
        <v>3.0996449999999998E-2</v>
      </c>
      <c r="Z3034">
        <v>2.5479499999999999E-4</v>
      </c>
      <c r="AA3034">
        <v>0.99951950000000001</v>
      </c>
      <c r="AB3034">
        <v>28</v>
      </c>
      <c r="AC3034">
        <v>-0.53559999999998797</v>
      </c>
      <c r="AD3034">
        <v>-0.11665199999999901</v>
      </c>
      <c r="AE3034">
        <v>3.5000000000024997E-2</v>
      </c>
      <c r="AF3034">
        <v>2.4753158853662902E-2</v>
      </c>
      <c r="AG3034">
        <v>-0.11665199999999901</v>
      </c>
      <c r="AH3034">
        <v>0.51193538511909897</v>
      </c>
      <c r="AI3034">
        <v>102.822029512013</v>
      </c>
      <c r="AJ3034">
        <v>87.231783805672194</v>
      </c>
      <c r="AK3034">
        <v>0.52564079609013903</v>
      </c>
      <c r="AL3034">
        <v>93.939282162353805</v>
      </c>
      <c r="AM3034">
        <v>91.304119315573899</v>
      </c>
      <c r="AN3034">
        <v>0.99999999954654895</v>
      </c>
    </row>
    <row r="3035" spans="1:40" x14ac:dyDescent="0.25">
      <c r="A3035" t="str">
        <f>"20190303154157272"</f>
        <v>20190303154157272</v>
      </c>
      <c r="B3035" t="str">
        <f>"1551598917262294"</f>
        <v>1551598917262294</v>
      </c>
      <c r="C3035" t="s">
        <v>40</v>
      </c>
      <c r="D3035">
        <v>5.5195259999999999</v>
      </c>
      <c r="E3035">
        <v>0.52047399999999999</v>
      </c>
      <c r="F3035" t="s">
        <v>42</v>
      </c>
      <c r="G3035">
        <v>-459.40359999999998</v>
      </c>
      <c r="H3035">
        <v>1.0075339999999999</v>
      </c>
      <c r="I3035">
        <v>284.55650000000003</v>
      </c>
      <c r="J3035">
        <v>-458.89060000000001</v>
      </c>
      <c r="K3035">
        <v>1.121067</v>
      </c>
      <c r="L3035">
        <v>284.5215</v>
      </c>
      <c r="M3035">
        <v>-0.9997568</v>
      </c>
      <c r="N3035">
        <v>-1.412508E-2</v>
      </c>
      <c r="O3035">
        <v>1.6937170000000001E-2</v>
      </c>
      <c r="P3035">
        <v>-0.99642059999999999</v>
      </c>
      <c r="Q3035">
        <v>-8.4364069999999999E-2</v>
      </c>
      <c r="R3035">
        <v>-5.376998E-3</v>
      </c>
      <c r="S3035">
        <v>-2.9757389999999999</v>
      </c>
      <c r="T3035">
        <v>-0.42756889999999997</v>
      </c>
      <c r="U3035">
        <v>0.14865110000000001</v>
      </c>
      <c r="V3035">
        <v>-2.225734E-2</v>
      </c>
      <c r="W3035">
        <v>-7.0283570000000004E-2</v>
      </c>
      <c r="X3035">
        <v>0.99727869999999996</v>
      </c>
      <c r="Y3035">
        <v>3.2739530000000003E-2</v>
      </c>
      <c r="Z3035">
        <v>3.8999139999999999E-4</v>
      </c>
      <c r="AA3035">
        <v>0.99946389999999996</v>
      </c>
      <c r="AB3035">
        <v>28</v>
      </c>
      <c r="AC3035">
        <v>-0.51299999999997603</v>
      </c>
      <c r="AD3035">
        <v>-0.113533</v>
      </c>
      <c r="AE3035">
        <v>3.5000000000024997E-2</v>
      </c>
      <c r="AF3035">
        <v>2.50825199619144E-2</v>
      </c>
      <c r="AG3035">
        <v>-0.113533</v>
      </c>
      <c r="AH3035">
        <v>0.48964793183421701</v>
      </c>
      <c r="AI3035">
        <v>103.037788207647</v>
      </c>
      <c r="AJ3035">
        <v>87.067551231348105</v>
      </c>
      <c r="AK3035">
        <v>0.50326332277065999</v>
      </c>
      <c r="AL3035">
        <v>94.030274748576701</v>
      </c>
      <c r="AM3035">
        <v>91.278519210003296</v>
      </c>
      <c r="AN3035">
        <v>0.99999998743475504</v>
      </c>
    </row>
    <row r="3036" spans="1:40" x14ac:dyDescent="0.25">
      <c r="A3036" t="str">
        <f>"20190303154157293"</f>
        <v>20190303154157293</v>
      </c>
      <c r="B3036" t="str">
        <f>"1551598917282790"</f>
        <v>1551598917282790</v>
      </c>
      <c r="C3036" t="s">
        <v>40</v>
      </c>
      <c r="D3036">
        <v>5.4593499999999997</v>
      </c>
      <c r="E3036">
        <v>0.48600270000000001</v>
      </c>
      <c r="F3036" t="s">
        <v>42</v>
      </c>
      <c r="G3036">
        <v>-459.65730000000002</v>
      </c>
      <c r="H3036">
        <v>1.0095689999999999</v>
      </c>
      <c r="I3036">
        <v>284.56009999999998</v>
      </c>
      <c r="J3036">
        <v>-459.16640000000001</v>
      </c>
      <c r="K3036">
        <v>1.1210789999999999</v>
      </c>
      <c r="L3036">
        <v>284.52620000000002</v>
      </c>
      <c r="M3036">
        <v>-0.99975689999999995</v>
      </c>
      <c r="N3036">
        <v>-1.412207E-2</v>
      </c>
      <c r="O3036">
        <v>1.6936900000000001E-2</v>
      </c>
      <c r="P3036">
        <v>-0.99641100000000005</v>
      </c>
      <c r="Q3036">
        <v>-8.4444930000000001E-2</v>
      </c>
      <c r="R3036">
        <v>-5.8536519999999896E-3</v>
      </c>
      <c r="S3036">
        <v>-2.974945</v>
      </c>
      <c r="T3036">
        <v>-0.43274620000000003</v>
      </c>
      <c r="U3036">
        <v>0.14916989999999999</v>
      </c>
      <c r="V3036">
        <v>-2.2733219999999998E-2</v>
      </c>
      <c r="W3036">
        <v>-7.0367659999999999E-2</v>
      </c>
      <c r="X3036">
        <v>0.99726210000000004</v>
      </c>
      <c r="Y3036">
        <v>3.2920039999999998E-2</v>
      </c>
      <c r="Z3036">
        <v>4.0327640000000002E-4</v>
      </c>
      <c r="AA3036">
        <v>0.99945790000000001</v>
      </c>
      <c r="AB3036">
        <v>28</v>
      </c>
      <c r="AC3036">
        <v>-0.49090000000001</v>
      </c>
      <c r="AD3036">
        <v>-0.111509999999999</v>
      </c>
      <c r="AE3036">
        <v>3.3899999999959997E-2</v>
      </c>
      <c r="AF3036">
        <v>2.43305113178309E-2</v>
      </c>
      <c r="AG3036">
        <v>-0.111509999999999</v>
      </c>
      <c r="AH3036">
        <v>0.46740082518951698</v>
      </c>
      <c r="AI3036">
        <v>103.401002591617</v>
      </c>
      <c r="AJ3036">
        <v>87.020162494553702</v>
      </c>
      <c r="AK3036">
        <v>0.48113406163857098</v>
      </c>
      <c r="AL3036">
        <v>94.035104450430595</v>
      </c>
      <c r="AM3036">
        <v>91.305867351505199</v>
      </c>
      <c r="AN3036">
        <v>1.00000005148092</v>
      </c>
    </row>
    <row r="3037" spans="1:40" x14ac:dyDescent="0.25">
      <c r="A3037" t="str">
        <f>"20190303154157315"</f>
        <v>20190303154157315</v>
      </c>
      <c r="B3037" t="str">
        <f>"1551598917312576"</f>
        <v>1551598917312576</v>
      </c>
      <c r="C3037" t="s">
        <v>40</v>
      </c>
      <c r="D3037">
        <v>5.5001670000000003</v>
      </c>
      <c r="E3037">
        <v>0.47949069999999999</v>
      </c>
      <c r="F3037" t="s">
        <v>50</v>
      </c>
      <c r="G3037">
        <v>-468.8571</v>
      </c>
      <c r="H3037" s="1">
        <v>3.1987209999999999E-6</v>
      </c>
      <c r="I3037">
        <v>284.10910000000001</v>
      </c>
      <c r="J3037">
        <v>-459.44799999999998</v>
      </c>
      <c r="K3037">
        <v>1.121086</v>
      </c>
      <c r="L3037">
        <v>284.53089999999997</v>
      </c>
      <c r="M3037">
        <v>-0.99975689999999995</v>
      </c>
      <c r="N3037">
        <v>-1.411928E-2</v>
      </c>
      <c r="O3037">
        <v>1.6936909999999999E-2</v>
      </c>
      <c r="P3037">
        <v>-0.99643820000000005</v>
      </c>
      <c r="Q3037">
        <v>-8.4041660000000004E-2</v>
      </c>
      <c r="R3037">
        <v>-6.912634E-3</v>
      </c>
      <c r="S3037">
        <v>-2.9808349999999999</v>
      </c>
      <c r="T3037">
        <v>-0.3448386</v>
      </c>
      <c r="U3037">
        <v>-0.12829589999999999</v>
      </c>
      <c r="V3037">
        <v>-2.3792890000000001E-2</v>
      </c>
      <c r="W3037">
        <v>-6.996703E-2</v>
      </c>
      <c r="X3037">
        <v>0.99726550000000003</v>
      </c>
      <c r="Y3037">
        <v>-5.9386229999999998E-2</v>
      </c>
      <c r="Z3037">
        <v>-5.5568149999999997E-3</v>
      </c>
      <c r="AA3037">
        <v>0.99821959999999998</v>
      </c>
      <c r="AB3037">
        <v>28</v>
      </c>
      <c r="AC3037">
        <v>-9.4090999999999596</v>
      </c>
      <c r="AD3037">
        <v>-1.121082801279</v>
      </c>
      <c r="AE3037">
        <v>-0.42179999999996198</v>
      </c>
      <c r="AF3037">
        <v>-0.57299823033999298</v>
      </c>
      <c r="AG3037">
        <v>-1.121082801279</v>
      </c>
      <c r="AH3037">
        <v>9.2692786249844605</v>
      </c>
      <c r="AI3037">
        <v>96.883191101918996</v>
      </c>
      <c r="AJ3037">
        <v>93.537347255161094</v>
      </c>
      <c r="AK3037">
        <v>9.35439361192857</v>
      </c>
      <c r="AL3037">
        <v>94.012093604719297</v>
      </c>
      <c r="AM3037">
        <v>91.366710883333496</v>
      </c>
      <c r="AN3037">
        <v>0.99999998219591102</v>
      </c>
    </row>
    <row r="3038" spans="1:40" x14ac:dyDescent="0.25">
      <c r="A3038" t="str">
        <f>"20190303154157338"</f>
        <v>20190303154157338</v>
      </c>
      <c r="B3038" t="str">
        <f>"1551598917332096"</f>
        <v>1551598917332096</v>
      </c>
      <c r="C3038" t="s">
        <v>40</v>
      </c>
      <c r="D3038">
        <v>5.5190890000000001</v>
      </c>
      <c r="E3038">
        <v>0.47730669999999997</v>
      </c>
      <c r="F3038" t="s">
        <v>46</v>
      </c>
      <c r="G3038">
        <v>-470.3596</v>
      </c>
      <c r="H3038" s="1">
        <v>6.3883910000000001E-6</v>
      </c>
      <c r="I3038">
        <v>283.85879999999997</v>
      </c>
      <c r="J3038">
        <v>-459.73750000000001</v>
      </c>
      <c r="K3038">
        <v>1.121089</v>
      </c>
      <c r="L3038">
        <v>284.53579999999999</v>
      </c>
      <c r="M3038">
        <v>-0.99975709999999995</v>
      </c>
      <c r="N3038">
        <v>-1.411653E-2</v>
      </c>
      <c r="O3038">
        <v>1.693658E-2</v>
      </c>
      <c r="P3038">
        <v>-0.99647189999999997</v>
      </c>
      <c r="Q3038">
        <v>-8.3521689999999996E-2</v>
      </c>
      <c r="R3038">
        <v>-8.2742259999999904E-3</v>
      </c>
      <c r="S3038">
        <v>-2.9835509999999998</v>
      </c>
      <c r="T3038">
        <v>-0.30653419999999998</v>
      </c>
      <c r="U3038">
        <v>-0.18377689999999999</v>
      </c>
      <c r="V3038">
        <v>-2.5153809999999999E-2</v>
      </c>
      <c r="W3038">
        <v>-6.9449640000000007E-2</v>
      </c>
      <c r="X3038">
        <v>0.9972683</v>
      </c>
      <c r="Y3038">
        <v>-7.7846529999999997E-2</v>
      </c>
      <c r="Z3038">
        <v>-6.032173E-3</v>
      </c>
      <c r="AA3038">
        <v>0.99694709999999997</v>
      </c>
      <c r="AB3038">
        <v>28</v>
      </c>
      <c r="AC3038">
        <v>-10.6220999999999</v>
      </c>
      <c r="AD3038">
        <v>-1.121082611609</v>
      </c>
      <c r="AE3038">
        <v>-0.67700000000002003</v>
      </c>
      <c r="AF3038">
        <v>-0.847421399063642</v>
      </c>
      <c r="AG3038">
        <v>-1.121082611609</v>
      </c>
      <c r="AH3038">
        <v>10.492701362604</v>
      </c>
      <c r="AI3038">
        <v>96.078932184981298</v>
      </c>
      <c r="AJ3038">
        <v>94.617353811391695</v>
      </c>
      <c r="AK3038">
        <v>10.586393679362001</v>
      </c>
      <c r="AL3038">
        <v>93.982376923925997</v>
      </c>
      <c r="AM3038">
        <v>91.444848536167797</v>
      </c>
      <c r="AN3038">
        <v>1.00000001441926</v>
      </c>
    </row>
    <row r="3039" spans="1:40" x14ac:dyDescent="0.25">
      <c r="A3039" t="str">
        <f>"20190303154157361"</f>
        <v>20190303154157361</v>
      </c>
      <c r="B3039" t="str">
        <f>"1551598917352592"</f>
        <v>1551598917352592</v>
      </c>
      <c r="C3039" t="s">
        <v>40</v>
      </c>
      <c r="D3039">
        <v>5.5118359999999997</v>
      </c>
      <c r="E3039">
        <v>0.47602149999999999</v>
      </c>
      <c r="F3039" t="s">
        <v>46</v>
      </c>
      <c r="G3039">
        <v>-470.75959999999998</v>
      </c>
      <c r="H3039" s="1">
        <v>6.2039640000000001E-6</v>
      </c>
      <c r="I3039">
        <v>283.77780000000001</v>
      </c>
      <c r="J3039">
        <v>-460.02069999999998</v>
      </c>
      <c r="K3039">
        <v>1.121081</v>
      </c>
      <c r="L3039">
        <v>284.54059999999998</v>
      </c>
      <c r="M3039">
        <v>-0.99975709999999995</v>
      </c>
      <c r="N3039">
        <v>-1.411457E-2</v>
      </c>
      <c r="O3039">
        <v>1.693677E-2</v>
      </c>
      <c r="P3039">
        <v>-0.99647330000000001</v>
      </c>
      <c r="Q3039">
        <v>-8.3347039999999997E-2</v>
      </c>
      <c r="R3039">
        <v>-9.7122890000000007E-3</v>
      </c>
      <c r="S3039">
        <v>-2.9834900000000002</v>
      </c>
      <c r="T3039">
        <v>-0.30345680000000003</v>
      </c>
      <c r="U3039">
        <v>-0.20516970000000001</v>
      </c>
      <c r="V3039">
        <v>-2.6592109999999999E-2</v>
      </c>
      <c r="W3039">
        <v>-6.9277259999999993E-2</v>
      </c>
      <c r="X3039">
        <v>0.99724299999999999</v>
      </c>
      <c r="Y3039">
        <v>-8.4933149999999999E-2</v>
      </c>
      <c r="Z3039">
        <v>-6.3832730000000001E-3</v>
      </c>
      <c r="AA3039">
        <v>0.99636619999999998</v>
      </c>
      <c r="AB3039">
        <v>28</v>
      </c>
      <c r="AC3039">
        <v>-10.738899999999999</v>
      </c>
      <c r="AD3039">
        <v>-1.1210747960359999</v>
      </c>
      <c r="AE3039">
        <v>-0.76279999999996995</v>
      </c>
      <c r="AF3039">
        <v>-0.93445826601734805</v>
      </c>
      <c r="AG3039">
        <v>-1.1210747960359999</v>
      </c>
      <c r="AH3039">
        <v>10.609397169666099</v>
      </c>
      <c r="AI3039">
        <v>96.008860408033897</v>
      </c>
      <c r="AJ3039">
        <v>95.033528547778403</v>
      </c>
      <c r="AK3039">
        <v>10.7093104004392</v>
      </c>
      <c r="AL3039">
        <v>93.972476329793395</v>
      </c>
      <c r="AM3039">
        <v>91.527465923701499</v>
      </c>
      <c r="AN3039">
        <v>1.0000000400581699</v>
      </c>
    </row>
    <row r="3040" spans="1:40" x14ac:dyDescent="0.25">
      <c r="A3040" t="str">
        <f>"20190303154157382"</f>
        <v>20190303154157382</v>
      </c>
      <c r="B3040" t="str">
        <f>"1551598917373088"</f>
        <v>1551598917373088</v>
      </c>
      <c r="C3040" t="s">
        <v>40</v>
      </c>
      <c r="D3040">
        <v>5.4912929999999998</v>
      </c>
      <c r="E3040">
        <v>0.47537590000000002</v>
      </c>
      <c r="F3040" t="s">
        <v>46</v>
      </c>
      <c r="G3040">
        <v>-471.23259999999999</v>
      </c>
      <c r="H3040" s="1">
        <v>5.9887120000000003E-6</v>
      </c>
      <c r="I3040">
        <v>283.71499999999997</v>
      </c>
      <c r="J3040">
        <v>-460.29840000000002</v>
      </c>
      <c r="K3040">
        <v>1.1210709999999999</v>
      </c>
      <c r="L3040">
        <v>284.5453</v>
      </c>
      <c r="M3040">
        <v>-0.99975709999999995</v>
      </c>
      <c r="N3040">
        <v>-1.411607E-2</v>
      </c>
      <c r="O3040">
        <v>1.6936759999999999E-2</v>
      </c>
      <c r="P3040">
        <v>-0.99645439999999996</v>
      </c>
      <c r="Q3040">
        <v>-8.3529530000000005E-2</v>
      </c>
      <c r="R3040">
        <v>-1.007241E-2</v>
      </c>
      <c r="S3040">
        <v>-2.9835509999999998</v>
      </c>
      <c r="T3040">
        <v>-0.29832449999999999</v>
      </c>
      <c r="U3040">
        <v>-0.219696</v>
      </c>
      <c r="V3040">
        <v>-2.6951739999999998E-2</v>
      </c>
      <c r="W3040">
        <v>-6.9458560000000003E-2</v>
      </c>
      <c r="X3040">
        <v>0.99722069999999996</v>
      </c>
      <c r="Y3040">
        <v>-8.9748430000000004E-2</v>
      </c>
      <c r="Z3040">
        <v>-6.5549140000000002E-3</v>
      </c>
      <c r="AA3040">
        <v>0.99594289999999996</v>
      </c>
      <c r="AB3040">
        <v>28</v>
      </c>
      <c r="AC3040">
        <v>-10.934199999999899</v>
      </c>
      <c r="AD3040">
        <v>-1.1210650112879901</v>
      </c>
      <c r="AE3040">
        <v>-0.83030000000002202</v>
      </c>
      <c r="AF3040">
        <v>-1.00488636334944</v>
      </c>
      <c r="AG3040">
        <v>-1.1210650112879901</v>
      </c>
      <c r="AH3040">
        <v>10.805629205488</v>
      </c>
      <c r="AI3040">
        <v>95.897877251277507</v>
      </c>
      <c r="AJ3040">
        <v>95.313029328747803</v>
      </c>
      <c r="AK3040">
        <v>10.9100048528529</v>
      </c>
      <c r="AL3040">
        <v>93.982889272317294</v>
      </c>
      <c r="AM3040">
        <v>91.548147892126707</v>
      </c>
      <c r="AN3040">
        <v>1.0000000061773899</v>
      </c>
    </row>
    <row r="3041" spans="1:40" x14ac:dyDescent="0.25">
      <c r="A3041" t="str">
        <f>"20190303154157406"</f>
        <v>20190303154157406</v>
      </c>
      <c r="B3041" t="str">
        <f>"1551598917402368"</f>
        <v>1551598917402368</v>
      </c>
      <c r="C3041" t="s">
        <v>40</v>
      </c>
      <c r="D3041">
        <v>5.5346970000000004</v>
      </c>
      <c r="E3041">
        <v>0.47417429999999999</v>
      </c>
      <c r="F3041" t="s">
        <v>46</v>
      </c>
      <c r="G3041">
        <v>-471.49299999999999</v>
      </c>
      <c r="H3041" s="1">
        <v>5.8717470000000003E-6</v>
      </c>
      <c r="I3041">
        <v>283.69779999999997</v>
      </c>
      <c r="J3041">
        <v>-460.57889999999998</v>
      </c>
      <c r="K3041">
        <v>1.121078</v>
      </c>
      <c r="L3041">
        <v>284.55</v>
      </c>
      <c r="M3041">
        <v>-0.99975639999999999</v>
      </c>
      <c r="N3041">
        <v>-1.415479E-2</v>
      </c>
      <c r="O3041">
        <v>1.6936779999999999E-2</v>
      </c>
      <c r="P3041">
        <v>-0.99646760000000001</v>
      </c>
      <c r="Q3041">
        <v>-8.3338339999999997E-2</v>
      </c>
      <c r="R3041">
        <v>-1.0346350000000001E-2</v>
      </c>
      <c r="S3041">
        <v>-2.9833069999999999</v>
      </c>
      <c r="T3041">
        <v>-0.29875970000000002</v>
      </c>
      <c r="U3041">
        <v>-0.22586059999999999</v>
      </c>
      <c r="V3041">
        <v>-2.7226070000000002E-2</v>
      </c>
      <c r="W3041">
        <v>-6.9228639999999994E-2</v>
      </c>
      <c r="X3041">
        <v>0.99722920000000004</v>
      </c>
      <c r="Y3041">
        <v>-9.1787489999999999E-2</v>
      </c>
      <c r="Z3041">
        <v>-6.681251E-3</v>
      </c>
      <c r="AA3041">
        <v>0.99575619999999998</v>
      </c>
      <c r="AB3041">
        <v>28</v>
      </c>
      <c r="AC3041">
        <v>-10.914099999999999</v>
      </c>
      <c r="AD3041">
        <v>-1.1210721282529901</v>
      </c>
      <c r="AE3041">
        <v>-0.85220000000003804</v>
      </c>
      <c r="AF3041">
        <v>-1.02618436281084</v>
      </c>
      <c r="AG3041">
        <v>-1.1210721282529901</v>
      </c>
      <c r="AH3041">
        <v>10.784996914037199</v>
      </c>
      <c r="AI3041">
        <v>95.907940055098194</v>
      </c>
      <c r="AJ3041">
        <v>95.435287263126796</v>
      </c>
      <c r="AK3041">
        <v>10.891557074129199</v>
      </c>
      <c r="AL3041">
        <v>93.969684181794193</v>
      </c>
      <c r="AM3041">
        <v>91.563884704326099</v>
      </c>
      <c r="AN3041">
        <v>0.99999997040826605</v>
      </c>
    </row>
    <row r="3042" spans="1:40" x14ac:dyDescent="0.25">
      <c r="A3042" t="str">
        <f>"20190303154157427"</f>
        <v>20190303154157427</v>
      </c>
      <c r="B3042" t="str">
        <f>"1551598917422867"</f>
        <v>1551598917422867</v>
      </c>
      <c r="C3042" t="s">
        <v>40</v>
      </c>
      <c r="D3042">
        <v>5.483085</v>
      </c>
      <c r="E3042">
        <v>0.47391359999999899</v>
      </c>
      <c r="F3042" t="s">
        <v>46</v>
      </c>
      <c r="G3042">
        <v>-471.66109999999998</v>
      </c>
      <c r="H3042" s="1">
        <v>5.7949640000000003E-6</v>
      </c>
      <c r="I3042">
        <v>283.67250000000001</v>
      </c>
      <c r="J3042">
        <v>-460.84989999999999</v>
      </c>
      <c r="K3042">
        <v>1.1211249999999999</v>
      </c>
      <c r="L3042">
        <v>284.55459999999999</v>
      </c>
      <c r="M3042">
        <v>-0.99975409999999998</v>
      </c>
      <c r="N3042">
        <v>-1.431173E-2</v>
      </c>
      <c r="O3042">
        <v>1.6936659999999999E-2</v>
      </c>
      <c r="P3042">
        <v>-0.99651210000000001</v>
      </c>
      <c r="Q3042">
        <v>-8.2796839999999997E-2</v>
      </c>
      <c r="R3042">
        <v>-1.040577E-2</v>
      </c>
      <c r="S3042">
        <v>-2.98291</v>
      </c>
      <c r="T3042">
        <v>-0.30175069999999998</v>
      </c>
      <c r="U3042">
        <v>-0.2362061</v>
      </c>
      <c r="V3042">
        <v>-2.7286350000000001E-2</v>
      </c>
      <c r="W3042">
        <v>-6.8530069999999998E-2</v>
      </c>
      <c r="X3042">
        <v>0.99727580000000005</v>
      </c>
      <c r="Y3042">
        <v>-9.5198210000000005E-2</v>
      </c>
      <c r="Z3042">
        <v>-6.9447619999999897E-3</v>
      </c>
      <c r="AA3042">
        <v>0.99543409999999999</v>
      </c>
      <c r="AB3042">
        <v>28</v>
      </c>
      <c r="AC3042">
        <v>-10.8111999999999</v>
      </c>
      <c r="AD3042">
        <v>-1.1211192050359999</v>
      </c>
      <c r="AE3042">
        <v>-0.88209999999997901</v>
      </c>
      <c r="AF3042">
        <v>-1.05384014815521</v>
      </c>
      <c r="AG3042">
        <v>-1.1211192050359999</v>
      </c>
      <c r="AH3042">
        <v>10.6806116381577</v>
      </c>
      <c r="AI3042">
        <v>95.963513978213001</v>
      </c>
      <c r="AJ3042">
        <v>95.635050393759201</v>
      </c>
      <c r="AK3042">
        <v>10.790873564958201</v>
      </c>
      <c r="AL3042">
        <v>93.929563789191306</v>
      </c>
      <c r="AM3042">
        <v>91.567272303638305</v>
      </c>
      <c r="AN3042">
        <v>0.99999996832808302</v>
      </c>
    </row>
    <row r="3043" spans="1:40" x14ac:dyDescent="0.25">
      <c r="A3043" t="str">
        <f>"20190303154157449"</f>
        <v>20190303154157449</v>
      </c>
      <c r="B3043" t="str">
        <f>"1551598917442384"</f>
        <v>1551598917442384</v>
      </c>
      <c r="C3043" t="s">
        <v>40</v>
      </c>
      <c r="D3043">
        <v>5.5101800000000001</v>
      </c>
      <c r="E3043">
        <v>0.47390660000000001</v>
      </c>
      <c r="F3043" t="s">
        <v>46</v>
      </c>
      <c r="G3043">
        <v>-471.94459999999998</v>
      </c>
      <c r="H3043" s="1">
        <v>5.6688469999999899E-6</v>
      </c>
      <c r="I3043">
        <v>283.66800000000001</v>
      </c>
      <c r="J3043">
        <v>-461.12700000000001</v>
      </c>
      <c r="K3043">
        <v>1.1212169999999999</v>
      </c>
      <c r="L3043">
        <v>284.55930000000001</v>
      </c>
      <c r="M3043">
        <v>-0.99974929999999995</v>
      </c>
      <c r="N3043">
        <v>-1.465499E-2</v>
      </c>
      <c r="O3043">
        <v>1.693617E-2</v>
      </c>
      <c r="P3043">
        <v>-0.99652339999999995</v>
      </c>
      <c r="Q3043">
        <v>-8.2689380000000007E-2</v>
      </c>
      <c r="R3043">
        <v>-1.0178130000000001E-2</v>
      </c>
      <c r="S3043">
        <v>-2.9829409999999998</v>
      </c>
      <c r="T3043">
        <v>-0.30142580000000002</v>
      </c>
      <c r="U3043">
        <v>-0.2383728</v>
      </c>
      <c r="V3043">
        <v>-2.7058459999999999E-2</v>
      </c>
      <c r="W3043">
        <v>-6.808003E-2</v>
      </c>
      <c r="X3043">
        <v>0.9973128</v>
      </c>
      <c r="Y3043">
        <v>-9.5911529999999995E-2</v>
      </c>
      <c r="Z3043">
        <v>-6.9892940000000001E-3</v>
      </c>
      <c r="AA3043">
        <v>0.99536530000000001</v>
      </c>
      <c r="AB3043">
        <v>28</v>
      </c>
      <c r="AC3043">
        <v>-10.817600000000001</v>
      </c>
      <c r="AD3043">
        <v>-1.1212113311530001</v>
      </c>
      <c r="AE3043">
        <v>-0.89130000000000098</v>
      </c>
      <c r="AF3043">
        <v>-1.0630574076600701</v>
      </c>
      <c r="AG3043">
        <v>-1.1212113311530001</v>
      </c>
      <c r="AH3043">
        <v>10.6869191507518</v>
      </c>
      <c r="AI3043">
        <v>95.960038936151193</v>
      </c>
      <c r="AJ3043">
        <v>95.680682386223793</v>
      </c>
      <c r="AK3043">
        <v>10.7980297663876</v>
      </c>
      <c r="AL3043">
        <v>93.903718159139402</v>
      </c>
      <c r="AM3043">
        <v>91.554131582032198</v>
      </c>
      <c r="AN3043">
        <v>0.99999993589310399</v>
      </c>
    </row>
    <row r="3044" spans="1:40" x14ac:dyDescent="0.25">
      <c r="A3044" t="str">
        <f>"20190303154157471"</f>
        <v>20190303154157471</v>
      </c>
      <c r="B3044" t="str">
        <f>"1551598917462881"</f>
        <v>1551598917462881</v>
      </c>
      <c r="C3044" t="s">
        <v>40</v>
      </c>
      <c r="D3044">
        <v>5.4894410000000002</v>
      </c>
      <c r="E3044">
        <v>0.47378540000000002</v>
      </c>
      <c r="F3044" t="s">
        <v>46</v>
      </c>
      <c r="G3044">
        <v>-472.22410000000002</v>
      </c>
      <c r="H3044" s="1">
        <v>5.5454670000000002E-6</v>
      </c>
      <c r="I3044">
        <v>283.67430000000002</v>
      </c>
      <c r="J3044">
        <v>-461.40359999999998</v>
      </c>
      <c r="K3044">
        <v>1.1213360000000001</v>
      </c>
      <c r="L3044">
        <v>284.56400000000002</v>
      </c>
      <c r="M3044">
        <v>-0.9997414</v>
      </c>
      <c r="N3044">
        <v>-1.517306E-2</v>
      </c>
      <c r="O3044">
        <v>1.6936059999999999E-2</v>
      </c>
      <c r="P3044">
        <v>-0.99649489999999996</v>
      </c>
      <c r="Q3044">
        <v>-8.3097889999999994E-2</v>
      </c>
      <c r="R3044">
        <v>-9.6212729999999996E-3</v>
      </c>
      <c r="S3044">
        <v>-2.9830019999999999</v>
      </c>
      <c r="T3044">
        <v>-0.30139320000000003</v>
      </c>
      <c r="U3044">
        <v>-0.2378845</v>
      </c>
      <c r="V3044">
        <v>-2.6500820000000001E-2</v>
      </c>
      <c r="W3044">
        <v>-6.7972039999999997E-2</v>
      </c>
      <c r="X3044">
        <v>0.99733519999999998</v>
      </c>
      <c r="Y3044">
        <v>-9.5747380000000007E-2</v>
      </c>
      <c r="Z3044">
        <v>-6.9952010000000004E-3</v>
      </c>
      <c r="AA3044">
        <v>0.99538110000000002</v>
      </c>
      <c r="AB3044">
        <v>28</v>
      </c>
      <c r="AC3044">
        <v>-10.820499999999999</v>
      </c>
      <c r="AD3044">
        <v>-1.1213304545330001</v>
      </c>
      <c r="AE3044">
        <v>-0.88970000000000404</v>
      </c>
      <c r="AF3044">
        <v>-1.0615266980873299</v>
      </c>
      <c r="AG3044">
        <v>-1.1213304545330001</v>
      </c>
      <c r="AH3044">
        <v>10.6898482929296</v>
      </c>
      <c r="AI3044">
        <v>95.959145309328093</v>
      </c>
      <c r="AJ3044">
        <v>95.671011872674399</v>
      </c>
      <c r="AK3044">
        <v>10.8007905935105</v>
      </c>
      <c r="AL3044">
        <v>93.8975161851981</v>
      </c>
      <c r="AM3044">
        <v>91.522083987694998</v>
      </c>
      <c r="AN3044">
        <v>0.999999996420737</v>
      </c>
    </row>
    <row r="3045" spans="1:40" x14ac:dyDescent="0.25">
      <c r="A3045" t="str">
        <f>"20190303154157494"</f>
        <v>20190303154157494</v>
      </c>
      <c r="B3045" t="str">
        <f>"1551598917482400"</f>
        <v>1551598917482400</v>
      </c>
      <c r="C3045" t="s">
        <v>40</v>
      </c>
      <c r="D3045">
        <v>5.5067320000000004</v>
      </c>
      <c r="E3045">
        <v>0.4736843</v>
      </c>
      <c r="F3045" t="s">
        <v>46</v>
      </c>
      <c r="G3045">
        <v>-472.44060000000002</v>
      </c>
      <c r="H3045" s="1">
        <v>5.4505240000000004E-6</v>
      </c>
      <c r="I3045">
        <v>283.6866</v>
      </c>
      <c r="J3045">
        <v>-461.67630000000003</v>
      </c>
      <c r="K3045">
        <v>1.1214599999999999</v>
      </c>
      <c r="L3045">
        <v>284.5686</v>
      </c>
      <c r="M3045">
        <v>-0.99973230000000002</v>
      </c>
      <c r="N3045">
        <v>-1.5776729999999999E-2</v>
      </c>
      <c r="O3045">
        <v>1.6936030000000001E-2</v>
      </c>
      <c r="P3045">
        <v>-0.99643959999999998</v>
      </c>
      <c r="Q3045">
        <v>-8.3763270000000001E-2</v>
      </c>
      <c r="R3045">
        <v>-9.5918199999999992E-3</v>
      </c>
      <c r="S3045">
        <v>-2.982971</v>
      </c>
      <c r="T3045">
        <v>-0.30306230000000001</v>
      </c>
      <c r="U3045">
        <v>-0.23712159999999999</v>
      </c>
      <c r="V3045">
        <v>-2.647122E-2</v>
      </c>
      <c r="W3045">
        <v>-6.8036079999999999E-2</v>
      </c>
      <c r="X3045">
        <v>0.99733159999999998</v>
      </c>
      <c r="Y3045">
        <v>-9.5488180000000006E-2</v>
      </c>
      <c r="Z3045">
        <v>-7.0349719999999996E-3</v>
      </c>
      <c r="AA3045">
        <v>0.99540569999999895</v>
      </c>
      <c r="AB3045">
        <v>28</v>
      </c>
      <c r="AC3045">
        <v>-10.764299999999899</v>
      </c>
      <c r="AD3045">
        <v>-1.121454549476</v>
      </c>
      <c r="AE3045">
        <v>-0.882000000000005</v>
      </c>
      <c r="AF3045">
        <v>-1.0528491658514501</v>
      </c>
      <c r="AG3045">
        <v>-1.121454549476</v>
      </c>
      <c r="AH3045">
        <v>10.6331730221074</v>
      </c>
      <c r="AI3045">
        <v>95.991503084307297</v>
      </c>
      <c r="AJ3045">
        <v>95.654739695022897</v>
      </c>
      <c r="AK3045">
        <v>10.7438596505467</v>
      </c>
      <c r="AL3045">
        <v>93.901193996551797</v>
      </c>
      <c r="AM3045">
        <v>91.520390185063306</v>
      </c>
      <c r="AN3045">
        <v>0.99999997701430698</v>
      </c>
    </row>
    <row r="3046" spans="1:40" x14ac:dyDescent="0.25">
      <c r="A3046" t="str">
        <f>"20190303154157509"</f>
        <v>20190303154157509</v>
      </c>
      <c r="B3046" t="str">
        <f>"1551598917502896"</f>
        <v>1551598917502896</v>
      </c>
      <c r="C3046" t="s">
        <v>40</v>
      </c>
      <c r="D3046">
        <v>5.4680390000000001</v>
      </c>
      <c r="E3046">
        <v>0.47355849999999999</v>
      </c>
      <c r="F3046" t="s">
        <v>46</v>
      </c>
      <c r="G3046">
        <v>-472.65370000000001</v>
      </c>
      <c r="H3046" s="1">
        <v>5.3566380000000003E-6</v>
      </c>
      <c r="I3046">
        <v>283.6934</v>
      </c>
      <c r="J3046">
        <v>-461.86959999999999</v>
      </c>
      <c r="K3046">
        <v>1.121542</v>
      </c>
      <c r="L3046">
        <v>284.57190000000003</v>
      </c>
      <c r="M3046">
        <v>-0.99972519999999998</v>
      </c>
      <c r="N3046">
        <v>-1.621883E-2</v>
      </c>
      <c r="O3046">
        <v>1.6936260000000002E-2</v>
      </c>
      <c r="P3046">
        <v>-0.99640459999999997</v>
      </c>
      <c r="Q3046">
        <v>-8.4188100000000002E-2</v>
      </c>
      <c r="R3046">
        <v>-9.5165579999999996E-3</v>
      </c>
      <c r="S3046">
        <v>-2.9828190000000001</v>
      </c>
      <c r="T3046">
        <v>-0.30472779999999999</v>
      </c>
      <c r="U3046">
        <v>-0.23782349999999999</v>
      </c>
      <c r="V3046">
        <v>-2.639563E-2</v>
      </c>
      <c r="W3046">
        <v>-6.8020399999999995E-2</v>
      </c>
      <c r="X3046">
        <v>0.99733470000000002</v>
      </c>
      <c r="Y3046">
        <v>-9.5715750000000002E-2</v>
      </c>
      <c r="Z3046">
        <v>-7.0982679999999996E-3</v>
      </c>
      <c r="AA3046">
        <v>0.99538340000000003</v>
      </c>
      <c r="AB3046">
        <v>28</v>
      </c>
      <c r="AC3046">
        <v>-10.7841</v>
      </c>
      <c r="AD3046">
        <v>-1.121536643362</v>
      </c>
      <c r="AE3046">
        <v>-0.87850000000003003</v>
      </c>
      <c r="AF3046">
        <v>-1.0497611114090799</v>
      </c>
      <c r="AG3046">
        <v>-1.121536643362</v>
      </c>
      <c r="AH3046">
        <v>10.6532088783903</v>
      </c>
      <c r="AI3046">
        <v>95.981027530345003</v>
      </c>
      <c r="AJ3046">
        <v>95.627725172425599</v>
      </c>
      <c r="AK3046">
        <v>10.763396408199601</v>
      </c>
      <c r="AL3046">
        <v>93.900293407378399</v>
      </c>
      <c r="AM3046">
        <v>91.516045947632705</v>
      </c>
      <c r="AN3046">
        <v>1.0000000039616701</v>
      </c>
    </row>
    <row r="3047" spans="1:40" x14ac:dyDescent="0.25">
      <c r="A3047" t="str">
        <f>"20190303154157525"</f>
        <v>20190303154157525</v>
      </c>
      <c r="B3047" t="str">
        <f>"1551598917522418"</f>
        <v>1551598917522418</v>
      </c>
      <c r="C3047" t="s">
        <v>40</v>
      </c>
      <c r="D3047">
        <v>5.5045510000000002</v>
      </c>
      <c r="E3047">
        <v>0.47337119999999999</v>
      </c>
      <c r="F3047" t="s">
        <v>46</v>
      </c>
      <c r="G3047">
        <v>-472.80500000000001</v>
      </c>
      <c r="H3047" s="1">
        <v>5.2897959999999996E-6</v>
      </c>
      <c r="I3047">
        <v>283.69650000000001</v>
      </c>
      <c r="J3047">
        <v>-462.05079999999998</v>
      </c>
      <c r="K3047">
        <v>1.1216079999999999</v>
      </c>
      <c r="L3047">
        <v>284.57499999999999</v>
      </c>
      <c r="M3047">
        <v>-0.9997182</v>
      </c>
      <c r="N3047">
        <v>-1.6634759999999998E-2</v>
      </c>
      <c r="O3047">
        <v>1.6936489999999998E-2</v>
      </c>
      <c r="P3047">
        <v>-0.99634849999999997</v>
      </c>
      <c r="Q3047">
        <v>-8.4806960000000001E-2</v>
      </c>
      <c r="R3047">
        <v>-9.8933730000000004E-3</v>
      </c>
      <c r="S3047">
        <v>-2.982666</v>
      </c>
      <c r="T3047">
        <v>-0.3059019</v>
      </c>
      <c r="U3047">
        <v>-0.2387695</v>
      </c>
      <c r="V3047">
        <v>-2.6771429999999999E-2</v>
      </c>
      <c r="W3047">
        <v>-6.8225330000000001E-2</v>
      </c>
      <c r="X3047">
        <v>0.99731069999999999</v>
      </c>
      <c r="Y3047">
        <v>-9.602579E-2</v>
      </c>
      <c r="Z3047">
        <v>-7.1552569999999999E-3</v>
      </c>
      <c r="AA3047">
        <v>0.99535309999999999</v>
      </c>
      <c r="AB3047">
        <v>27</v>
      </c>
      <c r="AC3047">
        <v>-10.754200000000001</v>
      </c>
      <c r="AD3047">
        <v>-1.121602710204</v>
      </c>
      <c r="AE3047">
        <v>-0.87849999999997397</v>
      </c>
      <c r="AF3047">
        <v>-1.04920072260799</v>
      </c>
      <c r="AG3047">
        <v>-1.121602710204</v>
      </c>
      <c r="AH3047">
        <v>10.622992583803599</v>
      </c>
      <c r="AI3047">
        <v>95.998134638477396</v>
      </c>
      <c r="AJ3047">
        <v>95.640636337078305</v>
      </c>
      <c r="AK3047">
        <v>10.733442422233599</v>
      </c>
      <c r="AL3047">
        <v>93.912062313616303</v>
      </c>
      <c r="AM3047">
        <v>91.537656900318098</v>
      </c>
      <c r="AN3047">
        <v>1.0000000187261699</v>
      </c>
    </row>
    <row r="3048" spans="1:40" x14ac:dyDescent="0.25">
      <c r="A3048" t="str">
        <f>"20190303154157540"</f>
        <v>20190303154157540</v>
      </c>
      <c r="B3048" t="str">
        <f>"1551598917533151"</f>
        <v>1551598917533151</v>
      </c>
      <c r="C3048" t="s">
        <v>40</v>
      </c>
      <c r="D3048">
        <v>5.5000439999999999</v>
      </c>
      <c r="E3048">
        <v>0.47326439999999997</v>
      </c>
      <c r="F3048" t="s">
        <v>46</v>
      </c>
      <c r="G3048">
        <v>-472.89490000000001</v>
      </c>
      <c r="H3048" s="1">
        <v>5.2499819999999996E-6</v>
      </c>
      <c r="I3048">
        <v>283.697</v>
      </c>
      <c r="J3048">
        <v>-462.2373</v>
      </c>
      <c r="K3048">
        <v>1.1216699999999999</v>
      </c>
      <c r="L3048">
        <v>284.57810000000001</v>
      </c>
      <c r="M3048">
        <v>-0.99971089999999996</v>
      </c>
      <c r="N3048">
        <v>-1.706614E-2</v>
      </c>
      <c r="O3048">
        <v>1.6936679999999999E-2</v>
      </c>
      <c r="P3048">
        <v>-0.99630589999999997</v>
      </c>
      <c r="Q3048">
        <v>-8.5328799999999996E-2</v>
      </c>
      <c r="R3048">
        <v>-9.6821730000000005E-3</v>
      </c>
      <c r="S3048">
        <v>-2.9823300000000001</v>
      </c>
      <c r="T3048">
        <v>-0.30846269999999998</v>
      </c>
      <c r="U3048">
        <v>-0.24145510000000001</v>
      </c>
      <c r="V3048">
        <v>-2.6560110000000001E-2</v>
      </c>
      <c r="W3048">
        <v>-6.831748E-2</v>
      </c>
      <c r="X3048">
        <v>0.99731000000000003</v>
      </c>
      <c r="Y3048">
        <v>-9.6908090000000002E-2</v>
      </c>
      <c r="Z3048">
        <v>-7.2776519999999999E-3</v>
      </c>
      <c r="AA3048">
        <v>0.99526669999999995</v>
      </c>
      <c r="AB3048">
        <v>27</v>
      </c>
      <c r="AC3048">
        <v>-10.6576</v>
      </c>
      <c r="AD3048">
        <v>-1.1216647500179999</v>
      </c>
      <c r="AE3048">
        <v>-0.88110000000000299</v>
      </c>
      <c r="AF3048">
        <v>-1.0499532507824101</v>
      </c>
      <c r="AG3048">
        <v>-1.1216647500179999</v>
      </c>
      <c r="AH3048">
        <v>10.5253518910441</v>
      </c>
      <c r="AI3048">
        <v>96.053115368863004</v>
      </c>
      <c r="AJ3048">
        <v>95.696676925460906</v>
      </c>
      <c r="AK3048">
        <v>10.636896449179501</v>
      </c>
      <c r="AL3048">
        <v>93.917354631793003</v>
      </c>
      <c r="AM3048">
        <v>91.525526250325797</v>
      </c>
      <c r="AN3048">
        <v>0.99999997680838104</v>
      </c>
    </row>
    <row r="3049" spans="1:40" x14ac:dyDescent="0.25">
      <c r="A3049" t="str">
        <f>"20190303154157562"</f>
        <v>20190303154157562</v>
      </c>
      <c r="B3049" t="str">
        <f>"1551598917552672"</f>
        <v>1551598917552672</v>
      </c>
      <c r="C3049" t="s">
        <v>40</v>
      </c>
      <c r="D3049">
        <v>5.551539</v>
      </c>
      <c r="E3049">
        <v>0.47318139999999997</v>
      </c>
      <c r="F3049" t="s">
        <v>46</v>
      </c>
      <c r="G3049">
        <v>-473.01060000000001</v>
      </c>
      <c r="H3049" s="1">
        <v>5.1993809999999901E-6</v>
      </c>
      <c r="I3049">
        <v>283.7054</v>
      </c>
      <c r="J3049">
        <v>-462.49770000000001</v>
      </c>
      <c r="K3049">
        <v>1.121748</v>
      </c>
      <c r="L3049">
        <v>284.58249999999998</v>
      </c>
      <c r="M3049">
        <v>-0.99970020000000004</v>
      </c>
      <c r="N3049">
        <v>-1.768465E-2</v>
      </c>
      <c r="O3049">
        <v>1.693689E-2</v>
      </c>
      <c r="P3049">
        <v>-0.99619480000000005</v>
      </c>
      <c r="Q3049">
        <v>-8.6596489999999998E-2</v>
      </c>
      <c r="R3049">
        <v>-9.8511669999999992E-3</v>
      </c>
      <c r="S3049">
        <v>-2.9821780000000002</v>
      </c>
      <c r="T3049">
        <v>-0.31048940000000003</v>
      </c>
      <c r="U3049">
        <v>-0.24157709999999999</v>
      </c>
      <c r="V3049">
        <v>-2.6727730000000002E-2</v>
      </c>
      <c r="W3049">
        <v>-6.8970000000000004E-2</v>
      </c>
      <c r="X3049">
        <v>0.99726060000000005</v>
      </c>
      <c r="Y3049">
        <v>-9.6942249999999994E-2</v>
      </c>
      <c r="Z3049">
        <v>-7.3438239999999997E-3</v>
      </c>
      <c r="AA3049">
        <v>0.99526289999999995</v>
      </c>
      <c r="AB3049">
        <v>27</v>
      </c>
      <c r="AC3049">
        <v>-10.5129</v>
      </c>
      <c r="AD3049">
        <v>-1.121742800619</v>
      </c>
      <c r="AE3049">
        <v>-0.877099999999984</v>
      </c>
      <c r="AF3049">
        <v>-1.0432621566539999</v>
      </c>
      <c r="AG3049">
        <v>-1.121742800619</v>
      </c>
      <c r="AH3049">
        <v>10.3791814623589</v>
      </c>
      <c r="AI3049">
        <v>96.137680213326803</v>
      </c>
      <c r="AJ3049">
        <v>95.739799890192899</v>
      </c>
      <c r="AK3049">
        <v>10.4916209742261</v>
      </c>
      <c r="AL3049">
        <v>93.954829703516197</v>
      </c>
      <c r="AM3049">
        <v>91.535225213162093</v>
      </c>
      <c r="AN3049">
        <v>0.99999996838165595</v>
      </c>
    </row>
    <row r="3050" spans="1:40" x14ac:dyDescent="0.25">
      <c r="A3050" t="str">
        <f>"20190303154157583"</f>
        <v>20190303154157583</v>
      </c>
      <c r="B3050" t="str">
        <f>"1551598917573169"</f>
        <v>1551598917573169</v>
      </c>
      <c r="C3050" t="s">
        <v>40</v>
      </c>
      <c r="D3050">
        <v>5.813434</v>
      </c>
      <c r="E3050">
        <v>0.50275590000000003</v>
      </c>
      <c r="F3050" t="s">
        <v>46</v>
      </c>
      <c r="G3050">
        <v>-473.09710000000001</v>
      </c>
      <c r="H3050" s="1">
        <v>5.162305E-6</v>
      </c>
      <c r="I3050">
        <v>283.71980000000002</v>
      </c>
      <c r="J3050">
        <v>-462.75529999999998</v>
      </c>
      <c r="K3050">
        <v>1.12182</v>
      </c>
      <c r="L3050">
        <v>284.58679999999998</v>
      </c>
      <c r="M3050">
        <v>-0.99968889999999999</v>
      </c>
      <c r="N3050">
        <v>-1.831377E-2</v>
      </c>
      <c r="O3050">
        <v>1.693681E-2</v>
      </c>
      <c r="P3050">
        <v>-0.99605319999999997</v>
      </c>
      <c r="Q3050">
        <v>-8.8168780000000002E-2</v>
      </c>
      <c r="R3050">
        <v>-1.022195E-2</v>
      </c>
      <c r="S3050">
        <v>-2.981598</v>
      </c>
      <c r="T3050">
        <v>-0.31554680000000002</v>
      </c>
      <c r="U3050">
        <v>-0.2426758</v>
      </c>
      <c r="V3050">
        <v>-2.7095899999999999E-2</v>
      </c>
      <c r="W3050">
        <v>-6.9917220000000002E-2</v>
      </c>
      <c r="X3050">
        <v>0.99718479999999998</v>
      </c>
      <c r="Y3050">
        <v>-9.7296389999999996E-2</v>
      </c>
      <c r="Z3050">
        <v>-7.4969729999999997E-3</v>
      </c>
      <c r="AA3050">
        <v>0.99522719999999998</v>
      </c>
      <c r="AB3050">
        <v>27</v>
      </c>
      <c r="AC3050">
        <v>-10.341799999999999</v>
      </c>
      <c r="AD3050">
        <v>-1.1218148376949999</v>
      </c>
      <c r="AE3050">
        <v>-0.86699999999996102</v>
      </c>
      <c r="AF3050">
        <v>-1.0300267660639599</v>
      </c>
      <c r="AG3050">
        <v>-1.1218148376949999</v>
      </c>
      <c r="AH3050">
        <v>10.206373510609801</v>
      </c>
      <c r="AI3050">
        <v>96.240933874268904</v>
      </c>
      <c r="AJ3050">
        <v>95.762776091467899</v>
      </c>
      <c r="AK3050">
        <v>10.319374201324299</v>
      </c>
      <c r="AL3050">
        <v>94.009232361538906</v>
      </c>
      <c r="AM3050">
        <v>91.5564805997371</v>
      </c>
      <c r="AN3050">
        <v>1.0000000654001799</v>
      </c>
    </row>
    <row r="3051" spans="1:40" x14ac:dyDescent="0.25">
      <c r="A3051" t="str">
        <f>"20190303154157606"</f>
        <v>20190303154157606</v>
      </c>
      <c r="B3051" t="str">
        <f>"1551598917602448"</f>
        <v>1551598917602448</v>
      </c>
      <c r="C3051" t="s">
        <v>40</v>
      </c>
      <c r="D3051">
        <v>5.5275100000000004</v>
      </c>
      <c r="E3051">
        <v>0.55571110000000001</v>
      </c>
      <c r="F3051" t="s">
        <v>42</v>
      </c>
      <c r="G3051">
        <v>-463.60680000000002</v>
      </c>
      <c r="H3051">
        <v>0.99679779999999996</v>
      </c>
      <c r="I3051">
        <v>284.58530000000002</v>
      </c>
      <c r="J3051">
        <v>-463.02190000000002</v>
      </c>
      <c r="K3051">
        <v>1.1218919999999999</v>
      </c>
      <c r="L3051">
        <v>284.59129999999999</v>
      </c>
      <c r="M3051">
        <v>-0.99967669999999997</v>
      </c>
      <c r="N3051">
        <v>-1.8968280000000001E-2</v>
      </c>
      <c r="O3051">
        <v>1.6936989999999999E-2</v>
      </c>
      <c r="P3051">
        <v>-0.99591799999999997</v>
      </c>
      <c r="Q3051">
        <v>-8.9624490000000001E-2</v>
      </c>
      <c r="R3051">
        <v>-1.0722829999999999E-2</v>
      </c>
      <c r="S3051">
        <v>-2.9731749999999999</v>
      </c>
      <c r="T3051">
        <v>-0.43666640000000001</v>
      </c>
      <c r="U3051">
        <v>-6.1035159999999998E-3</v>
      </c>
      <c r="V3051">
        <v>-2.7595020000000001E-2</v>
      </c>
      <c r="W3051">
        <v>-7.0722579999999993E-2</v>
      </c>
      <c r="X3051">
        <v>0.99711419999999995</v>
      </c>
      <c r="Y3051">
        <v>-1.8628849999999999E-2</v>
      </c>
      <c r="Z3051">
        <v>-3.6928080000000001E-3</v>
      </c>
      <c r="AA3051">
        <v>0.99981960000000003</v>
      </c>
      <c r="AB3051">
        <v>27</v>
      </c>
      <c r="AC3051">
        <v>-0.58490000000000397</v>
      </c>
      <c r="AD3051">
        <v>-0.12509419999999999</v>
      </c>
      <c r="AE3051">
        <v>-5.9999999999717996E-3</v>
      </c>
      <c r="AF3051">
        <v>-1.52116353870504E-2</v>
      </c>
      <c r="AG3051">
        <v>-0.12509419999999999</v>
      </c>
      <c r="AH3051">
        <v>0.55914112671772798</v>
      </c>
      <c r="AI3051">
        <v>102.606351615615</v>
      </c>
      <c r="AJ3051">
        <v>91.558367891974598</v>
      </c>
      <c r="AK3051">
        <v>0.57316555401729996</v>
      </c>
      <c r="AL3051">
        <v>94.055491077739006</v>
      </c>
      <c r="AM3051">
        <v>91.585249430932294</v>
      </c>
      <c r="AN3051">
        <v>0.99999994814614701</v>
      </c>
    </row>
    <row r="3052" spans="1:40" x14ac:dyDescent="0.25">
      <c r="A3052" t="str">
        <f>"20190303154157628"</f>
        <v>20190303154157628</v>
      </c>
      <c r="B3052" t="str">
        <f>"1551598917622943"</f>
        <v>1551598917622943</v>
      </c>
      <c r="C3052" t="s">
        <v>40</v>
      </c>
      <c r="D3052">
        <v>5.5126780000000002</v>
      </c>
      <c r="E3052">
        <v>0.56290019999999996</v>
      </c>
      <c r="F3052" t="s">
        <v>42</v>
      </c>
      <c r="G3052">
        <v>-463.80399999999997</v>
      </c>
      <c r="H3052">
        <v>0.92586040000000003</v>
      </c>
      <c r="I3052">
        <v>284.7029</v>
      </c>
      <c r="J3052">
        <v>-463.28539999999998</v>
      </c>
      <c r="K3052">
        <v>1.1219619999999999</v>
      </c>
      <c r="L3052">
        <v>284.59570000000002</v>
      </c>
      <c r="M3052">
        <v>-0.99966410000000006</v>
      </c>
      <c r="N3052">
        <v>-1.962237E-2</v>
      </c>
      <c r="O3052">
        <v>1.6937259999999999E-2</v>
      </c>
      <c r="P3052">
        <v>-0.99587800000000004</v>
      </c>
      <c r="Q3052">
        <v>-8.999588E-2</v>
      </c>
      <c r="R3052">
        <v>-1.130369E-2</v>
      </c>
      <c r="S3052">
        <v>-2.9502259999999998</v>
      </c>
      <c r="T3052">
        <v>-0.73959830000000004</v>
      </c>
      <c r="U3052">
        <v>0.4194946</v>
      </c>
      <c r="V3052">
        <v>-2.8175169999999999E-2</v>
      </c>
      <c r="W3052">
        <v>-7.0442519999999995E-2</v>
      </c>
      <c r="X3052">
        <v>0.9971179</v>
      </c>
      <c r="Y3052">
        <v>0.1204665</v>
      </c>
      <c r="Z3052">
        <v>1.217216E-2</v>
      </c>
      <c r="AA3052">
        <v>0.99264280000000005</v>
      </c>
      <c r="AB3052">
        <v>26</v>
      </c>
      <c r="AC3052">
        <v>-0.51860000000004902</v>
      </c>
      <c r="AD3052">
        <v>-0.19610159999999999</v>
      </c>
      <c r="AE3052">
        <v>0.10719999999997699</v>
      </c>
      <c r="AF3052">
        <v>8.6533155971205006E-2</v>
      </c>
      <c r="AG3052">
        <v>-0.19610159999999999</v>
      </c>
      <c r="AH3052">
        <v>0.45759286968400298</v>
      </c>
      <c r="AI3052">
        <v>112.835342381684</v>
      </c>
      <c r="AJ3052">
        <v>79.291527236150699</v>
      </c>
      <c r="AK3052">
        <v>0.50530689584700705</v>
      </c>
      <c r="AL3052">
        <v>94.039404297813405</v>
      </c>
      <c r="AM3052">
        <v>91.618553724215701</v>
      </c>
      <c r="AN3052">
        <v>1.00000004766444</v>
      </c>
    </row>
    <row r="3053" spans="1:40" x14ac:dyDescent="0.25">
      <c r="A3053" t="str">
        <f>"20190303154157645"</f>
        <v>20190303154157645</v>
      </c>
      <c r="B3053" t="str">
        <f>"1551598917632704"</f>
        <v>1551598917632704</v>
      </c>
      <c r="C3053" t="s">
        <v>40</v>
      </c>
      <c r="D3053">
        <v>5.5047129999999997</v>
      </c>
      <c r="E3053">
        <v>0.56468280000000004</v>
      </c>
      <c r="F3053" t="s">
        <v>42</v>
      </c>
      <c r="G3053">
        <v>-464.03890000000001</v>
      </c>
      <c r="H3053">
        <v>0.92901089999999997</v>
      </c>
      <c r="I3053">
        <v>284.71749999999997</v>
      </c>
      <c r="J3053">
        <v>-463.46949999999998</v>
      </c>
      <c r="K3053">
        <v>1.122018</v>
      </c>
      <c r="L3053">
        <v>284.59890000000001</v>
      </c>
      <c r="M3053">
        <v>-0.9996545</v>
      </c>
      <c r="N3053">
        <v>-2.0103599999999999E-2</v>
      </c>
      <c r="O3053">
        <v>1.6937230000000001E-2</v>
      </c>
      <c r="P3053">
        <v>-0.99583200000000005</v>
      </c>
      <c r="Q3053">
        <v>-9.0463279999999993E-2</v>
      </c>
      <c r="R3053">
        <v>-1.160831E-2</v>
      </c>
      <c r="S3053">
        <v>-2.9496150000000001</v>
      </c>
      <c r="T3053">
        <v>-0.75534569999999901</v>
      </c>
      <c r="U3053">
        <v>0.4751282</v>
      </c>
      <c r="V3053">
        <v>-2.8479480000000001E-2</v>
      </c>
      <c r="W3053">
        <v>-7.0430870000000007E-2</v>
      </c>
      <c r="X3053">
        <v>0.99711000000000005</v>
      </c>
      <c r="Y3053">
        <v>0.1380362</v>
      </c>
      <c r="Z3053">
        <v>1.480006E-2</v>
      </c>
      <c r="AA3053">
        <v>0.99031659999999999</v>
      </c>
      <c r="AB3053">
        <v>26</v>
      </c>
      <c r="AC3053">
        <v>-0.56940000000002999</v>
      </c>
      <c r="AD3053">
        <v>-0.19300709999999899</v>
      </c>
      <c r="AE3053">
        <v>0.118599999999958</v>
      </c>
      <c r="AF3053">
        <v>9.8130784471908594E-2</v>
      </c>
      <c r="AG3053">
        <v>-0.19300709999999899</v>
      </c>
      <c r="AH3053">
        <v>0.51465365129188601</v>
      </c>
      <c r="AI3053">
        <v>110.22311464576801</v>
      </c>
      <c r="AJ3053">
        <v>79.204796386408006</v>
      </c>
      <c r="AK3053">
        <v>0.55834556709940197</v>
      </c>
      <c r="AL3053">
        <v>94.038735453513397</v>
      </c>
      <c r="AM3053">
        <v>91.636038653050605</v>
      </c>
      <c r="AN3053">
        <v>0.99999997016501296</v>
      </c>
    </row>
    <row r="3054" spans="1:40" x14ac:dyDescent="0.25">
      <c r="A3054" t="str">
        <f>"20190303154157661"</f>
        <v>20190303154157661</v>
      </c>
      <c r="B3054" t="str">
        <f>"1551598917653200"</f>
        <v>1551598917653200</v>
      </c>
      <c r="C3054" t="s">
        <v>40</v>
      </c>
      <c r="D3054">
        <v>5.5229999999999997</v>
      </c>
      <c r="E3054">
        <v>0.56689019999999901</v>
      </c>
      <c r="F3054" t="s">
        <v>42</v>
      </c>
      <c r="G3054">
        <v>-464.26440000000002</v>
      </c>
      <c r="H3054">
        <v>0.91714850000000003</v>
      </c>
      <c r="I3054">
        <v>284.73090000000002</v>
      </c>
      <c r="J3054">
        <v>-463.66969999999998</v>
      </c>
      <c r="K3054">
        <v>1.1220889999999999</v>
      </c>
      <c r="L3054">
        <v>284.60219999999998</v>
      </c>
      <c r="M3054">
        <v>-0.99964310000000001</v>
      </c>
      <c r="N3054">
        <v>-2.0660620000000001E-2</v>
      </c>
      <c r="O3054">
        <v>1.6937489999999999E-2</v>
      </c>
      <c r="P3054">
        <v>-0.99582269999999995</v>
      </c>
      <c r="Q3054">
        <v>-9.0546639999999998E-2</v>
      </c>
      <c r="R3054">
        <v>-1.178133E-2</v>
      </c>
      <c r="S3054">
        <v>-2.9492189999999998</v>
      </c>
      <c r="T3054">
        <v>-0.76004780000000005</v>
      </c>
      <c r="U3054">
        <v>0.48876950000000002</v>
      </c>
      <c r="V3054">
        <v>-2.8652549999999999E-2</v>
      </c>
      <c r="W3054">
        <v>-6.9958930000000003E-2</v>
      </c>
      <c r="X3054">
        <v>0.99713830000000003</v>
      </c>
      <c r="Y3054">
        <v>0.14231009999999999</v>
      </c>
      <c r="Z3054">
        <v>1.5508630000000001E-2</v>
      </c>
      <c r="AA3054">
        <v>0.98970060000000004</v>
      </c>
      <c r="AB3054">
        <v>26</v>
      </c>
      <c r="AC3054">
        <v>-0.59470000000004497</v>
      </c>
      <c r="AD3054">
        <v>-0.204940499999999</v>
      </c>
      <c r="AE3054">
        <v>0.12870000000003701</v>
      </c>
      <c r="AF3054">
        <v>0.10652232600144999</v>
      </c>
      <c r="AG3054">
        <v>-0.204940499999999</v>
      </c>
      <c r="AH3054">
        <v>0.53599006727452303</v>
      </c>
      <c r="AI3054">
        <v>110.557263697868</v>
      </c>
      <c r="AJ3054">
        <v>78.759535317473905</v>
      </c>
      <c r="AK3054">
        <v>0.58363770157003803</v>
      </c>
      <c r="AL3054">
        <v>94.011628277577501</v>
      </c>
      <c r="AM3054">
        <v>91.645928729673997</v>
      </c>
      <c r="AN3054">
        <v>1.0000000049175599</v>
      </c>
    </row>
    <row r="3055" spans="1:40" x14ac:dyDescent="0.25">
      <c r="A3055" t="str">
        <f>"20190303154157679"</f>
        <v>20190303154157679</v>
      </c>
      <c r="B3055" t="str">
        <f>"1551598917672720"</f>
        <v>1551598917672720</v>
      </c>
      <c r="C3055" t="s">
        <v>40</v>
      </c>
      <c r="D3055">
        <v>5.5379809999999896</v>
      </c>
      <c r="E3055">
        <v>0.56813809999999998</v>
      </c>
      <c r="F3055" t="s">
        <v>42</v>
      </c>
      <c r="G3055">
        <v>-464.48970000000003</v>
      </c>
      <c r="H3055">
        <v>0.9091051</v>
      </c>
      <c r="I3055">
        <v>284.7432</v>
      </c>
      <c r="J3055">
        <v>-463.86329999999998</v>
      </c>
      <c r="K3055">
        <v>1.122163</v>
      </c>
      <c r="L3055">
        <v>284.60550000000001</v>
      </c>
      <c r="M3055">
        <v>-0.99963109999999999</v>
      </c>
      <c r="N3055">
        <v>-2.1235690000000002E-2</v>
      </c>
      <c r="O3055">
        <v>1.6937750000000001E-2</v>
      </c>
      <c r="P3055">
        <v>-0.99575409999999998</v>
      </c>
      <c r="Q3055">
        <v>-9.1309719999999997E-2</v>
      </c>
      <c r="R3055">
        <v>-1.167085E-2</v>
      </c>
      <c r="S3055">
        <v>-2.948944</v>
      </c>
      <c r="T3055">
        <v>-0.76592090000000002</v>
      </c>
      <c r="U3055">
        <v>0.50610350000000004</v>
      </c>
      <c r="V3055">
        <v>-2.8541859999999999E-2</v>
      </c>
      <c r="W3055">
        <v>-7.0149699999999995E-2</v>
      </c>
      <c r="X3055">
        <v>0.99712809999999996</v>
      </c>
      <c r="Y3055">
        <v>0.14771609999999999</v>
      </c>
      <c r="Z3055">
        <v>1.6402690000000001E-2</v>
      </c>
      <c r="AA3055">
        <v>0.98889369999999999</v>
      </c>
      <c r="AB3055">
        <v>26</v>
      </c>
      <c r="AC3055">
        <v>-0.62640000000004603</v>
      </c>
      <c r="AD3055">
        <v>-0.21305789999999999</v>
      </c>
      <c r="AE3055">
        <v>0.13769999999999499</v>
      </c>
      <c r="AF3055">
        <v>0.114439001395975</v>
      </c>
      <c r="AG3055">
        <v>-0.21305789999999999</v>
      </c>
      <c r="AH3055">
        <v>0.56616339241645297</v>
      </c>
      <c r="AI3055">
        <v>110.246948971873</v>
      </c>
      <c r="AJ3055">
        <v>78.572731179224405</v>
      </c>
      <c r="AK3055">
        <v>0.61565488766469201</v>
      </c>
      <c r="AL3055">
        <v>94.022585400237006</v>
      </c>
      <c r="AM3055">
        <v>91.639590448351896</v>
      </c>
      <c r="AN3055">
        <v>1.00000003299597</v>
      </c>
    </row>
    <row r="3056" spans="1:40" x14ac:dyDescent="0.25">
      <c r="A3056" t="str">
        <f>"20190303154157696"</f>
        <v>20190303154157696</v>
      </c>
      <c r="B3056" t="str">
        <f>"1551598917692240"</f>
        <v>1551598917692240</v>
      </c>
      <c r="C3056" t="s">
        <v>40</v>
      </c>
      <c r="D3056">
        <v>5.6560879999999996</v>
      </c>
      <c r="E3056">
        <v>0.56831290000000001</v>
      </c>
      <c r="F3056" t="s">
        <v>42</v>
      </c>
      <c r="G3056">
        <v>-464.71199999999999</v>
      </c>
      <c r="H3056">
        <v>0.8998699</v>
      </c>
      <c r="I3056">
        <v>284.75470000000001</v>
      </c>
      <c r="J3056">
        <v>-464.0539</v>
      </c>
      <c r="K3056">
        <v>1.122241</v>
      </c>
      <c r="L3056">
        <v>284.60879999999997</v>
      </c>
      <c r="M3056">
        <v>-0.99961820000000001</v>
      </c>
      <c r="N3056">
        <v>-2.1835179999999999E-2</v>
      </c>
      <c r="O3056">
        <v>1.6937689999999998E-2</v>
      </c>
      <c r="P3056">
        <v>-0.99572479999999997</v>
      </c>
      <c r="Q3056">
        <v>-9.1665239999999995E-2</v>
      </c>
      <c r="R3056">
        <v>-1.140646E-2</v>
      </c>
      <c r="S3056">
        <v>-2.9480590000000002</v>
      </c>
      <c r="T3056">
        <v>-0.77214729999999998</v>
      </c>
      <c r="U3056">
        <v>0.51626590000000006</v>
      </c>
      <c r="V3056">
        <v>-2.8276559999999999E-2</v>
      </c>
      <c r="W3056">
        <v>-6.9907810000000001E-2</v>
      </c>
      <c r="X3056">
        <v>0.99715259999999994</v>
      </c>
      <c r="Y3056">
        <v>0.15087610000000001</v>
      </c>
      <c r="Z3056">
        <v>1.7012019999999999E-2</v>
      </c>
      <c r="AA3056">
        <v>0.98840629999999996</v>
      </c>
      <c r="AB3056">
        <v>26</v>
      </c>
      <c r="AC3056">
        <v>-0.65809999999999003</v>
      </c>
      <c r="AD3056">
        <v>-0.22237109999999999</v>
      </c>
      <c r="AE3056">
        <v>0.14590000000004</v>
      </c>
      <c r="AF3056">
        <v>0.121506560300537</v>
      </c>
      <c r="AG3056">
        <v>-0.22237109999999999</v>
      </c>
      <c r="AH3056">
        <v>0.59565429848857199</v>
      </c>
      <c r="AI3056">
        <v>110.091988878742</v>
      </c>
      <c r="AJ3056">
        <v>78.470508336030505</v>
      </c>
      <c r="AK3056">
        <v>0.64731506518788096</v>
      </c>
      <c r="AL3056">
        <v>94.008692201751401</v>
      </c>
      <c r="AM3056">
        <v>91.624318573240899</v>
      </c>
      <c r="AN3056">
        <v>0.99999998671559398</v>
      </c>
    </row>
    <row r="3057" spans="1:40" x14ac:dyDescent="0.25">
      <c r="A3057" t="str">
        <f>"20190303154157717"</f>
        <v>20190303154157717</v>
      </c>
      <c r="B3057" t="str">
        <f>"1551598917712735"</f>
        <v>1551598917712735</v>
      </c>
      <c r="C3057" t="s">
        <v>40</v>
      </c>
      <c r="D3057">
        <v>5.6705730000000001</v>
      </c>
      <c r="E3057">
        <v>0.56852469999999999</v>
      </c>
      <c r="F3057" t="s">
        <v>42</v>
      </c>
      <c r="G3057">
        <v>-464.93119999999999</v>
      </c>
      <c r="H3057">
        <v>0.89001699999999995</v>
      </c>
      <c r="I3057">
        <v>284.76350000000002</v>
      </c>
      <c r="J3057">
        <v>-464.29809999999998</v>
      </c>
      <c r="K3057">
        <v>1.122344</v>
      </c>
      <c r="L3057">
        <v>284.61290000000002</v>
      </c>
      <c r="M3057">
        <v>-0.99960059999999995</v>
      </c>
      <c r="N3057">
        <v>-2.2618760000000002E-2</v>
      </c>
      <c r="O3057">
        <v>1.6938209999999999E-2</v>
      </c>
      <c r="P3057">
        <v>-0.99572989999999995</v>
      </c>
      <c r="Q3057">
        <v>-9.1643710000000003E-2</v>
      </c>
      <c r="R3057">
        <v>-1.1098139999999999E-2</v>
      </c>
      <c r="S3057">
        <v>-2.9470209999999999</v>
      </c>
      <c r="T3057">
        <v>-0.78004490000000004</v>
      </c>
      <c r="U3057">
        <v>0.51861570000000001</v>
      </c>
      <c r="V3057">
        <v>-2.7969540000000001E-2</v>
      </c>
      <c r="W3057">
        <v>-6.9104479999999996E-2</v>
      </c>
      <c r="X3057">
        <v>0.99721720000000003</v>
      </c>
      <c r="Y3057">
        <v>0.15155850000000001</v>
      </c>
      <c r="Z3057">
        <v>1.733438E-2</v>
      </c>
      <c r="AA3057">
        <v>0.98829630000000002</v>
      </c>
      <c r="AB3057">
        <v>25</v>
      </c>
      <c r="AC3057">
        <v>-0.63310000000001299</v>
      </c>
      <c r="AD3057">
        <v>-0.23232699999999901</v>
      </c>
      <c r="AE3057">
        <v>0.15059999999999699</v>
      </c>
      <c r="AF3057">
        <v>0.124042471893099</v>
      </c>
      <c r="AG3057">
        <v>-0.23232699999999901</v>
      </c>
      <c r="AH3057">
        <v>0.56371367244503701</v>
      </c>
      <c r="AI3057">
        <v>111.92513289885601</v>
      </c>
      <c r="AJ3057">
        <v>77.590112826719107</v>
      </c>
      <c r="AK3057">
        <v>0.62220211689114402</v>
      </c>
      <c r="AL3057">
        <v>93.962553403838101</v>
      </c>
      <c r="AM3057">
        <v>91.606587385458099</v>
      </c>
      <c r="AN3057">
        <v>0.99999993414985799</v>
      </c>
    </row>
    <row r="3058" spans="1:40" x14ac:dyDescent="0.25">
      <c r="A3058" t="str">
        <f>"20190303154157735"</f>
        <v>20190303154157735</v>
      </c>
      <c r="B3058" t="str">
        <f>"1551598917732257"</f>
        <v>1551598917732257</v>
      </c>
      <c r="C3058" t="s">
        <v>40</v>
      </c>
      <c r="D3058">
        <v>5.6722229999999998</v>
      </c>
      <c r="E3058">
        <v>0.56878409999999902</v>
      </c>
      <c r="F3058" t="s">
        <v>42</v>
      </c>
      <c r="G3058">
        <v>-465.154</v>
      </c>
      <c r="H3058">
        <v>0.89462600000000003</v>
      </c>
      <c r="I3058">
        <v>284.76490000000001</v>
      </c>
      <c r="J3058">
        <v>-464.49270000000001</v>
      </c>
      <c r="K3058">
        <v>1.1224179999999999</v>
      </c>
      <c r="L3058">
        <v>284.61619999999999</v>
      </c>
      <c r="M3058">
        <v>-0.99958650000000004</v>
      </c>
      <c r="N3058">
        <v>-2.32353E-2</v>
      </c>
      <c r="O3058">
        <v>1.6938419999999999E-2</v>
      </c>
      <c r="P3058">
        <v>-0.99572320000000003</v>
      </c>
      <c r="Q3058">
        <v>-9.1743839999999993E-2</v>
      </c>
      <c r="R3058">
        <v>-1.08726E-2</v>
      </c>
      <c r="S3058">
        <v>-2.946472</v>
      </c>
      <c r="T3058">
        <v>-0.78403140000000004</v>
      </c>
      <c r="U3058">
        <v>0.52117919999999995</v>
      </c>
      <c r="V3058">
        <v>-2.7744660000000001E-2</v>
      </c>
      <c r="W3058">
        <v>-6.8589670000000005E-2</v>
      </c>
      <c r="X3058">
        <v>0.99725909999999995</v>
      </c>
      <c r="Y3058">
        <v>0.15233079999999999</v>
      </c>
      <c r="Z3058">
        <v>1.757914E-2</v>
      </c>
      <c r="AA3058">
        <v>0.98817319999999997</v>
      </c>
      <c r="AB3058">
        <v>25</v>
      </c>
      <c r="AC3058">
        <v>-0.66129999999998201</v>
      </c>
      <c r="AD3058">
        <v>-0.22779199999999999</v>
      </c>
      <c r="AE3058">
        <v>0.14870000000001901</v>
      </c>
      <c r="AF3058">
        <v>0.123523208088734</v>
      </c>
      <c r="AG3058">
        <v>-0.22779199999999999</v>
      </c>
      <c r="AH3058">
        <v>0.59636897532748001</v>
      </c>
      <c r="AI3058">
        <v>110.507107936235</v>
      </c>
      <c r="AJ3058">
        <v>78.298053397836298</v>
      </c>
      <c r="AK3058">
        <v>0.65023313736972899</v>
      </c>
      <c r="AL3058">
        <v>93.932986504638393</v>
      </c>
      <c r="AM3058">
        <v>91.593609905845895</v>
      </c>
      <c r="AN3058">
        <v>1.0000000107610101</v>
      </c>
    </row>
    <row r="3059" spans="1:40" x14ac:dyDescent="0.25">
      <c r="A3059" t="str">
        <f>"20190303154157752"</f>
        <v>20190303154157752</v>
      </c>
      <c r="B3059" t="str">
        <f>"1551598917742993"</f>
        <v>1551598917742993</v>
      </c>
      <c r="C3059" t="s">
        <v>40</v>
      </c>
      <c r="D3059">
        <v>5.6579620000000004</v>
      </c>
      <c r="E3059">
        <v>0.56858779999999998</v>
      </c>
      <c r="F3059" t="s">
        <v>42</v>
      </c>
      <c r="G3059">
        <v>-465.17430000000002</v>
      </c>
      <c r="H3059">
        <v>0.93996610000000003</v>
      </c>
      <c r="I3059">
        <v>284.738</v>
      </c>
      <c r="J3059">
        <v>-464.67770000000002</v>
      </c>
      <c r="K3059">
        <v>1.12249</v>
      </c>
      <c r="L3059">
        <v>284.61930000000001</v>
      </c>
      <c r="M3059">
        <v>-0.99957339999999995</v>
      </c>
      <c r="N3059">
        <v>-2.3796939999999999E-2</v>
      </c>
      <c r="O3059">
        <v>1.6938390000000001E-2</v>
      </c>
      <c r="P3059">
        <v>-0.99576100000000001</v>
      </c>
      <c r="Q3059">
        <v>-9.1336849999999997E-2</v>
      </c>
      <c r="R3059">
        <v>-1.0839980000000001E-2</v>
      </c>
      <c r="S3059">
        <v>-2.9459529999999998</v>
      </c>
      <c r="T3059">
        <v>-0.78865050000000003</v>
      </c>
      <c r="U3059">
        <v>0.52380369999999998</v>
      </c>
      <c r="V3059">
        <v>-2.7712259999999999E-2</v>
      </c>
      <c r="W3059">
        <v>-6.7621589999999995E-2</v>
      </c>
      <c r="X3059">
        <v>0.99732609999999999</v>
      </c>
      <c r="Y3059">
        <v>0.15311350000000001</v>
      </c>
      <c r="Z3059">
        <v>1.7833660000000001E-2</v>
      </c>
      <c r="AA3059">
        <v>0.98804769999999997</v>
      </c>
      <c r="AB3059">
        <v>25</v>
      </c>
      <c r="AC3059">
        <v>-0.49659999999999999</v>
      </c>
      <c r="AD3059">
        <v>-0.18252389999999999</v>
      </c>
      <c r="AE3059">
        <v>0.11869999999998899</v>
      </c>
      <c r="AF3059">
        <v>9.77743987384673E-2</v>
      </c>
      <c r="AG3059">
        <v>-0.18252389999999999</v>
      </c>
      <c r="AH3059">
        <v>0.44205032569596098</v>
      </c>
      <c r="AI3059">
        <v>111.957271809451</v>
      </c>
      <c r="AJ3059">
        <v>77.527898636061707</v>
      </c>
      <c r="AK3059">
        <v>0.488142702053185</v>
      </c>
      <c r="AL3059">
        <v>93.8773905620112</v>
      </c>
      <c r="AM3059">
        <v>91.591642980284007</v>
      </c>
      <c r="AN3059">
        <v>0.99999999926482197</v>
      </c>
    </row>
    <row r="3060" spans="1:40" x14ac:dyDescent="0.25">
      <c r="A3060" t="str">
        <f>"20190303154157774"</f>
        <v>20190303154157774</v>
      </c>
      <c r="B3060" t="str">
        <f>"1551598917762512"</f>
        <v>1551598917762512</v>
      </c>
      <c r="C3060" t="s">
        <v>40</v>
      </c>
      <c r="D3060">
        <v>5.5558550000000002</v>
      </c>
      <c r="E3060">
        <v>0.56868619999999903</v>
      </c>
      <c r="F3060" t="s">
        <v>42</v>
      </c>
      <c r="G3060">
        <v>-465.3886</v>
      </c>
      <c r="H3060">
        <v>0.93182180000000003</v>
      </c>
      <c r="I3060">
        <v>284.74579999999997</v>
      </c>
      <c r="J3060">
        <v>-464.91230000000002</v>
      </c>
      <c r="K3060">
        <v>1.122555</v>
      </c>
      <c r="L3060">
        <v>284.62329999999997</v>
      </c>
      <c r="M3060">
        <v>-0.99955709999999998</v>
      </c>
      <c r="N3060">
        <v>-2.4470229999999999E-2</v>
      </c>
      <c r="O3060">
        <v>1.6938669999999999E-2</v>
      </c>
      <c r="P3060">
        <v>-0.99582649999999995</v>
      </c>
      <c r="Q3060">
        <v>-9.0569300000000005E-2</v>
      </c>
      <c r="R3060">
        <v>-1.126134E-2</v>
      </c>
      <c r="S3060">
        <v>-2.9459840000000002</v>
      </c>
      <c r="T3060">
        <v>-0.79008100000000003</v>
      </c>
      <c r="U3060">
        <v>0.52288820000000003</v>
      </c>
      <c r="V3060">
        <v>-2.813585E-2</v>
      </c>
      <c r="W3060">
        <v>-6.6181139999999999E-2</v>
      </c>
      <c r="X3060">
        <v>0.99741089999999999</v>
      </c>
      <c r="Y3060">
        <v>0.15279110000000001</v>
      </c>
      <c r="Z3060">
        <v>1.7879140000000002E-2</v>
      </c>
      <c r="AA3060">
        <v>0.9880968</v>
      </c>
      <c r="AB3060">
        <v>25</v>
      </c>
      <c r="AC3060">
        <v>-0.47629999999998002</v>
      </c>
      <c r="AD3060">
        <v>-0.19073319999999899</v>
      </c>
      <c r="AE3060">
        <v>0.122500000000002</v>
      </c>
      <c r="AF3060">
        <v>9.9453406493543797E-2</v>
      </c>
      <c r="AG3060">
        <v>-0.19073319999999899</v>
      </c>
      <c r="AH3060">
        <v>0.41577140534428803</v>
      </c>
      <c r="AI3060">
        <v>114.044460465932</v>
      </c>
      <c r="AJ3060">
        <v>76.547499275171205</v>
      </c>
      <c r="AK3060">
        <v>0.46811963764338499</v>
      </c>
      <c r="AL3060">
        <v>93.794673388252804</v>
      </c>
      <c r="AM3060">
        <v>91.615821590080103</v>
      </c>
      <c r="AN3060">
        <v>1.0000000363928601</v>
      </c>
    </row>
    <row r="3061" spans="1:40" x14ac:dyDescent="0.25">
      <c r="A3061" t="str">
        <f>"20190303154157796"</f>
        <v>20190303154157796</v>
      </c>
      <c r="B3061" t="str">
        <f>"1551598917792768"</f>
        <v>1551598917792768</v>
      </c>
      <c r="C3061" t="s">
        <v>40</v>
      </c>
      <c r="D3061">
        <v>5.5624779999999996</v>
      </c>
      <c r="E3061">
        <v>0.5691311</v>
      </c>
      <c r="F3061" t="s">
        <v>42</v>
      </c>
      <c r="G3061">
        <v>-465.60629999999998</v>
      </c>
      <c r="H3061">
        <v>0.93625340000000001</v>
      </c>
      <c r="I3061">
        <v>284.74689999999998</v>
      </c>
      <c r="J3061">
        <v>-465.14600000000002</v>
      </c>
      <c r="K3061">
        <v>1.1226100000000001</v>
      </c>
      <c r="L3061">
        <v>284.62729999999999</v>
      </c>
      <c r="M3061">
        <v>-0.99954180000000004</v>
      </c>
      <c r="N3061">
        <v>-2.5086270000000001E-2</v>
      </c>
      <c r="O3061">
        <v>1.6939079999999999E-2</v>
      </c>
      <c r="P3061">
        <v>-0.99576949999999997</v>
      </c>
      <c r="Q3061">
        <v>-9.1066610000000006E-2</v>
      </c>
      <c r="R3061">
        <v>-1.2247279999999999E-2</v>
      </c>
      <c r="S3061">
        <v>-2.9465330000000001</v>
      </c>
      <c r="T3061">
        <v>-0.79098859999999904</v>
      </c>
      <c r="U3061">
        <v>0.52297970000000005</v>
      </c>
      <c r="V3061">
        <v>-2.9121029999999999E-2</v>
      </c>
      <c r="W3061">
        <v>-6.6065460000000006E-2</v>
      </c>
      <c r="X3061">
        <v>0.99739029999999995</v>
      </c>
      <c r="Y3061">
        <v>0.15276479999999901</v>
      </c>
      <c r="Z3061">
        <v>1.79484E-2</v>
      </c>
      <c r="AA3061">
        <v>0.98809959999999997</v>
      </c>
      <c r="AB3061">
        <v>24</v>
      </c>
      <c r="AC3061">
        <v>-0.46030000000001697</v>
      </c>
      <c r="AD3061">
        <v>-0.18635660000000001</v>
      </c>
      <c r="AE3061">
        <v>0.11959999999999101</v>
      </c>
      <c r="AF3061">
        <v>9.6904190140009394E-2</v>
      </c>
      <c r="AG3061">
        <v>-0.18635660000000001</v>
      </c>
      <c r="AH3061">
        <v>0.40073042791090402</v>
      </c>
      <c r="AI3061">
        <v>114.323633791853</v>
      </c>
      <c r="AJ3061">
        <v>76.405768203241905</v>
      </c>
      <c r="AK3061">
        <v>0.45244235023249901</v>
      </c>
      <c r="AL3061">
        <v>93.788030842796402</v>
      </c>
      <c r="AM3061">
        <v>91.672402702473306</v>
      </c>
      <c r="AN3061">
        <v>1.0000000449636799</v>
      </c>
    </row>
    <row r="3062" spans="1:40" x14ac:dyDescent="0.25">
      <c r="A3062" t="str">
        <f>"20190303154157819"</f>
        <v>20190303154157819</v>
      </c>
      <c r="B3062" t="str">
        <f>"1551598917812289"</f>
        <v>1551598917812289</v>
      </c>
      <c r="C3062" t="s">
        <v>40</v>
      </c>
      <c r="D3062">
        <v>5.5613789999999996</v>
      </c>
      <c r="E3062">
        <v>0.56954399999999905</v>
      </c>
      <c r="F3062" t="s">
        <v>42</v>
      </c>
      <c r="G3062">
        <v>-466.00850000000003</v>
      </c>
      <c r="H3062">
        <v>0.8893025</v>
      </c>
      <c r="I3062">
        <v>284.78120000000001</v>
      </c>
      <c r="J3062">
        <v>-465.38490000000002</v>
      </c>
      <c r="K3062">
        <v>1.122649</v>
      </c>
      <c r="L3062">
        <v>284.63130000000001</v>
      </c>
      <c r="M3062">
        <v>-0.99952819999999998</v>
      </c>
      <c r="N3062">
        <v>-2.5622889999999999E-2</v>
      </c>
      <c r="O3062">
        <v>1.6939369999999999E-2</v>
      </c>
      <c r="P3062">
        <v>-0.99575219999999998</v>
      </c>
      <c r="Q3062">
        <v>-9.1210050000000001E-2</v>
      </c>
      <c r="R3062">
        <v>-1.259542E-2</v>
      </c>
      <c r="S3062">
        <v>-2.9462890000000002</v>
      </c>
      <c r="T3062">
        <v>-0.79707669999999997</v>
      </c>
      <c r="U3062">
        <v>0.52380369999999998</v>
      </c>
      <c r="V3062">
        <v>-2.9468979999999999E-2</v>
      </c>
      <c r="W3062">
        <v>-6.5674060000000006E-2</v>
      </c>
      <c r="X3062">
        <v>0.99740589999999996</v>
      </c>
      <c r="Y3062">
        <v>0.15294959999999999</v>
      </c>
      <c r="Z3062">
        <v>1.8143280000000001E-2</v>
      </c>
      <c r="AA3062">
        <v>0.98806740000000004</v>
      </c>
      <c r="AB3062">
        <v>24</v>
      </c>
      <c r="AC3062">
        <v>-0.62360000000001004</v>
      </c>
      <c r="AD3062">
        <v>-0.23334650000000001</v>
      </c>
      <c r="AE3062">
        <v>0.149900000000002</v>
      </c>
      <c r="AF3062">
        <v>0.12302643254845599</v>
      </c>
      <c r="AG3062">
        <v>-0.23334650000000001</v>
      </c>
      <c r="AH3062">
        <v>0.55286674651165701</v>
      </c>
      <c r="AI3062">
        <v>112.39114200861199</v>
      </c>
      <c r="AJ3062">
        <v>77.454685553932805</v>
      </c>
      <c r="AK3062">
        <v>0.61257467427753998</v>
      </c>
      <c r="AL3062">
        <v>93.765556575031994</v>
      </c>
      <c r="AM3062">
        <v>91.692347248868003</v>
      </c>
      <c r="AN3062">
        <v>1.00000001614696</v>
      </c>
    </row>
    <row r="3063" spans="1:40" x14ac:dyDescent="0.25">
      <c r="A3063" t="str">
        <f>"20190303154157840"</f>
        <v>20190303154157840</v>
      </c>
      <c r="B3063" t="str">
        <f>"1551598917832788"</f>
        <v>1551598917832788</v>
      </c>
      <c r="C3063" t="s">
        <v>40</v>
      </c>
      <c r="D3063">
        <v>5.6640220000000001</v>
      </c>
      <c r="E3063">
        <v>0.5696232</v>
      </c>
      <c r="F3063" t="s">
        <v>42</v>
      </c>
      <c r="G3063">
        <v>-466.21929999999998</v>
      </c>
      <c r="H3063">
        <v>0.89626530000000004</v>
      </c>
      <c r="I3063">
        <v>284.78019999999998</v>
      </c>
      <c r="J3063">
        <v>-465.61180000000002</v>
      </c>
      <c r="K3063">
        <v>1.122657</v>
      </c>
      <c r="L3063">
        <v>284.63510000000002</v>
      </c>
      <c r="M3063">
        <v>-0.99951760000000001</v>
      </c>
      <c r="N3063">
        <v>-2.6027789999999999E-2</v>
      </c>
      <c r="O3063">
        <v>1.693973E-2</v>
      </c>
      <c r="P3063">
        <v>-0.99575950000000002</v>
      </c>
      <c r="Q3063">
        <v>-9.1050430000000002E-2</v>
      </c>
      <c r="R3063">
        <v>-1.3146440000000001E-2</v>
      </c>
      <c r="S3063">
        <v>-2.9462280000000001</v>
      </c>
      <c r="T3063">
        <v>-0.7993884</v>
      </c>
      <c r="U3063">
        <v>0.52532959999999995</v>
      </c>
      <c r="V3063">
        <v>-3.0020829999999998E-2</v>
      </c>
      <c r="W3063">
        <v>-6.5110500000000002E-2</v>
      </c>
      <c r="X3063">
        <v>0.99742640000000005</v>
      </c>
      <c r="Y3063">
        <v>0.15339269999999999</v>
      </c>
      <c r="Z3063">
        <v>1.8290170000000001E-2</v>
      </c>
      <c r="AA3063">
        <v>0.98799599999999999</v>
      </c>
      <c r="AB3063">
        <v>23</v>
      </c>
      <c r="AC3063">
        <v>-0.60749999999995896</v>
      </c>
      <c r="AD3063">
        <v>-0.2263917</v>
      </c>
      <c r="AE3063">
        <v>0.14509999999995599</v>
      </c>
      <c r="AF3063">
        <v>0.11913294731940099</v>
      </c>
      <c r="AG3063">
        <v>-0.2263917</v>
      </c>
      <c r="AH3063">
        <v>0.53905040518089797</v>
      </c>
      <c r="AI3063">
        <v>112.297887944246</v>
      </c>
      <c r="AJ3063">
        <v>77.537657727238795</v>
      </c>
      <c r="AK3063">
        <v>0.59667512122727795</v>
      </c>
      <c r="AL3063">
        <v>93.7331976710974</v>
      </c>
      <c r="AM3063">
        <v>91.723984578392006</v>
      </c>
      <c r="AN3063">
        <v>1.0000000254305399</v>
      </c>
    </row>
    <row r="3064" spans="1:40" x14ac:dyDescent="0.25">
      <c r="A3064" t="str">
        <f>"20190303154157863"</f>
        <v>20190303154157863</v>
      </c>
      <c r="B3064" t="str">
        <f>"1551598917852304"</f>
        <v>1551598917852304</v>
      </c>
      <c r="C3064" t="s">
        <v>40</v>
      </c>
      <c r="D3064">
        <v>5.5972759999999999</v>
      </c>
      <c r="E3064">
        <v>0.56939390000000001</v>
      </c>
      <c r="F3064" t="s">
        <v>42</v>
      </c>
      <c r="G3064">
        <v>-466.42649999999998</v>
      </c>
      <c r="H3064">
        <v>0.90058989999999906</v>
      </c>
      <c r="I3064">
        <v>284.78039999999999</v>
      </c>
      <c r="J3064">
        <v>-465.8442</v>
      </c>
      <c r="K3064">
        <v>1.1226529999999999</v>
      </c>
      <c r="L3064">
        <v>284.63900000000001</v>
      </c>
      <c r="M3064">
        <v>-0.9995098</v>
      </c>
      <c r="N3064">
        <v>-2.6336160000000001E-2</v>
      </c>
      <c r="O3064">
        <v>1.6939329999999999E-2</v>
      </c>
      <c r="P3064">
        <v>-0.99582340000000003</v>
      </c>
      <c r="Q3064">
        <v>-9.0318979999999993E-2</v>
      </c>
      <c r="R3064">
        <v>-1.335397E-2</v>
      </c>
      <c r="S3064">
        <v>-2.9461979999999999</v>
      </c>
      <c r="T3064">
        <v>-0.80304169999999997</v>
      </c>
      <c r="U3064">
        <v>0.52371219999999996</v>
      </c>
      <c r="V3064">
        <v>-3.0228809999999998E-2</v>
      </c>
      <c r="W3064">
        <v>-6.4070039999999995E-2</v>
      </c>
      <c r="X3064">
        <v>0.99748749999999997</v>
      </c>
      <c r="Y3064">
        <v>0.152836</v>
      </c>
      <c r="Z3064">
        <v>1.830907E-2</v>
      </c>
      <c r="AA3064">
        <v>0.98808189999999996</v>
      </c>
      <c r="AB3064">
        <v>23</v>
      </c>
      <c r="AC3064">
        <v>-0.58229999999997495</v>
      </c>
      <c r="AD3064">
        <v>-0.22206310000000001</v>
      </c>
      <c r="AE3064">
        <v>0.14139999999997599</v>
      </c>
      <c r="AF3064">
        <v>0.115632298257835</v>
      </c>
      <c r="AG3064">
        <v>-0.22206310000000001</v>
      </c>
      <c r="AH3064">
        <v>0.51402017242950004</v>
      </c>
      <c r="AI3064">
        <v>112.854422768883</v>
      </c>
      <c r="AJ3064">
        <v>77.321976139038</v>
      </c>
      <c r="AK3064">
        <v>0.571751332701947</v>
      </c>
      <c r="AL3064">
        <v>93.673458937346595</v>
      </c>
      <c r="AM3064">
        <v>91.735814546659199</v>
      </c>
      <c r="AN3064">
        <v>1.0000000318179301</v>
      </c>
    </row>
    <row r="3065" spans="1:40" x14ac:dyDescent="0.25">
      <c r="A3065" t="str">
        <f>"20190303154157885"</f>
        <v>20190303154157885</v>
      </c>
      <c r="B3065" t="str">
        <f>"1551598917872800"</f>
        <v>1551598917872800</v>
      </c>
      <c r="C3065" t="s">
        <v>40</v>
      </c>
      <c r="D3065">
        <v>5.6007669999999896</v>
      </c>
      <c r="E3065">
        <v>0.56901789999999997</v>
      </c>
      <c r="F3065" t="s">
        <v>42</v>
      </c>
      <c r="G3065">
        <v>-466.63279999999997</v>
      </c>
      <c r="H3065">
        <v>0.90772649999999999</v>
      </c>
      <c r="I3065">
        <v>284.77910000000003</v>
      </c>
      <c r="J3065">
        <v>-466.06450000000001</v>
      </c>
      <c r="K3065">
        <v>1.122628</v>
      </c>
      <c r="L3065">
        <v>284.64280000000002</v>
      </c>
      <c r="M3065">
        <v>-0.99950519999999998</v>
      </c>
      <c r="N3065">
        <v>-2.6504119999999999E-2</v>
      </c>
      <c r="O3065">
        <v>1.693975E-2</v>
      </c>
      <c r="P3065">
        <v>-0.99584260000000002</v>
      </c>
      <c r="Q3065">
        <v>-8.9974460000000006E-2</v>
      </c>
      <c r="R3065">
        <v>-1.423289E-2</v>
      </c>
      <c r="S3065">
        <v>-2.9467469999999998</v>
      </c>
      <c r="T3065">
        <v>-0.80314469999999905</v>
      </c>
      <c r="U3065">
        <v>0.52239990000000003</v>
      </c>
      <c r="V3065">
        <v>-3.1108319999999998E-2</v>
      </c>
      <c r="W3065">
        <v>-6.3557870000000002E-2</v>
      </c>
      <c r="X3065">
        <v>0.99749319999999997</v>
      </c>
      <c r="Y3065">
        <v>0.15239049999999901</v>
      </c>
      <c r="Z3065">
        <v>1.8259379999999999E-2</v>
      </c>
      <c r="AA3065">
        <v>0.98815169999999997</v>
      </c>
      <c r="AB3065">
        <v>23</v>
      </c>
      <c r="AC3065">
        <v>-0.56829999999996506</v>
      </c>
      <c r="AD3065">
        <v>-0.2149015</v>
      </c>
      <c r="AE3065">
        <v>0.136300000000005</v>
      </c>
      <c r="AF3065">
        <v>0.11156465321180301</v>
      </c>
      <c r="AG3065">
        <v>-0.2149015</v>
      </c>
      <c r="AH3065">
        <v>0.50257146306686495</v>
      </c>
      <c r="AI3065">
        <v>112.657710566197</v>
      </c>
      <c r="AJ3065">
        <v>77.484000979628902</v>
      </c>
      <c r="AK3065">
        <v>0.55785966159751099</v>
      </c>
      <c r="AL3065">
        <v>93.644053915156107</v>
      </c>
      <c r="AM3065">
        <v>91.786275772081297</v>
      </c>
      <c r="AN3065">
        <v>1.0000000072291899</v>
      </c>
    </row>
    <row r="3066" spans="1:40" x14ac:dyDescent="0.25">
      <c r="A3066" t="str">
        <f>"20190303154157902"</f>
        <v>20190303154157902</v>
      </c>
      <c r="B3066" t="str">
        <f>"1551598917892321"</f>
        <v>1551598917892321</v>
      </c>
      <c r="C3066" t="s">
        <v>40</v>
      </c>
      <c r="D3066">
        <v>5.4754880000000004</v>
      </c>
      <c r="E3066">
        <v>0.56910839999999996</v>
      </c>
      <c r="F3066" t="s">
        <v>42</v>
      </c>
      <c r="G3066">
        <v>-466.8356</v>
      </c>
      <c r="H3066">
        <v>0.91192669999999998</v>
      </c>
      <c r="I3066">
        <v>284.77879999999999</v>
      </c>
      <c r="J3066">
        <v>-466.22719999999998</v>
      </c>
      <c r="K3066">
        <v>1.1225959999999999</v>
      </c>
      <c r="L3066">
        <v>284.64550000000003</v>
      </c>
      <c r="M3066">
        <v>-0.99950380000000005</v>
      </c>
      <c r="N3066">
        <v>-2.6556320000000001E-2</v>
      </c>
      <c r="O3066">
        <v>1.694006E-2</v>
      </c>
      <c r="P3066">
        <v>-0.99575829999999999</v>
      </c>
      <c r="Q3066">
        <v>-9.07892E-2</v>
      </c>
      <c r="R3066">
        <v>-1.492803E-2</v>
      </c>
      <c r="S3066">
        <v>-2.9472049999999999</v>
      </c>
      <c r="T3066">
        <v>-0.80535100000000004</v>
      </c>
      <c r="U3066">
        <v>0.51788329999999905</v>
      </c>
      <c r="V3066">
        <v>-3.1802619999999997E-2</v>
      </c>
      <c r="W3066">
        <v>-6.4322790000000005E-2</v>
      </c>
      <c r="X3066">
        <v>0.99742229999999998</v>
      </c>
      <c r="Y3066">
        <v>0.15092340000000001</v>
      </c>
      <c r="Z3066">
        <v>1.8090180000000001E-2</v>
      </c>
      <c r="AA3066">
        <v>0.98838000000000004</v>
      </c>
      <c r="AB3066">
        <v>23</v>
      </c>
      <c r="AC3066">
        <v>-0.60840000000001704</v>
      </c>
      <c r="AD3066">
        <v>-0.210669299999999</v>
      </c>
      <c r="AE3066">
        <v>0.133299999999962</v>
      </c>
      <c r="AF3066">
        <v>0.110346262830155</v>
      </c>
      <c r="AG3066">
        <v>-0.210669299999999</v>
      </c>
      <c r="AH3066">
        <v>0.54788810408385702</v>
      </c>
      <c r="AI3066">
        <v>110.65356081664601</v>
      </c>
      <c r="AJ3066">
        <v>78.612798733655296</v>
      </c>
      <c r="AK3066">
        <v>0.59727650738973004</v>
      </c>
      <c r="AL3066">
        <v>93.6879703618458</v>
      </c>
      <c r="AM3066">
        <v>91.826246302093494</v>
      </c>
      <c r="AN3066">
        <v>1.0000000362447601</v>
      </c>
    </row>
    <row r="3067" spans="1:40" x14ac:dyDescent="0.25">
      <c r="A3067" t="str">
        <f>"20190303154157919"</f>
        <v>20190303154157919</v>
      </c>
      <c r="B3067" t="str">
        <f>"1551598917912819"</f>
        <v>1551598917912819</v>
      </c>
      <c r="C3067" t="s">
        <v>40</v>
      </c>
      <c r="D3067">
        <v>5.5141369999999998</v>
      </c>
      <c r="E3067">
        <v>0.54411969999999898</v>
      </c>
      <c r="F3067" t="s">
        <v>42</v>
      </c>
      <c r="G3067">
        <v>-467.03050000000002</v>
      </c>
      <c r="H3067">
        <v>0.90222469999999999</v>
      </c>
      <c r="I3067">
        <v>284.78680000000003</v>
      </c>
      <c r="J3067">
        <v>-466.40640000000002</v>
      </c>
      <c r="K3067">
        <v>1.1225480000000001</v>
      </c>
      <c r="L3067">
        <v>284.64859999999999</v>
      </c>
      <c r="M3067">
        <v>-0.99950360000000005</v>
      </c>
      <c r="N3067">
        <v>-2.6564339999999999E-2</v>
      </c>
      <c r="O3067">
        <v>1.694025E-2</v>
      </c>
      <c r="P3067">
        <v>-0.99544109999999997</v>
      </c>
      <c r="Q3067">
        <v>-9.4177200000000003E-2</v>
      </c>
      <c r="R3067">
        <v>-1.5098479999999999E-2</v>
      </c>
      <c r="S3067">
        <v>-2.9468380000000001</v>
      </c>
      <c r="T3067">
        <v>-0.80851289999999998</v>
      </c>
      <c r="U3067">
        <v>0.51681520000000003</v>
      </c>
      <c r="V3067">
        <v>-3.1968070000000001E-2</v>
      </c>
      <c r="W3067">
        <v>-6.7710080000000006E-2</v>
      </c>
      <c r="X3067">
        <v>0.99719270000000004</v>
      </c>
      <c r="Y3067">
        <v>0.15056929999999999</v>
      </c>
      <c r="Z3067">
        <v>1.810028E-2</v>
      </c>
      <c r="AA3067">
        <v>0.98843380000000003</v>
      </c>
      <c r="AB3067">
        <v>22</v>
      </c>
      <c r="AC3067">
        <v>-0.62409999999999799</v>
      </c>
      <c r="AD3067">
        <v>-0.220323299999999</v>
      </c>
      <c r="AE3067">
        <v>0.13820000000004001</v>
      </c>
      <c r="AF3067">
        <v>0.114054188213015</v>
      </c>
      <c r="AG3067">
        <v>-0.220323299999999</v>
      </c>
      <c r="AH3067">
        <v>0.55984217985821405</v>
      </c>
      <c r="AI3067">
        <v>111.087847823888</v>
      </c>
      <c r="AJ3067">
        <v>78.484963825345105</v>
      </c>
      <c r="AK3067">
        <v>0.612351190674287</v>
      </c>
      <c r="AL3067">
        <v>93.882472517170399</v>
      </c>
      <c r="AM3067">
        <v>91.836163068141204</v>
      </c>
      <c r="AN3067">
        <v>0.99999994668320902</v>
      </c>
    </row>
    <row r="3068" spans="1:40" x14ac:dyDescent="0.25">
      <c r="A3068" t="str">
        <f>"20190303154157935"</f>
        <v>20190303154157935</v>
      </c>
      <c r="B3068" t="str">
        <f>"1551598917932336"</f>
        <v>1551598917932336</v>
      </c>
      <c r="C3068" t="s">
        <v>40</v>
      </c>
      <c r="D3068">
        <v>5.4899509999999996</v>
      </c>
      <c r="E3068">
        <v>0.54264999999999997</v>
      </c>
      <c r="F3068" t="s">
        <v>42</v>
      </c>
      <c r="G3068">
        <v>-467.21210000000002</v>
      </c>
      <c r="H3068">
        <v>0.87005889999999997</v>
      </c>
      <c r="I3068">
        <v>284.73669999999998</v>
      </c>
      <c r="J3068">
        <v>-466.56290000000001</v>
      </c>
      <c r="K3068">
        <v>1.1225080000000001</v>
      </c>
      <c r="L3068">
        <v>284.65120000000002</v>
      </c>
      <c r="M3068">
        <v>-0.99950399999999995</v>
      </c>
      <c r="N3068">
        <v>-2.655126E-2</v>
      </c>
      <c r="O3068">
        <v>1.6940599999999899E-2</v>
      </c>
      <c r="P3068">
        <v>-0.99526289999999995</v>
      </c>
      <c r="Q3068">
        <v>-9.6013870000000001E-2</v>
      </c>
      <c r="R3068">
        <v>-1.5271109999999999E-2</v>
      </c>
      <c r="S3068">
        <v>-2.931702</v>
      </c>
      <c r="T3068">
        <v>-0.91866029999999999</v>
      </c>
      <c r="U3068">
        <v>0.31921389999999999</v>
      </c>
      <c r="V3068">
        <v>-3.2138E-2</v>
      </c>
      <c r="W3068">
        <v>-6.9563959999999994E-2</v>
      </c>
      <c r="X3068">
        <v>0.99705969999999999</v>
      </c>
      <c r="Y3068">
        <v>8.7534000000000001E-2</v>
      </c>
      <c r="Z3068">
        <v>9.8223200000000007E-3</v>
      </c>
      <c r="AA3068">
        <v>0.99611309999999997</v>
      </c>
      <c r="AB3068">
        <v>22</v>
      </c>
      <c r="AC3068">
        <v>-0.64920000000000699</v>
      </c>
      <c r="AD3068">
        <v>-0.25244909999999998</v>
      </c>
      <c r="AE3068">
        <v>8.5499999999967699E-2</v>
      </c>
      <c r="AF3068">
        <v>6.4847387202872295E-2</v>
      </c>
      <c r="AG3068">
        <v>-0.25244909999999998</v>
      </c>
      <c r="AH3068">
        <v>0.56637265778433399</v>
      </c>
      <c r="AI3068">
        <v>113.88551017021599</v>
      </c>
      <c r="AJ3068">
        <v>83.468307045608498</v>
      </c>
      <c r="AK3068">
        <v>0.62346910044006199</v>
      </c>
      <c r="AL3068">
        <v>93.988942833031302</v>
      </c>
      <c r="AM3068">
        <v>91.8461627327153</v>
      </c>
      <c r="AN3068">
        <v>1.0000000204694801</v>
      </c>
    </row>
    <row r="3069" spans="1:40" x14ac:dyDescent="0.25">
      <c r="A3069" t="str">
        <f>"20190303154157965"</f>
        <v>20190303154157965</v>
      </c>
      <c r="B3069" t="str">
        <f>"1551598917952833"</f>
        <v>1551598917952833</v>
      </c>
      <c r="C3069" t="s">
        <v>40</v>
      </c>
      <c r="D3069">
        <v>5.3982210000000004</v>
      </c>
      <c r="E3069">
        <v>0.54394469999999995</v>
      </c>
      <c r="F3069" t="s">
        <v>42</v>
      </c>
      <c r="G3069">
        <v>-467.23110000000003</v>
      </c>
      <c r="H3069">
        <v>0.91205570000000002</v>
      </c>
      <c r="I3069">
        <v>284.72160000000002</v>
      </c>
      <c r="J3069">
        <v>-466.84410000000003</v>
      </c>
      <c r="K3069">
        <v>1.1224639999999999</v>
      </c>
      <c r="L3069">
        <v>284.65600000000001</v>
      </c>
      <c r="M3069">
        <v>-0.99950530000000004</v>
      </c>
      <c r="N3069">
        <v>-2.649924E-2</v>
      </c>
      <c r="O3069">
        <v>1.6941299999999999E-2</v>
      </c>
      <c r="P3069">
        <v>-0.99487190000000003</v>
      </c>
      <c r="Q3069">
        <v>-0.10023990000000001</v>
      </c>
      <c r="R3069">
        <v>-1.3497449999999999E-2</v>
      </c>
      <c r="S3069">
        <v>-2.9299930000000001</v>
      </c>
      <c r="T3069">
        <v>-0.92283369999999998</v>
      </c>
      <c r="U3069">
        <v>0.30715940000000003</v>
      </c>
      <c r="V3069">
        <v>-3.0358530000000002E-2</v>
      </c>
      <c r="W3069">
        <v>-7.3850070000000004E-2</v>
      </c>
      <c r="X3069">
        <v>0.9968072</v>
      </c>
      <c r="Y3069">
        <v>8.3705790000000002E-2</v>
      </c>
      <c r="Z3069">
        <v>9.2213460000000001E-3</v>
      </c>
      <c r="AA3069">
        <v>0.99644790000000005</v>
      </c>
      <c r="AB3069">
        <v>22</v>
      </c>
      <c r="AC3069">
        <v>-0.38700000000000001</v>
      </c>
      <c r="AD3069">
        <v>-0.21040829999999999</v>
      </c>
      <c r="AE3069">
        <v>6.5600000000017603E-2</v>
      </c>
      <c r="AF3069">
        <v>4.5855674305016303E-2</v>
      </c>
      <c r="AG3069">
        <v>-0.21040829999999999</v>
      </c>
      <c r="AH3069">
        <v>0.30143954268492601</v>
      </c>
      <c r="AI3069">
        <v>124.608498200358</v>
      </c>
      <c r="AJ3069">
        <v>81.350348926692902</v>
      </c>
      <c r="AK3069">
        <v>0.37045943565923001</v>
      </c>
      <c r="AL3069">
        <v>94.235152786695494</v>
      </c>
      <c r="AM3069">
        <v>91.744447812729405</v>
      </c>
      <c r="AN3069">
        <v>1.0000000335773001</v>
      </c>
    </row>
    <row r="3070" spans="1:40" x14ac:dyDescent="0.25">
      <c r="A3070" t="str">
        <f>"20190303154157986"</f>
        <v>20190303154157986</v>
      </c>
      <c r="B3070" t="str">
        <f>"1551598917983090"</f>
        <v>1551598917983090</v>
      </c>
      <c r="C3070" t="s">
        <v>40</v>
      </c>
      <c r="D3070">
        <v>5.37005</v>
      </c>
      <c r="E3070">
        <v>0.54501519999999903</v>
      </c>
      <c r="F3070" t="s">
        <v>42</v>
      </c>
      <c r="G3070">
        <v>-467.60480000000001</v>
      </c>
      <c r="H3070">
        <v>0.88218940000000001</v>
      </c>
      <c r="I3070">
        <v>284.74009999999998</v>
      </c>
      <c r="J3070">
        <v>-467.05020000000002</v>
      </c>
      <c r="K3070">
        <v>1.122458</v>
      </c>
      <c r="L3070">
        <v>284.65949999999998</v>
      </c>
      <c r="M3070">
        <v>-0.99950729999999999</v>
      </c>
      <c r="N3070">
        <v>-2.6426669999999999E-2</v>
      </c>
      <c r="O3070">
        <v>1.69418E-2</v>
      </c>
      <c r="P3070">
        <v>-0.99497950000000002</v>
      </c>
      <c r="Q3070">
        <v>-9.9361270000000002E-2</v>
      </c>
      <c r="R3070">
        <v>-1.197733E-2</v>
      </c>
      <c r="S3070">
        <v>-2.9266969999999999</v>
      </c>
      <c r="T3070">
        <v>-0.92435849999999997</v>
      </c>
      <c r="U3070">
        <v>0.32192989999999999</v>
      </c>
      <c r="V3070">
        <v>-2.884111E-2</v>
      </c>
      <c r="W3070">
        <v>-7.3040599999999997E-2</v>
      </c>
      <c r="X3070">
        <v>0.99691189999999996</v>
      </c>
      <c r="Y3070">
        <v>8.8524530000000004E-2</v>
      </c>
      <c r="Z3070">
        <v>1.00418E-2</v>
      </c>
      <c r="AA3070">
        <v>0.9960234</v>
      </c>
      <c r="AB3070">
        <v>22</v>
      </c>
      <c r="AC3070">
        <v>-0.55459999999999299</v>
      </c>
      <c r="AD3070">
        <v>-0.240268599999999</v>
      </c>
      <c r="AE3070">
        <v>8.0600000000004002E-2</v>
      </c>
      <c r="AF3070">
        <v>6.0135937696524498E-2</v>
      </c>
      <c r="AG3070">
        <v>-0.240268599999999</v>
      </c>
      <c r="AH3070">
        <v>0.46957595235405902</v>
      </c>
      <c r="AI3070">
        <v>116.909001755128</v>
      </c>
      <c r="AJ3070">
        <v>82.702176341369395</v>
      </c>
      <c r="AK3070">
        <v>0.53089255615220499</v>
      </c>
      <c r="AL3070">
        <v>94.188647957234195</v>
      </c>
      <c r="AM3070">
        <v>91.657130471252998</v>
      </c>
      <c r="AN3070">
        <v>1.000000037618</v>
      </c>
    </row>
    <row r="3071" spans="1:40" x14ac:dyDescent="0.25">
      <c r="A3071" t="str">
        <f>"20190303154158008"</f>
        <v>20190303154158008</v>
      </c>
      <c r="B3071" t="str">
        <f>"1551598918002612"</f>
        <v>1551598918002612</v>
      </c>
      <c r="C3071" t="s">
        <v>40</v>
      </c>
      <c r="D3071">
        <v>5.347397</v>
      </c>
      <c r="E3071">
        <v>0.5453808</v>
      </c>
      <c r="F3071" t="s">
        <v>42</v>
      </c>
      <c r="G3071">
        <v>-467.79880000000003</v>
      </c>
      <c r="H3071">
        <v>0.89012269999999905</v>
      </c>
      <c r="I3071">
        <v>284.74509999999998</v>
      </c>
      <c r="J3071">
        <v>-467.2647</v>
      </c>
      <c r="K3071">
        <v>1.1224559999999999</v>
      </c>
      <c r="L3071">
        <v>284.66309999999999</v>
      </c>
      <c r="M3071">
        <v>-0.99950989999999995</v>
      </c>
      <c r="N3071">
        <v>-2.6324630000000002E-2</v>
      </c>
      <c r="O3071">
        <v>1.6942329999999999E-2</v>
      </c>
      <c r="P3071">
        <v>-0.99528799999999995</v>
      </c>
      <c r="Q3071">
        <v>-9.6319929999999998E-2</v>
      </c>
      <c r="R3071">
        <v>-1.116255E-2</v>
      </c>
      <c r="S3071">
        <v>-2.928436</v>
      </c>
      <c r="T3071">
        <v>-0.90882529999999995</v>
      </c>
      <c r="U3071">
        <v>0.33447270000000001</v>
      </c>
      <c r="V3071">
        <v>-2.8032270000000001E-2</v>
      </c>
      <c r="W3071">
        <v>-7.0093619999999995E-2</v>
      </c>
      <c r="X3071">
        <v>0.99714650000000005</v>
      </c>
      <c r="Y3071">
        <v>9.2595200000000003E-2</v>
      </c>
      <c r="Z3071">
        <v>1.0563919999999999E-2</v>
      </c>
      <c r="AA3071">
        <v>0.99564779999999997</v>
      </c>
      <c r="AB3071">
        <v>22</v>
      </c>
      <c r="AC3071">
        <v>-0.534100000000023</v>
      </c>
      <c r="AD3071">
        <v>-0.23233329999999999</v>
      </c>
      <c r="AE3071">
        <v>8.1999999999993606E-2</v>
      </c>
      <c r="AF3071">
        <v>6.1556427314967702E-2</v>
      </c>
      <c r="AG3071">
        <v>-0.23233329999999999</v>
      </c>
      <c r="AH3071">
        <v>0.45187601856512899</v>
      </c>
      <c r="AI3071">
        <v>116.996457374572</v>
      </c>
      <c r="AJ3071">
        <v>82.242680112598407</v>
      </c>
      <c r="AK3071">
        <v>0.511820175634906</v>
      </c>
      <c r="AL3071">
        <v>94.019364323782597</v>
      </c>
      <c r="AM3071">
        <v>91.610302846040199</v>
      </c>
      <c r="AN3071">
        <v>1.0000000330941501</v>
      </c>
    </row>
    <row r="3072" spans="1:40" x14ac:dyDescent="0.25">
      <c r="A3072" t="str">
        <f>"20190303154158030"</f>
        <v>20190303154158030</v>
      </c>
      <c r="B3072" t="str">
        <f>"1551598918023104"</f>
        <v>1551598918023104</v>
      </c>
      <c r="C3072" t="s">
        <v>40</v>
      </c>
      <c r="D3072">
        <v>5.3119800000000001</v>
      </c>
      <c r="E3072">
        <v>0.54559119999999905</v>
      </c>
      <c r="F3072" t="s">
        <v>42</v>
      </c>
      <c r="G3072">
        <v>-467.99220000000003</v>
      </c>
      <c r="H3072">
        <v>0.90043039999999996</v>
      </c>
      <c r="I3072">
        <v>284.74799999999999</v>
      </c>
      <c r="J3072">
        <v>-467.476</v>
      </c>
      <c r="K3072">
        <v>1.12246</v>
      </c>
      <c r="L3072">
        <v>284.66669999999999</v>
      </c>
      <c r="M3072">
        <v>-0.99951299999999998</v>
      </c>
      <c r="N3072">
        <v>-2.6212050000000001E-2</v>
      </c>
      <c r="O3072">
        <v>1.6942459999999999E-2</v>
      </c>
      <c r="P3072">
        <v>-0.99556230000000001</v>
      </c>
      <c r="Q3072">
        <v>-9.3339909999999998E-2</v>
      </c>
      <c r="R3072">
        <v>-1.1992559999999999E-2</v>
      </c>
      <c r="S3072">
        <v>-2.9314269999999998</v>
      </c>
      <c r="T3072">
        <v>-0.89462830000000004</v>
      </c>
      <c r="U3072">
        <v>0.33987430000000002</v>
      </c>
      <c r="V3072">
        <v>-2.8866260000000001E-2</v>
      </c>
      <c r="W3072">
        <v>-6.7220059999999998E-2</v>
      </c>
      <c r="X3072">
        <v>0.99732050000000005</v>
      </c>
      <c r="Y3072">
        <v>9.433126E-2</v>
      </c>
      <c r="Z3072">
        <v>1.069577E-2</v>
      </c>
      <c r="AA3072">
        <v>0.99548340000000002</v>
      </c>
      <c r="AB3072">
        <v>21</v>
      </c>
      <c r="AC3072">
        <v>-0.51620000000002597</v>
      </c>
      <c r="AD3072">
        <v>-0.22202959999999999</v>
      </c>
      <c r="AE3072">
        <v>8.1299999999998804E-2</v>
      </c>
      <c r="AF3072">
        <v>6.1446763971266499E-2</v>
      </c>
      <c r="AG3072">
        <v>-0.22202959999999999</v>
      </c>
      <c r="AH3072">
        <v>0.43836638164267799</v>
      </c>
      <c r="AI3072">
        <v>116.63786285789701</v>
      </c>
      <c r="AJ3072">
        <v>82.0207152342049</v>
      </c>
      <c r="AK3072">
        <v>0.49521503675998702</v>
      </c>
      <c r="AL3072">
        <v>93.854332162205097</v>
      </c>
      <c r="AM3072">
        <v>91.657895578887903</v>
      </c>
      <c r="AN3072">
        <v>0.99999998857651995</v>
      </c>
    </row>
    <row r="3073" spans="1:40" x14ac:dyDescent="0.25">
      <c r="A3073" t="str">
        <f>"20190303154158052"</f>
        <v>20190303154158052</v>
      </c>
      <c r="B3073" t="str">
        <f>"1551598918042624"</f>
        <v>1551598918042624</v>
      </c>
      <c r="C3073" t="s">
        <v>40</v>
      </c>
      <c r="D3073">
        <v>5.3150240000000002</v>
      </c>
      <c r="E3073">
        <v>0.545852</v>
      </c>
      <c r="F3073" t="s">
        <v>42</v>
      </c>
      <c r="G3073">
        <v>-468.18299999999999</v>
      </c>
      <c r="H3073">
        <v>0.90900020000000004</v>
      </c>
      <c r="I3073">
        <v>284.74869999999999</v>
      </c>
      <c r="J3073">
        <v>-467.67689999999999</v>
      </c>
      <c r="K3073">
        <v>1.1224559999999999</v>
      </c>
      <c r="L3073">
        <v>284.67009999999999</v>
      </c>
      <c r="M3073">
        <v>-0.99951619999999997</v>
      </c>
      <c r="N3073">
        <v>-2.608154E-2</v>
      </c>
      <c r="O3073">
        <v>1.6943059999999999E-2</v>
      </c>
      <c r="P3073">
        <v>-0.99575009999999997</v>
      </c>
      <c r="Q3073">
        <v>-9.1081460000000003E-2</v>
      </c>
      <c r="R3073">
        <v>-1.3640599999999999E-2</v>
      </c>
      <c r="S3073">
        <v>-2.9343870000000001</v>
      </c>
      <c r="T3073">
        <v>-0.88599039999999996</v>
      </c>
      <c r="U3073">
        <v>0.33978269999999999</v>
      </c>
      <c r="V3073">
        <v>-3.0517880000000001E-2</v>
      </c>
      <c r="W3073">
        <v>-6.5088370000000006E-2</v>
      </c>
      <c r="X3073">
        <v>0.99741270000000004</v>
      </c>
      <c r="Y3073">
        <v>9.4268370000000004E-2</v>
      </c>
      <c r="Z3073">
        <v>1.0584949999999999E-2</v>
      </c>
      <c r="AA3073">
        <v>0.9954906</v>
      </c>
      <c r="AB3073">
        <v>21</v>
      </c>
      <c r="AC3073">
        <v>-0.50610000000005995</v>
      </c>
      <c r="AD3073">
        <v>-0.213455799999999</v>
      </c>
      <c r="AE3073">
        <v>7.8599999999994397E-2</v>
      </c>
      <c r="AF3073">
        <v>5.9649896194908798E-2</v>
      </c>
      <c r="AG3073">
        <v>-0.213455799999999</v>
      </c>
      <c r="AH3073">
        <v>0.432274638982869</v>
      </c>
      <c r="AI3073">
        <v>116.06610094702199</v>
      </c>
      <c r="AJ3073">
        <v>82.143329863846006</v>
      </c>
      <c r="AK3073">
        <v>0.48578066262200398</v>
      </c>
      <c r="AL3073">
        <v>93.731927244118296</v>
      </c>
      <c r="AM3073">
        <v>91.752534712393995</v>
      </c>
      <c r="AN3073">
        <v>0.99999996551512005</v>
      </c>
    </row>
    <row r="3074" spans="1:40" x14ac:dyDescent="0.25">
      <c r="A3074" t="str">
        <f>"20190303154158074"</f>
        <v>20190303154158074</v>
      </c>
      <c r="B3074" t="str">
        <f>"1551598918063121"</f>
        <v>1551598918063121</v>
      </c>
      <c r="C3074" t="s">
        <v>40</v>
      </c>
      <c r="D3074">
        <v>5.3596149999999998</v>
      </c>
      <c r="E3074">
        <v>0.54556969999999905</v>
      </c>
      <c r="F3074" t="s">
        <v>42</v>
      </c>
      <c r="G3074">
        <v>-468.37119999999999</v>
      </c>
      <c r="H3074">
        <v>0.91560280000000005</v>
      </c>
      <c r="I3074">
        <v>284.75069999999999</v>
      </c>
      <c r="J3074">
        <v>-467.88119999999998</v>
      </c>
      <c r="K3074">
        <v>1.1224379999999901</v>
      </c>
      <c r="L3074">
        <v>284.67360000000002</v>
      </c>
      <c r="M3074">
        <v>-0.9995212</v>
      </c>
      <c r="N3074">
        <v>-2.5890739999999999E-2</v>
      </c>
      <c r="O3074">
        <v>1.6943369999999999E-2</v>
      </c>
      <c r="P3074">
        <v>-0.99585630000000003</v>
      </c>
      <c r="Q3074">
        <v>-8.9610319999999993E-2</v>
      </c>
      <c r="R3074">
        <v>-1.5497729999999999E-2</v>
      </c>
      <c r="S3074">
        <v>-2.937408</v>
      </c>
      <c r="T3074">
        <v>-0.87507309999999905</v>
      </c>
      <c r="U3074">
        <v>0.33810420000000002</v>
      </c>
      <c r="V3074">
        <v>-3.2376799999999997E-2</v>
      </c>
      <c r="W3074">
        <v>-6.3806089999999996E-2</v>
      </c>
      <c r="X3074">
        <v>0.99743700000000002</v>
      </c>
      <c r="Y3074">
        <v>9.3714160000000005E-2</v>
      </c>
      <c r="Z3074">
        <v>1.03707E-2</v>
      </c>
      <c r="AA3074">
        <v>0.99554509999999996</v>
      </c>
      <c r="AB3074">
        <v>21</v>
      </c>
      <c r="AC3074">
        <v>-0.49000000000000898</v>
      </c>
      <c r="AD3074">
        <v>-0.206835199999999</v>
      </c>
      <c r="AE3074">
        <v>7.7099999999972996E-2</v>
      </c>
      <c r="AF3074">
        <v>5.859561766311E-2</v>
      </c>
      <c r="AG3074">
        <v>-0.206835199999999</v>
      </c>
      <c r="AH3074">
        <v>0.41847443537060502</v>
      </c>
      <c r="AI3074">
        <v>116.081050004448</v>
      </c>
      <c r="AJ3074">
        <v>82.029154639360797</v>
      </c>
      <c r="AK3074">
        <v>0.47046264402937199</v>
      </c>
      <c r="AL3074">
        <v>93.658304746546605</v>
      </c>
      <c r="AM3074">
        <v>91.859167926446403</v>
      </c>
      <c r="AN3074">
        <v>1.00000002163416</v>
      </c>
    </row>
    <row r="3075" spans="1:40" x14ac:dyDescent="0.25">
      <c r="A3075" t="str">
        <f>"20190303154158098"</f>
        <v>20190303154158098</v>
      </c>
      <c r="B3075" t="str">
        <f>"1551598918092400"</f>
        <v>1551598918092400</v>
      </c>
      <c r="C3075" t="s">
        <v>40</v>
      </c>
      <c r="D3075">
        <v>5.3346770000000001</v>
      </c>
      <c r="E3075">
        <v>0.54584049999999995</v>
      </c>
      <c r="F3075" t="s">
        <v>42</v>
      </c>
      <c r="G3075">
        <v>-468.55779999999999</v>
      </c>
      <c r="H3075">
        <v>0.92200090000000001</v>
      </c>
      <c r="I3075">
        <v>284.75009999999997</v>
      </c>
      <c r="J3075">
        <v>-468.08780000000002</v>
      </c>
      <c r="K3075">
        <v>1.122406</v>
      </c>
      <c r="L3075">
        <v>284.6771</v>
      </c>
      <c r="M3075">
        <v>-0.99952859999999999</v>
      </c>
      <c r="N3075">
        <v>-2.5607520000000002E-2</v>
      </c>
      <c r="O3075">
        <v>1.694356E-2</v>
      </c>
      <c r="P3075">
        <v>-0.99592239999999999</v>
      </c>
      <c r="Q3075">
        <v>-8.8678019999999996E-2</v>
      </c>
      <c r="R3075">
        <v>-1.6584680000000001E-2</v>
      </c>
      <c r="S3075">
        <v>-2.9392399999999999</v>
      </c>
      <c r="T3075">
        <v>-0.87070569999999903</v>
      </c>
      <c r="U3075">
        <v>0.33013920000000002</v>
      </c>
      <c r="V3075">
        <v>-3.3464470000000003E-2</v>
      </c>
      <c r="W3075">
        <v>-6.3155429999999999E-2</v>
      </c>
      <c r="X3075">
        <v>0.99744250000000001</v>
      </c>
      <c r="Y3075">
        <v>9.1141760000000002E-2</v>
      </c>
      <c r="Z3075">
        <v>9.9007379999999992E-3</v>
      </c>
      <c r="AA3075">
        <v>0.99578869999999997</v>
      </c>
      <c r="AB3075">
        <v>21</v>
      </c>
      <c r="AC3075">
        <v>-0.46999999999997</v>
      </c>
      <c r="AD3075">
        <v>-0.2004051</v>
      </c>
      <c r="AE3075">
        <v>7.2999999999978998E-2</v>
      </c>
      <c r="AF3075">
        <v>5.5220236867063101E-2</v>
      </c>
      <c r="AG3075">
        <v>-0.2004051</v>
      </c>
      <c r="AH3075">
        <v>0.40013433104891799</v>
      </c>
      <c r="AI3075">
        <v>116.387953527308</v>
      </c>
      <c r="AJ3075">
        <v>82.1425703124129</v>
      </c>
      <c r="AK3075">
        <v>0.45090903910836599</v>
      </c>
      <c r="AL3075">
        <v>93.620949373623006</v>
      </c>
      <c r="AM3075">
        <v>91.921568379559503</v>
      </c>
      <c r="AN3075">
        <v>1.00000000994855</v>
      </c>
    </row>
    <row r="3076" spans="1:40" x14ac:dyDescent="0.25">
      <c r="A3076" t="str">
        <f>"20190303154158120"</f>
        <v>20190303154158120</v>
      </c>
      <c r="B3076" t="str">
        <f>"1551598918112901"</f>
        <v>1551598918112901</v>
      </c>
      <c r="C3076" t="s">
        <v>40</v>
      </c>
      <c r="D3076">
        <v>5.2824359999999997</v>
      </c>
      <c r="E3076">
        <v>0.54578349999999998</v>
      </c>
      <c r="F3076" t="s">
        <v>42</v>
      </c>
      <c r="G3076">
        <v>-468.90129999999999</v>
      </c>
      <c r="H3076">
        <v>0.88319590000000003</v>
      </c>
      <c r="I3076">
        <v>284.76850000000002</v>
      </c>
      <c r="J3076">
        <v>-468.28800000000001</v>
      </c>
      <c r="K3076">
        <v>1.122368</v>
      </c>
      <c r="L3076">
        <v>284.68049999999999</v>
      </c>
      <c r="M3076">
        <v>-0.99953749999999997</v>
      </c>
      <c r="N3076">
        <v>-2.5260299999999999E-2</v>
      </c>
      <c r="O3076">
        <v>1.6944230000000001E-2</v>
      </c>
      <c r="P3076">
        <v>-0.99593969999999998</v>
      </c>
      <c r="Q3076">
        <v>-8.8129540000000006E-2</v>
      </c>
      <c r="R3076">
        <v>-1.8366029999999998E-2</v>
      </c>
      <c r="S3076">
        <v>-2.9407350000000001</v>
      </c>
      <c r="T3076">
        <v>-0.86481379999999997</v>
      </c>
      <c r="U3076">
        <v>0.32952880000000001</v>
      </c>
      <c r="V3076">
        <v>-3.5247000000000001E-2</v>
      </c>
      <c r="W3076">
        <v>-6.2953809999999999E-2</v>
      </c>
      <c r="X3076">
        <v>0.9973938</v>
      </c>
      <c r="Y3076">
        <v>9.094439E-2</v>
      </c>
      <c r="Z3076">
        <v>9.7897339999999996E-3</v>
      </c>
      <c r="AA3076">
        <v>0.99580780000000002</v>
      </c>
      <c r="AB3076">
        <v>20</v>
      </c>
      <c r="AC3076">
        <v>-0.61329999999998097</v>
      </c>
      <c r="AD3076">
        <v>-0.2391721</v>
      </c>
      <c r="AE3076">
        <v>8.8000000000022199E-2</v>
      </c>
      <c r="AF3076">
        <v>6.7529382413937897E-2</v>
      </c>
      <c r="AG3076">
        <v>-0.2391721</v>
      </c>
      <c r="AH3076">
        <v>0.53498384601567395</v>
      </c>
      <c r="AI3076">
        <v>113.919419942011</v>
      </c>
      <c r="AJ3076">
        <v>82.805776262215204</v>
      </c>
      <c r="AK3076">
        <v>0.58989085974046096</v>
      </c>
      <c r="AL3076">
        <v>93.609374535901594</v>
      </c>
      <c r="AM3076">
        <v>92.023939072509705</v>
      </c>
      <c r="AN3076">
        <v>0.99999996274047698</v>
      </c>
    </row>
    <row r="3077" spans="1:40" x14ac:dyDescent="0.25">
      <c r="A3077" t="str">
        <f>"20190303154158142"</f>
        <v>20190303154158142</v>
      </c>
      <c r="B3077" t="str">
        <f>"1551598918132417"</f>
        <v>1551598918132417</v>
      </c>
      <c r="C3077" t="s">
        <v>40</v>
      </c>
      <c r="D3077">
        <v>5.2851650000000001</v>
      </c>
      <c r="E3077">
        <v>0.54613420000000001</v>
      </c>
      <c r="F3077" t="s">
        <v>42</v>
      </c>
      <c r="G3077">
        <v>-469.08269999999999</v>
      </c>
      <c r="H3077">
        <v>0.88937520000000003</v>
      </c>
      <c r="I3077">
        <v>284.76830000000001</v>
      </c>
      <c r="J3077">
        <v>-468.48750000000001</v>
      </c>
      <c r="K3077">
        <v>1.1223190000000001</v>
      </c>
      <c r="L3077">
        <v>284.68389999999999</v>
      </c>
      <c r="M3077">
        <v>-0.99954739999999997</v>
      </c>
      <c r="N3077">
        <v>-2.4863380000000001E-2</v>
      </c>
      <c r="O3077">
        <v>1.6944750000000001E-2</v>
      </c>
      <c r="P3077">
        <v>-0.99595480000000003</v>
      </c>
      <c r="Q3077">
        <v>-8.7495790000000004E-2</v>
      </c>
      <c r="R3077">
        <v>-2.0467719999999998E-2</v>
      </c>
      <c r="S3077">
        <v>-2.9418639999999998</v>
      </c>
      <c r="T3077">
        <v>-0.8625448</v>
      </c>
      <c r="U3077">
        <v>0.32369999999999999</v>
      </c>
      <c r="V3077">
        <v>-3.7349130000000001E-2</v>
      </c>
      <c r="W3077">
        <v>-6.2716690000000005E-2</v>
      </c>
      <c r="X3077">
        <v>0.99733229999999995</v>
      </c>
      <c r="Y3077">
        <v>8.9063660000000003E-2</v>
      </c>
      <c r="Z3077">
        <v>9.4482379999999994E-3</v>
      </c>
      <c r="AA3077">
        <v>0.99598109999999995</v>
      </c>
      <c r="AB3077">
        <v>20</v>
      </c>
      <c r="AC3077">
        <v>-0.59519999999997697</v>
      </c>
      <c r="AD3077">
        <v>-0.23294380000000001</v>
      </c>
      <c r="AE3077">
        <v>8.4400000000016406E-2</v>
      </c>
      <c r="AF3077">
        <v>6.4599510577126096E-2</v>
      </c>
      <c r="AG3077">
        <v>-0.23294380000000001</v>
      </c>
      <c r="AH3077">
        <v>0.51866638659467201</v>
      </c>
      <c r="AI3077">
        <v>114.021442847646</v>
      </c>
      <c r="AJ3077">
        <v>82.900413686090602</v>
      </c>
      <c r="AK3077">
        <v>0.57223310923820103</v>
      </c>
      <c r="AL3077">
        <v>93.595761422520695</v>
      </c>
      <c r="AM3077">
        <v>92.144669317181993</v>
      </c>
      <c r="AN3077">
        <v>1.0000000286698001</v>
      </c>
    </row>
    <row r="3078" spans="1:40" x14ac:dyDescent="0.25">
      <c r="A3078" t="str">
        <f>"20190303154158164"</f>
        <v>20190303154158164</v>
      </c>
      <c r="B3078" t="str">
        <f>"1551598918152912"</f>
        <v>1551598918152912</v>
      </c>
      <c r="C3078" t="s">
        <v>40</v>
      </c>
      <c r="D3078">
        <v>5.3736100000000002</v>
      </c>
      <c r="E3078">
        <v>0.5648377</v>
      </c>
      <c r="F3078" t="s">
        <v>42</v>
      </c>
      <c r="G3078">
        <v>-469.26299999999998</v>
      </c>
      <c r="H3078">
        <v>0.89573860000000005</v>
      </c>
      <c r="I3078">
        <v>284.76830000000001</v>
      </c>
      <c r="J3078">
        <v>-468.68619999999999</v>
      </c>
      <c r="K3078">
        <v>1.1222700000000001</v>
      </c>
      <c r="L3078">
        <v>284.68729999999999</v>
      </c>
      <c r="M3078">
        <v>-0.99955729999999998</v>
      </c>
      <c r="N3078">
        <v>-2.4453409999999998E-2</v>
      </c>
      <c r="O3078">
        <v>1.6945700000000001E-2</v>
      </c>
      <c r="P3078">
        <v>-0.99592029999999998</v>
      </c>
      <c r="Q3078">
        <v>-8.7512820000000005E-2</v>
      </c>
      <c r="R3078">
        <v>-2.2002629999999999E-2</v>
      </c>
      <c r="S3078">
        <v>-2.9432369999999999</v>
      </c>
      <c r="T3078">
        <v>-0.85994889999999902</v>
      </c>
      <c r="U3078">
        <v>0.3196716</v>
      </c>
      <c r="V3078">
        <v>-3.8883639999999997E-2</v>
      </c>
      <c r="W3078">
        <v>-6.3144149999999996E-2</v>
      </c>
      <c r="X3078">
        <v>0.99724659999999998</v>
      </c>
      <c r="Y3078">
        <v>8.7752769999999994E-2</v>
      </c>
      <c r="Z3078">
        <v>9.1929639999999996E-3</v>
      </c>
      <c r="AA3078">
        <v>0.99609990000000004</v>
      </c>
      <c r="AB3078">
        <v>20</v>
      </c>
      <c r="AC3078">
        <v>-0.57680000000004805</v>
      </c>
      <c r="AD3078">
        <v>-0.22653139999999999</v>
      </c>
      <c r="AE3078">
        <v>8.1000000000017197E-2</v>
      </c>
      <c r="AF3078">
        <v>6.1854955615139699E-2</v>
      </c>
      <c r="AG3078">
        <v>-0.22653139999999999</v>
      </c>
      <c r="AH3078">
        <v>0.50213675401831603</v>
      </c>
      <c r="AI3078">
        <v>114.120474637887</v>
      </c>
      <c r="AJ3078">
        <v>82.977483856211805</v>
      </c>
      <c r="AK3078">
        <v>0.55433187753922397</v>
      </c>
      <c r="AL3078">
        <v>93.620301997748797</v>
      </c>
      <c r="AM3078">
        <v>92.232888520173901</v>
      </c>
      <c r="AN3078">
        <v>0.99999995117521401</v>
      </c>
    </row>
    <row r="3079" spans="1:40" x14ac:dyDescent="0.25">
      <c r="A3079" t="str">
        <f>"20190303154158188"</f>
        <v>20190303154158188</v>
      </c>
      <c r="B3079" t="str">
        <f>"1551598918183168"</f>
        <v>1551598918183168</v>
      </c>
      <c r="C3079" t="s">
        <v>40</v>
      </c>
      <c r="D3079">
        <v>5.3279230000000002</v>
      </c>
      <c r="E3079">
        <v>0.56529929999999995</v>
      </c>
      <c r="F3079" t="s">
        <v>42</v>
      </c>
      <c r="G3079">
        <v>-469.4436</v>
      </c>
      <c r="H3079">
        <v>0.9045031</v>
      </c>
      <c r="I3079">
        <v>284.80700000000002</v>
      </c>
      <c r="J3079">
        <v>-468.88729999999998</v>
      </c>
      <c r="K3079">
        <v>1.122225</v>
      </c>
      <c r="L3079">
        <v>284.69060000000002</v>
      </c>
      <c r="M3079">
        <v>-0.99956739999999999</v>
      </c>
      <c r="N3079">
        <v>-2.4039520000000002E-2</v>
      </c>
      <c r="O3079">
        <v>1.694644E-2</v>
      </c>
      <c r="P3079">
        <v>-0.99578359999999999</v>
      </c>
      <c r="Q3079">
        <v>-8.8874129999999996E-2</v>
      </c>
      <c r="R3079">
        <v>-2.272855E-2</v>
      </c>
      <c r="S3079">
        <v>-2.948029</v>
      </c>
      <c r="T3079">
        <v>-0.84762320000000002</v>
      </c>
      <c r="U3079">
        <v>0.46347050000000001</v>
      </c>
      <c r="V3079">
        <v>-3.96076E-2</v>
      </c>
      <c r="W3079">
        <v>-6.4921549999999995E-2</v>
      </c>
      <c r="X3079">
        <v>0.99710399999999999</v>
      </c>
      <c r="Y3079">
        <v>0.13336099999999901</v>
      </c>
      <c r="Z3079">
        <v>1.5981499999999999E-2</v>
      </c>
      <c r="AA3079">
        <v>0.99093869999999895</v>
      </c>
      <c r="AB3079">
        <v>20</v>
      </c>
      <c r="AC3079">
        <v>-0.556300000000021</v>
      </c>
      <c r="AD3079">
        <v>-0.2177219</v>
      </c>
      <c r="AE3079">
        <v>0.11639999999999801</v>
      </c>
      <c r="AF3079">
        <v>9.3266441887027596E-2</v>
      </c>
      <c r="AG3079">
        <v>-0.2177219</v>
      </c>
      <c r="AH3079">
        <v>0.48676123571152502</v>
      </c>
      <c r="AI3079">
        <v>113.715673885638</v>
      </c>
      <c r="AJ3079">
        <v>79.153240399827496</v>
      </c>
      <c r="AK3079">
        <v>0.54132980290511201</v>
      </c>
      <c r="AL3079">
        <v>93.722348855705903</v>
      </c>
      <c r="AM3079">
        <v>92.274743510194298</v>
      </c>
      <c r="AN3079">
        <v>0.99999997822408104</v>
      </c>
    </row>
    <row r="3080" spans="1:40" x14ac:dyDescent="0.25">
      <c r="A3080" t="str">
        <f>"20190303154158210"</f>
        <v>20190303154158210</v>
      </c>
      <c r="B3080" t="str">
        <f>"1551598918202689"</f>
        <v>1551598918202689</v>
      </c>
      <c r="C3080" t="s">
        <v>40</v>
      </c>
      <c r="D3080">
        <v>5.354908</v>
      </c>
      <c r="E3080">
        <v>0.56558969999999997</v>
      </c>
      <c r="F3080" t="s">
        <v>42</v>
      </c>
      <c r="G3080">
        <v>-469.62009999999998</v>
      </c>
      <c r="H3080">
        <v>0.90848720000000005</v>
      </c>
      <c r="I3080">
        <v>284.8064</v>
      </c>
      <c r="J3080">
        <v>-469.07929999999999</v>
      </c>
      <c r="K3080">
        <v>1.122187</v>
      </c>
      <c r="L3080">
        <v>284.69389999999999</v>
      </c>
      <c r="M3080">
        <v>-0.9995771</v>
      </c>
      <c r="N3080">
        <v>-2.363415E-2</v>
      </c>
      <c r="O3080">
        <v>1.6946820000000001E-2</v>
      </c>
      <c r="P3080">
        <v>-0.99574269999999998</v>
      </c>
      <c r="Q3080">
        <v>-8.927359E-2</v>
      </c>
      <c r="R3080">
        <v>-2.2955159999999999E-2</v>
      </c>
      <c r="S3080">
        <v>-2.946625</v>
      </c>
      <c r="T3080">
        <v>-0.85934319999999897</v>
      </c>
      <c r="U3080">
        <v>0.463501</v>
      </c>
      <c r="V3080">
        <v>-3.9833710000000001E-2</v>
      </c>
      <c r="W3080">
        <v>-6.5726229999999997E-2</v>
      </c>
      <c r="X3080">
        <v>0.99704230000000005</v>
      </c>
      <c r="Y3080">
        <v>0.1333165</v>
      </c>
      <c r="Z3080">
        <v>1.6132239999999999E-2</v>
      </c>
      <c r="AA3080">
        <v>0.9909422</v>
      </c>
      <c r="AB3080">
        <v>20</v>
      </c>
      <c r="AC3080">
        <v>-0.54079999999998996</v>
      </c>
      <c r="AD3080">
        <v>-0.2136998</v>
      </c>
      <c r="AE3080">
        <v>0.11250000000001099</v>
      </c>
      <c r="AF3080">
        <v>8.9866124578288298E-2</v>
      </c>
      <c r="AG3080">
        <v>-0.2136998</v>
      </c>
      <c r="AH3080">
        <v>0.47198682618565002</v>
      </c>
      <c r="AI3080">
        <v>113.97835996116601</v>
      </c>
      <c r="AJ3080">
        <v>79.219934325950405</v>
      </c>
      <c r="AK3080">
        <v>0.52584702049128695</v>
      </c>
      <c r="AL3080">
        <v>93.7685522105823</v>
      </c>
      <c r="AM3080">
        <v>92.287857120594396</v>
      </c>
      <c r="AN3080">
        <v>1.00000000487583</v>
      </c>
    </row>
    <row r="3081" spans="1:40" x14ac:dyDescent="0.25">
      <c r="A3081" t="str">
        <f>"20190303154158231"</f>
        <v>20190303154158231</v>
      </c>
      <c r="B3081" t="str">
        <f>"1551598918222209"</f>
        <v>1551598918222209</v>
      </c>
      <c r="C3081" t="s">
        <v>40</v>
      </c>
      <c r="D3081">
        <v>5.3575100000000004</v>
      </c>
      <c r="E3081">
        <v>0.56595689999999998</v>
      </c>
      <c r="F3081" t="s">
        <v>42</v>
      </c>
      <c r="G3081">
        <v>-469.79590000000002</v>
      </c>
      <c r="H3081">
        <v>0.91309070000000003</v>
      </c>
      <c r="I3081">
        <v>284.8073</v>
      </c>
      <c r="J3081">
        <v>-469.2704</v>
      </c>
      <c r="K3081">
        <v>1.122147</v>
      </c>
      <c r="L3081">
        <v>284.69720000000001</v>
      </c>
      <c r="M3081">
        <v>-0.99958709999999995</v>
      </c>
      <c r="N3081">
        <v>-2.3204860000000001E-2</v>
      </c>
      <c r="O3081">
        <v>1.6947099999999899E-2</v>
      </c>
      <c r="P3081">
        <v>-0.99578239999999996</v>
      </c>
      <c r="Q3081">
        <v>-8.8820499999999997E-2</v>
      </c>
      <c r="R3081">
        <v>-2.298772E-2</v>
      </c>
      <c r="S3081">
        <v>-2.946472</v>
      </c>
      <c r="T3081">
        <v>-0.85975829999999998</v>
      </c>
      <c r="U3081">
        <v>0.46371459999999998</v>
      </c>
      <c r="V3081">
        <v>-3.9867060000000003E-2</v>
      </c>
      <c r="W3081">
        <v>-6.5700469999999997E-2</v>
      </c>
      <c r="X3081">
        <v>0.99704269999999995</v>
      </c>
      <c r="Y3081">
        <v>0.13339609999999999</v>
      </c>
      <c r="Z3081">
        <v>1.6115040000000001E-2</v>
      </c>
      <c r="AA3081">
        <v>0.99093180000000003</v>
      </c>
      <c r="AB3081">
        <v>20</v>
      </c>
      <c r="AC3081">
        <v>-0.52550000000002195</v>
      </c>
      <c r="AD3081">
        <v>-0.2090563</v>
      </c>
      <c r="AE3081">
        <v>0.110099999999988</v>
      </c>
      <c r="AF3081">
        <v>8.7856312854114896E-2</v>
      </c>
      <c r="AG3081">
        <v>-0.2090563</v>
      </c>
      <c r="AH3081">
        <v>0.45787335779635002</v>
      </c>
      <c r="AI3081">
        <v>114.15151863119</v>
      </c>
      <c r="AJ3081">
        <v>79.1381573936508</v>
      </c>
      <c r="AK3081">
        <v>0.51095134803395303</v>
      </c>
      <c r="AL3081">
        <v>93.767072941986001</v>
      </c>
      <c r="AM3081">
        <v>92.289769628897702</v>
      </c>
      <c r="AN3081">
        <v>1.0000000399272699</v>
      </c>
    </row>
    <row r="3082" spans="1:40" x14ac:dyDescent="0.25">
      <c r="A3082" t="str">
        <f>"20190303154158255"</f>
        <v>20190303154158255</v>
      </c>
      <c r="B3082" t="str">
        <f>"1551598918242705"</f>
        <v>1551598918242705</v>
      </c>
      <c r="C3082" t="s">
        <v>40</v>
      </c>
      <c r="D3082">
        <v>5.3768039999999999</v>
      </c>
      <c r="E3082">
        <v>0.5658666</v>
      </c>
      <c r="F3082" t="s">
        <v>42</v>
      </c>
      <c r="G3082">
        <v>-469.97109999999998</v>
      </c>
      <c r="H3082">
        <v>0.91869889999999998</v>
      </c>
      <c r="I3082">
        <v>284.80829999999997</v>
      </c>
      <c r="J3082">
        <v>-469.46690000000001</v>
      </c>
      <c r="K3082">
        <v>1.1221049999999999</v>
      </c>
      <c r="L3082">
        <v>284.70049999999998</v>
      </c>
      <c r="M3082">
        <v>-0.99959799999999999</v>
      </c>
      <c r="N3082">
        <v>-2.2737150000000001E-2</v>
      </c>
      <c r="O3082">
        <v>1.6947380000000001E-2</v>
      </c>
      <c r="P3082">
        <v>-0.99585900000000005</v>
      </c>
      <c r="Q3082">
        <v>-8.8003860000000003E-2</v>
      </c>
      <c r="R3082">
        <v>-2.281033E-2</v>
      </c>
      <c r="S3082">
        <v>-2.9471129999999999</v>
      </c>
      <c r="T3082">
        <v>-0.85572789999999999</v>
      </c>
      <c r="U3082">
        <v>0.46609499999999998</v>
      </c>
      <c r="V3082">
        <v>-3.9691120000000003E-2</v>
      </c>
      <c r="W3082">
        <v>-6.5348669999999998E-2</v>
      </c>
      <c r="X3082">
        <v>0.99707279999999998</v>
      </c>
      <c r="Y3082">
        <v>0.13417029999999999</v>
      </c>
      <c r="Z3082">
        <v>1.6126040000000001E-2</v>
      </c>
      <c r="AA3082">
        <v>0.99082709999999996</v>
      </c>
      <c r="AB3082">
        <v>19</v>
      </c>
      <c r="AC3082">
        <v>-0.50419999999996801</v>
      </c>
      <c r="AD3082">
        <v>-0.20340609999999901</v>
      </c>
      <c r="AE3082">
        <v>0.107799999999997</v>
      </c>
      <c r="AF3082">
        <v>8.5872568636542995E-2</v>
      </c>
      <c r="AG3082">
        <v>-0.20340609999999901</v>
      </c>
      <c r="AH3082">
        <v>0.43781514605958499</v>
      </c>
      <c r="AI3082">
        <v>114.508567321662</v>
      </c>
      <c r="AJ3082">
        <v>78.902942277421801</v>
      </c>
      <c r="AK3082">
        <v>0.4903368655125</v>
      </c>
      <c r="AL3082">
        <v>93.746873022360901</v>
      </c>
      <c r="AM3082">
        <v>92.2796064306836</v>
      </c>
      <c r="AN3082">
        <v>1.00000000108873</v>
      </c>
    </row>
    <row r="3083" spans="1:40" x14ac:dyDescent="0.25">
      <c r="A3083" t="str">
        <f>"20190303154158276"</f>
        <v>20190303154158276</v>
      </c>
      <c r="B3083" t="str">
        <f>"1551598918272961"</f>
        <v>1551598918272961</v>
      </c>
      <c r="C3083" t="s">
        <v>40</v>
      </c>
      <c r="D3083">
        <v>5.3807289999999997</v>
      </c>
      <c r="E3083">
        <v>0.56586769999999997</v>
      </c>
      <c r="F3083" t="s">
        <v>42</v>
      </c>
      <c r="G3083">
        <v>-470.14580000000001</v>
      </c>
      <c r="H3083">
        <v>0.92543790000000004</v>
      </c>
      <c r="I3083">
        <v>284.80810000000002</v>
      </c>
      <c r="J3083">
        <v>-469.6497</v>
      </c>
      <c r="K3083">
        <v>1.122064</v>
      </c>
      <c r="L3083">
        <v>284.70359999999999</v>
      </c>
      <c r="M3083">
        <v>-0.99960789999999999</v>
      </c>
      <c r="N3083">
        <v>-2.229035E-2</v>
      </c>
      <c r="O3083">
        <v>1.6947480000000001E-2</v>
      </c>
      <c r="P3083">
        <v>-0.99597199999999997</v>
      </c>
      <c r="Q3083">
        <v>-8.6716189999999999E-2</v>
      </c>
      <c r="R3083">
        <v>-2.2815419999999999E-2</v>
      </c>
      <c r="S3083">
        <v>-2.947632</v>
      </c>
      <c r="T3083">
        <v>-0.85397469999999998</v>
      </c>
      <c r="U3083">
        <v>0.46566770000000002</v>
      </c>
      <c r="V3083">
        <v>-3.969806E-2</v>
      </c>
      <c r="W3083">
        <v>-6.4504370000000005E-2</v>
      </c>
      <c r="X3083">
        <v>0.99712750000000006</v>
      </c>
      <c r="Y3083">
        <v>0.1340414</v>
      </c>
      <c r="Z3083">
        <v>1.6037820000000001E-2</v>
      </c>
      <c r="AA3083">
        <v>0.990846</v>
      </c>
      <c r="AB3083">
        <v>19</v>
      </c>
      <c r="AC3083">
        <v>-0.49610000000001198</v>
      </c>
      <c r="AD3083">
        <v>-0.196626099999999</v>
      </c>
      <c r="AE3083">
        <v>0.10450000000003</v>
      </c>
      <c r="AF3083">
        <v>8.3513605054282E-2</v>
      </c>
      <c r="AG3083">
        <v>-0.196626099999999</v>
      </c>
      <c r="AH3083">
        <v>0.43271379952288802</v>
      </c>
      <c r="AI3083">
        <v>114.04492504354801</v>
      </c>
      <c r="AJ3083">
        <v>79.076246387456806</v>
      </c>
      <c r="AK3083">
        <v>0.48257390908326803</v>
      </c>
      <c r="AL3083">
        <v>93.698395912137698</v>
      </c>
      <c r="AM3083">
        <v>92.279879656149504</v>
      </c>
      <c r="AN3083">
        <v>1.0000000004865499</v>
      </c>
    </row>
    <row r="3084" spans="1:40" x14ac:dyDescent="0.25">
      <c r="A3084" t="str">
        <f>"20190303154158299"</f>
        <v>20190303154158299</v>
      </c>
      <c r="B3084" t="str">
        <f>"1551598918292484"</f>
        <v>1551598918292484</v>
      </c>
      <c r="C3084" t="s">
        <v>40</v>
      </c>
      <c r="D3084">
        <v>5.3809389999999997</v>
      </c>
      <c r="E3084">
        <v>0.56653880000000001</v>
      </c>
      <c r="F3084" t="s">
        <v>42</v>
      </c>
      <c r="G3084">
        <v>-470.46870000000001</v>
      </c>
      <c r="H3084">
        <v>0.88652749999999902</v>
      </c>
      <c r="I3084">
        <v>284.83330000000001</v>
      </c>
      <c r="J3084">
        <v>-469.84469999999999</v>
      </c>
      <c r="K3084">
        <v>1.1220139999999901</v>
      </c>
      <c r="L3084">
        <v>284.70690000000002</v>
      </c>
      <c r="M3084">
        <v>-0.99961889999999998</v>
      </c>
      <c r="N3084">
        <v>-2.1794899999999999E-2</v>
      </c>
      <c r="O3084">
        <v>1.6947480000000001E-2</v>
      </c>
      <c r="P3084">
        <v>-0.99605390000000005</v>
      </c>
      <c r="Q3084">
        <v>-8.5608779999999995E-2</v>
      </c>
      <c r="R3084">
        <v>-2.3410210000000001E-2</v>
      </c>
      <c r="S3084">
        <v>-2.9489139999999998</v>
      </c>
      <c r="T3084">
        <v>-0.84810509999999995</v>
      </c>
      <c r="U3084">
        <v>0.4650879</v>
      </c>
      <c r="V3084">
        <v>-4.0293990000000002E-2</v>
      </c>
      <c r="W3084">
        <v>-6.3889790000000002E-2</v>
      </c>
      <c r="X3084">
        <v>0.99714309999999995</v>
      </c>
      <c r="Y3084">
        <v>0.13387489999999999</v>
      </c>
      <c r="Z3084">
        <v>1.5870889999999999E-2</v>
      </c>
      <c r="AA3084">
        <v>0.9908711</v>
      </c>
      <c r="AB3084">
        <v>19</v>
      </c>
      <c r="AC3084">
        <v>-0.62400000000002298</v>
      </c>
      <c r="AD3084">
        <v>-0.23548649999999999</v>
      </c>
      <c r="AE3084">
        <v>0.12639999999998899</v>
      </c>
      <c r="AF3084">
        <v>0.10186813422822701</v>
      </c>
      <c r="AG3084">
        <v>-0.23548649999999999</v>
      </c>
      <c r="AH3084">
        <v>0.55071325348548805</v>
      </c>
      <c r="AI3084">
        <v>112.805288442834</v>
      </c>
      <c r="AJ3084">
        <v>79.520171868448898</v>
      </c>
      <c r="AK3084">
        <v>0.60754925398519</v>
      </c>
      <c r="AL3084">
        <v>93.663110520762601</v>
      </c>
      <c r="AM3084">
        <v>92.314031122587096</v>
      </c>
      <c r="AN3084">
        <v>0.99999993638698503</v>
      </c>
    </row>
    <row r="3085" spans="1:40" x14ac:dyDescent="0.25">
      <c r="A3085" t="str">
        <f>"20190303154158320"</f>
        <v>20190303154158320</v>
      </c>
      <c r="B3085" t="str">
        <f>"1551598918312977"</f>
        <v>1551598918312977</v>
      </c>
      <c r="C3085" t="s">
        <v>40</v>
      </c>
      <c r="D3085">
        <v>5.3831379999999998</v>
      </c>
      <c r="E3085">
        <v>0.56684489999999998</v>
      </c>
      <c r="F3085" t="s">
        <v>42</v>
      </c>
      <c r="G3085">
        <v>-470.6413</v>
      </c>
      <c r="H3085">
        <v>0.8950323</v>
      </c>
      <c r="I3085">
        <v>284.83390000000003</v>
      </c>
      <c r="J3085">
        <v>-470.03089999999997</v>
      </c>
      <c r="K3085">
        <v>1.1219600000000001</v>
      </c>
      <c r="L3085">
        <v>284.70999999999998</v>
      </c>
      <c r="M3085">
        <v>-0.99962989999999996</v>
      </c>
      <c r="N3085">
        <v>-2.1282450000000001E-2</v>
      </c>
      <c r="O3085">
        <v>1.6947899999999998E-2</v>
      </c>
      <c r="P3085">
        <v>-0.99613529999999995</v>
      </c>
      <c r="Q3085">
        <v>-8.429006E-2</v>
      </c>
      <c r="R3085">
        <v>-2.4697790000000001E-2</v>
      </c>
      <c r="S3085">
        <v>-2.9506839999999999</v>
      </c>
      <c r="T3085">
        <v>-0.84072659999999999</v>
      </c>
      <c r="U3085">
        <v>0.46865839999999998</v>
      </c>
      <c r="V3085">
        <v>-4.1582729999999998E-2</v>
      </c>
      <c r="W3085">
        <v>-6.3081150000000002E-2</v>
      </c>
      <c r="X3085">
        <v>0.99714170000000002</v>
      </c>
      <c r="Y3085">
        <v>0.1350075</v>
      </c>
      <c r="Z3085">
        <v>1.5869890000000001E-2</v>
      </c>
      <c r="AA3085">
        <v>0.99071750000000003</v>
      </c>
      <c r="AB3085">
        <v>19</v>
      </c>
      <c r="AC3085">
        <v>-0.61040000000002603</v>
      </c>
      <c r="AD3085">
        <v>-0.22692770000000001</v>
      </c>
      <c r="AE3085">
        <v>0.123900000000048</v>
      </c>
      <c r="AF3085">
        <v>0.10023003417507199</v>
      </c>
      <c r="AG3085">
        <v>-0.22692770000000001</v>
      </c>
      <c r="AH3085">
        <v>0.54064574905196605</v>
      </c>
      <c r="AI3085">
        <v>112.426053490775</v>
      </c>
      <c r="AJ3085">
        <v>79.497206286405998</v>
      </c>
      <c r="AK3085">
        <v>0.59484457360388499</v>
      </c>
      <c r="AL3085">
        <v>93.616685112306797</v>
      </c>
      <c r="AM3085">
        <v>92.387960772468006</v>
      </c>
      <c r="AN3085">
        <v>0.99999996239923195</v>
      </c>
    </row>
    <row r="3086" spans="1:40" x14ac:dyDescent="0.25">
      <c r="A3086" t="str">
        <f>"20190303154158343"</f>
        <v>20190303154158343</v>
      </c>
      <c r="B3086" t="str">
        <f>"1551598918332496"</f>
        <v>1551598918332496</v>
      </c>
      <c r="C3086" t="s">
        <v>40</v>
      </c>
      <c r="D3086">
        <v>5.3516009999999996</v>
      </c>
      <c r="E3086">
        <v>0.56724049999999904</v>
      </c>
      <c r="F3086" t="s">
        <v>42</v>
      </c>
      <c r="G3086">
        <v>-470.81220000000002</v>
      </c>
      <c r="H3086">
        <v>0.90086820000000001</v>
      </c>
      <c r="I3086">
        <v>284.83390000000003</v>
      </c>
      <c r="J3086">
        <v>-470.21780000000001</v>
      </c>
      <c r="K3086">
        <v>1.1219030000000001</v>
      </c>
      <c r="L3086">
        <v>284.71319999999997</v>
      </c>
      <c r="M3086">
        <v>-0.99964120000000001</v>
      </c>
      <c r="N3086">
        <v>-2.073639E-2</v>
      </c>
      <c r="O3086">
        <v>1.6948419999999999E-2</v>
      </c>
      <c r="P3086">
        <v>-0.99618660000000003</v>
      </c>
      <c r="Q3086">
        <v>-8.292948E-2</v>
      </c>
      <c r="R3086">
        <v>-2.7104340000000001E-2</v>
      </c>
      <c r="S3086">
        <v>-2.9525450000000002</v>
      </c>
      <c r="T3086">
        <v>-0.83542179999999999</v>
      </c>
      <c r="U3086">
        <v>0.4671631</v>
      </c>
      <c r="V3086">
        <v>-4.3990300000000003E-2</v>
      </c>
      <c r="W3086">
        <v>-6.2265189999999998E-2</v>
      </c>
      <c r="X3086">
        <v>0.99708969999999997</v>
      </c>
      <c r="Y3086">
        <v>0.13451930000000001</v>
      </c>
      <c r="Z3086">
        <v>1.565677E-2</v>
      </c>
      <c r="AA3086">
        <v>0.99078730000000004</v>
      </c>
      <c r="AB3086">
        <v>19</v>
      </c>
      <c r="AC3086">
        <v>-0.59440000000000703</v>
      </c>
      <c r="AD3086">
        <v>-0.2210348</v>
      </c>
      <c r="AE3086">
        <v>0.120700000000056</v>
      </c>
      <c r="AF3086">
        <v>9.7639329670742195E-2</v>
      </c>
      <c r="AG3086">
        <v>-0.2210348</v>
      </c>
      <c r="AH3086">
        <v>0.52644590999422403</v>
      </c>
      <c r="AI3086">
        <v>112.43191597241299</v>
      </c>
      <c r="AJ3086">
        <v>79.492808596160003</v>
      </c>
      <c r="AK3086">
        <v>0.57925393193247998</v>
      </c>
      <c r="AL3086">
        <v>93.5698418750342</v>
      </c>
      <c r="AM3086">
        <v>92.526177046233101</v>
      </c>
      <c r="AN3086">
        <v>0.99999998511295796</v>
      </c>
    </row>
    <row r="3087" spans="1:40" x14ac:dyDescent="0.25">
      <c r="A3087" t="str">
        <f>"20190303154158365"</f>
        <v>20190303154158365</v>
      </c>
      <c r="B3087" t="str">
        <f>"1551598918362752"</f>
        <v>1551598918362752</v>
      </c>
      <c r="C3087" t="s">
        <v>40</v>
      </c>
      <c r="D3087">
        <v>5.4499300000000002</v>
      </c>
      <c r="E3087">
        <v>0.56743239999999995</v>
      </c>
      <c r="F3087" t="s">
        <v>42</v>
      </c>
      <c r="G3087">
        <v>-470.9828</v>
      </c>
      <c r="H3087">
        <v>0.90738319999999995</v>
      </c>
      <c r="I3087">
        <v>284.83339999999998</v>
      </c>
      <c r="J3087">
        <v>-470.4058</v>
      </c>
      <c r="K3087">
        <v>1.1218360000000001</v>
      </c>
      <c r="L3087">
        <v>284.71629999999999</v>
      </c>
      <c r="M3087">
        <v>-0.99965400000000004</v>
      </c>
      <c r="N3087">
        <v>-2.0115850000000001E-2</v>
      </c>
      <c r="O3087">
        <v>1.6948660000000001E-2</v>
      </c>
      <c r="P3087">
        <v>-0.99620589999999998</v>
      </c>
      <c r="Q3087">
        <v>-8.1556829999999997E-2</v>
      </c>
      <c r="R3087">
        <v>-3.037509E-2</v>
      </c>
      <c r="S3087">
        <v>-2.9550779999999999</v>
      </c>
      <c r="T3087">
        <v>-0.82858549999999997</v>
      </c>
      <c r="U3087">
        <v>0.46368409999999899</v>
      </c>
      <c r="V3087">
        <v>-4.7260499999999997E-2</v>
      </c>
      <c r="W3087">
        <v>-6.1512249999999997E-2</v>
      </c>
      <c r="X3087">
        <v>0.99698679999999995</v>
      </c>
      <c r="Y3087">
        <v>0.13339300000000001</v>
      </c>
      <c r="Z3087">
        <v>1.5317910000000001E-2</v>
      </c>
      <c r="AA3087">
        <v>0.99094490000000002</v>
      </c>
      <c r="AB3087">
        <v>19</v>
      </c>
      <c r="AC3087">
        <v>-0.57699999999999796</v>
      </c>
      <c r="AD3087">
        <v>-0.214452799999999</v>
      </c>
      <c r="AE3087">
        <v>0.117099999999993</v>
      </c>
      <c r="AF3087">
        <v>9.4733258548529695E-2</v>
      </c>
      <c r="AG3087">
        <v>-0.214452799999999</v>
      </c>
      <c r="AH3087">
        <v>0.51109376344628499</v>
      </c>
      <c r="AI3087">
        <v>112.419503049432</v>
      </c>
      <c r="AJ3087">
        <v>79.499173208974</v>
      </c>
      <c r="AK3087">
        <v>0.56229994552440599</v>
      </c>
      <c r="AL3087">
        <v>93.526618695862595</v>
      </c>
      <c r="AM3087">
        <v>92.713979449350603</v>
      </c>
      <c r="AN3087">
        <v>0.99999999556727603</v>
      </c>
    </row>
    <row r="3088" spans="1:40" x14ac:dyDescent="0.25">
      <c r="A3088" t="str">
        <f>"20190303154158388"</f>
        <v>20190303154158388</v>
      </c>
      <c r="B3088" t="str">
        <f>"1551598918382272"</f>
        <v>1551598918382272</v>
      </c>
      <c r="C3088" t="s">
        <v>40</v>
      </c>
      <c r="D3088">
        <v>5.4537899999999997</v>
      </c>
      <c r="E3088">
        <v>0.56759930000000003</v>
      </c>
      <c r="F3088" t="s">
        <v>42</v>
      </c>
      <c r="G3088">
        <v>-471.1533</v>
      </c>
      <c r="H3088">
        <v>0.91344789999999998</v>
      </c>
      <c r="I3088">
        <v>284.83179999999999</v>
      </c>
      <c r="J3088">
        <v>-470.59339999999997</v>
      </c>
      <c r="K3088">
        <v>1.1217569999999999</v>
      </c>
      <c r="L3088">
        <v>284.71949999999998</v>
      </c>
      <c r="M3088">
        <v>-0.9996678</v>
      </c>
      <c r="N3088">
        <v>-1.9419329999999999E-2</v>
      </c>
      <c r="O3088">
        <v>1.6948609999999999E-2</v>
      </c>
      <c r="P3088">
        <v>-0.9962027</v>
      </c>
      <c r="Q3088">
        <v>-7.9983730000000003E-2</v>
      </c>
      <c r="R3088">
        <v>-3.4395830000000002E-2</v>
      </c>
      <c r="S3088">
        <v>-2.9577939999999998</v>
      </c>
      <c r="T3088">
        <v>-0.82455409999999996</v>
      </c>
      <c r="U3088">
        <v>0.45544430000000002</v>
      </c>
      <c r="V3088">
        <v>-5.1280949999999999E-2</v>
      </c>
      <c r="W3088">
        <v>-6.0635189999999999E-2</v>
      </c>
      <c r="X3088">
        <v>0.9968418</v>
      </c>
      <c r="Y3088">
        <v>0.1307304</v>
      </c>
      <c r="Z3088">
        <v>1.479657E-2</v>
      </c>
      <c r="AA3088">
        <v>0.99130759999999996</v>
      </c>
      <c r="AB3088">
        <v>19</v>
      </c>
      <c r="AC3088">
        <v>-0.55990000000002704</v>
      </c>
      <c r="AD3088">
        <v>-0.208309099999999</v>
      </c>
      <c r="AE3088">
        <v>0.11230000000000399</v>
      </c>
      <c r="AF3088">
        <v>9.0720717614069704E-2</v>
      </c>
      <c r="AG3088">
        <v>-0.208309099999999</v>
      </c>
      <c r="AH3088">
        <v>0.49575515283683003</v>
      </c>
      <c r="AI3088">
        <v>112.45638151419401</v>
      </c>
      <c r="AJ3088">
        <v>79.629897632458395</v>
      </c>
      <c r="AK3088">
        <v>0.54534035364301603</v>
      </c>
      <c r="AL3088">
        <v>93.476272970347097</v>
      </c>
      <c r="AM3088">
        <v>92.944894785839693</v>
      </c>
      <c r="AN3088">
        <v>0.999999968163238</v>
      </c>
    </row>
    <row r="3089" spans="1:40" x14ac:dyDescent="0.25">
      <c r="A3089" t="str">
        <f>"20190303154158410"</f>
        <v>20190303154158410</v>
      </c>
      <c r="B3089" t="str">
        <f>"1551598918402769"</f>
        <v>1551598918402769</v>
      </c>
      <c r="C3089" t="s">
        <v>40</v>
      </c>
      <c r="D3089">
        <v>5.441808</v>
      </c>
      <c r="E3089">
        <v>0.58203780000000005</v>
      </c>
      <c r="F3089" t="s">
        <v>42</v>
      </c>
      <c r="G3089">
        <v>-471.32369999999997</v>
      </c>
      <c r="H3089">
        <v>0.91957639999999996</v>
      </c>
      <c r="I3089">
        <v>284.82940000000002</v>
      </c>
      <c r="J3089">
        <v>-470.78019999999998</v>
      </c>
      <c r="K3089">
        <v>1.1216870000000001</v>
      </c>
      <c r="L3089">
        <v>284.7226</v>
      </c>
      <c r="M3089">
        <v>-0.99968109999999999</v>
      </c>
      <c r="N3089">
        <v>-1.8727000000000001E-2</v>
      </c>
      <c r="O3089">
        <v>1.6948640000000001E-2</v>
      </c>
      <c r="P3089">
        <v>-0.9961719</v>
      </c>
      <c r="Q3089">
        <v>-7.8152979999999997E-2</v>
      </c>
      <c r="R3089">
        <v>-3.9164240000000003E-2</v>
      </c>
      <c r="S3089">
        <v>-2.9609380000000001</v>
      </c>
      <c r="T3089">
        <v>-0.8197989</v>
      </c>
      <c r="U3089">
        <v>0.44458009999999898</v>
      </c>
      <c r="V3089">
        <v>-5.6047960000000001E-2</v>
      </c>
      <c r="W3089">
        <v>-5.949691E-2</v>
      </c>
      <c r="X3089">
        <v>0.99665380000000003</v>
      </c>
      <c r="Y3089">
        <v>0.12722649999999999</v>
      </c>
      <c r="Z3089">
        <v>1.4147760000000001E-2</v>
      </c>
      <c r="AA3089">
        <v>0.99177280000000001</v>
      </c>
      <c r="AB3089">
        <v>19</v>
      </c>
      <c r="AC3089">
        <v>-0.54349999999999399</v>
      </c>
      <c r="AD3089">
        <v>-0.2021106</v>
      </c>
      <c r="AE3089">
        <v>0.106800000000021</v>
      </c>
      <c r="AF3089">
        <v>8.6106765668995999E-2</v>
      </c>
      <c r="AG3089">
        <v>-0.2021106</v>
      </c>
      <c r="AH3089">
        <v>0.481167301553793</v>
      </c>
      <c r="AI3089">
        <v>112.463811800033</v>
      </c>
      <c r="AJ3089">
        <v>79.854092888392898</v>
      </c>
      <c r="AK3089">
        <v>0.52894710681777402</v>
      </c>
      <c r="AL3089">
        <v>93.410936153784604</v>
      </c>
      <c r="AM3089">
        <v>93.218703130830605</v>
      </c>
      <c r="AN3089">
        <v>1.0000000265870701</v>
      </c>
    </row>
    <row r="3090" spans="1:40" x14ac:dyDescent="0.25">
      <c r="A3090" t="str">
        <f>"20190303154158433"</f>
        <v>20190303154158433</v>
      </c>
      <c r="B3090" t="str">
        <f>"1551598918422289"</f>
        <v>1551598918422289</v>
      </c>
      <c r="C3090" t="s">
        <v>40</v>
      </c>
      <c r="D3090">
        <v>5.3642789999999998</v>
      </c>
      <c r="E3090">
        <v>0.58476569999999894</v>
      </c>
      <c r="F3090" t="s">
        <v>42</v>
      </c>
      <c r="G3090">
        <v>-471.49259999999998</v>
      </c>
      <c r="H3090">
        <v>0.92162529999999998</v>
      </c>
      <c r="I3090">
        <v>284.85419999999999</v>
      </c>
      <c r="J3090">
        <v>-470.96859999999998</v>
      </c>
      <c r="K3090">
        <v>1.1216360000000001</v>
      </c>
      <c r="L3090">
        <v>284.72579999999999</v>
      </c>
      <c r="M3090">
        <v>-0.99969280000000005</v>
      </c>
      <c r="N3090">
        <v>-1.809359E-2</v>
      </c>
      <c r="O3090">
        <v>1.694872E-2</v>
      </c>
      <c r="P3090">
        <v>-0.99613320000000005</v>
      </c>
      <c r="Q3090">
        <v>-7.6036080000000006E-2</v>
      </c>
      <c r="R3090">
        <v>-4.4017460000000001E-2</v>
      </c>
      <c r="S3090">
        <v>-2.9676819999999999</v>
      </c>
      <c r="T3090">
        <v>-0.83341540000000003</v>
      </c>
      <c r="U3090">
        <v>0.54598999999999998</v>
      </c>
      <c r="V3090">
        <v>-6.0899109999999999E-2</v>
      </c>
      <c r="W3090">
        <v>-5.8013750000000003E-2</v>
      </c>
      <c r="X3090">
        <v>0.99645660000000003</v>
      </c>
      <c r="Y3090">
        <v>0.1584634</v>
      </c>
      <c r="Z3090">
        <v>1.8798780000000001E-2</v>
      </c>
      <c r="AA3090">
        <v>0.98718589999999995</v>
      </c>
      <c r="AB3090">
        <v>19</v>
      </c>
      <c r="AC3090">
        <v>-0.52400000000000002</v>
      </c>
      <c r="AD3090">
        <v>-0.20001070000000001</v>
      </c>
      <c r="AE3090">
        <v>0.12839999999999899</v>
      </c>
      <c r="AF3090">
        <v>0.10505937633259201</v>
      </c>
      <c r="AG3090">
        <v>-0.20001070000000001</v>
      </c>
      <c r="AH3090">
        <v>0.46253011998937399</v>
      </c>
      <c r="AI3090">
        <v>112.864481874821</v>
      </c>
      <c r="AJ3090">
        <v>77.202931784386607</v>
      </c>
      <c r="AK3090">
        <v>0.51475806411096403</v>
      </c>
      <c r="AL3090">
        <v>93.325810278652</v>
      </c>
      <c r="AM3090">
        <v>93.497319815788401</v>
      </c>
      <c r="AN3090">
        <v>1.0000000262357001</v>
      </c>
    </row>
    <row r="3091" spans="1:40" x14ac:dyDescent="0.25">
      <c r="A3091" t="str">
        <f>"20190303154158454"</f>
        <v>20190303154158454</v>
      </c>
      <c r="B3091" t="str">
        <f>"1551598918442785"</f>
        <v>1551598918442785</v>
      </c>
      <c r="C3091" t="s">
        <v>40</v>
      </c>
      <c r="D3091">
        <v>5.3626149999999999</v>
      </c>
      <c r="E3091">
        <v>0.58783249999999998</v>
      </c>
      <c r="F3091" t="s">
        <v>42</v>
      </c>
      <c r="G3091">
        <v>-471.66399999999999</v>
      </c>
      <c r="H3091">
        <v>0.93074999999999997</v>
      </c>
      <c r="I3091">
        <v>284.85539999999997</v>
      </c>
      <c r="J3091">
        <v>-471.14980000000003</v>
      </c>
      <c r="K3091">
        <v>1.1216010000000001</v>
      </c>
      <c r="L3091">
        <v>284.72890000000001</v>
      </c>
      <c r="M3091">
        <v>-0.99970250000000005</v>
      </c>
      <c r="N3091">
        <v>-1.754934E-2</v>
      </c>
      <c r="O3091">
        <v>1.6946409999999999E-2</v>
      </c>
      <c r="P3091">
        <v>-0.99604099999999995</v>
      </c>
      <c r="Q3091">
        <v>-7.4767429999999996E-2</v>
      </c>
      <c r="R3091">
        <v>-4.80878E-2</v>
      </c>
      <c r="S3091">
        <v>-2.9737550000000001</v>
      </c>
      <c r="T3091">
        <v>-0.81631519999999902</v>
      </c>
      <c r="U3091">
        <v>0.55288700000000002</v>
      </c>
      <c r="V3091">
        <v>-6.4964770000000005E-2</v>
      </c>
      <c r="W3091">
        <v>-5.7290540000000001E-2</v>
      </c>
      <c r="X3091">
        <v>0.99624159999999995</v>
      </c>
      <c r="Y3091">
        <v>0.16050220000000001</v>
      </c>
      <c r="Z3091">
        <v>1.86635E-2</v>
      </c>
      <c r="AA3091">
        <v>0.98685900000000004</v>
      </c>
      <c r="AB3091">
        <v>19</v>
      </c>
      <c r="AC3091">
        <v>-0.51419999999995902</v>
      </c>
      <c r="AD3091">
        <v>-0.19085099999999999</v>
      </c>
      <c r="AE3091">
        <v>0.126499999999964</v>
      </c>
      <c r="AF3091">
        <v>0.104227611340398</v>
      </c>
      <c r="AG3091">
        <v>-0.19085099999999999</v>
      </c>
      <c r="AH3091">
        <v>0.45691722895235698</v>
      </c>
      <c r="AI3091">
        <v>112.15772765663</v>
      </c>
      <c r="AJ3091">
        <v>77.150099711077601</v>
      </c>
      <c r="AK3091">
        <v>0.50602455798135504</v>
      </c>
      <c r="AL3091">
        <v>93.284304526373205</v>
      </c>
      <c r="AM3091">
        <v>93.730967013220507</v>
      </c>
      <c r="AN3091">
        <v>0.99999997644260197</v>
      </c>
    </row>
    <row r="3092" spans="1:40" x14ac:dyDescent="0.25">
      <c r="A3092" t="str">
        <f>"20190303154158477"</f>
        <v>20190303154158477</v>
      </c>
      <c r="B3092" t="str">
        <f>"1551598918473041"</f>
        <v>1551598918473041</v>
      </c>
      <c r="C3092" t="s">
        <v>40</v>
      </c>
      <c r="D3092">
        <v>5.3389009999999999</v>
      </c>
      <c r="E3092">
        <v>0.59042119999999998</v>
      </c>
      <c r="F3092" t="s">
        <v>42</v>
      </c>
      <c r="G3092">
        <v>-471.83440000000002</v>
      </c>
      <c r="H3092">
        <v>0.93789080000000002</v>
      </c>
      <c r="I3092">
        <v>284.85930000000002</v>
      </c>
      <c r="J3092">
        <v>-471.33789999999999</v>
      </c>
      <c r="K3092">
        <v>1.121569</v>
      </c>
      <c r="L3092">
        <v>284.73200000000003</v>
      </c>
      <c r="M3092">
        <v>-0.99971160000000003</v>
      </c>
      <c r="N3092">
        <v>-1.7031319999999999E-2</v>
      </c>
      <c r="O3092">
        <v>1.692923E-2</v>
      </c>
      <c r="P3092">
        <v>-0.995892</v>
      </c>
      <c r="Q3092">
        <v>-7.4442330000000001E-2</v>
      </c>
      <c r="R3092">
        <v>-5.155009E-2</v>
      </c>
      <c r="S3092">
        <v>-2.9792179999999999</v>
      </c>
      <c r="T3092">
        <v>-0.79951660000000002</v>
      </c>
      <c r="U3092">
        <v>0.56542969999999904</v>
      </c>
      <c r="V3092">
        <v>-6.8406259999999997E-2</v>
      </c>
      <c r="W3092">
        <v>-5.7486179999999998E-2</v>
      </c>
      <c r="X3092">
        <v>0.99599990000000005</v>
      </c>
      <c r="Y3092">
        <v>0.1643184</v>
      </c>
      <c r="Z3092">
        <v>1.877668E-2</v>
      </c>
      <c r="AA3092">
        <v>0.98622860000000001</v>
      </c>
      <c r="AB3092">
        <v>19</v>
      </c>
      <c r="AC3092">
        <v>-0.49650000000002498</v>
      </c>
      <c r="AD3092">
        <v>-0.18367819999999899</v>
      </c>
      <c r="AE3092">
        <v>0.127299999999991</v>
      </c>
      <c r="AF3092">
        <v>0.105346743039874</v>
      </c>
      <c r="AG3092">
        <v>-0.18367819999999899</v>
      </c>
      <c r="AH3092">
        <v>0.44184353310916402</v>
      </c>
      <c r="AI3092">
        <v>112.017122706422</v>
      </c>
      <c r="AJ3092">
        <v>76.589598859408895</v>
      </c>
      <c r="AK3092">
        <v>0.48996053430326197</v>
      </c>
      <c r="AL3092">
        <v>93.295532500611998</v>
      </c>
      <c r="AM3092">
        <v>93.928960920146395</v>
      </c>
      <c r="AN3092">
        <v>0.99999993904909301</v>
      </c>
    </row>
    <row r="3093" spans="1:40" x14ac:dyDescent="0.25">
      <c r="A3093" t="str">
        <f>"20190303154158500"</f>
        <v>20190303154158500</v>
      </c>
      <c r="B3093" t="str">
        <f>"1551598918492564"</f>
        <v>1551598918492564</v>
      </c>
      <c r="C3093" t="s">
        <v>40</v>
      </c>
      <c r="D3093">
        <v>5.7291809999999996</v>
      </c>
      <c r="E3093">
        <v>0.58981499999999998</v>
      </c>
      <c r="F3093" t="s">
        <v>42</v>
      </c>
      <c r="G3093">
        <v>-472.15390000000002</v>
      </c>
      <c r="H3093">
        <v>0.90606019999999998</v>
      </c>
      <c r="I3093">
        <v>284.8897</v>
      </c>
      <c r="J3093">
        <v>-471.52449999999999</v>
      </c>
      <c r="K3093">
        <v>1.1215469999999901</v>
      </c>
      <c r="L3093">
        <v>284.73520000000002</v>
      </c>
      <c r="M3093">
        <v>-0.99972030000000001</v>
      </c>
      <c r="N3093">
        <v>-1.6561490000000002E-2</v>
      </c>
      <c r="O3093">
        <v>1.688483E-2</v>
      </c>
      <c r="P3093">
        <v>-0.99580279999999999</v>
      </c>
      <c r="Q3093">
        <v>-7.4097209999999997E-2</v>
      </c>
      <c r="R3093">
        <v>-5.3725500000000002E-2</v>
      </c>
      <c r="S3093">
        <v>-2.9833069999999999</v>
      </c>
      <c r="T3093">
        <v>-0.78793040000000003</v>
      </c>
      <c r="U3093">
        <v>0.57547000000000004</v>
      </c>
      <c r="V3093">
        <v>-7.0532810000000001E-2</v>
      </c>
      <c r="W3093">
        <v>-5.7613820000000003E-2</v>
      </c>
      <c r="X3093">
        <v>0.99584419999999996</v>
      </c>
      <c r="Y3093">
        <v>0.16738510000000001</v>
      </c>
      <c r="Z3093">
        <v>1.8894359999999999E-2</v>
      </c>
      <c r="AA3093">
        <v>0.98571050000000004</v>
      </c>
      <c r="AB3093">
        <v>19</v>
      </c>
      <c r="AC3093">
        <v>-0.62940000000003204</v>
      </c>
      <c r="AD3093">
        <v>-0.21548680000000001</v>
      </c>
      <c r="AE3093">
        <v>0.15449999999998401</v>
      </c>
      <c r="AF3093">
        <v>0.12952915140337101</v>
      </c>
      <c r="AG3093">
        <v>-0.21548680000000001</v>
      </c>
      <c r="AH3093">
        <v>0.56901236026520996</v>
      </c>
      <c r="AI3093">
        <v>110.267005671889</v>
      </c>
      <c r="AJ3093">
        <v>77.175804620934898</v>
      </c>
      <c r="AK3093">
        <v>0.62208313606149301</v>
      </c>
      <c r="AL3093">
        <v>93.302857838686805</v>
      </c>
      <c r="AM3093">
        <v>94.051331526090394</v>
      </c>
      <c r="AN3093">
        <v>0.99999995010756304</v>
      </c>
    </row>
    <row r="3094" spans="1:40" x14ac:dyDescent="0.25">
      <c r="A3094" t="str">
        <f>"20190303154158521"</f>
        <v>20190303154158521</v>
      </c>
      <c r="B3094" t="str">
        <f>"1551598918513057"</f>
        <v>1551598918513057</v>
      </c>
      <c r="C3094" t="s">
        <v>40</v>
      </c>
      <c r="D3094">
        <v>5.7396029999999998</v>
      </c>
      <c r="E3094">
        <v>0.58788969999999996</v>
      </c>
      <c r="F3094" t="s">
        <v>42</v>
      </c>
      <c r="G3094">
        <v>-472.32150000000001</v>
      </c>
      <c r="H3094">
        <v>0.90959040000000002</v>
      </c>
      <c r="I3094">
        <v>284.8861</v>
      </c>
      <c r="J3094">
        <v>-471.71249999999998</v>
      </c>
      <c r="K3094">
        <v>1.121532</v>
      </c>
      <c r="L3094">
        <v>284.73820000000001</v>
      </c>
      <c r="M3094">
        <v>-0.99972830000000001</v>
      </c>
      <c r="N3094">
        <v>-1.6141699999999998E-2</v>
      </c>
      <c r="O3094">
        <v>1.681185E-2</v>
      </c>
      <c r="P3094">
        <v>-0.99561040000000001</v>
      </c>
      <c r="Q3094">
        <v>-7.451882E-2</v>
      </c>
      <c r="R3094">
        <v>-5.6628770000000002E-2</v>
      </c>
      <c r="S3094">
        <v>-2.9840390000000001</v>
      </c>
      <c r="T3094">
        <v>-0.79361890000000002</v>
      </c>
      <c r="U3094">
        <v>0.56408689999999995</v>
      </c>
      <c r="V3094">
        <v>-7.3356649999999995E-2</v>
      </c>
      <c r="W3094">
        <v>-5.8461180000000001E-2</v>
      </c>
      <c r="X3094">
        <v>0.9955908</v>
      </c>
      <c r="Y3094">
        <v>0.1638424</v>
      </c>
      <c r="Z3094">
        <v>1.8502310000000001E-2</v>
      </c>
      <c r="AA3094">
        <v>0.986313</v>
      </c>
      <c r="AB3094">
        <v>19</v>
      </c>
      <c r="AC3094">
        <v>-0.60900000000003696</v>
      </c>
      <c r="AD3094">
        <v>-0.21194159999999901</v>
      </c>
      <c r="AE3094">
        <v>0.14789999999999201</v>
      </c>
      <c r="AF3094">
        <v>0.123513197311181</v>
      </c>
      <c r="AG3094">
        <v>-0.21194159999999901</v>
      </c>
      <c r="AH3094">
        <v>0.54865168345562898</v>
      </c>
      <c r="AI3094">
        <v>110.649606424349</v>
      </c>
      <c r="AJ3094">
        <v>77.312999892806801</v>
      </c>
      <c r="AK3094">
        <v>0.60099369504121003</v>
      </c>
      <c r="AL3094">
        <v>93.351489887097401</v>
      </c>
      <c r="AM3094">
        <v>94.214025574720296</v>
      </c>
      <c r="AN3094">
        <v>0.99999997435542698</v>
      </c>
    </row>
    <row r="3095" spans="1:40" x14ac:dyDescent="0.25">
      <c r="A3095" t="str">
        <f>"20190303154158544"</f>
        <v>20190303154158544</v>
      </c>
      <c r="B3095" t="str">
        <f>"1551598918532577"</f>
        <v>1551598918532577</v>
      </c>
      <c r="C3095" t="s">
        <v>40</v>
      </c>
      <c r="D3095">
        <v>5.720364</v>
      </c>
      <c r="E3095">
        <v>0.57761929999999995</v>
      </c>
      <c r="F3095" t="s">
        <v>42</v>
      </c>
      <c r="G3095">
        <v>-472.48809999999997</v>
      </c>
      <c r="H3095">
        <v>0.91155980000000003</v>
      </c>
      <c r="I3095">
        <v>284.87920000000003</v>
      </c>
      <c r="J3095">
        <v>-471.89499999999998</v>
      </c>
      <c r="K3095">
        <v>1.1215379999999999</v>
      </c>
      <c r="L3095">
        <v>284.74110000000002</v>
      </c>
      <c r="M3095">
        <v>-0.99973590000000001</v>
      </c>
      <c r="N3095">
        <v>-1.5786430000000001E-2</v>
      </c>
      <c r="O3095">
        <v>1.6704110000000001E-2</v>
      </c>
      <c r="P3095">
        <v>-0.99541389999999996</v>
      </c>
      <c r="Q3095">
        <v>-7.5846520000000001E-2</v>
      </c>
      <c r="R3095">
        <v>-5.8296720000000003E-2</v>
      </c>
      <c r="S3095">
        <v>-2.9835509999999998</v>
      </c>
      <c r="T3095">
        <v>-0.80779389999999995</v>
      </c>
      <c r="U3095">
        <v>0.54058839999999997</v>
      </c>
      <c r="V3095">
        <v>-7.4909950000000003E-2</v>
      </c>
      <c r="W3095">
        <v>-6.0150639999999998E-2</v>
      </c>
      <c r="X3095">
        <v>0.99537450000000005</v>
      </c>
      <c r="Y3095">
        <v>0.1565454</v>
      </c>
      <c r="Z3095">
        <v>1.7776779999999999E-2</v>
      </c>
      <c r="AA3095">
        <v>0.98751069999999996</v>
      </c>
      <c r="AB3095">
        <v>19</v>
      </c>
      <c r="AC3095">
        <v>-0.59309999999999197</v>
      </c>
      <c r="AD3095">
        <v>-0.209978199999999</v>
      </c>
      <c r="AE3095">
        <v>0.13810000000000799</v>
      </c>
      <c r="AF3095">
        <v>0.114552582074312</v>
      </c>
      <c r="AG3095">
        <v>-0.209978199999999</v>
      </c>
      <c r="AH3095">
        <v>0.532064648058997</v>
      </c>
      <c r="AI3095">
        <v>111.096986595115</v>
      </c>
      <c r="AJ3095">
        <v>77.849787948547302</v>
      </c>
      <c r="AK3095">
        <v>0.58335746180989001</v>
      </c>
      <c r="AL3095">
        <v>93.448459428953896</v>
      </c>
      <c r="AM3095">
        <v>94.303855869768796</v>
      </c>
      <c r="AN3095">
        <v>0.99999999767583103</v>
      </c>
    </row>
    <row r="3096" spans="1:40" x14ac:dyDescent="0.25">
      <c r="A3096" t="str">
        <f>"20190303154158567"</f>
        <v>20190303154158567</v>
      </c>
      <c r="B3096" t="str">
        <f>"1551598918562833"</f>
        <v>1551598918562833</v>
      </c>
      <c r="C3096" t="s">
        <v>40</v>
      </c>
      <c r="D3096">
        <v>5.7558669999999896</v>
      </c>
      <c r="E3096">
        <v>0.51330779999999998</v>
      </c>
      <c r="F3096" t="s">
        <v>42</v>
      </c>
      <c r="G3096">
        <v>-472.64699999999999</v>
      </c>
      <c r="H3096">
        <v>0.8977733</v>
      </c>
      <c r="I3096">
        <v>284.85629999999998</v>
      </c>
      <c r="J3096">
        <v>-472.0831</v>
      </c>
      <c r="K3096">
        <v>1.12154</v>
      </c>
      <c r="L3096">
        <v>284.7441</v>
      </c>
      <c r="M3096">
        <v>-0.99974350000000001</v>
      </c>
      <c r="N3096">
        <v>-1.5465799999999899E-2</v>
      </c>
      <c r="O3096">
        <v>1.6542729999999999E-2</v>
      </c>
      <c r="P3096">
        <v>-0.99501839999999997</v>
      </c>
      <c r="Q3096">
        <v>-7.8188899999999895E-2</v>
      </c>
      <c r="R3096">
        <v>-6.1846940000000003E-2</v>
      </c>
      <c r="S3096">
        <v>-2.9730530000000002</v>
      </c>
      <c r="T3096">
        <v>-0.88462129999999894</v>
      </c>
      <c r="U3096">
        <v>0.45507809999999999</v>
      </c>
      <c r="V3096">
        <v>-7.8287819999999994E-2</v>
      </c>
      <c r="W3096">
        <v>-6.2825049999999993E-2</v>
      </c>
      <c r="X3096">
        <v>0.99494930000000004</v>
      </c>
      <c r="Y3096">
        <v>0.1297635</v>
      </c>
      <c r="Z3096">
        <v>1.5283939999999999E-2</v>
      </c>
      <c r="AA3096">
        <v>0.99142719999999995</v>
      </c>
      <c r="AB3096">
        <v>19</v>
      </c>
      <c r="AC3096">
        <v>-0.56389999999998897</v>
      </c>
      <c r="AD3096">
        <v>-0.22376670000000001</v>
      </c>
      <c r="AE3096">
        <v>0.112199999999973</v>
      </c>
      <c r="AF3096">
        <v>8.9325070183200697E-2</v>
      </c>
      <c r="AG3096">
        <v>-0.22376670000000001</v>
      </c>
      <c r="AH3096">
        <v>0.49126720566187998</v>
      </c>
      <c r="AI3096">
        <v>114.13911236734999</v>
      </c>
      <c r="AJ3096">
        <v>79.6947290341258</v>
      </c>
      <c r="AK3096">
        <v>0.54716905207710298</v>
      </c>
      <c r="AL3096">
        <v>93.601982221235602</v>
      </c>
      <c r="AM3096">
        <v>94.499062071978599</v>
      </c>
      <c r="AN3096">
        <v>1.0000000396191699</v>
      </c>
    </row>
    <row r="3097" spans="1:40" x14ac:dyDescent="0.25">
      <c r="A3097" t="str">
        <f>"20190303154158590"</f>
        <v>20190303154158590</v>
      </c>
      <c r="B3097" t="str">
        <f>"1551598918582353"</f>
        <v>1551598918582353</v>
      </c>
      <c r="C3097" t="s">
        <v>40</v>
      </c>
      <c r="D3097">
        <v>5.5169090000000001</v>
      </c>
      <c r="E3097">
        <v>0.49950270000000002</v>
      </c>
      <c r="F3097" t="s">
        <v>42</v>
      </c>
      <c r="G3097">
        <v>-472.8306</v>
      </c>
      <c r="H3097">
        <v>0.92550370000000004</v>
      </c>
      <c r="I3097">
        <v>284.72680000000003</v>
      </c>
      <c r="J3097">
        <v>-472.27010000000001</v>
      </c>
      <c r="K3097">
        <v>1.1215489999999999</v>
      </c>
      <c r="L3097">
        <v>284.74689999999998</v>
      </c>
      <c r="M3097">
        <v>-0.99975150000000002</v>
      </c>
      <c r="N3097">
        <v>-1.518454E-2</v>
      </c>
      <c r="O3097">
        <v>1.632217E-2</v>
      </c>
      <c r="P3097">
        <v>-0.99464209999999997</v>
      </c>
      <c r="Q3097">
        <v>-8.0544050000000006E-2</v>
      </c>
      <c r="R3097">
        <v>-6.4805429999999997E-2</v>
      </c>
      <c r="S3097">
        <v>-2.9499209999999998</v>
      </c>
      <c r="T3097">
        <v>-0.77365309999999998</v>
      </c>
      <c r="U3097">
        <v>-6.9946289999999994E-2</v>
      </c>
      <c r="V3097">
        <v>-8.1014489999999995E-2</v>
      </c>
      <c r="W3097">
        <v>-6.5473329999999996E-2</v>
      </c>
      <c r="X3097">
        <v>0.99456009999999995</v>
      </c>
      <c r="Y3097">
        <v>-3.8163860000000001E-2</v>
      </c>
      <c r="Z3097">
        <v>-9.1805749999999998E-3</v>
      </c>
      <c r="AA3097">
        <v>0.99922929999999999</v>
      </c>
      <c r="AB3097">
        <v>19</v>
      </c>
      <c r="AC3097">
        <v>-0.56049999999999001</v>
      </c>
      <c r="AD3097">
        <v>-0.19604529999999901</v>
      </c>
      <c r="AE3097">
        <v>-2.0099999999956701E-2</v>
      </c>
      <c r="AF3097">
        <v>-2.6062599570378001E-2</v>
      </c>
      <c r="AG3097">
        <v>-0.19604529999999901</v>
      </c>
      <c r="AH3097">
        <v>0.499114873415622</v>
      </c>
      <c r="AI3097">
        <v>111.417670000041</v>
      </c>
      <c r="AJ3097">
        <v>92.989135415124096</v>
      </c>
      <c r="AK3097">
        <v>0.53686932824771005</v>
      </c>
      <c r="AL3097">
        <v>93.754031040990299</v>
      </c>
      <c r="AM3097">
        <v>94.656895464418</v>
      </c>
      <c r="AN3097">
        <v>0.99999994852162799</v>
      </c>
    </row>
    <row r="3098" spans="1:40" x14ac:dyDescent="0.25">
      <c r="A3098" t="str">
        <f>"20190303154158611"</f>
        <v>20190303154158611</v>
      </c>
      <c r="B3098" t="str">
        <f>"1551598918602850"</f>
        <v>1551598918602850</v>
      </c>
      <c r="C3098" t="s">
        <v>40</v>
      </c>
      <c r="D3098">
        <v>5.4670180000000004</v>
      </c>
      <c r="E3098">
        <v>0.40602310000000003</v>
      </c>
      <c r="F3098" t="s">
        <v>42</v>
      </c>
      <c r="G3098">
        <v>-473.00459999999998</v>
      </c>
      <c r="H3098">
        <v>0.94059919999999997</v>
      </c>
      <c r="I3098">
        <v>284.7</v>
      </c>
      <c r="J3098">
        <v>-472.45209999999997</v>
      </c>
      <c r="K3098">
        <v>1.121572</v>
      </c>
      <c r="L3098">
        <v>284.74959999999999</v>
      </c>
      <c r="M3098">
        <v>-0.99975970000000003</v>
      </c>
      <c r="N3098">
        <v>-1.494415E-2</v>
      </c>
      <c r="O3098">
        <v>1.6047479999999999E-2</v>
      </c>
      <c r="P3098">
        <v>-0.99445309999999998</v>
      </c>
      <c r="Q3098">
        <v>-8.0998730000000005E-2</v>
      </c>
      <c r="R3098">
        <v>-6.7101369999999994E-2</v>
      </c>
      <c r="S3098">
        <v>-2.945068</v>
      </c>
      <c r="T3098">
        <v>-0.72564580000000001</v>
      </c>
      <c r="U3098">
        <v>-0.18936159999999999</v>
      </c>
      <c r="V3098">
        <v>-8.3028359999999995E-2</v>
      </c>
      <c r="W3098">
        <v>-6.6177920000000001E-2</v>
      </c>
      <c r="X3098">
        <v>0.99434739999999999</v>
      </c>
      <c r="Y3098">
        <v>-7.7303849999999993E-2</v>
      </c>
      <c r="Z3098">
        <v>-1.3617270000000001E-2</v>
      </c>
      <c r="AA3098">
        <v>0.99691459999999998</v>
      </c>
      <c r="AB3098">
        <v>19</v>
      </c>
      <c r="AC3098">
        <v>-0.55250000000000898</v>
      </c>
      <c r="AD3098">
        <v>-0.18097279999999999</v>
      </c>
      <c r="AE3098">
        <v>-4.9599999999998E-2</v>
      </c>
      <c r="AF3098">
        <v>-5.28372144450538E-2</v>
      </c>
      <c r="AG3098">
        <v>-0.18097279999999999</v>
      </c>
      <c r="AH3098">
        <v>0.49856867797278198</v>
      </c>
      <c r="AI3098">
        <v>109.847722688468</v>
      </c>
      <c r="AJ3098">
        <v>96.049500510125299</v>
      </c>
      <c r="AK3098">
        <v>0.53302312541359798</v>
      </c>
      <c r="AL3098">
        <v>93.794488671460698</v>
      </c>
      <c r="AM3098">
        <v>94.773145147251995</v>
      </c>
      <c r="AN3098">
        <v>0.999999988773287</v>
      </c>
    </row>
    <row r="3099" spans="1:40" x14ac:dyDescent="0.25">
      <c r="A3099" t="str">
        <f>"20190303154158633"</f>
        <v>20190303154158633</v>
      </c>
      <c r="B3099" t="str">
        <f>"1551598918622369"</f>
        <v>1551598918622369</v>
      </c>
      <c r="C3099" t="s">
        <v>40</v>
      </c>
      <c r="D3099">
        <v>5.4545269999999997</v>
      </c>
      <c r="E3099">
        <v>0.3492943</v>
      </c>
      <c r="F3099" t="s">
        <v>46</v>
      </c>
      <c r="G3099">
        <v>-479.47789999999998</v>
      </c>
      <c r="H3099" s="1">
        <v>2.223578E-6</v>
      </c>
      <c r="I3099">
        <v>282.47199999999998</v>
      </c>
      <c r="J3099">
        <v>-472.63310000000001</v>
      </c>
      <c r="K3099">
        <v>1.1216029999999999</v>
      </c>
      <c r="L3099">
        <v>284.75220000000002</v>
      </c>
      <c r="M3099">
        <v>-0.99976790000000004</v>
      </c>
      <c r="N3099">
        <v>-1.4735710000000001E-2</v>
      </c>
      <c r="O3099">
        <v>1.5718010000000001E-2</v>
      </c>
      <c r="P3099">
        <v>-0.99439929999999999</v>
      </c>
      <c r="Q3099">
        <v>-7.9951820000000007E-2</v>
      </c>
      <c r="R3099">
        <v>-6.9120260000000003E-2</v>
      </c>
      <c r="S3099">
        <v>-2.9150999999999998</v>
      </c>
      <c r="T3099">
        <v>-0.46535539999999997</v>
      </c>
      <c r="U3099">
        <v>-0.94500729999999999</v>
      </c>
      <c r="V3099">
        <v>-8.4713239999999995E-2</v>
      </c>
      <c r="W3099">
        <v>-6.5347230000000006E-2</v>
      </c>
      <c r="X3099">
        <v>0.99426029999999999</v>
      </c>
      <c r="Y3099">
        <v>-0.31911220000000001</v>
      </c>
      <c r="Z3099">
        <v>-2.932361E-2</v>
      </c>
      <c r="AA3099">
        <v>0.94726319999999997</v>
      </c>
      <c r="AB3099">
        <v>19</v>
      </c>
      <c r="AC3099">
        <v>-6.8447999999999602</v>
      </c>
      <c r="AD3099">
        <v>-1.121600776422</v>
      </c>
      <c r="AE3099">
        <v>-2.28020000000003</v>
      </c>
      <c r="AF3099">
        <v>-2.33117540292583</v>
      </c>
      <c r="AG3099">
        <v>-1.121600776422</v>
      </c>
      <c r="AH3099">
        <v>6.64745079447147</v>
      </c>
      <c r="AI3099">
        <v>99.046681229846499</v>
      </c>
      <c r="AJ3099">
        <v>109.32511159424899</v>
      </c>
      <c r="AK3099">
        <v>7.1330897320723698</v>
      </c>
      <c r="AL3099">
        <v>93.746790085540098</v>
      </c>
      <c r="AM3099">
        <v>94.869969121225196</v>
      </c>
      <c r="AN3099">
        <v>1.00000006882802</v>
      </c>
    </row>
    <row r="3100" spans="1:40" x14ac:dyDescent="0.25">
      <c r="A3100" t="str">
        <f>"20190303154158649"</f>
        <v>20190303154158649</v>
      </c>
      <c r="B3100" t="str">
        <f>"1551598918642865"</f>
        <v>1551598918642865</v>
      </c>
      <c r="C3100" t="s">
        <v>40</v>
      </c>
      <c r="D3100">
        <v>5.3924909999999997</v>
      </c>
      <c r="E3100">
        <v>0.34979329999999997</v>
      </c>
      <c r="F3100" t="s">
        <v>46</v>
      </c>
      <c r="G3100">
        <v>-480.9579</v>
      </c>
      <c r="H3100" s="1">
        <v>2.0338209999999999E-6</v>
      </c>
      <c r="I3100">
        <v>280.70620000000002</v>
      </c>
      <c r="J3100">
        <v>-472.76819999999998</v>
      </c>
      <c r="K3100">
        <v>1.1216269999999999</v>
      </c>
      <c r="L3100">
        <v>284.75400000000002</v>
      </c>
      <c r="M3100">
        <v>-0.9997743</v>
      </c>
      <c r="N3100">
        <v>-1.459979E-2</v>
      </c>
      <c r="O3100">
        <v>1.54349E-2</v>
      </c>
      <c r="P3100">
        <v>-0.99441270000000004</v>
      </c>
      <c r="Q3100">
        <v>-7.8904169999999996E-2</v>
      </c>
      <c r="R3100">
        <v>-7.0125569999999998E-2</v>
      </c>
      <c r="S3100">
        <v>-2.8880620000000001</v>
      </c>
      <c r="T3100">
        <v>-0.38911200000000001</v>
      </c>
      <c r="U3100">
        <v>-1.403656</v>
      </c>
      <c r="V3100">
        <v>-8.5433700000000001E-2</v>
      </c>
      <c r="W3100">
        <v>-6.4439999999999997E-2</v>
      </c>
      <c r="X3100">
        <v>0.99425779999999997</v>
      </c>
      <c r="Y3100">
        <v>-0.44717010000000001</v>
      </c>
      <c r="Z3100">
        <v>-3.3620829999999997E-2</v>
      </c>
      <c r="AA3100">
        <v>0.89381679999999997</v>
      </c>
      <c r="AB3100">
        <v>19</v>
      </c>
      <c r="AC3100">
        <v>-8.1897000000000109</v>
      </c>
      <c r="AD3100">
        <v>-1.1216249661790001</v>
      </c>
      <c r="AE3100">
        <v>-4.0477999999999899</v>
      </c>
      <c r="AF3100">
        <v>-4.1117563421757604</v>
      </c>
      <c r="AG3100">
        <v>-1.1216249661790001</v>
      </c>
      <c r="AH3100">
        <v>8.0055615517542407</v>
      </c>
      <c r="AI3100">
        <v>97.104052688325893</v>
      </c>
      <c r="AJ3100">
        <v>117.185598141677</v>
      </c>
      <c r="AK3100">
        <v>9.0693769654317702</v>
      </c>
      <c r="AL3100">
        <v>93.6947000888986</v>
      </c>
      <c r="AM3100">
        <v>94.911197270309401</v>
      </c>
      <c r="AN3100">
        <v>1.00000000177826</v>
      </c>
    </row>
    <row r="3101" spans="1:40" x14ac:dyDescent="0.25">
      <c r="A3101" t="str">
        <f>"20190303154158667"</f>
        <v>20190303154158667</v>
      </c>
      <c r="B3101" t="str">
        <f>"1551598918662388"</f>
        <v>1551598918662388</v>
      </c>
      <c r="C3101" t="s">
        <v>40</v>
      </c>
      <c r="D3101">
        <v>5.389062</v>
      </c>
      <c r="E3101">
        <v>0.35100890000000001</v>
      </c>
      <c r="F3101" t="s">
        <v>42</v>
      </c>
      <c r="G3101">
        <v>-473.65120000000002</v>
      </c>
      <c r="H3101">
        <v>1.001466</v>
      </c>
      <c r="I3101">
        <v>284.3252</v>
      </c>
      <c r="J3101">
        <v>-472.91140000000001</v>
      </c>
      <c r="K3101">
        <v>1.1216469999999901</v>
      </c>
      <c r="L3101">
        <v>284.7559</v>
      </c>
      <c r="M3101">
        <v>-0.99978129999999998</v>
      </c>
      <c r="N3101">
        <v>-1.446941E-2</v>
      </c>
      <c r="O3101">
        <v>1.510797E-2</v>
      </c>
      <c r="P3101">
        <v>-0.9943902</v>
      </c>
      <c r="Q3101">
        <v>-7.7926869999999995E-2</v>
      </c>
      <c r="R3101">
        <v>-7.1525580000000005E-2</v>
      </c>
      <c r="S3101">
        <v>-2.886841</v>
      </c>
      <c r="T3101">
        <v>-0.39278669999999999</v>
      </c>
      <c r="U3101">
        <v>-1.402374</v>
      </c>
      <c r="V3101">
        <v>-8.6505520000000002E-2</v>
      </c>
      <c r="W3101">
        <v>-6.359795E-2</v>
      </c>
      <c r="X3101">
        <v>0.99421939999999998</v>
      </c>
      <c r="Y3101">
        <v>-0.4466444</v>
      </c>
      <c r="Z3101">
        <v>-3.3815730000000002E-2</v>
      </c>
      <c r="AA3101">
        <v>0.89407230000000004</v>
      </c>
      <c r="AB3101">
        <v>18</v>
      </c>
      <c r="AC3101">
        <v>-0.73980000000000201</v>
      </c>
      <c r="AD3101">
        <v>-0.120180999999999</v>
      </c>
      <c r="AE3101">
        <v>-0.43070000000000103</v>
      </c>
      <c r="AF3101">
        <v>-0.43328884012448299</v>
      </c>
      <c r="AG3101">
        <v>-0.120180999999999</v>
      </c>
      <c r="AH3101">
        <v>0.71903580989614002</v>
      </c>
      <c r="AI3101">
        <v>98.147033970659805</v>
      </c>
      <c r="AJ3101">
        <v>121.07304191306</v>
      </c>
      <c r="AK3101">
        <v>0.84805376459893</v>
      </c>
      <c r="AL3101">
        <v>93.646354793429694</v>
      </c>
      <c r="AM3101">
        <v>94.972695432285605</v>
      </c>
      <c r="AN3101">
        <v>1.0000000597855101</v>
      </c>
    </row>
    <row r="3102" spans="1:40" x14ac:dyDescent="0.25">
      <c r="A3102" t="str">
        <f>"20190303154158689"</f>
        <v>20190303154158689</v>
      </c>
      <c r="B3102" t="str">
        <f>"1551598918682884"</f>
        <v>1551598918682884</v>
      </c>
      <c r="C3102" t="s">
        <v>40</v>
      </c>
      <c r="D3102">
        <v>5.3818659999999996</v>
      </c>
      <c r="E3102">
        <v>0.35217039999999999</v>
      </c>
      <c r="F3102" t="s">
        <v>42</v>
      </c>
      <c r="G3102">
        <v>-473.78539999999998</v>
      </c>
      <c r="H3102">
        <v>1.003539</v>
      </c>
      <c r="I3102">
        <v>284.3329</v>
      </c>
      <c r="J3102">
        <v>-473.09320000000002</v>
      </c>
      <c r="K3102">
        <v>1.1216569999999999</v>
      </c>
      <c r="L3102">
        <v>284.75810000000001</v>
      </c>
      <c r="M3102">
        <v>-0.99979010000000001</v>
      </c>
      <c r="N3102">
        <v>-1.432247E-2</v>
      </c>
      <c r="O3102">
        <v>1.4657440000000001E-2</v>
      </c>
      <c r="P3102">
        <v>-0.99433510000000003</v>
      </c>
      <c r="Q3102">
        <v>-7.7518329999999996E-2</v>
      </c>
      <c r="R3102">
        <v>-7.2723570000000001E-2</v>
      </c>
      <c r="S3102">
        <v>-2.8858950000000001</v>
      </c>
      <c r="T3102">
        <v>-0.3899415</v>
      </c>
      <c r="U3102">
        <v>-1.39682</v>
      </c>
      <c r="V3102">
        <v>-8.7251229999999999E-2</v>
      </c>
      <c r="W3102">
        <v>-6.3341190000000006E-2</v>
      </c>
      <c r="X3102">
        <v>0.99417049999999996</v>
      </c>
      <c r="Y3102">
        <v>-0.44503100000000001</v>
      </c>
      <c r="Z3102">
        <v>-3.3416080000000001E-2</v>
      </c>
      <c r="AA3102">
        <v>0.8948914</v>
      </c>
      <c r="AB3102">
        <v>18</v>
      </c>
      <c r="AC3102">
        <v>-0.69219999999995696</v>
      </c>
      <c r="AD3102">
        <v>-0.118117999999999</v>
      </c>
      <c r="AE3102">
        <v>-0.42520000000001701</v>
      </c>
      <c r="AF3102">
        <v>-0.42628895618412299</v>
      </c>
      <c r="AG3102">
        <v>-0.118117999999999</v>
      </c>
      <c r="AH3102">
        <v>0.671692236451922</v>
      </c>
      <c r="AI3102">
        <v>98.4452490262899</v>
      </c>
      <c r="AJ3102">
        <v>122.40122231936</v>
      </c>
      <c r="AK3102">
        <v>0.80426649600635103</v>
      </c>
      <c r="AL3102">
        <v>93.631614268811404</v>
      </c>
      <c r="AM3102">
        <v>95.015589653416995</v>
      </c>
      <c r="AN3102">
        <v>0.99999993327868697</v>
      </c>
    </row>
    <row r="3103" spans="1:40" x14ac:dyDescent="0.25">
      <c r="A3103" t="str">
        <f>"20190303154158746"</f>
        <v>20190303154158746</v>
      </c>
      <c r="B3103" t="str">
        <f>"1551598918743397"</f>
        <v>1551598918743397</v>
      </c>
      <c r="C3103" t="s">
        <v>40</v>
      </c>
      <c r="D3103">
        <v>5.5507790000000004</v>
      </c>
      <c r="E3103">
        <v>0.3562149</v>
      </c>
      <c r="F3103" t="s">
        <v>46</v>
      </c>
      <c r="G3103">
        <v>-481.39929999999998</v>
      </c>
      <c r="H3103" s="1">
        <v>2.116233E-6</v>
      </c>
      <c r="I3103">
        <v>280.75310000000002</v>
      </c>
      <c r="J3103">
        <v>-473.5566</v>
      </c>
      <c r="K3103">
        <v>1.121658</v>
      </c>
      <c r="L3103">
        <v>284.76319999999998</v>
      </c>
      <c r="M3103">
        <v>-0.99981189999999998</v>
      </c>
      <c r="N3103">
        <v>-1.402921E-2</v>
      </c>
      <c r="O3103">
        <v>1.339839E-2</v>
      </c>
      <c r="P3103">
        <v>-0.99417540000000004</v>
      </c>
      <c r="Q3103">
        <v>-7.7101240000000001E-2</v>
      </c>
      <c r="R3103">
        <v>-7.5304259999999998E-2</v>
      </c>
      <c r="S3103">
        <v>-2.8849490000000002</v>
      </c>
      <c r="T3103">
        <v>-0.38958310000000002</v>
      </c>
      <c r="U3103">
        <v>-1.391022</v>
      </c>
      <c r="V3103">
        <v>-8.8576349999999998E-2</v>
      </c>
      <c r="W3103">
        <v>-6.3221699999999895E-2</v>
      </c>
      <c r="X3103">
        <v>0.99406099999999997</v>
      </c>
      <c r="Y3103">
        <v>-0.4425982</v>
      </c>
      <c r="Z3103">
        <v>-3.3026359999999998E-2</v>
      </c>
      <c r="AA3103">
        <v>0.89611169999999996</v>
      </c>
      <c r="AB3103">
        <v>18</v>
      </c>
      <c r="AC3103">
        <v>-7.8426999999999696</v>
      </c>
      <c r="AD3103">
        <v>-1.1216558837670001</v>
      </c>
      <c r="AE3103">
        <v>-4.0100999999999596</v>
      </c>
      <c r="AF3103">
        <v>-4.0491720751889604</v>
      </c>
      <c r="AG3103">
        <v>-1.1216558837670001</v>
      </c>
      <c r="AH3103">
        <v>7.6639892595743504</v>
      </c>
      <c r="AI3103">
        <v>97.373294266162503</v>
      </c>
      <c r="AJ3103">
        <v>117.849168515196</v>
      </c>
      <c r="AK3103">
        <v>8.7401737847110503</v>
      </c>
      <c r="AL3103">
        <v>93.624753958982595</v>
      </c>
      <c r="AM3103">
        <v>95.091923954272602</v>
      </c>
      <c r="AN3103">
        <v>1.0000000124256001</v>
      </c>
    </row>
    <row r="3104" spans="1:40" x14ac:dyDescent="0.25">
      <c r="A3104" t="str">
        <f>"20190303154158762"</f>
        <v>20190303154158762</v>
      </c>
      <c r="B3104" t="str">
        <f>"1551598918753156"</f>
        <v>1551598918753156</v>
      </c>
      <c r="C3104" t="s">
        <v>40</v>
      </c>
      <c r="D3104">
        <v>5.4752229999999997</v>
      </c>
      <c r="E3104">
        <v>0.35674080000000002</v>
      </c>
      <c r="F3104" t="s">
        <v>42</v>
      </c>
      <c r="G3104">
        <v>-474.46080000000001</v>
      </c>
      <c r="H3104">
        <v>0.99388989999999999</v>
      </c>
      <c r="I3104">
        <v>284.33479999999997</v>
      </c>
      <c r="J3104">
        <v>-473.69349999999997</v>
      </c>
      <c r="K3104">
        <v>1.1216489999999999</v>
      </c>
      <c r="L3104">
        <v>284.76459999999997</v>
      </c>
      <c r="M3104">
        <v>-0.99981779999999998</v>
      </c>
      <c r="N3104">
        <v>-1.3960790000000001E-2</v>
      </c>
      <c r="O3104">
        <v>1.301445E-2</v>
      </c>
      <c r="P3104">
        <v>-0.99414029999999998</v>
      </c>
      <c r="Q3104">
        <v>-7.6977359999999995E-2</v>
      </c>
      <c r="R3104">
        <v>-7.5894450000000002E-2</v>
      </c>
      <c r="S3104">
        <v>-2.8825069999999999</v>
      </c>
      <c r="T3104">
        <v>-0.40727419999999998</v>
      </c>
      <c r="U3104">
        <v>-1.3656919999999999</v>
      </c>
      <c r="V3104">
        <v>-8.8784749999999996E-2</v>
      </c>
      <c r="W3104">
        <v>-6.316563E-2</v>
      </c>
      <c r="X3104">
        <v>0.99404599999999999</v>
      </c>
      <c r="Y3104">
        <v>-0.4358457</v>
      </c>
      <c r="Z3104">
        <v>-3.388712E-2</v>
      </c>
      <c r="AA3104">
        <v>0.89938320000000005</v>
      </c>
      <c r="AB3104">
        <v>18</v>
      </c>
      <c r="AC3104">
        <v>-0.76730000000003395</v>
      </c>
      <c r="AD3104">
        <v>-0.12775909999999899</v>
      </c>
      <c r="AE3104">
        <v>-0.42980000000000002</v>
      </c>
      <c r="AF3104">
        <v>-0.430662453457479</v>
      </c>
      <c r="AG3104">
        <v>-0.12775909999999899</v>
      </c>
      <c r="AH3104">
        <v>0.74590040482926101</v>
      </c>
      <c r="AI3104">
        <v>98.437325876497098</v>
      </c>
      <c r="AJ3104">
        <v>120.000959435683</v>
      </c>
      <c r="AK3104">
        <v>0.87072380831999796</v>
      </c>
      <c r="AL3104">
        <v>93.621534853028393</v>
      </c>
      <c r="AM3104">
        <v>95.1039175011895</v>
      </c>
      <c r="AN3104">
        <v>1.0000000393809201</v>
      </c>
    </row>
    <row r="3105" spans="1:40" x14ac:dyDescent="0.25">
      <c r="A3105" t="str">
        <f>"20190303154158779"</f>
        <v>20190303154158779</v>
      </c>
      <c r="B3105" t="str">
        <f>"1551598918772676"</f>
        <v>1551598918772676</v>
      </c>
      <c r="C3105" t="s">
        <v>40</v>
      </c>
      <c r="D3105">
        <v>5.44808</v>
      </c>
      <c r="E3105">
        <v>0.3574001</v>
      </c>
      <c r="F3105" t="s">
        <v>42</v>
      </c>
      <c r="G3105">
        <v>-474.58319999999998</v>
      </c>
      <c r="H3105">
        <v>0.99630110000000005</v>
      </c>
      <c r="I3105">
        <v>284.3442</v>
      </c>
      <c r="J3105">
        <v>-473.82870000000003</v>
      </c>
      <c r="K3105">
        <v>1.12164</v>
      </c>
      <c r="L3105">
        <v>284.76589999999999</v>
      </c>
      <c r="M3105">
        <v>-0.99982369999999998</v>
      </c>
      <c r="N3105">
        <v>-1.389981E-2</v>
      </c>
      <c r="O3105">
        <v>1.26356E-2</v>
      </c>
      <c r="P3105">
        <v>-0.99406340000000004</v>
      </c>
      <c r="Q3105">
        <v>-7.6419879999999996E-2</v>
      </c>
      <c r="R3105">
        <v>-7.7446409999999993E-2</v>
      </c>
      <c r="S3105">
        <v>-2.8822019999999999</v>
      </c>
      <c r="T3105">
        <v>-0.40601429999999999</v>
      </c>
      <c r="U3105">
        <v>-1.362946</v>
      </c>
      <c r="V3105">
        <v>-8.9960650000000003E-2</v>
      </c>
      <c r="W3105">
        <v>-6.2669649999999993E-2</v>
      </c>
      <c r="X3105">
        <v>0.99397159999999996</v>
      </c>
      <c r="Y3105">
        <v>-0.43487609999999899</v>
      </c>
      <c r="Z3105">
        <v>-3.367013E-2</v>
      </c>
      <c r="AA3105">
        <v>0.89986060000000001</v>
      </c>
      <c r="AB3105">
        <v>18</v>
      </c>
      <c r="AC3105">
        <v>-0.75449999999994999</v>
      </c>
      <c r="AD3105">
        <v>-0.125338899999999</v>
      </c>
      <c r="AE3105">
        <v>-0.42169999999998697</v>
      </c>
      <c r="AF3105">
        <v>-0.42232037004870199</v>
      </c>
      <c r="AG3105">
        <v>-0.125338899999999</v>
      </c>
      <c r="AH3105">
        <v>0.73368311894596105</v>
      </c>
      <c r="AI3105">
        <v>98.421949895009703</v>
      </c>
      <c r="AJ3105">
        <v>119.92545613470899</v>
      </c>
      <c r="AK3105">
        <v>0.85577757264230503</v>
      </c>
      <c r="AL3105">
        <v>93.593061118577296</v>
      </c>
      <c r="AM3105">
        <v>95.171536633151504</v>
      </c>
      <c r="AN3105">
        <v>0.99999997259305196</v>
      </c>
    </row>
    <row r="3106" spans="1:40" x14ac:dyDescent="0.25">
      <c r="A3106" t="str">
        <f>"20190303154158802"</f>
        <v>20190303154158802</v>
      </c>
      <c r="B3106" t="str">
        <f>"1551598918792196"</f>
        <v>1551598918792196</v>
      </c>
      <c r="C3106" t="s">
        <v>40</v>
      </c>
      <c r="D3106">
        <v>5.4999390000000004</v>
      </c>
      <c r="E3106">
        <v>0.35768870000000003</v>
      </c>
      <c r="F3106" t="s">
        <v>42</v>
      </c>
      <c r="G3106">
        <v>-474.69909999999999</v>
      </c>
      <c r="H3106">
        <v>0.99970879999999995</v>
      </c>
      <c r="I3106">
        <v>284.35430000000002</v>
      </c>
      <c r="J3106">
        <v>-474.01600000000002</v>
      </c>
      <c r="K3106">
        <v>1.121623</v>
      </c>
      <c r="L3106">
        <v>284.76760000000002</v>
      </c>
      <c r="M3106">
        <v>-0.99983109999999997</v>
      </c>
      <c r="N3106">
        <v>-1.382619E-2</v>
      </c>
      <c r="O3106">
        <v>1.21139E-2</v>
      </c>
      <c r="P3106">
        <v>-0.99394079999999996</v>
      </c>
      <c r="Q3106">
        <v>-7.6392349999999998E-2</v>
      </c>
      <c r="R3106">
        <v>-7.9034309999999997E-2</v>
      </c>
      <c r="S3106">
        <v>-2.8807680000000002</v>
      </c>
      <c r="T3106">
        <v>-0.40356110000000001</v>
      </c>
      <c r="U3106">
        <v>-1.3619380000000001</v>
      </c>
      <c r="V3106">
        <v>-9.1029109999999996E-2</v>
      </c>
      <c r="W3106">
        <v>-6.2715900000000005E-2</v>
      </c>
      <c r="X3106">
        <v>0.99387150000000002</v>
      </c>
      <c r="Y3106">
        <v>-0.43437530000000002</v>
      </c>
      <c r="Z3106">
        <v>-3.338679E-2</v>
      </c>
      <c r="AA3106">
        <v>0.90011299999999905</v>
      </c>
      <c r="AB3106">
        <v>18</v>
      </c>
      <c r="AC3106">
        <v>-0.68310000000002402</v>
      </c>
      <c r="AD3106">
        <v>-0.1219142</v>
      </c>
      <c r="AE3106">
        <v>-0.41329999999999201</v>
      </c>
      <c r="AF3106">
        <v>-0.41194036288196501</v>
      </c>
      <c r="AG3106">
        <v>-0.1219142</v>
      </c>
      <c r="AH3106">
        <v>0.66259320978154601</v>
      </c>
      <c r="AI3106">
        <v>98.881138723973194</v>
      </c>
      <c r="AJ3106">
        <v>121.869601142009</v>
      </c>
      <c r="AK3106">
        <v>0.789675690636085</v>
      </c>
      <c r="AL3106">
        <v>93.595715918080401</v>
      </c>
      <c r="AM3106">
        <v>95.233143935177907</v>
      </c>
      <c r="AN3106">
        <v>1.00000007074622</v>
      </c>
    </row>
    <row r="3107" spans="1:40" x14ac:dyDescent="0.25">
      <c r="A3107" t="str">
        <f>"20190303154158824"</f>
        <v>20190303154158824</v>
      </c>
      <c r="B3107" t="str">
        <f>"1551598918812224"</f>
        <v>1551598918812224</v>
      </c>
      <c r="C3107" t="s">
        <v>40</v>
      </c>
      <c r="D3107">
        <v>5.5424850000000001</v>
      </c>
      <c r="E3107">
        <v>0.35864740000000001</v>
      </c>
      <c r="F3107" t="s">
        <v>42</v>
      </c>
      <c r="G3107">
        <v>-474.90179999999998</v>
      </c>
      <c r="H3107">
        <v>0.99851610000000002</v>
      </c>
      <c r="I3107">
        <v>284.34800000000001</v>
      </c>
      <c r="J3107">
        <v>-474.19749999999999</v>
      </c>
      <c r="K3107">
        <v>1.1216079999999999</v>
      </c>
      <c r="L3107">
        <v>284.76920000000001</v>
      </c>
      <c r="M3107">
        <v>-0.99983789999999995</v>
      </c>
      <c r="N3107">
        <v>-1.376406E-2</v>
      </c>
      <c r="O3107">
        <v>1.160986E-2</v>
      </c>
      <c r="P3107">
        <v>-0.99377079999999995</v>
      </c>
      <c r="Q3107">
        <v>-7.6898359999999999E-2</v>
      </c>
      <c r="R3107">
        <v>-8.0661949999999996E-2</v>
      </c>
      <c r="S3107">
        <v>-2.879089</v>
      </c>
      <c r="T3107">
        <v>-0.40007710000000002</v>
      </c>
      <c r="U3107">
        <v>-1.364441</v>
      </c>
      <c r="V3107">
        <v>-9.215508E-2</v>
      </c>
      <c r="W3107">
        <v>-6.3285110000000006E-2</v>
      </c>
      <c r="X3107">
        <v>0.99373160000000005</v>
      </c>
      <c r="Y3107">
        <v>-0.43482720000000002</v>
      </c>
      <c r="Z3107">
        <v>-3.3097340000000003E-2</v>
      </c>
      <c r="AA3107">
        <v>0.89990550000000002</v>
      </c>
      <c r="AB3107">
        <v>18</v>
      </c>
      <c r="AC3107">
        <v>-0.70429999999998905</v>
      </c>
      <c r="AD3107">
        <v>-0.123091899999999</v>
      </c>
      <c r="AE3107">
        <v>-0.42119999999999802</v>
      </c>
      <c r="AF3107">
        <v>-0.41990201086003498</v>
      </c>
      <c r="AG3107">
        <v>-0.123091899999999</v>
      </c>
      <c r="AH3107">
        <v>0.68397355989124997</v>
      </c>
      <c r="AI3107">
        <v>98.719504719992202</v>
      </c>
      <c r="AJ3107">
        <v>121.546411368053</v>
      </c>
      <c r="AK3107">
        <v>0.81196622171135902</v>
      </c>
      <c r="AL3107">
        <v>93.6283943162951</v>
      </c>
      <c r="AM3107">
        <v>95.298249977116896</v>
      </c>
      <c r="AN3107">
        <v>1.0000000283780299</v>
      </c>
    </row>
    <row r="3108" spans="1:40" x14ac:dyDescent="0.25">
      <c r="A3108" t="str">
        <f>"20190303154158846"</f>
        <v>20190303154158846</v>
      </c>
      <c r="B3108" t="str">
        <f>"1551598918842480"</f>
        <v>1551598918842480</v>
      </c>
      <c r="C3108" t="s">
        <v>40</v>
      </c>
      <c r="D3108">
        <v>5.5175109999999998</v>
      </c>
      <c r="E3108">
        <v>0.36045290000000002</v>
      </c>
      <c r="F3108" t="s">
        <v>42</v>
      </c>
      <c r="G3108">
        <v>-475.10079999999999</v>
      </c>
      <c r="H3108">
        <v>0.99375639999999998</v>
      </c>
      <c r="I3108">
        <v>284.34160000000003</v>
      </c>
      <c r="J3108">
        <v>-474.37329999999997</v>
      </c>
      <c r="K3108">
        <v>1.121594</v>
      </c>
      <c r="L3108">
        <v>284.7706</v>
      </c>
      <c r="M3108">
        <v>-0.99984430000000002</v>
      </c>
      <c r="N3108">
        <v>-1.371168E-2</v>
      </c>
      <c r="O3108">
        <v>1.111785E-2</v>
      </c>
      <c r="P3108">
        <v>-0.99359710000000001</v>
      </c>
      <c r="Q3108">
        <v>-7.7855049999999995E-2</v>
      </c>
      <c r="R3108">
        <v>-8.1876619999999997E-2</v>
      </c>
      <c r="S3108">
        <v>-2.8768310000000001</v>
      </c>
      <c r="T3108">
        <v>-0.40716000000000002</v>
      </c>
      <c r="U3108">
        <v>-1.36145</v>
      </c>
      <c r="V3108">
        <v>-9.2878769999999999E-2</v>
      </c>
      <c r="W3108">
        <v>-6.4295710000000006E-2</v>
      </c>
      <c r="X3108">
        <v>0.99359929999999996</v>
      </c>
      <c r="Y3108">
        <v>-0.43376979999999998</v>
      </c>
      <c r="Z3108">
        <v>-3.3504230000000003E-2</v>
      </c>
      <c r="AA3108">
        <v>0.9004006</v>
      </c>
      <c r="AB3108">
        <v>18</v>
      </c>
      <c r="AC3108">
        <v>-0.72750000000002002</v>
      </c>
      <c r="AD3108">
        <v>-0.1278376</v>
      </c>
      <c r="AE3108">
        <v>-0.42899999999997301</v>
      </c>
      <c r="AF3108">
        <v>-0.42727316141916299</v>
      </c>
      <c r="AG3108">
        <v>-0.1278376</v>
      </c>
      <c r="AH3108">
        <v>0.70649834152718805</v>
      </c>
      <c r="AI3108">
        <v>98.801343215973205</v>
      </c>
      <c r="AJ3108">
        <v>121.164537212818</v>
      </c>
      <c r="AK3108">
        <v>0.83549070193722297</v>
      </c>
      <c r="AL3108">
        <v>93.686415757070606</v>
      </c>
      <c r="AM3108">
        <v>95.340324224492804</v>
      </c>
      <c r="AN3108">
        <v>0.99999998660080303</v>
      </c>
    </row>
    <row r="3109" spans="1:40" x14ac:dyDescent="0.25">
      <c r="A3109" t="str">
        <f>"20190303154158862"</f>
        <v>20190303154158862</v>
      </c>
      <c r="B3109" t="str">
        <f>"1551598918852240"</f>
        <v>1551598918852240</v>
      </c>
      <c r="C3109" t="s">
        <v>40</v>
      </c>
      <c r="D3109">
        <v>5.5003190000000002</v>
      </c>
      <c r="E3109">
        <v>0.36109750000000002</v>
      </c>
      <c r="F3109" t="s">
        <v>46</v>
      </c>
      <c r="G3109">
        <v>-482.03449999999998</v>
      </c>
      <c r="H3109" s="1">
        <v>2.2655799999999998E-6</v>
      </c>
      <c r="I3109">
        <v>281.17259999999999</v>
      </c>
      <c r="J3109">
        <v>-474.51479999999998</v>
      </c>
      <c r="K3109">
        <v>1.121588</v>
      </c>
      <c r="L3109">
        <v>284.77170000000001</v>
      </c>
      <c r="M3109">
        <v>-0.99984910000000005</v>
      </c>
      <c r="N3109">
        <v>-1.3674499999999999E-2</v>
      </c>
      <c r="O3109">
        <v>1.071218E-2</v>
      </c>
      <c r="P3109">
        <v>-0.99352669999999998</v>
      </c>
      <c r="Q3109">
        <v>-7.8108919999999998E-2</v>
      </c>
      <c r="R3109">
        <v>-8.2484600000000005E-2</v>
      </c>
      <c r="S3109">
        <v>-2.8750610000000001</v>
      </c>
      <c r="T3109">
        <v>-0.42090499999999997</v>
      </c>
      <c r="U3109">
        <v>-1.35025</v>
      </c>
      <c r="V3109">
        <v>-9.3082609999999996E-2</v>
      </c>
      <c r="W3109">
        <v>-6.4587720000000001E-2</v>
      </c>
      <c r="X3109">
        <v>0.99356129999999998</v>
      </c>
      <c r="Y3109">
        <v>-0.43051</v>
      </c>
      <c r="Z3109">
        <v>-3.4257460000000003E-2</v>
      </c>
      <c r="AA3109">
        <v>0.9019355</v>
      </c>
      <c r="AB3109">
        <v>18</v>
      </c>
      <c r="AC3109">
        <v>-7.5197000000000003</v>
      </c>
      <c r="AD3109">
        <v>-1.12158573442</v>
      </c>
      <c r="AE3109">
        <v>-3.5991000000000199</v>
      </c>
      <c r="AF3109">
        <v>-3.6140384794192602</v>
      </c>
      <c r="AG3109">
        <v>-1.12158573442</v>
      </c>
      <c r="AH3109">
        <v>7.3477153865579199</v>
      </c>
      <c r="AI3109">
        <v>97.799395191284603</v>
      </c>
      <c r="AJ3109">
        <v>116.19067225182999</v>
      </c>
      <c r="AK3109">
        <v>8.2648744752862093</v>
      </c>
      <c r="AL3109">
        <v>93.703181491358094</v>
      </c>
      <c r="AM3109">
        <v>95.352180095420096</v>
      </c>
      <c r="AN3109">
        <v>1.00000000135845</v>
      </c>
    </row>
    <row r="3110" spans="1:40" x14ac:dyDescent="0.25">
      <c r="A3110" t="str">
        <f>"20190303154158879"</f>
        <v>20190303154158879</v>
      </c>
      <c r="B3110" t="str">
        <f>"1551598918872736"</f>
        <v>1551598918872736</v>
      </c>
      <c r="C3110" t="s">
        <v>40</v>
      </c>
      <c r="D3110">
        <v>5.4771179999999999</v>
      </c>
      <c r="E3110">
        <v>0.36203150000000001</v>
      </c>
      <c r="F3110" t="s">
        <v>42</v>
      </c>
      <c r="G3110">
        <v>-475.4323</v>
      </c>
      <c r="H3110">
        <v>0.98585089999999997</v>
      </c>
      <c r="I3110">
        <v>284.34190000000001</v>
      </c>
      <c r="J3110">
        <v>-474.64330000000001</v>
      </c>
      <c r="K3110">
        <v>1.1215900000000001</v>
      </c>
      <c r="L3110">
        <v>284.77260000000001</v>
      </c>
      <c r="M3110">
        <v>-0.99985360000000001</v>
      </c>
      <c r="N3110">
        <v>-1.364398E-2</v>
      </c>
      <c r="O3110">
        <v>1.033065E-2</v>
      </c>
      <c r="P3110">
        <v>-0.9934558</v>
      </c>
      <c r="Q3110">
        <v>-7.8637689999999996E-2</v>
      </c>
      <c r="R3110">
        <v>-8.2834850000000002E-2</v>
      </c>
      <c r="S3110">
        <v>-2.8743590000000001</v>
      </c>
      <c r="T3110">
        <v>-0.4252534</v>
      </c>
      <c r="U3110">
        <v>-1.346527</v>
      </c>
      <c r="V3110">
        <v>-9.3052220000000005E-2</v>
      </c>
      <c r="W3110">
        <v>-6.5148830000000005E-2</v>
      </c>
      <c r="X3110">
        <v>0.99352750000000001</v>
      </c>
      <c r="Y3110">
        <v>-0.42922159999999898</v>
      </c>
      <c r="Z3110">
        <v>-3.4437849999999999E-2</v>
      </c>
      <c r="AA3110">
        <v>0.90254250000000003</v>
      </c>
      <c r="AB3110">
        <v>18</v>
      </c>
      <c r="AC3110">
        <v>-0.78899999999998705</v>
      </c>
      <c r="AD3110">
        <v>-0.135739099999999</v>
      </c>
      <c r="AE3110">
        <v>-0.43070000000000103</v>
      </c>
      <c r="AF3110">
        <v>-0.42904527049955898</v>
      </c>
      <c r="AG3110">
        <v>-0.135739099999999</v>
      </c>
      <c r="AH3110">
        <v>0.76701799614646504</v>
      </c>
      <c r="AI3110">
        <v>98.779895741571593</v>
      </c>
      <c r="AJ3110">
        <v>119.221249773784</v>
      </c>
      <c r="AK3110">
        <v>0.88928148177019195</v>
      </c>
      <c r="AL3110">
        <v>93.735398625522606</v>
      </c>
      <c r="AM3110">
        <v>95.350623802549407</v>
      </c>
      <c r="AN3110">
        <v>0.99999998947677304</v>
      </c>
    </row>
    <row r="3111" spans="1:40" x14ac:dyDescent="0.25">
      <c r="A3111" t="str">
        <f>"20190303154158897"</f>
        <v>20190303154158897</v>
      </c>
      <c r="B3111" t="str">
        <f>"1551598918892257"</f>
        <v>1551598918892257</v>
      </c>
      <c r="C3111" t="s">
        <v>40</v>
      </c>
      <c r="D3111">
        <v>5.4827820000000003</v>
      </c>
      <c r="E3111">
        <v>0.36263909999999999</v>
      </c>
      <c r="F3111" t="s">
        <v>42</v>
      </c>
      <c r="G3111">
        <v>-475.54419999999999</v>
      </c>
      <c r="H3111">
        <v>0.98598249999999998</v>
      </c>
      <c r="I3111">
        <v>284.35270000000003</v>
      </c>
      <c r="J3111">
        <v>-474.78469999999999</v>
      </c>
      <c r="K3111">
        <v>1.12159599999999</v>
      </c>
      <c r="L3111">
        <v>284.77359999999999</v>
      </c>
      <c r="M3111">
        <v>-0.99985849999999998</v>
      </c>
      <c r="N3111">
        <v>-1.3613790000000001E-2</v>
      </c>
      <c r="O3111">
        <v>9.8874930000000007E-3</v>
      </c>
      <c r="P3111">
        <v>-0.9934191</v>
      </c>
      <c r="Q3111">
        <v>-7.8791949999999999E-2</v>
      </c>
      <c r="R3111">
        <v>-8.3129789999999995E-2</v>
      </c>
      <c r="S3111">
        <v>-2.8737490000000001</v>
      </c>
      <c r="T3111">
        <v>-0.43249680000000001</v>
      </c>
      <c r="U3111">
        <v>-1.3400270000000001</v>
      </c>
      <c r="V3111">
        <v>-9.2904219999999996E-2</v>
      </c>
      <c r="W3111">
        <v>-6.5336080000000005E-2</v>
      </c>
      <c r="X3111">
        <v>0.99352910000000005</v>
      </c>
      <c r="Y3111">
        <v>-0.42709819999999998</v>
      </c>
      <c r="Z3111">
        <v>-3.4758270000000001E-2</v>
      </c>
      <c r="AA3111">
        <v>0.90353700000000003</v>
      </c>
      <c r="AB3111">
        <v>18</v>
      </c>
      <c r="AC3111">
        <v>-0.75950000000000195</v>
      </c>
      <c r="AD3111">
        <v>-0.135613499999999</v>
      </c>
      <c r="AE3111">
        <v>-0.42089999999995997</v>
      </c>
      <c r="AF3111">
        <v>-0.41818945427188298</v>
      </c>
      <c r="AG3111">
        <v>-0.135613499999999</v>
      </c>
      <c r="AH3111">
        <v>0.73731667177772298</v>
      </c>
      <c r="AI3111">
        <v>99.089536564617006</v>
      </c>
      <c r="AJ3111">
        <v>119.560933560424</v>
      </c>
      <c r="AK3111">
        <v>0.85843422318069496</v>
      </c>
      <c r="AL3111">
        <v>93.7461499963931</v>
      </c>
      <c r="AM3111">
        <v>95.342154331265505</v>
      </c>
      <c r="AN3111">
        <v>1.0000000349951901</v>
      </c>
    </row>
    <row r="3112" spans="1:40" x14ac:dyDescent="0.25">
      <c r="A3112" t="str">
        <f>"20190303154158912"</f>
        <v>20190303154158912</v>
      </c>
      <c r="B3112" t="str">
        <f>"1551598918902992"</f>
        <v>1551598918902992</v>
      </c>
      <c r="C3112" t="s">
        <v>40</v>
      </c>
      <c r="D3112">
        <v>5.4840540000000004</v>
      </c>
      <c r="E3112">
        <v>0.36288379999999998</v>
      </c>
      <c r="F3112" t="s">
        <v>42</v>
      </c>
      <c r="G3112">
        <v>-475.67579999999998</v>
      </c>
      <c r="H3112">
        <v>0.98613720000000005</v>
      </c>
      <c r="I3112">
        <v>284.35939999999999</v>
      </c>
      <c r="J3112">
        <v>-474.91840000000002</v>
      </c>
      <c r="K3112">
        <v>1.1216060000000001</v>
      </c>
      <c r="L3112">
        <v>284.77440000000001</v>
      </c>
      <c r="M3112">
        <v>-0.99986319999999995</v>
      </c>
      <c r="N3112">
        <v>-1.358853E-2</v>
      </c>
      <c r="O3112">
        <v>9.4370229999999992E-3</v>
      </c>
      <c r="P3112">
        <v>-0.99338130000000002</v>
      </c>
      <c r="Q3112">
        <v>-7.9018469999999993E-2</v>
      </c>
      <c r="R3112">
        <v>-8.3365899999999896E-2</v>
      </c>
      <c r="S3112">
        <v>-2.8734130000000002</v>
      </c>
      <c r="T3112">
        <v>-0.43675219999999998</v>
      </c>
      <c r="U3112">
        <v>-1.3359379999999901</v>
      </c>
      <c r="V3112">
        <v>-9.2689469999999996E-2</v>
      </c>
      <c r="W3112">
        <v>-6.5592170000000005E-2</v>
      </c>
      <c r="X3112">
        <v>0.99353219999999998</v>
      </c>
      <c r="Y3112">
        <v>-0.42560750000000003</v>
      </c>
      <c r="Z3112">
        <v>-3.4897810000000001E-2</v>
      </c>
      <c r="AA3112">
        <v>0.90423469999999995</v>
      </c>
      <c r="AB3112">
        <v>18</v>
      </c>
      <c r="AC3112">
        <v>-0.75739999999996099</v>
      </c>
      <c r="AD3112">
        <v>-0.135468799999999</v>
      </c>
      <c r="AE3112">
        <v>-0.41500000000002002</v>
      </c>
      <c r="AF3112">
        <v>-0.411993007582791</v>
      </c>
      <c r="AG3112">
        <v>-0.135468799999999</v>
      </c>
      <c r="AH3112">
        <v>0.73535665808608597</v>
      </c>
      <c r="AI3112">
        <v>99.130311530893806</v>
      </c>
      <c r="AJ3112">
        <v>119.26028931802099</v>
      </c>
      <c r="AK3112">
        <v>0.85372094308508695</v>
      </c>
      <c r="AL3112">
        <v>93.7608547285638</v>
      </c>
      <c r="AM3112">
        <v>95.329860494610898</v>
      </c>
      <c r="AN3112">
        <v>0.99999995152551302</v>
      </c>
    </row>
    <row r="3113" spans="1:40" x14ac:dyDescent="0.25">
      <c r="A3113" t="str">
        <f>"20190303154158936"</f>
        <v>20190303154158936</v>
      </c>
      <c r="B3113" t="str">
        <f>"1551598918932272"</f>
        <v>1551598918932272</v>
      </c>
      <c r="C3113" t="s">
        <v>40</v>
      </c>
      <c r="D3113">
        <v>5.3989129999999896</v>
      </c>
      <c r="E3113">
        <v>0.36305880000000001</v>
      </c>
      <c r="F3113" t="s">
        <v>46</v>
      </c>
      <c r="G3113">
        <v>-482.24459999999999</v>
      </c>
      <c r="H3113" s="1">
        <v>2.3202330000000001E-6</v>
      </c>
      <c r="I3113">
        <v>281.37139999999999</v>
      </c>
      <c r="J3113">
        <v>-475.09930000000003</v>
      </c>
      <c r="K3113">
        <v>1.1216330000000001</v>
      </c>
      <c r="L3113">
        <v>284.77530000000002</v>
      </c>
      <c r="M3113">
        <v>-0.99986960000000003</v>
      </c>
      <c r="N3113">
        <v>-1.355817E-2</v>
      </c>
      <c r="O3113">
        <v>8.7774659999999994E-3</v>
      </c>
      <c r="P3113">
        <v>-0.99336950000000002</v>
      </c>
      <c r="Q3113">
        <v>-7.8153570000000006E-2</v>
      </c>
      <c r="R3113">
        <v>-8.4316489999999994E-2</v>
      </c>
      <c r="S3113">
        <v>-2.8730159999999998</v>
      </c>
      <c r="T3113">
        <v>-0.43984390000000001</v>
      </c>
      <c r="U3113">
        <v>-1.334473</v>
      </c>
      <c r="V3113">
        <v>-9.2979690000000004E-2</v>
      </c>
      <c r="W3113">
        <v>-6.4765459999999997E-2</v>
      </c>
      <c r="X3113">
        <v>0.99355939999999998</v>
      </c>
      <c r="Y3113">
        <v>-0.42463390000000001</v>
      </c>
      <c r="Z3113">
        <v>-3.4957839999999997E-2</v>
      </c>
      <c r="AA3113">
        <v>0.90468999999999999</v>
      </c>
      <c r="AB3113">
        <v>18</v>
      </c>
      <c r="AC3113">
        <v>-7.1452999999999598</v>
      </c>
      <c r="AD3113">
        <v>-1.1216306797669999</v>
      </c>
      <c r="AE3113">
        <v>-3.4039000000000201</v>
      </c>
      <c r="AF3113">
        <v>-3.3982442599256002</v>
      </c>
      <c r="AG3113">
        <v>-1.1216306797669999</v>
      </c>
      <c r="AH3113">
        <v>6.97506202705374</v>
      </c>
      <c r="AI3113">
        <v>98.225789991717207</v>
      </c>
      <c r="AJ3113">
        <v>115.975304246566</v>
      </c>
      <c r="AK3113">
        <v>7.8394903988179596</v>
      </c>
      <c r="AL3113">
        <v>93.713386486859406</v>
      </c>
      <c r="AM3113">
        <v>95.3463067467776</v>
      </c>
      <c r="AN3113">
        <v>1.00000003444493</v>
      </c>
    </row>
    <row r="3114" spans="1:40" x14ac:dyDescent="0.25">
      <c r="A3114" t="str">
        <f>"20190303154158958"</f>
        <v>20190303154158958</v>
      </c>
      <c r="B3114" t="str">
        <f>"1551598918952771"</f>
        <v>1551598918952771</v>
      </c>
      <c r="C3114" t="s">
        <v>40</v>
      </c>
      <c r="D3114">
        <v>5.3152299999999997</v>
      </c>
      <c r="E3114">
        <v>0.36279080000000002</v>
      </c>
      <c r="F3114" t="s">
        <v>46</v>
      </c>
      <c r="G3114">
        <v>-482.42770000000002</v>
      </c>
      <c r="H3114" s="1">
        <v>2.352366E-6</v>
      </c>
      <c r="I3114">
        <v>281.36750000000001</v>
      </c>
      <c r="J3114">
        <v>-475.28280000000001</v>
      </c>
      <c r="K3114">
        <v>1.1216930000000001</v>
      </c>
      <c r="L3114">
        <v>284.77600000000001</v>
      </c>
      <c r="M3114">
        <v>-0.9998764</v>
      </c>
      <c r="N3114">
        <v>-1.3532239999999999E-2</v>
      </c>
      <c r="O3114">
        <v>7.9999189999999994E-3</v>
      </c>
      <c r="P3114">
        <v>-0.99337350000000002</v>
      </c>
      <c r="Q3114">
        <v>-7.6520249999999998E-2</v>
      </c>
      <c r="R3114">
        <v>-8.57541E-2</v>
      </c>
      <c r="S3114">
        <v>-2.8720699999999999</v>
      </c>
      <c r="T3114">
        <v>-0.43957639999999998</v>
      </c>
      <c r="U3114">
        <v>-1.3355410000000001</v>
      </c>
      <c r="V3114">
        <v>-9.3638319999999997E-2</v>
      </c>
      <c r="W3114">
        <v>-6.3170749999999998E-2</v>
      </c>
      <c r="X3114">
        <v>0.99360020000000004</v>
      </c>
      <c r="Y3114">
        <v>-0.42433599999999999</v>
      </c>
      <c r="Z3114">
        <v>-3.4813900000000002E-2</v>
      </c>
      <c r="AA3114">
        <v>0.90483530000000001</v>
      </c>
      <c r="AB3114">
        <v>18</v>
      </c>
      <c r="AC3114">
        <v>-7.1448999999999998</v>
      </c>
      <c r="AD3114">
        <v>-1.1216906476340001</v>
      </c>
      <c r="AE3114">
        <v>-3.4085000000000001</v>
      </c>
      <c r="AF3114">
        <v>-3.3973454401429102</v>
      </c>
      <c r="AG3114">
        <v>-1.1216906476340001</v>
      </c>
      <c r="AH3114">
        <v>6.9773158436591203</v>
      </c>
      <c r="AI3114">
        <v>98.224516773195703</v>
      </c>
      <c r="AJ3114">
        <v>115.962050537369</v>
      </c>
      <c r="AK3114">
        <v>7.8411148652998302</v>
      </c>
      <c r="AL3114">
        <v>93.621828871857602</v>
      </c>
      <c r="AM3114">
        <v>95.3837362464363</v>
      </c>
      <c r="AN3114">
        <v>1.0000000180340101</v>
      </c>
    </row>
    <row r="3115" spans="1:40" x14ac:dyDescent="0.25">
      <c r="A3115" t="str">
        <f>"20190303154158976"</f>
        <v>20190303154158976</v>
      </c>
      <c r="B3115" t="str">
        <f>"1551598918972288"</f>
        <v>1551598918972288</v>
      </c>
      <c r="C3115" t="s">
        <v>40</v>
      </c>
      <c r="D3115">
        <v>5.3083650000000002</v>
      </c>
      <c r="E3115">
        <v>0.36257440000000002</v>
      </c>
      <c r="F3115" t="s">
        <v>42</v>
      </c>
      <c r="G3115">
        <v>-476.1859</v>
      </c>
      <c r="H3115">
        <v>0.98531089999999999</v>
      </c>
      <c r="I3115">
        <v>284.35419999999999</v>
      </c>
      <c r="J3115">
        <v>-475.42340000000002</v>
      </c>
      <c r="K3115">
        <v>1.1217539999999999</v>
      </c>
      <c r="L3115">
        <v>284.77640000000002</v>
      </c>
      <c r="M3115">
        <v>-0.99988189999999999</v>
      </c>
      <c r="N3115">
        <v>-1.3514719999999999E-2</v>
      </c>
      <c r="O3115">
        <v>7.3248280000000002E-3</v>
      </c>
      <c r="P3115">
        <v>-0.99334</v>
      </c>
      <c r="Q3115">
        <v>-7.5470239999999994E-2</v>
      </c>
      <c r="R3115">
        <v>-8.7065290000000004E-2</v>
      </c>
      <c r="S3115">
        <v>-2.8707889999999998</v>
      </c>
      <c r="T3115">
        <v>-0.43352570000000001</v>
      </c>
      <c r="U3115">
        <v>-1.3418270000000001</v>
      </c>
      <c r="V3115">
        <v>-9.4270690000000004E-2</v>
      </c>
      <c r="W3115">
        <v>-6.215159E-2</v>
      </c>
      <c r="X3115">
        <v>0.99360470000000001</v>
      </c>
      <c r="Y3115">
        <v>-0.42562</v>
      </c>
      <c r="Z3115">
        <v>-3.4388309999999998E-2</v>
      </c>
      <c r="AA3115">
        <v>0.90424839999999995</v>
      </c>
      <c r="AB3115">
        <v>18</v>
      </c>
      <c r="AC3115">
        <v>-0.76249999999998797</v>
      </c>
      <c r="AD3115">
        <v>-0.13644310000000001</v>
      </c>
      <c r="AE3115">
        <v>-0.42220000000003199</v>
      </c>
      <c r="AF3115">
        <v>-0.41754180094556598</v>
      </c>
      <c r="AG3115">
        <v>-0.13644310000000001</v>
      </c>
      <c r="AH3115">
        <v>0.74122183244704698</v>
      </c>
      <c r="AI3115">
        <v>99.111644711980205</v>
      </c>
      <c r="AJ3115">
        <v>119.393238470841</v>
      </c>
      <c r="AK3115">
        <v>0.86160761369119498</v>
      </c>
      <c r="AL3115">
        <v>93.563320242382801</v>
      </c>
      <c r="AM3115">
        <v>95.419854181212798</v>
      </c>
      <c r="AN3115">
        <v>1.00000004149734</v>
      </c>
    </row>
    <row r="3116" spans="1:40" x14ac:dyDescent="0.25">
      <c r="A3116" t="str">
        <f>"20190303154158990"</f>
        <v>20190303154158990</v>
      </c>
      <c r="B3116" t="str">
        <f>"1551598918983024"</f>
        <v>1551598918983024</v>
      </c>
      <c r="C3116" t="s">
        <v>40</v>
      </c>
      <c r="D3116">
        <v>5.3563869999999998</v>
      </c>
      <c r="E3116">
        <v>0.36268210000000001</v>
      </c>
      <c r="F3116" t="s">
        <v>42</v>
      </c>
      <c r="G3116">
        <v>-476.31580000000002</v>
      </c>
      <c r="H3116">
        <v>0.98820079999999999</v>
      </c>
      <c r="I3116">
        <v>284.35730000000001</v>
      </c>
      <c r="J3116">
        <v>-475.54899999999998</v>
      </c>
      <c r="K3116">
        <v>1.121815</v>
      </c>
      <c r="L3116">
        <v>284.77659999999997</v>
      </c>
      <c r="M3116">
        <v>-0.99988690000000002</v>
      </c>
      <c r="N3116">
        <v>-1.3501229999999999E-2</v>
      </c>
      <c r="O3116">
        <v>6.6494910000000004E-3</v>
      </c>
      <c r="P3116">
        <v>-0.99319740000000001</v>
      </c>
      <c r="Q3116">
        <v>-7.2961990000000004E-2</v>
      </c>
      <c r="R3116">
        <v>-9.0752009999999994E-2</v>
      </c>
      <c r="S3116">
        <v>-2.8693849999999999</v>
      </c>
      <c r="T3116">
        <v>-0.42946309999999899</v>
      </c>
      <c r="U3116">
        <v>-1.3471979999999999</v>
      </c>
      <c r="V3116">
        <v>-9.7281220000000002E-2</v>
      </c>
      <c r="W3116">
        <v>-5.9674709999999999E-2</v>
      </c>
      <c r="X3116">
        <v>0.99346630000000002</v>
      </c>
      <c r="Y3116">
        <v>-0.42664180000000002</v>
      </c>
      <c r="Z3116">
        <v>-3.4089050000000003E-2</v>
      </c>
      <c r="AA3116">
        <v>0.90377799999999997</v>
      </c>
      <c r="AB3116">
        <v>18</v>
      </c>
      <c r="AC3116">
        <v>-0.76679999999998905</v>
      </c>
      <c r="AD3116">
        <v>-0.13361419999999999</v>
      </c>
      <c r="AE3116">
        <v>-0.41929999999996398</v>
      </c>
      <c r="AF3116">
        <v>-0.41469699419504202</v>
      </c>
      <c r="AG3116">
        <v>-0.13361419999999999</v>
      </c>
      <c r="AH3116">
        <v>0.74654509353993503</v>
      </c>
      <c r="AI3116">
        <v>98.892308191863904</v>
      </c>
      <c r="AJ3116">
        <v>119.051655244381</v>
      </c>
      <c r="AK3116">
        <v>0.86438181848335605</v>
      </c>
      <c r="AL3116">
        <v>93.421141573965102</v>
      </c>
      <c r="AM3116">
        <v>95.592630850066499</v>
      </c>
      <c r="AN3116">
        <v>0.99999999800698103</v>
      </c>
    </row>
    <row r="3117" spans="1:40" x14ac:dyDescent="0.25">
      <c r="A3117" t="str">
        <f>"20190303154159014"</f>
        <v>20190303154159014</v>
      </c>
      <c r="B3117" t="str">
        <f>"1551598919002544"</f>
        <v>1551598919002544</v>
      </c>
      <c r="C3117" t="s">
        <v>40</v>
      </c>
      <c r="D3117">
        <v>5.3166399999999996</v>
      </c>
      <c r="E3117">
        <v>0.36265760000000002</v>
      </c>
      <c r="F3117" t="s">
        <v>46</v>
      </c>
      <c r="G3117">
        <v>-483.15519999999998</v>
      </c>
      <c r="H3117" s="1">
        <v>2.4645380000000001E-6</v>
      </c>
      <c r="I3117">
        <v>281.17450000000002</v>
      </c>
      <c r="J3117">
        <v>-475.72930000000002</v>
      </c>
      <c r="K3117">
        <v>1.1218999999999999</v>
      </c>
      <c r="L3117">
        <v>284.77659999999997</v>
      </c>
      <c r="M3117">
        <v>-0.99989349999999999</v>
      </c>
      <c r="N3117">
        <v>-1.3484009999999999E-2</v>
      </c>
      <c r="O3117">
        <v>5.5897550000000001E-3</v>
      </c>
      <c r="P3117">
        <v>-0.99284079999999997</v>
      </c>
      <c r="Q3117">
        <v>-7.102899E-2</v>
      </c>
      <c r="R3117">
        <v>-9.6031660000000005E-2</v>
      </c>
      <c r="S3117">
        <v>-2.8654480000000002</v>
      </c>
      <c r="T3117">
        <v>-0.42261650000000001</v>
      </c>
      <c r="U3117">
        <v>-1.356995</v>
      </c>
      <c r="V3117">
        <v>-0.1014978</v>
      </c>
      <c r="W3117">
        <v>-5.7787949999999998E-2</v>
      </c>
      <c r="X3117">
        <v>0.99315600000000004</v>
      </c>
      <c r="Y3117">
        <v>-0.42880410000000002</v>
      </c>
      <c r="Z3117">
        <v>-3.3643949999999999E-2</v>
      </c>
      <c r="AA3117">
        <v>0.90277079999999998</v>
      </c>
      <c r="AB3117">
        <v>18</v>
      </c>
      <c r="AC3117">
        <v>-7.4258999999999498</v>
      </c>
      <c r="AD3117">
        <v>-1.121897535462</v>
      </c>
      <c r="AE3117">
        <v>-3.6020999999999499</v>
      </c>
      <c r="AF3117">
        <v>-3.57745491194073</v>
      </c>
      <c r="AG3117">
        <v>-1.121897535462</v>
      </c>
      <c r="AH3117">
        <v>7.2712937497757597</v>
      </c>
      <c r="AI3117">
        <v>97.882079674132697</v>
      </c>
      <c r="AJ3117">
        <v>116.197048944561</v>
      </c>
      <c r="AK3117">
        <v>8.1809871361940605</v>
      </c>
      <c r="AL3117">
        <v>93.312851087186004</v>
      </c>
      <c r="AM3117">
        <v>95.835211828417698</v>
      </c>
      <c r="AN3117">
        <v>1.00000004545302</v>
      </c>
    </row>
    <row r="3118" spans="1:40" x14ac:dyDescent="0.25">
      <c r="A3118" t="str">
        <f>"20190303154159047"</f>
        <v>20190303154159047</v>
      </c>
      <c r="B3118" t="str">
        <f>"1551598919042563"</f>
        <v>1551598919042563</v>
      </c>
      <c r="C3118" t="s">
        <v>40</v>
      </c>
      <c r="D3118">
        <v>5.164974</v>
      </c>
      <c r="E3118">
        <v>0.36113980000000001</v>
      </c>
      <c r="F3118" t="s">
        <v>46</v>
      </c>
      <c r="G3118">
        <v>-483.41030000000001</v>
      </c>
      <c r="H3118" s="1">
        <v>2.5022590000000001E-6</v>
      </c>
      <c r="I3118">
        <v>281.08839999999998</v>
      </c>
      <c r="J3118">
        <v>-475.99439999999998</v>
      </c>
      <c r="K3118">
        <v>1.122052</v>
      </c>
      <c r="L3118">
        <v>284.7758</v>
      </c>
      <c r="M3118">
        <v>-0.99990259999999997</v>
      </c>
      <c r="N3118">
        <v>-1.3463920000000001E-2</v>
      </c>
      <c r="O3118">
        <v>3.6935650000000002E-3</v>
      </c>
      <c r="P3118">
        <v>-0.99192829999999999</v>
      </c>
      <c r="Q3118">
        <v>-6.9917370000000006E-2</v>
      </c>
      <c r="R3118">
        <v>-0.1057838</v>
      </c>
      <c r="S3118">
        <v>-2.858978</v>
      </c>
      <c r="T3118">
        <v>-0.41758790000000001</v>
      </c>
      <c r="U3118">
        <v>-1.3727720000000001</v>
      </c>
      <c r="V3118">
        <v>-0.10934629999999999</v>
      </c>
      <c r="W3118">
        <v>-5.6755729999999997E-2</v>
      </c>
      <c r="X3118">
        <v>0.99238199999999999</v>
      </c>
      <c r="Y3118">
        <v>-0.43201329999999999</v>
      </c>
      <c r="Z3118">
        <v>-3.3315640000000001E-2</v>
      </c>
      <c r="AA3118">
        <v>0.90125169999999999</v>
      </c>
      <c r="AB3118">
        <v>18</v>
      </c>
      <c r="AC3118">
        <v>-7.4159000000000201</v>
      </c>
      <c r="AD3118">
        <v>-1.122049497741</v>
      </c>
      <c r="AE3118">
        <v>-3.6874000000000202</v>
      </c>
      <c r="AF3118">
        <v>-3.6478138783596101</v>
      </c>
      <c r="AG3118">
        <v>-1.122049497741</v>
      </c>
      <c r="AH3118">
        <v>7.2688116135389604</v>
      </c>
      <c r="AI3118">
        <v>97.855292275614701</v>
      </c>
      <c r="AJ3118">
        <v>116.64953914976201</v>
      </c>
      <c r="AK3118">
        <v>8.2098211575924491</v>
      </c>
      <c r="AL3118">
        <v>93.253612379735898</v>
      </c>
      <c r="AM3118">
        <v>96.287810596359293</v>
      </c>
      <c r="AN3118">
        <v>0.999999930067759</v>
      </c>
    </row>
    <row r="3119" spans="1:40" x14ac:dyDescent="0.25">
      <c r="A3119" t="str">
        <f>"20190303154159068"</f>
        <v>20190303154159068</v>
      </c>
      <c r="B3119" t="str">
        <f>"1551598919063055"</f>
        <v>1551598919063055</v>
      </c>
      <c r="C3119" t="s">
        <v>40</v>
      </c>
      <c r="D3119">
        <v>5.1595149999999999</v>
      </c>
      <c r="E3119">
        <v>0.3604309</v>
      </c>
      <c r="F3119" t="s">
        <v>42</v>
      </c>
      <c r="G3119">
        <v>-476.8698</v>
      </c>
      <c r="H3119">
        <v>0.99566319999999997</v>
      </c>
      <c r="I3119">
        <v>284.34089999999998</v>
      </c>
      <c r="J3119">
        <v>-476.1712</v>
      </c>
      <c r="K3119">
        <v>1.122158</v>
      </c>
      <c r="L3119">
        <v>284.7747</v>
      </c>
      <c r="M3119">
        <v>-0.99990710000000005</v>
      </c>
      <c r="N3119">
        <v>-1.34537999999999E-2</v>
      </c>
      <c r="O3119">
        <v>2.2093830000000001E-3</v>
      </c>
      <c r="P3119">
        <v>-0.99089159999999998</v>
      </c>
      <c r="Q3119">
        <v>-6.9862640000000004E-2</v>
      </c>
      <c r="R3119">
        <v>-0.1151229</v>
      </c>
      <c r="S3119">
        <v>-2.8446959999999999</v>
      </c>
      <c r="T3119">
        <v>-0.41074100000000002</v>
      </c>
      <c r="U3119">
        <v>-1.4132389999999999</v>
      </c>
      <c r="V3119">
        <v>-0.11719690000000001</v>
      </c>
      <c r="W3119">
        <v>-5.6766959999999998E-2</v>
      </c>
      <c r="X3119">
        <v>0.9914849</v>
      </c>
      <c r="Y3119">
        <v>-0.44278260000000003</v>
      </c>
      <c r="Z3119">
        <v>-3.3501910000000003E-2</v>
      </c>
      <c r="AA3119">
        <v>0.89600290000000005</v>
      </c>
      <c r="AB3119">
        <v>18</v>
      </c>
      <c r="AC3119">
        <v>-0.698599999999999</v>
      </c>
      <c r="AD3119">
        <v>-0.12649479999999999</v>
      </c>
      <c r="AE3119">
        <v>-0.433800000000019</v>
      </c>
      <c r="AF3119">
        <v>-0.42527952075382602</v>
      </c>
      <c r="AG3119">
        <v>-0.12649479999999999</v>
      </c>
      <c r="AH3119">
        <v>0.68151368715278204</v>
      </c>
      <c r="AI3119">
        <v>98.9485991820832</v>
      </c>
      <c r="AJ3119">
        <v>121.965069661304</v>
      </c>
      <c r="AK3119">
        <v>0.81321861204489398</v>
      </c>
      <c r="AL3119">
        <v>93.254256772377303</v>
      </c>
      <c r="AM3119">
        <v>96.741276393940893</v>
      </c>
      <c r="AN3119">
        <v>0.99999995402262898</v>
      </c>
    </row>
    <row r="3120" spans="1:40" x14ac:dyDescent="0.25">
      <c r="A3120" t="str">
        <f>"20190303154159092"</f>
        <v>20190303154159092</v>
      </c>
      <c r="B3120" t="str">
        <f>"1551598919082576"</f>
        <v>1551598919082576</v>
      </c>
      <c r="C3120" t="s">
        <v>40</v>
      </c>
      <c r="D3120">
        <v>5.1048119999999999</v>
      </c>
      <c r="E3120">
        <v>0.35993360000000002</v>
      </c>
      <c r="F3120" t="s">
        <v>42</v>
      </c>
      <c r="G3120">
        <v>-477.02140000000003</v>
      </c>
      <c r="H3120">
        <v>0.99997610000000003</v>
      </c>
      <c r="I3120">
        <v>284.34030000000001</v>
      </c>
      <c r="J3120">
        <v>-476.35430000000002</v>
      </c>
      <c r="K3120">
        <v>1.122258</v>
      </c>
      <c r="L3120">
        <v>284.7731</v>
      </c>
      <c r="M3120">
        <v>-0.99990950000000001</v>
      </c>
      <c r="N3120">
        <v>-1.3445800000000001E-2</v>
      </c>
      <c r="O3120">
        <v>4.8586419999999998E-4</v>
      </c>
      <c r="P3120">
        <v>-0.98917010000000005</v>
      </c>
      <c r="Q3120">
        <v>-7.1333450000000007E-2</v>
      </c>
      <c r="R3120">
        <v>-0.128274</v>
      </c>
      <c r="S3120">
        <v>-2.8308719999999998</v>
      </c>
      <c r="T3120">
        <v>-0.40681709999999999</v>
      </c>
      <c r="U3120">
        <v>-1.4461360000000001</v>
      </c>
      <c r="V3120">
        <v>-0.1286204</v>
      </c>
      <c r="W3120">
        <v>-5.8323899999999998E-2</v>
      </c>
      <c r="X3120">
        <v>0.98997740000000001</v>
      </c>
      <c r="Y3120">
        <v>-0.45125720000000002</v>
      </c>
      <c r="Z3120">
        <v>-3.3698449999999998E-2</v>
      </c>
      <c r="AA3120">
        <v>0.89175749999999998</v>
      </c>
      <c r="AB3120">
        <v>18</v>
      </c>
      <c r="AC3120">
        <v>-0.66710000000000402</v>
      </c>
      <c r="AD3120">
        <v>-0.122281899999999</v>
      </c>
      <c r="AE3120">
        <v>-0.43279999999998597</v>
      </c>
      <c r="AF3120">
        <v>-0.42311863822440599</v>
      </c>
      <c r="AG3120">
        <v>-0.122281899999999</v>
      </c>
      <c r="AH3120">
        <v>0.65148401835833503</v>
      </c>
      <c r="AI3120">
        <v>98.945634680074605</v>
      </c>
      <c r="AJ3120">
        <v>123.00247241904199</v>
      </c>
      <c r="AK3120">
        <v>0.78639282248556197</v>
      </c>
      <c r="AL3120">
        <v>93.343610562985404</v>
      </c>
      <c r="AM3120">
        <v>97.402548944289293</v>
      </c>
      <c r="AN3120">
        <v>1.00000006855906</v>
      </c>
    </row>
    <row r="3121" spans="1:40" x14ac:dyDescent="0.25">
      <c r="A3121" t="str">
        <f>"20190303154159113"</f>
        <v>20190303154159113</v>
      </c>
      <c r="B3121" t="str">
        <f>"1551598919103071"</f>
        <v>1551598919103071</v>
      </c>
      <c r="C3121" t="s">
        <v>40</v>
      </c>
      <c r="D3121">
        <v>5.1572699999999996</v>
      </c>
      <c r="E3121">
        <v>0.35949009999999998</v>
      </c>
      <c r="F3121" t="s">
        <v>42</v>
      </c>
      <c r="G3121">
        <v>-477.1748</v>
      </c>
      <c r="H3121">
        <v>1.003941</v>
      </c>
      <c r="I3121">
        <v>284.33879999999999</v>
      </c>
      <c r="J3121">
        <v>-476.5283</v>
      </c>
      <c r="K3121">
        <v>1.1223510000000001</v>
      </c>
      <c r="L3121">
        <v>284.77109999999999</v>
      </c>
      <c r="M3121">
        <v>-0.99990889999999999</v>
      </c>
      <c r="N3121">
        <v>-1.344004E-2</v>
      </c>
      <c r="O3121">
        <v>-1.347528E-3</v>
      </c>
      <c r="P3121">
        <v>-0.98697089999999998</v>
      </c>
      <c r="Q3121">
        <v>-7.4232179999999995E-2</v>
      </c>
      <c r="R3121">
        <v>-0.14275360000000001</v>
      </c>
      <c r="S3121">
        <v>-2.8105769999999999</v>
      </c>
      <c r="T3121">
        <v>-0.40525319999999998</v>
      </c>
      <c r="U3121">
        <v>-1.4885250000000001</v>
      </c>
      <c r="V3121">
        <v>-0.14126639999999999</v>
      </c>
      <c r="W3121">
        <v>-6.1320840000000001E-2</v>
      </c>
      <c r="X3121">
        <v>0.98807060000000002</v>
      </c>
      <c r="Y3121">
        <v>-0.4626807</v>
      </c>
      <c r="Z3121">
        <v>-3.431439E-2</v>
      </c>
      <c r="AA3121">
        <v>0.88586069999999995</v>
      </c>
      <c r="AB3121">
        <v>18</v>
      </c>
      <c r="AC3121">
        <v>-0.64650000000000296</v>
      </c>
      <c r="AD3121">
        <v>-0.11841</v>
      </c>
      <c r="AE3121">
        <v>-0.43229999999999702</v>
      </c>
      <c r="AF3121">
        <v>-0.421653988364799</v>
      </c>
      <c r="AG3121">
        <v>-0.11841</v>
      </c>
      <c r="AH3121">
        <v>0.63242182763597998</v>
      </c>
      <c r="AI3121">
        <v>98.854508674255598</v>
      </c>
      <c r="AJ3121">
        <v>123.692540969438</v>
      </c>
      <c r="AK3121">
        <v>0.76926613215088002</v>
      </c>
      <c r="AL3121">
        <v>93.515631037531094</v>
      </c>
      <c r="AM3121">
        <v>98.136549768637096</v>
      </c>
      <c r="AN3121">
        <v>0.99999997588581202</v>
      </c>
    </row>
    <row r="3122" spans="1:40" x14ac:dyDescent="0.25">
      <c r="A3122" t="str">
        <f>"20190303154159137"</f>
        <v>20190303154159137</v>
      </c>
      <c r="B3122" t="str">
        <f>"1551598919132355"</f>
        <v>1551598919132355</v>
      </c>
      <c r="C3122" t="s">
        <v>40</v>
      </c>
      <c r="D3122">
        <v>5.1640040000000003</v>
      </c>
      <c r="E3122">
        <v>0.35914420000000002</v>
      </c>
      <c r="F3122" t="s">
        <v>42</v>
      </c>
      <c r="G3122">
        <v>-477.31029999999998</v>
      </c>
      <c r="H3122">
        <v>1.007846</v>
      </c>
      <c r="I3122">
        <v>284.34039999999999</v>
      </c>
      <c r="J3122">
        <v>-476.70519999999999</v>
      </c>
      <c r="K3122">
        <v>1.122449</v>
      </c>
      <c r="L3122">
        <v>284.76839999999999</v>
      </c>
      <c r="M3122">
        <v>-0.99990389999999996</v>
      </c>
      <c r="N3122">
        <v>-1.343606E-2</v>
      </c>
      <c r="O3122">
        <v>-3.4249850000000002E-3</v>
      </c>
      <c r="P3122">
        <v>-0.98451710000000003</v>
      </c>
      <c r="Q3122">
        <v>-7.7248659999999997E-2</v>
      </c>
      <c r="R3122">
        <v>-0.1573505</v>
      </c>
      <c r="S3122">
        <v>-2.7870180000000002</v>
      </c>
      <c r="T3122">
        <v>-0.40804790000000002</v>
      </c>
      <c r="U3122">
        <v>-1.534119</v>
      </c>
      <c r="V3122">
        <v>-0.15379409999999999</v>
      </c>
      <c r="W3122">
        <v>-6.4444710000000002E-2</v>
      </c>
      <c r="X3122">
        <v>0.98599910000000002</v>
      </c>
      <c r="Y3122">
        <v>-0.47491250000000002</v>
      </c>
      <c r="Z3122">
        <v>-3.5320450000000003E-2</v>
      </c>
      <c r="AA3122">
        <v>0.87932399999999999</v>
      </c>
      <c r="AB3122">
        <v>18</v>
      </c>
      <c r="AC3122">
        <v>-0.60509999999999298</v>
      </c>
      <c r="AD3122">
        <v>-0.114603</v>
      </c>
      <c r="AE3122">
        <v>-0.42799999999999699</v>
      </c>
      <c r="AF3122">
        <v>-0.41597925896424198</v>
      </c>
      <c r="AG3122">
        <v>-0.114603</v>
      </c>
      <c r="AH3122">
        <v>0.59239890097626402</v>
      </c>
      <c r="AI3122">
        <v>98.996496749022697</v>
      </c>
      <c r="AJ3122">
        <v>125.07632010413499</v>
      </c>
      <c r="AK3122">
        <v>0.73287724031745305</v>
      </c>
      <c r="AL3122">
        <v>93.694970574269504</v>
      </c>
      <c r="AM3122">
        <v>98.865441643769501</v>
      </c>
      <c r="AN3122">
        <v>0.99999998552130198</v>
      </c>
    </row>
    <row r="3123" spans="1:40" x14ac:dyDescent="0.25">
      <c r="A3123" t="str">
        <f>"20190303154159158"</f>
        <v>20190303154159158</v>
      </c>
      <c r="B3123" t="str">
        <f>"1551598919152852"</f>
        <v>1551598919152852</v>
      </c>
      <c r="C3123" t="s">
        <v>40</v>
      </c>
      <c r="D3123">
        <v>5.1360199999999896</v>
      </c>
      <c r="E3123">
        <v>0.35896139999999999</v>
      </c>
      <c r="F3123" t="s">
        <v>42</v>
      </c>
      <c r="G3123">
        <v>-477.57220000000001</v>
      </c>
      <c r="H3123">
        <v>0.99254989999999998</v>
      </c>
      <c r="I3123">
        <v>284.27319999999997</v>
      </c>
      <c r="J3123">
        <v>-476.88470000000001</v>
      </c>
      <c r="K3123">
        <v>1.1225560000000001</v>
      </c>
      <c r="L3123">
        <v>284.76510000000002</v>
      </c>
      <c r="M3123">
        <v>-0.99989320000000004</v>
      </c>
      <c r="N3123">
        <v>-1.343427E-2</v>
      </c>
      <c r="O3123">
        <v>-5.7660910000000001E-3</v>
      </c>
      <c r="P3123">
        <v>-0.98223050000000001</v>
      </c>
      <c r="Q3123">
        <v>-7.8093830000000003E-2</v>
      </c>
      <c r="R3123">
        <v>-0.17066010000000001</v>
      </c>
      <c r="S3123">
        <v>-2.7624819999999999</v>
      </c>
      <c r="T3123">
        <v>-0.41382999999999998</v>
      </c>
      <c r="U3123">
        <v>-1.5784609999999999</v>
      </c>
      <c r="V3123">
        <v>-0.1647894</v>
      </c>
      <c r="W3123">
        <v>-6.5394629999999995E-2</v>
      </c>
      <c r="X3123">
        <v>0.98415850000000005</v>
      </c>
      <c r="Y3123">
        <v>-0.48658489999999999</v>
      </c>
      <c r="Z3123">
        <v>-3.6511170000000003E-2</v>
      </c>
      <c r="AA3123">
        <v>0.87287000000000003</v>
      </c>
      <c r="AB3123">
        <v>18</v>
      </c>
      <c r="AC3123">
        <v>-0.6875</v>
      </c>
      <c r="AD3123">
        <v>-0.13000609999999899</v>
      </c>
      <c r="AE3123">
        <v>-0.49190000000004303</v>
      </c>
      <c r="AF3123">
        <v>-0.476653891925719</v>
      </c>
      <c r="AG3123">
        <v>-0.13000609999999899</v>
      </c>
      <c r="AH3123">
        <v>0.674375450289045</v>
      </c>
      <c r="AI3123">
        <v>98.946443124968198</v>
      </c>
      <c r="AJ3123">
        <v>125.25297143257301</v>
      </c>
      <c r="AK3123">
        <v>0.83599208529608604</v>
      </c>
      <c r="AL3123">
        <v>93.749512065770602</v>
      </c>
      <c r="AM3123">
        <v>99.505535637598001</v>
      </c>
      <c r="AN3123">
        <v>0.99999997855372302</v>
      </c>
    </row>
    <row r="3124" spans="1:40" x14ac:dyDescent="0.25">
      <c r="A3124" t="str">
        <f>"20190303154159192"</f>
        <v>20190303154159192</v>
      </c>
      <c r="B3124" t="str">
        <f>"1551598919183104"</f>
        <v>1551598919183104</v>
      </c>
      <c r="C3124" t="s">
        <v>40</v>
      </c>
      <c r="D3124">
        <v>5.1511239999999896</v>
      </c>
      <c r="E3124">
        <v>0.35901939999999999</v>
      </c>
      <c r="F3124" t="s">
        <v>42</v>
      </c>
      <c r="G3124">
        <v>-477.72910000000002</v>
      </c>
      <c r="H3124">
        <v>0.99433090000000002</v>
      </c>
      <c r="I3124">
        <v>284.26710000000003</v>
      </c>
      <c r="J3124">
        <v>-477.15120000000002</v>
      </c>
      <c r="K3124">
        <v>1.122706</v>
      </c>
      <c r="L3124">
        <v>284.75900000000001</v>
      </c>
      <c r="M3124">
        <v>-0.99986410000000003</v>
      </c>
      <c r="N3124">
        <v>-1.3433530000000001E-2</v>
      </c>
      <c r="O3124">
        <v>-9.5557980000000008E-3</v>
      </c>
      <c r="P3124">
        <v>-0.97957099999999997</v>
      </c>
      <c r="Q3124">
        <v>-7.5588829999999996E-2</v>
      </c>
      <c r="R3124">
        <v>-0.18635289999999999</v>
      </c>
      <c r="S3124">
        <v>-2.7402039999999999</v>
      </c>
      <c r="T3124">
        <v>-0.41603960000000001</v>
      </c>
      <c r="U3124">
        <v>-1.6172789999999999</v>
      </c>
      <c r="V3124">
        <v>-0.17676520000000001</v>
      </c>
      <c r="W3124">
        <v>-6.3013299999999994E-2</v>
      </c>
      <c r="X3124">
        <v>0.98223389999999999</v>
      </c>
      <c r="Y3124">
        <v>-0.4954095</v>
      </c>
      <c r="Z3124">
        <v>-3.7019589999999998E-2</v>
      </c>
      <c r="AA3124">
        <v>0.86787039999999904</v>
      </c>
      <c r="AB3124">
        <v>18</v>
      </c>
      <c r="AC3124">
        <v>-0.57789999999999897</v>
      </c>
      <c r="AD3124">
        <v>-0.12837509999999899</v>
      </c>
      <c r="AE3124">
        <v>-0.49189999999998602</v>
      </c>
      <c r="AF3124">
        <v>-0.47282500774514202</v>
      </c>
      <c r="AG3124">
        <v>-0.12837509999999899</v>
      </c>
      <c r="AH3124">
        <v>0.56636809058887005</v>
      </c>
      <c r="AI3124">
        <v>99.870595997261702</v>
      </c>
      <c r="AJ3124">
        <v>129.856376562512</v>
      </c>
      <c r="AK3124">
        <v>0.74887680447887195</v>
      </c>
      <c r="AL3124">
        <v>93.612789624436203</v>
      </c>
      <c r="AM3124">
        <v>100.20188869096999</v>
      </c>
      <c r="AN3124">
        <v>1.00000002310856</v>
      </c>
    </row>
    <row r="3125" spans="1:40" x14ac:dyDescent="0.25">
      <c r="A3125" t="str">
        <f>"20190303154159214"</f>
        <v>20190303154159214</v>
      </c>
      <c r="B3125" t="str">
        <f>"1551598919202623"</f>
        <v>1551598919202623</v>
      </c>
      <c r="C3125" t="s">
        <v>40</v>
      </c>
      <c r="D3125">
        <v>5.1444320000000001</v>
      </c>
      <c r="E3125">
        <v>0.3593189</v>
      </c>
      <c r="F3125" t="s">
        <v>42</v>
      </c>
      <c r="G3125">
        <v>-477.8956</v>
      </c>
      <c r="H3125">
        <v>1.0099340000000001</v>
      </c>
      <c r="I3125">
        <v>284.3039</v>
      </c>
      <c r="J3125">
        <v>-477.32350000000002</v>
      </c>
      <c r="K3125">
        <v>1.122781</v>
      </c>
      <c r="L3125">
        <v>284.7543</v>
      </c>
      <c r="M3125">
        <v>-0.99983560000000005</v>
      </c>
      <c r="N3125">
        <v>-1.343315E-2</v>
      </c>
      <c r="O3125">
        <v>-1.2198570000000001E-2</v>
      </c>
      <c r="P3125">
        <v>-0.97788390000000003</v>
      </c>
      <c r="Q3125">
        <v>-7.3801939999999996E-2</v>
      </c>
      <c r="R3125">
        <v>-0.19569539999999999</v>
      </c>
      <c r="S3125">
        <v>-2.7150569999999998</v>
      </c>
      <c r="T3125">
        <v>-0.4112653</v>
      </c>
      <c r="U3125">
        <v>-1.6598820000000001</v>
      </c>
      <c r="V3125">
        <v>-0.18352930000000001</v>
      </c>
      <c r="W3125">
        <v>-6.1296530000000002E-2</v>
      </c>
      <c r="X3125">
        <v>0.98110129999999995</v>
      </c>
      <c r="Y3125">
        <v>-0.50655729999999999</v>
      </c>
      <c r="Z3125">
        <v>-3.7314220000000002E-2</v>
      </c>
      <c r="AA3125">
        <v>0.86139849999999996</v>
      </c>
      <c r="AB3125">
        <v>18</v>
      </c>
      <c r="AC3125">
        <v>-0.57209999999997696</v>
      </c>
      <c r="AD3125">
        <v>-0.112846999999999</v>
      </c>
      <c r="AE3125">
        <v>-0.45040000000000102</v>
      </c>
      <c r="AF3125">
        <v>-0.43298668189218298</v>
      </c>
      <c r="AG3125">
        <v>-0.112846999999999</v>
      </c>
      <c r="AH3125">
        <v>0.56400472309956795</v>
      </c>
      <c r="AI3125">
        <v>99.018018145320596</v>
      </c>
      <c r="AJ3125">
        <v>127.513465687051</v>
      </c>
      <c r="AK3125">
        <v>0.71993974732863797</v>
      </c>
      <c r="AL3125">
        <v>93.514235415392804</v>
      </c>
      <c r="AM3125">
        <v>100.595552781739</v>
      </c>
      <c r="AN3125">
        <v>1.00000001470511</v>
      </c>
    </row>
    <row r="3126" spans="1:40" x14ac:dyDescent="0.25">
      <c r="A3126" t="str">
        <f>"20190303154159237"</f>
        <v>20190303154159237</v>
      </c>
      <c r="B3126" t="str">
        <f>"1551598919232880"</f>
        <v>1551598919232880</v>
      </c>
      <c r="C3126" t="s">
        <v>40</v>
      </c>
      <c r="D3126">
        <v>5.1413260000000003</v>
      </c>
      <c r="E3126">
        <v>0.35972330000000002</v>
      </c>
      <c r="F3126" t="s">
        <v>42</v>
      </c>
      <c r="G3126">
        <v>-478.05270000000002</v>
      </c>
      <c r="H3126">
        <v>1.012335</v>
      </c>
      <c r="I3126">
        <v>284.3</v>
      </c>
      <c r="J3126">
        <v>-477.50310000000002</v>
      </c>
      <c r="K3126">
        <v>1.12286</v>
      </c>
      <c r="L3126">
        <v>284.74860000000001</v>
      </c>
      <c r="M3126">
        <v>-0.99979510000000005</v>
      </c>
      <c r="N3126">
        <v>-1.3433799999999999E-2</v>
      </c>
      <c r="O3126">
        <v>-1.514793E-2</v>
      </c>
      <c r="P3126">
        <v>-0.97624549999999999</v>
      </c>
      <c r="Q3126">
        <v>-7.1283449999999998E-2</v>
      </c>
      <c r="R3126">
        <v>-0.2046065</v>
      </c>
      <c r="S3126">
        <v>-2.7001650000000001</v>
      </c>
      <c r="T3126">
        <v>-0.4089547</v>
      </c>
      <c r="U3126">
        <v>-1.6831670000000001</v>
      </c>
      <c r="V3126">
        <v>-0.18956999999999999</v>
      </c>
      <c r="W3126">
        <v>-5.8846740000000002E-2</v>
      </c>
      <c r="X3126">
        <v>0.98010220000000003</v>
      </c>
      <c r="Y3126">
        <v>-0.51150129999999905</v>
      </c>
      <c r="Z3126">
        <v>-3.7230020000000003E-2</v>
      </c>
      <c r="AA3126">
        <v>0.85847559999999901</v>
      </c>
      <c r="AB3126">
        <v>18</v>
      </c>
      <c r="AC3126">
        <v>-0.54959999999999798</v>
      </c>
      <c r="AD3126">
        <v>-0.110524999999999</v>
      </c>
      <c r="AE3126">
        <v>-0.448599999999998</v>
      </c>
      <c r="AF3126">
        <v>-0.42979090112430401</v>
      </c>
      <c r="AG3126">
        <v>-0.110524999999999</v>
      </c>
      <c r="AH3126">
        <v>0.54314997045291802</v>
      </c>
      <c r="AI3126">
        <v>99.066456023838796</v>
      </c>
      <c r="AJ3126">
        <v>128.35433049517999</v>
      </c>
      <c r="AK3126">
        <v>0.70138996622224903</v>
      </c>
      <c r="AL3126">
        <v>93.373618781949503</v>
      </c>
      <c r="AM3126">
        <v>100.946894987923</v>
      </c>
      <c r="AN3126">
        <v>1.0000000230767301</v>
      </c>
    </row>
    <row r="3127" spans="1:40" x14ac:dyDescent="0.25">
      <c r="A3127" t="str">
        <f>"20190303154159260"</f>
        <v>20190303154159260</v>
      </c>
      <c r="B3127" t="str">
        <f>"1551598919252400"</f>
        <v>1551598919252400</v>
      </c>
      <c r="C3127" t="s">
        <v>40</v>
      </c>
      <c r="D3127">
        <v>5.2399950000000004</v>
      </c>
      <c r="E3127">
        <v>0.37480239999999998</v>
      </c>
      <c r="F3127" t="s">
        <v>42</v>
      </c>
      <c r="G3127">
        <v>-478.34769999999997</v>
      </c>
      <c r="H3127">
        <v>0.99552189999999996</v>
      </c>
      <c r="I3127">
        <v>284.21319999999997</v>
      </c>
      <c r="J3127">
        <v>-477.67989999999998</v>
      </c>
      <c r="K3127">
        <v>1.1229579999999999</v>
      </c>
      <c r="L3127">
        <v>284.7423</v>
      </c>
      <c r="M3127">
        <v>-0.99974320000000005</v>
      </c>
      <c r="N3127">
        <v>-1.343681E-2</v>
      </c>
      <c r="O3127">
        <v>-1.8248179999999999E-2</v>
      </c>
      <c r="P3127">
        <v>-0.97457769999999999</v>
      </c>
      <c r="Q3127">
        <v>-7.0392040000000003E-2</v>
      </c>
      <c r="R3127">
        <v>-0.21270510000000001</v>
      </c>
      <c r="S3127">
        <v>-2.6863100000000002</v>
      </c>
      <c r="T3127">
        <v>-0.40500180000000002</v>
      </c>
      <c r="U3127">
        <v>-1.7040709999999999</v>
      </c>
      <c r="V3127">
        <v>-0.1946523</v>
      </c>
      <c r="W3127">
        <v>-5.8023650000000003E-2</v>
      </c>
      <c r="X3127">
        <v>0.97915459999999999</v>
      </c>
      <c r="Y3127">
        <v>-0.51565490000000003</v>
      </c>
      <c r="Z3127">
        <v>-3.692923E-2</v>
      </c>
      <c r="AA3127">
        <v>0.85600010000000004</v>
      </c>
      <c r="AB3127">
        <v>18</v>
      </c>
      <c r="AC3127">
        <v>-0.66779999999999895</v>
      </c>
      <c r="AD3127">
        <v>-0.127436099999999</v>
      </c>
      <c r="AE3127">
        <v>-0.52910000000002799</v>
      </c>
      <c r="AF3127">
        <v>-0.505515231078981</v>
      </c>
      <c r="AG3127">
        <v>-0.127436099999999</v>
      </c>
      <c r="AH3127">
        <v>0.66252276825467604</v>
      </c>
      <c r="AI3127">
        <v>98.694271246275207</v>
      </c>
      <c r="AJ3127">
        <v>127.344197781061</v>
      </c>
      <c r="AK3127">
        <v>0.84304331258357401</v>
      </c>
      <c r="AL3127">
        <v>93.326378563727502</v>
      </c>
      <c r="AM3127">
        <v>101.243602140598</v>
      </c>
      <c r="AN3127">
        <v>0.99999999627788605</v>
      </c>
    </row>
    <row r="3128" spans="1:40" x14ac:dyDescent="0.25">
      <c r="A3128" t="str">
        <f>"20190303154159282"</f>
        <v>20190303154159282</v>
      </c>
      <c r="B3128" t="str">
        <f>"1551598919272897"</f>
        <v>1551598919272897</v>
      </c>
      <c r="C3128" t="s">
        <v>40</v>
      </c>
      <c r="D3128">
        <v>5.256551</v>
      </c>
      <c r="E3128">
        <v>0.37571650000000001</v>
      </c>
      <c r="F3128" t="s">
        <v>42</v>
      </c>
      <c r="G3128">
        <v>-478.51249999999999</v>
      </c>
      <c r="H3128">
        <v>0.99697610000000003</v>
      </c>
      <c r="I3128">
        <v>284.24590000000001</v>
      </c>
      <c r="J3128">
        <v>-477.85610000000003</v>
      </c>
      <c r="K3128">
        <v>1.1230450000000001</v>
      </c>
      <c r="L3128">
        <v>284.7353</v>
      </c>
      <c r="M3128">
        <v>-0.99967890000000004</v>
      </c>
      <c r="N3128">
        <v>-1.344092E-2</v>
      </c>
      <c r="O3128">
        <v>-2.1485489999999999E-2</v>
      </c>
      <c r="P3128">
        <v>-0.97328099999999995</v>
      </c>
      <c r="Q3128">
        <v>-6.9513599999999995E-2</v>
      </c>
      <c r="R3128">
        <v>-0.2188427</v>
      </c>
      <c r="S3128">
        <v>-2.6977540000000002</v>
      </c>
      <c r="T3128">
        <v>-0.40821859999999999</v>
      </c>
      <c r="U3128">
        <v>-1.6083369999999999</v>
      </c>
      <c r="V3128">
        <v>-0.1976396</v>
      </c>
      <c r="W3128">
        <v>-5.7198899999999997E-2</v>
      </c>
      <c r="X3128">
        <v>0.97860460000000005</v>
      </c>
      <c r="Y3128">
        <v>-0.48908839999999998</v>
      </c>
      <c r="Z3128">
        <v>-3.4873710000000002E-2</v>
      </c>
      <c r="AA3128">
        <v>0.8715368</v>
      </c>
      <c r="AB3128">
        <v>18</v>
      </c>
      <c r="AC3128">
        <v>-0.65639999999996201</v>
      </c>
      <c r="AD3128">
        <v>-0.12606890000000001</v>
      </c>
      <c r="AE3128">
        <v>-0.48939999999998901</v>
      </c>
      <c r="AF3128">
        <v>-0.464177821788819</v>
      </c>
      <c r="AG3128">
        <v>-0.12606890000000001</v>
      </c>
      <c r="AH3128">
        <v>0.65132268650080005</v>
      </c>
      <c r="AI3128">
        <v>98.957561327802793</v>
      </c>
      <c r="AJ3128">
        <v>125.47631368943</v>
      </c>
      <c r="AK3128">
        <v>0.80967626847922503</v>
      </c>
      <c r="AL3128">
        <v>93.279045093773902</v>
      </c>
      <c r="AM3128">
        <v>101.41790676414401</v>
      </c>
      <c r="AN3128">
        <v>1.0000000443952599</v>
      </c>
    </row>
    <row r="3129" spans="1:40" x14ac:dyDescent="0.25">
      <c r="A3129" t="str">
        <f>"20190303154159304"</f>
        <v>20190303154159304</v>
      </c>
      <c r="B3129" t="str">
        <f>"1551598919292416"</f>
        <v>1551598919292416</v>
      </c>
      <c r="C3129" t="s">
        <v>40</v>
      </c>
      <c r="D3129">
        <v>5.275277</v>
      </c>
      <c r="E3129">
        <v>0.3769593</v>
      </c>
      <c r="F3129" t="s">
        <v>42</v>
      </c>
      <c r="G3129">
        <v>-478.6696</v>
      </c>
      <c r="H3129">
        <v>1.000813</v>
      </c>
      <c r="I3129">
        <v>284.24599999999998</v>
      </c>
      <c r="J3129">
        <v>-478.02390000000003</v>
      </c>
      <c r="K3129">
        <v>1.1231249999999999</v>
      </c>
      <c r="L3129">
        <v>284.72789999999998</v>
      </c>
      <c r="M3129">
        <v>-0.99960450000000001</v>
      </c>
      <c r="N3129">
        <v>-1.344499E-2</v>
      </c>
      <c r="O3129">
        <v>-2.4706700000000002E-2</v>
      </c>
      <c r="P3129">
        <v>-0.97213320000000003</v>
      </c>
      <c r="Q3129">
        <v>-6.8729680000000001E-2</v>
      </c>
      <c r="R3129">
        <v>-0.2241292</v>
      </c>
      <c r="S3129">
        <v>-2.6896059999999999</v>
      </c>
      <c r="T3129">
        <v>-0.40406969999999998</v>
      </c>
      <c r="U3129">
        <v>-1.618439</v>
      </c>
      <c r="V3129">
        <v>-0.1997941</v>
      </c>
      <c r="W3129">
        <v>-5.6460759999999999E-2</v>
      </c>
      <c r="X3129">
        <v>0.97820989999999997</v>
      </c>
      <c r="Y3129">
        <v>-0.4899405</v>
      </c>
      <c r="Z3129">
        <v>-3.4279459999999998E-2</v>
      </c>
      <c r="AA3129">
        <v>0.87108169999999996</v>
      </c>
      <c r="AB3129">
        <v>18</v>
      </c>
      <c r="AC3129">
        <v>-0.64569999999997596</v>
      </c>
      <c r="AD3129">
        <v>-0.122311999999999</v>
      </c>
      <c r="AE3129">
        <v>-0.481899999999996</v>
      </c>
      <c r="AF3129">
        <v>-0.45530550251339802</v>
      </c>
      <c r="AG3129">
        <v>-0.122311999999999</v>
      </c>
      <c r="AH3129">
        <v>0.64260093555186404</v>
      </c>
      <c r="AI3129">
        <v>98.827878891277905</v>
      </c>
      <c r="AJ3129">
        <v>125.31892166147701</v>
      </c>
      <c r="AK3129">
        <v>0.79699390733876296</v>
      </c>
      <c r="AL3129">
        <v>93.236684296321798</v>
      </c>
      <c r="AM3129">
        <v>101.543584941037</v>
      </c>
      <c r="AN3129">
        <v>1.0000000541362899</v>
      </c>
    </row>
    <row r="3130" spans="1:40" x14ac:dyDescent="0.25">
      <c r="A3130" t="str">
        <f>"20190303154159325"</f>
        <v>20190303154159325</v>
      </c>
      <c r="B3130" t="str">
        <f>"1551598919322672"</f>
        <v>1551598919322672</v>
      </c>
      <c r="C3130" t="s">
        <v>40</v>
      </c>
      <c r="D3130">
        <v>5.2868250000000003</v>
      </c>
      <c r="E3130">
        <v>0.3781931</v>
      </c>
      <c r="F3130" t="s">
        <v>42</v>
      </c>
      <c r="G3130">
        <v>-478.82580000000002</v>
      </c>
      <c r="H3130">
        <v>1.002372</v>
      </c>
      <c r="I3130">
        <v>284.24290000000002</v>
      </c>
      <c r="J3130">
        <v>-478.19529999999997</v>
      </c>
      <c r="K3130">
        <v>1.1232040000000001</v>
      </c>
      <c r="L3130">
        <v>284.71960000000001</v>
      </c>
      <c r="M3130">
        <v>-0.99951310000000004</v>
      </c>
      <c r="N3130">
        <v>-1.34494E-2</v>
      </c>
      <c r="O3130">
        <v>-2.8155619999999999E-2</v>
      </c>
      <c r="P3130">
        <v>-0.97077340000000001</v>
      </c>
      <c r="Q3130">
        <v>-6.7341310000000001E-2</v>
      </c>
      <c r="R3130">
        <v>-0.2303569</v>
      </c>
      <c r="S3130">
        <v>-2.6831670000000001</v>
      </c>
      <c r="T3130">
        <v>-0.40399269999999998</v>
      </c>
      <c r="U3130">
        <v>-1.6233219999999999</v>
      </c>
      <c r="V3130">
        <v>-0.20268079999999999</v>
      </c>
      <c r="W3130">
        <v>-5.5123720000000001E-2</v>
      </c>
      <c r="X3130">
        <v>0.97769209999999995</v>
      </c>
      <c r="Y3130">
        <v>-0.48904799999999998</v>
      </c>
      <c r="Z3130">
        <v>-3.3825809999999998E-2</v>
      </c>
      <c r="AA3130">
        <v>0.87160070000000001</v>
      </c>
      <c r="AB3130">
        <v>18</v>
      </c>
      <c r="AC3130">
        <v>-0.63050000000004003</v>
      </c>
      <c r="AD3130">
        <v>-0.12083199999999999</v>
      </c>
      <c r="AE3130">
        <v>-0.47669999999999302</v>
      </c>
      <c r="AF3130">
        <v>-0.44828133394726</v>
      </c>
      <c r="AG3130">
        <v>-0.12083199999999999</v>
      </c>
      <c r="AH3130">
        <v>0.62897443928020302</v>
      </c>
      <c r="AI3130">
        <v>98.891391803139697</v>
      </c>
      <c r="AJ3130">
        <v>125.47815175719499</v>
      </c>
      <c r="AK3130">
        <v>0.78177066449015598</v>
      </c>
      <c r="AL3130">
        <v>93.159958249835697</v>
      </c>
      <c r="AM3130">
        <v>101.71182813350801</v>
      </c>
      <c r="AN3130">
        <v>0.99999998679884405</v>
      </c>
    </row>
    <row r="3131" spans="1:40" x14ac:dyDescent="0.25">
      <c r="A3131" t="str">
        <f>"20190303154159349"</f>
        <v>20190303154159349</v>
      </c>
      <c r="B3131" t="str">
        <f>"1551598919343168"</f>
        <v>1551598919343168</v>
      </c>
      <c r="C3131" t="s">
        <v>40</v>
      </c>
      <c r="D3131">
        <v>5.3736689999999996</v>
      </c>
      <c r="E3131">
        <v>0.3871716</v>
      </c>
      <c r="F3131" t="s">
        <v>42</v>
      </c>
      <c r="G3131">
        <v>-478.98200000000003</v>
      </c>
      <c r="H3131">
        <v>1.004132</v>
      </c>
      <c r="I3131">
        <v>284.24029999999999</v>
      </c>
      <c r="J3131">
        <v>-478.3725</v>
      </c>
      <c r="K3131">
        <v>1.1232799999999901</v>
      </c>
      <c r="L3131">
        <v>284.71019999999999</v>
      </c>
      <c r="M3131">
        <v>-0.99940030000000002</v>
      </c>
      <c r="N3131">
        <v>-1.3454819999999999E-2</v>
      </c>
      <c r="O3131">
        <v>-3.1910420000000002E-2</v>
      </c>
      <c r="P3131">
        <v>-0.96909230000000002</v>
      </c>
      <c r="Q3131">
        <v>-6.6703139999999994E-2</v>
      </c>
      <c r="R3131">
        <v>-0.23750959999999999</v>
      </c>
      <c r="S3131">
        <v>-2.6753230000000001</v>
      </c>
      <c r="T3131">
        <v>-0.4048793</v>
      </c>
      <c r="U3131">
        <v>-1.630676</v>
      </c>
      <c r="V3131">
        <v>-0.2062049</v>
      </c>
      <c r="W3131">
        <v>-5.4544870000000002E-2</v>
      </c>
      <c r="X3131">
        <v>0.97698739999999995</v>
      </c>
      <c r="Y3131">
        <v>-0.48866009999999999</v>
      </c>
      <c r="Z3131">
        <v>-3.3448609999999997E-2</v>
      </c>
      <c r="AA3131">
        <v>0.87183279999999996</v>
      </c>
      <c r="AB3131">
        <v>18</v>
      </c>
      <c r="AC3131">
        <v>-0.60949999999996796</v>
      </c>
      <c r="AD3131">
        <v>-0.119147999999999</v>
      </c>
      <c r="AE3131">
        <v>-0.46989999999999499</v>
      </c>
      <c r="AF3131">
        <v>-0.43967138309764903</v>
      </c>
      <c r="AG3131">
        <v>-0.119147999999999</v>
      </c>
      <c r="AH3131">
        <v>0.60957521681394999</v>
      </c>
      <c r="AI3131">
        <v>99.007977576030996</v>
      </c>
      <c r="AJ3131">
        <v>125.801970570778</v>
      </c>
      <c r="AK3131">
        <v>0.76097905094212204</v>
      </c>
      <c r="AL3131">
        <v>93.126742597658094</v>
      </c>
      <c r="AM3131">
        <v>101.91804389014401</v>
      </c>
      <c r="AN3131">
        <v>0.99999999169304299</v>
      </c>
    </row>
    <row r="3132" spans="1:40" x14ac:dyDescent="0.25">
      <c r="A3132" t="str">
        <f>"20190303154159370"</f>
        <v>20190303154159370</v>
      </c>
      <c r="B3132" t="str">
        <f>"1551598919362689"</f>
        <v>1551598919362689</v>
      </c>
      <c r="C3132" t="s">
        <v>40</v>
      </c>
      <c r="D3132">
        <v>5.396083</v>
      </c>
      <c r="E3132">
        <v>0.38856360000000001</v>
      </c>
      <c r="F3132" t="s">
        <v>42</v>
      </c>
      <c r="G3132">
        <v>-479.14249999999998</v>
      </c>
      <c r="H3132">
        <v>1.0020450000000001</v>
      </c>
      <c r="I3132">
        <v>284.2559</v>
      </c>
      <c r="J3132">
        <v>-478.5446</v>
      </c>
      <c r="K3132">
        <v>1.123356</v>
      </c>
      <c r="L3132">
        <v>284.7002</v>
      </c>
      <c r="M3132">
        <v>-0.99927010000000005</v>
      </c>
      <c r="N3132">
        <v>-1.346193E-2</v>
      </c>
      <c r="O3132">
        <v>-3.5748170000000003E-2</v>
      </c>
      <c r="P3132">
        <v>-0.96730459999999996</v>
      </c>
      <c r="Q3132">
        <v>-6.6924960000000006E-2</v>
      </c>
      <c r="R3132">
        <v>-0.24462800000000001</v>
      </c>
      <c r="S3132">
        <v>-2.6792910000000001</v>
      </c>
      <c r="T3132">
        <v>-0.42185879999999998</v>
      </c>
      <c r="U3132">
        <v>-1.5803529999999999</v>
      </c>
      <c r="V3132">
        <v>-0.20962030000000001</v>
      </c>
      <c r="W3132">
        <v>-5.4827059999999997E-2</v>
      </c>
      <c r="X3132">
        <v>0.97624449999999996</v>
      </c>
      <c r="Y3132">
        <v>-0.47242960000000001</v>
      </c>
      <c r="Z3132">
        <v>-3.2960499999999997E-2</v>
      </c>
      <c r="AA3132">
        <v>0.88075179999999997</v>
      </c>
      <c r="AB3132">
        <v>18</v>
      </c>
      <c r="AC3132">
        <v>-0.597899999999981</v>
      </c>
      <c r="AD3132">
        <v>-0.121310999999999</v>
      </c>
      <c r="AE3132">
        <v>-0.44429999999999797</v>
      </c>
      <c r="AF3132">
        <v>-0.41172079808580597</v>
      </c>
      <c r="AG3132">
        <v>-0.121310999999999</v>
      </c>
      <c r="AH3132">
        <v>0.59755417004160905</v>
      </c>
      <c r="AI3132">
        <v>99.490542370384503</v>
      </c>
      <c r="AJ3132">
        <v>124.567230233465</v>
      </c>
      <c r="AK3132">
        <v>0.73573185362027704</v>
      </c>
      <c r="AL3132">
        <v>93.142935097456999</v>
      </c>
      <c r="AM3132">
        <v>102.118605930171</v>
      </c>
      <c r="AN3132">
        <v>1.00000000023029</v>
      </c>
    </row>
    <row r="3133" spans="1:40" x14ac:dyDescent="0.25">
      <c r="A3133" t="str">
        <f>"20190303154159393"</f>
        <v>20190303154159393</v>
      </c>
      <c r="B3133" t="str">
        <f>"1551598919383184"</f>
        <v>1551598919383184</v>
      </c>
      <c r="C3133" t="s">
        <v>40</v>
      </c>
      <c r="D3133">
        <v>5.3978869999999999</v>
      </c>
      <c r="E3133">
        <v>0.38958359999999997</v>
      </c>
      <c r="F3133" t="s">
        <v>42</v>
      </c>
      <c r="G3133">
        <v>-479.30250000000001</v>
      </c>
      <c r="H3133">
        <v>1.003576</v>
      </c>
      <c r="I3133">
        <v>284.24919999999997</v>
      </c>
      <c r="J3133">
        <v>-478.72280000000001</v>
      </c>
      <c r="K3133">
        <v>1.1234489999999999</v>
      </c>
      <c r="L3133">
        <v>284.68889999999999</v>
      </c>
      <c r="M3133">
        <v>-0.99911249999999996</v>
      </c>
      <c r="N3133">
        <v>-1.347054E-2</v>
      </c>
      <c r="O3133">
        <v>-3.9912290000000003E-2</v>
      </c>
      <c r="P3133">
        <v>-0.96528119999999995</v>
      </c>
      <c r="Q3133">
        <v>-6.6733749999999994E-2</v>
      </c>
      <c r="R3133">
        <v>-0.25254569999999998</v>
      </c>
      <c r="S3133">
        <v>-2.6702270000000001</v>
      </c>
      <c r="T3133">
        <v>-0.42194720000000002</v>
      </c>
      <c r="U3133">
        <v>-1.5893550000000001</v>
      </c>
      <c r="V3133">
        <v>-0.21353449999999999</v>
      </c>
      <c r="W3133">
        <v>-5.4704240000000001E-2</v>
      </c>
      <c r="X3133">
        <v>0.97540269999999996</v>
      </c>
      <c r="Y3133">
        <v>-0.47228700000000001</v>
      </c>
      <c r="Z3133">
        <v>-3.2472429999999997E-2</v>
      </c>
      <c r="AA3133">
        <v>0.88084640000000003</v>
      </c>
      <c r="AB3133">
        <v>18</v>
      </c>
      <c r="AC3133">
        <v>-0.57970000000000199</v>
      </c>
      <c r="AD3133">
        <v>-0.11987299999999899</v>
      </c>
      <c r="AE3133">
        <v>-0.43970000000001602</v>
      </c>
      <c r="AF3133">
        <v>-0.40521140342838402</v>
      </c>
      <c r="AG3133">
        <v>-0.11987299999999899</v>
      </c>
      <c r="AH3133">
        <v>0.58101806752991203</v>
      </c>
      <c r="AI3133">
        <v>99.604902858318198</v>
      </c>
      <c r="AJ3133">
        <v>124.892542660638</v>
      </c>
      <c r="AK3133">
        <v>0.71843427840937202</v>
      </c>
      <c r="AL3133">
        <v>93.135887510607404</v>
      </c>
      <c r="AM3133">
        <v>102.34834548324901</v>
      </c>
      <c r="AN3133">
        <v>0.999999981865758</v>
      </c>
    </row>
    <row r="3134" spans="1:40" x14ac:dyDescent="0.25">
      <c r="A3134" t="str">
        <f>"20190303154159416"</f>
        <v>20190303154159416</v>
      </c>
      <c r="B3134" t="str">
        <f>"1551598919412464"</f>
        <v>1551598919412464</v>
      </c>
      <c r="C3134" t="s">
        <v>40</v>
      </c>
      <c r="D3134">
        <v>5.3462079999999998</v>
      </c>
      <c r="E3134">
        <v>0.36333300000000002</v>
      </c>
      <c r="F3134" t="s">
        <v>42</v>
      </c>
      <c r="G3134">
        <v>-479.4855</v>
      </c>
      <c r="H3134">
        <v>1.002108</v>
      </c>
      <c r="I3134">
        <v>284.22899999999998</v>
      </c>
      <c r="J3134">
        <v>-478.89299999999997</v>
      </c>
      <c r="K3134">
        <v>1.12354</v>
      </c>
      <c r="L3134">
        <v>284.6773</v>
      </c>
      <c r="M3134">
        <v>-0.99893710000000002</v>
      </c>
      <c r="N3134">
        <v>-1.347961E-2</v>
      </c>
      <c r="O3134">
        <v>-4.4079640000000003E-2</v>
      </c>
      <c r="P3134">
        <v>-0.96292040000000001</v>
      </c>
      <c r="Q3134">
        <v>-6.5698690000000004E-2</v>
      </c>
      <c r="R3134">
        <v>-0.26166460000000002</v>
      </c>
      <c r="S3134">
        <v>-2.6591800000000001</v>
      </c>
      <c r="T3134">
        <v>-0.4230564</v>
      </c>
      <c r="U3134">
        <v>-1.6033329999999999</v>
      </c>
      <c r="V3134">
        <v>-0.21867490000000001</v>
      </c>
      <c r="W3134">
        <v>-5.3748150000000001E-2</v>
      </c>
      <c r="X3134">
        <v>0.97431639999999997</v>
      </c>
      <c r="Y3134">
        <v>-0.47361130000000001</v>
      </c>
      <c r="Z3134">
        <v>-3.2173510000000002E-2</v>
      </c>
      <c r="AA3134">
        <v>0.88014609999999904</v>
      </c>
      <c r="AB3134">
        <v>18</v>
      </c>
      <c r="AC3134">
        <v>-0.59249999999997205</v>
      </c>
      <c r="AD3134">
        <v>-0.121431999999999</v>
      </c>
      <c r="AE3134">
        <v>-0.44829999999996001</v>
      </c>
      <c r="AF3134">
        <v>-0.41077213133023699</v>
      </c>
      <c r="AG3134">
        <v>-0.121431999999999</v>
      </c>
      <c r="AH3134">
        <v>0.59577249753253603</v>
      </c>
      <c r="AI3134">
        <v>99.525679674592993</v>
      </c>
      <c r="AJ3134">
        <v>124.585415440025</v>
      </c>
      <c r="AK3134">
        <v>0.73377404104924604</v>
      </c>
      <c r="AL3134">
        <v>93.081026776841099</v>
      </c>
      <c r="AM3134">
        <v>102.649802592708</v>
      </c>
      <c r="AN3134">
        <v>1.00000001141369</v>
      </c>
    </row>
    <row r="3135" spans="1:40" x14ac:dyDescent="0.25">
      <c r="A3135" t="str">
        <f>"20190303154159438"</f>
        <v>20190303154159438</v>
      </c>
      <c r="B3135" t="str">
        <f>"1551598919432960"</f>
        <v>1551598919432960</v>
      </c>
      <c r="C3135" t="s">
        <v>40</v>
      </c>
      <c r="D3135">
        <v>5.2553599999999996</v>
      </c>
      <c r="E3135">
        <v>0.35066079999999999</v>
      </c>
      <c r="F3135" t="s">
        <v>42</v>
      </c>
      <c r="G3135">
        <v>-479.59300000000002</v>
      </c>
      <c r="H3135">
        <v>1.0182789999999999</v>
      </c>
      <c r="I3135">
        <v>284.18270000000001</v>
      </c>
      <c r="J3135">
        <v>-479.06869999999998</v>
      </c>
      <c r="K3135">
        <v>1.1236389999999901</v>
      </c>
      <c r="L3135">
        <v>284.66419999999999</v>
      </c>
      <c r="M3135">
        <v>-0.99872760000000005</v>
      </c>
      <c r="N3135">
        <v>-1.348944E-2</v>
      </c>
      <c r="O3135">
        <v>-4.8594480000000002E-2</v>
      </c>
      <c r="P3135">
        <v>-0.96021959999999995</v>
      </c>
      <c r="Q3135">
        <v>-6.4661609999999994E-2</v>
      </c>
      <c r="R3135">
        <v>-0.27165679999999998</v>
      </c>
      <c r="S3135">
        <v>-2.5912169999999999</v>
      </c>
      <c r="T3135">
        <v>-0.38964209999999999</v>
      </c>
      <c r="U3135">
        <v>-1.831604</v>
      </c>
      <c r="V3135">
        <v>-0.22437789999999999</v>
      </c>
      <c r="W3135">
        <v>-5.279901E-2</v>
      </c>
      <c r="X3135">
        <v>0.97307080000000001</v>
      </c>
      <c r="Y3135">
        <v>-0.53268400000000005</v>
      </c>
      <c r="Z3135">
        <v>-3.3903719999999998E-2</v>
      </c>
      <c r="AA3135">
        <v>0.84563480000000002</v>
      </c>
      <c r="AB3135">
        <v>18</v>
      </c>
      <c r="AC3135">
        <v>-0.52430000000003896</v>
      </c>
      <c r="AD3135">
        <v>-0.105359999999999</v>
      </c>
      <c r="AE3135">
        <v>-0.481499999999982</v>
      </c>
      <c r="AF3135">
        <v>-0.44568720918042198</v>
      </c>
      <c r="AG3135">
        <v>-0.105359999999999</v>
      </c>
      <c r="AH3135">
        <v>0.53535314129562295</v>
      </c>
      <c r="AI3135">
        <v>98.600836432388306</v>
      </c>
      <c r="AJ3135">
        <v>129.77774280937999</v>
      </c>
      <c r="AK3135">
        <v>0.704514587444522</v>
      </c>
      <c r="AL3135">
        <v>93.026567821162104</v>
      </c>
      <c r="AM3135">
        <v>102.98472693469201</v>
      </c>
      <c r="AN3135">
        <v>0.99999997963901399</v>
      </c>
    </row>
    <row r="3136" spans="1:40" x14ac:dyDescent="0.25">
      <c r="A3136" t="str">
        <f>"20190303154159460"</f>
        <v>20190303154159460</v>
      </c>
      <c r="B3136" t="str">
        <f>"1551598919452480"</f>
        <v>1551598919452480</v>
      </c>
      <c r="C3136" t="s">
        <v>40</v>
      </c>
      <c r="D3136">
        <v>5.3435649999999999</v>
      </c>
      <c r="E3136">
        <v>0.34480670000000002</v>
      </c>
      <c r="F3136" t="s">
        <v>42</v>
      </c>
      <c r="G3136">
        <v>-479.86869999999999</v>
      </c>
      <c r="H3136">
        <v>1.0005679999999999</v>
      </c>
      <c r="I3136">
        <v>284.04939999999999</v>
      </c>
      <c r="J3136">
        <v>-479.23430000000002</v>
      </c>
      <c r="K3136">
        <v>1.1237269999999999</v>
      </c>
      <c r="L3136">
        <v>284.65089999999998</v>
      </c>
      <c r="M3136">
        <v>-0.99850150000000004</v>
      </c>
      <c r="N3136">
        <v>-1.349936E-2</v>
      </c>
      <c r="O3136">
        <v>-5.3036060000000003E-2</v>
      </c>
      <c r="P3136">
        <v>-0.95747629999999995</v>
      </c>
      <c r="Q3136">
        <v>-6.4018889999999995E-2</v>
      </c>
      <c r="R3136">
        <v>-0.28132059999999998</v>
      </c>
      <c r="S3136">
        <v>-2.5446469999999999</v>
      </c>
      <c r="T3136">
        <v>-0.39138499999999998</v>
      </c>
      <c r="U3136">
        <v>-1.9557800000000001</v>
      </c>
      <c r="V3136">
        <v>-0.22983960000000001</v>
      </c>
      <c r="W3136">
        <v>-5.2240149999999999E-2</v>
      </c>
      <c r="X3136">
        <v>0.97182550000000001</v>
      </c>
      <c r="Y3136">
        <v>-0.5621543</v>
      </c>
      <c r="Z3136">
        <v>-3.5812549999999999E-2</v>
      </c>
      <c r="AA3136">
        <v>0.82625659999999901</v>
      </c>
      <c r="AB3136">
        <v>17</v>
      </c>
      <c r="AC3136">
        <v>-0.63439999999997099</v>
      </c>
      <c r="AD3136">
        <v>-0.123159</v>
      </c>
      <c r="AE3136">
        <v>-0.60149999999998705</v>
      </c>
      <c r="AF3136">
        <v>-0.55596999422098603</v>
      </c>
      <c r="AG3136">
        <v>-0.123159</v>
      </c>
      <c r="AH3136">
        <v>0.65246186827085995</v>
      </c>
      <c r="AI3136">
        <v>98.175976531796294</v>
      </c>
      <c r="AJ3136">
        <v>130.43468499188899</v>
      </c>
      <c r="AK3136">
        <v>0.86601227664657499</v>
      </c>
      <c r="AL3136">
        <v>92.994503071160196</v>
      </c>
      <c r="AM3136">
        <v>103.306129964446</v>
      </c>
      <c r="AN3136">
        <v>1.0000000387252099</v>
      </c>
    </row>
    <row r="3137" spans="1:40" x14ac:dyDescent="0.25">
      <c r="A3137" t="str">
        <f>"20190303154159482"</f>
        <v>20190303154159482</v>
      </c>
      <c r="B3137" t="str">
        <f>"1551598919472976"</f>
        <v>1551598919472976</v>
      </c>
      <c r="C3137" t="s">
        <v>40</v>
      </c>
      <c r="D3137">
        <v>5.3808089999999904</v>
      </c>
      <c r="E3137">
        <v>0.34263310000000002</v>
      </c>
      <c r="F3137" t="s">
        <v>42</v>
      </c>
      <c r="G3137">
        <v>-480.01600000000002</v>
      </c>
      <c r="H3137">
        <v>1.0006010000000001</v>
      </c>
      <c r="I3137">
        <v>284.02019999999999</v>
      </c>
      <c r="J3137">
        <v>-479.40730000000002</v>
      </c>
      <c r="K3137">
        <v>1.123796</v>
      </c>
      <c r="L3137">
        <v>284.63600000000002</v>
      </c>
      <c r="M3137">
        <v>-0.99823490000000004</v>
      </c>
      <c r="N3137">
        <v>-1.350964E-2</v>
      </c>
      <c r="O3137">
        <v>-5.7831149999999998E-2</v>
      </c>
      <c r="P3137">
        <v>-0.95462259999999999</v>
      </c>
      <c r="Q3137">
        <v>-6.3804130000000001E-2</v>
      </c>
      <c r="R3137">
        <v>-0.29090369999999999</v>
      </c>
      <c r="S3137">
        <v>-2.5114139999999998</v>
      </c>
      <c r="T3137">
        <v>-0.39563320000000002</v>
      </c>
      <c r="U3137">
        <v>-2.0263979999999999</v>
      </c>
      <c r="V3137">
        <v>-0.2348981</v>
      </c>
      <c r="W3137">
        <v>-5.2100460000000001E-2</v>
      </c>
      <c r="X3137">
        <v>0.97062269999999995</v>
      </c>
      <c r="Y3137">
        <v>-0.57742769999999899</v>
      </c>
      <c r="Z3137">
        <v>-3.6835619999999999E-2</v>
      </c>
      <c r="AA3137">
        <v>0.81561049999999902</v>
      </c>
      <c r="AB3137">
        <v>17</v>
      </c>
      <c r="AC3137">
        <v>-0.60869999999994195</v>
      </c>
      <c r="AD3137">
        <v>-0.123194999999999</v>
      </c>
      <c r="AE3137">
        <v>-0.61579999999997803</v>
      </c>
      <c r="AF3137">
        <v>-0.56806458685081695</v>
      </c>
      <c r="AG3137">
        <v>-0.123194999999999</v>
      </c>
      <c r="AH3137">
        <v>0.63053261582148601</v>
      </c>
      <c r="AI3137">
        <v>98.259343719686598</v>
      </c>
      <c r="AJ3137">
        <v>132.01657983471901</v>
      </c>
      <c r="AK3137">
        <v>0.85758134452288204</v>
      </c>
      <c r="AL3137">
        <v>92.986488623970104</v>
      </c>
      <c r="AM3137">
        <v>103.604447586788</v>
      </c>
      <c r="AN3137">
        <v>1.00000000053555</v>
      </c>
    </row>
    <row r="3138" spans="1:40" x14ac:dyDescent="0.25">
      <c r="A3138" t="str">
        <f>"20190303154159505"</f>
        <v>20190303154159505</v>
      </c>
      <c r="B3138" t="str">
        <f>"1551598919492496"</f>
        <v>1551598919492496</v>
      </c>
      <c r="C3138" t="s">
        <v>40</v>
      </c>
      <c r="D3138">
        <v>5.3671379999999997</v>
      </c>
      <c r="E3138">
        <v>0.34157009999999899</v>
      </c>
      <c r="F3138" t="s">
        <v>42</v>
      </c>
      <c r="G3138">
        <v>-480.16649999999998</v>
      </c>
      <c r="H3138">
        <v>1.0024010000000001</v>
      </c>
      <c r="I3138">
        <v>284.00420000000003</v>
      </c>
      <c r="J3138">
        <v>-479.57650000000001</v>
      </c>
      <c r="K3138">
        <v>1.1238589999999999</v>
      </c>
      <c r="L3138">
        <v>284.62040000000002</v>
      </c>
      <c r="M3138">
        <v>-0.99794260000000001</v>
      </c>
      <c r="N3138">
        <v>-1.3519089999999999E-2</v>
      </c>
      <c r="O3138">
        <v>-6.2674190000000005E-2</v>
      </c>
      <c r="P3138">
        <v>-0.95158600000000004</v>
      </c>
      <c r="Q3138">
        <v>-6.3325359999999997E-2</v>
      </c>
      <c r="R3138">
        <v>-0.30078949999999999</v>
      </c>
      <c r="S3138">
        <v>-2.4857480000000001</v>
      </c>
      <c r="T3138">
        <v>-0.39741969999999999</v>
      </c>
      <c r="U3138">
        <v>-2.0685730000000002</v>
      </c>
      <c r="V3138">
        <v>-0.2402415</v>
      </c>
      <c r="W3138">
        <v>-5.1694259999999999E-2</v>
      </c>
      <c r="X3138">
        <v>0.96933570000000002</v>
      </c>
      <c r="Y3138">
        <v>-0.5857021</v>
      </c>
      <c r="Z3138">
        <v>-3.7137570000000002E-2</v>
      </c>
      <c r="AA3138">
        <v>0.80967519999999904</v>
      </c>
      <c r="AB3138">
        <v>17</v>
      </c>
      <c r="AC3138">
        <v>-0.58999999999997499</v>
      </c>
      <c r="AD3138">
        <v>-0.121457999999999</v>
      </c>
      <c r="AE3138">
        <v>-0.61619999999999198</v>
      </c>
      <c r="AF3138">
        <v>-0.56652415938311596</v>
      </c>
      <c r="AG3138">
        <v>-0.121457999999999</v>
      </c>
      <c r="AH3138">
        <v>0.61499766070629003</v>
      </c>
      <c r="AI3138">
        <v>98.264754452837906</v>
      </c>
      <c r="AJ3138">
        <v>132.65068207762801</v>
      </c>
      <c r="AK3138">
        <v>0.844940111252245</v>
      </c>
      <c r="AL3138">
        <v>92.963183712936697</v>
      </c>
      <c r="AM3138">
        <v>103.919780078134</v>
      </c>
      <c r="AN3138">
        <v>0.99999998706684301</v>
      </c>
    </row>
    <row r="3139" spans="1:40" x14ac:dyDescent="0.25">
      <c r="A3139" t="str">
        <f>"20190303154159526"</f>
        <v>20190303154159526</v>
      </c>
      <c r="B3139" t="str">
        <f>"1551598919522756"</f>
        <v>1551598919522756</v>
      </c>
      <c r="C3139" t="s">
        <v>40</v>
      </c>
      <c r="D3139">
        <v>5.3558500000000002</v>
      </c>
      <c r="E3139">
        <v>0.34090589999999998</v>
      </c>
      <c r="F3139" t="s">
        <v>42</v>
      </c>
      <c r="G3139">
        <v>-480.31700000000001</v>
      </c>
      <c r="H3139">
        <v>1.0033939999999999</v>
      </c>
      <c r="I3139">
        <v>283.98820000000001</v>
      </c>
      <c r="J3139">
        <v>-479.74630000000002</v>
      </c>
      <c r="K3139">
        <v>1.123923</v>
      </c>
      <c r="L3139">
        <v>284.60379999999998</v>
      </c>
      <c r="M3139">
        <v>-0.997614</v>
      </c>
      <c r="N3139">
        <v>-1.3528500000000001E-2</v>
      </c>
      <c r="O3139">
        <v>-6.7699510000000004E-2</v>
      </c>
      <c r="P3139">
        <v>-0.94844260000000002</v>
      </c>
      <c r="Q3139">
        <v>-6.2065059999999998E-2</v>
      </c>
      <c r="R3139">
        <v>-0.31081259999999999</v>
      </c>
      <c r="S3139">
        <v>-2.4615779999999998</v>
      </c>
      <c r="T3139">
        <v>-0.40045520000000001</v>
      </c>
      <c r="U3139">
        <v>-2.1020810000000001</v>
      </c>
      <c r="V3139">
        <v>-0.2455743</v>
      </c>
      <c r="W3139">
        <v>-5.0507379999999998E-2</v>
      </c>
      <c r="X3139">
        <v>0.96806110000000001</v>
      </c>
      <c r="Y3139">
        <v>-0.59182460000000003</v>
      </c>
      <c r="Z3139">
        <v>-3.7360200000000003E-2</v>
      </c>
      <c r="AA3139">
        <v>0.80520049999999999</v>
      </c>
      <c r="AB3139">
        <v>17</v>
      </c>
      <c r="AC3139">
        <v>-0.57069999999993104</v>
      </c>
      <c r="AD3139">
        <v>-0.120528999999999</v>
      </c>
      <c r="AE3139">
        <v>-0.61559999999997195</v>
      </c>
      <c r="AF3139">
        <v>-0.56392199629052697</v>
      </c>
      <c r="AG3139">
        <v>-0.120528999999999</v>
      </c>
      <c r="AH3139">
        <v>0.59872677637904004</v>
      </c>
      <c r="AI3139">
        <v>98.336925305676004</v>
      </c>
      <c r="AJ3139">
        <v>133.285319107557</v>
      </c>
      <c r="AK3139">
        <v>0.83126951736156596</v>
      </c>
      <c r="AL3139">
        <v>92.895091456225501</v>
      </c>
      <c r="AM3139">
        <v>104.23432533031399</v>
      </c>
      <c r="AN3139">
        <v>1.00000001279408</v>
      </c>
    </row>
    <row r="3140" spans="1:40" x14ac:dyDescent="0.25">
      <c r="A3140" t="str">
        <f>"20190303154159549"</f>
        <v>20190303154159549</v>
      </c>
      <c r="B3140" t="str">
        <f>"1551598919543248"</f>
        <v>1551598919543248</v>
      </c>
      <c r="C3140" t="s">
        <v>40</v>
      </c>
      <c r="D3140">
        <v>5.3499679999999996</v>
      </c>
      <c r="E3140">
        <v>0.340642</v>
      </c>
      <c r="F3140" t="s">
        <v>42</v>
      </c>
      <c r="G3140">
        <v>-480.4674</v>
      </c>
      <c r="H3140">
        <v>1.0057469999999999</v>
      </c>
      <c r="I3140">
        <v>283.97309999999999</v>
      </c>
      <c r="J3140">
        <v>-479.91590000000002</v>
      </c>
      <c r="K3140">
        <v>1.1239950000000001</v>
      </c>
      <c r="L3140">
        <v>284.58620000000002</v>
      </c>
      <c r="M3140">
        <v>-0.99724809999999997</v>
      </c>
      <c r="N3140">
        <v>-1.3539310000000001E-2</v>
      </c>
      <c r="O3140">
        <v>-7.2891029999999996E-2</v>
      </c>
      <c r="P3140">
        <v>-0.94540630000000003</v>
      </c>
      <c r="Q3140">
        <v>-6.0081919999999997E-2</v>
      </c>
      <c r="R3140">
        <v>-0.32030809999999998</v>
      </c>
      <c r="S3140">
        <v>-2.4379270000000002</v>
      </c>
      <c r="T3140">
        <v>-0.39941729999999998</v>
      </c>
      <c r="U3140">
        <v>-2.133057</v>
      </c>
      <c r="V3140">
        <v>-0.25023200000000001</v>
      </c>
      <c r="W3140">
        <v>-4.8597399999999999E-2</v>
      </c>
      <c r="X3140">
        <v>0.96696550000000003</v>
      </c>
      <c r="Y3140">
        <v>-0.59729350000000003</v>
      </c>
      <c r="Z3140">
        <v>-3.7188619999999999E-2</v>
      </c>
      <c r="AA3140">
        <v>0.80116009999999904</v>
      </c>
      <c r="AB3140">
        <v>17</v>
      </c>
      <c r="AC3140">
        <v>-0.55149999999997501</v>
      </c>
      <c r="AD3140">
        <v>-0.11824800000000001</v>
      </c>
      <c r="AE3140">
        <v>-0.61310000000003095</v>
      </c>
      <c r="AF3140">
        <v>-0.55975639374536501</v>
      </c>
      <c r="AG3140">
        <v>-0.11824800000000001</v>
      </c>
      <c r="AH3140">
        <v>0.58274429134317796</v>
      </c>
      <c r="AI3140">
        <v>98.325594503347205</v>
      </c>
      <c r="AJ3140">
        <v>133.847325141976</v>
      </c>
      <c r="AK3140">
        <v>0.81663989550834404</v>
      </c>
      <c r="AL3140">
        <v>92.785523026791793</v>
      </c>
      <c r="AM3140">
        <v>104.508759101694</v>
      </c>
      <c r="AN3140">
        <v>1.0000000196504999</v>
      </c>
    </row>
    <row r="3141" spans="1:40" x14ac:dyDescent="0.25">
      <c r="A3141" t="str">
        <f>"20190303154159571"</f>
        <v>20190303154159571</v>
      </c>
      <c r="B3141" t="str">
        <f>"1551598919562769"</f>
        <v>1551598919562769</v>
      </c>
      <c r="C3141" t="s">
        <v>40</v>
      </c>
      <c r="D3141">
        <v>5.3756629999999896</v>
      </c>
      <c r="E3141">
        <v>0.34009010000000001</v>
      </c>
      <c r="F3141" t="s">
        <v>42</v>
      </c>
      <c r="G3141">
        <v>-480.61799999999999</v>
      </c>
      <c r="H3141">
        <v>1.0086189999999999</v>
      </c>
      <c r="I3141">
        <v>283.9588</v>
      </c>
      <c r="J3141">
        <v>-480.08620000000002</v>
      </c>
      <c r="K3141">
        <v>1.124074</v>
      </c>
      <c r="L3141">
        <v>284.56729999999999</v>
      </c>
      <c r="M3141">
        <v>-0.99683849999999996</v>
      </c>
      <c r="N3141">
        <v>-1.3552460000000001E-2</v>
      </c>
      <c r="O3141">
        <v>-7.8290620000000005E-2</v>
      </c>
      <c r="P3141">
        <v>-0.94216109999999997</v>
      </c>
      <c r="Q3141">
        <v>-5.9597039999999997E-2</v>
      </c>
      <c r="R3141">
        <v>-0.32981899999999997</v>
      </c>
      <c r="S3141">
        <v>-2.4164430000000001</v>
      </c>
      <c r="T3141">
        <v>-0.39707789999999998</v>
      </c>
      <c r="U3141">
        <v>-2.1592410000000002</v>
      </c>
      <c r="V3141">
        <v>-0.25472430000000001</v>
      </c>
      <c r="W3141">
        <v>-4.8196620000000003E-2</v>
      </c>
      <c r="X3141">
        <v>0.96581189999999995</v>
      </c>
      <c r="Y3141">
        <v>-0.60135939999999999</v>
      </c>
      <c r="Z3141">
        <v>-3.6774019999999998E-2</v>
      </c>
      <c r="AA3141">
        <v>0.79813190000000001</v>
      </c>
      <c r="AB3141">
        <v>17</v>
      </c>
      <c r="AC3141">
        <v>-0.53180000000003202</v>
      </c>
      <c r="AD3141">
        <v>-0.115454999999999</v>
      </c>
      <c r="AE3141">
        <v>-0.60849999999999205</v>
      </c>
      <c r="AF3141">
        <v>-0.55369192880434004</v>
      </c>
      <c r="AG3141">
        <v>-0.115454999999999</v>
      </c>
      <c r="AH3141">
        <v>0.56625398678490602</v>
      </c>
      <c r="AI3141">
        <v>98.294255047670205</v>
      </c>
      <c r="AJ3141">
        <v>134.35735939418899</v>
      </c>
      <c r="AK3141">
        <v>0.800342543288729</v>
      </c>
      <c r="AL3141">
        <v>92.762533125831098</v>
      </c>
      <c r="AM3141">
        <v>104.774809745529</v>
      </c>
      <c r="AN3141">
        <v>1.00000000468576</v>
      </c>
    </row>
    <row r="3142" spans="1:40" x14ac:dyDescent="0.25">
      <c r="A3142" t="str">
        <f>"20190303154159594"</f>
        <v>20190303154159594</v>
      </c>
      <c r="B3142" t="str">
        <f>"1551598919583264"</f>
        <v>1551598919583264</v>
      </c>
      <c r="C3142" t="s">
        <v>40</v>
      </c>
      <c r="D3142">
        <v>5.4607839999999896</v>
      </c>
      <c r="E3142">
        <v>0.34062880000000001</v>
      </c>
      <c r="F3142" t="s">
        <v>42</v>
      </c>
      <c r="G3142">
        <v>-480.76819999999998</v>
      </c>
      <c r="H3142">
        <v>1.011123</v>
      </c>
      <c r="I3142">
        <v>283.94420000000002</v>
      </c>
      <c r="J3142">
        <v>-480.25959999999998</v>
      </c>
      <c r="K3142">
        <v>1.124174</v>
      </c>
      <c r="L3142">
        <v>284.54700000000003</v>
      </c>
      <c r="M3142">
        <v>-0.99637330000000002</v>
      </c>
      <c r="N3142">
        <v>-1.3568220000000001E-2</v>
      </c>
      <c r="O3142">
        <v>-8.4001590000000001E-2</v>
      </c>
      <c r="P3142">
        <v>-0.93937780000000004</v>
      </c>
      <c r="Q3142">
        <v>-5.9999190000000001E-2</v>
      </c>
      <c r="R3142">
        <v>-0.33759440000000002</v>
      </c>
      <c r="S3142">
        <v>-2.3935240000000002</v>
      </c>
      <c r="T3142">
        <v>-0.39632450000000002</v>
      </c>
      <c r="U3142">
        <v>-2.1869510000000001</v>
      </c>
      <c r="V3142">
        <v>-0.257156</v>
      </c>
      <c r="W3142">
        <v>-4.8675629999999998E-2</v>
      </c>
      <c r="X3142">
        <v>0.96514319999999998</v>
      </c>
      <c r="Y3142">
        <v>-0.60563259999999997</v>
      </c>
      <c r="Z3142">
        <v>-3.6469840000000003E-2</v>
      </c>
      <c r="AA3142">
        <v>0.79490819999999995</v>
      </c>
      <c r="AB3142">
        <v>17</v>
      </c>
      <c r="AC3142">
        <v>-0.50860000000000105</v>
      </c>
      <c r="AD3142">
        <v>-0.113051</v>
      </c>
      <c r="AE3142">
        <v>-0.602800000000002</v>
      </c>
      <c r="AF3142">
        <v>-0.54670920586073601</v>
      </c>
      <c r="AG3142">
        <v>-0.113051</v>
      </c>
      <c r="AH3142">
        <v>0.54622020918866299</v>
      </c>
      <c r="AI3142">
        <v>98.322434873741997</v>
      </c>
      <c r="AJ3142">
        <v>135.02563518123799</v>
      </c>
      <c r="AK3142">
        <v>0.78104289338037303</v>
      </c>
      <c r="AL3142">
        <v>92.790010750410204</v>
      </c>
      <c r="AM3142">
        <v>104.919471575343</v>
      </c>
      <c r="AN3142">
        <v>0.99999996089906695</v>
      </c>
    </row>
    <row r="3143" spans="1:40" x14ac:dyDescent="0.25">
      <c r="A3143" t="str">
        <f>"20190303154159617"</f>
        <v>20190303154159617</v>
      </c>
      <c r="B3143" t="str">
        <f>"1551598919612545"</f>
        <v>1551598919612545</v>
      </c>
      <c r="C3143" t="s">
        <v>40</v>
      </c>
      <c r="D3143">
        <v>5.4953629999999896</v>
      </c>
      <c r="E3143">
        <v>0.34148079999999997</v>
      </c>
      <c r="F3143" t="s">
        <v>42</v>
      </c>
      <c r="G3143">
        <v>-480.91989999999998</v>
      </c>
      <c r="H3143">
        <v>1.0127889999999999</v>
      </c>
      <c r="I3143">
        <v>283.9348</v>
      </c>
      <c r="J3143">
        <v>-480.42630000000003</v>
      </c>
      <c r="K3143">
        <v>1.1242909999999999</v>
      </c>
      <c r="L3143">
        <v>284.52609999999999</v>
      </c>
      <c r="M3143">
        <v>-0.99587349999999997</v>
      </c>
      <c r="N3143">
        <v>-1.3585450000000001E-2</v>
      </c>
      <c r="O3143">
        <v>-8.9729820000000002E-2</v>
      </c>
      <c r="P3143">
        <v>-0.93576720000000002</v>
      </c>
      <c r="Q3143">
        <v>-6.044157E-2</v>
      </c>
      <c r="R3143">
        <v>-0.34739880000000001</v>
      </c>
      <c r="S3143">
        <v>-2.3765260000000001</v>
      </c>
      <c r="T3143">
        <v>-0.40090730000000002</v>
      </c>
      <c r="U3143">
        <v>-2.2023619999999999</v>
      </c>
      <c r="V3143">
        <v>-0.26167790000000002</v>
      </c>
      <c r="W3143">
        <v>-4.9224120000000003E-2</v>
      </c>
      <c r="X3143">
        <v>0.96389919999999996</v>
      </c>
      <c r="Y3143">
        <v>-0.60659209999999997</v>
      </c>
      <c r="Z3143">
        <v>-3.6290169999999997E-2</v>
      </c>
      <c r="AA3143">
        <v>0.79418449999999996</v>
      </c>
      <c r="AB3143">
        <v>17</v>
      </c>
      <c r="AC3143">
        <v>-0.49359999999995802</v>
      </c>
      <c r="AD3143">
        <v>-0.111502</v>
      </c>
      <c r="AE3143">
        <v>-0.59129999999998895</v>
      </c>
      <c r="AF3143">
        <v>-0.53344083578951695</v>
      </c>
      <c r="AG3143">
        <v>-0.111502</v>
      </c>
      <c r="AH3143">
        <v>0.533490833515889</v>
      </c>
      <c r="AI3143">
        <v>98.407193594733599</v>
      </c>
      <c r="AJ3143">
        <v>134.99731504951299</v>
      </c>
      <c r="AK3143">
        <v>0.76262985172185305</v>
      </c>
      <c r="AL3143">
        <v>92.821474514291694</v>
      </c>
      <c r="AM3143">
        <v>105.188501132903</v>
      </c>
      <c r="AN3143">
        <v>1.00000000254941</v>
      </c>
    </row>
    <row r="3144" spans="1:40" x14ac:dyDescent="0.25">
      <c r="A3144" t="str">
        <f>"20190303154159639"</f>
        <v>20190303154159639</v>
      </c>
      <c r="B3144" t="str">
        <f>"1551598919633040"</f>
        <v>1551598919633040</v>
      </c>
      <c r="C3144" t="s">
        <v>40</v>
      </c>
      <c r="D3144">
        <v>5.4914990000000001</v>
      </c>
      <c r="E3144">
        <v>0.34151320000000002</v>
      </c>
      <c r="F3144" t="s">
        <v>46</v>
      </c>
      <c r="G3144">
        <v>-486.96640000000002</v>
      </c>
      <c r="H3144" s="1">
        <v>2.5599100000000001E-6</v>
      </c>
      <c r="I3144">
        <v>278.35899999999998</v>
      </c>
      <c r="J3144">
        <v>-480.5958</v>
      </c>
      <c r="K3144">
        <v>1.1244160000000001</v>
      </c>
      <c r="L3144">
        <v>284.50349999999997</v>
      </c>
      <c r="M3144">
        <v>-0.99530680000000005</v>
      </c>
      <c r="N3144">
        <v>-1.360515E-2</v>
      </c>
      <c r="O3144">
        <v>-9.5808980000000002E-2</v>
      </c>
      <c r="P3144">
        <v>-0.93170960000000003</v>
      </c>
      <c r="Q3144">
        <v>-6.0061719999999999E-2</v>
      </c>
      <c r="R3144">
        <v>-0.35820400000000002</v>
      </c>
      <c r="S3144">
        <v>-2.355286</v>
      </c>
      <c r="T3144">
        <v>-0.40488770000000002</v>
      </c>
      <c r="U3144">
        <v>-2.220917</v>
      </c>
      <c r="V3144">
        <v>-0.26692399999999999</v>
      </c>
      <c r="W3144">
        <v>-4.8962070000000003E-2</v>
      </c>
      <c r="X3144">
        <v>0.96247300000000002</v>
      </c>
      <c r="Y3144">
        <v>-0.60855000000000004</v>
      </c>
      <c r="Z3144">
        <v>-3.6113890000000003E-2</v>
      </c>
      <c r="AA3144">
        <v>0.79269330000000005</v>
      </c>
      <c r="AB3144">
        <v>17</v>
      </c>
      <c r="AC3144">
        <v>-6.37060000000002</v>
      </c>
      <c r="AD3144">
        <v>-1.1244134400900001</v>
      </c>
      <c r="AE3144">
        <v>-6.1444999999999297</v>
      </c>
      <c r="AF3144">
        <v>-5.4183652899643597</v>
      </c>
      <c r="AG3144">
        <v>-1.1244134400900001</v>
      </c>
      <c r="AH3144">
        <v>6.8199745651496499</v>
      </c>
      <c r="AI3144">
        <v>97.355571213721504</v>
      </c>
      <c r="AJ3144">
        <v>128.46660337659699</v>
      </c>
      <c r="AK3144">
        <v>8.7826556956898791</v>
      </c>
      <c r="AL3144">
        <v>92.806442061915007</v>
      </c>
      <c r="AM3144">
        <v>105.50036561620099</v>
      </c>
      <c r="AN3144">
        <v>0.999999990901842</v>
      </c>
    </row>
    <row r="3145" spans="1:40" x14ac:dyDescent="0.25">
      <c r="A3145" t="str">
        <f>"20190303154159652"</f>
        <v>20190303154159652</v>
      </c>
      <c r="B3145" t="str">
        <f>"1551598919642801"</f>
        <v>1551598919642801</v>
      </c>
      <c r="C3145" t="s">
        <v>40</v>
      </c>
      <c r="D3145">
        <v>5.4486359999999996</v>
      </c>
      <c r="E3145">
        <v>0.3411053</v>
      </c>
      <c r="F3145" t="s">
        <v>46</v>
      </c>
      <c r="G3145">
        <v>-487.09230000000002</v>
      </c>
      <c r="H3145" s="1">
        <v>2.5388920000000002E-6</v>
      </c>
      <c r="I3145">
        <v>278.2364</v>
      </c>
      <c r="J3145">
        <v>-480.69900000000001</v>
      </c>
      <c r="K3145">
        <v>1.124484</v>
      </c>
      <c r="L3145">
        <v>284.48919999999998</v>
      </c>
      <c r="M3145">
        <v>-0.9949327</v>
      </c>
      <c r="N3145">
        <v>-1.361708E-2</v>
      </c>
      <c r="O3145">
        <v>-9.9616469999999999E-2</v>
      </c>
      <c r="P3145">
        <v>-0.92938560000000003</v>
      </c>
      <c r="Q3145">
        <v>-5.9586140000000003E-2</v>
      </c>
      <c r="R3145">
        <v>-0.36426950000000002</v>
      </c>
      <c r="S3145">
        <v>-2.3297729999999999</v>
      </c>
      <c r="T3145">
        <v>-0.40323170000000003</v>
      </c>
      <c r="U3145">
        <v>-2.2474980000000002</v>
      </c>
      <c r="V3145">
        <v>-0.26950459999999998</v>
      </c>
      <c r="W3145">
        <v>-4.8547199999999999E-2</v>
      </c>
      <c r="X3145">
        <v>0.96177460000000004</v>
      </c>
      <c r="Y3145">
        <v>-0.61451109999999998</v>
      </c>
      <c r="Z3145">
        <v>-3.6137000000000002E-2</v>
      </c>
      <c r="AA3145">
        <v>0.78808009999999995</v>
      </c>
      <c r="AB3145">
        <v>17</v>
      </c>
      <c r="AC3145">
        <v>-6.3933000000000098</v>
      </c>
      <c r="AD3145">
        <v>-1.1244814611080001</v>
      </c>
      <c r="AE3145">
        <v>-6.2527999999999704</v>
      </c>
      <c r="AF3145">
        <v>-5.4978273318609103</v>
      </c>
      <c r="AG3145">
        <v>-1.1244814611080001</v>
      </c>
      <c r="AH3145">
        <v>6.8757187662573296</v>
      </c>
      <c r="AI3145">
        <v>97.279041864402998</v>
      </c>
      <c r="AJ3145">
        <v>128.64584419515799</v>
      </c>
      <c r="AK3145">
        <v>8.8750252101048002</v>
      </c>
      <c r="AL3145">
        <v>92.782643516302699</v>
      </c>
      <c r="AM3145">
        <v>105.653720241458</v>
      </c>
      <c r="AN3145">
        <v>0.99999997062707902</v>
      </c>
    </row>
    <row r="3146" spans="1:40" x14ac:dyDescent="0.25">
      <c r="A3146" t="str">
        <f>"20190303154159673"</f>
        <v>20190303154159673</v>
      </c>
      <c r="B3146" t="str">
        <f>"1551598919663297"</f>
        <v>1551598919663297</v>
      </c>
      <c r="C3146" t="s">
        <v>40</v>
      </c>
      <c r="D3146">
        <v>5.501169</v>
      </c>
      <c r="E3146">
        <v>0.31580340000000001</v>
      </c>
      <c r="F3146" t="s">
        <v>42</v>
      </c>
      <c r="G3146">
        <v>-481.35520000000002</v>
      </c>
      <c r="H3146">
        <v>1.0104059999999999</v>
      </c>
      <c r="I3146">
        <v>283.84690000000001</v>
      </c>
      <c r="J3146">
        <v>-480.84480000000002</v>
      </c>
      <c r="K3146">
        <v>1.124571</v>
      </c>
      <c r="L3146">
        <v>284.46800000000002</v>
      </c>
      <c r="M3146">
        <v>-0.99436429999999998</v>
      </c>
      <c r="N3146">
        <v>-1.363382E-2</v>
      </c>
      <c r="O3146">
        <v>-0.10513749999999999</v>
      </c>
      <c r="P3146">
        <v>-0.92527510000000002</v>
      </c>
      <c r="Q3146">
        <v>-5.8544680000000002E-2</v>
      </c>
      <c r="R3146">
        <v>-0.37475170000000002</v>
      </c>
      <c r="S3146">
        <v>-2.314117</v>
      </c>
      <c r="T3146">
        <v>-0.40229809999999999</v>
      </c>
      <c r="U3146">
        <v>-2.2657780000000001</v>
      </c>
      <c r="V3146">
        <v>-0.2750205</v>
      </c>
      <c r="W3146">
        <v>-4.7605769999999999E-2</v>
      </c>
      <c r="X3146">
        <v>0.96025899999999997</v>
      </c>
      <c r="Y3146">
        <v>-0.61602679999999999</v>
      </c>
      <c r="Z3146">
        <v>-3.5571930000000002E-2</v>
      </c>
      <c r="AA3146">
        <v>0.78692169999999995</v>
      </c>
      <c r="AB3146">
        <v>17</v>
      </c>
      <c r="AC3146">
        <v>-0.51040000000000396</v>
      </c>
      <c r="AD3146">
        <v>-0.114165</v>
      </c>
      <c r="AE3146">
        <v>-0.62110000000001198</v>
      </c>
      <c r="AF3146">
        <v>-0.55284051786666699</v>
      </c>
      <c r="AG3146">
        <v>-0.114165</v>
      </c>
      <c r="AH3146">
        <v>0.56155259668225199</v>
      </c>
      <c r="AI3146">
        <v>98.243425752224297</v>
      </c>
      <c r="AJ3146">
        <v>134.552083397231</v>
      </c>
      <c r="AK3146">
        <v>0.79624594458035702</v>
      </c>
      <c r="AL3146">
        <v>92.728641114551195</v>
      </c>
      <c r="AM3146">
        <v>105.98184074599099</v>
      </c>
      <c r="AN3146">
        <v>0.99999996591926998</v>
      </c>
    </row>
    <row r="3147" spans="1:40" x14ac:dyDescent="0.25">
      <c r="A3147" t="str">
        <f>"20190303154159694"</f>
        <v>20190303154159694</v>
      </c>
      <c r="B3147" t="str">
        <f>"1551598919682822"</f>
        <v>1551598919682822</v>
      </c>
      <c r="C3147" t="s">
        <v>40</v>
      </c>
      <c r="D3147">
        <v>5.5010560000000002</v>
      </c>
      <c r="E3147">
        <v>0.31239169999999999</v>
      </c>
      <c r="F3147" t="s">
        <v>46</v>
      </c>
      <c r="G3147">
        <v>-486.79349999999999</v>
      </c>
      <c r="H3147" s="1">
        <v>2.3326089999999999E-6</v>
      </c>
      <c r="I3147">
        <v>277.80279999999999</v>
      </c>
      <c r="J3147">
        <v>-481.0077</v>
      </c>
      <c r="K3147">
        <v>1.1246640000000001</v>
      </c>
      <c r="L3147">
        <v>284.44319999999999</v>
      </c>
      <c r="M3147">
        <v>-0.99366770000000004</v>
      </c>
      <c r="N3147">
        <v>-1.365282E-2</v>
      </c>
      <c r="O3147">
        <v>-0.1115275</v>
      </c>
      <c r="P3147">
        <v>-0.92079359999999999</v>
      </c>
      <c r="Q3147">
        <v>-5.7376740000000002E-2</v>
      </c>
      <c r="R3147">
        <v>-0.38580730000000002</v>
      </c>
      <c r="S3147">
        <v>-2.2119749999999998</v>
      </c>
      <c r="T3147">
        <v>-0.41816059999999999</v>
      </c>
      <c r="U3147">
        <v>-2.478424</v>
      </c>
      <c r="V3147">
        <v>-0.28033219999999998</v>
      </c>
      <c r="W3147">
        <v>-4.6542269999999997E-2</v>
      </c>
      <c r="X3147">
        <v>0.95877400000000002</v>
      </c>
      <c r="Y3147">
        <v>-0.66211589999999998</v>
      </c>
      <c r="Z3147">
        <v>-3.993385E-2</v>
      </c>
      <c r="AA3147">
        <v>0.74833669999999997</v>
      </c>
      <c r="AB3147">
        <v>17</v>
      </c>
      <c r="AC3147">
        <v>-5.7857999999999903</v>
      </c>
      <c r="AD3147">
        <v>-1.1246616673909999</v>
      </c>
      <c r="AE3147">
        <v>-6.6403999999999996</v>
      </c>
      <c r="AF3147">
        <v>-5.8581068840472703</v>
      </c>
      <c r="AG3147">
        <v>-1.1246616673909999</v>
      </c>
      <c r="AH3147">
        <v>6.3862200179565702</v>
      </c>
      <c r="AI3147">
        <v>97.394358259514505</v>
      </c>
      <c r="AJ3147">
        <v>132.530292077578</v>
      </c>
      <c r="AK3147">
        <v>8.7387691495295794</v>
      </c>
      <c r="AL3147">
        <v>92.667639453196998</v>
      </c>
      <c r="AM3147">
        <v>106.298186679911</v>
      </c>
      <c r="AN3147">
        <v>0.99999995416479504</v>
      </c>
    </row>
    <row r="3148" spans="1:40" x14ac:dyDescent="0.25">
      <c r="A3148" t="str">
        <f>"20190303154159708"</f>
        <v>20190303154159708</v>
      </c>
      <c r="B3148" t="str">
        <f>"1551598919703313"</f>
        <v>1551598919703313</v>
      </c>
      <c r="C3148" t="s">
        <v>40</v>
      </c>
      <c r="D3148">
        <v>5.4975290000000001</v>
      </c>
      <c r="E3148">
        <v>0.3124401</v>
      </c>
      <c r="F3148" t="s">
        <v>46</v>
      </c>
      <c r="G3148">
        <v>-486.9622</v>
      </c>
      <c r="H3148" s="1">
        <v>2.2575450000000002E-6</v>
      </c>
      <c r="I3148">
        <v>277.50580000000002</v>
      </c>
      <c r="J3148">
        <v>-481.10579999999999</v>
      </c>
      <c r="K3148">
        <v>1.124728</v>
      </c>
      <c r="L3148">
        <v>284.42750000000001</v>
      </c>
      <c r="M3148">
        <v>-0.99321009999999998</v>
      </c>
      <c r="N3148">
        <v>-1.366585E-2</v>
      </c>
      <c r="O3148">
        <v>-0.1155288</v>
      </c>
      <c r="P3148">
        <v>-0.91820869999999999</v>
      </c>
      <c r="Q3148">
        <v>-5.6940379999999999E-2</v>
      </c>
      <c r="R3148">
        <v>-0.39198260000000001</v>
      </c>
      <c r="S3148">
        <v>-2.17218</v>
      </c>
      <c r="T3148">
        <v>-0.41026869999999999</v>
      </c>
      <c r="U3148">
        <v>-2.5307309999999998</v>
      </c>
      <c r="V3148">
        <v>-0.2829005</v>
      </c>
      <c r="W3148">
        <v>-4.6165499999999998E-2</v>
      </c>
      <c r="X3148">
        <v>0.95803760000000004</v>
      </c>
      <c r="Y3148">
        <v>-0.67358980000000002</v>
      </c>
      <c r="Z3148">
        <v>-3.9928619999999998E-2</v>
      </c>
      <c r="AA3148">
        <v>0.73802609999999902</v>
      </c>
      <c r="AB3148">
        <v>17</v>
      </c>
      <c r="AC3148">
        <v>-5.8563999999999998</v>
      </c>
      <c r="AD3148">
        <v>-1.1247257424549999</v>
      </c>
      <c r="AE3148">
        <v>-6.92169999999998</v>
      </c>
      <c r="AF3148">
        <v>-6.10475833533713</v>
      </c>
      <c r="AG3148">
        <v>-1.1247257424549999</v>
      </c>
      <c r="AH3148">
        <v>6.5166313285179003</v>
      </c>
      <c r="AI3148">
        <v>97.179015329744502</v>
      </c>
      <c r="AJ3148">
        <v>133.13093380334601</v>
      </c>
      <c r="AK3148">
        <v>8.9999758999916306</v>
      </c>
      <c r="AL3148">
        <v>92.646028784418206</v>
      </c>
      <c r="AM3148">
        <v>106.45143032647999</v>
      </c>
      <c r="AN3148">
        <v>0.99999999465212996</v>
      </c>
    </row>
    <row r="3149" spans="1:40" x14ac:dyDescent="0.25">
      <c r="A3149" t="str">
        <f>"20190303154159720"</f>
        <v>20190303154159720</v>
      </c>
      <c r="B3149" t="str">
        <f>"1551598919713073"</f>
        <v>1551598919713073</v>
      </c>
      <c r="C3149" t="s">
        <v>40</v>
      </c>
      <c r="D3149">
        <v>5.4854089999999998</v>
      </c>
      <c r="E3149">
        <v>0.31259540000000002</v>
      </c>
      <c r="F3149" t="s">
        <v>46</v>
      </c>
      <c r="G3149">
        <v>-487.01209999999998</v>
      </c>
      <c r="H3149" s="1">
        <v>2.2486879999999998E-6</v>
      </c>
      <c r="I3149">
        <v>277.45569999999998</v>
      </c>
      <c r="J3149">
        <v>-481.20519999999999</v>
      </c>
      <c r="K3149">
        <v>1.1247940000000001</v>
      </c>
      <c r="L3149">
        <v>284.41120000000001</v>
      </c>
      <c r="M3149">
        <v>-0.99272139999999998</v>
      </c>
      <c r="N3149">
        <v>-1.3680009999999999E-2</v>
      </c>
      <c r="O3149">
        <v>-0.11965389999999999</v>
      </c>
      <c r="P3149">
        <v>-0.91556490000000001</v>
      </c>
      <c r="Q3149">
        <v>-5.6860250000000001E-2</v>
      </c>
      <c r="R3149">
        <v>-0.39813019999999999</v>
      </c>
      <c r="S3149">
        <v>-2.1556090000000001</v>
      </c>
      <c r="T3149">
        <v>-0.41048299999999999</v>
      </c>
      <c r="U3149">
        <v>-2.5444640000000001</v>
      </c>
      <c r="V3149">
        <v>-0.28533380000000003</v>
      </c>
      <c r="W3149">
        <v>-4.6146670000000001E-2</v>
      </c>
      <c r="X3149">
        <v>0.95731659999999996</v>
      </c>
      <c r="Y3149">
        <v>-0.67528679999999996</v>
      </c>
      <c r="Z3149">
        <v>-3.9659060000000003E-2</v>
      </c>
      <c r="AA3149">
        <v>0.73648829999999998</v>
      </c>
      <c r="AB3149">
        <v>17</v>
      </c>
      <c r="AC3149">
        <v>-5.8068999999999802</v>
      </c>
      <c r="AD3149">
        <v>-1.124791751312</v>
      </c>
      <c r="AE3149">
        <v>-6.9555000000000202</v>
      </c>
      <c r="AF3149">
        <v>-6.1163825153688798</v>
      </c>
      <c r="AG3149">
        <v>-1.124791751312</v>
      </c>
      <c r="AH3149">
        <v>6.4973786583618702</v>
      </c>
      <c r="AI3149">
        <v>97.184270656958802</v>
      </c>
      <c r="AJ3149">
        <v>133.26991840301099</v>
      </c>
      <c r="AK3149">
        <v>8.9939546912504493</v>
      </c>
      <c r="AL3149">
        <v>92.644948785717304</v>
      </c>
      <c r="AM3149">
        <v>106.59699480063099</v>
      </c>
      <c r="AN3149">
        <v>0.99999998260504397</v>
      </c>
    </row>
    <row r="3150" spans="1:40" x14ac:dyDescent="0.25">
      <c r="A3150" t="str">
        <f>"20190303154159739"</f>
        <v>20190303154159739</v>
      </c>
      <c r="B3150" t="str">
        <f>"1551598919732592"</f>
        <v>1551598919732592</v>
      </c>
      <c r="C3150" t="s">
        <v>40</v>
      </c>
      <c r="D3150">
        <v>5.483244</v>
      </c>
      <c r="E3150">
        <v>0.31301299999999999</v>
      </c>
      <c r="F3150" t="s">
        <v>46</v>
      </c>
      <c r="G3150">
        <v>-487.06240000000003</v>
      </c>
      <c r="H3150" s="1">
        <v>2.2404129999999999E-6</v>
      </c>
      <c r="I3150">
        <v>277.40710000000001</v>
      </c>
      <c r="J3150">
        <v>-481.34199999999998</v>
      </c>
      <c r="K3150">
        <v>1.124892</v>
      </c>
      <c r="L3150">
        <v>284.3879</v>
      </c>
      <c r="M3150">
        <v>-0.99200089999999996</v>
      </c>
      <c r="N3150">
        <v>-1.370187E-2</v>
      </c>
      <c r="O3150">
        <v>-0.1254856</v>
      </c>
      <c r="P3150">
        <v>-0.91093020000000002</v>
      </c>
      <c r="Q3150">
        <v>-5.6783460000000001E-2</v>
      </c>
      <c r="R3150">
        <v>-0.40863430000000001</v>
      </c>
      <c r="S3150">
        <v>-2.138916</v>
      </c>
      <c r="T3150">
        <v>-0.41075</v>
      </c>
      <c r="U3150">
        <v>-2.5577700000000001</v>
      </c>
      <c r="V3150">
        <v>-0.2906994</v>
      </c>
      <c r="W3150">
        <v>-4.6184500000000003E-2</v>
      </c>
      <c r="X3150">
        <v>0.95569910000000002</v>
      </c>
      <c r="Y3150">
        <v>-0.67570129999999995</v>
      </c>
      <c r="Z3150">
        <v>-3.9064460000000002E-2</v>
      </c>
      <c r="AA3150">
        <v>0.73613980000000001</v>
      </c>
      <c r="AB3150">
        <v>17</v>
      </c>
      <c r="AC3150">
        <v>-5.7204000000000397</v>
      </c>
      <c r="AD3150">
        <v>-1.124889759587</v>
      </c>
      <c r="AE3150">
        <v>-6.9807999999999799</v>
      </c>
      <c r="AF3150">
        <v>-6.1127541202213003</v>
      </c>
      <c r="AG3150">
        <v>-1.124889759587</v>
      </c>
      <c r="AH3150">
        <v>6.4510310579813002</v>
      </c>
      <c r="AI3150">
        <v>97.213837794258495</v>
      </c>
      <c r="AJ3150">
        <v>133.45769733994601</v>
      </c>
      <c r="AK3150">
        <v>8.9580657296397099</v>
      </c>
      <c r="AL3150">
        <v>92.647118659829403</v>
      </c>
      <c r="AM3150">
        <v>106.918429373905</v>
      </c>
      <c r="AN3150">
        <v>0.99999995947070897</v>
      </c>
    </row>
    <row r="3151" spans="1:40" x14ac:dyDescent="0.25">
      <c r="A3151" t="str">
        <f>"20190303154159752"</f>
        <v>20190303154159752</v>
      </c>
      <c r="B3151" t="str">
        <f>"1551598919742352"</f>
        <v>1551598919742352</v>
      </c>
      <c r="C3151" t="s">
        <v>40</v>
      </c>
      <c r="D3151">
        <v>5.4752919999999996</v>
      </c>
      <c r="E3151">
        <v>0.31331100000000001</v>
      </c>
      <c r="F3151" t="s">
        <v>46</v>
      </c>
      <c r="G3151">
        <v>-487.10239999999999</v>
      </c>
      <c r="H3151" s="1">
        <v>2.2273420000000001E-6</v>
      </c>
      <c r="I3151">
        <v>277.35000000000002</v>
      </c>
      <c r="J3151">
        <v>-481.4393</v>
      </c>
      <c r="K3151">
        <v>1.124965</v>
      </c>
      <c r="L3151">
        <v>284.3707</v>
      </c>
      <c r="M3151">
        <v>-0.99145360000000005</v>
      </c>
      <c r="N3151">
        <v>-1.3718620000000001E-2</v>
      </c>
      <c r="O3151">
        <v>-0.1297365</v>
      </c>
      <c r="P3151">
        <v>-0.90807249999999995</v>
      </c>
      <c r="Q3151">
        <v>-5.6812210000000002E-2</v>
      </c>
      <c r="R3151">
        <v>-0.41494189999999997</v>
      </c>
      <c r="S3151">
        <v>-2.110779</v>
      </c>
      <c r="T3151">
        <v>-0.41219499999999998</v>
      </c>
      <c r="U3151">
        <v>-2.5788880000000001</v>
      </c>
      <c r="V3151">
        <v>-0.29321979999999997</v>
      </c>
      <c r="W3151">
        <v>-4.628028E-2</v>
      </c>
      <c r="X3151">
        <v>0.9549242</v>
      </c>
      <c r="Y3151">
        <v>-0.68022939999999998</v>
      </c>
      <c r="Z3151">
        <v>-3.9190309999999999E-2</v>
      </c>
      <c r="AA3151">
        <v>0.73195080000000001</v>
      </c>
      <c r="AB3151">
        <v>17</v>
      </c>
      <c r="AC3151">
        <v>-5.6630999999999796</v>
      </c>
      <c r="AD3151">
        <v>-1.124962772658</v>
      </c>
      <c r="AE3151">
        <v>-7.0206999999999704</v>
      </c>
      <c r="AF3151">
        <v>-6.13120468652924</v>
      </c>
      <c r="AG3151">
        <v>-1.124962772658</v>
      </c>
      <c r="AH3151">
        <v>6.4261987586903704</v>
      </c>
      <c r="AI3151">
        <v>97.218546476570495</v>
      </c>
      <c r="AJ3151">
        <v>133.65427536274399</v>
      </c>
      <c r="AK3151">
        <v>8.9528343352358704</v>
      </c>
      <c r="AL3151">
        <v>92.652612291965397</v>
      </c>
      <c r="AM3151">
        <v>107.06967031041501</v>
      </c>
      <c r="AN3151">
        <v>0.99999997158727805</v>
      </c>
    </row>
    <row r="3152" spans="1:40" x14ac:dyDescent="0.25">
      <c r="A3152" t="str">
        <f>"20190303154159767"</f>
        <v>20190303154159767</v>
      </c>
      <c r="B3152" t="str">
        <f>"1551598919762848"</f>
        <v>1551598919762848</v>
      </c>
      <c r="C3152" t="s">
        <v>40</v>
      </c>
      <c r="D3152">
        <v>5.4773250000000004</v>
      </c>
      <c r="E3152">
        <v>0.31369540000000001</v>
      </c>
      <c r="F3152" t="s">
        <v>46</v>
      </c>
      <c r="G3152">
        <v>-487.15170000000001</v>
      </c>
      <c r="H3152" s="1">
        <v>2.2188919999999998E-6</v>
      </c>
      <c r="I3152">
        <v>277.3014</v>
      </c>
      <c r="J3152">
        <v>-481.54149999999998</v>
      </c>
      <c r="K3152">
        <v>1.125038</v>
      </c>
      <c r="L3152">
        <v>284.3519</v>
      </c>
      <c r="M3152">
        <v>-0.99084649999999996</v>
      </c>
      <c r="N3152">
        <v>-1.373577E-2</v>
      </c>
      <c r="O3152">
        <v>-0.13429340000000001</v>
      </c>
      <c r="P3152">
        <v>-0.90476860000000003</v>
      </c>
      <c r="Q3152">
        <v>-5.6237490000000001E-2</v>
      </c>
      <c r="R3152">
        <v>-0.42217460000000001</v>
      </c>
      <c r="S3152">
        <v>-2.093842</v>
      </c>
      <c r="T3152">
        <v>-0.41235080000000002</v>
      </c>
      <c r="U3152">
        <v>-2.5912169999999999</v>
      </c>
      <c r="V3152">
        <v>-0.29643740000000002</v>
      </c>
      <c r="W3152">
        <v>-4.5781200000000001E-2</v>
      </c>
      <c r="X3152">
        <v>0.95395430000000003</v>
      </c>
      <c r="Y3152">
        <v>-0.68146949999999995</v>
      </c>
      <c r="Z3152">
        <v>-3.8821660000000001E-2</v>
      </c>
      <c r="AA3152">
        <v>0.73081619999999903</v>
      </c>
      <c r="AB3152">
        <v>17</v>
      </c>
      <c r="AC3152">
        <v>-5.6102000000000096</v>
      </c>
      <c r="AD3152">
        <v>-1.1250357811080001</v>
      </c>
      <c r="AE3152">
        <v>-7.0505000000000004</v>
      </c>
      <c r="AF3152">
        <v>-6.1374513638682799</v>
      </c>
      <c r="AG3152">
        <v>-1.1250357811080001</v>
      </c>
      <c r="AH3152">
        <v>6.4064160250555497</v>
      </c>
      <c r="AI3152">
        <v>97.227046827335002</v>
      </c>
      <c r="AJ3152">
        <v>133.77165642772201</v>
      </c>
      <c r="AK3152">
        <v>8.9429402904587505</v>
      </c>
      <c r="AL3152">
        <v>92.623986884135206</v>
      </c>
      <c r="AM3152">
        <v>107.262418630087</v>
      </c>
      <c r="AN3152">
        <v>0.99999992844034202</v>
      </c>
    </row>
    <row r="3153" spans="1:40" x14ac:dyDescent="0.25">
      <c r="A3153" t="str">
        <f>"20190303154159781"</f>
        <v>20190303154159781</v>
      </c>
      <c r="B3153" t="str">
        <f>"1551598919772608"</f>
        <v>1551598919772608</v>
      </c>
      <c r="C3153" t="s">
        <v>40</v>
      </c>
      <c r="D3153">
        <v>5.463222</v>
      </c>
      <c r="E3153">
        <v>0.31397700000000001</v>
      </c>
      <c r="F3153" t="s">
        <v>46</v>
      </c>
      <c r="G3153">
        <v>-487.21300000000002</v>
      </c>
      <c r="H3153" s="1">
        <v>2.2044999999999998E-6</v>
      </c>
      <c r="I3153">
        <v>277.22989999999999</v>
      </c>
      <c r="J3153">
        <v>-481.65109999999999</v>
      </c>
      <c r="K3153">
        <v>1.125113</v>
      </c>
      <c r="L3153">
        <v>284.33120000000002</v>
      </c>
      <c r="M3153">
        <v>-0.99015949999999997</v>
      </c>
      <c r="N3153">
        <v>-1.375346E-2</v>
      </c>
      <c r="O3153">
        <v>-0.13926629999999901</v>
      </c>
      <c r="P3153">
        <v>-0.90129499999999996</v>
      </c>
      <c r="Q3153">
        <v>-5.5599759999999998E-2</v>
      </c>
      <c r="R3153">
        <v>-0.42962319999999998</v>
      </c>
      <c r="S3153">
        <v>-2.074554</v>
      </c>
      <c r="T3153">
        <v>-0.41152129999999998</v>
      </c>
      <c r="U3153">
        <v>-2.6051329999999999</v>
      </c>
      <c r="V3153">
        <v>-0.29950539999999998</v>
      </c>
      <c r="W3153">
        <v>-4.5219339999999997E-2</v>
      </c>
      <c r="X3153">
        <v>0.95302240000000005</v>
      </c>
      <c r="Y3153">
        <v>-0.68304069999999995</v>
      </c>
      <c r="Z3153">
        <v>-3.836531E-2</v>
      </c>
      <c r="AA3153">
        <v>0.72937209999999997</v>
      </c>
      <c r="AB3153">
        <v>17</v>
      </c>
      <c r="AC3153">
        <v>-5.5619000000000298</v>
      </c>
      <c r="AD3153">
        <v>-1.1251107954999999</v>
      </c>
      <c r="AE3153">
        <v>-7.1013000000000304</v>
      </c>
      <c r="AF3153">
        <v>-6.1615624351463598</v>
      </c>
      <c r="AG3153">
        <v>-1.1251107954999999</v>
      </c>
      <c r="AH3153">
        <v>6.3972240382525696</v>
      </c>
      <c r="AI3153">
        <v>97.219412673293704</v>
      </c>
      <c r="AJ3153">
        <v>133.92498922394</v>
      </c>
      <c r="AK3153">
        <v>8.9529437248289394</v>
      </c>
      <c r="AL3153">
        <v>92.591761155127401</v>
      </c>
      <c r="AM3153">
        <v>107.446317035335</v>
      </c>
      <c r="AN3153">
        <v>0.99999998412047697</v>
      </c>
    </row>
    <row r="3154" spans="1:40" x14ac:dyDescent="0.25">
      <c r="A3154" t="str">
        <f>"20190303154159795"</f>
        <v>20190303154159795</v>
      </c>
      <c r="B3154" t="str">
        <f>"1551598919793105"</f>
        <v>1551598919793105</v>
      </c>
      <c r="C3154" t="s">
        <v>40</v>
      </c>
      <c r="D3154">
        <v>5.4351570000000002</v>
      </c>
      <c r="E3154">
        <v>0.31453690000000001</v>
      </c>
      <c r="F3154" t="s">
        <v>46</v>
      </c>
      <c r="G3154">
        <v>-487.28870000000001</v>
      </c>
      <c r="H3154" s="1">
        <v>2.1862739999999998E-6</v>
      </c>
      <c r="I3154">
        <v>277.14030000000002</v>
      </c>
      <c r="J3154">
        <v>-481.75369999999998</v>
      </c>
      <c r="K3154">
        <v>1.125181</v>
      </c>
      <c r="L3154">
        <v>284.31130000000002</v>
      </c>
      <c r="M3154">
        <v>-0.98948159999999996</v>
      </c>
      <c r="N3154">
        <v>-1.376927E-2</v>
      </c>
      <c r="O3154">
        <v>-0.1440032</v>
      </c>
      <c r="P3154">
        <v>-0.89792640000000001</v>
      </c>
      <c r="Q3154">
        <v>-5.5306460000000002E-2</v>
      </c>
      <c r="R3154">
        <v>-0.43665730000000003</v>
      </c>
      <c r="S3154">
        <v>-2.0542600000000002</v>
      </c>
      <c r="T3154">
        <v>-0.40996890000000002</v>
      </c>
      <c r="U3154">
        <v>-2.620209</v>
      </c>
      <c r="V3154">
        <v>-0.30238589999999999</v>
      </c>
      <c r="W3154">
        <v>-4.4997339999999997E-2</v>
      </c>
      <c r="X3154">
        <v>0.95212289999999999</v>
      </c>
      <c r="Y3154">
        <v>-0.68512119999999999</v>
      </c>
      <c r="Z3154">
        <v>-3.7933450000000001E-2</v>
      </c>
      <c r="AA3154">
        <v>0.72744069999999905</v>
      </c>
      <c r="AB3154">
        <v>17</v>
      </c>
      <c r="AC3154">
        <v>-5.5350000000000197</v>
      </c>
      <c r="AD3154">
        <v>-1.1251788137259999</v>
      </c>
      <c r="AE3154">
        <v>-7.1709999999999896</v>
      </c>
      <c r="AF3154">
        <v>-6.2034037316929203</v>
      </c>
      <c r="AG3154">
        <v>-1.1251788137259999</v>
      </c>
      <c r="AH3154">
        <v>6.4111315921926497</v>
      </c>
      <c r="AI3154">
        <v>97.188559308219794</v>
      </c>
      <c r="AJ3154">
        <v>134.05657610568201</v>
      </c>
      <c r="AK3154">
        <v>8.9917102663314399</v>
      </c>
      <c r="AL3154">
        <v>92.5790284776525</v>
      </c>
      <c r="AM3154">
        <v>107.619392531811</v>
      </c>
      <c r="AN3154">
        <v>1.0000000049151401</v>
      </c>
    </row>
    <row r="3155" spans="1:40" x14ac:dyDescent="0.25">
      <c r="A3155" t="str">
        <f>"20190303154159810"</f>
        <v>20190303154159810</v>
      </c>
      <c r="B3155" t="str">
        <f>"1551598919802864"</f>
        <v>1551598919802864</v>
      </c>
      <c r="C3155" t="s">
        <v>40</v>
      </c>
      <c r="D3155">
        <v>5.512594</v>
      </c>
      <c r="E3155">
        <v>0.31493320000000002</v>
      </c>
      <c r="F3155" t="s">
        <v>46</v>
      </c>
      <c r="G3155">
        <v>-487.33760000000001</v>
      </c>
      <c r="H3155" s="1">
        <v>2.1778909999999999E-6</v>
      </c>
      <c r="I3155">
        <v>277.09210000000002</v>
      </c>
      <c r="J3155">
        <v>-481.85789999999997</v>
      </c>
      <c r="K3155">
        <v>1.1252439999999999</v>
      </c>
      <c r="L3155">
        <v>284.29020000000003</v>
      </c>
      <c r="M3155">
        <v>-0.98874779999999995</v>
      </c>
      <c r="N3155">
        <v>-1.378537E-2</v>
      </c>
      <c r="O3155">
        <v>-0.1489547</v>
      </c>
      <c r="P3155">
        <v>-0.89298690000000003</v>
      </c>
      <c r="Q3155">
        <v>-5.4514050000000001E-2</v>
      </c>
      <c r="R3155">
        <v>-0.44676900000000003</v>
      </c>
      <c r="S3155">
        <v>-2.0357970000000001</v>
      </c>
      <c r="T3155">
        <v>-0.41022170000000002</v>
      </c>
      <c r="U3155">
        <v>-2.6319889999999999</v>
      </c>
      <c r="V3155">
        <v>-0.30835410000000002</v>
      </c>
      <c r="W3155">
        <v>-4.4314680000000002E-2</v>
      </c>
      <c r="X3155">
        <v>0.9502389</v>
      </c>
      <c r="Y3155">
        <v>-0.6862549</v>
      </c>
      <c r="Z3155">
        <v>-3.7520360000000003E-2</v>
      </c>
      <c r="AA3155">
        <v>0.7263927</v>
      </c>
      <c r="AB3155">
        <v>17</v>
      </c>
      <c r="AC3155">
        <v>-5.4797000000000304</v>
      </c>
      <c r="AD3155">
        <v>-1.1252418221089999</v>
      </c>
      <c r="AE3155">
        <v>-7.1981000000000099</v>
      </c>
      <c r="AF3155">
        <v>-6.2054711986339299</v>
      </c>
      <c r="AG3155">
        <v>-1.1252418221089999</v>
      </c>
      <c r="AH3155">
        <v>6.3919577003675396</v>
      </c>
      <c r="AI3155">
        <v>97.198802665753803</v>
      </c>
      <c r="AJ3155">
        <v>134.15188177195</v>
      </c>
      <c r="AK3155">
        <v>8.9794857981170804</v>
      </c>
      <c r="AL3155">
        <v>92.539875883653394</v>
      </c>
      <c r="AM3155">
        <v>107.978332787817</v>
      </c>
      <c r="AN3155">
        <v>1.0000000044617601</v>
      </c>
    </row>
    <row r="3156" spans="1:40" x14ac:dyDescent="0.25">
      <c r="A3156" t="str">
        <f>"20190303154159840"</f>
        <v>20190303154159840</v>
      </c>
      <c r="B3156" t="str">
        <f>"1551598919833121"</f>
        <v>1551598919833121</v>
      </c>
      <c r="C3156" t="s">
        <v>40</v>
      </c>
      <c r="D3156">
        <v>5.5258099999999999</v>
      </c>
      <c r="E3156">
        <v>0.31594090000000002</v>
      </c>
      <c r="F3156" t="s">
        <v>46</v>
      </c>
      <c r="G3156">
        <v>-487.35910000000001</v>
      </c>
      <c r="H3156" s="1">
        <v>2.1582060000000001E-6</v>
      </c>
      <c r="I3156">
        <v>277.0256</v>
      </c>
      <c r="J3156">
        <v>-482.07690000000002</v>
      </c>
      <c r="K3156">
        <v>1.1253649999999999</v>
      </c>
      <c r="L3156">
        <v>284.24400000000003</v>
      </c>
      <c r="M3156">
        <v>-0.98707869999999998</v>
      </c>
      <c r="N3156">
        <v>-1.382132E-2</v>
      </c>
      <c r="O3156">
        <v>-0.15963840000000001</v>
      </c>
      <c r="P3156">
        <v>-0.88401909999999895</v>
      </c>
      <c r="Q3156">
        <v>-5.3755690000000002E-2</v>
      </c>
      <c r="R3156">
        <v>-0.46434940000000002</v>
      </c>
      <c r="S3156">
        <v>-2.0078740000000002</v>
      </c>
      <c r="T3156">
        <v>-0.4107035</v>
      </c>
      <c r="U3156">
        <v>-2.6514890000000002</v>
      </c>
      <c r="V3156">
        <v>-0.31684830000000003</v>
      </c>
      <c r="W3156">
        <v>-4.3731390000000002E-2</v>
      </c>
      <c r="X3156">
        <v>0.94746750000000002</v>
      </c>
      <c r="Y3156">
        <v>-0.68589800000000001</v>
      </c>
      <c r="Z3156">
        <v>-3.6287569999999998E-2</v>
      </c>
      <c r="AA3156">
        <v>0.72679240000000001</v>
      </c>
      <c r="AB3156">
        <v>17</v>
      </c>
      <c r="AC3156">
        <v>-5.28219999999998</v>
      </c>
      <c r="AD3156">
        <v>-1.125362841794</v>
      </c>
      <c r="AE3156">
        <v>-7.2184000000000301</v>
      </c>
      <c r="AF3156">
        <v>-6.1845908366244204</v>
      </c>
      <c r="AG3156">
        <v>-1.125362841794</v>
      </c>
      <c r="AH3156">
        <v>6.2676777164275403</v>
      </c>
      <c r="AI3156">
        <v>97.283229651250196</v>
      </c>
      <c r="AJ3156">
        <v>134.617703643402</v>
      </c>
      <c r="AK3156">
        <v>8.8769020102258605</v>
      </c>
      <c r="AL3156">
        <v>92.506423478817595</v>
      </c>
      <c r="AM3156">
        <v>108.490760148855</v>
      </c>
      <c r="AN3156">
        <v>0.99999997162023502</v>
      </c>
    </row>
    <row r="3157" spans="1:40" x14ac:dyDescent="0.25">
      <c r="A3157" t="str">
        <f>"20190303154159862"</f>
        <v>20190303154159862</v>
      </c>
      <c r="B3157" t="str">
        <f>"1551598919852641"</f>
        <v>1551598919852641</v>
      </c>
      <c r="C3157" t="s">
        <v>40</v>
      </c>
      <c r="D3157">
        <v>5.4604169999999996</v>
      </c>
      <c r="E3157">
        <v>0.31624279999999999</v>
      </c>
      <c r="F3157" t="s">
        <v>46</v>
      </c>
      <c r="G3157">
        <v>-487.41800000000001</v>
      </c>
      <c r="H3157" s="1">
        <v>2.1345870000000001E-6</v>
      </c>
      <c r="I3157">
        <v>276.92930000000001</v>
      </c>
      <c r="J3157">
        <v>-482.24029999999999</v>
      </c>
      <c r="K3157">
        <v>1.1254459999999999</v>
      </c>
      <c r="L3157">
        <v>284.20749999999998</v>
      </c>
      <c r="M3157">
        <v>-0.98570979999999997</v>
      </c>
      <c r="N3157">
        <v>-1.384998E-2</v>
      </c>
      <c r="O3157">
        <v>-0.1678827</v>
      </c>
      <c r="P3157">
        <v>-0.87740399999999996</v>
      </c>
      <c r="Q3157">
        <v>-5.3435709999999997E-2</v>
      </c>
      <c r="R3157">
        <v>-0.47676780000000002</v>
      </c>
      <c r="S3157">
        <v>-1.9591369999999999</v>
      </c>
      <c r="T3157">
        <v>-0.41278989999999999</v>
      </c>
      <c r="U3157">
        <v>-2.6830750000000001</v>
      </c>
      <c r="V3157">
        <v>-0.32227109999999998</v>
      </c>
      <c r="W3157">
        <v>-4.3523630000000001E-2</v>
      </c>
      <c r="X3157">
        <v>0.94564630000000005</v>
      </c>
      <c r="Y3157">
        <v>-0.6923899</v>
      </c>
      <c r="Z3157">
        <v>-3.6205340000000003E-2</v>
      </c>
      <c r="AA3157">
        <v>0.72061459999999999</v>
      </c>
      <c r="AB3157">
        <v>17</v>
      </c>
      <c r="AC3157">
        <v>-5.1777000000000104</v>
      </c>
      <c r="AD3157">
        <v>-1.1254438654129999</v>
      </c>
      <c r="AE3157">
        <v>-7.2781999999999698</v>
      </c>
      <c r="AF3157">
        <v>-6.2070065469560003</v>
      </c>
      <c r="AG3157">
        <v>-1.1254438654129999</v>
      </c>
      <c r="AH3157">
        <v>6.2273325118888998</v>
      </c>
      <c r="AI3157">
        <v>97.294289030050805</v>
      </c>
      <c r="AJ3157">
        <v>134.906340742168</v>
      </c>
      <c r="AK3157">
        <v>8.8641539010657393</v>
      </c>
      <c r="AL3157">
        <v>92.4945084252725</v>
      </c>
      <c r="AM3157">
        <v>108.818830115305</v>
      </c>
      <c r="AN3157">
        <v>0.99999994648363699</v>
      </c>
    </row>
    <row r="3158" spans="1:40" x14ac:dyDescent="0.25">
      <c r="A3158" t="str">
        <f>"20190303154159877"</f>
        <v>20190303154159877</v>
      </c>
      <c r="B3158" t="str">
        <f>"1551598919873137"</f>
        <v>1551598919873137</v>
      </c>
      <c r="C3158" t="s">
        <v>40</v>
      </c>
      <c r="D3158">
        <v>5.513846</v>
      </c>
      <c r="E3158">
        <v>0.31678289999999998</v>
      </c>
      <c r="F3158" t="s">
        <v>46</v>
      </c>
      <c r="G3158">
        <v>-487.46980000000002</v>
      </c>
      <c r="H3158" s="1">
        <v>2.1124610000000001E-6</v>
      </c>
      <c r="I3158">
        <v>276.84059999999999</v>
      </c>
      <c r="J3158">
        <v>-482.3408</v>
      </c>
      <c r="K3158">
        <v>1.1254770000000001</v>
      </c>
      <c r="L3158">
        <v>284.18430000000001</v>
      </c>
      <c r="M3158">
        <v>-0.98481960000000002</v>
      </c>
      <c r="N3158">
        <v>-1.386692E-2</v>
      </c>
      <c r="O3158">
        <v>-0.1730264</v>
      </c>
      <c r="P3158">
        <v>-0.87340680000000004</v>
      </c>
      <c r="Q3158">
        <v>-5.31552E-2</v>
      </c>
      <c r="R3158">
        <v>-0.48408190000000001</v>
      </c>
      <c r="S3158">
        <v>-1.9224239999999999</v>
      </c>
      <c r="T3158">
        <v>-0.41372170000000003</v>
      </c>
      <c r="U3158">
        <v>-2.7080989999999998</v>
      </c>
      <c r="V3158">
        <v>-0.32522709999999999</v>
      </c>
      <c r="W3158">
        <v>-4.330208E-2</v>
      </c>
      <c r="X3158">
        <v>0.94464400000000004</v>
      </c>
      <c r="Y3158">
        <v>-0.69817949999999995</v>
      </c>
      <c r="Z3158">
        <v>-3.6310780000000001E-2</v>
      </c>
      <c r="AA3158">
        <v>0.71500129999999995</v>
      </c>
      <c r="AB3158">
        <v>17</v>
      </c>
      <c r="AC3158">
        <v>-5.1290000000000102</v>
      </c>
      <c r="AD3158">
        <v>-1.1254748875389999</v>
      </c>
      <c r="AE3158">
        <v>-7.3437000000000099</v>
      </c>
      <c r="AF3158">
        <v>-6.2467596601473501</v>
      </c>
      <c r="AG3158">
        <v>-1.1254748875389999</v>
      </c>
      <c r="AH3158">
        <v>6.22414094437194</v>
      </c>
      <c r="AI3158">
        <v>97.273329440080602</v>
      </c>
      <c r="AJ3158">
        <v>135.103918359386</v>
      </c>
      <c r="AK3158">
        <v>8.8898048611616005</v>
      </c>
      <c r="AL3158">
        <v>92.481802403745306</v>
      </c>
      <c r="AM3158">
        <v>108.99783566383999</v>
      </c>
      <c r="AN3158">
        <v>1.0000000117213601</v>
      </c>
    </row>
    <row r="3159" spans="1:40" x14ac:dyDescent="0.25">
      <c r="A3159" t="str">
        <f>"20190303154159890"</f>
        <v>20190303154159890</v>
      </c>
      <c r="B3159" t="str">
        <f>"1551598919882897"</f>
        <v>1551598919882897</v>
      </c>
      <c r="C3159" t="s">
        <v>40</v>
      </c>
      <c r="D3159">
        <v>5.4913949999999998</v>
      </c>
      <c r="E3159">
        <v>0.31705359999999899</v>
      </c>
      <c r="F3159" t="s">
        <v>46</v>
      </c>
      <c r="G3159">
        <v>-487.52179999999998</v>
      </c>
      <c r="H3159" s="1">
        <v>2.0980289999999998E-6</v>
      </c>
      <c r="I3159">
        <v>276.77370000000002</v>
      </c>
      <c r="J3159">
        <v>-482.44420000000002</v>
      </c>
      <c r="K3159">
        <v>1.1255109999999999</v>
      </c>
      <c r="L3159">
        <v>284.15969999999999</v>
      </c>
      <c r="M3159">
        <v>-0.98385849999999997</v>
      </c>
      <c r="N3159">
        <v>-1.3882790000000001E-2</v>
      </c>
      <c r="O3159">
        <v>-0.1784094</v>
      </c>
      <c r="P3159">
        <v>-0.86945790000000001</v>
      </c>
      <c r="Q3159">
        <v>-5.3419170000000002E-2</v>
      </c>
      <c r="R3159">
        <v>-0.49111090000000002</v>
      </c>
      <c r="S3159">
        <v>-1.9019170000000001</v>
      </c>
      <c r="T3159">
        <v>-0.41315350000000001</v>
      </c>
      <c r="U3159">
        <v>-2.720367</v>
      </c>
      <c r="V3159">
        <v>-0.32767370000000001</v>
      </c>
      <c r="W3159">
        <v>-4.3615439999999998E-2</v>
      </c>
      <c r="X3159">
        <v>0.9437837</v>
      </c>
      <c r="Y3159">
        <v>-0.69943140000000004</v>
      </c>
      <c r="Z3159">
        <v>-3.5786249999999999E-2</v>
      </c>
      <c r="AA3159">
        <v>0.71380330000000003</v>
      </c>
      <c r="AB3159">
        <v>17</v>
      </c>
      <c r="AC3159">
        <v>-5.0775999999999604</v>
      </c>
      <c r="AD3159">
        <v>-1.1255089019710001</v>
      </c>
      <c r="AE3159">
        <v>-7.3859999999999602</v>
      </c>
      <c r="AF3159">
        <v>-6.2627450710814703</v>
      </c>
      <c r="AG3159">
        <v>-1.1255089019710001</v>
      </c>
      <c r="AH3159">
        <v>6.2159626259744201</v>
      </c>
      <c r="AI3159">
        <v>97.269006311086201</v>
      </c>
      <c r="AJ3159">
        <v>135.214799814803</v>
      </c>
      <c r="AK3159">
        <v>8.8953323423738393</v>
      </c>
      <c r="AL3159">
        <v>92.4997735763273</v>
      </c>
      <c r="AM3159">
        <v>109.14656774393001</v>
      </c>
      <c r="AN3159">
        <v>1.0000000163318801</v>
      </c>
    </row>
    <row r="3160" spans="1:40" x14ac:dyDescent="0.25">
      <c r="A3160" t="str">
        <f>"20190303154159904"</f>
        <v>20190303154159904</v>
      </c>
      <c r="B3160" t="str">
        <f>"1551598919892657"</f>
        <v>1551598919892657</v>
      </c>
      <c r="C3160" t="s">
        <v>40</v>
      </c>
      <c r="D3160">
        <v>5.4812010000000004</v>
      </c>
      <c r="E3160">
        <v>0.31715320000000002</v>
      </c>
      <c r="F3160" t="s">
        <v>46</v>
      </c>
      <c r="G3160">
        <v>-487.56270000000001</v>
      </c>
      <c r="H3160" s="1">
        <v>2.0860500000000001E-6</v>
      </c>
      <c r="I3160">
        <v>276.71940000000001</v>
      </c>
      <c r="J3160">
        <v>-482.53960000000001</v>
      </c>
      <c r="K3160">
        <v>1.125542</v>
      </c>
      <c r="L3160">
        <v>284.13630000000001</v>
      </c>
      <c r="M3160">
        <v>-0.98293189999999997</v>
      </c>
      <c r="N3160">
        <v>-1.38966E-2</v>
      </c>
      <c r="O3160">
        <v>-0.18344440000000001</v>
      </c>
      <c r="P3160">
        <v>-0.86549679999999996</v>
      </c>
      <c r="Q3160">
        <v>-5.3154029999999998E-2</v>
      </c>
      <c r="R3160">
        <v>-0.49808629999999998</v>
      </c>
      <c r="S3160">
        <v>-1.880798</v>
      </c>
      <c r="T3160">
        <v>-0.41356910000000002</v>
      </c>
      <c r="U3160">
        <v>-2.7339479999999998</v>
      </c>
      <c r="V3160">
        <v>-0.33042369999999999</v>
      </c>
      <c r="W3160">
        <v>-4.3402749999999997E-2</v>
      </c>
      <c r="X3160">
        <v>0.94283419999999896</v>
      </c>
      <c r="Y3160">
        <v>-0.70117510000000005</v>
      </c>
      <c r="Z3160">
        <v>-3.5414279999999999E-2</v>
      </c>
      <c r="AA3160">
        <v>0.71210909999999905</v>
      </c>
      <c r="AB3160">
        <v>17</v>
      </c>
      <c r="AC3160">
        <v>-5.0231000000000003</v>
      </c>
      <c r="AD3160">
        <v>-1.12553991395</v>
      </c>
      <c r="AE3160">
        <v>-7.4168999999999903</v>
      </c>
      <c r="AF3160">
        <v>-6.2704662420523798</v>
      </c>
      <c r="AG3160">
        <v>-1.12553991395</v>
      </c>
      <c r="AH3160">
        <v>6.2006673207167102</v>
      </c>
      <c r="AI3160">
        <v>97.273509889260495</v>
      </c>
      <c r="AJ3160">
        <v>135.32067188039801</v>
      </c>
      <c r="AK3160">
        <v>8.8900991115294801</v>
      </c>
      <c r="AL3160">
        <v>92.487575890455602</v>
      </c>
      <c r="AM3160">
        <v>109.31341581257701</v>
      </c>
      <c r="AN3160">
        <v>0.999999974459445</v>
      </c>
    </row>
    <row r="3161" spans="1:40" x14ac:dyDescent="0.25">
      <c r="A3161" t="str">
        <f>"20190303154159917"</f>
        <v>20190303154159917</v>
      </c>
      <c r="B3161" t="str">
        <f>"1551598919912609"</f>
        <v>1551598919912609</v>
      </c>
      <c r="C3161" t="s">
        <v>40</v>
      </c>
      <c r="D3161">
        <v>5.4502389999999998</v>
      </c>
      <c r="E3161">
        <v>0.31745719999999999</v>
      </c>
      <c r="F3161" t="s">
        <v>46</v>
      </c>
      <c r="G3161">
        <v>-487.61720000000003</v>
      </c>
      <c r="H3161" s="1">
        <v>2.0647520000000001E-6</v>
      </c>
      <c r="I3161">
        <v>276.63170000000002</v>
      </c>
      <c r="J3161">
        <v>-482.63150000000002</v>
      </c>
      <c r="K3161">
        <v>1.12557</v>
      </c>
      <c r="L3161">
        <v>284.11340000000001</v>
      </c>
      <c r="M3161">
        <v>-0.98200609999999999</v>
      </c>
      <c r="N3161">
        <v>-1.390944E-2</v>
      </c>
      <c r="O3161">
        <v>-0.1883369</v>
      </c>
      <c r="P3161">
        <v>-0.86180559999999995</v>
      </c>
      <c r="Q3161">
        <v>-5.3655010000000003E-2</v>
      </c>
      <c r="R3161">
        <v>-0.50439339999999999</v>
      </c>
      <c r="S3161">
        <v>-1.8594059999999999</v>
      </c>
      <c r="T3161">
        <v>-0.4121668</v>
      </c>
      <c r="U3161">
        <v>-2.748138</v>
      </c>
      <c r="V3161">
        <v>-0.33260879999999998</v>
      </c>
      <c r="W3161">
        <v>-4.3948510000000003E-2</v>
      </c>
      <c r="X3161">
        <v>0.94204030000000005</v>
      </c>
      <c r="Y3161">
        <v>-0.70317299999999905</v>
      </c>
      <c r="Z3161">
        <v>-3.4963389999999997E-2</v>
      </c>
      <c r="AA3161">
        <v>0.71015859999999997</v>
      </c>
      <c r="AB3161">
        <v>17</v>
      </c>
      <c r="AC3161">
        <v>-4.9856999999999996</v>
      </c>
      <c r="AD3161">
        <v>-1.1255679352479999</v>
      </c>
      <c r="AE3161">
        <v>-7.4816999999999796</v>
      </c>
      <c r="AF3161">
        <v>-6.30980879234549</v>
      </c>
      <c r="AG3161">
        <v>-1.1255679352479999</v>
      </c>
      <c r="AH3161">
        <v>6.2083728929827497</v>
      </c>
      <c r="AI3161">
        <v>97.246519785763297</v>
      </c>
      <c r="AJ3161">
        <v>135.46426245230299</v>
      </c>
      <c r="AK3161">
        <v>8.9232552440878905</v>
      </c>
      <c r="AL3161">
        <v>92.518875423738393</v>
      </c>
      <c r="AM3161">
        <v>109.44674031277999</v>
      </c>
      <c r="AN3161">
        <v>1.0000000060963701</v>
      </c>
    </row>
    <row r="3162" spans="1:40" x14ac:dyDescent="0.25">
      <c r="A3162" t="str">
        <f>"20190303154159929"</f>
        <v>20190303154159929</v>
      </c>
      <c r="B3162" t="str">
        <f>"1551598919922368"</f>
        <v>1551598919922368</v>
      </c>
      <c r="C3162" t="s">
        <v>40</v>
      </c>
      <c r="D3162">
        <v>5.4907839999999997</v>
      </c>
      <c r="E3162">
        <v>0.31769750000000002</v>
      </c>
      <c r="F3162" t="s">
        <v>46</v>
      </c>
      <c r="G3162">
        <v>-487.64069999999998</v>
      </c>
      <c r="H3162" s="1">
        <v>2.0579569999999999E-6</v>
      </c>
      <c r="I3162">
        <v>276.60070000000002</v>
      </c>
      <c r="J3162">
        <v>-482.71910000000003</v>
      </c>
      <c r="K3162">
        <v>1.1255999999999999</v>
      </c>
      <c r="L3162">
        <v>284.09089999999998</v>
      </c>
      <c r="M3162">
        <v>-0.98108240000000002</v>
      </c>
      <c r="N3162">
        <v>-1.3922149999999999E-2</v>
      </c>
      <c r="O3162">
        <v>-0.1930897</v>
      </c>
      <c r="P3162">
        <v>-0.85697409999999996</v>
      </c>
      <c r="Q3162">
        <v>-5.3659180000000001E-2</v>
      </c>
      <c r="R3162">
        <v>-0.51255899999999999</v>
      </c>
      <c r="S3162">
        <v>-1.8400879999999999</v>
      </c>
      <c r="T3162">
        <v>-0.41346559999999999</v>
      </c>
      <c r="U3162">
        <v>-2.7597049999999999</v>
      </c>
      <c r="V3162">
        <v>-0.33698820000000002</v>
      </c>
      <c r="W3162">
        <v>-4.4033240000000001E-2</v>
      </c>
      <c r="X3162">
        <v>0.94047860000000005</v>
      </c>
      <c r="Y3162">
        <v>-0.70453449999999995</v>
      </c>
      <c r="Z3162">
        <v>-3.4638370000000002E-2</v>
      </c>
      <c r="AA3162">
        <v>0.70882389999999995</v>
      </c>
      <c r="AB3162">
        <v>17</v>
      </c>
      <c r="AC3162">
        <v>-4.92159999999995</v>
      </c>
      <c r="AD3162">
        <v>-1.125597942043</v>
      </c>
      <c r="AE3162">
        <v>-7.4901999999999598</v>
      </c>
      <c r="AF3162">
        <v>-6.2994515526027604</v>
      </c>
      <c r="AG3162">
        <v>-1.125597942043</v>
      </c>
      <c r="AH3162">
        <v>6.1779387073141798</v>
      </c>
      <c r="AI3162">
        <v>97.270044062283205</v>
      </c>
      <c r="AJ3162">
        <v>135.55796548468501</v>
      </c>
      <c r="AK3162">
        <v>8.8947730303842896</v>
      </c>
      <c r="AL3162">
        <v>92.523734852305694</v>
      </c>
      <c r="AM3162">
        <v>109.713396574345</v>
      </c>
      <c r="AN3162">
        <v>0.99999998511104804</v>
      </c>
    </row>
    <row r="3163" spans="1:40" x14ac:dyDescent="0.25">
      <c r="A3163" t="str">
        <f>"20190303154159942"</f>
        <v>20190303154159942</v>
      </c>
      <c r="B3163" t="str">
        <f>"1551598919933104"</f>
        <v>1551598919933104</v>
      </c>
      <c r="C3163" t="s">
        <v>40</v>
      </c>
      <c r="D3163">
        <v>5.3004829999999998</v>
      </c>
      <c r="E3163">
        <v>0.31762839999999998</v>
      </c>
      <c r="F3163" t="s">
        <v>46</v>
      </c>
      <c r="G3163">
        <v>-487.63490000000002</v>
      </c>
      <c r="H3163" s="1">
        <v>2.0479380000000001E-6</v>
      </c>
      <c r="I3163">
        <v>276.57530000000003</v>
      </c>
      <c r="J3163">
        <v>-482.81439999999998</v>
      </c>
      <c r="K3163">
        <v>1.1256330000000001</v>
      </c>
      <c r="L3163">
        <v>284.0659</v>
      </c>
      <c r="M3163">
        <v>-0.98003969999999896</v>
      </c>
      <c r="N3163">
        <v>-1.39369E-2</v>
      </c>
      <c r="O3163">
        <v>-0.1983132</v>
      </c>
      <c r="P3163">
        <v>-0.85319579999999995</v>
      </c>
      <c r="Q3163">
        <v>-5.3603779999999997E-2</v>
      </c>
      <c r="R3163">
        <v>-0.5188294</v>
      </c>
      <c r="S3163">
        <v>-1.815002</v>
      </c>
      <c r="T3163">
        <v>-0.4155951</v>
      </c>
      <c r="U3163">
        <v>-2.774902</v>
      </c>
      <c r="V3163">
        <v>-0.33886840000000001</v>
      </c>
      <c r="W3163">
        <v>-4.4022909999999998E-2</v>
      </c>
      <c r="X3163">
        <v>0.93980319999999995</v>
      </c>
      <c r="Y3163">
        <v>-0.70697880000000002</v>
      </c>
      <c r="Z3163">
        <v>-3.4426279999999997E-2</v>
      </c>
      <c r="AA3163">
        <v>0.70639640000000004</v>
      </c>
      <c r="AB3163">
        <v>17</v>
      </c>
      <c r="AC3163">
        <v>-4.8205000000000302</v>
      </c>
      <c r="AD3163">
        <v>-1.12563095206199</v>
      </c>
      <c r="AE3163">
        <v>-7.4905999999999704</v>
      </c>
      <c r="AF3163">
        <v>-6.2853680598758297</v>
      </c>
      <c r="AG3163">
        <v>-1.12563095206199</v>
      </c>
      <c r="AH3163">
        <v>6.1127570235755</v>
      </c>
      <c r="AI3163">
        <v>97.315875872961101</v>
      </c>
      <c r="AJ3163">
        <v>135.79764036043301</v>
      </c>
      <c r="AK3163">
        <v>8.8396094437265091</v>
      </c>
      <c r="AL3163">
        <v>92.523142546680205</v>
      </c>
      <c r="AM3163">
        <v>109.827974822569</v>
      </c>
      <c r="AN3163">
        <v>0.99999993192683101</v>
      </c>
    </row>
    <row r="3164" spans="1:40" x14ac:dyDescent="0.25">
      <c r="A3164" t="str">
        <f>"20190303154159957"</f>
        <v>20190303154159957</v>
      </c>
      <c r="B3164" t="str">
        <f>"1551598919952624"</f>
        <v>1551598919952624</v>
      </c>
      <c r="C3164" t="s">
        <v>40</v>
      </c>
      <c r="D3164">
        <v>5.3321870000000002</v>
      </c>
      <c r="E3164">
        <v>0.31786759999999997</v>
      </c>
      <c r="F3164" t="s">
        <v>46</v>
      </c>
      <c r="G3164">
        <v>-487.67570000000001</v>
      </c>
      <c r="H3164" s="1">
        <v>2.0325739999999999E-6</v>
      </c>
      <c r="I3164">
        <v>276.51139999999998</v>
      </c>
      <c r="J3164">
        <v>-482.91230000000002</v>
      </c>
      <c r="K3164">
        <v>1.125669</v>
      </c>
      <c r="L3164">
        <v>284.03960000000001</v>
      </c>
      <c r="M3164">
        <v>-0.97892610000000002</v>
      </c>
      <c r="N3164">
        <v>-1.3952890000000001E-2</v>
      </c>
      <c r="O3164">
        <v>-0.203738</v>
      </c>
      <c r="P3164">
        <v>-0.84917619999999905</v>
      </c>
      <c r="Q3164">
        <v>-5.3111650000000003E-2</v>
      </c>
      <c r="R3164">
        <v>-0.52543209999999996</v>
      </c>
      <c r="S3164">
        <v>-1.794373</v>
      </c>
      <c r="T3164">
        <v>-0.41548879999999999</v>
      </c>
      <c r="U3164">
        <v>-2.7884829999999998</v>
      </c>
      <c r="V3164">
        <v>-0.34094600000000003</v>
      </c>
      <c r="W3164">
        <v>-4.3580420000000002E-2</v>
      </c>
      <c r="X3164">
        <v>0.93907220000000002</v>
      </c>
      <c r="Y3164">
        <v>-0.70835199999999998</v>
      </c>
      <c r="Z3164">
        <v>-3.3915590000000002E-2</v>
      </c>
      <c r="AA3164">
        <v>0.705044</v>
      </c>
      <c r="AB3164">
        <v>17</v>
      </c>
      <c r="AC3164">
        <v>-4.7633999999999901</v>
      </c>
      <c r="AD3164">
        <v>-1.125666967426</v>
      </c>
      <c r="AE3164">
        <v>-7.5282000000000204</v>
      </c>
      <c r="AF3164">
        <v>-6.2991163186686903</v>
      </c>
      <c r="AG3164">
        <v>-1.125666967426</v>
      </c>
      <c r="AH3164">
        <v>6.1000067563799201</v>
      </c>
      <c r="AI3164">
        <v>97.315293281255293</v>
      </c>
      <c r="AJ3164">
        <v>135.91999708799401</v>
      </c>
      <c r="AK3164">
        <v>8.8405924544429197</v>
      </c>
      <c r="AL3164">
        <v>92.497765178390196</v>
      </c>
      <c r="AM3164">
        <v>109.954282189645</v>
      </c>
      <c r="AN3164">
        <v>1.0000000123681001</v>
      </c>
    </row>
    <row r="3165" spans="1:40" x14ac:dyDescent="0.25">
      <c r="A3165" t="str">
        <f>"20190303154159973"</f>
        <v>20190303154159973</v>
      </c>
      <c r="B3165" t="str">
        <f>"1551598919962385"</f>
        <v>1551598919962385</v>
      </c>
      <c r="C3165" t="s">
        <v>40</v>
      </c>
      <c r="D3165">
        <v>5.3189960000000003</v>
      </c>
      <c r="E3165">
        <v>0.31791940000000002</v>
      </c>
      <c r="F3165" t="s">
        <v>46</v>
      </c>
      <c r="G3165">
        <v>-487.73660000000001</v>
      </c>
      <c r="H3165" s="1">
        <v>2.012377E-6</v>
      </c>
      <c r="I3165">
        <v>276.42360000000002</v>
      </c>
      <c r="J3165">
        <v>-483.03199999999998</v>
      </c>
      <c r="K3165">
        <v>1.1257299999999999</v>
      </c>
      <c r="L3165">
        <v>284.00650000000002</v>
      </c>
      <c r="M3165">
        <v>-0.97749459999999999</v>
      </c>
      <c r="N3165">
        <v>-1.3973950000000001E-2</v>
      </c>
      <c r="O3165">
        <v>-0.21049760000000001</v>
      </c>
      <c r="P3165">
        <v>-0.84385919999999903</v>
      </c>
      <c r="Q3165">
        <v>-5.3967620000000001E-2</v>
      </c>
      <c r="R3165">
        <v>-0.53384399999999999</v>
      </c>
      <c r="S3165">
        <v>-1.77401699999999</v>
      </c>
      <c r="T3165">
        <v>-0.41393170000000001</v>
      </c>
      <c r="U3165">
        <v>-2.8005680000000002</v>
      </c>
      <c r="V3165">
        <v>-0.3437809</v>
      </c>
      <c r="W3165">
        <v>-4.4506999999999998E-2</v>
      </c>
      <c r="X3165">
        <v>0.93799460000000001</v>
      </c>
      <c r="Y3165">
        <v>-0.70858869999999996</v>
      </c>
      <c r="Z3165">
        <v>-3.3034149999999998E-2</v>
      </c>
      <c r="AA3165">
        <v>0.70484809999999998</v>
      </c>
      <c r="AB3165">
        <v>17</v>
      </c>
      <c r="AC3165">
        <v>-4.7046000000000197</v>
      </c>
      <c r="AD3165">
        <v>-1.125727987623</v>
      </c>
      <c r="AE3165">
        <v>-7.5828999999999898</v>
      </c>
      <c r="AF3165">
        <v>-6.32195768104227</v>
      </c>
      <c r="AG3165">
        <v>-1.125727987623</v>
      </c>
      <c r="AH3165">
        <v>6.0984587754266899</v>
      </c>
      <c r="AI3165">
        <v>97.303041071218004</v>
      </c>
      <c r="AJ3165">
        <v>136.03089636169801</v>
      </c>
      <c r="AK3165">
        <v>8.8558236126622294</v>
      </c>
      <c r="AL3165">
        <v>92.550905838396204</v>
      </c>
      <c r="AM3165">
        <v>110.128201966449</v>
      </c>
      <c r="AN3165">
        <v>1.00000002494148</v>
      </c>
    </row>
    <row r="3166" spans="1:40" x14ac:dyDescent="0.25">
      <c r="A3166" t="str">
        <f>"20190303154159985"</f>
        <v>20190303154159985</v>
      </c>
      <c r="B3166" t="str">
        <f>"1551598919982880"</f>
        <v>1551598919982880</v>
      </c>
      <c r="C3166" t="s">
        <v>40</v>
      </c>
      <c r="D3166">
        <v>5.3694639999999998</v>
      </c>
      <c r="E3166">
        <v>0.3182296</v>
      </c>
      <c r="F3166" t="s">
        <v>46</v>
      </c>
      <c r="G3166">
        <v>-487.73439999999999</v>
      </c>
      <c r="H3166" s="1">
        <v>2.0104900000000002E-6</v>
      </c>
      <c r="I3166">
        <v>276.4194</v>
      </c>
      <c r="J3166">
        <v>-483.11649999999997</v>
      </c>
      <c r="K3166">
        <v>1.1257699999999999</v>
      </c>
      <c r="L3166">
        <v>283.98230000000001</v>
      </c>
      <c r="M3166">
        <v>-0.97643800000000003</v>
      </c>
      <c r="N3166">
        <v>-1.398889E-2</v>
      </c>
      <c r="O3166">
        <v>-0.21534490000000001</v>
      </c>
      <c r="P3166">
        <v>-0.83925659999999902</v>
      </c>
      <c r="Q3166">
        <v>-5.4161899999999999E-2</v>
      </c>
      <c r="R3166">
        <v>-0.54103169999999901</v>
      </c>
      <c r="S3166">
        <v>-1.74609399999999</v>
      </c>
      <c r="T3166">
        <v>-0.41800680000000001</v>
      </c>
      <c r="U3166">
        <v>-2.8172299999999999</v>
      </c>
      <c r="V3166">
        <v>-0.34712959999999998</v>
      </c>
      <c r="W3166">
        <v>-4.477312E-2</v>
      </c>
      <c r="X3166">
        <v>0.93674780000000002</v>
      </c>
      <c r="Y3166">
        <v>-0.71190509999999996</v>
      </c>
      <c r="Z3166">
        <v>-3.3062729999999999E-2</v>
      </c>
      <c r="AA3166">
        <v>0.70149700000000004</v>
      </c>
      <c r="AB3166">
        <v>17</v>
      </c>
      <c r="AC3166">
        <v>-4.6179000000000201</v>
      </c>
      <c r="AD3166">
        <v>-1.1257679895099999</v>
      </c>
      <c r="AE3166">
        <v>-7.5629000000000097</v>
      </c>
      <c r="AF3166">
        <v>-6.2893755656008201</v>
      </c>
      <c r="AG3166">
        <v>-1.1257679895099999</v>
      </c>
      <c r="AH3166">
        <v>6.0408257340847697</v>
      </c>
      <c r="AI3166">
        <v>97.355849768658501</v>
      </c>
      <c r="AJ3166">
        <v>136.15480093189399</v>
      </c>
      <c r="AK3166">
        <v>8.7929047601439798</v>
      </c>
      <c r="AL3166">
        <v>92.566168628420201</v>
      </c>
      <c r="AM3166">
        <v>110.333138870415</v>
      </c>
      <c r="AN3166">
        <v>1.00000001613776</v>
      </c>
    </row>
    <row r="3167" spans="1:40" x14ac:dyDescent="0.25">
      <c r="A3167" t="str">
        <f>"20190303154159999"</f>
        <v>20190303154159999</v>
      </c>
      <c r="B3167" t="str">
        <f>"1551598919992640"</f>
        <v>1551598919992640</v>
      </c>
      <c r="C3167" t="s">
        <v>40</v>
      </c>
      <c r="D3167">
        <v>5.3263089999999904</v>
      </c>
      <c r="E3167">
        <v>0.31831700000000002</v>
      </c>
      <c r="F3167" t="s">
        <v>46</v>
      </c>
      <c r="G3167">
        <v>-487.73790000000002</v>
      </c>
      <c r="H3167" s="1">
        <v>2.001469E-6</v>
      </c>
      <c r="I3167">
        <v>276.3922</v>
      </c>
      <c r="J3167">
        <v>-483.2124</v>
      </c>
      <c r="K3167">
        <v>1.125818</v>
      </c>
      <c r="L3167">
        <v>283.9545</v>
      </c>
      <c r="M3167">
        <v>-0.97519889999999998</v>
      </c>
      <c r="N3167">
        <v>-1.400561E-2</v>
      </c>
      <c r="O3167">
        <v>-0.22088659999999999</v>
      </c>
      <c r="P3167">
        <v>-0.83526089999999997</v>
      </c>
      <c r="Q3167">
        <v>-5.4083609999999997E-2</v>
      </c>
      <c r="R3167">
        <v>-0.54718769999999906</v>
      </c>
      <c r="S3167">
        <v>-1.723114</v>
      </c>
      <c r="T3167">
        <v>-0.41975079999999998</v>
      </c>
      <c r="U3167">
        <v>-2.8300480000000001</v>
      </c>
      <c r="V3167">
        <v>-0.34869070000000002</v>
      </c>
      <c r="W3167">
        <v>-4.4741900000000001E-2</v>
      </c>
      <c r="X3167">
        <v>0.93616929999999998</v>
      </c>
      <c r="Y3167">
        <v>-0.71346830000000006</v>
      </c>
      <c r="Z3167">
        <v>-3.266554E-2</v>
      </c>
      <c r="AA3167">
        <v>0.69992569999999998</v>
      </c>
      <c r="AB3167">
        <v>17</v>
      </c>
      <c r="AC3167">
        <v>-4.5255000000000196</v>
      </c>
      <c r="AD3167">
        <v>-1.1258159985309999</v>
      </c>
      <c r="AE3167">
        <v>-7.5622999999999898</v>
      </c>
      <c r="AF3167">
        <v>-6.2733755551170702</v>
      </c>
      <c r="AG3167">
        <v>-1.1258159985309999</v>
      </c>
      <c r="AH3167">
        <v>5.9865762186569196</v>
      </c>
      <c r="AI3167">
        <v>97.397330067635593</v>
      </c>
      <c r="AJ3167">
        <v>136.34008643260501</v>
      </c>
      <c r="AK3167">
        <v>8.7442436688302205</v>
      </c>
      <c r="AL3167">
        <v>92.564378101074496</v>
      </c>
      <c r="AM3167">
        <v>110.428622895416</v>
      </c>
      <c r="AN3167">
        <v>1.00000000007229</v>
      </c>
    </row>
    <row r="3168" spans="1:40" x14ac:dyDescent="0.25">
      <c r="A3168" t="str">
        <f>"20190303154200019"</f>
        <v>20190303154200019</v>
      </c>
      <c r="B3168" t="str">
        <f>"1551598920013136"</f>
        <v>1551598920013136</v>
      </c>
      <c r="C3168" t="s">
        <v>40</v>
      </c>
      <c r="D3168">
        <v>5.3528890000000002</v>
      </c>
      <c r="E3168">
        <v>0.31857940000000001</v>
      </c>
      <c r="F3168" t="s">
        <v>46</v>
      </c>
      <c r="G3168">
        <v>-487.79020000000003</v>
      </c>
      <c r="H3168" s="1">
        <v>1.983073E-6</v>
      </c>
      <c r="I3168">
        <v>276.31389999999999</v>
      </c>
      <c r="J3168">
        <v>-483.35109999999997</v>
      </c>
      <c r="K3168">
        <v>1.1258919999999999</v>
      </c>
      <c r="L3168">
        <v>283.91300000000001</v>
      </c>
      <c r="M3168">
        <v>-0.97331369999999895</v>
      </c>
      <c r="N3168">
        <v>-1.4029649999999999E-2</v>
      </c>
      <c r="O3168">
        <v>-0.22904949999999999</v>
      </c>
      <c r="P3168">
        <v>-0.82959269999999996</v>
      </c>
      <c r="Q3168">
        <v>-5.3378780000000001E-2</v>
      </c>
      <c r="R3168">
        <v>-0.55581210000000003</v>
      </c>
      <c r="S3168">
        <v>-1.70272799999999</v>
      </c>
      <c r="T3168">
        <v>-0.41875519999999999</v>
      </c>
      <c r="U3168">
        <v>-2.84198</v>
      </c>
      <c r="V3168">
        <v>-0.35053390000000001</v>
      </c>
      <c r="W3168">
        <v>-4.4099390000000002E-2</v>
      </c>
      <c r="X3168">
        <v>0.93551119999999999</v>
      </c>
      <c r="Y3168">
        <v>-0.71268589999999998</v>
      </c>
      <c r="Z3168">
        <v>-3.150857E-2</v>
      </c>
      <c r="AA3168">
        <v>0.70077529999999999</v>
      </c>
      <c r="AB3168">
        <v>17</v>
      </c>
      <c r="AC3168">
        <v>-4.4391000000000496</v>
      </c>
      <c r="AD3168">
        <v>-1.1258900169270001</v>
      </c>
      <c r="AE3168">
        <v>-7.5991000000000204</v>
      </c>
      <c r="AF3168">
        <v>-6.2774218955355501</v>
      </c>
      <c r="AG3168">
        <v>-1.1258900169270001</v>
      </c>
      <c r="AH3168">
        <v>5.96418953471004</v>
      </c>
      <c r="AI3168">
        <v>97.4083778872849</v>
      </c>
      <c r="AJ3168">
        <v>136.46573653219099</v>
      </c>
      <c r="AK3168">
        <v>8.7318503646540897</v>
      </c>
      <c r="AL3168">
        <v>92.527528645413994</v>
      </c>
      <c r="AM3168">
        <v>110.540858872751</v>
      </c>
      <c r="AN3168">
        <v>0.99999998828651104</v>
      </c>
    </row>
    <row r="3169" spans="1:40" x14ac:dyDescent="0.25">
      <c r="A3169" t="str">
        <f>"20190303154200042"</f>
        <v>20190303154200042</v>
      </c>
      <c r="B3169" t="str">
        <f>"1551598920032657"</f>
        <v>1551598920032657</v>
      </c>
      <c r="C3169" t="s">
        <v>40</v>
      </c>
      <c r="D3169">
        <v>5.3546329999999998</v>
      </c>
      <c r="E3169">
        <v>0.31884370000000001</v>
      </c>
      <c r="F3169" t="s">
        <v>46</v>
      </c>
      <c r="G3169">
        <v>-487.88350000000003</v>
      </c>
      <c r="H3169" s="1">
        <v>1.9510040000000002E-6</v>
      </c>
      <c r="I3169">
        <v>276.17630000000003</v>
      </c>
      <c r="J3169">
        <v>-483.50709999999998</v>
      </c>
      <c r="K3169">
        <v>1.1259669999999999</v>
      </c>
      <c r="L3169">
        <v>283.86439999999999</v>
      </c>
      <c r="M3169">
        <v>-0.97106000000000003</v>
      </c>
      <c r="N3169">
        <v>-1.4056509999999999E-2</v>
      </c>
      <c r="O3169">
        <v>-0.238422</v>
      </c>
      <c r="P3169">
        <v>-0.82279579999999997</v>
      </c>
      <c r="Q3169">
        <v>-5.2562999999999999E-2</v>
      </c>
      <c r="R3169">
        <v>-0.56590149999999995</v>
      </c>
      <c r="S3169">
        <v>-1.6745000000000001</v>
      </c>
      <c r="T3169">
        <v>-0.41595959999999899</v>
      </c>
      <c r="U3169">
        <v>-2.8583069999999999</v>
      </c>
      <c r="V3169">
        <v>-0.35292630000000003</v>
      </c>
      <c r="W3169">
        <v>-4.335373E-2</v>
      </c>
      <c r="X3169">
        <v>0.93464619999999998</v>
      </c>
      <c r="Y3169">
        <v>-0.7129491</v>
      </c>
      <c r="Z3169">
        <v>-3.0231060000000001E-2</v>
      </c>
      <c r="AA3169">
        <v>0.70056379999999996</v>
      </c>
      <c r="AB3169">
        <v>17</v>
      </c>
      <c r="AC3169">
        <v>-4.3764000000000403</v>
      </c>
      <c r="AD3169">
        <v>-1.125965048996</v>
      </c>
      <c r="AE3169">
        <v>-7.6880999999999604</v>
      </c>
      <c r="AF3169">
        <v>-6.3204204530635302</v>
      </c>
      <c r="AG3169">
        <v>-1.125965048996</v>
      </c>
      <c r="AH3169">
        <v>5.9863811507704296</v>
      </c>
      <c r="AI3169">
        <v>97.369754677782794</v>
      </c>
      <c r="AJ3169">
        <v>136.554777987189</v>
      </c>
      <c r="AK3169">
        <v>8.7779423145384108</v>
      </c>
      <c r="AL3169">
        <v>92.484764493939295</v>
      </c>
      <c r="AM3169">
        <v>110.68674540180299</v>
      </c>
      <c r="AN3169">
        <v>1.0000000191555201</v>
      </c>
    </row>
    <row r="3170" spans="1:40" x14ac:dyDescent="0.25">
      <c r="A3170" t="str">
        <f>"20190303154200063"</f>
        <v>20190303154200063</v>
      </c>
      <c r="B3170" t="str">
        <f>"1551598920053152"</f>
        <v>1551598920053152</v>
      </c>
      <c r="C3170" t="s">
        <v>40</v>
      </c>
      <c r="D3170">
        <v>5.362482</v>
      </c>
      <c r="E3170">
        <v>0.31917240000000002</v>
      </c>
      <c r="F3170" t="s">
        <v>46</v>
      </c>
      <c r="G3170">
        <v>-487.97250000000003</v>
      </c>
      <c r="H3170" s="1">
        <v>1.9174020000000001E-6</v>
      </c>
      <c r="I3170">
        <v>276.03660000000002</v>
      </c>
      <c r="J3170">
        <v>-483.65989999999999</v>
      </c>
      <c r="K3170">
        <v>1.1260239999999999</v>
      </c>
      <c r="L3170">
        <v>283.81509999999997</v>
      </c>
      <c r="M3170">
        <v>-0.96871600000000002</v>
      </c>
      <c r="N3170">
        <v>-1.408241E-2</v>
      </c>
      <c r="O3170">
        <v>-0.24777270000000001</v>
      </c>
      <c r="P3170">
        <v>-0.81620439999999905</v>
      </c>
      <c r="Q3170">
        <v>-5.2073580000000001E-2</v>
      </c>
      <c r="R3170">
        <v>-0.57541200000000003</v>
      </c>
      <c r="S3170">
        <v>-1.6410830000000001</v>
      </c>
      <c r="T3170">
        <v>-0.41380410000000001</v>
      </c>
      <c r="U3170">
        <v>-2.8768009999999999</v>
      </c>
      <c r="V3170">
        <v>-0.35475299999999999</v>
      </c>
      <c r="W3170">
        <v>-4.2915950000000001E-2</v>
      </c>
      <c r="X3170">
        <v>0.93397459999999999</v>
      </c>
      <c r="Y3170">
        <v>-0.71436099999999902</v>
      </c>
      <c r="Z3170">
        <v>-2.9130110000000001E-2</v>
      </c>
      <c r="AA3170">
        <v>0.69917079999999998</v>
      </c>
      <c r="AB3170">
        <v>17</v>
      </c>
      <c r="AC3170">
        <v>-4.31260000000003</v>
      </c>
      <c r="AD3170">
        <v>-1.1260220825980001</v>
      </c>
      <c r="AE3170">
        <v>-7.7784999999999496</v>
      </c>
      <c r="AF3170">
        <v>-6.3652269854379204</v>
      </c>
      <c r="AG3170">
        <v>-1.1260220825980001</v>
      </c>
      <c r="AH3170">
        <v>6.0092684319959702</v>
      </c>
      <c r="AI3170">
        <v>97.329917160389897</v>
      </c>
      <c r="AJ3170">
        <v>136.64768740948401</v>
      </c>
      <c r="AK3170">
        <v>8.8258340905791393</v>
      </c>
      <c r="AL3170">
        <v>92.459658198977195</v>
      </c>
      <c r="AM3170">
        <v>110.798355815563</v>
      </c>
      <c r="AN3170">
        <v>1.00000001160928</v>
      </c>
    </row>
    <row r="3171" spans="1:40" x14ac:dyDescent="0.25">
      <c r="A3171" t="str">
        <f>"20190303154200086"</f>
        <v>20190303154200086</v>
      </c>
      <c r="B3171" t="str">
        <f>"1551598920082433"</f>
        <v>1551598920082433</v>
      </c>
      <c r="C3171" t="s">
        <v>40</v>
      </c>
      <c r="D3171">
        <v>5.434482</v>
      </c>
      <c r="E3171">
        <v>0.32839489999999999</v>
      </c>
      <c r="F3171" t="s">
        <v>46</v>
      </c>
      <c r="G3171">
        <v>-488.05579999999998</v>
      </c>
      <c r="H3171" s="1">
        <v>1.888614E-6</v>
      </c>
      <c r="I3171">
        <v>275.91340000000002</v>
      </c>
      <c r="J3171">
        <v>-483.80799999999999</v>
      </c>
      <c r="K3171">
        <v>1.126072</v>
      </c>
      <c r="L3171">
        <v>283.76549999999997</v>
      </c>
      <c r="M3171">
        <v>-0.96630530000000003</v>
      </c>
      <c r="N3171">
        <v>-1.4106860000000001E-2</v>
      </c>
      <c r="O3171">
        <v>-0.25701230000000003</v>
      </c>
      <c r="P3171">
        <v>-0.80970339999999996</v>
      </c>
      <c r="Q3171">
        <v>-5.2602339999999997E-2</v>
      </c>
      <c r="R3171">
        <v>-0.58447740000000004</v>
      </c>
      <c r="S3171">
        <v>-1.609558</v>
      </c>
      <c r="T3171">
        <v>-0.41228779999999998</v>
      </c>
      <c r="U3171">
        <v>-2.8931879999999999</v>
      </c>
      <c r="V3171">
        <v>-0.35624499999999998</v>
      </c>
      <c r="W3171">
        <v>-4.3485269999999999E-2</v>
      </c>
      <c r="X3171">
        <v>0.93338019999999999</v>
      </c>
      <c r="Y3171">
        <v>-0.71526350000000005</v>
      </c>
      <c r="Z3171">
        <v>-2.8022140000000001E-2</v>
      </c>
      <c r="AA3171">
        <v>0.69829289999999999</v>
      </c>
      <c r="AB3171">
        <v>17</v>
      </c>
      <c r="AC3171">
        <v>-4.2477999999999199</v>
      </c>
      <c r="AD3171">
        <v>-1.1260701113860001</v>
      </c>
      <c r="AE3171">
        <v>-7.8520999999999503</v>
      </c>
      <c r="AF3171">
        <v>-6.3946935489823797</v>
      </c>
      <c r="AG3171">
        <v>-1.1260701113860001</v>
      </c>
      <c r="AH3171">
        <v>6.0274680526918196</v>
      </c>
      <c r="AI3171">
        <v>97.302235446682801</v>
      </c>
      <c r="AJ3171">
        <v>136.693291854444</v>
      </c>
      <c r="AK3171">
        <v>8.8594870397429997</v>
      </c>
      <c r="AL3171">
        <v>92.492308259848599</v>
      </c>
      <c r="AM3171">
        <v>110.89045052093201</v>
      </c>
      <c r="AN3171">
        <v>1.000000033242</v>
      </c>
    </row>
    <row r="3172" spans="1:40" x14ac:dyDescent="0.25">
      <c r="A3172" t="str">
        <f>"20190303154200108"</f>
        <v>20190303154200108</v>
      </c>
      <c r="B3172" t="str">
        <f>"1551598920102928"</f>
        <v>1551598920102928</v>
      </c>
      <c r="C3172" t="s">
        <v>40</v>
      </c>
      <c r="D3172">
        <v>5.372293</v>
      </c>
      <c r="E3172">
        <v>0.32826709999999998</v>
      </c>
      <c r="F3172" t="s">
        <v>46</v>
      </c>
      <c r="G3172">
        <v>-488.23070000000001</v>
      </c>
      <c r="H3172" s="1">
        <v>1.9432619999999999E-6</v>
      </c>
      <c r="I3172">
        <v>275.98020000000002</v>
      </c>
      <c r="J3172">
        <v>-483.96390000000002</v>
      </c>
      <c r="K3172">
        <v>1.1261110000000001</v>
      </c>
      <c r="L3172">
        <v>283.7115</v>
      </c>
      <c r="M3172">
        <v>-0.96361989999999997</v>
      </c>
      <c r="N3172">
        <v>-1.4132280000000001E-2</v>
      </c>
      <c r="O3172">
        <v>-0.2669028</v>
      </c>
      <c r="P3172">
        <v>-0.80279400000000001</v>
      </c>
      <c r="Q3172">
        <v>-5.4069520000000003E-2</v>
      </c>
      <c r="R3172">
        <v>-0.59379989999999905</v>
      </c>
      <c r="S3172">
        <v>-1.619904</v>
      </c>
      <c r="T3172">
        <v>-0.41244730000000002</v>
      </c>
      <c r="U3172">
        <v>-2.8515320000000002</v>
      </c>
      <c r="V3172">
        <v>-0.35747289999999998</v>
      </c>
      <c r="W3172">
        <v>-4.4989220000000003E-2</v>
      </c>
      <c r="X3172">
        <v>0.93283930000000004</v>
      </c>
      <c r="Y3172">
        <v>-0.70191219999999999</v>
      </c>
      <c r="Z3172">
        <v>-2.5463619999999999E-2</v>
      </c>
      <c r="AA3172">
        <v>0.71180810000000005</v>
      </c>
      <c r="AB3172">
        <v>17</v>
      </c>
      <c r="AC3172">
        <v>-4.2667999999999804</v>
      </c>
      <c r="AD3172">
        <v>-1.1261090567380001</v>
      </c>
      <c r="AE3172">
        <v>-7.7312999999999699</v>
      </c>
      <c r="AF3172">
        <v>-6.2108401839303502</v>
      </c>
      <c r="AG3172">
        <v>-1.1261090567380001</v>
      </c>
      <c r="AH3172">
        <v>6.0768706093755904</v>
      </c>
      <c r="AI3172">
        <v>97.384266867995393</v>
      </c>
      <c r="AJ3172">
        <v>135.62465557766299</v>
      </c>
      <c r="AK3172">
        <v>8.7619069728617998</v>
      </c>
      <c r="AL3172">
        <v>92.578562694695293</v>
      </c>
      <c r="AM3172">
        <v>110.96730803109701</v>
      </c>
      <c r="AN3172">
        <v>1.0000000318875499</v>
      </c>
    </row>
    <row r="3173" spans="1:40" x14ac:dyDescent="0.25">
      <c r="A3173" t="str">
        <f>"20190303154200131"</f>
        <v>20190303154200131</v>
      </c>
      <c r="B3173" t="str">
        <f>"1551598920122452"</f>
        <v>1551598920122452</v>
      </c>
      <c r="C3173" t="s">
        <v>40</v>
      </c>
      <c r="D3173">
        <v>5.3432789999999999</v>
      </c>
      <c r="E3173">
        <v>0.3288739</v>
      </c>
      <c r="F3173" t="s">
        <v>46</v>
      </c>
      <c r="G3173">
        <v>-488.25319999999999</v>
      </c>
      <c r="H3173" s="1">
        <v>1.9351860000000002E-6</v>
      </c>
      <c r="I3173">
        <v>275.9461</v>
      </c>
      <c r="J3173">
        <v>-484.11529999999999</v>
      </c>
      <c r="K3173">
        <v>1.1261509999999999</v>
      </c>
      <c r="L3173">
        <v>283.65699999999998</v>
      </c>
      <c r="M3173">
        <v>-0.96085509999999996</v>
      </c>
      <c r="N3173">
        <v>-1.415749E-2</v>
      </c>
      <c r="O3173">
        <v>-0.27668989999999999</v>
      </c>
      <c r="P3173">
        <v>-0.79579339999999998</v>
      </c>
      <c r="Q3173">
        <v>-5.5361260000000002E-2</v>
      </c>
      <c r="R3173">
        <v>-0.60303249999999997</v>
      </c>
      <c r="S3173">
        <v>-1.585602</v>
      </c>
      <c r="T3173">
        <v>-0.41628120000000002</v>
      </c>
      <c r="U3173">
        <v>-2.8705750000000001</v>
      </c>
      <c r="V3173">
        <v>-0.35876239999999998</v>
      </c>
      <c r="W3173">
        <v>-4.6321859999999999E-2</v>
      </c>
      <c r="X3173">
        <v>0.93227890000000002</v>
      </c>
      <c r="Y3173">
        <v>-0.70317589999999996</v>
      </c>
      <c r="Z3173">
        <v>-2.450832E-2</v>
      </c>
      <c r="AA3173">
        <v>0.71059349999999999</v>
      </c>
      <c r="AB3173">
        <v>17</v>
      </c>
      <c r="AC3173">
        <v>-4.1379000000000001</v>
      </c>
      <c r="AD3173">
        <v>-1.126149064814</v>
      </c>
      <c r="AE3173">
        <v>-7.7108999999999801</v>
      </c>
      <c r="AF3173">
        <v>-6.1627114954095097</v>
      </c>
      <c r="AG3173">
        <v>-1.126149064814</v>
      </c>
      <c r="AH3173">
        <v>6.0105243313385497</v>
      </c>
      <c r="AI3173">
        <v>97.453054058040493</v>
      </c>
      <c r="AJ3173">
        <v>135.716262141329</v>
      </c>
      <c r="AK3173">
        <v>8.6817986287086093</v>
      </c>
      <c r="AL3173">
        <v>92.654996971063696</v>
      </c>
      <c r="AM3173">
        <v>111.047874839874</v>
      </c>
      <c r="AN3173">
        <v>1.0000000608764099</v>
      </c>
    </row>
    <row r="3174" spans="1:40" x14ac:dyDescent="0.25">
      <c r="A3174" t="str">
        <f>"20190303154200152"</f>
        <v>20190303154200152</v>
      </c>
      <c r="B3174" t="str">
        <f>"1551598920142945"</f>
        <v>1551598920142945</v>
      </c>
      <c r="C3174" t="s">
        <v>40</v>
      </c>
      <c r="D3174">
        <v>5.3270179999999998</v>
      </c>
      <c r="E3174">
        <v>0.32904670000000003</v>
      </c>
      <c r="F3174" t="s">
        <v>46</v>
      </c>
      <c r="G3174">
        <v>-488.29379999999998</v>
      </c>
      <c r="H3174" s="1">
        <v>1.927586E-6</v>
      </c>
      <c r="I3174">
        <v>275.9042</v>
      </c>
      <c r="J3174">
        <v>-484.26429999999999</v>
      </c>
      <c r="K3174">
        <v>1.1262019999999999</v>
      </c>
      <c r="L3174">
        <v>283.60149999999999</v>
      </c>
      <c r="M3174">
        <v>-0.95797909999999997</v>
      </c>
      <c r="N3174">
        <v>-1.4183650000000001E-2</v>
      </c>
      <c r="O3174">
        <v>-0.286487099999999</v>
      </c>
      <c r="P3174">
        <v>-0.78819110000000003</v>
      </c>
      <c r="Q3174">
        <v>-5.6446570000000001E-2</v>
      </c>
      <c r="R3174">
        <v>-0.61283650000000001</v>
      </c>
      <c r="S3174">
        <v>-1.554718</v>
      </c>
      <c r="T3174">
        <v>-0.41901250000000001</v>
      </c>
      <c r="U3174">
        <v>-2.8846440000000002</v>
      </c>
      <c r="V3174">
        <v>-0.36078349999999998</v>
      </c>
      <c r="W3174">
        <v>-4.7465609999999998E-2</v>
      </c>
      <c r="X3174">
        <v>0.93144099999999996</v>
      </c>
      <c r="Y3174">
        <v>-0.70327689999999998</v>
      </c>
      <c r="Z3174">
        <v>-2.336589E-2</v>
      </c>
      <c r="AA3174">
        <v>0.71053199999999905</v>
      </c>
      <c r="AB3174">
        <v>17</v>
      </c>
      <c r="AC3174">
        <v>-4.0294999999999801</v>
      </c>
      <c r="AD3174">
        <v>-1.126200072414</v>
      </c>
      <c r="AE3174">
        <v>-7.6972999999999798</v>
      </c>
      <c r="AF3174">
        <v>-6.1172938772812202</v>
      </c>
      <c r="AG3174">
        <v>-1.126200072414</v>
      </c>
      <c r="AH3174">
        <v>5.9657262399079896</v>
      </c>
      <c r="AI3174">
        <v>97.508400695710293</v>
      </c>
      <c r="AJ3174">
        <v>135.718672187126</v>
      </c>
      <c r="AK3174">
        <v>8.6185555955539499</v>
      </c>
      <c r="AL3174">
        <v>92.720601282331899</v>
      </c>
      <c r="AM3174">
        <v>111.173332730757</v>
      </c>
      <c r="AN3174">
        <v>1.0000000272429601</v>
      </c>
    </row>
    <row r="3175" spans="1:40" x14ac:dyDescent="0.25">
      <c r="A3175" t="str">
        <f>"20190303154200175"</f>
        <v>20190303154200175</v>
      </c>
      <c r="B3175" t="str">
        <f>"1551598920173200"</f>
        <v>1551598920173200</v>
      </c>
      <c r="C3175" t="s">
        <v>40</v>
      </c>
      <c r="D3175">
        <v>5.4010499999999997</v>
      </c>
      <c r="E3175">
        <v>0.32982939999999999</v>
      </c>
      <c r="F3175" t="s">
        <v>46</v>
      </c>
      <c r="G3175">
        <v>-488.3322</v>
      </c>
      <c r="H3175" s="1">
        <v>1.907186E-6</v>
      </c>
      <c r="I3175">
        <v>275.8272</v>
      </c>
      <c r="J3175">
        <v>-484.4117</v>
      </c>
      <c r="K3175">
        <v>1.126252</v>
      </c>
      <c r="L3175">
        <v>283.54469999999998</v>
      </c>
      <c r="M3175">
        <v>-0.95497209999999999</v>
      </c>
      <c r="N3175">
        <v>-1.421061E-2</v>
      </c>
      <c r="O3175">
        <v>-0.29635479999999997</v>
      </c>
      <c r="P3175">
        <v>-0.78050799999999998</v>
      </c>
      <c r="Q3175">
        <v>-5.8021469999999999E-2</v>
      </c>
      <c r="R3175">
        <v>-0.62244759999999999</v>
      </c>
      <c r="S3175">
        <v>-1.5189509999999999</v>
      </c>
      <c r="T3175">
        <v>-0.42052790000000001</v>
      </c>
      <c r="U3175">
        <v>-2.9029539999999998</v>
      </c>
      <c r="V3175">
        <v>-0.36259279999999999</v>
      </c>
      <c r="W3175">
        <v>-4.9101550000000001E-2</v>
      </c>
      <c r="X3175">
        <v>0.93065330000000002</v>
      </c>
      <c r="Y3175">
        <v>-0.7046869</v>
      </c>
      <c r="Z3175">
        <v>-2.229306E-2</v>
      </c>
      <c r="AA3175">
        <v>0.70916809999999997</v>
      </c>
      <c r="AB3175">
        <v>16</v>
      </c>
      <c r="AC3175">
        <v>-3.9205000000000001</v>
      </c>
      <c r="AD3175">
        <v>-1.126250092814</v>
      </c>
      <c r="AE3175">
        <v>-7.7174999999999701</v>
      </c>
      <c r="AF3175">
        <v>-6.1054114748272896</v>
      </c>
      <c r="AG3175">
        <v>-1.126250092814</v>
      </c>
      <c r="AH3175">
        <v>5.9312892699019297</v>
      </c>
      <c r="AI3175">
        <v>97.537100364423907</v>
      </c>
      <c r="AJ3175">
        <v>135.828779568198</v>
      </c>
      <c r="AK3175">
        <v>8.5863077601359095</v>
      </c>
      <c r="AL3175">
        <v>92.814443183021396</v>
      </c>
      <c r="AM3175">
        <v>111.28643746215801</v>
      </c>
      <c r="AN3175">
        <v>1.00000003281256</v>
      </c>
    </row>
    <row r="3176" spans="1:40" x14ac:dyDescent="0.25">
      <c r="A3176" t="str">
        <f>"20190303154200197"</f>
        <v>20190303154200197</v>
      </c>
      <c r="B3176" t="str">
        <f>"1551598920192724"</f>
        <v>1551598920192724</v>
      </c>
      <c r="C3176" t="s">
        <v>40</v>
      </c>
      <c r="D3176">
        <v>5.3972860000000003</v>
      </c>
      <c r="E3176">
        <v>0.33024049999999999</v>
      </c>
      <c r="F3176" t="s">
        <v>46</v>
      </c>
      <c r="G3176">
        <v>-488.3929</v>
      </c>
      <c r="H3176" s="1">
        <v>1.8845440000000001E-6</v>
      </c>
      <c r="I3176">
        <v>275.73270000000002</v>
      </c>
      <c r="J3176">
        <v>-484.5625</v>
      </c>
      <c r="K3176">
        <v>1.1263160000000001</v>
      </c>
      <c r="L3176">
        <v>283.48439999999999</v>
      </c>
      <c r="M3176">
        <v>-0.95171740000000005</v>
      </c>
      <c r="N3176">
        <v>-1.4239079999999999E-2</v>
      </c>
      <c r="O3176">
        <v>-0.30664520000000001</v>
      </c>
      <c r="P3176">
        <v>-0.77278539999999996</v>
      </c>
      <c r="Q3176">
        <v>-5.8131889999999999E-2</v>
      </c>
      <c r="R3176">
        <v>-0.63199949999999905</v>
      </c>
      <c r="S3176">
        <v>-1.486359</v>
      </c>
      <c r="T3176">
        <v>-0.4204832</v>
      </c>
      <c r="U3176">
        <v>-2.916595</v>
      </c>
      <c r="V3176">
        <v>-0.36398550000000002</v>
      </c>
      <c r="W3176">
        <v>-4.9268930000000002E-2</v>
      </c>
      <c r="X3176">
        <v>0.93010060000000006</v>
      </c>
      <c r="Y3176">
        <v>-0.704731</v>
      </c>
      <c r="Z3176">
        <v>-2.0961830000000001E-2</v>
      </c>
      <c r="AA3176">
        <v>0.70916480000000004</v>
      </c>
      <c r="AB3176">
        <v>16</v>
      </c>
      <c r="AC3176">
        <v>-3.8303999999999898</v>
      </c>
      <c r="AD3176">
        <v>-1.1263141154559999</v>
      </c>
      <c r="AE3176">
        <v>-7.7516999999999703</v>
      </c>
      <c r="AF3176">
        <v>-6.0999749892375998</v>
      </c>
      <c r="AG3176">
        <v>-1.1263141154559999</v>
      </c>
      <c r="AH3176">
        <v>5.9225925593633697</v>
      </c>
      <c r="AI3176">
        <v>97.546251212472399</v>
      </c>
      <c r="AJ3176">
        <v>135.84528759654299</v>
      </c>
      <c r="AK3176">
        <v>8.5764433759120706</v>
      </c>
      <c r="AL3176">
        <v>92.824045067446804</v>
      </c>
      <c r="AM3176">
        <v>111.372390045155</v>
      </c>
      <c r="AN3176">
        <v>0.99999999889697699</v>
      </c>
    </row>
    <row r="3177" spans="1:40" x14ac:dyDescent="0.25">
      <c r="A3177" t="str">
        <f>"20190303154200222"</f>
        <v>20190303154200222</v>
      </c>
      <c r="B3177" t="str">
        <f>"1551598920213216"</f>
        <v>1551598920213216</v>
      </c>
      <c r="C3177" t="s">
        <v>40</v>
      </c>
      <c r="D3177">
        <v>5.4695790000000004</v>
      </c>
      <c r="E3177">
        <v>0.33074680000000001</v>
      </c>
      <c r="F3177" t="s">
        <v>46</v>
      </c>
      <c r="G3177">
        <v>-488.48610000000002</v>
      </c>
      <c r="H3177" s="1">
        <v>1.8410550000000001E-6</v>
      </c>
      <c r="I3177">
        <v>275.56290000000001</v>
      </c>
      <c r="J3177">
        <v>-484.71809999999999</v>
      </c>
      <c r="K3177">
        <v>1.126379</v>
      </c>
      <c r="L3177">
        <v>283.42</v>
      </c>
      <c r="M3177">
        <v>-0.94816429999999996</v>
      </c>
      <c r="N3177">
        <v>-1.426885E-2</v>
      </c>
      <c r="O3177">
        <v>-0.31746049999999998</v>
      </c>
      <c r="P3177">
        <v>-0.76479969999999997</v>
      </c>
      <c r="Q3177">
        <v>-5.8409500000000003E-2</v>
      </c>
      <c r="R3177">
        <v>-0.6416153</v>
      </c>
      <c r="S3177">
        <v>-1.4524539999999999</v>
      </c>
      <c r="T3177">
        <v>-0.41695090000000001</v>
      </c>
      <c r="U3177">
        <v>-2.9324650000000001</v>
      </c>
      <c r="V3177">
        <v>-0.3650234</v>
      </c>
      <c r="W3177">
        <v>-4.959566E-2</v>
      </c>
      <c r="X3177">
        <v>0.92967639999999996</v>
      </c>
      <c r="Y3177">
        <v>-0.70489999999999997</v>
      </c>
      <c r="Z3177">
        <v>-1.9483130000000001E-2</v>
      </c>
      <c r="AA3177">
        <v>0.70903909999999903</v>
      </c>
      <c r="AB3177">
        <v>16</v>
      </c>
      <c r="AC3177">
        <v>-3.7680000000000202</v>
      </c>
      <c r="AD3177">
        <v>-1.126377158945</v>
      </c>
      <c r="AE3177">
        <v>-7.8571</v>
      </c>
      <c r="AF3177">
        <v>-6.1514827772656702</v>
      </c>
      <c r="AG3177">
        <v>-1.126377158945</v>
      </c>
      <c r="AH3177">
        <v>5.9679026171296004</v>
      </c>
      <c r="AI3177">
        <v>97.487023967517999</v>
      </c>
      <c r="AJ3177">
        <v>135.86782981665999</v>
      </c>
      <c r="AK3177">
        <v>8.6443812682419097</v>
      </c>
      <c r="AL3177">
        <v>92.842788198880299</v>
      </c>
      <c r="AM3177">
        <v>111.43670439704201</v>
      </c>
      <c r="AN3177">
        <v>1.0000000103776701</v>
      </c>
    </row>
    <row r="3178" spans="1:40" x14ac:dyDescent="0.25">
      <c r="A3178" t="str">
        <f>"20190303154200242"</f>
        <v>20190303154200242</v>
      </c>
      <c r="B3178" t="str">
        <f>"1551598920232736"</f>
        <v>1551598920232736</v>
      </c>
      <c r="C3178" t="s">
        <v>40</v>
      </c>
      <c r="D3178">
        <v>5.4726059999999999</v>
      </c>
      <c r="E3178">
        <v>0.33121679999999998</v>
      </c>
      <c r="F3178" t="s">
        <v>46</v>
      </c>
      <c r="G3178">
        <v>-488.56689999999998</v>
      </c>
      <c r="H3178" s="1">
        <v>1.8049530000000001E-6</v>
      </c>
      <c r="I3178">
        <v>275.42020000000002</v>
      </c>
      <c r="J3178">
        <v>-484.85890000000001</v>
      </c>
      <c r="K3178">
        <v>1.1264339999999999</v>
      </c>
      <c r="L3178">
        <v>283.3596</v>
      </c>
      <c r="M3178">
        <v>-0.94477920000000004</v>
      </c>
      <c r="N3178">
        <v>-1.4294380000000001E-2</v>
      </c>
      <c r="O3178">
        <v>-0.32739600000000002</v>
      </c>
      <c r="P3178">
        <v>-0.75771299999999997</v>
      </c>
      <c r="Q3178">
        <v>-5.8440220000000001E-2</v>
      </c>
      <c r="R3178">
        <v>-0.64996609999999999</v>
      </c>
      <c r="S3178">
        <v>-1.418121</v>
      </c>
      <c r="T3178">
        <v>-0.41501949999999999</v>
      </c>
      <c r="U3178">
        <v>-2.94754</v>
      </c>
      <c r="V3178">
        <v>-0.36545719999999998</v>
      </c>
      <c r="W3178">
        <v>-4.9649310000000002E-2</v>
      </c>
      <c r="X3178">
        <v>0.92950310000000003</v>
      </c>
      <c r="Y3178">
        <v>-0.70566739999999994</v>
      </c>
      <c r="Z3178">
        <v>-1.8232720000000001E-2</v>
      </c>
      <c r="AA3178">
        <v>0.70830850000000001</v>
      </c>
      <c r="AB3178">
        <v>16</v>
      </c>
      <c r="AC3178">
        <v>-3.70799999999997</v>
      </c>
      <c r="AD3178">
        <v>-1.126432195047</v>
      </c>
      <c r="AE3178">
        <v>-7.9393999999999698</v>
      </c>
      <c r="AF3178">
        <v>-6.1854228650598797</v>
      </c>
      <c r="AG3178">
        <v>-1.126432195047</v>
      </c>
      <c r="AH3178">
        <v>6.0039759250615603</v>
      </c>
      <c r="AI3178">
        <v>97.444892401957404</v>
      </c>
      <c r="AJ3178">
        <v>135.85282106869801</v>
      </c>
      <c r="AK3178">
        <v>8.6934476715721196</v>
      </c>
      <c r="AL3178">
        <v>92.845865893111394</v>
      </c>
      <c r="AM3178">
        <v>111.463501853843</v>
      </c>
      <c r="AN3178">
        <v>1.00000001596246</v>
      </c>
    </row>
    <row r="3179" spans="1:40" x14ac:dyDescent="0.25">
      <c r="A3179" t="str">
        <f>"20190303154200264"</f>
        <v>20190303154200264</v>
      </c>
      <c r="B3179" t="str">
        <f>"1551598920253234"</f>
        <v>1551598920253234</v>
      </c>
      <c r="C3179" t="s">
        <v>40</v>
      </c>
      <c r="D3179">
        <v>5.4821249999999999</v>
      </c>
      <c r="E3179">
        <v>0.33889540000000001</v>
      </c>
      <c r="F3179" t="s">
        <v>46</v>
      </c>
      <c r="G3179">
        <v>-488.66210000000001</v>
      </c>
      <c r="H3179" s="1">
        <v>1.764031E-6</v>
      </c>
      <c r="I3179">
        <v>275.24919999999997</v>
      </c>
      <c r="J3179">
        <v>-485</v>
      </c>
      <c r="K3179">
        <v>1.126463</v>
      </c>
      <c r="L3179">
        <v>283.29719999999998</v>
      </c>
      <c r="M3179">
        <v>-0.94122320000000004</v>
      </c>
      <c r="N3179">
        <v>-1.4317389999999999E-2</v>
      </c>
      <c r="O3179">
        <v>-0.3374818</v>
      </c>
      <c r="P3179">
        <v>-0.75040790000000002</v>
      </c>
      <c r="Q3179">
        <v>-5.7475499999999999E-2</v>
      </c>
      <c r="R3179">
        <v>-0.65847159999999905</v>
      </c>
      <c r="S3179">
        <v>-1.3881840000000001</v>
      </c>
      <c r="T3179">
        <v>-0.41115649999999998</v>
      </c>
      <c r="U3179">
        <v>-2.9603579999999998</v>
      </c>
      <c r="V3179">
        <v>-0.36598360000000002</v>
      </c>
      <c r="W3179">
        <v>-4.8696820000000002E-2</v>
      </c>
      <c r="X3179">
        <v>0.92934629999999996</v>
      </c>
      <c r="Y3179">
        <v>-0.70527510000000004</v>
      </c>
      <c r="Z3179">
        <v>-1.6807780000000001E-2</v>
      </c>
      <c r="AA3179">
        <v>0.70873450000000005</v>
      </c>
      <c r="AB3179">
        <v>16</v>
      </c>
      <c r="AC3179">
        <v>-3.6621000000000001</v>
      </c>
      <c r="AD3179">
        <v>-1.1264612359690001</v>
      </c>
      <c r="AE3179">
        <v>-8.048</v>
      </c>
      <c r="AF3179">
        <v>-6.2384688610588004</v>
      </c>
      <c r="AG3179">
        <v>-1.1264612359690001</v>
      </c>
      <c r="AH3179">
        <v>6.0650994594602698</v>
      </c>
      <c r="AI3179">
        <v>97.376844819599995</v>
      </c>
      <c r="AJ3179">
        <v>135.80730056412901</v>
      </c>
      <c r="AK3179">
        <v>8.7734166719520594</v>
      </c>
      <c r="AL3179">
        <v>92.791226290522005</v>
      </c>
      <c r="AM3179">
        <v>111.494895308601</v>
      </c>
      <c r="AN3179">
        <v>0.99999996053537998</v>
      </c>
    </row>
    <row r="3180" spans="1:40" x14ac:dyDescent="0.25">
      <c r="A3180" t="str">
        <f>"20190303154200287"</f>
        <v>20190303154200287</v>
      </c>
      <c r="B3180" t="str">
        <f>"1551598920282516"</f>
        <v>1551598920282516</v>
      </c>
      <c r="C3180" t="s">
        <v>40</v>
      </c>
      <c r="D3180">
        <v>5.4715480000000003</v>
      </c>
      <c r="E3180">
        <v>0.33910069999999998</v>
      </c>
      <c r="F3180" t="s">
        <v>46</v>
      </c>
      <c r="G3180">
        <v>-489.06950000000001</v>
      </c>
      <c r="H3180" s="1">
        <v>1.713172E-6</v>
      </c>
      <c r="I3180">
        <v>274.75529999999998</v>
      </c>
      <c r="J3180">
        <v>-485.14359999999999</v>
      </c>
      <c r="K3180">
        <v>1.126476</v>
      </c>
      <c r="L3180">
        <v>283.23169999999999</v>
      </c>
      <c r="M3180">
        <v>-0.93742939999999997</v>
      </c>
      <c r="N3180">
        <v>-1.4338119999999999E-2</v>
      </c>
      <c r="O3180">
        <v>-0.34788049999999998</v>
      </c>
      <c r="P3180">
        <v>-0.74274980000000002</v>
      </c>
      <c r="Q3180">
        <v>-5.7486130000000003E-2</v>
      </c>
      <c r="R3180">
        <v>-0.66709689999999999</v>
      </c>
      <c r="S3180">
        <v>-1.3963319999999999</v>
      </c>
      <c r="T3180">
        <v>-0.38651750000000001</v>
      </c>
      <c r="U3180">
        <v>-2.9309690000000002</v>
      </c>
      <c r="V3180">
        <v>-0.36643049999999999</v>
      </c>
      <c r="W3180">
        <v>-4.8710530000000002E-2</v>
      </c>
      <c r="X3180">
        <v>0.92916949999999998</v>
      </c>
      <c r="Y3180">
        <v>-0.69351799999999997</v>
      </c>
      <c r="Z3180">
        <v>-1.398721E-2</v>
      </c>
      <c r="AA3180">
        <v>0.72030349999999999</v>
      </c>
      <c r="AB3180">
        <v>16</v>
      </c>
      <c r="AC3180">
        <v>-3.9259000000000102</v>
      </c>
      <c r="AD3180">
        <v>-1.126474286828</v>
      </c>
      <c r="AE3180">
        <v>-8.4764000000000106</v>
      </c>
      <c r="AF3180">
        <v>-6.4866309358204601</v>
      </c>
      <c r="AG3180">
        <v>-1.126474286828</v>
      </c>
      <c r="AH3180">
        <v>6.5346830181006599</v>
      </c>
      <c r="AI3180">
        <v>96.975065109288906</v>
      </c>
      <c r="AJ3180">
        <v>134.78856442416901</v>
      </c>
      <c r="AK3180">
        <v>9.2761741770775803</v>
      </c>
      <c r="AL3180">
        <v>92.792012657180706</v>
      </c>
      <c r="AM3180">
        <v>111.522464442938</v>
      </c>
      <c r="AN3180">
        <v>0.99999999339668999</v>
      </c>
    </row>
    <row r="3181" spans="1:40" x14ac:dyDescent="0.25">
      <c r="A3181" t="str">
        <f>"20190303154200309"</f>
        <v>20190303154200309</v>
      </c>
      <c r="B3181" t="str">
        <f>"1551598920303012"</f>
        <v>1551598920303012</v>
      </c>
      <c r="C3181" t="s">
        <v>40</v>
      </c>
      <c r="D3181">
        <v>5.443905</v>
      </c>
      <c r="E3181">
        <v>0.34002259999999901</v>
      </c>
      <c r="F3181" t="s">
        <v>46</v>
      </c>
      <c r="G3181">
        <v>-489.08760000000001</v>
      </c>
      <c r="H3181" s="1">
        <v>1.707432E-6</v>
      </c>
      <c r="I3181">
        <v>274.71350000000001</v>
      </c>
      <c r="J3181">
        <v>-485.28680000000003</v>
      </c>
      <c r="K3181">
        <v>1.1264879999999999</v>
      </c>
      <c r="L3181">
        <v>283.16430000000003</v>
      </c>
      <c r="M3181">
        <v>-0.93347259999999999</v>
      </c>
      <c r="N3181">
        <v>-1.4356900000000001E-2</v>
      </c>
      <c r="O3181">
        <v>-0.35836190000000001</v>
      </c>
      <c r="P3181">
        <v>-0.73596229999999996</v>
      </c>
      <c r="Q3181">
        <v>-5.748644E-2</v>
      </c>
      <c r="R3181">
        <v>-0.67457800000000001</v>
      </c>
      <c r="S3181">
        <v>-1.3636779999999999</v>
      </c>
      <c r="T3181">
        <v>-0.38949080000000003</v>
      </c>
      <c r="U3181">
        <v>-2.9452509999999998</v>
      </c>
      <c r="V3181">
        <v>-0.3654211</v>
      </c>
      <c r="W3181">
        <v>-4.8681049999999997E-2</v>
      </c>
      <c r="X3181">
        <v>0.92956850000000002</v>
      </c>
      <c r="Y3181">
        <v>-0.69337749999999998</v>
      </c>
      <c r="Z3181">
        <v>-1.269545E-2</v>
      </c>
      <c r="AA3181">
        <v>0.72046269999999901</v>
      </c>
      <c r="AB3181">
        <v>16</v>
      </c>
      <c r="AC3181">
        <v>-3.8007999999999802</v>
      </c>
      <c r="AD3181">
        <v>-1.1264862925679999</v>
      </c>
      <c r="AE3181">
        <v>-8.4508000000000099</v>
      </c>
      <c r="AF3181">
        <v>-6.4321378278157804</v>
      </c>
      <c r="AG3181">
        <v>-1.1264862925679999</v>
      </c>
      <c r="AH3181">
        <v>6.4812758005992901</v>
      </c>
      <c r="AI3181">
        <v>97.032836462196499</v>
      </c>
      <c r="AJ3181">
        <v>134.78197981207899</v>
      </c>
      <c r="AK3181">
        <v>9.2004513153864504</v>
      </c>
      <c r="AL3181">
        <v>92.790321523414306</v>
      </c>
      <c r="AM3181">
        <v>111.46020189225899</v>
      </c>
      <c r="AN3181">
        <v>1.00000001057328</v>
      </c>
    </row>
    <row r="3182" spans="1:40" x14ac:dyDescent="0.25">
      <c r="A3182" t="str">
        <f>"20190303154200331"</f>
        <v>20190303154200331</v>
      </c>
      <c r="B3182" t="str">
        <f>"1551598920322530"</f>
        <v>1551598920322530</v>
      </c>
      <c r="C3182" t="s">
        <v>40</v>
      </c>
      <c r="D3182">
        <v>5.4639350000000002</v>
      </c>
      <c r="E3182">
        <v>0.34074209999999999</v>
      </c>
      <c r="F3182" t="s">
        <v>46</v>
      </c>
      <c r="G3182">
        <v>-489.13690000000003</v>
      </c>
      <c r="H3182" s="1">
        <v>1.7042309999999999E-6</v>
      </c>
      <c r="I3182">
        <v>274.6705</v>
      </c>
      <c r="J3182">
        <v>-485.42520000000002</v>
      </c>
      <c r="K3182">
        <v>1.1264829999999999</v>
      </c>
      <c r="L3182">
        <v>283.09730000000002</v>
      </c>
      <c r="M3182">
        <v>-0.92948759999999997</v>
      </c>
      <c r="N3182">
        <v>-1.437329E-2</v>
      </c>
      <c r="O3182">
        <v>-0.36857319999999999</v>
      </c>
      <c r="P3182">
        <v>-0.72950039999999905</v>
      </c>
      <c r="Q3182">
        <v>-5.7656989999999998E-2</v>
      </c>
      <c r="R3182">
        <v>-0.68154599999999999</v>
      </c>
      <c r="S3182">
        <v>-1.3387150000000001</v>
      </c>
      <c r="T3182">
        <v>-0.39168979999999998</v>
      </c>
      <c r="U3182">
        <v>-2.9533689999999999</v>
      </c>
      <c r="V3182">
        <v>-0.36407489999999998</v>
      </c>
      <c r="W3182">
        <v>-4.8810819999999998E-2</v>
      </c>
      <c r="X3182">
        <v>0.93008979999999997</v>
      </c>
      <c r="Y3182">
        <v>-0.69131899999999902</v>
      </c>
      <c r="Z3182">
        <v>-1.121193E-2</v>
      </c>
      <c r="AA3182">
        <v>0.72246259999999995</v>
      </c>
      <c r="AB3182">
        <v>16</v>
      </c>
      <c r="AC3182">
        <v>-3.7117</v>
      </c>
      <c r="AD3182">
        <v>-1.12648129576899</v>
      </c>
      <c r="AE3182">
        <v>-8.4268000000000107</v>
      </c>
      <c r="AF3182">
        <v>-6.3699067375830296</v>
      </c>
      <c r="AG3182">
        <v>-1.12648129576899</v>
      </c>
      <c r="AH3182">
        <v>6.45986857719602</v>
      </c>
      <c r="AI3182">
        <v>97.078067911453104</v>
      </c>
      <c r="AJ3182">
        <v>134.59825101171799</v>
      </c>
      <c r="AK3182">
        <v>9.1419130377546001</v>
      </c>
      <c r="AL3182">
        <v>92.797765584717595</v>
      </c>
      <c r="AM3182">
        <v>111.377391506523</v>
      </c>
      <c r="AN3182">
        <v>1.0000000325115601</v>
      </c>
    </row>
    <row r="3183" spans="1:40" x14ac:dyDescent="0.25">
      <c r="A3183" t="str">
        <f>"20190303154200353"</f>
        <v>20190303154200353</v>
      </c>
      <c r="B3183" t="str">
        <f>"1551598920343024"</f>
        <v>1551598920343024</v>
      </c>
      <c r="C3183" t="s">
        <v>40</v>
      </c>
      <c r="D3183">
        <v>5.4403899999999998</v>
      </c>
      <c r="E3183">
        <v>0.34106530000000002</v>
      </c>
      <c r="F3183" t="s">
        <v>46</v>
      </c>
      <c r="G3183">
        <v>-489.21190000000001</v>
      </c>
      <c r="H3183" s="1">
        <v>1.6837409999999999E-6</v>
      </c>
      <c r="I3183">
        <v>274.56659999999999</v>
      </c>
      <c r="J3183">
        <v>-485.56700000000001</v>
      </c>
      <c r="K3183">
        <v>1.1264700000000001</v>
      </c>
      <c r="L3183">
        <v>283.0265</v>
      </c>
      <c r="M3183">
        <v>-0.92524240000000002</v>
      </c>
      <c r="N3183">
        <v>-1.4386960000000001E-2</v>
      </c>
      <c r="O3183">
        <v>-0.37910369999999999</v>
      </c>
      <c r="P3183">
        <v>-0.72306759999999903</v>
      </c>
      <c r="Q3183">
        <v>-5.5750630000000002E-2</v>
      </c>
      <c r="R3183">
        <v>-0.68852409999999997</v>
      </c>
      <c r="S3183">
        <v>-1.3146059999999999</v>
      </c>
      <c r="T3183">
        <v>-0.39106730000000001</v>
      </c>
      <c r="U3183">
        <v>-2.9615170000000002</v>
      </c>
      <c r="V3183">
        <v>-0.36241950000000001</v>
      </c>
      <c r="W3183">
        <v>-4.6850969999999999E-2</v>
      </c>
      <c r="X3183">
        <v>0.93083680000000002</v>
      </c>
      <c r="Y3183">
        <v>-0.68885390000000002</v>
      </c>
      <c r="Z3183">
        <v>-9.6277069999999992E-3</v>
      </c>
      <c r="AA3183">
        <v>0.72483629999999999</v>
      </c>
      <c r="AB3183">
        <v>16</v>
      </c>
      <c r="AC3183">
        <v>-3.6449000000000602</v>
      </c>
      <c r="AD3183">
        <v>-1.1264683162589999</v>
      </c>
      <c r="AE3183">
        <v>-8.4598999999999993</v>
      </c>
      <c r="AF3183">
        <v>-6.3513513966190498</v>
      </c>
      <c r="AG3183">
        <v>-1.1264683162589999</v>
      </c>
      <c r="AH3183">
        <v>6.4833240364659499</v>
      </c>
      <c r="AI3183">
        <v>97.0751142380728</v>
      </c>
      <c r="AJ3183">
        <v>134.410876508776</v>
      </c>
      <c r="AK3183">
        <v>9.1456047363029693</v>
      </c>
      <c r="AL3183">
        <v>92.685345779060199</v>
      </c>
      <c r="AM3183">
        <v>111.273354322801</v>
      </c>
      <c r="AN3183">
        <v>1.0000000278022101</v>
      </c>
    </row>
    <row r="3184" spans="1:40" x14ac:dyDescent="0.25">
      <c r="A3184" t="str">
        <f>"20190303154200377"</f>
        <v>20190303154200377</v>
      </c>
      <c r="B3184" t="str">
        <f>"1551598920372308"</f>
        <v>1551598920372308</v>
      </c>
      <c r="C3184" t="s">
        <v>40</v>
      </c>
      <c r="D3184">
        <v>5.4808579999999996</v>
      </c>
      <c r="E3184">
        <v>0.34479340000000003</v>
      </c>
      <c r="F3184" t="s">
        <v>46</v>
      </c>
      <c r="G3184">
        <v>-489.31369999999998</v>
      </c>
      <c r="H3184" s="1">
        <v>1.6287749999999999E-6</v>
      </c>
      <c r="I3184">
        <v>274.38549999999998</v>
      </c>
      <c r="J3184">
        <v>-485.71030000000002</v>
      </c>
      <c r="K3184">
        <v>1.1264459999999901</v>
      </c>
      <c r="L3184">
        <v>282.95280000000002</v>
      </c>
      <c r="M3184">
        <v>-0.92078850000000001</v>
      </c>
      <c r="N3184">
        <v>-1.439611E-2</v>
      </c>
      <c r="O3184">
        <v>-0.389797</v>
      </c>
      <c r="P3184">
        <v>-0.71521179999999995</v>
      </c>
      <c r="Q3184">
        <v>-5.3935629999999998E-2</v>
      </c>
      <c r="R3184">
        <v>-0.69682369999999905</v>
      </c>
      <c r="S3184">
        <v>-1.2887879999999901</v>
      </c>
      <c r="T3184">
        <v>-0.38747749999999997</v>
      </c>
      <c r="U3184">
        <v>-2.9722900000000001</v>
      </c>
      <c r="V3184">
        <v>-0.36235040000000002</v>
      </c>
      <c r="W3184">
        <v>-4.5004959999999997E-2</v>
      </c>
      <c r="X3184">
        <v>0.93095479999999997</v>
      </c>
      <c r="Y3184">
        <v>-0.68684319999999999</v>
      </c>
      <c r="Z3184">
        <v>-8.0862380000000008E-3</v>
      </c>
      <c r="AA3184">
        <v>0.72676070000000004</v>
      </c>
      <c r="AB3184">
        <v>16</v>
      </c>
      <c r="AC3184">
        <v>-3.6033999999999602</v>
      </c>
      <c r="AD3184">
        <v>-1.1264443712250001</v>
      </c>
      <c r="AE3184">
        <v>-8.5673000000000403</v>
      </c>
      <c r="AF3184">
        <v>-6.3908723113298702</v>
      </c>
      <c r="AG3184">
        <v>-1.1264443712250001</v>
      </c>
      <c r="AH3184">
        <v>6.5617801044734199</v>
      </c>
      <c r="AI3184">
        <v>97.010931278729501</v>
      </c>
      <c r="AJ3184">
        <v>134.24403692088299</v>
      </c>
      <c r="AK3184">
        <v>9.2287097668444709</v>
      </c>
      <c r="AL3184">
        <v>92.579465399866507</v>
      </c>
      <c r="AM3184">
        <v>111.26720575394501</v>
      </c>
      <c r="AN3184">
        <v>1.0000000492238901</v>
      </c>
    </row>
    <row r="3185" spans="1:40" x14ac:dyDescent="0.25">
      <c r="A3185" t="str">
        <f>"20190303154200398"</f>
        <v>20190303154200398</v>
      </c>
      <c r="B3185" t="str">
        <f>"1551598920392804"</f>
        <v>1551598920392804</v>
      </c>
      <c r="C3185" t="s">
        <v>40</v>
      </c>
      <c r="D3185">
        <v>5.5308099999999998</v>
      </c>
      <c r="E3185">
        <v>0.35085139999999998</v>
      </c>
      <c r="F3185" t="s">
        <v>46</v>
      </c>
      <c r="G3185">
        <v>-489.45319999999998</v>
      </c>
      <c r="H3185" s="1">
        <v>1.596235E-6</v>
      </c>
      <c r="I3185">
        <v>274.25850000000003</v>
      </c>
      <c r="J3185">
        <v>-485.84800000000001</v>
      </c>
      <c r="K3185">
        <v>1.126409</v>
      </c>
      <c r="L3185">
        <v>282.87990000000002</v>
      </c>
      <c r="M3185">
        <v>-0.91636300000000004</v>
      </c>
      <c r="N3185">
        <v>-1.4400110000000001E-2</v>
      </c>
      <c r="O3185">
        <v>-0.40008959999999999</v>
      </c>
      <c r="P3185">
        <v>-0.70778379999999996</v>
      </c>
      <c r="Q3185">
        <v>-5.4962080000000003E-2</v>
      </c>
      <c r="R3185">
        <v>-0.70428800000000003</v>
      </c>
      <c r="S3185">
        <v>-1.2765500000000001</v>
      </c>
      <c r="T3185">
        <v>-0.38418150000000001</v>
      </c>
      <c r="U3185">
        <v>-2.965271</v>
      </c>
      <c r="V3185">
        <v>-0.36170859999999999</v>
      </c>
      <c r="W3185">
        <v>-4.5986699999999998E-2</v>
      </c>
      <c r="X3185">
        <v>0.93115630000000005</v>
      </c>
      <c r="Y3185">
        <v>-0.68072100000000002</v>
      </c>
      <c r="Z3185">
        <v>-6.2024069999999897E-3</v>
      </c>
      <c r="AA3185">
        <v>0.73251659999999996</v>
      </c>
      <c r="AB3185">
        <v>16</v>
      </c>
      <c r="AC3185">
        <v>-3.60519999999996</v>
      </c>
      <c r="AD3185">
        <v>-1.126407403765</v>
      </c>
      <c r="AE3185">
        <v>-8.6213999999999906</v>
      </c>
      <c r="AF3185">
        <v>-6.3661023837248996</v>
      </c>
      <c r="AG3185">
        <v>-1.126407403765</v>
      </c>
      <c r="AH3185">
        <v>6.6569820711603596</v>
      </c>
      <c r="AI3185">
        <v>96.9720414154189</v>
      </c>
      <c r="AJ3185">
        <v>133.720471495845</v>
      </c>
      <c r="AK3185">
        <v>9.2796262583724207</v>
      </c>
      <c r="AL3185">
        <v>92.635773468241396</v>
      </c>
      <c r="AM3185">
        <v>111.228709216821</v>
      </c>
      <c r="AN3185">
        <v>0.99999997146026898</v>
      </c>
    </row>
    <row r="3186" spans="1:40" x14ac:dyDescent="0.25">
      <c r="A3186" t="str">
        <f>"20190303154200421"</f>
        <v>20190303154200421</v>
      </c>
      <c r="B3186" t="str">
        <f>"1551598920413177"</f>
        <v>1551598920413177</v>
      </c>
      <c r="C3186" t="s">
        <v>40</v>
      </c>
      <c r="D3186">
        <v>5.5254989999999999</v>
      </c>
      <c r="E3186">
        <v>0.35482269999999999</v>
      </c>
      <c r="F3186" t="s">
        <v>46</v>
      </c>
      <c r="G3186">
        <v>-489.6789</v>
      </c>
      <c r="H3186" s="1">
        <v>1.5457699999999999E-6</v>
      </c>
      <c r="I3186">
        <v>274.0591</v>
      </c>
      <c r="J3186">
        <v>-485.98880000000003</v>
      </c>
      <c r="K3186">
        <v>1.1263510000000001</v>
      </c>
      <c r="L3186">
        <v>282.80329999999998</v>
      </c>
      <c r="M3186">
        <v>-0.91169109999999998</v>
      </c>
      <c r="N3186">
        <v>-1.440055E-2</v>
      </c>
      <c r="O3186">
        <v>-0.41062399999999999</v>
      </c>
      <c r="P3186">
        <v>-0.70139580000000001</v>
      </c>
      <c r="Q3186">
        <v>-5.8345719999999997E-2</v>
      </c>
      <c r="R3186">
        <v>-0.71038009999999996</v>
      </c>
      <c r="S3186">
        <v>-1.2789919999999999</v>
      </c>
      <c r="T3186">
        <v>-0.37606689999999998</v>
      </c>
      <c r="U3186">
        <v>-2.9449459999999998</v>
      </c>
      <c r="V3186">
        <v>-0.35910340000000002</v>
      </c>
      <c r="W3186">
        <v>-4.9286749999999997E-2</v>
      </c>
      <c r="X3186">
        <v>0.93199549999999998</v>
      </c>
      <c r="Y3186">
        <v>-0.67009370000000001</v>
      </c>
      <c r="Z3186">
        <v>-3.9632879999999997E-3</v>
      </c>
      <c r="AA3186">
        <v>0.74226599999999998</v>
      </c>
      <c r="AB3186">
        <v>16</v>
      </c>
      <c r="AC3186">
        <v>-3.69009999999997</v>
      </c>
      <c r="AD3186">
        <v>-1.1263494542299901</v>
      </c>
      <c r="AE3186">
        <v>-8.7441999999999709</v>
      </c>
      <c r="AF3186">
        <v>-6.3677510862115101</v>
      </c>
      <c r="AG3186">
        <v>-1.1263494542299901</v>
      </c>
      <c r="AH3186">
        <v>6.8589289399103501</v>
      </c>
      <c r="AI3186">
        <v>96.862415628367401</v>
      </c>
      <c r="AJ3186">
        <v>132.87327642550599</v>
      </c>
      <c r="AK3186">
        <v>9.4266549311901606</v>
      </c>
      <c r="AL3186">
        <v>92.825067249701604</v>
      </c>
      <c r="AM3186">
        <v>111.071970139874</v>
      </c>
      <c r="AN3186">
        <v>1.0000000238186799</v>
      </c>
    </row>
    <row r="3187" spans="1:40" x14ac:dyDescent="0.25">
      <c r="A3187" t="str">
        <f>"20190303154200443"</f>
        <v>20190303154200443</v>
      </c>
      <c r="B3187" t="str">
        <f>"1551598920432697"</f>
        <v>1551598920432697</v>
      </c>
      <c r="C3187" t="s">
        <v>40</v>
      </c>
      <c r="D3187">
        <v>5.5259720000000003</v>
      </c>
      <c r="E3187">
        <v>0.35794819999999999</v>
      </c>
      <c r="F3187" t="s">
        <v>46</v>
      </c>
      <c r="G3187">
        <v>-489.82850000000002</v>
      </c>
      <c r="H3187" s="1">
        <v>1.5235750000000001E-6</v>
      </c>
      <c r="I3187">
        <v>273.9588</v>
      </c>
      <c r="J3187">
        <v>-486.1225</v>
      </c>
      <c r="K3187">
        <v>1.1262970000000001</v>
      </c>
      <c r="L3187">
        <v>282.72859999999997</v>
      </c>
      <c r="M3187">
        <v>-0.90711869999999994</v>
      </c>
      <c r="N3187">
        <v>-1.4398380000000001E-2</v>
      </c>
      <c r="O3187">
        <v>-0.42062870000000002</v>
      </c>
      <c r="P3187">
        <v>-0.69541600000000003</v>
      </c>
      <c r="Q3187">
        <v>-5.9987020000000002E-2</v>
      </c>
      <c r="R3187">
        <v>-0.71609929999999999</v>
      </c>
      <c r="S3187">
        <v>-1.2739560000000001</v>
      </c>
      <c r="T3187">
        <v>-0.37370599999999998</v>
      </c>
      <c r="U3187">
        <v>-2.9344790000000001</v>
      </c>
      <c r="V3187">
        <v>-0.35652729999999999</v>
      </c>
      <c r="W3187">
        <v>-5.0843920000000001E-2</v>
      </c>
      <c r="X3187">
        <v>0.93290039999999996</v>
      </c>
      <c r="Y3187">
        <v>-0.66213239999999995</v>
      </c>
      <c r="Z3187">
        <v>-2.0015200000000001E-3</v>
      </c>
      <c r="AA3187">
        <v>0.74938419999999994</v>
      </c>
      <c r="AB3187">
        <v>16</v>
      </c>
      <c r="AC3187">
        <v>-3.7060000000000102</v>
      </c>
      <c r="AD3187">
        <v>-1.1262954764249999</v>
      </c>
      <c r="AE3187">
        <v>-8.7697999999999698</v>
      </c>
      <c r="AF3187">
        <v>-6.30877230298369</v>
      </c>
      <c r="AG3187">
        <v>-1.1262954764249999</v>
      </c>
      <c r="AH3187">
        <v>6.9540218069961899</v>
      </c>
      <c r="AI3187">
        <v>96.840240893996096</v>
      </c>
      <c r="AJ3187">
        <v>132.21469353721901</v>
      </c>
      <c r="AK3187">
        <v>9.4566150795772703</v>
      </c>
      <c r="AL3187">
        <v>92.914398656282899</v>
      </c>
      <c r="AM3187">
        <v>110.91539676184399</v>
      </c>
      <c r="AN3187">
        <v>0.999999988083208</v>
      </c>
    </row>
    <row r="3188" spans="1:40" x14ac:dyDescent="0.25">
      <c r="A3188" t="str">
        <f>"20190303154200465"</f>
        <v>20190303154200465</v>
      </c>
      <c r="B3188" t="str">
        <f>"1551598920462954"</f>
        <v>1551598920462954</v>
      </c>
      <c r="C3188" t="s">
        <v>40</v>
      </c>
      <c r="D3188">
        <v>5.5734190000000003</v>
      </c>
      <c r="E3188">
        <v>0.3614443</v>
      </c>
      <c r="F3188" t="s">
        <v>46</v>
      </c>
      <c r="G3188">
        <v>-490.02019999999999</v>
      </c>
      <c r="H3188" s="1">
        <v>1.4513139999999999E-6</v>
      </c>
      <c r="I3188">
        <v>273.72190000000001</v>
      </c>
      <c r="J3188">
        <v>-486.25580000000002</v>
      </c>
      <c r="K3188">
        <v>1.1262490000000001</v>
      </c>
      <c r="L3188">
        <v>282.65230000000003</v>
      </c>
      <c r="M3188">
        <v>-0.90243139999999999</v>
      </c>
      <c r="N3188">
        <v>-1.4394260000000001E-2</v>
      </c>
      <c r="O3188">
        <v>-0.43059330000000001</v>
      </c>
      <c r="P3188">
        <v>-0.68885039999999997</v>
      </c>
      <c r="Q3188">
        <v>-6.0009390000000003E-2</v>
      </c>
      <c r="R3188">
        <v>-0.72241549999999999</v>
      </c>
      <c r="S3188">
        <v>-1.2671809999999999</v>
      </c>
      <c r="T3188">
        <v>-0.36616559999999998</v>
      </c>
      <c r="U3188">
        <v>-2.928131</v>
      </c>
      <c r="V3188">
        <v>-0.35477439999999999</v>
      </c>
      <c r="W3188">
        <v>-5.0797380000000003E-2</v>
      </c>
      <c r="X3188">
        <v>0.93357100000000004</v>
      </c>
      <c r="Y3188">
        <v>-0.65489919999999902</v>
      </c>
      <c r="Z3188">
        <v>-2.9146670000000001E-4</v>
      </c>
      <c r="AA3188">
        <v>0.7557161</v>
      </c>
      <c r="AB3188">
        <v>16</v>
      </c>
      <c r="AC3188">
        <v>-3.7643999999999598</v>
      </c>
      <c r="AD3188">
        <v>-1.126247548686</v>
      </c>
      <c r="AE3188">
        <v>-8.9304000000000094</v>
      </c>
      <c r="AF3188">
        <v>-6.3530163928101997</v>
      </c>
      <c r="AG3188">
        <v>-1.126247548686</v>
      </c>
      <c r="AH3188">
        <v>7.1467158891306504</v>
      </c>
      <c r="AI3188">
        <v>96.717393073783896</v>
      </c>
      <c r="AJ3188">
        <v>131.63524133390899</v>
      </c>
      <c r="AK3188">
        <v>9.6283331282309099</v>
      </c>
      <c r="AL3188">
        <v>92.911728537242595</v>
      </c>
      <c r="AM3188">
        <v>110.807725219223</v>
      </c>
      <c r="AN3188">
        <v>1.00000003037561</v>
      </c>
    </row>
    <row r="3189" spans="1:40" x14ac:dyDescent="0.25">
      <c r="A3189" t="str">
        <f>"20190303154200488"</f>
        <v>20190303154200488</v>
      </c>
      <c r="B3189" t="str">
        <f>"1551598920482476"</f>
        <v>1551598920482476</v>
      </c>
      <c r="C3189" t="s">
        <v>40</v>
      </c>
      <c r="D3189">
        <v>5.5495619999999999</v>
      </c>
      <c r="E3189">
        <v>0.36315760000000002</v>
      </c>
      <c r="F3189" t="s">
        <v>46</v>
      </c>
      <c r="G3189">
        <v>-490.20359999999999</v>
      </c>
      <c r="H3189" s="1">
        <v>1.375322E-6</v>
      </c>
      <c r="I3189">
        <v>273.50700000000001</v>
      </c>
      <c r="J3189">
        <v>-486.39330000000001</v>
      </c>
      <c r="K3189">
        <v>1.1262110000000001</v>
      </c>
      <c r="L3189">
        <v>282.57139999999998</v>
      </c>
      <c r="M3189">
        <v>-0.89745520000000001</v>
      </c>
      <c r="N3189">
        <v>-1.438856E-2</v>
      </c>
      <c r="O3189">
        <v>-0.44087090000000001</v>
      </c>
      <c r="P3189">
        <v>-0.68118849999999997</v>
      </c>
      <c r="Q3189">
        <v>-5.8485990000000002E-2</v>
      </c>
      <c r="R3189">
        <v>-0.72976869999999905</v>
      </c>
      <c r="S3189">
        <v>-1.2607729999999999</v>
      </c>
      <c r="T3189">
        <v>-0.35967549999999998</v>
      </c>
      <c r="U3189">
        <v>-2.9206240000000001</v>
      </c>
      <c r="V3189">
        <v>-0.35409970000000002</v>
      </c>
      <c r="W3189">
        <v>-4.9225770000000002E-2</v>
      </c>
      <c r="X3189">
        <v>0.9339113</v>
      </c>
      <c r="Y3189">
        <v>-0.64709280000000002</v>
      </c>
      <c r="Z3189">
        <v>1.4692170000000001E-3</v>
      </c>
      <c r="AA3189">
        <v>0.76240989999999997</v>
      </c>
      <c r="AB3189">
        <v>16</v>
      </c>
      <c r="AC3189">
        <v>-3.8102999999999798</v>
      </c>
      <c r="AD3189">
        <v>-1.126209624678</v>
      </c>
      <c r="AE3189">
        <v>-9.0643999999999707</v>
      </c>
      <c r="AF3189">
        <v>-6.3721162636624502</v>
      </c>
      <c r="AG3189">
        <v>-1.126209624678</v>
      </c>
      <c r="AH3189">
        <v>7.3205348229241203</v>
      </c>
      <c r="AI3189">
        <v>96.618994360384093</v>
      </c>
      <c r="AJ3189">
        <v>131.03774840378799</v>
      </c>
      <c r="AK3189">
        <v>9.7704884161434595</v>
      </c>
      <c r="AL3189">
        <v>92.821569046860702</v>
      </c>
      <c r="AM3189">
        <v>110.764610565358</v>
      </c>
      <c r="AN3189">
        <v>1.00000004511993</v>
      </c>
    </row>
    <row r="3190" spans="1:40" x14ac:dyDescent="0.25">
      <c r="A3190" t="str">
        <f>"20190303154200510"</f>
        <v>20190303154200510</v>
      </c>
      <c r="B3190" t="str">
        <f>"1551598920502972"</f>
        <v>1551598920502972</v>
      </c>
      <c r="C3190" t="s">
        <v>40</v>
      </c>
      <c r="D3190">
        <v>5.5587519999999904</v>
      </c>
      <c r="E3190">
        <v>0.36420520000000001</v>
      </c>
      <c r="F3190" t="s">
        <v>46</v>
      </c>
      <c r="G3190">
        <v>-490.3116</v>
      </c>
      <c r="H3190" s="1">
        <v>1.3114949999999999E-6</v>
      </c>
      <c r="I3190">
        <v>273.32639999999998</v>
      </c>
      <c r="J3190">
        <v>-486.52330000000001</v>
      </c>
      <c r="K3190">
        <v>1.1261810000000001</v>
      </c>
      <c r="L3190">
        <v>282.49310000000003</v>
      </c>
      <c r="M3190">
        <v>-0.89262619999999904</v>
      </c>
      <c r="N3190">
        <v>-1.4381959999999999E-2</v>
      </c>
      <c r="O3190">
        <v>-0.45056869999999999</v>
      </c>
      <c r="P3190">
        <v>-0.67408480000000004</v>
      </c>
      <c r="Q3190">
        <v>-5.8570320000000002E-2</v>
      </c>
      <c r="R3190">
        <v>-0.73632869999999995</v>
      </c>
      <c r="S3190">
        <v>-1.239716</v>
      </c>
      <c r="T3190">
        <v>-0.35632320000000001</v>
      </c>
      <c r="U3190">
        <v>-2.925049</v>
      </c>
      <c r="V3190">
        <v>-0.35303010000000001</v>
      </c>
      <c r="W3190">
        <v>-4.9263889999999998E-2</v>
      </c>
      <c r="X3190">
        <v>0.93431410000000004</v>
      </c>
      <c r="Y3190">
        <v>-0.64398630000000001</v>
      </c>
      <c r="Z3190">
        <v>2.8036530000000001E-3</v>
      </c>
      <c r="AA3190">
        <v>0.76503189999999999</v>
      </c>
      <c r="AB3190">
        <v>16</v>
      </c>
      <c r="AC3190">
        <v>-3.7882999999999898</v>
      </c>
      <c r="AD3190">
        <v>-1.1261796885049999</v>
      </c>
      <c r="AE3190">
        <v>-9.1667000000000396</v>
      </c>
      <c r="AF3190">
        <v>-6.3937884577003103</v>
      </c>
      <c r="AG3190">
        <v>-1.1261796885049999</v>
      </c>
      <c r="AH3190">
        <v>7.4169221850226803</v>
      </c>
      <c r="AI3190">
        <v>96.560500744664793</v>
      </c>
      <c r="AJ3190">
        <v>130.763117819922</v>
      </c>
      <c r="AK3190">
        <v>9.8569542066149705</v>
      </c>
      <c r="AL3190">
        <v>92.823755914502101</v>
      </c>
      <c r="AM3190">
        <v>110.699045967544</v>
      </c>
      <c r="AN3190">
        <v>1.0000000099113699</v>
      </c>
    </row>
    <row r="3191" spans="1:40" x14ac:dyDescent="0.25">
      <c r="A3191" t="str">
        <f>"20190303154200532"</f>
        <v>20190303154200532</v>
      </c>
      <c r="B3191" t="str">
        <f>"1551598920522994"</f>
        <v>1551598920522994</v>
      </c>
      <c r="C3191" t="s">
        <v>40</v>
      </c>
      <c r="D3191">
        <v>5.5825129999999996</v>
      </c>
      <c r="E3191">
        <v>0.36545359999999899</v>
      </c>
      <c r="F3191" t="s">
        <v>46</v>
      </c>
      <c r="G3191">
        <v>-490.38659999999999</v>
      </c>
      <c r="H3191" s="1">
        <v>1.264325E-6</v>
      </c>
      <c r="I3191">
        <v>273.19290000000001</v>
      </c>
      <c r="J3191">
        <v>-486.65600000000001</v>
      </c>
      <c r="K3191">
        <v>1.126139</v>
      </c>
      <c r="L3191">
        <v>282.41120000000001</v>
      </c>
      <c r="M3191">
        <v>-0.88756420000000003</v>
      </c>
      <c r="N3191">
        <v>-1.4374319999999999E-2</v>
      </c>
      <c r="O3191">
        <v>-0.46045970000000003</v>
      </c>
      <c r="P3191">
        <v>-0.66707609999999995</v>
      </c>
      <c r="Q3191">
        <v>-5.9229820000000002E-2</v>
      </c>
      <c r="R3191">
        <v>-0.74263169999999901</v>
      </c>
      <c r="S3191">
        <v>-1.217651</v>
      </c>
      <c r="T3191">
        <v>-0.3549544</v>
      </c>
      <c r="U3191">
        <v>-2.9312740000000002</v>
      </c>
      <c r="V3191">
        <v>-0.35145389999999999</v>
      </c>
      <c r="W3191">
        <v>-4.9872340000000001E-2</v>
      </c>
      <c r="X3191">
        <v>0.93487589999999998</v>
      </c>
      <c r="Y3191">
        <v>-0.64104150000000004</v>
      </c>
      <c r="Z3191">
        <v>4.205182E-3</v>
      </c>
      <c r="AA3191">
        <v>0.76749469999999997</v>
      </c>
      <c r="AB3191">
        <v>16</v>
      </c>
      <c r="AC3191">
        <v>-3.7305999999999799</v>
      </c>
      <c r="AD3191">
        <v>-1.126137735675</v>
      </c>
      <c r="AE3191">
        <v>-9.2182999999999993</v>
      </c>
      <c r="AF3191">
        <v>-6.3828586697553398</v>
      </c>
      <c r="AG3191">
        <v>-1.126137735675</v>
      </c>
      <c r="AH3191">
        <v>7.4609075390147099</v>
      </c>
      <c r="AI3191">
        <v>96.542873038976495</v>
      </c>
      <c r="AJ3191">
        <v>130.54721987782699</v>
      </c>
      <c r="AK3191">
        <v>9.8830264748966794</v>
      </c>
      <c r="AL3191">
        <v>92.858660405814803</v>
      </c>
      <c r="AM3191">
        <v>110.60306895738501</v>
      </c>
      <c r="AN3191">
        <v>1.0000000212615401</v>
      </c>
    </row>
    <row r="3192" spans="1:40" x14ac:dyDescent="0.25">
      <c r="A3192" t="str">
        <f>"20190303154200555"</f>
        <v>20190303154200555</v>
      </c>
      <c r="B3192" t="str">
        <f>"1551598920553251"</f>
        <v>1551598920553251</v>
      </c>
      <c r="C3192" t="s">
        <v>40</v>
      </c>
      <c r="D3192">
        <v>5.5551510000000004</v>
      </c>
      <c r="E3192">
        <v>0.36697109999999999</v>
      </c>
      <c r="F3192" t="s">
        <v>42</v>
      </c>
      <c r="G3192">
        <v>-487.00909999999999</v>
      </c>
      <c r="H3192">
        <v>1.0213920000000001</v>
      </c>
      <c r="I3192">
        <v>281.54570000000001</v>
      </c>
      <c r="J3192">
        <v>-486.78649999999999</v>
      </c>
      <c r="K3192">
        <v>1.126096</v>
      </c>
      <c r="L3192">
        <v>282.32870000000003</v>
      </c>
      <c r="M3192">
        <v>-0.88245689999999999</v>
      </c>
      <c r="N3192">
        <v>-1.4365589999999999E-2</v>
      </c>
      <c r="O3192">
        <v>-0.47017389999999998</v>
      </c>
      <c r="P3192">
        <v>-0.65881529999999999</v>
      </c>
      <c r="Q3192">
        <v>-5.9029749999999999E-2</v>
      </c>
      <c r="R3192">
        <v>-0.74998520000000002</v>
      </c>
      <c r="S3192">
        <v>-1.197144</v>
      </c>
      <c r="T3192">
        <v>-0.35516009999999998</v>
      </c>
      <c r="U3192">
        <v>-2.9360659999999998</v>
      </c>
      <c r="V3192">
        <v>-0.3515607</v>
      </c>
      <c r="W3192">
        <v>-4.9650979999999997E-2</v>
      </c>
      <c r="X3192">
        <v>0.93484750000000005</v>
      </c>
      <c r="Y3192">
        <v>-0.63770609999999905</v>
      </c>
      <c r="Z3192">
        <v>5.6892449999999999E-3</v>
      </c>
      <c r="AA3192">
        <v>0.77025880000000002</v>
      </c>
      <c r="AB3192">
        <v>16</v>
      </c>
      <c r="AC3192">
        <v>-0.22259999999999899</v>
      </c>
      <c r="AD3192">
        <v>-0.10470399999999901</v>
      </c>
      <c r="AE3192">
        <v>-0.78300000000001502</v>
      </c>
      <c r="AF3192">
        <v>-0.57682043119984705</v>
      </c>
      <c r="AG3192">
        <v>-0.10470399999999901</v>
      </c>
      <c r="AH3192">
        <v>0.55544978005752899</v>
      </c>
      <c r="AI3192">
        <v>97.4493209405952</v>
      </c>
      <c r="AJ3192">
        <v>136.081281427455</v>
      </c>
      <c r="AK3192">
        <v>0.80759469762470304</v>
      </c>
      <c r="AL3192">
        <v>92.845961749433599</v>
      </c>
      <c r="AM3192">
        <v>110.609377146236</v>
      </c>
      <c r="AN3192">
        <v>0.99999999692785002</v>
      </c>
    </row>
    <row r="3193" spans="1:40" x14ac:dyDescent="0.25">
      <c r="A3193" t="str">
        <f>"20190303154200565"</f>
        <v>20190303154200565</v>
      </c>
      <c r="B3193" t="str">
        <f>"1551598920563011"</f>
        <v>1551598920563011</v>
      </c>
      <c r="C3193" t="s">
        <v>40</v>
      </c>
      <c r="D3193">
        <v>5.5938809999999997</v>
      </c>
      <c r="E3193">
        <v>0.36741430000000003</v>
      </c>
      <c r="F3193" t="s">
        <v>42</v>
      </c>
      <c r="G3193">
        <v>-487.12569999999999</v>
      </c>
      <c r="H3193">
        <v>1.0223799999999901</v>
      </c>
      <c r="I3193">
        <v>281.47919999999999</v>
      </c>
      <c r="J3193">
        <v>-486.851</v>
      </c>
      <c r="K3193">
        <v>1.126072</v>
      </c>
      <c r="L3193">
        <v>282.28710000000001</v>
      </c>
      <c r="M3193">
        <v>-0.87988679999999997</v>
      </c>
      <c r="N3193">
        <v>-1.436054E-2</v>
      </c>
      <c r="O3193">
        <v>-0.47496630000000001</v>
      </c>
      <c r="P3193">
        <v>-0.65460180000000001</v>
      </c>
      <c r="Q3193">
        <v>-5.8838250000000002E-2</v>
      </c>
      <c r="R3193">
        <v>-0.75368059999999903</v>
      </c>
      <c r="S3193">
        <v>-1.17395</v>
      </c>
      <c r="T3193">
        <v>-0.35896359999999999</v>
      </c>
      <c r="U3193">
        <v>-2.940582</v>
      </c>
      <c r="V3193">
        <v>-0.35173310000000002</v>
      </c>
      <c r="W3193">
        <v>-4.9450189999999998E-2</v>
      </c>
      <c r="X3193">
        <v>0.93479330000000005</v>
      </c>
      <c r="Y3193">
        <v>-0.63913059999999999</v>
      </c>
      <c r="Z3193">
        <v>6.3723699999999996E-3</v>
      </c>
      <c r="AA3193">
        <v>0.76907179999999997</v>
      </c>
      <c r="AB3193">
        <v>16</v>
      </c>
      <c r="AC3193">
        <v>-0.274699999999995</v>
      </c>
      <c r="AD3193">
        <v>-0.10369200000000001</v>
      </c>
      <c r="AE3193">
        <v>-0.80790000000001705</v>
      </c>
      <c r="AF3193">
        <v>-0.57200100608316895</v>
      </c>
      <c r="AG3193">
        <v>-0.10369200000000001</v>
      </c>
      <c r="AH3193">
        <v>0.61639303440882398</v>
      </c>
      <c r="AI3193">
        <v>97.029635540280694</v>
      </c>
      <c r="AJ3193">
        <v>132.86073159165201</v>
      </c>
      <c r="AK3193">
        <v>0.84727655148238101</v>
      </c>
      <c r="AL3193">
        <v>92.834443159590293</v>
      </c>
      <c r="AM3193">
        <v>110.619728538852</v>
      </c>
      <c r="AN3193">
        <v>1.00000000432576</v>
      </c>
    </row>
    <row r="3194" spans="1:40" x14ac:dyDescent="0.25">
      <c r="A3194" t="str">
        <f>"20190303154200577"</f>
        <v>20190303154200577</v>
      </c>
      <c r="B3194" t="str">
        <f>"1551598920572770"</f>
        <v>1551598920572770</v>
      </c>
      <c r="C3194" t="s">
        <v>40</v>
      </c>
      <c r="D3194">
        <v>5.5799779999999997</v>
      </c>
      <c r="E3194">
        <v>0.3678514</v>
      </c>
      <c r="F3194" t="s">
        <v>46</v>
      </c>
      <c r="G3194">
        <v>-490.48599999999999</v>
      </c>
      <c r="H3194" s="1">
        <v>1.2181480000000001E-6</v>
      </c>
      <c r="I3194">
        <v>273.06229999999999</v>
      </c>
      <c r="J3194">
        <v>-486.91669999999999</v>
      </c>
      <c r="K3194">
        <v>1.126044</v>
      </c>
      <c r="L3194">
        <v>282.24439999999998</v>
      </c>
      <c r="M3194">
        <v>-0.87723340000000005</v>
      </c>
      <c r="N3194">
        <v>-1.4355379999999999E-2</v>
      </c>
      <c r="O3194">
        <v>-0.47984949999999998</v>
      </c>
      <c r="P3194">
        <v>-0.65024190000000004</v>
      </c>
      <c r="Q3194">
        <v>-5.9164040000000001E-2</v>
      </c>
      <c r="R3194">
        <v>-0.75742039999999999</v>
      </c>
      <c r="S3194">
        <v>-1.1603699999999999</v>
      </c>
      <c r="T3194">
        <v>-0.35945739999999998</v>
      </c>
      <c r="U3194">
        <v>-2.9446720000000002</v>
      </c>
      <c r="V3194">
        <v>-0.35190769999999999</v>
      </c>
      <c r="W3194">
        <v>-4.9766530000000003E-2</v>
      </c>
      <c r="X3194">
        <v>0.93471079999999995</v>
      </c>
      <c r="Y3194">
        <v>-0.63831260000000001</v>
      </c>
      <c r="Z3194">
        <v>7.0799369999999997E-3</v>
      </c>
      <c r="AA3194">
        <v>0.7697446</v>
      </c>
      <c r="AB3194">
        <v>16</v>
      </c>
      <c r="AC3194">
        <v>-3.5692999999999899</v>
      </c>
      <c r="AD3194">
        <v>-1.126042781852</v>
      </c>
      <c r="AE3194">
        <v>-9.1820999999999895</v>
      </c>
      <c r="AF3194">
        <v>-6.2609716058888196</v>
      </c>
      <c r="AG3194">
        <v>-1.126042781852</v>
      </c>
      <c r="AH3194">
        <v>7.4406988393711897</v>
      </c>
      <c r="AI3194">
        <v>96.605188751809195</v>
      </c>
      <c r="AJ3194">
        <v>130.07891399254501</v>
      </c>
      <c r="AK3194">
        <v>9.7893685707775298</v>
      </c>
      <c r="AL3194">
        <v>92.852590439227299</v>
      </c>
      <c r="AM3194">
        <v>110.63076984493</v>
      </c>
      <c r="AN3194">
        <v>1.0000000082320799</v>
      </c>
    </row>
    <row r="3195" spans="1:40" x14ac:dyDescent="0.25">
      <c r="A3195" t="str">
        <f>"20190303154200589"</f>
        <v>20190303154200589</v>
      </c>
      <c r="B3195" t="str">
        <f>"1551598920582531"</f>
        <v>1551598920582531</v>
      </c>
      <c r="C3195" t="s">
        <v>40</v>
      </c>
      <c r="D3195">
        <v>5.570354</v>
      </c>
      <c r="E3195">
        <v>0.36824839999999998</v>
      </c>
      <c r="F3195" t="s">
        <v>46</v>
      </c>
      <c r="G3195">
        <v>-490.488</v>
      </c>
      <c r="H3195" s="1">
        <v>1.2143259999999901E-6</v>
      </c>
      <c r="I3195">
        <v>273.05149999999998</v>
      </c>
      <c r="J3195">
        <v>-486.98540000000003</v>
      </c>
      <c r="K3195">
        <v>1.1260129999999999</v>
      </c>
      <c r="L3195">
        <v>282.19889999999998</v>
      </c>
      <c r="M3195">
        <v>-0.87442749999999902</v>
      </c>
      <c r="N3195">
        <v>-1.434908E-2</v>
      </c>
      <c r="O3195">
        <v>-0.48494389999999998</v>
      </c>
      <c r="P3195">
        <v>-0.64612499999999995</v>
      </c>
      <c r="Q3195">
        <v>-5.936396E-2</v>
      </c>
      <c r="R3195">
        <v>-0.76091929999999997</v>
      </c>
      <c r="S3195">
        <v>-1.145691</v>
      </c>
      <c r="T3195">
        <v>-0.36124210000000001</v>
      </c>
      <c r="U3195">
        <v>-2.9491269999999998</v>
      </c>
      <c r="V3195">
        <v>-0.35152660000000002</v>
      </c>
      <c r="W3195">
        <v>-4.994585E-2</v>
      </c>
      <c r="X3195">
        <v>0.93484469999999997</v>
      </c>
      <c r="Y3195">
        <v>-0.63756880000000005</v>
      </c>
      <c r="Z3195">
        <v>7.8810449999999997E-3</v>
      </c>
      <c r="AA3195">
        <v>0.77035310000000001</v>
      </c>
      <c r="AB3195">
        <v>16</v>
      </c>
      <c r="AC3195">
        <v>-3.5026000000000201</v>
      </c>
      <c r="AD3195">
        <v>-1.126011785674</v>
      </c>
      <c r="AE3195">
        <v>-9.1473999999999993</v>
      </c>
      <c r="AF3195">
        <v>-6.2186422382534996</v>
      </c>
      <c r="AG3195">
        <v>-1.126011785674</v>
      </c>
      <c r="AH3195">
        <v>7.4017033443788796</v>
      </c>
      <c r="AI3195">
        <v>96.643665493140503</v>
      </c>
      <c r="AJ3195">
        <v>130.035756917241</v>
      </c>
      <c r="AK3195">
        <v>9.7326577165261892</v>
      </c>
      <c r="AL3195">
        <v>92.862877317731105</v>
      </c>
      <c r="AM3195">
        <v>110.60760265400501</v>
      </c>
      <c r="AN3195">
        <v>1.00000007577893</v>
      </c>
    </row>
    <row r="3196" spans="1:40" x14ac:dyDescent="0.25">
      <c r="A3196" t="str">
        <f>"20190303154200600"</f>
        <v>20190303154200600</v>
      </c>
      <c r="B3196" t="str">
        <f>"1551598920593268"</f>
        <v>1551598920593268</v>
      </c>
      <c r="C3196" t="s">
        <v>40</v>
      </c>
      <c r="D3196">
        <v>5.5833539999999999</v>
      </c>
      <c r="E3196">
        <v>0.36875550000000001</v>
      </c>
      <c r="F3196" t="s">
        <v>46</v>
      </c>
      <c r="G3196">
        <v>-490.50979999999998</v>
      </c>
      <c r="H3196" s="1">
        <v>1.1975270000000001E-6</v>
      </c>
      <c r="I3196">
        <v>273.00400000000002</v>
      </c>
      <c r="J3196">
        <v>-487.04640000000001</v>
      </c>
      <c r="K3196">
        <v>1.125988</v>
      </c>
      <c r="L3196">
        <v>282.1583</v>
      </c>
      <c r="M3196">
        <v>-0.87190469999999898</v>
      </c>
      <c r="N3196">
        <v>-1.434335E-2</v>
      </c>
      <c r="O3196">
        <v>-0.4894655</v>
      </c>
      <c r="P3196">
        <v>-0.64253970000000005</v>
      </c>
      <c r="Q3196">
        <v>-6.0565349999999997E-2</v>
      </c>
      <c r="R3196">
        <v>-0.7638549</v>
      </c>
      <c r="S3196">
        <v>-1.131958</v>
      </c>
      <c r="T3196">
        <v>-0.36165380000000003</v>
      </c>
      <c r="U3196">
        <v>-2.9532470000000002</v>
      </c>
      <c r="V3196">
        <v>-0.35098879999999999</v>
      </c>
      <c r="W3196">
        <v>-5.1126230000000002E-2</v>
      </c>
      <c r="X3196">
        <v>0.9349828</v>
      </c>
      <c r="Y3196">
        <v>-0.63708149999999997</v>
      </c>
      <c r="Z3196">
        <v>8.52143E-3</v>
      </c>
      <c r="AA3196">
        <v>0.77074940000000003</v>
      </c>
      <c r="AB3196">
        <v>16</v>
      </c>
      <c r="AC3196">
        <v>-3.4633999999999698</v>
      </c>
      <c r="AD3196">
        <v>-1.125986802473</v>
      </c>
      <c r="AE3196">
        <v>-9.1542999999999708</v>
      </c>
      <c r="AF3196">
        <v>-6.2049872871088096</v>
      </c>
      <c r="AG3196">
        <v>-1.125986802473</v>
      </c>
      <c r="AH3196">
        <v>7.4032596554413201</v>
      </c>
      <c r="AI3196">
        <v>96.648689606375996</v>
      </c>
      <c r="AJ3196">
        <v>129.96780696926899</v>
      </c>
      <c r="AK3196">
        <v>9.7251204125404307</v>
      </c>
      <c r="AL3196">
        <v>92.930595055046993</v>
      </c>
      <c r="AM3196">
        <v>110.575934296943</v>
      </c>
      <c r="AN3196">
        <v>0.99999993270764398</v>
      </c>
    </row>
    <row r="3197" spans="1:40" x14ac:dyDescent="0.25">
      <c r="A3197" t="str">
        <f>"20190303154200610"</f>
        <v>20190303154200610</v>
      </c>
      <c r="B3197" t="str">
        <f>"1551598920603027"</f>
        <v>1551598920603027</v>
      </c>
      <c r="C3197" t="s">
        <v>40</v>
      </c>
      <c r="D3197">
        <v>5.5717840000000001</v>
      </c>
      <c r="E3197">
        <v>0.36875550000000001</v>
      </c>
      <c r="F3197" t="s">
        <v>46</v>
      </c>
      <c r="G3197">
        <v>-490.52699999999999</v>
      </c>
      <c r="H3197" s="1">
        <v>1.1911309999999999E-6</v>
      </c>
      <c r="I3197">
        <v>272.98590000000002</v>
      </c>
      <c r="J3197">
        <v>-487.11250000000001</v>
      </c>
      <c r="K3197">
        <v>1.1259629999999901</v>
      </c>
      <c r="L3197">
        <v>282.11369999999999</v>
      </c>
      <c r="M3197">
        <v>-0.86914539999999996</v>
      </c>
      <c r="N3197">
        <v>-1.43368E-2</v>
      </c>
      <c r="O3197">
        <v>-0.49434889999999998</v>
      </c>
      <c r="P3197">
        <v>-0.63911600000000002</v>
      </c>
      <c r="Q3197">
        <v>-6.1874869999999998E-2</v>
      </c>
      <c r="R3197">
        <v>-0.7666174</v>
      </c>
      <c r="S3197">
        <v>-1.121429</v>
      </c>
      <c r="T3197">
        <v>-0.36279450000000002</v>
      </c>
      <c r="U3197">
        <v>-2.9553530000000001</v>
      </c>
      <c r="V3197">
        <v>-0.349825</v>
      </c>
      <c r="W3197">
        <v>-5.240297E-2</v>
      </c>
      <c r="X3197">
        <v>0.93534830000000002</v>
      </c>
      <c r="Y3197">
        <v>-0.63536230000000005</v>
      </c>
      <c r="Z3197">
        <v>9.3580629999999998E-3</v>
      </c>
      <c r="AA3197">
        <v>0.77215749999999905</v>
      </c>
      <c r="AB3197">
        <v>16</v>
      </c>
      <c r="AC3197">
        <v>-3.4144999999999701</v>
      </c>
      <c r="AD3197">
        <v>-1.12596180886899</v>
      </c>
      <c r="AE3197">
        <v>-9.1277999999999793</v>
      </c>
      <c r="AF3197">
        <v>-6.1637946937989003</v>
      </c>
      <c r="AG3197">
        <v>-1.12596180886899</v>
      </c>
      <c r="AH3197">
        <v>7.3822407811331896</v>
      </c>
      <c r="AI3197">
        <v>96.677695577358705</v>
      </c>
      <c r="AJ3197">
        <v>129.86016031675501</v>
      </c>
      <c r="AK3197">
        <v>9.6828525741622702</v>
      </c>
      <c r="AL3197">
        <v>93.003844815029694</v>
      </c>
      <c r="AM3197">
        <v>110.506051294099</v>
      </c>
      <c r="AN3197">
        <v>1.0000000221013501</v>
      </c>
    </row>
    <row r="3198" spans="1:40" x14ac:dyDescent="0.25">
      <c r="A3198" t="str">
        <f>"20190303154200625"</f>
        <v>20190303154200625</v>
      </c>
      <c r="B3198" t="str">
        <f>"1551598920613294"</f>
        <v>1551598920613294</v>
      </c>
      <c r="C3198" t="s">
        <v>40</v>
      </c>
      <c r="D3198">
        <v>5.5605840000000004</v>
      </c>
      <c r="E3198">
        <v>0.3832335</v>
      </c>
      <c r="F3198" t="s">
        <v>42</v>
      </c>
      <c r="G3198">
        <v>-487.44119999999998</v>
      </c>
      <c r="H3198">
        <v>1.017693</v>
      </c>
      <c r="I3198">
        <v>281.2353</v>
      </c>
      <c r="J3198">
        <v>-487.18810000000002</v>
      </c>
      <c r="K3198">
        <v>1.1259319999999999</v>
      </c>
      <c r="L3198">
        <v>282.06200000000001</v>
      </c>
      <c r="M3198">
        <v>-0.86594550000000003</v>
      </c>
      <c r="N3198">
        <v>-1.4328789999999999E-2</v>
      </c>
      <c r="O3198">
        <v>-0.49993330000000002</v>
      </c>
      <c r="P3198">
        <v>-0.63486989999999999</v>
      </c>
      <c r="Q3198">
        <v>-6.2905939999999994E-2</v>
      </c>
      <c r="R3198">
        <v>-0.77005400000000002</v>
      </c>
      <c r="S3198">
        <v>-1.1074520000000001</v>
      </c>
      <c r="T3198">
        <v>-0.36481639999999999</v>
      </c>
      <c r="U3198">
        <v>-2.960693</v>
      </c>
      <c r="V3198">
        <v>-0.34889369999999997</v>
      </c>
      <c r="W3198">
        <v>-5.3402430000000001E-2</v>
      </c>
      <c r="X3198">
        <v>0.93563960000000002</v>
      </c>
      <c r="Y3198">
        <v>-0.63406619999999903</v>
      </c>
      <c r="Z3198">
        <v>1.0296649999999999E-2</v>
      </c>
      <c r="AA3198">
        <v>0.77321030000000002</v>
      </c>
      <c r="AB3198">
        <v>16</v>
      </c>
      <c r="AC3198">
        <v>-0.25309999999996002</v>
      </c>
      <c r="AD3198">
        <v>-0.108238999999999</v>
      </c>
      <c r="AE3198">
        <v>-0.82670000000001598</v>
      </c>
      <c r="AF3198">
        <v>-0.58030910512266698</v>
      </c>
      <c r="AG3198">
        <v>-0.108238999999999</v>
      </c>
      <c r="AH3198">
        <v>0.62276966863435801</v>
      </c>
      <c r="AI3198">
        <v>97.246572428072994</v>
      </c>
      <c r="AJ3198">
        <v>132.97868454003799</v>
      </c>
      <c r="AK3198">
        <v>0.85808880588212899</v>
      </c>
      <c r="AL3198">
        <v>93.061189880903797</v>
      </c>
      <c r="AM3198">
        <v>110.450146370589</v>
      </c>
      <c r="AN3198">
        <v>1.0000000472588699</v>
      </c>
    </row>
    <row r="3199" spans="1:40" x14ac:dyDescent="0.25">
      <c r="A3199" t="str">
        <f>"20190303154200639"</f>
        <v>20190303154200639</v>
      </c>
      <c r="B3199" t="str">
        <f>"1551598920632814"</f>
        <v>1551598920632814</v>
      </c>
      <c r="C3199" t="s">
        <v>40</v>
      </c>
      <c r="D3199">
        <v>5.5734300000000001</v>
      </c>
      <c r="E3199">
        <v>0.38414369999999998</v>
      </c>
      <c r="F3199" t="s">
        <v>42</v>
      </c>
      <c r="G3199">
        <v>-487.55489999999998</v>
      </c>
      <c r="H3199">
        <v>1.015209</v>
      </c>
      <c r="I3199">
        <v>281.16370000000001</v>
      </c>
      <c r="J3199">
        <v>-487.26749999999998</v>
      </c>
      <c r="K3199">
        <v>1.1258969999999999</v>
      </c>
      <c r="L3199">
        <v>282.00720000000001</v>
      </c>
      <c r="M3199">
        <v>-0.86254989999999998</v>
      </c>
      <c r="N3199">
        <v>-1.432016E-2</v>
      </c>
      <c r="O3199">
        <v>-0.50576929999999998</v>
      </c>
      <c r="P3199">
        <v>-0.6301156</v>
      </c>
      <c r="Q3199">
        <v>-6.3550670000000004E-2</v>
      </c>
      <c r="R3199">
        <v>-0.77389659999999905</v>
      </c>
      <c r="S3199">
        <v>-1.180939</v>
      </c>
      <c r="T3199">
        <v>-0.35654740000000001</v>
      </c>
      <c r="U3199">
        <v>-2.893097</v>
      </c>
      <c r="V3199">
        <v>-0.34828920000000002</v>
      </c>
      <c r="W3199">
        <v>-5.401947E-2</v>
      </c>
      <c r="X3199">
        <v>0.93582929999999998</v>
      </c>
      <c r="Y3199">
        <v>-0.60580469999999997</v>
      </c>
      <c r="Z3199">
        <v>1.30207E-2</v>
      </c>
      <c r="AA3199">
        <v>0.79550679999999996</v>
      </c>
      <c r="AB3199">
        <v>16</v>
      </c>
      <c r="AC3199">
        <v>-0.287399999999991</v>
      </c>
      <c r="AD3199">
        <v>-0.110687999999999</v>
      </c>
      <c r="AE3199">
        <v>-0.84350000000000502</v>
      </c>
      <c r="AF3199">
        <v>-0.57341536999556697</v>
      </c>
      <c r="AG3199">
        <v>-0.110687999999999</v>
      </c>
      <c r="AH3199">
        <v>0.66433259978929105</v>
      </c>
      <c r="AI3199">
        <v>97.188697661987703</v>
      </c>
      <c r="AJ3199">
        <v>130.79895481646</v>
      </c>
      <c r="AK3199">
        <v>0.88453084911378399</v>
      </c>
      <c r="AL3199">
        <v>93.096594999627101</v>
      </c>
      <c r="AM3199">
        <v>110.41384335019001</v>
      </c>
      <c r="AN3199">
        <v>0.99999997435710497</v>
      </c>
    </row>
    <row r="3200" spans="1:40" x14ac:dyDescent="0.25">
      <c r="A3200" t="str">
        <f>"20190303154200652"</f>
        <v>20190303154200652</v>
      </c>
      <c r="B3200" t="str">
        <f>"1551598920642575"</f>
        <v>1551598920642575</v>
      </c>
      <c r="C3200" t="s">
        <v>40</v>
      </c>
      <c r="D3200">
        <v>5.6028880000000001</v>
      </c>
      <c r="E3200">
        <v>0.38468560000000002</v>
      </c>
      <c r="F3200" t="s">
        <v>42</v>
      </c>
      <c r="G3200">
        <v>-487.64699999999999</v>
      </c>
      <c r="H3200">
        <v>1.0104869999999999</v>
      </c>
      <c r="I3200">
        <v>281.06700000000001</v>
      </c>
      <c r="J3200">
        <v>-487.34519999999998</v>
      </c>
      <c r="K3200">
        <v>1.1258629999999901</v>
      </c>
      <c r="L3200">
        <v>281.95260000000002</v>
      </c>
      <c r="M3200">
        <v>-0.85917479999999902</v>
      </c>
      <c r="N3200">
        <v>-1.4311269999999999E-2</v>
      </c>
      <c r="O3200">
        <v>-0.5114822</v>
      </c>
      <c r="P3200">
        <v>-0.62552669999999999</v>
      </c>
      <c r="Q3200">
        <v>-6.4253489999999996E-2</v>
      </c>
      <c r="R3200">
        <v>-0.77755289999999999</v>
      </c>
      <c r="S3200">
        <v>-1.1681820000000001</v>
      </c>
      <c r="T3200">
        <v>-0.35534490000000002</v>
      </c>
      <c r="U3200">
        <v>-2.8962400000000001</v>
      </c>
      <c r="V3200">
        <v>-0.34756239999999999</v>
      </c>
      <c r="W3200">
        <v>-5.4693079999999998E-2</v>
      </c>
      <c r="X3200">
        <v>0.93606040000000001</v>
      </c>
      <c r="Y3200">
        <v>-0.60387990000000002</v>
      </c>
      <c r="Z3200">
        <v>1.381954E-2</v>
      </c>
      <c r="AA3200">
        <v>0.79695550000000004</v>
      </c>
      <c r="AB3200">
        <v>16</v>
      </c>
      <c r="AC3200">
        <v>-0.301800000000014</v>
      </c>
      <c r="AD3200">
        <v>-0.11537599999999899</v>
      </c>
      <c r="AE3200">
        <v>-0.88560000000001005</v>
      </c>
      <c r="AF3200">
        <v>-0.59749591289827997</v>
      </c>
      <c r="AG3200">
        <v>-0.11537599999999899</v>
      </c>
      <c r="AH3200">
        <v>0.70167028664089004</v>
      </c>
      <c r="AI3200">
        <v>97.135806302907199</v>
      </c>
      <c r="AJ3200">
        <v>130.41551450486901</v>
      </c>
      <c r="AK3200">
        <v>0.92879178423415099</v>
      </c>
      <c r="AL3200">
        <v>93.135247031172298</v>
      </c>
      <c r="AM3200">
        <v>110.37013213524401</v>
      </c>
      <c r="AN3200">
        <v>1.0000000136709</v>
      </c>
    </row>
    <row r="3201" spans="1:40" x14ac:dyDescent="0.25">
      <c r="A3201" t="str">
        <f>"20190303154200666"</f>
        <v>20190303154200666</v>
      </c>
      <c r="B3201" t="str">
        <f>"1551598920662707"</f>
        <v>1551598920662707</v>
      </c>
      <c r="C3201" t="s">
        <v>40</v>
      </c>
      <c r="D3201">
        <v>5.6150900000000004</v>
      </c>
      <c r="E3201">
        <v>0.38557229999999998</v>
      </c>
      <c r="F3201" t="s">
        <v>42</v>
      </c>
      <c r="G3201">
        <v>-487.68239999999997</v>
      </c>
      <c r="H3201">
        <v>1.019903</v>
      </c>
      <c r="I3201">
        <v>281.10649999999998</v>
      </c>
      <c r="J3201">
        <v>-487.42509999999999</v>
      </c>
      <c r="K3201">
        <v>1.125826</v>
      </c>
      <c r="L3201">
        <v>281.89569999999998</v>
      </c>
      <c r="M3201">
        <v>-0.85566200000000003</v>
      </c>
      <c r="N3201">
        <v>-1.430172E-2</v>
      </c>
      <c r="O3201">
        <v>-0.51733759999999995</v>
      </c>
      <c r="P3201">
        <v>-0.62107489999999999</v>
      </c>
      <c r="Q3201">
        <v>-6.5661510000000006E-2</v>
      </c>
      <c r="R3201">
        <v>-0.78099619999999903</v>
      </c>
      <c r="S3201">
        <v>-1.154663</v>
      </c>
      <c r="T3201">
        <v>-0.36291279999999998</v>
      </c>
      <c r="U3201">
        <v>-2.899384</v>
      </c>
      <c r="V3201">
        <v>-0.3464064</v>
      </c>
      <c r="W3201">
        <v>-5.6066299999999999E-2</v>
      </c>
      <c r="X3201">
        <v>0.93640760000000001</v>
      </c>
      <c r="Y3201">
        <v>-0.6019253</v>
      </c>
      <c r="Z3201">
        <v>1.527918E-2</v>
      </c>
      <c r="AA3201">
        <v>0.79840619999999995</v>
      </c>
      <c r="AB3201">
        <v>16</v>
      </c>
      <c r="AC3201">
        <v>-0.25729999999998598</v>
      </c>
      <c r="AD3201">
        <v>-0.105923</v>
      </c>
      <c r="AE3201">
        <v>-0.78919999999999302</v>
      </c>
      <c r="AF3201">
        <v>-0.53354514104676598</v>
      </c>
      <c r="AG3201">
        <v>-0.105923</v>
      </c>
      <c r="AH3201">
        <v>0.61843880822444897</v>
      </c>
      <c r="AI3201">
        <v>97.389045740178105</v>
      </c>
      <c r="AJ3201">
        <v>130.78529517056799</v>
      </c>
      <c r="AK3201">
        <v>0.82362410053475898</v>
      </c>
      <c r="AL3201">
        <v>93.214047692896003</v>
      </c>
      <c r="AM3201">
        <v>110.30100704442999</v>
      </c>
      <c r="AN3201">
        <v>1.0000000086472001</v>
      </c>
    </row>
    <row r="3202" spans="1:40" x14ac:dyDescent="0.25">
      <c r="A3202" t="str">
        <f>"20190303154200679"</f>
        <v>20190303154200679</v>
      </c>
      <c r="B3202" t="str">
        <f>"1551598920672464"</f>
        <v>1551598920672464</v>
      </c>
      <c r="C3202" t="s">
        <v>40</v>
      </c>
      <c r="D3202">
        <v>5.6351209999999998</v>
      </c>
      <c r="E3202">
        <v>0.38605630000000002</v>
      </c>
      <c r="F3202" t="s">
        <v>42</v>
      </c>
      <c r="G3202">
        <v>-487.77370000000002</v>
      </c>
      <c r="H3202">
        <v>1.011846</v>
      </c>
      <c r="I3202">
        <v>281.01049999999998</v>
      </c>
      <c r="J3202">
        <v>-487.49369999999999</v>
      </c>
      <c r="K3202">
        <v>1.125804</v>
      </c>
      <c r="L3202">
        <v>281.84629999999999</v>
      </c>
      <c r="M3202">
        <v>-0.8526127</v>
      </c>
      <c r="N3202">
        <v>-1.4293429999999999E-2</v>
      </c>
      <c r="O3202">
        <v>-0.52234799999999904</v>
      </c>
      <c r="P3202">
        <v>-0.61711660000000002</v>
      </c>
      <c r="Q3202">
        <v>-6.6407949999999993E-2</v>
      </c>
      <c r="R3202">
        <v>-0.78406480000000001</v>
      </c>
      <c r="S3202">
        <v>-1.1430359999999999</v>
      </c>
      <c r="T3202">
        <v>-0.37365660000000001</v>
      </c>
      <c r="U3202">
        <v>-2.900909</v>
      </c>
      <c r="V3202">
        <v>-0.34559250000000002</v>
      </c>
      <c r="W3202">
        <v>-5.6786070000000001E-2</v>
      </c>
      <c r="X3202">
        <v>0.93666490000000002</v>
      </c>
      <c r="Y3202">
        <v>-0.60011429999999999</v>
      </c>
      <c r="Z3202">
        <v>1.6904260000000001E-2</v>
      </c>
      <c r="AA3202">
        <v>0.79973559999999999</v>
      </c>
      <c r="AB3202">
        <v>16</v>
      </c>
      <c r="AC3202">
        <v>-0.280000000000029</v>
      </c>
      <c r="AD3202">
        <v>-0.113957999999999</v>
      </c>
      <c r="AE3202">
        <v>-0.83580000000000598</v>
      </c>
      <c r="AF3202">
        <v>-0.557102456901441</v>
      </c>
      <c r="AG3202">
        <v>-0.113957999999999</v>
      </c>
      <c r="AH3202">
        <v>0.664276001362895</v>
      </c>
      <c r="AI3202">
        <v>97.488312166165201</v>
      </c>
      <c r="AJ3202">
        <v>129.98525303638601</v>
      </c>
      <c r="AK3202">
        <v>0.87442105374716295</v>
      </c>
      <c r="AL3202">
        <v>93.255353365010095</v>
      </c>
      <c r="AM3202">
        <v>110.252076920283</v>
      </c>
      <c r="AN3202">
        <v>0.99999998434715198</v>
      </c>
    </row>
    <row r="3203" spans="1:40" x14ac:dyDescent="0.25">
      <c r="A3203" t="str">
        <f>"20190303154200691"</f>
        <v>20190303154200691</v>
      </c>
      <c r="B3203" t="str">
        <f>"1551598920683200"</f>
        <v>1551598920683200</v>
      </c>
      <c r="C3203" t="s">
        <v>40</v>
      </c>
      <c r="D3203">
        <v>5.6702899999999996</v>
      </c>
      <c r="E3203">
        <v>0.38642700000000002</v>
      </c>
      <c r="F3203" t="s">
        <v>42</v>
      </c>
      <c r="G3203">
        <v>-487.85910000000001</v>
      </c>
      <c r="H3203">
        <v>1.0044139999999999</v>
      </c>
      <c r="I3203">
        <v>280.90890000000002</v>
      </c>
      <c r="J3203">
        <v>-487.56009999999998</v>
      </c>
      <c r="K3203">
        <v>1.1257820000000001</v>
      </c>
      <c r="L3203">
        <v>281.79790000000003</v>
      </c>
      <c r="M3203">
        <v>-0.84963089999999997</v>
      </c>
      <c r="N3203">
        <v>-1.4285050000000001E-2</v>
      </c>
      <c r="O3203">
        <v>-0.52718430000000005</v>
      </c>
      <c r="P3203">
        <v>-0.61334089999999997</v>
      </c>
      <c r="Q3203">
        <v>-6.6413829999999993E-2</v>
      </c>
      <c r="R3203">
        <v>-0.78702119999999998</v>
      </c>
      <c r="S3203">
        <v>-1.1314390000000001</v>
      </c>
      <c r="T3203">
        <v>-0.3759593</v>
      </c>
      <c r="U3203">
        <v>-2.9038390000000001</v>
      </c>
      <c r="V3203">
        <v>-0.34477540000000001</v>
      </c>
      <c r="W3203">
        <v>-5.6766450000000003E-2</v>
      </c>
      <c r="X3203">
        <v>0.9369672</v>
      </c>
      <c r="Y3203">
        <v>-0.59863089999999997</v>
      </c>
      <c r="Z3203">
        <v>1.786167E-2</v>
      </c>
      <c r="AA3203">
        <v>0.80082580000000003</v>
      </c>
      <c r="AB3203">
        <v>16</v>
      </c>
      <c r="AC3203">
        <v>-0.29900000000003402</v>
      </c>
      <c r="AD3203">
        <v>-0.121368</v>
      </c>
      <c r="AE3203">
        <v>-0.88900000000001</v>
      </c>
      <c r="AF3203">
        <v>-0.58791069172419597</v>
      </c>
      <c r="AG3203">
        <v>-0.121368</v>
      </c>
      <c r="AH3203">
        <v>0.710877196544207</v>
      </c>
      <c r="AI3203">
        <v>97.495119516887499</v>
      </c>
      <c r="AJ3203">
        <v>129.59147817770599</v>
      </c>
      <c r="AK3203">
        <v>0.93043837057280399</v>
      </c>
      <c r="AL3203">
        <v>93.254227289124898</v>
      </c>
      <c r="AM3203">
        <v>110.202078641512</v>
      </c>
      <c r="AN3203">
        <v>1.0000000200832999</v>
      </c>
    </row>
    <row r="3204" spans="1:40" x14ac:dyDescent="0.25">
      <c r="A3204" t="str">
        <f>"20190303154200702"</f>
        <v>20190303154200702</v>
      </c>
      <c r="B3204" t="str">
        <f>"1551598920692960"</f>
        <v>1551598920692960</v>
      </c>
      <c r="C3204" t="s">
        <v>40</v>
      </c>
      <c r="D3204">
        <v>5.6588469999999997</v>
      </c>
      <c r="E3204">
        <v>0.38698359999999998</v>
      </c>
      <c r="F3204" t="s">
        <v>42</v>
      </c>
      <c r="G3204">
        <v>-487.89010000000002</v>
      </c>
      <c r="H3204">
        <v>1.014839</v>
      </c>
      <c r="I3204">
        <v>280.9409</v>
      </c>
      <c r="J3204">
        <v>-487.62290000000002</v>
      </c>
      <c r="K3204">
        <v>1.1257600000000001</v>
      </c>
      <c r="L3204">
        <v>281.75139999999999</v>
      </c>
      <c r="M3204">
        <v>-0.84677590000000003</v>
      </c>
      <c r="N3204">
        <v>-1.4277160000000001E-2</v>
      </c>
      <c r="O3204">
        <v>-0.53175819999999996</v>
      </c>
      <c r="P3204">
        <v>-0.61025379999999996</v>
      </c>
      <c r="Q3204">
        <v>-6.6004950000000007E-2</v>
      </c>
      <c r="R3204">
        <v>-0.78945140000000003</v>
      </c>
      <c r="S3204">
        <v>-1.119415</v>
      </c>
      <c r="T3204">
        <v>-0.37632929999999998</v>
      </c>
      <c r="U3204">
        <v>-2.9077760000000001</v>
      </c>
      <c r="V3204">
        <v>-0.34342990000000001</v>
      </c>
      <c r="W3204">
        <v>-5.6324859999999997E-2</v>
      </c>
      <c r="X3204">
        <v>0.93748779999999998</v>
      </c>
      <c r="Y3204">
        <v>-0.59758500000000003</v>
      </c>
      <c r="Z3204">
        <v>1.859806E-2</v>
      </c>
      <c r="AA3204">
        <v>0.80158980000000002</v>
      </c>
      <c r="AB3204">
        <v>16</v>
      </c>
      <c r="AC3204">
        <v>-0.26720000000000199</v>
      </c>
      <c r="AD3204">
        <v>-0.11092100000000001</v>
      </c>
      <c r="AE3204">
        <v>-0.81049999999999001</v>
      </c>
      <c r="AF3204">
        <v>-0.53523959418140299</v>
      </c>
      <c r="AG3204">
        <v>-0.11092100000000001</v>
      </c>
      <c r="AH3204">
        <v>0.64639578705114897</v>
      </c>
      <c r="AI3204">
        <v>97.529131365139094</v>
      </c>
      <c r="AJ3204">
        <v>129.626012482101</v>
      </c>
      <c r="AK3204">
        <v>0.84652962437114299</v>
      </c>
      <c r="AL3204">
        <v>93.228885627249895</v>
      </c>
      <c r="AM3204">
        <v>110.119297720463</v>
      </c>
      <c r="AN3204">
        <v>0.99999998060843398</v>
      </c>
    </row>
    <row r="3205" spans="1:40" x14ac:dyDescent="0.25">
      <c r="A3205" t="str">
        <f>"20190303154200713"</f>
        <v>20190303154200713</v>
      </c>
      <c r="B3205" t="str">
        <f>"1551598920702720"</f>
        <v>1551598920702720</v>
      </c>
      <c r="C3205" t="s">
        <v>40</v>
      </c>
      <c r="D3205">
        <v>5.6664760000000003</v>
      </c>
      <c r="E3205">
        <v>0.38751930000000001</v>
      </c>
      <c r="F3205" t="s">
        <v>42</v>
      </c>
      <c r="G3205">
        <v>-487.97250000000003</v>
      </c>
      <c r="H3205">
        <v>1.007846</v>
      </c>
      <c r="I3205">
        <v>280.8365</v>
      </c>
      <c r="J3205">
        <v>-487.68779999999998</v>
      </c>
      <c r="K3205">
        <v>1.125739</v>
      </c>
      <c r="L3205">
        <v>281.70319999999998</v>
      </c>
      <c r="M3205">
        <v>-0.84380109999999997</v>
      </c>
      <c r="N3205">
        <v>-1.426913E-2</v>
      </c>
      <c r="O3205">
        <v>-0.53646640000000001</v>
      </c>
      <c r="P3205">
        <v>-0.60649839999999999</v>
      </c>
      <c r="Q3205">
        <v>-6.5987509999999999E-2</v>
      </c>
      <c r="R3205">
        <v>-0.79234150000000003</v>
      </c>
      <c r="S3205">
        <v>-1.1114200000000001</v>
      </c>
      <c r="T3205">
        <v>-0.37491269999999999</v>
      </c>
      <c r="U3205">
        <v>-2.9096069999999998</v>
      </c>
      <c r="V3205">
        <v>-0.34266469999999999</v>
      </c>
      <c r="W3205">
        <v>-5.628478E-2</v>
      </c>
      <c r="X3205">
        <v>0.9377702</v>
      </c>
      <c r="Y3205">
        <v>-0.59525380000000006</v>
      </c>
      <c r="Z3205">
        <v>1.931449E-2</v>
      </c>
      <c r="AA3205">
        <v>0.80330559999999995</v>
      </c>
      <c r="AB3205">
        <v>16</v>
      </c>
      <c r="AC3205">
        <v>-0.28470000000004297</v>
      </c>
      <c r="AD3205">
        <v>-0.117893</v>
      </c>
      <c r="AE3205">
        <v>-0.86669999999998004</v>
      </c>
      <c r="AF3205">
        <v>-0.56914416903308596</v>
      </c>
      <c r="AG3205">
        <v>-0.117893</v>
      </c>
      <c r="AH3205">
        <v>0.69367250679447601</v>
      </c>
      <c r="AI3205">
        <v>97.485198770496197</v>
      </c>
      <c r="AJ3205">
        <v>129.36818106262299</v>
      </c>
      <c r="AK3205">
        <v>0.90498916638592697</v>
      </c>
      <c r="AL3205">
        <v>93.2265854668982</v>
      </c>
      <c r="AM3205">
        <v>110.07249049161</v>
      </c>
      <c r="AN3205">
        <v>1.00000001054688</v>
      </c>
    </row>
    <row r="3206" spans="1:40" x14ac:dyDescent="0.25">
      <c r="A3206" t="str">
        <f>"20190303154200726"</f>
        <v>20190303154200726</v>
      </c>
      <c r="B3206" t="str">
        <f>"1551598920722546"</f>
        <v>1551598920722546</v>
      </c>
      <c r="C3206" t="s">
        <v>40</v>
      </c>
      <c r="D3206">
        <v>5.6863099999999998</v>
      </c>
      <c r="E3206">
        <v>0.39555639999999997</v>
      </c>
      <c r="F3206" t="s">
        <v>42</v>
      </c>
      <c r="G3206">
        <v>-488.00380000000001</v>
      </c>
      <c r="H3206">
        <v>1.018365</v>
      </c>
      <c r="I3206">
        <v>280.86810000000003</v>
      </c>
      <c r="J3206">
        <v>-487.7527</v>
      </c>
      <c r="K3206">
        <v>1.1257159999999999</v>
      </c>
      <c r="L3206">
        <v>281.65410000000003</v>
      </c>
      <c r="M3206">
        <v>-0.84079309999999996</v>
      </c>
      <c r="N3206">
        <v>-1.4261100000000001E-2</v>
      </c>
      <c r="O3206">
        <v>-0.54116889999999995</v>
      </c>
      <c r="P3206">
        <v>-0.60325839999999997</v>
      </c>
      <c r="Q3206">
        <v>-6.567141E-2</v>
      </c>
      <c r="R3206">
        <v>-0.79483780000000004</v>
      </c>
      <c r="S3206">
        <v>-1.101227</v>
      </c>
      <c r="T3206">
        <v>-0.37435449999999998</v>
      </c>
      <c r="U3206">
        <v>-2.91214</v>
      </c>
      <c r="V3206">
        <v>-0.34128709999999901</v>
      </c>
      <c r="W3206">
        <v>-5.5937899999999999E-2</v>
      </c>
      <c r="X3206">
        <v>0.93829320000000005</v>
      </c>
      <c r="Y3206">
        <v>-0.59349379999999996</v>
      </c>
      <c r="Z3206">
        <v>2.0053140000000001E-2</v>
      </c>
      <c r="AA3206">
        <v>0.80458879999999999</v>
      </c>
      <c r="AB3206">
        <v>16</v>
      </c>
      <c r="AC3206">
        <v>-0.25110000000000798</v>
      </c>
      <c r="AD3206">
        <v>-0.107350999999999</v>
      </c>
      <c r="AE3206">
        <v>-0.78600000000000103</v>
      </c>
      <c r="AF3206">
        <v>-0.51629031282818405</v>
      </c>
      <c r="AG3206">
        <v>-0.107350999999999</v>
      </c>
      <c r="AH3206">
        <v>0.62595151913171898</v>
      </c>
      <c r="AI3206">
        <v>97.536651126374494</v>
      </c>
      <c r="AJ3206">
        <v>129.51611181455399</v>
      </c>
      <c r="AK3206">
        <v>0.81847127538144604</v>
      </c>
      <c r="AL3206">
        <v>93.206679278891698</v>
      </c>
      <c r="AM3206">
        <v>109.98793723614401</v>
      </c>
      <c r="AN3206">
        <v>1.0000000312245201</v>
      </c>
    </row>
    <row r="3207" spans="1:40" x14ac:dyDescent="0.25">
      <c r="A3207" t="str">
        <f>"20190303154200739"</f>
        <v>20190303154200739</v>
      </c>
      <c r="B3207" t="str">
        <f>"1551598920733282"</f>
        <v>1551598920733282</v>
      </c>
      <c r="C3207" t="s">
        <v>40</v>
      </c>
      <c r="D3207">
        <v>5.6231330000000002</v>
      </c>
      <c r="E3207">
        <v>0.39635910000000002</v>
      </c>
      <c r="F3207" t="s">
        <v>42</v>
      </c>
      <c r="G3207">
        <v>-488.1</v>
      </c>
      <c r="H3207">
        <v>1.0112559999999999</v>
      </c>
      <c r="I3207">
        <v>280.77769999999998</v>
      </c>
      <c r="J3207">
        <v>-487.8236</v>
      </c>
      <c r="K3207">
        <v>1.12569599999999</v>
      </c>
      <c r="L3207">
        <v>281.6001</v>
      </c>
      <c r="M3207">
        <v>-0.83747240000000001</v>
      </c>
      <c r="N3207">
        <v>-1.4252509999999999E-2</v>
      </c>
      <c r="O3207">
        <v>-0.54629369999999999</v>
      </c>
      <c r="P3207">
        <v>-0.59921650000000004</v>
      </c>
      <c r="Q3207">
        <v>-6.5702800000000006E-2</v>
      </c>
      <c r="R3207">
        <v>-0.79788649999999905</v>
      </c>
      <c r="S3207">
        <v>-1.139893</v>
      </c>
      <c r="T3207">
        <v>-0.37575710000000001</v>
      </c>
      <c r="U3207">
        <v>-2.8782040000000002</v>
      </c>
      <c r="V3207">
        <v>-0.34032000000000001</v>
      </c>
      <c r="W3207">
        <v>-5.5945469999999997E-2</v>
      </c>
      <c r="X3207">
        <v>0.93864389999999998</v>
      </c>
      <c r="Y3207">
        <v>-0.57605119999999999</v>
      </c>
      <c r="Z3207">
        <v>2.2394689999999998E-2</v>
      </c>
      <c r="AA3207">
        <v>0.81710680000000002</v>
      </c>
      <c r="AB3207">
        <v>16</v>
      </c>
      <c r="AC3207">
        <v>-0.27640000000002302</v>
      </c>
      <c r="AD3207">
        <v>-0.114439999999999</v>
      </c>
      <c r="AE3207">
        <v>-0.82240000000001501</v>
      </c>
      <c r="AF3207">
        <v>-0.52859952745190797</v>
      </c>
      <c r="AG3207">
        <v>-0.114439999999999</v>
      </c>
      <c r="AH3207">
        <v>0.66917582969948797</v>
      </c>
      <c r="AI3207">
        <v>97.643327529106003</v>
      </c>
      <c r="AJ3207">
        <v>128.30613229994199</v>
      </c>
      <c r="AK3207">
        <v>0.860412845717902</v>
      </c>
      <c r="AL3207">
        <v>93.207113838171907</v>
      </c>
      <c r="AM3207">
        <v>109.928903256398</v>
      </c>
      <c r="AN3207">
        <v>0.99999998451036498</v>
      </c>
    </row>
    <row r="3208" spans="1:40" x14ac:dyDescent="0.25">
      <c r="A3208" t="str">
        <f>"20190303154200751"</f>
        <v>20190303154200751</v>
      </c>
      <c r="B3208" t="str">
        <f>"1551598920743041"</f>
        <v>1551598920743041</v>
      </c>
      <c r="C3208" t="s">
        <v>40</v>
      </c>
      <c r="D3208">
        <v>5.6450620000000002</v>
      </c>
      <c r="E3208">
        <v>0.39723259999999999</v>
      </c>
      <c r="F3208" t="s">
        <v>42</v>
      </c>
      <c r="G3208">
        <v>-488.1859</v>
      </c>
      <c r="H3208">
        <v>1.0043489999999999</v>
      </c>
      <c r="I3208">
        <v>280.67750000000001</v>
      </c>
      <c r="J3208">
        <v>-487.89019999999999</v>
      </c>
      <c r="K3208">
        <v>1.125675</v>
      </c>
      <c r="L3208">
        <v>281.5487</v>
      </c>
      <c r="M3208">
        <v>-0.83431739999999999</v>
      </c>
      <c r="N3208">
        <v>-1.424452E-2</v>
      </c>
      <c r="O3208">
        <v>-0.55110059999999905</v>
      </c>
      <c r="P3208">
        <v>-0.59548760000000001</v>
      </c>
      <c r="Q3208">
        <v>-6.5868300000000005E-2</v>
      </c>
      <c r="R3208">
        <v>-0.80065980000000003</v>
      </c>
      <c r="S3208">
        <v>-1.130493</v>
      </c>
      <c r="T3208">
        <v>-0.37871339999999998</v>
      </c>
      <c r="U3208">
        <v>-2.8797000000000001</v>
      </c>
      <c r="V3208">
        <v>-0.33929120000000002</v>
      </c>
      <c r="W3208">
        <v>-5.6088560000000003E-2</v>
      </c>
      <c r="X3208">
        <v>0.93900779999999995</v>
      </c>
      <c r="Y3208">
        <v>-0.573824</v>
      </c>
      <c r="Z3208">
        <v>2.3511959999999998E-2</v>
      </c>
      <c r="AA3208">
        <v>0.81864099999999995</v>
      </c>
      <c r="AB3208">
        <v>16</v>
      </c>
      <c r="AC3208">
        <v>-0.29570000000001001</v>
      </c>
      <c r="AD3208">
        <v>-0.121326</v>
      </c>
      <c r="AE3208">
        <v>-0.87119999999998698</v>
      </c>
      <c r="AF3208">
        <v>-0.55431407861770599</v>
      </c>
      <c r="AG3208">
        <v>-0.121326</v>
      </c>
      <c r="AH3208">
        <v>0.71447489938231401</v>
      </c>
      <c r="AI3208">
        <v>97.641586058017097</v>
      </c>
      <c r="AJ3208">
        <v>127.80553400245699</v>
      </c>
      <c r="AK3208">
        <v>0.912391625277854</v>
      </c>
      <c r="AL3208">
        <v>93.215324984531904</v>
      </c>
      <c r="AM3208">
        <v>109.86628188848999</v>
      </c>
      <c r="AN3208">
        <v>1.0000000467105701</v>
      </c>
    </row>
    <row r="3209" spans="1:40" x14ac:dyDescent="0.25">
      <c r="A3209" t="str">
        <f>"20190303154200763"</f>
        <v>20190303154200763</v>
      </c>
      <c r="B3209" t="str">
        <f>"1551598920752802"</f>
        <v>1551598920752802</v>
      </c>
      <c r="C3209" t="s">
        <v>40</v>
      </c>
      <c r="D3209">
        <v>5.6667839999999998</v>
      </c>
      <c r="E3209">
        <v>0.39770169999999999</v>
      </c>
      <c r="F3209" t="s">
        <v>42</v>
      </c>
      <c r="G3209">
        <v>-488.21780000000001</v>
      </c>
      <c r="H3209">
        <v>1.015123</v>
      </c>
      <c r="I3209">
        <v>280.70859999999999</v>
      </c>
      <c r="J3209">
        <v>-487.95370000000003</v>
      </c>
      <c r="K3209">
        <v>1.125658</v>
      </c>
      <c r="L3209">
        <v>281.49900000000002</v>
      </c>
      <c r="M3209">
        <v>-0.83126939999999905</v>
      </c>
      <c r="N3209">
        <v>-1.423725E-2</v>
      </c>
      <c r="O3209">
        <v>-0.55568719999999905</v>
      </c>
      <c r="P3209">
        <v>-0.59163269999999901</v>
      </c>
      <c r="Q3209">
        <v>-6.6308919999999993E-2</v>
      </c>
      <c r="R3209">
        <v>-0.80347619999999997</v>
      </c>
      <c r="S3209">
        <v>-1.123108</v>
      </c>
      <c r="T3209">
        <v>-0.37899490000000002</v>
      </c>
      <c r="U3209">
        <v>-2.8804020000000001</v>
      </c>
      <c r="V3209">
        <v>-0.33860010000000001</v>
      </c>
      <c r="W3209">
        <v>-5.6513849999999997E-2</v>
      </c>
      <c r="X3209">
        <v>0.9392317</v>
      </c>
      <c r="Y3209">
        <v>-0.57123619999999997</v>
      </c>
      <c r="Z3209">
        <v>2.438827E-2</v>
      </c>
      <c r="AA3209">
        <v>0.82042329999999997</v>
      </c>
      <c r="AB3209">
        <v>16</v>
      </c>
      <c r="AC3209">
        <v>-0.26409999999998401</v>
      </c>
      <c r="AD3209">
        <v>-0.11053499999999999</v>
      </c>
      <c r="AE3209">
        <v>-0.79040000000003297</v>
      </c>
      <c r="AF3209">
        <v>-0.50150712286880805</v>
      </c>
      <c r="AG3209">
        <v>-0.11053499999999999</v>
      </c>
      <c r="AH3209">
        <v>0.64743003846906999</v>
      </c>
      <c r="AI3209">
        <v>97.686873202266398</v>
      </c>
      <c r="AJ3209">
        <v>127.761795434601</v>
      </c>
      <c r="AK3209">
        <v>0.82637342359566002</v>
      </c>
      <c r="AL3209">
        <v>93.239731121847598</v>
      </c>
      <c r="AM3209">
        <v>109.824615205542</v>
      </c>
      <c r="AN3209">
        <v>1.0000000146233601</v>
      </c>
    </row>
    <row r="3210" spans="1:40" x14ac:dyDescent="0.25">
      <c r="A3210" t="str">
        <f>"20190303154200775"</f>
        <v>20190303154200775</v>
      </c>
      <c r="B3210" t="str">
        <f>"1551598920762562"</f>
        <v>1551598920762562</v>
      </c>
      <c r="C3210" t="s">
        <v>40</v>
      </c>
      <c r="D3210">
        <v>5.6703519999999896</v>
      </c>
      <c r="E3210">
        <v>0.39813690000000002</v>
      </c>
      <c r="F3210" t="s">
        <v>42</v>
      </c>
      <c r="G3210">
        <v>-488.29910000000001</v>
      </c>
      <c r="H3210">
        <v>1.008475</v>
      </c>
      <c r="I3210">
        <v>280.60399999999998</v>
      </c>
      <c r="J3210">
        <v>-488.0172</v>
      </c>
      <c r="K3210">
        <v>1.1256409999999999</v>
      </c>
      <c r="L3210">
        <v>281.44900000000001</v>
      </c>
      <c r="M3210">
        <v>-0.8281984</v>
      </c>
      <c r="N3210">
        <v>-1.423026E-2</v>
      </c>
      <c r="O3210">
        <v>-0.56025440000000004</v>
      </c>
      <c r="P3210">
        <v>-0.5885475</v>
      </c>
      <c r="Q3210">
        <v>-6.7103789999999996E-2</v>
      </c>
      <c r="R3210">
        <v>-0.80567349999999904</v>
      </c>
      <c r="S3210">
        <v>-1.1121829999999999</v>
      </c>
      <c r="T3210">
        <v>-0.37745299999999998</v>
      </c>
      <c r="U3210">
        <v>-2.8837280000000001</v>
      </c>
      <c r="V3210">
        <v>-0.336972099999999</v>
      </c>
      <c r="W3210">
        <v>-5.7279719999999999E-2</v>
      </c>
      <c r="X3210">
        <v>0.93977060000000001</v>
      </c>
      <c r="Y3210">
        <v>-0.56977889999999998</v>
      </c>
      <c r="Z3210">
        <v>2.4988739999999999E-2</v>
      </c>
      <c r="AA3210">
        <v>0.82141799999999998</v>
      </c>
      <c r="AB3210">
        <v>16</v>
      </c>
      <c r="AC3210">
        <v>-0.28190000000000698</v>
      </c>
      <c r="AD3210">
        <v>-0.11716599999999899</v>
      </c>
      <c r="AE3210">
        <v>-0.84499999999997</v>
      </c>
      <c r="AF3210">
        <v>-0.53273025013273001</v>
      </c>
      <c r="AG3210">
        <v>-0.11716599999999899</v>
      </c>
      <c r="AH3210">
        <v>0.69493291762758103</v>
      </c>
      <c r="AI3210">
        <v>97.621317395708402</v>
      </c>
      <c r="AJ3210">
        <v>127.473497279726</v>
      </c>
      <c r="AK3210">
        <v>0.88343712337939695</v>
      </c>
      <c r="AL3210">
        <v>93.283683582360595</v>
      </c>
      <c r="AM3210">
        <v>109.726232588532</v>
      </c>
      <c r="AN3210">
        <v>0.999999971563023</v>
      </c>
    </row>
    <row r="3211" spans="1:40" x14ac:dyDescent="0.25">
      <c r="A3211" t="str">
        <f>"20190303154200785"</f>
        <v>20190303154200785</v>
      </c>
      <c r="B3211" t="str">
        <f>"1551598920783058"</f>
        <v>1551598920783058</v>
      </c>
      <c r="C3211" t="s">
        <v>40</v>
      </c>
      <c r="D3211">
        <v>5.6691339999999997</v>
      </c>
      <c r="E3211">
        <v>0.39920620000000001</v>
      </c>
      <c r="F3211" t="s">
        <v>42</v>
      </c>
      <c r="G3211">
        <v>-488.32940000000002</v>
      </c>
      <c r="H3211">
        <v>1.0190189999999999</v>
      </c>
      <c r="I3211">
        <v>280.63299999999998</v>
      </c>
      <c r="J3211">
        <v>-488.0729</v>
      </c>
      <c r="K3211">
        <v>1.125623</v>
      </c>
      <c r="L3211">
        <v>281.40429999999998</v>
      </c>
      <c r="M3211">
        <v>-0.82546129999999995</v>
      </c>
      <c r="N3211">
        <v>-1.4224560000000001E-2</v>
      </c>
      <c r="O3211">
        <v>-0.56427939999999999</v>
      </c>
      <c r="P3211">
        <v>-0.58561470000000004</v>
      </c>
      <c r="Q3211">
        <v>-6.8066669999999996E-2</v>
      </c>
      <c r="R3211">
        <v>-0.80772639999999996</v>
      </c>
      <c r="S3211">
        <v>-1.1035459999999999</v>
      </c>
      <c r="T3211">
        <v>-0.37693870000000002</v>
      </c>
      <c r="U3211">
        <v>-2.886139</v>
      </c>
      <c r="V3211">
        <v>-0.3357387</v>
      </c>
      <c r="W3211">
        <v>-5.822215E-2</v>
      </c>
      <c r="X3211">
        <v>0.94015409999999999</v>
      </c>
      <c r="Y3211">
        <v>-0.56818159999999995</v>
      </c>
      <c r="Z3211">
        <v>2.5620509999999999E-2</v>
      </c>
      <c r="AA3211">
        <v>0.82250419999999902</v>
      </c>
      <c r="AB3211">
        <v>16</v>
      </c>
      <c r="AC3211">
        <v>-0.25650000000001599</v>
      </c>
      <c r="AD3211">
        <v>-0.10660399999999901</v>
      </c>
      <c r="AE3211">
        <v>-0.77129999999999599</v>
      </c>
      <c r="AF3211">
        <v>-0.48367096217594202</v>
      </c>
      <c r="AG3211">
        <v>-0.10660399999999901</v>
      </c>
      <c r="AH3211">
        <v>0.63608393733694601</v>
      </c>
      <c r="AI3211">
        <v>97.598802515501504</v>
      </c>
      <c r="AJ3211">
        <v>127.248943929549</v>
      </c>
      <c r="AK3211">
        <v>0.80616672457145899</v>
      </c>
      <c r="AL3211">
        <v>93.3377709812343</v>
      </c>
      <c r="AM3211">
        <v>109.65216898444299</v>
      </c>
      <c r="AN3211">
        <v>1.0000000125875601</v>
      </c>
    </row>
    <row r="3212" spans="1:40" x14ac:dyDescent="0.25">
      <c r="A3212" t="str">
        <f>"20190303154200797"</f>
        <v>20190303154200797</v>
      </c>
      <c r="B3212" t="str">
        <f>"1551598920792817"</f>
        <v>1551598920792817</v>
      </c>
      <c r="C3212" t="s">
        <v>40</v>
      </c>
      <c r="D3212">
        <v>5.672955</v>
      </c>
      <c r="E3212">
        <v>0.39941169999999998</v>
      </c>
      <c r="F3212" t="s">
        <v>42</v>
      </c>
      <c r="G3212">
        <v>-488.40780000000001</v>
      </c>
      <c r="H3212">
        <v>1.0100769999999999</v>
      </c>
      <c r="I3212">
        <v>280.52589999999998</v>
      </c>
      <c r="J3212">
        <v>-488.13499999999999</v>
      </c>
      <c r="K3212">
        <v>1.1256060000000001</v>
      </c>
      <c r="L3212">
        <v>281.3544</v>
      </c>
      <c r="M3212">
        <v>-0.82238860000000003</v>
      </c>
      <c r="N3212">
        <v>-1.4218440000000001E-2</v>
      </c>
      <c r="O3212">
        <v>-0.56874849999999999</v>
      </c>
      <c r="P3212">
        <v>-0.58240780000000003</v>
      </c>
      <c r="Q3212">
        <v>-6.9109399999999904E-2</v>
      </c>
      <c r="R3212">
        <v>-0.8099539</v>
      </c>
      <c r="S3212">
        <v>-1.0997920000000001</v>
      </c>
      <c r="T3212">
        <v>-0.37947930000000002</v>
      </c>
      <c r="U3212">
        <v>-2.884735</v>
      </c>
      <c r="V3212">
        <v>-0.33428590000000002</v>
      </c>
      <c r="W3212">
        <v>-5.9241160000000001E-2</v>
      </c>
      <c r="X3212">
        <v>0.940608</v>
      </c>
      <c r="Y3212">
        <v>-0.56454559999999998</v>
      </c>
      <c r="Z3212">
        <v>2.6792E-2</v>
      </c>
      <c r="AA3212">
        <v>0.82496700000000001</v>
      </c>
      <c r="AB3212">
        <v>16</v>
      </c>
      <c r="AC3212">
        <v>-0.27280000000001697</v>
      </c>
      <c r="AD3212">
        <v>-0.11552899999999899</v>
      </c>
      <c r="AE3212">
        <v>-0.828500000000019</v>
      </c>
      <c r="AF3212">
        <v>-0.51717497537264501</v>
      </c>
      <c r="AG3212">
        <v>-0.11552899999999899</v>
      </c>
      <c r="AH3212">
        <v>0.68363336499882899</v>
      </c>
      <c r="AI3212">
        <v>97.675609334168598</v>
      </c>
      <c r="AJ3212">
        <v>127.10784305705801</v>
      </c>
      <c r="AK3212">
        <v>0.864969064610012</v>
      </c>
      <c r="AL3212">
        <v>93.396256977189395</v>
      </c>
      <c r="AM3212">
        <v>109.564878644714</v>
      </c>
      <c r="AN3212">
        <v>0.999999993820477</v>
      </c>
    </row>
    <row r="3213" spans="1:40" x14ac:dyDescent="0.25">
      <c r="A3213" t="str">
        <f>"20190303154200809"</f>
        <v>20190303154200809</v>
      </c>
      <c r="B3213" t="str">
        <f>"1551598920802578"</f>
        <v>1551598920802578</v>
      </c>
      <c r="C3213" t="s">
        <v>40</v>
      </c>
      <c r="D3213">
        <v>5.6653339999999996</v>
      </c>
      <c r="E3213">
        <v>0.39983869999999999</v>
      </c>
      <c r="F3213" t="s">
        <v>42</v>
      </c>
      <c r="G3213">
        <v>-488.48739999999998</v>
      </c>
      <c r="H3213">
        <v>1.002318</v>
      </c>
      <c r="I3213">
        <v>280.42079999999999</v>
      </c>
      <c r="J3213">
        <v>-488.19979999999998</v>
      </c>
      <c r="K3213">
        <v>1.125594</v>
      </c>
      <c r="L3213">
        <v>281.30149999999998</v>
      </c>
      <c r="M3213">
        <v>-0.81913970000000003</v>
      </c>
      <c r="N3213">
        <v>-1.421271E-2</v>
      </c>
      <c r="O3213">
        <v>-0.57341839999999999</v>
      </c>
      <c r="P3213">
        <v>-0.57875690000000002</v>
      </c>
      <c r="Q3213">
        <v>-7.0087239999999995E-2</v>
      </c>
      <c r="R3213">
        <v>-0.81248330000000002</v>
      </c>
      <c r="S3213">
        <v>-1.0898129999999999</v>
      </c>
      <c r="T3213">
        <v>-0.38130340000000001</v>
      </c>
      <c r="U3213">
        <v>-2.887756</v>
      </c>
      <c r="V3213">
        <v>-0.33309040000000001</v>
      </c>
      <c r="W3213">
        <v>-6.0200749999999997E-2</v>
      </c>
      <c r="X3213">
        <v>0.94097109999999995</v>
      </c>
      <c r="Y3213">
        <v>-0.56265390000000004</v>
      </c>
      <c r="Z3213">
        <v>2.777514E-2</v>
      </c>
      <c r="AA3213">
        <v>0.82622580000000001</v>
      </c>
      <c r="AB3213">
        <v>16</v>
      </c>
      <c r="AC3213">
        <v>-0.28759999999999702</v>
      </c>
      <c r="AD3213">
        <v>-0.123275999999999</v>
      </c>
      <c r="AE3213">
        <v>-0.88069999999999005</v>
      </c>
      <c r="AF3213">
        <v>-0.54687488609435397</v>
      </c>
      <c r="AG3213">
        <v>-0.123275999999999</v>
      </c>
      <c r="AH3213">
        <v>0.72778342058353496</v>
      </c>
      <c r="AI3213">
        <v>97.711840520713906</v>
      </c>
      <c r="AJ3213">
        <v>126.922127201739</v>
      </c>
      <c r="AK3213">
        <v>0.91866088438170901</v>
      </c>
      <c r="AL3213">
        <v>93.451335801057198</v>
      </c>
      <c r="AM3213">
        <v>109.49323965956501</v>
      </c>
      <c r="AN3213">
        <v>0.999999977953966</v>
      </c>
    </row>
    <row r="3214" spans="1:40" x14ac:dyDescent="0.25">
      <c r="A3214" t="str">
        <f>"20190303154200824"</f>
        <v>20190303154200824</v>
      </c>
      <c r="B3214" t="str">
        <f>"1551598920812868"</f>
        <v>1551598920812868</v>
      </c>
      <c r="C3214" t="s">
        <v>40</v>
      </c>
      <c r="D3214">
        <v>5.7414649999999998</v>
      </c>
      <c r="E3214">
        <v>0.40000190000000002</v>
      </c>
      <c r="F3214" t="s">
        <v>42</v>
      </c>
      <c r="G3214">
        <v>-488.5181</v>
      </c>
      <c r="H3214">
        <v>1.012257</v>
      </c>
      <c r="I3214">
        <v>280.44909999999999</v>
      </c>
      <c r="J3214">
        <v>-488.2765</v>
      </c>
      <c r="K3214">
        <v>1.1255809999999999</v>
      </c>
      <c r="L3214">
        <v>281.23809999999997</v>
      </c>
      <c r="M3214">
        <v>-0.81524059999999998</v>
      </c>
      <c r="N3214">
        <v>-1.420632E-2</v>
      </c>
      <c r="O3214">
        <v>-0.57894809999999997</v>
      </c>
      <c r="P3214">
        <v>-0.57500609999999996</v>
      </c>
      <c r="Q3214">
        <v>-7.0997160000000004E-2</v>
      </c>
      <c r="R3214">
        <v>-0.81506279999999998</v>
      </c>
      <c r="S3214">
        <v>-1.079132</v>
      </c>
      <c r="T3214">
        <v>-0.38427559999999999</v>
      </c>
      <c r="U3214">
        <v>-2.8905029999999998</v>
      </c>
      <c r="V3214">
        <v>-0.33098820000000001</v>
      </c>
      <c r="W3214">
        <v>-6.1079519999999998E-2</v>
      </c>
      <c r="X3214">
        <v>0.9416561</v>
      </c>
      <c r="Y3214">
        <v>-0.5600231</v>
      </c>
      <c r="Z3214">
        <v>2.906885E-2</v>
      </c>
      <c r="AA3214">
        <v>0.82796689999999995</v>
      </c>
      <c r="AB3214">
        <v>16</v>
      </c>
      <c r="AC3214">
        <v>-0.24160000000000501</v>
      </c>
      <c r="AD3214">
        <v>-0.11332399999999899</v>
      </c>
      <c r="AE3214">
        <v>-0.78899999999998705</v>
      </c>
      <c r="AF3214">
        <v>-0.49408286274255298</v>
      </c>
      <c r="AG3214">
        <v>-0.11332399999999899</v>
      </c>
      <c r="AH3214">
        <v>0.64171476014764905</v>
      </c>
      <c r="AI3214">
        <v>97.965442192984</v>
      </c>
      <c r="AJ3214">
        <v>127.594168988974</v>
      </c>
      <c r="AK3214">
        <v>0.81777627602128</v>
      </c>
      <c r="AL3214">
        <v>93.501778181075196</v>
      </c>
      <c r="AM3214">
        <v>109.36636265568799</v>
      </c>
      <c r="AN3214">
        <v>1.00000005348493</v>
      </c>
    </row>
    <row r="3215" spans="1:40" x14ac:dyDescent="0.25">
      <c r="A3215" t="str">
        <f>"20190303154200839"</f>
        <v>20190303154200839</v>
      </c>
      <c r="B3215" t="str">
        <f>"1551598920832364"</f>
        <v>1551598920832364</v>
      </c>
      <c r="C3215" t="s">
        <v>40</v>
      </c>
      <c r="D3215">
        <v>5.7153479999999997</v>
      </c>
      <c r="E3215">
        <v>0.40088960000000001</v>
      </c>
      <c r="F3215" t="s">
        <v>42</v>
      </c>
      <c r="G3215">
        <v>-488.60379999999998</v>
      </c>
      <c r="H3215">
        <v>1.0063200000000001</v>
      </c>
      <c r="I3215">
        <v>280.34969999999998</v>
      </c>
      <c r="J3215">
        <v>-488.34879999999998</v>
      </c>
      <c r="K3215">
        <v>1.125577</v>
      </c>
      <c r="L3215">
        <v>281.17770000000002</v>
      </c>
      <c r="M3215">
        <v>-0.81151450000000003</v>
      </c>
      <c r="N3215">
        <v>-1.4201480000000001E-2</v>
      </c>
      <c r="O3215">
        <v>-0.58415969999999995</v>
      </c>
      <c r="P3215">
        <v>-0.57057170000000001</v>
      </c>
      <c r="Q3215">
        <v>-7.112446E-2</v>
      </c>
      <c r="R3215">
        <v>-0.8181621</v>
      </c>
      <c r="S3215">
        <v>-1.066376</v>
      </c>
      <c r="T3215">
        <v>-0.38859149999999998</v>
      </c>
      <c r="U3215">
        <v>-2.8945620000000001</v>
      </c>
      <c r="V3215">
        <v>-0.3300594</v>
      </c>
      <c r="W3215">
        <v>-6.1193890000000001E-2</v>
      </c>
      <c r="X3215">
        <v>0.9419746</v>
      </c>
      <c r="Y3215">
        <v>-0.55832009999999999</v>
      </c>
      <c r="Z3215">
        <v>3.040085E-2</v>
      </c>
      <c r="AA3215">
        <v>0.82906849999999999</v>
      </c>
      <c r="AB3215">
        <v>16</v>
      </c>
      <c r="AC3215">
        <v>-0.25499999999999501</v>
      </c>
      <c r="AD3215">
        <v>-0.119256999999999</v>
      </c>
      <c r="AE3215">
        <v>-0.82800000000003104</v>
      </c>
      <c r="AF3215">
        <v>-0.513300219752998</v>
      </c>
      <c r="AG3215">
        <v>-0.119256999999999</v>
      </c>
      <c r="AH3215">
        <v>0.67784651699282295</v>
      </c>
      <c r="AI3215">
        <v>97.984129828753495</v>
      </c>
      <c r="AJ3215">
        <v>127.13487697017</v>
      </c>
      <c r="AK3215">
        <v>0.85858910326580395</v>
      </c>
      <c r="AL3215">
        <v>93.508343485650798</v>
      </c>
      <c r="AM3215">
        <v>109.310000407153</v>
      </c>
      <c r="AN3215">
        <v>1.0000000233734201</v>
      </c>
    </row>
    <row r="3216" spans="1:40" x14ac:dyDescent="0.25">
      <c r="A3216" t="str">
        <f>"20190303154200858"</f>
        <v>20190303154200858</v>
      </c>
      <c r="B3216" t="str">
        <f>"1551598920852861"</f>
        <v>1551598920852861</v>
      </c>
      <c r="C3216" t="s">
        <v>40</v>
      </c>
      <c r="D3216">
        <v>5.7450369999999999</v>
      </c>
      <c r="E3216">
        <v>0.4011883</v>
      </c>
      <c r="F3216" t="s">
        <v>42</v>
      </c>
      <c r="G3216">
        <v>-488.68770000000001</v>
      </c>
      <c r="H3216">
        <v>1.0011049999999999</v>
      </c>
      <c r="I3216">
        <v>280.24930000000001</v>
      </c>
      <c r="J3216">
        <v>-488.45139999999998</v>
      </c>
      <c r="K3216">
        <v>1.125583</v>
      </c>
      <c r="L3216">
        <v>281.09039999999999</v>
      </c>
      <c r="M3216">
        <v>-0.80612039999999996</v>
      </c>
      <c r="N3216">
        <v>-1.4173959999999999E-2</v>
      </c>
      <c r="O3216">
        <v>-0.59158189999999999</v>
      </c>
      <c r="P3216">
        <v>-0.56453779999999998</v>
      </c>
      <c r="Q3216">
        <v>-7.096935E-2</v>
      </c>
      <c r="R3216">
        <v>-0.82235059999999904</v>
      </c>
      <c r="S3216">
        <v>-1.056824</v>
      </c>
      <c r="T3216">
        <v>-0.38813379999999997</v>
      </c>
      <c r="U3216">
        <v>-2.895966</v>
      </c>
      <c r="V3216">
        <v>-0.32835679999999901</v>
      </c>
      <c r="W3216">
        <v>-6.1045149999999999E-2</v>
      </c>
      <c r="X3216">
        <v>0.9425791</v>
      </c>
      <c r="Y3216">
        <v>-0.55330900000000005</v>
      </c>
      <c r="Z3216">
        <v>3.1824119999999997E-2</v>
      </c>
      <c r="AA3216">
        <v>0.832368</v>
      </c>
      <c r="AB3216">
        <v>16</v>
      </c>
      <c r="AC3216">
        <v>-0.23630000000002799</v>
      </c>
      <c r="AD3216">
        <v>-0.12447800000000001</v>
      </c>
      <c r="AE3216">
        <v>-0.84109999999998297</v>
      </c>
      <c r="AF3216">
        <v>-0.52758116963869195</v>
      </c>
      <c r="AG3216">
        <v>-0.12447800000000001</v>
      </c>
      <c r="AH3216">
        <v>0.67444361560478705</v>
      </c>
      <c r="AI3216">
        <v>98.271183230305894</v>
      </c>
      <c r="AJ3216">
        <v>128.034171074624</v>
      </c>
      <c r="AK3216">
        <v>0.86528079469695196</v>
      </c>
      <c r="AL3216">
        <v>93.499805329094102</v>
      </c>
      <c r="AM3216">
        <v>109.206289916899</v>
      </c>
      <c r="AN3216">
        <v>1.00000002910078</v>
      </c>
    </row>
    <row r="3217" spans="1:40" x14ac:dyDescent="0.25">
      <c r="A3217" t="str">
        <f>"20190303154200872"</f>
        <v>20190303154200872</v>
      </c>
      <c r="B3217" t="str">
        <f>"1551598920862621"</f>
        <v>1551598920862621</v>
      </c>
      <c r="C3217" t="s">
        <v>40</v>
      </c>
      <c r="D3217">
        <v>5.7628629999999896</v>
      </c>
      <c r="E3217">
        <v>0.4075204</v>
      </c>
      <c r="F3217" t="s">
        <v>42</v>
      </c>
      <c r="G3217">
        <v>-488.78410000000002</v>
      </c>
      <c r="H3217">
        <v>1.0009269999999999</v>
      </c>
      <c r="I3217">
        <v>280.15910000000002</v>
      </c>
      <c r="J3217">
        <v>-488.52629999999999</v>
      </c>
      <c r="K3217">
        <v>1.12558</v>
      </c>
      <c r="L3217">
        <v>281.02569999999997</v>
      </c>
      <c r="M3217">
        <v>-0.80207209999999995</v>
      </c>
      <c r="N3217">
        <v>-1.4008720000000001E-2</v>
      </c>
      <c r="O3217">
        <v>-0.59706309999999996</v>
      </c>
      <c r="P3217">
        <v>-0.55976819999999905</v>
      </c>
      <c r="Q3217">
        <v>-7.0566909999999997E-2</v>
      </c>
      <c r="R3217">
        <v>-0.82563920000000002</v>
      </c>
      <c r="S3217">
        <v>-1.0372619999999999</v>
      </c>
      <c r="T3217">
        <v>-0.38860709999999998</v>
      </c>
      <c r="U3217">
        <v>-2.902466</v>
      </c>
      <c r="V3217">
        <v>-0.32741510000000001</v>
      </c>
      <c r="W3217">
        <v>-6.0816330000000002E-2</v>
      </c>
      <c r="X3217">
        <v>0.94292140000000002</v>
      </c>
      <c r="Y3217">
        <v>-0.55323140000000004</v>
      </c>
      <c r="Z3217">
        <v>3.2808150000000001E-2</v>
      </c>
      <c r="AA3217">
        <v>0.83238129999999999</v>
      </c>
      <c r="AB3217">
        <v>16</v>
      </c>
      <c r="AC3217">
        <v>-0.257800000000031</v>
      </c>
      <c r="AD3217">
        <v>-0.124652999999999</v>
      </c>
      <c r="AE3217">
        <v>-0.86659999999994797</v>
      </c>
      <c r="AF3217">
        <v>-0.53111040573026902</v>
      </c>
      <c r="AG3217">
        <v>-0.124652999999999</v>
      </c>
      <c r="AH3217">
        <v>0.71074997722340005</v>
      </c>
      <c r="AI3217">
        <v>97.997192854542106</v>
      </c>
      <c r="AJ3217">
        <v>126.769052451523</v>
      </c>
      <c r="AK3217">
        <v>0.89598111788532397</v>
      </c>
      <c r="AL3217">
        <v>93.486670535909099</v>
      </c>
      <c r="AM3217">
        <v>109.14877928511299</v>
      </c>
      <c r="AN3217">
        <v>1.0000000201403101</v>
      </c>
    </row>
    <row r="3218" spans="1:40" x14ac:dyDescent="0.25">
      <c r="A3218" t="str">
        <f>"20190303154200884"</f>
        <v>20190303154200884</v>
      </c>
      <c r="B3218" t="str">
        <f>"1551598920872381"</f>
        <v>1551598920872381</v>
      </c>
      <c r="C3218" t="s">
        <v>40</v>
      </c>
      <c r="D3218">
        <v>5.7797580000000002</v>
      </c>
      <c r="E3218">
        <v>0.40814129999999998</v>
      </c>
      <c r="F3218" t="s">
        <v>42</v>
      </c>
      <c r="G3218">
        <v>-488.83069999999998</v>
      </c>
      <c r="H3218">
        <v>1.0079100000000001</v>
      </c>
      <c r="I3218">
        <v>280.19990000000001</v>
      </c>
      <c r="J3218">
        <v>-488.58300000000003</v>
      </c>
      <c r="K3218">
        <v>1.1255809999999999</v>
      </c>
      <c r="L3218">
        <v>280.976</v>
      </c>
      <c r="M3218">
        <v>-0.79896440000000002</v>
      </c>
      <c r="N3218">
        <v>-1.38624E-2</v>
      </c>
      <c r="O3218">
        <v>-0.60121880000000005</v>
      </c>
      <c r="P3218">
        <v>-0.55634989999999995</v>
      </c>
      <c r="Q3218">
        <v>-7.0404389999999997E-2</v>
      </c>
      <c r="R3218">
        <v>-0.82796049999999999</v>
      </c>
      <c r="S3218">
        <v>-1.0612490000000001</v>
      </c>
      <c r="T3218">
        <v>-0.4102982</v>
      </c>
      <c r="U3218">
        <v>-2.8789669999999998</v>
      </c>
      <c r="V3218">
        <v>-0.32642690000000002</v>
      </c>
      <c r="W3218">
        <v>-6.0806060000000002E-2</v>
      </c>
      <c r="X3218">
        <v>0.94326460000000001</v>
      </c>
      <c r="Y3218">
        <v>-0.5406126</v>
      </c>
      <c r="Z3218">
        <v>3.7196699999999999E-2</v>
      </c>
      <c r="AA3218">
        <v>0.840449</v>
      </c>
      <c r="AB3218">
        <v>16</v>
      </c>
      <c r="AC3218">
        <v>-0.24769999999995199</v>
      </c>
      <c r="AD3218">
        <v>-0.117670999999999</v>
      </c>
      <c r="AE3218">
        <v>-0.77609999999998502</v>
      </c>
      <c r="AF3218">
        <v>-0.461569861106504</v>
      </c>
      <c r="AG3218">
        <v>-0.117670999999999</v>
      </c>
      <c r="AH3218">
        <v>0.65099153250304798</v>
      </c>
      <c r="AI3218">
        <v>98.388025430075999</v>
      </c>
      <c r="AJ3218">
        <v>125.337628551447</v>
      </c>
      <c r="AK3218">
        <v>0.80664935152366202</v>
      </c>
      <c r="AL3218">
        <v>93.486081081268594</v>
      </c>
      <c r="AM3218">
        <v>109.088731038699</v>
      </c>
      <c r="AN3218">
        <v>1.0000000017947399</v>
      </c>
    </row>
    <row r="3219" spans="1:40" x14ac:dyDescent="0.25">
      <c r="A3219" t="str">
        <f>"20190303154200896"</f>
        <v>20190303154200896</v>
      </c>
      <c r="B3219" t="str">
        <f>"1551598920892877"</f>
        <v>1551598920892877</v>
      </c>
      <c r="C3219" t="s">
        <v>40</v>
      </c>
      <c r="D3219">
        <v>5.8035350000000001</v>
      </c>
      <c r="E3219">
        <v>0.40827079999999999</v>
      </c>
      <c r="F3219" t="s">
        <v>42</v>
      </c>
      <c r="G3219">
        <v>-488.9067</v>
      </c>
      <c r="H3219">
        <v>0.99948139999999996</v>
      </c>
      <c r="I3219">
        <v>280.09100000000001</v>
      </c>
      <c r="J3219">
        <v>-488.6456</v>
      </c>
      <c r="K3219">
        <v>1.1255790000000001</v>
      </c>
      <c r="L3219">
        <v>280.92079999999999</v>
      </c>
      <c r="M3219">
        <v>-0.79550459999999901</v>
      </c>
      <c r="N3219">
        <v>-1.3692879999999999E-2</v>
      </c>
      <c r="O3219">
        <v>-0.60579300000000003</v>
      </c>
      <c r="P3219">
        <v>-0.55212320000000004</v>
      </c>
      <c r="Q3219">
        <v>-6.9840429999999995E-2</v>
      </c>
      <c r="R3219">
        <v>-0.83083249999999997</v>
      </c>
      <c r="S3219">
        <v>-1.0532840000000001</v>
      </c>
      <c r="T3219">
        <v>-0.41036119999999998</v>
      </c>
      <c r="U3219">
        <v>-2.8806759999999998</v>
      </c>
      <c r="V3219">
        <v>-0.32585950000000002</v>
      </c>
      <c r="W3219">
        <v>-6.0426939999999998E-2</v>
      </c>
      <c r="X3219">
        <v>0.94348509999999997</v>
      </c>
      <c r="Y3219">
        <v>-0.53804730000000001</v>
      </c>
      <c r="Z3219">
        <v>3.8250039999999999E-2</v>
      </c>
      <c r="AA3219">
        <v>0.84204639999999997</v>
      </c>
      <c r="AB3219">
        <v>16</v>
      </c>
      <c r="AC3219">
        <v>-0.261099999999999</v>
      </c>
      <c r="AD3219">
        <v>-0.1260976</v>
      </c>
      <c r="AE3219">
        <v>-0.829799999999977</v>
      </c>
      <c r="AF3219">
        <v>-0.49165357357538197</v>
      </c>
      <c r="AG3219">
        <v>-0.1260976</v>
      </c>
      <c r="AH3219">
        <v>0.69583888277827499</v>
      </c>
      <c r="AI3219">
        <v>98.418705370233198</v>
      </c>
      <c r="AJ3219">
        <v>125.24358955789</v>
      </c>
      <c r="AK3219">
        <v>0.86128717157596302</v>
      </c>
      <c r="AL3219">
        <v>93.464319158597306</v>
      </c>
      <c r="AM3219">
        <v>109.05381357079</v>
      </c>
      <c r="AN3219">
        <v>0.999999981370011</v>
      </c>
    </row>
    <row r="3220" spans="1:40" x14ac:dyDescent="0.25">
      <c r="A3220" t="str">
        <f>"20190303154200908"</f>
        <v>20190303154200908</v>
      </c>
      <c r="B3220" t="str">
        <f>"1551598920902637"</f>
        <v>1551598920902637</v>
      </c>
      <c r="C3220" t="s">
        <v>40</v>
      </c>
      <c r="D3220">
        <v>5.8173890000000004</v>
      </c>
      <c r="E3220">
        <v>0.40844390000000003</v>
      </c>
      <c r="F3220" t="s">
        <v>42</v>
      </c>
      <c r="G3220">
        <v>-488.98329999999999</v>
      </c>
      <c r="H3220">
        <v>0.99294610000000005</v>
      </c>
      <c r="I3220">
        <v>279.98320000000001</v>
      </c>
      <c r="J3220">
        <v>-488.70890000000003</v>
      </c>
      <c r="K3220">
        <v>1.125583</v>
      </c>
      <c r="L3220">
        <v>280.86399999999998</v>
      </c>
      <c r="M3220">
        <v>-0.79197569999999995</v>
      </c>
      <c r="N3220">
        <v>-1.360781E-2</v>
      </c>
      <c r="O3220">
        <v>-0.61040130000000004</v>
      </c>
      <c r="P3220">
        <v>-0.54778870000000002</v>
      </c>
      <c r="Q3220">
        <v>-7.0474889999999998E-2</v>
      </c>
      <c r="R3220">
        <v>-0.83364340000000003</v>
      </c>
      <c r="S3220">
        <v>-1.0392760000000001</v>
      </c>
      <c r="T3220">
        <v>-0.40822799999999998</v>
      </c>
      <c r="U3220">
        <v>-2.8858950000000001</v>
      </c>
      <c r="V3220">
        <v>-0.32524509999999901</v>
      </c>
      <c r="W3220">
        <v>-6.114344E-2</v>
      </c>
      <c r="X3220">
        <v>0.94365100000000002</v>
      </c>
      <c r="Y3220">
        <v>-0.53729789999999999</v>
      </c>
      <c r="Z3220">
        <v>3.8815599999999999E-2</v>
      </c>
      <c r="AA3220">
        <v>0.84249879999999999</v>
      </c>
      <c r="AB3220">
        <v>16</v>
      </c>
      <c r="AC3220">
        <v>-0.27439999999995701</v>
      </c>
      <c r="AD3220">
        <v>-0.1326369</v>
      </c>
      <c r="AE3220">
        <v>-0.88080000000002101</v>
      </c>
      <c r="AF3220">
        <v>-0.51939109801652805</v>
      </c>
      <c r="AG3220">
        <v>-0.1326369</v>
      </c>
      <c r="AH3220">
        <v>0.73973874608168699</v>
      </c>
      <c r="AI3220">
        <v>98.348194191880395</v>
      </c>
      <c r="AJ3220">
        <v>125.073757789392</v>
      </c>
      <c r="AK3220">
        <v>0.91354970986527695</v>
      </c>
      <c r="AL3220">
        <v>93.505447388271705</v>
      </c>
      <c r="AM3220">
        <v>109.01736843123101</v>
      </c>
      <c r="AN3220">
        <v>1.0000000525650199</v>
      </c>
    </row>
    <row r="3221" spans="1:40" x14ac:dyDescent="0.25">
      <c r="A3221" t="str">
        <f>"20190303154200920"</f>
        <v>20190303154200920</v>
      </c>
      <c r="B3221" t="str">
        <f>"1551598920912925"</f>
        <v>1551598920912925</v>
      </c>
      <c r="C3221" t="s">
        <v>40</v>
      </c>
      <c r="D3221">
        <v>5.818028</v>
      </c>
      <c r="E3221">
        <v>0.40860999999999997</v>
      </c>
      <c r="F3221" t="s">
        <v>42</v>
      </c>
      <c r="G3221">
        <v>-489.01260000000002</v>
      </c>
      <c r="H3221">
        <v>1.0038180000000001</v>
      </c>
      <c r="I3221">
        <v>280.00779999999997</v>
      </c>
      <c r="J3221">
        <v>-488.76690000000002</v>
      </c>
      <c r="K3221">
        <v>1.125572</v>
      </c>
      <c r="L3221">
        <v>280.81150000000002</v>
      </c>
      <c r="M3221">
        <v>-0.78871089999999999</v>
      </c>
      <c r="N3221">
        <v>-1.3556759999999999E-2</v>
      </c>
      <c r="O3221">
        <v>-0.61461480000000002</v>
      </c>
      <c r="P3221">
        <v>-0.54376169999999902</v>
      </c>
      <c r="Q3221">
        <v>-7.0417450000000006E-2</v>
      </c>
      <c r="R3221">
        <v>-0.83628029999999998</v>
      </c>
      <c r="S3221">
        <v>-1.0250549999999901</v>
      </c>
      <c r="T3221">
        <v>-0.41103990000000001</v>
      </c>
      <c r="U3221">
        <v>-2.8902890000000001</v>
      </c>
      <c r="V3221">
        <v>-0.3247698</v>
      </c>
      <c r="W3221">
        <v>-6.1128120000000001E-2</v>
      </c>
      <c r="X3221">
        <v>0.94381559999999998</v>
      </c>
      <c r="Y3221">
        <v>-0.53690550000000004</v>
      </c>
      <c r="Z3221">
        <v>3.9883780000000001E-2</v>
      </c>
      <c r="AA3221">
        <v>0.84269919999999998</v>
      </c>
      <c r="AB3221">
        <v>16</v>
      </c>
      <c r="AC3221">
        <v>-0.245699999999999</v>
      </c>
      <c r="AD3221">
        <v>-0.121753999999999</v>
      </c>
      <c r="AE3221">
        <v>-0.80370000000004804</v>
      </c>
      <c r="AF3221">
        <v>-0.47299317549310899</v>
      </c>
      <c r="AG3221">
        <v>-0.121753999999999</v>
      </c>
      <c r="AH3221">
        <v>0.67367611070358002</v>
      </c>
      <c r="AI3221">
        <v>98.413829938640006</v>
      </c>
      <c r="AJ3221">
        <v>125.072987982871</v>
      </c>
      <c r="AK3221">
        <v>0.83209739977466401</v>
      </c>
      <c r="AL3221">
        <v>93.504568232144507</v>
      </c>
      <c r="AM3221">
        <v>108.988495015374</v>
      </c>
      <c r="AN3221">
        <v>0.99999997842506605</v>
      </c>
    </row>
    <row r="3222" spans="1:40" x14ac:dyDescent="0.25">
      <c r="A3222" t="str">
        <f>"20190303154200936"</f>
        <v>20190303154200936</v>
      </c>
      <c r="B3222" t="str">
        <f>"1551598920932424"</f>
        <v>1551598920932424</v>
      </c>
      <c r="C3222" t="s">
        <v>40</v>
      </c>
      <c r="D3222">
        <v>5.810899</v>
      </c>
      <c r="E3222">
        <v>0.40939229999999999</v>
      </c>
      <c r="F3222" t="s">
        <v>42</v>
      </c>
      <c r="G3222">
        <v>-489.0865</v>
      </c>
      <c r="H3222">
        <v>0.99555490000000002</v>
      </c>
      <c r="I3222">
        <v>279.8981</v>
      </c>
      <c r="J3222">
        <v>-488.84829999999999</v>
      </c>
      <c r="K3222">
        <v>1.125564</v>
      </c>
      <c r="L3222">
        <v>280.73700000000002</v>
      </c>
      <c r="M3222">
        <v>-0.7840686</v>
      </c>
      <c r="N3222">
        <v>-1.3552720000000001E-2</v>
      </c>
      <c r="O3222">
        <v>-0.62052629999999998</v>
      </c>
      <c r="P3222">
        <v>-0.53827130000000001</v>
      </c>
      <c r="Q3222">
        <v>-7.0720019999999995E-2</v>
      </c>
      <c r="R3222">
        <v>-0.83979959999999898</v>
      </c>
      <c r="S3222">
        <v>-1.0122990000000001</v>
      </c>
      <c r="T3222">
        <v>-0.41190149999999998</v>
      </c>
      <c r="U3222">
        <v>-2.8943789999999998</v>
      </c>
      <c r="V3222">
        <v>-0.32383970000000001</v>
      </c>
      <c r="W3222">
        <v>-6.1401690000000002E-2</v>
      </c>
      <c r="X3222">
        <v>0.9441174</v>
      </c>
      <c r="Y3222">
        <v>-0.53428599999999904</v>
      </c>
      <c r="Z3222">
        <v>4.110051E-2</v>
      </c>
      <c r="AA3222">
        <v>0.84430400000000005</v>
      </c>
      <c r="AB3222">
        <v>16</v>
      </c>
      <c r="AC3222">
        <v>-0.23820000000000599</v>
      </c>
      <c r="AD3222">
        <v>-0.13000909999999899</v>
      </c>
      <c r="AE3222">
        <v>-0.83890000000002296</v>
      </c>
      <c r="AF3222">
        <v>-0.49890416688369599</v>
      </c>
      <c r="AG3222">
        <v>-0.13000909999999899</v>
      </c>
      <c r="AH3222">
        <v>0.692009284458872</v>
      </c>
      <c r="AI3222">
        <v>98.664967496359793</v>
      </c>
      <c r="AJ3222">
        <v>125.789722695918</v>
      </c>
      <c r="AK3222">
        <v>0.86295108991993597</v>
      </c>
      <c r="AL3222">
        <v>93.520272090552595</v>
      </c>
      <c r="AM3222">
        <v>108.93237178281601</v>
      </c>
      <c r="AN3222">
        <v>0.99999999190685296</v>
      </c>
    </row>
    <row r="3223" spans="1:40" x14ac:dyDescent="0.25">
      <c r="A3223" t="str">
        <f>"20190303154200947"</f>
        <v>20190303154200947</v>
      </c>
      <c r="B3223" t="str">
        <f>"1551598920943160"</f>
        <v>1551598920943160</v>
      </c>
      <c r="C3223" t="s">
        <v>40</v>
      </c>
      <c r="D3223">
        <v>5.8389519999999999</v>
      </c>
      <c r="E3223">
        <v>0.40986270000000002</v>
      </c>
      <c r="F3223" t="s">
        <v>42</v>
      </c>
      <c r="G3223">
        <v>-489.17180000000002</v>
      </c>
      <c r="H3223">
        <v>0.99185760000000001</v>
      </c>
      <c r="I3223">
        <v>279.79840000000002</v>
      </c>
      <c r="J3223">
        <v>-488.90440000000001</v>
      </c>
      <c r="K3223">
        <v>1.1255569999999999</v>
      </c>
      <c r="L3223">
        <v>280.68459999999999</v>
      </c>
      <c r="M3223">
        <v>-0.78078559999999997</v>
      </c>
      <c r="N3223">
        <v>-1.355584E-2</v>
      </c>
      <c r="O3223">
        <v>-0.62465209999999904</v>
      </c>
      <c r="P3223">
        <v>-0.53418959999999904</v>
      </c>
      <c r="Q3223">
        <v>-7.0578749999999996E-2</v>
      </c>
      <c r="R3223">
        <v>-0.84241359999999998</v>
      </c>
      <c r="S3223">
        <v>-0.99868769999999996</v>
      </c>
      <c r="T3223">
        <v>-0.41280929999999999</v>
      </c>
      <c r="U3223">
        <v>-2.8973689999999999</v>
      </c>
      <c r="V3223">
        <v>-0.3234572</v>
      </c>
      <c r="W3223">
        <v>-6.1233999999999997E-2</v>
      </c>
      <c r="X3223">
        <v>0.94425939999999997</v>
      </c>
      <c r="Y3223">
        <v>-0.53366089999999999</v>
      </c>
      <c r="Z3223">
        <v>4.1922139999999997E-2</v>
      </c>
      <c r="AA3223">
        <v>0.84465879999999904</v>
      </c>
      <c r="AB3223">
        <v>16</v>
      </c>
      <c r="AC3223">
        <v>-0.26740000000000902</v>
      </c>
      <c r="AD3223">
        <v>-0.1336994</v>
      </c>
      <c r="AE3223">
        <v>-0.88619999999997301</v>
      </c>
      <c r="AF3223">
        <v>-0.51422083006659802</v>
      </c>
      <c r="AG3223">
        <v>-0.1336994</v>
      </c>
      <c r="AH3223">
        <v>0.74683833632551799</v>
      </c>
      <c r="AI3223">
        <v>98.387793458418997</v>
      </c>
      <c r="AJ3223">
        <v>124.54858932035</v>
      </c>
      <c r="AK3223">
        <v>0.916551194555006</v>
      </c>
      <c r="AL3223">
        <v>93.510646058919093</v>
      </c>
      <c r="AM3223">
        <v>108.908958055803</v>
      </c>
      <c r="AN3223">
        <v>0.99999998873809903</v>
      </c>
    </row>
    <row r="3224" spans="1:40" x14ac:dyDescent="0.25">
      <c r="A3224" t="str">
        <f>"20190303154200958"</f>
        <v>20190303154200958</v>
      </c>
      <c r="B3224" t="str">
        <f>"1551598920952921"</f>
        <v>1551598920952921</v>
      </c>
      <c r="C3224" t="s">
        <v>40</v>
      </c>
      <c r="D3224">
        <v>5.815048</v>
      </c>
      <c r="E3224">
        <v>0.41019329999999998</v>
      </c>
      <c r="F3224" t="s">
        <v>42</v>
      </c>
      <c r="G3224">
        <v>-489.19869999999997</v>
      </c>
      <c r="H3224">
        <v>1.0023599999999999</v>
      </c>
      <c r="I3224">
        <v>279.82010000000002</v>
      </c>
      <c r="J3224">
        <v>-488.9579</v>
      </c>
      <c r="K3224">
        <v>1.1255489999999999</v>
      </c>
      <c r="L3224">
        <v>280.6345</v>
      </c>
      <c r="M3224">
        <v>-0.77762589999999998</v>
      </c>
      <c r="N3224">
        <v>-1.355222E-2</v>
      </c>
      <c r="O3224">
        <v>-0.62858130000000001</v>
      </c>
      <c r="P3224">
        <v>-0.53072549999999996</v>
      </c>
      <c r="Q3224">
        <v>-7.0357509999999998E-2</v>
      </c>
      <c r="R3224">
        <v>-0.84461869999999994</v>
      </c>
      <c r="S3224">
        <v>-0.98730469999999904</v>
      </c>
      <c r="T3224">
        <v>-0.41338920000000001</v>
      </c>
      <c r="U3224">
        <v>-2.9004819999999998</v>
      </c>
      <c r="V3224">
        <v>-0.32259339999999997</v>
      </c>
      <c r="W3224">
        <v>-6.0988559999999997E-2</v>
      </c>
      <c r="X3224">
        <v>0.94457069999999999</v>
      </c>
      <c r="Y3224">
        <v>-0.53266689999999906</v>
      </c>
      <c r="Z3224">
        <v>4.2693000000000002E-2</v>
      </c>
      <c r="AA3224">
        <v>0.84524739999999998</v>
      </c>
      <c r="AB3224">
        <v>16</v>
      </c>
      <c r="AC3224">
        <v>-0.240799999999978</v>
      </c>
      <c r="AD3224">
        <v>-0.12318899999999899</v>
      </c>
      <c r="AE3224">
        <v>-0.81439999999997703</v>
      </c>
      <c r="AF3224">
        <v>-0.47204796352440798</v>
      </c>
      <c r="AG3224">
        <v>-0.12318899999999899</v>
      </c>
      <c r="AH3224">
        <v>0.68482363131180202</v>
      </c>
      <c r="AI3224">
        <v>98.424701871208796</v>
      </c>
      <c r="AJ3224">
        <v>124.57844094337101</v>
      </c>
      <c r="AK3224">
        <v>0.84082591277364005</v>
      </c>
      <c r="AL3224">
        <v>93.496557161700295</v>
      </c>
      <c r="AM3224">
        <v>108.85625861910501</v>
      </c>
      <c r="AN3224">
        <v>0.99999995673646003</v>
      </c>
    </row>
    <row r="3225" spans="1:40" x14ac:dyDescent="0.25">
      <c r="A3225" t="str">
        <f>"20190303154200969"</f>
        <v>20190303154200969</v>
      </c>
      <c r="B3225" t="str">
        <f>"1551598920962681"</f>
        <v>1551598920962681</v>
      </c>
      <c r="C3225" t="s">
        <v>40</v>
      </c>
      <c r="D3225">
        <v>5.819318</v>
      </c>
      <c r="E3225">
        <v>0.41019329999999998</v>
      </c>
      <c r="F3225" t="s">
        <v>42</v>
      </c>
      <c r="G3225">
        <v>-489.26990000000001</v>
      </c>
      <c r="H3225">
        <v>0.99403160000000002</v>
      </c>
      <c r="I3225">
        <v>279.70890000000003</v>
      </c>
      <c r="J3225">
        <v>-489.01350000000002</v>
      </c>
      <c r="K3225">
        <v>1.125543</v>
      </c>
      <c r="L3225">
        <v>280.58179999999999</v>
      </c>
      <c r="M3225">
        <v>-0.77429119999999996</v>
      </c>
      <c r="N3225">
        <v>-1.352502E-2</v>
      </c>
      <c r="O3225">
        <v>-0.63268489999999999</v>
      </c>
      <c r="P3225">
        <v>-0.52654990000000002</v>
      </c>
      <c r="Q3225">
        <v>-7.0365720000000007E-2</v>
      </c>
      <c r="R3225">
        <v>-0.84722719999999896</v>
      </c>
      <c r="S3225">
        <v>-0.97772219999999999</v>
      </c>
      <c r="T3225">
        <v>-0.41237069999999998</v>
      </c>
      <c r="U3225">
        <v>-2.903168</v>
      </c>
      <c r="V3225">
        <v>-0.32226189999999999</v>
      </c>
      <c r="W3225">
        <v>-6.1010790000000002E-2</v>
      </c>
      <c r="X3225">
        <v>0.94468249999999998</v>
      </c>
      <c r="Y3225">
        <v>-0.53096750000000004</v>
      </c>
      <c r="Z3225">
        <v>4.3351340000000002E-2</v>
      </c>
      <c r="AA3225">
        <v>0.846282599999999</v>
      </c>
      <c r="AB3225">
        <v>16</v>
      </c>
      <c r="AC3225">
        <v>-0.25639999999998497</v>
      </c>
      <c r="AD3225">
        <v>-0.1315114</v>
      </c>
      <c r="AE3225">
        <v>-0.87289999999995804</v>
      </c>
      <c r="AF3225">
        <v>-0.50319086506466404</v>
      </c>
      <c r="AG3225">
        <v>-0.1315114</v>
      </c>
      <c r="AH3225">
        <v>0.73549886284044697</v>
      </c>
      <c r="AI3225">
        <v>98.394769916142295</v>
      </c>
      <c r="AJ3225">
        <v>124.37794637103499</v>
      </c>
      <c r="AK3225">
        <v>0.90080789975114794</v>
      </c>
      <c r="AL3225">
        <v>93.497832941270701</v>
      </c>
      <c r="AM3225">
        <v>108.836176716664</v>
      </c>
      <c r="AN3225">
        <v>1.00000003724714</v>
      </c>
    </row>
    <row r="3226" spans="1:40" x14ac:dyDescent="0.25">
      <c r="A3226" t="str">
        <f>"20190303154200981"</f>
        <v>20190303154200981</v>
      </c>
      <c r="B3226" t="str">
        <f>"1551598920972440"</f>
        <v>1551598920972440</v>
      </c>
      <c r="C3226" t="s">
        <v>40</v>
      </c>
      <c r="D3226">
        <v>5.8494510000000002</v>
      </c>
      <c r="E3226">
        <v>0.41929470000000002</v>
      </c>
      <c r="F3226" t="s">
        <v>42</v>
      </c>
      <c r="G3226">
        <v>-489.29599999999999</v>
      </c>
      <c r="H3226">
        <v>1.0047489999999999</v>
      </c>
      <c r="I3226">
        <v>279.72949999999997</v>
      </c>
      <c r="J3226">
        <v>-489.06920000000002</v>
      </c>
      <c r="K3226">
        <v>1.1255489999999999</v>
      </c>
      <c r="L3226">
        <v>280.52850000000001</v>
      </c>
      <c r="M3226">
        <v>-0.77091409999999905</v>
      </c>
      <c r="N3226">
        <v>-1.34908999999999E-2</v>
      </c>
      <c r="O3226">
        <v>-0.63679640000000004</v>
      </c>
      <c r="P3226">
        <v>-0.52250949999999996</v>
      </c>
      <c r="Q3226">
        <v>-6.9908499999999998E-2</v>
      </c>
      <c r="R3226">
        <v>-0.84976299999999905</v>
      </c>
      <c r="S3226">
        <v>-0.96301270000000005</v>
      </c>
      <c r="T3226">
        <v>-0.41201949999999998</v>
      </c>
      <c r="U3226">
        <v>-2.9082340000000002</v>
      </c>
      <c r="V3226">
        <v>-0.32176769999999999</v>
      </c>
      <c r="W3226">
        <v>-6.0577279999999997E-2</v>
      </c>
      <c r="X3226">
        <v>0.94487880000000002</v>
      </c>
      <c r="Y3226">
        <v>-0.53077959999999902</v>
      </c>
      <c r="Z3226">
        <v>4.3981190000000003E-2</v>
      </c>
      <c r="AA3226">
        <v>0.84636800000000001</v>
      </c>
      <c r="AB3226">
        <v>16</v>
      </c>
      <c r="AC3226">
        <v>-0.226799999999968</v>
      </c>
      <c r="AD3226">
        <v>-0.1208</v>
      </c>
      <c r="AE3226">
        <v>-0.79900000000003502</v>
      </c>
      <c r="AF3226">
        <v>-0.46180885200163702</v>
      </c>
      <c r="AG3226">
        <v>-0.1208</v>
      </c>
      <c r="AH3226">
        <v>0.66954250231500101</v>
      </c>
      <c r="AI3226">
        <v>98.447799653027403</v>
      </c>
      <c r="AJ3226">
        <v>124.595501448042</v>
      </c>
      <c r="AK3226">
        <v>0.82228171461689603</v>
      </c>
      <c r="AL3226">
        <v>93.472948739448796</v>
      </c>
      <c r="AM3226">
        <v>108.805690280655</v>
      </c>
      <c r="AN3226">
        <v>1.0000000031524601</v>
      </c>
    </row>
    <row r="3227" spans="1:40" x14ac:dyDescent="0.25">
      <c r="A3227" t="str">
        <f>"20190303154200991"</f>
        <v>20190303154200991</v>
      </c>
      <c r="B3227" t="str">
        <f>"1551598920983177"</f>
        <v>1551598920983177</v>
      </c>
      <c r="C3227" t="s">
        <v>40</v>
      </c>
      <c r="D3227">
        <v>5.8043889999999996</v>
      </c>
      <c r="E3227">
        <v>0.4192303</v>
      </c>
      <c r="F3227" t="s">
        <v>42</v>
      </c>
      <c r="G3227">
        <v>-489.38490000000002</v>
      </c>
      <c r="H3227">
        <v>1.0130600000000001</v>
      </c>
      <c r="I3227">
        <v>279.6318</v>
      </c>
      <c r="J3227">
        <v>-489.12259999999998</v>
      </c>
      <c r="K3227">
        <v>1.1255539999999999</v>
      </c>
      <c r="L3227">
        <v>280.4769</v>
      </c>
      <c r="M3227">
        <v>-0.76764860000000001</v>
      </c>
      <c r="N3227">
        <v>-1.34501E-2</v>
      </c>
      <c r="O3227">
        <v>-0.64072989999999996</v>
      </c>
      <c r="P3227">
        <v>-0.5187079</v>
      </c>
      <c r="Q3227">
        <v>-6.9336270000000005E-2</v>
      </c>
      <c r="R3227">
        <v>-0.85213539999999999</v>
      </c>
      <c r="S3227">
        <v>-1.013123</v>
      </c>
      <c r="T3227">
        <v>-0.3609735</v>
      </c>
      <c r="U3227">
        <v>-2.8777159999999999</v>
      </c>
      <c r="V3227">
        <v>-0.32119910000000002</v>
      </c>
      <c r="W3227">
        <v>-6.0040980000000001E-2</v>
      </c>
      <c r="X3227">
        <v>0.94510640000000001</v>
      </c>
      <c r="Y3227">
        <v>-0.51066909999999999</v>
      </c>
      <c r="Z3227">
        <v>3.9209540000000001E-2</v>
      </c>
      <c r="AA3227">
        <v>0.85888279999999995</v>
      </c>
      <c r="AB3227">
        <v>16</v>
      </c>
      <c r="AC3227">
        <v>-0.262300000000038</v>
      </c>
      <c r="AD3227">
        <v>-0.112494</v>
      </c>
      <c r="AE3227">
        <v>-0.84510000000000196</v>
      </c>
      <c r="AF3227">
        <v>-0.47307394383338602</v>
      </c>
      <c r="AG3227">
        <v>-0.112494</v>
      </c>
      <c r="AH3227">
        <v>0.73108629777773504</v>
      </c>
      <c r="AI3227">
        <v>97.360999301255802</v>
      </c>
      <c r="AJ3227">
        <v>122.90624301483101</v>
      </c>
      <c r="AK3227">
        <v>0.87803247728568101</v>
      </c>
      <c r="AL3227">
        <v>93.442165181507306</v>
      </c>
      <c r="AM3227">
        <v>108.770583946871</v>
      </c>
      <c r="AN3227">
        <v>0.99999994422056304</v>
      </c>
    </row>
    <row r="3228" spans="1:40" x14ac:dyDescent="0.25">
      <c r="A3228" t="str">
        <f>"20190303154201002"</f>
        <v>20190303154201002</v>
      </c>
      <c r="B3228" t="str">
        <f>"1551598920992937"</f>
        <v>1551598920992937</v>
      </c>
      <c r="C3228" t="s">
        <v>40</v>
      </c>
      <c r="D3228">
        <v>5.8037660000000004</v>
      </c>
      <c r="E3228">
        <v>0.41968640000000001</v>
      </c>
      <c r="F3228" t="s">
        <v>42</v>
      </c>
      <c r="G3228">
        <v>-489.4092</v>
      </c>
      <c r="H3228">
        <v>1.0212159999999999</v>
      </c>
      <c r="I3228">
        <v>279.65069999999997</v>
      </c>
      <c r="J3228">
        <v>-489.17619999999999</v>
      </c>
      <c r="K3228">
        <v>1.1255660000000001</v>
      </c>
      <c r="L3228">
        <v>280.42439999999999</v>
      </c>
      <c r="M3228">
        <v>-0.76434990000000003</v>
      </c>
      <c r="N3228">
        <v>-1.341669E-2</v>
      </c>
      <c r="O3228">
        <v>-0.64466219999999996</v>
      </c>
      <c r="P3228">
        <v>-0.51490999999999998</v>
      </c>
      <c r="Q3228">
        <v>-6.8899559999999999E-2</v>
      </c>
      <c r="R3228">
        <v>-0.85447109999999904</v>
      </c>
      <c r="S3228">
        <v>-0.99981690000000001</v>
      </c>
      <c r="T3228">
        <v>-0.36399769999999998</v>
      </c>
      <c r="U3228">
        <v>-2.882355</v>
      </c>
      <c r="V3228">
        <v>-0.32058439999999999</v>
      </c>
      <c r="W3228">
        <v>-5.9636309999999998E-2</v>
      </c>
      <c r="X3228">
        <v>0.94534079999999998</v>
      </c>
      <c r="Y3228">
        <v>-0.51023660000000004</v>
      </c>
      <c r="Z3228">
        <v>4.021922E-2</v>
      </c>
      <c r="AA3228">
        <v>0.859093199999999</v>
      </c>
      <c r="AB3228">
        <v>16</v>
      </c>
      <c r="AC3228">
        <v>-0.23300000000000401</v>
      </c>
      <c r="AD3228">
        <v>-0.10435</v>
      </c>
      <c r="AE3228">
        <v>-0.77370000000001904</v>
      </c>
      <c r="AF3228">
        <v>-0.43397320695884001</v>
      </c>
      <c r="AG3228">
        <v>-0.10435</v>
      </c>
      <c r="AH3228">
        <v>0.66582508357027603</v>
      </c>
      <c r="AI3228">
        <v>97.479933501631606</v>
      </c>
      <c r="AJ3228">
        <v>123.095609222848</v>
      </c>
      <c r="AK3228">
        <v>0.80158886517310501</v>
      </c>
      <c r="AL3228">
        <v>93.4189373551865</v>
      </c>
      <c r="AM3228">
        <v>108.732848700109</v>
      </c>
      <c r="AN3228">
        <v>1.0000000375692</v>
      </c>
    </row>
    <row r="3229" spans="1:40" x14ac:dyDescent="0.25">
      <c r="A3229" t="str">
        <f>"20190303154201014"</f>
        <v>20190303154201014</v>
      </c>
      <c r="B3229" t="str">
        <f>"1551598921002697"</f>
        <v>1551598921002697</v>
      </c>
      <c r="C3229" t="s">
        <v>40</v>
      </c>
      <c r="D3229">
        <v>5.8488129999999998</v>
      </c>
      <c r="E3229">
        <v>0.41960170000000002</v>
      </c>
      <c r="F3229" t="s">
        <v>42</v>
      </c>
      <c r="G3229">
        <v>-489.4803</v>
      </c>
      <c r="H3229">
        <v>1.0146949999999999</v>
      </c>
      <c r="I3229">
        <v>279.53899999999999</v>
      </c>
      <c r="J3229">
        <v>-489.23419999999999</v>
      </c>
      <c r="K3229">
        <v>1.1255850000000001</v>
      </c>
      <c r="L3229">
        <v>280.3673</v>
      </c>
      <c r="M3229">
        <v>-0.76075950000000003</v>
      </c>
      <c r="N3229">
        <v>-1.338496E-2</v>
      </c>
      <c r="O3229">
        <v>-0.64889600000000003</v>
      </c>
      <c r="P3229">
        <v>-0.51065950000000004</v>
      </c>
      <c r="Q3229">
        <v>-6.8012459999999997E-2</v>
      </c>
      <c r="R3229">
        <v>-0.85708899999999999</v>
      </c>
      <c r="S3229">
        <v>-0.99035640000000003</v>
      </c>
      <c r="T3229">
        <v>-0.36112519999999998</v>
      </c>
      <c r="U3229">
        <v>-2.884979</v>
      </c>
      <c r="V3229">
        <v>-0.3200925</v>
      </c>
      <c r="W3229">
        <v>-5.8784059999999999E-2</v>
      </c>
      <c r="X3229">
        <v>0.94556079999999998</v>
      </c>
      <c r="Y3229">
        <v>-0.50825149999999997</v>
      </c>
      <c r="Z3229">
        <v>4.0546470000000001E-2</v>
      </c>
      <c r="AA3229">
        <v>0.86025370000000001</v>
      </c>
      <c r="AB3229">
        <v>16</v>
      </c>
      <c r="AC3229">
        <v>-0.246100000000012</v>
      </c>
      <c r="AD3229">
        <v>-0.110889999999999</v>
      </c>
      <c r="AE3229">
        <v>-0.82830000000001203</v>
      </c>
      <c r="AF3229">
        <v>-0.462862952241541</v>
      </c>
      <c r="AG3229">
        <v>-0.110889999999999</v>
      </c>
      <c r="AH3229">
        <v>0.71302543659036299</v>
      </c>
      <c r="AI3229">
        <v>97.432012837841896</v>
      </c>
      <c r="AJ3229">
        <v>122.98975853491299</v>
      </c>
      <c r="AK3229">
        <v>0.85728873658915705</v>
      </c>
      <c r="AL3229">
        <v>93.370021331378297</v>
      </c>
      <c r="AM3229">
        <v>108.702056461729</v>
      </c>
      <c r="AN3229">
        <v>1.00000000038148</v>
      </c>
    </row>
    <row r="3230" spans="1:40" x14ac:dyDescent="0.25">
      <c r="A3230" t="str">
        <f>"20190303154201030"</f>
        <v>20190303154201030</v>
      </c>
      <c r="B3230" t="str">
        <f>"1551598921022722"</f>
        <v>1551598921022722</v>
      </c>
      <c r="C3230" t="s">
        <v>40</v>
      </c>
      <c r="D3230">
        <v>5.8567039999999997</v>
      </c>
      <c r="E3230">
        <v>0.42017359999999998</v>
      </c>
      <c r="F3230" t="s">
        <v>42</v>
      </c>
      <c r="G3230">
        <v>-489.50709999999998</v>
      </c>
      <c r="H3230">
        <v>1.0238799999999999</v>
      </c>
      <c r="I3230">
        <v>279.55939999999998</v>
      </c>
      <c r="J3230">
        <v>-489.30509999999998</v>
      </c>
      <c r="K3230">
        <v>1.125607</v>
      </c>
      <c r="L3230">
        <v>280.29610000000002</v>
      </c>
      <c r="M3230">
        <v>-0.75630989999999998</v>
      </c>
      <c r="N3230">
        <v>-1.336789E-2</v>
      </c>
      <c r="O3230">
        <v>-0.65407709999999997</v>
      </c>
      <c r="P3230">
        <v>-0.50541440000000004</v>
      </c>
      <c r="Q3230">
        <v>-6.751443E-2</v>
      </c>
      <c r="R3230">
        <v>-0.86023169999999904</v>
      </c>
      <c r="S3230">
        <v>-0.97537229999999997</v>
      </c>
      <c r="T3230">
        <v>-0.36368929999999999</v>
      </c>
      <c r="U3230">
        <v>-2.890228</v>
      </c>
      <c r="V3230">
        <v>-0.31944319999999998</v>
      </c>
      <c r="W3230">
        <v>-5.830569E-2</v>
      </c>
      <c r="X3230">
        <v>0.94581000000000004</v>
      </c>
      <c r="Y3230">
        <v>-0.50686929999999997</v>
      </c>
      <c r="Z3230">
        <v>4.1715549999999997E-2</v>
      </c>
      <c r="AA3230">
        <v>0.86101299999999903</v>
      </c>
      <c r="AB3230">
        <v>16</v>
      </c>
      <c r="AC3230">
        <v>-0.20199999999999799</v>
      </c>
      <c r="AD3230">
        <v>-0.101727</v>
      </c>
      <c r="AE3230">
        <v>-0.73670000000004099</v>
      </c>
      <c r="AF3230">
        <v>-0.41768068419474902</v>
      </c>
      <c r="AG3230">
        <v>-0.101727</v>
      </c>
      <c r="AH3230">
        <v>0.62363033318959205</v>
      </c>
      <c r="AI3230">
        <v>97.718324918384695</v>
      </c>
      <c r="AJ3230">
        <v>123.81246872155501</v>
      </c>
      <c r="AK3230">
        <v>0.75744328431411601</v>
      </c>
      <c r="AL3230">
        <v>93.342565544643804</v>
      </c>
      <c r="AM3230">
        <v>108.662172545628</v>
      </c>
      <c r="AN3230">
        <v>1.0000000338063</v>
      </c>
    </row>
    <row r="3231" spans="1:40" x14ac:dyDescent="0.25">
      <c r="A3231" t="str">
        <f>"20190303154201044"</f>
        <v>20190303154201044</v>
      </c>
      <c r="B3231" t="str">
        <f>"1551598921032483"</f>
        <v>1551598921032483</v>
      </c>
      <c r="C3231" t="s">
        <v>40</v>
      </c>
      <c r="D3231">
        <v>5.9241000000000001</v>
      </c>
      <c r="E3231">
        <v>0.4203575</v>
      </c>
      <c r="F3231" t="s">
        <v>42</v>
      </c>
      <c r="G3231">
        <v>-489.58510000000001</v>
      </c>
      <c r="H3231">
        <v>1.018316</v>
      </c>
      <c r="I3231">
        <v>279.45310000000001</v>
      </c>
      <c r="J3231">
        <v>-489.37020000000001</v>
      </c>
      <c r="K3231">
        <v>1.125624</v>
      </c>
      <c r="L3231">
        <v>280.23020000000002</v>
      </c>
      <c r="M3231">
        <v>-0.7521774</v>
      </c>
      <c r="N3231">
        <v>-1.335777E-2</v>
      </c>
      <c r="O3231">
        <v>-0.65882549999999995</v>
      </c>
      <c r="P3231">
        <v>-0.50050280000000003</v>
      </c>
      <c r="Q3231">
        <v>-6.6968780000000006E-2</v>
      </c>
      <c r="R3231">
        <v>-0.86314139999999995</v>
      </c>
      <c r="S3231">
        <v>-0.96124270000000001</v>
      </c>
      <c r="T3231">
        <v>-0.36833250000000001</v>
      </c>
      <c r="U3231">
        <v>-2.893799</v>
      </c>
      <c r="V3231">
        <v>-0.31891730000000001</v>
      </c>
      <c r="W3231">
        <v>-5.777024E-2</v>
      </c>
      <c r="X3231">
        <v>0.94602030000000004</v>
      </c>
      <c r="Y3231">
        <v>-0.50556309999999904</v>
      </c>
      <c r="Z3231">
        <v>4.3154669999999999E-2</v>
      </c>
      <c r="AA3231">
        <v>0.86170970000000002</v>
      </c>
      <c r="AB3231">
        <v>16</v>
      </c>
      <c r="AC3231">
        <v>-0.21490000000000001</v>
      </c>
      <c r="AD3231">
        <v>-0.107307999999999</v>
      </c>
      <c r="AE3231">
        <v>-0.777100000000018</v>
      </c>
      <c r="AF3231">
        <v>-0.43526481031011499</v>
      </c>
      <c r="AG3231">
        <v>-0.107307999999999</v>
      </c>
      <c r="AH3231">
        <v>0.66195069935263595</v>
      </c>
      <c r="AI3231">
        <v>97.713764305086102</v>
      </c>
      <c r="AJ3231">
        <v>123.32686714197099</v>
      </c>
      <c r="AK3231">
        <v>0.79946806711196705</v>
      </c>
      <c r="AL3231">
        <v>93.311834743997807</v>
      </c>
      <c r="AM3231">
        <v>108.62971514061699</v>
      </c>
      <c r="AN3231">
        <v>1.00000002644051</v>
      </c>
    </row>
    <row r="3232" spans="1:40" x14ac:dyDescent="0.25">
      <c r="A3232" t="str">
        <f>"20190303154201059"</f>
        <v>20190303154201059</v>
      </c>
      <c r="B3232" t="str">
        <f>"1551598921052978"</f>
        <v>1551598921052978</v>
      </c>
      <c r="C3232" t="s">
        <v>40</v>
      </c>
      <c r="D3232">
        <v>5.8368419999999999</v>
      </c>
      <c r="E3232">
        <v>0.42130030000000002</v>
      </c>
      <c r="F3232" t="s">
        <v>42</v>
      </c>
      <c r="G3232">
        <v>-489.65949999999998</v>
      </c>
      <c r="H3232">
        <v>1.011933</v>
      </c>
      <c r="I3232">
        <v>279.34429999999998</v>
      </c>
      <c r="J3232">
        <v>-489.44549999999998</v>
      </c>
      <c r="K3232">
        <v>1.1256330000000001</v>
      </c>
      <c r="L3232">
        <v>280.15280000000001</v>
      </c>
      <c r="M3232">
        <v>-0.74731369999999997</v>
      </c>
      <c r="N3232">
        <v>-1.334922E-2</v>
      </c>
      <c r="O3232">
        <v>-0.66433750000000003</v>
      </c>
      <c r="P3232">
        <v>-0.49488209999999999</v>
      </c>
      <c r="Q3232">
        <v>-6.6662910000000006E-2</v>
      </c>
      <c r="R3232">
        <v>-0.86639949999999999</v>
      </c>
      <c r="S3232">
        <v>-0.94604489999999997</v>
      </c>
      <c r="T3232">
        <v>-0.3718514</v>
      </c>
      <c r="U3232">
        <v>-2.8982540000000001</v>
      </c>
      <c r="V3232">
        <v>-0.318131099999999</v>
      </c>
      <c r="W3232">
        <v>-5.7466080000000003E-2</v>
      </c>
      <c r="X3232">
        <v>0.94630349999999996</v>
      </c>
      <c r="Y3232">
        <v>-0.50371860000000002</v>
      </c>
      <c r="Z3232">
        <v>4.4575969999999999E-2</v>
      </c>
      <c r="AA3232">
        <v>0.86271699999999996</v>
      </c>
      <c r="AB3232">
        <v>16</v>
      </c>
      <c r="AC3232">
        <v>-0.213999999999998</v>
      </c>
      <c r="AD3232">
        <v>-0.113699999999999</v>
      </c>
      <c r="AE3232">
        <v>-0.80850000000003697</v>
      </c>
      <c r="AF3232">
        <v>-0.453690819399935</v>
      </c>
      <c r="AG3232">
        <v>-0.113699999999999</v>
      </c>
      <c r="AH3232">
        <v>0.68445382674173005</v>
      </c>
      <c r="AI3232">
        <v>97.883152556685403</v>
      </c>
      <c r="AJ3232">
        <v>123.538442560422</v>
      </c>
      <c r="AK3232">
        <v>0.82899945147700904</v>
      </c>
      <c r="AL3232">
        <v>93.294378646395401</v>
      </c>
      <c r="AM3232">
        <v>108.58176677508401</v>
      </c>
      <c r="AN3232">
        <v>1.0000000306250101</v>
      </c>
    </row>
    <row r="3233" spans="1:40" x14ac:dyDescent="0.25">
      <c r="A3233" t="str">
        <f>"20190303154201073"</f>
        <v>20190303154201073</v>
      </c>
      <c r="B3233" t="str">
        <f>"1551598921062738"</f>
        <v>1551598921062738</v>
      </c>
      <c r="C3233" t="s">
        <v>40</v>
      </c>
      <c r="D3233">
        <v>5.8557990000000002</v>
      </c>
      <c r="E3233">
        <v>0.42167510000000002</v>
      </c>
      <c r="F3233" t="s">
        <v>42</v>
      </c>
      <c r="G3233">
        <v>-489.73930000000001</v>
      </c>
      <c r="H3233">
        <v>1.008759</v>
      </c>
      <c r="I3233">
        <v>279.2398</v>
      </c>
      <c r="J3233">
        <v>-489.51350000000002</v>
      </c>
      <c r="K3233">
        <v>1.1256330000000001</v>
      </c>
      <c r="L3233">
        <v>280.08179999999999</v>
      </c>
      <c r="M3233">
        <v>-0.74282950000000003</v>
      </c>
      <c r="N3233">
        <v>-1.33387E-2</v>
      </c>
      <c r="O3233">
        <v>-0.66934769999999999</v>
      </c>
      <c r="P3233">
        <v>-0.48947819999999997</v>
      </c>
      <c r="Q3233">
        <v>-6.671502E-2</v>
      </c>
      <c r="R3233">
        <v>-0.8694598</v>
      </c>
      <c r="S3233">
        <v>-0.93338010000000005</v>
      </c>
      <c r="T3233">
        <v>-0.37129970000000001</v>
      </c>
      <c r="U3233">
        <v>-2.9008790000000002</v>
      </c>
      <c r="V3233">
        <v>-0.3176562</v>
      </c>
      <c r="W3233">
        <v>-5.7521240000000001E-2</v>
      </c>
      <c r="X3233">
        <v>0.94645970000000001</v>
      </c>
      <c r="Y3233">
        <v>-0.5015771</v>
      </c>
      <c r="Z3233">
        <v>4.5363399999999998E-2</v>
      </c>
      <c r="AA3233">
        <v>0.86392279999999999</v>
      </c>
      <c r="AB3233">
        <v>16</v>
      </c>
      <c r="AC3233">
        <v>-0.22579999999999201</v>
      </c>
      <c r="AD3233">
        <v>-0.11687399999999901</v>
      </c>
      <c r="AE3233">
        <v>-0.84199999999998398</v>
      </c>
      <c r="AF3233">
        <v>-0.465990119288895</v>
      </c>
      <c r="AG3233">
        <v>-0.11687399999999901</v>
      </c>
      <c r="AH3233">
        <v>0.718472741963744</v>
      </c>
      <c r="AI3233">
        <v>97.771592632685497</v>
      </c>
      <c r="AJ3233">
        <v>122.966807590255</v>
      </c>
      <c r="AK3233">
        <v>0.864297057784984</v>
      </c>
      <c r="AL3233">
        <v>93.297544223966398</v>
      </c>
      <c r="AM3233">
        <v>108.553076095959</v>
      </c>
      <c r="AN3233">
        <v>1.0000000590868301</v>
      </c>
    </row>
    <row r="3234" spans="1:40" x14ac:dyDescent="0.25">
      <c r="A3234" t="str">
        <f>"20190303154201087"</f>
        <v>20190303154201087</v>
      </c>
      <c r="B3234" t="str">
        <f>"1551598921083235"</f>
        <v>1551598921083235</v>
      </c>
      <c r="C3234" t="s">
        <v>40</v>
      </c>
      <c r="D3234">
        <v>5.8560739999999996</v>
      </c>
      <c r="E3234">
        <v>0.42244290000000001</v>
      </c>
      <c r="F3234" t="s">
        <v>42</v>
      </c>
      <c r="G3234">
        <v>-489.7722</v>
      </c>
      <c r="H3234">
        <v>1.0208619999999999</v>
      </c>
      <c r="I3234">
        <v>279.26339999999999</v>
      </c>
      <c r="J3234">
        <v>-489.572</v>
      </c>
      <c r="K3234">
        <v>1.125621</v>
      </c>
      <c r="L3234">
        <v>280.01990000000001</v>
      </c>
      <c r="M3234">
        <v>-0.73891419999999997</v>
      </c>
      <c r="N3234">
        <v>-1.332758E-2</v>
      </c>
      <c r="O3234">
        <v>-0.67366780000000004</v>
      </c>
      <c r="P3234">
        <v>-0.4846451</v>
      </c>
      <c r="Q3234">
        <v>-6.6765340000000006E-2</v>
      </c>
      <c r="R3234">
        <v>-0.87215940000000003</v>
      </c>
      <c r="S3234">
        <v>-0.91796880000000003</v>
      </c>
      <c r="T3234">
        <v>-0.37190649999999997</v>
      </c>
      <c r="U3234">
        <v>-2.90509</v>
      </c>
      <c r="V3234">
        <v>-0.31738810000000001</v>
      </c>
      <c r="W3234">
        <v>-5.757516E-2</v>
      </c>
      <c r="X3234">
        <v>0.94654629999999995</v>
      </c>
      <c r="Y3234">
        <v>-0.50107639999999998</v>
      </c>
      <c r="Z3234">
        <v>4.6116459999999998E-2</v>
      </c>
      <c r="AA3234">
        <v>0.86417339999999998</v>
      </c>
      <c r="AB3234">
        <v>16</v>
      </c>
      <c r="AC3234">
        <v>-0.200200000000052</v>
      </c>
      <c r="AD3234">
        <v>-0.10475899999999901</v>
      </c>
      <c r="AE3234">
        <v>-0.75650000000001605</v>
      </c>
      <c r="AF3234">
        <v>-0.41669035212625599</v>
      </c>
      <c r="AG3234">
        <v>-0.10475899999999901</v>
      </c>
      <c r="AH3234">
        <v>0.646040850690903</v>
      </c>
      <c r="AI3234">
        <v>97.759854509740805</v>
      </c>
      <c r="AJ3234">
        <v>122.82164050144701</v>
      </c>
      <c r="AK3234">
        <v>0.77586988496624099</v>
      </c>
      <c r="AL3234">
        <v>93.300638930762602</v>
      </c>
      <c r="AM3234">
        <v>108.536907833577</v>
      </c>
      <c r="AN3234">
        <v>1.00000000155716</v>
      </c>
    </row>
    <row r="3235" spans="1:40" x14ac:dyDescent="0.25">
      <c r="A3235" t="str">
        <f>"20190303154201098"</f>
        <v>20190303154201098</v>
      </c>
      <c r="B3235" t="str">
        <f>"1551598921092995"</f>
        <v>1551598921092995</v>
      </c>
      <c r="C3235" t="s">
        <v>40</v>
      </c>
      <c r="D3235">
        <v>5.8689049999999998</v>
      </c>
      <c r="E3235">
        <v>0.42288530000000002</v>
      </c>
      <c r="F3235" t="s">
        <v>42</v>
      </c>
      <c r="G3235">
        <v>-489.84289999999999</v>
      </c>
      <c r="H3235">
        <v>1.013854</v>
      </c>
      <c r="I3235">
        <v>279.15210000000002</v>
      </c>
      <c r="J3235">
        <v>-489.62900000000002</v>
      </c>
      <c r="K3235">
        <v>1.125615</v>
      </c>
      <c r="L3235">
        <v>279.959</v>
      </c>
      <c r="M3235">
        <v>-0.73505180000000003</v>
      </c>
      <c r="N3235">
        <v>-1.3316690000000001E-2</v>
      </c>
      <c r="O3235">
        <v>-0.67788019999999904</v>
      </c>
      <c r="P3235">
        <v>-0.4799234</v>
      </c>
      <c r="Q3235">
        <v>-6.6788959999999994E-2</v>
      </c>
      <c r="R3235">
        <v>-0.87476430000000005</v>
      </c>
      <c r="S3235">
        <v>-0.90689090000000006</v>
      </c>
      <c r="T3235">
        <v>-0.3743128</v>
      </c>
      <c r="U3235">
        <v>-2.9071349999999998</v>
      </c>
      <c r="V3235">
        <v>-0.31709369999999998</v>
      </c>
      <c r="W3235">
        <v>-5.7600859999999997E-2</v>
      </c>
      <c r="X3235">
        <v>0.94664340000000002</v>
      </c>
      <c r="Y3235">
        <v>-0.49932379999999998</v>
      </c>
      <c r="Z3235">
        <v>4.7228220000000001E-2</v>
      </c>
      <c r="AA3235">
        <v>0.86512730000000004</v>
      </c>
      <c r="AB3235">
        <v>16</v>
      </c>
      <c r="AC3235">
        <v>-0.21389999999996601</v>
      </c>
      <c r="AD3235">
        <v>-0.111760999999999</v>
      </c>
      <c r="AE3235">
        <v>-0.80689999999998396</v>
      </c>
      <c r="AF3235">
        <v>-0.44026295807391702</v>
      </c>
      <c r="AG3235">
        <v>-0.111760999999999</v>
      </c>
      <c r="AH3235">
        <v>0.69187012098494405</v>
      </c>
      <c r="AI3235">
        <v>97.760583736407099</v>
      </c>
      <c r="AJ3235">
        <v>122.470129647913</v>
      </c>
      <c r="AK3235">
        <v>0.82765104825929903</v>
      </c>
      <c r="AL3235">
        <v>93.302113884530399</v>
      </c>
      <c r="AM3235">
        <v>108.51911684125901</v>
      </c>
      <c r="AN3235">
        <v>1.0000000002079901</v>
      </c>
    </row>
    <row r="3236" spans="1:40" x14ac:dyDescent="0.25">
      <c r="A3236" t="str">
        <f>"20190303154201114"</f>
        <v>20190303154201114</v>
      </c>
      <c r="B3236" t="str">
        <f>"1551598921102755"</f>
        <v>1551598921102755</v>
      </c>
      <c r="C3236" t="s">
        <v>40</v>
      </c>
      <c r="D3236">
        <v>5.8578890000000001</v>
      </c>
      <c r="E3236">
        <v>0.42288530000000002</v>
      </c>
      <c r="F3236" t="s">
        <v>42</v>
      </c>
      <c r="G3236">
        <v>-489.9117</v>
      </c>
      <c r="H3236">
        <v>1.0069090000000001</v>
      </c>
      <c r="I3236">
        <v>279.03980000000001</v>
      </c>
      <c r="J3236">
        <v>-489.70100000000002</v>
      </c>
      <c r="K3236">
        <v>1.125605</v>
      </c>
      <c r="L3236">
        <v>279.88119999999998</v>
      </c>
      <c r="M3236">
        <v>-0.73010929999999996</v>
      </c>
      <c r="N3236">
        <v>-1.330435E-2</v>
      </c>
      <c r="O3236">
        <v>-0.6832009</v>
      </c>
      <c r="P3236">
        <v>-0.47356429999999999</v>
      </c>
      <c r="Q3236">
        <v>-6.6912059999999995E-2</v>
      </c>
      <c r="R3236">
        <v>-0.87821380000000004</v>
      </c>
      <c r="S3236">
        <v>-0.89480590000000004</v>
      </c>
      <c r="T3236">
        <v>-0.37578610000000001</v>
      </c>
      <c r="U3236">
        <v>-2.9099119999999998</v>
      </c>
      <c r="V3236">
        <v>-0.31707920000000001</v>
      </c>
      <c r="W3236">
        <v>-5.772907E-2</v>
      </c>
      <c r="X3236">
        <v>0.94664040000000005</v>
      </c>
      <c r="Y3236">
        <v>-0.49657459999999998</v>
      </c>
      <c r="Z3236">
        <v>4.8415689999999997E-2</v>
      </c>
      <c r="AA3236">
        <v>0.86664269999999999</v>
      </c>
      <c r="AB3236">
        <v>16</v>
      </c>
      <c r="AC3236">
        <v>-0.210700000000031</v>
      </c>
      <c r="AD3236">
        <v>-0.118695999999999</v>
      </c>
      <c r="AE3236">
        <v>-0.84139999999996395</v>
      </c>
      <c r="AF3236">
        <v>-0.46175811004789302</v>
      </c>
      <c r="AG3236">
        <v>-0.118695999999999</v>
      </c>
      <c r="AH3236">
        <v>0.71534788676985095</v>
      </c>
      <c r="AI3236">
        <v>97.936275882695</v>
      </c>
      <c r="AJ3236">
        <v>122.84230198774701</v>
      </c>
      <c r="AK3236">
        <v>0.85966964103491195</v>
      </c>
      <c r="AL3236">
        <v>93.3094721677097</v>
      </c>
      <c r="AM3236">
        <v>108.518382442822</v>
      </c>
      <c r="AN3236">
        <v>0.99999995575393097</v>
      </c>
    </row>
    <row r="3237" spans="1:40" x14ac:dyDescent="0.25">
      <c r="A3237" t="str">
        <f>"20190303154201126"</f>
        <v>20190303154201126</v>
      </c>
      <c r="B3237" t="str">
        <f>"1551598921112514"</f>
        <v>1551598921112514</v>
      </c>
      <c r="C3237" t="s">
        <v>40</v>
      </c>
      <c r="D3237">
        <v>5.8415619999999997</v>
      </c>
      <c r="E3237">
        <v>0.42943490000000001</v>
      </c>
      <c r="F3237" t="s">
        <v>42</v>
      </c>
      <c r="G3237">
        <v>-489.94589999999999</v>
      </c>
      <c r="H3237">
        <v>1.0202169999999999</v>
      </c>
      <c r="I3237">
        <v>279.0634</v>
      </c>
      <c r="J3237">
        <v>-489.75170000000003</v>
      </c>
      <c r="K3237">
        <v>1.1255999999999999</v>
      </c>
      <c r="L3237">
        <v>279.8254</v>
      </c>
      <c r="M3237">
        <v>-0.72657090000000002</v>
      </c>
      <c r="N3237">
        <v>-1.329776E-2</v>
      </c>
      <c r="O3237">
        <v>-0.68696279999999998</v>
      </c>
      <c r="P3237">
        <v>-0.46908909999999998</v>
      </c>
      <c r="Q3237">
        <v>-6.6707349999999999E-2</v>
      </c>
      <c r="R3237">
        <v>-0.88062830000000003</v>
      </c>
      <c r="S3237">
        <v>-0.87310789999999905</v>
      </c>
      <c r="T3237">
        <v>-0.37584230000000002</v>
      </c>
      <c r="U3237">
        <v>-2.916595</v>
      </c>
      <c r="V3237">
        <v>-0.31702200000000003</v>
      </c>
      <c r="W3237">
        <v>-5.7525050000000001E-2</v>
      </c>
      <c r="X3237">
        <v>0.94667199999999996</v>
      </c>
      <c r="Y3237">
        <v>-0.49855650000000001</v>
      </c>
      <c r="Z3237">
        <v>4.8846609999999999E-2</v>
      </c>
      <c r="AA3237">
        <v>0.86547989999999997</v>
      </c>
      <c r="AB3237">
        <v>16</v>
      </c>
      <c r="AC3237">
        <v>-0.19419999999996601</v>
      </c>
      <c r="AD3237">
        <v>-0.10538299999999901</v>
      </c>
      <c r="AE3237">
        <v>-0.76200000000000001</v>
      </c>
      <c r="AF3237">
        <v>-0.41286111113431001</v>
      </c>
      <c r="AG3237">
        <v>-0.10538299999999901</v>
      </c>
      <c r="AH3237">
        <v>0.65289856598798901</v>
      </c>
      <c r="AI3237">
        <v>97.768394265058504</v>
      </c>
      <c r="AJ3237">
        <v>122.30725814024299</v>
      </c>
      <c r="AK3237">
        <v>0.77963864145207096</v>
      </c>
      <c r="AL3237">
        <v>93.297763151550996</v>
      </c>
      <c r="AM3237">
        <v>108.514693663692</v>
      </c>
      <c r="AN3237">
        <v>0.99999997772275095</v>
      </c>
    </row>
    <row r="3238" spans="1:40" x14ac:dyDescent="0.25">
      <c r="A3238" t="str">
        <f>"20190303154201139"</f>
        <v>20190303154201139</v>
      </c>
      <c r="B3238" t="str">
        <f>"1551598921133011"</f>
        <v>1551598921133011</v>
      </c>
      <c r="C3238" t="s">
        <v>40</v>
      </c>
      <c r="D3238">
        <v>5.9202750000000002</v>
      </c>
      <c r="E3238">
        <v>0.42991990000000002</v>
      </c>
      <c r="F3238" t="s">
        <v>42</v>
      </c>
      <c r="G3238">
        <v>-490.02289999999999</v>
      </c>
      <c r="H3238">
        <v>1.0080769999999999</v>
      </c>
      <c r="I3238">
        <v>278.95670000000001</v>
      </c>
      <c r="J3238">
        <v>-489.8177</v>
      </c>
      <c r="K3238">
        <v>1.1255919999999999</v>
      </c>
      <c r="L3238">
        <v>279.75229999999999</v>
      </c>
      <c r="M3238">
        <v>-0.72192419999999902</v>
      </c>
      <c r="N3238">
        <v>-1.3288980000000001E-2</v>
      </c>
      <c r="O3238">
        <v>-0.69184460000000003</v>
      </c>
      <c r="P3238">
        <v>-0.4629973</v>
      </c>
      <c r="Q3238">
        <v>-6.6468479999999996E-2</v>
      </c>
      <c r="R3238">
        <v>-0.88386419999999999</v>
      </c>
      <c r="S3238">
        <v>-0.90399169999999995</v>
      </c>
      <c r="T3238">
        <v>-0.3916926</v>
      </c>
      <c r="U3238">
        <v>-2.8954770000000001</v>
      </c>
      <c r="V3238">
        <v>-0.31719419999999998</v>
      </c>
      <c r="W3238">
        <v>-5.7290220000000003E-2</v>
      </c>
      <c r="X3238">
        <v>0.94662860000000004</v>
      </c>
      <c r="Y3238">
        <v>-0.48255710000000002</v>
      </c>
      <c r="Z3238">
        <v>5.334821E-2</v>
      </c>
      <c r="AA3238">
        <v>0.87423830000000002</v>
      </c>
      <c r="AB3238">
        <v>16</v>
      </c>
      <c r="AC3238">
        <v>-0.20519999999999</v>
      </c>
      <c r="AD3238">
        <v>-0.117514999999999</v>
      </c>
      <c r="AE3238">
        <v>-0.79559999999997899</v>
      </c>
      <c r="AF3238">
        <v>-0.42376586049652498</v>
      </c>
      <c r="AG3238">
        <v>-0.117514999999999</v>
      </c>
      <c r="AH3238">
        <v>0.68462712302574802</v>
      </c>
      <c r="AI3238">
        <v>98.303764462401006</v>
      </c>
      <c r="AJ3238">
        <v>121.75639856490599</v>
      </c>
      <c r="AK3238">
        <v>0.81369624389563999</v>
      </c>
      <c r="AL3238">
        <v>93.284286024662293</v>
      </c>
      <c r="AM3238">
        <v>108.524855654151</v>
      </c>
      <c r="AN3238">
        <v>1.00000001807962</v>
      </c>
    </row>
    <row r="3239" spans="1:40" x14ac:dyDescent="0.25">
      <c r="A3239" t="str">
        <f>"20190303154201151"</f>
        <v>20190303154201151</v>
      </c>
      <c r="B3239" t="str">
        <f>"1551598921142771"</f>
        <v>1551598921142771</v>
      </c>
      <c r="C3239" t="s">
        <v>40</v>
      </c>
      <c r="D3239">
        <v>5.8339889999999999</v>
      </c>
      <c r="E3239">
        <v>0.42991990000000002</v>
      </c>
      <c r="F3239" t="s">
        <v>42</v>
      </c>
      <c r="G3239">
        <v>-490.09469999999999</v>
      </c>
      <c r="H3239">
        <v>1.001085</v>
      </c>
      <c r="I3239">
        <v>278.84649999999999</v>
      </c>
      <c r="J3239">
        <v>-489.87169999999998</v>
      </c>
      <c r="K3239">
        <v>1.1255919999999999</v>
      </c>
      <c r="L3239">
        <v>279.69159999999999</v>
      </c>
      <c r="M3239">
        <v>-0.71806159999999997</v>
      </c>
      <c r="N3239">
        <v>-1.3280399999999999E-2</v>
      </c>
      <c r="O3239">
        <v>-0.69585299999999894</v>
      </c>
      <c r="P3239">
        <v>-0.45808589999999999</v>
      </c>
      <c r="Q3239">
        <v>-6.6199250000000001E-2</v>
      </c>
      <c r="R3239">
        <v>-0.88643959999999999</v>
      </c>
      <c r="S3239">
        <v>-0.88693239999999995</v>
      </c>
      <c r="T3239">
        <v>-0.39858090000000002</v>
      </c>
      <c r="U3239">
        <v>-2.899597</v>
      </c>
      <c r="V3239">
        <v>-0.317195</v>
      </c>
      <c r="W3239">
        <v>-5.7021660000000002E-2</v>
      </c>
      <c r="X3239">
        <v>0.9466445</v>
      </c>
      <c r="Y3239">
        <v>-0.48274499999999998</v>
      </c>
      <c r="Z3239">
        <v>5.5109569999999997E-2</v>
      </c>
      <c r="AA3239">
        <v>0.8740253</v>
      </c>
      <c r="AB3239">
        <v>16</v>
      </c>
      <c r="AC3239">
        <v>-0.22300000000001299</v>
      </c>
      <c r="AD3239">
        <v>-0.12450699999999899</v>
      </c>
      <c r="AE3239">
        <v>-0.84510000000000196</v>
      </c>
      <c r="AF3239">
        <v>-0.44271458698712102</v>
      </c>
      <c r="AG3239">
        <v>-0.12450699999999899</v>
      </c>
      <c r="AH3239">
        <v>0.73337687730812495</v>
      </c>
      <c r="AI3239">
        <v>98.269626449732201</v>
      </c>
      <c r="AJ3239">
        <v>121.117946928495</v>
      </c>
      <c r="AK3239">
        <v>0.86564417791052795</v>
      </c>
      <c r="AL3239">
        <v>93.268873620580706</v>
      </c>
      <c r="AM3239">
        <v>108.524609274697</v>
      </c>
      <c r="AN3239">
        <v>0.99999997355720205</v>
      </c>
    </row>
    <row r="3240" spans="1:40" x14ac:dyDescent="0.25">
      <c r="A3240" t="str">
        <f>"20190303154201165"</f>
        <v>20190303154201165</v>
      </c>
      <c r="B3240" t="str">
        <f>"1551598921152531"</f>
        <v>1551598921152531</v>
      </c>
      <c r="C3240" t="s">
        <v>40</v>
      </c>
      <c r="D3240">
        <v>5.897157</v>
      </c>
      <c r="E3240">
        <v>0.43107679999999998</v>
      </c>
      <c r="F3240" t="s">
        <v>42</v>
      </c>
      <c r="G3240">
        <v>-490.12220000000002</v>
      </c>
      <c r="H3240">
        <v>1.011204</v>
      </c>
      <c r="I3240">
        <v>278.85590000000002</v>
      </c>
      <c r="J3240">
        <v>-489.92840000000001</v>
      </c>
      <c r="K3240">
        <v>1.1254980000000001</v>
      </c>
      <c r="L3240">
        <v>279.62709999999998</v>
      </c>
      <c r="M3240">
        <v>-0.71420450000000002</v>
      </c>
      <c r="N3240">
        <v>-1.369475E-2</v>
      </c>
      <c r="O3240">
        <v>-0.69980339999999996</v>
      </c>
      <c r="P3240">
        <v>-0.4531694</v>
      </c>
      <c r="Q3240">
        <v>-6.6328449999999997E-2</v>
      </c>
      <c r="R3240">
        <v>-0.88895380000000002</v>
      </c>
      <c r="S3240">
        <v>-0.87072749999999999</v>
      </c>
      <c r="T3240">
        <v>-0.39757500000000001</v>
      </c>
      <c r="U3240">
        <v>-2.9046630000000002</v>
      </c>
      <c r="V3240">
        <v>-0.31723559999999901</v>
      </c>
      <c r="W3240">
        <v>-5.6598200000000001E-2</v>
      </c>
      <c r="X3240">
        <v>0.94665630000000001</v>
      </c>
      <c r="Y3240">
        <v>-0.48279119999999998</v>
      </c>
      <c r="Z3240">
        <v>5.5175990000000001E-2</v>
      </c>
      <c r="AA3240">
        <v>0.87399550000000004</v>
      </c>
      <c r="AB3240">
        <v>16</v>
      </c>
      <c r="AC3240">
        <v>-0.19380000000000999</v>
      </c>
      <c r="AD3240">
        <v>-0.11429399999999899</v>
      </c>
      <c r="AE3240">
        <v>-0.77119999999996403</v>
      </c>
      <c r="AF3240">
        <v>-0.40680706251332999</v>
      </c>
      <c r="AG3240">
        <v>-0.11429399999999899</v>
      </c>
      <c r="AH3240">
        <v>0.66443776732751003</v>
      </c>
      <c r="AI3240">
        <v>98.345948262090005</v>
      </c>
      <c r="AJ3240">
        <v>121.477368052901</v>
      </c>
      <c r="AK3240">
        <v>0.78742152065960902</v>
      </c>
      <c r="AL3240">
        <v>93.244571925738995</v>
      </c>
      <c r="AM3240">
        <v>108.526603350717</v>
      </c>
      <c r="AN3240">
        <v>0.99999996624014398</v>
      </c>
    </row>
    <row r="3241" spans="1:40" x14ac:dyDescent="0.25">
      <c r="A3241" t="str">
        <f>"20190303154201176"</f>
        <v>20190303154201176</v>
      </c>
      <c r="B3241" t="str">
        <f>"1551598921173026"</f>
        <v>1551598921173026</v>
      </c>
      <c r="C3241" t="s">
        <v>40</v>
      </c>
      <c r="D3241">
        <v>5.8567239999999998</v>
      </c>
      <c r="E3241">
        <v>0.4314595</v>
      </c>
      <c r="F3241" t="s">
        <v>42</v>
      </c>
      <c r="G3241">
        <v>-490.18790000000001</v>
      </c>
      <c r="H3241">
        <v>1.0047740000000001</v>
      </c>
      <c r="I3241">
        <v>278.75389999999999</v>
      </c>
      <c r="J3241">
        <v>-489.98050000000001</v>
      </c>
      <c r="K3241">
        <v>1.1253759999999999</v>
      </c>
      <c r="L3241">
        <v>279.5677</v>
      </c>
      <c r="M3241">
        <v>-0.71075299999999997</v>
      </c>
      <c r="N3241">
        <v>-1.426972E-2</v>
      </c>
      <c r="O3241">
        <v>-0.70329710000000001</v>
      </c>
      <c r="P3241">
        <v>-0.4485632</v>
      </c>
      <c r="Q3241">
        <v>-6.7189150000000003E-2</v>
      </c>
      <c r="R3241">
        <v>-0.89122209999999902</v>
      </c>
      <c r="S3241">
        <v>-0.86309809999999998</v>
      </c>
      <c r="T3241">
        <v>-0.40159250000000002</v>
      </c>
      <c r="U3241">
        <v>-2.904846</v>
      </c>
      <c r="V3241">
        <v>-0.31747439999999999</v>
      </c>
      <c r="W3241">
        <v>-5.6701960000000003E-2</v>
      </c>
      <c r="X3241">
        <v>0.94657009999999997</v>
      </c>
      <c r="Y3241">
        <v>-0.48059960000000002</v>
      </c>
      <c r="Z3241">
        <v>5.6063439999999999E-2</v>
      </c>
      <c r="AA3241">
        <v>0.87514619999999999</v>
      </c>
      <c r="AB3241">
        <v>16</v>
      </c>
      <c r="AC3241">
        <v>-0.207400000000006</v>
      </c>
      <c r="AD3241">
        <v>-0.120601999999999</v>
      </c>
      <c r="AE3241">
        <v>-0.81380000000001396</v>
      </c>
      <c r="AF3241">
        <v>-0.42385005453994001</v>
      </c>
      <c r="AG3241">
        <v>-0.120601999999999</v>
      </c>
      <c r="AH3241">
        <v>0.70528177681997195</v>
      </c>
      <c r="AI3241">
        <v>98.338322548782799</v>
      </c>
      <c r="AJ3241">
        <v>121.004417318281</v>
      </c>
      <c r="AK3241">
        <v>0.83163459274602503</v>
      </c>
      <c r="AL3241">
        <v>93.250526289178893</v>
      </c>
      <c r="AM3241">
        <v>108.541169261297</v>
      </c>
      <c r="AN3241">
        <v>1.0000000305686001</v>
      </c>
    </row>
    <row r="3242" spans="1:40" x14ac:dyDescent="0.25">
      <c r="A3242" t="str">
        <f>"20190303154201188"</f>
        <v>20190303154201188</v>
      </c>
      <c r="B3242" t="str">
        <f>"1551598921182787"</f>
        <v>1551598921182787</v>
      </c>
      <c r="C3242" t="s">
        <v>40</v>
      </c>
      <c r="D3242">
        <v>5.8839569999999997</v>
      </c>
      <c r="E3242">
        <v>0.43620140000000002</v>
      </c>
      <c r="F3242" t="s">
        <v>42</v>
      </c>
      <c r="G3242">
        <v>-490.25049999999999</v>
      </c>
      <c r="H3242">
        <v>0.99676019999999999</v>
      </c>
      <c r="I3242">
        <v>278.6447</v>
      </c>
      <c r="J3242">
        <v>-490.03269999999998</v>
      </c>
      <c r="K3242">
        <v>1.1251770000000001</v>
      </c>
      <c r="L3242">
        <v>279.50779999999997</v>
      </c>
      <c r="M3242">
        <v>-0.70746239999999905</v>
      </c>
      <c r="N3242">
        <v>-1.511157E-2</v>
      </c>
      <c r="O3242">
        <v>-0.70658940000000003</v>
      </c>
      <c r="P3242">
        <v>-0.44460509999999998</v>
      </c>
      <c r="Q3242">
        <v>-6.8437590000000006E-2</v>
      </c>
      <c r="R3242">
        <v>-0.89310840000000002</v>
      </c>
      <c r="S3242">
        <v>-0.85052490000000003</v>
      </c>
      <c r="T3242">
        <v>-0.40513189999999999</v>
      </c>
      <c r="U3242">
        <v>-2.9075319999999998</v>
      </c>
      <c r="V3242">
        <v>-0.31725170000000003</v>
      </c>
      <c r="W3242">
        <v>-5.6838149999999997E-2</v>
      </c>
      <c r="X3242">
        <v>0.94663660000000005</v>
      </c>
      <c r="Y3242">
        <v>-0.4801803</v>
      </c>
      <c r="Z3242">
        <v>5.648007E-2</v>
      </c>
      <c r="AA3242">
        <v>0.87534959999999995</v>
      </c>
      <c r="AB3242">
        <v>15</v>
      </c>
      <c r="AC3242">
        <v>-0.21780000000001101</v>
      </c>
      <c r="AD3242">
        <v>-0.1284168</v>
      </c>
      <c r="AE3242">
        <v>-0.863099999999974</v>
      </c>
      <c r="AF3242">
        <v>-0.44745540354915703</v>
      </c>
      <c r="AG3242">
        <v>-0.1284168</v>
      </c>
      <c r="AH3242">
        <v>0.74845316123028305</v>
      </c>
      <c r="AI3242">
        <v>98.377480779299503</v>
      </c>
      <c r="AJ3242">
        <v>120.872679971343</v>
      </c>
      <c r="AK3242">
        <v>0.88141326699975597</v>
      </c>
      <c r="AL3242">
        <v>93.258341993046699</v>
      </c>
      <c r="AM3242">
        <v>108.52783865148901</v>
      </c>
      <c r="AN3242">
        <v>1.0000000344539299</v>
      </c>
    </row>
    <row r="3243" spans="1:40" x14ac:dyDescent="0.25">
      <c r="A3243" t="str">
        <f>"20190303154201204"</f>
        <v>20190303154201204</v>
      </c>
      <c r="B3243" t="str">
        <f>"1551598921192547"</f>
        <v>1551598921192547</v>
      </c>
      <c r="C3243" t="s">
        <v>40</v>
      </c>
      <c r="D3243">
        <v>5.8810209999999996</v>
      </c>
      <c r="E3243">
        <v>0.43651050000000002</v>
      </c>
      <c r="F3243" t="s">
        <v>42</v>
      </c>
      <c r="G3243">
        <v>-490.29599999999999</v>
      </c>
      <c r="H3243">
        <v>0.99243800000000004</v>
      </c>
      <c r="I3243">
        <v>278.6327</v>
      </c>
      <c r="J3243">
        <v>-490.09570000000002</v>
      </c>
      <c r="K3243">
        <v>1.1249450000000001</v>
      </c>
      <c r="L3243">
        <v>279.43520000000001</v>
      </c>
      <c r="M3243">
        <v>-0.70361660000000004</v>
      </c>
      <c r="N3243">
        <v>-1.6213229999999999E-2</v>
      </c>
      <c r="O3243">
        <v>-0.71039490000000005</v>
      </c>
      <c r="P3243">
        <v>-0.439882</v>
      </c>
      <c r="Q3243">
        <v>-7.0486229999999997E-2</v>
      </c>
      <c r="R3243">
        <v>-0.895285</v>
      </c>
      <c r="S3243">
        <v>-0.87014769999999897</v>
      </c>
      <c r="T3243">
        <v>-0.43870530000000002</v>
      </c>
      <c r="U3243">
        <v>-2.8921809999999999</v>
      </c>
      <c r="V3243">
        <v>-0.31707679999999999</v>
      </c>
      <c r="W3243">
        <v>-5.746888E-2</v>
      </c>
      <c r="X3243">
        <v>0.94665710000000003</v>
      </c>
      <c r="Y3243">
        <v>-0.46870499999999998</v>
      </c>
      <c r="Z3243">
        <v>6.2868960000000002E-2</v>
      </c>
      <c r="AA3243">
        <v>0.88111469999999903</v>
      </c>
      <c r="AB3243">
        <v>15</v>
      </c>
      <c r="AC3243">
        <v>-0.20029999999997</v>
      </c>
      <c r="AD3243">
        <v>-0.13250700000000001</v>
      </c>
      <c r="AE3243">
        <v>-0.80250000000000898</v>
      </c>
      <c r="AF3243">
        <v>-0.41184570347164201</v>
      </c>
      <c r="AG3243">
        <v>-0.13250700000000001</v>
      </c>
      <c r="AH3243">
        <v>0.69332554483092701</v>
      </c>
      <c r="AI3243">
        <v>99.331152205780697</v>
      </c>
      <c r="AJ3243">
        <v>120.71094280234099</v>
      </c>
      <c r="AK3243">
        <v>0.817236379288241</v>
      </c>
      <c r="AL3243">
        <v>93.294539384669207</v>
      </c>
      <c r="AM3243">
        <v>108.517947433289</v>
      </c>
      <c r="AN3243">
        <v>1.0000000171235499</v>
      </c>
    </row>
    <row r="3244" spans="1:40" x14ac:dyDescent="0.25">
      <c r="A3244" t="str">
        <f>"20190303154201216"</f>
        <v>20190303154201216</v>
      </c>
      <c r="B3244" t="str">
        <f>"1551598921213043"</f>
        <v>1551598921213043</v>
      </c>
      <c r="C3244" t="s">
        <v>40</v>
      </c>
      <c r="D3244">
        <v>5.8880400000000002</v>
      </c>
      <c r="E3244">
        <v>0.43743310000000002</v>
      </c>
      <c r="F3244" t="s">
        <v>42</v>
      </c>
      <c r="G3244">
        <v>-490.35399999999998</v>
      </c>
      <c r="H3244">
        <v>0.99418320000000004</v>
      </c>
      <c r="I3244">
        <v>278.56389999999999</v>
      </c>
      <c r="J3244">
        <v>-490.14839999999998</v>
      </c>
      <c r="K3244">
        <v>1.124762</v>
      </c>
      <c r="L3244">
        <v>279.37419999999997</v>
      </c>
      <c r="M3244">
        <v>-0.70050249999999903</v>
      </c>
      <c r="N3244">
        <v>-1.719915E-2</v>
      </c>
      <c r="O3244">
        <v>-0.71344280000000004</v>
      </c>
      <c r="P3244">
        <v>-0.4361835</v>
      </c>
      <c r="Q3244">
        <v>-7.1832389999999996E-2</v>
      </c>
      <c r="R3244">
        <v>-0.89698630000000001</v>
      </c>
      <c r="S3244">
        <v>-0.85760499999999995</v>
      </c>
      <c r="T3244">
        <v>-0.43433880000000002</v>
      </c>
      <c r="U3244">
        <v>-2.8953250000000001</v>
      </c>
      <c r="V3244">
        <v>-0.31683600000000001</v>
      </c>
      <c r="W3244">
        <v>-5.7575750000000002E-2</v>
      </c>
      <c r="X3244">
        <v>0.94673119999999999</v>
      </c>
      <c r="Y3244">
        <v>-0.4685685</v>
      </c>
      <c r="Z3244">
        <v>6.1772510000000003E-2</v>
      </c>
      <c r="AA3244">
        <v>0.88126489999999902</v>
      </c>
      <c r="AB3244">
        <v>15</v>
      </c>
      <c r="AC3244">
        <v>-0.20560000000006001</v>
      </c>
      <c r="AD3244">
        <v>-0.13057879999999999</v>
      </c>
      <c r="AE3244">
        <v>-0.81029999999998303</v>
      </c>
      <c r="AF3244">
        <v>-0.41096869532083102</v>
      </c>
      <c r="AG3244">
        <v>-0.13057879999999999</v>
      </c>
      <c r="AH3244">
        <v>0.70503132146018699</v>
      </c>
      <c r="AI3244">
        <v>99.090836199399405</v>
      </c>
      <c r="AJ3244">
        <v>120.238269208289</v>
      </c>
      <c r="AK3244">
        <v>0.82644737024389103</v>
      </c>
      <c r="AL3244">
        <v>93.300672824777394</v>
      </c>
      <c r="AM3244">
        <v>108.503492556827</v>
      </c>
      <c r="AN3244">
        <v>0.99999999146875096</v>
      </c>
    </row>
    <row r="3245" spans="1:40" x14ac:dyDescent="0.25">
      <c r="A3245" t="str">
        <f>"20190303154201230"</f>
        <v>20190303154201230</v>
      </c>
      <c r="B3245" t="str">
        <f>"1551598921222804"</f>
        <v>1551598921222804</v>
      </c>
      <c r="C3245" t="s">
        <v>40</v>
      </c>
      <c r="D3245">
        <v>5.87852</v>
      </c>
      <c r="E3245">
        <v>0.43743359999999898</v>
      </c>
      <c r="F3245" t="s">
        <v>42</v>
      </c>
      <c r="G3245">
        <v>-490.41660000000002</v>
      </c>
      <c r="H3245">
        <v>0.98622379999999998</v>
      </c>
      <c r="I3245">
        <v>278.4624</v>
      </c>
      <c r="J3245">
        <v>-490.20519999999999</v>
      </c>
      <c r="K3245">
        <v>1.124638</v>
      </c>
      <c r="L3245">
        <v>279.30829999999997</v>
      </c>
      <c r="M3245">
        <v>-0.69738199999999995</v>
      </c>
      <c r="N3245">
        <v>-1.8311029999999999E-2</v>
      </c>
      <c r="O3245">
        <v>-0.71646580000000004</v>
      </c>
      <c r="P3245">
        <v>-0.4327318</v>
      </c>
      <c r="Q3245">
        <v>-7.3089089999999995E-2</v>
      </c>
      <c r="R3245">
        <v>-0.8985552</v>
      </c>
      <c r="S3245">
        <v>-0.85183719999999996</v>
      </c>
      <c r="T3245">
        <v>-0.43995699999999999</v>
      </c>
      <c r="U3245">
        <v>-2.8950809999999998</v>
      </c>
      <c r="V3245">
        <v>-0.316335799999999</v>
      </c>
      <c r="W3245">
        <v>-5.7522900000000002E-2</v>
      </c>
      <c r="X3245">
        <v>0.94690169999999996</v>
      </c>
      <c r="Y3245">
        <v>-0.4662752</v>
      </c>
      <c r="Z3245">
        <v>6.2484499999999998E-2</v>
      </c>
      <c r="AA3245">
        <v>0.8824303</v>
      </c>
      <c r="AB3245">
        <v>14</v>
      </c>
      <c r="AC3245">
        <v>-0.21140000000002601</v>
      </c>
      <c r="AD3245">
        <v>-0.13841419999999899</v>
      </c>
      <c r="AE3245">
        <v>-0.84589999999997101</v>
      </c>
      <c r="AF3245">
        <v>-0.42774848913506702</v>
      </c>
      <c r="AG3245">
        <v>-0.13841419999999899</v>
      </c>
      <c r="AH3245">
        <v>0.735086566201268</v>
      </c>
      <c r="AI3245">
        <v>99.243717792520798</v>
      </c>
      <c r="AJ3245">
        <v>120.195219221334</v>
      </c>
      <c r="AK3245">
        <v>0.86167251350414098</v>
      </c>
      <c r="AL3245">
        <v>93.297639602175806</v>
      </c>
      <c r="AM3245">
        <v>108.473164262268</v>
      </c>
      <c r="AN3245">
        <v>1.0000000259244599</v>
      </c>
    </row>
    <row r="3246" spans="1:40" x14ac:dyDescent="0.25">
      <c r="A3246" t="str">
        <f>"20190303154201251"</f>
        <v>20190303154201251</v>
      </c>
      <c r="B3246" t="str">
        <f>"1551598921243299"</f>
        <v>1551598921243299</v>
      </c>
      <c r="C3246" t="s">
        <v>40</v>
      </c>
      <c r="D3246">
        <v>5.9048470000000002</v>
      </c>
      <c r="E3246">
        <v>0.43824350000000001</v>
      </c>
      <c r="F3246" t="s">
        <v>42</v>
      </c>
      <c r="G3246">
        <v>-490.46390000000002</v>
      </c>
      <c r="H3246">
        <v>0.98778960000000005</v>
      </c>
      <c r="I3246">
        <v>278.416</v>
      </c>
      <c r="J3246">
        <v>-490.27980000000002</v>
      </c>
      <c r="K3246">
        <v>1.1245289999999999</v>
      </c>
      <c r="L3246">
        <v>279.22129999999999</v>
      </c>
      <c r="M3246">
        <v>-0.69334980000000002</v>
      </c>
      <c r="N3246">
        <v>-1.9794340000000001E-2</v>
      </c>
      <c r="O3246">
        <v>-0.72032929999999995</v>
      </c>
      <c r="P3246">
        <v>-0.42787389999999997</v>
      </c>
      <c r="Q3246">
        <v>-7.4933029999999998E-2</v>
      </c>
      <c r="R3246">
        <v>-0.90072739999999996</v>
      </c>
      <c r="S3246">
        <v>-0.84051509999999996</v>
      </c>
      <c r="T3246">
        <v>-0.44450309999999998</v>
      </c>
      <c r="U3246">
        <v>-2.8977659999999998</v>
      </c>
      <c r="V3246">
        <v>-0.31610149999999998</v>
      </c>
      <c r="W3246">
        <v>-5.769676E-2</v>
      </c>
      <c r="X3246">
        <v>0.94696930000000001</v>
      </c>
      <c r="Y3246">
        <v>-0.46465620000000002</v>
      </c>
      <c r="Z3246">
        <v>6.2754779999999996E-2</v>
      </c>
      <c r="AA3246">
        <v>0.88326469999999901</v>
      </c>
      <c r="AB3246">
        <v>14</v>
      </c>
      <c r="AC3246">
        <v>-0.18410000000000001</v>
      </c>
      <c r="AD3246">
        <v>-0.13673940000000001</v>
      </c>
      <c r="AE3246">
        <v>-0.80529999999998803</v>
      </c>
      <c r="AF3246">
        <v>-0.41446901016818499</v>
      </c>
      <c r="AG3246">
        <v>-0.13673940000000001</v>
      </c>
      <c r="AH3246">
        <v>0.68898741881646297</v>
      </c>
      <c r="AI3246">
        <v>99.651630385870305</v>
      </c>
      <c r="AJ3246">
        <v>121.029539089179</v>
      </c>
      <c r="AK3246">
        <v>0.81558928829989397</v>
      </c>
      <c r="AL3246">
        <v>93.307617820366602</v>
      </c>
      <c r="AM3246">
        <v>108.459181034661</v>
      </c>
      <c r="AN3246">
        <v>0.99999996477961794</v>
      </c>
    </row>
    <row r="3247" spans="1:40" x14ac:dyDescent="0.25">
      <c r="A3247" t="str">
        <f>"20190303154201265"</f>
        <v>20190303154201265</v>
      </c>
      <c r="B3247" t="str">
        <f>"1551598921253060"</f>
        <v>1551598921253060</v>
      </c>
      <c r="C3247" t="s">
        <v>40</v>
      </c>
      <c r="D3247">
        <v>5.9048030000000002</v>
      </c>
      <c r="E3247">
        <v>0.43855850000000002</v>
      </c>
      <c r="F3247" t="s">
        <v>42</v>
      </c>
      <c r="G3247">
        <v>-490.53789999999998</v>
      </c>
      <c r="H3247">
        <v>0.98433210000000004</v>
      </c>
      <c r="I3247">
        <v>278.322</v>
      </c>
      <c r="J3247">
        <v>-490.33960000000002</v>
      </c>
      <c r="K3247">
        <v>1.1245430000000001</v>
      </c>
      <c r="L3247">
        <v>279.15100000000001</v>
      </c>
      <c r="M3247">
        <v>-0.69001279999999998</v>
      </c>
      <c r="N3247">
        <v>-2.095911E-2</v>
      </c>
      <c r="O3247">
        <v>-0.72349390000000002</v>
      </c>
      <c r="P3247">
        <v>-0.42405150000000003</v>
      </c>
      <c r="Q3247">
        <v>-7.5852230000000007E-2</v>
      </c>
      <c r="R3247">
        <v>-0.90245620000000004</v>
      </c>
      <c r="S3247">
        <v>-0.83074950000000003</v>
      </c>
      <c r="T3247">
        <v>-0.45167220000000002</v>
      </c>
      <c r="U3247">
        <v>-2.8984679999999998</v>
      </c>
      <c r="V3247">
        <v>-0.31572800000000001</v>
      </c>
      <c r="W3247">
        <v>-5.7402179999999997E-2</v>
      </c>
      <c r="X3247">
        <v>0.94711179999999995</v>
      </c>
      <c r="Y3247">
        <v>-0.46332839999999997</v>
      </c>
      <c r="Z3247">
        <v>6.3688990000000001E-2</v>
      </c>
      <c r="AA3247">
        <v>0.88389509999999905</v>
      </c>
      <c r="AB3247">
        <v>14</v>
      </c>
      <c r="AC3247">
        <v>-0.19829999999996001</v>
      </c>
      <c r="AD3247">
        <v>-0.1402109</v>
      </c>
      <c r="AE3247">
        <v>-0.82900000000000695</v>
      </c>
      <c r="AF3247">
        <v>-0.41735326031402498</v>
      </c>
      <c r="AG3247">
        <v>-0.1402109</v>
      </c>
      <c r="AH3247">
        <v>0.71735768885897</v>
      </c>
      <c r="AI3247">
        <v>99.589163290073898</v>
      </c>
      <c r="AJ3247">
        <v>120.190519871652</v>
      </c>
      <c r="AK3247">
        <v>0.841691685915121</v>
      </c>
      <c r="AL3247">
        <v>93.290711589156999</v>
      </c>
      <c r="AM3247">
        <v>108.436259140377</v>
      </c>
      <c r="AN3247">
        <v>0.99999997097599502</v>
      </c>
    </row>
    <row r="3248" spans="1:40" x14ac:dyDescent="0.25">
      <c r="A3248" t="str">
        <f>"20190303154201281"</f>
        <v>20190303154201281</v>
      </c>
      <c r="B3248" t="str">
        <f>"1551598921272579"</f>
        <v>1551598921272579</v>
      </c>
      <c r="C3248" t="s">
        <v>40</v>
      </c>
      <c r="D3248">
        <v>5.8819239999999997</v>
      </c>
      <c r="E3248">
        <v>0.43906600000000001</v>
      </c>
      <c r="F3248" t="s">
        <v>42</v>
      </c>
      <c r="G3248">
        <v>-490.59269999999998</v>
      </c>
      <c r="H3248">
        <v>0.98409919999999995</v>
      </c>
      <c r="I3248">
        <v>278.25689999999997</v>
      </c>
      <c r="J3248">
        <v>-490.39699999999999</v>
      </c>
      <c r="K3248">
        <v>1.1246830000000001</v>
      </c>
      <c r="L3248">
        <v>279.08280000000002</v>
      </c>
      <c r="M3248">
        <v>-0.68648869999999995</v>
      </c>
      <c r="N3248">
        <v>-2.1955510000000001E-2</v>
      </c>
      <c r="O3248">
        <v>-0.72680900000000004</v>
      </c>
      <c r="P3248">
        <v>-0.42000979999999999</v>
      </c>
      <c r="Q3248">
        <v>-7.7426750000000003E-2</v>
      </c>
      <c r="R3248">
        <v>-0.90421090000000004</v>
      </c>
      <c r="S3248">
        <v>-0.82070919999999903</v>
      </c>
      <c r="T3248">
        <v>-0.45557609999999898</v>
      </c>
      <c r="U3248">
        <v>-2.9003299999999999</v>
      </c>
      <c r="V3248">
        <v>-0.31528240000000002</v>
      </c>
      <c r="W3248">
        <v>-5.805884E-2</v>
      </c>
      <c r="X3248">
        <v>0.94722030000000002</v>
      </c>
      <c r="Y3248">
        <v>-0.46197339999999998</v>
      </c>
      <c r="Z3248">
        <v>6.4198809999999995E-2</v>
      </c>
      <c r="AA3248">
        <v>0.884567199999999</v>
      </c>
      <c r="AB3248">
        <v>14</v>
      </c>
      <c r="AC3248">
        <v>-0.19569999999998799</v>
      </c>
      <c r="AD3248">
        <v>-0.14058380000000001</v>
      </c>
      <c r="AE3248">
        <v>-0.82590000000004604</v>
      </c>
      <c r="AF3248">
        <v>-0.41349305809139703</v>
      </c>
      <c r="AG3248">
        <v>-0.14058380000000001</v>
      </c>
      <c r="AH3248">
        <v>0.71517429042436398</v>
      </c>
      <c r="AI3248">
        <v>99.657874237809807</v>
      </c>
      <c r="AJ3248">
        <v>120.035257181129</v>
      </c>
      <c r="AK3248">
        <v>0.83798244587593096</v>
      </c>
      <c r="AL3248">
        <v>93.328397998986205</v>
      </c>
      <c r="AM3248">
        <v>108.410028251846</v>
      </c>
      <c r="AN3248">
        <v>1.0000000586919899</v>
      </c>
    </row>
    <row r="3249" spans="1:40" x14ac:dyDescent="0.25">
      <c r="A3249" t="str">
        <f>"20190303154201295"</f>
        <v>20190303154201295</v>
      </c>
      <c r="B3249" t="str">
        <f>"1551598921283315"</f>
        <v>1551598921283315</v>
      </c>
      <c r="C3249" t="s">
        <v>40</v>
      </c>
      <c r="D3249">
        <v>5.900404</v>
      </c>
      <c r="E3249">
        <v>0.43922620000000001</v>
      </c>
      <c r="F3249" t="s">
        <v>42</v>
      </c>
      <c r="G3249">
        <v>-490.64690000000002</v>
      </c>
      <c r="H3249">
        <v>0.98371699999999995</v>
      </c>
      <c r="I3249">
        <v>278.18889999999999</v>
      </c>
      <c r="J3249">
        <v>-490.4486</v>
      </c>
      <c r="K3249">
        <v>1.124941</v>
      </c>
      <c r="L3249">
        <v>279.02080000000001</v>
      </c>
      <c r="M3249">
        <v>-0.68286969999999902</v>
      </c>
      <c r="N3249">
        <v>-2.2655089999999999E-2</v>
      </c>
      <c r="O3249">
        <v>-0.73018879999999997</v>
      </c>
      <c r="P3249">
        <v>-0.41636069999999997</v>
      </c>
      <c r="Q3249">
        <v>-7.8620200000000001E-2</v>
      </c>
      <c r="R3249">
        <v>-0.90579430000000005</v>
      </c>
      <c r="S3249">
        <v>-0.81072999999999995</v>
      </c>
      <c r="T3249">
        <v>-0.45753870000000002</v>
      </c>
      <c r="U3249">
        <v>-2.9020389999999998</v>
      </c>
      <c r="V3249">
        <v>-0.31430599999999997</v>
      </c>
      <c r="W3249">
        <v>-5.8754920000000002E-2</v>
      </c>
      <c r="X3249">
        <v>0.94750179999999995</v>
      </c>
      <c r="Y3249">
        <v>-0.46051120000000001</v>
      </c>
      <c r="Z3249">
        <v>6.464876E-2</v>
      </c>
      <c r="AA3249">
        <v>0.88529650000000004</v>
      </c>
      <c r="AB3249">
        <v>13</v>
      </c>
      <c r="AC3249">
        <v>-0.19830000000001699</v>
      </c>
      <c r="AD3249">
        <v>-0.14122399999999999</v>
      </c>
      <c r="AE3249">
        <v>-0.83190000000001796</v>
      </c>
      <c r="AF3249">
        <v>-0.41215244002052698</v>
      </c>
      <c r="AG3249">
        <v>-0.14122399999999999</v>
      </c>
      <c r="AH3249">
        <v>0.723323342605102</v>
      </c>
      <c r="AI3249">
        <v>99.627841593773198</v>
      </c>
      <c r="AJ3249">
        <v>119.674657759223</v>
      </c>
      <c r="AK3249">
        <v>0.84439949665326797</v>
      </c>
      <c r="AL3249">
        <v>93.368348736215594</v>
      </c>
      <c r="AM3249">
        <v>108.35175341582401</v>
      </c>
      <c r="AN3249">
        <v>1.0000000316317199</v>
      </c>
    </row>
    <row r="3250" spans="1:40" x14ac:dyDescent="0.25">
      <c r="A3250" t="str">
        <f>"20190303154201308"</f>
        <v>20190303154201308</v>
      </c>
      <c r="B3250" t="str">
        <f>"1551598921302835"</f>
        <v>1551598921302835</v>
      </c>
      <c r="C3250" t="s">
        <v>40</v>
      </c>
      <c r="D3250">
        <v>5.8820160000000001</v>
      </c>
      <c r="E3250">
        <v>0.43960379999999899</v>
      </c>
      <c r="F3250" t="s">
        <v>46</v>
      </c>
      <c r="G3250">
        <v>-492.4203</v>
      </c>
      <c r="H3250" s="1">
        <v>7.9476099999999998E-7</v>
      </c>
      <c r="I3250">
        <v>271.8646</v>
      </c>
      <c r="J3250">
        <v>-490.4973</v>
      </c>
      <c r="K3250">
        <v>1.125329</v>
      </c>
      <c r="L3250">
        <v>278.9606</v>
      </c>
      <c r="M3250">
        <v>-0.6787725</v>
      </c>
      <c r="N3250">
        <v>-2.2683189999999999E-2</v>
      </c>
      <c r="O3250">
        <v>-0.7339985</v>
      </c>
      <c r="P3250">
        <v>-0.41181020000000002</v>
      </c>
      <c r="Q3250">
        <v>-7.8739749999999997E-2</v>
      </c>
      <c r="R3250">
        <v>-0.90786160000000005</v>
      </c>
      <c r="S3250">
        <v>-0.80026249999999999</v>
      </c>
      <c r="T3250">
        <v>-0.45658110000000002</v>
      </c>
      <c r="U3250">
        <v>-2.9045100000000001</v>
      </c>
      <c r="V3250">
        <v>-0.3136756</v>
      </c>
      <c r="W3250">
        <v>-5.9243780000000003E-2</v>
      </c>
      <c r="X3250">
        <v>0.94768019999999997</v>
      </c>
      <c r="Y3250">
        <v>-0.45872950000000001</v>
      </c>
      <c r="Z3250">
        <v>6.5242030000000006E-2</v>
      </c>
      <c r="AA3250">
        <v>0.88617760000000001</v>
      </c>
      <c r="AB3250">
        <v>13</v>
      </c>
      <c r="AC3250">
        <v>-1.923</v>
      </c>
      <c r="AD3250">
        <v>-1.1253282052389999</v>
      </c>
      <c r="AE3250">
        <v>-7.0960000000000001</v>
      </c>
      <c r="AF3250">
        <v>-3.3279946103336</v>
      </c>
      <c r="AG3250">
        <v>-1.1253282052389999</v>
      </c>
      <c r="AH3250">
        <v>6.3662530005773803</v>
      </c>
      <c r="AI3250">
        <v>98.903111986041594</v>
      </c>
      <c r="AJ3250">
        <v>117.598572013574</v>
      </c>
      <c r="AK3250">
        <v>7.2712508527265403</v>
      </c>
      <c r="AL3250">
        <v>93.396407387989001</v>
      </c>
      <c r="AM3250">
        <v>108.31418688210501</v>
      </c>
      <c r="AN3250">
        <v>0.99999998448804395</v>
      </c>
    </row>
    <row r="3251" spans="1:40" x14ac:dyDescent="0.25">
      <c r="A3251" t="str">
        <f>"20190303154201322"</f>
        <v>20190303154201322</v>
      </c>
      <c r="B3251" t="str">
        <f>"1551598921312595"</f>
        <v>1551598921312595</v>
      </c>
      <c r="C3251" t="s">
        <v>40</v>
      </c>
      <c r="D3251">
        <v>5.9604939999999997</v>
      </c>
      <c r="E3251">
        <v>0.4397644</v>
      </c>
      <c r="F3251" t="s">
        <v>42</v>
      </c>
      <c r="G3251">
        <v>-490.7475</v>
      </c>
      <c r="H3251">
        <v>0.98131670000000004</v>
      </c>
      <c r="I3251">
        <v>278.03739999999999</v>
      </c>
      <c r="J3251">
        <v>-490.54610000000002</v>
      </c>
      <c r="K3251">
        <v>1.125739</v>
      </c>
      <c r="L3251">
        <v>278.89920000000001</v>
      </c>
      <c r="M3251">
        <v>-0.67450759999999998</v>
      </c>
      <c r="N3251">
        <v>-2.2434719999999998E-2</v>
      </c>
      <c r="O3251">
        <v>-0.737927</v>
      </c>
      <c r="P3251">
        <v>-0.40704380000000001</v>
      </c>
      <c r="Q3251">
        <v>-7.8568079999999998E-2</v>
      </c>
      <c r="R3251">
        <v>-0.91002349999999999</v>
      </c>
      <c r="S3251">
        <v>-0.78802490000000003</v>
      </c>
      <c r="T3251">
        <v>-0.45352979999999998</v>
      </c>
      <c r="U3251">
        <v>-2.9076840000000002</v>
      </c>
      <c r="V3251">
        <v>-0.31307020000000002</v>
      </c>
      <c r="W3251">
        <v>-5.9767569999999999E-2</v>
      </c>
      <c r="X3251">
        <v>0.94784749999999995</v>
      </c>
      <c r="Y3251">
        <v>-0.4573392</v>
      </c>
      <c r="Z3251">
        <v>6.5675449999999996E-2</v>
      </c>
      <c r="AA3251">
        <v>0.88686390000000004</v>
      </c>
      <c r="AB3251">
        <v>13</v>
      </c>
      <c r="AC3251">
        <v>-0.20139999999997801</v>
      </c>
      <c r="AD3251">
        <v>-0.1444223</v>
      </c>
      <c r="AE3251">
        <v>-0.861800000000016</v>
      </c>
      <c r="AF3251">
        <v>-0.42155528429142503</v>
      </c>
      <c r="AG3251">
        <v>-0.1444223</v>
      </c>
      <c r="AH3251">
        <v>0.75196128889313496</v>
      </c>
      <c r="AI3251">
        <v>99.510488468078194</v>
      </c>
      <c r="AJ3251">
        <v>119.275325493305</v>
      </c>
      <c r="AK3251">
        <v>0.87407805054533905</v>
      </c>
      <c r="AL3251">
        <v>93.426471573933995</v>
      </c>
      <c r="AM3251">
        <v>108.27818056206399</v>
      </c>
      <c r="AN3251">
        <v>0.99999999790399696</v>
      </c>
    </row>
    <row r="3252" spans="1:40" x14ac:dyDescent="0.25">
      <c r="A3252" t="str">
        <f>"20190303154201333"</f>
        <v>20190303154201333</v>
      </c>
      <c r="B3252" t="str">
        <f>"1551598921322356"</f>
        <v>1551598921322356</v>
      </c>
      <c r="C3252" t="s">
        <v>40</v>
      </c>
      <c r="D3252">
        <v>5.8626959999999997</v>
      </c>
      <c r="E3252">
        <v>0.44009740000000003</v>
      </c>
      <c r="F3252" t="s">
        <v>42</v>
      </c>
      <c r="G3252">
        <v>-490.79149999999998</v>
      </c>
      <c r="H3252">
        <v>0.98295469999999896</v>
      </c>
      <c r="I3252">
        <v>277.97680000000003</v>
      </c>
      <c r="J3252">
        <v>-490.58780000000002</v>
      </c>
      <c r="K3252">
        <v>1.1261060000000001</v>
      </c>
      <c r="L3252">
        <v>278.84550000000002</v>
      </c>
      <c r="M3252">
        <v>-0.67074899999999904</v>
      </c>
      <c r="N3252">
        <v>-2.198607E-2</v>
      </c>
      <c r="O3252">
        <v>-0.74135839999999997</v>
      </c>
      <c r="P3252">
        <v>-0.40295989999999998</v>
      </c>
      <c r="Q3252">
        <v>-7.7594369999999996E-2</v>
      </c>
      <c r="R3252">
        <v>-0.91192249999999997</v>
      </c>
      <c r="S3252">
        <v>-0.77386469999999996</v>
      </c>
      <c r="T3252">
        <v>-0.4505382</v>
      </c>
      <c r="U3252">
        <v>-2.91153</v>
      </c>
      <c r="V3252">
        <v>-0.31247059999999999</v>
      </c>
      <c r="W3252">
        <v>-5.9657210000000002E-2</v>
      </c>
      <c r="X3252">
        <v>0.94805229999999996</v>
      </c>
      <c r="Y3252">
        <v>-0.45717950000000002</v>
      </c>
      <c r="Z3252">
        <v>6.6115930000000003E-2</v>
      </c>
      <c r="AA3252">
        <v>0.88691350000000002</v>
      </c>
      <c r="AB3252">
        <v>13</v>
      </c>
      <c r="AC3252">
        <v>-0.20369999999996899</v>
      </c>
      <c r="AD3252">
        <v>-0.14315130000000001</v>
      </c>
      <c r="AE3252">
        <v>-0.86869999999998904</v>
      </c>
      <c r="AF3252">
        <v>-0.42093458170546899</v>
      </c>
      <c r="AG3252">
        <v>-0.14315130000000001</v>
      </c>
      <c r="AH3252">
        <v>0.761244150814536</v>
      </c>
      <c r="AI3252">
        <v>99.345164741833997</v>
      </c>
      <c r="AJ3252">
        <v>118.940666661099</v>
      </c>
      <c r="AK3252">
        <v>0.88157295439265404</v>
      </c>
      <c r="AL3252">
        <v>93.420137063595206</v>
      </c>
      <c r="AM3252">
        <v>108.241814399289</v>
      </c>
      <c r="AN3252">
        <v>1.00000001105231</v>
      </c>
    </row>
    <row r="3253" spans="1:40" x14ac:dyDescent="0.25">
      <c r="A3253" t="str">
        <f>"20190303154201362"</f>
        <v>20190303154201362</v>
      </c>
      <c r="B3253" t="str">
        <f>"1551598921352610"</f>
        <v>1551598921352610</v>
      </c>
      <c r="C3253" t="s">
        <v>40</v>
      </c>
      <c r="D3253">
        <v>5.921392</v>
      </c>
      <c r="E3253">
        <v>0.44056650000000003</v>
      </c>
      <c r="F3253" t="s">
        <v>46</v>
      </c>
      <c r="G3253">
        <v>-492.51589999999999</v>
      </c>
      <c r="H3253" s="1">
        <v>6.589785E-7</v>
      </c>
      <c r="I3253">
        <v>271.48050000000001</v>
      </c>
      <c r="J3253">
        <v>-490.68389999999999</v>
      </c>
      <c r="K3253">
        <v>1.1265499999999999</v>
      </c>
      <c r="L3253">
        <v>278.71640000000002</v>
      </c>
      <c r="M3253">
        <v>-0.66198389999999996</v>
      </c>
      <c r="N3253">
        <v>-2.08991E-2</v>
      </c>
      <c r="O3253">
        <v>-0.74922659999999996</v>
      </c>
      <c r="P3253">
        <v>-0.39421519999999999</v>
      </c>
      <c r="Q3253">
        <v>-7.6212749999999996E-2</v>
      </c>
      <c r="R3253">
        <v>-0.91585280000000002</v>
      </c>
      <c r="S3253">
        <v>-0.76303100000000001</v>
      </c>
      <c r="T3253">
        <v>-0.44564989999999999</v>
      </c>
      <c r="U3253">
        <v>-2.9146420000000002</v>
      </c>
      <c r="V3253">
        <v>-0.31033450000000001</v>
      </c>
      <c r="W3253">
        <v>-5.9907149999999999E-2</v>
      </c>
      <c r="X3253">
        <v>0.94873790000000002</v>
      </c>
      <c r="Y3253">
        <v>-0.45015939999999999</v>
      </c>
      <c r="Z3253">
        <v>6.7969660000000001E-2</v>
      </c>
      <c r="AA3253">
        <v>0.89035759999999897</v>
      </c>
      <c r="AB3253">
        <v>13</v>
      </c>
      <c r="AC3253">
        <v>-1.8319999999999901</v>
      </c>
      <c r="AD3253">
        <v>-1.1265493410215</v>
      </c>
      <c r="AE3253">
        <v>-7.2359000000000098</v>
      </c>
      <c r="AF3253">
        <v>-3.34208388537454</v>
      </c>
      <c r="AG3253">
        <v>-1.1265493410215</v>
      </c>
      <c r="AH3253">
        <v>6.4877490071408603</v>
      </c>
      <c r="AI3253">
        <v>98.775182846735106</v>
      </c>
      <c r="AJ3253">
        <v>117.25470131883201</v>
      </c>
      <c r="AK3253">
        <v>7.3844109646127798</v>
      </c>
      <c r="AL3253">
        <v>93.434483316661002</v>
      </c>
      <c r="AM3253">
        <v>108.11304796260499</v>
      </c>
      <c r="AN3253">
        <v>0.99999998570389104</v>
      </c>
    </row>
    <row r="3254" spans="1:40" x14ac:dyDescent="0.25">
      <c r="A3254" t="str">
        <f>"20190303154201388"</f>
        <v>20190303154201388</v>
      </c>
      <c r="B3254" t="str">
        <f>"1551598921382867"</f>
        <v>1551598921382867</v>
      </c>
      <c r="C3254" t="s">
        <v>40</v>
      </c>
      <c r="D3254">
        <v>5.8530550000000003</v>
      </c>
      <c r="E3254">
        <v>0.45077080000000003</v>
      </c>
      <c r="F3254" t="s">
        <v>42</v>
      </c>
      <c r="G3254">
        <v>-490.92380000000003</v>
      </c>
      <c r="H3254">
        <v>0.98417659999999996</v>
      </c>
      <c r="I3254">
        <v>277.76929999999999</v>
      </c>
      <c r="J3254">
        <v>-490.77699999999999</v>
      </c>
      <c r="K3254">
        <v>1.126312</v>
      </c>
      <c r="L3254">
        <v>278.58629999999999</v>
      </c>
      <c r="M3254">
        <v>-0.65317669999999906</v>
      </c>
      <c r="N3254">
        <v>-2.0090500000000001E-2</v>
      </c>
      <c r="O3254">
        <v>-0.75693909999999998</v>
      </c>
      <c r="P3254">
        <v>-0.38519140000000002</v>
      </c>
      <c r="Q3254">
        <v>-7.4224170000000006E-2</v>
      </c>
      <c r="R3254">
        <v>-0.91984699999999997</v>
      </c>
      <c r="S3254">
        <v>-0.73886109999999905</v>
      </c>
      <c r="T3254">
        <v>-0.43891859999999999</v>
      </c>
      <c r="U3254">
        <v>-2.9211119999999999</v>
      </c>
      <c r="V3254">
        <v>-0.30868050000000002</v>
      </c>
      <c r="W3254">
        <v>-5.8628800000000002E-2</v>
      </c>
      <c r="X3254">
        <v>0.94935720000000001</v>
      </c>
      <c r="Y3254">
        <v>-0.44719530000000002</v>
      </c>
      <c r="Z3254">
        <v>6.8887019999999993E-2</v>
      </c>
      <c r="AA3254">
        <v>0.89177969999999895</v>
      </c>
      <c r="AB3254">
        <v>13</v>
      </c>
      <c r="AC3254">
        <v>-0.14680000000004101</v>
      </c>
      <c r="AD3254">
        <v>-0.1421354</v>
      </c>
      <c r="AE3254">
        <v>-0.81700000000000705</v>
      </c>
      <c r="AF3254">
        <v>-0.410574017223446</v>
      </c>
      <c r="AG3254">
        <v>-0.1421354</v>
      </c>
      <c r="AH3254">
        <v>0.69409888289786903</v>
      </c>
      <c r="AI3254">
        <v>99.995755355746198</v>
      </c>
      <c r="AJ3254">
        <v>120.60520310431799</v>
      </c>
      <c r="AK3254">
        <v>0.81886919272386205</v>
      </c>
      <c r="AL3254">
        <v>93.361110085472106</v>
      </c>
      <c r="AM3254">
        <v>108.011771179341</v>
      </c>
      <c r="AN3254">
        <v>1.0000000402307601</v>
      </c>
    </row>
    <row r="3255" spans="1:40" x14ac:dyDescent="0.25">
      <c r="A3255" t="str">
        <f>"20190303154201405"</f>
        <v>20190303154201405</v>
      </c>
      <c r="B3255" t="str">
        <f>"1551598921392627"</f>
        <v>1551598921392627</v>
      </c>
      <c r="C3255" t="s">
        <v>40</v>
      </c>
      <c r="D3255">
        <v>6.083609</v>
      </c>
      <c r="E3255">
        <v>0.45155000000000001</v>
      </c>
      <c r="F3255" t="s">
        <v>46</v>
      </c>
      <c r="G3255">
        <v>-492.82389999999998</v>
      </c>
      <c r="H3255" s="1">
        <v>5.0090720000000001E-7</v>
      </c>
      <c r="I3255">
        <v>271.0333</v>
      </c>
      <c r="J3255">
        <v>-490.8279</v>
      </c>
      <c r="K3255">
        <v>1.12592</v>
      </c>
      <c r="L3255">
        <v>278.51389999999998</v>
      </c>
      <c r="M3255">
        <v>-0.64803040000000001</v>
      </c>
      <c r="N3255">
        <v>-1.9676780000000001E-2</v>
      </c>
      <c r="O3255">
        <v>-0.76136040000000005</v>
      </c>
      <c r="P3255">
        <v>-0.3808993</v>
      </c>
      <c r="Q3255">
        <v>-7.2930629999999996E-2</v>
      </c>
      <c r="R3255">
        <v>-0.92173609999999995</v>
      </c>
      <c r="S3255">
        <v>-0.78530880000000003</v>
      </c>
      <c r="T3255">
        <v>-0.43211050000000001</v>
      </c>
      <c r="U3255">
        <v>-2.8977050000000002</v>
      </c>
      <c r="V3255">
        <v>-0.30678889999999998</v>
      </c>
      <c r="W3255">
        <v>-5.7448920000000001E-2</v>
      </c>
      <c r="X3255">
        <v>0.95004219999999895</v>
      </c>
      <c r="Y3255">
        <v>-0.42608790000000002</v>
      </c>
      <c r="Z3255">
        <v>7.0274030000000001E-2</v>
      </c>
      <c r="AA3255">
        <v>0.90194830000000004</v>
      </c>
      <c r="AB3255">
        <v>13</v>
      </c>
      <c r="AC3255">
        <v>-1.99599999999998</v>
      </c>
      <c r="AD3255">
        <v>-1.1259194990928001</v>
      </c>
      <c r="AE3255">
        <v>-7.4805999999999804</v>
      </c>
      <c r="AF3255">
        <v>-3.2596883720588199</v>
      </c>
      <c r="AG3255">
        <v>-1.1259194990928001</v>
      </c>
      <c r="AH3255">
        <v>6.8454841754668001</v>
      </c>
      <c r="AI3255">
        <v>98.446675579168698</v>
      </c>
      <c r="AJ3255">
        <v>115.462894777374</v>
      </c>
      <c r="AK3255">
        <v>7.6651103447986504</v>
      </c>
      <c r="AL3255">
        <v>93.293393942399106</v>
      </c>
      <c r="AM3255">
        <v>107.89637538724099</v>
      </c>
      <c r="AN3255">
        <v>0.99999999467660705</v>
      </c>
    </row>
    <row r="3256" spans="1:40" x14ac:dyDescent="0.25">
      <c r="A3256" t="str">
        <f>"20190303154201418"</f>
        <v>20190303154201418</v>
      </c>
      <c r="B3256" t="str">
        <f>"1551598921413124"</f>
        <v>1551598921413124</v>
      </c>
      <c r="C3256" t="s">
        <v>40</v>
      </c>
      <c r="D3256">
        <v>5.9582839999999999</v>
      </c>
      <c r="E3256">
        <v>0.4529069</v>
      </c>
      <c r="F3256" t="s">
        <v>46</v>
      </c>
      <c r="G3256">
        <v>-492.89400000000001</v>
      </c>
      <c r="H3256" s="1">
        <v>4.2190490000000003E-7</v>
      </c>
      <c r="I3256">
        <v>270.8098</v>
      </c>
      <c r="J3256">
        <v>-490.86939999999998</v>
      </c>
      <c r="K3256">
        <v>1.1255219999999999</v>
      </c>
      <c r="L3256">
        <v>278.4547</v>
      </c>
      <c r="M3256">
        <v>-0.6436887</v>
      </c>
      <c r="N3256">
        <v>-1.933443E-2</v>
      </c>
      <c r="O3256">
        <v>-0.76504329999999998</v>
      </c>
      <c r="P3256">
        <v>-0.3765424</v>
      </c>
      <c r="Q3256">
        <v>-7.212578E-2</v>
      </c>
      <c r="R3256">
        <v>-0.92358759999999995</v>
      </c>
      <c r="S3256">
        <v>-0.77764889999999998</v>
      </c>
      <c r="T3256">
        <v>-0.42379430000000001</v>
      </c>
      <c r="U3256">
        <v>-2.8998110000000001</v>
      </c>
      <c r="V3256">
        <v>-0.30595929999999999</v>
      </c>
      <c r="W3256">
        <v>-5.6697789999999998E-2</v>
      </c>
      <c r="X3256">
        <v>0.95035480000000006</v>
      </c>
      <c r="Y3256">
        <v>-0.42335970000000001</v>
      </c>
      <c r="Z3256">
        <v>6.9670190000000007E-2</v>
      </c>
      <c r="AA3256">
        <v>0.90327880000000005</v>
      </c>
      <c r="AB3256">
        <v>13</v>
      </c>
      <c r="AC3256">
        <v>-2.0246000000000199</v>
      </c>
      <c r="AD3256">
        <v>-1.1255215780951</v>
      </c>
      <c r="AE3256">
        <v>-7.6448999999999998</v>
      </c>
      <c r="AF3256">
        <v>-3.3057031882894101</v>
      </c>
      <c r="AG3256">
        <v>-1.1255215780951</v>
      </c>
      <c r="AH3256">
        <v>7.0112180352559497</v>
      </c>
      <c r="AI3256">
        <v>98.261698491530893</v>
      </c>
      <c r="AJ3256">
        <v>115.24330182089901</v>
      </c>
      <c r="AK3256">
        <v>7.8327294559254801</v>
      </c>
      <c r="AL3256">
        <v>93.250287115194794</v>
      </c>
      <c r="AM3256">
        <v>107.845557091174</v>
      </c>
      <c r="AN3256">
        <v>0.99999998926520695</v>
      </c>
    </row>
    <row r="3257" spans="1:40" x14ac:dyDescent="0.25">
      <c r="A3257" t="str">
        <f>"20190303154201441"</f>
        <v>20190303154201441</v>
      </c>
      <c r="B3257" t="str">
        <f>"1551598921432643"</f>
        <v>1551598921432643</v>
      </c>
      <c r="C3257" t="s">
        <v>40</v>
      </c>
      <c r="D3257">
        <v>5.9247059999999996</v>
      </c>
      <c r="E3257">
        <v>0.453241</v>
      </c>
      <c r="F3257" t="s">
        <v>46</v>
      </c>
      <c r="G3257">
        <v>-492.93599999999998</v>
      </c>
      <c r="H3257" s="1">
        <v>3.8841939999999997E-7</v>
      </c>
      <c r="I3257">
        <v>270.71510000000001</v>
      </c>
      <c r="J3257">
        <v>-490.94400000000002</v>
      </c>
      <c r="K3257">
        <v>1.124841</v>
      </c>
      <c r="L3257">
        <v>278.34730000000002</v>
      </c>
      <c r="M3257">
        <v>-0.63563319999999901</v>
      </c>
      <c r="N3257">
        <v>-1.8699210000000001E-2</v>
      </c>
      <c r="O3257">
        <v>-0.77176489999999998</v>
      </c>
      <c r="P3257">
        <v>-0.36831419999999998</v>
      </c>
      <c r="Q3257">
        <v>-7.0097880000000001E-2</v>
      </c>
      <c r="R3257">
        <v>-0.92705550000000003</v>
      </c>
      <c r="S3257">
        <v>-0.774231</v>
      </c>
      <c r="T3257">
        <v>-0.42167850000000001</v>
      </c>
      <c r="U3257">
        <v>-2.8996279999999999</v>
      </c>
      <c r="V3257">
        <v>-0.3046336</v>
      </c>
      <c r="W3257">
        <v>-5.4799899999999999E-2</v>
      </c>
      <c r="X3257">
        <v>0.95089190000000001</v>
      </c>
      <c r="Y3257">
        <v>-0.41492079999999998</v>
      </c>
      <c r="Z3257">
        <v>7.1424899999999902E-2</v>
      </c>
      <c r="AA3257">
        <v>0.90704969999999996</v>
      </c>
      <c r="AB3257">
        <v>13</v>
      </c>
      <c r="AC3257">
        <v>-1.99199999999996</v>
      </c>
      <c r="AD3257">
        <v>-1.1248406115806</v>
      </c>
      <c r="AE3257">
        <v>-7.6322000000000099</v>
      </c>
      <c r="AF3257">
        <v>-3.2484432517728701</v>
      </c>
      <c r="AG3257">
        <v>-1.1248406115806</v>
      </c>
      <c r="AH3257">
        <v>7.0150391444657503</v>
      </c>
      <c r="AI3257">
        <v>98.278654234538493</v>
      </c>
      <c r="AJ3257">
        <v>114.847365738305</v>
      </c>
      <c r="AK3257">
        <v>7.8120691343482402</v>
      </c>
      <c r="AL3257">
        <v>93.141376499941003</v>
      </c>
      <c r="AM3257">
        <v>107.763701016208</v>
      </c>
      <c r="AN3257">
        <v>1.00000003238728</v>
      </c>
    </row>
    <row r="3258" spans="1:40" x14ac:dyDescent="0.25">
      <c r="A3258" t="str">
        <f>"20190303154201455"</f>
        <v>20190303154201455</v>
      </c>
      <c r="B3258" t="str">
        <f>"1551598921442404"</f>
        <v>1551598921442404</v>
      </c>
      <c r="C3258" t="s">
        <v>40</v>
      </c>
      <c r="D3258">
        <v>5.8842800000000004</v>
      </c>
      <c r="E3258">
        <v>0.453241</v>
      </c>
      <c r="F3258" t="s">
        <v>46</v>
      </c>
      <c r="G3258">
        <v>-492.97469999999998</v>
      </c>
      <c r="H3258" s="1">
        <v>3.1213700000000001E-7</v>
      </c>
      <c r="I3258">
        <v>270.49930000000001</v>
      </c>
      <c r="J3258">
        <v>-490.99099999999999</v>
      </c>
      <c r="K3258">
        <v>1.1245259999999999</v>
      </c>
      <c r="L3258">
        <v>278.27940000000001</v>
      </c>
      <c r="M3258">
        <v>-0.63057479999999999</v>
      </c>
      <c r="N3258">
        <v>-1.8314190000000001E-2</v>
      </c>
      <c r="O3258">
        <v>-0.77591279999999996</v>
      </c>
      <c r="P3258">
        <v>-0.36313329999999999</v>
      </c>
      <c r="Q3258">
        <v>-6.9031410000000001E-2</v>
      </c>
      <c r="R3258">
        <v>-0.92917660000000002</v>
      </c>
      <c r="S3258">
        <v>-0.75189209999999995</v>
      </c>
      <c r="T3258">
        <v>-0.41648449999999998</v>
      </c>
      <c r="U3258">
        <v>-2.9057919999999999</v>
      </c>
      <c r="V3258">
        <v>-0.30381439999999998</v>
      </c>
      <c r="W3258">
        <v>-5.3877979999999999E-2</v>
      </c>
      <c r="X3258">
        <v>0.95120660000000001</v>
      </c>
      <c r="Y3258">
        <v>-0.41599350000000002</v>
      </c>
      <c r="Z3258">
        <v>7.1295220000000006E-2</v>
      </c>
      <c r="AA3258">
        <v>0.9065685</v>
      </c>
      <c r="AB3258">
        <v>13</v>
      </c>
      <c r="AC3258">
        <v>-1.98369999999999</v>
      </c>
      <c r="AD3258">
        <v>-1.1245256878629999</v>
      </c>
      <c r="AE3258">
        <v>-7.7801</v>
      </c>
      <c r="AF3258">
        <v>-3.30253723662369</v>
      </c>
      <c r="AG3258">
        <v>-1.1245256878629999</v>
      </c>
      <c r="AH3258">
        <v>7.1485432870684997</v>
      </c>
      <c r="AI3258">
        <v>98.127186014638298</v>
      </c>
      <c r="AJ3258">
        <v>114.796344187524</v>
      </c>
      <c r="AK3258">
        <v>7.9544315541113297</v>
      </c>
      <c r="AL3258">
        <v>93.088476282822697</v>
      </c>
      <c r="AM3258">
        <v>107.71342798582199</v>
      </c>
      <c r="AN3258">
        <v>1.0000000111298999</v>
      </c>
    </row>
    <row r="3259" spans="1:40" x14ac:dyDescent="0.25">
      <c r="A3259" t="str">
        <f>"20190303154201468"</f>
        <v>20190303154201468</v>
      </c>
      <c r="B3259" t="str">
        <f>"1551598921462899"</f>
        <v>1551598921462899</v>
      </c>
      <c r="C3259" t="s">
        <v>40</v>
      </c>
      <c r="D3259">
        <v>5.9314080000000002</v>
      </c>
      <c r="E3259">
        <v>0.4207825</v>
      </c>
      <c r="F3259" t="s">
        <v>46</v>
      </c>
      <c r="G3259">
        <v>-492.99169999999998</v>
      </c>
      <c r="H3259" s="1">
        <v>2.6540819999999997E-7</v>
      </c>
      <c r="I3259">
        <v>270.36709999999999</v>
      </c>
      <c r="J3259">
        <v>-491.0351</v>
      </c>
      <c r="K3259">
        <v>1.1243860000000001</v>
      </c>
      <c r="L3259">
        <v>278.21469999999999</v>
      </c>
      <c r="M3259">
        <v>-0.62595389999999995</v>
      </c>
      <c r="N3259">
        <v>-1.7991589999999998E-2</v>
      </c>
      <c r="O3259">
        <v>-0.77965249999999997</v>
      </c>
      <c r="P3259">
        <v>-0.35813440000000002</v>
      </c>
      <c r="Q3259">
        <v>-6.816345E-2</v>
      </c>
      <c r="R3259">
        <v>-0.93117859999999997</v>
      </c>
      <c r="S3259">
        <v>-0.73593140000000001</v>
      </c>
      <c r="T3259">
        <v>-0.41363689999999997</v>
      </c>
      <c r="U3259">
        <v>-2.9103699999999999</v>
      </c>
      <c r="V3259">
        <v>-0.30333110000000002</v>
      </c>
      <c r="W3259">
        <v>-5.3223319999999998E-2</v>
      </c>
      <c r="X3259">
        <v>0.95139770000000001</v>
      </c>
      <c r="Y3259">
        <v>-0.4156282</v>
      </c>
      <c r="Z3259">
        <v>7.1599570000000001E-2</v>
      </c>
      <c r="AA3259">
        <v>0.90671210000000002</v>
      </c>
      <c r="AB3259">
        <v>13</v>
      </c>
      <c r="AC3259">
        <v>-1.9565999999999799</v>
      </c>
      <c r="AD3259">
        <v>-1.1243857345918</v>
      </c>
      <c r="AE3259">
        <v>-7.8475999999999999</v>
      </c>
      <c r="AF3259">
        <v>-3.32309043797577</v>
      </c>
      <c r="AG3259">
        <v>-1.1243857345918</v>
      </c>
      <c r="AH3259">
        <v>7.2050781169061402</v>
      </c>
      <c r="AI3259">
        <v>98.065606573760604</v>
      </c>
      <c r="AJ3259">
        <v>114.759862471895</v>
      </c>
      <c r="AK3259">
        <v>8.0137584197328593</v>
      </c>
      <c r="AL3259">
        <v>93.050913069431203</v>
      </c>
      <c r="AM3259">
        <v>107.68367622272299</v>
      </c>
      <c r="AN3259">
        <v>1.0000000307921599</v>
      </c>
    </row>
    <row r="3260" spans="1:40" x14ac:dyDescent="0.25">
      <c r="A3260" t="str">
        <f>"20190303154201484"</f>
        <v>20190303154201484</v>
      </c>
      <c r="B3260" t="str">
        <f>"1551598921472660"</f>
        <v>1551598921472660</v>
      </c>
      <c r="C3260" t="s">
        <v>40</v>
      </c>
      <c r="D3260">
        <v>5.849939</v>
      </c>
      <c r="E3260">
        <v>0.41580450000000002</v>
      </c>
      <c r="F3260" t="s">
        <v>42</v>
      </c>
      <c r="G3260">
        <v>-491.1737</v>
      </c>
      <c r="H3260">
        <v>1.0086360000000001</v>
      </c>
      <c r="I3260">
        <v>277.34399999999999</v>
      </c>
      <c r="J3260">
        <v>-491.08390000000003</v>
      </c>
      <c r="K3260">
        <v>1.124328</v>
      </c>
      <c r="L3260">
        <v>278.14249999999998</v>
      </c>
      <c r="M3260">
        <v>-0.62092049999999999</v>
      </c>
      <c r="N3260">
        <v>-1.766423E-2</v>
      </c>
      <c r="O3260">
        <v>-0.78367439999999999</v>
      </c>
      <c r="P3260">
        <v>-0.35352699999999998</v>
      </c>
      <c r="Q3260">
        <v>-6.7361180000000007E-2</v>
      </c>
      <c r="R3260">
        <v>-0.93299580000000004</v>
      </c>
      <c r="S3260">
        <v>-0.47857670000000002</v>
      </c>
      <c r="T3260">
        <v>-0.39986850000000002</v>
      </c>
      <c r="U3260">
        <v>-3.0083920000000002</v>
      </c>
      <c r="V3260">
        <v>-0.30194939999999998</v>
      </c>
      <c r="W3260">
        <v>-5.2684170000000002E-2</v>
      </c>
      <c r="X3260">
        <v>0.95186709999999997</v>
      </c>
      <c r="Y3260">
        <v>-0.48946469999999997</v>
      </c>
      <c r="Z3260">
        <v>6.4375390000000005E-2</v>
      </c>
      <c r="AA3260">
        <v>0.86964370000000002</v>
      </c>
      <c r="AB3260">
        <v>13</v>
      </c>
      <c r="AC3260">
        <v>-8.9799999999968294E-2</v>
      </c>
      <c r="AD3260">
        <v>-0.115691999999999</v>
      </c>
      <c r="AE3260">
        <v>-0.79849999999999</v>
      </c>
      <c r="AF3260">
        <v>-0.41685606537368802</v>
      </c>
      <c r="AG3260">
        <v>-0.115691999999999</v>
      </c>
      <c r="AH3260">
        <v>0.66778589141118905</v>
      </c>
      <c r="AI3260">
        <v>98.360552366979107</v>
      </c>
      <c r="AJ3260">
        <v>121.973898908471</v>
      </c>
      <c r="AK3260">
        <v>0.79567054417684002</v>
      </c>
      <c r="AL3260">
        <v>93.019978684101901</v>
      </c>
      <c r="AM3260">
        <v>107.59996552823399</v>
      </c>
      <c r="AN3260">
        <v>1.0000000189956699</v>
      </c>
    </row>
    <row r="3261" spans="1:40" x14ac:dyDescent="0.25">
      <c r="A3261" t="str">
        <f>"20190303154201495"</f>
        <v>20190303154201495</v>
      </c>
      <c r="B3261" t="str">
        <f>"1551598921482419"</f>
        <v>1551598921482419</v>
      </c>
      <c r="C3261" t="s">
        <v>40</v>
      </c>
      <c r="D3261">
        <v>5.8875479999999998</v>
      </c>
      <c r="E3261">
        <v>0.41272809999999999</v>
      </c>
      <c r="F3261" t="s">
        <v>42</v>
      </c>
      <c r="G3261">
        <v>-491.21170000000001</v>
      </c>
      <c r="H3261">
        <v>1.0099530000000001</v>
      </c>
      <c r="I3261">
        <v>277.23939999999999</v>
      </c>
      <c r="J3261">
        <v>-491.12020000000001</v>
      </c>
      <c r="K3261">
        <v>1.1243399999999999</v>
      </c>
      <c r="L3261">
        <v>278.08839999999998</v>
      </c>
      <c r="M3261">
        <v>-0.61722330000000003</v>
      </c>
      <c r="N3261">
        <v>-1.743745E-2</v>
      </c>
      <c r="O3261">
        <v>-0.78659489999999999</v>
      </c>
      <c r="P3261">
        <v>-0.34966599999999998</v>
      </c>
      <c r="Q3261">
        <v>-6.6822069999999997E-2</v>
      </c>
      <c r="R3261">
        <v>-0.93448850000000006</v>
      </c>
      <c r="S3261">
        <v>-0.42770390000000003</v>
      </c>
      <c r="T3261">
        <v>-0.38311250000000002</v>
      </c>
      <c r="U3261">
        <v>-3.0257260000000001</v>
      </c>
      <c r="V3261">
        <v>-0.30142419999999998</v>
      </c>
      <c r="W3261">
        <v>-5.236888E-2</v>
      </c>
      <c r="X3261">
        <v>0.95205090000000003</v>
      </c>
      <c r="Y3261">
        <v>-0.50038640000000001</v>
      </c>
      <c r="Z3261">
        <v>6.0850960000000003E-2</v>
      </c>
      <c r="AA3261">
        <v>0.86366119999999902</v>
      </c>
      <c r="AB3261">
        <v>13</v>
      </c>
      <c r="AC3261">
        <v>-9.1499999999996307E-2</v>
      </c>
      <c r="AD3261">
        <v>-0.114386999999999</v>
      </c>
      <c r="AE3261">
        <v>-0.84899999999998899</v>
      </c>
      <c r="AF3261">
        <v>-0.44414799105709302</v>
      </c>
      <c r="AG3261">
        <v>-0.114386999999999</v>
      </c>
      <c r="AH3261">
        <v>0.71163538581456698</v>
      </c>
      <c r="AI3261">
        <v>97.764930732272603</v>
      </c>
      <c r="AJ3261">
        <v>121.96923407726</v>
      </c>
      <c r="AK3261">
        <v>0.84662668636920502</v>
      </c>
      <c r="AL3261">
        <v>93.001889036630104</v>
      </c>
      <c r="AM3261">
        <v>107.56805432279801</v>
      </c>
      <c r="AN3261">
        <v>0.99999998206445195</v>
      </c>
    </row>
    <row r="3262" spans="1:40" x14ac:dyDescent="0.25">
      <c r="A3262" t="str">
        <f>"20190303154201506"</f>
        <v>20190303154201506</v>
      </c>
      <c r="B3262" t="str">
        <f>"1551598921502915"</f>
        <v>1551598921502915</v>
      </c>
      <c r="C3262" t="s">
        <v>40</v>
      </c>
      <c r="D3262">
        <v>5.8640489999999996</v>
      </c>
      <c r="E3262">
        <v>0.41001470000000001</v>
      </c>
      <c r="F3262" t="s">
        <v>42</v>
      </c>
      <c r="G3262">
        <v>-491.22890000000001</v>
      </c>
      <c r="H3262">
        <v>1.0223009999999999</v>
      </c>
      <c r="I3262">
        <v>277.24759999999998</v>
      </c>
      <c r="J3262">
        <v>-491.154</v>
      </c>
      <c r="K3262">
        <v>1.124412</v>
      </c>
      <c r="L3262">
        <v>278.03699999999998</v>
      </c>
      <c r="M3262">
        <v>-0.61379019999999995</v>
      </c>
      <c r="N3262">
        <v>-1.7245360000000001E-2</v>
      </c>
      <c r="O3262">
        <v>-0.78928100000000001</v>
      </c>
      <c r="P3262">
        <v>-0.34574250000000001</v>
      </c>
      <c r="Q3262">
        <v>-6.6450899999999993E-2</v>
      </c>
      <c r="R3262">
        <v>-0.93597370000000002</v>
      </c>
      <c r="S3262">
        <v>-0.39233400000000002</v>
      </c>
      <c r="T3262">
        <v>-0.36849419999999999</v>
      </c>
      <c r="U3262">
        <v>-3.03714</v>
      </c>
      <c r="V3262">
        <v>-0.30127609999999999</v>
      </c>
      <c r="W3262">
        <v>-5.2232109999999998E-2</v>
      </c>
      <c r="X3262">
        <v>0.95210530000000004</v>
      </c>
      <c r="Y3262">
        <v>-0.50693969999999999</v>
      </c>
      <c r="Z3262">
        <v>5.8010510000000001E-2</v>
      </c>
      <c r="AA3262">
        <v>0.86002730000000005</v>
      </c>
      <c r="AB3262">
        <v>13</v>
      </c>
      <c r="AC3262">
        <v>-7.4900000000013706E-2</v>
      </c>
      <c r="AD3262">
        <v>-0.10211099999999999</v>
      </c>
      <c r="AE3262">
        <v>-0.78940000000005695</v>
      </c>
      <c r="AF3262">
        <v>-0.41853160775772102</v>
      </c>
      <c r="AG3262">
        <v>-0.10211099999999999</v>
      </c>
      <c r="AH3262">
        <v>0.65821563723456999</v>
      </c>
      <c r="AI3262">
        <v>97.4581652771558</v>
      </c>
      <c r="AJ3262">
        <v>122.450562759131</v>
      </c>
      <c r="AK3262">
        <v>0.78666586815075101</v>
      </c>
      <c r="AL3262">
        <v>92.994041923316104</v>
      </c>
      <c r="AM3262">
        <v>107.559011448313</v>
      </c>
      <c r="AN3262">
        <v>0.99999999201717604</v>
      </c>
    </row>
    <row r="3263" spans="1:40" x14ac:dyDescent="0.25">
      <c r="A3263" t="str">
        <f>"20190303154201518"</f>
        <v>20190303154201518</v>
      </c>
      <c r="B3263" t="str">
        <f>"1551598921512675"</f>
        <v>1551598921512675</v>
      </c>
      <c r="C3263" t="s">
        <v>40</v>
      </c>
      <c r="D3263">
        <v>5.8640330000000001</v>
      </c>
      <c r="E3263">
        <v>0.40925400000000001</v>
      </c>
      <c r="F3263" t="s">
        <v>42</v>
      </c>
      <c r="G3263">
        <v>-491.25979999999998</v>
      </c>
      <c r="H3263">
        <v>1.018489</v>
      </c>
      <c r="I3263">
        <v>277.13990000000001</v>
      </c>
      <c r="J3263">
        <v>-491.19130000000001</v>
      </c>
      <c r="K3263">
        <v>1.1245000000000001</v>
      </c>
      <c r="L3263">
        <v>277.98</v>
      </c>
      <c r="M3263">
        <v>-0.60998960000000002</v>
      </c>
      <c r="N3263">
        <v>-1.703671E-2</v>
      </c>
      <c r="O3263">
        <v>-0.7922264</v>
      </c>
      <c r="P3263">
        <v>-0.3412946</v>
      </c>
      <c r="Q3263">
        <v>-6.6080689999999997E-2</v>
      </c>
      <c r="R3263">
        <v>-0.93763110000000005</v>
      </c>
      <c r="S3263">
        <v>-0.35955809999999999</v>
      </c>
      <c r="T3263">
        <v>-0.3598343</v>
      </c>
      <c r="U3263">
        <v>-3.0469360000000001</v>
      </c>
      <c r="V3263">
        <v>-0.30122470000000001</v>
      </c>
      <c r="W3263">
        <v>-5.212174E-2</v>
      </c>
      <c r="X3263">
        <v>0.95212759999999996</v>
      </c>
      <c r="Y3263">
        <v>-0.5122622</v>
      </c>
      <c r="Z3263">
        <v>5.6502520000000001E-2</v>
      </c>
      <c r="AA3263">
        <v>0.85696849999999902</v>
      </c>
      <c r="AB3263">
        <v>13</v>
      </c>
      <c r="AC3263">
        <v>-6.8499999999971806E-2</v>
      </c>
      <c r="AD3263">
        <v>-0.10601099999999999</v>
      </c>
      <c r="AE3263">
        <v>-0.84010000000000595</v>
      </c>
      <c r="AF3263">
        <v>-0.45111529587820598</v>
      </c>
      <c r="AG3263">
        <v>-0.10601099999999999</v>
      </c>
      <c r="AH3263">
        <v>0.69642004011936298</v>
      </c>
      <c r="AI3263">
        <v>97.280703071828398</v>
      </c>
      <c r="AJ3263">
        <v>122.933682394532</v>
      </c>
      <c r="AK3263">
        <v>0.83650715153914701</v>
      </c>
      <c r="AL3263">
        <v>92.987709594912403</v>
      </c>
      <c r="AM3263">
        <v>107.555813850715</v>
      </c>
      <c r="AN3263">
        <v>0.99999998117623801</v>
      </c>
    </row>
    <row r="3264" spans="1:40" x14ac:dyDescent="0.25">
      <c r="A3264" t="str">
        <f>"20190303154201530"</f>
        <v>20190303154201530</v>
      </c>
      <c r="B3264" t="str">
        <f>"1551598921522435"</f>
        <v>1551598921522435</v>
      </c>
      <c r="C3264" t="s">
        <v>40</v>
      </c>
      <c r="D3264">
        <v>5.8857200000000001</v>
      </c>
      <c r="E3264">
        <v>0.40864519999999999</v>
      </c>
      <c r="F3264" t="s">
        <v>42</v>
      </c>
      <c r="G3264">
        <v>-491.29649999999998</v>
      </c>
      <c r="H3264">
        <v>1.013997</v>
      </c>
      <c r="I3264">
        <v>277.03559999999999</v>
      </c>
      <c r="J3264">
        <v>-491.22840000000002</v>
      </c>
      <c r="K3264">
        <v>1.1245940000000001</v>
      </c>
      <c r="L3264">
        <v>277.92219999999998</v>
      </c>
      <c r="M3264">
        <v>-0.606132</v>
      </c>
      <c r="N3264">
        <v>-1.6838180000000001E-2</v>
      </c>
      <c r="O3264">
        <v>-0.79518599999999995</v>
      </c>
      <c r="P3264">
        <v>-0.33726830000000002</v>
      </c>
      <c r="Q3264">
        <v>-6.6150840000000002E-2</v>
      </c>
      <c r="R3264">
        <v>-0.93908159999999896</v>
      </c>
      <c r="S3264">
        <v>-0.33966059999999998</v>
      </c>
      <c r="T3264">
        <v>-0.35692819999999997</v>
      </c>
      <c r="U3264">
        <v>-3.0508120000000001</v>
      </c>
      <c r="V3264">
        <v>-0.30066389999999998</v>
      </c>
      <c r="W3264">
        <v>-5.244207E-2</v>
      </c>
      <c r="X3264">
        <v>0.95228729999999995</v>
      </c>
      <c r="Y3264">
        <v>-0.51374509999999995</v>
      </c>
      <c r="Z3264">
        <v>5.643078E-2</v>
      </c>
      <c r="AA3264">
        <v>0.85608499999999998</v>
      </c>
      <c r="AB3264">
        <v>13</v>
      </c>
      <c r="AC3264">
        <v>-6.8099999999958499E-2</v>
      </c>
      <c r="AD3264">
        <v>-0.110597</v>
      </c>
      <c r="AE3264">
        <v>-0.88659999999998695</v>
      </c>
      <c r="AF3264">
        <v>-0.47595019684482098</v>
      </c>
      <c r="AG3264">
        <v>-0.110597</v>
      </c>
      <c r="AH3264">
        <v>0.73502473163175797</v>
      </c>
      <c r="AI3264">
        <v>97.198372551566194</v>
      </c>
      <c r="AJ3264">
        <v>122.924247828853</v>
      </c>
      <c r="AK3264">
        <v>0.88262202691523695</v>
      </c>
      <c r="AL3264">
        <v>93.006088151026006</v>
      </c>
      <c r="AM3264">
        <v>107.52237293150699</v>
      </c>
      <c r="AN3264">
        <v>1.0000000266051901</v>
      </c>
    </row>
    <row r="3265" spans="1:40" x14ac:dyDescent="0.25">
      <c r="A3265" t="str">
        <f>"20190303154201541"</f>
        <v>20190303154201541</v>
      </c>
      <c r="B3265" t="str">
        <f>"1551598921533172"</f>
        <v>1551598921533172</v>
      </c>
      <c r="C3265" t="s">
        <v>40</v>
      </c>
      <c r="D3265">
        <v>5.9203210000000004</v>
      </c>
      <c r="E3265">
        <v>0.40822320000000001</v>
      </c>
      <c r="F3265" t="s">
        <v>42</v>
      </c>
      <c r="G3265">
        <v>-491.32060000000001</v>
      </c>
      <c r="H3265">
        <v>1.0223469999999999</v>
      </c>
      <c r="I3265">
        <v>277.04680000000002</v>
      </c>
      <c r="J3265">
        <v>-491.2636</v>
      </c>
      <c r="K3265">
        <v>1.1246689999999999</v>
      </c>
      <c r="L3265">
        <v>277.86680000000001</v>
      </c>
      <c r="M3265">
        <v>-0.60240479999999996</v>
      </c>
      <c r="N3265">
        <v>-1.6656460000000001E-2</v>
      </c>
      <c r="O3265">
        <v>-0.79801719999999998</v>
      </c>
      <c r="P3265">
        <v>-0.33301130000000001</v>
      </c>
      <c r="Q3265">
        <v>-6.6498089999999996E-2</v>
      </c>
      <c r="R3265">
        <v>-0.94057539999999995</v>
      </c>
      <c r="S3265">
        <v>-0.32122800000000001</v>
      </c>
      <c r="T3265">
        <v>-0.35667009999999899</v>
      </c>
      <c r="U3265">
        <v>-3.0541689999999999</v>
      </c>
      <c r="V3265">
        <v>-0.30049090000000001</v>
      </c>
      <c r="W3265">
        <v>-5.3016010000000002E-2</v>
      </c>
      <c r="X3265">
        <v>0.95231010000000005</v>
      </c>
      <c r="Y3265">
        <v>-0.51495000000000002</v>
      </c>
      <c r="Z3265">
        <v>5.6876450000000002E-2</v>
      </c>
      <c r="AA3265">
        <v>0.85533119999999996</v>
      </c>
      <c r="AB3265">
        <v>13</v>
      </c>
      <c r="AC3265">
        <v>-5.7000000000016302E-2</v>
      </c>
      <c r="AD3265">
        <v>-0.102322</v>
      </c>
      <c r="AE3265">
        <v>-0.81999999999999296</v>
      </c>
      <c r="AF3265">
        <v>-0.441702505506332</v>
      </c>
      <c r="AG3265">
        <v>-0.102322</v>
      </c>
      <c r="AH3265">
        <v>0.67829577986439404</v>
      </c>
      <c r="AI3265">
        <v>97.204631953377501</v>
      </c>
      <c r="AJ3265">
        <v>123.071955082317</v>
      </c>
      <c r="AK3265">
        <v>0.81587747856918902</v>
      </c>
      <c r="AL3265">
        <v>93.039018374397799</v>
      </c>
      <c r="AM3265">
        <v>107.512513514399</v>
      </c>
      <c r="AN3265">
        <v>1.00000000243057</v>
      </c>
    </row>
    <row r="3266" spans="1:40" x14ac:dyDescent="0.25">
      <c r="A3266" t="str">
        <f>"20190303154201552"</f>
        <v>20190303154201552</v>
      </c>
      <c r="B3266" t="str">
        <f>"1551598921542931"</f>
        <v>1551598921542931</v>
      </c>
      <c r="C3266" t="s">
        <v>40</v>
      </c>
      <c r="D3266">
        <v>5.846006</v>
      </c>
      <c r="E3266">
        <v>0.40791480000000002</v>
      </c>
      <c r="F3266" t="s">
        <v>42</v>
      </c>
      <c r="G3266">
        <v>-491.35599999999999</v>
      </c>
      <c r="H3266">
        <v>1.01664</v>
      </c>
      <c r="I3266">
        <v>276.94229999999999</v>
      </c>
      <c r="J3266">
        <v>-491.29750000000001</v>
      </c>
      <c r="K3266">
        <v>1.124733</v>
      </c>
      <c r="L3266">
        <v>277.81319999999999</v>
      </c>
      <c r="M3266">
        <v>-0.59876680000000004</v>
      </c>
      <c r="N3266">
        <v>-1.648792E-2</v>
      </c>
      <c r="O3266">
        <v>-0.80075379999999996</v>
      </c>
      <c r="P3266">
        <v>-0.328847099999999</v>
      </c>
      <c r="Q3266">
        <v>-6.6669560000000003E-2</v>
      </c>
      <c r="R3266">
        <v>-0.94202699999999995</v>
      </c>
      <c r="S3266">
        <v>-0.30496220000000002</v>
      </c>
      <c r="T3266">
        <v>-0.35709190000000002</v>
      </c>
      <c r="U3266">
        <v>-3.056305</v>
      </c>
      <c r="V3266">
        <v>-0.30035000000000001</v>
      </c>
      <c r="W3266">
        <v>-5.3391519999999998E-2</v>
      </c>
      <c r="X3266">
        <v>0.9523336</v>
      </c>
      <c r="Y3266">
        <v>-0.51562489999999905</v>
      </c>
      <c r="Z3266">
        <v>5.7483060000000002E-2</v>
      </c>
      <c r="AA3266">
        <v>0.85488399999999998</v>
      </c>
      <c r="AB3266">
        <v>13</v>
      </c>
      <c r="AC3266">
        <v>-5.8499999999980901E-2</v>
      </c>
      <c r="AD3266">
        <v>-0.10809299999999999</v>
      </c>
      <c r="AE3266">
        <v>-0.870900000000006</v>
      </c>
      <c r="AF3266">
        <v>-0.46751669992784101</v>
      </c>
      <c r="AG3266">
        <v>-0.10809299999999999</v>
      </c>
      <c r="AH3266">
        <v>0.72144006571209196</v>
      </c>
      <c r="AI3266">
        <v>97.166561515593799</v>
      </c>
      <c r="AJ3266">
        <v>122.94455394665</v>
      </c>
      <c r="AK3266">
        <v>0.86644776517403899</v>
      </c>
      <c r="AL3266">
        <v>93.060563939813406</v>
      </c>
      <c r="AM3266">
        <v>107.504397970003</v>
      </c>
      <c r="AN3266">
        <v>1.0000000312984301</v>
      </c>
    </row>
    <row r="3267" spans="1:40" x14ac:dyDescent="0.25">
      <c r="A3267" t="str">
        <f>"20190303154201564"</f>
        <v>20190303154201564</v>
      </c>
      <c r="B3267" t="str">
        <f>"1551598921552692"</f>
        <v>1551598921552692</v>
      </c>
      <c r="C3267" t="s">
        <v>40</v>
      </c>
      <c r="D3267">
        <v>5.8823499999999997</v>
      </c>
      <c r="E3267">
        <v>0.40758850000000002</v>
      </c>
      <c r="F3267" t="s">
        <v>42</v>
      </c>
      <c r="G3267">
        <v>-491.37880000000001</v>
      </c>
      <c r="H3267">
        <v>1.0243519999999999</v>
      </c>
      <c r="I3267">
        <v>276.95260000000002</v>
      </c>
      <c r="J3267">
        <v>-491.33120000000002</v>
      </c>
      <c r="K3267">
        <v>1.1247689999999999</v>
      </c>
      <c r="L3267">
        <v>277.7586</v>
      </c>
      <c r="M3267">
        <v>-0.5950299</v>
      </c>
      <c r="N3267">
        <v>-1.6333650000000002E-2</v>
      </c>
      <c r="O3267">
        <v>-0.80353769999999902</v>
      </c>
      <c r="P3267">
        <v>-0.32477009999999901</v>
      </c>
      <c r="Q3267">
        <v>-6.6773769999999996E-2</v>
      </c>
      <c r="R3267">
        <v>-0.94343319999999997</v>
      </c>
      <c r="S3267">
        <v>-0.28878779999999998</v>
      </c>
      <c r="T3267">
        <v>-0.3567669</v>
      </c>
      <c r="U3267">
        <v>-3.0585939999999998</v>
      </c>
      <c r="V3267">
        <v>-0.30002000000000001</v>
      </c>
      <c r="W3267">
        <v>-5.366431E-2</v>
      </c>
      <c r="X3267">
        <v>0.95242230000000005</v>
      </c>
      <c r="Y3267">
        <v>-0.51618549999999996</v>
      </c>
      <c r="Z3267">
        <v>5.7932980000000002E-2</v>
      </c>
      <c r="AA3267">
        <v>0.85451529999999998</v>
      </c>
      <c r="AB3267">
        <v>13</v>
      </c>
      <c r="AC3267">
        <v>-4.7599999999988499E-2</v>
      </c>
      <c r="AD3267">
        <v>-0.10041699999999899</v>
      </c>
      <c r="AE3267">
        <v>-0.80599999999998295</v>
      </c>
      <c r="AF3267">
        <v>-0.43468092799536401</v>
      </c>
      <c r="AG3267">
        <v>-0.10041699999999899</v>
      </c>
      <c r="AH3267">
        <v>0.66576689026293401</v>
      </c>
      <c r="AI3267">
        <v>97.197999246454501</v>
      </c>
      <c r="AJ3267">
        <v>123.14062378139501</v>
      </c>
      <c r="AK3267">
        <v>0.80142163386215604</v>
      </c>
      <c r="AL3267">
        <v>93.076216043133797</v>
      </c>
      <c r="AM3267">
        <v>107.48480907486</v>
      </c>
      <c r="AN3267">
        <v>1.00000004805253</v>
      </c>
    </row>
    <row r="3268" spans="1:40" x14ac:dyDescent="0.25">
      <c r="A3268" t="str">
        <f>"20190303154201578"</f>
        <v>20190303154201578</v>
      </c>
      <c r="B3268" t="str">
        <f>"1551598921573187"</f>
        <v>1551598921573187</v>
      </c>
      <c r="C3268" t="s">
        <v>40</v>
      </c>
      <c r="D3268">
        <v>5.8770680000000004</v>
      </c>
      <c r="E3268">
        <v>0.4073677</v>
      </c>
      <c r="F3268" t="s">
        <v>42</v>
      </c>
      <c r="G3268">
        <v>-491.4126</v>
      </c>
      <c r="H3268">
        <v>1.0188950000000001</v>
      </c>
      <c r="I3268">
        <v>276.84769999999997</v>
      </c>
      <c r="J3268">
        <v>-491.36989999999997</v>
      </c>
      <c r="K3268">
        <v>1.1247990000000001</v>
      </c>
      <c r="L3268">
        <v>277.69569999999999</v>
      </c>
      <c r="M3268">
        <v>-0.59069469999999902</v>
      </c>
      <c r="N3268">
        <v>-1.6165289999999999E-2</v>
      </c>
      <c r="O3268">
        <v>-0.80673329999999999</v>
      </c>
      <c r="P3268">
        <v>-0.31979279999999999</v>
      </c>
      <c r="Q3268">
        <v>-6.7066239999999999E-2</v>
      </c>
      <c r="R3268">
        <v>-0.94511109999999998</v>
      </c>
      <c r="S3268">
        <v>-0.27288820000000003</v>
      </c>
      <c r="T3268">
        <v>-0.35569450000000002</v>
      </c>
      <c r="U3268">
        <v>-3.0607600000000001</v>
      </c>
      <c r="V3268">
        <v>-0.29989070000000001</v>
      </c>
      <c r="W3268">
        <v>-5.4134969999999998E-2</v>
      </c>
      <c r="X3268">
        <v>0.95243630000000001</v>
      </c>
      <c r="Y3268">
        <v>-0.51604799999999995</v>
      </c>
      <c r="Z3268">
        <v>5.8339490000000001E-2</v>
      </c>
      <c r="AA3268">
        <v>0.85457070000000002</v>
      </c>
      <c r="AB3268">
        <v>13</v>
      </c>
      <c r="AC3268">
        <v>-4.2700000000024801E-2</v>
      </c>
      <c r="AD3268">
        <v>-0.105903999999999</v>
      </c>
      <c r="AE3268">
        <v>-0.84800000000001297</v>
      </c>
      <c r="AF3268">
        <v>-0.45937588225423398</v>
      </c>
      <c r="AG3268">
        <v>-0.105903999999999</v>
      </c>
      <c r="AH3268">
        <v>0.69855749833880298</v>
      </c>
      <c r="AI3268">
        <v>97.219164023249903</v>
      </c>
      <c r="AJ3268">
        <v>123.32917584868601</v>
      </c>
      <c r="AK3268">
        <v>0.84274814559168398</v>
      </c>
      <c r="AL3268">
        <v>93.103222384987902</v>
      </c>
      <c r="AM3268">
        <v>107.47749128447801</v>
      </c>
      <c r="AN3268">
        <v>0.999999966240539</v>
      </c>
    </row>
    <row r="3269" spans="1:40" x14ac:dyDescent="0.25">
      <c r="A3269" t="str">
        <f>"20190303154201589"</f>
        <v>20190303154201589</v>
      </c>
      <c r="B3269" t="str">
        <f>"1551598921582948"</f>
        <v>1551598921582948</v>
      </c>
      <c r="C3269" t="s">
        <v>40</v>
      </c>
      <c r="D3269">
        <v>5.8579999999999997</v>
      </c>
      <c r="E3269">
        <v>0.40733760000000002</v>
      </c>
      <c r="F3269" t="s">
        <v>42</v>
      </c>
      <c r="G3269">
        <v>-491.44940000000003</v>
      </c>
      <c r="H3269">
        <v>1.014518</v>
      </c>
      <c r="I3269">
        <v>276.7448</v>
      </c>
      <c r="J3269">
        <v>-491.40629999999999</v>
      </c>
      <c r="K3269">
        <v>1.1247990000000001</v>
      </c>
      <c r="L3269">
        <v>277.63560000000001</v>
      </c>
      <c r="M3269">
        <v>-0.58650970000000002</v>
      </c>
      <c r="N3269">
        <v>-1.602603E-2</v>
      </c>
      <c r="O3269">
        <v>-0.80978380000000005</v>
      </c>
      <c r="P3269">
        <v>-0.31478899999999999</v>
      </c>
      <c r="Q3269">
        <v>-6.7312079999999996E-2</v>
      </c>
      <c r="R3269">
        <v>-0.94677230000000001</v>
      </c>
      <c r="S3269">
        <v>-0.2557373</v>
      </c>
      <c r="T3269">
        <v>-0.35511979999999999</v>
      </c>
      <c r="U3269">
        <v>-3.0624690000000001</v>
      </c>
      <c r="V3269">
        <v>-0.29998259999999899</v>
      </c>
      <c r="W3269">
        <v>-5.4512230000000002E-2</v>
      </c>
      <c r="X3269">
        <v>0.95238590000000001</v>
      </c>
      <c r="Y3269">
        <v>-0.5164166</v>
      </c>
      <c r="Z3269">
        <v>5.8785629999999998E-2</v>
      </c>
      <c r="AA3269">
        <v>0.8543174</v>
      </c>
      <c r="AB3269">
        <v>13</v>
      </c>
      <c r="AC3269">
        <v>-4.3100000000038101E-2</v>
      </c>
      <c r="AD3269">
        <v>-0.110280999999999</v>
      </c>
      <c r="AE3269">
        <v>-0.89080000000001203</v>
      </c>
      <c r="AF3269">
        <v>-0.48027993285037301</v>
      </c>
      <c r="AG3269">
        <v>-0.110280999999999</v>
      </c>
      <c r="AH3269">
        <v>0.73548376400701099</v>
      </c>
      <c r="AI3269">
        <v>97.155820526094402</v>
      </c>
      <c r="AJ3269">
        <v>123.14503007908</v>
      </c>
      <c r="AK3269">
        <v>0.88530620690113804</v>
      </c>
      <c r="AL3269">
        <v>93.124869578898199</v>
      </c>
      <c r="AM3269">
        <v>107.483389724259</v>
      </c>
      <c r="AN3269">
        <v>1.0000000230205699</v>
      </c>
    </row>
    <row r="3270" spans="1:40" x14ac:dyDescent="0.25">
      <c r="A3270" t="str">
        <f>"20190303154201601"</f>
        <v>20190303154201601</v>
      </c>
      <c r="B3270" t="str">
        <f>"1551598921592707"</f>
        <v>1551598921592707</v>
      </c>
      <c r="C3270" t="s">
        <v>40</v>
      </c>
      <c r="D3270">
        <v>5.8721059999999996</v>
      </c>
      <c r="E3270">
        <v>0.40740379999999998</v>
      </c>
      <c r="F3270" t="s">
        <v>42</v>
      </c>
      <c r="G3270">
        <v>-491.47500000000002</v>
      </c>
      <c r="H3270">
        <v>1.022602</v>
      </c>
      <c r="I3270">
        <v>276.7559</v>
      </c>
      <c r="J3270">
        <v>-491.43849999999998</v>
      </c>
      <c r="K3270">
        <v>1.1247940000000001</v>
      </c>
      <c r="L3270">
        <v>277.58179999999999</v>
      </c>
      <c r="M3270">
        <v>-0.58275919999999903</v>
      </c>
      <c r="N3270">
        <v>-1.5910420000000002E-2</v>
      </c>
      <c r="O3270">
        <v>-0.81248929999999997</v>
      </c>
      <c r="P3270">
        <v>-0.30980659999999999</v>
      </c>
      <c r="Q3270">
        <v>-6.7122769999999998E-2</v>
      </c>
      <c r="R3270">
        <v>-0.94842760000000004</v>
      </c>
      <c r="S3270">
        <v>-0.23904420000000001</v>
      </c>
      <c r="T3270">
        <v>-0.35591660000000003</v>
      </c>
      <c r="U3270">
        <v>-3.0638730000000001</v>
      </c>
      <c r="V3270">
        <v>-0.30059469999999999</v>
      </c>
      <c r="W3270">
        <v>-5.4432040000000001E-2</v>
      </c>
      <c r="X3270">
        <v>0.95219750000000003</v>
      </c>
      <c r="Y3270">
        <v>-0.51711960000000001</v>
      </c>
      <c r="Z3270">
        <v>5.9432249999999999E-2</v>
      </c>
      <c r="AA3270">
        <v>0.85384729999999998</v>
      </c>
      <c r="AB3270">
        <v>13</v>
      </c>
      <c r="AC3270">
        <v>-3.6500000000046301E-2</v>
      </c>
      <c r="AD3270">
        <v>-0.10219200000000001</v>
      </c>
      <c r="AE3270">
        <v>-0.82589999999998998</v>
      </c>
      <c r="AF3270">
        <v>-0.44490381716627297</v>
      </c>
      <c r="AG3270">
        <v>-0.10219200000000001</v>
      </c>
      <c r="AH3270">
        <v>0.68197243251545203</v>
      </c>
      <c r="AI3270">
        <v>97.153351469144496</v>
      </c>
      <c r="AJ3270">
        <v>123.119545458473</v>
      </c>
      <c r="AK3270">
        <v>0.82065157655619103</v>
      </c>
      <c r="AL3270">
        <v>93.120268115009296</v>
      </c>
      <c r="AM3270">
        <v>107.520137817828</v>
      </c>
      <c r="AN3270">
        <v>1.0000000498264401</v>
      </c>
    </row>
    <row r="3271" spans="1:40" x14ac:dyDescent="0.25">
      <c r="A3271" t="str">
        <f>"20190303154201612"</f>
        <v>20190303154201612</v>
      </c>
      <c r="B3271" t="str">
        <f>"1551598921602467"</f>
        <v>1551598921602467</v>
      </c>
      <c r="C3271" t="s">
        <v>40</v>
      </c>
      <c r="D3271">
        <v>5.8690720000000001</v>
      </c>
      <c r="E3271">
        <v>0.40749610000000003</v>
      </c>
      <c r="F3271" t="s">
        <v>42</v>
      </c>
      <c r="G3271">
        <v>-491.50650000000002</v>
      </c>
      <c r="H3271">
        <v>1.0168759999999999</v>
      </c>
      <c r="I3271">
        <v>276.65100000000001</v>
      </c>
      <c r="J3271">
        <v>-491.47089999999997</v>
      </c>
      <c r="K3271">
        <v>1.1247780000000001</v>
      </c>
      <c r="L3271">
        <v>277.52710000000002</v>
      </c>
      <c r="M3271">
        <v>-0.57892359999999998</v>
      </c>
      <c r="N3271">
        <v>-1.5802130000000001E-2</v>
      </c>
      <c r="O3271">
        <v>-0.81522879999999998</v>
      </c>
      <c r="P3271">
        <v>-0.30545060000000002</v>
      </c>
      <c r="Q3271">
        <v>-6.7031279999999999E-2</v>
      </c>
      <c r="R3271">
        <v>-0.94984590000000002</v>
      </c>
      <c r="S3271">
        <v>-0.2236023</v>
      </c>
      <c r="T3271">
        <v>-0.35527360000000002</v>
      </c>
      <c r="U3271">
        <v>-3.0650019999999998</v>
      </c>
      <c r="V3271">
        <v>-0.30048269999999999</v>
      </c>
      <c r="W3271">
        <v>-5.4426059999999998E-2</v>
      </c>
      <c r="X3271">
        <v>0.95223310000000005</v>
      </c>
      <c r="Y3271">
        <v>-0.5173972</v>
      </c>
      <c r="Z3271">
        <v>5.9801590000000002E-2</v>
      </c>
      <c r="AA3271">
        <v>0.85365329999999995</v>
      </c>
      <c r="AB3271">
        <v>13</v>
      </c>
      <c r="AC3271">
        <v>-3.5600000000044901E-2</v>
      </c>
      <c r="AD3271">
        <v>-0.107901999999999</v>
      </c>
      <c r="AE3271">
        <v>-0.87610000000000798</v>
      </c>
      <c r="AF3271">
        <v>-0.47109825449173398</v>
      </c>
      <c r="AG3271">
        <v>-0.107901999999999</v>
      </c>
      <c r="AH3271">
        <v>0.72395979891304296</v>
      </c>
      <c r="AI3271">
        <v>97.120716665495394</v>
      </c>
      <c r="AJ3271">
        <v>123.053032595774</v>
      </c>
      <c r="AK3271">
        <v>0.87045631563644399</v>
      </c>
      <c r="AL3271">
        <v>93.119925249174898</v>
      </c>
      <c r="AM3271">
        <v>107.513394335657</v>
      </c>
      <c r="AN3271">
        <v>0.99999996287101101</v>
      </c>
    </row>
    <row r="3272" spans="1:40" x14ac:dyDescent="0.25">
      <c r="A3272" t="str">
        <f>"20190303154201629"</f>
        <v>20190303154201629</v>
      </c>
      <c r="B3272" t="str">
        <f>"1551598921622967"</f>
        <v>1551598921622967</v>
      </c>
      <c r="C3272" t="s">
        <v>40</v>
      </c>
      <c r="D3272">
        <v>5.844722</v>
      </c>
      <c r="E3272">
        <v>0.407858</v>
      </c>
      <c r="F3272" t="s">
        <v>42</v>
      </c>
      <c r="G3272">
        <v>-491.53030000000001</v>
      </c>
      <c r="H3272">
        <v>1.0244549999999999</v>
      </c>
      <c r="I3272">
        <v>276.66109999999998</v>
      </c>
      <c r="J3272">
        <v>-491.51889999999997</v>
      </c>
      <c r="K3272">
        <v>1.124741</v>
      </c>
      <c r="L3272">
        <v>277.44499999999999</v>
      </c>
      <c r="M3272">
        <v>-0.57314980000000004</v>
      </c>
      <c r="N3272">
        <v>-1.5654299999999999E-2</v>
      </c>
      <c r="O3272">
        <v>-0.81930119999999895</v>
      </c>
      <c r="P3272">
        <v>-0.298016</v>
      </c>
      <c r="Q3272">
        <v>-6.7849019999999996E-2</v>
      </c>
      <c r="R3272">
        <v>-0.95214670000000001</v>
      </c>
      <c r="S3272">
        <v>-0.21008299999999999</v>
      </c>
      <c r="T3272">
        <v>-0.35511229999999999</v>
      </c>
      <c r="U3272">
        <v>-3.0657960000000002</v>
      </c>
      <c r="V3272">
        <v>-0.30116159999999997</v>
      </c>
      <c r="W3272">
        <v>-5.5364660000000003E-2</v>
      </c>
      <c r="X3272">
        <v>0.95196449999999999</v>
      </c>
      <c r="Y3272">
        <v>-0.51513189999999998</v>
      </c>
      <c r="Z3272">
        <v>6.0635210000000002E-2</v>
      </c>
      <c r="AA3272">
        <v>0.85496349999999999</v>
      </c>
      <c r="AB3272">
        <v>13</v>
      </c>
      <c r="AC3272">
        <v>-1.14000000000373E-2</v>
      </c>
      <c r="AD3272">
        <v>-0.100286</v>
      </c>
      <c r="AE3272">
        <v>-0.78390000000001603</v>
      </c>
      <c r="AF3272">
        <v>-0.43292198941396998</v>
      </c>
      <c r="AG3272">
        <v>-0.100286</v>
      </c>
      <c r="AH3272">
        <v>0.63841703386278303</v>
      </c>
      <c r="AI3272">
        <v>97.407574850873004</v>
      </c>
      <c r="AJ3272">
        <v>124.141896482372</v>
      </c>
      <c r="AK3272">
        <v>0.77785283944992101</v>
      </c>
      <c r="AL3272">
        <v>93.173784224159704</v>
      </c>
      <c r="AM3272">
        <v>107.55518467144</v>
      </c>
      <c r="AN3272">
        <v>0.99999998207586205</v>
      </c>
    </row>
    <row r="3273" spans="1:40" x14ac:dyDescent="0.25">
      <c r="A3273" t="str">
        <f>"20190303154201643"</f>
        <v>20190303154201643</v>
      </c>
      <c r="B3273" t="str">
        <f>"1551598921632723"</f>
        <v>1551598921632723</v>
      </c>
      <c r="C3273" t="s">
        <v>40</v>
      </c>
      <c r="D3273">
        <v>5.8347540000000002</v>
      </c>
      <c r="E3273">
        <v>0.40810069999999998</v>
      </c>
      <c r="F3273" t="s">
        <v>42</v>
      </c>
      <c r="G3273">
        <v>-491.57330000000002</v>
      </c>
      <c r="H3273">
        <v>1.021747</v>
      </c>
      <c r="I3273">
        <v>276.56130000000002</v>
      </c>
      <c r="J3273">
        <v>-491.5564</v>
      </c>
      <c r="K3273">
        <v>1.124711</v>
      </c>
      <c r="L3273">
        <v>277.37979999999999</v>
      </c>
      <c r="M3273">
        <v>-0.56855389999999995</v>
      </c>
      <c r="N3273">
        <v>-1.55456E-2</v>
      </c>
      <c r="O3273">
        <v>-0.82249930000000004</v>
      </c>
      <c r="P3273">
        <v>-0.29273529999999998</v>
      </c>
      <c r="Q3273">
        <v>-6.8307199999999998E-2</v>
      </c>
      <c r="R3273">
        <v>-0.95375100000000002</v>
      </c>
      <c r="S3273">
        <v>-0.18896479999999999</v>
      </c>
      <c r="T3273">
        <v>-0.35737720000000001</v>
      </c>
      <c r="U3273">
        <v>-3.0661320000000001</v>
      </c>
      <c r="V3273">
        <v>-0.3010873</v>
      </c>
      <c r="W3273">
        <v>-5.590183E-2</v>
      </c>
      <c r="X3273">
        <v>0.95195660000000004</v>
      </c>
      <c r="Y3273">
        <v>-0.5162042</v>
      </c>
      <c r="Z3273">
        <v>6.1682210000000001E-2</v>
      </c>
      <c r="AA3273">
        <v>0.85424149999999999</v>
      </c>
      <c r="AB3273">
        <v>13</v>
      </c>
      <c r="AC3273">
        <v>-1.6900000000020999E-2</v>
      </c>
      <c r="AD3273">
        <v>-0.102964</v>
      </c>
      <c r="AE3273">
        <v>-0.81849999999997103</v>
      </c>
      <c r="AF3273">
        <v>-0.444484813746511</v>
      </c>
      <c r="AG3273">
        <v>-0.102964</v>
      </c>
      <c r="AH3273">
        <v>0.672272726817013</v>
      </c>
      <c r="AI3273">
        <v>97.280585616161602</v>
      </c>
      <c r="AJ3273">
        <v>123.471378083796</v>
      </c>
      <c r="AK3273">
        <v>0.81247704839537005</v>
      </c>
      <c r="AL3273">
        <v>93.204609569559807</v>
      </c>
      <c r="AM3273">
        <v>107.551256243418</v>
      </c>
      <c r="AN3273">
        <v>0.99999997255109896</v>
      </c>
    </row>
    <row r="3274" spans="1:40" x14ac:dyDescent="0.25">
      <c r="A3274" t="str">
        <f>"20190303154201657"</f>
        <v>20190303154201657</v>
      </c>
      <c r="B3274" t="str">
        <f>"1551598921653220"</f>
        <v>1551598921653220</v>
      </c>
      <c r="C3274" t="s">
        <v>40</v>
      </c>
      <c r="D3274">
        <v>5.8196059999999896</v>
      </c>
      <c r="E3274">
        <v>0.40862619999999999</v>
      </c>
      <c r="F3274" t="s">
        <v>42</v>
      </c>
      <c r="G3274">
        <v>-491.6087</v>
      </c>
      <c r="H3274">
        <v>1.0169280000000001</v>
      </c>
      <c r="I3274">
        <v>276.4588</v>
      </c>
      <c r="J3274">
        <v>-491.59480000000002</v>
      </c>
      <c r="K3274">
        <v>1.1246780000000001</v>
      </c>
      <c r="L3274">
        <v>277.31259999999997</v>
      </c>
      <c r="M3274">
        <v>-0.56380369999999902</v>
      </c>
      <c r="N3274">
        <v>-1.5439659999999999E-2</v>
      </c>
      <c r="O3274">
        <v>-0.82576479999999997</v>
      </c>
      <c r="P3274">
        <v>-0.28721449999999998</v>
      </c>
      <c r="Q3274">
        <v>-6.9129599999999999E-2</v>
      </c>
      <c r="R3274">
        <v>-0.95536880000000002</v>
      </c>
      <c r="S3274">
        <v>-0.17352290000000001</v>
      </c>
      <c r="T3274">
        <v>-0.35877589999999998</v>
      </c>
      <c r="U3274">
        <v>-3.0665589999999998</v>
      </c>
      <c r="V3274">
        <v>-0.30106880000000003</v>
      </c>
      <c r="W3274">
        <v>-5.6801780000000003E-2</v>
      </c>
      <c r="X3274">
        <v>0.95190920000000001</v>
      </c>
      <c r="Y3274">
        <v>-0.51556990000000003</v>
      </c>
      <c r="Z3274">
        <v>6.2626689999999999E-2</v>
      </c>
      <c r="AA3274">
        <v>0.85455569999999903</v>
      </c>
      <c r="AB3274">
        <v>13</v>
      </c>
      <c r="AC3274">
        <v>-1.3899999999978201E-2</v>
      </c>
      <c r="AD3274">
        <v>-0.10775</v>
      </c>
      <c r="AE3274">
        <v>-0.85379999999997802</v>
      </c>
      <c r="AF3274">
        <v>-0.462587882460822</v>
      </c>
      <c r="AG3274">
        <v>-0.10775</v>
      </c>
      <c r="AH3274">
        <v>0.70178558746883901</v>
      </c>
      <c r="AI3274">
        <v>97.305072316283898</v>
      </c>
      <c r="AJ3274">
        <v>123.391210347775</v>
      </c>
      <c r="AK3274">
        <v>0.84740817926107503</v>
      </c>
      <c r="AL3274">
        <v>93.256254902871106</v>
      </c>
      <c r="AM3274">
        <v>107.551064285435</v>
      </c>
      <c r="AN3274">
        <v>0.99999999479462398</v>
      </c>
    </row>
    <row r="3275" spans="1:40" x14ac:dyDescent="0.25">
      <c r="A3275" t="str">
        <f>"20190303154201670"</f>
        <v>20190303154201670</v>
      </c>
      <c r="B3275" t="str">
        <f>"1551598921662979"</f>
        <v>1551598921662979</v>
      </c>
      <c r="C3275" t="s">
        <v>40</v>
      </c>
      <c r="D3275">
        <v>5.818397</v>
      </c>
      <c r="E3275">
        <v>0.40894039999999998</v>
      </c>
      <c r="F3275" t="s">
        <v>42</v>
      </c>
      <c r="G3275">
        <v>-491.64460000000003</v>
      </c>
      <c r="H3275">
        <v>1.012057</v>
      </c>
      <c r="I3275">
        <v>276.3569</v>
      </c>
      <c r="J3275">
        <v>-491.63249999999999</v>
      </c>
      <c r="K3275">
        <v>1.124652</v>
      </c>
      <c r="L3275">
        <v>277.24520000000001</v>
      </c>
      <c r="M3275">
        <v>-0.55903459999999905</v>
      </c>
      <c r="N3275">
        <v>-1.534334E-2</v>
      </c>
      <c r="O3275">
        <v>-0.82900249999999998</v>
      </c>
      <c r="P3275">
        <v>-0.28191480000000002</v>
      </c>
      <c r="Q3275">
        <v>-6.9637630000000006E-2</v>
      </c>
      <c r="R3275">
        <v>-0.95690900000000001</v>
      </c>
      <c r="S3275">
        <v>-0.1596069</v>
      </c>
      <c r="T3275">
        <v>-0.3613093</v>
      </c>
      <c r="U3275">
        <v>-3.0660099999999999</v>
      </c>
      <c r="V3275">
        <v>-0.30083549999999998</v>
      </c>
      <c r="W3275">
        <v>-5.7379439999999997E-2</v>
      </c>
      <c r="X3275">
        <v>0.95194829999999997</v>
      </c>
      <c r="Y3275">
        <v>-0.51449609999999901</v>
      </c>
      <c r="Z3275">
        <v>6.3850340000000005E-2</v>
      </c>
      <c r="AA3275">
        <v>0.85511229999999905</v>
      </c>
      <c r="AB3275">
        <v>13</v>
      </c>
      <c r="AC3275">
        <v>-1.2100000000032101E-2</v>
      </c>
      <c r="AD3275">
        <v>-0.112595</v>
      </c>
      <c r="AE3275">
        <v>-0.88830000000001497</v>
      </c>
      <c r="AF3275">
        <v>-0.47892357161674298</v>
      </c>
      <c r="AG3275">
        <v>-0.112595</v>
      </c>
      <c r="AH3275">
        <v>0.73150417369408005</v>
      </c>
      <c r="AI3275">
        <v>97.338021165997404</v>
      </c>
      <c r="AJ3275">
        <v>123.21319589443</v>
      </c>
      <c r="AK3275">
        <v>0.88155758609803703</v>
      </c>
      <c r="AL3275">
        <v>93.289406495669596</v>
      </c>
      <c r="AM3275">
        <v>107.53762172557001</v>
      </c>
      <c r="AN3275">
        <v>0.99999998203392604</v>
      </c>
    </row>
    <row r="3276" spans="1:40" x14ac:dyDescent="0.25">
      <c r="A3276" t="str">
        <f>"20190303154201685"</f>
        <v>20190303154201685</v>
      </c>
      <c r="B3276" t="str">
        <f>"1551598921682500"</f>
        <v>1551598921682500</v>
      </c>
      <c r="C3276" t="s">
        <v>40</v>
      </c>
      <c r="D3276">
        <v>5.8143539999999998</v>
      </c>
      <c r="E3276">
        <v>0.40963349999999998</v>
      </c>
      <c r="F3276" t="s">
        <v>42</v>
      </c>
      <c r="G3276">
        <v>-491.67399999999998</v>
      </c>
      <c r="H3276">
        <v>1.020994</v>
      </c>
      <c r="I3276">
        <v>276.36860000000001</v>
      </c>
      <c r="J3276">
        <v>-491.67140000000001</v>
      </c>
      <c r="K3276">
        <v>1.124628</v>
      </c>
      <c r="L3276">
        <v>277.17500000000001</v>
      </c>
      <c r="M3276">
        <v>-0.55406199999999906</v>
      </c>
      <c r="N3276">
        <v>-1.525053E-2</v>
      </c>
      <c r="O3276">
        <v>-0.83233570000000001</v>
      </c>
      <c r="P3276">
        <v>-0.2760821</v>
      </c>
      <c r="Q3276">
        <v>-7.0115230000000001E-2</v>
      </c>
      <c r="R3276">
        <v>-0.95857329999999996</v>
      </c>
      <c r="S3276">
        <v>-0.1451721</v>
      </c>
      <c r="T3276">
        <v>-0.36254249999999999</v>
      </c>
      <c r="U3276">
        <v>-3.0659179999999999</v>
      </c>
      <c r="V3276">
        <v>-0.30091259999999997</v>
      </c>
      <c r="W3276">
        <v>-5.7930059999999998E-2</v>
      </c>
      <c r="X3276">
        <v>0.95189060000000003</v>
      </c>
      <c r="Y3276">
        <v>-0.51338700000000004</v>
      </c>
      <c r="Z3276">
        <v>6.4801620000000004E-2</v>
      </c>
      <c r="AA3276">
        <v>0.855707</v>
      </c>
      <c r="AB3276">
        <v>13</v>
      </c>
      <c r="AC3276">
        <v>-2.6000000000294598E-3</v>
      </c>
      <c r="AD3276">
        <v>-0.103633999999999</v>
      </c>
      <c r="AE3276">
        <v>-0.80639999999999601</v>
      </c>
      <c r="AF3276">
        <v>-0.43745827712285401</v>
      </c>
      <c r="AG3276">
        <v>-0.103633999999999</v>
      </c>
      <c r="AH3276">
        <v>0.66178442216382305</v>
      </c>
      <c r="AI3276">
        <v>97.442756152063495</v>
      </c>
      <c r="AJ3276">
        <v>123.46583468638801</v>
      </c>
      <c r="AK3276">
        <v>0.80004273110753399</v>
      </c>
      <c r="AL3276">
        <v>93.321007205895299</v>
      </c>
      <c r="AM3276">
        <v>107.542838856253</v>
      </c>
      <c r="AN3276">
        <v>0.99999999952936103</v>
      </c>
    </row>
    <row r="3277" spans="1:40" x14ac:dyDescent="0.25">
      <c r="A3277" t="str">
        <f>"20190303154201699"</f>
        <v>20190303154201699</v>
      </c>
      <c r="B3277" t="str">
        <f>"1551598921693235"</f>
        <v>1551598921693235</v>
      </c>
      <c r="C3277" t="s">
        <v>40</v>
      </c>
      <c r="D3277">
        <v>5.864795</v>
      </c>
      <c r="E3277">
        <v>0.41008830000000002</v>
      </c>
      <c r="F3277" t="s">
        <v>42</v>
      </c>
      <c r="G3277">
        <v>-491.71069999999997</v>
      </c>
      <c r="H3277">
        <v>1.016804</v>
      </c>
      <c r="I3277">
        <v>276.26710000000003</v>
      </c>
      <c r="J3277">
        <v>-491.70710000000003</v>
      </c>
      <c r="K3277">
        <v>1.1246119999999999</v>
      </c>
      <c r="L3277">
        <v>277.10980000000001</v>
      </c>
      <c r="M3277">
        <v>-0.54944079999999995</v>
      </c>
      <c r="N3277">
        <v>-1.517023E-2</v>
      </c>
      <c r="O3277">
        <v>-0.83539509999999995</v>
      </c>
      <c r="P3277">
        <v>-0.27093630000000002</v>
      </c>
      <c r="Q3277">
        <v>-6.9956930000000001E-2</v>
      </c>
      <c r="R3277">
        <v>-0.96005209999999996</v>
      </c>
      <c r="S3277">
        <v>-0.1318665</v>
      </c>
      <c r="T3277">
        <v>-0.36394919999999997</v>
      </c>
      <c r="U3277">
        <v>-3.0650629999999999</v>
      </c>
      <c r="V3277">
        <v>-0.30075229999999997</v>
      </c>
      <c r="W3277">
        <v>-5.7833170000000003E-2</v>
      </c>
      <c r="X3277">
        <v>0.95194719999999999</v>
      </c>
      <c r="Y3277">
        <v>-0.51233430000000002</v>
      </c>
      <c r="Z3277">
        <v>6.5755659999999994E-2</v>
      </c>
      <c r="AA3277">
        <v>0.8562649</v>
      </c>
      <c r="AB3277">
        <v>13</v>
      </c>
      <c r="AC3277">
        <v>-3.59999999994897E-3</v>
      </c>
      <c r="AD3277">
        <v>-0.107808</v>
      </c>
      <c r="AE3277">
        <v>-0.84269999999997902</v>
      </c>
      <c r="AF3277">
        <v>-0.452651030611112</v>
      </c>
      <c r="AG3277">
        <v>-0.107808</v>
      </c>
      <c r="AH3277">
        <v>0.69467734524482905</v>
      </c>
      <c r="AI3277">
        <v>97.408276640377196</v>
      </c>
      <c r="AJ3277">
        <v>123.088223489181</v>
      </c>
      <c r="AK3277">
        <v>0.83611729701861004</v>
      </c>
      <c r="AL3277">
        <v>93.315446338964506</v>
      </c>
      <c r="AM3277">
        <v>107.533087693626</v>
      </c>
      <c r="AN3277">
        <v>1.0000000465476799</v>
      </c>
    </row>
    <row r="3278" spans="1:40" x14ac:dyDescent="0.25">
      <c r="A3278" t="str">
        <f>"20190303154201709"</f>
        <v>20190303154201709</v>
      </c>
      <c r="B3278" t="str">
        <f>"1551598921702995"</f>
        <v>1551598921702995</v>
      </c>
      <c r="C3278" t="s">
        <v>40</v>
      </c>
      <c r="D3278">
        <v>5.7720979999999997</v>
      </c>
      <c r="E3278">
        <v>0.41049590000000002</v>
      </c>
      <c r="F3278" t="s">
        <v>42</v>
      </c>
      <c r="G3278">
        <v>-491.74400000000003</v>
      </c>
      <c r="H3278">
        <v>1.011927</v>
      </c>
      <c r="I3278">
        <v>276.16480000000001</v>
      </c>
      <c r="J3278">
        <v>-491.73939999999999</v>
      </c>
      <c r="K3278">
        <v>1.1246</v>
      </c>
      <c r="L3278">
        <v>277.05</v>
      </c>
      <c r="M3278">
        <v>-0.54520139999999995</v>
      </c>
      <c r="N3278">
        <v>-1.510384E-2</v>
      </c>
      <c r="O3278">
        <v>-0.83816930000000001</v>
      </c>
      <c r="P3278">
        <v>-0.26601229999999998</v>
      </c>
      <c r="Q3278">
        <v>-6.9531399999999993E-2</v>
      </c>
      <c r="R3278">
        <v>-0.96145910000000001</v>
      </c>
      <c r="S3278">
        <v>-0.1191101</v>
      </c>
      <c r="T3278">
        <v>-0.36535980000000001</v>
      </c>
      <c r="U3278">
        <v>-3.0646059999999999</v>
      </c>
      <c r="V3278">
        <v>-0.30082910000000002</v>
      </c>
      <c r="W3278">
        <v>-5.7462869999999999E-2</v>
      </c>
      <c r="X3278">
        <v>0.95194529999999999</v>
      </c>
      <c r="Y3278">
        <v>-0.51154189999999999</v>
      </c>
      <c r="Z3278">
        <v>6.6633490000000004E-2</v>
      </c>
      <c r="AA3278">
        <v>0.85667079999999995</v>
      </c>
      <c r="AB3278">
        <v>13</v>
      </c>
      <c r="AC3278">
        <v>-4.6000000000390104E-3</v>
      </c>
      <c r="AD3278">
        <v>-0.112673</v>
      </c>
      <c r="AE3278">
        <v>-0.88519999999999699</v>
      </c>
      <c r="AF3278">
        <v>-0.47117759893623201</v>
      </c>
      <c r="AG3278">
        <v>-0.112673</v>
      </c>
      <c r="AH3278">
        <v>0.73267006641573296</v>
      </c>
      <c r="AI3278">
        <v>97.370047892946801</v>
      </c>
      <c r="AJ3278">
        <v>122.744931503918</v>
      </c>
      <c r="AK3278">
        <v>0.87835582817554503</v>
      </c>
      <c r="AL3278">
        <v>93.2941945515106</v>
      </c>
      <c r="AM3278">
        <v>107.537323378902</v>
      </c>
      <c r="AN3278">
        <v>0.99999999151376795</v>
      </c>
    </row>
    <row r="3279" spans="1:40" x14ac:dyDescent="0.25">
      <c r="A3279" t="str">
        <f>"20190303154201722"</f>
        <v>20190303154201722</v>
      </c>
      <c r="B3279" t="str">
        <f>"1551598921712755"</f>
        <v>1551598921712755</v>
      </c>
      <c r="C3279" t="s">
        <v>40</v>
      </c>
      <c r="D3279">
        <v>5.7547139999999999</v>
      </c>
      <c r="E3279">
        <v>0.41092469999999998</v>
      </c>
      <c r="F3279" t="s">
        <v>42</v>
      </c>
      <c r="G3279">
        <v>-491.7697</v>
      </c>
      <c r="H3279">
        <v>1.020764</v>
      </c>
      <c r="I3279">
        <v>276.17439999999999</v>
      </c>
      <c r="J3279">
        <v>-491.76839999999999</v>
      </c>
      <c r="K3279">
        <v>1.124593</v>
      </c>
      <c r="L3279">
        <v>276.99549999999999</v>
      </c>
      <c r="M3279">
        <v>-0.54133390000000003</v>
      </c>
      <c r="N3279">
        <v>-1.504717E-2</v>
      </c>
      <c r="O3279">
        <v>-0.84067309999999995</v>
      </c>
      <c r="P3279">
        <v>-0.26172400000000001</v>
      </c>
      <c r="Q3279">
        <v>-6.9682569999999999E-2</v>
      </c>
      <c r="R3279">
        <v>-0.96262409999999998</v>
      </c>
      <c r="S3279">
        <v>-0.1056213</v>
      </c>
      <c r="T3279">
        <v>-0.36340899999999998</v>
      </c>
      <c r="U3279">
        <v>-3.0647890000000002</v>
      </c>
      <c r="V3279">
        <v>-0.30067949999999999</v>
      </c>
      <c r="W3279">
        <v>-5.7659769999999999E-2</v>
      </c>
      <c r="X3279">
        <v>0.95198070000000001</v>
      </c>
      <c r="Y3279">
        <v>-0.51136179999999998</v>
      </c>
      <c r="Z3279">
        <v>6.6672590000000004E-2</v>
      </c>
      <c r="AA3279">
        <v>0.85677530000000002</v>
      </c>
      <c r="AB3279">
        <v>13</v>
      </c>
      <c r="AC3279">
        <v>-1.3000000000147299E-3</v>
      </c>
      <c r="AD3279">
        <v>-0.10382899999999901</v>
      </c>
      <c r="AE3279">
        <v>-0.82110000000000105</v>
      </c>
      <c r="AF3279">
        <v>-0.43646753311846298</v>
      </c>
      <c r="AG3279">
        <v>-0.10382899999999901</v>
      </c>
      <c r="AH3279">
        <v>0.68018261862113505</v>
      </c>
      <c r="AI3279">
        <v>97.320851667693105</v>
      </c>
      <c r="AJ3279">
        <v>122.687952054085</v>
      </c>
      <c r="AK3279">
        <v>0.81482069400686097</v>
      </c>
      <c r="AL3279">
        <v>93.305494692851497</v>
      </c>
      <c r="AM3279">
        <v>107.52852451261499</v>
      </c>
      <c r="AN3279">
        <v>1.0000000319845901</v>
      </c>
    </row>
    <row r="3280" spans="1:40" x14ac:dyDescent="0.25">
      <c r="A3280" t="str">
        <f>"20190303154201734"</f>
        <v>20190303154201734</v>
      </c>
      <c r="B3280" t="str">
        <f>"1551598921722515"</f>
        <v>1551598921722515</v>
      </c>
      <c r="C3280" t="s">
        <v>40</v>
      </c>
      <c r="D3280">
        <v>5.7842320000000003</v>
      </c>
      <c r="E3280">
        <v>0.41092469999999998</v>
      </c>
      <c r="F3280" t="s">
        <v>42</v>
      </c>
      <c r="G3280">
        <v>-491.79759999999999</v>
      </c>
      <c r="H3280">
        <v>1.0148539999999999</v>
      </c>
      <c r="I3280">
        <v>276.07029999999997</v>
      </c>
      <c r="J3280">
        <v>-491.80110000000002</v>
      </c>
      <c r="K3280">
        <v>1.1245849999999999</v>
      </c>
      <c r="L3280">
        <v>276.93369999999999</v>
      </c>
      <c r="M3280">
        <v>-0.5369488</v>
      </c>
      <c r="N3280">
        <v>-1.4986630000000001E-2</v>
      </c>
      <c r="O3280">
        <v>-0.84348179999999995</v>
      </c>
      <c r="P3280">
        <v>-0.2572583</v>
      </c>
      <c r="Q3280">
        <v>-6.9906650000000001E-2</v>
      </c>
      <c r="R3280">
        <v>-0.96381090000000003</v>
      </c>
      <c r="S3280">
        <v>-9.5916749999999995E-2</v>
      </c>
      <c r="T3280">
        <v>-0.3633229</v>
      </c>
      <c r="U3280">
        <v>-3.0641479999999999</v>
      </c>
      <c r="V3280">
        <v>-0.30012640000000002</v>
      </c>
      <c r="W3280">
        <v>-5.7928640000000003E-2</v>
      </c>
      <c r="X3280">
        <v>0.95213879999999995</v>
      </c>
      <c r="Y3280">
        <v>-0.50960190000000005</v>
      </c>
      <c r="Z3280">
        <v>6.7264630000000006E-2</v>
      </c>
      <c r="AA3280">
        <v>0.85777709999999996</v>
      </c>
      <c r="AB3280">
        <v>13</v>
      </c>
      <c r="AC3280">
        <v>3.5000000000309198E-3</v>
      </c>
      <c r="AD3280">
        <v>-0.109730999999999</v>
      </c>
      <c r="AE3280">
        <v>-0.86340000000001205</v>
      </c>
      <c r="AF3280">
        <v>-0.45918930042637102</v>
      </c>
      <c r="AG3280">
        <v>-0.109730999999999</v>
      </c>
      <c r="AH3280">
        <v>0.71491702330797902</v>
      </c>
      <c r="AI3280">
        <v>97.358646348063203</v>
      </c>
      <c r="AJ3280">
        <v>122.712525179609</v>
      </c>
      <c r="AK3280">
        <v>0.85673919964164302</v>
      </c>
      <c r="AL3280">
        <v>93.320925910642998</v>
      </c>
      <c r="AM3280">
        <v>107.49552203144999</v>
      </c>
      <c r="AN3280">
        <v>0.99999993888732297</v>
      </c>
    </row>
    <row r="3281" spans="1:40" x14ac:dyDescent="0.25">
      <c r="A3281" t="str">
        <f>"20190303154201746"</f>
        <v>20190303154201746</v>
      </c>
      <c r="B3281" t="str">
        <f>"1551598921743012"</f>
        <v>1551598921743012</v>
      </c>
      <c r="C3281" t="s">
        <v>40</v>
      </c>
      <c r="D3281">
        <v>5.8080850000000002</v>
      </c>
      <c r="E3281">
        <v>0.42553419999999997</v>
      </c>
      <c r="F3281" t="s">
        <v>42</v>
      </c>
      <c r="G3281">
        <v>-491.82389999999998</v>
      </c>
      <c r="H3281">
        <v>1.0232270000000001</v>
      </c>
      <c r="I3281">
        <v>276.08</v>
      </c>
      <c r="J3281">
        <v>-491.83199999999999</v>
      </c>
      <c r="K3281">
        <v>1.1245750000000001</v>
      </c>
      <c r="L3281">
        <v>276.8741</v>
      </c>
      <c r="M3281">
        <v>-0.53272889999999995</v>
      </c>
      <c r="N3281">
        <v>-1.4933699999999999E-2</v>
      </c>
      <c r="O3281">
        <v>-0.84615399999999996</v>
      </c>
      <c r="P3281">
        <v>-0.25284390000000001</v>
      </c>
      <c r="Q3281">
        <v>-7.0092459999999995E-2</v>
      </c>
      <c r="R3281">
        <v>-0.96496479999999996</v>
      </c>
      <c r="S3281">
        <v>-8.1298830000000002E-2</v>
      </c>
      <c r="T3281">
        <v>-0.36372650000000001</v>
      </c>
      <c r="U3281">
        <v>-3.064575</v>
      </c>
      <c r="V3281">
        <v>-0.29972070000000001</v>
      </c>
      <c r="W3281">
        <v>-5.8154890000000001E-2</v>
      </c>
      <c r="X3281">
        <v>0.95225289999999996</v>
      </c>
      <c r="Y3281">
        <v>-0.50940189999999996</v>
      </c>
      <c r="Z3281">
        <v>6.7843529999999999E-2</v>
      </c>
      <c r="AA3281">
        <v>0.85785020000000001</v>
      </c>
      <c r="AB3281">
        <v>13</v>
      </c>
      <c r="AC3281">
        <v>8.1000000000130898E-3</v>
      </c>
      <c r="AD3281">
        <v>-0.10134799999999999</v>
      </c>
      <c r="AE3281">
        <v>-0.79410000000001402</v>
      </c>
      <c r="AF3281">
        <v>-0.42305173491798398</v>
      </c>
      <c r="AG3281">
        <v>-0.10134799999999999</v>
      </c>
      <c r="AH3281">
        <v>0.65699010577508399</v>
      </c>
      <c r="AI3281">
        <v>97.389902191256894</v>
      </c>
      <c r="AJ3281">
        <v>122.77845953145599</v>
      </c>
      <c r="AK3281">
        <v>0.78795950822835603</v>
      </c>
      <c r="AL3281">
        <v>93.333910643572693</v>
      </c>
      <c r="AM3281">
        <v>107.47134615512</v>
      </c>
      <c r="AN3281">
        <v>1.0000000373989</v>
      </c>
    </row>
    <row r="3282" spans="1:40" x14ac:dyDescent="0.25">
      <c r="A3282" t="str">
        <f>"20190303154201762"</f>
        <v>20190303154201762</v>
      </c>
      <c r="B3282" t="str">
        <f>"1551598921752772"</f>
        <v>1551598921752772</v>
      </c>
      <c r="C3282" t="s">
        <v>40</v>
      </c>
      <c r="D3282">
        <v>5.7884449999999896</v>
      </c>
      <c r="E3282">
        <v>0.42583749999999998</v>
      </c>
      <c r="F3282" t="s">
        <v>42</v>
      </c>
      <c r="G3282">
        <v>-491.88459999999998</v>
      </c>
      <c r="H3282">
        <v>1.027568</v>
      </c>
      <c r="I3282">
        <v>275.98680000000002</v>
      </c>
      <c r="J3282">
        <v>-491.87279999999998</v>
      </c>
      <c r="K3282">
        <v>1.124555</v>
      </c>
      <c r="L3282">
        <v>276.79469999999998</v>
      </c>
      <c r="M3282">
        <v>-0.5271055</v>
      </c>
      <c r="N3282">
        <v>-1.486721E-2</v>
      </c>
      <c r="O3282">
        <v>-0.84966989999999998</v>
      </c>
      <c r="P3282">
        <v>-0.2481874</v>
      </c>
      <c r="Q3282">
        <v>-7.1235519999999997E-2</v>
      </c>
      <c r="R3282">
        <v>-0.96608939999999999</v>
      </c>
      <c r="S3282">
        <v>-0.18041989999999999</v>
      </c>
      <c r="T3282">
        <v>-0.33211889999999999</v>
      </c>
      <c r="U3282">
        <v>-3.037506</v>
      </c>
      <c r="V3282">
        <v>-0.29794619999999999</v>
      </c>
      <c r="W3282">
        <v>-5.9333820000000002E-2</v>
      </c>
      <c r="X3282">
        <v>0.9527369</v>
      </c>
      <c r="Y3282">
        <v>-0.47531449999999997</v>
      </c>
      <c r="Z3282">
        <v>6.3238020000000006E-2</v>
      </c>
      <c r="AA3282">
        <v>0.87754030000000005</v>
      </c>
      <c r="AB3282">
        <v>13</v>
      </c>
      <c r="AC3282">
        <v>-1.17999999999938E-2</v>
      </c>
      <c r="AD3282">
        <v>-9.6986999999999907E-2</v>
      </c>
      <c r="AE3282">
        <v>-0.80789999999996098</v>
      </c>
      <c r="AF3282">
        <v>-0.40996141911350098</v>
      </c>
      <c r="AG3282">
        <v>-9.6986999999999907E-2</v>
      </c>
      <c r="AH3282">
        <v>0.68290501212049703</v>
      </c>
      <c r="AI3282">
        <v>96.9424441795354</v>
      </c>
      <c r="AJ3282">
        <v>120.977228725854</v>
      </c>
      <c r="AK3282">
        <v>0.80239273358490204</v>
      </c>
      <c r="AL3282">
        <v>93.401575268747095</v>
      </c>
      <c r="AM3282">
        <v>107.365853570646</v>
      </c>
      <c r="AN3282">
        <v>1.0000000204559201</v>
      </c>
    </row>
    <row r="3283" spans="1:40" x14ac:dyDescent="0.25">
      <c r="A3283" t="str">
        <f>"20190303154201785"</f>
        <v>20190303154201785</v>
      </c>
      <c r="B3283" t="str">
        <f>"1551598921783026"</f>
        <v>1551598921783026</v>
      </c>
      <c r="C3283" t="s">
        <v>40</v>
      </c>
      <c r="D3283">
        <v>5.7926789999999997</v>
      </c>
      <c r="E3283">
        <v>0.42697049999999998</v>
      </c>
      <c r="F3283" t="s">
        <v>42</v>
      </c>
      <c r="G3283">
        <v>-491.92340000000002</v>
      </c>
      <c r="H3283">
        <v>1.023787</v>
      </c>
      <c r="I3283">
        <v>275.88690000000003</v>
      </c>
      <c r="J3283">
        <v>-491.92880000000002</v>
      </c>
      <c r="K3283">
        <v>1.1245240000000001</v>
      </c>
      <c r="L3283">
        <v>276.68349999999998</v>
      </c>
      <c r="M3283">
        <v>-0.51923149999999996</v>
      </c>
      <c r="N3283">
        <v>-1.4783620000000001E-2</v>
      </c>
      <c r="O3283">
        <v>-0.85450590000000004</v>
      </c>
      <c r="P3283">
        <v>-0.2414905</v>
      </c>
      <c r="Q3283">
        <v>-7.2526980000000005E-2</v>
      </c>
      <c r="R3283">
        <v>-0.96768920000000003</v>
      </c>
      <c r="S3283">
        <v>-0.1686096</v>
      </c>
      <c r="T3283">
        <v>-0.3370359</v>
      </c>
      <c r="U3283">
        <v>-3.0371700000000001</v>
      </c>
      <c r="V3283">
        <v>-0.2956838</v>
      </c>
      <c r="W3283">
        <v>-6.0668159999999999E-2</v>
      </c>
      <c r="X3283">
        <v>0.95335749999999997</v>
      </c>
      <c r="Y3283">
        <v>-0.47058650000000002</v>
      </c>
      <c r="Z3283">
        <v>6.5381179999999997E-2</v>
      </c>
      <c r="AA3283">
        <v>0.87992819999999905</v>
      </c>
      <c r="AB3283">
        <v>13</v>
      </c>
      <c r="AC3283">
        <v>5.4000000000087303E-3</v>
      </c>
      <c r="AD3283">
        <v>-0.10073699999999999</v>
      </c>
      <c r="AE3283">
        <v>-0.79659999999995501</v>
      </c>
      <c r="AF3283">
        <v>-0.41169634176307901</v>
      </c>
      <c r="AG3283">
        <v>-0.10073699999999999</v>
      </c>
      <c r="AH3283">
        <v>0.66729874034255099</v>
      </c>
      <c r="AI3283">
        <v>97.321138174406499</v>
      </c>
      <c r="AJ3283">
        <v>121.67290788513201</v>
      </c>
      <c r="AK3283">
        <v>0.79052478130217896</v>
      </c>
      <c r="AL3283">
        <v>93.478165284506005</v>
      </c>
      <c r="AM3283">
        <v>107.231275149349</v>
      </c>
      <c r="AN3283">
        <v>1.00000002901323</v>
      </c>
    </row>
    <row r="3284" spans="1:40" x14ac:dyDescent="0.25">
      <c r="A3284" t="str">
        <f>"20190303154201798"</f>
        <v>20190303154201798</v>
      </c>
      <c r="B3284" t="str">
        <f>"1551598921792787"</f>
        <v>1551598921792787</v>
      </c>
      <c r="C3284" t="s">
        <v>40</v>
      </c>
      <c r="D3284">
        <v>5.8306079999999998</v>
      </c>
      <c r="E3284">
        <v>0.42784899999999998</v>
      </c>
      <c r="F3284" t="s">
        <v>42</v>
      </c>
      <c r="G3284">
        <v>-491.97539999999998</v>
      </c>
      <c r="H3284">
        <v>1.0210049999999999</v>
      </c>
      <c r="I3284">
        <v>275.77359999999999</v>
      </c>
      <c r="J3284">
        <v>-491.96039999999999</v>
      </c>
      <c r="K3284">
        <v>1.1245149999999999</v>
      </c>
      <c r="L3284">
        <v>276.61970000000002</v>
      </c>
      <c r="M3284">
        <v>-0.5147081</v>
      </c>
      <c r="N3284">
        <v>-1.4739739999999999E-2</v>
      </c>
      <c r="O3284">
        <v>-0.85723879999999997</v>
      </c>
      <c r="P3284">
        <v>-0.23766979999999999</v>
      </c>
      <c r="Q3284">
        <v>-7.2934650000000004E-2</v>
      </c>
      <c r="R3284">
        <v>-0.96860429999999997</v>
      </c>
      <c r="S3284">
        <v>-0.15563959999999999</v>
      </c>
      <c r="T3284">
        <v>-0.34532740000000001</v>
      </c>
      <c r="U3284">
        <v>-3.0354000000000001</v>
      </c>
      <c r="V3284">
        <v>-0.29438979999999998</v>
      </c>
      <c r="W3284">
        <v>-6.1095709999999998E-2</v>
      </c>
      <c r="X3284">
        <v>0.95373059999999998</v>
      </c>
      <c r="Y3284">
        <v>-0.46963860000000002</v>
      </c>
      <c r="Z3284">
        <v>6.788545E-2</v>
      </c>
      <c r="AA3284">
        <v>0.88024500000000006</v>
      </c>
      <c r="AB3284">
        <v>13</v>
      </c>
      <c r="AC3284">
        <v>-1.49999999999863E-2</v>
      </c>
      <c r="AD3284">
        <v>-0.10351</v>
      </c>
      <c r="AE3284">
        <v>-0.84610000000003505</v>
      </c>
      <c r="AF3284">
        <v>-0.41645098031629502</v>
      </c>
      <c r="AG3284">
        <v>-0.10351</v>
      </c>
      <c r="AH3284">
        <v>0.72230301863258195</v>
      </c>
      <c r="AI3284">
        <v>97.076984374941702</v>
      </c>
      <c r="AJ3284">
        <v>119.966026198356</v>
      </c>
      <c r="AK3284">
        <v>0.84015914553859605</v>
      </c>
      <c r="AL3284">
        <v>93.502707551954998</v>
      </c>
      <c r="AM3284">
        <v>107.153985166382</v>
      </c>
      <c r="AN3284">
        <v>1.0000000487503999</v>
      </c>
    </row>
    <row r="3285" spans="1:40" x14ac:dyDescent="0.25">
      <c r="A3285" t="str">
        <f>"20190303154201810"</f>
        <v>20190303154201810</v>
      </c>
      <c r="B3285" t="str">
        <f>"1551598921802547"</f>
        <v>1551598921802547</v>
      </c>
      <c r="C3285" t="s">
        <v>40</v>
      </c>
      <c r="D3285">
        <v>5.813523</v>
      </c>
      <c r="E3285">
        <v>0.42846329999999999</v>
      </c>
      <c r="F3285" t="s">
        <v>42</v>
      </c>
      <c r="G3285">
        <v>-492.0068</v>
      </c>
      <c r="H3285">
        <v>1.0181020000000001</v>
      </c>
      <c r="I3285">
        <v>275.68970000000002</v>
      </c>
      <c r="J3285">
        <v>-491.98930000000001</v>
      </c>
      <c r="K3285">
        <v>1.124501</v>
      </c>
      <c r="L3285">
        <v>276.56049999999999</v>
      </c>
      <c r="M3285">
        <v>-0.51051499999999905</v>
      </c>
      <c r="N3285">
        <v>-1.470291E-2</v>
      </c>
      <c r="O3285">
        <v>-0.85974319999999904</v>
      </c>
      <c r="P3285">
        <v>-0.23409479999999999</v>
      </c>
      <c r="Q3285">
        <v>-7.2678489999999998E-2</v>
      </c>
      <c r="R3285">
        <v>-0.96949370000000001</v>
      </c>
      <c r="S3285">
        <v>-0.150116</v>
      </c>
      <c r="T3285">
        <v>-0.34703279999999997</v>
      </c>
      <c r="U3285">
        <v>-3.0342410000000002</v>
      </c>
      <c r="V3285">
        <v>-0.29326419999999997</v>
      </c>
      <c r="W3285">
        <v>-6.0853850000000001E-2</v>
      </c>
      <c r="X3285">
        <v>0.95409270000000002</v>
      </c>
      <c r="Y3285">
        <v>-0.4669141</v>
      </c>
      <c r="Z3285">
        <v>6.8851140000000005E-2</v>
      </c>
      <c r="AA3285">
        <v>0.88161829999999997</v>
      </c>
      <c r="AB3285">
        <v>13</v>
      </c>
      <c r="AC3285">
        <v>-1.7499999999984001E-2</v>
      </c>
      <c r="AD3285">
        <v>-0.10639899999999899</v>
      </c>
      <c r="AE3285">
        <v>-0.87079999999997404</v>
      </c>
      <c r="AF3285">
        <v>-0.42324123746393699</v>
      </c>
      <c r="AG3285">
        <v>-0.10639899999999899</v>
      </c>
      <c r="AH3285">
        <v>0.74653946786146497</v>
      </c>
      <c r="AI3285">
        <v>97.067676075199799</v>
      </c>
      <c r="AJ3285">
        <v>119.550527810612</v>
      </c>
      <c r="AK3285">
        <v>0.86473988537934499</v>
      </c>
      <c r="AL3285">
        <v>93.488824398857503</v>
      </c>
      <c r="AM3285">
        <v>107.086117059039</v>
      </c>
      <c r="AN3285">
        <v>0.99999998112737598</v>
      </c>
    </row>
    <row r="3286" spans="1:40" x14ac:dyDescent="0.25">
      <c r="A3286" t="str">
        <f>"20190303154201824"</f>
        <v>20190303154201824</v>
      </c>
      <c r="B3286" t="str">
        <f>"1551598921813283"</f>
        <v>1551598921813283</v>
      </c>
      <c r="C3286" t="s">
        <v>40</v>
      </c>
      <c r="D3286">
        <v>5.8227379999999904</v>
      </c>
      <c r="E3286">
        <v>0.42901410000000001</v>
      </c>
      <c r="F3286" t="s">
        <v>42</v>
      </c>
      <c r="G3286">
        <v>-492.03410000000002</v>
      </c>
      <c r="H3286">
        <v>1.0175129999999999</v>
      </c>
      <c r="I3286">
        <v>275.6223</v>
      </c>
      <c r="J3286">
        <v>-492.02330000000001</v>
      </c>
      <c r="K3286">
        <v>1.1244970000000001</v>
      </c>
      <c r="L3286">
        <v>276.4898</v>
      </c>
      <c r="M3286">
        <v>-0.50550379999999995</v>
      </c>
      <c r="N3286">
        <v>-1.4662110000000001E-2</v>
      </c>
      <c r="O3286">
        <v>-0.86270000000000002</v>
      </c>
      <c r="P3286">
        <v>-0.22934479999999999</v>
      </c>
      <c r="Q3286">
        <v>-7.2523630000000006E-2</v>
      </c>
      <c r="R3286">
        <v>-0.97063980000000005</v>
      </c>
      <c r="S3286">
        <v>-0.14379879999999901</v>
      </c>
      <c r="T3286">
        <v>-0.34582970000000002</v>
      </c>
      <c r="U3286">
        <v>-3.033722</v>
      </c>
      <c r="V3286">
        <v>-0.29239300000000001</v>
      </c>
      <c r="W3286">
        <v>-6.0718500000000002E-2</v>
      </c>
      <c r="X3286">
        <v>0.95436869999999996</v>
      </c>
      <c r="Y3286">
        <v>-0.46360479999999998</v>
      </c>
      <c r="Z3286">
        <v>6.9204970000000005E-2</v>
      </c>
      <c r="AA3286">
        <v>0.88333530000000005</v>
      </c>
      <c r="AB3286">
        <v>13</v>
      </c>
      <c r="AC3286">
        <v>-1.08000000000174E-2</v>
      </c>
      <c r="AD3286">
        <v>-0.106983999999999</v>
      </c>
      <c r="AE3286">
        <v>-0.86750000000000604</v>
      </c>
      <c r="AF3286">
        <v>-0.42282375096811198</v>
      </c>
      <c r="AG3286">
        <v>-0.106983999999999</v>
      </c>
      <c r="AH3286">
        <v>0.74263959499495302</v>
      </c>
      <c r="AI3286">
        <v>97.135742569838996</v>
      </c>
      <c r="AJ3286">
        <v>119.655133393725</v>
      </c>
      <c r="AK3286">
        <v>0.86124274667076905</v>
      </c>
      <c r="AL3286">
        <v>93.4810549503988</v>
      </c>
      <c r="AM3286">
        <v>107.033661084736</v>
      </c>
      <c r="AN3286">
        <v>1.0000000091154699</v>
      </c>
    </row>
    <row r="3287" spans="1:40" x14ac:dyDescent="0.25">
      <c r="A3287" t="str">
        <f>"20190303154201836"</f>
        <v>20190303154201836</v>
      </c>
      <c r="B3287" t="str">
        <f>"1551598921832804"</f>
        <v>1551598921832804</v>
      </c>
      <c r="C3287" t="s">
        <v>40</v>
      </c>
      <c r="D3287">
        <v>5.8138399999999999</v>
      </c>
      <c r="E3287">
        <v>0.42974509999999999</v>
      </c>
      <c r="F3287" t="s">
        <v>42</v>
      </c>
      <c r="G3287">
        <v>-492.06450000000001</v>
      </c>
      <c r="H3287">
        <v>1.0178049999999901</v>
      </c>
      <c r="I3287">
        <v>275.55180000000001</v>
      </c>
      <c r="J3287">
        <v>-492.05180000000001</v>
      </c>
      <c r="K3287">
        <v>1.124484</v>
      </c>
      <c r="L3287">
        <v>276.4298</v>
      </c>
      <c r="M3287">
        <v>-0.50124950000000001</v>
      </c>
      <c r="N3287">
        <v>-1.462954E-2</v>
      </c>
      <c r="O3287">
        <v>-0.86517939999999904</v>
      </c>
      <c r="P3287">
        <v>-0.2250006</v>
      </c>
      <c r="Q3287">
        <v>-7.1582409999999999E-2</v>
      </c>
      <c r="R3287">
        <v>-0.97172599999999998</v>
      </c>
      <c r="S3287">
        <v>-0.133300799999999</v>
      </c>
      <c r="T3287">
        <v>-0.34505989999999997</v>
      </c>
      <c r="U3287">
        <v>-3.0334780000000001</v>
      </c>
      <c r="V3287">
        <v>-0.29200609999999999</v>
      </c>
      <c r="W3287">
        <v>-5.9795029999999999E-2</v>
      </c>
      <c r="X3287">
        <v>0.95454539999999999</v>
      </c>
      <c r="Y3287">
        <v>-0.46229700000000001</v>
      </c>
      <c r="Z3287">
        <v>6.9498870000000004E-2</v>
      </c>
      <c r="AA3287">
        <v>0.88399740000000004</v>
      </c>
      <c r="AB3287">
        <v>13</v>
      </c>
      <c r="AC3287">
        <v>-1.26999999999952E-2</v>
      </c>
      <c r="AD3287">
        <v>-0.106679</v>
      </c>
      <c r="AE3287">
        <v>-0.87799999999998501</v>
      </c>
      <c r="AF3287">
        <v>-0.42291303096092497</v>
      </c>
      <c r="AG3287">
        <v>-0.106679</v>
      </c>
      <c r="AH3287">
        <v>0.75493259161457704</v>
      </c>
      <c r="AI3287">
        <v>97.028116833273998</v>
      </c>
      <c r="AJ3287">
        <v>119.257537117407</v>
      </c>
      <c r="AK3287">
        <v>0.87187101034468295</v>
      </c>
      <c r="AL3287">
        <v>93.428047850152097</v>
      </c>
      <c r="AM3287">
        <v>107.009456766071</v>
      </c>
      <c r="AN3287">
        <v>0.99999996435553395</v>
      </c>
    </row>
    <row r="3288" spans="1:40" x14ac:dyDescent="0.25">
      <c r="A3288" t="str">
        <f>"20190303154201853"</f>
        <v>20190303154201853</v>
      </c>
      <c r="B3288" t="str">
        <f>"1551598921842563"</f>
        <v>1551598921842563</v>
      </c>
      <c r="C3288" t="s">
        <v>40</v>
      </c>
      <c r="D3288">
        <v>5.8381420000000004</v>
      </c>
      <c r="E3288">
        <v>0.43002420000000002</v>
      </c>
      <c r="F3288" t="s">
        <v>42</v>
      </c>
      <c r="G3288">
        <v>-492.09050000000002</v>
      </c>
      <c r="H3288">
        <v>1.019412</v>
      </c>
      <c r="I3288">
        <v>275.49329999999998</v>
      </c>
      <c r="J3288">
        <v>-492.09059999999999</v>
      </c>
      <c r="K3288">
        <v>1.124474</v>
      </c>
      <c r="L3288">
        <v>276.34679999999997</v>
      </c>
      <c r="M3288">
        <v>-0.495361</v>
      </c>
      <c r="N3288">
        <v>-1.4589329999999999E-2</v>
      </c>
      <c r="O3288">
        <v>-0.86856469999999897</v>
      </c>
      <c r="P3288">
        <v>-0.22025059999999999</v>
      </c>
      <c r="Q3288">
        <v>-7.0665290000000006E-2</v>
      </c>
      <c r="R3288">
        <v>-0.97288050000000004</v>
      </c>
      <c r="S3288">
        <v>-0.1254883</v>
      </c>
      <c r="T3288">
        <v>-0.34030529999999998</v>
      </c>
      <c r="U3288">
        <v>-3.0331730000000001</v>
      </c>
      <c r="V3288">
        <v>-0.29022890000000001</v>
      </c>
      <c r="W3288">
        <v>-5.8883699999999997E-2</v>
      </c>
      <c r="X3288">
        <v>0.95514390000000005</v>
      </c>
      <c r="Y3288">
        <v>-0.45856000000000002</v>
      </c>
      <c r="Z3288">
        <v>6.9058899999999895E-2</v>
      </c>
      <c r="AA3288">
        <v>0.88597610000000004</v>
      </c>
      <c r="AB3288">
        <v>13</v>
      </c>
      <c r="AC3288" s="1">
        <v>9.9999999974897906E-5</v>
      </c>
      <c r="AD3288">
        <v>-0.105062</v>
      </c>
      <c r="AE3288">
        <v>-0.85349999999999604</v>
      </c>
      <c r="AF3288">
        <v>-0.41660980042624302</v>
      </c>
      <c r="AG3288">
        <v>-0.105062</v>
      </c>
      <c r="AH3288">
        <v>0.73028371115389001</v>
      </c>
      <c r="AI3288">
        <v>97.122798839107602</v>
      </c>
      <c r="AJ3288">
        <v>119.703748577718</v>
      </c>
      <c r="AK3288">
        <v>0.84729926733822503</v>
      </c>
      <c r="AL3288">
        <v>93.375740233968202</v>
      </c>
      <c r="AM3288">
        <v>106.901866903449</v>
      </c>
      <c r="AN3288">
        <v>0.99999998711405502</v>
      </c>
    </row>
    <row r="3289" spans="1:40" x14ac:dyDescent="0.25">
      <c r="A3289" t="str">
        <f>"20190303154201876"</f>
        <v>20190303154201876</v>
      </c>
      <c r="B3289" t="str">
        <f>"1551598921863061"</f>
        <v>1551598921863061</v>
      </c>
      <c r="C3289" t="s">
        <v>40</v>
      </c>
      <c r="D3289">
        <v>5.8253199999999996</v>
      </c>
      <c r="E3289">
        <v>0.43083480000000002</v>
      </c>
      <c r="F3289" t="s">
        <v>41</v>
      </c>
      <c r="G3289">
        <v>-492.4665</v>
      </c>
      <c r="H3289" s="1">
        <v>-3.5017409999999999E-6</v>
      </c>
      <c r="I3289">
        <v>266.22199999999998</v>
      </c>
      <c r="J3289">
        <v>-492.14120000000003</v>
      </c>
      <c r="K3289">
        <v>1.1244529999999999</v>
      </c>
      <c r="L3289">
        <v>276.23649999999998</v>
      </c>
      <c r="M3289">
        <v>-0.48752600000000001</v>
      </c>
      <c r="N3289">
        <v>-1.45411E-2</v>
      </c>
      <c r="O3289">
        <v>-0.87298750000000003</v>
      </c>
      <c r="P3289">
        <v>-0.2135108</v>
      </c>
      <c r="Q3289">
        <v>-7.0521139999999996E-2</v>
      </c>
      <c r="R3289">
        <v>-0.97439209999999998</v>
      </c>
      <c r="S3289">
        <v>-0.1126099</v>
      </c>
      <c r="T3289">
        <v>-0.33691880000000002</v>
      </c>
      <c r="U3289">
        <v>-3.03363</v>
      </c>
      <c r="V3289">
        <v>-0.28825620000000002</v>
      </c>
      <c r="W3289">
        <v>-5.874886E-2</v>
      </c>
      <c r="X3289">
        <v>0.95574939999999997</v>
      </c>
      <c r="Y3289">
        <v>-0.45434150000000001</v>
      </c>
      <c r="Z3289">
        <v>6.9098179999999995E-2</v>
      </c>
      <c r="AA3289">
        <v>0.88814369999999998</v>
      </c>
      <c r="AB3289">
        <v>13</v>
      </c>
      <c r="AC3289">
        <v>-0.32529999999997</v>
      </c>
      <c r="AD3289">
        <v>-1.124456501741</v>
      </c>
      <c r="AE3289">
        <v>-10.0144999999999</v>
      </c>
      <c r="AF3289">
        <v>-4.5416340021749697</v>
      </c>
      <c r="AG3289">
        <v>-1.124456501741</v>
      </c>
      <c r="AH3289">
        <v>8.7913462299149501</v>
      </c>
      <c r="AI3289">
        <v>96.483110317669102</v>
      </c>
      <c r="AJ3289">
        <v>117.321002555191</v>
      </c>
      <c r="AK3289">
        <v>9.9588458351487308</v>
      </c>
      <c r="AL3289">
        <v>93.368001061703794</v>
      </c>
      <c r="AM3289">
        <v>106.78343089389099</v>
      </c>
      <c r="AN3289">
        <v>0.99999999049504895</v>
      </c>
    </row>
    <row r="3290" spans="1:40" x14ac:dyDescent="0.25">
      <c r="A3290" t="str">
        <f>"20190303154201898"</f>
        <v>20190303154201898</v>
      </c>
      <c r="B3290" t="str">
        <f>"1551598921893316"</f>
        <v>1551598921893316</v>
      </c>
      <c r="C3290" t="s">
        <v>40</v>
      </c>
      <c r="D3290">
        <v>5.948067</v>
      </c>
      <c r="E3290">
        <v>0.43741750000000001</v>
      </c>
      <c r="F3290" t="s">
        <v>42</v>
      </c>
      <c r="G3290">
        <v>-492.17259999999999</v>
      </c>
      <c r="H3290">
        <v>1.0177400000000001</v>
      </c>
      <c r="I3290">
        <v>275.27620000000002</v>
      </c>
      <c r="J3290">
        <v>-492.18950000000001</v>
      </c>
      <c r="K3290">
        <v>1.1244289999999999</v>
      </c>
      <c r="L3290">
        <v>276.1284</v>
      </c>
      <c r="M3290">
        <v>-0.47984110000000002</v>
      </c>
      <c r="N3290">
        <v>-1.449985E-2</v>
      </c>
      <c r="O3290">
        <v>-0.87723569999999995</v>
      </c>
      <c r="P3290">
        <v>-0.207014</v>
      </c>
      <c r="Q3290">
        <v>-7.0814219999999997E-2</v>
      </c>
      <c r="R3290">
        <v>-0.97577230000000004</v>
      </c>
      <c r="S3290">
        <v>-9.8449709999999996E-2</v>
      </c>
      <c r="T3290">
        <v>-0.33691969999999999</v>
      </c>
      <c r="U3290">
        <v>-3.0328979999999999</v>
      </c>
      <c r="V3290">
        <v>-0.28622160000000002</v>
      </c>
      <c r="W3290">
        <v>-5.9045779999999999E-2</v>
      </c>
      <c r="X3290">
        <v>0.95634240000000004</v>
      </c>
      <c r="Y3290">
        <v>-0.45066270000000003</v>
      </c>
      <c r="Z3290">
        <v>6.9939899999999902E-2</v>
      </c>
      <c r="AA3290">
        <v>0.88995029999999997</v>
      </c>
      <c r="AB3290">
        <v>13</v>
      </c>
      <c r="AC3290">
        <v>1.6900000000020999E-2</v>
      </c>
      <c r="AD3290">
        <v>-0.10668900000000001</v>
      </c>
      <c r="AE3290">
        <v>-0.85219999999998197</v>
      </c>
      <c r="AF3290">
        <v>-0.417253277252432</v>
      </c>
      <c r="AG3290">
        <v>-0.10668900000000001</v>
      </c>
      <c r="AH3290">
        <v>0.72814084959108105</v>
      </c>
      <c r="AI3290">
        <v>97.245081514868403</v>
      </c>
      <c r="AJ3290">
        <v>119.81440124465</v>
      </c>
      <c r="AK3290">
        <v>0.84597395760278404</v>
      </c>
      <c r="AL3290">
        <v>93.385042885784699</v>
      </c>
      <c r="AM3290">
        <v>106.66179944098199</v>
      </c>
      <c r="AN3290">
        <v>0.99999999724006405</v>
      </c>
    </row>
    <row r="3291" spans="1:40" x14ac:dyDescent="0.25">
      <c r="A3291" t="str">
        <f>"20190303154201910"</f>
        <v>20190303154201910</v>
      </c>
      <c r="B3291" t="str">
        <f>"1551598921903075"</f>
        <v>1551598921903075</v>
      </c>
      <c r="C3291" t="s">
        <v>40</v>
      </c>
      <c r="D3291">
        <v>5.9443519999999896</v>
      </c>
      <c r="E3291">
        <v>0.43761480000000003</v>
      </c>
      <c r="F3291" t="s">
        <v>41</v>
      </c>
      <c r="G3291">
        <v>-492.6103</v>
      </c>
      <c r="H3291" s="1">
        <v>-3.5744419999999999E-6</v>
      </c>
      <c r="I3291">
        <v>266.3023</v>
      </c>
      <c r="J3291">
        <v>-492.21899999999999</v>
      </c>
      <c r="K3291">
        <v>1.124417</v>
      </c>
      <c r="L3291">
        <v>276.06110000000001</v>
      </c>
      <c r="M3291">
        <v>-0.47505130000000001</v>
      </c>
      <c r="N3291">
        <v>-1.4476579999999999E-2</v>
      </c>
      <c r="O3291">
        <v>-0.87983889999999998</v>
      </c>
      <c r="P3291">
        <v>-0.2026241</v>
      </c>
      <c r="Q3291">
        <v>-7.0809220000000006E-2</v>
      </c>
      <c r="R3291">
        <v>-0.97669300000000003</v>
      </c>
      <c r="S3291">
        <v>-0.1293945</v>
      </c>
      <c r="T3291">
        <v>-0.345804</v>
      </c>
      <c r="U3291">
        <v>-3.0219119999999999</v>
      </c>
      <c r="V3291">
        <v>-0.28531040000000002</v>
      </c>
      <c r="W3291">
        <v>-5.9045439999999998E-2</v>
      </c>
      <c r="X3291">
        <v>0.95661470000000004</v>
      </c>
      <c r="Y3291">
        <v>-0.4365579</v>
      </c>
      <c r="Z3291">
        <v>7.334881E-2</v>
      </c>
      <c r="AA3291">
        <v>0.89668119999999996</v>
      </c>
      <c r="AB3291">
        <v>12</v>
      </c>
      <c r="AC3291">
        <v>-0.39130000000000098</v>
      </c>
      <c r="AD3291">
        <v>-1.1244205744419999</v>
      </c>
      <c r="AE3291">
        <v>-9.7588000000000008</v>
      </c>
      <c r="AF3291">
        <v>-4.2359539415912</v>
      </c>
      <c r="AG3291">
        <v>-1.1244205744419999</v>
      </c>
      <c r="AH3291">
        <v>8.6582183133032196</v>
      </c>
      <c r="AI3291">
        <v>96.653746633434096</v>
      </c>
      <c r="AJ3291">
        <v>116.069768048225</v>
      </c>
      <c r="AK3291">
        <v>9.70424503937992</v>
      </c>
      <c r="AL3291">
        <v>93.385023238817894</v>
      </c>
      <c r="AM3291">
        <v>106.607214963498</v>
      </c>
      <c r="AN3291">
        <v>1.0000000362945201</v>
      </c>
    </row>
    <row r="3292" spans="1:40" x14ac:dyDescent="0.25">
      <c r="A3292" t="str">
        <f>"20190303154201922"</f>
        <v>20190303154201922</v>
      </c>
      <c r="B3292" t="str">
        <f>"1551598921912837"</f>
        <v>1551598921912837</v>
      </c>
      <c r="C3292" t="s">
        <v>40</v>
      </c>
      <c r="D3292">
        <v>5.9342040000000003</v>
      </c>
      <c r="E3292">
        <v>0.43814249999999999</v>
      </c>
      <c r="F3292" t="s">
        <v>41</v>
      </c>
      <c r="G3292">
        <v>-492.59649999999999</v>
      </c>
      <c r="H3292" s="1">
        <v>-3.5668770000000001E-6</v>
      </c>
      <c r="I3292">
        <v>266.29320000000001</v>
      </c>
      <c r="J3292">
        <v>-492.24270000000001</v>
      </c>
      <c r="K3292">
        <v>1.1244080000000001</v>
      </c>
      <c r="L3292">
        <v>276.00630000000001</v>
      </c>
      <c r="M3292">
        <v>-0.47115309999999999</v>
      </c>
      <c r="N3292">
        <v>-1.445889E-2</v>
      </c>
      <c r="O3292">
        <v>-0.88193299999999997</v>
      </c>
      <c r="P3292">
        <v>-0.1992187</v>
      </c>
      <c r="Q3292">
        <v>-7.0386089999999998E-2</v>
      </c>
      <c r="R3292">
        <v>-0.97742430000000002</v>
      </c>
      <c r="S3292">
        <v>-0.1167908</v>
      </c>
      <c r="T3292">
        <v>-0.34788419999999998</v>
      </c>
      <c r="U3292">
        <v>-3.0220950000000002</v>
      </c>
      <c r="V3292">
        <v>-0.28443059999999998</v>
      </c>
      <c r="W3292">
        <v>-5.8623149999999999E-2</v>
      </c>
      <c r="X3292">
        <v>0.95690260000000005</v>
      </c>
      <c r="Y3292">
        <v>-0.43631320000000001</v>
      </c>
      <c r="Z3292">
        <v>7.4229740000000002E-2</v>
      </c>
      <c r="AA3292">
        <v>0.89672779999999996</v>
      </c>
      <c r="AB3292">
        <v>12</v>
      </c>
      <c r="AC3292">
        <v>-0.35379999999997802</v>
      </c>
      <c r="AD3292">
        <v>-1.1244115668770001</v>
      </c>
      <c r="AE3292">
        <v>-9.7130999999999901</v>
      </c>
      <c r="AF3292">
        <v>-4.2084524022789198</v>
      </c>
      <c r="AG3292">
        <v>-1.1244115668770001</v>
      </c>
      <c r="AH3292">
        <v>8.6185661158322109</v>
      </c>
      <c r="AI3292">
        <v>96.686486658475403</v>
      </c>
      <c r="AJ3292">
        <v>116.02629218856799</v>
      </c>
      <c r="AK3292">
        <v>9.6568656864919191</v>
      </c>
      <c r="AL3292">
        <v>93.360785898503494</v>
      </c>
      <c r="AM3292">
        <v>106.554102960732</v>
      </c>
      <c r="AN3292">
        <v>1.0000000129095199</v>
      </c>
    </row>
    <row r="3293" spans="1:40" x14ac:dyDescent="0.25">
      <c r="A3293" t="str">
        <f>"20190303154201943"</f>
        <v>20190303154201943</v>
      </c>
      <c r="B3293" t="str">
        <f>"1551598921933331"</f>
        <v>1551598921933331</v>
      </c>
      <c r="C3293" t="s">
        <v>40</v>
      </c>
      <c r="D3293">
        <v>5.9804130000000004</v>
      </c>
      <c r="E3293">
        <v>0.43878220000000001</v>
      </c>
      <c r="F3293" t="s">
        <v>41</v>
      </c>
      <c r="G3293">
        <v>-492.59960000000001</v>
      </c>
      <c r="H3293" s="1">
        <v>-3.5360769999999999E-6</v>
      </c>
      <c r="I3293">
        <v>266.21940000000001</v>
      </c>
      <c r="J3293">
        <v>-492.28530000000001</v>
      </c>
      <c r="K3293">
        <v>1.124396</v>
      </c>
      <c r="L3293">
        <v>275.90629999999999</v>
      </c>
      <c r="M3293">
        <v>-0.46402890000000002</v>
      </c>
      <c r="N3293">
        <v>-1.4429249999999999E-2</v>
      </c>
      <c r="O3293">
        <v>-0.88570260000000001</v>
      </c>
      <c r="P3293">
        <v>-0.19239719999999999</v>
      </c>
      <c r="Q3293">
        <v>-6.9319779999999998E-2</v>
      </c>
      <c r="R3293">
        <v>-0.97886569999999995</v>
      </c>
      <c r="S3293">
        <v>-0.11019900000000001</v>
      </c>
      <c r="T3293">
        <v>-0.3471783</v>
      </c>
      <c r="U3293">
        <v>-3.0218509999999998</v>
      </c>
      <c r="V3293">
        <v>-0.28343629999999997</v>
      </c>
      <c r="W3293">
        <v>-5.7563059999999999E-2</v>
      </c>
      <c r="X3293">
        <v>0.9572619</v>
      </c>
      <c r="Y3293">
        <v>-0.43102119999999999</v>
      </c>
      <c r="Z3293">
        <v>7.4864570000000005E-2</v>
      </c>
      <c r="AA3293">
        <v>0.8992308</v>
      </c>
      <c r="AB3293">
        <v>12</v>
      </c>
      <c r="AC3293">
        <v>-0.31430000000000202</v>
      </c>
      <c r="AD3293">
        <v>-1.1243995360770001</v>
      </c>
      <c r="AE3293">
        <v>-9.6868999999999801</v>
      </c>
      <c r="AF3293">
        <v>-4.1610600431256097</v>
      </c>
      <c r="AG3293">
        <v>-1.1243995360770001</v>
      </c>
      <c r="AH3293">
        <v>8.6105745283174695</v>
      </c>
      <c r="AI3293">
        <v>96.705742822509393</v>
      </c>
      <c r="AJ3293">
        <v>115.79215537646</v>
      </c>
      <c r="AK3293">
        <v>9.6291582553687594</v>
      </c>
      <c r="AL3293">
        <v>93.299944526379207</v>
      </c>
      <c r="AM3293">
        <v>106.493529143659</v>
      </c>
      <c r="AN3293">
        <v>0.99999999361293102</v>
      </c>
    </row>
    <row r="3294" spans="1:40" x14ac:dyDescent="0.25">
      <c r="A3294" t="str">
        <f>"20190303154201953"</f>
        <v>20190303154201953</v>
      </c>
      <c r="B3294" t="str">
        <f>"1551598921943092"</f>
        <v>1551598921943092</v>
      </c>
      <c r="C3294" t="s">
        <v>40</v>
      </c>
      <c r="D3294">
        <v>5.9978439999999997</v>
      </c>
      <c r="E3294">
        <v>0.43883369999999999</v>
      </c>
      <c r="F3294" t="s">
        <v>41</v>
      </c>
      <c r="G3294">
        <v>-492.589</v>
      </c>
      <c r="H3294" s="1">
        <v>-3.5046420000000002E-6</v>
      </c>
      <c r="I3294">
        <v>266.15280000000001</v>
      </c>
      <c r="J3294">
        <v>-492.31029999999998</v>
      </c>
      <c r="K3294">
        <v>1.1243860000000001</v>
      </c>
      <c r="L3294">
        <v>275.8467</v>
      </c>
      <c r="M3294">
        <v>-0.45977459999999998</v>
      </c>
      <c r="N3294">
        <v>-1.4412919999999999E-2</v>
      </c>
      <c r="O3294">
        <v>-0.88791880000000001</v>
      </c>
      <c r="P3294">
        <v>-0.18823719999999999</v>
      </c>
      <c r="Q3294">
        <v>-6.8793320000000005E-2</v>
      </c>
      <c r="R3294">
        <v>-0.97971149999999996</v>
      </c>
      <c r="S3294">
        <v>-9.408569E-2</v>
      </c>
      <c r="T3294">
        <v>-0.34833920000000002</v>
      </c>
      <c r="U3294">
        <v>-3.0216370000000001</v>
      </c>
      <c r="V3294">
        <v>-0.28293309999999999</v>
      </c>
      <c r="W3294">
        <v>-5.7040239999999999E-2</v>
      </c>
      <c r="X3294">
        <v>0.95744200000000002</v>
      </c>
      <c r="Y3294">
        <v>-0.43148039999999999</v>
      </c>
      <c r="Z3294">
        <v>7.5527209999999997E-2</v>
      </c>
      <c r="AA3294">
        <v>0.89895509999999901</v>
      </c>
      <c r="AB3294">
        <v>12</v>
      </c>
      <c r="AC3294">
        <v>-0.27870000000001399</v>
      </c>
      <c r="AD3294">
        <v>-1.124389504642</v>
      </c>
      <c r="AE3294">
        <v>-9.6938999999999798</v>
      </c>
      <c r="AF3294">
        <v>-4.1541411425727901</v>
      </c>
      <c r="AG3294">
        <v>-1.124389504642</v>
      </c>
      <c r="AH3294">
        <v>8.6205605328661807</v>
      </c>
      <c r="AI3294">
        <v>96.701526618793693</v>
      </c>
      <c r="AJ3294">
        <v>115.728840100648</v>
      </c>
      <c r="AK3294">
        <v>9.6351027130682496</v>
      </c>
      <c r="AL3294">
        <v>93.269939970100694</v>
      </c>
      <c r="AM3294">
        <v>106.462904769416</v>
      </c>
      <c r="AN3294">
        <v>0.99999995570943201</v>
      </c>
    </row>
    <row r="3295" spans="1:40" x14ac:dyDescent="0.25">
      <c r="A3295" t="str">
        <f>"20190303154201967"</f>
        <v>20190303154201967</v>
      </c>
      <c r="B3295" t="str">
        <f>"1551598921962612"</f>
        <v>1551598921962612</v>
      </c>
      <c r="C3295" t="s">
        <v>40</v>
      </c>
      <c r="D3295">
        <v>5.9946679999999999</v>
      </c>
      <c r="E3295">
        <v>0.43941859999999999</v>
      </c>
      <c r="F3295" t="s">
        <v>41</v>
      </c>
      <c r="G3295">
        <v>-492.57339999999999</v>
      </c>
      <c r="H3295" s="1">
        <v>-3.4837109999999999E-6</v>
      </c>
      <c r="I3295">
        <v>266.11360000000002</v>
      </c>
      <c r="J3295">
        <v>-492.3356</v>
      </c>
      <c r="K3295">
        <v>1.124377</v>
      </c>
      <c r="L3295">
        <v>275.78489999999999</v>
      </c>
      <c r="M3295">
        <v>-0.45537</v>
      </c>
      <c r="N3295">
        <v>-1.4397429999999999E-2</v>
      </c>
      <c r="O3295">
        <v>-0.89018600000000003</v>
      </c>
      <c r="P3295">
        <v>-0.18365400000000001</v>
      </c>
      <c r="Q3295">
        <v>-6.8544649999999999E-2</v>
      </c>
      <c r="R3295">
        <v>-0.98059859999999999</v>
      </c>
      <c r="S3295">
        <v>-8.169556E-2</v>
      </c>
      <c r="T3295">
        <v>-0.34910049999999998</v>
      </c>
      <c r="U3295">
        <v>-3.0219119999999999</v>
      </c>
      <c r="V3295">
        <v>-0.28267720000000002</v>
      </c>
      <c r="W3295">
        <v>-5.6797390000000003E-2</v>
      </c>
      <c r="X3295">
        <v>0.95753200000000005</v>
      </c>
      <c r="Y3295">
        <v>-0.43070000000000003</v>
      </c>
      <c r="Z3295">
        <v>7.6121720000000004E-2</v>
      </c>
      <c r="AA3295">
        <v>0.89927919999999995</v>
      </c>
      <c r="AB3295">
        <v>12</v>
      </c>
      <c r="AC3295">
        <v>-0.23779999999999199</v>
      </c>
      <c r="AD3295">
        <v>-1.1243804837110001</v>
      </c>
      <c r="AE3295">
        <v>-9.6712999999999703</v>
      </c>
      <c r="AF3295">
        <v>-4.1368862356494702</v>
      </c>
      <c r="AG3295">
        <v>-1.1243804837110001</v>
      </c>
      <c r="AH3295">
        <v>8.6022454376997892</v>
      </c>
      <c r="AI3295">
        <v>96.718160097522201</v>
      </c>
      <c r="AJ3295">
        <v>115.683260435693</v>
      </c>
      <c r="AK3295">
        <v>9.6112790912179396</v>
      </c>
      <c r="AL3295">
        <v>93.256003156162393</v>
      </c>
      <c r="AM3295">
        <v>106.447357414225</v>
      </c>
      <c r="AN3295">
        <v>0.99999993696732403</v>
      </c>
    </row>
    <row r="3296" spans="1:40" x14ac:dyDescent="0.25">
      <c r="A3296" t="str">
        <f>"20190303154201979"</f>
        <v>20190303154201979</v>
      </c>
      <c r="B3296" t="str">
        <f>"1551598921973348"</f>
        <v>1551598921973348</v>
      </c>
      <c r="C3296" t="s">
        <v>40</v>
      </c>
      <c r="D3296">
        <v>6.0292700000000004</v>
      </c>
      <c r="E3296">
        <v>0.4397607</v>
      </c>
      <c r="F3296" t="s">
        <v>41</v>
      </c>
      <c r="G3296">
        <v>-492.56610000000001</v>
      </c>
      <c r="H3296" s="1">
        <v>-3.4936809999999998E-6</v>
      </c>
      <c r="I3296">
        <v>266.14139999999998</v>
      </c>
      <c r="J3296">
        <v>-492.36020000000002</v>
      </c>
      <c r="K3296">
        <v>1.1243609999999999</v>
      </c>
      <c r="L3296">
        <v>275.72469999999998</v>
      </c>
      <c r="M3296">
        <v>-0.45106869999999999</v>
      </c>
      <c r="N3296">
        <v>-1.438291E-2</v>
      </c>
      <c r="O3296">
        <v>-0.89237339999999998</v>
      </c>
      <c r="P3296">
        <v>-0.1796181</v>
      </c>
      <c r="Q3296">
        <v>-6.8690899999999999E-2</v>
      </c>
      <c r="R3296">
        <v>-0.98133519999999996</v>
      </c>
      <c r="S3296">
        <v>-7.2204589999999999E-2</v>
      </c>
      <c r="T3296">
        <v>-0.35225329999999999</v>
      </c>
      <c r="U3296">
        <v>-3.0211790000000001</v>
      </c>
      <c r="V3296">
        <v>-0.2819913</v>
      </c>
      <c r="W3296">
        <v>-5.6944210000000002E-2</v>
      </c>
      <c r="X3296">
        <v>0.95772559999999995</v>
      </c>
      <c r="Y3296">
        <v>-0.42916290000000001</v>
      </c>
      <c r="Z3296">
        <v>7.7372910000000003E-2</v>
      </c>
      <c r="AA3296">
        <v>0.89990709999999996</v>
      </c>
      <c r="AB3296">
        <v>12</v>
      </c>
      <c r="AC3296">
        <v>-0.20589999999998501</v>
      </c>
      <c r="AD3296">
        <v>-1.124364493681</v>
      </c>
      <c r="AE3296">
        <v>-9.5832999999999995</v>
      </c>
      <c r="AF3296">
        <v>-4.0832341080583596</v>
      </c>
      <c r="AG3296">
        <v>-1.124364493681</v>
      </c>
      <c r="AH3296">
        <v>8.5283106540002098</v>
      </c>
      <c r="AI3296">
        <v>96.781325298873995</v>
      </c>
      <c r="AJ3296">
        <v>115.584438026713</v>
      </c>
      <c r="AK3296">
        <v>9.5220312385013308</v>
      </c>
      <c r="AL3296">
        <v>93.264428653795903</v>
      </c>
      <c r="AM3296">
        <v>106.406459328878</v>
      </c>
      <c r="AN3296">
        <v>1.00000003061178</v>
      </c>
    </row>
    <row r="3297" spans="1:40" x14ac:dyDescent="0.25">
      <c r="A3297" t="str">
        <f>"20190303154201998"</f>
        <v>20190303154201998</v>
      </c>
      <c r="B3297" t="str">
        <f>"1551598921992868"</f>
        <v>1551598921992868</v>
      </c>
      <c r="C3297" t="s">
        <v>40</v>
      </c>
      <c r="D3297">
        <v>6.0232489999999999</v>
      </c>
      <c r="E3297">
        <v>0.44018869999999999</v>
      </c>
      <c r="F3297" t="s">
        <v>41</v>
      </c>
      <c r="G3297">
        <v>-492.55720000000002</v>
      </c>
      <c r="H3297" s="1">
        <v>-3.497417E-6</v>
      </c>
      <c r="I3297">
        <v>266.15559999999999</v>
      </c>
      <c r="J3297">
        <v>-492.39859999999999</v>
      </c>
      <c r="K3297">
        <v>1.124344</v>
      </c>
      <c r="L3297">
        <v>275.62860000000001</v>
      </c>
      <c r="M3297">
        <v>-0.44420720000000002</v>
      </c>
      <c r="N3297">
        <v>-1.43617E-2</v>
      </c>
      <c r="O3297">
        <v>-0.89580910000000002</v>
      </c>
      <c r="P3297">
        <v>-0.1732361</v>
      </c>
      <c r="Q3297">
        <v>-6.8842990000000007E-2</v>
      </c>
      <c r="R3297">
        <v>-0.98247169999999895</v>
      </c>
      <c r="S3297">
        <v>-6.2194819999999998E-2</v>
      </c>
      <c r="T3297">
        <v>-0.35494710000000002</v>
      </c>
      <c r="U3297">
        <v>-3.020813</v>
      </c>
      <c r="V3297">
        <v>-0.28086299999999997</v>
      </c>
      <c r="W3297">
        <v>-5.7094890000000002E-2</v>
      </c>
      <c r="X3297">
        <v>0.95804809999999996</v>
      </c>
      <c r="Y3297">
        <v>-0.42521379999999998</v>
      </c>
      <c r="Z3297">
        <v>7.8791349999999996E-2</v>
      </c>
      <c r="AA3297">
        <v>0.90165689999999998</v>
      </c>
      <c r="AB3297">
        <v>12</v>
      </c>
      <c r="AC3297">
        <v>-0.15860000000003499</v>
      </c>
      <c r="AD3297">
        <v>-1.124347497417</v>
      </c>
      <c r="AE3297">
        <v>-9.4730000000000096</v>
      </c>
      <c r="AF3297">
        <v>-4.0098465176109501</v>
      </c>
      <c r="AG3297">
        <v>-1.124347497417</v>
      </c>
      <c r="AH3297">
        <v>8.4384906360930891</v>
      </c>
      <c r="AI3297">
        <v>96.862223675357995</v>
      </c>
      <c r="AJ3297">
        <v>115.416378895885</v>
      </c>
      <c r="AK3297">
        <v>9.41016209239646</v>
      </c>
      <c r="AL3297">
        <v>93.273076129139497</v>
      </c>
      <c r="AM3297">
        <v>106.33911584036601</v>
      </c>
      <c r="AN3297">
        <v>1.0000000065733601</v>
      </c>
    </row>
    <row r="3298" spans="1:40" x14ac:dyDescent="0.25">
      <c r="A3298" t="str">
        <f>"20190303154202013"</f>
        <v>20190303154202013</v>
      </c>
      <c r="B3298" t="str">
        <f>"1551598922002628"</f>
        <v>1551598922002628</v>
      </c>
      <c r="C3298" t="s">
        <v>40</v>
      </c>
      <c r="D3298">
        <v>6.0370269999999904</v>
      </c>
      <c r="E3298">
        <v>0.44586100000000001</v>
      </c>
      <c r="F3298" t="s">
        <v>41</v>
      </c>
      <c r="G3298">
        <v>-492.54219999999998</v>
      </c>
      <c r="H3298" s="1">
        <v>-3.4674469999999999E-6</v>
      </c>
      <c r="I3298">
        <v>266.0951</v>
      </c>
      <c r="J3298">
        <v>-492.4289</v>
      </c>
      <c r="K3298">
        <v>1.1243270000000001</v>
      </c>
      <c r="L3298">
        <v>275.55110000000002</v>
      </c>
      <c r="M3298">
        <v>-0.43866739999999999</v>
      </c>
      <c r="N3298">
        <v>-1.434593E-2</v>
      </c>
      <c r="O3298">
        <v>-0.89853499999999997</v>
      </c>
      <c r="P3298">
        <v>-0.16758419999999999</v>
      </c>
      <c r="Q3298">
        <v>-6.9360409999999997E-2</v>
      </c>
      <c r="R3298">
        <v>-0.98341509999999999</v>
      </c>
      <c r="S3298">
        <v>-4.5501710000000001E-2</v>
      </c>
      <c r="T3298">
        <v>-0.35623159999999998</v>
      </c>
      <c r="U3298">
        <v>-3.0205380000000002</v>
      </c>
      <c r="V3298">
        <v>-0.28043839999999998</v>
      </c>
      <c r="W3298">
        <v>-5.7615850000000003E-2</v>
      </c>
      <c r="X3298">
        <v>0.95814129999999997</v>
      </c>
      <c r="Y3298">
        <v>-0.42460769999999998</v>
      </c>
      <c r="Z3298">
        <v>7.9619410000000002E-2</v>
      </c>
      <c r="AA3298">
        <v>0.90186980000000005</v>
      </c>
      <c r="AB3298">
        <v>12</v>
      </c>
      <c r="AC3298">
        <v>-0.113299999999981</v>
      </c>
      <c r="AD3298">
        <v>-1.124330467447</v>
      </c>
      <c r="AE3298">
        <v>-9.4560000000000102</v>
      </c>
      <c r="AF3298">
        <v>-3.9902471959288102</v>
      </c>
      <c r="AG3298">
        <v>-1.124330467447</v>
      </c>
      <c r="AH3298">
        <v>8.4279936056932705</v>
      </c>
      <c r="AI3298">
        <v>96.875155336366802</v>
      </c>
      <c r="AJ3298">
        <v>115.335290518759</v>
      </c>
      <c r="AK3298">
        <v>9.3924047986792996</v>
      </c>
      <c r="AL3298">
        <v>93.302974122898306</v>
      </c>
      <c r="AM3298">
        <v>106.31422697297999</v>
      </c>
      <c r="AN3298">
        <v>1.0000000165657299</v>
      </c>
    </row>
    <row r="3299" spans="1:40" x14ac:dyDescent="0.25">
      <c r="A3299" t="str">
        <f>"20190303154202025"</f>
        <v>20190303154202025</v>
      </c>
      <c r="B3299" t="str">
        <f>"1551598922013365"</f>
        <v>1551598922013365</v>
      </c>
      <c r="C3299" t="s">
        <v>40</v>
      </c>
      <c r="D3299">
        <v>5.988429</v>
      </c>
      <c r="E3299">
        <v>0.44607400000000003</v>
      </c>
      <c r="F3299" t="s">
        <v>41</v>
      </c>
      <c r="G3299">
        <v>-492.64600000000002</v>
      </c>
      <c r="H3299" s="1">
        <v>-3.689983E-6</v>
      </c>
      <c r="I3299">
        <v>266.54939999999999</v>
      </c>
      <c r="J3299">
        <v>-492.45089999999999</v>
      </c>
      <c r="K3299">
        <v>1.124314</v>
      </c>
      <c r="L3299">
        <v>275.49360000000001</v>
      </c>
      <c r="M3299">
        <v>-0.43455589999999999</v>
      </c>
      <c r="N3299">
        <v>-1.433505E-2</v>
      </c>
      <c r="O3299">
        <v>-0.90053090000000002</v>
      </c>
      <c r="P3299">
        <v>-0.16344069999999999</v>
      </c>
      <c r="Q3299">
        <v>-6.9657449999999996E-2</v>
      </c>
      <c r="R3299">
        <v>-0.98409120000000005</v>
      </c>
      <c r="S3299">
        <v>-7.2631840000000003E-2</v>
      </c>
      <c r="T3299">
        <v>-0.3761661</v>
      </c>
      <c r="U3299">
        <v>-3.0116879999999999</v>
      </c>
      <c r="V3299">
        <v>-0.280084</v>
      </c>
      <c r="W3299">
        <v>-5.7914239999999999E-2</v>
      </c>
      <c r="X3299">
        <v>0.95822700000000005</v>
      </c>
      <c r="Y3299">
        <v>-0.41227140000000001</v>
      </c>
      <c r="Z3299">
        <v>8.5860110000000003E-2</v>
      </c>
      <c r="AA3299">
        <v>0.90700630000000004</v>
      </c>
      <c r="AB3299">
        <v>12</v>
      </c>
      <c r="AC3299">
        <v>-0.19509999999996799</v>
      </c>
      <c r="AD3299">
        <v>-1.1243176899830001</v>
      </c>
      <c r="AE3299">
        <v>-8.9442000000000199</v>
      </c>
      <c r="AF3299">
        <v>-3.65373562510718</v>
      </c>
      <c r="AG3299">
        <v>-1.1243176899830001</v>
      </c>
      <c r="AH3299">
        <v>8.01358040240574</v>
      </c>
      <c r="AI3299">
        <v>97.274945969951602</v>
      </c>
      <c r="AJ3299">
        <v>114.510280514719</v>
      </c>
      <c r="AK3299">
        <v>8.8787017717686307</v>
      </c>
      <c r="AL3299">
        <v>93.320099111548899</v>
      </c>
      <c r="AM3299">
        <v>106.293324546706</v>
      </c>
      <c r="AN3299">
        <v>1.00000004488988</v>
      </c>
    </row>
    <row r="3300" spans="1:40" x14ac:dyDescent="0.25">
      <c r="A3300" t="str">
        <f>"20190303154202037"</f>
        <v>20190303154202037</v>
      </c>
      <c r="B3300" t="str">
        <f>"1551598922032884"</f>
        <v>1551598922032884</v>
      </c>
      <c r="C3300" t="s">
        <v>40</v>
      </c>
      <c r="D3300">
        <v>6.0393220000000003</v>
      </c>
      <c r="E3300">
        <v>0.44676670000000002</v>
      </c>
      <c r="F3300" t="s">
        <v>41</v>
      </c>
      <c r="G3300">
        <v>-492.63319999999999</v>
      </c>
      <c r="H3300" s="1">
        <v>-3.680172E-6</v>
      </c>
      <c r="I3300">
        <v>266.53449999999998</v>
      </c>
      <c r="J3300">
        <v>-492.4742</v>
      </c>
      <c r="K3300">
        <v>1.124301</v>
      </c>
      <c r="L3300">
        <v>275.43259999999998</v>
      </c>
      <c r="M3300">
        <v>-0.4301816</v>
      </c>
      <c r="N3300">
        <v>-1.4323860000000001E-2</v>
      </c>
      <c r="O3300">
        <v>-0.90262889999999996</v>
      </c>
      <c r="P3300">
        <v>-0.1595993</v>
      </c>
      <c r="Q3300">
        <v>-6.9738839999999996E-2</v>
      </c>
      <c r="R3300">
        <v>-0.98471580000000003</v>
      </c>
      <c r="S3300">
        <v>-6.1279300000000002E-2</v>
      </c>
      <c r="T3300">
        <v>-0.37793769999999999</v>
      </c>
      <c r="U3300">
        <v>-3.0115970000000001</v>
      </c>
      <c r="V3300">
        <v>-0.27917340000000002</v>
      </c>
      <c r="W3300">
        <v>-5.7990460000000001E-2</v>
      </c>
      <c r="X3300">
        <v>0.95848800000000001</v>
      </c>
      <c r="Y3300">
        <v>-0.41127010000000003</v>
      </c>
      <c r="Z3300">
        <v>8.6743290000000001E-2</v>
      </c>
      <c r="AA3300">
        <v>0.90737670000000004</v>
      </c>
      <c r="AB3300">
        <v>12</v>
      </c>
      <c r="AC3300">
        <v>-0.15899999999999101</v>
      </c>
      <c r="AD3300">
        <v>-1.124304680172</v>
      </c>
      <c r="AE3300">
        <v>-8.8980999999999995</v>
      </c>
      <c r="AF3300">
        <v>-3.6267747552730598</v>
      </c>
      <c r="AG3300">
        <v>-1.124304680172</v>
      </c>
      <c r="AH3300">
        <v>7.97365087231631</v>
      </c>
      <c r="AI3300">
        <v>97.313895364830202</v>
      </c>
      <c r="AJ3300">
        <v>114.458174216199</v>
      </c>
      <c r="AK3300">
        <v>8.8315720216127591</v>
      </c>
      <c r="AL3300">
        <v>93.324473818673795</v>
      </c>
      <c r="AM3300">
        <v>106.238959431686</v>
      </c>
      <c r="AN3300">
        <v>0.99999996343128505</v>
      </c>
    </row>
    <row r="3301" spans="1:40" x14ac:dyDescent="0.25">
      <c r="A3301" t="str">
        <f>"20190303154202055"</f>
        <v>20190303154202055</v>
      </c>
      <c r="B3301" t="str">
        <f>"1551598922042643"</f>
        <v>1551598922042643</v>
      </c>
      <c r="C3301" t="s">
        <v>40</v>
      </c>
      <c r="D3301">
        <v>6.079936</v>
      </c>
      <c r="E3301">
        <v>0.44698569999999999</v>
      </c>
      <c r="F3301" t="s">
        <v>41</v>
      </c>
      <c r="G3301">
        <v>-492.63799999999998</v>
      </c>
      <c r="H3301" s="1">
        <v>-3.6768819999999998E-6</v>
      </c>
      <c r="I3301">
        <v>266.52390000000003</v>
      </c>
      <c r="J3301">
        <v>-492.50740000000002</v>
      </c>
      <c r="K3301">
        <v>1.1242859999999999</v>
      </c>
      <c r="L3301">
        <v>275.34339999999997</v>
      </c>
      <c r="M3301">
        <v>-0.4237996</v>
      </c>
      <c r="N3301">
        <v>-1.4308680000000001E-2</v>
      </c>
      <c r="O3301">
        <v>-0.90564299999999998</v>
      </c>
      <c r="P3301">
        <v>-0.15421379999999901</v>
      </c>
      <c r="Q3301">
        <v>-6.9980150000000005E-2</v>
      </c>
      <c r="R3301">
        <v>-0.9855564</v>
      </c>
      <c r="S3301">
        <v>-5.5358890000000001E-2</v>
      </c>
      <c r="T3301">
        <v>-0.3799614</v>
      </c>
      <c r="U3301">
        <v>-3.0107119999999998</v>
      </c>
      <c r="V3301">
        <v>-0.27764139999999998</v>
      </c>
      <c r="W3301">
        <v>-5.8220939999999999E-2</v>
      </c>
      <c r="X3301">
        <v>0.95891899999999997</v>
      </c>
      <c r="Y3301">
        <v>-0.4066205</v>
      </c>
      <c r="Z3301">
        <v>8.800711E-2</v>
      </c>
      <c r="AA3301">
        <v>0.90934839999999995</v>
      </c>
      <c r="AB3301">
        <v>12</v>
      </c>
      <c r="AC3301">
        <v>-0.13060000000001501</v>
      </c>
      <c r="AD3301">
        <v>-1.1242896768819901</v>
      </c>
      <c r="AE3301">
        <v>-8.8194999999999393</v>
      </c>
      <c r="AF3301">
        <v>-3.56192343552221</v>
      </c>
      <c r="AG3301">
        <v>-1.1242896768819901</v>
      </c>
      <c r="AH3301">
        <v>7.9148964247065701</v>
      </c>
      <c r="AI3301">
        <v>97.380690586165002</v>
      </c>
      <c r="AJ3301">
        <v>114.22906995873601</v>
      </c>
      <c r="AK3301">
        <v>8.7519661363546604</v>
      </c>
      <c r="AL3301">
        <v>93.337701454953304</v>
      </c>
      <c r="AM3301">
        <v>106.1476236454</v>
      </c>
      <c r="AN3301">
        <v>1.0000000367047199</v>
      </c>
    </row>
    <row r="3302" spans="1:40" x14ac:dyDescent="0.25">
      <c r="A3302" t="str">
        <f>"20190303154202069"</f>
        <v>20190303154202069</v>
      </c>
      <c r="B3302" t="str">
        <f>"1551598922063141"</f>
        <v>1551598922063141</v>
      </c>
      <c r="C3302" t="s">
        <v>40</v>
      </c>
      <c r="D3302">
        <v>6.0570690000000003</v>
      </c>
      <c r="E3302">
        <v>0.45014549999999998</v>
      </c>
      <c r="F3302" t="s">
        <v>41</v>
      </c>
      <c r="G3302">
        <v>-492.6259</v>
      </c>
      <c r="H3302" s="1">
        <v>-3.6582610000000002E-6</v>
      </c>
      <c r="I3302">
        <v>266.488</v>
      </c>
      <c r="J3302">
        <v>-492.53280000000001</v>
      </c>
      <c r="K3302">
        <v>1.1242760000000001</v>
      </c>
      <c r="L3302">
        <v>275.274</v>
      </c>
      <c r="M3302">
        <v>-0.41882570000000002</v>
      </c>
      <c r="N3302">
        <v>-1.4297819999999999E-2</v>
      </c>
      <c r="O3302">
        <v>-0.90795400000000004</v>
      </c>
      <c r="P3302">
        <v>-0.14978379999999999</v>
      </c>
      <c r="Q3302">
        <v>-6.9930409999999998E-2</v>
      </c>
      <c r="R3302">
        <v>-0.98624279999999998</v>
      </c>
      <c r="S3302">
        <v>-4.0252690000000001E-2</v>
      </c>
      <c r="T3302">
        <v>-0.38221349999999998</v>
      </c>
      <c r="U3302">
        <v>-3.0104980000000001</v>
      </c>
      <c r="V3302">
        <v>-0.276694299999999</v>
      </c>
      <c r="W3302">
        <v>-5.8164460000000001E-2</v>
      </c>
      <c r="X3302">
        <v>0.9591961</v>
      </c>
      <c r="Y3302">
        <v>-0.4061707</v>
      </c>
      <c r="Z3302">
        <v>8.9051210000000006E-2</v>
      </c>
      <c r="AA3302">
        <v>0.90944780000000003</v>
      </c>
      <c r="AB3302">
        <v>12</v>
      </c>
      <c r="AC3302">
        <v>-9.3099999999992605E-2</v>
      </c>
      <c r="AD3302">
        <v>-1.124279658261</v>
      </c>
      <c r="AE3302">
        <v>-8.7859999999999996</v>
      </c>
      <c r="AF3302">
        <v>-3.5377182443502502</v>
      </c>
      <c r="AG3302">
        <v>-1.124279658261</v>
      </c>
      <c r="AH3302">
        <v>7.8879503502537798</v>
      </c>
      <c r="AI3302">
        <v>97.409752296614499</v>
      </c>
      <c r="AJ3302">
        <v>114.156068160565</v>
      </c>
      <c r="AK3302">
        <v>8.7177529131340297</v>
      </c>
      <c r="AL3302">
        <v>93.334460021540593</v>
      </c>
      <c r="AM3302">
        <v>106.090988251212</v>
      </c>
      <c r="AN3302">
        <v>0.99999999915739501</v>
      </c>
    </row>
    <row r="3303" spans="1:40" x14ac:dyDescent="0.25">
      <c r="A3303" t="str">
        <f>"20190303154202112"</f>
        <v>20190303154202112</v>
      </c>
      <c r="B3303" t="str">
        <f>"1551598922103155"</f>
        <v>1551598922103155</v>
      </c>
      <c r="C3303" t="s">
        <v>40</v>
      </c>
      <c r="D3303">
        <v>6.2137449999999896</v>
      </c>
      <c r="E3303">
        <v>0.46212510000000001</v>
      </c>
      <c r="F3303" t="s">
        <v>41</v>
      </c>
      <c r="G3303">
        <v>-492.68529999999998</v>
      </c>
      <c r="H3303" s="1">
        <v>-3.6359370000000002E-6</v>
      </c>
      <c r="I3303">
        <v>266.39909999999998</v>
      </c>
      <c r="J3303">
        <v>-492.6087</v>
      </c>
      <c r="K3303">
        <v>1.1242449999999999</v>
      </c>
      <c r="L3303">
        <v>275.05889999999999</v>
      </c>
      <c r="M3303">
        <v>-0.40339370000000002</v>
      </c>
      <c r="N3303">
        <v>-1.4267180000000001E-2</v>
      </c>
      <c r="O3303">
        <v>-0.91491529999999999</v>
      </c>
      <c r="P3303">
        <v>-0.13672779999999901</v>
      </c>
      <c r="Q3303">
        <v>-6.9499889999999995E-2</v>
      </c>
      <c r="R3303">
        <v>-0.98816760000000003</v>
      </c>
      <c r="S3303">
        <v>-5.1666259999999999E-2</v>
      </c>
      <c r="T3303">
        <v>-0.38092989999999999</v>
      </c>
      <c r="U3303">
        <v>-3.0069889999999999</v>
      </c>
      <c r="V3303">
        <v>-0.27316010000000002</v>
      </c>
      <c r="W3303">
        <v>-5.7703520000000001E-2</v>
      </c>
      <c r="X3303">
        <v>0.96023639999999999</v>
      </c>
      <c r="Y3303">
        <v>-0.38719809999999999</v>
      </c>
      <c r="Z3303">
        <v>9.0691510000000003E-2</v>
      </c>
      <c r="AA3303">
        <v>0.91752540000000005</v>
      </c>
      <c r="AB3303">
        <v>12</v>
      </c>
      <c r="AC3303">
        <v>-7.6599999999984902E-2</v>
      </c>
      <c r="AD3303">
        <v>-1.1242486359370001</v>
      </c>
      <c r="AE3303">
        <v>-8.6598000000000095</v>
      </c>
      <c r="AF3303">
        <v>-3.36683368360013</v>
      </c>
      <c r="AG3303">
        <v>-1.1242486359370001</v>
      </c>
      <c r="AH3303">
        <v>7.8228550567344604</v>
      </c>
      <c r="AI3303">
        <v>97.519942180875205</v>
      </c>
      <c r="AJ3303">
        <v>113.286283084877</v>
      </c>
      <c r="AK3303">
        <v>8.5904927266779403</v>
      </c>
      <c r="AL3303">
        <v>93.308005536551804</v>
      </c>
      <c r="AM3303">
        <v>105.879553645078</v>
      </c>
      <c r="AN3303">
        <v>1.0000000401686699</v>
      </c>
    </row>
    <row r="3304" spans="1:40" x14ac:dyDescent="0.25">
      <c r="A3304" t="str">
        <f>"20190303154202125"</f>
        <v>20190303154202125</v>
      </c>
      <c r="B3304" t="str">
        <f>"1551598922112916"</f>
        <v>1551598922112916</v>
      </c>
      <c r="C3304" t="s">
        <v>40</v>
      </c>
      <c r="D3304">
        <v>6.189235</v>
      </c>
      <c r="E3304">
        <v>0.46850770000000003</v>
      </c>
      <c r="F3304" t="s">
        <v>41</v>
      </c>
      <c r="G3304">
        <v>-492.94970000000001</v>
      </c>
      <c r="H3304" s="1">
        <v>-3.3474150000000001E-6</v>
      </c>
      <c r="I3304">
        <v>265.56259999999997</v>
      </c>
      <c r="J3304">
        <v>-492.6311</v>
      </c>
      <c r="K3304">
        <v>1.124234</v>
      </c>
      <c r="L3304">
        <v>274.99299999999999</v>
      </c>
      <c r="M3304">
        <v>-0.39866069999999998</v>
      </c>
      <c r="N3304">
        <v>-1.4258669999999999E-2</v>
      </c>
      <c r="O3304">
        <v>-0.91698780000000002</v>
      </c>
      <c r="P3304">
        <v>-0.13250149999999999</v>
      </c>
      <c r="Q3304">
        <v>-6.9934280000000001E-2</v>
      </c>
      <c r="R3304">
        <v>-0.98871260000000005</v>
      </c>
      <c r="S3304">
        <v>-0.1075745</v>
      </c>
      <c r="T3304">
        <v>-0.35470459999999998</v>
      </c>
      <c r="U3304">
        <v>-2.996124</v>
      </c>
      <c r="V3304">
        <v>-0.27229049999999999</v>
      </c>
      <c r="W3304">
        <v>-5.8130759999999997E-2</v>
      </c>
      <c r="X3304">
        <v>0.96045760000000002</v>
      </c>
      <c r="Y3304">
        <v>-0.36522090000000001</v>
      </c>
      <c r="Z3304">
        <v>8.4856230000000005E-2</v>
      </c>
      <c r="AA3304">
        <v>0.92704529999999996</v>
      </c>
      <c r="AB3304">
        <v>12</v>
      </c>
      <c r="AC3304">
        <v>-0.31860000000000299</v>
      </c>
      <c r="AD3304">
        <v>-1.124237347415</v>
      </c>
      <c r="AE3304">
        <v>-9.4304000000000094</v>
      </c>
      <c r="AF3304">
        <v>-3.41919136785453</v>
      </c>
      <c r="AG3304">
        <v>-1.124237347415</v>
      </c>
      <c r="AH3304">
        <v>8.6526346812611408</v>
      </c>
      <c r="AI3304">
        <v>96.890077007202095</v>
      </c>
      <c r="AJ3304">
        <v>111.562042581746</v>
      </c>
      <c r="AK3304">
        <v>9.3713854979238107</v>
      </c>
      <c r="AL3304">
        <v>93.332525706489605</v>
      </c>
      <c r="AM3304">
        <v>105.828075767736</v>
      </c>
      <c r="AN3304">
        <v>1.00000005152309</v>
      </c>
    </row>
    <row r="3305" spans="1:40" x14ac:dyDescent="0.25">
      <c r="A3305" t="str">
        <f>"20190303154202143"</f>
        <v>20190303154202143</v>
      </c>
      <c r="B3305" t="str">
        <f>"1551598922132439"</f>
        <v>1551598922132439</v>
      </c>
      <c r="C3305" t="s">
        <v>40</v>
      </c>
      <c r="D3305">
        <v>6.2153799999999997</v>
      </c>
      <c r="E3305">
        <v>0.47694710000000001</v>
      </c>
      <c r="F3305" t="s">
        <v>41</v>
      </c>
      <c r="G3305">
        <v>-493.08370000000002</v>
      </c>
      <c r="H3305" s="1">
        <v>-3.428458E-6</v>
      </c>
      <c r="I3305">
        <v>265.66829999999999</v>
      </c>
      <c r="J3305">
        <v>-492.66129999999998</v>
      </c>
      <c r="K3305">
        <v>1.124214</v>
      </c>
      <c r="L3305">
        <v>274.90260000000001</v>
      </c>
      <c r="M3305">
        <v>-0.39216630000000002</v>
      </c>
      <c r="N3305">
        <v>-1.4247620000000001E-2</v>
      </c>
      <c r="O3305">
        <v>-0.91978389999999999</v>
      </c>
      <c r="P3305">
        <v>-0.1281988</v>
      </c>
      <c r="Q3305">
        <v>-7.1147089999999996E-2</v>
      </c>
      <c r="R3305">
        <v>-0.98919330000000005</v>
      </c>
      <c r="S3305">
        <v>-0.14511109999999999</v>
      </c>
      <c r="T3305">
        <v>-0.36041380000000001</v>
      </c>
      <c r="U3305">
        <v>-2.9893489999999998</v>
      </c>
      <c r="V3305">
        <v>-0.26963870000000001</v>
      </c>
      <c r="W3305">
        <v>-5.931794E-2</v>
      </c>
      <c r="X3305">
        <v>0.96113289999999996</v>
      </c>
      <c r="Y3305">
        <v>-0.3469102</v>
      </c>
      <c r="Z3305">
        <v>8.7602680000000002E-2</v>
      </c>
      <c r="AA3305">
        <v>0.93379820000000002</v>
      </c>
      <c r="AB3305">
        <v>12</v>
      </c>
      <c r="AC3305">
        <v>-0.42240000000003802</v>
      </c>
      <c r="AD3305">
        <v>-1.124217428458</v>
      </c>
      <c r="AE3305">
        <v>-9.2343000000000099</v>
      </c>
      <c r="AF3305">
        <v>-3.1860692262554702</v>
      </c>
      <c r="AG3305">
        <v>-1.124217428458</v>
      </c>
      <c r="AH3305">
        <v>8.5338704864172996</v>
      </c>
      <c r="AI3305">
        <v>97.035597219995694</v>
      </c>
      <c r="AJ3305">
        <v>110.47281522426999</v>
      </c>
      <c r="AK3305">
        <v>9.1783357652618704</v>
      </c>
      <c r="AL3305">
        <v>93.400663709206995</v>
      </c>
      <c r="AM3305">
        <v>105.671069671768</v>
      </c>
      <c r="AN3305">
        <v>1.0000000490029699</v>
      </c>
    </row>
    <row r="3306" spans="1:40" x14ac:dyDescent="0.25">
      <c r="A3306" t="str">
        <f>"20190303154202155"</f>
        <v>20190303154202155</v>
      </c>
      <c r="B3306" t="str">
        <f>"1551598922152931"</f>
        <v>1551598922152931</v>
      </c>
      <c r="C3306" t="s">
        <v>40</v>
      </c>
      <c r="D3306">
        <v>6.2377729999999998</v>
      </c>
      <c r="E3306">
        <v>0.48210589999999998</v>
      </c>
      <c r="F3306" t="s">
        <v>41</v>
      </c>
      <c r="G3306">
        <v>-493.2715</v>
      </c>
      <c r="H3306" s="1">
        <v>-3.5191139999999999E-6</v>
      </c>
      <c r="I3306">
        <v>265.76319999999998</v>
      </c>
      <c r="J3306">
        <v>-492.6816</v>
      </c>
      <c r="K3306">
        <v>1.1242000000000001</v>
      </c>
      <c r="L3306">
        <v>274.84089999999998</v>
      </c>
      <c r="M3306">
        <v>-0.38772489999999998</v>
      </c>
      <c r="N3306">
        <v>-1.424048E-2</v>
      </c>
      <c r="O3306">
        <v>-0.92166539999999997</v>
      </c>
      <c r="P3306">
        <v>-0.1246693</v>
      </c>
      <c r="Q3306">
        <v>-7.1100259999999998E-2</v>
      </c>
      <c r="R3306">
        <v>-0.98964770000000002</v>
      </c>
      <c r="S3306">
        <v>-0.19900509999999999</v>
      </c>
      <c r="T3306">
        <v>-0.36663560000000001</v>
      </c>
      <c r="U3306">
        <v>-2.980591</v>
      </c>
      <c r="V3306">
        <v>-0.26843450000000002</v>
      </c>
      <c r="W3306">
        <v>-5.9259050000000001E-2</v>
      </c>
      <c r="X3306">
        <v>0.96147349999999998</v>
      </c>
      <c r="Y3306">
        <v>-0.3253818</v>
      </c>
      <c r="Z3306">
        <v>9.0466900000000003E-2</v>
      </c>
      <c r="AA3306">
        <v>0.94124509999999995</v>
      </c>
      <c r="AB3306">
        <v>12</v>
      </c>
      <c r="AC3306">
        <v>-0.58989999999999998</v>
      </c>
      <c r="AD3306">
        <v>-1.1242035191140001</v>
      </c>
      <c r="AE3306">
        <v>-9.0776999999999894</v>
      </c>
      <c r="AF3306">
        <v>-2.9314899835331598</v>
      </c>
      <c r="AG3306">
        <v>-1.1242035191140001</v>
      </c>
      <c r="AH3306">
        <v>8.4668805980471902</v>
      </c>
      <c r="AI3306">
        <v>97.151476748366704</v>
      </c>
      <c r="AJ3306">
        <v>109.097399890636</v>
      </c>
      <c r="AK3306">
        <v>9.0302565931169205</v>
      </c>
      <c r="AL3306">
        <v>93.397283769728105</v>
      </c>
      <c r="AM3306">
        <v>105.599241267464</v>
      </c>
      <c r="AN3306">
        <v>1.0000000034997001</v>
      </c>
    </row>
    <row r="3307" spans="1:40" x14ac:dyDescent="0.25">
      <c r="A3307" t="str">
        <f>"20190303154202167"</f>
        <v>20190303154202167</v>
      </c>
      <c r="B3307" t="str">
        <f>"1551598922162692"</f>
        <v>1551598922162692</v>
      </c>
      <c r="C3307" t="s">
        <v>40</v>
      </c>
      <c r="D3307">
        <v>6.2177519999999999</v>
      </c>
      <c r="E3307">
        <v>0.48423909999999998</v>
      </c>
      <c r="F3307" t="s">
        <v>41</v>
      </c>
      <c r="G3307">
        <v>-493.38409999999999</v>
      </c>
      <c r="H3307" s="1">
        <v>-3.52564E-6</v>
      </c>
      <c r="I3307">
        <v>265.70859999999999</v>
      </c>
      <c r="J3307">
        <v>-492.7013</v>
      </c>
      <c r="K3307">
        <v>1.124187</v>
      </c>
      <c r="L3307">
        <v>274.77910000000003</v>
      </c>
      <c r="M3307">
        <v>-0.38328129999999999</v>
      </c>
      <c r="N3307">
        <v>-1.4233539999999999E-2</v>
      </c>
      <c r="O3307">
        <v>-0.92352210000000001</v>
      </c>
      <c r="P3307">
        <v>-0.1210268</v>
      </c>
      <c r="Q3307">
        <v>-7.1036890000000005E-2</v>
      </c>
      <c r="R3307">
        <v>-0.9901044</v>
      </c>
      <c r="S3307">
        <v>-0.2289429</v>
      </c>
      <c r="T3307">
        <v>-0.36637930000000002</v>
      </c>
      <c r="U3307">
        <v>-2.9762270000000002</v>
      </c>
      <c r="V3307">
        <v>-0.26734580000000002</v>
      </c>
      <c r="W3307">
        <v>-5.9184880000000002E-2</v>
      </c>
      <c r="X3307">
        <v>0.96178140000000001</v>
      </c>
      <c r="Y3307">
        <v>-0.31130999999999998</v>
      </c>
      <c r="Z3307">
        <v>9.1175709999999993E-2</v>
      </c>
      <c r="AA3307">
        <v>0.94592449999999995</v>
      </c>
      <c r="AB3307">
        <v>12</v>
      </c>
      <c r="AC3307">
        <v>-0.68279999999998597</v>
      </c>
      <c r="AD3307">
        <v>-1.12419052564</v>
      </c>
      <c r="AE3307">
        <v>-9.0705000000000293</v>
      </c>
      <c r="AF3307">
        <v>-2.80343938892472</v>
      </c>
      <c r="AG3307">
        <v>-1.12419052564</v>
      </c>
      <c r="AH3307">
        <v>8.5094100357101201</v>
      </c>
      <c r="AI3307">
        <v>97.151940214920998</v>
      </c>
      <c r="AJ3307">
        <v>108.23455390006001</v>
      </c>
      <c r="AK3307">
        <v>9.0295700839606692</v>
      </c>
      <c r="AL3307">
        <v>93.393026531988198</v>
      </c>
      <c r="AM3307">
        <v>105.534303238403</v>
      </c>
      <c r="AN3307">
        <v>1.0000000440921</v>
      </c>
    </row>
    <row r="3308" spans="1:40" x14ac:dyDescent="0.25">
      <c r="A3308" t="str">
        <f>"20190303154202181"</f>
        <v>20190303154202181</v>
      </c>
      <c r="B3308" t="str">
        <f>"1551598922172452"</f>
        <v>1551598922172452</v>
      </c>
      <c r="C3308" t="s">
        <v>40</v>
      </c>
      <c r="D3308">
        <v>6.168139</v>
      </c>
      <c r="E3308">
        <v>0.48593530000000001</v>
      </c>
      <c r="F3308" t="s">
        <v>41</v>
      </c>
      <c r="G3308">
        <v>-493.42140000000001</v>
      </c>
      <c r="H3308" s="1">
        <v>-3.5094429999999999E-6</v>
      </c>
      <c r="I3308">
        <v>265.64760000000001</v>
      </c>
      <c r="J3308">
        <v>-492.72140000000002</v>
      </c>
      <c r="K3308">
        <v>1.1241680000000001</v>
      </c>
      <c r="L3308">
        <v>274.71559999999999</v>
      </c>
      <c r="M3308">
        <v>-0.3787122</v>
      </c>
      <c r="N3308">
        <v>-1.422664E-2</v>
      </c>
      <c r="O3308">
        <v>-0.92540540000000004</v>
      </c>
      <c r="P3308">
        <v>-0.1169924</v>
      </c>
      <c r="Q3308">
        <v>-7.1071239999999994E-2</v>
      </c>
      <c r="R3308">
        <v>-0.99058690000000005</v>
      </c>
      <c r="S3308">
        <v>-0.2346191</v>
      </c>
      <c r="T3308">
        <v>-0.36626819999999999</v>
      </c>
      <c r="U3308">
        <v>-2.9750670000000001</v>
      </c>
      <c r="V3308">
        <v>-0.266511</v>
      </c>
      <c r="W3308">
        <v>-5.9211199999999999E-2</v>
      </c>
      <c r="X3308">
        <v>0.96201139999999996</v>
      </c>
      <c r="Y3308">
        <v>-0.30479820000000002</v>
      </c>
      <c r="Z3308">
        <v>9.1657799999999998E-2</v>
      </c>
      <c r="AA3308">
        <v>0.94799630000000001</v>
      </c>
      <c r="AB3308">
        <v>12</v>
      </c>
      <c r="AC3308">
        <v>-0.69999999999998797</v>
      </c>
      <c r="AD3308">
        <v>-1.124171509443</v>
      </c>
      <c r="AE3308">
        <v>-9.0679999999999801</v>
      </c>
      <c r="AF3308">
        <v>-2.7447263193805398</v>
      </c>
      <c r="AG3308">
        <v>-1.124171509443</v>
      </c>
      <c r="AH3308">
        <v>8.5272705545718495</v>
      </c>
      <c r="AI3308">
        <v>97.152767056530095</v>
      </c>
      <c r="AJ3308">
        <v>107.84213680113299</v>
      </c>
      <c r="AK3308">
        <v>9.0283789941390804</v>
      </c>
      <c r="AL3308">
        <v>93.394537333832204</v>
      </c>
      <c r="AM3308">
        <v>105.484603474319</v>
      </c>
      <c r="AN3308">
        <v>1.0000000065282</v>
      </c>
    </row>
    <row r="3309" spans="1:40" x14ac:dyDescent="0.25">
      <c r="A3309" t="str">
        <f>"20190303154202193"</f>
        <v>20190303154202193</v>
      </c>
      <c r="B3309" t="str">
        <f>"1551598922183188"</f>
        <v>1551598922183188</v>
      </c>
      <c r="C3309" t="s">
        <v>40</v>
      </c>
      <c r="D3309">
        <v>6.1697139999999999</v>
      </c>
      <c r="E3309">
        <v>0.48745729999999998</v>
      </c>
      <c r="F3309" t="s">
        <v>41</v>
      </c>
      <c r="G3309">
        <v>-493.435</v>
      </c>
      <c r="H3309" s="1">
        <v>-3.5440619999999999E-6</v>
      </c>
      <c r="I3309">
        <v>265.7199</v>
      </c>
      <c r="J3309">
        <v>-492.74200000000002</v>
      </c>
      <c r="K3309">
        <v>1.1241570000000001</v>
      </c>
      <c r="L3309">
        <v>274.64949999999999</v>
      </c>
      <c r="M3309">
        <v>-0.37395430000000002</v>
      </c>
      <c r="N3309">
        <v>-1.421978E-2</v>
      </c>
      <c r="O3309">
        <v>-0.92733810000000005</v>
      </c>
      <c r="P3309">
        <v>-0.1123214</v>
      </c>
      <c r="Q3309">
        <v>-7.0405529999999994E-2</v>
      </c>
      <c r="R3309">
        <v>-0.99117460000000002</v>
      </c>
      <c r="S3309">
        <v>-0.23593140000000001</v>
      </c>
      <c r="T3309">
        <v>-0.37165179999999998</v>
      </c>
      <c r="U3309">
        <v>-2.9739689999999999</v>
      </c>
      <c r="V3309">
        <v>-0.2661288</v>
      </c>
      <c r="W3309">
        <v>-5.854148E-2</v>
      </c>
      <c r="X3309">
        <v>0.96215810000000002</v>
      </c>
      <c r="Y3309">
        <v>-0.29947750000000001</v>
      </c>
      <c r="Z3309">
        <v>9.3692319999999996E-2</v>
      </c>
      <c r="AA3309">
        <v>0.949492</v>
      </c>
      <c r="AB3309">
        <v>12</v>
      </c>
      <c r="AC3309">
        <v>-0.69300000000004003</v>
      </c>
      <c r="AD3309">
        <v>-1.1241605440619999</v>
      </c>
      <c r="AE3309">
        <v>-8.92959999999999</v>
      </c>
      <c r="AF3309">
        <v>-2.6550624496964499</v>
      </c>
      <c r="AG3309">
        <v>-1.1241605440619999</v>
      </c>
      <c r="AH3309">
        <v>8.40830959813389</v>
      </c>
      <c r="AI3309">
        <v>97.265523038738607</v>
      </c>
      <c r="AJ3309">
        <v>107.524371165874</v>
      </c>
      <c r="AK3309">
        <v>8.88891241033933</v>
      </c>
      <c r="AL3309">
        <v>93.356098793256905</v>
      </c>
      <c r="AM3309">
        <v>105.461215739607</v>
      </c>
      <c r="AN3309">
        <v>0.99999992623281697</v>
      </c>
    </row>
    <row r="3310" spans="1:40" x14ac:dyDescent="0.25">
      <c r="A3310" t="str">
        <f>"20190303154202211"</f>
        <v>20190303154202211</v>
      </c>
      <c r="B3310" t="str">
        <f>"1551598922202708"</f>
        <v>1551598922202708</v>
      </c>
      <c r="C3310" t="s">
        <v>40</v>
      </c>
      <c r="D3310">
        <v>6.1889859999999999</v>
      </c>
      <c r="E3310">
        <v>0.49019980000000002</v>
      </c>
      <c r="F3310" t="s">
        <v>41</v>
      </c>
      <c r="G3310">
        <v>-493.44589999999999</v>
      </c>
      <c r="H3310" s="1">
        <v>-3.5413100000000001E-6</v>
      </c>
      <c r="I3310">
        <v>265.70679999999999</v>
      </c>
      <c r="J3310">
        <v>-492.76870000000002</v>
      </c>
      <c r="K3310">
        <v>1.1241449999999999</v>
      </c>
      <c r="L3310">
        <v>274.5616</v>
      </c>
      <c r="M3310">
        <v>-0.36762040000000001</v>
      </c>
      <c r="N3310">
        <v>-1.421091E-2</v>
      </c>
      <c r="O3310">
        <v>-0.92986749999999996</v>
      </c>
      <c r="P3310">
        <v>-0.106370699999999</v>
      </c>
      <c r="Q3310">
        <v>-6.9551619999999995E-2</v>
      </c>
      <c r="R3310">
        <v>-0.99189130000000003</v>
      </c>
      <c r="S3310">
        <v>-0.23406979999999999</v>
      </c>
      <c r="T3310">
        <v>-0.37380920000000001</v>
      </c>
      <c r="U3310">
        <v>-2.9736630000000002</v>
      </c>
      <c r="V3310">
        <v>-0.26537080000000002</v>
      </c>
      <c r="W3310">
        <v>-5.7679340000000003E-2</v>
      </c>
      <c r="X3310">
        <v>0.96241960000000004</v>
      </c>
      <c r="Y3310">
        <v>-0.29356369999999998</v>
      </c>
      <c r="Z3310">
        <v>9.4907140000000001E-2</v>
      </c>
      <c r="AA3310">
        <v>0.95121659999999997</v>
      </c>
      <c r="AB3310">
        <v>12</v>
      </c>
      <c r="AC3310">
        <v>-0.67719999999997005</v>
      </c>
      <c r="AD3310">
        <v>-1.1241485413100001</v>
      </c>
      <c r="AE3310">
        <v>-8.8548000000000098</v>
      </c>
      <c r="AF3310">
        <v>-2.5843532737685502</v>
      </c>
      <c r="AG3310">
        <v>-1.1241485413100001</v>
      </c>
      <c r="AH3310">
        <v>8.3498057430522703</v>
      </c>
      <c r="AI3310">
        <v>97.328707156439293</v>
      </c>
      <c r="AJ3310">
        <v>107.197849838921</v>
      </c>
      <c r="AK3310">
        <v>8.81259597015978</v>
      </c>
      <c r="AL3310">
        <v>93.306617856582605</v>
      </c>
      <c r="AM3310">
        <v>105.41528654288</v>
      </c>
      <c r="AN3310">
        <v>1.00000002710981</v>
      </c>
    </row>
    <row r="3311" spans="1:40" x14ac:dyDescent="0.25">
      <c r="A3311" t="str">
        <f>"20190303154202236"</f>
        <v>20190303154202236</v>
      </c>
      <c r="B3311" t="str">
        <f>"1551598922232963"</f>
        <v>1551598922232963</v>
      </c>
      <c r="C3311" t="s">
        <v>40</v>
      </c>
      <c r="D3311">
        <v>6.2705080000000004</v>
      </c>
      <c r="E3311">
        <v>0.49231979999999997</v>
      </c>
      <c r="F3311" t="s">
        <v>41</v>
      </c>
      <c r="G3311">
        <v>-493.47590000000002</v>
      </c>
      <c r="H3311" s="1">
        <v>-3.5569600000000002E-6</v>
      </c>
      <c r="I3311">
        <v>265.72460000000001</v>
      </c>
      <c r="J3311">
        <v>-492.80399999999997</v>
      </c>
      <c r="K3311">
        <v>1.124125</v>
      </c>
      <c r="L3311">
        <v>274.44220000000001</v>
      </c>
      <c r="M3311">
        <v>-0.35902009999999901</v>
      </c>
      <c r="N3311">
        <v>-1.419959E-2</v>
      </c>
      <c r="O3311">
        <v>-0.93322179999999999</v>
      </c>
      <c r="P3311">
        <v>-9.8111069999999995E-2</v>
      </c>
      <c r="Q3311">
        <v>-7.0669140000000005E-2</v>
      </c>
      <c r="R3311">
        <v>-0.99266330000000003</v>
      </c>
      <c r="S3311">
        <v>-0.2378845</v>
      </c>
      <c r="T3311">
        <v>-0.37813809999999998</v>
      </c>
      <c r="U3311">
        <v>-2.972534</v>
      </c>
      <c r="V3311">
        <v>-0.26446380000000003</v>
      </c>
      <c r="W3311">
        <v>-5.8788529999999999E-2</v>
      </c>
      <c r="X3311">
        <v>0.96260210000000002</v>
      </c>
      <c r="Y3311">
        <v>-0.28350959999999997</v>
      </c>
      <c r="Z3311">
        <v>9.7015050000000005E-2</v>
      </c>
      <c r="AA3311">
        <v>0.95404949999999999</v>
      </c>
      <c r="AB3311">
        <v>12</v>
      </c>
      <c r="AC3311">
        <v>-0.67189999999999295</v>
      </c>
      <c r="AD3311">
        <v>-1.1241285569599999</v>
      </c>
      <c r="AE3311">
        <v>-8.7175999999999991</v>
      </c>
      <c r="AF3311">
        <v>-2.4623128882791501</v>
      </c>
      <c r="AG3311">
        <v>-1.1241285569599999</v>
      </c>
      <c r="AH3311">
        <v>8.2412981748289909</v>
      </c>
      <c r="AI3311">
        <v>97.445966241479695</v>
      </c>
      <c r="AJ3311">
        <v>106.63495193240399</v>
      </c>
      <c r="AK3311">
        <v>8.6744247866240798</v>
      </c>
      <c r="AL3311">
        <v>93.370277895753802</v>
      </c>
      <c r="AM3311">
        <v>105.362317727351</v>
      </c>
      <c r="AN3311">
        <v>0.99999999784720495</v>
      </c>
    </row>
    <row r="3312" spans="1:40" x14ac:dyDescent="0.25">
      <c r="A3312" t="str">
        <f>"20190303154202251"</f>
        <v>20190303154202251</v>
      </c>
      <c r="B3312" t="str">
        <f>"1551598922242724"</f>
        <v>1551598922242724</v>
      </c>
      <c r="C3312" t="s">
        <v>40</v>
      </c>
      <c r="D3312">
        <v>6.227544</v>
      </c>
      <c r="E3312">
        <v>0.49325960000000002</v>
      </c>
      <c r="F3312" t="s">
        <v>41</v>
      </c>
      <c r="G3312">
        <v>-493.47120000000001</v>
      </c>
      <c r="H3312" s="1">
        <v>-3.5946759999999998E-6</v>
      </c>
      <c r="I3312">
        <v>265.81549999999999</v>
      </c>
      <c r="J3312">
        <v>-492.82600000000002</v>
      </c>
      <c r="K3312">
        <v>1.1241110000000001</v>
      </c>
      <c r="L3312">
        <v>274.36540000000002</v>
      </c>
      <c r="M3312">
        <v>-0.3534757</v>
      </c>
      <c r="N3312">
        <v>-1.419253E-2</v>
      </c>
      <c r="O3312">
        <v>-0.9353361</v>
      </c>
      <c r="P3312">
        <v>-9.2695680000000003E-2</v>
      </c>
      <c r="Q3312">
        <v>-7.1324620000000005E-2</v>
      </c>
      <c r="R3312">
        <v>-0.99313680000000004</v>
      </c>
      <c r="S3312">
        <v>-0.22985839999999999</v>
      </c>
      <c r="T3312">
        <v>-0.3872623</v>
      </c>
      <c r="U3312">
        <v>-2.971924</v>
      </c>
      <c r="V3312">
        <v>-0.26398169999999999</v>
      </c>
      <c r="W3312">
        <v>-5.943963E-2</v>
      </c>
      <c r="X3312">
        <v>0.96269450000000001</v>
      </c>
      <c r="Y3312">
        <v>-0.2803834</v>
      </c>
      <c r="Z3312">
        <v>0.1001478</v>
      </c>
      <c r="AA3312">
        <v>0.95464939999999998</v>
      </c>
      <c r="AB3312">
        <v>12</v>
      </c>
      <c r="AC3312">
        <v>-0.64520000000004496</v>
      </c>
      <c r="AD3312">
        <v>-1.1241145946760001</v>
      </c>
      <c r="AE3312">
        <v>-8.5499000000000294</v>
      </c>
      <c r="AF3312">
        <v>-2.3780715161100798</v>
      </c>
      <c r="AG3312">
        <v>-1.1241145946760001</v>
      </c>
      <c r="AH3312">
        <v>8.0869202390589994</v>
      </c>
      <c r="AI3312">
        <v>97.596010634365697</v>
      </c>
      <c r="AJ3312">
        <v>106.386707374682</v>
      </c>
      <c r="AK3312">
        <v>8.5039483012656998</v>
      </c>
      <c r="AL3312">
        <v>93.407648339682297</v>
      </c>
      <c r="AM3312">
        <v>105.334230188289</v>
      </c>
      <c r="AN3312">
        <v>1.0000000539398299</v>
      </c>
    </row>
    <row r="3313" spans="1:40" x14ac:dyDescent="0.25">
      <c r="A3313" t="str">
        <f>"20190303154202270"</f>
        <v>20190303154202270</v>
      </c>
      <c r="B3313" t="str">
        <f>"1551598922263219"</f>
        <v>1551598922263219</v>
      </c>
      <c r="C3313" t="s">
        <v>40</v>
      </c>
      <c r="D3313">
        <v>6.2813460000000001</v>
      </c>
      <c r="E3313">
        <v>0.49483189999999999</v>
      </c>
      <c r="F3313" t="s">
        <v>41</v>
      </c>
      <c r="G3313">
        <v>-493.46</v>
      </c>
      <c r="H3313" s="1">
        <v>-3.5999449999999998E-6</v>
      </c>
      <c r="I3313">
        <v>265.8347</v>
      </c>
      <c r="J3313">
        <v>-492.8519</v>
      </c>
      <c r="K3313">
        <v>1.1240950000000001</v>
      </c>
      <c r="L3313">
        <v>274.27300000000002</v>
      </c>
      <c r="M3313">
        <v>-0.34680490000000003</v>
      </c>
      <c r="N3313">
        <v>-1.418442E-2</v>
      </c>
      <c r="O3313">
        <v>-0.93783019999999995</v>
      </c>
      <c r="P3313">
        <v>-8.7129219999999993E-2</v>
      </c>
      <c r="Q3313">
        <v>-7.2350620000000004E-2</v>
      </c>
      <c r="R3313">
        <v>-0.99356679999999997</v>
      </c>
      <c r="S3313">
        <v>-0.2208862</v>
      </c>
      <c r="T3313">
        <v>-0.39162669999999999</v>
      </c>
      <c r="U3313">
        <v>-2.9719850000000001</v>
      </c>
      <c r="V3313">
        <v>-0.26249</v>
      </c>
      <c r="W3313">
        <v>-6.0450629999999998E-2</v>
      </c>
      <c r="X3313">
        <v>0.96303930000000004</v>
      </c>
      <c r="Y3313">
        <v>-0.2764278</v>
      </c>
      <c r="Z3313">
        <v>0.1019776</v>
      </c>
      <c r="AA3313">
        <v>0.95560880000000004</v>
      </c>
      <c r="AB3313">
        <v>12</v>
      </c>
      <c r="AC3313">
        <v>-0.60809999999997899</v>
      </c>
      <c r="AD3313">
        <v>-1.1240985999449999</v>
      </c>
      <c r="AE3313">
        <v>-8.4382999999999697</v>
      </c>
      <c r="AF3313">
        <v>-2.3155073762984899</v>
      </c>
      <c r="AG3313">
        <v>-1.1240985999449999</v>
      </c>
      <c r="AH3313">
        <v>7.98444143991368</v>
      </c>
      <c r="AI3313">
        <v>97.700546239388103</v>
      </c>
      <c r="AJ3313">
        <v>106.17228715591899</v>
      </c>
      <c r="AK3313">
        <v>8.3890689101652995</v>
      </c>
      <c r="AL3313">
        <v>93.465678965264203</v>
      </c>
      <c r="AM3313">
        <v>105.246419799047</v>
      </c>
      <c r="AN3313">
        <v>0.99999998605594298</v>
      </c>
    </row>
    <row r="3314" spans="1:40" x14ac:dyDescent="0.25">
      <c r="A3314" t="str">
        <f>"20190303154202290"</f>
        <v>20190303154202290</v>
      </c>
      <c r="B3314" t="str">
        <f>"1551598922282740"</f>
        <v>1551598922282740</v>
      </c>
      <c r="C3314" t="s">
        <v>40</v>
      </c>
      <c r="D3314">
        <v>6.3009120000000003</v>
      </c>
      <c r="E3314">
        <v>0.4961853</v>
      </c>
      <c r="F3314" t="s">
        <v>41</v>
      </c>
      <c r="G3314">
        <v>-493.46170000000001</v>
      </c>
      <c r="H3314" s="1">
        <v>-3.6314110000000002E-6</v>
      </c>
      <c r="I3314">
        <v>265.90699999999998</v>
      </c>
      <c r="J3314">
        <v>-492.88069999999999</v>
      </c>
      <c r="K3314">
        <v>1.1240790000000001</v>
      </c>
      <c r="L3314">
        <v>274.16699999999997</v>
      </c>
      <c r="M3314">
        <v>-0.33914850000000002</v>
      </c>
      <c r="N3314">
        <v>-1.4175409999999999E-2</v>
      </c>
      <c r="O3314">
        <v>-0.94062619999999997</v>
      </c>
      <c r="P3314">
        <v>-7.9733650000000003E-2</v>
      </c>
      <c r="Q3314">
        <v>-7.2757500000000003E-2</v>
      </c>
      <c r="R3314">
        <v>-0.99415759999999997</v>
      </c>
      <c r="S3314">
        <v>-0.21658330000000001</v>
      </c>
      <c r="T3314">
        <v>-0.39924480000000001</v>
      </c>
      <c r="U3314">
        <v>-2.9713440000000002</v>
      </c>
      <c r="V3314">
        <v>-0.26179530000000001</v>
      </c>
      <c r="W3314">
        <v>-6.0850130000000002E-2</v>
      </c>
      <c r="X3314">
        <v>0.96320329999999998</v>
      </c>
      <c r="Y3314">
        <v>-0.26997500000000002</v>
      </c>
      <c r="Z3314">
        <v>0.1049035</v>
      </c>
      <c r="AA3314">
        <v>0.95713570000000003</v>
      </c>
      <c r="AB3314">
        <v>12</v>
      </c>
      <c r="AC3314">
        <v>-0.58100000000001695</v>
      </c>
      <c r="AD3314">
        <v>-1.124082631411</v>
      </c>
      <c r="AE3314">
        <v>-8.2600000000000406</v>
      </c>
      <c r="AF3314">
        <v>-2.2142828452311201</v>
      </c>
      <c r="AG3314">
        <v>-1.124082631411</v>
      </c>
      <c r="AH3314">
        <v>7.8232453797333799</v>
      </c>
      <c r="AI3314">
        <v>97.871460503170198</v>
      </c>
      <c r="AJ3314">
        <v>105.80357711731099</v>
      </c>
      <c r="AK3314">
        <v>8.2079095117115202</v>
      </c>
      <c r="AL3314">
        <v>93.4886105968436</v>
      </c>
      <c r="AM3314">
        <v>105.205470458181</v>
      </c>
      <c r="AN3314">
        <v>1.00000005727699</v>
      </c>
    </row>
    <row r="3315" spans="1:40" x14ac:dyDescent="0.25">
      <c r="A3315" t="str">
        <f>"20190303154202312"</f>
        <v>20190303154202312</v>
      </c>
      <c r="B3315" t="str">
        <f>"1551598922303236"</f>
        <v>1551598922303236</v>
      </c>
      <c r="C3315" t="s">
        <v>40</v>
      </c>
      <c r="D3315">
        <v>6.3217220000000003</v>
      </c>
      <c r="E3315">
        <v>0.49793920000000003</v>
      </c>
      <c r="F3315" t="s">
        <v>41</v>
      </c>
      <c r="G3315">
        <v>-493.45269999999999</v>
      </c>
      <c r="H3315" s="1">
        <v>-3.6227870000000001E-6</v>
      </c>
      <c r="I3315">
        <v>265.89249999999998</v>
      </c>
      <c r="J3315">
        <v>-492.90940000000001</v>
      </c>
      <c r="K3315">
        <v>1.1240730000000001</v>
      </c>
      <c r="L3315">
        <v>274.05779999999999</v>
      </c>
      <c r="M3315">
        <v>-0.33125009999999999</v>
      </c>
      <c r="N3315">
        <v>-1.416297E-2</v>
      </c>
      <c r="O3315">
        <v>-0.94343690000000002</v>
      </c>
      <c r="P3315">
        <v>-7.2132539999999995E-2</v>
      </c>
      <c r="Q3315">
        <v>-7.178321E-2</v>
      </c>
      <c r="R3315">
        <v>-0.9948089</v>
      </c>
      <c r="S3315">
        <v>-0.20541380000000001</v>
      </c>
      <c r="T3315">
        <v>-0.4036901</v>
      </c>
      <c r="U3315">
        <v>-2.971619</v>
      </c>
      <c r="V3315">
        <v>-0.26111440000000002</v>
      </c>
      <c r="W3315">
        <v>-5.9871170000000001E-2</v>
      </c>
      <c r="X3315">
        <v>0.96344940000000001</v>
      </c>
      <c r="Y3315">
        <v>-0.26550309999999999</v>
      </c>
      <c r="Z3315">
        <v>0.10685219999999999</v>
      </c>
      <c r="AA3315">
        <v>0.95817050000000004</v>
      </c>
      <c r="AB3315">
        <v>12</v>
      </c>
      <c r="AC3315">
        <v>-0.54329999999998702</v>
      </c>
      <c r="AD3315">
        <v>-1.1240766227869901</v>
      </c>
      <c r="AE3315">
        <v>-8.1653000000000002</v>
      </c>
      <c r="AF3315">
        <v>-2.1518060562532599</v>
      </c>
      <c r="AG3315">
        <v>-1.1240766227869901</v>
      </c>
      <c r="AH3315">
        <v>7.7381973190665301</v>
      </c>
      <c r="AI3315">
        <v>97.966974558459498</v>
      </c>
      <c r="AJ3315">
        <v>105.539966467564</v>
      </c>
      <c r="AK3315">
        <v>8.1100872564006892</v>
      </c>
      <c r="AL3315">
        <v>93.432418001250298</v>
      </c>
      <c r="AM3315">
        <v>105.16405093929301</v>
      </c>
      <c r="AN3315">
        <v>1.0000000166224401</v>
      </c>
    </row>
    <row r="3316" spans="1:40" x14ac:dyDescent="0.25">
      <c r="A3316" t="str">
        <f>"20190303154202327"</f>
        <v>20190303154202327</v>
      </c>
      <c r="B3316" t="str">
        <f>"1551598922322756"</f>
        <v>1551598922322756</v>
      </c>
      <c r="C3316" t="s">
        <v>40</v>
      </c>
      <c r="D3316">
        <v>6.2623259999999998</v>
      </c>
      <c r="E3316">
        <v>0.49932310000000002</v>
      </c>
      <c r="F3316" t="s">
        <v>41</v>
      </c>
      <c r="G3316">
        <v>-493.4572</v>
      </c>
      <c r="H3316" s="1">
        <v>-3.5712030000000001E-6</v>
      </c>
      <c r="I3316">
        <v>265.76940000000002</v>
      </c>
      <c r="J3316">
        <v>-492.92849999999999</v>
      </c>
      <c r="K3316">
        <v>1.124066</v>
      </c>
      <c r="L3316">
        <v>273.98289999999997</v>
      </c>
      <c r="M3316">
        <v>-0.32581890000000002</v>
      </c>
      <c r="N3316">
        <v>-1.414471E-2</v>
      </c>
      <c r="O3316">
        <v>-0.94532669999999996</v>
      </c>
      <c r="P3316">
        <v>-6.6792009999999999E-2</v>
      </c>
      <c r="Q3316">
        <v>-7.1183209999999997E-2</v>
      </c>
      <c r="R3316">
        <v>-0.99522489999999997</v>
      </c>
      <c r="S3316">
        <v>-0.1964417</v>
      </c>
      <c r="T3316">
        <v>-0.40310750000000001</v>
      </c>
      <c r="U3316">
        <v>-2.972321</v>
      </c>
      <c r="V3316">
        <v>-0.26076329999999998</v>
      </c>
      <c r="W3316">
        <v>-5.9281199999999999E-2</v>
      </c>
      <c r="X3316">
        <v>0.96358089999999996</v>
      </c>
      <c r="Y3316">
        <v>-0.262858799999999</v>
      </c>
      <c r="Z3316">
        <v>0.1070966</v>
      </c>
      <c r="AA3316">
        <v>0.95887199999999995</v>
      </c>
      <c r="AB3316">
        <v>12</v>
      </c>
      <c r="AC3316">
        <v>-0.52870000000001405</v>
      </c>
      <c r="AD3316">
        <v>-1.124069571203</v>
      </c>
      <c r="AE3316">
        <v>-8.2134999999999501</v>
      </c>
      <c r="AF3316">
        <v>-2.1366822073098901</v>
      </c>
      <c r="AG3316">
        <v>-1.124069571203</v>
      </c>
      <c r="AH3316">
        <v>7.7921508987944001</v>
      </c>
      <c r="AI3316">
        <v>97.920216091076497</v>
      </c>
      <c r="AJ3316">
        <v>105.334137613669</v>
      </c>
      <c r="AK3316">
        <v>8.1576074240871392</v>
      </c>
      <c r="AL3316">
        <v>93.398555271049503</v>
      </c>
      <c r="AM3316">
        <v>105.14262627798099</v>
      </c>
      <c r="AN3316">
        <v>0.999999955072568</v>
      </c>
    </row>
    <row r="3317" spans="1:40" x14ac:dyDescent="0.25">
      <c r="A3317" t="str">
        <f>"20190303154202345"</f>
        <v>20190303154202345</v>
      </c>
      <c r="B3317" t="str">
        <f>"1551598922332516"</f>
        <v>1551598922332516</v>
      </c>
      <c r="C3317" t="s">
        <v>40</v>
      </c>
      <c r="D3317">
        <v>6.3101659999999997</v>
      </c>
      <c r="E3317">
        <v>0.49984840000000003</v>
      </c>
      <c r="F3317" t="s">
        <v>41</v>
      </c>
      <c r="G3317">
        <v>-493.46530000000001</v>
      </c>
      <c r="H3317" s="1">
        <v>-3.529681E-6</v>
      </c>
      <c r="I3317">
        <v>265.66759999999999</v>
      </c>
      <c r="J3317">
        <v>-492.95049999999998</v>
      </c>
      <c r="K3317">
        <v>1.1240540000000001</v>
      </c>
      <c r="L3317">
        <v>273.89440000000002</v>
      </c>
      <c r="M3317">
        <v>-0.31939430000000002</v>
      </c>
      <c r="N3317">
        <v>-1.410756E-2</v>
      </c>
      <c r="O3317">
        <v>-0.94751700000000005</v>
      </c>
      <c r="P3317">
        <v>-6.0957280000000003E-2</v>
      </c>
      <c r="Q3317">
        <v>-7.0523569999999994E-2</v>
      </c>
      <c r="R3317">
        <v>-0.99564589999999997</v>
      </c>
      <c r="S3317">
        <v>-0.19192500000000001</v>
      </c>
      <c r="T3317">
        <v>-0.40186319999999998</v>
      </c>
      <c r="U3317">
        <v>-2.9727779999999999</v>
      </c>
      <c r="V3317">
        <v>-0.25989030000000002</v>
      </c>
      <c r="W3317">
        <v>-5.8646249999999997E-2</v>
      </c>
      <c r="X3317">
        <v>0.96385560000000003</v>
      </c>
      <c r="Y3317">
        <v>-0.25777689999999998</v>
      </c>
      <c r="Z3317">
        <v>0.10727299999999999</v>
      </c>
      <c r="AA3317">
        <v>0.96023099999999995</v>
      </c>
      <c r="AB3317">
        <v>12</v>
      </c>
      <c r="AC3317">
        <v>-0.51480000000003601</v>
      </c>
      <c r="AD3317">
        <v>-1.124057529681</v>
      </c>
      <c r="AE3317">
        <v>-8.2268000000000203</v>
      </c>
      <c r="AF3317">
        <v>-2.10095481043196</v>
      </c>
      <c r="AG3317">
        <v>-1.124057529681</v>
      </c>
      <c r="AH3317">
        <v>7.8149226287343803</v>
      </c>
      <c r="AI3317">
        <v>97.9079429059245</v>
      </c>
      <c r="AJ3317">
        <v>105.047548439089</v>
      </c>
      <c r="AK3317">
        <v>8.1700998854735207</v>
      </c>
      <c r="AL3317">
        <v>93.362111808810099</v>
      </c>
      <c r="AM3317">
        <v>105.090142035529</v>
      </c>
      <c r="AN3317">
        <v>0.99999998416225599</v>
      </c>
    </row>
    <row r="3318" spans="1:40" x14ac:dyDescent="0.25">
      <c r="A3318" t="str">
        <f>"20190303154202357"</f>
        <v>20190303154202357</v>
      </c>
      <c r="B3318" t="str">
        <f>"1551598922353012"</f>
        <v>1551598922353012</v>
      </c>
      <c r="C3318" t="s">
        <v>40</v>
      </c>
      <c r="D3318">
        <v>6.309164</v>
      </c>
      <c r="E3318">
        <v>0.50096819999999997</v>
      </c>
      <c r="F3318" t="s">
        <v>41</v>
      </c>
      <c r="G3318">
        <v>-493.4511</v>
      </c>
      <c r="H3318" s="1">
        <v>-3.4761539999999999E-6</v>
      </c>
      <c r="I3318">
        <v>265.55169999999998</v>
      </c>
      <c r="J3318">
        <v>-492.96550000000002</v>
      </c>
      <c r="K3318">
        <v>1.1240460000000001</v>
      </c>
      <c r="L3318">
        <v>273.8331</v>
      </c>
      <c r="M3318">
        <v>-0.31493769999999999</v>
      </c>
      <c r="N3318">
        <v>-1.407159E-2</v>
      </c>
      <c r="O3318">
        <v>-0.94900819999999997</v>
      </c>
      <c r="P3318">
        <v>-5.7322320000000003E-2</v>
      </c>
      <c r="Q3318">
        <v>-7.0562769999999997E-2</v>
      </c>
      <c r="R3318">
        <v>-0.9958591</v>
      </c>
      <c r="S3318">
        <v>-0.17843629999999999</v>
      </c>
      <c r="T3318">
        <v>-0.40068049999999999</v>
      </c>
      <c r="U3318">
        <v>-2.973846</v>
      </c>
      <c r="V3318">
        <v>-0.25887860000000001</v>
      </c>
      <c r="W3318">
        <v>-5.8709959999999999E-2</v>
      </c>
      <c r="X3318">
        <v>0.96412399999999998</v>
      </c>
      <c r="Y3318">
        <v>-0.2575981</v>
      </c>
      <c r="Z3318">
        <v>0.10721559999999999</v>
      </c>
      <c r="AA3318">
        <v>0.96028539999999996</v>
      </c>
      <c r="AB3318">
        <v>12</v>
      </c>
      <c r="AC3318">
        <v>-0.485599999999976</v>
      </c>
      <c r="AD3318">
        <v>-1.1240494761540001</v>
      </c>
      <c r="AE3318">
        <v>-8.2814000000000192</v>
      </c>
      <c r="AF3318">
        <v>-2.1087817287372501</v>
      </c>
      <c r="AG3318">
        <v>-1.1240494761540001</v>
      </c>
      <c r="AH3318">
        <v>7.8683788662293903</v>
      </c>
      <c r="AI3318">
        <v>97.856450664074401</v>
      </c>
      <c r="AJ3318">
        <v>105.00309778228601</v>
      </c>
      <c r="AK3318">
        <v>8.2232495758564692</v>
      </c>
      <c r="AL3318">
        <v>93.365768241542597</v>
      </c>
      <c r="AM3318">
        <v>105.030067551713</v>
      </c>
      <c r="AN3318">
        <v>1.0000000381585801</v>
      </c>
    </row>
    <row r="3319" spans="1:40" x14ac:dyDescent="0.25">
      <c r="A3319" t="str">
        <f>"20190303154202369"</f>
        <v>20190303154202369</v>
      </c>
      <c r="B3319" t="str">
        <f>"1551598922362772"</f>
        <v>1551598922362772</v>
      </c>
      <c r="C3319" t="s">
        <v>40</v>
      </c>
      <c r="D3319">
        <v>6.2738259999999997</v>
      </c>
      <c r="E3319">
        <v>0.50096819999999997</v>
      </c>
      <c r="F3319" t="s">
        <v>41</v>
      </c>
      <c r="G3319">
        <v>-493.46030000000002</v>
      </c>
      <c r="H3319" s="1">
        <v>-3.469072E-6</v>
      </c>
      <c r="I3319">
        <v>265.52940000000001</v>
      </c>
      <c r="J3319">
        <v>-492.98079999999999</v>
      </c>
      <c r="K3319">
        <v>1.124037</v>
      </c>
      <c r="L3319">
        <v>273.76819999999998</v>
      </c>
      <c r="M3319">
        <v>-0.31021300000000002</v>
      </c>
      <c r="N3319">
        <v>-1.4015359999999999E-2</v>
      </c>
      <c r="O3319">
        <v>-0.95056390000000002</v>
      </c>
      <c r="P3319">
        <v>-5.325415E-2</v>
      </c>
      <c r="Q3319">
        <v>-7.0733799999999999E-2</v>
      </c>
      <c r="R3319">
        <v>-0.99607279999999998</v>
      </c>
      <c r="S3319">
        <v>-0.1772156</v>
      </c>
      <c r="T3319">
        <v>-0.40254889999999999</v>
      </c>
      <c r="U3319">
        <v>-2.9737550000000001</v>
      </c>
      <c r="V3319">
        <v>-0.25801499999999999</v>
      </c>
      <c r="W3319">
        <v>-5.892886E-2</v>
      </c>
      <c r="X3319">
        <v>0.96434209999999998</v>
      </c>
      <c r="Y3319">
        <v>-0.25319269999999999</v>
      </c>
      <c r="Z3319">
        <v>0.1082167</v>
      </c>
      <c r="AA3319">
        <v>0.96134419999999998</v>
      </c>
      <c r="AB3319">
        <v>12</v>
      </c>
      <c r="AC3319">
        <v>-0.47950000000003001</v>
      </c>
      <c r="AD3319">
        <v>-1.1240404690720001</v>
      </c>
      <c r="AE3319">
        <v>-8.2387999999999693</v>
      </c>
      <c r="AF3319">
        <v>-2.0619423796990799</v>
      </c>
      <c r="AG3319">
        <v>-1.1240404690720001</v>
      </c>
      <c r="AH3319">
        <v>7.8356761874065297</v>
      </c>
      <c r="AI3319">
        <v>97.898160905923802</v>
      </c>
      <c r="AJ3319">
        <v>104.743031685132</v>
      </c>
      <c r="AK3319">
        <v>8.1800302363255692</v>
      </c>
      <c r="AL3319">
        <v>93.378332106854103</v>
      </c>
      <c r="AM3319">
        <v>104.97895022629601</v>
      </c>
      <c r="AN3319">
        <v>1.00000001829915</v>
      </c>
    </row>
    <row r="3320" spans="1:40" x14ac:dyDescent="0.25">
      <c r="A3320" t="str">
        <f>"20190303154202382"</f>
        <v>20190303154202382</v>
      </c>
      <c r="B3320" t="str">
        <f>"1551598922372532"</f>
        <v>1551598922372532</v>
      </c>
      <c r="C3320" t="s">
        <v>40</v>
      </c>
      <c r="D3320">
        <v>6.2637640000000001</v>
      </c>
      <c r="E3320">
        <v>0.52219439999999995</v>
      </c>
      <c r="F3320" t="s">
        <v>41</v>
      </c>
      <c r="G3320">
        <v>-493.44</v>
      </c>
      <c r="H3320" s="1">
        <v>-3.4396059999999998E-6</v>
      </c>
      <c r="I3320">
        <v>265.47340000000003</v>
      </c>
      <c r="J3320">
        <v>-492.99520000000001</v>
      </c>
      <c r="K3320">
        <v>1.1240239999999999</v>
      </c>
      <c r="L3320">
        <v>273.70620000000002</v>
      </c>
      <c r="M3320">
        <v>-0.305697</v>
      </c>
      <c r="N3320">
        <v>-1.3949110000000001E-2</v>
      </c>
      <c r="O3320">
        <v>-0.9520267</v>
      </c>
      <c r="P3320">
        <v>-4.930292E-2</v>
      </c>
      <c r="Q3320">
        <v>-7.1094009999999999E-2</v>
      </c>
      <c r="R3320">
        <v>-0.99625050000000004</v>
      </c>
      <c r="S3320">
        <v>-0.16464229999999899</v>
      </c>
      <c r="T3320">
        <v>-0.40306750000000002</v>
      </c>
      <c r="U3320">
        <v>-2.9744259999999998</v>
      </c>
      <c r="V3320">
        <v>-0.25725110000000001</v>
      </c>
      <c r="W3320">
        <v>-5.9348829999999998E-2</v>
      </c>
      <c r="X3320">
        <v>0.96452040000000006</v>
      </c>
      <c r="Y3320">
        <v>-0.2526678</v>
      </c>
      <c r="Z3320">
        <v>0.1087118</v>
      </c>
      <c r="AA3320">
        <v>0.96142640000000001</v>
      </c>
      <c r="AB3320">
        <v>12</v>
      </c>
      <c r="AC3320">
        <v>-0.44479999999998598</v>
      </c>
      <c r="AD3320">
        <v>-1.1240274396059999</v>
      </c>
      <c r="AE3320">
        <v>-8.2327999999999903</v>
      </c>
      <c r="AF3320">
        <v>-2.0552842729738798</v>
      </c>
      <c r="AG3320">
        <v>-1.1240274396059999</v>
      </c>
      <c r="AH3320">
        <v>7.8290814148545804</v>
      </c>
      <c r="AI3320">
        <v>97.905845900989902</v>
      </c>
      <c r="AJ3320">
        <v>104.709333627726</v>
      </c>
      <c r="AK3320">
        <v>8.1720344424226798</v>
      </c>
      <c r="AL3320">
        <v>93.402436842290697</v>
      </c>
      <c r="AM3320">
        <v>104.933949433379</v>
      </c>
      <c r="AN3320">
        <v>1.00000000704486</v>
      </c>
    </row>
    <row r="3321" spans="1:40" x14ac:dyDescent="0.25">
      <c r="A3321" t="str">
        <f>"20190303154202394"</f>
        <v>20190303154202394</v>
      </c>
      <c r="B3321" t="str">
        <f>"1551598922383268"</f>
        <v>1551598922383268</v>
      </c>
      <c r="C3321" t="s">
        <v>40</v>
      </c>
      <c r="D3321">
        <v>6.2665449999999998</v>
      </c>
      <c r="E3321">
        <v>0.52266170000000001</v>
      </c>
      <c r="F3321" t="s">
        <v>41</v>
      </c>
      <c r="G3321">
        <v>-493.87939999999998</v>
      </c>
      <c r="H3321" s="1">
        <v>-3.5975810000000002E-6</v>
      </c>
      <c r="I3321">
        <v>265.56900000000002</v>
      </c>
      <c r="J3321">
        <v>-493.01010000000002</v>
      </c>
      <c r="K3321">
        <v>1.1240129999999999</v>
      </c>
      <c r="L3321">
        <v>273.64069999999998</v>
      </c>
      <c r="M3321">
        <v>-0.30091580000000001</v>
      </c>
      <c r="N3321">
        <v>-1.3868159999999999E-2</v>
      </c>
      <c r="O3321">
        <v>-0.95354989999999995</v>
      </c>
      <c r="P3321">
        <v>-4.4832669999999998E-2</v>
      </c>
      <c r="Q3321">
        <v>-7.1425210000000003E-2</v>
      </c>
      <c r="R3321">
        <v>-0.99643780000000004</v>
      </c>
      <c r="S3321">
        <v>-0.32229609999999997</v>
      </c>
      <c r="T3321">
        <v>-0.40972029999999898</v>
      </c>
      <c r="U3321">
        <v>-2.9660950000000001</v>
      </c>
      <c r="V3321">
        <v>-0.25672790000000001</v>
      </c>
      <c r="W3321">
        <v>-5.9757560000000001E-2</v>
      </c>
      <c r="X3321">
        <v>0.96463449999999995</v>
      </c>
      <c r="Y3321">
        <v>-0.1966455</v>
      </c>
      <c r="Z3321">
        <v>0.11218549999999999</v>
      </c>
      <c r="AA3321">
        <v>0.9740354</v>
      </c>
      <c r="AB3321">
        <v>12</v>
      </c>
      <c r="AC3321">
        <v>-0.869299999999952</v>
      </c>
      <c r="AD3321">
        <v>-1.1240165975809999</v>
      </c>
      <c r="AE3321">
        <v>-8.0716999999999608</v>
      </c>
      <c r="AF3321">
        <v>-1.57003837135771</v>
      </c>
      <c r="AG3321">
        <v>-1.1240165975809999</v>
      </c>
      <c r="AH3321">
        <v>7.8094186166567496</v>
      </c>
      <c r="AI3321">
        <v>98.031833129274304</v>
      </c>
      <c r="AJ3321">
        <v>101.367448445932</v>
      </c>
      <c r="AK3321">
        <v>8.0445915327851303</v>
      </c>
      <c r="AL3321">
        <v>93.425897181899302</v>
      </c>
      <c r="AM3321">
        <v>104.903245193869</v>
      </c>
      <c r="AN3321">
        <v>0.99999994960290495</v>
      </c>
    </row>
    <row r="3322" spans="1:40" x14ac:dyDescent="0.25">
      <c r="A3322" t="str">
        <f>"20190303154202412"</f>
        <v>20190303154202412</v>
      </c>
      <c r="B3322" t="str">
        <f>"1551598922402788"</f>
        <v>1551598922402788</v>
      </c>
      <c r="C3322" t="s">
        <v>40</v>
      </c>
      <c r="D3322">
        <v>6.2206440000000001</v>
      </c>
      <c r="E3322">
        <v>0.52296659999999995</v>
      </c>
      <c r="F3322" t="s">
        <v>41</v>
      </c>
      <c r="G3322">
        <v>-493.86470000000003</v>
      </c>
      <c r="H3322" s="1">
        <v>-3.5754839999999999E-6</v>
      </c>
      <c r="I3322">
        <v>265.52670000000001</v>
      </c>
      <c r="J3322">
        <v>-493.02910000000003</v>
      </c>
      <c r="K3322">
        <v>1.1239939999999999</v>
      </c>
      <c r="L3322">
        <v>273.5548</v>
      </c>
      <c r="M3322">
        <v>-0.29462059999999901</v>
      </c>
      <c r="N3322">
        <v>-1.3723229999999999E-2</v>
      </c>
      <c r="O3322">
        <v>-0.95551600000000003</v>
      </c>
      <c r="P3322">
        <v>-3.981614E-2</v>
      </c>
      <c r="Q3322">
        <v>-7.1602550000000001E-2</v>
      </c>
      <c r="R3322">
        <v>-0.99663840000000004</v>
      </c>
      <c r="S3322">
        <v>-0.3125</v>
      </c>
      <c r="T3322">
        <v>-0.41103119999999999</v>
      </c>
      <c r="U3322">
        <v>-2.9671630000000002</v>
      </c>
      <c r="V3322">
        <v>-0.25521450000000001</v>
      </c>
      <c r="W3322">
        <v>-6.0068400000000001E-2</v>
      </c>
      <c r="X3322">
        <v>0.96501669999999995</v>
      </c>
      <c r="Y3322">
        <v>-0.19341079999999999</v>
      </c>
      <c r="Z3322">
        <v>0.1131294</v>
      </c>
      <c r="AA3322">
        <v>0.97457369999999999</v>
      </c>
      <c r="AB3322">
        <v>12</v>
      </c>
      <c r="AC3322">
        <v>-0.83559999999999901</v>
      </c>
      <c r="AD3322">
        <v>-1.1239975754839999</v>
      </c>
      <c r="AE3322">
        <v>-8.0280999999999896</v>
      </c>
      <c r="AF3322">
        <v>-1.5371530000936999</v>
      </c>
      <c r="AG3322">
        <v>-1.1239975754839999</v>
      </c>
      <c r="AH3322">
        <v>7.7672826329361397</v>
      </c>
      <c r="AI3322">
        <v>98.079502400910499</v>
      </c>
      <c r="AJ3322">
        <v>101.194247623929</v>
      </c>
      <c r="AK3322">
        <v>7.9973051333122402</v>
      </c>
      <c r="AL3322">
        <v>93.443739078592102</v>
      </c>
      <c r="AM3322">
        <v>104.813656780363</v>
      </c>
      <c r="AN3322">
        <v>0.99999994248384805</v>
      </c>
    </row>
    <row r="3323" spans="1:40" x14ac:dyDescent="0.25">
      <c r="A3323" t="str">
        <f>"20190303154202426"</f>
        <v>20190303154202426</v>
      </c>
      <c r="B3323" t="str">
        <f>"1551598922423286"</f>
        <v>1551598922423286</v>
      </c>
      <c r="C3323" t="s">
        <v>40</v>
      </c>
      <c r="D3323">
        <v>6.1491259999999999</v>
      </c>
      <c r="E3323">
        <v>0.49748330000000002</v>
      </c>
      <c r="F3323" t="s">
        <v>41</v>
      </c>
      <c r="G3323">
        <v>-493.85019999999997</v>
      </c>
      <c r="H3323" s="1">
        <v>-3.532353E-6</v>
      </c>
      <c r="I3323">
        <v>265.43520000000001</v>
      </c>
      <c r="J3323">
        <v>-493.04329999999999</v>
      </c>
      <c r="K3323">
        <v>1.12398</v>
      </c>
      <c r="L3323">
        <v>273.48829999999998</v>
      </c>
      <c r="M3323">
        <v>-0.28973959999999999</v>
      </c>
      <c r="N3323">
        <v>-1.3584590000000001E-2</v>
      </c>
      <c r="O3323">
        <v>-0.9570092</v>
      </c>
      <c r="P3323">
        <v>-3.5314119999999997E-2</v>
      </c>
      <c r="Q3323">
        <v>-7.1475230000000001E-2</v>
      </c>
      <c r="R3323">
        <v>-0.99681739999999996</v>
      </c>
      <c r="S3323">
        <v>-0.30020140000000001</v>
      </c>
      <c r="T3323">
        <v>-0.41094550000000002</v>
      </c>
      <c r="U3323">
        <v>-2.9686279999999998</v>
      </c>
      <c r="V3323">
        <v>-0.25464789999999998</v>
      </c>
      <c r="W3323">
        <v>-6.0077999999999999E-2</v>
      </c>
      <c r="X3323">
        <v>0.96516590000000002</v>
      </c>
      <c r="Y3323">
        <v>-0.19245429999999999</v>
      </c>
      <c r="Z3323">
        <v>0.1135058</v>
      </c>
      <c r="AA3323">
        <v>0.97471929999999996</v>
      </c>
      <c r="AB3323">
        <v>12</v>
      </c>
      <c r="AC3323">
        <v>-0.80689999999998396</v>
      </c>
      <c r="AD3323">
        <v>-1.1239835323530001</v>
      </c>
      <c r="AE3323">
        <v>-8.0530999999999704</v>
      </c>
      <c r="AF3323">
        <v>-1.5316940195105999</v>
      </c>
      <c r="AG3323">
        <v>-1.1239835323530001</v>
      </c>
      <c r="AH3323">
        <v>7.7911490651694901</v>
      </c>
      <c r="AI3323">
        <v>98.056951324490001</v>
      </c>
      <c r="AJ3323">
        <v>101.12217257156</v>
      </c>
      <c r="AK3323">
        <v>8.0194407103049699</v>
      </c>
      <c r="AL3323">
        <v>93.444289684624906</v>
      </c>
      <c r="AM3323">
        <v>104.78002560381699</v>
      </c>
      <c r="AN3323">
        <v>1.0000000667905999</v>
      </c>
    </row>
    <row r="3324" spans="1:40" x14ac:dyDescent="0.25">
      <c r="A3324" t="str">
        <f>"20190303154202446"</f>
        <v>20190303154202446</v>
      </c>
      <c r="B3324" t="str">
        <f>"1551598922442804"</f>
        <v>1551598922442804</v>
      </c>
      <c r="C3324" t="s">
        <v>40</v>
      </c>
      <c r="D3324">
        <v>6.1430400000000001</v>
      </c>
      <c r="E3324">
        <v>0.4953051</v>
      </c>
      <c r="F3324" t="s">
        <v>41</v>
      </c>
      <c r="G3324">
        <v>-493.30739999999997</v>
      </c>
      <c r="H3324" s="1">
        <v>-2.834034E-6</v>
      </c>
      <c r="I3324">
        <v>264.14400000000001</v>
      </c>
      <c r="J3324">
        <v>-493.0643</v>
      </c>
      <c r="K3324">
        <v>1.1239619999999999</v>
      </c>
      <c r="L3324">
        <v>273.3877</v>
      </c>
      <c r="M3324">
        <v>-0.28232099999999999</v>
      </c>
      <c r="N3324">
        <v>-1.3340660000000001E-2</v>
      </c>
      <c r="O3324">
        <v>-0.9592273</v>
      </c>
      <c r="P3324">
        <v>-2.8647720000000002E-2</v>
      </c>
      <c r="Q3324">
        <v>-7.0172990000000005E-2</v>
      </c>
      <c r="R3324">
        <v>-0.99712369999999995</v>
      </c>
      <c r="S3324">
        <v>-8.4259029999999999E-2</v>
      </c>
      <c r="T3324">
        <v>-0.35855900000000002</v>
      </c>
      <c r="U3324">
        <v>-2.9809269999999999</v>
      </c>
      <c r="V3324">
        <v>-0.2536583</v>
      </c>
      <c r="W3324">
        <v>-5.9015289999999998E-2</v>
      </c>
      <c r="X3324">
        <v>0.96549200000000002</v>
      </c>
      <c r="Y3324">
        <v>-0.25500200000000001</v>
      </c>
      <c r="Z3324">
        <v>9.6965750000000003E-2</v>
      </c>
      <c r="AA3324">
        <v>0.96206639999999999</v>
      </c>
      <c r="AB3324">
        <v>12</v>
      </c>
      <c r="AC3324">
        <v>-0.24309999999996901</v>
      </c>
      <c r="AD3324">
        <v>-1.123964834034</v>
      </c>
      <c r="AE3324">
        <v>-9.2436999999999898</v>
      </c>
      <c r="AF3324">
        <v>-2.3421102540208198</v>
      </c>
      <c r="AG3324">
        <v>-1.123964834034</v>
      </c>
      <c r="AH3324">
        <v>8.8061298972595399</v>
      </c>
      <c r="AI3324">
        <v>97.031707909542405</v>
      </c>
      <c r="AJ3324">
        <v>104.89380370600099</v>
      </c>
      <c r="AK3324">
        <v>9.1813234970533006</v>
      </c>
      <c r="AL3324">
        <v>93.383292639865999</v>
      </c>
      <c r="AM3324">
        <v>104.720331225934</v>
      </c>
      <c r="AN3324">
        <v>1.00000006983833</v>
      </c>
    </row>
    <row r="3325" spans="1:40" x14ac:dyDescent="0.25">
      <c r="A3325" t="str">
        <f>"20190303154202462"</f>
        <v>20190303154202462</v>
      </c>
      <c r="B3325" t="str">
        <f>"1551598922452564"</f>
        <v>1551598922452564</v>
      </c>
      <c r="C3325" t="s">
        <v>40</v>
      </c>
      <c r="D3325">
        <v>6.1002869999999998</v>
      </c>
      <c r="E3325">
        <v>0.4950367</v>
      </c>
      <c r="F3325" t="s">
        <v>41</v>
      </c>
      <c r="G3325">
        <v>-493.21690000000001</v>
      </c>
      <c r="H3325" s="1">
        <v>-2.6077309999999998E-6</v>
      </c>
      <c r="I3325">
        <v>263.67259999999999</v>
      </c>
      <c r="J3325">
        <v>-493.0806</v>
      </c>
      <c r="K3325">
        <v>1.1239459999999999</v>
      </c>
      <c r="L3325">
        <v>273.30650000000003</v>
      </c>
      <c r="M3325">
        <v>-0.27632689999999999</v>
      </c>
      <c r="N3325">
        <v>-1.311881E-2</v>
      </c>
      <c r="O3325">
        <v>-0.96097429999999995</v>
      </c>
      <c r="P3325">
        <v>-2.3027510000000001E-2</v>
      </c>
      <c r="Q3325">
        <v>-6.9682140000000004E-2</v>
      </c>
      <c r="R3325">
        <v>-0.99730370000000002</v>
      </c>
      <c r="S3325">
        <v>-4.6875E-2</v>
      </c>
      <c r="T3325">
        <v>-0.34511510000000001</v>
      </c>
      <c r="U3325">
        <v>-2.9830320000000001</v>
      </c>
      <c r="V3325">
        <v>-0.25308039999999998</v>
      </c>
      <c r="W3325">
        <v>-5.8745249999999999E-2</v>
      </c>
      <c r="X3325">
        <v>0.96565999999999996</v>
      </c>
      <c r="Y3325">
        <v>-0.26103130000000002</v>
      </c>
      <c r="Z3325">
        <v>9.3221600000000002E-2</v>
      </c>
      <c r="AA3325">
        <v>0.96081859999999997</v>
      </c>
      <c r="AB3325">
        <v>12</v>
      </c>
      <c r="AC3325">
        <v>-0.136300000000005</v>
      </c>
      <c r="AD3325">
        <v>-1.1239486077309999</v>
      </c>
      <c r="AE3325">
        <v>-9.6339000000000397</v>
      </c>
      <c r="AF3325">
        <v>-2.49735780059157</v>
      </c>
      <c r="AG3325">
        <v>-1.1239486077309999</v>
      </c>
      <c r="AH3325">
        <v>9.1715834028490804</v>
      </c>
      <c r="AI3325">
        <v>96.743444757051805</v>
      </c>
      <c r="AJ3325">
        <v>105.231955831902</v>
      </c>
      <c r="AK3325">
        <v>9.5717291317928996</v>
      </c>
      <c r="AL3325">
        <v>93.367793953970406</v>
      </c>
      <c r="AM3325">
        <v>104.68580124786899</v>
      </c>
      <c r="AN3325">
        <v>0.99999996443086003</v>
      </c>
    </row>
    <row r="3326" spans="1:40" x14ac:dyDescent="0.25">
      <c r="A3326" t="str">
        <f>"20190303154202481"</f>
        <v>20190303154202481</v>
      </c>
      <c r="B3326" t="str">
        <f>"1551598922473060"</f>
        <v>1551598922473060</v>
      </c>
      <c r="C3326" t="s">
        <v>40</v>
      </c>
      <c r="D3326">
        <v>6.1227970000000003</v>
      </c>
      <c r="E3326">
        <v>0.49532500000000002</v>
      </c>
      <c r="F3326" t="s">
        <v>41</v>
      </c>
      <c r="G3326">
        <v>-493.17380000000003</v>
      </c>
      <c r="H3326" s="1">
        <v>-2.5242899999999998E-6</v>
      </c>
      <c r="I3326">
        <v>263.50479999999999</v>
      </c>
      <c r="J3326">
        <v>-493.1</v>
      </c>
      <c r="K3326">
        <v>1.1239269999999999</v>
      </c>
      <c r="L3326">
        <v>273.20609999999999</v>
      </c>
      <c r="M3326">
        <v>-0.26888990000000002</v>
      </c>
      <c r="N3326">
        <v>-1.282311E-2</v>
      </c>
      <c r="O3326">
        <v>-0.96308570000000004</v>
      </c>
      <c r="P3326">
        <v>-1.6845269999999999E-2</v>
      </c>
      <c r="Q3326">
        <v>-6.880812E-2</v>
      </c>
      <c r="R3326">
        <v>-0.99748780000000004</v>
      </c>
      <c r="S3326">
        <v>-2.838135E-2</v>
      </c>
      <c r="T3326">
        <v>-0.34212360000000003</v>
      </c>
      <c r="U3326">
        <v>-2.9835820000000002</v>
      </c>
      <c r="V3326">
        <v>-0.2516176</v>
      </c>
      <c r="W3326">
        <v>-5.8156329999999999E-2</v>
      </c>
      <c r="X3326">
        <v>0.96607790000000004</v>
      </c>
      <c r="Y3326">
        <v>-0.25953500000000002</v>
      </c>
      <c r="Z3326">
        <v>9.2957979999999996E-2</v>
      </c>
      <c r="AA3326">
        <v>0.96124940000000003</v>
      </c>
      <c r="AB3326">
        <v>12</v>
      </c>
      <c r="AC3326">
        <v>-7.3800000000005597E-2</v>
      </c>
      <c r="AD3326">
        <v>-1.12392952428999</v>
      </c>
      <c r="AE3326">
        <v>-9.7012999999999998</v>
      </c>
      <c r="AF3326">
        <v>-2.5041059150613498</v>
      </c>
      <c r="AG3326">
        <v>-1.12392952428999</v>
      </c>
      <c r="AH3326">
        <v>9.2397864313811802</v>
      </c>
      <c r="AI3326">
        <v>96.696156740267099</v>
      </c>
      <c r="AJ3326">
        <v>105.163679504572</v>
      </c>
      <c r="AK3326">
        <v>9.6388493767125407</v>
      </c>
      <c r="AL3326">
        <v>93.333993273647707</v>
      </c>
      <c r="AM3326">
        <v>104.59850908752701</v>
      </c>
      <c r="AN3326">
        <v>1.0000000421086099</v>
      </c>
    </row>
    <row r="3327" spans="1:40" x14ac:dyDescent="0.25">
      <c r="A3327" t="str">
        <f>"20190303154202501"</f>
        <v>20190303154202501</v>
      </c>
      <c r="B3327" t="str">
        <f>"1551598922492580"</f>
        <v>1551598922492580</v>
      </c>
      <c r="C3327" t="s">
        <v>40</v>
      </c>
      <c r="D3327">
        <v>6.080425</v>
      </c>
      <c r="E3327">
        <v>0.49569999999999997</v>
      </c>
      <c r="F3327" t="s">
        <v>41</v>
      </c>
      <c r="G3327">
        <v>-493.14109999999999</v>
      </c>
      <c r="H3327" s="1">
        <v>-2.350478E-6</v>
      </c>
      <c r="I3327">
        <v>263.12</v>
      </c>
      <c r="J3327">
        <v>-493.11939999999998</v>
      </c>
      <c r="K3327">
        <v>1.1239030000000001</v>
      </c>
      <c r="L3327">
        <v>273.10140000000001</v>
      </c>
      <c r="M3327">
        <v>-0.2611406</v>
      </c>
      <c r="N3327">
        <v>-1.250213E-2</v>
      </c>
      <c r="O3327">
        <v>-0.96521979999999996</v>
      </c>
      <c r="P3327">
        <v>-1.0672040000000001E-2</v>
      </c>
      <c r="Q3327">
        <v>-6.9250999999999993E-2</v>
      </c>
      <c r="R3327">
        <v>-0.99754200000000004</v>
      </c>
      <c r="S3327">
        <v>-1.2146000000000001E-2</v>
      </c>
      <c r="T3327">
        <v>-0.33255949999999901</v>
      </c>
      <c r="U3327">
        <v>-2.984375</v>
      </c>
      <c r="V3327">
        <v>-0.24981519999999999</v>
      </c>
      <c r="W3327">
        <v>-5.8905539999999999E-2</v>
      </c>
      <c r="X3327">
        <v>0.96650020000000003</v>
      </c>
      <c r="Y3327">
        <v>-0.25701819999999997</v>
      </c>
      <c r="Z3327">
        <v>9.0708209999999997E-2</v>
      </c>
      <c r="AA3327">
        <v>0.96214010000000005</v>
      </c>
      <c r="AB3327">
        <v>12</v>
      </c>
      <c r="AC3327">
        <v>-2.1700000000009802E-2</v>
      </c>
      <c r="AD3327">
        <v>-1.1239053504780001</v>
      </c>
      <c r="AE3327">
        <v>-9.9814000000000007</v>
      </c>
      <c r="AF3327">
        <v>-2.5534314607771602</v>
      </c>
      <c r="AG3327">
        <v>-1.1239053504780001</v>
      </c>
      <c r="AH3327">
        <v>9.5199645166941007</v>
      </c>
      <c r="AI3327">
        <v>96.5051874167318</v>
      </c>
      <c r="AJ3327">
        <v>105.01440040864701</v>
      </c>
      <c r="AK3327">
        <v>9.92032760854371</v>
      </c>
      <c r="AL3327">
        <v>93.376993480592404</v>
      </c>
      <c r="AM3327">
        <v>104.49229020927299</v>
      </c>
      <c r="AN3327">
        <v>1.00000006669688</v>
      </c>
    </row>
    <row r="3328" spans="1:40" x14ac:dyDescent="0.25">
      <c r="A3328" t="str">
        <f>"20190303154202524"</f>
        <v>20190303154202524</v>
      </c>
      <c r="B3328" t="str">
        <f>"1551598922513076"</f>
        <v>1551598922513076</v>
      </c>
      <c r="C3328" t="s">
        <v>40</v>
      </c>
      <c r="D3328">
        <v>6.1430020000000001</v>
      </c>
      <c r="E3328">
        <v>0.49535479999999998</v>
      </c>
      <c r="F3328" t="s">
        <v>41</v>
      </c>
      <c r="G3328">
        <v>-493.10730000000001</v>
      </c>
      <c r="H3328" s="1">
        <v>-2.2637859999999999E-6</v>
      </c>
      <c r="I3328">
        <v>262.93880000000001</v>
      </c>
      <c r="J3328">
        <v>-493.1404</v>
      </c>
      <c r="K3328">
        <v>1.123872</v>
      </c>
      <c r="L3328">
        <v>272.98329999999999</v>
      </c>
      <c r="M3328">
        <v>-0.25239549999999999</v>
      </c>
      <c r="N3328">
        <v>-1.21309E-2</v>
      </c>
      <c r="O3328">
        <v>-0.96754830000000003</v>
      </c>
      <c r="P3328">
        <v>-3.6676389999999999E-3</v>
      </c>
      <c r="Q3328">
        <v>-6.9936330000000005E-2</v>
      </c>
      <c r="R3328">
        <v>-0.99754480000000001</v>
      </c>
      <c r="S3328">
        <v>3.5705569999999998E-3</v>
      </c>
      <c r="T3328">
        <v>-0.33006000000000002</v>
      </c>
      <c r="U3328">
        <v>-2.984467</v>
      </c>
      <c r="V3328">
        <v>-0.24783269999999999</v>
      </c>
      <c r="W3328">
        <v>-5.9944539999999998E-2</v>
      </c>
      <c r="X3328">
        <v>0.96694650000000004</v>
      </c>
      <c r="Y3328">
        <v>-0.25335000000000002</v>
      </c>
      <c r="Z3328">
        <v>9.0733610000000006E-2</v>
      </c>
      <c r="AA3328">
        <v>0.96311009999999997</v>
      </c>
      <c r="AB3328">
        <v>12</v>
      </c>
      <c r="AC3328">
        <v>3.3099999999990297E-2</v>
      </c>
      <c r="AD3328">
        <v>-1.123874263786</v>
      </c>
      <c r="AE3328">
        <v>-10.0444999999999</v>
      </c>
      <c r="AF3328">
        <v>-2.5356566896038299</v>
      </c>
      <c r="AG3328">
        <v>-1.123874263786</v>
      </c>
      <c r="AH3328">
        <v>9.5908285946113399</v>
      </c>
      <c r="AI3328">
        <v>96.463461643077096</v>
      </c>
      <c r="AJ3328">
        <v>104.809216161596</v>
      </c>
      <c r="AK3328">
        <v>9.9838189757000109</v>
      </c>
      <c r="AL3328">
        <v>93.436629535956399</v>
      </c>
      <c r="AM3328">
        <v>104.375706676416</v>
      </c>
      <c r="AN3328">
        <v>0.99999996446367501</v>
      </c>
    </row>
    <row r="3329" spans="1:40" x14ac:dyDescent="0.25">
      <c r="A3329" t="str">
        <f>"20190303154202537"</f>
        <v>20190303154202537</v>
      </c>
      <c r="B3329" t="str">
        <f>"1551598922532596"</f>
        <v>1551598922532596</v>
      </c>
      <c r="C3329" t="s">
        <v>40</v>
      </c>
      <c r="D3329">
        <v>6.0640660000000004</v>
      </c>
      <c r="E3329">
        <v>0.49616929999999998</v>
      </c>
      <c r="F3329" t="s">
        <v>41</v>
      </c>
      <c r="G3329">
        <v>-493.0487</v>
      </c>
      <c r="H3329" s="1">
        <v>-2.2851680000000001E-6</v>
      </c>
      <c r="I3329">
        <v>263.02499999999998</v>
      </c>
      <c r="J3329">
        <v>-493.15140000000002</v>
      </c>
      <c r="K3329">
        <v>1.1238549999999901</v>
      </c>
      <c r="L3329">
        <v>272.91849999999999</v>
      </c>
      <c r="M3329">
        <v>-0.24759690000000001</v>
      </c>
      <c r="N3329">
        <v>-1.1923609999999999E-2</v>
      </c>
      <c r="O3329">
        <v>-0.96878980000000003</v>
      </c>
      <c r="P3329">
        <v>1.0753579999999999E-4</v>
      </c>
      <c r="Q3329">
        <v>-6.9806489999999999E-2</v>
      </c>
      <c r="R3329">
        <v>-0.99756060000000002</v>
      </c>
      <c r="S3329">
        <v>2.7465819999999998E-2</v>
      </c>
      <c r="T3329">
        <v>-0.33675549999999999</v>
      </c>
      <c r="U3329">
        <v>-2.9838870000000002</v>
      </c>
      <c r="V3329">
        <v>-0.24669959999999999</v>
      </c>
      <c r="W3329">
        <v>-6.0011219999999997E-2</v>
      </c>
      <c r="X3329">
        <v>0.96723210000000004</v>
      </c>
      <c r="Y3329">
        <v>-0.25626090000000001</v>
      </c>
      <c r="Z3329">
        <v>9.3171729999999994E-2</v>
      </c>
      <c r="AA3329">
        <v>0.96210669999999998</v>
      </c>
      <c r="AB3329">
        <v>12</v>
      </c>
      <c r="AC3329">
        <v>0.10270000000002701</v>
      </c>
      <c r="AD3329">
        <v>-1.12385728516799</v>
      </c>
      <c r="AE3329">
        <v>-9.8935000000000102</v>
      </c>
      <c r="AF3329">
        <v>-2.5168025967735299</v>
      </c>
      <c r="AG3329">
        <v>-1.12385728516799</v>
      </c>
      <c r="AH3329">
        <v>9.4381961213744408</v>
      </c>
      <c r="AI3329">
        <v>96.563306187880201</v>
      </c>
      <c r="AJ3329">
        <v>104.93113548529401</v>
      </c>
      <c r="AK3329">
        <v>9.8324410262192092</v>
      </c>
      <c r="AL3329">
        <v>93.440456830686202</v>
      </c>
      <c r="AM3329">
        <v>104.30863396695101</v>
      </c>
      <c r="AN3329">
        <v>0.99999998721822903</v>
      </c>
    </row>
    <row r="3330" spans="1:40" x14ac:dyDescent="0.25">
      <c r="A3330" t="str">
        <f>"20190303154202557"</f>
        <v>20190303154202557</v>
      </c>
      <c r="B3330" t="str">
        <f>"1551598922553092"</f>
        <v>1551598922553092</v>
      </c>
      <c r="C3330" t="s">
        <v>40</v>
      </c>
      <c r="D3330">
        <v>6.1091300000000004</v>
      </c>
      <c r="E3330">
        <v>0.4967068</v>
      </c>
      <c r="F3330" t="s">
        <v>41</v>
      </c>
      <c r="G3330">
        <v>-493.04410000000001</v>
      </c>
      <c r="H3330" s="1">
        <v>-2.2048769999999998E-6</v>
      </c>
      <c r="I3330">
        <v>262.84070000000003</v>
      </c>
      <c r="J3330">
        <v>-493.16910000000001</v>
      </c>
      <c r="K3330">
        <v>1.123831</v>
      </c>
      <c r="L3330">
        <v>272.81020000000001</v>
      </c>
      <c r="M3330">
        <v>-0.2395921</v>
      </c>
      <c r="N3330">
        <v>-1.156454E-2</v>
      </c>
      <c r="O3330">
        <v>-0.97080480000000002</v>
      </c>
      <c r="P3330">
        <v>5.9327900000000003E-3</v>
      </c>
      <c r="Q3330">
        <v>-6.8813550000000001E-2</v>
      </c>
      <c r="R3330">
        <v>-0.9976119</v>
      </c>
      <c r="S3330">
        <v>3.17688E-2</v>
      </c>
      <c r="T3330">
        <v>-0.33277089999999998</v>
      </c>
      <c r="U3330">
        <v>-2.9840089999999999</v>
      </c>
      <c r="V3330">
        <v>-0.24438170000000001</v>
      </c>
      <c r="W3330">
        <v>-5.9355459999999999E-2</v>
      </c>
      <c r="X3330">
        <v>0.96786079999999997</v>
      </c>
      <c r="Y3330">
        <v>-0.2496795</v>
      </c>
      <c r="Z3330">
        <v>9.2722379999999993E-2</v>
      </c>
      <c r="AA3330">
        <v>0.96387900000000004</v>
      </c>
      <c r="AB3330">
        <v>12</v>
      </c>
      <c r="AC3330">
        <v>0.125</v>
      </c>
      <c r="AD3330">
        <v>-1.1238332048769999</v>
      </c>
      <c r="AE3330">
        <v>-9.9694999999999805</v>
      </c>
      <c r="AF3330">
        <v>-2.4786396720335202</v>
      </c>
      <c r="AG3330">
        <v>-1.1238332048769999</v>
      </c>
      <c r="AH3330">
        <v>9.5280762248909898</v>
      </c>
      <c r="AI3330">
        <v>96.512149248932403</v>
      </c>
      <c r="AJ3330">
        <v>104.581762797568</v>
      </c>
      <c r="AK3330">
        <v>9.9091317603256996</v>
      </c>
      <c r="AL3330">
        <v>93.402817384137407</v>
      </c>
      <c r="AM3330">
        <v>104.170802153012</v>
      </c>
      <c r="AN3330">
        <v>1.0000000070516699</v>
      </c>
    </row>
    <row r="3331" spans="1:40" x14ac:dyDescent="0.25">
      <c r="A3331" t="str">
        <f>"20190303154202569"</f>
        <v>20190303154202569</v>
      </c>
      <c r="B3331" t="str">
        <f>"1551598922562852"</f>
        <v>1551598922562852</v>
      </c>
      <c r="C3331" t="s">
        <v>40</v>
      </c>
      <c r="D3331">
        <v>6.051933</v>
      </c>
      <c r="E3331">
        <v>0.49714560000000002</v>
      </c>
      <c r="F3331" t="s">
        <v>41</v>
      </c>
      <c r="G3331">
        <v>-493.01670000000001</v>
      </c>
      <c r="H3331" s="1">
        <v>-2.1105540000000002E-6</v>
      </c>
      <c r="I3331">
        <v>262.63780000000003</v>
      </c>
      <c r="J3331">
        <v>-493.17970000000003</v>
      </c>
      <c r="K3331">
        <v>1.1238189999999999</v>
      </c>
      <c r="L3331">
        <v>272.74220000000003</v>
      </c>
      <c r="M3331">
        <v>-0.23456940000000001</v>
      </c>
      <c r="N3331">
        <v>-1.132755E-2</v>
      </c>
      <c r="O3331">
        <v>-0.97203360000000005</v>
      </c>
      <c r="P3331">
        <v>9.6827179999999999E-3</v>
      </c>
      <c r="Q3331">
        <v>-6.7773630000000001E-2</v>
      </c>
      <c r="R3331">
        <v>-0.99765400000000004</v>
      </c>
      <c r="S3331">
        <v>4.4708249999999998E-2</v>
      </c>
      <c r="T3331">
        <v>-0.32968199999999998</v>
      </c>
      <c r="U3331">
        <v>-2.9841310000000001</v>
      </c>
      <c r="V3331">
        <v>-0.2430359</v>
      </c>
      <c r="W3331">
        <v>-5.8540750000000003E-2</v>
      </c>
      <c r="X3331">
        <v>0.96824920000000003</v>
      </c>
      <c r="Y3331">
        <v>-0.24885860000000001</v>
      </c>
      <c r="Z3331">
        <v>9.2201110000000003E-2</v>
      </c>
      <c r="AA3331">
        <v>0.96414120000000003</v>
      </c>
      <c r="AB3331">
        <v>12</v>
      </c>
      <c r="AC3331">
        <v>0.16300000000001</v>
      </c>
      <c r="AD3331">
        <v>-1.1238211105539999</v>
      </c>
      <c r="AE3331">
        <v>-10.104399999999901</v>
      </c>
      <c r="AF3331">
        <v>-2.4978950344011102</v>
      </c>
      <c r="AG3331">
        <v>-1.1238211105539999</v>
      </c>
      <c r="AH3331">
        <v>9.6646850580021901</v>
      </c>
      <c r="AI3331">
        <v>96.423413408240094</v>
      </c>
      <c r="AJ3331">
        <v>104.491317465934</v>
      </c>
      <c r="AK3331">
        <v>10.0453268120944</v>
      </c>
      <c r="AL3331">
        <v>93.356056678876598</v>
      </c>
      <c r="AM3331">
        <v>104.09045407153801</v>
      </c>
      <c r="AN3331">
        <v>0.999999990700006</v>
      </c>
    </row>
    <row r="3332" spans="1:40" x14ac:dyDescent="0.25">
      <c r="A3332" t="str">
        <f>"20190303154202584"</f>
        <v>20190303154202584</v>
      </c>
      <c r="B3332" t="str">
        <f>"1551598922572612"</f>
        <v>1551598922572612</v>
      </c>
      <c r="C3332" t="s">
        <v>40</v>
      </c>
      <c r="D3332">
        <v>6.1044239999999999</v>
      </c>
      <c r="E3332">
        <v>0.49731229999999998</v>
      </c>
      <c r="F3332" t="s">
        <v>41</v>
      </c>
      <c r="G3332">
        <v>-492.99810000000002</v>
      </c>
      <c r="H3332" s="1">
        <v>-2.0092850000000002E-6</v>
      </c>
      <c r="I3332">
        <v>262.41329999999999</v>
      </c>
      <c r="J3332">
        <v>-493.19029999999998</v>
      </c>
      <c r="K3332">
        <v>1.1238060000000001</v>
      </c>
      <c r="L3332">
        <v>272.67239999999998</v>
      </c>
      <c r="M3332">
        <v>-0.2294187</v>
      </c>
      <c r="N3332">
        <v>-1.107635E-2</v>
      </c>
      <c r="O3332">
        <v>-0.97326500000000005</v>
      </c>
      <c r="P3332">
        <v>1.357823E-2</v>
      </c>
      <c r="Q3332">
        <v>-6.6527929999999999E-2</v>
      </c>
      <c r="R3332">
        <v>-0.99769229999999998</v>
      </c>
      <c r="S3332">
        <v>5.2490229999999999E-2</v>
      </c>
      <c r="T3332">
        <v>-0.32472050000000002</v>
      </c>
      <c r="U3332">
        <v>-2.984467</v>
      </c>
      <c r="V3332">
        <v>-0.24171319999999999</v>
      </c>
      <c r="W3332">
        <v>-5.7535700000000002E-2</v>
      </c>
      <c r="X3332">
        <v>0.96864050000000002</v>
      </c>
      <c r="Y3332">
        <v>-0.246252</v>
      </c>
      <c r="Z3332">
        <v>9.1128619999999994E-2</v>
      </c>
      <c r="AA3332">
        <v>0.9649122</v>
      </c>
      <c r="AB3332">
        <v>12</v>
      </c>
      <c r="AC3332">
        <v>0.19219999999995699</v>
      </c>
      <c r="AD3332">
        <v>-1.12380800928499</v>
      </c>
      <c r="AE3332">
        <v>-10.259099999999901</v>
      </c>
      <c r="AF3332">
        <v>-2.5107291929343698</v>
      </c>
      <c r="AG3332">
        <v>-1.12380800928499</v>
      </c>
      <c r="AH3332">
        <v>9.8235001888275306</v>
      </c>
      <c r="AI3332">
        <v>96.324683424942407</v>
      </c>
      <c r="AJ3332">
        <v>104.336963714958</v>
      </c>
      <c r="AK3332">
        <v>10.2013656674918</v>
      </c>
      <c r="AL3332">
        <v>93.298374214312602</v>
      </c>
      <c r="AM3332">
        <v>104.011359889055</v>
      </c>
      <c r="AN3332">
        <v>1.0000000230344801</v>
      </c>
    </row>
    <row r="3333" spans="1:40" x14ac:dyDescent="0.25">
      <c r="A3333" t="str">
        <f>"20190303154202598"</f>
        <v>20190303154202598</v>
      </c>
      <c r="B3333" t="str">
        <f>"1551598922593108"</f>
        <v>1551598922593108</v>
      </c>
      <c r="C3333" t="s">
        <v>40</v>
      </c>
      <c r="D3333">
        <v>6.1074769999999896</v>
      </c>
      <c r="E3333">
        <v>0.49771300000000002</v>
      </c>
      <c r="F3333" t="s">
        <v>41</v>
      </c>
      <c r="G3333">
        <v>-492.97120000000001</v>
      </c>
      <c r="H3333" s="1">
        <v>-1.9370529999999998E-6</v>
      </c>
      <c r="I3333">
        <v>262.26170000000002</v>
      </c>
      <c r="J3333">
        <v>-493.20179999999999</v>
      </c>
      <c r="K3333">
        <v>1.123793</v>
      </c>
      <c r="L3333">
        <v>272.59480000000002</v>
      </c>
      <c r="M3333">
        <v>-0.22369849999999999</v>
      </c>
      <c r="N3333">
        <v>-1.07879E-2</v>
      </c>
      <c r="O3333">
        <v>-0.97459870000000004</v>
      </c>
      <c r="P3333">
        <v>1.815665E-2</v>
      </c>
      <c r="Q3333">
        <v>-6.5617980000000006E-2</v>
      </c>
      <c r="R3333">
        <v>-0.99767989999999995</v>
      </c>
      <c r="S3333">
        <v>6.283569E-2</v>
      </c>
      <c r="T3333">
        <v>-0.32218049999999998</v>
      </c>
      <c r="U3333">
        <v>-2.9846189999999999</v>
      </c>
      <c r="V3333">
        <v>-0.24048430000000001</v>
      </c>
      <c r="W3333">
        <v>-5.6906070000000003E-2</v>
      </c>
      <c r="X3333">
        <v>0.9689835</v>
      </c>
      <c r="Y3333">
        <v>-0.24391019999999999</v>
      </c>
      <c r="Z3333">
        <v>9.0858339999999996E-2</v>
      </c>
      <c r="AA3333">
        <v>0.96553230000000001</v>
      </c>
      <c r="AB3333">
        <v>12</v>
      </c>
      <c r="AC3333">
        <v>0.23059999999998099</v>
      </c>
      <c r="AD3333">
        <v>-1.123794937053</v>
      </c>
      <c r="AE3333">
        <v>-10.3331</v>
      </c>
      <c r="AF3333">
        <v>-2.5067537648454898</v>
      </c>
      <c r="AG3333">
        <v>-1.123794937053</v>
      </c>
      <c r="AH3333">
        <v>9.9025543570210601</v>
      </c>
      <c r="AI3333">
        <v>96.278156265471196</v>
      </c>
      <c r="AJ3333">
        <v>104.20555887691</v>
      </c>
      <c r="AK3333">
        <v>10.2765418449919</v>
      </c>
      <c r="AL3333">
        <v>93.262239906598495</v>
      </c>
      <c r="AM3333">
        <v>103.938167221188</v>
      </c>
      <c r="AN3333">
        <v>1.0000000113107901</v>
      </c>
    </row>
    <row r="3334" spans="1:40" x14ac:dyDescent="0.25">
      <c r="A3334" t="str">
        <f>"20190303154202613"</f>
        <v>20190303154202613</v>
      </c>
      <c r="B3334" t="str">
        <f>"1551598922602868"</f>
        <v>1551598922602868</v>
      </c>
      <c r="C3334" t="s">
        <v>40</v>
      </c>
      <c r="D3334">
        <v>6.0765820000000001</v>
      </c>
      <c r="E3334">
        <v>0.4977801</v>
      </c>
      <c r="F3334" t="s">
        <v>41</v>
      </c>
      <c r="G3334">
        <v>-492.9468</v>
      </c>
      <c r="H3334" s="1">
        <v>-1.8921230000000001E-6</v>
      </c>
      <c r="I3334">
        <v>262.17200000000003</v>
      </c>
      <c r="J3334">
        <v>-493.21359999999999</v>
      </c>
      <c r="K3334">
        <v>1.1237699999999999</v>
      </c>
      <c r="L3334">
        <v>272.51130000000001</v>
      </c>
      <c r="M3334">
        <v>-0.217554</v>
      </c>
      <c r="N3334">
        <v>-1.045986E-2</v>
      </c>
      <c r="O3334">
        <v>-0.97599230000000003</v>
      </c>
      <c r="P3334">
        <v>2.047827E-2</v>
      </c>
      <c r="Q3334">
        <v>-6.5284209999999995E-2</v>
      </c>
      <c r="R3334">
        <v>-0.99765689999999996</v>
      </c>
      <c r="S3334">
        <v>7.2998049999999995E-2</v>
      </c>
      <c r="T3334">
        <v>-0.32179239999999998</v>
      </c>
      <c r="U3334">
        <v>-2.9845280000000001</v>
      </c>
      <c r="V3334">
        <v>-0.23663590000000001</v>
      </c>
      <c r="W3334">
        <v>-5.68675999999999E-2</v>
      </c>
      <c r="X3334">
        <v>0.96993269999999998</v>
      </c>
      <c r="Y3334">
        <v>-0.2410928</v>
      </c>
      <c r="Z3334">
        <v>9.1320990000000005E-2</v>
      </c>
      <c r="AA3334">
        <v>0.96619600000000005</v>
      </c>
      <c r="AB3334">
        <v>12</v>
      </c>
      <c r="AC3334">
        <v>0.26679999999998899</v>
      </c>
      <c r="AD3334">
        <v>-1.123771892123</v>
      </c>
      <c r="AE3334">
        <v>-10.3392999999999</v>
      </c>
      <c r="AF3334">
        <v>-2.4806031710626</v>
      </c>
      <c r="AG3334">
        <v>-1.123771892123</v>
      </c>
      <c r="AH3334">
        <v>9.9165125213256502</v>
      </c>
      <c r="AI3334">
        <v>96.273669588092801</v>
      </c>
      <c r="AJ3334">
        <v>104.04426437601001</v>
      </c>
      <c r="AK3334">
        <v>10.283650905365199</v>
      </c>
      <c r="AL3334">
        <v>93.260032337427702</v>
      </c>
      <c r="AM3334">
        <v>103.710693682656</v>
      </c>
      <c r="AN3334">
        <v>0.99999995781392903</v>
      </c>
    </row>
    <row r="3335" spans="1:40" x14ac:dyDescent="0.25">
      <c r="A3335" t="str">
        <f>"20190303154202626"</f>
        <v>20190303154202626</v>
      </c>
      <c r="B3335" t="str">
        <f>"1551598922623367"</f>
        <v>1551598922623367</v>
      </c>
      <c r="C3335" t="s">
        <v>40</v>
      </c>
      <c r="D3335">
        <v>6.0261069999999997</v>
      </c>
      <c r="E3335">
        <v>0.49851839999999997</v>
      </c>
      <c r="F3335" t="s">
        <v>41</v>
      </c>
      <c r="G3335">
        <v>-492.93560000000002</v>
      </c>
      <c r="H3335" s="1">
        <v>-1.848907E-6</v>
      </c>
      <c r="I3335">
        <v>262.07819999999998</v>
      </c>
      <c r="J3335">
        <v>-493.22269999999997</v>
      </c>
      <c r="K3335">
        <v>1.12375</v>
      </c>
      <c r="L3335">
        <v>272.4436</v>
      </c>
      <c r="M3335">
        <v>-0.21259149999999999</v>
      </c>
      <c r="N3335">
        <v>-1.018371E-2</v>
      </c>
      <c r="O3335">
        <v>-0.97708819999999996</v>
      </c>
      <c r="P3335">
        <v>2.338811E-2</v>
      </c>
      <c r="Q3335">
        <v>-6.531969E-2</v>
      </c>
      <c r="R3335">
        <v>-0.99759050000000005</v>
      </c>
      <c r="S3335">
        <v>7.9498289999999999E-2</v>
      </c>
      <c r="T3335">
        <v>-0.32145370000000001</v>
      </c>
      <c r="U3335">
        <v>-2.984375</v>
      </c>
      <c r="V3335">
        <v>-0.2345303</v>
      </c>
      <c r="W3335">
        <v>-5.7163140000000001E-2</v>
      </c>
      <c r="X3335">
        <v>0.97042669999999998</v>
      </c>
      <c r="Y3335">
        <v>-0.23827019999999999</v>
      </c>
      <c r="Z3335">
        <v>9.1703640000000003E-2</v>
      </c>
      <c r="AA3335">
        <v>0.96685980000000005</v>
      </c>
      <c r="AB3335">
        <v>12</v>
      </c>
      <c r="AC3335">
        <v>0.287099999999952</v>
      </c>
      <c r="AD3335">
        <v>-1.123751848907</v>
      </c>
      <c r="AE3335">
        <v>-10.365399999999999</v>
      </c>
      <c r="AF3335">
        <v>-2.45540889948616</v>
      </c>
      <c r="AG3335">
        <v>-1.123751848907</v>
      </c>
      <c r="AH3335">
        <v>9.9505317061607599</v>
      </c>
      <c r="AI3335">
        <v>96.257198890394207</v>
      </c>
      <c r="AJ3335">
        <v>103.861477477294</v>
      </c>
      <c r="AK3335">
        <v>10.310428328488999</v>
      </c>
      <c r="AL3335">
        <v>93.276992875892901</v>
      </c>
      <c r="AM3335">
        <v>103.586577727728</v>
      </c>
      <c r="AN3335">
        <v>1.0000000331328101</v>
      </c>
    </row>
    <row r="3336" spans="1:40" x14ac:dyDescent="0.25">
      <c r="A3336" t="str">
        <f>"20190303154202646"</f>
        <v>20190303154202646</v>
      </c>
      <c r="B3336" t="str">
        <f>"1551598922642888"</f>
        <v>1551598922642888</v>
      </c>
      <c r="C3336" t="s">
        <v>40</v>
      </c>
      <c r="D3336">
        <v>6.0543480000000001</v>
      </c>
      <c r="E3336">
        <v>0.49880360000000001</v>
      </c>
      <c r="F3336" t="s">
        <v>41</v>
      </c>
      <c r="G3336">
        <v>-492.93209999999999</v>
      </c>
      <c r="H3336" s="1">
        <v>-1.7604680000000001E-6</v>
      </c>
      <c r="I3336">
        <v>261.87430000000001</v>
      </c>
      <c r="J3336">
        <v>-493.2371</v>
      </c>
      <c r="K3336">
        <v>1.1237200000000001</v>
      </c>
      <c r="L3336">
        <v>272.33210000000003</v>
      </c>
      <c r="M3336">
        <v>-0.20443929999999999</v>
      </c>
      <c r="N3336">
        <v>-9.7196469999999997E-3</v>
      </c>
      <c r="O3336">
        <v>-0.97883120000000001</v>
      </c>
      <c r="P3336">
        <v>2.7018360000000002E-2</v>
      </c>
      <c r="Q3336">
        <v>-6.5844490000000006E-2</v>
      </c>
      <c r="R3336">
        <v>-0.99746420000000002</v>
      </c>
      <c r="S3336">
        <v>8.2061770000000006E-2</v>
      </c>
      <c r="T3336">
        <v>-0.31732290000000002</v>
      </c>
      <c r="U3336">
        <v>-2.9845579999999998</v>
      </c>
      <c r="V3336">
        <v>-0.22995289999999999</v>
      </c>
      <c r="W3336">
        <v>-5.8113819999999997E-2</v>
      </c>
      <c r="X3336">
        <v>0.97146509999999997</v>
      </c>
      <c r="Y3336">
        <v>-0.2310123</v>
      </c>
      <c r="Z3336">
        <v>9.1232030000000006E-2</v>
      </c>
      <c r="AA3336">
        <v>0.96866410000000003</v>
      </c>
      <c r="AB3336">
        <v>13</v>
      </c>
      <c r="AC3336">
        <v>0.30500000000000599</v>
      </c>
      <c r="AD3336">
        <v>-1.1237217604680001</v>
      </c>
      <c r="AE3336">
        <v>-10.457800000000001</v>
      </c>
      <c r="AF3336">
        <v>-2.40885408334726</v>
      </c>
      <c r="AG3336">
        <v>-1.1237217604680001</v>
      </c>
      <c r="AH3336">
        <v>10.0585071713875</v>
      </c>
      <c r="AI3336">
        <v>96.200658606960701</v>
      </c>
      <c r="AJ3336">
        <v>103.467789311034</v>
      </c>
      <c r="AK3336">
        <v>10.4037923425384</v>
      </c>
      <c r="AL3336">
        <v>93.331553656278501</v>
      </c>
      <c r="AM3336">
        <v>103.317218583139</v>
      </c>
      <c r="AN3336">
        <v>0.99999999640570603</v>
      </c>
    </row>
    <row r="3337" spans="1:40" x14ac:dyDescent="0.25">
      <c r="A3337" t="str">
        <f>"20190303154202662"</f>
        <v>20190303154202662</v>
      </c>
      <c r="B3337" t="str">
        <f>"1551598922652648"</f>
        <v>1551598922652648</v>
      </c>
      <c r="C3337" t="s">
        <v>40</v>
      </c>
      <c r="D3337">
        <v>6.0651250000000001</v>
      </c>
      <c r="E3337">
        <v>0.49901420000000002</v>
      </c>
      <c r="F3337" t="s">
        <v>41</v>
      </c>
      <c r="G3337">
        <v>-492.92059999999998</v>
      </c>
      <c r="H3337" s="1">
        <v>-1.7573779999999999E-6</v>
      </c>
      <c r="I3337">
        <v>261.87419999999997</v>
      </c>
      <c r="J3337">
        <v>-493.24740000000003</v>
      </c>
      <c r="K3337">
        <v>1.123694</v>
      </c>
      <c r="L3337">
        <v>272.2482</v>
      </c>
      <c r="M3337">
        <v>-0.19833439999999999</v>
      </c>
      <c r="N3337">
        <v>-9.3675110000000002E-3</v>
      </c>
      <c r="O3337">
        <v>-0.98008980000000001</v>
      </c>
      <c r="P3337">
        <v>3.1124490000000001E-2</v>
      </c>
      <c r="Q3337">
        <v>-6.5640669999999998E-2</v>
      </c>
      <c r="R3337">
        <v>-0.99735799999999997</v>
      </c>
      <c r="S3337">
        <v>9.0301510000000001E-2</v>
      </c>
      <c r="T3337">
        <v>-0.32063589999999997</v>
      </c>
      <c r="U3337">
        <v>-2.9840089999999999</v>
      </c>
      <c r="V3337">
        <v>-0.22789580000000001</v>
      </c>
      <c r="W3337">
        <v>-5.824526E-2</v>
      </c>
      <c r="X3337">
        <v>0.97194190000000003</v>
      </c>
      <c r="Y3337">
        <v>-0.22762550000000001</v>
      </c>
      <c r="Z3337">
        <v>9.2882599999999996E-2</v>
      </c>
      <c r="AA3337">
        <v>0.96930870000000002</v>
      </c>
      <c r="AB3337">
        <v>13</v>
      </c>
      <c r="AC3337">
        <v>0.326800000000048</v>
      </c>
      <c r="AD3337">
        <v>-1.123695757378</v>
      </c>
      <c r="AE3337">
        <v>-10.374000000000001</v>
      </c>
      <c r="AF3337">
        <v>-2.35036910568865</v>
      </c>
      <c r="AG3337">
        <v>-1.123695757378</v>
      </c>
      <c r="AH3337">
        <v>9.9860288468522995</v>
      </c>
      <c r="AI3337">
        <v>96.250902857684196</v>
      </c>
      <c r="AJ3337">
        <v>103.24440843610699</v>
      </c>
      <c r="AK3337">
        <v>10.3202567418786</v>
      </c>
      <c r="AL3337">
        <v>93.339097274406896</v>
      </c>
      <c r="AM3337">
        <v>103.196026344751</v>
      </c>
      <c r="AN3337">
        <v>1.0000000314728501</v>
      </c>
    </row>
    <row r="3338" spans="1:40" x14ac:dyDescent="0.25">
      <c r="A3338" t="str">
        <f>"20190303154202681"</f>
        <v>20190303154202681</v>
      </c>
      <c r="B3338" t="str">
        <f>"1551598922673144"</f>
        <v>1551598922673144</v>
      </c>
      <c r="C3338" t="s">
        <v>40</v>
      </c>
      <c r="D3338">
        <v>6.0402290000000001</v>
      </c>
      <c r="E3338">
        <v>0.4994169</v>
      </c>
      <c r="F3338" t="s">
        <v>41</v>
      </c>
      <c r="G3338">
        <v>-492.8938</v>
      </c>
      <c r="H3338" s="1">
        <v>-1.715196E-6</v>
      </c>
      <c r="I3338">
        <v>261.79250000000002</v>
      </c>
      <c r="J3338">
        <v>-493.2602</v>
      </c>
      <c r="K3338">
        <v>1.1236569999999999</v>
      </c>
      <c r="L3338">
        <v>272.1377</v>
      </c>
      <c r="M3338">
        <v>-0.19035250000000001</v>
      </c>
      <c r="N3338">
        <v>-8.9102639999999993E-3</v>
      </c>
      <c r="O3338">
        <v>-0.98167539999999998</v>
      </c>
      <c r="P3338">
        <v>3.4937589999999998E-2</v>
      </c>
      <c r="Q3338">
        <v>-6.5399769999999996E-2</v>
      </c>
      <c r="R3338">
        <v>-0.99724749999999995</v>
      </c>
      <c r="S3338">
        <v>0.1009216</v>
      </c>
      <c r="T3338">
        <v>-0.32066440000000002</v>
      </c>
      <c r="U3338">
        <v>-2.9837039999999999</v>
      </c>
      <c r="V3338">
        <v>-0.2236998</v>
      </c>
      <c r="W3338">
        <v>-5.8423860000000001E-2</v>
      </c>
      <c r="X3338">
        <v>0.97290549999999998</v>
      </c>
      <c r="Y3338">
        <v>-0.22315650000000001</v>
      </c>
      <c r="Z3338">
        <v>9.3658850000000002E-2</v>
      </c>
      <c r="AA3338">
        <v>0.97027280000000005</v>
      </c>
      <c r="AB3338">
        <v>13</v>
      </c>
      <c r="AC3338">
        <v>0.36639999999999801</v>
      </c>
      <c r="AD3338">
        <v>-1.12365871519599</v>
      </c>
      <c r="AE3338">
        <v>-10.345199999999901</v>
      </c>
      <c r="AF3338">
        <v>-2.3018903407335101</v>
      </c>
      <c r="AG3338">
        <v>-1.12365871519599</v>
      </c>
      <c r="AH3338">
        <v>9.9688231537145793</v>
      </c>
      <c r="AI3338">
        <v>96.267525629782398</v>
      </c>
      <c r="AJ3338">
        <v>103.00221631897701</v>
      </c>
      <c r="AK3338">
        <v>10.292654813945401</v>
      </c>
      <c r="AL3338">
        <v>93.3493477611309</v>
      </c>
      <c r="AM3338">
        <v>102.948935030461</v>
      </c>
      <c r="AN3338">
        <v>1.0000000299337899</v>
      </c>
    </row>
    <row r="3339" spans="1:40" x14ac:dyDescent="0.25">
      <c r="A3339" t="str">
        <f>"20190303154202705"</f>
        <v>20190303154202705</v>
      </c>
      <c r="B3339" t="str">
        <f>"1551598922703399"</f>
        <v>1551598922703399</v>
      </c>
      <c r="C3339" t="s">
        <v>40</v>
      </c>
      <c r="D3339">
        <v>6.0309549999999996</v>
      </c>
      <c r="E3339">
        <v>0.50007740000000001</v>
      </c>
      <c r="F3339" t="s">
        <v>41</v>
      </c>
      <c r="G3339">
        <v>-492.87830000000002</v>
      </c>
      <c r="H3339" s="1">
        <v>-1.661235E-6</v>
      </c>
      <c r="I3339">
        <v>261.67630000000003</v>
      </c>
      <c r="J3339">
        <v>-493.27499999999998</v>
      </c>
      <c r="K3339">
        <v>1.1236219999999999</v>
      </c>
      <c r="L3339">
        <v>272.00049999999999</v>
      </c>
      <c r="M3339">
        <v>-0.18053759999999999</v>
      </c>
      <c r="N3339">
        <v>-8.3654390000000006E-3</v>
      </c>
      <c r="O3339">
        <v>-0.98353270000000004</v>
      </c>
      <c r="P3339">
        <v>4.0709200000000001E-2</v>
      </c>
      <c r="Q3339">
        <v>-6.4966499999999996E-2</v>
      </c>
      <c r="R3339">
        <v>-0.99705699999999997</v>
      </c>
      <c r="S3339">
        <v>0.10891720000000001</v>
      </c>
      <c r="T3339">
        <v>-0.32045380000000001</v>
      </c>
      <c r="U3339">
        <v>-2.9834589999999999</v>
      </c>
      <c r="V3339">
        <v>-0.219613</v>
      </c>
      <c r="W3339">
        <v>-5.8498889999999998E-2</v>
      </c>
      <c r="X3339">
        <v>0.97383160000000002</v>
      </c>
      <c r="Y3339">
        <v>-0.21602350000000001</v>
      </c>
      <c r="Z3339">
        <v>9.4521090000000002E-2</v>
      </c>
      <c r="AA3339">
        <v>0.97180219999999995</v>
      </c>
      <c r="AB3339">
        <v>13</v>
      </c>
      <c r="AC3339">
        <v>0.39669999999995198</v>
      </c>
      <c r="AD3339">
        <v>-1.1236236612349999</v>
      </c>
      <c r="AE3339">
        <v>-10.3241999999999</v>
      </c>
      <c r="AF3339">
        <v>-2.22780310841042</v>
      </c>
      <c r="AG3339">
        <v>-1.1236236612349999</v>
      </c>
      <c r="AH3339">
        <v>9.9650594912630694</v>
      </c>
      <c r="AI3339">
        <v>96.279562094041097</v>
      </c>
      <c r="AJ3339">
        <v>102.601907891881</v>
      </c>
      <c r="AK3339">
        <v>10.272684531627601</v>
      </c>
      <c r="AL3339">
        <v>93.353654170845005</v>
      </c>
      <c r="AM3339">
        <v>102.708430434663</v>
      </c>
      <c r="AN3339">
        <v>0.99999998752939601</v>
      </c>
    </row>
    <row r="3340" spans="1:40" x14ac:dyDescent="0.25">
      <c r="A3340" t="str">
        <f>"20190303154202719"</f>
        <v>20190303154202719</v>
      </c>
      <c r="B3340" t="str">
        <f>"1551598922713160"</f>
        <v>1551598922713160</v>
      </c>
      <c r="C3340" t="s">
        <v>40</v>
      </c>
      <c r="D3340">
        <v>6.0105810000000002</v>
      </c>
      <c r="E3340">
        <v>0.50026139999999997</v>
      </c>
      <c r="F3340" t="s">
        <v>41</v>
      </c>
      <c r="G3340">
        <v>-492.85270000000003</v>
      </c>
      <c r="H3340" s="1">
        <v>-1.599511E-6</v>
      </c>
      <c r="I3340">
        <v>261.54829999999998</v>
      </c>
      <c r="J3340">
        <v>-493.28210000000001</v>
      </c>
      <c r="K3340">
        <v>1.1236060000000001</v>
      </c>
      <c r="L3340">
        <v>271.93040000000002</v>
      </c>
      <c r="M3340">
        <v>-0.1755573</v>
      </c>
      <c r="N3340">
        <v>-8.0957970000000001E-3</v>
      </c>
      <c r="O3340">
        <v>-0.98443610000000004</v>
      </c>
      <c r="P3340">
        <v>4.3774130000000001E-2</v>
      </c>
      <c r="Q3340">
        <v>-6.4897049999999998E-2</v>
      </c>
      <c r="R3340">
        <v>-0.99693169999999998</v>
      </c>
      <c r="S3340">
        <v>0.12051389999999999</v>
      </c>
      <c r="T3340">
        <v>-0.32067990000000002</v>
      </c>
      <c r="U3340">
        <v>-2.9830320000000001</v>
      </c>
      <c r="V3340">
        <v>-0.21767529999999999</v>
      </c>
      <c r="W3340">
        <v>-5.8682379999999999E-2</v>
      </c>
      <c r="X3340">
        <v>0.9742556</v>
      </c>
      <c r="Y3340">
        <v>-0.21486150000000001</v>
      </c>
      <c r="Z3340">
        <v>9.5024839999999999E-2</v>
      </c>
      <c r="AA3340">
        <v>0.97201070000000001</v>
      </c>
      <c r="AB3340">
        <v>13</v>
      </c>
      <c r="AC3340">
        <v>0.42939999999998602</v>
      </c>
      <c r="AD3340">
        <v>-1.123607599511</v>
      </c>
      <c r="AE3340">
        <v>-10.382099999999999</v>
      </c>
      <c r="AF3340">
        <v>-2.2194915491962499</v>
      </c>
      <c r="AG3340">
        <v>-1.123607599511</v>
      </c>
      <c r="AH3340">
        <v>10.028203206650099</v>
      </c>
      <c r="AI3340">
        <v>96.2431820005379</v>
      </c>
      <c r="AJ3340">
        <v>102.47980765783799</v>
      </c>
      <c r="AK3340">
        <v>10.3321583576957</v>
      </c>
      <c r="AL3340">
        <v>93.364185200922705</v>
      </c>
      <c r="AM3340">
        <v>102.594587646725</v>
      </c>
      <c r="AN3340">
        <v>1.0000000660419499</v>
      </c>
    </row>
    <row r="3341" spans="1:40" x14ac:dyDescent="0.25">
      <c r="A3341" t="str">
        <f>"20190303154202737"</f>
        <v>20190303154202737</v>
      </c>
      <c r="B3341" t="str">
        <f>"1551598922733188"</f>
        <v>1551598922733188</v>
      </c>
      <c r="C3341" t="s">
        <v>40</v>
      </c>
      <c r="D3341">
        <v>5.9413970000000003</v>
      </c>
      <c r="E3341">
        <v>0.50046869999999999</v>
      </c>
      <c r="F3341" t="s">
        <v>41</v>
      </c>
      <c r="G3341">
        <v>-492.83300000000003</v>
      </c>
      <c r="H3341" s="1">
        <v>-1.5641350000000001E-6</v>
      </c>
      <c r="I3341">
        <v>261.47800000000001</v>
      </c>
      <c r="J3341">
        <v>-493.29199999999997</v>
      </c>
      <c r="K3341">
        <v>1.12358</v>
      </c>
      <c r="L3341">
        <v>271.82659999999998</v>
      </c>
      <c r="M3341">
        <v>-0.16824459999999999</v>
      </c>
      <c r="N3341">
        <v>-7.7086380000000003E-3</v>
      </c>
      <c r="O3341">
        <v>-0.98571529999999996</v>
      </c>
      <c r="P3341">
        <v>4.6741850000000001E-2</v>
      </c>
      <c r="Q3341">
        <v>-6.5687120000000002E-2</v>
      </c>
      <c r="R3341">
        <v>-0.99674490000000004</v>
      </c>
      <c r="S3341">
        <v>0.12814329999999999</v>
      </c>
      <c r="T3341">
        <v>-0.3206406</v>
      </c>
      <c r="U3341">
        <v>-2.982758</v>
      </c>
      <c r="V3341">
        <v>-0.2133215</v>
      </c>
      <c r="W3341">
        <v>-5.982287E-2</v>
      </c>
      <c r="X3341">
        <v>0.97514880000000004</v>
      </c>
      <c r="Y3341">
        <v>-0.21010019999999999</v>
      </c>
      <c r="Z3341">
        <v>9.5661999999999997E-2</v>
      </c>
      <c r="AA3341">
        <v>0.97298850000000003</v>
      </c>
      <c r="AB3341">
        <v>13</v>
      </c>
      <c r="AC3341">
        <v>0.45899999999994601</v>
      </c>
      <c r="AD3341">
        <v>-1.123581564135</v>
      </c>
      <c r="AE3341">
        <v>-10.3485999999999</v>
      </c>
      <c r="AF3341">
        <v>-2.1680965266944101</v>
      </c>
      <c r="AG3341">
        <v>-1.123581564135</v>
      </c>
      <c r="AH3341">
        <v>10.006126035554701</v>
      </c>
      <c r="AI3341">
        <v>96.262735778719005</v>
      </c>
      <c r="AJ3341">
        <v>102.22568356562699</v>
      </c>
      <c r="AK3341">
        <v>10.2997881686826</v>
      </c>
      <c r="AL3341">
        <v>93.429645668128103</v>
      </c>
      <c r="AM3341">
        <v>102.339519037909</v>
      </c>
      <c r="AN3341">
        <v>1.00000001013936</v>
      </c>
    </row>
    <row r="3342" spans="1:40" x14ac:dyDescent="0.25">
      <c r="A3342" t="str">
        <f>"20190303154202749"</f>
        <v>20190303154202749</v>
      </c>
      <c r="B3342" t="str">
        <f>"1551598922742949"</f>
        <v>1551598922742949</v>
      </c>
      <c r="C3342" t="s">
        <v>40</v>
      </c>
      <c r="D3342">
        <v>5.9590350000000001</v>
      </c>
      <c r="E3342">
        <v>0.51378800000000002</v>
      </c>
      <c r="F3342" t="s">
        <v>41</v>
      </c>
      <c r="G3342">
        <v>-492.81939999999997</v>
      </c>
      <c r="H3342" s="1">
        <v>-1.5500199999999999E-6</v>
      </c>
      <c r="I3342">
        <v>261.45359999999999</v>
      </c>
      <c r="J3342">
        <v>-493.29919999999998</v>
      </c>
      <c r="K3342">
        <v>1.123561</v>
      </c>
      <c r="L3342">
        <v>271.74590000000001</v>
      </c>
      <c r="M3342">
        <v>-0.16260289999999999</v>
      </c>
      <c r="N3342">
        <v>-7.4130860000000002E-3</v>
      </c>
      <c r="O3342">
        <v>-0.98666379999999998</v>
      </c>
      <c r="P3342">
        <v>5.0260579999999999E-2</v>
      </c>
      <c r="Q3342">
        <v>-6.6694799999999999E-2</v>
      </c>
      <c r="R3342">
        <v>-0.99650700000000003</v>
      </c>
      <c r="S3342">
        <v>0.13586429999999999</v>
      </c>
      <c r="T3342">
        <v>-0.3230249</v>
      </c>
      <c r="U3342">
        <v>-2.982208</v>
      </c>
      <c r="V3342">
        <v>-0.2111614</v>
      </c>
      <c r="W3342">
        <v>-6.1110940000000002E-2</v>
      </c>
      <c r="X3342">
        <v>0.97553900000000004</v>
      </c>
      <c r="Y3342">
        <v>-0.20702770000000001</v>
      </c>
      <c r="Z3342">
        <v>9.6917799999999998E-2</v>
      </c>
      <c r="AA3342">
        <v>0.97352269999999996</v>
      </c>
      <c r="AB3342">
        <v>13</v>
      </c>
      <c r="AC3342">
        <v>0.479800000000011</v>
      </c>
      <c r="AD3342">
        <v>-1.1235625500199999</v>
      </c>
      <c r="AE3342">
        <v>-10.292299999999999</v>
      </c>
      <c r="AF3342">
        <v>-2.12178732793994</v>
      </c>
      <c r="AG3342">
        <v>-1.1235625500199999</v>
      </c>
      <c r="AH3342">
        <v>9.9588759869151602</v>
      </c>
      <c r="AI3342">
        <v>96.296750878498599</v>
      </c>
      <c r="AJ3342">
        <v>102.02731566049</v>
      </c>
      <c r="AK3342">
        <v>10.2441976353235</v>
      </c>
      <c r="AL3342">
        <v>93.503581928504005</v>
      </c>
      <c r="AM3342">
        <v>102.213600394417</v>
      </c>
      <c r="AN3342">
        <v>1.00000001217932</v>
      </c>
    </row>
    <row r="3343" spans="1:40" x14ac:dyDescent="0.25">
      <c r="A3343" t="str">
        <f>"20190303154202763"</f>
        <v>20190303154202763</v>
      </c>
      <c r="B3343" t="str">
        <f>"1551598922752709"</f>
        <v>1551598922752709</v>
      </c>
      <c r="C3343" t="s">
        <v>40</v>
      </c>
      <c r="D3343">
        <v>5.948677</v>
      </c>
      <c r="E3343">
        <v>0.51422449999999997</v>
      </c>
      <c r="F3343" t="s">
        <v>41</v>
      </c>
      <c r="G3343">
        <v>-493.13780000000003</v>
      </c>
      <c r="H3343" s="1">
        <v>-8.6508569999999904E-7</v>
      </c>
      <c r="I3343">
        <v>259.65949999999998</v>
      </c>
      <c r="J3343">
        <v>-493.3057</v>
      </c>
      <c r="K3343">
        <v>1.1235520000000001</v>
      </c>
      <c r="L3343">
        <v>271.6687</v>
      </c>
      <c r="M3343">
        <v>-0.15723000000000001</v>
      </c>
      <c r="N3343">
        <v>-7.13323E-3</v>
      </c>
      <c r="O3343">
        <v>-0.98753630000000003</v>
      </c>
      <c r="P3343">
        <v>5.3439510000000003E-2</v>
      </c>
      <c r="Q3343">
        <v>-6.6984989999999994E-2</v>
      </c>
      <c r="R3343">
        <v>-0.99632189999999998</v>
      </c>
      <c r="S3343">
        <v>3.9916989999999999E-2</v>
      </c>
      <c r="T3343">
        <v>-0.277943</v>
      </c>
      <c r="U3343">
        <v>-2.9898989999999999</v>
      </c>
      <c r="V3343">
        <v>-0.208953</v>
      </c>
      <c r="W3343">
        <v>-6.1666270000000002E-2</v>
      </c>
      <c r="X3343">
        <v>0.97597940000000005</v>
      </c>
      <c r="Y3343">
        <v>-0.17029069999999999</v>
      </c>
      <c r="Z3343">
        <v>8.3043899999999907E-2</v>
      </c>
      <c r="AA3343">
        <v>0.98188839999999999</v>
      </c>
      <c r="AB3343">
        <v>13</v>
      </c>
      <c r="AC3343">
        <v>0.16789999999997399</v>
      </c>
      <c r="AD3343">
        <v>-1.1235528650857001</v>
      </c>
      <c r="AE3343">
        <v>-12.0092</v>
      </c>
      <c r="AF3343">
        <v>-2.0362461585126601</v>
      </c>
      <c r="AG3343">
        <v>-1.1235528650857001</v>
      </c>
      <c r="AH3343">
        <v>11.730762732640001</v>
      </c>
      <c r="AI3343">
        <v>95.390878420958799</v>
      </c>
      <c r="AJ3343">
        <v>99.847380672164206</v>
      </c>
      <c r="AK3343">
        <v>11.9590745356066</v>
      </c>
      <c r="AL3343">
        <v>93.535460383533504</v>
      </c>
      <c r="AM3343">
        <v>102.084348024406</v>
      </c>
      <c r="AN3343">
        <v>0.99999993714453395</v>
      </c>
    </row>
    <row r="3344" spans="1:40" x14ac:dyDescent="0.25">
      <c r="A3344" t="str">
        <f>"20190303154202781"</f>
        <v>20190303154202781</v>
      </c>
      <c r="B3344" t="str">
        <f>"1551598922773204"</f>
        <v>1551598922773204</v>
      </c>
      <c r="C3344" t="s">
        <v>40</v>
      </c>
      <c r="D3344">
        <v>5.9572450000000003</v>
      </c>
      <c r="E3344">
        <v>0.51473970000000002</v>
      </c>
      <c r="F3344" t="s">
        <v>41</v>
      </c>
      <c r="G3344">
        <v>-493.12049999999999</v>
      </c>
      <c r="H3344" s="1">
        <v>-8.6118209999999903E-7</v>
      </c>
      <c r="I3344">
        <v>259.66109999999998</v>
      </c>
      <c r="J3344">
        <v>-493.3141</v>
      </c>
      <c r="K3344">
        <v>1.1235440000000001</v>
      </c>
      <c r="L3344">
        <v>271.56259999999997</v>
      </c>
      <c r="M3344">
        <v>-0.1498872</v>
      </c>
      <c r="N3344">
        <v>-6.753411E-3</v>
      </c>
      <c r="O3344">
        <v>-0.98868009999999995</v>
      </c>
      <c r="P3344">
        <v>5.6988249999999997E-2</v>
      </c>
      <c r="Q3344">
        <v>-6.7899979999999999E-2</v>
      </c>
      <c r="R3344">
        <v>-0.99606340000000004</v>
      </c>
      <c r="S3344">
        <v>4.6112060000000003E-2</v>
      </c>
      <c r="T3344">
        <v>-0.279757599999999</v>
      </c>
      <c r="U3344">
        <v>-2.9898069999999999</v>
      </c>
      <c r="V3344">
        <v>-0.205152</v>
      </c>
      <c r="W3344">
        <v>-6.29358E-2</v>
      </c>
      <c r="X3344">
        <v>0.97670449999999998</v>
      </c>
      <c r="Y3344">
        <v>-0.16500379999999901</v>
      </c>
      <c r="Z3344">
        <v>8.4208439999999996E-2</v>
      </c>
      <c r="AA3344">
        <v>0.98269150000000005</v>
      </c>
      <c r="AB3344">
        <v>13</v>
      </c>
      <c r="AC3344">
        <v>0.19360000000000299</v>
      </c>
      <c r="AD3344">
        <v>-1.1235448611821</v>
      </c>
      <c r="AE3344">
        <v>-11.9015</v>
      </c>
      <c r="AF3344">
        <v>-1.9578916993306099</v>
      </c>
      <c r="AG3344">
        <v>-1.1235448611821</v>
      </c>
      <c r="AH3344">
        <v>11.6343664328319</v>
      </c>
      <c r="AI3344">
        <v>95.439994060931298</v>
      </c>
      <c r="AJ3344">
        <v>99.552527314881004</v>
      </c>
      <c r="AK3344">
        <v>11.851336433280601</v>
      </c>
      <c r="AL3344">
        <v>93.608340565324994</v>
      </c>
      <c r="AM3344">
        <v>101.862254311355</v>
      </c>
      <c r="AN3344">
        <v>0.99999996917294398</v>
      </c>
    </row>
    <row r="3345" spans="1:40" x14ac:dyDescent="0.25">
      <c r="A3345" t="str">
        <f>"20190303154202794"</f>
        <v>20190303154202794</v>
      </c>
      <c r="B3345" t="str">
        <f>"1551598922782964"</f>
        <v>1551598922782964</v>
      </c>
      <c r="C3345" t="s">
        <v>40</v>
      </c>
      <c r="D3345">
        <v>5.9835430000000001</v>
      </c>
      <c r="E3345">
        <v>0.51445079999999999</v>
      </c>
      <c r="F3345" t="s">
        <v>41</v>
      </c>
      <c r="G3345">
        <v>-493.10039999999998</v>
      </c>
      <c r="H3345" s="1">
        <v>-4.7832880000000001E-6</v>
      </c>
      <c r="I3345">
        <v>259.42660000000001</v>
      </c>
      <c r="J3345">
        <v>-493.32010000000002</v>
      </c>
      <c r="K3345">
        <v>1.12354</v>
      </c>
      <c r="L3345">
        <v>271.48160000000001</v>
      </c>
      <c r="M3345">
        <v>-0.14431659999999999</v>
      </c>
      <c r="N3345">
        <v>-6.4670569999999896E-3</v>
      </c>
      <c r="O3345">
        <v>-0.98951049999999996</v>
      </c>
      <c r="P3345">
        <v>6.063582E-2</v>
      </c>
      <c r="Q3345">
        <v>-6.8324819999999994E-2</v>
      </c>
      <c r="R3345">
        <v>-0.99581929999999996</v>
      </c>
      <c r="S3345">
        <v>5.264282E-2</v>
      </c>
      <c r="T3345">
        <v>-0.27681650000000002</v>
      </c>
      <c r="U3345">
        <v>-2.990021</v>
      </c>
      <c r="V3345">
        <v>-0.20321400000000001</v>
      </c>
      <c r="W3345">
        <v>-6.3637280000000004E-2</v>
      </c>
      <c r="X3345">
        <v>0.97706420000000005</v>
      </c>
      <c r="Y3345">
        <v>-0.16159799999999999</v>
      </c>
      <c r="Z3345">
        <v>8.3677150000000006E-2</v>
      </c>
      <c r="AA3345">
        <v>0.98330269999999997</v>
      </c>
      <c r="AB3345">
        <v>14</v>
      </c>
      <c r="AC3345">
        <v>0.219700000000045</v>
      </c>
      <c r="AD3345">
        <v>-1.1235447832879999</v>
      </c>
      <c r="AE3345">
        <v>-12.055</v>
      </c>
      <c r="AF3345">
        <v>-1.9403237816354799</v>
      </c>
      <c r="AG3345">
        <v>-1.1235447832879999</v>
      </c>
      <c r="AH3345">
        <v>11.794669972728499</v>
      </c>
      <c r="AI3345">
        <v>95.369755726296106</v>
      </c>
      <c r="AJ3345">
        <v>99.341969915261899</v>
      </c>
      <c r="AK3345">
        <v>12.0058922626857</v>
      </c>
      <c r="AL3345">
        <v>93.648612875014194</v>
      </c>
      <c r="AM3345">
        <v>101.74912055966099</v>
      </c>
      <c r="AN3345">
        <v>1.0000000420617099</v>
      </c>
    </row>
    <row r="3346" spans="1:40" x14ac:dyDescent="0.25">
      <c r="A3346" t="str">
        <f>"20190303154202808"</f>
        <v>20190303154202808</v>
      </c>
      <c r="B3346" t="str">
        <f>"1551598922802485"</f>
        <v>1551598922802485</v>
      </c>
      <c r="C3346" t="s">
        <v>40</v>
      </c>
      <c r="D3346">
        <v>5.9621750000000002</v>
      </c>
      <c r="E3346">
        <v>0.51337489999999997</v>
      </c>
      <c r="F3346" t="s">
        <v>41</v>
      </c>
      <c r="G3346">
        <v>-493.04059999999998</v>
      </c>
      <c r="H3346" s="1">
        <v>-4.6029749999999998E-6</v>
      </c>
      <c r="I3346">
        <v>258.92790000000002</v>
      </c>
      <c r="J3346">
        <v>-493.32530000000003</v>
      </c>
      <c r="K3346">
        <v>1.1235379999999999</v>
      </c>
      <c r="L3346">
        <v>271.4033</v>
      </c>
      <c r="M3346">
        <v>-0.13896549999999999</v>
      </c>
      <c r="N3346">
        <v>-6.196961E-3</v>
      </c>
      <c r="O3346">
        <v>-0.99027790000000004</v>
      </c>
      <c r="P3346">
        <v>6.3866439999999997E-2</v>
      </c>
      <c r="Q3346">
        <v>-6.8191119999999994E-2</v>
      </c>
      <c r="R3346">
        <v>-0.99562600000000001</v>
      </c>
      <c r="S3346">
        <v>6.6558839999999994E-2</v>
      </c>
      <c r="T3346">
        <v>-0.26761699999999999</v>
      </c>
      <c r="U3346">
        <v>-2.990173</v>
      </c>
      <c r="V3346">
        <v>-0.2010981</v>
      </c>
      <c r="W3346">
        <v>-6.3763310000000004E-2</v>
      </c>
      <c r="X3346">
        <v>0.97749359999999996</v>
      </c>
      <c r="Y3346">
        <v>-0.16084609999999999</v>
      </c>
      <c r="Z3346">
        <v>8.1071270000000001E-2</v>
      </c>
      <c r="AA3346">
        <v>0.98364419999999997</v>
      </c>
      <c r="AB3346">
        <v>14</v>
      </c>
      <c r="AC3346">
        <v>0.28470000000004297</v>
      </c>
      <c r="AD3346">
        <v>-1.123542602975</v>
      </c>
      <c r="AE3346">
        <v>-12.475399999999899</v>
      </c>
      <c r="AF3346">
        <v>-1.9994122547145401</v>
      </c>
      <c r="AG3346">
        <v>-1.123542602975</v>
      </c>
      <c r="AH3346">
        <v>12.2157556392785</v>
      </c>
      <c r="AI3346">
        <v>95.186360559398494</v>
      </c>
      <c r="AJ3346">
        <v>99.295457478341405</v>
      </c>
      <c r="AK3346">
        <v>12.429186746668799</v>
      </c>
      <c r="AL3346">
        <v>93.655848814217805</v>
      </c>
      <c r="AM3346">
        <v>101.62516627312699</v>
      </c>
      <c r="AN3346">
        <v>0.99999997178336197</v>
      </c>
    </row>
    <row r="3347" spans="1:40" x14ac:dyDescent="0.25">
      <c r="A3347" t="str">
        <f>"20190303154202826"</f>
        <v>20190303154202826</v>
      </c>
      <c r="B3347" t="str">
        <f>"1551598922822981"</f>
        <v>1551598922822981</v>
      </c>
      <c r="C3347" t="s">
        <v>40</v>
      </c>
      <c r="D3347">
        <v>6.0082709999999997</v>
      </c>
      <c r="E3347">
        <v>0.51277609999999996</v>
      </c>
      <c r="F3347" t="s">
        <v>41</v>
      </c>
      <c r="G3347">
        <v>-492.9905</v>
      </c>
      <c r="H3347" s="1">
        <v>-4.7926060000000002E-6</v>
      </c>
      <c r="I3347">
        <v>259.51130000000001</v>
      </c>
      <c r="J3347">
        <v>-493.33229999999998</v>
      </c>
      <c r="K3347">
        <v>1.12355</v>
      </c>
      <c r="L3347">
        <v>271.291</v>
      </c>
      <c r="M3347">
        <v>-0.13133909999999999</v>
      </c>
      <c r="N3347">
        <v>-5.8193919999999996E-3</v>
      </c>
      <c r="O3347">
        <v>-0.9913206</v>
      </c>
      <c r="P3347">
        <v>6.677189E-2</v>
      </c>
      <c r="Q3347">
        <v>-6.8156739999999993E-2</v>
      </c>
      <c r="R3347">
        <v>-0.99543780000000004</v>
      </c>
      <c r="S3347">
        <v>8.4136959999999997E-2</v>
      </c>
      <c r="T3347">
        <v>-0.28234680000000001</v>
      </c>
      <c r="U3347">
        <v>-2.988464</v>
      </c>
      <c r="V3347">
        <v>-0.1964168</v>
      </c>
      <c r="W3347">
        <v>-6.4076449999999993E-2</v>
      </c>
      <c r="X3347">
        <v>0.97842450000000003</v>
      </c>
      <c r="Y3347">
        <v>-0.1590318</v>
      </c>
      <c r="Z3347">
        <v>8.6415980000000003E-2</v>
      </c>
      <c r="AA3347">
        <v>0.98348420000000003</v>
      </c>
      <c r="AB3347">
        <v>14</v>
      </c>
      <c r="AC3347">
        <v>0.34179999999997701</v>
      </c>
      <c r="AD3347">
        <v>-1.1235547926060001</v>
      </c>
      <c r="AE3347">
        <v>-11.779699999999901</v>
      </c>
      <c r="AF3347">
        <v>-1.8690112290296099</v>
      </c>
      <c r="AG3347">
        <v>-1.1235547926060001</v>
      </c>
      <c r="AH3347">
        <v>11.527975421807101</v>
      </c>
      <c r="AI3347">
        <v>95.495347500207203</v>
      </c>
      <c r="AJ3347">
        <v>99.209136914292401</v>
      </c>
      <c r="AK3347">
        <v>11.732424969801199</v>
      </c>
      <c r="AL3347">
        <v>93.673827347005499</v>
      </c>
      <c r="AM3347">
        <v>101.351137593332</v>
      </c>
      <c r="AN3347">
        <v>0.99999992648354297</v>
      </c>
    </row>
    <row r="3348" spans="1:40" x14ac:dyDescent="0.25">
      <c r="A3348" t="str">
        <f>"20190303154202849"</f>
        <v>20190303154202849</v>
      </c>
      <c r="B3348" t="str">
        <f>"1551598922842501"</f>
        <v>1551598922842501</v>
      </c>
      <c r="C3348" t="s">
        <v>40</v>
      </c>
      <c r="D3348">
        <v>6.0207179999999996</v>
      </c>
      <c r="E3348">
        <v>0.5124862</v>
      </c>
      <c r="F3348" t="s">
        <v>41</v>
      </c>
      <c r="G3348">
        <v>-492.9348</v>
      </c>
      <c r="H3348" s="1">
        <v>-4.6682550000000001E-6</v>
      </c>
      <c r="I3348">
        <v>259.17489999999998</v>
      </c>
      <c r="J3348">
        <v>-493.34010000000001</v>
      </c>
      <c r="K3348">
        <v>1.123559</v>
      </c>
      <c r="L3348">
        <v>271.1472</v>
      </c>
      <c r="M3348">
        <v>-0.1216614</v>
      </c>
      <c r="N3348">
        <v>-5.3599440000000002E-3</v>
      </c>
      <c r="O3348">
        <v>-0.99255740000000003</v>
      </c>
      <c r="P3348">
        <v>7.1878880000000006E-2</v>
      </c>
      <c r="Q3348">
        <v>-6.8152610000000002E-2</v>
      </c>
      <c r="R3348">
        <v>-0.99508260000000004</v>
      </c>
      <c r="S3348">
        <v>9.8022460000000006E-2</v>
      </c>
      <c r="T3348">
        <v>-0.27710269999999998</v>
      </c>
      <c r="U3348">
        <v>-2.9881899999999999</v>
      </c>
      <c r="V3348">
        <v>-0.19187870000000001</v>
      </c>
      <c r="W3348">
        <v>-6.4507270000000005E-2</v>
      </c>
      <c r="X3348">
        <v>0.97929639999999996</v>
      </c>
      <c r="Y3348">
        <v>-0.15397559999999999</v>
      </c>
      <c r="Z3348">
        <v>8.5384230000000005E-2</v>
      </c>
      <c r="AA3348">
        <v>0.98437850000000005</v>
      </c>
      <c r="AB3348">
        <v>14</v>
      </c>
      <c r="AC3348">
        <v>0.40530000000001098</v>
      </c>
      <c r="AD3348">
        <v>-1.1235636682550001</v>
      </c>
      <c r="AE3348">
        <v>-11.972300000000001</v>
      </c>
      <c r="AF3348">
        <v>-1.84266636643286</v>
      </c>
      <c r="AG3348">
        <v>-1.1235636682550001</v>
      </c>
      <c r="AH3348">
        <v>11.730854844167901</v>
      </c>
      <c r="AI3348">
        <v>95.405138682513794</v>
      </c>
      <c r="AJ3348">
        <v>98.926997653233997</v>
      </c>
      <c r="AK3348">
        <v>11.9277311350291</v>
      </c>
      <c r="AL3348">
        <v>93.698562302826701</v>
      </c>
      <c r="AM3348">
        <v>101.08582368501</v>
      </c>
      <c r="AN3348">
        <v>1.0000000312247499</v>
      </c>
    </row>
    <row r="3349" spans="1:40" x14ac:dyDescent="0.25">
      <c r="A3349" t="str">
        <f>"20190303154202863"</f>
        <v>20190303154202863</v>
      </c>
      <c r="B3349" t="str">
        <f>"1551598922853237"</f>
        <v>1551598922853237</v>
      </c>
      <c r="C3349" t="s">
        <v>40</v>
      </c>
      <c r="D3349">
        <v>6.0244479999999996</v>
      </c>
      <c r="E3349">
        <v>0.51236530000000002</v>
      </c>
      <c r="F3349" t="s">
        <v>41</v>
      </c>
      <c r="G3349">
        <v>-492.86399999999998</v>
      </c>
      <c r="H3349" s="1">
        <v>-4.5580780000000003E-6</v>
      </c>
      <c r="I3349">
        <v>258.88799999999998</v>
      </c>
      <c r="J3349">
        <v>-493.34449999999998</v>
      </c>
      <c r="K3349">
        <v>1.1235660000000001</v>
      </c>
      <c r="L3349">
        <v>271.05540000000002</v>
      </c>
      <c r="M3349">
        <v>-0.1155519</v>
      </c>
      <c r="N3349">
        <v>-5.0858500000000003E-3</v>
      </c>
      <c r="O3349">
        <v>-0.99328859999999997</v>
      </c>
      <c r="P3349">
        <v>7.5704930000000004E-2</v>
      </c>
      <c r="Q3349">
        <v>-6.7872929999999998E-2</v>
      </c>
      <c r="R3349">
        <v>-0.99481790000000003</v>
      </c>
      <c r="S3349">
        <v>0.1160278</v>
      </c>
      <c r="T3349">
        <v>-0.27382329999999999</v>
      </c>
      <c r="U3349">
        <v>-2.9876710000000002</v>
      </c>
      <c r="V3349">
        <v>-0.18961549999999999</v>
      </c>
      <c r="W3349">
        <v>-6.4492179999999996E-2</v>
      </c>
      <c r="X3349">
        <v>0.97973809999999995</v>
      </c>
      <c r="Y3349">
        <v>-0.15383160000000001</v>
      </c>
      <c r="Z3349">
        <v>8.4697789999999995E-2</v>
      </c>
      <c r="AA3349">
        <v>0.98446029999999995</v>
      </c>
      <c r="AB3349">
        <v>14</v>
      </c>
      <c r="AC3349">
        <v>0.48049999999994902</v>
      </c>
      <c r="AD3349">
        <v>-1.123570558078</v>
      </c>
      <c r="AE3349">
        <v>-12.167400000000001</v>
      </c>
      <c r="AF3349">
        <v>-1.86736681894659</v>
      </c>
      <c r="AG3349">
        <v>-1.123570558078</v>
      </c>
      <c r="AH3349">
        <v>11.9288098528546</v>
      </c>
      <c r="AI3349">
        <v>95.316426233714196</v>
      </c>
      <c r="AJ3349">
        <v>98.897023200249194</v>
      </c>
      <c r="AK3349">
        <v>12.1262514463887</v>
      </c>
      <c r="AL3349">
        <v>93.6976959771807</v>
      </c>
      <c r="AM3349">
        <v>100.95342967194701</v>
      </c>
      <c r="AN3349">
        <v>1.0000000118565</v>
      </c>
    </row>
    <row r="3350" spans="1:40" x14ac:dyDescent="0.25">
      <c r="A3350" t="str">
        <f>"20190303154202883"</f>
        <v>20190303154202883</v>
      </c>
      <c r="B3350" t="str">
        <f>"1551598922872756"</f>
        <v>1551598922872756</v>
      </c>
      <c r="C3350" t="s">
        <v>40</v>
      </c>
      <c r="D3350">
        <v>5.9130330000000004</v>
      </c>
      <c r="E3350">
        <v>0.51265109999999903</v>
      </c>
      <c r="F3350" t="s">
        <v>41</v>
      </c>
      <c r="G3350">
        <v>-492.81389999999999</v>
      </c>
      <c r="H3350" s="1">
        <v>-4.4715640000000004E-6</v>
      </c>
      <c r="I3350">
        <v>258.65989999999999</v>
      </c>
      <c r="J3350">
        <v>-493.34949999999998</v>
      </c>
      <c r="K3350">
        <v>1.1235790000000001</v>
      </c>
      <c r="L3350">
        <v>270.9332</v>
      </c>
      <c r="M3350">
        <v>-0.10748339999999899</v>
      </c>
      <c r="N3350">
        <v>-4.7444230000000002E-3</v>
      </c>
      <c r="O3350">
        <v>-0.99419579999999996</v>
      </c>
      <c r="P3350">
        <v>7.8772720000000004E-2</v>
      </c>
      <c r="Q3350">
        <v>-6.8928580000000003E-2</v>
      </c>
      <c r="R3350">
        <v>-0.99450709999999998</v>
      </c>
      <c r="S3350">
        <v>0.1278687</v>
      </c>
      <c r="T3350">
        <v>-0.27079330000000001</v>
      </c>
      <c r="U3350">
        <v>-2.987457</v>
      </c>
      <c r="V3350">
        <v>-0.18465429999999999</v>
      </c>
      <c r="W3350">
        <v>-6.5858440000000004E-2</v>
      </c>
      <c r="X3350">
        <v>0.98059450000000004</v>
      </c>
      <c r="Y3350">
        <v>-0.14971209999999999</v>
      </c>
      <c r="Z3350">
        <v>8.4202910000000006E-2</v>
      </c>
      <c r="AA3350">
        <v>0.98513759999999995</v>
      </c>
      <c r="AB3350">
        <v>14</v>
      </c>
      <c r="AC3350">
        <v>0.53559999999998797</v>
      </c>
      <c r="AD3350">
        <v>-1.1235834715639901</v>
      </c>
      <c r="AE3350">
        <v>-12.273300000000001</v>
      </c>
      <c r="AF3350">
        <v>-1.83632695532876</v>
      </c>
      <c r="AG3350">
        <v>-1.1235834715639901</v>
      </c>
      <c r="AH3350">
        <v>12.0438828814597</v>
      </c>
      <c r="AI3350">
        <v>95.269196989903094</v>
      </c>
      <c r="AJ3350">
        <v>98.669103657543801</v>
      </c>
      <c r="AK3350">
        <v>12.2347722237383</v>
      </c>
      <c r="AL3350">
        <v>93.776143529045299</v>
      </c>
      <c r="AM3350">
        <v>100.66440025889899</v>
      </c>
      <c r="AN3350">
        <v>1.0000000590289799</v>
      </c>
    </row>
    <row r="3351" spans="1:40" x14ac:dyDescent="0.25">
      <c r="A3351" t="str">
        <f>"20190303154202905"</f>
        <v>20190303154202905</v>
      </c>
      <c r="B3351" t="str">
        <f>"1551598922903012"</f>
        <v>1551598922903012</v>
      </c>
      <c r="C3351" t="s">
        <v>40</v>
      </c>
      <c r="D3351">
        <v>5.9575779999999998</v>
      </c>
      <c r="E3351">
        <v>0.51371389999999995</v>
      </c>
      <c r="F3351" t="s">
        <v>41</v>
      </c>
      <c r="G3351">
        <v>-492.79430000000002</v>
      </c>
      <c r="H3351" s="1">
        <v>-4.4752760000000003E-6</v>
      </c>
      <c r="I3351">
        <v>258.68099999999998</v>
      </c>
      <c r="J3351">
        <v>-493.35419999999999</v>
      </c>
      <c r="K3351">
        <v>1.1235900000000001</v>
      </c>
      <c r="L3351">
        <v>270.78969999999998</v>
      </c>
      <c r="M3351">
        <v>-9.8138619999999996E-2</v>
      </c>
      <c r="N3351">
        <v>-4.3818080000000001E-3</v>
      </c>
      <c r="O3351">
        <v>-0.99516329999999997</v>
      </c>
      <c r="P3351">
        <v>8.2800079999999998E-2</v>
      </c>
      <c r="Q3351">
        <v>-6.825291E-2</v>
      </c>
      <c r="R3351">
        <v>-0.99422650000000001</v>
      </c>
      <c r="S3351">
        <v>0.13534549999999901</v>
      </c>
      <c r="T3351">
        <v>-0.27391219999999999</v>
      </c>
      <c r="U3351">
        <v>-2.9868769999999998</v>
      </c>
      <c r="V3351">
        <v>-0.1794114</v>
      </c>
      <c r="W3351">
        <v>-6.5512730000000005E-2</v>
      </c>
      <c r="X3351">
        <v>0.98159039999999997</v>
      </c>
      <c r="Y3351">
        <v>-0.1428875</v>
      </c>
      <c r="Z3351">
        <v>8.5772319999999999E-2</v>
      </c>
      <c r="AA3351">
        <v>0.98601530000000004</v>
      </c>
      <c r="AB3351">
        <v>14</v>
      </c>
      <c r="AC3351">
        <v>0.55989999999996998</v>
      </c>
      <c r="AD3351">
        <v>-1.1235944752760001</v>
      </c>
      <c r="AE3351">
        <v>-12.108700000000001</v>
      </c>
      <c r="AF3351">
        <v>-1.7306694718476601</v>
      </c>
      <c r="AG3351">
        <v>-1.1235944752760001</v>
      </c>
      <c r="AH3351">
        <v>11.893112730273399</v>
      </c>
      <c r="AI3351">
        <v>95.341041311439099</v>
      </c>
      <c r="AJ3351">
        <v>98.279488498186296</v>
      </c>
      <c r="AK3351">
        <v>12.070783395482101</v>
      </c>
      <c r="AL3351">
        <v>93.756293004792298</v>
      </c>
      <c r="AM3351">
        <v>100.357973476564</v>
      </c>
      <c r="AN3351">
        <v>1.0000000408070799</v>
      </c>
    </row>
    <row r="3352" spans="1:40" x14ac:dyDescent="0.25">
      <c r="A3352" t="str">
        <f>"20190303154202925"</f>
        <v>20190303154202925</v>
      </c>
      <c r="B3352" t="str">
        <f>"1551598922922533"</f>
        <v>1551598922922533</v>
      </c>
      <c r="C3352" t="s">
        <v>40</v>
      </c>
      <c r="D3352">
        <v>5.9402249999999999</v>
      </c>
      <c r="E3352">
        <v>0.51432060000000002</v>
      </c>
      <c r="F3352" t="s">
        <v>41</v>
      </c>
      <c r="G3352">
        <v>-492.76780000000002</v>
      </c>
      <c r="H3352" s="1">
        <v>-4.3061479999999998E-6</v>
      </c>
      <c r="I3352">
        <v>258.1979</v>
      </c>
      <c r="J3352">
        <v>-493.35739999999998</v>
      </c>
      <c r="K3352">
        <v>1.1236120000000001</v>
      </c>
      <c r="L3352">
        <v>270.66149999999999</v>
      </c>
      <c r="M3352">
        <v>-8.9893609999999999E-2</v>
      </c>
      <c r="N3352">
        <v>-4.0918200000000004E-3</v>
      </c>
      <c r="O3352">
        <v>-0.99594300000000002</v>
      </c>
      <c r="P3352">
        <v>8.5832270000000002E-2</v>
      </c>
      <c r="Q3352">
        <v>-6.6247829999999994E-2</v>
      </c>
      <c r="R3352">
        <v>-0.99410480000000001</v>
      </c>
      <c r="S3352">
        <v>0.13912959999999999</v>
      </c>
      <c r="T3352">
        <v>-0.26658150000000003</v>
      </c>
      <c r="U3352">
        <v>-2.9875180000000001</v>
      </c>
      <c r="V3352">
        <v>-0.17429559999999999</v>
      </c>
      <c r="W3352">
        <v>-6.3762199999999894E-2</v>
      </c>
      <c r="X3352">
        <v>0.98262680000000002</v>
      </c>
      <c r="Y3352">
        <v>-0.13593669999999999</v>
      </c>
      <c r="Z3352">
        <v>8.3794209999999994E-2</v>
      </c>
      <c r="AA3352">
        <v>0.98716749999999998</v>
      </c>
      <c r="AB3352">
        <v>15</v>
      </c>
      <c r="AC3352">
        <v>0.58959999999996104</v>
      </c>
      <c r="AD3352">
        <v>-1.123616306148</v>
      </c>
      <c r="AE3352">
        <v>-12.4635999999999</v>
      </c>
      <c r="AF3352">
        <v>-1.6938841780142799</v>
      </c>
      <c r="AG3352">
        <v>-1.123616306148</v>
      </c>
      <c r="AH3352">
        <v>12.2607123567456</v>
      </c>
      <c r="AI3352">
        <v>95.187170719874402</v>
      </c>
      <c r="AJ3352">
        <v>97.865930671340394</v>
      </c>
      <c r="AK3352">
        <v>12.4280660083065</v>
      </c>
      <c r="AL3352">
        <v>93.655784978520799</v>
      </c>
      <c r="AM3352">
        <v>100.05834873264899</v>
      </c>
      <c r="AN3352">
        <v>1.00000000120322</v>
      </c>
    </row>
    <row r="3353" spans="1:40" x14ac:dyDescent="0.25">
      <c r="A3353" t="str">
        <f>"20190303154202948"</f>
        <v>20190303154202948</v>
      </c>
      <c r="B3353" t="str">
        <f>"1551598922943029"</f>
        <v>1551598922943029</v>
      </c>
      <c r="C3353" t="s">
        <v>40</v>
      </c>
      <c r="D3353">
        <v>5.9476370000000003</v>
      </c>
      <c r="E3353">
        <v>0.51503029999999905</v>
      </c>
      <c r="F3353" t="s">
        <v>41</v>
      </c>
      <c r="G3353">
        <v>-492.73419999999999</v>
      </c>
      <c r="H3353" s="1">
        <v>-4.1210120000000003E-6</v>
      </c>
      <c r="I3353">
        <v>257.67140000000001</v>
      </c>
      <c r="J3353">
        <v>-493.36</v>
      </c>
      <c r="K3353">
        <v>1.123615</v>
      </c>
      <c r="L3353">
        <v>270.50560000000002</v>
      </c>
      <c r="M3353">
        <v>-8.0020869999999994E-2</v>
      </c>
      <c r="N3353">
        <v>-3.7804850000000001E-3</v>
      </c>
      <c r="O3353">
        <v>-0.99678610000000001</v>
      </c>
      <c r="P3353">
        <v>9.0621679999999996E-2</v>
      </c>
      <c r="Q3353">
        <v>-6.5405260000000007E-2</v>
      </c>
      <c r="R3353">
        <v>-0.99373540000000005</v>
      </c>
      <c r="S3353">
        <v>0.14337159999999999</v>
      </c>
      <c r="T3353">
        <v>-0.25847179999999997</v>
      </c>
      <c r="U3353">
        <v>-2.9881899999999999</v>
      </c>
      <c r="V3353">
        <v>-0.16929569999999999</v>
      </c>
      <c r="W3353">
        <v>-6.3196020000000006E-2</v>
      </c>
      <c r="X3353">
        <v>0.98353710000000005</v>
      </c>
      <c r="Y3353">
        <v>-0.12751689999999999</v>
      </c>
      <c r="Z3353">
        <v>8.1586710000000007E-2</v>
      </c>
      <c r="AA3353">
        <v>0.98847510000000005</v>
      </c>
      <c r="AB3353">
        <v>15</v>
      </c>
      <c r="AC3353">
        <v>0.625800000000026</v>
      </c>
      <c r="AD3353">
        <v>-1.1236191210119999</v>
      </c>
      <c r="AE3353">
        <v>-12.834199999999999</v>
      </c>
      <c r="AF3353">
        <v>-1.6382769797074701</v>
      </c>
      <c r="AG3353">
        <v>-1.1236191210119999</v>
      </c>
      <c r="AH3353">
        <v>12.646264013163799</v>
      </c>
      <c r="AI3353">
        <v>95.0355317671427</v>
      </c>
      <c r="AJ3353">
        <v>97.381348762378295</v>
      </c>
      <c r="AK3353">
        <v>12.801346213659899</v>
      </c>
      <c r="AL3353">
        <v>93.623279703851395</v>
      </c>
      <c r="AM3353">
        <v>99.766584928280693</v>
      </c>
      <c r="AN3353">
        <v>0.99999999902936998</v>
      </c>
    </row>
    <row r="3354" spans="1:40" x14ac:dyDescent="0.25">
      <c r="A3354" t="str">
        <f>"20190303154202962"</f>
        <v>20190303154202962</v>
      </c>
      <c r="B3354" t="str">
        <f>"1551598922952789"</f>
        <v>1551598922952789</v>
      </c>
      <c r="C3354" t="s">
        <v>40</v>
      </c>
      <c r="D3354">
        <v>5.9300639999999998</v>
      </c>
      <c r="E3354">
        <v>0.5153105</v>
      </c>
      <c r="F3354" t="s">
        <v>41</v>
      </c>
      <c r="G3354">
        <v>-492.69229999999999</v>
      </c>
      <c r="H3354" s="1">
        <v>-4.0167080000000002E-6</v>
      </c>
      <c r="I3354">
        <v>257.38670000000002</v>
      </c>
      <c r="J3354">
        <v>-493.36090000000002</v>
      </c>
      <c r="K3354">
        <v>1.123615</v>
      </c>
      <c r="L3354">
        <v>270.41669999999999</v>
      </c>
      <c r="M3354">
        <v>-7.4469019999999997E-2</v>
      </c>
      <c r="N3354">
        <v>-3.6217269999999999E-3</v>
      </c>
      <c r="O3354">
        <v>-0.99721680000000001</v>
      </c>
      <c r="P3354">
        <v>9.3029219999999996E-2</v>
      </c>
      <c r="Q3354">
        <v>-6.6346269999999999E-2</v>
      </c>
      <c r="R3354">
        <v>-0.99345050000000001</v>
      </c>
      <c r="S3354">
        <v>0.1520996</v>
      </c>
      <c r="T3354">
        <v>-0.25593480000000002</v>
      </c>
      <c r="U3354">
        <v>-2.9881899999999999</v>
      </c>
      <c r="V3354">
        <v>-0.16618440000000001</v>
      </c>
      <c r="W3354">
        <v>-6.4271220000000004E-2</v>
      </c>
      <c r="X3354">
        <v>0.98399789999999998</v>
      </c>
      <c r="Y3354">
        <v>-0.1248779</v>
      </c>
      <c r="Z3354">
        <v>8.0976599999999996E-2</v>
      </c>
      <c r="AA3354">
        <v>0.98886209999999997</v>
      </c>
      <c r="AB3354">
        <v>15</v>
      </c>
      <c r="AC3354">
        <v>0.66860000000002595</v>
      </c>
      <c r="AD3354">
        <v>-1.123619016708</v>
      </c>
      <c r="AE3354">
        <v>-13.0299999999999</v>
      </c>
      <c r="AF3354">
        <v>-1.6250288810825699</v>
      </c>
      <c r="AG3354">
        <v>-1.123619016708</v>
      </c>
      <c r="AH3354">
        <v>12.848734702041</v>
      </c>
      <c r="AI3354">
        <v>94.958488544957405</v>
      </c>
      <c r="AJ3354">
        <v>97.208147153431597</v>
      </c>
      <c r="AK3354">
        <v>12.9997393051743</v>
      </c>
      <c r="AL3354">
        <v>93.685009788604603</v>
      </c>
      <c r="AM3354">
        <v>99.586051911729598</v>
      </c>
      <c r="AN3354">
        <v>0.99999995586402801</v>
      </c>
    </row>
    <row r="3355" spans="1:40" x14ac:dyDescent="0.25">
      <c r="A3355" t="str">
        <f>"20190303154202983"</f>
        <v>20190303154202983</v>
      </c>
      <c r="B3355" t="str">
        <f>"1551598922973284"</f>
        <v>1551598922973284</v>
      </c>
      <c r="C3355" t="s">
        <v>40</v>
      </c>
      <c r="D3355">
        <v>5.9358700000000004</v>
      </c>
      <c r="E3355">
        <v>0.51555569999999995</v>
      </c>
      <c r="F3355" t="s">
        <v>41</v>
      </c>
      <c r="G3355">
        <v>-492.68180000000001</v>
      </c>
      <c r="H3355" s="1">
        <v>-4.0436700000000004E-6</v>
      </c>
      <c r="I3355">
        <v>257.47140000000002</v>
      </c>
      <c r="J3355">
        <v>-493.36149999999998</v>
      </c>
      <c r="K3355">
        <v>1.1235980000000001</v>
      </c>
      <c r="L3355">
        <v>270.279</v>
      </c>
      <c r="M3355">
        <v>-6.5993060000000006E-2</v>
      </c>
      <c r="N3355">
        <v>-3.400424E-3</v>
      </c>
      <c r="O3355">
        <v>-0.99781439999999999</v>
      </c>
      <c r="P3355">
        <v>9.4602320000000004E-2</v>
      </c>
      <c r="Q3355">
        <v>-6.961937E-2</v>
      </c>
      <c r="R3355">
        <v>-0.99307800000000002</v>
      </c>
      <c r="S3355">
        <v>0.156738299999999</v>
      </c>
      <c r="T3355">
        <v>-0.2593355</v>
      </c>
      <c r="U3355">
        <v>-2.9878230000000001</v>
      </c>
      <c r="V3355">
        <v>-0.1593309</v>
      </c>
      <c r="W3355">
        <v>-6.7704399999999998E-2</v>
      </c>
      <c r="X3355">
        <v>0.98490089999999997</v>
      </c>
      <c r="Y3355">
        <v>-0.117978</v>
      </c>
      <c r="Z3355">
        <v>8.2434950000000007E-2</v>
      </c>
      <c r="AA3355">
        <v>0.98958860000000004</v>
      </c>
      <c r="AB3355">
        <v>15</v>
      </c>
      <c r="AC3355">
        <v>0.679699999999968</v>
      </c>
      <c r="AD3355">
        <v>-1.1236020436699901</v>
      </c>
      <c r="AE3355">
        <v>-12.8075999999999</v>
      </c>
      <c r="AF3355">
        <v>-1.51183275885471</v>
      </c>
      <c r="AG3355">
        <v>-1.1236020436699901</v>
      </c>
      <c r="AH3355">
        <v>12.6378313715399</v>
      </c>
      <c r="AI3355">
        <v>95.044901729524099</v>
      </c>
      <c r="AJ3355">
        <v>96.821735401596399</v>
      </c>
      <c r="AK3355">
        <v>12.7774372085628</v>
      </c>
      <c r="AL3355">
        <v>93.882146112947595</v>
      </c>
      <c r="AM3355">
        <v>99.189329035528502</v>
      </c>
      <c r="AN3355">
        <v>1.00000000214749</v>
      </c>
    </row>
    <row r="3356" spans="1:40" x14ac:dyDescent="0.25">
      <c r="A3356" t="str">
        <f>"20190303154203004"</f>
        <v>20190303154203004</v>
      </c>
      <c r="B3356" t="str">
        <f>"1551598922992808"</f>
        <v>1551598922992808</v>
      </c>
      <c r="C3356" t="s">
        <v>40</v>
      </c>
      <c r="D3356">
        <v>5.9447099999999997</v>
      </c>
      <c r="E3356">
        <v>0.51668170000000002</v>
      </c>
      <c r="F3356" t="s">
        <v>41</v>
      </c>
      <c r="G3356">
        <v>-492.69670000000002</v>
      </c>
      <c r="H3356" s="1">
        <v>-4.1698749999999996E-6</v>
      </c>
      <c r="I3356">
        <v>257.83449999999999</v>
      </c>
      <c r="J3356">
        <v>-493.36099999999999</v>
      </c>
      <c r="K3356">
        <v>1.123569</v>
      </c>
      <c r="L3356">
        <v>270.13040000000001</v>
      </c>
      <c r="M3356">
        <v>-5.7011439999999997E-2</v>
      </c>
      <c r="N3356">
        <v>-3.1930209999999999E-3</v>
      </c>
      <c r="O3356">
        <v>-0.99836860000000005</v>
      </c>
      <c r="P3356">
        <v>9.2451450000000004E-2</v>
      </c>
      <c r="Q3356">
        <v>-7.2979420000000003E-2</v>
      </c>
      <c r="R3356">
        <v>-0.99303949999999996</v>
      </c>
      <c r="S3356">
        <v>0.15954589999999999</v>
      </c>
      <c r="T3356">
        <v>-0.26967869999999999</v>
      </c>
      <c r="U3356">
        <v>-2.986847</v>
      </c>
      <c r="V3356">
        <v>-0.1482822</v>
      </c>
      <c r="W3356">
        <v>-7.1165980000000004E-2</v>
      </c>
      <c r="X3356">
        <v>0.98638119999999996</v>
      </c>
      <c r="Y3356">
        <v>-0.1099681</v>
      </c>
      <c r="Z3356">
        <v>8.6182270000000005E-2</v>
      </c>
      <c r="AA3356">
        <v>0.99019170000000001</v>
      </c>
      <c r="AB3356">
        <v>15</v>
      </c>
      <c r="AC3356">
        <v>0.66429999999996803</v>
      </c>
      <c r="AD3356">
        <v>-1.123573169875</v>
      </c>
      <c r="AE3356">
        <v>-12.2959</v>
      </c>
      <c r="AF3356">
        <v>-1.3529656637706899</v>
      </c>
      <c r="AG3356">
        <v>-1.123573169875</v>
      </c>
      <c r="AH3356">
        <v>12.136980128696001</v>
      </c>
      <c r="AI3356">
        <v>95.256669120750004</v>
      </c>
      <c r="AJ3356">
        <v>96.360766394793302</v>
      </c>
      <c r="AK3356">
        <v>12.2637359478981</v>
      </c>
      <c r="AL3356">
        <v>94.080959828999994</v>
      </c>
      <c r="AM3356">
        <v>98.549228666835901</v>
      </c>
      <c r="AN3356">
        <v>1.0000000396298101</v>
      </c>
    </row>
    <row r="3357" spans="1:40" x14ac:dyDescent="0.25">
      <c r="A3357" t="str">
        <f>"20190303154203037"</f>
        <v>20190303154203037</v>
      </c>
      <c r="B3357" t="str">
        <f>"1551598923032820"</f>
        <v>1551598923032820</v>
      </c>
      <c r="C3357" t="s">
        <v>40</v>
      </c>
      <c r="D3357">
        <v>5.9437160000000002</v>
      </c>
      <c r="E3357">
        <v>0.51830889999999996</v>
      </c>
      <c r="F3357" t="s">
        <v>41</v>
      </c>
      <c r="G3357">
        <v>-492.7817</v>
      </c>
      <c r="H3357" s="1">
        <v>-4.2930119999999997E-6</v>
      </c>
      <c r="I3357">
        <v>258.15199999999999</v>
      </c>
      <c r="J3357">
        <v>-493.35820000000001</v>
      </c>
      <c r="K3357">
        <v>1.123534</v>
      </c>
      <c r="L3357">
        <v>269.90499999999997</v>
      </c>
      <c r="M3357">
        <v>-4.3727870000000002E-2</v>
      </c>
      <c r="N3357">
        <v>-2.933059E-3</v>
      </c>
      <c r="O3357">
        <v>-0.99903940000000002</v>
      </c>
      <c r="P3357">
        <v>9.5100560000000001E-2</v>
      </c>
      <c r="Q3357">
        <v>-7.145812E-2</v>
      </c>
      <c r="R3357">
        <v>-0.99290009999999995</v>
      </c>
      <c r="S3357">
        <v>0.1444397</v>
      </c>
      <c r="T3357">
        <v>-0.28018149999999997</v>
      </c>
      <c r="U3357">
        <v>-2.9870000000000001</v>
      </c>
      <c r="V3357">
        <v>-0.13780819999999999</v>
      </c>
      <c r="W3357">
        <v>-6.9796369999999996E-2</v>
      </c>
      <c r="X3357">
        <v>0.9879966</v>
      </c>
      <c r="Y3357">
        <v>-9.1720540000000003E-2</v>
      </c>
      <c r="Z3357">
        <v>9.0081900000000006E-2</v>
      </c>
      <c r="AA3357">
        <v>0.99170179999999997</v>
      </c>
      <c r="AB3357">
        <v>16</v>
      </c>
      <c r="AC3357">
        <v>0.57650000000001</v>
      </c>
      <c r="AD3357">
        <v>-1.1235382930119999</v>
      </c>
      <c r="AE3357">
        <v>-11.752999999999901</v>
      </c>
      <c r="AF3357">
        <v>-1.0800379985533699</v>
      </c>
      <c r="AG3357">
        <v>-1.1235382930119999</v>
      </c>
      <c r="AH3357">
        <v>11.6106981908795</v>
      </c>
      <c r="AI3357">
        <v>95.503547764006498</v>
      </c>
      <c r="AJ3357">
        <v>95.314413822372998</v>
      </c>
      <c r="AK3357">
        <v>11.7148253445741</v>
      </c>
      <c r="AL3357">
        <v>94.002291642835303</v>
      </c>
      <c r="AM3357">
        <v>97.940525709695606</v>
      </c>
      <c r="AN3357">
        <v>0.999999957431987</v>
      </c>
    </row>
    <row r="3358" spans="1:40" x14ac:dyDescent="0.25">
      <c r="A3358" t="str">
        <f>"20190303154203061"</f>
        <v>20190303154203061</v>
      </c>
      <c r="B3358" t="str">
        <f>"1551598923053316"</f>
        <v>1551598923053316</v>
      </c>
      <c r="C3358" t="s">
        <v>40</v>
      </c>
      <c r="D3358">
        <v>5.9346040000000002</v>
      </c>
      <c r="E3358">
        <v>0.51864769999999905</v>
      </c>
      <c r="F3358" t="s">
        <v>41</v>
      </c>
      <c r="G3358">
        <v>-492.77510000000001</v>
      </c>
      <c r="H3358" s="1">
        <v>-4.0411810000000001E-6</v>
      </c>
      <c r="I3358">
        <v>257.41550000000001</v>
      </c>
      <c r="J3358">
        <v>-493.3544</v>
      </c>
      <c r="K3358">
        <v>1.123505</v>
      </c>
      <c r="L3358">
        <v>269.73970000000003</v>
      </c>
      <c r="M3358">
        <v>-3.429625E-2</v>
      </c>
      <c r="N3358">
        <v>-2.7840819999999998E-3</v>
      </c>
      <c r="O3358">
        <v>-0.99940810000000002</v>
      </c>
      <c r="P3358">
        <v>9.7704869999999999E-2</v>
      </c>
      <c r="Q3358">
        <v>-6.7970420000000004E-2</v>
      </c>
      <c r="R3358">
        <v>-0.99289190000000005</v>
      </c>
      <c r="S3358">
        <v>0.13952639999999999</v>
      </c>
      <c r="T3358">
        <v>-0.26886399999999999</v>
      </c>
      <c r="U3358">
        <v>-2.9887700000000001</v>
      </c>
      <c r="V3358">
        <v>-0.1311157</v>
      </c>
      <c r="W3358">
        <v>-6.6383929999999994E-2</v>
      </c>
      <c r="X3358">
        <v>0.98914199999999997</v>
      </c>
      <c r="Y3358">
        <v>-8.0678680000000003E-2</v>
      </c>
      <c r="Z3358">
        <v>8.6547460000000007E-2</v>
      </c>
      <c r="AA3358">
        <v>0.99297559999999996</v>
      </c>
      <c r="AB3358">
        <v>16</v>
      </c>
      <c r="AC3358">
        <v>0.57929999999998905</v>
      </c>
      <c r="AD3358">
        <v>-1.123509041181</v>
      </c>
      <c r="AE3358">
        <v>-12.324199999999999</v>
      </c>
      <c r="AF3358">
        <v>-0.99339698420088096</v>
      </c>
      <c r="AG3358">
        <v>-1.123509041181</v>
      </c>
      <c r="AH3358">
        <v>12.195948892481301</v>
      </c>
      <c r="AI3358">
        <v>95.246041078885696</v>
      </c>
      <c r="AJ3358">
        <v>94.656634675882998</v>
      </c>
      <c r="AK3358">
        <v>12.2878102004324</v>
      </c>
      <c r="AL3358">
        <v>93.806318051837295</v>
      </c>
      <c r="AM3358">
        <v>97.550821635793795</v>
      </c>
      <c r="AN3358">
        <v>1.0000000245563601</v>
      </c>
    </row>
    <row r="3359" spans="1:40" x14ac:dyDescent="0.25">
      <c r="A3359" t="str">
        <f>"20190303154203084"</f>
        <v>20190303154203084</v>
      </c>
      <c r="B3359" t="str">
        <f>"1551598923072837"</f>
        <v>1551598923072837</v>
      </c>
      <c r="C3359" t="s">
        <v>40</v>
      </c>
      <c r="D3359">
        <v>5.9330129999999999</v>
      </c>
      <c r="E3359">
        <v>0.5189703</v>
      </c>
      <c r="F3359" t="s">
        <v>41</v>
      </c>
      <c r="G3359">
        <v>-492.71600000000001</v>
      </c>
      <c r="H3359" s="1">
        <v>-3.7010120000000001E-6</v>
      </c>
      <c r="I3359">
        <v>256.5317</v>
      </c>
      <c r="J3359">
        <v>-493.34949999999998</v>
      </c>
      <c r="K3359">
        <v>1.1234690000000001</v>
      </c>
      <c r="L3359">
        <v>269.57760000000002</v>
      </c>
      <c r="M3359">
        <v>-2.526569E-2</v>
      </c>
      <c r="N3359">
        <v>-2.6632880000000002E-3</v>
      </c>
      <c r="O3359">
        <v>-0.99967729999999999</v>
      </c>
      <c r="P3359">
        <v>9.9291859999999996E-2</v>
      </c>
      <c r="Q3359">
        <v>-6.6926199999999894E-2</v>
      </c>
      <c r="R3359">
        <v>-0.99280539999999995</v>
      </c>
      <c r="S3359">
        <v>0.14450070000000001</v>
      </c>
      <c r="T3359">
        <v>-0.25432359999999998</v>
      </c>
      <c r="U3359">
        <v>-2.9898380000000002</v>
      </c>
      <c r="V3359">
        <v>-0.1237723</v>
      </c>
      <c r="W3359">
        <v>-6.5384020000000001E-2</v>
      </c>
      <c r="X3359">
        <v>0.99015419999999998</v>
      </c>
      <c r="Y3359">
        <v>-7.332429E-2</v>
      </c>
      <c r="Z3359">
        <v>8.1897269999999994E-2</v>
      </c>
      <c r="AA3359">
        <v>0.99393980000000004</v>
      </c>
      <c r="AB3359">
        <v>16</v>
      </c>
      <c r="AC3359">
        <v>0.63349999999996898</v>
      </c>
      <c r="AD3359">
        <v>-1.123472701012</v>
      </c>
      <c r="AE3359">
        <v>-13.0459</v>
      </c>
      <c r="AF3359">
        <v>-0.95584061997782999</v>
      </c>
      <c r="AG3359">
        <v>-1.123472701012</v>
      </c>
      <c r="AH3359">
        <v>12.9300641043105</v>
      </c>
      <c r="AI3359">
        <v>94.952421498619103</v>
      </c>
      <c r="AJ3359">
        <v>94.227836675086394</v>
      </c>
      <c r="AK3359">
        <v>13.0139302265802</v>
      </c>
      <c r="AL3359">
        <v>93.748902788039601</v>
      </c>
      <c r="AM3359">
        <v>97.125188699038205</v>
      </c>
      <c r="AN3359">
        <v>0.99999999604814505</v>
      </c>
    </row>
    <row r="3360" spans="1:40" x14ac:dyDescent="0.25">
      <c r="A3360" t="str">
        <f>"20190303154203106"</f>
        <v>20190303154203106</v>
      </c>
      <c r="B3360" t="str">
        <f>"1551598923103094"</f>
        <v>1551598923103094</v>
      </c>
      <c r="C3360" t="s">
        <v>40</v>
      </c>
      <c r="D3360">
        <v>6.0415400000000004</v>
      </c>
      <c r="E3360">
        <v>0.51943739999999905</v>
      </c>
      <c r="F3360" t="s">
        <v>41</v>
      </c>
      <c r="G3360">
        <v>-492.68130000000002</v>
      </c>
      <c r="H3360" s="1">
        <v>-3.4362470000000001E-6</v>
      </c>
      <c r="I3360">
        <v>255.93610000000001</v>
      </c>
      <c r="J3360">
        <v>-493.34370000000001</v>
      </c>
      <c r="K3360">
        <v>1.123416</v>
      </c>
      <c r="L3360">
        <v>269.41919999999999</v>
      </c>
      <c r="M3360">
        <v>-1.6693369999999999E-2</v>
      </c>
      <c r="N3360">
        <v>-2.5634540000000002E-3</v>
      </c>
      <c r="O3360">
        <v>-0.99985749999999995</v>
      </c>
      <c r="P3360">
        <v>9.9810910000000003E-2</v>
      </c>
      <c r="Q3360">
        <v>-6.8079490000000006E-2</v>
      </c>
      <c r="R3360">
        <v>-0.99267499999999997</v>
      </c>
      <c r="S3360">
        <v>0.14648439999999999</v>
      </c>
      <c r="T3360">
        <v>-0.24628449999999999</v>
      </c>
      <c r="U3360">
        <v>-2.9904480000000002</v>
      </c>
      <c r="V3360">
        <v>-0.11579150000000001</v>
      </c>
      <c r="W3360">
        <v>-6.6552529999999999E-2</v>
      </c>
      <c r="X3360">
        <v>0.99104139999999996</v>
      </c>
      <c r="Y3360">
        <v>-6.5430499999999905E-2</v>
      </c>
      <c r="Z3360">
        <v>7.9369129999999996E-2</v>
      </c>
      <c r="AA3360">
        <v>0.99469560000000001</v>
      </c>
      <c r="AB3360">
        <v>16</v>
      </c>
      <c r="AC3360">
        <v>0.662399999999991</v>
      </c>
      <c r="AD3360">
        <v>-1.123419436247</v>
      </c>
      <c r="AE3360">
        <v>-13.483099999999901</v>
      </c>
      <c r="AF3360">
        <v>-0.881283368988801</v>
      </c>
      <c r="AG3360">
        <v>-1.123419436247</v>
      </c>
      <c r="AH3360">
        <v>13.377516147607899</v>
      </c>
      <c r="AI3360">
        <v>94.789997470295006</v>
      </c>
      <c r="AJ3360">
        <v>93.769082432436704</v>
      </c>
      <c r="AK3360">
        <v>13.453500283781301</v>
      </c>
      <c r="AL3360">
        <v>93.815999686673095</v>
      </c>
      <c r="AM3360">
        <v>96.6641213970601</v>
      </c>
      <c r="AN3360">
        <v>0.99999998361780496</v>
      </c>
    </row>
    <row r="3361" spans="1:40" x14ac:dyDescent="0.25">
      <c r="A3361" t="str">
        <f>"20190303154203127"</f>
        <v>20190303154203127</v>
      </c>
      <c r="B3361" t="str">
        <f>"1551598923122613"</f>
        <v>1551598923122613</v>
      </c>
      <c r="C3361" t="s">
        <v>40</v>
      </c>
      <c r="D3361">
        <v>5.9417730000000004</v>
      </c>
      <c r="E3361">
        <v>0.51999090000000003</v>
      </c>
      <c r="F3361" t="s">
        <v>41</v>
      </c>
      <c r="G3361">
        <v>-492.68349999999998</v>
      </c>
      <c r="H3361" s="1">
        <v>-3.3705569999999998E-6</v>
      </c>
      <c r="I3361">
        <v>255.7816</v>
      </c>
      <c r="J3361">
        <v>-493.33670000000001</v>
      </c>
      <c r="K3361">
        <v>1.123327</v>
      </c>
      <c r="L3361">
        <v>269.2595</v>
      </c>
      <c r="M3361">
        <v>-8.3482150000000008E-3</v>
      </c>
      <c r="N3361">
        <v>-2.475559E-3</v>
      </c>
      <c r="O3361">
        <v>-0.99996220000000002</v>
      </c>
      <c r="P3361">
        <v>0.1016563</v>
      </c>
      <c r="Q3361">
        <v>-6.9186159999999997E-2</v>
      </c>
      <c r="R3361">
        <v>-0.99241109999999999</v>
      </c>
      <c r="S3361">
        <v>0.1447754</v>
      </c>
      <c r="T3361">
        <v>-0.2463658</v>
      </c>
      <c r="U3361">
        <v>-2.990723</v>
      </c>
      <c r="V3361">
        <v>-0.1093616</v>
      </c>
      <c r="W3361">
        <v>-6.7670919999999996E-2</v>
      </c>
      <c r="X3361">
        <v>0.99169589999999996</v>
      </c>
      <c r="Y3361">
        <v>-5.6529280000000001E-2</v>
      </c>
      <c r="Z3361">
        <v>7.9513009999999995E-2</v>
      </c>
      <c r="AA3361">
        <v>0.99522969999999999</v>
      </c>
      <c r="AB3361">
        <v>16</v>
      </c>
      <c r="AC3361">
        <v>0.65320000000002598</v>
      </c>
      <c r="AD3361">
        <v>-1.1233303705569999</v>
      </c>
      <c r="AE3361">
        <v>-13.4779</v>
      </c>
      <c r="AF3361">
        <v>-0.76042401500337498</v>
      </c>
      <c r="AG3361">
        <v>-1.1233303705569999</v>
      </c>
      <c r="AH3361">
        <v>13.3792550912096</v>
      </c>
      <c r="AI3361">
        <v>94.791635105174507</v>
      </c>
      <c r="AJ3361">
        <v>93.252966092019193</v>
      </c>
      <c r="AK3361">
        <v>13.447846764432899</v>
      </c>
      <c r="AL3361">
        <v>93.880223311020103</v>
      </c>
      <c r="AM3361">
        <v>96.292999254690201</v>
      </c>
      <c r="AN3361">
        <v>1.0000000355225001</v>
      </c>
    </row>
    <row r="3362" spans="1:40" x14ac:dyDescent="0.25">
      <c r="A3362" t="str">
        <f>"20190303154203150"</f>
        <v>20190303154203150</v>
      </c>
      <c r="B3362" t="str">
        <f>"1551598923143109"</f>
        <v>1551598923143109</v>
      </c>
      <c r="C3362" t="s">
        <v>40</v>
      </c>
      <c r="D3362">
        <v>5.9430249999999996</v>
      </c>
      <c r="E3362">
        <v>0.52048119999999998</v>
      </c>
      <c r="F3362" t="s">
        <v>41</v>
      </c>
      <c r="G3362">
        <v>-492.6764</v>
      </c>
      <c r="H3362" s="1">
        <v>-3.356716E-6</v>
      </c>
      <c r="I3362">
        <v>255.75370000000001</v>
      </c>
      <c r="J3362">
        <v>-493.32799999999997</v>
      </c>
      <c r="K3362">
        <v>1.123192</v>
      </c>
      <c r="L3362">
        <v>269.08499999999998</v>
      </c>
      <c r="M3362">
        <v>3.7915289999999999E-4</v>
      </c>
      <c r="N3362">
        <v>-2.3907099999999999E-3</v>
      </c>
      <c r="O3362">
        <v>-0.99999720000000003</v>
      </c>
      <c r="P3362">
        <v>0.1051721</v>
      </c>
      <c r="Q3362">
        <v>-6.8858939999999993E-2</v>
      </c>
      <c r="R3362">
        <v>-0.99206729999999999</v>
      </c>
      <c r="S3362">
        <v>0.1462097</v>
      </c>
      <c r="T3362">
        <v>-0.24874350000000001</v>
      </c>
      <c r="U3362">
        <v>-2.990631</v>
      </c>
      <c r="V3362">
        <v>-0.1042411</v>
      </c>
      <c r="W3362">
        <v>-6.73541E-2</v>
      </c>
      <c r="X3362">
        <v>0.9922687</v>
      </c>
      <c r="Y3362">
        <v>-4.8289169999999999E-2</v>
      </c>
      <c r="Z3362">
        <v>8.0407889999999996E-2</v>
      </c>
      <c r="AA3362">
        <v>0.99559160000000002</v>
      </c>
      <c r="AB3362">
        <v>17</v>
      </c>
      <c r="AC3362">
        <v>0.65160000000003004</v>
      </c>
      <c r="AD3362">
        <v>-1.123195356716</v>
      </c>
      <c r="AE3362">
        <v>-13.331299999999899</v>
      </c>
      <c r="AF3362">
        <v>-0.64199898023199697</v>
      </c>
      <c r="AG3362">
        <v>-1.123195356716</v>
      </c>
      <c r="AH3362">
        <v>13.2378017331176</v>
      </c>
      <c r="AI3362">
        <v>94.844125861928504</v>
      </c>
      <c r="AJ3362">
        <v>92.776520973036</v>
      </c>
      <c r="AK3362">
        <v>13.3008693409604</v>
      </c>
      <c r="AL3362">
        <v>93.862029576866703</v>
      </c>
      <c r="AM3362">
        <v>95.997113414526197</v>
      </c>
      <c r="AN3362">
        <v>0.99999997735785395</v>
      </c>
    </row>
    <row r="3363" spans="1:40" x14ac:dyDescent="0.25">
      <c r="A3363" t="str">
        <f>"20190303154203172"</f>
        <v>20190303154203172</v>
      </c>
      <c r="B3363" t="str">
        <f>"1551598923162908"</f>
        <v>1551598923162908</v>
      </c>
      <c r="C3363" t="s">
        <v>40</v>
      </c>
      <c r="D3363">
        <v>5.9590189999999996</v>
      </c>
      <c r="E3363">
        <v>0.520764</v>
      </c>
      <c r="F3363" t="s">
        <v>41</v>
      </c>
      <c r="G3363">
        <v>-492.6327</v>
      </c>
      <c r="H3363" s="1">
        <v>-3.2106689999999998E-6</v>
      </c>
      <c r="I3363">
        <v>255.44040000000001</v>
      </c>
      <c r="J3363">
        <v>-493.31900000000002</v>
      </c>
      <c r="K3363">
        <v>1.12303</v>
      </c>
      <c r="L3363">
        <v>268.92340000000002</v>
      </c>
      <c r="M3363">
        <v>8.0468329999999998E-3</v>
      </c>
      <c r="N3363">
        <v>-2.322031E-3</v>
      </c>
      <c r="O3363">
        <v>-0.99996499999999999</v>
      </c>
      <c r="P3363">
        <v>0.10776910000000001</v>
      </c>
      <c r="Q3363">
        <v>-6.8776260000000006E-2</v>
      </c>
      <c r="R3363">
        <v>-0.99179430000000002</v>
      </c>
      <c r="S3363">
        <v>0.15240479999999901</v>
      </c>
      <c r="T3363">
        <v>-0.24619170000000001</v>
      </c>
      <c r="U3363">
        <v>-2.9907530000000002</v>
      </c>
      <c r="V3363">
        <v>-9.9253919999999995E-2</v>
      </c>
      <c r="W3363">
        <v>-6.7261779999999993E-2</v>
      </c>
      <c r="X3363">
        <v>0.99278619999999995</v>
      </c>
      <c r="Y3363">
        <v>-4.2688749999999998E-2</v>
      </c>
      <c r="Z3363">
        <v>7.9632040000000001E-2</v>
      </c>
      <c r="AA3363">
        <v>0.99590979999999996</v>
      </c>
      <c r="AB3363">
        <v>17</v>
      </c>
      <c r="AC3363">
        <v>0.68630000000001701</v>
      </c>
      <c r="AD3363">
        <v>-1.123033210669</v>
      </c>
      <c r="AE3363">
        <v>-13.483000000000001</v>
      </c>
      <c r="AF3363">
        <v>-0.57381143306930704</v>
      </c>
      <c r="AG3363">
        <v>-1.123033210669</v>
      </c>
      <c r="AH3363">
        <v>13.3953936849994</v>
      </c>
      <c r="AI3363">
        <v>94.787944299625195</v>
      </c>
      <c r="AJ3363">
        <v>92.452849605328296</v>
      </c>
      <c r="AK3363">
        <v>13.4546287622181</v>
      </c>
      <c r="AL3363">
        <v>93.856728062052397</v>
      </c>
      <c r="AM3363">
        <v>95.709181758829004</v>
      </c>
      <c r="AN3363">
        <v>0.99999996329728602</v>
      </c>
    </row>
    <row r="3364" spans="1:40" x14ac:dyDescent="0.25">
      <c r="A3364" t="str">
        <f>"20190303154203195"</f>
        <v>20190303154203195</v>
      </c>
      <c r="B3364" t="str">
        <f>"1551598923182430"</f>
        <v>1551598923182430</v>
      </c>
      <c r="C3364" t="s">
        <v>40</v>
      </c>
      <c r="D3364">
        <v>5.9542159999999997</v>
      </c>
      <c r="E3364">
        <v>0.52112219999999998</v>
      </c>
      <c r="F3364" t="s">
        <v>41</v>
      </c>
      <c r="G3364">
        <v>-492.57990000000001</v>
      </c>
      <c r="H3364" s="1">
        <v>-2.9872099999999998E-6</v>
      </c>
      <c r="I3364">
        <v>254.9522</v>
      </c>
      <c r="J3364">
        <v>-493.3091</v>
      </c>
      <c r="K3364">
        <v>1.1228180000000001</v>
      </c>
      <c r="L3364">
        <v>268.75689999999997</v>
      </c>
      <c r="M3364">
        <v>1.547931E-2</v>
      </c>
      <c r="N3364">
        <v>-2.2612840000000001E-3</v>
      </c>
      <c r="O3364">
        <v>-0.99987760000000003</v>
      </c>
      <c r="P3364">
        <v>0.109041899999999</v>
      </c>
      <c r="Q3364">
        <v>-7.0716730000000005E-2</v>
      </c>
      <c r="R3364">
        <v>-0.99151849999999997</v>
      </c>
      <c r="S3364">
        <v>0.1582336</v>
      </c>
      <c r="T3364">
        <v>-0.24042240000000001</v>
      </c>
      <c r="U3364">
        <v>-2.9909970000000001</v>
      </c>
      <c r="V3364">
        <v>-9.3166700000000005E-2</v>
      </c>
      <c r="W3364">
        <v>-6.9169250000000002E-2</v>
      </c>
      <c r="X3364">
        <v>0.99324489999999999</v>
      </c>
      <c r="Y3364">
        <v>-3.7201869999999998E-2</v>
      </c>
      <c r="Z3364">
        <v>7.7772599999999997E-2</v>
      </c>
      <c r="AA3364">
        <v>0.99627679999999996</v>
      </c>
      <c r="AB3364">
        <v>17</v>
      </c>
      <c r="AC3364">
        <v>0.72919999999999097</v>
      </c>
      <c r="AD3364">
        <v>-1.1228209872099999</v>
      </c>
      <c r="AE3364">
        <v>-13.804699999999899</v>
      </c>
      <c r="AF3364">
        <v>-0.51204679454370805</v>
      </c>
      <c r="AG3364">
        <v>-1.1228209872099999</v>
      </c>
      <c r="AH3364">
        <v>13.723795496840999</v>
      </c>
      <c r="AI3364">
        <v>94.674034866198298</v>
      </c>
      <c r="AJ3364">
        <v>92.136764405230196</v>
      </c>
      <c r="AK3364">
        <v>13.7791683975571</v>
      </c>
      <c r="AL3364">
        <v>93.966273388211306</v>
      </c>
      <c r="AM3364">
        <v>95.358683636728202</v>
      </c>
      <c r="AN3364">
        <v>0.99999992525522796</v>
      </c>
    </row>
    <row r="3365" spans="1:40" x14ac:dyDescent="0.25">
      <c r="A3365" t="str">
        <f>"20190303154203218"</f>
        <v>20190303154203218</v>
      </c>
      <c r="B3365" t="str">
        <f>"1551598923212687"</f>
        <v>1551598923212687</v>
      </c>
      <c r="C3365" t="s">
        <v>40</v>
      </c>
      <c r="D3365">
        <v>5.9893020000000003</v>
      </c>
      <c r="E3365">
        <v>0.52145549999999996</v>
      </c>
      <c r="F3365" t="s">
        <v>41</v>
      </c>
      <c r="G3365">
        <v>-492.57420000000002</v>
      </c>
      <c r="H3365" s="1">
        <v>-2.983932E-6</v>
      </c>
      <c r="I3365">
        <v>254.94820000000001</v>
      </c>
      <c r="J3365">
        <v>-493.29759999999999</v>
      </c>
      <c r="K3365">
        <v>1.122552</v>
      </c>
      <c r="L3365">
        <v>268.57830000000001</v>
      </c>
      <c r="M3365">
        <v>2.2835830000000001E-2</v>
      </c>
      <c r="N3365">
        <v>-2.2088089999999999E-3</v>
      </c>
      <c r="O3365">
        <v>-0.99973679999999998</v>
      </c>
      <c r="P3365">
        <v>0.108658199999999</v>
      </c>
      <c r="Q3365">
        <v>-7.3881970000000005E-2</v>
      </c>
      <c r="R3365">
        <v>-0.99133000000000004</v>
      </c>
      <c r="S3365">
        <v>0.15917970000000001</v>
      </c>
      <c r="T3365">
        <v>-0.2431904</v>
      </c>
      <c r="U3365">
        <v>-2.9908139999999999</v>
      </c>
      <c r="V3365">
        <v>-8.5497649999999994E-2</v>
      </c>
      <c r="W3365">
        <v>-7.2276190000000004E-2</v>
      </c>
      <c r="X3365">
        <v>0.99371339999999997</v>
      </c>
      <c r="Y3365">
        <v>-3.0162350000000001E-2</v>
      </c>
      <c r="Z3365">
        <v>7.8737630000000003E-2</v>
      </c>
      <c r="AA3365">
        <v>0.99643899999999996</v>
      </c>
      <c r="AB3365">
        <v>17</v>
      </c>
      <c r="AC3365">
        <v>0.72339999999996896</v>
      </c>
      <c r="AD3365">
        <v>-1.1225549839319999</v>
      </c>
      <c r="AE3365">
        <v>-13.630100000000001</v>
      </c>
      <c r="AF3365">
        <v>-0.40918825670185099</v>
      </c>
      <c r="AG3365">
        <v>-1.1225549839319999</v>
      </c>
      <c r="AH3365">
        <v>13.551405114040399</v>
      </c>
      <c r="AI3365">
        <v>94.733239779080904</v>
      </c>
      <c r="AJ3365">
        <v>91.729535686450205</v>
      </c>
      <c r="AK3365">
        <v>13.603975348633</v>
      </c>
      <c r="AL3365">
        <v>94.144734543111298</v>
      </c>
      <c r="AM3365">
        <v>94.917534840945805</v>
      </c>
      <c r="AN3365">
        <v>1.0000000085679901</v>
      </c>
    </row>
    <row r="3366" spans="1:40" x14ac:dyDescent="0.25">
      <c r="A3366" t="str">
        <f>"20190303154203240"</f>
        <v>20190303154203240</v>
      </c>
      <c r="B3366" t="str">
        <f>"1551598923233183"</f>
        <v>1551598923233183</v>
      </c>
      <c r="C3366" t="s">
        <v>40</v>
      </c>
      <c r="D3366">
        <v>6.0653819999999996</v>
      </c>
      <c r="E3366">
        <v>0.52722659999999999</v>
      </c>
      <c r="F3366" t="s">
        <v>41</v>
      </c>
      <c r="G3366">
        <v>-492.5883</v>
      </c>
      <c r="H3366" s="1">
        <v>-2.99136E-6</v>
      </c>
      <c r="I3366">
        <v>254.95670000000001</v>
      </c>
      <c r="J3366">
        <v>-493.28609999999998</v>
      </c>
      <c r="K3366">
        <v>1.1222840000000001</v>
      </c>
      <c r="L3366">
        <v>268.40910000000002</v>
      </c>
      <c r="M3366">
        <v>2.9213800000000002E-2</v>
      </c>
      <c r="N3366">
        <v>-2.1726100000000002E-3</v>
      </c>
      <c r="O3366">
        <v>-0.99957110000000005</v>
      </c>
      <c r="P3366">
        <v>0.10802639999999999</v>
      </c>
      <c r="Q3366">
        <v>-7.5204220000000002E-2</v>
      </c>
      <c r="R3366">
        <v>-0.99129999999999996</v>
      </c>
      <c r="S3366">
        <v>0.15573119999999999</v>
      </c>
      <c r="T3366">
        <v>-0.24647279999999999</v>
      </c>
      <c r="U3366">
        <v>-2.9908139999999999</v>
      </c>
      <c r="V3366">
        <v>-7.8562740000000006E-2</v>
      </c>
      <c r="W3366">
        <v>-7.3536320000000002E-2</v>
      </c>
      <c r="X3366">
        <v>0.99419329999999995</v>
      </c>
      <c r="Y3366">
        <v>-2.2634680000000001E-2</v>
      </c>
      <c r="Z3366">
        <v>7.9849600000000007E-2</v>
      </c>
      <c r="AA3366">
        <v>0.99654989999999999</v>
      </c>
      <c r="AB3366">
        <v>17</v>
      </c>
      <c r="AC3366">
        <v>0.697799999999972</v>
      </c>
      <c r="AD3366">
        <v>-1.12228699136</v>
      </c>
      <c r="AE3366">
        <v>-13.452400000000001</v>
      </c>
      <c r="AF3366">
        <v>-0.30240652839938698</v>
      </c>
      <c r="AG3366">
        <v>-1.12228699136</v>
      </c>
      <c r="AH3366">
        <v>13.374209224163</v>
      </c>
      <c r="AI3366">
        <v>94.795475706123099</v>
      </c>
      <c r="AJ3366">
        <v>91.295303935977103</v>
      </c>
      <c r="AK3366">
        <v>13.424621043853699</v>
      </c>
      <c r="AL3366">
        <v>94.217127340177598</v>
      </c>
      <c r="AM3366">
        <v>94.518214943031893</v>
      </c>
      <c r="AN3366">
        <v>1.0000000061201699</v>
      </c>
    </row>
    <row r="3367" spans="1:40" x14ac:dyDescent="0.25">
      <c r="A3367" t="str">
        <f>"20190303154203263"</f>
        <v>20190303154203263</v>
      </c>
      <c r="B3367" t="str">
        <f>"1551598923252703"</f>
        <v>1551598923252703</v>
      </c>
      <c r="C3367" t="s">
        <v>40</v>
      </c>
      <c r="D3367">
        <v>5.9581419999999996</v>
      </c>
      <c r="E3367">
        <v>0.52682200000000001</v>
      </c>
      <c r="F3367" t="s">
        <v>41</v>
      </c>
      <c r="G3367">
        <v>-492.38729999999998</v>
      </c>
      <c r="H3367" s="1">
        <v>-2.327181E-6</v>
      </c>
      <c r="I3367">
        <v>243.53319999999999</v>
      </c>
      <c r="J3367">
        <v>-493.27330000000001</v>
      </c>
      <c r="K3367">
        <v>1.122026</v>
      </c>
      <c r="L3367">
        <v>268.22660000000002</v>
      </c>
      <c r="M3367">
        <v>3.553912E-2</v>
      </c>
      <c r="N3367">
        <v>-2.1485129999999999E-3</v>
      </c>
      <c r="O3367">
        <v>-0.99936599999999998</v>
      </c>
      <c r="P3367">
        <v>0.1080933</v>
      </c>
      <c r="Q3367">
        <v>-7.51135E-2</v>
      </c>
      <c r="R3367">
        <v>-0.9912995</v>
      </c>
      <c r="S3367">
        <v>0.10855099999999999</v>
      </c>
      <c r="T3367">
        <v>-0.13553609999999999</v>
      </c>
      <c r="U3367">
        <v>-3.0042110000000002</v>
      </c>
      <c r="V3367">
        <v>-7.2382580000000002E-2</v>
      </c>
      <c r="W3367">
        <v>-7.3385980000000003E-2</v>
      </c>
      <c r="X3367">
        <v>0.99467340000000004</v>
      </c>
      <c r="Y3367">
        <v>-5.3730740000000003E-4</v>
      </c>
      <c r="Z3367">
        <v>4.2867130000000003E-2</v>
      </c>
      <c r="AA3367">
        <v>0.99908070000000004</v>
      </c>
      <c r="AB3367">
        <v>18</v>
      </c>
      <c r="AC3367">
        <v>0.88600000000002399</v>
      </c>
      <c r="AD3367">
        <v>-1.1220283271810001</v>
      </c>
      <c r="AE3367">
        <v>-24.6934</v>
      </c>
      <c r="AF3367">
        <v>-7.8404212491814899E-3</v>
      </c>
      <c r="AG3367">
        <v>-1.1220283271810001</v>
      </c>
      <c r="AH3367">
        <v>24.658442964218299</v>
      </c>
      <c r="AI3367">
        <v>92.605321444511802</v>
      </c>
      <c r="AJ3367">
        <v>90.018217818241595</v>
      </c>
      <c r="AK3367">
        <v>24.683958727457199</v>
      </c>
      <c r="AL3367">
        <v>94.208490365757598</v>
      </c>
      <c r="AM3367">
        <v>94.162088767838299</v>
      </c>
      <c r="AN3367">
        <v>0.99999995630778704</v>
      </c>
    </row>
    <row r="3368" spans="1:40" x14ac:dyDescent="0.25">
      <c r="A3368" t="str">
        <f>"20190303154203285"</f>
        <v>20190303154203285</v>
      </c>
      <c r="B3368" t="str">
        <f>"1551598923282959"</f>
        <v>1551598923282959</v>
      </c>
      <c r="C3368" t="s">
        <v>40</v>
      </c>
      <c r="D3368">
        <v>5.9709820000000002</v>
      </c>
      <c r="E3368">
        <v>0.52652219999999905</v>
      </c>
      <c r="F3368" t="s">
        <v>41</v>
      </c>
      <c r="G3368">
        <v>-492.50830000000002</v>
      </c>
      <c r="H3368" s="1">
        <v>-4.1103490000000001E-6</v>
      </c>
      <c r="I3368">
        <v>247.7578</v>
      </c>
      <c r="J3368">
        <v>-493.26</v>
      </c>
      <c r="K3368">
        <v>1.1217809999999999</v>
      </c>
      <c r="L3368">
        <v>268.04509999999999</v>
      </c>
      <c r="M3368">
        <v>4.1264439999999999E-2</v>
      </c>
      <c r="N3368">
        <v>-2.1389960000000002E-3</v>
      </c>
      <c r="O3368">
        <v>-0.99914619999999998</v>
      </c>
      <c r="P3368">
        <v>0.107514</v>
      </c>
      <c r="Q3368">
        <v>-7.524169E-2</v>
      </c>
      <c r="R3368">
        <v>-0.99135229999999996</v>
      </c>
      <c r="S3368">
        <v>0.11218259999999999</v>
      </c>
      <c r="T3368">
        <v>-0.1645402</v>
      </c>
      <c r="U3368">
        <v>-3.0016479999999999</v>
      </c>
      <c r="V3368">
        <v>-6.6142450000000005E-2</v>
      </c>
      <c r="W3368">
        <v>-7.3450500000000002E-2</v>
      </c>
      <c r="X3368">
        <v>0.99510310000000002</v>
      </c>
      <c r="Y3368">
        <v>3.9712870000000004E-3</v>
      </c>
      <c r="Z3368">
        <v>5.2511099999999998E-2</v>
      </c>
      <c r="AA3368">
        <v>0.99861250000000001</v>
      </c>
      <c r="AB3368">
        <v>18</v>
      </c>
      <c r="AC3368">
        <v>0.75169999999997095</v>
      </c>
      <c r="AD3368">
        <v>-1.121785110349</v>
      </c>
      <c r="AE3368">
        <v>-20.287299999999899</v>
      </c>
      <c r="AF3368">
        <v>8.5824002520078602E-2</v>
      </c>
      <c r="AG3368">
        <v>-1.121785110349</v>
      </c>
      <c r="AH3368">
        <v>20.239241709741801</v>
      </c>
      <c r="AI3368">
        <v>93.172415283209205</v>
      </c>
      <c r="AJ3368">
        <v>89.757040124222399</v>
      </c>
      <c r="AK3368">
        <v>20.270487724239899</v>
      </c>
      <c r="AL3368">
        <v>94.212196952546805</v>
      </c>
      <c r="AM3368">
        <v>93.8027386867915</v>
      </c>
      <c r="AN3368">
        <v>0.99999998963593095</v>
      </c>
    </row>
    <row r="3369" spans="1:40" x14ac:dyDescent="0.25">
      <c r="A3369" t="str">
        <f>"20190303154203308"</f>
        <v>20190303154203308</v>
      </c>
      <c r="B3369" t="str">
        <f>"1551598923303456"</f>
        <v>1551598923303456</v>
      </c>
      <c r="C3369" t="s">
        <v>40</v>
      </c>
      <c r="D3369">
        <v>6.0761450000000004</v>
      </c>
      <c r="E3369">
        <v>0.52659630000000002</v>
      </c>
      <c r="F3369" t="s">
        <v>41</v>
      </c>
      <c r="G3369">
        <v>-492.52670000000001</v>
      </c>
      <c r="H3369" s="1">
        <v>-4.3619139999999997E-6</v>
      </c>
      <c r="I3369">
        <v>248.48740000000001</v>
      </c>
      <c r="J3369">
        <v>-493.24669999999998</v>
      </c>
      <c r="K3369">
        <v>1.121542</v>
      </c>
      <c r="L3369">
        <v>267.86680000000001</v>
      </c>
      <c r="M3369">
        <v>4.630401E-2</v>
      </c>
      <c r="N3369">
        <v>-2.1460469999999999E-3</v>
      </c>
      <c r="O3369">
        <v>-0.99892510000000001</v>
      </c>
      <c r="P3369">
        <v>0.10500039999999999</v>
      </c>
      <c r="Q3369">
        <v>-7.6092870000000007E-2</v>
      </c>
      <c r="R3369">
        <v>-0.99155689999999996</v>
      </c>
      <c r="S3369">
        <v>0.1125183</v>
      </c>
      <c r="T3369">
        <v>-0.172124</v>
      </c>
      <c r="U3369">
        <v>-3.0008849999999998</v>
      </c>
      <c r="V3369">
        <v>-5.863968E-2</v>
      </c>
      <c r="W3369">
        <v>-7.4222499999999997E-2</v>
      </c>
      <c r="X3369">
        <v>0.99551619999999996</v>
      </c>
      <c r="Y3369">
        <v>8.8993100000000006E-3</v>
      </c>
      <c r="Z3369">
        <v>5.5009669999999997E-2</v>
      </c>
      <c r="AA3369">
        <v>0.99844619999999995</v>
      </c>
      <c r="AB3369">
        <v>18</v>
      </c>
      <c r="AC3369">
        <v>0.71999999999997</v>
      </c>
      <c r="AD3369">
        <v>-1.121546361914</v>
      </c>
      <c r="AE3369">
        <v>-19.3794</v>
      </c>
      <c r="AF3369">
        <v>0.177524504672852</v>
      </c>
      <c r="AG3369">
        <v>-1.121546361914</v>
      </c>
      <c r="AH3369">
        <v>19.327308720037401</v>
      </c>
      <c r="AI3369">
        <v>93.320958384130094</v>
      </c>
      <c r="AJ3369">
        <v>89.473743654884501</v>
      </c>
      <c r="AK3369">
        <v>19.360636444892901</v>
      </c>
      <c r="AL3369">
        <v>94.256550115783895</v>
      </c>
      <c r="AM3369">
        <v>93.371043538982306</v>
      </c>
      <c r="AN3369">
        <v>1.0000000480195901</v>
      </c>
    </row>
    <row r="3370" spans="1:40" x14ac:dyDescent="0.25">
      <c r="A3370" t="str">
        <f>"20190303154203328"</f>
        <v>20190303154203328</v>
      </c>
      <c r="B3370" t="str">
        <f>"1551598923322975"</f>
        <v>1551598923322975</v>
      </c>
      <c r="C3370" t="s">
        <v>40</v>
      </c>
      <c r="D3370">
        <v>5.9940300000000004</v>
      </c>
      <c r="E3370">
        <v>0.52682810000000002</v>
      </c>
      <c r="F3370" t="s">
        <v>41</v>
      </c>
      <c r="G3370">
        <v>-492.57819999999998</v>
      </c>
      <c r="H3370" s="1">
        <v>-4.4363899999999997E-6</v>
      </c>
      <c r="I3370">
        <v>248.67939999999999</v>
      </c>
      <c r="J3370">
        <v>-493.23379999999997</v>
      </c>
      <c r="K3370">
        <v>1.121302</v>
      </c>
      <c r="L3370">
        <v>267.69880000000001</v>
      </c>
      <c r="M3370">
        <v>5.0485889999999999E-2</v>
      </c>
      <c r="N3370">
        <v>-2.168924E-3</v>
      </c>
      <c r="O3370">
        <v>-0.99872240000000001</v>
      </c>
      <c r="P3370">
        <v>0.10098989999999999</v>
      </c>
      <c r="Q3370">
        <v>-7.7766459999999996E-2</v>
      </c>
      <c r="R3370">
        <v>-0.99184349999999999</v>
      </c>
      <c r="S3370">
        <v>0.1045532</v>
      </c>
      <c r="T3370">
        <v>-0.17541579999999901</v>
      </c>
      <c r="U3370">
        <v>-3.001007</v>
      </c>
      <c r="V3370">
        <v>-5.0489260000000001E-2</v>
      </c>
      <c r="W3370">
        <v>-7.5805789999999998E-2</v>
      </c>
      <c r="X3370">
        <v>0.99584349999999999</v>
      </c>
      <c r="Y3370">
        <v>1.5735329999999999E-2</v>
      </c>
      <c r="Z3370">
        <v>5.6056540000000002E-2</v>
      </c>
      <c r="AA3370">
        <v>0.99830359999999996</v>
      </c>
      <c r="AB3370">
        <v>18</v>
      </c>
      <c r="AC3370">
        <v>0.65559999999999197</v>
      </c>
      <c r="AD3370">
        <v>-1.12130643639</v>
      </c>
      <c r="AE3370">
        <v>-19.019400000000001</v>
      </c>
      <c r="AF3370">
        <v>0.304392901367808</v>
      </c>
      <c r="AG3370">
        <v>-1.12130643639</v>
      </c>
      <c r="AH3370">
        <v>18.9624131162068</v>
      </c>
      <c r="AI3370">
        <v>93.383701849656305</v>
      </c>
      <c r="AJ3370">
        <v>89.0803422187671</v>
      </c>
      <c r="AK3370">
        <v>18.997976059369702</v>
      </c>
      <c r="AL3370">
        <v>94.347522569654501</v>
      </c>
      <c r="AM3370">
        <v>92.902410538232701</v>
      </c>
      <c r="AN3370">
        <v>0.99999997983255995</v>
      </c>
    </row>
    <row r="3371" spans="1:40" x14ac:dyDescent="0.25">
      <c r="A3371" t="str">
        <f>"20190303154203351"</f>
        <v>20190303154203351</v>
      </c>
      <c r="B3371" t="str">
        <f>"1551598923342498"</f>
        <v>1551598923342498</v>
      </c>
      <c r="C3371" t="s">
        <v>40</v>
      </c>
      <c r="D3371">
        <v>5.9773300000000003</v>
      </c>
      <c r="E3371">
        <v>0.52695509999999901</v>
      </c>
      <c r="F3371" t="s">
        <v>41</v>
      </c>
      <c r="G3371">
        <v>-492.67090000000002</v>
      </c>
      <c r="H3371" s="1">
        <v>-4.584037E-6</v>
      </c>
      <c r="I3371">
        <v>249.065</v>
      </c>
      <c r="J3371">
        <v>-493.21969999999999</v>
      </c>
      <c r="K3371">
        <v>1.1210249999999999</v>
      </c>
      <c r="L3371">
        <v>267.51560000000001</v>
      </c>
      <c r="M3371">
        <v>5.4421049999999999E-2</v>
      </c>
      <c r="N3371">
        <v>-2.2115889999999999E-3</v>
      </c>
      <c r="O3371">
        <v>-0.99851579999999995</v>
      </c>
      <c r="P3371">
        <v>9.7837709999999994E-2</v>
      </c>
      <c r="Q3371">
        <v>-7.7459399999999998E-2</v>
      </c>
      <c r="R3371">
        <v>-0.9921837</v>
      </c>
      <c r="S3371">
        <v>9.0667719999999993E-2</v>
      </c>
      <c r="T3371">
        <v>-0.18060670000000001</v>
      </c>
      <c r="U3371">
        <v>-3.001312</v>
      </c>
      <c r="V3371">
        <v>-4.3454920000000001E-2</v>
      </c>
      <c r="W3371">
        <v>-7.539643E-2</v>
      </c>
      <c r="X3371">
        <v>0.99620629999999999</v>
      </c>
      <c r="Y3371">
        <v>2.429423E-2</v>
      </c>
      <c r="Z3371">
        <v>5.7705499999999903E-2</v>
      </c>
      <c r="AA3371">
        <v>0.99803799999999998</v>
      </c>
      <c r="AB3371">
        <v>18</v>
      </c>
      <c r="AC3371">
        <v>0.54879999999997098</v>
      </c>
      <c r="AD3371">
        <v>-1.1210295840369999</v>
      </c>
      <c r="AE3371">
        <v>-18.450600000000001</v>
      </c>
      <c r="AF3371">
        <v>0.454440467132812</v>
      </c>
      <c r="AG3371">
        <v>-1.1210295840369999</v>
      </c>
      <c r="AH3371">
        <v>18.3853128438985</v>
      </c>
      <c r="AI3371">
        <v>93.488181167164996</v>
      </c>
      <c r="AJ3371">
        <v>88.584075215206099</v>
      </c>
      <c r="AK3371">
        <v>18.4250631432967</v>
      </c>
      <c r="AL3371">
        <v>94.324000686471607</v>
      </c>
      <c r="AM3371">
        <v>92.497681633749195</v>
      </c>
      <c r="AN3371">
        <v>0.99999997194432</v>
      </c>
    </row>
    <row r="3372" spans="1:40" x14ac:dyDescent="0.25">
      <c r="A3372" t="str">
        <f>"20190303154203373"</f>
        <v>20190303154203373</v>
      </c>
      <c r="B3372" t="str">
        <f>"1551598923362994"</f>
        <v>1551598923362994</v>
      </c>
      <c r="C3372" t="s">
        <v>40</v>
      </c>
      <c r="D3372">
        <v>5.9431379999999896</v>
      </c>
      <c r="E3372">
        <v>0.52698519999999904</v>
      </c>
      <c r="F3372" t="s">
        <v>41</v>
      </c>
      <c r="G3372">
        <v>-492.73180000000002</v>
      </c>
      <c r="H3372" s="1">
        <v>-4.6164980000000001E-6</v>
      </c>
      <c r="I3372">
        <v>249.12860000000001</v>
      </c>
      <c r="J3372">
        <v>-493.2054</v>
      </c>
      <c r="K3372">
        <v>1.120735</v>
      </c>
      <c r="L3372">
        <v>267.33030000000002</v>
      </c>
      <c r="M3372">
        <v>5.7766409999999997E-2</v>
      </c>
      <c r="N3372">
        <v>-2.2731100000000001E-3</v>
      </c>
      <c r="O3372">
        <v>-0.99832759999999998</v>
      </c>
      <c r="P3372">
        <v>9.6688579999999996E-2</v>
      </c>
      <c r="Q3372">
        <v>-7.4625449999999996E-2</v>
      </c>
      <c r="R3372">
        <v>-0.99251319999999998</v>
      </c>
      <c r="S3372">
        <v>7.9650879999999993E-2</v>
      </c>
      <c r="T3372">
        <v>-0.1829971</v>
      </c>
      <c r="U3372">
        <v>-3.0014949999999998</v>
      </c>
      <c r="V3372">
        <v>-3.9016759999999998E-2</v>
      </c>
      <c r="W3372">
        <v>-7.2455619999999998E-2</v>
      </c>
      <c r="X3372">
        <v>0.99660820000000006</v>
      </c>
      <c r="Y3372">
        <v>3.1305899999999998E-2</v>
      </c>
      <c r="Z3372">
        <v>5.8410509999999999E-2</v>
      </c>
      <c r="AA3372">
        <v>0.99780170000000001</v>
      </c>
      <c r="AB3372">
        <v>18</v>
      </c>
      <c r="AC3372">
        <v>0.47359999999997598</v>
      </c>
      <c r="AD3372">
        <v>-1.1207396164979999</v>
      </c>
      <c r="AE3372">
        <v>-18.201699999999999</v>
      </c>
      <c r="AF3372">
        <v>0.57645634594519901</v>
      </c>
      <c r="AG3372">
        <v>-1.1207396164979999</v>
      </c>
      <c r="AH3372">
        <v>18.129974299334499</v>
      </c>
      <c r="AI3372">
        <v>93.535566621677503</v>
      </c>
      <c r="AJ3372">
        <v>88.178850581203505</v>
      </c>
      <c r="AK3372">
        <v>18.173726291030601</v>
      </c>
      <c r="AL3372">
        <v>94.155042125599394</v>
      </c>
      <c r="AM3372">
        <v>92.241958898509296</v>
      </c>
      <c r="AN3372">
        <v>1.0000000143688601</v>
      </c>
    </row>
    <row r="3373" spans="1:40" x14ac:dyDescent="0.25">
      <c r="A3373" t="str">
        <f>"20190303154203395"</f>
        <v>20190303154203395</v>
      </c>
      <c r="B3373" t="str">
        <f>"1551598923382512"</f>
        <v>1551598923382512</v>
      </c>
      <c r="C3373" t="s">
        <v>40</v>
      </c>
      <c r="D3373">
        <v>5.9728149999999998</v>
      </c>
      <c r="E3373">
        <v>0.52699600000000002</v>
      </c>
      <c r="F3373" t="s">
        <v>41</v>
      </c>
      <c r="G3373">
        <v>-492.70920000000001</v>
      </c>
      <c r="H3373" s="1">
        <v>-4.1828510000000003E-6</v>
      </c>
      <c r="I3373">
        <v>247.86609999999999</v>
      </c>
      <c r="J3373">
        <v>-493.19170000000003</v>
      </c>
      <c r="K3373">
        <v>1.1204400000000001</v>
      </c>
      <c r="L3373">
        <v>267.15069999999997</v>
      </c>
      <c r="M3373">
        <v>6.0401990000000003E-2</v>
      </c>
      <c r="N3373">
        <v>-2.356346E-3</v>
      </c>
      <c r="O3373">
        <v>-0.99817140000000004</v>
      </c>
      <c r="P3373">
        <v>9.5859479999999997E-2</v>
      </c>
      <c r="Q3373">
        <v>-7.3038809999999996E-2</v>
      </c>
      <c r="R3373">
        <v>-0.99271149999999997</v>
      </c>
      <c r="S3373">
        <v>7.6538090000000003E-2</v>
      </c>
      <c r="T3373">
        <v>-0.17286370000000001</v>
      </c>
      <c r="U3373">
        <v>-3.002167</v>
      </c>
      <c r="V3373">
        <v>-3.5605020000000001E-2</v>
      </c>
      <c r="W3373">
        <v>-7.0749569999999998E-2</v>
      </c>
      <c r="X3373">
        <v>0.99685849999999998</v>
      </c>
      <c r="Y3373">
        <v>3.4979150000000001E-2</v>
      </c>
      <c r="Z3373">
        <v>5.4949499999999998E-2</v>
      </c>
      <c r="AA3373">
        <v>0.99787619999999999</v>
      </c>
      <c r="AB3373">
        <v>19</v>
      </c>
      <c r="AC3373">
        <v>0.48250000000001497</v>
      </c>
      <c r="AD3373">
        <v>-1.1204441828509999</v>
      </c>
      <c r="AE3373">
        <v>-19.284599999999902</v>
      </c>
      <c r="AF3373">
        <v>0.680915276557571</v>
      </c>
      <c r="AG3373">
        <v>-1.1204441828509999</v>
      </c>
      <c r="AH3373">
        <v>19.213714268066099</v>
      </c>
      <c r="AI3373">
        <v>93.335324019457801</v>
      </c>
      <c r="AJ3373">
        <v>87.970342922439897</v>
      </c>
      <c r="AK3373">
        <v>19.258397045331201</v>
      </c>
      <c r="AL3373">
        <v>94.057040984506898</v>
      </c>
      <c r="AM3373">
        <v>92.045576721022698</v>
      </c>
      <c r="AN3373">
        <v>1.0000000440633099</v>
      </c>
    </row>
    <row r="3374" spans="1:40" x14ac:dyDescent="0.25">
      <c r="A3374" t="str">
        <f>"20190303154203417"</f>
        <v>20190303154203417</v>
      </c>
      <c r="B3374" t="str">
        <f>"1551598923412767"</f>
        <v>1551598923412767</v>
      </c>
      <c r="C3374" t="s">
        <v>40</v>
      </c>
      <c r="D3374">
        <v>6.1051840000000004</v>
      </c>
      <c r="E3374">
        <v>0.52700559999999996</v>
      </c>
      <c r="F3374" t="s">
        <v>41</v>
      </c>
      <c r="G3374">
        <v>-492.70139999999998</v>
      </c>
      <c r="H3374" s="1">
        <v>-3.9711279999999999E-6</v>
      </c>
      <c r="I3374">
        <v>247.24799999999999</v>
      </c>
      <c r="J3374">
        <v>-493.17779999999999</v>
      </c>
      <c r="K3374">
        <v>1.1201369999999999</v>
      </c>
      <c r="L3374">
        <v>266.96449999999999</v>
      </c>
      <c r="M3374">
        <v>6.2498980000000003E-2</v>
      </c>
      <c r="N3374">
        <v>-2.4770310000000002E-3</v>
      </c>
      <c r="O3374">
        <v>-0.99804219999999999</v>
      </c>
      <c r="P3374">
        <v>9.4585790000000003E-2</v>
      </c>
      <c r="Q3374">
        <v>-7.3101659999999999E-2</v>
      </c>
      <c r="R3374">
        <v>-0.99282919999999997</v>
      </c>
      <c r="S3374">
        <v>7.3974609999999996E-2</v>
      </c>
      <c r="T3374">
        <v>-0.16902449999999999</v>
      </c>
      <c r="U3374">
        <v>-3.0024109999999999</v>
      </c>
      <c r="V3374">
        <v>-3.2287169999999997E-2</v>
      </c>
      <c r="W3374">
        <v>-7.0660849999999997E-2</v>
      </c>
      <c r="X3374">
        <v>0.99697769999999997</v>
      </c>
      <c r="Y3374">
        <v>3.7930030000000003E-2</v>
      </c>
      <c r="Z3374">
        <v>5.3542510000000001E-2</v>
      </c>
      <c r="AA3374">
        <v>0.99784490000000003</v>
      </c>
      <c r="AB3374">
        <v>19</v>
      </c>
      <c r="AC3374">
        <v>0.47640000000001198</v>
      </c>
      <c r="AD3374">
        <v>-1.1201409711279999</v>
      </c>
      <c r="AE3374">
        <v>-19.7165</v>
      </c>
      <c r="AF3374">
        <v>0.754362577286252</v>
      </c>
      <c r="AG3374">
        <v>-1.1201409711279999</v>
      </c>
      <c r="AH3374">
        <v>19.644361148907802</v>
      </c>
      <c r="AI3374">
        <v>93.261129866110096</v>
      </c>
      <c r="AJ3374">
        <v>87.800866879816795</v>
      </c>
      <c r="AK3374">
        <v>19.690726336068199</v>
      </c>
      <c r="AL3374">
        <v>94.051945226628504</v>
      </c>
      <c r="AM3374">
        <v>91.854878252464999</v>
      </c>
      <c r="AN3374">
        <v>0.99999997568331001</v>
      </c>
    </row>
    <row r="3375" spans="1:40" x14ac:dyDescent="0.25">
      <c r="A3375" t="str">
        <f>"20190303154203440"</f>
        <v>20190303154203440</v>
      </c>
      <c r="B3375" t="str">
        <f>"1551598923433263"</f>
        <v>1551598923433263</v>
      </c>
      <c r="C3375" t="s">
        <v>40</v>
      </c>
      <c r="D3375">
        <v>5.960731</v>
      </c>
      <c r="E3375">
        <v>0.527219199999999</v>
      </c>
      <c r="F3375" t="s">
        <v>41</v>
      </c>
      <c r="G3375">
        <v>-492.71660000000003</v>
      </c>
      <c r="H3375" s="1">
        <v>-3.9257259999999998E-6</v>
      </c>
      <c r="I3375">
        <v>247.10669999999999</v>
      </c>
      <c r="J3375">
        <v>-493.16329999999999</v>
      </c>
      <c r="K3375">
        <v>1.1198459999999999</v>
      </c>
      <c r="L3375">
        <v>266.76740000000001</v>
      </c>
      <c r="M3375">
        <v>6.4072390000000007E-2</v>
      </c>
      <c r="N3375">
        <v>-2.6518919999999999E-3</v>
      </c>
      <c r="O3375">
        <v>-0.99794170000000004</v>
      </c>
      <c r="P3375">
        <v>9.2672669999999999E-2</v>
      </c>
      <c r="Q3375">
        <v>-7.4479870000000004E-2</v>
      </c>
      <c r="R3375">
        <v>-0.99290699999999998</v>
      </c>
      <c r="S3375">
        <v>6.9732669999999997E-2</v>
      </c>
      <c r="T3375">
        <v>-0.1693684</v>
      </c>
      <c r="U3375">
        <v>-3.0025629999999999</v>
      </c>
      <c r="V3375">
        <v>-2.8855519999999999E-2</v>
      </c>
      <c r="W3375">
        <v>-7.1839710000000001E-2</v>
      </c>
      <c r="X3375">
        <v>0.99699870000000002</v>
      </c>
      <c r="Y3375">
        <v>4.0914970000000002E-2</v>
      </c>
      <c r="Z3375">
        <v>5.3467960000000002E-2</v>
      </c>
      <c r="AA3375">
        <v>0.99773100000000003</v>
      </c>
      <c r="AB3375">
        <v>19</v>
      </c>
      <c r="AC3375">
        <v>0.44669999999996401</v>
      </c>
      <c r="AD3375">
        <v>-1.119849925726</v>
      </c>
      <c r="AE3375">
        <v>-19.660699999999999</v>
      </c>
      <c r="AF3375">
        <v>0.81129962146982304</v>
      </c>
      <c r="AG3375">
        <v>-1.119849925726</v>
      </c>
      <c r="AH3375">
        <v>19.585414916734301</v>
      </c>
      <c r="AI3375">
        <v>93.2696825699187</v>
      </c>
      <c r="AJ3375">
        <v>87.627955081012502</v>
      </c>
      <c r="AK3375">
        <v>19.6341729745</v>
      </c>
      <c r="AL3375">
        <v>94.119660951301199</v>
      </c>
      <c r="AM3375">
        <v>91.657813704613005</v>
      </c>
      <c r="AN3375">
        <v>0.99999999638452197</v>
      </c>
    </row>
    <row r="3376" spans="1:40" x14ac:dyDescent="0.25">
      <c r="A3376" t="str">
        <f>"20190303154203462"</f>
        <v>20190303154203462</v>
      </c>
      <c r="B3376" t="str">
        <f>"1551598923452786"</f>
        <v>1551598923452786</v>
      </c>
      <c r="C3376" t="s">
        <v>40</v>
      </c>
      <c r="D3376">
        <v>6.0612680000000001</v>
      </c>
      <c r="E3376">
        <v>0.52725010000000005</v>
      </c>
      <c r="F3376" t="s">
        <v>41</v>
      </c>
      <c r="G3376">
        <v>-492.75119999999998</v>
      </c>
      <c r="H3376" s="1">
        <v>-3.8742509999999996E-6</v>
      </c>
      <c r="I3376">
        <v>246.9374</v>
      </c>
      <c r="J3376">
        <v>-493.14980000000003</v>
      </c>
      <c r="K3376">
        <v>1.1196349999999999</v>
      </c>
      <c r="L3376">
        <v>266.577</v>
      </c>
      <c r="M3376">
        <v>6.5119209999999997E-2</v>
      </c>
      <c r="N3376">
        <v>-2.8551420000000002E-3</v>
      </c>
      <c r="O3376">
        <v>-0.99787329999999996</v>
      </c>
      <c r="P3376">
        <v>9.1134320000000005E-2</v>
      </c>
      <c r="Q3376">
        <v>-7.6491089999999998E-2</v>
      </c>
      <c r="R3376">
        <v>-0.99289640000000001</v>
      </c>
      <c r="S3376">
        <v>6.2408449999999997E-2</v>
      </c>
      <c r="T3376">
        <v>-0.16957929999999999</v>
      </c>
      <c r="U3376">
        <v>-3.002869</v>
      </c>
      <c r="V3376">
        <v>-2.6316639999999999E-2</v>
      </c>
      <c r="W3376">
        <v>-7.363335E-2</v>
      </c>
      <c r="X3376">
        <v>0.99693810000000005</v>
      </c>
      <c r="Y3376">
        <v>4.4396890000000001E-2</v>
      </c>
      <c r="Z3376">
        <v>5.3320510000000002E-2</v>
      </c>
      <c r="AA3376">
        <v>0.99758999999999998</v>
      </c>
      <c r="AB3376">
        <v>19</v>
      </c>
      <c r="AC3376">
        <v>0.39860000000004397</v>
      </c>
      <c r="AD3376">
        <v>-1.1196388742509999</v>
      </c>
      <c r="AE3376">
        <v>-19.639600000000002</v>
      </c>
      <c r="AF3376">
        <v>0.87831323446655896</v>
      </c>
      <c r="AG3376">
        <v>-1.1196388742509999</v>
      </c>
      <c r="AH3376">
        <v>19.560325113439202</v>
      </c>
      <c r="AI3376">
        <v>93.272762245347906</v>
      </c>
      <c r="AJ3376">
        <v>87.428986474989003</v>
      </c>
      <c r="AK3376">
        <v>19.612020392861499</v>
      </c>
      <c r="AL3376">
        <v>94.222701864991393</v>
      </c>
      <c r="AM3376">
        <v>91.512112253440904</v>
      </c>
      <c r="AN3376">
        <v>1.0000000055023599</v>
      </c>
    </row>
    <row r="3377" spans="1:40" x14ac:dyDescent="0.25">
      <c r="A3377" t="str">
        <f>"20190303154203486"</f>
        <v>20190303154203486</v>
      </c>
      <c r="B3377" t="str">
        <f>"1551598923483040"</f>
        <v>1551598923483040</v>
      </c>
      <c r="C3377" t="s">
        <v>40</v>
      </c>
      <c r="D3377">
        <v>5.9591430000000001</v>
      </c>
      <c r="E3377">
        <v>0.52742829999999996</v>
      </c>
      <c r="F3377" t="s">
        <v>41</v>
      </c>
      <c r="G3377">
        <v>-492.77870000000001</v>
      </c>
      <c r="H3377" s="1">
        <v>-3.9592909999999999E-6</v>
      </c>
      <c r="I3377">
        <v>247.173</v>
      </c>
      <c r="J3377">
        <v>-493.13569999999999</v>
      </c>
      <c r="K3377">
        <v>1.1194710000000001</v>
      </c>
      <c r="L3377">
        <v>266.37400000000002</v>
      </c>
      <c r="M3377">
        <v>6.5774139999999995E-2</v>
      </c>
      <c r="N3377">
        <v>-3.109751E-3</v>
      </c>
      <c r="O3377">
        <v>-0.99782979999999999</v>
      </c>
      <c r="P3377">
        <v>9.0349810000000003E-2</v>
      </c>
      <c r="Q3377">
        <v>-8.0025769999999996E-2</v>
      </c>
      <c r="R3377">
        <v>-0.99268990000000001</v>
      </c>
      <c r="S3377">
        <v>5.7434079999999998E-2</v>
      </c>
      <c r="T3377">
        <v>-0.17326639999999999</v>
      </c>
      <c r="U3377">
        <v>-3.0028079999999999</v>
      </c>
      <c r="V3377">
        <v>-2.4928510000000001E-2</v>
      </c>
      <c r="W3377">
        <v>-7.6904609999999998E-2</v>
      </c>
      <c r="X3377">
        <v>0.99672680000000002</v>
      </c>
      <c r="Y3377">
        <v>4.6704309999999999E-2</v>
      </c>
      <c r="Z3377">
        <v>5.4279130000000002E-2</v>
      </c>
      <c r="AA3377">
        <v>0.99743289999999996</v>
      </c>
      <c r="AB3377">
        <v>19</v>
      </c>
      <c r="AC3377">
        <v>0.35699999999997001</v>
      </c>
      <c r="AD3377">
        <v>-1.1194749592909901</v>
      </c>
      <c r="AE3377">
        <v>-19.201000000000001</v>
      </c>
      <c r="AF3377">
        <v>0.90363769442918096</v>
      </c>
      <c r="AG3377">
        <v>-1.1194749592909901</v>
      </c>
      <c r="AH3377">
        <v>19.1179381341401</v>
      </c>
      <c r="AI3377">
        <v>93.347471102297405</v>
      </c>
      <c r="AJ3377">
        <v>87.293844115261606</v>
      </c>
      <c r="AK3377">
        <v>19.171993734822699</v>
      </c>
      <c r="AL3377">
        <v>94.410664425119606</v>
      </c>
      <c r="AM3377">
        <v>91.432690196650299</v>
      </c>
      <c r="AN3377">
        <v>1.00000003174415</v>
      </c>
    </row>
    <row r="3378" spans="1:40" x14ac:dyDescent="0.25">
      <c r="A3378" t="str">
        <f>"20190303154203507"</f>
        <v>20190303154203507</v>
      </c>
      <c r="B3378" t="str">
        <f>"1551598923502559"</f>
        <v>1551598923502559</v>
      </c>
      <c r="C3378" t="s">
        <v>40</v>
      </c>
      <c r="D3378">
        <v>5.9638609999999996</v>
      </c>
      <c r="E3378">
        <v>0.52754460000000003</v>
      </c>
      <c r="F3378" t="s">
        <v>41</v>
      </c>
      <c r="G3378">
        <v>-492.80130000000003</v>
      </c>
      <c r="H3378" s="1">
        <v>-4.1439770000000001E-6</v>
      </c>
      <c r="I3378">
        <v>247.7039</v>
      </c>
      <c r="J3378">
        <v>-493.12299999999999</v>
      </c>
      <c r="K3378">
        <v>1.119362</v>
      </c>
      <c r="L3378">
        <v>266.18669999999997</v>
      </c>
      <c r="M3378">
        <v>6.598801E-2</v>
      </c>
      <c r="N3378">
        <v>-3.388598E-3</v>
      </c>
      <c r="O3378">
        <v>-0.99781489999999995</v>
      </c>
      <c r="P3378">
        <v>9.0385030000000005E-2</v>
      </c>
      <c r="Q3378">
        <v>-8.4457389999999993E-2</v>
      </c>
      <c r="R3378">
        <v>-0.99231959999999997</v>
      </c>
      <c r="S3378">
        <v>5.3771970000000002E-2</v>
      </c>
      <c r="T3378">
        <v>-0.18004519999999999</v>
      </c>
      <c r="U3378">
        <v>-3.0027159999999999</v>
      </c>
      <c r="V3378">
        <v>-2.48039E-2</v>
      </c>
      <c r="W3378">
        <v>-8.1051689999999996E-2</v>
      </c>
      <c r="X3378">
        <v>0.99640119999999999</v>
      </c>
      <c r="Y3378">
        <v>4.8135079999999997E-2</v>
      </c>
      <c r="Z3378">
        <v>5.6237469999999998E-2</v>
      </c>
      <c r="AA3378">
        <v>0.99725640000000004</v>
      </c>
      <c r="AB3378">
        <v>19</v>
      </c>
      <c r="AC3378">
        <v>0.32170000000002102</v>
      </c>
      <c r="AD3378">
        <v>-1.119366143977</v>
      </c>
      <c r="AE3378">
        <v>-18.482799999999902</v>
      </c>
      <c r="AF3378">
        <v>0.89536802388977899</v>
      </c>
      <c r="AG3378">
        <v>-1.119366143977</v>
      </c>
      <c r="AH3378">
        <v>18.396289234450499</v>
      </c>
      <c r="AI3378">
        <v>93.477898682875505</v>
      </c>
      <c r="AJ3378">
        <v>87.213549034165695</v>
      </c>
      <c r="AK3378">
        <v>18.4520492645138</v>
      </c>
      <c r="AL3378">
        <v>94.649019549413694</v>
      </c>
      <c r="AM3378">
        <v>91.425997216096405</v>
      </c>
      <c r="AN3378">
        <v>0.99999998063425199</v>
      </c>
    </row>
    <row r="3379" spans="1:40" x14ac:dyDescent="0.25">
      <c r="A3379" t="str">
        <f>"20190303154203529"</f>
        <v>20190303154203529</v>
      </c>
      <c r="B3379" t="str">
        <f>"1551598923523055"</f>
        <v>1551598923523055</v>
      </c>
      <c r="C3379" t="s">
        <v>40</v>
      </c>
      <c r="D3379">
        <v>6.0273849999999998</v>
      </c>
      <c r="E3379">
        <v>0.52763579999999999</v>
      </c>
      <c r="F3379" t="s">
        <v>41</v>
      </c>
      <c r="G3379">
        <v>-492.81189999999998</v>
      </c>
      <c r="H3379" s="1">
        <v>-4.4645140000000002E-6</v>
      </c>
      <c r="I3379">
        <v>248.6403</v>
      </c>
      <c r="J3379">
        <v>-493.11</v>
      </c>
      <c r="K3379">
        <v>1.1192839999999999</v>
      </c>
      <c r="L3379">
        <v>265.99040000000002</v>
      </c>
      <c r="M3379">
        <v>6.5838549999999996E-2</v>
      </c>
      <c r="N3379">
        <v>-3.7340950000000002E-3</v>
      </c>
      <c r="O3379">
        <v>-0.99782320000000002</v>
      </c>
      <c r="P3379">
        <v>9.2185329999999996E-2</v>
      </c>
      <c r="Q3379">
        <v>-8.6171810000000001E-2</v>
      </c>
      <c r="R3379">
        <v>-0.99200639999999995</v>
      </c>
      <c r="S3379">
        <v>5.3222659999999998E-2</v>
      </c>
      <c r="T3379">
        <v>-0.19151589999999999</v>
      </c>
      <c r="U3379">
        <v>-3.002075</v>
      </c>
      <c r="V3379">
        <v>-2.6796830000000001E-2</v>
      </c>
      <c r="W3379">
        <v>-8.2412120000000005E-2</v>
      </c>
      <c r="X3379">
        <v>0.99623799999999996</v>
      </c>
      <c r="Y3379">
        <v>4.8166819999999999E-2</v>
      </c>
      <c r="Z3379">
        <v>5.969141E-2</v>
      </c>
      <c r="AA3379">
        <v>0.99705410000000005</v>
      </c>
      <c r="AB3379">
        <v>19</v>
      </c>
      <c r="AC3379">
        <v>0.29810000000003301</v>
      </c>
      <c r="AD3379">
        <v>-1.119288464514</v>
      </c>
      <c r="AE3379">
        <v>-17.350100000000001</v>
      </c>
      <c r="AF3379">
        <v>0.84135977775103499</v>
      </c>
      <c r="AG3379">
        <v>-1.119288464514</v>
      </c>
      <c r="AH3379">
        <v>17.2602689680695</v>
      </c>
      <c r="AI3379">
        <v>93.705915575623294</v>
      </c>
      <c r="AJ3379">
        <v>87.209299728815395</v>
      </c>
      <c r="AK3379">
        <v>17.316973690356999</v>
      </c>
      <c r="AL3379">
        <v>94.7272280678161</v>
      </c>
      <c r="AM3379">
        <v>91.540771530592096</v>
      </c>
      <c r="AN3379">
        <v>0.99999999013247098</v>
      </c>
    </row>
    <row r="3380" spans="1:40" x14ac:dyDescent="0.25">
      <c r="A3380" t="str">
        <f>"20190303154203552"</f>
        <v>20190303154203552</v>
      </c>
      <c r="B3380" t="str">
        <f>"1551598923542578"</f>
        <v>1551598923542578</v>
      </c>
      <c r="C3380" t="s">
        <v>40</v>
      </c>
      <c r="D3380">
        <v>5.9595440000000002</v>
      </c>
      <c r="E3380">
        <v>0.52758470000000002</v>
      </c>
      <c r="F3380" t="s">
        <v>41</v>
      </c>
      <c r="G3380">
        <v>-492.77839999999998</v>
      </c>
      <c r="H3380" s="1">
        <v>-4.4802090000000004E-6</v>
      </c>
      <c r="I3380">
        <v>248.7039</v>
      </c>
      <c r="J3380">
        <v>-493.09769999999997</v>
      </c>
      <c r="K3380">
        <v>1.1192279999999999</v>
      </c>
      <c r="L3380">
        <v>265.8</v>
      </c>
      <c r="M3380">
        <v>6.5355140000000006E-2</v>
      </c>
      <c r="N3380">
        <v>-4.1216639999999997E-3</v>
      </c>
      <c r="O3380">
        <v>-0.99785389999999996</v>
      </c>
      <c r="P3380">
        <v>9.3476240000000002E-2</v>
      </c>
      <c r="Q3380">
        <v>-8.6683389999999999E-2</v>
      </c>
      <c r="R3380">
        <v>-0.99184119999999998</v>
      </c>
      <c r="S3380">
        <v>5.758667E-2</v>
      </c>
      <c r="T3380">
        <v>-0.19437650000000001</v>
      </c>
      <c r="U3380">
        <v>-3.0019840000000002</v>
      </c>
      <c r="V3380">
        <v>-2.860358E-2</v>
      </c>
      <c r="W3380">
        <v>-8.2526500000000003E-2</v>
      </c>
      <c r="X3380">
        <v>0.99617829999999996</v>
      </c>
      <c r="Y3380">
        <v>4.6233620000000003E-2</v>
      </c>
      <c r="Z3380">
        <v>6.0255580000000003E-2</v>
      </c>
      <c r="AA3380">
        <v>0.99711170000000005</v>
      </c>
      <c r="AB3380">
        <v>20</v>
      </c>
      <c r="AC3380">
        <v>0.31929999999999797</v>
      </c>
      <c r="AD3380">
        <v>-1.1192324802089999</v>
      </c>
      <c r="AE3380">
        <v>-17.0961</v>
      </c>
      <c r="AF3380">
        <v>0.79530233533597205</v>
      </c>
      <c r="AG3380">
        <v>-1.1192324802089999</v>
      </c>
      <c r="AH3380">
        <v>17.007549172855299</v>
      </c>
      <c r="AI3380">
        <v>93.760992765490599</v>
      </c>
      <c r="AJ3380">
        <v>87.322700831609396</v>
      </c>
      <c r="AK3380">
        <v>17.062881234317899</v>
      </c>
      <c r="AL3380">
        <v>94.733803928113701</v>
      </c>
      <c r="AM3380">
        <v>91.644699795187407</v>
      </c>
      <c r="AN3380">
        <v>0.99999999669097805</v>
      </c>
    </row>
    <row r="3381" spans="1:40" x14ac:dyDescent="0.25">
      <c r="A3381" t="str">
        <f>"20190303154203565"</f>
        <v>20190303154203565</v>
      </c>
      <c r="B3381" t="str">
        <f>"1551598923553311"</f>
        <v>1551598923553311</v>
      </c>
      <c r="C3381" t="s">
        <v>40</v>
      </c>
      <c r="D3381">
        <v>5.9296600000000002</v>
      </c>
      <c r="E3381">
        <v>0.52764270000000002</v>
      </c>
      <c r="F3381" t="s">
        <v>41</v>
      </c>
      <c r="G3381">
        <v>-492.74040000000002</v>
      </c>
      <c r="H3381" s="1">
        <v>-4.4455909999999998E-6</v>
      </c>
      <c r="I3381">
        <v>248.62190000000001</v>
      </c>
      <c r="J3381">
        <v>-493.09030000000001</v>
      </c>
      <c r="K3381">
        <v>1.1191869999999999</v>
      </c>
      <c r="L3381">
        <v>265.68</v>
      </c>
      <c r="M3381">
        <v>6.4881939999999999E-2</v>
      </c>
      <c r="N3381">
        <v>-4.3879399999999999E-3</v>
      </c>
      <c r="O3381">
        <v>-0.99788339999999998</v>
      </c>
      <c r="P3381">
        <v>9.3904929999999998E-2</v>
      </c>
      <c r="Q3381">
        <v>-8.617205E-2</v>
      </c>
      <c r="R3381">
        <v>-0.99184499999999998</v>
      </c>
      <c r="S3381">
        <v>6.2438960000000002E-2</v>
      </c>
      <c r="T3381">
        <v>-0.1955768</v>
      </c>
      <c r="U3381">
        <v>-3.0017399999999999</v>
      </c>
      <c r="V3381">
        <v>-2.951846E-2</v>
      </c>
      <c r="W3381">
        <v>-8.174215E-2</v>
      </c>
      <c r="X3381">
        <v>0.99621630000000005</v>
      </c>
      <c r="Y3381">
        <v>4.4147180000000001E-2</v>
      </c>
      <c r="Z3381">
        <v>6.039638E-2</v>
      </c>
      <c r="AA3381">
        <v>0.99719769999999996</v>
      </c>
      <c r="AB3381">
        <v>20</v>
      </c>
      <c r="AC3381">
        <v>0.349899999999991</v>
      </c>
      <c r="AD3381">
        <v>-1.1191914455909999</v>
      </c>
      <c r="AE3381">
        <v>-17.0580999999999</v>
      </c>
      <c r="AF3381">
        <v>0.75436445576549205</v>
      </c>
      <c r="AG3381">
        <v>-1.1191914455909999</v>
      </c>
      <c r="AH3381">
        <v>16.971830722259501</v>
      </c>
      <c r="AI3381">
        <v>93.769143191150803</v>
      </c>
      <c r="AJ3381">
        <v>87.454990538601706</v>
      </c>
      <c r="AK3381">
        <v>17.025413160597299</v>
      </c>
      <c r="AL3381">
        <v>94.688711529662996</v>
      </c>
      <c r="AM3381">
        <v>91.697210204767401</v>
      </c>
      <c r="AN3381">
        <v>1.00000001747654</v>
      </c>
    </row>
    <row r="3382" spans="1:40" x14ac:dyDescent="0.25">
      <c r="A3382" t="str">
        <f>"20190303154203578"</f>
        <v>20190303154203578</v>
      </c>
      <c r="B3382" t="str">
        <f>"1551598923572831"</f>
        <v>1551598923572831</v>
      </c>
      <c r="C3382" t="s">
        <v>40</v>
      </c>
      <c r="D3382">
        <v>5.909535</v>
      </c>
      <c r="E3382">
        <v>0.52766740000000001</v>
      </c>
      <c r="F3382" t="s">
        <v>41</v>
      </c>
      <c r="G3382">
        <v>-492.7278</v>
      </c>
      <c r="H3382" s="1">
        <v>-4.3842969999999998E-6</v>
      </c>
      <c r="I3382">
        <v>248.44839999999999</v>
      </c>
      <c r="J3382">
        <v>-493.08359999999999</v>
      </c>
      <c r="K3382">
        <v>1.1191489999999999</v>
      </c>
      <c r="L3382">
        <v>265.56939999999997</v>
      </c>
      <c r="M3382">
        <v>6.4376379999999997E-2</v>
      </c>
      <c r="N3382">
        <v>-4.6406240000000003E-3</v>
      </c>
      <c r="O3382">
        <v>-0.99791510000000005</v>
      </c>
      <c r="P3382">
        <v>9.4042120000000007E-2</v>
      </c>
      <c r="Q3382">
        <v>-8.5927799999999999E-2</v>
      </c>
      <c r="R3382">
        <v>-0.99185319999999999</v>
      </c>
      <c r="S3382">
        <v>6.3140870000000002E-2</v>
      </c>
      <c r="T3382">
        <v>-0.1949642</v>
      </c>
      <c r="U3382">
        <v>-3.00177</v>
      </c>
      <c r="V3382">
        <v>-3.0173820000000001E-2</v>
      </c>
      <c r="W3382">
        <v>-8.123909E-2</v>
      </c>
      <c r="X3382">
        <v>0.99623779999999995</v>
      </c>
      <c r="Y3382">
        <v>4.3407389999999997E-2</v>
      </c>
      <c r="Z3382">
        <v>5.9945650000000003E-2</v>
      </c>
      <c r="AA3382">
        <v>0.99725739999999996</v>
      </c>
      <c r="AB3382">
        <v>20</v>
      </c>
      <c r="AC3382">
        <v>0.35579999999998702</v>
      </c>
      <c r="AD3382">
        <v>-1.1191533842969901</v>
      </c>
      <c r="AE3382">
        <v>-17.120999999999899</v>
      </c>
      <c r="AF3382">
        <v>0.74396022227994896</v>
      </c>
      <c r="AG3382">
        <v>-1.1191533842969901</v>
      </c>
      <c r="AH3382">
        <v>17.035630508064902</v>
      </c>
      <c r="AI3382">
        <v>93.755068541796206</v>
      </c>
      <c r="AJ3382">
        <v>87.499434259076693</v>
      </c>
      <c r="AK3382">
        <v>17.088554295704199</v>
      </c>
      <c r="AL3382">
        <v>94.659792206139201</v>
      </c>
      <c r="AM3382">
        <v>91.734830962055696</v>
      </c>
      <c r="AN3382">
        <v>1.0000000016531301</v>
      </c>
    </row>
    <row r="3383" spans="1:40" x14ac:dyDescent="0.25">
      <c r="A3383" t="str">
        <f>"20190303154203596"</f>
        <v>20190303154203596</v>
      </c>
      <c r="B3383" t="str">
        <f>"1551598923593327"</f>
        <v>1551598923593327</v>
      </c>
      <c r="C3383" t="s">
        <v>40</v>
      </c>
      <c r="D3383">
        <v>5.9390070000000001</v>
      </c>
      <c r="E3383">
        <v>0.52029229999999904</v>
      </c>
      <c r="F3383" t="s">
        <v>41</v>
      </c>
      <c r="G3383">
        <v>-492.72059999999999</v>
      </c>
      <c r="H3383" s="1">
        <v>-4.4016009999999997E-6</v>
      </c>
      <c r="I3383">
        <v>248.50299999999999</v>
      </c>
      <c r="J3383">
        <v>-493.07400000000001</v>
      </c>
      <c r="K3383">
        <v>1.1190990000000001</v>
      </c>
      <c r="L3383">
        <v>265.40769999999998</v>
      </c>
      <c r="M3383">
        <v>6.3469510000000007E-2</v>
      </c>
      <c r="N3383">
        <v>-5.0225299999999999E-3</v>
      </c>
      <c r="O3383">
        <v>-0.99797119999999995</v>
      </c>
      <c r="P3383">
        <v>9.2920710000000004E-2</v>
      </c>
      <c r="Q3383">
        <v>-8.6309369999999996E-2</v>
      </c>
      <c r="R3383">
        <v>-0.99192570000000002</v>
      </c>
      <c r="S3383">
        <v>6.3842769999999993E-2</v>
      </c>
      <c r="T3383">
        <v>-0.19682939999999999</v>
      </c>
      <c r="U3383">
        <v>-3.0015260000000001</v>
      </c>
      <c r="V3383">
        <v>-2.997764E-2</v>
      </c>
      <c r="W3383">
        <v>-8.1232509999999994E-2</v>
      </c>
      <c r="X3383">
        <v>0.99624429999999997</v>
      </c>
      <c r="Y3383">
        <v>4.2264610000000001E-2</v>
      </c>
      <c r="Z3383">
        <v>6.0192450000000002E-2</v>
      </c>
      <c r="AA3383">
        <v>0.99729159999999994</v>
      </c>
      <c r="AB3383">
        <v>20</v>
      </c>
      <c r="AC3383">
        <v>0.35340000000002098</v>
      </c>
      <c r="AD3383">
        <v>-1.119103401601</v>
      </c>
      <c r="AE3383">
        <v>-16.904699999999899</v>
      </c>
      <c r="AF3383">
        <v>0.71711762391174405</v>
      </c>
      <c r="AG3383">
        <v>-1.119103401601</v>
      </c>
      <c r="AH3383">
        <v>16.819366643217901</v>
      </c>
      <c r="AI3383">
        <v>93.803210103542398</v>
      </c>
      <c r="AJ3383">
        <v>87.558591598781305</v>
      </c>
      <c r="AK3383">
        <v>16.8718032346573</v>
      </c>
      <c r="AL3383">
        <v>94.659413759315299</v>
      </c>
      <c r="AM3383">
        <v>91.723547263240107</v>
      </c>
      <c r="AN3383">
        <v>1.00000004243167</v>
      </c>
    </row>
    <row r="3384" spans="1:40" x14ac:dyDescent="0.25">
      <c r="A3384" t="str">
        <f>"20190303154203608"</f>
        <v>20190303154203608</v>
      </c>
      <c r="B3384" t="str">
        <f>"1551598923603087"</f>
        <v>1551598923603087</v>
      </c>
      <c r="C3384" t="s">
        <v>40</v>
      </c>
      <c r="D3384">
        <v>5.9432199999999904</v>
      </c>
      <c r="E3384">
        <v>0.52033260000000003</v>
      </c>
      <c r="F3384" t="s">
        <v>42</v>
      </c>
      <c r="G3384">
        <v>-493.03840000000002</v>
      </c>
      <c r="H3384">
        <v>1.0514269999999999</v>
      </c>
      <c r="I3384">
        <v>264.50069999999999</v>
      </c>
      <c r="J3384">
        <v>-493.06760000000003</v>
      </c>
      <c r="K3384">
        <v>1.119068</v>
      </c>
      <c r="L3384">
        <v>265.29379999999998</v>
      </c>
      <c r="M3384">
        <v>6.2717830000000002E-2</v>
      </c>
      <c r="N3384">
        <v>-5.2954630000000003E-3</v>
      </c>
      <c r="O3384">
        <v>-0.9980175</v>
      </c>
      <c r="P3384">
        <v>9.1818350000000007E-2</v>
      </c>
      <c r="Q3384">
        <v>-8.6742100000000003E-2</v>
      </c>
      <c r="R3384">
        <v>-0.99199059999999994</v>
      </c>
      <c r="S3384">
        <v>0.1181946</v>
      </c>
      <c r="T3384">
        <v>-0.2233435</v>
      </c>
      <c r="U3384">
        <v>-2.9939269999999998</v>
      </c>
      <c r="V3384">
        <v>-2.9637119999999999E-2</v>
      </c>
      <c r="W3384">
        <v>-8.1389370000000003E-2</v>
      </c>
      <c r="X3384">
        <v>0.99624159999999995</v>
      </c>
      <c r="Y3384">
        <v>2.3389030000000002E-2</v>
      </c>
      <c r="Z3384">
        <v>6.8858660000000002E-2</v>
      </c>
      <c r="AA3384">
        <v>0.99735220000000002</v>
      </c>
      <c r="AB3384">
        <v>20</v>
      </c>
      <c r="AC3384">
        <v>2.9200000000002901E-2</v>
      </c>
      <c r="AD3384">
        <v>-6.7640999999999799E-2</v>
      </c>
      <c r="AE3384">
        <v>-0.79309999999998104</v>
      </c>
      <c r="AF3384">
        <v>2.04511266835385E-2</v>
      </c>
      <c r="AG3384">
        <v>-6.7640999999999799E-2</v>
      </c>
      <c r="AH3384">
        <v>0.78764848740781102</v>
      </c>
      <c r="AI3384">
        <v>94.906709554339002</v>
      </c>
      <c r="AJ3384">
        <v>88.512661361252</v>
      </c>
      <c r="AK3384">
        <v>0.79081204668330596</v>
      </c>
      <c r="AL3384">
        <v>94.668431432774895</v>
      </c>
      <c r="AM3384">
        <v>91.703985484349502</v>
      </c>
      <c r="AN3384">
        <v>0.99999995700072397</v>
      </c>
    </row>
    <row r="3385" spans="1:40" x14ac:dyDescent="0.25">
      <c r="A3385" t="str">
        <f>"20190303154203622"</f>
        <v>20190303154203622</v>
      </c>
      <c r="B3385" t="str">
        <f>"1551598923612847"</f>
        <v>1551598923612847</v>
      </c>
      <c r="C3385" t="s">
        <v>40</v>
      </c>
      <c r="D3385">
        <v>5.9404690000000002</v>
      </c>
      <c r="E3385">
        <v>0.52063599999999999</v>
      </c>
      <c r="F3385" t="s">
        <v>41</v>
      </c>
      <c r="G3385">
        <v>-492.46199999999999</v>
      </c>
      <c r="H3385" s="1">
        <v>-4.7026310000000003E-6</v>
      </c>
      <c r="I3385">
        <v>249.5224</v>
      </c>
      <c r="J3385">
        <v>-493.06130000000002</v>
      </c>
      <c r="K3385">
        <v>1.1190450000000001</v>
      </c>
      <c r="L3385">
        <v>265.18</v>
      </c>
      <c r="M3385">
        <v>6.1924119999999999E-2</v>
      </c>
      <c r="N3385">
        <v>-5.5672259999999998E-3</v>
      </c>
      <c r="O3385">
        <v>-0.99806539999999999</v>
      </c>
      <c r="P3385">
        <v>9.0786530000000004E-2</v>
      </c>
      <c r="Q3385">
        <v>-8.7114999999999998E-2</v>
      </c>
      <c r="R3385">
        <v>-0.99205299999999996</v>
      </c>
      <c r="S3385">
        <v>0.1149902</v>
      </c>
      <c r="T3385">
        <v>-0.21250920000000001</v>
      </c>
      <c r="U3385">
        <v>-2.9949650000000001</v>
      </c>
      <c r="V3385">
        <v>-2.9406959999999999E-2</v>
      </c>
      <c r="W3385">
        <v>-8.1488130000000006E-2</v>
      </c>
      <c r="X3385">
        <v>0.99624040000000003</v>
      </c>
      <c r="Y3385">
        <v>2.3663099999999999E-2</v>
      </c>
      <c r="Z3385">
        <v>6.4990590000000001E-2</v>
      </c>
      <c r="AA3385">
        <v>0.99760530000000003</v>
      </c>
      <c r="AB3385">
        <v>20</v>
      </c>
      <c r="AC3385">
        <v>0.59930000000002703</v>
      </c>
      <c r="AD3385">
        <v>-1.119049702631</v>
      </c>
      <c r="AE3385">
        <v>-15.6576</v>
      </c>
      <c r="AF3385">
        <v>0.36956328190375098</v>
      </c>
      <c r="AG3385">
        <v>-1.119049702631</v>
      </c>
      <c r="AH3385">
        <v>15.585169518072099</v>
      </c>
      <c r="AI3385">
        <v>94.105765589695693</v>
      </c>
      <c r="AJ3385">
        <v>88.641628571189202</v>
      </c>
      <c r="AK3385">
        <v>15.6296627655025</v>
      </c>
      <c r="AL3385">
        <v>94.674108576070907</v>
      </c>
      <c r="AM3385">
        <v>91.690762187126495</v>
      </c>
      <c r="AN3385">
        <v>1.0000000096097399</v>
      </c>
    </row>
    <row r="3386" spans="1:40" x14ac:dyDescent="0.25">
      <c r="A3386" t="str">
        <f>"20190303154203635"</f>
        <v>20190303154203635</v>
      </c>
      <c r="B3386" t="str">
        <f>"1551598923622608"</f>
        <v>1551598923622608</v>
      </c>
      <c r="C3386" t="s">
        <v>40</v>
      </c>
      <c r="D3386">
        <v>5.9640639999999996</v>
      </c>
      <c r="E3386">
        <v>0.52075519999999997</v>
      </c>
      <c r="F3386" t="s">
        <v>41</v>
      </c>
      <c r="G3386">
        <v>-492.47300000000001</v>
      </c>
      <c r="H3386" s="1">
        <v>-4.541714E-6</v>
      </c>
      <c r="I3386">
        <v>249.0438</v>
      </c>
      <c r="J3386">
        <v>-493.05470000000003</v>
      </c>
      <c r="K3386">
        <v>1.1190329999999999</v>
      </c>
      <c r="L3386">
        <v>265.06009999999998</v>
      </c>
      <c r="M3386">
        <v>6.1039160000000002E-2</v>
      </c>
      <c r="N3386">
        <v>-5.8523100000000003E-3</v>
      </c>
      <c r="O3386">
        <v>-0.99811819999999896</v>
      </c>
      <c r="P3386">
        <v>8.9568330000000002E-2</v>
      </c>
      <c r="Q3386">
        <v>-8.7195430000000004E-2</v>
      </c>
      <c r="R3386">
        <v>-0.99215640000000005</v>
      </c>
      <c r="S3386">
        <v>0.1092224</v>
      </c>
      <c r="T3386">
        <v>-0.207759</v>
      </c>
      <c r="U3386">
        <v>-2.9957889999999998</v>
      </c>
      <c r="V3386">
        <v>-2.907682E-2</v>
      </c>
      <c r="W3386">
        <v>-8.1281950000000006E-2</v>
      </c>
      <c r="X3386">
        <v>0.99626689999999996</v>
      </c>
      <c r="Y3386">
        <v>2.470054E-2</v>
      </c>
      <c r="Z3386">
        <v>6.3124659999999999E-2</v>
      </c>
      <c r="AA3386">
        <v>0.99769989999999997</v>
      </c>
      <c r="AB3386">
        <v>20</v>
      </c>
      <c r="AC3386">
        <v>0.58170000000001199</v>
      </c>
      <c r="AD3386">
        <v>-1.1190375417139999</v>
      </c>
      <c r="AE3386">
        <v>-16.016299999999902</v>
      </c>
      <c r="AF3386">
        <v>0.39509677061749998</v>
      </c>
      <c r="AG3386">
        <v>-1.1190375417139999</v>
      </c>
      <c r="AH3386">
        <v>15.944210409634</v>
      </c>
      <c r="AI3386">
        <v>94.013468276848101</v>
      </c>
      <c r="AJ3386">
        <v>88.580503824485007</v>
      </c>
      <c r="AK3386">
        <v>15.9883142346089</v>
      </c>
      <c r="AL3386">
        <v>94.662256169219603</v>
      </c>
      <c r="AM3386">
        <v>91.671747076091194</v>
      </c>
      <c r="AN3386">
        <v>0.99999997644636196</v>
      </c>
    </row>
    <row r="3387" spans="1:40" x14ac:dyDescent="0.25">
      <c r="A3387" t="str">
        <f>"20190303154203652"</f>
        <v>20190303154203652</v>
      </c>
      <c r="B3387" t="str">
        <f>"1551598923643103"</f>
        <v>1551598923643103</v>
      </c>
      <c r="C3387" t="s">
        <v>40</v>
      </c>
      <c r="D3387">
        <v>5.9069570000000002</v>
      </c>
      <c r="E3387">
        <v>0.51989019999999997</v>
      </c>
      <c r="F3387" t="s">
        <v>41</v>
      </c>
      <c r="G3387">
        <v>-492.47019999999998</v>
      </c>
      <c r="H3387" s="1">
        <v>-4.3071120000000001E-6</v>
      </c>
      <c r="I3387">
        <v>248.35579999999999</v>
      </c>
      <c r="J3387">
        <v>-493.04669999999999</v>
      </c>
      <c r="K3387">
        <v>1.1190500000000001</v>
      </c>
      <c r="L3387">
        <v>264.90390000000002</v>
      </c>
      <c r="M3387">
        <v>5.9789290000000002E-2</v>
      </c>
      <c r="N3387">
        <v>-6.2309189999999997E-3</v>
      </c>
      <c r="O3387">
        <v>-0.99819150000000001</v>
      </c>
      <c r="P3387">
        <v>8.8195200000000001E-2</v>
      </c>
      <c r="Q3387">
        <v>-8.6862960000000003E-2</v>
      </c>
      <c r="R3387">
        <v>-0.99230870000000004</v>
      </c>
      <c r="S3387">
        <v>0.10485839999999901</v>
      </c>
      <c r="T3387">
        <v>-0.2007505</v>
      </c>
      <c r="U3387">
        <v>-2.9966740000000001</v>
      </c>
      <c r="V3387">
        <v>-2.8948809999999998E-2</v>
      </c>
      <c r="W3387">
        <v>-8.057011E-2</v>
      </c>
      <c r="X3387">
        <v>0.99632849999999995</v>
      </c>
      <c r="Y3387">
        <v>2.4904570000000001E-2</v>
      </c>
      <c r="Z3387">
        <v>6.0419710000000001E-2</v>
      </c>
      <c r="AA3387">
        <v>0.99786229999999998</v>
      </c>
      <c r="AB3387">
        <v>20</v>
      </c>
      <c r="AC3387">
        <v>0.57650000000001</v>
      </c>
      <c r="AD3387">
        <v>-1.119054307112</v>
      </c>
      <c r="AE3387">
        <v>-16.548100000000002</v>
      </c>
      <c r="AF3387">
        <v>0.41206769368706597</v>
      </c>
      <c r="AG3387">
        <v>-1.119054307112</v>
      </c>
      <c r="AH3387">
        <v>16.477701797086802</v>
      </c>
      <c r="AI3387">
        <v>93.883966362942601</v>
      </c>
      <c r="AJ3387">
        <v>88.567468924142204</v>
      </c>
      <c r="AK3387">
        <v>16.520797161159098</v>
      </c>
      <c r="AL3387">
        <v>94.621336288672694</v>
      </c>
      <c r="AM3387">
        <v>91.664288552232094</v>
      </c>
      <c r="AN3387">
        <v>1.00000002806903</v>
      </c>
    </row>
    <row r="3388" spans="1:40" x14ac:dyDescent="0.25">
      <c r="A3388" t="str">
        <f>"20190303154203665"</f>
        <v>20190303154203665</v>
      </c>
      <c r="B3388" t="str">
        <f>"1551598923662623"</f>
        <v>1551598923662623</v>
      </c>
      <c r="C3388" t="s">
        <v>40</v>
      </c>
      <c r="D3388">
        <v>5.9493549999999997</v>
      </c>
      <c r="E3388">
        <v>0.51929809999999998</v>
      </c>
      <c r="F3388" t="s">
        <v>41</v>
      </c>
      <c r="G3388">
        <v>-492.40679999999998</v>
      </c>
      <c r="H3388" s="1">
        <v>-3.8692449999999999E-6</v>
      </c>
      <c r="I3388">
        <v>247.1156</v>
      </c>
      <c r="J3388">
        <v>-493.041</v>
      </c>
      <c r="K3388">
        <v>1.119076</v>
      </c>
      <c r="L3388">
        <v>264.79169999999999</v>
      </c>
      <c r="M3388">
        <v>5.8853280000000001E-2</v>
      </c>
      <c r="N3388">
        <v>-6.5140129999999999E-3</v>
      </c>
      <c r="O3388">
        <v>-0.99824550000000001</v>
      </c>
      <c r="P3388">
        <v>8.7294460000000004E-2</v>
      </c>
      <c r="Q3388">
        <v>-8.6862519999999999E-2</v>
      </c>
      <c r="R3388">
        <v>-0.99238839999999995</v>
      </c>
      <c r="S3388">
        <v>0.1078186</v>
      </c>
      <c r="T3388">
        <v>-0.18855479999999999</v>
      </c>
      <c r="U3388">
        <v>-2.997223</v>
      </c>
      <c r="V3388">
        <v>-2.8978449999999999E-2</v>
      </c>
      <c r="W3388">
        <v>-8.0287150000000002E-2</v>
      </c>
      <c r="X3388">
        <v>0.99635050000000003</v>
      </c>
      <c r="Y3388">
        <v>2.2980730000000001E-2</v>
      </c>
      <c r="Z3388">
        <v>5.609861E-2</v>
      </c>
      <c r="AA3388">
        <v>0.99816070000000001</v>
      </c>
      <c r="AB3388">
        <v>20</v>
      </c>
      <c r="AC3388">
        <v>0.63420000000002097</v>
      </c>
      <c r="AD3388">
        <v>-1.1190798692449999</v>
      </c>
      <c r="AE3388">
        <v>-17.676099999999899</v>
      </c>
      <c r="AF3388">
        <v>0.40559414961409601</v>
      </c>
      <c r="AG3388">
        <v>-1.1190798692449999</v>
      </c>
      <c r="AH3388">
        <v>17.612282486276101</v>
      </c>
      <c r="AI3388">
        <v>93.634710389712097</v>
      </c>
      <c r="AJ3388">
        <v>88.680765757996994</v>
      </c>
      <c r="AK3388">
        <v>17.6524599063229</v>
      </c>
      <c r="AL3388">
        <v>94.605071090698999</v>
      </c>
      <c r="AM3388">
        <v>91.665954852653798</v>
      </c>
      <c r="AN3388">
        <v>1.0000000479348801</v>
      </c>
    </row>
    <row r="3389" spans="1:40" x14ac:dyDescent="0.25">
      <c r="A3389" t="str">
        <f>"20190303154203678"</f>
        <v>20190303154203678</v>
      </c>
      <c r="B3389" t="str">
        <f>"1551598923673360"</f>
        <v>1551598923673360</v>
      </c>
      <c r="C3389" t="s">
        <v>40</v>
      </c>
      <c r="D3389">
        <v>5.934482</v>
      </c>
      <c r="E3389">
        <v>0.51910630000000002</v>
      </c>
      <c r="F3389" t="s">
        <v>41</v>
      </c>
      <c r="G3389">
        <v>-492.3741</v>
      </c>
      <c r="H3389" s="1">
        <v>-3.5982109999999998E-6</v>
      </c>
      <c r="I3389">
        <v>246.5042</v>
      </c>
      <c r="J3389">
        <v>-493.03539999999998</v>
      </c>
      <c r="K3389">
        <v>1.1191120000000001</v>
      </c>
      <c r="L3389">
        <v>264.67779999999999</v>
      </c>
      <c r="M3389">
        <v>5.7888309999999998E-2</v>
      </c>
      <c r="N3389">
        <v>-6.8067500000000003E-3</v>
      </c>
      <c r="O3389">
        <v>-0.99830010000000002</v>
      </c>
      <c r="P3389">
        <v>8.6372500000000005E-2</v>
      </c>
      <c r="Q3389">
        <v>-8.66788E-2</v>
      </c>
      <c r="R3389">
        <v>-0.99248519999999896</v>
      </c>
      <c r="S3389">
        <v>0.10931399999999999</v>
      </c>
      <c r="T3389">
        <v>-0.18342049999999999</v>
      </c>
      <c r="U3389">
        <v>-2.9973749999999999</v>
      </c>
      <c r="V3389">
        <v>-2.9012820000000002E-2</v>
      </c>
      <c r="W3389">
        <v>-7.9811740000000006E-2</v>
      </c>
      <c r="X3389">
        <v>0.99638769999999999</v>
      </c>
      <c r="Y3389">
        <v>2.1515139999999999E-2</v>
      </c>
      <c r="Z3389">
        <v>5.4110489999999997E-2</v>
      </c>
      <c r="AA3389">
        <v>0.9983031</v>
      </c>
      <c r="AB3389">
        <v>20</v>
      </c>
      <c r="AC3389">
        <v>0.66129999999998201</v>
      </c>
      <c r="AD3389">
        <v>-1.1191155982109999</v>
      </c>
      <c r="AE3389">
        <v>-18.1736</v>
      </c>
      <c r="AF3389">
        <v>0.39039370486606401</v>
      </c>
      <c r="AG3389">
        <v>-1.1191155982109999</v>
      </c>
      <c r="AH3389">
        <v>18.1128121816968</v>
      </c>
      <c r="AI3389">
        <v>93.534755461818804</v>
      </c>
      <c r="AJ3389">
        <v>88.7652690981419</v>
      </c>
      <c r="AK3389">
        <v>18.1515506802142</v>
      </c>
      <c r="AL3389">
        <v>94.577744387126998</v>
      </c>
      <c r="AM3389">
        <v>91.667867412475601</v>
      </c>
      <c r="AN3389">
        <v>1.0000000531387301</v>
      </c>
    </row>
    <row r="3390" spans="1:40" x14ac:dyDescent="0.25">
      <c r="A3390" t="str">
        <f>"20190303154203698"</f>
        <v>20190303154203698</v>
      </c>
      <c r="B3390" t="str">
        <f>"1551598923692879"</f>
        <v>1551598923692879</v>
      </c>
      <c r="C3390" t="s">
        <v>40</v>
      </c>
      <c r="D3390">
        <v>5.9372989999999897</v>
      </c>
      <c r="E3390">
        <v>0.51880219999999999</v>
      </c>
      <c r="F3390" t="s">
        <v>41</v>
      </c>
      <c r="G3390">
        <v>-492.37279999999998</v>
      </c>
      <c r="H3390" s="1">
        <v>-3.5141610000000001E-6</v>
      </c>
      <c r="I3390">
        <v>246.309</v>
      </c>
      <c r="J3390">
        <v>-493.02690000000001</v>
      </c>
      <c r="K3390">
        <v>1.1191930000000001</v>
      </c>
      <c r="L3390">
        <v>264.49900000000002</v>
      </c>
      <c r="M3390">
        <v>5.6346599999999997E-2</v>
      </c>
      <c r="N3390">
        <v>-7.2796680000000004E-3</v>
      </c>
      <c r="O3390">
        <v>-0.99838470000000001</v>
      </c>
      <c r="P3390">
        <v>8.4931519999999996E-2</v>
      </c>
      <c r="Q3390">
        <v>-8.6545120000000003E-2</v>
      </c>
      <c r="R3390">
        <v>-0.99262130000000004</v>
      </c>
      <c r="S3390">
        <v>0.10812380000000001</v>
      </c>
      <c r="T3390">
        <v>-0.1826131</v>
      </c>
      <c r="U3390">
        <v>-2.9973450000000001</v>
      </c>
      <c r="V3390">
        <v>-2.9095949999999999E-2</v>
      </c>
      <c r="W3390">
        <v>-7.9208719999999996E-2</v>
      </c>
      <c r="X3390">
        <v>0.99643329999999997</v>
      </c>
      <c r="Y3390">
        <v>2.0365439999999999E-2</v>
      </c>
      <c r="Z3390">
        <v>5.3381079999999997E-2</v>
      </c>
      <c r="AA3390">
        <v>0.99836650000000005</v>
      </c>
      <c r="AB3390">
        <v>20</v>
      </c>
      <c r="AC3390">
        <v>0.65410000000002799</v>
      </c>
      <c r="AD3390">
        <v>-1.1191965141609901</v>
      </c>
      <c r="AE3390">
        <v>-18.190000000000001</v>
      </c>
      <c r="AF3390">
        <v>0.37051025421859501</v>
      </c>
      <c r="AG3390">
        <v>-1.1191965141609901</v>
      </c>
      <c r="AH3390">
        <v>18.129412665054399</v>
      </c>
      <c r="AI3390">
        <v>93.531864240620806</v>
      </c>
      <c r="AJ3390">
        <v>88.829210882842204</v>
      </c>
      <c r="AK3390">
        <v>18.167704375226499</v>
      </c>
      <c r="AL3390">
        <v>94.543084585817297</v>
      </c>
      <c r="AM3390">
        <v>91.672567115138705</v>
      </c>
      <c r="AN3390">
        <v>0.99999995848966405</v>
      </c>
    </row>
    <row r="3391" spans="1:40" x14ac:dyDescent="0.25">
      <c r="A3391" t="str">
        <f>"20190303154203721"</f>
        <v>20190303154203721</v>
      </c>
      <c r="B3391" t="str">
        <f>"1551598923713376"</f>
        <v>1551598923713376</v>
      </c>
      <c r="C3391" t="s">
        <v>40</v>
      </c>
      <c r="D3391">
        <v>5.9554919999999996</v>
      </c>
      <c r="E3391">
        <v>0.51864619999999995</v>
      </c>
      <c r="F3391" t="s">
        <v>41</v>
      </c>
      <c r="G3391">
        <v>-492.36630000000002</v>
      </c>
      <c r="H3391" s="1">
        <v>-3.3219170000000002E-6</v>
      </c>
      <c r="I3391">
        <v>245.86490000000001</v>
      </c>
      <c r="J3391">
        <v>-493.01799999999997</v>
      </c>
      <c r="K3391">
        <v>1.1193059999999999</v>
      </c>
      <c r="L3391">
        <v>264.30599999999998</v>
      </c>
      <c r="M3391">
        <v>5.4692919999999999E-2</v>
      </c>
      <c r="N3391">
        <v>-7.78182599999999E-3</v>
      </c>
      <c r="O3391">
        <v>-0.9984729</v>
      </c>
      <c r="P3391">
        <v>8.2658720000000005E-2</v>
      </c>
      <c r="Q3391">
        <v>-8.7342859999999994E-2</v>
      </c>
      <c r="R3391">
        <v>-0.9927433</v>
      </c>
      <c r="S3391">
        <v>0.1062622</v>
      </c>
      <c r="T3391">
        <v>-0.18003729999999901</v>
      </c>
      <c r="U3391">
        <v>-2.997528</v>
      </c>
      <c r="V3391">
        <v>-2.8459519999999999E-2</v>
      </c>
      <c r="W3391">
        <v>-7.9512040000000006E-2</v>
      </c>
      <c r="X3391">
        <v>0.99642750000000002</v>
      </c>
      <c r="Y3391">
        <v>1.932855E-2</v>
      </c>
      <c r="Z3391">
        <v>5.203298E-2</v>
      </c>
      <c r="AA3391">
        <v>0.99845830000000002</v>
      </c>
      <c r="AB3391">
        <v>20</v>
      </c>
      <c r="AC3391">
        <v>0.65170000000000505</v>
      </c>
      <c r="AD3391">
        <v>-1.1193093219169901</v>
      </c>
      <c r="AE3391">
        <v>-18.441099999999899</v>
      </c>
      <c r="AF3391">
        <v>0.356591588330329</v>
      </c>
      <c r="AG3391">
        <v>-1.1193093219169901</v>
      </c>
      <c r="AH3391">
        <v>18.381506460924498</v>
      </c>
      <c r="AI3391">
        <v>93.483968519022397</v>
      </c>
      <c r="AJ3391">
        <v>88.888631319719394</v>
      </c>
      <c r="AK3391">
        <v>18.419006235191102</v>
      </c>
      <c r="AL3391">
        <v>94.560518633098496</v>
      </c>
      <c r="AM3391">
        <v>91.636011855289894</v>
      </c>
      <c r="AN3391">
        <v>0.99999993576991797</v>
      </c>
    </row>
    <row r="3392" spans="1:40" x14ac:dyDescent="0.25">
      <c r="A3392" t="str">
        <f>"20190303154203742"</f>
        <v>20190303154203742</v>
      </c>
      <c r="B3392" t="str">
        <f>"1551598923732898"</f>
        <v>1551598923732898</v>
      </c>
      <c r="C3392" t="s">
        <v>40</v>
      </c>
      <c r="D3392">
        <v>5.9464480000000002</v>
      </c>
      <c r="E3392">
        <v>0.5185786</v>
      </c>
      <c r="F3392" t="s">
        <v>41</v>
      </c>
      <c r="G3392">
        <v>-492.39210000000003</v>
      </c>
      <c r="H3392" s="1">
        <v>-3.247244E-6</v>
      </c>
      <c r="I3392">
        <v>245.67490000000001</v>
      </c>
      <c r="J3392">
        <v>-493.0093</v>
      </c>
      <c r="K3392">
        <v>1.1194249999999999</v>
      </c>
      <c r="L3392">
        <v>264.11079999999998</v>
      </c>
      <c r="M3392">
        <v>5.3063939999999997E-2</v>
      </c>
      <c r="N3392">
        <v>-8.2615929999999994E-3</v>
      </c>
      <c r="O3392">
        <v>-0.99855709999999998</v>
      </c>
      <c r="P3392">
        <v>8.0808099999999994E-2</v>
      </c>
      <c r="Q3392">
        <v>-8.8155300000000006E-2</v>
      </c>
      <c r="R3392">
        <v>-0.99282369999999998</v>
      </c>
      <c r="S3392">
        <v>0.10070800000000001</v>
      </c>
      <c r="T3392">
        <v>-0.18009449999999999</v>
      </c>
      <c r="U3392">
        <v>-2.9977109999999998</v>
      </c>
      <c r="V3392">
        <v>-2.8218799999999999E-2</v>
      </c>
      <c r="W3392">
        <v>-7.9852339999999994E-2</v>
      </c>
      <c r="X3392">
        <v>0.99640720000000005</v>
      </c>
      <c r="Y3392">
        <v>1.9546350000000001E-2</v>
      </c>
      <c r="Z3392">
        <v>5.1578640000000002E-2</v>
      </c>
      <c r="AA3392">
        <v>0.99847759999999997</v>
      </c>
      <c r="AB3392">
        <v>20</v>
      </c>
      <c r="AC3392">
        <v>0.617199999999968</v>
      </c>
      <c r="AD3392">
        <v>-1.11942824724399</v>
      </c>
      <c r="AE3392">
        <v>-18.435899999999901</v>
      </c>
      <c r="AF3392">
        <v>0.36065612348338599</v>
      </c>
      <c r="AG3392">
        <v>-1.11942824724399</v>
      </c>
      <c r="AH3392">
        <v>18.3750050307051</v>
      </c>
      <c r="AI3392">
        <v>93.485552093896501</v>
      </c>
      <c r="AJ3392">
        <v>88.875569243910206</v>
      </c>
      <c r="AK3392">
        <v>18.412604441484401</v>
      </c>
      <c r="AL3392">
        <v>94.580078276135893</v>
      </c>
      <c r="AM3392">
        <v>91.622214384414306</v>
      </c>
      <c r="AN3392">
        <v>1.00000000254437</v>
      </c>
    </row>
    <row r="3393" spans="1:40" x14ac:dyDescent="0.25">
      <c r="A3393" t="str">
        <f>"20190303154203756"</f>
        <v>20190303154203756</v>
      </c>
      <c r="B3393" t="str">
        <f>"1551598923753392"</f>
        <v>1551598923753392</v>
      </c>
      <c r="C3393" t="s">
        <v>40</v>
      </c>
      <c r="D3393">
        <v>5.9396519999999997</v>
      </c>
      <c r="E3393">
        <v>0.51861279999999998</v>
      </c>
      <c r="F3393" t="s">
        <v>41</v>
      </c>
      <c r="G3393">
        <v>-492.4171</v>
      </c>
      <c r="H3393" s="1">
        <v>-3.2179359999999999E-6</v>
      </c>
      <c r="I3393">
        <v>245.59100000000001</v>
      </c>
      <c r="J3393">
        <v>-493.00389999999999</v>
      </c>
      <c r="K3393">
        <v>1.1195029999999999</v>
      </c>
      <c r="L3393">
        <v>263.988</v>
      </c>
      <c r="M3393">
        <v>5.206562E-2</v>
      </c>
      <c r="N3393">
        <v>-8.5493689999999994E-3</v>
      </c>
      <c r="O3393">
        <v>-0.99860700000000002</v>
      </c>
      <c r="P3393">
        <v>7.9739470000000007E-2</v>
      </c>
      <c r="Q3393">
        <v>-8.8160080000000002E-2</v>
      </c>
      <c r="R3393">
        <v>-0.99290970000000001</v>
      </c>
      <c r="S3393">
        <v>9.5855709999999997E-2</v>
      </c>
      <c r="T3393">
        <v>-0.18120030000000001</v>
      </c>
      <c r="U3393">
        <v>-2.9977719999999999</v>
      </c>
      <c r="V3393">
        <v>-2.813249E-2</v>
      </c>
      <c r="W3393">
        <v>-7.9573840000000007E-2</v>
      </c>
      <c r="X3393">
        <v>0.99643190000000004</v>
      </c>
      <c r="Y3393">
        <v>2.0161769999999999E-2</v>
      </c>
      <c r="Z3393">
        <v>5.166188E-2</v>
      </c>
      <c r="AA3393">
        <v>0.99846109999999999</v>
      </c>
      <c r="AB3393">
        <v>20</v>
      </c>
      <c r="AC3393">
        <v>0.586799999999982</v>
      </c>
      <c r="AD3393">
        <v>-1.119506217936</v>
      </c>
      <c r="AE3393">
        <v>-18.396999999999998</v>
      </c>
      <c r="AF3393">
        <v>0.37051161363596902</v>
      </c>
      <c r="AG3393">
        <v>-1.119506217936</v>
      </c>
      <c r="AH3393">
        <v>18.334773426910701</v>
      </c>
      <c r="AI3393">
        <v>93.493383871712197</v>
      </c>
      <c r="AJ3393">
        <v>88.842316607052396</v>
      </c>
      <c r="AK3393">
        <v>18.372656031287001</v>
      </c>
      <c r="AL3393">
        <v>94.564070555421196</v>
      </c>
      <c r="AM3393">
        <v>91.617215251833699</v>
      </c>
      <c r="AN3393">
        <v>0.99999998217177699</v>
      </c>
    </row>
    <row r="3394" spans="1:40" x14ac:dyDescent="0.25">
      <c r="A3394" t="str">
        <f>"20190303154203768"</f>
        <v>20190303154203768</v>
      </c>
      <c r="B3394" t="str">
        <f>"1551598923763151"</f>
        <v>1551598923763151</v>
      </c>
      <c r="C3394" t="s">
        <v>40</v>
      </c>
      <c r="D3394">
        <v>5.9654439999999997</v>
      </c>
      <c r="E3394">
        <v>0.51863679999999901</v>
      </c>
      <c r="F3394" t="s">
        <v>41</v>
      </c>
      <c r="G3394">
        <v>-492.43200000000002</v>
      </c>
      <c r="H3394" s="1">
        <v>-3.125033E-6</v>
      </c>
      <c r="I3394">
        <v>245.36519999999999</v>
      </c>
      <c r="J3394">
        <v>-492.9991</v>
      </c>
      <c r="K3394">
        <v>1.1195790000000001</v>
      </c>
      <c r="L3394">
        <v>263.87360000000001</v>
      </c>
      <c r="M3394">
        <v>5.1183329999999999E-2</v>
      </c>
      <c r="N3394">
        <v>-8.797638E-3</v>
      </c>
      <c r="O3394">
        <v>-0.99865060000000005</v>
      </c>
      <c r="P3394">
        <v>7.8835959999999997E-2</v>
      </c>
      <c r="Q3394">
        <v>-8.8355680000000006E-2</v>
      </c>
      <c r="R3394">
        <v>-0.99296459999999998</v>
      </c>
      <c r="S3394">
        <v>9.2071529999999999E-2</v>
      </c>
      <c r="T3394">
        <v>-0.18022750000000001</v>
      </c>
      <c r="U3394">
        <v>-2.9980470000000001</v>
      </c>
      <c r="V3394">
        <v>-2.8096960000000001E-2</v>
      </c>
      <c r="W3394">
        <v>-7.9525689999999996E-2</v>
      </c>
      <c r="X3394">
        <v>0.99643680000000001</v>
      </c>
      <c r="Y3394">
        <v>2.0539310000000002E-2</v>
      </c>
      <c r="Z3394">
        <v>5.1091190000000002E-2</v>
      </c>
      <c r="AA3394">
        <v>0.9984828</v>
      </c>
      <c r="AB3394">
        <v>20</v>
      </c>
      <c r="AC3394">
        <v>0.56710000000003902</v>
      </c>
      <c r="AD3394">
        <v>-1.119582125033</v>
      </c>
      <c r="AE3394">
        <v>-18.508400000000002</v>
      </c>
      <c r="AF3394">
        <v>0.379613763886613</v>
      </c>
      <c r="AG3394">
        <v>-1.119582125033</v>
      </c>
      <c r="AH3394">
        <v>18.445734415668799</v>
      </c>
      <c r="AI3394">
        <v>93.472629473812205</v>
      </c>
      <c r="AJ3394">
        <v>88.8210175794365</v>
      </c>
      <c r="AK3394">
        <v>18.483578897979001</v>
      </c>
      <c r="AL3394">
        <v>94.561302749302996</v>
      </c>
      <c r="AM3394">
        <v>91.615165929845901</v>
      </c>
      <c r="AN3394">
        <v>1.0000000354627201</v>
      </c>
    </row>
    <row r="3395" spans="1:40" x14ac:dyDescent="0.25">
      <c r="A3395" t="str">
        <f>"20190303154203786"</f>
        <v>20190303154203786</v>
      </c>
      <c r="B3395" t="str">
        <f>"1551598923782672"</f>
        <v>1551598923782672</v>
      </c>
      <c r="C3395" t="s">
        <v>40</v>
      </c>
      <c r="D3395">
        <v>5.9360179999999998</v>
      </c>
      <c r="E3395">
        <v>0.51864869999999996</v>
      </c>
      <c r="F3395" t="s">
        <v>41</v>
      </c>
      <c r="G3395">
        <v>-492.44639999999998</v>
      </c>
      <c r="H3395" s="1">
        <v>-3.1084580000000001E-6</v>
      </c>
      <c r="I3395">
        <v>245.3177</v>
      </c>
      <c r="J3395">
        <v>-492.99250000000001</v>
      </c>
      <c r="K3395">
        <v>1.1196969999999999</v>
      </c>
      <c r="L3395">
        <v>263.7176</v>
      </c>
      <c r="M3395">
        <v>5.0035429999999999E-2</v>
      </c>
      <c r="N3395">
        <v>-9.1186770000000004E-3</v>
      </c>
      <c r="O3395">
        <v>-0.99870590000000004</v>
      </c>
      <c r="P3395">
        <v>7.6917260000000001E-2</v>
      </c>
      <c r="Q3395">
        <v>-8.6988640000000006E-2</v>
      </c>
      <c r="R3395">
        <v>-0.99323570000000005</v>
      </c>
      <c r="S3395">
        <v>8.9294429999999994E-2</v>
      </c>
      <c r="T3395">
        <v>-0.1808912</v>
      </c>
      <c r="U3395">
        <v>-2.9980769999999999</v>
      </c>
      <c r="V3395">
        <v>-2.7293319999999999E-2</v>
      </c>
      <c r="W3395">
        <v>-7.7844419999999998E-2</v>
      </c>
      <c r="X3395">
        <v>0.99659189999999998</v>
      </c>
      <c r="Y3395">
        <v>2.0314280000000001E-2</v>
      </c>
      <c r="Z3395">
        <v>5.0995810000000003E-2</v>
      </c>
      <c r="AA3395">
        <v>0.99849219999999905</v>
      </c>
      <c r="AB3395">
        <v>20</v>
      </c>
      <c r="AC3395">
        <v>0.54610000000002401</v>
      </c>
      <c r="AD3395">
        <v>-1.1197001084579901</v>
      </c>
      <c r="AE3395">
        <v>-18.399899999999999</v>
      </c>
      <c r="AF3395">
        <v>0.37388584622064702</v>
      </c>
      <c r="AG3395">
        <v>-1.1197001084579901</v>
      </c>
      <c r="AH3395">
        <v>18.336334028552699</v>
      </c>
      <c r="AI3395">
        <v>93.493677875107295</v>
      </c>
      <c r="AJ3395">
        <v>88.831875944787697</v>
      </c>
      <c r="AK3395">
        <v>18.3742935800413</v>
      </c>
      <c r="AL3395">
        <v>94.464673417147793</v>
      </c>
      <c r="AM3395">
        <v>91.568747706702197</v>
      </c>
      <c r="AN3395">
        <v>1.0000000470936801</v>
      </c>
    </row>
    <row r="3396" spans="1:40" x14ac:dyDescent="0.25">
      <c r="A3396" t="str">
        <f>"20190303154203800"</f>
        <v>20190303154203800</v>
      </c>
      <c r="B3396" t="str">
        <f>"1551598923793407"</f>
        <v>1551598923793407</v>
      </c>
      <c r="C3396" t="s">
        <v>40</v>
      </c>
      <c r="D3396">
        <v>5.9461110000000001</v>
      </c>
      <c r="E3396">
        <v>0.51863190000000003</v>
      </c>
      <c r="F3396" t="s">
        <v>41</v>
      </c>
      <c r="G3396">
        <v>-492.45859999999999</v>
      </c>
      <c r="H3396" s="1">
        <v>-2.8045099999999999E-6</v>
      </c>
      <c r="I3396">
        <v>244.60159999999999</v>
      </c>
      <c r="J3396">
        <v>-492.98759999999999</v>
      </c>
      <c r="K3396">
        <v>1.1197839999999999</v>
      </c>
      <c r="L3396">
        <v>263.60000000000002</v>
      </c>
      <c r="M3396">
        <v>4.9221399999999998E-2</v>
      </c>
      <c r="N3396">
        <v>-9.3460560000000002E-3</v>
      </c>
      <c r="O3396">
        <v>-0.99874419999999997</v>
      </c>
      <c r="P3396">
        <v>7.6203660000000006E-2</v>
      </c>
      <c r="Q3396">
        <v>-8.6180469999999995E-2</v>
      </c>
      <c r="R3396">
        <v>-0.9933611</v>
      </c>
      <c r="S3396">
        <v>8.3740229999999999E-2</v>
      </c>
      <c r="T3396">
        <v>-0.17563770000000001</v>
      </c>
      <c r="U3396">
        <v>-2.9985659999999998</v>
      </c>
      <c r="V3396">
        <v>-2.7371550000000001E-2</v>
      </c>
      <c r="W3396">
        <v>-7.6813090000000001E-2</v>
      </c>
      <c r="X3396">
        <v>0.99666969999999999</v>
      </c>
      <c r="Y3396">
        <v>2.1349170000000001E-2</v>
      </c>
      <c r="Z3396">
        <v>4.9023270000000001E-2</v>
      </c>
      <c r="AA3396">
        <v>0.99856940000000005</v>
      </c>
      <c r="AB3396">
        <v>20</v>
      </c>
      <c r="AC3396">
        <v>0.52899999999999603</v>
      </c>
      <c r="AD3396">
        <v>-1.1197868045099999</v>
      </c>
      <c r="AE3396">
        <v>-18.9984</v>
      </c>
      <c r="AF3396">
        <v>0.405402617152684</v>
      </c>
      <c r="AG3396">
        <v>-1.1197868045099999</v>
      </c>
      <c r="AH3396">
        <v>18.935676528295801</v>
      </c>
      <c r="AI3396">
        <v>93.383548300778301</v>
      </c>
      <c r="AJ3396">
        <v>88.773515645897902</v>
      </c>
      <c r="AK3396">
        <v>18.973089346593</v>
      </c>
      <c r="AL3396">
        <v>94.4054054234944</v>
      </c>
      <c r="AM3396">
        <v>91.573119157783395</v>
      </c>
      <c r="AN3396">
        <v>0.99999997172141897</v>
      </c>
    </row>
    <row r="3397" spans="1:40" x14ac:dyDescent="0.25">
      <c r="A3397" t="str">
        <f>"20190303154203813"</f>
        <v>20190303154203813</v>
      </c>
      <c r="B3397" t="str">
        <f>"1551598923803167"</f>
        <v>1551598923803167</v>
      </c>
      <c r="C3397" t="s">
        <v>40</v>
      </c>
      <c r="D3397">
        <v>5.9281199999999998</v>
      </c>
      <c r="E3397">
        <v>0.51866570000000001</v>
      </c>
      <c r="F3397" t="s">
        <v>41</v>
      </c>
      <c r="G3397">
        <v>-492.46280000000002</v>
      </c>
      <c r="H3397" s="1">
        <v>-2.6327900000000002E-6</v>
      </c>
      <c r="I3397">
        <v>244.1987</v>
      </c>
      <c r="J3397">
        <v>-492.98230000000001</v>
      </c>
      <c r="K3397">
        <v>1.119883</v>
      </c>
      <c r="L3397">
        <v>263.47289999999998</v>
      </c>
      <c r="M3397">
        <v>4.8403729999999999E-2</v>
      </c>
      <c r="N3397">
        <v>-9.5764649999999993E-3</v>
      </c>
      <c r="O3397">
        <v>-0.99878219999999995</v>
      </c>
      <c r="P3397">
        <v>7.5113769999999996E-2</v>
      </c>
      <c r="Q3397">
        <v>-8.597233E-2</v>
      </c>
      <c r="R3397">
        <v>-0.99346210000000001</v>
      </c>
      <c r="S3397">
        <v>8.1115720000000002E-2</v>
      </c>
      <c r="T3397">
        <v>-0.1730826</v>
      </c>
      <c r="U3397">
        <v>-2.9988100000000002</v>
      </c>
      <c r="V3397">
        <v>-2.7078270000000002E-2</v>
      </c>
      <c r="W3397">
        <v>-7.6380710000000004E-2</v>
      </c>
      <c r="X3397">
        <v>0.99671100000000001</v>
      </c>
      <c r="Y3397">
        <v>2.140475E-2</v>
      </c>
      <c r="Z3397">
        <v>4.7945960000000003E-2</v>
      </c>
      <c r="AA3397">
        <v>0.99862059999999997</v>
      </c>
      <c r="AB3397">
        <v>20</v>
      </c>
      <c r="AC3397">
        <v>0.51949999999999297</v>
      </c>
      <c r="AD3397">
        <v>-1.11988563279</v>
      </c>
      <c r="AE3397">
        <v>-19.274199999999901</v>
      </c>
      <c r="AF3397">
        <v>0.41270245517050003</v>
      </c>
      <c r="AG3397">
        <v>-1.11988563279</v>
      </c>
      <c r="AH3397">
        <v>19.211941353774598</v>
      </c>
      <c r="AI3397">
        <v>93.335292533192003</v>
      </c>
      <c r="AJ3397">
        <v>88.769386590169802</v>
      </c>
      <c r="AK3397">
        <v>19.2489780956784</v>
      </c>
      <c r="AL3397">
        <v>94.380558615255495</v>
      </c>
      <c r="AM3397">
        <v>91.556207419626801</v>
      </c>
      <c r="AN3397">
        <v>1.0000000315436399</v>
      </c>
    </row>
    <row r="3398" spans="1:40" x14ac:dyDescent="0.25">
      <c r="A3398" t="str">
        <f>"20190303154203832"</f>
        <v>20190303154203832</v>
      </c>
      <c r="B3398" t="str">
        <f>"1551598923822688"</f>
        <v>1551598923822688</v>
      </c>
      <c r="C3398" t="s">
        <v>40</v>
      </c>
      <c r="D3398">
        <v>5.9376759999999997</v>
      </c>
      <c r="E3398">
        <v>0.51866849999999998</v>
      </c>
      <c r="F3398" t="s">
        <v>41</v>
      </c>
      <c r="G3398">
        <v>-492.47789999999998</v>
      </c>
      <c r="H3398" s="1">
        <v>-2.532702E-6</v>
      </c>
      <c r="I3398">
        <v>243.95599999999999</v>
      </c>
      <c r="J3398">
        <v>-492.97579999999999</v>
      </c>
      <c r="K3398">
        <v>1.120012</v>
      </c>
      <c r="L3398">
        <v>263.31229999999999</v>
      </c>
      <c r="M3398">
        <v>4.7476310000000001E-2</v>
      </c>
      <c r="N3398">
        <v>-9.8465219999999999E-3</v>
      </c>
      <c r="O3398">
        <v>-0.99882400000000005</v>
      </c>
      <c r="P3398">
        <v>7.4693780000000001E-2</v>
      </c>
      <c r="Q3398">
        <v>-8.6140510000000003E-2</v>
      </c>
      <c r="R3398">
        <v>-0.99347940000000001</v>
      </c>
      <c r="S3398">
        <v>7.7514650000000004E-2</v>
      </c>
      <c r="T3398">
        <v>-0.1720835</v>
      </c>
      <c r="U3398">
        <v>-2.998993</v>
      </c>
      <c r="V3398">
        <v>-2.756277E-2</v>
      </c>
      <c r="W3398">
        <v>-7.6286140000000002E-2</v>
      </c>
      <c r="X3398">
        <v>0.9967049</v>
      </c>
      <c r="Y3398">
        <v>2.1675460000000001E-2</v>
      </c>
      <c r="Z3398">
        <v>4.7346039999999999E-2</v>
      </c>
      <c r="AA3398">
        <v>0.99864330000000001</v>
      </c>
      <c r="AB3398">
        <v>20</v>
      </c>
      <c r="AC3398">
        <v>0.497900000000015</v>
      </c>
      <c r="AD3398">
        <v>-1.1200145327019999</v>
      </c>
      <c r="AE3398">
        <v>-19.356300000000001</v>
      </c>
      <c r="AF3398">
        <v>0.420265426587972</v>
      </c>
      <c r="AG3398">
        <v>-1.1200145327019999</v>
      </c>
      <c r="AH3398">
        <v>19.2935559633613</v>
      </c>
      <c r="AI3398">
        <v>93.321575241042197</v>
      </c>
      <c r="AJ3398">
        <v>88.752141497282295</v>
      </c>
      <c r="AK3398">
        <v>19.330606749235798</v>
      </c>
      <c r="AL3398">
        <v>94.3751245698014</v>
      </c>
      <c r="AM3398">
        <v>91.5840476068675</v>
      </c>
      <c r="AN3398">
        <v>0.99999996956508996</v>
      </c>
    </row>
    <row r="3399" spans="1:40" x14ac:dyDescent="0.25">
      <c r="A3399" t="str">
        <f>"20190303154203846"</f>
        <v>20190303154203846</v>
      </c>
      <c r="B3399" t="str">
        <f>"1551598923843183"</f>
        <v>1551598923843183</v>
      </c>
      <c r="C3399" t="s">
        <v>40</v>
      </c>
      <c r="D3399">
        <v>5.9364660000000002</v>
      </c>
      <c r="E3399">
        <v>0.51861639999999998</v>
      </c>
      <c r="F3399" t="s">
        <v>41</v>
      </c>
      <c r="G3399">
        <v>-492.48329999999999</v>
      </c>
      <c r="H3399" s="1">
        <v>-2.5191199999999999E-6</v>
      </c>
      <c r="I3399">
        <v>243.9211</v>
      </c>
      <c r="J3399">
        <v>-492.97070000000002</v>
      </c>
      <c r="K3399">
        <v>1.120115</v>
      </c>
      <c r="L3399">
        <v>263.18790000000001</v>
      </c>
      <c r="M3399">
        <v>4.6842330000000001E-2</v>
      </c>
      <c r="N3399">
        <v>-1.004352E-2</v>
      </c>
      <c r="O3399">
        <v>-0.99885199999999996</v>
      </c>
      <c r="P3399">
        <v>7.4700849999999999E-2</v>
      </c>
      <c r="Q3399">
        <v>-8.6339360000000004E-2</v>
      </c>
      <c r="R3399">
        <v>-0.9934615</v>
      </c>
      <c r="S3399">
        <v>7.6171879999999997E-2</v>
      </c>
      <c r="T3399">
        <v>-0.17321610000000001</v>
      </c>
      <c r="U3399">
        <v>-2.9989620000000001</v>
      </c>
      <c r="V3399">
        <v>-2.818582E-2</v>
      </c>
      <c r="W3399">
        <v>-7.6293959999999994E-2</v>
      </c>
      <c r="X3399">
        <v>0.99668690000000004</v>
      </c>
      <c r="Y3399">
        <v>2.148765E-2</v>
      </c>
      <c r="Z3399">
        <v>4.7528059999999997E-2</v>
      </c>
      <c r="AA3399">
        <v>0.99863869999999999</v>
      </c>
      <c r="AB3399">
        <v>20</v>
      </c>
      <c r="AC3399">
        <v>0.48740000000003603</v>
      </c>
      <c r="AD3399">
        <v>-1.1201175191199999</v>
      </c>
      <c r="AE3399">
        <v>-19.2668</v>
      </c>
      <c r="AF3399">
        <v>0.414282870346041</v>
      </c>
      <c r="AG3399">
        <v>-1.1201175191199999</v>
      </c>
      <c r="AH3399">
        <v>19.2036153123723</v>
      </c>
      <c r="AI3399">
        <v>93.337418124315803</v>
      </c>
      <c r="AJ3399">
        <v>88.7641400706745</v>
      </c>
      <c r="AK3399">
        <v>19.2407155433181</v>
      </c>
      <c r="AL3399">
        <v>94.375573830948397</v>
      </c>
      <c r="AM3399">
        <v>91.619865006602595</v>
      </c>
      <c r="AN3399">
        <v>0.99999999270658202</v>
      </c>
    </row>
    <row r="3400" spans="1:40" x14ac:dyDescent="0.25">
      <c r="A3400" t="str">
        <f>"20190303154203861"</f>
        <v>20190303154203861</v>
      </c>
      <c r="B3400" t="str">
        <f>"1551598923852944"</f>
        <v>1551598923852944</v>
      </c>
      <c r="C3400" t="s">
        <v>40</v>
      </c>
      <c r="D3400">
        <v>5.9383569999999999</v>
      </c>
      <c r="E3400">
        <v>0.51856400000000002</v>
      </c>
      <c r="F3400" t="s">
        <v>41</v>
      </c>
      <c r="G3400">
        <v>-492.47730000000001</v>
      </c>
      <c r="H3400" s="1">
        <v>-2.493412E-6</v>
      </c>
      <c r="I3400">
        <v>243.8648</v>
      </c>
      <c r="J3400">
        <v>-492.96530000000001</v>
      </c>
      <c r="K3400">
        <v>1.120225</v>
      </c>
      <c r="L3400">
        <v>263.05489999999998</v>
      </c>
      <c r="M3400">
        <v>4.6233669999999998E-2</v>
      </c>
      <c r="N3400">
        <v>-1.024564E-2</v>
      </c>
      <c r="O3400">
        <v>-0.99887840000000006</v>
      </c>
      <c r="P3400">
        <v>7.5085979999999997E-2</v>
      </c>
      <c r="Q3400">
        <v>-8.6864620000000003E-2</v>
      </c>
      <c r="R3400">
        <v>-0.99338689999999996</v>
      </c>
      <c r="S3400">
        <v>7.6568600000000001E-2</v>
      </c>
      <c r="T3400">
        <v>-0.17383599999999999</v>
      </c>
      <c r="U3400">
        <v>-2.99884</v>
      </c>
      <c r="V3400">
        <v>-2.9163629999999999E-2</v>
      </c>
      <c r="W3400">
        <v>-7.6623930000000007E-2</v>
      </c>
      <c r="X3400">
        <v>0.99663349999999995</v>
      </c>
      <c r="Y3400">
        <v>2.074554E-2</v>
      </c>
      <c r="Z3400">
        <v>4.7536769999999999E-2</v>
      </c>
      <c r="AA3400">
        <v>0.99865400000000004</v>
      </c>
      <c r="AB3400">
        <v>20</v>
      </c>
      <c r="AC3400">
        <v>0.48799999999999899</v>
      </c>
      <c r="AD3400">
        <v>-1.120227493412</v>
      </c>
      <c r="AE3400">
        <v>-19.190099999999902</v>
      </c>
      <c r="AF3400">
        <v>0.398440083106327</v>
      </c>
      <c r="AG3400">
        <v>-1.120227493412</v>
      </c>
      <c r="AH3400">
        <v>19.1270037105987</v>
      </c>
      <c r="AI3400">
        <v>93.351136272146405</v>
      </c>
      <c r="AJ3400">
        <v>88.806627833219196</v>
      </c>
      <c r="AK3400">
        <v>19.163922747759099</v>
      </c>
      <c r="AL3400">
        <v>94.394535022386705</v>
      </c>
      <c r="AM3400">
        <v>91.676118882816397</v>
      </c>
      <c r="AN3400">
        <v>1.00000003864283</v>
      </c>
    </row>
    <row r="3401" spans="1:40" x14ac:dyDescent="0.25">
      <c r="A3401" t="str">
        <f>"20190303154203876"</f>
        <v>20190303154203876</v>
      </c>
      <c r="B3401" t="str">
        <f>"1551598923873439"</f>
        <v>1551598923873439</v>
      </c>
      <c r="C3401" t="s">
        <v>40</v>
      </c>
      <c r="D3401">
        <v>5.943562</v>
      </c>
      <c r="E3401">
        <v>0.51850940000000001</v>
      </c>
      <c r="F3401" t="s">
        <v>41</v>
      </c>
      <c r="G3401">
        <v>-492.46839999999997</v>
      </c>
      <c r="H3401" s="1">
        <v>-2.5223310000000002E-6</v>
      </c>
      <c r="I3401">
        <v>243.93780000000001</v>
      </c>
      <c r="J3401">
        <v>-492.9597</v>
      </c>
      <c r="K3401">
        <v>1.1203320000000001</v>
      </c>
      <c r="L3401">
        <v>262.92039999999997</v>
      </c>
      <c r="M3401">
        <v>4.569571E-2</v>
      </c>
      <c r="N3401">
        <v>-1.0441249999999999E-2</v>
      </c>
      <c r="O3401">
        <v>-0.99890089999999998</v>
      </c>
      <c r="P3401">
        <v>7.6555689999999996E-2</v>
      </c>
      <c r="Q3401">
        <v>-8.7684999999999999E-2</v>
      </c>
      <c r="R3401">
        <v>-0.99320240000000004</v>
      </c>
      <c r="S3401">
        <v>7.794189E-2</v>
      </c>
      <c r="T3401">
        <v>-0.17571879999999901</v>
      </c>
      <c r="U3401">
        <v>-2.9987180000000002</v>
      </c>
      <c r="V3401">
        <v>-3.1158959999999999E-2</v>
      </c>
      <c r="W3401">
        <v>-7.7255699999999997E-2</v>
      </c>
      <c r="X3401">
        <v>0.99652430000000003</v>
      </c>
      <c r="Y3401">
        <v>1.9749780000000002E-2</v>
      </c>
      <c r="Z3401">
        <v>4.7970150000000003E-2</v>
      </c>
      <c r="AA3401">
        <v>0.99865349999999997</v>
      </c>
      <c r="AB3401">
        <v>20</v>
      </c>
      <c r="AC3401">
        <v>0.491300000000023</v>
      </c>
      <c r="AD3401">
        <v>-1.1203345223309999</v>
      </c>
      <c r="AE3401">
        <v>-18.982599999999898</v>
      </c>
      <c r="AF3401">
        <v>0.375377226712101</v>
      </c>
      <c r="AG3401">
        <v>-1.1203345223309999</v>
      </c>
      <c r="AH3401">
        <v>18.919363576341699</v>
      </c>
      <c r="AI3401">
        <v>93.388220792058405</v>
      </c>
      <c r="AJ3401">
        <v>88.863349225909502</v>
      </c>
      <c r="AK3401">
        <v>18.956222609952199</v>
      </c>
      <c r="AL3401">
        <v>94.430840556477193</v>
      </c>
      <c r="AM3401">
        <v>91.790920143219594</v>
      </c>
      <c r="AN3401">
        <v>1.0000000022306299</v>
      </c>
    </row>
    <row r="3402" spans="1:40" x14ac:dyDescent="0.25">
      <c r="A3402" t="str">
        <f>"20190303154203890"</f>
        <v>20190303154203890</v>
      </c>
      <c r="B3402" t="str">
        <f>"1551598923883200"</f>
        <v>1551598923883200</v>
      </c>
      <c r="C3402" t="s">
        <v>40</v>
      </c>
      <c r="D3402">
        <v>5.9499820000000003</v>
      </c>
      <c r="E3402">
        <v>0.51846139999999996</v>
      </c>
      <c r="F3402" t="s">
        <v>41</v>
      </c>
      <c r="G3402">
        <v>-492.43369999999999</v>
      </c>
      <c r="H3402" s="1">
        <v>-2.5650480000000001E-6</v>
      </c>
      <c r="I3402">
        <v>244.05879999999999</v>
      </c>
      <c r="J3402">
        <v>-492.95479999999998</v>
      </c>
      <c r="K3402">
        <v>1.1204179999999999</v>
      </c>
      <c r="L3402">
        <v>262.80079999999998</v>
      </c>
      <c r="M3402">
        <v>4.5310209999999997E-2</v>
      </c>
      <c r="N3402">
        <v>-1.060322E-2</v>
      </c>
      <c r="O3402">
        <v>-0.99891700000000005</v>
      </c>
      <c r="P3402">
        <v>7.7012259999999999E-2</v>
      </c>
      <c r="Q3402">
        <v>-8.8447139999999994E-2</v>
      </c>
      <c r="R3402">
        <v>-0.99309979999999998</v>
      </c>
      <c r="S3402">
        <v>8.3618159999999997E-2</v>
      </c>
      <c r="T3402">
        <v>-0.17809529999999901</v>
      </c>
      <c r="U3402">
        <v>-2.9983520000000001</v>
      </c>
      <c r="V3402">
        <v>-3.1989950000000003E-2</v>
      </c>
      <c r="W3402">
        <v>-7.7862639999999997E-2</v>
      </c>
      <c r="X3402">
        <v>0.99645070000000002</v>
      </c>
      <c r="Y3402">
        <v>1.747307E-2</v>
      </c>
      <c r="Z3402">
        <v>4.8604769999999999E-2</v>
      </c>
      <c r="AA3402">
        <v>0.99866520000000003</v>
      </c>
      <c r="AB3402">
        <v>20</v>
      </c>
      <c r="AC3402">
        <v>0.52109999999998902</v>
      </c>
      <c r="AD3402">
        <v>-1.1204205650479999</v>
      </c>
      <c r="AE3402">
        <v>-18.741999999999901</v>
      </c>
      <c r="AF3402">
        <v>0.32751710661421601</v>
      </c>
      <c r="AG3402">
        <v>-1.1204205650479999</v>
      </c>
      <c r="AH3402">
        <v>18.6796558359882</v>
      </c>
      <c r="AI3402">
        <v>93.432007583583896</v>
      </c>
      <c r="AJ3402">
        <v>88.995515468418304</v>
      </c>
      <c r="AK3402">
        <v>18.716093391749201</v>
      </c>
      <c r="AL3402">
        <v>94.465720857852006</v>
      </c>
      <c r="AM3402">
        <v>91.838786219612302</v>
      </c>
      <c r="AN3402">
        <v>0.99999997256963002</v>
      </c>
    </row>
    <row r="3403" spans="1:40" x14ac:dyDescent="0.25">
      <c r="A3403" t="str">
        <f>"20190303154203911"</f>
        <v>20190303154203911</v>
      </c>
      <c r="B3403" t="str">
        <f>"1551598923902720"</f>
        <v>1551598923902720</v>
      </c>
      <c r="C3403" t="s">
        <v>40</v>
      </c>
      <c r="D3403">
        <v>5.9851530000000004</v>
      </c>
      <c r="E3403">
        <v>0.5184415</v>
      </c>
      <c r="F3403" t="s">
        <v>41</v>
      </c>
      <c r="G3403">
        <v>-492.4273</v>
      </c>
      <c r="H3403" s="1">
        <v>-2.6181840000000002E-6</v>
      </c>
      <c r="I3403">
        <v>244.1867</v>
      </c>
      <c r="J3403">
        <v>-492.947</v>
      </c>
      <c r="K3403">
        <v>1.1205369999999999</v>
      </c>
      <c r="L3403">
        <v>262.61250000000001</v>
      </c>
      <c r="M3403">
        <v>4.4800100000000002E-2</v>
      </c>
      <c r="N3403">
        <v>-1.0847259999999999E-2</v>
      </c>
      <c r="O3403">
        <v>-0.99893719999999997</v>
      </c>
      <c r="P3403">
        <v>7.7523869999999995E-2</v>
      </c>
      <c r="Q3403">
        <v>-8.975263E-2</v>
      </c>
      <c r="R3403">
        <v>-0.99294280000000001</v>
      </c>
      <c r="S3403">
        <v>8.4960939999999999E-2</v>
      </c>
      <c r="T3403">
        <v>-0.18046770000000001</v>
      </c>
      <c r="U3403">
        <v>-2.9981990000000001</v>
      </c>
      <c r="V3403">
        <v>-3.2996350000000001E-2</v>
      </c>
      <c r="W3403">
        <v>-7.8934340000000006E-2</v>
      </c>
      <c r="X3403">
        <v>0.99633360000000004</v>
      </c>
      <c r="Y3403">
        <v>1.6515160000000001E-2</v>
      </c>
      <c r="Z3403">
        <v>4.9152460000000002E-2</v>
      </c>
      <c r="AA3403">
        <v>0.99865470000000001</v>
      </c>
      <c r="AB3403">
        <v>20</v>
      </c>
      <c r="AC3403">
        <v>0.51969999999994299</v>
      </c>
      <c r="AD3403">
        <v>-1.1205396181839999</v>
      </c>
      <c r="AE3403">
        <v>-18.425799999999999</v>
      </c>
      <c r="AF3403">
        <v>0.30522010899552598</v>
      </c>
      <c r="AG3403">
        <v>-1.1205396181839999</v>
      </c>
      <c r="AH3403">
        <v>18.362724956932698</v>
      </c>
      <c r="AI3403">
        <v>93.491521193381899</v>
      </c>
      <c r="AJ3403">
        <v>89.047733173898706</v>
      </c>
      <c r="AK3403">
        <v>18.399414017702199</v>
      </c>
      <c r="AL3403">
        <v>94.527314131700194</v>
      </c>
      <c r="AM3403">
        <v>91.896815355243106</v>
      </c>
      <c r="AN3403">
        <v>1.0000000158167499</v>
      </c>
    </row>
    <row r="3404" spans="1:40" x14ac:dyDescent="0.25">
      <c r="A3404" t="str">
        <f>"20190303154203932"</f>
        <v>20190303154203932</v>
      </c>
      <c r="B3404" t="str">
        <f>"1551598923923215"</f>
        <v>1551598923923215</v>
      </c>
      <c r="C3404" t="s">
        <v>40</v>
      </c>
      <c r="D3404">
        <v>5.9665809999999997</v>
      </c>
      <c r="E3404">
        <v>0.51840839999999999</v>
      </c>
      <c r="F3404" t="s">
        <v>41</v>
      </c>
      <c r="G3404">
        <v>-492.42090000000002</v>
      </c>
      <c r="H3404" s="1">
        <v>-2.712529E-6</v>
      </c>
      <c r="I3404">
        <v>244.41059999999999</v>
      </c>
      <c r="J3404">
        <v>-492.93900000000002</v>
      </c>
      <c r="K3404">
        <v>1.1206290000000001</v>
      </c>
      <c r="L3404">
        <v>262.42380000000003</v>
      </c>
      <c r="M3404">
        <v>4.4426510000000002E-2</v>
      </c>
      <c r="N3404">
        <v>-1.1079779999999999E-2</v>
      </c>
      <c r="O3404">
        <v>-0.99895120000000004</v>
      </c>
      <c r="P3404">
        <v>7.7373440000000002E-2</v>
      </c>
      <c r="Q3404">
        <v>-9.0790910000000002E-2</v>
      </c>
      <c r="R3404">
        <v>-0.99285979999999996</v>
      </c>
      <c r="S3404">
        <v>8.6639399999999894E-2</v>
      </c>
      <c r="T3404">
        <v>-0.1845533</v>
      </c>
      <c r="U3404">
        <v>-2.9978639999999999</v>
      </c>
      <c r="V3404">
        <v>-3.3206079999999999E-2</v>
      </c>
      <c r="W3404">
        <v>-7.9748659999999999E-2</v>
      </c>
      <c r="X3404">
        <v>0.99626179999999998</v>
      </c>
      <c r="Y3404">
        <v>1.558123E-2</v>
      </c>
      <c r="Z3404">
        <v>5.0282350000000003E-2</v>
      </c>
      <c r="AA3404">
        <v>0.99861350000000004</v>
      </c>
      <c r="AB3404">
        <v>20</v>
      </c>
      <c r="AC3404">
        <v>0.518100000000004</v>
      </c>
      <c r="AD3404">
        <v>-1.120631712529</v>
      </c>
      <c r="AE3404">
        <v>-18.013200000000001</v>
      </c>
      <c r="AF3404">
        <v>0.28163524043909299</v>
      </c>
      <c r="AG3404">
        <v>-1.120631712529</v>
      </c>
      <c r="AH3404">
        <v>17.9490207779922</v>
      </c>
      <c r="AI3404">
        <v>93.572137089466906</v>
      </c>
      <c r="AJ3404">
        <v>89.101054773330006</v>
      </c>
      <c r="AK3404">
        <v>17.986174710943299</v>
      </c>
      <c r="AL3404">
        <v>94.574118703117705</v>
      </c>
      <c r="AM3404">
        <v>91.909000390091407</v>
      </c>
      <c r="AN3404">
        <v>1.0000000333300001</v>
      </c>
    </row>
    <row r="3405" spans="1:40" x14ac:dyDescent="0.25">
      <c r="A3405" t="str">
        <f>"20190303154203945"</f>
        <v>20190303154203945</v>
      </c>
      <c r="B3405" t="str">
        <f>"1551598923942737"</f>
        <v>1551598923942737</v>
      </c>
      <c r="C3405" t="s">
        <v>40</v>
      </c>
      <c r="D3405">
        <v>5.9676519999999904</v>
      </c>
      <c r="E3405">
        <v>0.51842719999999998</v>
      </c>
      <c r="F3405" t="s">
        <v>41</v>
      </c>
      <c r="G3405">
        <v>-492.42099999999999</v>
      </c>
      <c r="H3405" s="1">
        <v>-2.754436E-6</v>
      </c>
      <c r="I3405">
        <v>244.50819999999999</v>
      </c>
      <c r="J3405">
        <v>-492.93419999999998</v>
      </c>
      <c r="K3405">
        <v>1.120684</v>
      </c>
      <c r="L3405">
        <v>262.3109</v>
      </c>
      <c r="M3405">
        <v>4.4268849999999998E-2</v>
      </c>
      <c r="N3405">
        <v>-1.121404E-2</v>
      </c>
      <c r="O3405">
        <v>-0.99895690000000004</v>
      </c>
      <c r="P3405">
        <v>7.7104350000000002E-2</v>
      </c>
      <c r="Q3405">
        <v>-9.1087559999999998E-2</v>
      </c>
      <c r="R3405">
        <v>-0.9928536</v>
      </c>
      <c r="S3405">
        <v>8.6669919999999998E-2</v>
      </c>
      <c r="T3405">
        <v>-0.1875069</v>
      </c>
      <c r="U3405">
        <v>-2.997681</v>
      </c>
      <c r="V3405">
        <v>-3.3087350000000001E-2</v>
      </c>
      <c r="W3405">
        <v>-7.9914929999999995E-2</v>
      </c>
      <c r="X3405">
        <v>0.99625240000000004</v>
      </c>
      <c r="Y3405">
        <v>1.54127E-2</v>
      </c>
      <c r="Z3405">
        <v>5.1131339999999997E-2</v>
      </c>
      <c r="AA3405">
        <v>0.99857300000000004</v>
      </c>
      <c r="AB3405">
        <v>20</v>
      </c>
      <c r="AC3405">
        <v>0.513199999999983</v>
      </c>
      <c r="AD3405">
        <v>-1.120686754436</v>
      </c>
      <c r="AE3405">
        <v>-17.802700000000002</v>
      </c>
      <c r="AF3405">
        <v>0.27437128174484698</v>
      </c>
      <c r="AG3405">
        <v>-1.120686754436</v>
      </c>
      <c r="AH3405">
        <v>17.737733352224701</v>
      </c>
      <c r="AI3405">
        <v>93.614764910130503</v>
      </c>
      <c r="AJ3405">
        <v>89.113806564113204</v>
      </c>
      <c r="AK3405">
        <v>17.775218785613902</v>
      </c>
      <c r="AL3405">
        <v>94.583675897524103</v>
      </c>
      <c r="AM3405">
        <v>91.902197621668293</v>
      </c>
      <c r="AN3405">
        <v>1.0000000066363399</v>
      </c>
    </row>
    <row r="3406" spans="1:40" x14ac:dyDescent="0.25">
      <c r="A3406" t="str">
        <f>"20190303154203965"</f>
        <v>20190303154203965</v>
      </c>
      <c r="B3406" t="str">
        <f>"1551598923963231"</f>
        <v>1551598923963231</v>
      </c>
      <c r="C3406" t="s">
        <v>40</v>
      </c>
      <c r="D3406">
        <v>5.9929759999999996</v>
      </c>
      <c r="E3406">
        <v>0.51847370000000004</v>
      </c>
      <c r="F3406" t="s">
        <v>41</v>
      </c>
      <c r="G3406">
        <v>-492.42790000000002</v>
      </c>
      <c r="H3406" s="1">
        <v>-2.7484179999999999E-6</v>
      </c>
      <c r="I3406">
        <v>244.48990000000001</v>
      </c>
      <c r="J3406">
        <v>-492.92660000000001</v>
      </c>
      <c r="K3406">
        <v>1.120752</v>
      </c>
      <c r="L3406">
        <v>262.13150000000002</v>
      </c>
      <c r="M3406">
        <v>4.4085869999999999E-2</v>
      </c>
      <c r="N3406">
        <v>-1.1419810000000001E-2</v>
      </c>
      <c r="O3406">
        <v>-0.99896229999999997</v>
      </c>
      <c r="P3406">
        <v>7.6697630000000003E-2</v>
      </c>
      <c r="Q3406">
        <v>-9.1361189999999995E-2</v>
      </c>
      <c r="R3406">
        <v>-0.99285979999999996</v>
      </c>
      <c r="S3406">
        <v>8.5174559999999996E-2</v>
      </c>
      <c r="T3406">
        <v>-0.18851209999999999</v>
      </c>
      <c r="U3406">
        <v>-2.997681</v>
      </c>
      <c r="V3406">
        <v>-3.285296E-2</v>
      </c>
      <c r="W3406">
        <v>-7.9987730000000007E-2</v>
      </c>
      <c r="X3406">
        <v>0.99625430000000004</v>
      </c>
      <c r="Y3406">
        <v>1.572728E-2</v>
      </c>
      <c r="Z3406">
        <v>5.1259829999999999E-2</v>
      </c>
      <c r="AA3406">
        <v>0.99856149999999999</v>
      </c>
      <c r="AB3406">
        <v>20</v>
      </c>
      <c r="AC3406">
        <v>0.49869999999998499</v>
      </c>
      <c r="AD3406">
        <v>-1.120754748418</v>
      </c>
      <c r="AE3406">
        <v>-17.6416</v>
      </c>
      <c r="AF3406">
        <v>0.27845812038838302</v>
      </c>
      <c r="AG3406">
        <v>-1.120754748418</v>
      </c>
      <c r="AH3406">
        <v>17.5755553543489</v>
      </c>
      <c r="AI3406">
        <v>93.648229764756394</v>
      </c>
      <c r="AJ3406">
        <v>89.092310882634706</v>
      </c>
      <c r="AK3406">
        <v>17.613454406921299</v>
      </c>
      <c r="AL3406">
        <v>94.587860492724005</v>
      </c>
      <c r="AM3406">
        <v>91.888728694123003</v>
      </c>
      <c r="AN3406">
        <v>0.99999999209990198</v>
      </c>
    </row>
    <row r="3407" spans="1:40" x14ac:dyDescent="0.25">
      <c r="A3407" t="str">
        <f>"20190303154203987"</f>
        <v>20190303154203987</v>
      </c>
      <c r="B3407" t="str">
        <f>"1551598923982752"</f>
        <v>1551598923982752</v>
      </c>
      <c r="C3407" t="s">
        <v>40</v>
      </c>
      <c r="D3407">
        <v>5.9722099999999996</v>
      </c>
      <c r="E3407">
        <v>0.51848050000000001</v>
      </c>
      <c r="F3407" t="s">
        <v>41</v>
      </c>
      <c r="G3407">
        <v>-492.43</v>
      </c>
      <c r="H3407" s="1">
        <v>-2.70445E-6</v>
      </c>
      <c r="I3407">
        <v>244.3861</v>
      </c>
      <c r="J3407">
        <v>-492.91840000000002</v>
      </c>
      <c r="K3407">
        <v>1.1208070000000001</v>
      </c>
      <c r="L3407">
        <v>261.93950000000001</v>
      </c>
      <c r="M3407">
        <v>4.3963439999999999E-2</v>
      </c>
      <c r="N3407">
        <v>-1.162471E-2</v>
      </c>
      <c r="O3407">
        <v>-0.99896560000000001</v>
      </c>
      <c r="P3407">
        <v>7.5816670000000003E-2</v>
      </c>
      <c r="Q3407">
        <v>-9.1391379999999994E-2</v>
      </c>
      <c r="R3407">
        <v>-0.99292519999999995</v>
      </c>
      <c r="S3407">
        <v>8.3892820000000007E-2</v>
      </c>
      <c r="T3407">
        <v>-0.18932640000000001</v>
      </c>
      <c r="U3407">
        <v>-2.997681</v>
      </c>
      <c r="V3407">
        <v>-3.2084759999999997E-2</v>
      </c>
      <c r="W3407">
        <v>-7.9816440000000002E-2</v>
      </c>
      <c r="X3407">
        <v>0.99629310000000004</v>
      </c>
      <c r="Y3407">
        <v>1.603125E-2</v>
      </c>
      <c r="Z3407">
        <v>5.1325679999999999E-2</v>
      </c>
      <c r="AA3407">
        <v>0.99855329999999998</v>
      </c>
      <c r="AB3407">
        <v>20</v>
      </c>
      <c r="AC3407">
        <v>0.48840000000001199</v>
      </c>
      <c r="AD3407">
        <v>-1.1208097044499901</v>
      </c>
      <c r="AE3407">
        <v>-17.5534</v>
      </c>
      <c r="AF3407">
        <v>0.28268060153951002</v>
      </c>
      <c r="AG3407">
        <v>-1.1208097044499901</v>
      </c>
      <c r="AH3407">
        <v>17.4866611716302</v>
      </c>
      <c r="AI3407">
        <v>93.666885692455693</v>
      </c>
      <c r="AJ3407">
        <v>89.073865808477905</v>
      </c>
      <c r="AK3407">
        <v>17.524823583918799</v>
      </c>
      <c r="AL3407">
        <v>94.578014697979199</v>
      </c>
      <c r="AM3407">
        <v>91.844523683041999</v>
      </c>
      <c r="AN3407">
        <v>1.00000001851307</v>
      </c>
    </row>
    <row r="3408" spans="1:40" x14ac:dyDescent="0.25">
      <c r="A3408" t="str">
        <f>"20190303154204000"</f>
        <v>20190303154204000</v>
      </c>
      <c r="B3408" t="str">
        <f>"1551598923993488"</f>
        <v>1551598923993488</v>
      </c>
      <c r="C3408" t="s">
        <v>40</v>
      </c>
      <c r="D3408">
        <v>5.9616870000000004</v>
      </c>
      <c r="E3408">
        <v>0.51846539999999997</v>
      </c>
      <c r="F3408" t="s">
        <v>41</v>
      </c>
      <c r="G3408">
        <v>-492.43680000000001</v>
      </c>
      <c r="H3408" s="1">
        <v>-2.6008230000000002E-6</v>
      </c>
      <c r="I3408">
        <v>244.1403</v>
      </c>
      <c r="J3408">
        <v>-492.91359999999997</v>
      </c>
      <c r="K3408">
        <v>1.1208340000000001</v>
      </c>
      <c r="L3408">
        <v>261.82960000000003</v>
      </c>
      <c r="M3408">
        <v>4.3912159999999999E-2</v>
      </c>
      <c r="N3408">
        <v>-1.17337E-2</v>
      </c>
      <c r="O3408">
        <v>-0.99896660000000004</v>
      </c>
      <c r="P3408">
        <v>7.5719289999999995E-2</v>
      </c>
      <c r="Q3408">
        <v>-9.1345099999999999E-2</v>
      </c>
      <c r="R3408">
        <v>-0.99293659999999995</v>
      </c>
      <c r="S3408">
        <v>8.1115720000000002E-2</v>
      </c>
      <c r="T3408">
        <v>-0.188773</v>
      </c>
      <c r="U3408">
        <v>-2.997833</v>
      </c>
      <c r="V3408">
        <v>-3.2035279999999999E-2</v>
      </c>
      <c r="W3408">
        <v>-7.9662699999999906E-2</v>
      </c>
      <c r="X3408">
        <v>0.99630700000000005</v>
      </c>
      <c r="Y3408">
        <v>1.6904880000000001E-2</v>
      </c>
      <c r="Z3408">
        <v>5.103071E-2</v>
      </c>
      <c r="AA3408">
        <v>0.99855400000000005</v>
      </c>
      <c r="AB3408">
        <v>20</v>
      </c>
      <c r="AC3408">
        <v>0.47679999999996803</v>
      </c>
      <c r="AD3408">
        <v>-1.120836600823</v>
      </c>
      <c r="AE3408">
        <v>-17.689299999999999</v>
      </c>
      <c r="AF3408">
        <v>0.29928804183064001</v>
      </c>
      <c r="AG3408">
        <v>-1.120836600823</v>
      </c>
      <c r="AH3408">
        <v>17.622473992577401</v>
      </c>
      <c r="AI3408">
        <v>93.638739875393199</v>
      </c>
      <c r="AJ3408">
        <v>89.027021219007196</v>
      </c>
      <c r="AK3408">
        <v>17.660618268814801</v>
      </c>
      <c r="AL3408">
        <v>94.569177892167303</v>
      </c>
      <c r="AM3408">
        <v>91.8416554066999</v>
      </c>
      <c r="AN3408">
        <v>1.00000002159248</v>
      </c>
    </row>
    <row r="3409" spans="1:40" x14ac:dyDescent="0.25">
      <c r="A3409" t="str">
        <f>"20190303154204012"</f>
        <v>20190303154204012</v>
      </c>
      <c r="B3409" t="str">
        <f>"1551598924003247"</f>
        <v>1551598924003247</v>
      </c>
      <c r="C3409" t="s">
        <v>40</v>
      </c>
      <c r="D3409">
        <v>5.9718879999999999</v>
      </c>
      <c r="E3409">
        <v>0.51846680000000001</v>
      </c>
      <c r="F3409" t="s">
        <v>41</v>
      </c>
      <c r="G3409">
        <v>-492.43169999999998</v>
      </c>
      <c r="H3409" s="1">
        <v>-2.5303620000000002E-6</v>
      </c>
      <c r="I3409">
        <v>243.97919999999999</v>
      </c>
      <c r="J3409">
        <v>-492.90879999999999</v>
      </c>
      <c r="K3409">
        <v>1.120859</v>
      </c>
      <c r="L3409">
        <v>261.71510000000001</v>
      </c>
      <c r="M3409">
        <v>4.3868959999999999E-2</v>
      </c>
      <c r="N3409">
        <v>-1.18391E-2</v>
      </c>
      <c r="O3409">
        <v>-0.9989673</v>
      </c>
      <c r="P3409">
        <v>7.5757450000000004E-2</v>
      </c>
      <c r="Q3409">
        <v>-9.0917899999999996E-2</v>
      </c>
      <c r="R3409">
        <v>-0.99297299999999999</v>
      </c>
      <c r="S3409">
        <v>8.0932619999999997E-2</v>
      </c>
      <c r="T3409">
        <v>-0.18823619999999999</v>
      </c>
      <c r="U3409">
        <v>-2.997833</v>
      </c>
      <c r="V3409">
        <v>-3.2113129999999997E-2</v>
      </c>
      <c r="W3409">
        <v>-7.9130809999999996E-2</v>
      </c>
      <c r="X3409">
        <v>0.99634679999999998</v>
      </c>
      <c r="Y3409">
        <v>1.6922179999999998E-2</v>
      </c>
      <c r="Z3409">
        <v>5.074787E-2</v>
      </c>
      <c r="AA3409">
        <v>0.99856809999999996</v>
      </c>
      <c r="AB3409">
        <v>20</v>
      </c>
      <c r="AC3409">
        <v>0.47710000000000702</v>
      </c>
      <c r="AD3409">
        <v>-1.120861530362</v>
      </c>
      <c r="AE3409">
        <v>-17.735900000000001</v>
      </c>
      <c r="AF3409">
        <v>0.300270884018081</v>
      </c>
      <c r="AG3409">
        <v>-1.120861530362</v>
      </c>
      <c r="AH3409">
        <v>17.669236314273199</v>
      </c>
      <c r="AI3409">
        <v>93.629215426018007</v>
      </c>
      <c r="AJ3409">
        <v>89.026409621012704</v>
      </c>
      <c r="AK3409">
        <v>17.707298074626301</v>
      </c>
      <c r="AL3409">
        <v>94.538606690577694</v>
      </c>
      <c r="AM3409">
        <v>91.846054087318095</v>
      </c>
      <c r="AN3409">
        <v>0.99999994203994402</v>
      </c>
    </row>
    <row r="3410" spans="1:40" x14ac:dyDescent="0.25">
      <c r="A3410" t="str">
        <f>"20190303154204025"</f>
        <v>20190303154204025</v>
      </c>
      <c r="B3410" t="str">
        <f>"1551598924013008"</f>
        <v>1551598924013008</v>
      </c>
      <c r="C3410" t="s">
        <v>40</v>
      </c>
      <c r="D3410">
        <v>5.9825369999999998</v>
      </c>
      <c r="E3410">
        <v>0.51848379999999905</v>
      </c>
      <c r="F3410" t="s">
        <v>41</v>
      </c>
      <c r="G3410">
        <v>-492.42110000000002</v>
      </c>
      <c r="H3410" s="1">
        <v>-2.4244999999999998E-6</v>
      </c>
      <c r="I3410">
        <v>243.739</v>
      </c>
      <c r="J3410">
        <v>-492.904</v>
      </c>
      <c r="K3410">
        <v>1.1208720000000001</v>
      </c>
      <c r="L3410">
        <v>261.60590000000002</v>
      </c>
      <c r="M3410">
        <v>4.3829449999999999E-2</v>
      </c>
      <c r="N3410">
        <v>-1.193136E-2</v>
      </c>
      <c r="O3410">
        <v>-0.99896799999999997</v>
      </c>
      <c r="P3410">
        <v>7.5688729999999996E-2</v>
      </c>
      <c r="Q3410">
        <v>-9.0854249999999998E-2</v>
      </c>
      <c r="R3410">
        <v>-0.99298419999999998</v>
      </c>
      <c r="S3410">
        <v>8.1329349999999995E-2</v>
      </c>
      <c r="T3410">
        <v>-0.18693109999999999</v>
      </c>
      <c r="U3410">
        <v>-2.9979550000000001</v>
      </c>
      <c r="V3410">
        <v>-3.2082640000000003E-2</v>
      </c>
      <c r="W3410">
        <v>-7.8975399999999904E-2</v>
      </c>
      <c r="X3410">
        <v>0.99636020000000003</v>
      </c>
      <c r="Y3410">
        <v>1.675105E-2</v>
      </c>
      <c r="Z3410">
        <v>5.022107E-2</v>
      </c>
      <c r="AA3410">
        <v>0.99859759999999997</v>
      </c>
      <c r="AB3410">
        <v>20</v>
      </c>
      <c r="AC3410">
        <v>0.48289999999997202</v>
      </c>
      <c r="AD3410">
        <v>-1.1208744245</v>
      </c>
      <c r="AE3410">
        <v>-17.866900000000001</v>
      </c>
      <c r="AF3410">
        <v>0.29953807782658398</v>
      </c>
      <c r="AG3410">
        <v>-1.1208744245</v>
      </c>
      <c r="AH3410">
        <v>17.800887943443801</v>
      </c>
      <c r="AI3410">
        <v>93.602496923102194</v>
      </c>
      <c r="AJ3410">
        <v>89.035966736885499</v>
      </c>
      <c r="AK3410">
        <v>17.838657295620902</v>
      </c>
      <c r="AL3410">
        <v>94.529674004378293</v>
      </c>
      <c r="AM3410">
        <v>91.844277764663005</v>
      </c>
      <c r="AN3410">
        <v>1.0000000288692801</v>
      </c>
    </row>
    <row r="3411" spans="1:40" x14ac:dyDescent="0.25">
      <c r="A3411" t="str">
        <f>"20190303154204043"</f>
        <v>20190303154204043</v>
      </c>
      <c r="B3411" t="str">
        <f>"1551598924032531"</f>
        <v>1551598924032531</v>
      </c>
      <c r="C3411" t="s">
        <v>40</v>
      </c>
      <c r="D3411">
        <v>5.979438</v>
      </c>
      <c r="E3411">
        <v>0.51846639999999999</v>
      </c>
      <c r="F3411" t="s">
        <v>41</v>
      </c>
      <c r="G3411">
        <v>-492.4171</v>
      </c>
      <c r="H3411" s="1">
        <v>-2.3608310000000001E-6</v>
      </c>
      <c r="I3411">
        <v>243.59309999999999</v>
      </c>
      <c r="J3411">
        <v>-492.8972</v>
      </c>
      <c r="K3411">
        <v>1.1208819999999999</v>
      </c>
      <c r="L3411">
        <v>261.44979999999998</v>
      </c>
      <c r="M3411">
        <v>4.3772310000000002E-2</v>
      </c>
      <c r="N3411">
        <v>-1.205239E-2</v>
      </c>
      <c r="O3411">
        <v>-0.998969</v>
      </c>
      <c r="P3411">
        <v>7.5986990000000004E-2</v>
      </c>
      <c r="Q3411">
        <v>-9.1194059999999993E-2</v>
      </c>
      <c r="R3411">
        <v>-0.99292990000000003</v>
      </c>
      <c r="S3411">
        <v>8.1024170000000006E-2</v>
      </c>
      <c r="T3411">
        <v>-0.186552</v>
      </c>
      <c r="U3411">
        <v>-2.9979550000000001</v>
      </c>
      <c r="V3411">
        <v>-3.2440289999999997E-2</v>
      </c>
      <c r="W3411">
        <v>-7.9194899999999999E-2</v>
      </c>
      <c r="X3411">
        <v>0.99633119999999997</v>
      </c>
      <c r="Y3411">
        <v>1.679508E-2</v>
      </c>
      <c r="Z3411">
        <v>4.9974909999999997E-2</v>
      </c>
      <c r="AA3411">
        <v>0.99860919999999997</v>
      </c>
      <c r="AB3411">
        <v>20</v>
      </c>
      <c r="AC3411">
        <v>0.48009999999999298</v>
      </c>
      <c r="AD3411">
        <v>-1.120884360831</v>
      </c>
      <c r="AE3411">
        <v>-17.856699999999901</v>
      </c>
      <c r="AF3411">
        <v>0.30086127851973599</v>
      </c>
      <c r="AG3411">
        <v>-1.120884360831</v>
      </c>
      <c r="AH3411">
        <v>17.790551223976699</v>
      </c>
      <c r="AI3411">
        <v>93.604611307196095</v>
      </c>
      <c r="AJ3411">
        <v>89.031146465019603</v>
      </c>
      <c r="AK3411">
        <v>17.828365379703399</v>
      </c>
      <c r="AL3411">
        <v>94.542289926639299</v>
      </c>
      <c r="AM3411">
        <v>91.864877159360006</v>
      </c>
      <c r="AN3411">
        <v>1.0000000323473599</v>
      </c>
    </row>
    <row r="3412" spans="1:40" x14ac:dyDescent="0.25">
      <c r="A3412" t="str">
        <f>"20190303154204054"</f>
        <v>20190303154204054</v>
      </c>
      <c r="B3412" t="str">
        <f>"1551598924043264"</f>
        <v>1551598924043264</v>
      </c>
      <c r="C3412" t="s">
        <v>40</v>
      </c>
      <c r="D3412">
        <v>6.0240989999999996</v>
      </c>
      <c r="E3412">
        <v>0.51847879999999902</v>
      </c>
      <c r="F3412" t="s">
        <v>41</v>
      </c>
      <c r="G3412">
        <v>-492.40859999999998</v>
      </c>
      <c r="H3412" s="1">
        <v>-2.332103E-6</v>
      </c>
      <c r="I3412">
        <v>243.53139999999999</v>
      </c>
      <c r="J3412">
        <v>-492.89249999999998</v>
      </c>
      <c r="K3412">
        <v>1.1208819999999999</v>
      </c>
      <c r="L3412">
        <v>261.34100000000001</v>
      </c>
      <c r="M3412">
        <v>4.373109E-2</v>
      </c>
      <c r="N3412">
        <v>-1.2129579999999999E-2</v>
      </c>
      <c r="O3412">
        <v>-0.99896989999999997</v>
      </c>
      <c r="P3412">
        <v>7.6343069999999999E-2</v>
      </c>
      <c r="Q3412">
        <v>-9.1263330000000004E-2</v>
      </c>
      <c r="R3412">
        <v>-0.99289649999999996</v>
      </c>
      <c r="S3412">
        <v>8.1756590000000004E-2</v>
      </c>
      <c r="T3412">
        <v>-0.18753139999999999</v>
      </c>
      <c r="U3412">
        <v>-2.9978639999999999</v>
      </c>
      <c r="V3412">
        <v>-3.2839859999999998E-2</v>
      </c>
      <c r="W3412">
        <v>-7.9186980000000004E-2</v>
      </c>
      <c r="X3412">
        <v>0.9963187</v>
      </c>
      <c r="Y3412">
        <v>1.6509619999999999E-2</v>
      </c>
      <c r="Z3412">
        <v>5.0224369999999997E-2</v>
      </c>
      <c r="AA3412">
        <v>0.99860150000000003</v>
      </c>
      <c r="AB3412">
        <v>20</v>
      </c>
      <c r="AC3412">
        <v>0.48390000000000499</v>
      </c>
      <c r="AD3412">
        <v>-1.120884332103</v>
      </c>
      <c r="AE3412">
        <v>-17.8096</v>
      </c>
      <c r="AF3412">
        <v>0.29428852317363102</v>
      </c>
      <c r="AG3412">
        <v>-1.120884332103</v>
      </c>
      <c r="AH3412">
        <v>17.743491279209699</v>
      </c>
      <c r="AI3412">
        <v>93.614165842299201</v>
      </c>
      <c r="AJ3412">
        <v>89.049795544359597</v>
      </c>
      <c r="AK3412">
        <v>17.781295515125301</v>
      </c>
      <c r="AL3412">
        <v>94.541834893154999</v>
      </c>
      <c r="AM3412">
        <v>91.887854168877297</v>
      </c>
      <c r="AN3412">
        <v>0.99999999308801502</v>
      </c>
    </row>
    <row r="3413" spans="1:40" x14ac:dyDescent="0.25">
      <c r="A3413" t="str">
        <f>"20190303154204067"</f>
        <v>20190303154204067</v>
      </c>
      <c r="B3413" t="str">
        <f>"1551598924062785"</f>
        <v>1551598924062785</v>
      </c>
      <c r="C3413" t="s">
        <v>40</v>
      </c>
      <c r="D3413">
        <v>5.9925680000000003</v>
      </c>
      <c r="E3413">
        <v>0.51846000000000003</v>
      </c>
      <c r="F3413" t="s">
        <v>41</v>
      </c>
      <c r="G3413">
        <v>-492.39620000000002</v>
      </c>
      <c r="H3413" s="1">
        <v>-2.2942360000000001E-6</v>
      </c>
      <c r="I3413">
        <v>243.45089999999999</v>
      </c>
      <c r="J3413">
        <v>-492.88780000000003</v>
      </c>
      <c r="K3413">
        <v>1.1208769999999999</v>
      </c>
      <c r="L3413">
        <v>261.23329999999999</v>
      </c>
      <c r="M3413">
        <v>4.36847E-2</v>
      </c>
      <c r="N3413">
        <v>-1.2194750000000001E-2</v>
      </c>
      <c r="O3413">
        <v>-0.99897089999999999</v>
      </c>
      <c r="P3413">
        <v>7.7159140000000001E-2</v>
      </c>
      <c r="Q3413">
        <v>-9.1219129999999995E-2</v>
      </c>
      <c r="R3413">
        <v>-0.99283710000000003</v>
      </c>
      <c r="S3413">
        <v>8.3160399999999995E-2</v>
      </c>
      <c r="T3413">
        <v>-0.18781970000000001</v>
      </c>
      <c r="U3413">
        <v>-2.9977420000000001</v>
      </c>
      <c r="V3413">
        <v>-3.3706220000000002E-2</v>
      </c>
      <c r="W3413">
        <v>-7.9077229999999998E-2</v>
      </c>
      <c r="X3413">
        <v>0.99629849999999998</v>
      </c>
      <c r="Y3413">
        <v>1.5995079999999998E-2</v>
      </c>
      <c r="Z3413">
        <v>5.0257549999999998E-2</v>
      </c>
      <c r="AA3413">
        <v>0.99860819999999995</v>
      </c>
      <c r="AB3413">
        <v>20</v>
      </c>
      <c r="AC3413">
        <v>0.49160000000000498</v>
      </c>
      <c r="AD3413">
        <v>-1.120879294236</v>
      </c>
      <c r="AE3413">
        <v>-17.7823999999999</v>
      </c>
      <c r="AF3413">
        <v>0.28461600973909901</v>
      </c>
      <c r="AG3413">
        <v>-1.120879294236</v>
      </c>
      <c r="AH3413">
        <v>17.716561695722501</v>
      </c>
      <c r="AI3413">
        <v>93.619659320425697</v>
      </c>
      <c r="AJ3413">
        <v>89.079624265852701</v>
      </c>
      <c r="AK3413">
        <v>17.754265261722001</v>
      </c>
      <c r="AL3413">
        <v>94.535526826461705</v>
      </c>
      <c r="AM3413">
        <v>91.937660098751905</v>
      </c>
      <c r="AN3413">
        <v>1.0000000093367001</v>
      </c>
    </row>
    <row r="3414" spans="1:40" x14ac:dyDescent="0.25">
      <c r="A3414" t="str">
        <f>"20190303154204082"</f>
        <v>20190303154204082</v>
      </c>
      <c r="B3414" t="str">
        <f>"1551598924072544"</f>
        <v>1551598924072544</v>
      </c>
      <c r="C3414" t="s">
        <v>40</v>
      </c>
      <c r="D3414">
        <v>5.9836179999999999</v>
      </c>
      <c r="E3414">
        <v>0.5184377</v>
      </c>
      <c r="F3414" t="s">
        <v>41</v>
      </c>
      <c r="G3414">
        <v>-492.375</v>
      </c>
      <c r="H3414" s="1">
        <v>-2.2435190000000001E-6</v>
      </c>
      <c r="I3414">
        <v>243.3458</v>
      </c>
      <c r="J3414">
        <v>-492.88240000000002</v>
      </c>
      <c r="K3414">
        <v>1.12087</v>
      </c>
      <c r="L3414">
        <v>261.10950000000003</v>
      </c>
      <c r="M3414">
        <v>4.3626869999999998E-2</v>
      </c>
      <c r="N3414">
        <v>-1.226233E-2</v>
      </c>
      <c r="O3414">
        <v>-0.99897279999999999</v>
      </c>
      <c r="P3414">
        <v>7.7735150000000003E-2</v>
      </c>
      <c r="Q3414">
        <v>-9.0780360000000004E-2</v>
      </c>
      <c r="R3414">
        <v>-0.99283270000000001</v>
      </c>
      <c r="S3414">
        <v>8.59375E-2</v>
      </c>
      <c r="T3414">
        <v>-0.1878445</v>
      </c>
      <c r="U3414">
        <v>-2.9977109999999998</v>
      </c>
      <c r="V3414">
        <v>-3.4342770000000002E-2</v>
      </c>
      <c r="W3414">
        <v>-7.8569650000000005E-2</v>
      </c>
      <c r="X3414">
        <v>0.99631689999999995</v>
      </c>
      <c r="Y3414">
        <v>1.5012869999999999E-2</v>
      </c>
      <c r="Z3414">
        <v>5.019908E-2</v>
      </c>
      <c r="AA3414">
        <v>0.99862640000000003</v>
      </c>
      <c r="AB3414">
        <v>20</v>
      </c>
      <c r="AC3414">
        <v>0.50740000000001795</v>
      </c>
      <c r="AD3414">
        <v>-1.1208722435189999</v>
      </c>
      <c r="AE3414">
        <v>-17.7637</v>
      </c>
      <c r="AF3414">
        <v>0.26705354328938002</v>
      </c>
      <c r="AG3414">
        <v>-1.1208722435189999</v>
      </c>
      <c r="AH3414">
        <v>17.698513519182999</v>
      </c>
      <c r="AI3414">
        <v>93.623372854674201</v>
      </c>
      <c r="AJ3414">
        <v>89.135527408317401</v>
      </c>
      <c r="AK3414">
        <v>17.735981872170999</v>
      </c>
      <c r="AL3414">
        <v>94.506353950782596</v>
      </c>
      <c r="AM3414">
        <v>91.974188151503398</v>
      </c>
      <c r="AN3414">
        <v>0.99999999048900201</v>
      </c>
    </row>
    <row r="3415" spans="1:40" x14ac:dyDescent="0.25">
      <c r="A3415" t="str">
        <f>"20190303154204100"</f>
        <v>20190303154204100</v>
      </c>
      <c r="B3415" t="str">
        <f>"1551598924093041"</f>
        <v>1551598924093041</v>
      </c>
      <c r="C3415" t="s">
        <v>40</v>
      </c>
      <c r="D3415">
        <v>6.0018459999999996</v>
      </c>
      <c r="E3415">
        <v>0.51839760000000001</v>
      </c>
      <c r="F3415" t="s">
        <v>41</v>
      </c>
      <c r="G3415">
        <v>-492.35730000000001</v>
      </c>
      <c r="H3415" s="1">
        <v>-2.1295859999999999E-6</v>
      </c>
      <c r="I3415">
        <v>243.09119999999999</v>
      </c>
      <c r="J3415">
        <v>-492.87560000000002</v>
      </c>
      <c r="K3415">
        <v>1.120857</v>
      </c>
      <c r="L3415">
        <v>260.95100000000002</v>
      </c>
      <c r="M3415">
        <v>4.3540959999999997E-2</v>
      </c>
      <c r="N3415">
        <v>-1.2331740000000001E-2</v>
      </c>
      <c r="O3415">
        <v>-0.99897570000000002</v>
      </c>
      <c r="P3415">
        <v>7.9517160000000003E-2</v>
      </c>
      <c r="Q3415">
        <v>-8.9945259999999999E-2</v>
      </c>
      <c r="R3415">
        <v>-0.99276739999999997</v>
      </c>
      <c r="S3415">
        <v>8.7371829999999998E-2</v>
      </c>
      <c r="T3415">
        <v>-0.18648139999999999</v>
      </c>
      <c r="U3415">
        <v>-2.9977420000000001</v>
      </c>
      <c r="V3415">
        <v>-3.6215200000000003E-2</v>
      </c>
      <c r="W3415">
        <v>-7.7663449999999995E-2</v>
      </c>
      <c r="X3415">
        <v>0.99632169999999998</v>
      </c>
      <c r="Y3415">
        <v>1.444929E-2</v>
      </c>
      <c r="Z3415">
        <v>4.9677819999999998E-2</v>
      </c>
      <c r="AA3415">
        <v>0.99866069999999996</v>
      </c>
      <c r="AB3415">
        <v>20</v>
      </c>
      <c r="AC3415">
        <v>0.51830000000000997</v>
      </c>
      <c r="AD3415">
        <v>-1.120859129586</v>
      </c>
      <c r="AE3415">
        <v>-17.8597999999999</v>
      </c>
      <c r="AF3415">
        <v>0.25886472652520998</v>
      </c>
      <c r="AG3415">
        <v>-1.120859129586</v>
      </c>
      <c r="AH3415">
        <v>17.795397843153701</v>
      </c>
      <c r="AI3415">
        <v>93.603684906284201</v>
      </c>
      <c r="AJ3415">
        <v>89.166592936972506</v>
      </c>
      <c r="AK3415">
        <v>17.832541056482501</v>
      </c>
      <c r="AL3415">
        <v>94.454273141369299</v>
      </c>
      <c r="AM3415">
        <v>92.081722186821906</v>
      </c>
      <c r="AN3415">
        <v>1.00000004103391</v>
      </c>
    </row>
    <row r="3416" spans="1:40" x14ac:dyDescent="0.25">
      <c r="A3416" t="str">
        <f>"20190303154204123"</f>
        <v>20190303154204123</v>
      </c>
      <c r="B3416" t="str">
        <f>"1551598924112559"</f>
        <v>1551598924112559</v>
      </c>
      <c r="C3416" t="s">
        <v>40</v>
      </c>
      <c r="D3416">
        <v>6.0018799999999999</v>
      </c>
      <c r="E3416">
        <v>0.51843850000000002</v>
      </c>
      <c r="F3416" t="s">
        <v>41</v>
      </c>
      <c r="G3416">
        <v>-492.3073</v>
      </c>
      <c r="H3416" s="1">
        <v>-1.9381440000000001E-6</v>
      </c>
      <c r="I3416">
        <v>242.67590000000001</v>
      </c>
      <c r="J3416">
        <v>-492.86700000000002</v>
      </c>
      <c r="K3416">
        <v>1.1208359999999999</v>
      </c>
      <c r="L3416">
        <v>260.75080000000003</v>
      </c>
      <c r="M3416">
        <v>4.3407279999999999E-2</v>
      </c>
      <c r="N3416">
        <v>-1.2389570000000001E-2</v>
      </c>
      <c r="O3416">
        <v>-0.99898089999999995</v>
      </c>
      <c r="P3416">
        <v>8.0129759999999994E-2</v>
      </c>
      <c r="Q3416">
        <v>-8.9168689999999995E-2</v>
      </c>
      <c r="R3416">
        <v>-0.99278829999999996</v>
      </c>
      <c r="S3416">
        <v>9.32312E-2</v>
      </c>
      <c r="T3416">
        <v>-0.1838583</v>
      </c>
      <c r="U3416">
        <v>-2.9977109999999998</v>
      </c>
      <c r="V3416">
        <v>-3.696443E-2</v>
      </c>
      <c r="W3416">
        <v>-7.6826420000000006E-2</v>
      </c>
      <c r="X3416">
        <v>0.99635910000000005</v>
      </c>
      <c r="Y3416">
        <v>1.236452E-2</v>
      </c>
      <c r="Z3416">
        <v>4.8751639999999999E-2</v>
      </c>
      <c r="AA3416">
        <v>0.99873440000000002</v>
      </c>
      <c r="AB3416">
        <v>20</v>
      </c>
      <c r="AC3416">
        <v>0.559699999999963</v>
      </c>
      <c r="AD3416">
        <v>-1.1208379381439999</v>
      </c>
      <c r="AE3416">
        <v>-18.0749</v>
      </c>
      <c r="AF3416">
        <v>0.2246070200219</v>
      </c>
      <c r="AG3416">
        <v>-1.1208379381439999</v>
      </c>
      <c r="AH3416">
        <v>18.0129585338778</v>
      </c>
      <c r="AI3416">
        <v>93.560304697244007</v>
      </c>
      <c r="AJ3416">
        <v>89.285605006416802</v>
      </c>
      <c r="AK3416">
        <v>18.0491939194034</v>
      </c>
      <c r="AL3416">
        <v>94.406171041163006</v>
      </c>
      <c r="AM3416">
        <v>92.124670669837599</v>
      </c>
      <c r="AN3416">
        <v>1.0000000620240199</v>
      </c>
    </row>
    <row r="3417" spans="1:40" x14ac:dyDescent="0.25">
      <c r="A3417" t="str">
        <f>"20190303154204143"</f>
        <v>20190303154204143</v>
      </c>
      <c r="B3417" t="str">
        <f>"1551598924133055"</f>
        <v>1551598924133055</v>
      </c>
      <c r="C3417" t="s">
        <v>40</v>
      </c>
      <c r="D3417">
        <v>6.015415</v>
      </c>
      <c r="E3417">
        <v>0.53095199999999998</v>
      </c>
      <c r="F3417" t="s">
        <v>41</v>
      </c>
      <c r="G3417">
        <v>-492.28190000000001</v>
      </c>
      <c r="H3417" s="1">
        <v>-1.74405999999999E-6</v>
      </c>
      <c r="I3417">
        <v>242.23929999999999</v>
      </c>
      <c r="J3417">
        <v>-492.85930000000002</v>
      </c>
      <c r="K3417">
        <v>1.120819</v>
      </c>
      <c r="L3417">
        <v>260.56950000000001</v>
      </c>
      <c r="M3417">
        <v>4.3268130000000002E-2</v>
      </c>
      <c r="N3417">
        <v>-1.2421339999999999E-2</v>
      </c>
      <c r="O3417">
        <v>-0.99898620000000005</v>
      </c>
      <c r="P3417">
        <v>7.9825170000000001E-2</v>
      </c>
      <c r="Q3417">
        <v>-8.8677640000000002E-2</v>
      </c>
      <c r="R3417">
        <v>-0.99285659999999998</v>
      </c>
      <c r="S3417">
        <v>9.4757079999999994E-2</v>
      </c>
      <c r="T3417">
        <v>-0.18151519999999999</v>
      </c>
      <c r="U3417">
        <v>-2.9978639999999999</v>
      </c>
      <c r="V3417">
        <v>-3.679963E-2</v>
      </c>
      <c r="W3417">
        <v>-7.6301250000000001E-2</v>
      </c>
      <c r="X3417">
        <v>0.99640550000000006</v>
      </c>
      <c r="Y3417">
        <v>1.171811E-2</v>
      </c>
      <c r="Z3417">
        <v>4.7940780000000002E-2</v>
      </c>
      <c r="AA3417">
        <v>0.99878140000000004</v>
      </c>
      <c r="AB3417">
        <v>20</v>
      </c>
      <c r="AC3417">
        <v>0.57740000000001102</v>
      </c>
      <c r="AD3417">
        <v>-1.12082074406</v>
      </c>
      <c r="AE3417">
        <v>-18.330200000000001</v>
      </c>
      <c r="AF3417">
        <v>0.21551058650345101</v>
      </c>
      <c r="AG3417">
        <v>-1.12082074406</v>
      </c>
      <c r="AH3417">
        <v>18.269775768331499</v>
      </c>
      <c r="AI3417">
        <v>93.510358604772193</v>
      </c>
      <c r="AJ3417">
        <v>89.324169353061606</v>
      </c>
      <c r="AK3417">
        <v>18.305392390722599</v>
      </c>
      <c r="AL3417">
        <v>94.375992675701397</v>
      </c>
      <c r="AM3417">
        <v>92.115108378774394</v>
      </c>
      <c r="AN3417">
        <v>1.0000000069749699</v>
      </c>
    </row>
    <row r="3418" spans="1:40" x14ac:dyDescent="0.25">
      <c r="A3418" t="str">
        <f>"20190303154204157"</f>
        <v>20190303154204157</v>
      </c>
      <c r="B3418" t="str">
        <f>"1551598924153552"</f>
        <v>1551598924153552</v>
      </c>
      <c r="C3418" t="s">
        <v>40</v>
      </c>
      <c r="D3418">
        <v>5.9896349999999998</v>
      </c>
      <c r="E3418">
        <v>0.54733509999999996</v>
      </c>
      <c r="F3418" t="s">
        <v>41</v>
      </c>
      <c r="G3418">
        <v>-492.89339999999999</v>
      </c>
      <c r="H3418" s="1">
        <v>-9.2006589999999996E-7</v>
      </c>
      <c r="I3418">
        <v>239.9392</v>
      </c>
      <c r="J3418">
        <v>-492.85430000000002</v>
      </c>
      <c r="K3418">
        <v>1.120806</v>
      </c>
      <c r="L3418">
        <v>260.45249999999999</v>
      </c>
      <c r="M3418">
        <v>4.3172330000000002E-2</v>
      </c>
      <c r="N3418">
        <v>-1.2434270000000001E-2</v>
      </c>
      <c r="O3418">
        <v>-0.9989905</v>
      </c>
      <c r="P3418">
        <v>7.9898659999999996E-2</v>
      </c>
      <c r="Q3418">
        <v>-8.8613919999999999E-2</v>
      </c>
      <c r="R3418">
        <v>-0.99285670000000004</v>
      </c>
      <c r="S3418">
        <v>-4.9743649999999997E-3</v>
      </c>
      <c r="T3418">
        <v>-0.1633878</v>
      </c>
      <c r="U3418">
        <v>-3.0073850000000002</v>
      </c>
      <c r="V3418">
        <v>-3.6970900000000001E-2</v>
      </c>
      <c r="W3418">
        <v>-7.62235E-2</v>
      </c>
      <c r="X3418">
        <v>0.99640510000000004</v>
      </c>
      <c r="Y3418">
        <v>4.4808029999999999E-2</v>
      </c>
      <c r="Z3418">
        <v>4.1725129999999999E-2</v>
      </c>
      <c r="AA3418">
        <v>0.99812389999999995</v>
      </c>
      <c r="AB3418">
        <v>20</v>
      </c>
      <c r="AC3418">
        <v>-3.9099999999962103E-2</v>
      </c>
      <c r="AD3418">
        <v>-1.1208069200659001</v>
      </c>
      <c r="AE3418">
        <v>-20.513299999999902</v>
      </c>
      <c r="AF3418">
        <v>0.9219863415899</v>
      </c>
      <c r="AG3418">
        <v>-1.1208069200659001</v>
      </c>
      <c r="AH3418">
        <v>20.431488846063701</v>
      </c>
      <c r="AI3418">
        <v>93.136732615659994</v>
      </c>
      <c r="AJ3418">
        <v>87.416237592121604</v>
      </c>
      <c r="AK3418">
        <v>20.482968618659001</v>
      </c>
      <c r="AL3418">
        <v>94.371524964327506</v>
      </c>
      <c r="AM3418">
        <v>92.124944202000293</v>
      </c>
      <c r="AN3418">
        <v>0.999999996352535</v>
      </c>
    </row>
    <row r="3419" spans="1:40" x14ac:dyDescent="0.25">
      <c r="A3419" t="str">
        <f>"20190303154204199"</f>
        <v>20190303154204199</v>
      </c>
      <c r="B3419" t="str">
        <f>"1551598924192591"</f>
        <v>1551598924192591</v>
      </c>
      <c r="C3419" t="s">
        <v>40</v>
      </c>
      <c r="D3419">
        <v>6.7824899999999904</v>
      </c>
      <c r="E3419">
        <v>0.54733509999999996</v>
      </c>
      <c r="F3419" t="s">
        <v>54</v>
      </c>
      <c r="G3419">
        <v>0</v>
      </c>
      <c r="H3419">
        <v>0</v>
      </c>
      <c r="I3419">
        <v>0</v>
      </c>
      <c r="J3419">
        <v>-492.83870000000002</v>
      </c>
      <c r="K3419">
        <v>1.1207739999999999</v>
      </c>
      <c r="L3419">
        <v>260.08210000000003</v>
      </c>
      <c r="M3419">
        <v>4.284168E-2</v>
      </c>
      <c r="N3419">
        <v>-1.241895E-2</v>
      </c>
      <c r="O3419">
        <v>-0.99900480000000003</v>
      </c>
      <c r="P3419">
        <v>7.8430700000000006E-2</v>
      </c>
      <c r="Q3419">
        <v>-8.7913889999999995E-2</v>
      </c>
      <c r="R3419">
        <v>-0.99303600000000003</v>
      </c>
      <c r="S3419">
        <v>-0.13247679999999901</v>
      </c>
      <c r="T3419">
        <v>2.9951330000000001E-3</v>
      </c>
      <c r="U3419">
        <v>-3.0325319999999998</v>
      </c>
      <c r="V3419">
        <v>-3.5830559999999997E-2</v>
      </c>
      <c r="W3419">
        <v>-7.5535409999999997E-2</v>
      </c>
      <c r="X3419">
        <v>0.99649920000000003</v>
      </c>
      <c r="Y3419">
        <v>8.6397630000000003E-2</v>
      </c>
      <c r="Z3419">
        <v>-1.3414479999999999E-2</v>
      </c>
      <c r="AA3419">
        <v>0.99617040000000001</v>
      </c>
      <c r="AB3419">
        <v>20</v>
      </c>
      <c r="AC3419">
        <v>-0.13247679999999901</v>
      </c>
      <c r="AD3419">
        <v>2.9951330000000001E-3</v>
      </c>
      <c r="AE3419">
        <v>-3.0325319999999998</v>
      </c>
      <c r="AF3419">
        <v>0.26228366589916302</v>
      </c>
      <c r="AG3419">
        <v>2.9951330000000001E-3</v>
      </c>
      <c r="AH3419">
        <v>3.0240684136685001</v>
      </c>
      <c r="AI3419">
        <v>89.943464709802299</v>
      </c>
      <c r="AJ3419">
        <v>85.043024037048994</v>
      </c>
      <c r="AK3419">
        <v>3.0354227815522998</v>
      </c>
      <c r="AL3419">
        <v>94.331986124979096</v>
      </c>
      <c r="AM3419">
        <v>92.059264900907806</v>
      </c>
      <c r="AN3419">
        <v>1.0000000413972101</v>
      </c>
    </row>
    <row r="3420" spans="1:40" x14ac:dyDescent="0.25">
      <c r="A3420" t="str">
        <f>"20190303154204212"</f>
        <v>20190303154204212</v>
      </c>
      <c r="B3420" t="str">
        <f>"1551598924203328"</f>
        <v>1551598924203328</v>
      </c>
      <c r="C3420" t="s">
        <v>40</v>
      </c>
      <c r="D3420">
        <v>5.0742969999999996</v>
      </c>
      <c r="E3420">
        <v>0.54733509999999996</v>
      </c>
      <c r="F3420" t="s">
        <v>54</v>
      </c>
      <c r="G3420">
        <v>0</v>
      </c>
      <c r="H3420">
        <v>0</v>
      </c>
      <c r="I3420">
        <v>0</v>
      </c>
      <c r="J3420">
        <v>-492.834</v>
      </c>
      <c r="K3420">
        <v>1.120773</v>
      </c>
      <c r="L3420">
        <v>259.97140000000002</v>
      </c>
      <c r="M3420">
        <v>4.2742460000000003E-2</v>
      </c>
      <c r="N3420">
        <v>-1.240027E-2</v>
      </c>
      <c r="O3420">
        <v>-0.99900940000000005</v>
      </c>
      <c r="P3420">
        <v>7.811411E-2</v>
      </c>
      <c r="Q3420">
        <v>-8.7384340000000005E-2</v>
      </c>
      <c r="R3420">
        <v>-0.99310770000000004</v>
      </c>
      <c r="S3420">
        <v>-0.13693239999999901</v>
      </c>
      <c r="T3420">
        <v>5.8596129999999996E-3</v>
      </c>
      <c r="U3420">
        <v>-3.03241</v>
      </c>
      <c r="V3420">
        <v>-3.5610500000000003E-2</v>
      </c>
      <c r="W3420">
        <v>-7.5023640000000003E-2</v>
      </c>
      <c r="X3420">
        <v>0.99654569999999998</v>
      </c>
      <c r="Y3420">
        <v>8.776101E-2</v>
      </c>
      <c r="Z3420">
        <v>-1.4337040000000001E-2</v>
      </c>
      <c r="AA3420">
        <v>0.99603839999999999</v>
      </c>
      <c r="AB3420">
        <v>20</v>
      </c>
      <c r="AC3420">
        <v>-0.13693239999999901</v>
      </c>
      <c r="AD3420">
        <v>5.8596129999999996E-3</v>
      </c>
      <c r="AE3420">
        <v>-3.03241</v>
      </c>
      <c r="AF3420">
        <v>0.26642884784027498</v>
      </c>
      <c r="AG3420">
        <v>5.8596129999999996E-3</v>
      </c>
      <c r="AH3420">
        <v>3.0237737828023801</v>
      </c>
      <c r="AI3420">
        <v>89.889398149618103</v>
      </c>
      <c r="AJ3420">
        <v>84.964594535210693</v>
      </c>
      <c r="AK3420">
        <v>3.0354944499354701</v>
      </c>
      <c r="AL3420">
        <v>94.302580632897602</v>
      </c>
      <c r="AM3420">
        <v>92.046532917087106</v>
      </c>
      <c r="AN3420">
        <v>0.99999999322879396</v>
      </c>
    </row>
    <row r="3421" spans="1:40" x14ac:dyDescent="0.25">
      <c r="A3421" t="str">
        <f>"20190303154204239"</f>
        <v>20190303154204239</v>
      </c>
      <c r="B3421" t="str">
        <f>"1551598924232608"</f>
        <v>1551598924232608</v>
      </c>
      <c r="C3421" t="s">
        <v>40</v>
      </c>
      <c r="D3421">
        <v>5.0414260000000004</v>
      </c>
      <c r="E3421">
        <v>0.54733509999999996</v>
      </c>
      <c r="F3421" t="s">
        <v>54</v>
      </c>
      <c r="G3421">
        <v>0</v>
      </c>
      <c r="H3421">
        <v>0</v>
      </c>
      <c r="I3421">
        <v>0</v>
      </c>
      <c r="J3421">
        <v>-492.82409999999999</v>
      </c>
      <c r="K3421">
        <v>1.1207640000000001</v>
      </c>
      <c r="L3421">
        <v>259.73329999999999</v>
      </c>
      <c r="M3421">
        <v>4.2532889999999997E-2</v>
      </c>
      <c r="N3421">
        <v>-1.234266E-2</v>
      </c>
      <c r="O3421">
        <v>-0.99901890000000004</v>
      </c>
      <c r="P3421">
        <v>7.6926530000000007E-2</v>
      </c>
      <c r="Q3421">
        <v>-8.648372E-2</v>
      </c>
      <c r="R3421">
        <v>-0.99327929999999998</v>
      </c>
      <c r="S3421">
        <v>-0.13748170000000001</v>
      </c>
      <c r="T3421">
        <v>7.5085159999999998E-3</v>
      </c>
      <c r="U3421">
        <v>-3.0323180000000001</v>
      </c>
      <c r="V3421">
        <v>-3.4625709999999997E-2</v>
      </c>
      <c r="W3421">
        <v>-7.4179460000000003E-2</v>
      </c>
      <c r="X3421">
        <v>0.99664359999999996</v>
      </c>
      <c r="Y3421">
        <v>8.7733459999999999E-2</v>
      </c>
      <c r="Z3421">
        <v>-1.482109E-2</v>
      </c>
      <c r="AA3421">
        <v>0.99603370000000002</v>
      </c>
      <c r="AB3421">
        <v>20</v>
      </c>
      <c r="AC3421">
        <v>-0.13748170000000001</v>
      </c>
      <c r="AD3421">
        <v>7.5085159999999998E-3</v>
      </c>
      <c r="AE3421">
        <v>-3.0323180000000001</v>
      </c>
      <c r="AF3421">
        <v>0.26633870300093099</v>
      </c>
      <c r="AG3421">
        <v>7.5085159999999998E-3</v>
      </c>
      <c r="AH3421">
        <v>3.0237070975298699</v>
      </c>
      <c r="AI3421">
        <v>89.858271281875105</v>
      </c>
      <c r="AJ3421">
        <v>84.966179040517602</v>
      </c>
      <c r="AK3421">
        <v>3.03542374211266</v>
      </c>
      <c r="AL3421">
        <v>94.254077498711993</v>
      </c>
      <c r="AM3421">
        <v>91.9897879365151</v>
      </c>
      <c r="AN3421">
        <v>0.99999999874992695</v>
      </c>
    </row>
    <row r="3422" spans="1:40" x14ac:dyDescent="0.25">
      <c r="A3422" t="str">
        <f>"20190303154204257"</f>
        <v>20190303154204257</v>
      </c>
      <c r="B3422" t="str">
        <f>"1551598924253104"</f>
        <v>1551598924253104</v>
      </c>
      <c r="C3422" t="s">
        <v>40</v>
      </c>
      <c r="D3422">
        <v>6.4098309999999996</v>
      </c>
      <c r="E3422">
        <v>0.59798459999999998</v>
      </c>
      <c r="F3422" t="s">
        <v>54</v>
      </c>
      <c r="G3422">
        <v>0</v>
      </c>
      <c r="H3422">
        <v>0</v>
      </c>
      <c r="I3422">
        <v>0</v>
      </c>
      <c r="J3422">
        <v>-492.81779999999998</v>
      </c>
      <c r="K3422">
        <v>1.12076</v>
      </c>
      <c r="L3422">
        <v>259.58240000000001</v>
      </c>
      <c r="M3422">
        <v>4.2403820000000002E-2</v>
      </c>
      <c r="N3422">
        <v>-1.22921E-2</v>
      </c>
      <c r="O3422">
        <v>-0.9990251</v>
      </c>
      <c r="P3422">
        <v>7.5973319999999997E-2</v>
      </c>
      <c r="Q3422">
        <v>-8.6780499999999997E-2</v>
      </c>
      <c r="R3422">
        <v>-0.99332640000000005</v>
      </c>
      <c r="S3422">
        <v>-0.14154050000000001</v>
      </c>
      <c r="T3422">
        <v>1.0561589999999999E-2</v>
      </c>
      <c r="U3422">
        <v>-3.0321660000000001</v>
      </c>
      <c r="V3422">
        <v>-3.3799339999999997E-2</v>
      </c>
      <c r="W3422">
        <v>-7.4527029999999994E-2</v>
      </c>
      <c r="X3422">
        <v>0.99664600000000003</v>
      </c>
      <c r="Y3422">
        <v>8.8937249999999995E-2</v>
      </c>
      <c r="Z3422">
        <v>-1.5773599999999999E-2</v>
      </c>
      <c r="AA3422">
        <v>0.99591229999999997</v>
      </c>
      <c r="AB3422">
        <v>20</v>
      </c>
      <c r="AC3422">
        <v>-0.14154050000000001</v>
      </c>
      <c r="AD3422">
        <v>1.0561589999999999E-2</v>
      </c>
      <c r="AE3422">
        <v>-3.0321660000000001</v>
      </c>
      <c r="AF3422">
        <v>0.26999501882728799</v>
      </c>
      <c r="AG3422">
        <v>1.0561589999999999E-2</v>
      </c>
      <c r="AH3422">
        <v>3.0233994053365101</v>
      </c>
      <c r="AI3422">
        <v>89.800643766034696</v>
      </c>
      <c r="AJ3422">
        <v>84.896920210112299</v>
      </c>
      <c r="AK3422">
        <v>3.0354493607312998</v>
      </c>
      <c r="AL3422">
        <v>94.274047229081702</v>
      </c>
      <c r="AM3422">
        <v>91.942332215836402</v>
      </c>
      <c r="AN3422">
        <v>0.99999996145052705</v>
      </c>
    </row>
    <row r="3423" spans="1:40" x14ac:dyDescent="0.25">
      <c r="A3423" t="str">
        <f>"20190303154204313"</f>
        <v>20190303154204313</v>
      </c>
      <c r="B3423" t="str">
        <f>"1551598924302880"</f>
        <v>1551598924302880</v>
      </c>
      <c r="C3423" t="s">
        <v>40</v>
      </c>
      <c r="D3423">
        <v>5.9693750000000003</v>
      </c>
      <c r="E3423">
        <v>0.53910409999999997</v>
      </c>
      <c r="F3423" t="s">
        <v>54</v>
      </c>
      <c r="G3423">
        <v>0</v>
      </c>
      <c r="H3423">
        <v>0</v>
      </c>
      <c r="I3423">
        <v>0</v>
      </c>
      <c r="J3423">
        <v>-492.79750000000001</v>
      </c>
      <c r="K3423">
        <v>1.1207229999999999</v>
      </c>
      <c r="L3423">
        <v>259.09140000000002</v>
      </c>
      <c r="M3423">
        <v>4.2005460000000001E-2</v>
      </c>
      <c r="N3423">
        <v>-1.202633E-2</v>
      </c>
      <c r="O3423">
        <v>-0.99904510000000002</v>
      </c>
      <c r="P3423">
        <v>6.9653380000000001E-2</v>
      </c>
      <c r="Q3423">
        <v>-8.8928199999999999E-2</v>
      </c>
      <c r="R3423">
        <v>-0.99359960000000003</v>
      </c>
      <c r="S3423">
        <v>-0.52081299999999997</v>
      </c>
      <c r="T3423">
        <v>1.6071329999999999</v>
      </c>
      <c r="U3423">
        <v>-3.2004090000000001</v>
      </c>
      <c r="V3423">
        <v>-2.7870280000000001E-2</v>
      </c>
      <c r="W3423">
        <v>-7.6941330000000002E-2</v>
      </c>
      <c r="X3423">
        <v>0.99664600000000003</v>
      </c>
      <c r="Y3423">
        <v>0.1850299</v>
      </c>
      <c r="Z3423">
        <v>-0.45266509999999999</v>
      </c>
      <c r="AA3423">
        <v>0.87227189999999999</v>
      </c>
      <c r="AB3423">
        <v>20</v>
      </c>
      <c r="AC3423">
        <v>-0.52081299999999997</v>
      </c>
      <c r="AD3423">
        <v>1.6071329999999999</v>
      </c>
      <c r="AE3423">
        <v>-3.2004090000000001</v>
      </c>
      <c r="AF3423">
        <v>0.52566156307985401</v>
      </c>
      <c r="AG3423">
        <v>1.6071329999999999</v>
      </c>
      <c r="AH3423">
        <v>2.5494078810110099</v>
      </c>
      <c r="AI3423">
        <v>58.308529922961199</v>
      </c>
      <c r="AJ3423">
        <v>78.349475207420198</v>
      </c>
      <c r="AK3423">
        <v>3.0591954992039301</v>
      </c>
      <c r="AL3423">
        <v>94.412774784869896</v>
      </c>
      <c r="AM3423">
        <v>91.601805830073204</v>
      </c>
      <c r="AN3423">
        <v>0.99999998504272303</v>
      </c>
    </row>
    <row r="3424" spans="1:40" x14ac:dyDescent="0.25">
      <c r="A3424" t="str">
        <f>"20190303154204334"</f>
        <v>20190303154204334</v>
      </c>
      <c r="B3424" t="str">
        <f>"1551598924323376"</f>
        <v>1551598924323376</v>
      </c>
      <c r="C3424" t="s">
        <v>40</v>
      </c>
      <c r="D3424">
        <v>6.1848419999999997</v>
      </c>
      <c r="E3424">
        <v>0.53540739999999998</v>
      </c>
      <c r="F3424" t="s">
        <v>46</v>
      </c>
      <c r="G3424">
        <v>-493.85210000000001</v>
      </c>
      <c r="H3424" s="1">
        <v>5.0487609999999998E-6</v>
      </c>
      <c r="I3424">
        <v>227.2902</v>
      </c>
      <c r="J3424">
        <v>-492.78989999999999</v>
      </c>
      <c r="K3424">
        <v>1.1207009999999999</v>
      </c>
      <c r="L3424">
        <v>258.90660000000003</v>
      </c>
      <c r="M3424">
        <v>4.1859960000000002E-2</v>
      </c>
      <c r="N3424">
        <v>-1.188995E-2</v>
      </c>
      <c r="O3424">
        <v>-0.99905299999999997</v>
      </c>
      <c r="P3424">
        <v>6.7377080000000006E-2</v>
      </c>
      <c r="Q3424">
        <v>-8.9425820000000003E-2</v>
      </c>
      <c r="R3424">
        <v>-0.99371229999999999</v>
      </c>
      <c r="S3424">
        <v>-0.1000366</v>
      </c>
      <c r="T3424">
        <v>-0.1063156</v>
      </c>
      <c r="U3424">
        <v>-3.016785</v>
      </c>
      <c r="V3424">
        <v>-2.5736559999999999E-2</v>
      </c>
      <c r="W3424">
        <v>-7.757501E-2</v>
      </c>
      <c r="X3424">
        <v>0.99665429999999999</v>
      </c>
      <c r="Y3424">
        <v>7.4922680000000005E-2</v>
      </c>
      <c r="Z3424">
        <v>2.322074E-2</v>
      </c>
      <c r="AA3424">
        <v>0.996919</v>
      </c>
      <c r="AB3424">
        <v>20</v>
      </c>
      <c r="AC3424">
        <v>-1.06220000000001</v>
      </c>
      <c r="AD3424">
        <v>-1.120695951239</v>
      </c>
      <c r="AE3424">
        <v>-31.616399999999999</v>
      </c>
      <c r="AF3424">
        <v>2.3818339698993798</v>
      </c>
      <c r="AG3424">
        <v>-1.120695951239</v>
      </c>
      <c r="AH3424">
        <v>31.5046772223162</v>
      </c>
      <c r="AI3424">
        <v>92.031494879377107</v>
      </c>
      <c r="AJ3424">
        <v>85.6765176916591</v>
      </c>
      <c r="AK3424">
        <v>31.6144552279114</v>
      </c>
      <c r="AL3424">
        <v>94.449190648599597</v>
      </c>
      <c r="AM3424">
        <v>91.479217650845101</v>
      </c>
      <c r="AN3424">
        <v>1.0000000232028099</v>
      </c>
    </row>
    <row r="3425" spans="1:40" x14ac:dyDescent="0.25">
      <c r="A3425" t="str">
        <f>"20190303154204347"</f>
        <v>20190303154204347</v>
      </c>
      <c r="B3425" t="str">
        <f>"1551598924342895"</f>
        <v>1551598924342895</v>
      </c>
      <c r="C3425" t="s">
        <v>40</v>
      </c>
      <c r="D3425">
        <v>5.9647360000000003</v>
      </c>
      <c r="E3425">
        <v>0.53239259999999999</v>
      </c>
      <c r="F3425" t="s">
        <v>46</v>
      </c>
      <c r="G3425">
        <v>-493.69810000000001</v>
      </c>
      <c r="H3425" s="1">
        <v>3.9563450000000003E-6</v>
      </c>
      <c r="I3425">
        <v>223.26740000000001</v>
      </c>
      <c r="J3425">
        <v>-492.78500000000003</v>
      </c>
      <c r="K3425">
        <v>1.120684</v>
      </c>
      <c r="L3425">
        <v>258.78629999999998</v>
      </c>
      <c r="M3425">
        <v>4.1759209999999998E-2</v>
      </c>
      <c r="N3425">
        <v>-1.1787260000000001E-2</v>
      </c>
      <c r="O3425">
        <v>-0.99905820000000001</v>
      </c>
      <c r="P3425">
        <v>6.6231139999999994E-2</v>
      </c>
      <c r="Q3425">
        <v>-8.9214589999999996E-2</v>
      </c>
      <c r="R3425">
        <v>-0.99380789999999997</v>
      </c>
      <c r="S3425">
        <v>-7.6843259999999997E-2</v>
      </c>
      <c r="T3425">
        <v>-9.4829200000000002E-2</v>
      </c>
      <c r="U3425">
        <v>-3.0156559999999999</v>
      </c>
      <c r="V3425">
        <v>-2.4689320000000001E-2</v>
      </c>
      <c r="W3425">
        <v>-7.7465569999999997E-2</v>
      </c>
      <c r="X3425">
        <v>0.9966893</v>
      </c>
      <c r="Y3425">
        <v>6.7177500000000001E-2</v>
      </c>
      <c r="Z3425">
        <v>1.9558499999999999E-2</v>
      </c>
      <c r="AA3425">
        <v>0.99754929999999997</v>
      </c>
      <c r="AB3425">
        <v>20</v>
      </c>
      <c r="AC3425">
        <v>-0.91309999999998503</v>
      </c>
      <c r="AD3425">
        <v>-1.120680043655</v>
      </c>
      <c r="AE3425">
        <v>-35.518899999999903</v>
      </c>
      <c r="AF3425">
        <v>2.39326666778982</v>
      </c>
      <c r="AG3425">
        <v>-1.120680043655</v>
      </c>
      <c r="AH3425">
        <v>35.414547566719698</v>
      </c>
      <c r="AI3425">
        <v>91.808376702357506</v>
      </c>
      <c r="AJ3425">
        <v>86.1339077819528</v>
      </c>
      <c r="AK3425">
        <v>35.513009284751597</v>
      </c>
      <c r="AL3425">
        <v>94.442901291655701</v>
      </c>
      <c r="AM3425">
        <v>91.419002492617594</v>
      </c>
      <c r="AN3425">
        <v>1.0000000188959799</v>
      </c>
    </row>
    <row r="3426" spans="1:40" x14ac:dyDescent="0.25">
      <c r="A3426" t="str">
        <f>"20190303154204361"</f>
        <v>20190303154204361</v>
      </c>
      <c r="B3426" t="str">
        <f>"1551598924352656"</f>
        <v>1551598924352656</v>
      </c>
      <c r="C3426" t="s">
        <v>40</v>
      </c>
      <c r="D3426">
        <v>5.9829639999999999</v>
      </c>
      <c r="E3426">
        <v>0.53130699999999997</v>
      </c>
      <c r="F3426" t="s">
        <v>41</v>
      </c>
      <c r="G3426">
        <v>-493.32819999999998</v>
      </c>
      <c r="H3426" s="1">
        <v>-1.1109710000000001E-6</v>
      </c>
      <c r="I3426">
        <v>230.11449999999999</v>
      </c>
      <c r="J3426">
        <v>-492.78</v>
      </c>
      <c r="K3426">
        <v>1.120662</v>
      </c>
      <c r="L3426">
        <v>258.66520000000003</v>
      </c>
      <c r="M3426">
        <v>4.1651250000000001E-2</v>
      </c>
      <c r="N3426">
        <v>-1.1678910000000001E-2</v>
      </c>
      <c r="O3426">
        <v>-0.99906419999999996</v>
      </c>
      <c r="P3426">
        <v>6.5131019999999998E-2</v>
      </c>
      <c r="Q3426">
        <v>-8.8602780000000006E-2</v>
      </c>
      <c r="R3426">
        <v>-0.99393560000000003</v>
      </c>
      <c r="S3426">
        <v>-5.706787E-2</v>
      </c>
      <c r="T3426">
        <v>-0.1177267</v>
      </c>
      <c r="U3426">
        <v>-3.0119319999999998</v>
      </c>
      <c r="V3426">
        <v>-2.369315E-2</v>
      </c>
      <c r="W3426">
        <v>-7.6960730000000005E-2</v>
      </c>
      <c r="X3426">
        <v>0.99675259999999999</v>
      </c>
      <c r="Y3426">
        <v>6.0548980000000002E-2</v>
      </c>
      <c r="Z3426">
        <v>2.7289509999999999E-2</v>
      </c>
      <c r="AA3426">
        <v>0.99779209999999996</v>
      </c>
      <c r="AB3426">
        <v>20</v>
      </c>
      <c r="AC3426">
        <v>-0.54820000000000801</v>
      </c>
      <c r="AD3426">
        <v>-1.1206631109709999</v>
      </c>
      <c r="AE3426">
        <v>-28.550699999999999</v>
      </c>
      <c r="AF3426">
        <v>1.7343063153373099</v>
      </c>
      <c r="AG3426">
        <v>-1.1206631109709999</v>
      </c>
      <c r="AH3426">
        <v>28.459254988424998</v>
      </c>
      <c r="AI3426">
        <v>92.250845917478799</v>
      </c>
      <c r="AJ3426">
        <v>86.512709200874397</v>
      </c>
      <c r="AK3426">
        <v>28.5340655830868</v>
      </c>
      <c r="AL3426">
        <v>94.413889418939505</v>
      </c>
      <c r="AM3426">
        <v>91.361683838125003</v>
      </c>
      <c r="AN3426">
        <v>1.0000000324628999</v>
      </c>
    </row>
    <row r="3427" spans="1:40" x14ac:dyDescent="0.25">
      <c r="A3427" t="str">
        <f>"20190303154204378"</f>
        <v>20190303154204378</v>
      </c>
      <c r="B3427" t="str">
        <f>"1551598924373152"</f>
        <v>1551598924373152</v>
      </c>
      <c r="C3427" t="s">
        <v>40</v>
      </c>
      <c r="D3427">
        <v>5.9548709999999998</v>
      </c>
      <c r="E3427">
        <v>0.529165</v>
      </c>
      <c r="F3427" t="s">
        <v>41</v>
      </c>
      <c r="G3427">
        <v>-493.25139999999999</v>
      </c>
      <c r="H3427" s="1">
        <v>-1.5195100000000001E-6</v>
      </c>
      <c r="I3427">
        <v>231.11449999999999</v>
      </c>
      <c r="J3427">
        <v>-492.77409999999998</v>
      </c>
      <c r="K3427">
        <v>1.120635</v>
      </c>
      <c r="L3427">
        <v>258.51920000000001</v>
      </c>
      <c r="M3427">
        <v>4.150802E-2</v>
      </c>
      <c r="N3427">
        <v>-1.1542790000000001E-2</v>
      </c>
      <c r="O3427">
        <v>-0.99907140000000005</v>
      </c>
      <c r="P3427">
        <v>6.3285800000000003E-2</v>
      </c>
      <c r="Q3427">
        <v>-8.8005650000000005E-2</v>
      </c>
      <c r="R3427">
        <v>-0.99410750000000003</v>
      </c>
      <c r="S3427">
        <v>-5.1513669999999998E-2</v>
      </c>
      <c r="T3427">
        <v>-0.1224663</v>
      </c>
      <c r="U3427">
        <v>-3.010742</v>
      </c>
      <c r="V3427">
        <v>-2.1987610000000001E-2</v>
      </c>
      <c r="W3427">
        <v>-7.6498079999999996E-2</v>
      </c>
      <c r="X3427">
        <v>0.99682720000000002</v>
      </c>
      <c r="Y3427">
        <v>5.8572539999999999E-2</v>
      </c>
      <c r="Z3427">
        <v>2.9012409999999999E-2</v>
      </c>
      <c r="AA3427">
        <v>0.99786149999999996</v>
      </c>
      <c r="AB3427">
        <v>20</v>
      </c>
      <c r="AC3427">
        <v>-0.47730000000001299</v>
      </c>
      <c r="AD3427">
        <v>-1.1206365195100001</v>
      </c>
      <c r="AE3427">
        <v>-27.404699999999998</v>
      </c>
      <c r="AF3427">
        <v>1.6117849670029101</v>
      </c>
      <c r="AG3427">
        <v>-1.1206365195100001</v>
      </c>
      <c r="AH3427">
        <v>27.315603198800201</v>
      </c>
      <c r="AI3427">
        <v>92.345196551004705</v>
      </c>
      <c r="AJ3427">
        <v>86.623119691494296</v>
      </c>
      <c r="AK3427">
        <v>27.386052200034602</v>
      </c>
      <c r="AL3427">
        <v>94.387303560698697</v>
      </c>
      <c r="AM3427">
        <v>91.263602158274793</v>
      </c>
      <c r="AN3427">
        <v>0.99999993894851702</v>
      </c>
    </row>
    <row r="3428" spans="1:40" x14ac:dyDescent="0.25">
      <c r="A3428" t="str">
        <f>"20190303154204389"</f>
        <v>20190303154204389</v>
      </c>
      <c r="B3428" t="str">
        <f>"1551598924382912"</f>
        <v>1551598924382912</v>
      </c>
      <c r="C3428" t="s">
        <v>40</v>
      </c>
      <c r="D3428">
        <v>5.9638249999999999</v>
      </c>
      <c r="E3428">
        <v>0.5285301</v>
      </c>
      <c r="F3428" t="s">
        <v>41</v>
      </c>
      <c r="G3428">
        <v>-493.1336</v>
      </c>
      <c r="H3428" s="1">
        <v>-1.8363999999999999E-6</v>
      </c>
      <c r="I3428">
        <v>231.92619999999999</v>
      </c>
      <c r="J3428">
        <v>-492.77</v>
      </c>
      <c r="K3428">
        <v>1.120614</v>
      </c>
      <c r="L3428">
        <v>258.41579999999999</v>
      </c>
      <c r="M3428">
        <v>4.1392480000000002E-2</v>
      </c>
      <c r="N3428">
        <v>-1.1446670000000001E-2</v>
      </c>
      <c r="O3428">
        <v>-0.99907760000000001</v>
      </c>
      <c r="P3428">
        <v>6.2656630000000005E-2</v>
      </c>
      <c r="Q3428">
        <v>-8.7739120000000004E-2</v>
      </c>
      <c r="R3428">
        <v>-0.99417120000000003</v>
      </c>
      <c r="S3428">
        <v>-4.0679930000000003E-2</v>
      </c>
      <c r="T3428">
        <v>-0.1268048</v>
      </c>
      <c r="U3428">
        <v>-3.009109</v>
      </c>
      <c r="V3428">
        <v>-2.1473590000000001E-2</v>
      </c>
      <c r="W3428">
        <v>-7.6326489999999997E-2</v>
      </c>
      <c r="X3428">
        <v>0.99685159999999995</v>
      </c>
      <c r="Y3428">
        <v>5.4874319999999997E-2</v>
      </c>
      <c r="Z3428">
        <v>3.0572720000000001E-2</v>
      </c>
      <c r="AA3428">
        <v>0.9980251</v>
      </c>
      <c r="AB3428">
        <v>20</v>
      </c>
      <c r="AC3428">
        <v>-0.36360000000001902</v>
      </c>
      <c r="AD3428">
        <v>-1.1206158364000001</v>
      </c>
      <c r="AE3428">
        <v>-26.489599999999999</v>
      </c>
      <c r="AF3428">
        <v>1.457222797055</v>
      </c>
      <c r="AG3428">
        <v>-1.1206158364000001</v>
      </c>
      <c r="AH3428">
        <v>26.4045977048259</v>
      </c>
      <c r="AI3428">
        <v>92.426496739012293</v>
      </c>
      <c r="AJ3428">
        <v>86.841152215793898</v>
      </c>
      <c r="AK3428">
        <v>26.468510688868498</v>
      </c>
      <c r="AL3428">
        <v>94.377443167755999</v>
      </c>
      <c r="AM3428">
        <v>91.234041079086097</v>
      </c>
      <c r="AN3428">
        <v>0.99999998028288295</v>
      </c>
    </row>
    <row r="3429" spans="1:40" x14ac:dyDescent="0.25">
      <c r="A3429" t="str">
        <f>"20190303154204402"</f>
        <v>20190303154204402</v>
      </c>
      <c r="B3429" t="str">
        <f>"1551598924392672"</f>
        <v>1551598924392672</v>
      </c>
      <c r="C3429" t="s">
        <v>40</v>
      </c>
      <c r="D3429">
        <v>5.9665010000000001</v>
      </c>
      <c r="E3429">
        <v>0.52789149999999996</v>
      </c>
      <c r="F3429" t="s">
        <v>41</v>
      </c>
      <c r="G3429">
        <v>-493.09879999999998</v>
      </c>
      <c r="H3429" s="1">
        <v>-1.9212389999999999E-6</v>
      </c>
      <c r="I3429">
        <v>232.1456</v>
      </c>
      <c r="J3429">
        <v>-492.76560000000001</v>
      </c>
      <c r="K3429">
        <v>1.1205879999999999</v>
      </c>
      <c r="L3429">
        <v>258.30680000000001</v>
      </c>
      <c r="M3429">
        <v>4.1260930000000001E-2</v>
      </c>
      <c r="N3429">
        <v>-1.134837E-2</v>
      </c>
      <c r="O3429">
        <v>-0.99908410000000003</v>
      </c>
      <c r="P3429">
        <v>6.2766660000000002E-2</v>
      </c>
      <c r="Q3429">
        <v>-8.7673810000000005E-2</v>
      </c>
      <c r="R3429">
        <v>-0.99416979999999999</v>
      </c>
      <c r="S3429">
        <v>-3.7658690000000002E-2</v>
      </c>
      <c r="T3429">
        <v>-0.1283405</v>
      </c>
      <c r="U3429">
        <v>-3.0086360000000001</v>
      </c>
      <c r="V3429">
        <v>-2.1717859999999999E-2</v>
      </c>
      <c r="W3429">
        <v>-7.6358399999999896E-2</v>
      </c>
      <c r="X3429">
        <v>0.9968439</v>
      </c>
      <c r="Y3429">
        <v>5.3742989999999997E-2</v>
      </c>
      <c r="Z3429">
        <v>3.1187980000000001E-2</v>
      </c>
      <c r="AA3429">
        <v>0.99806760000000005</v>
      </c>
      <c r="AB3429">
        <v>20</v>
      </c>
      <c r="AC3429">
        <v>-0.33319999999997602</v>
      </c>
      <c r="AD3429">
        <v>-1.12058992123899</v>
      </c>
      <c r="AE3429">
        <v>-26.161200000000001</v>
      </c>
      <c r="AF3429">
        <v>1.4098347308124399</v>
      </c>
      <c r="AG3429">
        <v>-1.12058992123899</v>
      </c>
      <c r="AH3429">
        <v>26.077331612126901</v>
      </c>
      <c r="AI3429">
        <v>92.4570053305047</v>
      </c>
      <c r="AJ3429">
        <v>86.905395923171596</v>
      </c>
      <c r="AK3429">
        <v>26.13944490131</v>
      </c>
      <c r="AL3429">
        <v>94.3792766713878</v>
      </c>
      <c r="AM3429">
        <v>91.248083973497998</v>
      </c>
      <c r="AN3429">
        <v>1.0000000158303699</v>
      </c>
    </row>
    <row r="3430" spans="1:40" x14ac:dyDescent="0.25">
      <c r="A3430" t="str">
        <f>"20190303154204415"</f>
        <v>20190303154204415</v>
      </c>
      <c r="B3430" t="str">
        <f>"1551598924413168"</f>
        <v>1551598924413168</v>
      </c>
      <c r="C3430" t="s">
        <v>40</v>
      </c>
      <c r="D3430">
        <v>5.9425100000000004</v>
      </c>
      <c r="E3430">
        <v>0.52702369999999898</v>
      </c>
      <c r="F3430" t="s">
        <v>41</v>
      </c>
      <c r="G3430">
        <v>-493.03629999999998</v>
      </c>
      <c r="H3430" s="1">
        <v>-1.9889819999999999E-6</v>
      </c>
      <c r="I3430">
        <v>232.34219999999999</v>
      </c>
      <c r="J3430">
        <v>-492.76069999999999</v>
      </c>
      <c r="K3430">
        <v>1.1205529999999999</v>
      </c>
      <c r="L3430">
        <v>258.1857</v>
      </c>
      <c r="M3430">
        <v>4.1104090000000003E-2</v>
      </c>
      <c r="N3430">
        <v>-1.124226E-2</v>
      </c>
      <c r="O3430">
        <v>-0.99909190000000003</v>
      </c>
      <c r="P3430">
        <v>6.2409550000000001E-2</v>
      </c>
      <c r="Q3430">
        <v>-8.7849540000000004E-2</v>
      </c>
      <c r="R3430">
        <v>-0.99417699999999998</v>
      </c>
      <c r="S3430">
        <v>-3.1372070000000002E-2</v>
      </c>
      <c r="T3430">
        <v>-0.12982639999999901</v>
      </c>
      <c r="U3430">
        <v>-3.0081329999999999</v>
      </c>
      <c r="V3430">
        <v>-2.152014E-2</v>
      </c>
      <c r="W3430">
        <v>-7.6639170000000006E-2</v>
      </c>
      <c r="X3430">
        <v>0.99682660000000001</v>
      </c>
      <c r="Y3430">
        <v>5.150308E-2</v>
      </c>
      <c r="Z3430">
        <v>3.1796959999999999E-2</v>
      </c>
      <c r="AA3430">
        <v>0.99816649999999996</v>
      </c>
      <c r="AB3430">
        <v>20</v>
      </c>
      <c r="AC3430">
        <v>-0.27559999999999701</v>
      </c>
      <c r="AD3430">
        <v>-1.1205549889819999</v>
      </c>
      <c r="AE3430">
        <v>-25.843499999999999</v>
      </c>
      <c r="AF3430">
        <v>1.3351975218490399</v>
      </c>
      <c r="AG3430">
        <v>-1.1205549889819999</v>
      </c>
      <c r="AH3430">
        <v>25.761899612286101</v>
      </c>
      <c r="AI3430">
        <v>92.487267390406402</v>
      </c>
      <c r="AJ3430">
        <v>87.033107205475105</v>
      </c>
      <c r="AK3430">
        <v>25.820802999503901</v>
      </c>
      <c r="AL3430">
        <v>94.395411067121898</v>
      </c>
      <c r="AM3430">
        <v>91.236746384324803</v>
      </c>
      <c r="AN3430">
        <v>0.99999997463573398</v>
      </c>
    </row>
    <row r="3431" spans="1:40" x14ac:dyDescent="0.25">
      <c r="A3431" t="str">
        <f>"20190303154204427"</f>
        <v>20190303154204427</v>
      </c>
      <c r="B3431" t="str">
        <f>"1551598924422927"</f>
        <v>1551598924422927</v>
      </c>
      <c r="C3431" t="s">
        <v>40</v>
      </c>
      <c r="D3431">
        <v>5.9436210000000003</v>
      </c>
      <c r="E3431">
        <v>0.52677450000000003</v>
      </c>
      <c r="F3431" t="s">
        <v>41</v>
      </c>
      <c r="G3431">
        <v>-492.9776</v>
      </c>
      <c r="H3431" s="1">
        <v>-2.1730709999999998E-6</v>
      </c>
      <c r="I3431">
        <v>232.80779999999999</v>
      </c>
      <c r="J3431">
        <v>-492.75650000000002</v>
      </c>
      <c r="K3431">
        <v>1.120528</v>
      </c>
      <c r="L3431">
        <v>258.07839999999999</v>
      </c>
      <c r="M3431">
        <v>4.0938629999999997E-2</v>
      </c>
      <c r="N3431">
        <v>-1.115618E-2</v>
      </c>
      <c r="O3431">
        <v>-0.99909939999999997</v>
      </c>
      <c r="P3431">
        <v>6.2444949999999999E-2</v>
      </c>
      <c r="Q3431">
        <v>-8.7844450000000004E-2</v>
      </c>
      <c r="R3431">
        <v>-0.99417500000000003</v>
      </c>
      <c r="S3431">
        <v>-2.5695800000000001E-2</v>
      </c>
      <c r="T3431">
        <v>-0.13279369999999999</v>
      </c>
      <c r="U3431">
        <v>-3.0074619999999999</v>
      </c>
      <c r="V3431">
        <v>-2.1723920000000001E-2</v>
      </c>
      <c r="W3431">
        <v>-7.6718839999999996E-2</v>
      </c>
      <c r="X3431">
        <v>0.99681609999999998</v>
      </c>
      <c r="Y3431">
        <v>4.9456319999999998E-2</v>
      </c>
      <c r="Z3431">
        <v>3.2878490000000003E-2</v>
      </c>
      <c r="AA3431">
        <v>0.99823499999999998</v>
      </c>
      <c r="AB3431">
        <v>20</v>
      </c>
      <c r="AC3431">
        <v>-0.22109999999997801</v>
      </c>
      <c r="AD3431">
        <v>-1.120530173071</v>
      </c>
      <c r="AE3431">
        <v>-25.270600000000002</v>
      </c>
      <c r="AF3431">
        <v>1.25305921739602</v>
      </c>
      <c r="AG3431">
        <v>-1.120530173071</v>
      </c>
      <c r="AH3431">
        <v>25.190834891088102</v>
      </c>
      <c r="AI3431">
        <v>92.543791503398893</v>
      </c>
      <c r="AJ3431">
        <v>87.152302502213601</v>
      </c>
      <c r="AK3431">
        <v>25.246859364703599</v>
      </c>
      <c r="AL3431">
        <v>94.399989087138096</v>
      </c>
      <c r="AM3431">
        <v>91.248466926180299</v>
      </c>
      <c r="AN3431">
        <v>1.00000002316516</v>
      </c>
    </row>
    <row r="3432" spans="1:40" x14ac:dyDescent="0.25">
      <c r="A3432" t="str">
        <f>"20190303154204445"</f>
        <v>20190303154204445</v>
      </c>
      <c r="B3432" t="str">
        <f>"1551598924433194"</f>
        <v>1551598924433194</v>
      </c>
      <c r="C3432" t="s">
        <v>40</v>
      </c>
      <c r="D3432">
        <v>5.9500039999999998</v>
      </c>
      <c r="E3432">
        <v>0.52649429999999997</v>
      </c>
      <c r="F3432" t="s">
        <v>41</v>
      </c>
      <c r="G3432">
        <v>-492.95670000000001</v>
      </c>
      <c r="H3432" s="1">
        <v>-2.2262259999999998E-6</v>
      </c>
      <c r="I3432">
        <v>232.94470000000001</v>
      </c>
      <c r="J3432">
        <v>-492.75040000000001</v>
      </c>
      <c r="K3432">
        <v>1.1204909999999999</v>
      </c>
      <c r="L3432">
        <v>257.92189999999999</v>
      </c>
      <c r="M3432">
        <v>4.0669259999999999E-2</v>
      </c>
      <c r="N3432">
        <v>-1.1037170000000001E-2</v>
      </c>
      <c r="O3432">
        <v>-0.99911179999999999</v>
      </c>
      <c r="P3432">
        <v>6.2261990000000003E-2</v>
      </c>
      <c r="Q3432">
        <v>-8.8194830000000002E-2</v>
      </c>
      <c r="R3432">
        <v>-0.99415589999999998</v>
      </c>
      <c r="S3432">
        <v>-2.39563E-2</v>
      </c>
      <c r="T3432">
        <v>-0.13407169999999999</v>
      </c>
      <c r="U3432">
        <v>-3.007263</v>
      </c>
      <c r="V3432">
        <v>-2.1817240000000002E-2</v>
      </c>
      <c r="W3432">
        <v>-7.7186459999999998E-2</v>
      </c>
      <c r="X3432">
        <v>0.99677800000000005</v>
      </c>
      <c r="Y3432">
        <v>4.8610340000000002E-2</v>
      </c>
      <c r="Z3432">
        <v>3.3425389999999999E-2</v>
      </c>
      <c r="AA3432">
        <v>0.99825839999999999</v>
      </c>
      <c r="AB3432">
        <v>20</v>
      </c>
      <c r="AC3432">
        <v>-0.20629999999999801</v>
      </c>
      <c r="AD3432">
        <v>-1.1204932262259999</v>
      </c>
      <c r="AE3432">
        <v>-24.9771999999999</v>
      </c>
      <c r="AF3432">
        <v>1.21954118705962</v>
      </c>
      <c r="AG3432">
        <v>-1.1204932262259999</v>
      </c>
      <c r="AH3432">
        <v>24.898039037366502</v>
      </c>
      <c r="AI3432">
        <v>92.573677579604393</v>
      </c>
      <c r="AJ3432">
        <v>87.195812785490006</v>
      </c>
      <c r="AK3432">
        <v>24.9530586037699</v>
      </c>
      <c r="AL3432">
        <v>94.426861252698401</v>
      </c>
      <c r="AM3432">
        <v>91.253876199159393</v>
      </c>
      <c r="AN3432">
        <v>1.0000000614262701</v>
      </c>
    </row>
    <row r="3433" spans="1:40" x14ac:dyDescent="0.25">
      <c r="A3433" t="str">
        <f>"20190303154204458"</f>
        <v>20190303154204458</v>
      </c>
      <c r="B3433" t="str">
        <f>"1551598924452714"</f>
        <v>1551598924452714</v>
      </c>
      <c r="C3433" t="s">
        <v>40</v>
      </c>
      <c r="D3433">
        <v>5.9358620000000002</v>
      </c>
      <c r="E3433">
        <v>0.52584560000000002</v>
      </c>
      <c r="F3433" t="s">
        <v>41</v>
      </c>
      <c r="G3433">
        <v>-492.92919999999998</v>
      </c>
      <c r="H3433" s="1">
        <v>-2.3048700000000002E-6</v>
      </c>
      <c r="I3433">
        <v>233.14510000000001</v>
      </c>
      <c r="J3433">
        <v>-492.74599999999998</v>
      </c>
      <c r="K3433">
        <v>1.1204620000000001</v>
      </c>
      <c r="L3433">
        <v>257.8107</v>
      </c>
      <c r="M3433">
        <v>4.0454919999999998E-2</v>
      </c>
      <c r="N3433">
        <v>-1.095782E-2</v>
      </c>
      <c r="O3433">
        <v>-0.9991217</v>
      </c>
      <c r="P3433">
        <v>6.2304360000000003E-2</v>
      </c>
      <c r="Q3433">
        <v>-8.8136320000000004E-2</v>
      </c>
      <c r="R3433">
        <v>-0.99415830000000005</v>
      </c>
      <c r="S3433">
        <v>-2.1697999999999999E-2</v>
      </c>
      <c r="T3433">
        <v>-0.135983299999999</v>
      </c>
      <c r="U3433">
        <v>-3.0069270000000001</v>
      </c>
      <c r="V3433">
        <v>-2.2078150000000001E-2</v>
      </c>
      <c r="W3433">
        <v>-7.7205549999999998E-2</v>
      </c>
      <c r="X3433">
        <v>0.99677070000000001</v>
      </c>
      <c r="Y3433">
        <v>4.7647299999999997E-2</v>
      </c>
      <c r="Z3433">
        <v>3.4144550000000003E-2</v>
      </c>
      <c r="AA3433">
        <v>0.99828050000000002</v>
      </c>
      <c r="AB3433">
        <v>20</v>
      </c>
      <c r="AC3433">
        <v>-0.183199999999999</v>
      </c>
      <c r="AD3433">
        <v>-1.12046430487</v>
      </c>
      <c r="AE3433">
        <v>-24.665599999999898</v>
      </c>
      <c r="AF3433">
        <v>1.17852258056294</v>
      </c>
      <c r="AG3433">
        <v>-1.12046430487</v>
      </c>
      <c r="AH3433">
        <v>24.587259705078498</v>
      </c>
      <c r="AI3433">
        <v>92.606228738807005</v>
      </c>
      <c r="AJ3433">
        <v>87.255784927344294</v>
      </c>
      <c r="AK3433">
        <v>24.640975945289998</v>
      </c>
      <c r="AL3433">
        <v>94.427958641735401</v>
      </c>
      <c r="AM3433">
        <v>91.268875584601105</v>
      </c>
      <c r="AN3433">
        <v>0.99999998501835696</v>
      </c>
    </row>
    <row r="3434" spans="1:40" x14ac:dyDescent="0.25">
      <c r="A3434" t="str">
        <f>"20190303154204471"</f>
        <v>20190303154204471</v>
      </c>
      <c r="B3434" t="str">
        <f>"1551598924463450"</f>
        <v>1551598924463450</v>
      </c>
      <c r="C3434" t="s">
        <v>40</v>
      </c>
      <c r="D3434">
        <v>5.9568079999999997</v>
      </c>
      <c r="E3434">
        <v>0.52552549999999998</v>
      </c>
      <c r="F3434" t="s">
        <v>41</v>
      </c>
      <c r="G3434">
        <v>-492.88220000000001</v>
      </c>
      <c r="H3434" s="1">
        <v>-2.4887E-6</v>
      </c>
      <c r="I3434">
        <v>233.6027</v>
      </c>
      <c r="J3434">
        <v>-492.74160000000001</v>
      </c>
      <c r="K3434">
        <v>1.1204259999999999</v>
      </c>
      <c r="L3434">
        <v>257.6936</v>
      </c>
      <c r="M3434">
        <v>4.0197530000000002E-2</v>
      </c>
      <c r="N3434">
        <v>-1.088134E-2</v>
      </c>
      <c r="O3434">
        <v>-0.99913260000000004</v>
      </c>
      <c r="P3434">
        <v>6.2433969999999998E-2</v>
      </c>
      <c r="Q3434">
        <v>-8.7735899999999895E-2</v>
      </c>
      <c r="R3434">
        <v>-0.99418569999999995</v>
      </c>
      <c r="S3434">
        <v>-1.690674E-2</v>
      </c>
      <c r="T3434">
        <v>-0.1391493</v>
      </c>
      <c r="U3434">
        <v>-3.0063629999999999</v>
      </c>
      <c r="V3434">
        <v>-2.2467979999999999E-2</v>
      </c>
      <c r="W3434">
        <v>-7.6879290000000003E-2</v>
      </c>
      <c r="X3434">
        <v>0.99678730000000004</v>
      </c>
      <c r="Y3434">
        <v>4.5800510000000003E-2</v>
      </c>
      <c r="Z3434">
        <v>3.5281100000000003E-2</v>
      </c>
      <c r="AA3434">
        <v>0.99832739999999998</v>
      </c>
      <c r="AB3434">
        <v>20</v>
      </c>
      <c r="AC3434">
        <v>-0.140600000000006</v>
      </c>
      <c r="AD3434">
        <v>-1.1204284887</v>
      </c>
      <c r="AE3434">
        <v>-24.090900000000001</v>
      </c>
      <c r="AF3434">
        <v>1.1065448561564899</v>
      </c>
      <c r="AG3434">
        <v>-1.1204284887</v>
      </c>
      <c r="AH3434">
        <v>24.013833348441199</v>
      </c>
      <c r="AI3434">
        <v>92.668520349386696</v>
      </c>
      <c r="AJ3434">
        <v>87.361706761905893</v>
      </c>
      <c r="AK3434">
        <v>24.065410730001702</v>
      </c>
      <c r="AL3434">
        <v>94.409209182175601</v>
      </c>
      <c r="AM3434">
        <v>91.291250880271306</v>
      </c>
      <c r="AN3434">
        <v>1.00000007839873</v>
      </c>
    </row>
    <row r="3435" spans="1:40" x14ac:dyDescent="0.25">
      <c r="A3435" t="str">
        <f>"20190303154204491"</f>
        <v>20190303154204491</v>
      </c>
      <c r="B3435" t="str">
        <f>"1551598924482970"</f>
        <v>1551598924482970</v>
      </c>
      <c r="C3435" t="s">
        <v>40</v>
      </c>
      <c r="D3435">
        <v>5.9415209999999998</v>
      </c>
      <c r="E3435">
        <v>0.52469670000000002</v>
      </c>
      <c r="F3435" t="s">
        <v>41</v>
      </c>
      <c r="G3435">
        <v>-492.85250000000002</v>
      </c>
      <c r="H3435" s="1">
        <v>-2.3772720000000002E-6</v>
      </c>
      <c r="I3435">
        <v>233.3614</v>
      </c>
      <c r="J3435">
        <v>-492.73500000000001</v>
      </c>
      <c r="K3435">
        <v>1.1203829999999999</v>
      </c>
      <c r="L3435">
        <v>257.51729999999998</v>
      </c>
      <c r="M3435">
        <v>3.9764580000000001E-2</v>
      </c>
      <c r="N3435">
        <v>-1.0775470000000001E-2</v>
      </c>
      <c r="O3435">
        <v>-0.99915129999999996</v>
      </c>
      <c r="P3435">
        <v>6.3448939999999995E-2</v>
      </c>
      <c r="Q3435">
        <v>-8.7741079999999999E-2</v>
      </c>
      <c r="R3435">
        <v>-0.99412109999999998</v>
      </c>
      <c r="S3435">
        <v>-1.370239E-2</v>
      </c>
      <c r="T3435">
        <v>-0.1384251</v>
      </c>
      <c r="U3435">
        <v>-3.0061650000000002</v>
      </c>
      <c r="V3435">
        <v>-2.3925040000000002E-2</v>
      </c>
      <c r="W3435">
        <v>-7.6986849999999996E-2</v>
      </c>
      <c r="X3435">
        <v>0.99674499999999999</v>
      </c>
      <c r="Y3435">
        <v>4.4304499999999997E-2</v>
      </c>
      <c r="Z3435">
        <v>3.5153249999999997E-2</v>
      </c>
      <c r="AA3435">
        <v>0.99839940000000005</v>
      </c>
      <c r="AB3435">
        <v>20</v>
      </c>
      <c r="AC3435">
        <v>-0.117500000000006</v>
      </c>
      <c r="AD3435">
        <v>-1.1203853772719901</v>
      </c>
      <c r="AE3435">
        <v>-24.1558999999999</v>
      </c>
      <c r="AF3435">
        <v>1.0756977032505901</v>
      </c>
      <c r="AG3435">
        <v>-1.1203853772719901</v>
      </c>
      <c r="AH3435">
        <v>24.080318446177898</v>
      </c>
      <c r="AI3435">
        <v>92.661230447543502</v>
      </c>
      <c r="AJ3435">
        <v>87.442226895808403</v>
      </c>
      <c r="AK3435">
        <v>24.130356926736901</v>
      </c>
      <c r="AL3435">
        <v>94.415390631089707</v>
      </c>
      <c r="AM3435">
        <v>91.375016321908504</v>
      </c>
      <c r="AN3435">
        <v>0.99999998881846197</v>
      </c>
    </row>
    <row r="3436" spans="1:40" x14ac:dyDescent="0.25">
      <c r="A3436" t="str">
        <f>"20190303154204514"</f>
        <v>20190303154204514</v>
      </c>
      <c r="B3436" t="str">
        <f>"1551598924503466"</f>
        <v>1551598924503466</v>
      </c>
      <c r="C3436" t="s">
        <v>40</v>
      </c>
      <c r="D3436">
        <v>5.9195449999999896</v>
      </c>
      <c r="E3436">
        <v>0.52403120000000003</v>
      </c>
      <c r="F3436" t="s">
        <v>41</v>
      </c>
      <c r="G3436">
        <v>-492.77</v>
      </c>
      <c r="H3436" s="1">
        <v>-2.574312E-6</v>
      </c>
      <c r="I3436">
        <v>233.87190000000001</v>
      </c>
      <c r="J3436">
        <v>-492.7276</v>
      </c>
      <c r="K3436">
        <v>1.120333</v>
      </c>
      <c r="L3436">
        <v>257.31670000000003</v>
      </c>
      <c r="M3436">
        <v>3.9202210000000001E-2</v>
      </c>
      <c r="N3436">
        <v>-1.066896E-2</v>
      </c>
      <c r="O3436">
        <v>-0.99917440000000002</v>
      </c>
      <c r="P3436">
        <v>6.4800150000000001E-2</v>
      </c>
      <c r="Q3436">
        <v>-8.7555999999999995E-2</v>
      </c>
      <c r="R3436">
        <v>-0.99404979999999998</v>
      </c>
      <c r="S3436">
        <v>-4.4555659999999898E-3</v>
      </c>
      <c r="T3436">
        <v>-0.1424057</v>
      </c>
      <c r="U3436">
        <v>-3.0054319999999999</v>
      </c>
      <c r="V3436">
        <v>-2.5847220000000001E-2</v>
      </c>
      <c r="W3436">
        <v>-7.6903669999999993E-2</v>
      </c>
      <c r="X3436">
        <v>0.99670340000000002</v>
      </c>
      <c r="Y3436">
        <v>4.0672149999999997E-2</v>
      </c>
      <c r="Z3436">
        <v>3.6595509999999998E-2</v>
      </c>
      <c r="AA3436">
        <v>0.99850209999999995</v>
      </c>
      <c r="AB3436">
        <v>20</v>
      </c>
      <c r="AC3436">
        <v>-4.23999999999864E-2</v>
      </c>
      <c r="AD3436">
        <v>-1.120335574312</v>
      </c>
      <c r="AE3436">
        <v>-23.444800000000001</v>
      </c>
      <c r="AF3436">
        <v>0.95931702906132599</v>
      </c>
      <c r="AG3436">
        <v>-1.120335574312</v>
      </c>
      <c r="AH3436">
        <v>23.371744144736301</v>
      </c>
      <c r="AI3436">
        <v>92.742094048220494</v>
      </c>
      <c r="AJ3436">
        <v>87.649555805001398</v>
      </c>
      <c r="AK3436">
        <v>23.4182378783788</v>
      </c>
      <c r="AL3436">
        <v>94.4106107223799</v>
      </c>
      <c r="AM3436">
        <v>91.485501878219495</v>
      </c>
      <c r="AN3436">
        <v>0.99999996040637695</v>
      </c>
    </row>
    <row r="3437" spans="1:40" x14ac:dyDescent="0.25">
      <c r="A3437" t="str">
        <f>"20190303154204530"</f>
        <v>20190303154204530</v>
      </c>
      <c r="B3437" t="str">
        <f>"1551598924522986"</f>
        <v>1551598924522986</v>
      </c>
      <c r="C3437" t="s">
        <v>40</v>
      </c>
      <c r="D3437">
        <v>5.9195760000000002</v>
      </c>
      <c r="E3437">
        <v>0.52348989999999995</v>
      </c>
      <c r="F3437" t="s">
        <v>41</v>
      </c>
      <c r="G3437">
        <v>-492.68549999999999</v>
      </c>
      <c r="H3437" s="1">
        <v>-2.6847479999999999E-6</v>
      </c>
      <c r="I3437">
        <v>234.18170000000001</v>
      </c>
      <c r="J3437">
        <v>-492.72239999999999</v>
      </c>
      <c r="K3437">
        <v>1.120301</v>
      </c>
      <c r="L3437">
        <v>257.16989999999998</v>
      </c>
      <c r="M3437">
        <v>3.873592E-2</v>
      </c>
      <c r="N3437">
        <v>-1.060094E-2</v>
      </c>
      <c r="O3437">
        <v>-0.99919329999999995</v>
      </c>
      <c r="P3437">
        <v>6.5245650000000002E-2</v>
      </c>
      <c r="Q3437">
        <v>-8.7093480000000001E-2</v>
      </c>
      <c r="R3437">
        <v>-0.99406139999999998</v>
      </c>
      <c r="S3437">
        <v>5.4626459999999998E-3</v>
      </c>
      <c r="T3437">
        <v>-0.14550779999999999</v>
      </c>
      <c r="U3437">
        <v>-3.0047450000000002</v>
      </c>
      <c r="V3437">
        <v>-2.6762910000000001E-2</v>
      </c>
      <c r="W3437">
        <v>-7.6505770000000001E-2</v>
      </c>
      <c r="X3437">
        <v>0.99670990000000004</v>
      </c>
      <c r="Y3437">
        <v>3.691113E-2</v>
      </c>
      <c r="Z3437">
        <v>3.7707499999999998E-2</v>
      </c>
      <c r="AA3437">
        <v>0.99860689999999996</v>
      </c>
      <c r="AB3437">
        <v>20</v>
      </c>
      <c r="AC3437">
        <v>3.6900000000002799E-2</v>
      </c>
      <c r="AD3437">
        <v>-1.1203036847479999</v>
      </c>
      <c r="AE3437">
        <v>-22.9881999999999</v>
      </c>
      <c r="AF3437">
        <v>0.85162417468197804</v>
      </c>
      <c r="AG3437">
        <v>-1.1203036847479999</v>
      </c>
      <c r="AH3437">
        <v>22.917944728363299</v>
      </c>
      <c r="AI3437">
        <v>92.796649222114297</v>
      </c>
      <c r="AJ3437">
        <v>87.871884633492598</v>
      </c>
      <c r="AK3437">
        <v>22.961109177330201</v>
      </c>
      <c r="AL3437">
        <v>94.3877451678065</v>
      </c>
      <c r="AM3437">
        <v>91.538093910248804</v>
      </c>
      <c r="AN3437">
        <v>1.0000000054764799</v>
      </c>
    </row>
    <row r="3438" spans="1:40" x14ac:dyDescent="0.25">
      <c r="A3438" t="str">
        <f>"20190303154204546"</f>
        <v>20190303154204546</v>
      </c>
      <c r="B3438" t="str">
        <f>"1551598924543013"</f>
        <v>1551598924543013</v>
      </c>
      <c r="C3438" t="s">
        <v>40</v>
      </c>
      <c r="D3438">
        <v>5.9229890000000003</v>
      </c>
      <c r="E3438">
        <v>0.52289779999999997</v>
      </c>
      <c r="F3438" t="s">
        <v>41</v>
      </c>
      <c r="G3438">
        <v>-492.64010000000002</v>
      </c>
      <c r="H3438" s="1">
        <v>-2.7182539999999999E-6</v>
      </c>
      <c r="I3438">
        <v>234.28800000000001</v>
      </c>
      <c r="J3438">
        <v>-492.71719999999999</v>
      </c>
      <c r="K3438">
        <v>1.1202719999999999</v>
      </c>
      <c r="L3438">
        <v>257.02260000000001</v>
      </c>
      <c r="M3438">
        <v>3.8230210000000001E-2</v>
      </c>
      <c r="N3438">
        <v>-1.0539140000000001E-2</v>
      </c>
      <c r="O3438">
        <v>-0.99921340000000003</v>
      </c>
      <c r="P3438">
        <v>6.6675689999999996E-2</v>
      </c>
      <c r="Q3438">
        <v>-8.6871420000000005E-2</v>
      </c>
      <c r="R3438">
        <v>-0.99398600000000004</v>
      </c>
      <c r="S3438">
        <v>1.0803220000000001E-2</v>
      </c>
      <c r="T3438">
        <v>-0.14709059999999999</v>
      </c>
      <c r="U3438">
        <v>-3.0042879999999998</v>
      </c>
      <c r="V3438">
        <v>-2.8704690000000001E-2</v>
      </c>
      <c r="W3438">
        <v>-7.6341539999999999E-2</v>
      </c>
      <c r="X3438">
        <v>0.99666849999999996</v>
      </c>
      <c r="Y3438">
        <v>3.4630590000000003E-2</v>
      </c>
      <c r="Z3438">
        <v>3.8304690000000002E-2</v>
      </c>
      <c r="AA3438">
        <v>0.9986659</v>
      </c>
      <c r="AB3438">
        <v>20</v>
      </c>
      <c r="AC3438">
        <v>7.7099999999972996E-2</v>
      </c>
      <c r="AD3438">
        <v>-1.1202747182539901</v>
      </c>
      <c r="AE3438">
        <v>-22.7346</v>
      </c>
      <c r="AF3438">
        <v>0.79023437686417997</v>
      </c>
      <c r="AG3438">
        <v>-1.1202747182539901</v>
      </c>
      <c r="AH3438">
        <v>22.665890513564801</v>
      </c>
      <c r="AI3438">
        <v>92.827858991295201</v>
      </c>
      <c r="AJ3438">
        <v>88.003221505262999</v>
      </c>
      <c r="AK3438">
        <v>22.707313328257101</v>
      </c>
      <c r="AL3438">
        <v>94.378307711170393</v>
      </c>
      <c r="AM3438">
        <v>91.649699052687794</v>
      </c>
      <c r="AN3438">
        <v>1.0000000444249</v>
      </c>
    </row>
    <row r="3439" spans="1:40" x14ac:dyDescent="0.25">
      <c r="A3439" t="str">
        <f>"20190303154204559"</f>
        <v>20190303154204559</v>
      </c>
      <c r="B3439" t="str">
        <f>"1551598924552773"</f>
        <v>1551598924552773</v>
      </c>
      <c r="C3439" t="s">
        <v>40</v>
      </c>
      <c r="D3439">
        <v>6.0593700000000004</v>
      </c>
      <c r="E3439">
        <v>0.52243890000000004</v>
      </c>
      <c r="F3439" t="s">
        <v>41</v>
      </c>
      <c r="G3439">
        <v>-492.57130000000001</v>
      </c>
      <c r="H3439" s="1">
        <v>-2.99438E-6</v>
      </c>
      <c r="I3439">
        <v>234.9743</v>
      </c>
      <c r="J3439">
        <v>-492.71319999999997</v>
      </c>
      <c r="K3439">
        <v>1.120252</v>
      </c>
      <c r="L3439">
        <v>256.90640000000002</v>
      </c>
      <c r="M3439">
        <v>3.7808750000000002E-2</v>
      </c>
      <c r="N3439">
        <v>-1.049421E-2</v>
      </c>
      <c r="O3439">
        <v>-0.9992299</v>
      </c>
      <c r="P3439">
        <v>6.7159549999999998E-2</v>
      </c>
      <c r="Q3439">
        <v>-8.6471619999999999E-2</v>
      </c>
      <c r="R3439">
        <v>-0.99398810000000004</v>
      </c>
      <c r="S3439">
        <v>1.986694E-2</v>
      </c>
      <c r="T3439">
        <v>-0.152606399999999</v>
      </c>
      <c r="U3439">
        <v>-3.003479</v>
      </c>
      <c r="V3439">
        <v>-2.961227E-2</v>
      </c>
      <c r="W3439">
        <v>-7.5983869999999995E-2</v>
      </c>
      <c r="X3439">
        <v>0.99666920000000003</v>
      </c>
      <c r="Y3439">
        <v>3.1195540000000001E-2</v>
      </c>
      <c r="Z3439">
        <v>4.0194939999999998E-2</v>
      </c>
      <c r="AA3439">
        <v>0.99870479999999995</v>
      </c>
      <c r="AB3439">
        <v>20</v>
      </c>
      <c r="AC3439">
        <v>0.141899999999964</v>
      </c>
      <c r="AD3439">
        <v>-1.12025499438</v>
      </c>
      <c r="AE3439">
        <v>-21.932099999999998</v>
      </c>
      <c r="AF3439">
        <v>0.68568354086672501</v>
      </c>
      <c r="AG3439">
        <v>-1.12025499438</v>
      </c>
      <c r="AH3439">
        <v>21.864739417001601</v>
      </c>
      <c r="AI3439">
        <v>92.931585373590096</v>
      </c>
      <c r="AJ3439">
        <v>88.203779118275804</v>
      </c>
      <c r="AK3439">
        <v>21.904154011146598</v>
      </c>
      <c r="AL3439">
        <v>94.357755381657398</v>
      </c>
      <c r="AM3439">
        <v>91.701827558512804</v>
      </c>
      <c r="AN3439">
        <v>0.99999996463168395</v>
      </c>
    </row>
    <row r="3440" spans="1:40" x14ac:dyDescent="0.25">
      <c r="A3440" t="str">
        <f>"20190303154204572"</f>
        <v>20190303154204572</v>
      </c>
      <c r="B3440" t="str">
        <f>"1551598924563509"</f>
        <v>1551598924563509</v>
      </c>
      <c r="C3440" t="s">
        <v>40</v>
      </c>
      <c r="D3440">
        <v>6.0512489999999897</v>
      </c>
      <c r="E3440">
        <v>0.52201309999999901</v>
      </c>
      <c r="F3440" t="s">
        <v>41</v>
      </c>
      <c r="G3440">
        <v>-492.53680000000003</v>
      </c>
      <c r="H3440" s="1">
        <v>-3.1803369999999998E-6</v>
      </c>
      <c r="I3440">
        <v>235.42910000000001</v>
      </c>
      <c r="J3440">
        <v>-492.70920000000001</v>
      </c>
      <c r="K3440">
        <v>1.120234</v>
      </c>
      <c r="L3440">
        <v>256.7901</v>
      </c>
      <c r="M3440">
        <v>3.73649E-2</v>
      </c>
      <c r="N3440">
        <v>-1.045334E-2</v>
      </c>
      <c r="O3440">
        <v>-0.99924710000000005</v>
      </c>
      <c r="P3440">
        <v>6.7221779999999995E-2</v>
      </c>
      <c r="Q3440">
        <v>-8.6152129999999993E-2</v>
      </c>
      <c r="R3440">
        <v>-0.9940116</v>
      </c>
      <c r="S3440">
        <v>2.4658200000000002E-2</v>
      </c>
      <c r="T3440">
        <v>-0.1566292</v>
      </c>
      <c r="U3440">
        <v>-3.002853</v>
      </c>
      <c r="V3440">
        <v>-3.0119050000000001E-2</v>
      </c>
      <c r="W3440">
        <v>-7.5702939999999996E-2</v>
      </c>
      <c r="X3440">
        <v>0.99667539999999999</v>
      </c>
      <c r="Y3440">
        <v>2.9157659999999998E-2</v>
      </c>
      <c r="Z3440">
        <v>4.1582439999999998E-2</v>
      </c>
      <c r="AA3440">
        <v>0.99870959999999998</v>
      </c>
      <c r="AB3440">
        <v>20</v>
      </c>
      <c r="AC3440">
        <v>0.17239999999998101</v>
      </c>
      <c r="AD3440">
        <v>-1.1202371803369999</v>
      </c>
      <c r="AE3440">
        <v>-21.360999999999901</v>
      </c>
      <c r="AF3440">
        <v>0.62419896297706901</v>
      </c>
      <c r="AG3440">
        <v>-1.1202371803369999</v>
      </c>
      <c r="AH3440">
        <v>21.2939632633434</v>
      </c>
      <c r="AI3440">
        <v>93.0101613383287</v>
      </c>
      <c r="AJ3440">
        <v>88.320945364866702</v>
      </c>
      <c r="AK3440">
        <v>21.332543850797801</v>
      </c>
      <c r="AL3440">
        <v>94.341612748028595</v>
      </c>
      <c r="AM3440">
        <v>91.730924053231504</v>
      </c>
      <c r="AN3440">
        <v>0.99999997263135199</v>
      </c>
    </row>
    <row r="3441" spans="1:40" x14ac:dyDescent="0.25">
      <c r="A3441" t="str">
        <f>"20190303154204591"</f>
        <v>20190303154204591</v>
      </c>
      <c r="B3441" t="str">
        <f>"1551598924583040"</f>
        <v>1551598924583040</v>
      </c>
      <c r="C3441" t="s">
        <v>40</v>
      </c>
      <c r="D3441">
        <v>6.0767389999999999</v>
      </c>
      <c r="E3441">
        <v>0.52130679999999996</v>
      </c>
      <c r="F3441" t="s">
        <v>41</v>
      </c>
      <c r="G3441">
        <v>-492.51139999999998</v>
      </c>
      <c r="H3441" s="1">
        <v>-3.3527990000000001E-6</v>
      </c>
      <c r="I3441">
        <v>235.84690000000001</v>
      </c>
      <c r="J3441">
        <v>-492.7038</v>
      </c>
      <c r="K3441">
        <v>1.1202160000000001</v>
      </c>
      <c r="L3441">
        <v>256.62360000000001</v>
      </c>
      <c r="M3441">
        <v>3.6699519999999999E-2</v>
      </c>
      <c r="N3441">
        <v>-1.040086E-2</v>
      </c>
      <c r="O3441">
        <v>-0.9992723</v>
      </c>
      <c r="P3441">
        <v>6.800958E-2</v>
      </c>
      <c r="Q3441">
        <v>-8.541841E-2</v>
      </c>
      <c r="R3441">
        <v>-0.99402140000000005</v>
      </c>
      <c r="S3441">
        <v>2.835083E-2</v>
      </c>
      <c r="T3441">
        <v>-0.16058699999999901</v>
      </c>
      <c r="U3441">
        <v>-3.0022280000000001</v>
      </c>
      <c r="V3441">
        <v>-3.1572549999999998E-2</v>
      </c>
      <c r="W3441">
        <v>-7.5017909999999993E-2</v>
      </c>
      <c r="X3441">
        <v>0.99668219999999996</v>
      </c>
      <c r="Y3441">
        <v>2.7263039999999999E-2</v>
      </c>
      <c r="Z3441">
        <v>4.2960760000000001E-2</v>
      </c>
      <c r="AA3441">
        <v>0.9987047</v>
      </c>
      <c r="AB3441">
        <v>20</v>
      </c>
      <c r="AC3441">
        <v>0.19240000000002</v>
      </c>
      <c r="AD3441">
        <v>-1.1202193527990001</v>
      </c>
      <c r="AE3441">
        <v>-20.776700000000002</v>
      </c>
      <c r="AF3441">
        <v>0.56861288006838595</v>
      </c>
      <c r="AG3441">
        <v>-1.1202193527990001</v>
      </c>
      <c r="AH3441">
        <v>20.7095648954033</v>
      </c>
      <c r="AI3441">
        <v>93.095055023277993</v>
      </c>
      <c r="AJ3441">
        <v>88.427251593247306</v>
      </c>
      <c r="AK3441">
        <v>20.747633362932898</v>
      </c>
      <c r="AL3441">
        <v>94.302251542375004</v>
      </c>
      <c r="AM3441">
        <v>91.814388921292505</v>
      </c>
      <c r="AN3441">
        <v>0.99999996026555404</v>
      </c>
    </row>
    <row r="3442" spans="1:40" x14ac:dyDescent="0.25">
      <c r="A3442" t="str">
        <f>"20190303154204604"</f>
        <v>20190303154204604</v>
      </c>
      <c r="B3442" t="str">
        <f>"1551598924592789"</f>
        <v>1551598924592789</v>
      </c>
      <c r="C3442" t="s">
        <v>40</v>
      </c>
      <c r="D3442">
        <v>5.912642</v>
      </c>
      <c r="E3442">
        <v>0.52134499999999995</v>
      </c>
      <c r="F3442" t="s">
        <v>41</v>
      </c>
      <c r="G3442">
        <v>-492.46140000000003</v>
      </c>
      <c r="H3442" s="1">
        <v>-3.6454700000000001E-6</v>
      </c>
      <c r="I3442">
        <v>236.56020000000001</v>
      </c>
      <c r="J3442">
        <v>-492.7</v>
      </c>
      <c r="K3442">
        <v>1.1202030000000001</v>
      </c>
      <c r="L3442">
        <v>256.50490000000002</v>
      </c>
      <c r="M3442">
        <v>3.6208900000000002E-2</v>
      </c>
      <c r="N3442">
        <v>-1.036726E-2</v>
      </c>
      <c r="O3442">
        <v>-0.99929060000000003</v>
      </c>
      <c r="P3442">
        <v>6.7939659999999999E-2</v>
      </c>
      <c r="Q3442">
        <v>-8.4829909999999994E-2</v>
      </c>
      <c r="R3442">
        <v>-0.99407679999999998</v>
      </c>
      <c r="S3442">
        <v>3.6254880000000003E-2</v>
      </c>
      <c r="T3442">
        <v>-0.1675681</v>
      </c>
      <c r="U3442">
        <v>-3.0011899999999998</v>
      </c>
      <c r="V3442">
        <v>-3.1991159999999998E-2</v>
      </c>
      <c r="W3442">
        <v>-7.4461070000000004E-2</v>
      </c>
      <c r="X3442">
        <v>0.99671069999999995</v>
      </c>
      <c r="Y3442">
        <v>2.4140979999999999E-2</v>
      </c>
      <c r="Z3442">
        <v>4.5330229999999999E-2</v>
      </c>
      <c r="AA3442">
        <v>0.99868029999999997</v>
      </c>
      <c r="AB3442">
        <v>20</v>
      </c>
      <c r="AC3442">
        <v>0.23859999999996201</v>
      </c>
      <c r="AD3442">
        <v>-1.1202066454699999</v>
      </c>
      <c r="AE3442">
        <v>-19.944700000000001</v>
      </c>
      <c r="AF3442">
        <v>0.48224976763257899</v>
      </c>
      <c r="AG3442">
        <v>-1.1202066454699999</v>
      </c>
      <c r="AH3442">
        <v>19.877563271292701</v>
      </c>
      <c r="AI3442">
        <v>93.224563972196194</v>
      </c>
      <c r="AJ3442">
        <v>88.610219132679106</v>
      </c>
      <c r="AK3442">
        <v>19.914942866380098</v>
      </c>
      <c r="AL3442">
        <v>94.270257080302599</v>
      </c>
      <c r="AM3442">
        <v>91.838376371703902</v>
      </c>
      <c r="AN3442">
        <v>1.00000005237908</v>
      </c>
    </row>
    <row r="3443" spans="1:40" x14ac:dyDescent="0.25">
      <c r="A3443" t="str">
        <f>"20190303154204617"</f>
        <v>20190303154204617</v>
      </c>
      <c r="B3443" t="str">
        <f>"1551598924613285"</f>
        <v>1551598924613285</v>
      </c>
      <c r="C3443" t="s">
        <v>40</v>
      </c>
      <c r="D3443">
        <v>6.0593430000000001</v>
      </c>
      <c r="E3443">
        <v>0.52072609999999997</v>
      </c>
      <c r="F3443" t="s">
        <v>41</v>
      </c>
      <c r="G3443">
        <v>-492.46109999999999</v>
      </c>
      <c r="H3443" s="1">
        <v>-3.5280279999999999E-6</v>
      </c>
      <c r="I3443">
        <v>236.28659999999999</v>
      </c>
      <c r="J3443">
        <v>-492.69639999999998</v>
      </c>
      <c r="K3443">
        <v>1.120187</v>
      </c>
      <c r="L3443">
        <v>256.3929</v>
      </c>
      <c r="M3443">
        <v>3.573896E-2</v>
      </c>
      <c r="N3443">
        <v>-1.033737E-2</v>
      </c>
      <c r="O3443">
        <v>-0.99930790000000003</v>
      </c>
      <c r="P3443">
        <v>6.8008239999999998E-2</v>
      </c>
      <c r="Q3443">
        <v>-8.4304509999999999E-2</v>
      </c>
      <c r="R3443">
        <v>-0.99411649999999996</v>
      </c>
      <c r="S3443">
        <v>3.5461430000000002E-2</v>
      </c>
      <c r="T3443">
        <v>-0.166287299999999</v>
      </c>
      <c r="U3443">
        <v>-3.0012660000000002</v>
      </c>
      <c r="V3443">
        <v>-3.252799E-2</v>
      </c>
      <c r="W3443">
        <v>-7.3963780000000007E-2</v>
      </c>
      <c r="X3443">
        <v>0.99673029999999996</v>
      </c>
      <c r="Y3443">
        <v>2.3935069999999999E-2</v>
      </c>
      <c r="Z3443">
        <v>4.493573E-2</v>
      </c>
      <c r="AA3443">
        <v>0.99870309999999995</v>
      </c>
      <c r="AB3443">
        <v>20</v>
      </c>
      <c r="AC3443">
        <v>0.23529999999999501</v>
      </c>
      <c r="AD3443">
        <v>-1.120190528028</v>
      </c>
      <c r="AE3443">
        <v>-20.106300000000001</v>
      </c>
      <c r="AF3443">
        <v>0.481971009790435</v>
      </c>
      <c r="AG3443">
        <v>-1.120190528028</v>
      </c>
      <c r="AH3443">
        <v>20.039669438768598</v>
      </c>
      <c r="AI3443">
        <v>93.198504273979694</v>
      </c>
      <c r="AJ3443">
        <v>88.622253621055904</v>
      </c>
      <c r="AK3443">
        <v>20.0767396279495</v>
      </c>
      <c r="AL3443">
        <v>94.241685895112795</v>
      </c>
      <c r="AM3443">
        <v>91.869166946796</v>
      </c>
      <c r="AN3443">
        <v>1.0000000009117</v>
      </c>
    </row>
    <row r="3444" spans="1:40" x14ac:dyDescent="0.25">
      <c r="A3444" t="str">
        <f>"20190303154204634"</f>
        <v>20190303154204634</v>
      </c>
      <c r="B3444" t="str">
        <f>"1551598924623045"</f>
        <v>1551598924623045</v>
      </c>
      <c r="C3444" t="s">
        <v>40</v>
      </c>
      <c r="D3444">
        <v>6.0753459999999997</v>
      </c>
      <c r="E3444">
        <v>0.5204394</v>
      </c>
      <c r="F3444" t="s">
        <v>41</v>
      </c>
      <c r="G3444">
        <v>-492.4348</v>
      </c>
      <c r="H3444" s="1">
        <v>-3.8587260000000003E-6</v>
      </c>
      <c r="I3444">
        <v>237.0737</v>
      </c>
      <c r="J3444">
        <v>-492.69139999999999</v>
      </c>
      <c r="K3444">
        <v>1.12018</v>
      </c>
      <c r="L3444">
        <v>256.23009999999999</v>
      </c>
      <c r="M3444">
        <v>3.5041450000000002E-2</v>
      </c>
      <c r="N3444">
        <v>-1.029915E-2</v>
      </c>
      <c r="O3444">
        <v>-0.99933300000000003</v>
      </c>
      <c r="P3444">
        <v>6.7444450000000003E-2</v>
      </c>
      <c r="Q3444">
        <v>-8.344356E-2</v>
      </c>
      <c r="R3444">
        <v>-0.99422759999999999</v>
      </c>
      <c r="S3444">
        <v>4.0618899999999999E-2</v>
      </c>
      <c r="T3444">
        <v>-0.17396210000000001</v>
      </c>
      <c r="U3444">
        <v>-3.0001980000000001</v>
      </c>
      <c r="V3444">
        <v>-3.265593E-2</v>
      </c>
      <c r="W3444">
        <v>-7.3139529999999994E-2</v>
      </c>
      <c r="X3444">
        <v>0.99678699999999998</v>
      </c>
      <c r="Y3444">
        <v>2.1518659999999998E-2</v>
      </c>
      <c r="Z3444">
        <v>4.7541159999999999E-2</v>
      </c>
      <c r="AA3444">
        <v>0.99863740000000001</v>
      </c>
      <c r="AB3444">
        <v>20</v>
      </c>
      <c r="AC3444">
        <v>0.256599999999991</v>
      </c>
      <c r="AD3444">
        <v>-1.120183858726</v>
      </c>
      <c r="AE3444">
        <v>-19.156399999999898</v>
      </c>
      <c r="AF3444">
        <v>0.413447608858724</v>
      </c>
      <c r="AG3444">
        <v>-1.120183858726</v>
      </c>
      <c r="AH3444">
        <v>19.0883669614052</v>
      </c>
      <c r="AI3444">
        <v>93.357714370360895</v>
      </c>
      <c r="AJ3444">
        <v>88.759186699181399</v>
      </c>
      <c r="AK3444">
        <v>19.1256765646574</v>
      </c>
      <c r="AL3444">
        <v>94.194331327410794</v>
      </c>
      <c r="AM3444">
        <v>91.876406895632798</v>
      </c>
      <c r="AN3444">
        <v>1.00000006199089</v>
      </c>
    </row>
    <row r="3445" spans="1:40" x14ac:dyDescent="0.25">
      <c r="A3445" t="str">
        <f>"20190303154204646"</f>
        <v>20190303154204646</v>
      </c>
      <c r="B3445" t="str">
        <f>"1551598924643071"</f>
        <v>1551598924643071</v>
      </c>
      <c r="C3445" t="s">
        <v>40</v>
      </c>
      <c r="D3445">
        <v>6.0430320000000002</v>
      </c>
      <c r="E3445">
        <v>0.51986619999999995</v>
      </c>
      <c r="F3445" t="s">
        <v>41</v>
      </c>
      <c r="G3445">
        <v>-492.42619999999999</v>
      </c>
      <c r="H3445" s="1">
        <v>-3.8558439999999999E-6</v>
      </c>
      <c r="I3445">
        <v>237.07239999999999</v>
      </c>
      <c r="J3445">
        <v>-492.68810000000002</v>
      </c>
      <c r="K3445">
        <v>1.1201829999999999</v>
      </c>
      <c r="L3445">
        <v>256.12090000000001</v>
      </c>
      <c r="M3445">
        <v>3.4568590000000003E-2</v>
      </c>
      <c r="N3445">
        <v>-1.027669E-2</v>
      </c>
      <c r="O3445">
        <v>-0.99934970000000001</v>
      </c>
      <c r="P3445">
        <v>6.6892270000000004E-2</v>
      </c>
      <c r="Q3445">
        <v>-8.3205299999999996E-2</v>
      </c>
      <c r="R3445">
        <v>-0.99428519999999998</v>
      </c>
      <c r="S3445">
        <v>4.1534420000000002E-2</v>
      </c>
      <c r="T3445">
        <v>-0.1754098</v>
      </c>
      <c r="U3445">
        <v>-2.999908</v>
      </c>
      <c r="V3445">
        <v>-3.2573270000000001E-2</v>
      </c>
      <c r="W3445">
        <v>-7.2923500000000002E-2</v>
      </c>
      <c r="X3445">
        <v>0.99680550000000001</v>
      </c>
      <c r="Y3445">
        <v>2.0740149999999999E-2</v>
      </c>
      <c r="Z3445">
        <v>4.8050870000000002E-2</v>
      </c>
      <c r="AA3445">
        <v>0.99862960000000001</v>
      </c>
      <c r="AB3445">
        <v>20</v>
      </c>
      <c r="AC3445">
        <v>0.261900000000025</v>
      </c>
      <c r="AD3445">
        <v>-1.120186855844</v>
      </c>
      <c r="AE3445">
        <v>-19.048500000000001</v>
      </c>
      <c r="AF3445">
        <v>0.39540381262311503</v>
      </c>
      <c r="AG3445">
        <v>-1.120186855844</v>
      </c>
      <c r="AH3445">
        <v>18.9805405300148</v>
      </c>
      <c r="AI3445">
        <v>93.376813398008494</v>
      </c>
      <c r="AJ3445">
        <v>88.806583339658403</v>
      </c>
      <c r="AK3445">
        <v>19.017678133215401</v>
      </c>
      <c r="AL3445">
        <v>94.181920714521297</v>
      </c>
      <c r="AM3445">
        <v>91.871625929726207</v>
      </c>
      <c r="AN3445">
        <v>1.0000000298004901</v>
      </c>
    </row>
    <row r="3446" spans="1:40" x14ac:dyDescent="0.25">
      <c r="A3446" t="str">
        <f>"20190303154204658"</f>
        <v>20190303154204658</v>
      </c>
      <c r="B3446" t="str">
        <f>"1551598924652832"</f>
        <v>1551598924652832</v>
      </c>
      <c r="C3446" t="s">
        <v>40</v>
      </c>
      <c r="D3446">
        <v>6.0402909999999999</v>
      </c>
      <c r="E3446">
        <v>0.51962259999999905</v>
      </c>
      <c r="F3446" t="s">
        <v>41</v>
      </c>
      <c r="G3446">
        <v>-492.41860000000003</v>
      </c>
      <c r="H3446" s="1">
        <v>-4.0853289999999998E-6</v>
      </c>
      <c r="I3446">
        <v>237.73099999999999</v>
      </c>
      <c r="J3446">
        <v>-492.68490000000003</v>
      </c>
      <c r="K3446">
        <v>1.1201840000000001</v>
      </c>
      <c r="L3446">
        <v>256.01560000000001</v>
      </c>
      <c r="M3446">
        <v>3.4112089999999998E-2</v>
      </c>
      <c r="N3446">
        <v>-1.0256019999999999E-2</v>
      </c>
      <c r="O3446">
        <v>-0.99936539999999996</v>
      </c>
      <c r="P3446">
        <v>6.6145229999999999E-2</v>
      </c>
      <c r="Q3446">
        <v>-8.3066589999999996E-2</v>
      </c>
      <c r="R3446">
        <v>-0.99434670000000003</v>
      </c>
      <c r="S3446">
        <v>4.3945310000000001E-2</v>
      </c>
      <c r="T3446">
        <v>-0.18267920000000001</v>
      </c>
      <c r="U3446">
        <v>-2.9990079999999999</v>
      </c>
      <c r="V3446">
        <v>-3.2279330000000002E-2</v>
      </c>
      <c r="W3446">
        <v>-7.280557E-2</v>
      </c>
      <c r="X3446">
        <v>0.99682369999999998</v>
      </c>
      <c r="Y3446">
        <v>1.9478639999999998E-2</v>
      </c>
      <c r="Z3446">
        <v>5.0500780000000002E-2</v>
      </c>
      <c r="AA3446">
        <v>0.99853400000000003</v>
      </c>
      <c r="AB3446">
        <v>20</v>
      </c>
      <c r="AC3446">
        <v>0.26630000000000098</v>
      </c>
      <c r="AD3446">
        <v>-1.120188085329</v>
      </c>
      <c r="AE3446">
        <v>-18.284600000000001</v>
      </c>
      <c r="AF3446">
        <v>0.3562767960737</v>
      </c>
      <c r="AG3446">
        <v>-1.120188085329</v>
      </c>
      <c r="AH3446">
        <v>18.214691673090499</v>
      </c>
      <c r="AI3446">
        <v>93.518538257829405</v>
      </c>
      <c r="AJ3446">
        <v>88.879445535480997</v>
      </c>
      <c r="AK3446">
        <v>18.252581933734401</v>
      </c>
      <c r="AL3446">
        <v>94.175145740587197</v>
      </c>
      <c r="AM3446">
        <v>91.854714455599407</v>
      </c>
      <c r="AN3446">
        <v>1.00000004752498</v>
      </c>
    </row>
    <row r="3447" spans="1:40" x14ac:dyDescent="0.25">
      <c r="A3447" t="str">
        <f>"20190303154204671"</f>
        <v>20190303154204671</v>
      </c>
      <c r="B3447" t="str">
        <f>"1551598924662591"</f>
        <v>1551598924662591</v>
      </c>
      <c r="C3447" t="s">
        <v>40</v>
      </c>
      <c r="D3447">
        <v>6.0381210000000003</v>
      </c>
      <c r="E3447">
        <v>0.51937860000000002</v>
      </c>
      <c r="F3447" t="s">
        <v>41</v>
      </c>
      <c r="G3447">
        <v>-492.42309999999998</v>
      </c>
      <c r="H3447" s="1">
        <v>-4.1558199999999998E-6</v>
      </c>
      <c r="I3447">
        <v>237.9358</v>
      </c>
      <c r="J3447">
        <v>-492.68150000000003</v>
      </c>
      <c r="K3447">
        <v>1.120188</v>
      </c>
      <c r="L3447">
        <v>255.89789999999999</v>
      </c>
      <c r="M3447">
        <v>3.3601680000000002E-2</v>
      </c>
      <c r="N3447">
        <v>-1.023544E-2</v>
      </c>
      <c r="O3447">
        <v>-0.99938309999999997</v>
      </c>
      <c r="P3447">
        <v>6.5274879999999993E-2</v>
      </c>
      <c r="Q3447">
        <v>-8.2930100000000007E-2</v>
      </c>
      <c r="R3447">
        <v>-0.99441550000000001</v>
      </c>
      <c r="S3447">
        <v>4.3426510000000001E-2</v>
      </c>
      <c r="T3447">
        <v>-0.18579319999999999</v>
      </c>
      <c r="U3447">
        <v>-2.998688</v>
      </c>
      <c r="V3447">
        <v>-3.1915499999999999E-2</v>
      </c>
      <c r="W3447">
        <v>-7.2690050000000006E-2</v>
      </c>
      <c r="X3447">
        <v>0.99684379999999995</v>
      </c>
      <c r="Y3447">
        <v>1.9139980000000001E-2</v>
      </c>
      <c r="Z3447">
        <v>5.1561750000000003E-2</v>
      </c>
      <c r="AA3447">
        <v>0.9984864</v>
      </c>
      <c r="AB3447">
        <v>20</v>
      </c>
      <c r="AC3447">
        <v>0.25840000000005098</v>
      </c>
      <c r="AD3447">
        <v>-1.1201921558200001</v>
      </c>
      <c r="AE3447">
        <v>-17.9620999999999</v>
      </c>
      <c r="AF3447">
        <v>0.34399653395171997</v>
      </c>
      <c r="AG3447">
        <v>-1.1201921558200001</v>
      </c>
      <c r="AH3447">
        <v>17.891069702016601</v>
      </c>
      <c r="AI3447">
        <v>93.582054986107806</v>
      </c>
      <c r="AJ3447">
        <v>88.898493961858193</v>
      </c>
      <c r="AK3447">
        <v>17.929404317035999</v>
      </c>
      <c r="AL3447">
        <v>94.168509538334007</v>
      </c>
      <c r="AM3447">
        <v>91.833786817048903</v>
      </c>
      <c r="AN3447">
        <v>1.00000000205384</v>
      </c>
    </row>
    <row r="3448" spans="1:40" x14ac:dyDescent="0.25">
      <c r="A3448" t="str">
        <f>"20190303154204684"</f>
        <v>20190303154204684</v>
      </c>
      <c r="B3448" t="str">
        <f>"1551598924673328"</f>
        <v>1551598924673328</v>
      </c>
      <c r="C3448" t="s">
        <v>40</v>
      </c>
      <c r="D3448">
        <v>6.0408109999999997</v>
      </c>
      <c r="E3448">
        <v>0.51937860000000002</v>
      </c>
      <c r="F3448" t="s">
        <v>41</v>
      </c>
      <c r="G3448">
        <v>-492.42939999999999</v>
      </c>
      <c r="H3448" s="1">
        <v>-4.2204189999999997E-6</v>
      </c>
      <c r="I3448">
        <v>238.1223</v>
      </c>
      <c r="J3448">
        <v>-492.6782</v>
      </c>
      <c r="K3448">
        <v>1.1201829999999999</v>
      </c>
      <c r="L3448">
        <v>255.78460000000001</v>
      </c>
      <c r="M3448">
        <v>3.3111679999999998E-2</v>
      </c>
      <c r="N3448">
        <v>-1.021732E-2</v>
      </c>
      <c r="O3448">
        <v>-0.9993995</v>
      </c>
      <c r="P3448">
        <v>6.4684649999999996E-2</v>
      </c>
      <c r="Q3448">
        <v>-8.2886860000000007E-2</v>
      </c>
      <c r="R3448">
        <v>-0.9944577</v>
      </c>
      <c r="S3448">
        <v>4.2510989999999999E-2</v>
      </c>
      <c r="T3448">
        <v>-0.18894849999999999</v>
      </c>
      <c r="U3448">
        <v>-2.9983059999999999</v>
      </c>
      <c r="V3448">
        <v>-3.1811930000000002E-2</v>
      </c>
      <c r="W3448">
        <v>-7.2665250000000001E-2</v>
      </c>
      <c r="X3448">
        <v>0.99684890000000004</v>
      </c>
      <c r="Y3448">
        <v>1.8953520000000001E-2</v>
      </c>
      <c r="Z3448">
        <v>5.2635189999999998E-2</v>
      </c>
      <c r="AA3448">
        <v>0.99843389999999999</v>
      </c>
      <c r="AB3448">
        <v>20</v>
      </c>
      <c r="AC3448">
        <v>0.24880000000001601</v>
      </c>
      <c r="AD3448">
        <v>-1.120187220419</v>
      </c>
      <c r="AE3448">
        <v>-17.662299999999998</v>
      </c>
      <c r="AF3448">
        <v>0.33484872290953699</v>
      </c>
      <c r="AG3448">
        <v>-1.120187220419</v>
      </c>
      <c r="AH3448">
        <v>17.590111957463002</v>
      </c>
      <c r="AI3448">
        <v>93.643175691790006</v>
      </c>
      <c r="AJ3448">
        <v>88.909438342428302</v>
      </c>
      <c r="AK3448">
        <v>17.628924577299301</v>
      </c>
      <c r="AL3448">
        <v>94.167084913057906</v>
      </c>
      <c r="AM3448">
        <v>91.827830635575296</v>
      </c>
      <c r="AN3448">
        <v>0.99999998343954799</v>
      </c>
    </row>
    <row r="3449" spans="1:40" x14ac:dyDescent="0.25">
      <c r="A3449" t="str">
        <f>"20190303154204699"</f>
        <v>20190303154204699</v>
      </c>
      <c r="B3449" t="str">
        <f>"1551598924692847"</f>
        <v>1551598924692847</v>
      </c>
      <c r="C3449" t="s">
        <v>40</v>
      </c>
      <c r="D3449">
        <v>5.861491</v>
      </c>
      <c r="E3449">
        <v>0.51209399999999905</v>
      </c>
      <c r="F3449" t="s">
        <v>41</v>
      </c>
      <c r="G3449">
        <v>-492.43380000000002</v>
      </c>
      <c r="H3449" s="1">
        <v>-4.1784679999999999E-6</v>
      </c>
      <c r="I3449">
        <v>237.99680000000001</v>
      </c>
      <c r="J3449">
        <v>-492.67450000000002</v>
      </c>
      <c r="K3449">
        <v>1.1201909999999999</v>
      </c>
      <c r="L3449">
        <v>255.65289999999999</v>
      </c>
      <c r="M3449">
        <v>3.2544879999999998E-2</v>
      </c>
      <c r="N3449">
        <v>-1.019784E-2</v>
      </c>
      <c r="O3449">
        <v>-0.99941829999999998</v>
      </c>
      <c r="P3449">
        <v>6.3830629999999999E-2</v>
      </c>
      <c r="Q3449">
        <v>-8.3046239999999993E-2</v>
      </c>
      <c r="R3449">
        <v>-0.99449960000000004</v>
      </c>
      <c r="S3449">
        <v>4.1198730000000003E-2</v>
      </c>
      <c r="T3449">
        <v>-0.1888196</v>
      </c>
      <c r="U3449">
        <v>-2.9983219999999999</v>
      </c>
      <c r="V3449">
        <v>-3.1521090000000002E-2</v>
      </c>
      <c r="W3449">
        <v>-7.2844820000000005E-2</v>
      </c>
      <c r="X3449">
        <v>0.99684510000000004</v>
      </c>
      <c r="Y3449">
        <v>1.88235E-2</v>
      </c>
      <c r="Z3449">
        <v>5.261354E-2</v>
      </c>
      <c r="AA3449">
        <v>0.99843749999999998</v>
      </c>
      <c r="AB3449">
        <v>20</v>
      </c>
      <c r="AC3449">
        <v>0.24070000000000299</v>
      </c>
      <c r="AD3449">
        <v>-1.120195178468</v>
      </c>
      <c r="AE3449">
        <v>-17.656099999999899</v>
      </c>
      <c r="AF3449">
        <v>0.33273392153263698</v>
      </c>
      <c r="AG3449">
        <v>-1.120195178468</v>
      </c>
      <c r="AH3449">
        <v>17.5838132078689</v>
      </c>
      <c r="AI3449">
        <v>93.644510852745597</v>
      </c>
      <c r="AJ3449">
        <v>88.915936252149706</v>
      </c>
      <c r="AK3449">
        <v>17.6226001495133</v>
      </c>
      <c r="AL3449">
        <v>94.177400576068607</v>
      </c>
      <c r="AM3449">
        <v>91.811137807032793</v>
      </c>
      <c r="AN3449">
        <v>1.0000000501548101</v>
      </c>
    </row>
    <row r="3450" spans="1:40" x14ac:dyDescent="0.25">
      <c r="A3450" t="str">
        <f>"20190303154204714"</f>
        <v>20190303154204714</v>
      </c>
      <c r="B3450" t="str">
        <f>"1551598924702609"</f>
        <v>1551598924702609</v>
      </c>
      <c r="C3450" t="s">
        <v>40</v>
      </c>
      <c r="D3450">
        <v>5.9033810000000004</v>
      </c>
      <c r="E3450">
        <v>0.51066549999999999</v>
      </c>
      <c r="F3450" t="s">
        <v>42</v>
      </c>
      <c r="G3450">
        <v>-492.64710000000002</v>
      </c>
      <c r="H3450">
        <v>1.0284390000000001</v>
      </c>
      <c r="I3450">
        <v>254.77850000000001</v>
      </c>
      <c r="J3450">
        <v>-492.67059999999998</v>
      </c>
      <c r="K3450">
        <v>1.1201970000000001</v>
      </c>
      <c r="L3450">
        <v>255.51159999999999</v>
      </c>
      <c r="M3450">
        <v>3.194052E-2</v>
      </c>
      <c r="N3450">
        <v>-1.017942E-2</v>
      </c>
      <c r="O3450">
        <v>-0.9994381</v>
      </c>
      <c r="P3450">
        <v>6.2881210000000007E-2</v>
      </c>
      <c r="Q3450">
        <v>-8.2280939999999997E-2</v>
      </c>
      <c r="R3450">
        <v>-0.99462360000000005</v>
      </c>
      <c r="S3450">
        <v>9.4055180000000002E-2</v>
      </c>
      <c r="T3450">
        <v>-0.31314959999999997</v>
      </c>
      <c r="U3450">
        <v>-2.9844210000000002</v>
      </c>
      <c r="V3450">
        <v>-3.1168660000000001E-2</v>
      </c>
      <c r="W3450">
        <v>-7.2098099999999998E-2</v>
      </c>
      <c r="X3450">
        <v>0.99691039999999997</v>
      </c>
      <c r="Y3450">
        <v>5.823022E-4</v>
      </c>
      <c r="Z3450">
        <v>9.4125810000000004E-2</v>
      </c>
      <c r="AA3450">
        <v>0.99556020000000001</v>
      </c>
      <c r="AB3450">
        <v>20</v>
      </c>
      <c r="AC3450">
        <v>2.3499999999955799E-2</v>
      </c>
      <c r="AD3450">
        <v>-9.1758000000000006E-2</v>
      </c>
      <c r="AE3450">
        <v>-0.73309999999997899</v>
      </c>
      <c r="AF3450" s="1">
        <v>-7.0106643630427E-5</v>
      </c>
      <c r="AG3450">
        <v>-9.1758000000000006E-2</v>
      </c>
      <c r="AH3450">
        <v>0.72217449532567402</v>
      </c>
      <c r="AI3450">
        <v>97.241083726365801</v>
      </c>
      <c r="AJ3450">
        <v>90.005562111109199</v>
      </c>
      <c r="AK3450">
        <v>0.72798045109592902</v>
      </c>
      <c r="AL3450">
        <v>94.134504151308704</v>
      </c>
      <c r="AM3450">
        <v>91.790783924622502</v>
      </c>
      <c r="AN3450">
        <v>0.999999983508982</v>
      </c>
    </row>
    <row r="3451" spans="1:40" x14ac:dyDescent="0.25">
      <c r="A3451" t="str">
        <f>"20190303154204730"</f>
        <v>20190303154204730</v>
      </c>
      <c r="B3451" t="str">
        <f>"1551598924723103"</f>
        <v>1551598924723103</v>
      </c>
      <c r="C3451" t="s">
        <v>40</v>
      </c>
      <c r="D3451">
        <v>5.8800499999999998</v>
      </c>
      <c r="E3451">
        <v>0.48442429999999997</v>
      </c>
      <c r="F3451" t="s">
        <v>41</v>
      </c>
      <c r="G3451">
        <v>-492.20280000000002</v>
      </c>
      <c r="H3451" s="1">
        <v>-1.639103E-6</v>
      </c>
      <c r="I3451">
        <v>242.0437</v>
      </c>
      <c r="J3451">
        <v>-492.66669999999999</v>
      </c>
      <c r="K3451">
        <v>1.120209</v>
      </c>
      <c r="L3451">
        <v>255.36779999999999</v>
      </c>
      <c r="M3451">
        <v>3.1332869999999999E-2</v>
      </c>
      <c r="N3451">
        <v>-1.016324E-2</v>
      </c>
      <c r="O3451">
        <v>-0.99945740000000005</v>
      </c>
      <c r="P3451">
        <v>6.2046759999999999E-2</v>
      </c>
      <c r="Q3451">
        <v>-8.2028420000000005E-2</v>
      </c>
      <c r="R3451">
        <v>-0.99469669999999999</v>
      </c>
      <c r="S3451">
        <v>0.1038208</v>
      </c>
      <c r="T3451">
        <v>-0.2486169</v>
      </c>
      <c r="U3451">
        <v>-2.9890750000000001</v>
      </c>
      <c r="V3451">
        <v>-3.093578E-2</v>
      </c>
      <c r="W3451">
        <v>-7.1862200000000001E-2</v>
      </c>
      <c r="X3451">
        <v>0.99693469999999995</v>
      </c>
      <c r="Y3451">
        <v>-3.2864119999999998E-3</v>
      </c>
      <c r="Z3451">
        <v>7.2676009999999999E-2</v>
      </c>
      <c r="AA3451">
        <v>0.99735019999999996</v>
      </c>
      <c r="AB3451">
        <v>20</v>
      </c>
      <c r="AC3451">
        <v>0.46389999999996601</v>
      </c>
      <c r="AD3451">
        <v>-1.120210639103</v>
      </c>
      <c r="AE3451">
        <v>-13.3240999999999</v>
      </c>
      <c r="AF3451">
        <v>-4.5844717715078802E-2</v>
      </c>
      <c r="AG3451">
        <v>-1.120210639103</v>
      </c>
      <c r="AH3451">
        <v>13.238630151305999</v>
      </c>
      <c r="AI3451">
        <v>94.836635614648003</v>
      </c>
      <c r="AJ3451">
        <v>90.198411641404306</v>
      </c>
      <c r="AK3451">
        <v>13.2860190387178</v>
      </c>
      <c r="AL3451">
        <v>94.120952869275897</v>
      </c>
      <c r="AM3451">
        <v>91.777369208295596</v>
      </c>
      <c r="AN3451">
        <v>0.99999999716856902</v>
      </c>
    </row>
    <row r="3452" spans="1:40" x14ac:dyDescent="0.25">
      <c r="A3452" t="str">
        <f>"20190303154204747"</f>
        <v>20190303154204747</v>
      </c>
      <c r="B3452" t="str">
        <f>"1551598924743130"</f>
        <v>1551598924743130</v>
      </c>
      <c r="C3452" t="s">
        <v>40</v>
      </c>
      <c r="D3452">
        <v>5.8784099999999997</v>
      </c>
      <c r="E3452">
        <v>0.48367520000000003</v>
      </c>
      <c r="F3452" t="s">
        <v>41</v>
      </c>
      <c r="G3452">
        <v>-491.08580000000001</v>
      </c>
      <c r="H3452" s="1">
        <v>-5.6116659999999999E-7</v>
      </c>
      <c r="I3452">
        <v>240.22370000000001</v>
      </c>
      <c r="J3452">
        <v>-492.66269999999997</v>
      </c>
      <c r="K3452">
        <v>1.120217</v>
      </c>
      <c r="L3452">
        <v>255.2183</v>
      </c>
      <c r="M3452">
        <v>3.0706799999999999E-2</v>
      </c>
      <c r="N3452">
        <v>-1.0148259999999999E-2</v>
      </c>
      <c r="O3452">
        <v>-0.99947710000000001</v>
      </c>
      <c r="P3452">
        <v>6.1363170000000002E-2</v>
      </c>
      <c r="Q3452">
        <v>-8.0923330000000002E-2</v>
      </c>
      <c r="R3452">
        <v>-0.99483010000000005</v>
      </c>
      <c r="S3452">
        <v>0.3109131</v>
      </c>
      <c r="T3452">
        <v>-0.22031590000000001</v>
      </c>
      <c r="U3452">
        <v>-2.9784549999999999</v>
      </c>
      <c r="V3452">
        <v>-3.0870209999999999E-2</v>
      </c>
      <c r="W3452">
        <v>-7.0771689999999998E-2</v>
      </c>
      <c r="X3452">
        <v>0.99701479999999998</v>
      </c>
      <c r="Y3452">
        <v>-7.2992600000000005E-2</v>
      </c>
      <c r="Z3452">
        <v>6.3311259999999994E-2</v>
      </c>
      <c r="AA3452">
        <v>0.99532089999999995</v>
      </c>
      <c r="AB3452">
        <v>20</v>
      </c>
      <c r="AC3452">
        <v>1.57689999999996</v>
      </c>
      <c r="AD3452">
        <v>-1.1202175611666001</v>
      </c>
      <c r="AE3452">
        <v>-14.994599999999901</v>
      </c>
      <c r="AF3452">
        <v>-1.1095713986989399</v>
      </c>
      <c r="AG3452">
        <v>-1.1202175611666001</v>
      </c>
      <c r="AH3452">
        <v>14.953405941512999</v>
      </c>
      <c r="AI3452">
        <v>94.272543882847202</v>
      </c>
      <c r="AJ3452">
        <v>94.243679664890095</v>
      </c>
      <c r="AK3452">
        <v>15.0363022490515</v>
      </c>
      <c r="AL3452">
        <v>94.058311500644393</v>
      </c>
      <c r="AM3452">
        <v>91.773461990096393</v>
      </c>
      <c r="AN3452">
        <v>1.0000000566949601</v>
      </c>
    </row>
    <row r="3453" spans="1:40" x14ac:dyDescent="0.25">
      <c r="A3453" t="str">
        <f>"20190303154204760"</f>
        <v>20190303154204760</v>
      </c>
      <c r="B3453" t="str">
        <f>"1551598924752890"</f>
        <v>1551598924752890</v>
      </c>
      <c r="C3453" t="s">
        <v>40</v>
      </c>
      <c r="D3453">
        <v>5.8251759999999999</v>
      </c>
      <c r="E3453">
        <v>0.48367520000000003</v>
      </c>
      <c r="F3453" t="s">
        <v>41</v>
      </c>
      <c r="G3453">
        <v>-491.05840000000001</v>
      </c>
      <c r="H3453" s="1">
        <v>-4.6444440000000002E-7</v>
      </c>
      <c r="I3453">
        <v>240.0153</v>
      </c>
      <c r="J3453">
        <v>-492.65949999999998</v>
      </c>
      <c r="K3453">
        <v>1.120223</v>
      </c>
      <c r="L3453">
        <v>255.09309999999999</v>
      </c>
      <c r="M3453">
        <v>3.0186959999999999E-2</v>
      </c>
      <c r="N3453">
        <v>-1.013701E-2</v>
      </c>
      <c r="O3453">
        <v>-0.99949310000000002</v>
      </c>
      <c r="P3453">
        <v>6.096497E-2</v>
      </c>
      <c r="Q3453">
        <v>-8.0540790000000001E-2</v>
      </c>
      <c r="R3453">
        <v>-0.99488540000000003</v>
      </c>
      <c r="S3453">
        <v>0.31430049999999998</v>
      </c>
      <c r="T3453">
        <v>-0.2194576</v>
      </c>
      <c r="U3453">
        <v>-2.9783629999999999</v>
      </c>
      <c r="V3453">
        <v>-3.0987509999999999E-2</v>
      </c>
      <c r="W3453">
        <v>-7.0400320000000002E-2</v>
      </c>
      <c r="X3453">
        <v>0.99703739999999996</v>
      </c>
      <c r="Y3453">
        <v>-7.4635380000000001E-2</v>
      </c>
      <c r="Z3453">
        <v>6.3032870000000005E-2</v>
      </c>
      <c r="AA3453">
        <v>0.99521680000000001</v>
      </c>
      <c r="AB3453">
        <v>20</v>
      </c>
      <c r="AC3453">
        <v>1.60109999999997</v>
      </c>
      <c r="AD3453">
        <v>-1.1202234644444</v>
      </c>
      <c r="AE3453">
        <v>-15.0777999999999</v>
      </c>
      <c r="AF3453">
        <v>-1.1389770623165101</v>
      </c>
      <c r="AG3453">
        <v>-1.1202234644444</v>
      </c>
      <c r="AH3453">
        <v>15.037184068396799</v>
      </c>
      <c r="AI3453">
        <v>94.248362887463401</v>
      </c>
      <c r="AJ3453">
        <v>94.331542831184194</v>
      </c>
      <c r="AK3453">
        <v>15.1218078967306</v>
      </c>
      <c r="AL3453">
        <v>94.036980575197603</v>
      </c>
      <c r="AM3453">
        <v>91.780156101231597</v>
      </c>
      <c r="AN3453">
        <v>1.00000000391543</v>
      </c>
    </row>
    <row r="3454" spans="1:40" x14ac:dyDescent="0.25">
      <c r="A3454" t="str">
        <f>"20190303154204774"</f>
        <v>20190303154204774</v>
      </c>
      <c r="B3454" t="str">
        <f>"1551598924762649"</f>
        <v>1551598924762649</v>
      </c>
      <c r="C3454" t="s">
        <v>40</v>
      </c>
      <c r="D3454">
        <v>5.8283849999999999</v>
      </c>
      <c r="E3454">
        <v>0.4837439</v>
      </c>
      <c r="F3454" t="s">
        <v>41</v>
      </c>
      <c r="G3454">
        <v>-491.05160000000001</v>
      </c>
      <c r="H3454" s="1">
        <v>-3.7488350000000002E-7</v>
      </c>
      <c r="I3454">
        <v>239.8107</v>
      </c>
      <c r="J3454">
        <v>-492.65609999999998</v>
      </c>
      <c r="K3454">
        <v>1.1202270000000001</v>
      </c>
      <c r="L3454">
        <v>254.96190000000001</v>
      </c>
      <c r="M3454">
        <v>2.9645810000000002E-2</v>
      </c>
      <c r="N3454">
        <v>-1.012646E-2</v>
      </c>
      <c r="O3454">
        <v>-0.99950930000000004</v>
      </c>
      <c r="P3454">
        <v>6.0279470000000002E-2</v>
      </c>
      <c r="Q3454">
        <v>-8.0470109999999997E-2</v>
      </c>
      <c r="R3454">
        <v>-0.99493290000000001</v>
      </c>
      <c r="S3454">
        <v>0.31338500000000002</v>
      </c>
      <c r="T3454">
        <v>-0.21833569999999999</v>
      </c>
      <c r="U3454">
        <v>-2.9785919999999999</v>
      </c>
      <c r="V3454">
        <v>-3.0839310000000002E-2</v>
      </c>
      <c r="W3454">
        <v>-7.0340630000000001E-2</v>
      </c>
      <c r="X3454">
        <v>0.99704619999999999</v>
      </c>
      <c r="Y3454">
        <v>-7.4867260000000005E-2</v>
      </c>
      <c r="Z3454">
        <v>6.2667689999999998E-2</v>
      </c>
      <c r="AA3454">
        <v>0.99522239999999995</v>
      </c>
      <c r="AB3454">
        <v>20</v>
      </c>
      <c r="AC3454">
        <v>1.6044999999999701</v>
      </c>
      <c r="AD3454">
        <v>-1.1202273748835001</v>
      </c>
      <c r="AE3454">
        <v>-15.151199999999999</v>
      </c>
      <c r="AF3454">
        <v>-1.1483939242472301</v>
      </c>
      <c r="AG3454">
        <v>-1.1202273748835001</v>
      </c>
      <c r="AH3454">
        <v>15.1104222541447</v>
      </c>
      <c r="AI3454">
        <v>94.227779815283995</v>
      </c>
      <c r="AJ3454">
        <v>94.346131264811206</v>
      </c>
      <c r="AK3454">
        <v>15.1953472706364</v>
      </c>
      <c r="AL3454">
        <v>94.033552122228897</v>
      </c>
      <c r="AM3454">
        <v>91.771632188360698</v>
      </c>
      <c r="AN3454">
        <v>0.99999999610225598</v>
      </c>
    </row>
    <row r="3455" spans="1:40" x14ac:dyDescent="0.25">
      <c r="A3455" t="str">
        <f>"20190303154204791"</f>
        <v>20190303154204791</v>
      </c>
      <c r="B3455" t="str">
        <f>"1551598924783145"</f>
        <v>1551598924783145</v>
      </c>
      <c r="C3455" t="s">
        <v>40</v>
      </c>
      <c r="D3455">
        <v>5.8395890000000001</v>
      </c>
      <c r="E3455">
        <v>0.4839038</v>
      </c>
      <c r="F3455" t="s">
        <v>41</v>
      </c>
      <c r="G3455">
        <v>-491.06920000000002</v>
      </c>
      <c r="H3455" s="1">
        <v>-3.5784910000000001E-7</v>
      </c>
      <c r="I3455">
        <v>239.76009999999999</v>
      </c>
      <c r="J3455">
        <v>-492.65230000000003</v>
      </c>
      <c r="K3455">
        <v>1.120231</v>
      </c>
      <c r="L3455">
        <v>254.8074</v>
      </c>
      <c r="M3455">
        <v>2.901424E-2</v>
      </c>
      <c r="N3455">
        <v>-1.011603E-2</v>
      </c>
      <c r="O3455">
        <v>-0.99952790000000002</v>
      </c>
      <c r="P3455">
        <v>6.049732E-2</v>
      </c>
      <c r="Q3455">
        <v>-8.0290680000000003E-2</v>
      </c>
      <c r="R3455">
        <v>-0.99493430000000005</v>
      </c>
      <c r="S3455">
        <v>0.31094359999999999</v>
      </c>
      <c r="T3455">
        <v>-0.21950359999999999</v>
      </c>
      <c r="U3455">
        <v>-2.978729</v>
      </c>
      <c r="V3455">
        <v>-3.1685940000000003E-2</v>
      </c>
      <c r="W3455">
        <v>-7.0171029999999995E-2</v>
      </c>
      <c r="X3455">
        <v>0.99703160000000002</v>
      </c>
      <c r="Y3455">
        <v>-7.4683079999999999E-2</v>
      </c>
      <c r="Z3455">
        <v>6.3067300000000007E-2</v>
      </c>
      <c r="AA3455">
        <v>0.99521099999999996</v>
      </c>
      <c r="AB3455">
        <v>20</v>
      </c>
      <c r="AC3455">
        <v>1.5831</v>
      </c>
      <c r="AD3455">
        <v>-1.1202313578491001</v>
      </c>
      <c r="AE3455">
        <v>-15.0473</v>
      </c>
      <c r="AF3455">
        <v>-1.13957831009491</v>
      </c>
      <c r="AG3455">
        <v>-1.1202313578491001</v>
      </c>
      <c r="AH3455">
        <v>15.0046477846484</v>
      </c>
      <c r="AI3455">
        <v>94.257505789270695</v>
      </c>
      <c r="AJ3455">
        <v>94.343182271164196</v>
      </c>
      <c r="AK3455">
        <v>15.089500063332199</v>
      </c>
      <c r="AL3455">
        <v>94.0238107042004</v>
      </c>
      <c r="AM3455">
        <v>91.820263070958404</v>
      </c>
      <c r="AN3455">
        <v>0.99999999182175203</v>
      </c>
    </row>
    <row r="3456" spans="1:40" x14ac:dyDescent="0.25">
      <c r="A3456" t="str">
        <f>"20190303154204805"</f>
        <v>20190303154204805</v>
      </c>
      <c r="B3456" t="str">
        <f>"1551598924792906"</f>
        <v>1551598924792906</v>
      </c>
      <c r="C3456" t="s">
        <v>40</v>
      </c>
      <c r="D3456">
        <v>5.967759</v>
      </c>
      <c r="E3456">
        <v>0.48409099999999999</v>
      </c>
      <c r="F3456" t="s">
        <v>41</v>
      </c>
      <c r="G3456">
        <v>-491.10410000000002</v>
      </c>
      <c r="H3456" s="1">
        <v>-4.4260219999999999E-7</v>
      </c>
      <c r="I3456">
        <v>239.93600000000001</v>
      </c>
      <c r="J3456">
        <v>-492.64940000000001</v>
      </c>
      <c r="K3456">
        <v>1.1202350000000001</v>
      </c>
      <c r="L3456">
        <v>254.68879999999999</v>
      </c>
      <c r="M3456">
        <v>2.8533260000000001E-2</v>
      </c>
      <c r="N3456">
        <v>-1.010902E-2</v>
      </c>
      <c r="O3456">
        <v>-0.99954189999999998</v>
      </c>
      <c r="P3456">
        <v>6.0505580000000003E-2</v>
      </c>
      <c r="Q3456">
        <v>-8.0447710000000006E-2</v>
      </c>
      <c r="R3456">
        <v>-0.9949211</v>
      </c>
      <c r="S3456">
        <v>0.31005860000000002</v>
      </c>
      <c r="T3456">
        <v>-0.22434899999999999</v>
      </c>
      <c r="U3456">
        <v>-2.9782869999999999</v>
      </c>
      <c r="V3456">
        <v>-3.2173350000000003E-2</v>
      </c>
      <c r="W3456">
        <v>-7.0335019999999998E-2</v>
      </c>
      <c r="X3456">
        <v>0.99700440000000001</v>
      </c>
      <c r="Y3456">
        <v>-7.4874189999999993E-2</v>
      </c>
      <c r="Z3456">
        <v>6.4693929999999997E-2</v>
      </c>
      <c r="AA3456">
        <v>0.99509219999999998</v>
      </c>
      <c r="AB3456">
        <v>20</v>
      </c>
      <c r="AC3456">
        <v>1.5452999999999899</v>
      </c>
      <c r="AD3456">
        <v>-1.1202354426021901</v>
      </c>
      <c r="AE3456">
        <v>-14.752800000000001</v>
      </c>
      <c r="AF3456">
        <v>-1.11733130111019</v>
      </c>
      <c r="AG3456">
        <v>-1.1202354426021901</v>
      </c>
      <c r="AH3456">
        <v>14.7070080430096</v>
      </c>
      <c r="AI3456">
        <v>94.343350348389507</v>
      </c>
      <c r="AJ3456">
        <v>94.344569899857007</v>
      </c>
      <c r="AK3456">
        <v>14.791870816784799</v>
      </c>
      <c r="AL3456">
        <v>94.033230054591996</v>
      </c>
      <c r="AM3456">
        <v>91.848294441753893</v>
      </c>
      <c r="AN3456">
        <v>0.99999995655398999</v>
      </c>
    </row>
    <row r="3457" spans="1:40" x14ac:dyDescent="0.25">
      <c r="A3457" t="str">
        <f>"20190303154204825"</f>
        <v>20190303154204825</v>
      </c>
      <c r="B3457" t="str">
        <f>"1551598924813402"</f>
        <v>1551598924813402</v>
      </c>
      <c r="C3457" t="s">
        <v>40</v>
      </c>
      <c r="D3457">
        <v>5.8032159999999999</v>
      </c>
      <c r="E3457">
        <v>0.4841239</v>
      </c>
      <c r="F3457" t="s">
        <v>41</v>
      </c>
      <c r="G3457">
        <v>-491.11689999999999</v>
      </c>
      <c r="H3457" s="1">
        <v>-4.2896990000000002E-7</v>
      </c>
      <c r="I3457">
        <v>239.8963</v>
      </c>
      <c r="J3457">
        <v>-492.64499999999998</v>
      </c>
      <c r="K3457">
        <v>1.120241</v>
      </c>
      <c r="L3457">
        <v>254.505</v>
      </c>
      <c r="M3457">
        <v>2.7791880000000001E-2</v>
      </c>
      <c r="N3457">
        <v>-1.009959E-2</v>
      </c>
      <c r="O3457">
        <v>-0.99956290000000003</v>
      </c>
      <c r="P3457">
        <v>6.058649E-2</v>
      </c>
      <c r="Q3457">
        <v>-8.0119720000000005E-2</v>
      </c>
      <c r="R3457">
        <v>-0.99494249999999995</v>
      </c>
      <c r="S3457">
        <v>0.30856319999999998</v>
      </c>
      <c r="T3457">
        <v>-0.22554779999999999</v>
      </c>
      <c r="U3457">
        <v>-2.9783170000000001</v>
      </c>
      <c r="V3457">
        <v>-3.2991300000000001E-2</v>
      </c>
      <c r="W3457">
        <v>-7.0015919999999995E-2</v>
      </c>
      <c r="X3457">
        <v>0.9970002</v>
      </c>
      <c r="Y3457">
        <v>-7.5115520000000005E-2</v>
      </c>
      <c r="Z3457">
        <v>6.5103209999999995E-2</v>
      </c>
      <c r="AA3457">
        <v>0.99504729999999997</v>
      </c>
      <c r="AB3457">
        <v>20</v>
      </c>
      <c r="AC3457">
        <v>1.52809999999999</v>
      </c>
      <c r="AD3457">
        <v>-1.1202414289698901</v>
      </c>
      <c r="AE3457">
        <v>-14.608700000000001</v>
      </c>
      <c r="AF3457">
        <v>-1.1150002316088199</v>
      </c>
      <c r="AG3457">
        <v>-1.1202414289698901</v>
      </c>
      <c r="AH3457">
        <v>14.560831987447299</v>
      </c>
      <c r="AI3457">
        <v>94.386607516804204</v>
      </c>
      <c r="AJ3457">
        <v>94.378896493834702</v>
      </c>
      <c r="AK3457">
        <v>14.6463645503701</v>
      </c>
      <c r="AL3457">
        <v>94.014901502353595</v>
      </c>
      <c r="AM3457">
        <v>91.895258162430295</v>
      </c>
      <c r="AN3457">
        <v>1.0000000268645799</v>
      </c>
    </row>
    <row r="3458" spans="1:40" x14ac:dyDescent="0.25">
      <c r="A3458" t="str">
        <f>"20190303154204846"</f>
        <v>20190303154204846</v>
      </c>
      <c r="B3458" t="str">
        <f>"1551598924843074"</f>
        <v>1551598924843074</v>
      </c>
      <c r="C3458" t="s">
        <v>40</v>
      </c>
      <c r="D3458">
        <v>5.7746879999999896</v>
      </c>
      <c r="E3458">
        <v>0.4840545</v>
      </c>
      <c r="F3458" t="s">
        <v>41</v>
      </c>
      <c r="G3458">
        <v>-491.1148</v>
      </c>
      <c r="H3458" s="1">
        <v>-3.592675E-7</v>
      </c>
      <c r="I3458">
        <v>239.73519999999999</v>
      </c>
      <c r="J3458">
        <v>-492.6404</v>
      </c>
      <c r="K3458">
        <v>1.1202449999999999</v>
      </c>
      <c r="L3458">
        <v>254.30590000000001</v>
      </c>
      <c r="M3458">
        <v>2.6996760000000002E-2</v>
      </c>
      <c r="N3458">
        <v>-1.0091279999999999E-2</v>
      </c>
      <c r="O3458">
        <v>-0.99958480000000005</v>
      </c>
      <c r="P3458">
        <v>6.0630049999999998E-2</v>
      </c>
      <c r="Q3458">
        <v>-7.967921E-2</v>
      </c>
      <c r="R3458">
        <v>-0.99497519999999995</v>
      </c>
      <c r="S3458">
        <v>0.30856319999999998</v>
      </c>
      <c r="T3458">
        <v>-0.22588920000000001</v>
      </c>
      <c r="U3458">
        <v>-2.9782410000000001</v>
      </c>
      <c r="V3458">
        <v>-3.3825229999999998E-2</v>
      </c>
      <c r="W3458">
        <v>-6.9583160000000005E-2</v>
      </c>
      <c r="X3458">
        <v>0.99700250000000001</v>
      </c>
      <c r="Y3458">
        <v>-7.5910130000000006E-2</v>
      </c>
      <c r="Z3458">
        <v>6.5226389999999995E-2</v>
      </c>
      <c r="AA3458">
        <v>0.99497899999999995</v>
      </c>
      <c r="AB3458">
        <v>20</v>
      </c>
      <c r="AC3458">
        <v>1.5255999999999901</v>
      </c>
      <c r="AD3458">
        <v>-1.1202453592674999</v>
      </c>
      <c r="AE3458">
        <v>-14.5707</v>
      </c>
      <c r="AF3458">
        <v>-1.12508393454202</v>
      </c>
      <c r="AG3458">
        <v>-1.1202453592674999</v>
      </c>
      <c r="AH3458">
        <v>14.521669436571299</v>
      </c>
      <c r="AI3458">
        <v>94.398104270298901</v>
      </c>
      <c r="AJ3458">
        <v>94.4302098784419</v>
      </c>
      <c r="AK3458">
        <v>14.6082047750493</v>
      </c>
      <c r="AL3458">
        <v>93.990045771157199</v>
      </c>
      <c r="AM3458">
        <v>91.943124362530099</v>
      </c>
      <c r="AN3458">
        <v>0.99999997367319304</v>
      </c>
    </row>
    <row r="3459" spans="1:40" x14ac:dyDescent="0.25">
      <c r="A3459" t="str">
        <f>"20190303154204860"</f>
        <v>20190303154204860</v>
      </c>
      <c r="B3459" t="str">
        <f>"1551598924852834"</f>
        <v>1551598924852834</v>
      </c>
      <c r="C3459" t="s">
        <v>40</v>
      </c>
      <c r="D3459">
        <v>5.7420369999999998</v>
      </c>
      <c r="E3459">
        <v>0.48404609999999898</v>
      </c>
      <c r="F3459" t="s">
        <v>41</v>
      </c>
      <c r="G3459">
        <v>-491.12369999999999</v>
      </c>
      <c r="H3459" s="1">
        <v>-3.4552599999999999E-7</v>
      </c>
      <c r="I3459">
        <v>239.69759999999999</v>
      </c>
      <c r="J3459">
        <v>-492.6377</v>
      </c>
      <c r="K3459">
        <v>1.1202490000000001</v>
      </c>
      <c r="L3459">
        <v>254.1832</v>
      </c>
      <c r="M3459">
        <v>2.6510700000000002E-2</v>
      </c>
      <c r="N3459">
        <v>-1.0086940000000001E-2</v>
      </c>
      <c r="O3459">
        <v>-0.99959759999999998</v>
      </c>
      <c r="P3459">
        <v>6.0482649999999999E-2</v>
      </c>
      <c r="Q3459">
        <v>-7.9553960000000007E-2</v>
      </c>
      <c r="R3459">
        <v>-0.99499400000000005</v>
      </c>
      <c r="S3459">
        <v>0.30920409999999998</v>
      </c>
      <c r="T3459">
        <v>-0.2283703</v>
      </c>
      <c r="U3459">
        <v>-2.9780120000000001</v>
      </c>
      <c r="V3459">
        <v>-3.4161160000000003E-2</v>
      </c>
      <c r="W3459">
        <v>-6.9462200000000002E-2</v>
      </c>
      <c r="X3459">
        <v>0.99699950000000004</v>
      </c>
      <c r="Y3459">
        <v>-7.6608380000000004E-2</v>
      </c>
      <c r="Z3459">
        <v>6.6057539999999998E-2</v>
      </c>
      <c r="AA3459">
        <v>0.99487060000000005</v>
      </c>
      <c r="AB3459">
        <v>20</v>
      </c>
      <c r="AC3459">
        <v>1.51400000000001</v>
      </c>
      <c r="AD3459">
        <v>-1.1202493455259901</v>
      </c>
      <c r="AE3459">
        <v>-14.4856</v>
      </c>
      <c r="AF3459">
        <v>-1.1227823415387499</v>
      </c>
      <c r="AG3459">
        <v>-1.1202493455259901</v>
      </c>
      <c r="AH3459">
        <v>14.435246623481101</v>
      </c>
      <c r="AI3459">
        <v>94.424243348298006</v>
      </c>
      <c r="AJ3459">
        <v>94.447546360397894</v>
      </c>
      <c r="AK3459">
        <v>14.522119124402799</v>
      </c>
      <c r="AL3459">
        <v>93.983098388301102</v>
      </c>
      <c r="AM3459">
        <v>91.962413085131402</v>
      </c>
      <c r="AN3459">
        <v>0.99999999254081695</v>
      </c>
    </row>
    <row r="3460" spans="1:40" x14ac:dyDescent="0.25">
      <c r="A3460" t="str">
        <f>"20190303154204873"</f>
        <v>20190303154204873</v>
      </c>
      <c r="B3460" t="str">
        <f>"1551598924862595"</f>
        <v>1551598924862595</v>
      </c>
      <c r="C3460" t="s">
        <v>40</v>
      </c>
      <c r="D3460">
        <v>5.7491029999999999</v>
      </c>
      <c r="E3460">
        <v>0.48396359999999999</v>
      </c>
      <c r="F3460" t="s">
        <v>41</v>
      </c>
      <c r="G3460">
        <v>-491.13299999999998</v>
      </c>
      <c r="H3460" s="1">
        <v>-3.3067259999999999E-7</v>
      </c>
      <c r="I3460">
        <v>239.65719999999999</v>
      </c>
      <c r="J3460">
        <v>-492.63490000000002</v>
      </c>
      <c r="K3460">
        <v>1.120255</v>
      </c>
      <c r="L3460">
        <v>254.0583</v>
      </c>
      <c r="M3460">
        <v>2.602047E-2</v>
      </c>
      <c r="N3460">
        <v>-1.0083140000000001E-2</v>
      </c>
      <c r="O3460">
        <v>-0.99961069999999996</v>
      </c>
      <c r="P3460">
        <v>6.0292909999999998E-2</v>
      </c>
      <c r="Q3460">
        <v>-7.9680470000000003E-2</v>
      </c>
      <c r="R3460">
        <v>-0.99499559999999998</v>
      </c>
      <c r="S3460">
        <v>0.30847170000000002</v>
      </c>
      <c r="T3460">
        <v>-0.22966210000000001</v>
      </c>
      <c r="U3460">
        <v>-2.9779659999999999</v>
      </c>
      <c r="V3460">
        <v>-3.4458919999999997E-2</v>
      </c>
      <c r="W3460">
        <v>-6.9592749999999995E-2</v>
      </c>
      <c r="X3460">
        <v>0.99698010000000004</v>
      </c>
      <c r="Y3460">
        <v>-7.6853630000000006E-2</v>
      </c>
      <c r="Z3460">
        <v>6.6492200000000001E-2</v>
      </c>
      <c r="AA3460">
        <v>0.99482269999999995</v>
      </c>
      <c r="AB3460">
        <v>20</v>
      </c>
      <c r="AC3460">
        <v>1.50189999999997</v>
      </c>
      <c r="AD3460">
        <v>-1.1202553306726</v>
      </c>
      <c r="AE3460">
        <v>-14.4011</v>
      </c>
      <c r="AF3460">
        <v>-1.11994492123511</v>
      </c>
      <c r="AG3460">
        <v>-1.1202553306726</v>
      </c>
      <c r="AH3460">
        <v>14.3494084489173</v>
      </c>
      <c r="AI3460">
        <v>94.450534996151305</v>
      </c>
      <c r="AJ3460">
        <v>94.462783114960104</v>
      </c>
      <c r="AK3460">
        <v>14.4365775537819</v>
      </c>
      <c r="AL3460">
        <v>93.990596691912998</v>
      </c>
      <c r="AM3460">
        <v>91.979543067111194</v>
      </c>
      <c r="AN3460">
        <v>0.99999994390806701</v>
      </c>
    </row>
    <row r="3461" spans="1:40" x14ac:dyDescent="0.25">
      <c r="A3461" t="str">
        <f>"20190303154204886"</f>
        <v>20190303154204886</v>
      </c>
      <c r="B3461" t="str">
        <f>"1551598924883090"</f>
        <v>1551598924883090</v>
      </c>
      <c r="C3461" t="s">
        <v>40</v>
      </c>
      <c r="D3461">
        <v>5.7700670000000001</v>
      </c>
      <c r="E3461">
        <v>0.48386990000000002</v>
      </c>
      <c r="F3461" t="s">
        <v>41</v>
      </c>
      <c r="G3461">
        <v>-491.13420000000002</v>
      </c>
      <c r="H3461" s="1">
        <v>-4.477688E-6</v>
      </c>
      <c r="I3461">
        <v>239.55350000000001</v>
      </c>
      <c r="J3461">
        <v>-492.63260000000002</v>
      </c>
      <c r="K3461">
        <v>1.12026</v>
      </c>
      <c r="L3461">
        <v>253.9496</v>
      </c>
      <c r="M3461">
        <v>2.5599899999999998E-2</v>
      </c>
      <c r="N3461">
        <v>-1.0080449999999999E-2</v>
      </c>
      <c r="O3461">
        <v>-0.99962150000000005</v>
      </c>
      <c r="P3461">
        <v>6.0098560000000002E-2</v>
      </c>
      <c r="Q3461">
        <v>-7.9584559999999999E-2</v>
      </c>
      <c r="R3461">
        <v>-0.99501490000000004</v>
      </c>
      <c r="S3461">
        <v>0.30810549999999998</v>
      </c>
      <c r="T3461">
        <v>-0.2300024</v>
      </c>
      <c r="U3461">
        <v>-2.9780120000000001</v>
      </c>
      <c r="V3461">
        <v>-3.4682579999999998E-2</v>
      </c>
      <c r="W3461">
        <v>-6.9499720000000001E-2</v>
      </c>
      <c r="X3461">
        <v>0.9969789</v>
      </c>
      <c r="Y3461">
        <v>-7.7149540000000003E-2</v>
      </c>
      <c r="Z3461">
        <v>6.6607150000000004E-2</v>
      </c>
      <c r="AA3461">
        <v>0.99479220000000002</v>
      </c>
      <c r="AB3461">
        <v>20</v>
      </c>
      <c r="AC3461">
        <v>1.4984</v>
      </c>
      <c r="AD3461">
        <v>-1.120264477688</v>
      </c>
      <c r="AE3461">
        <v>-14.396099999999899</v>
      </c>
      <c r="AF3461">
        <v>-1.1226262243477201</v>
      </c>
      <c r="AG3461">
        <v>-1.120264477688</v>
      </c>
      <c r="AH3461">
        <v>14.343813958213801</v>
      </c>
      <c r="AI3461">
        <v>94.452225180666005</v>
      </c>
      <c r="AJ3461">
        <v>94.475161993964605</v>
      </c>
      <c r="AK3461">
        <v>14.4312259010596</v>
      </c>
      <c r="AL3461">
        <v>93.985253265213998</v>
      </c>
      <c r="AM3461">
        <v>91.992383617389294</v>
      </c>
      <c r="AN3461">
        <v>1.0000000097403701</v>
      </c>
    </row>
    <row r="3462" spans="1:40" x14ac:dyDescent="0.25">
      <c r="A3462" t="str">
        <f>"20190303154204904"</f>
        <v>20190303154204904</v>
      </c>
      <c r="B3462" t="str">
        <f>"1551598924892851"</f>
        <v>1551598924892851</v>
      </c>
      <c r="C3462" t="s">
        <v>40</v>
      </c>
      <c r="D3462">
        <v>5.7451930000000004</v>
      </c>
      <c r="E3462">
        <v>0.48381370000000001</v>
      </c>
      <c r="F3462" t="s">
        <v>41</v>
      </c>
      <c r="G3462">
        <v>-491.13850000000002</v>
      </c>
      <c r="H3462" s="1">
        <v>-4.4728359999999999E-6</v>
      </c>
      <c r="I3462">
        <v>239.5369</v>
      </c>
      <c r="J3462">
        <v>-492.62900000000002</v>
      </c>
      <c r="K3462">
        <v>1.120269</v>
      </c>
      <c r="L3462">
        <v>253.78020000000001</v>
      </c>
      <c r="M3462">
        <v>2.4954830000000001E-2</v>
      </c>
      <c r="N3462">
        <v>-1.0079670000000001E-2</v>
      </c>
      <c r="O3462">
        <v>-0.99963809999999997</v>
      </c>
      <c r="P3462">
        <v>5.9398720000000002E-2</v>
      </c>
      <c r="Q3462">
        <v>-7.9336939999999995E-2</v>
      </c>
      <c r="R3462">
        <v>-0.99507699999999999</v>
      </c>
      <c r="S3462">
        <v>0.3086853</v>
      </c>
      <c r="T3462">
        <v>-0.2314631</v>
      </c>
      <c r="U3462">
        <v>-2.977859</v>
      </c>
      <c r="V3462">
        <v>-3.4621850000000003E-2</v>
      </c>
      <c r="W3462">
        <v>-6.9253540000000002E-2</v>
      </c>
      <c r="X3462">
        <v>0.9969981</v>
      </c>
      <c r="Y3462">
        <v>-7.7985819999999997E-2</v>
      </c>
      <c r="Z3462">
        <v>6.7094360000000006E-2</v>
      </c>
      <c r="AA3462">
        <v>0.99469419999999997</v>
      </c>
      <c r="AB3462">
        <v>20</v>
      </c>
      <c r="AC3462">
        <v>1.4904999999999899</v>
      </c>
      <c r="AD3462">
        <v>-1.120273472836</v>
      </c>
      <c r="AE3462">
        <v>-14.2433</v>
      </c>
      <c r="AF3462">
        <v>-1.12767818954898</v>
      </c>
      <c r="AG3462">
        <v>-1.120273472836</v>
      </c>
      <c r="AH3462">
        <v>14.1892337468576</v>
      </c>
      <c r="AI3462">
        <v>94.500141752117997</v>
      </c>
      <c r="AJ3462">
        <v>94.5439862296043</v>
      </c>
      <c r="AK3462">
        <v>14.277990932763799</v>
      </c>
      <c r="AL3462">
        <v>93.971114287223003</v>
      </c>
      <c r="AM3462">
        <v>91.988859440853204</v>
      </c>
      <c r="AN3462">
        <v>0.99999996835178095</v>
      </c>
    </row>
    <row r="3463" spans="1:40" x14ac:dyDescent="0.25">
      <c r="A3463" t="str">
        <f>"20190303154204920"</f>
        <v>20190303154204920</v>
      </c>
      <c r="B3463" t="str">
        <f>"1551598924913346"</f>
        <v>1551598924913346</v>
      </c>
      <c r="C3463" t="s">
        <v>40</v>
      </c>
      <c r="D3463">
        <v>5.7155189999999996</v>
      </c>
      <c r="E3463">
        <v>0.48375750000000001</v>
      </c>
      <c r="F3463" t="s">
        <v>41</v>
      </c>
      <c r="G3463">
        <v>-491.13900000000001</v>
      </c>
      <c r="H3463" s="1">
        <v>-4.403375E-6</v>
      </c>
      <c r="I3463">
        <v>239.33260000000001</v>
      </c>
      <c r="J3463">
        <v>-492.62599999999998</v>
      </c>
      <c r="K3463">
        <v>1.120276</v>
      </c>
      <c r="L3463">
        <v>253.6369</v>
      </c>
      <c r="M3463">
        <v>2.442066E-2</v>
      </c>
      <c r="N3463">
        <v>-1.0084269999999999E-2</v>
      </c>
      <c r="O3463">
        <v>-0.99965099999999996</v>
      </c>
      <c r="P3463">
        <v>5.8683689999999997E-2</v>
      </c>
      <c r="Q3463">
        <v>-7.9644670000000001E-2</v>
      </c>
      <c r="R3463">
        <v>-0.99509440000000005</v>
      </c>
      <c r="S3463">
        <v>0.30712889999999998</v>
      </c>
      <c r="T3463">
        <v>-0.2309216</v>
      </c>
      <c r="U3463">
        <v>-2.9780880000000001</v>
      </c>
      <c r="V3463">
        <v>-3.4438080000000003E-2</v>
      </c>
      <c r="W3463">
        <v>-6.9557949999999993E-2</v>
      </c>
      <c r="X3463">
        <v>0.99698330000000002</v>
      </c>
      <c r="Y3463">
        <v>-7.7997689999999995E-2</v>
      </c>
      <c r="Z3463">
        <v>6.6907629999999996E-2</v>
      </c>
      <c r="AA3463">
        <v>0.99470590000000003</v>
      </c>
      <c r="AB3463">
        <v>21</v>
      </c>
      <c r="AC3463">
        <v>1.4869999999999599</v>
      </c>
      <c r="AD3463">
        <v>-1.120280403375</v>
      </c>
      <c r="AE3463">
        <v>-14.3042999999999</v>
      </c>
      <c r="AF3463">
        <v>-1.13035918677644</v>
      </c>
      <c r="AG3463">
        <v>-1.120280403375</v>
      </c>
      <c r="AH3463">
        <v>14.249879391015501</v>
      </c>
      <c r="AI3463">
        <v>94.481148359143901</v>
      </c>
      <c r="AJ3463">
        <v>94.535440566870804</v>
      </c>
      <c r="AK3463">
        <v>14.3384728172775</v>
      </c>
      <c r="AL3463">
        <v>93.988597750536101</v>
      </c>
      <c r="AM3463">
        <v>91.978340489611696</v>
      </c>
      <c r="AN3463">
        <v>0.99999999512058901</v>
      </c>
    </row>
    <row r="3464" spans="1:40" x14ac:dyDescent="0.25">
      <c r="A3464" t="str">
        <f>"20190303154204936"</f>
        <v>20190303154204936</v>
      </c>
      <c r="B3464" t="str">
        <f>"1551598924932867"</f>
        <v>1551598924932867</v>
      </c>
      <c r="C3464" t="s">
        <v>40</v>
      </c>
      <c r="D3464">
        <v>5.6699580000000003</v>
      </c>
      <c r="E3464">
        <v>0.48360950000000003</v>
      </c>
      <c r="F3464" t="s">
        <v>41</v>
      </c>
      <c r="G3464">
        <v>-491.14569999999998</v>
      </c>
      <c r="H3464" s="1">
        <v>-4.3639769999999996E-6</v>
      </c>
      <c r="I3464">
        <v>239.2133</v>
      </c>
      <c r="J3464">
        <v>-492.62279999999998</v>
      </c>
      <c r="K3464">
        <v>1.12029</v>
      </c>
      <c r="L3464">
        <v>253.47829999999999</v>
      </c>
      <c r="M3464">
        <v>2.3844959999999998E-2</v>
      </c>
      <c r="N3464">
        <v>-1.0096320000000001E-2</v>
      </c>
      <c r="O3464">
        <v>-0.99966500000000003</v>
      </c>
      <c r="P3464">
        <v>5.7522219999999999E-2</v>
      </c>
      <c r="Q3464">
        <v>-7.968037E-2</v>
      </c>
      <c r="R3464">
        <v>-0.99515989999999999</v>
      </c>
      <c r="S3464">
        <v>0.30566409999999899</v>
      </c>
      <c r="T3464">
        <v>-0.231323</v>
      </c>
      <c r="U3464">
        <v>-2.9782709999999999</v>
      </c>
      <c r="V3464">
        <v>-3.3846149999999998E-2</v>
      </c>
      <c r="W3464">
        <v>-6.9583210000000006E-2</v>
      </c>
      <c r="X3464">
        <v>0.99700180000000005</v>
      </c>
      <c r="Y3464">
        <v>-7.8080510000000006E-2</v>
      </c>
      <c r="Z3464">
        <v>6.7026909999999995E-2</v>
      </c>
      <c r="AA3464">
        <v>0.99469129999999994</v>
      </c>
      <c r="AB3464">
        <v>21</v>
      </c>
      <c r="AC3464">
        <v>1.4771000000000001</v>
      </c>
      <c r="AD3464">
        <v>-1.120294363977</v>
      </c>
      <c r="AE3464">
        <v>-14.264999999999899</v>
      </c>
      <c r="AF3464">
        <v>-1.1296211708241199</v>
      </c>
      <c r="AG3464">
        <v>-1.120294363977</v>
      </c>
      <c r="AH3464">
        <v>14.2094573077423</v>
      </c>
      <c r="AI3464">
        <v>94.493838298341501</v>
      </c>
      <c r="AJ3464">
        <v>94.545331469158796</v>
      </c>
      <c r="AK3464">
        <v>14.2982439632314</v>
      </c>
      <c r="AL3464">
        <v>93.990048589272504</v>
      </c>
      <c r="AM3464">
        <v>91.944326574923807</v>
      </c>
      <c r="AN3464">
        <v>0.99999998709348303</v>
      </c>
    </row>
    <row r="3465" spans="1:40" x14ac:dyDescent="0.25">
      <c r="A3465" t="str">
        <f>"20190303154204949"</f>
        <v>20190303154204949</v>
      </c>
      <c r="B3465" t="str">
        <f>"1551598924942626"</f>
        <v>1551598924942626</v>
      </c>
      <c r="C3465" t="s">
        <v>40</v>
      </c>
      <c r="D3465">
        <v>5.6438470000000001</v>
      </c>
      <c r="E3465">
        <v>0.48355900000000002</v>
      </c>
      <c r="F3465" t="s">
        <v>41</v>
      </c>
      <c r="G3465">
        <v>-491.16629999999998</v>
      </c>
      <c r="H3465" s="1">
        <v>-4.3494609999999996E-6</v>
      </c>
      <c r="I3465">
        <v>239.16</v>
      </c>
      <c r="J3465">
        <v>-492.62049999999999</v>
      </c>
      <c r="K3465">
        <v>1.120306</v>
      </c>
      <c r="L3465">
        <v>253.36109999999999</v>
      </c>
      <c r="M3465">
        <v>2.3434099999999999E-2</v>
      </c>
      <c r="N3465">
        <v>-1.0110879999999999E-2</v>
      </c>
      <c r="O3465">
        <v>-0.99967419999999996</v>
      </c>
      <c r="P3465">
        <v>5.7049210000000003E-2</v>
      </c>
      <c r="Q3465">
        <v>-7.9470209999999999E-2</v>
      </c>
      <c r="R3465">
        <v>-0.99520330000000001</v>
      </c>
      <c r="S3465">
        <v>0.30297849999999998</v>
      </c>
      <c r="T3465">
        <v>-0.2330363</v>
      </c>
      <c r="U3465">
        <v>-2.9784090000000001</v>
      </c>
      <c r="V3465">
        <v>-3.3780119999999997E-2</v>
      </c>
      <c r="W3465">
        <v>-6.9359359999999995E-2</v>
      </c>
      <c r="X3465">
        <v>0.99701960000000001</v>
      </c>
      <c r="Y3465">
        <v>-7.7594099999999999E-2</v>
      </c>
      <c r="Z3465">
        <v>6.7582580000000003E-2</v>
      </c>
      <c r="AA3465">
        <v>0.99469180000000001</v>
      </c>
      <c r="AB3465">
        <v>21</v>
      </c>
      <c r="AC3465">
        <v>1.4542000000000099</v>
      </c>
      <c r="AD3465">
        <v>-1.1203103494610001</v>
      </c>
      <c r="AE3465">
        <v>-14.201099999999901</v>
      </c>
      <c r="AF3465">
        <v>-1.11413176950155</v>
      </c>
      <c r="AG3465">
        <v>-1.1203103494610001</v>
      </c>
      <c r="AH3465">
        <v>14.1441669849315</v>
      </c>
      <c r="AI3465">
        <v>94.514818174133694</v>
      </c>
      <c r="AJ3465">
        <v>94.503871636847506</v>
      </c>
      <c r="AK3465">
        <v>14.2321412505831</v>
      </c>
      <c r="AL3465">
        <v>93.977192013914802</v>
      </c>
      <c r="AM3465">
        <v>91.940501698878407</v>
      </c>
      <c r="AN3465">
        <v>0.99999995005549003</v>
      </c>
    </row>
    <row r="3466" spans="1:40" x14ac:dyDescent="0.25">
      <c r="A3466" t="str">
        <f>"20190303154204969"</f>
        <v>20190303154204969</v>
      </c>
      <c r="B3466" t="str">
        <f>"1551598924963122"</f>
        <v>1551598924963122</v>
      </c>
      <c r="C3466" t="s">
        <v>40</v>
      </c>
      <c r="D3466">
        <v>5.6483030000000003</v>
      </c>
      <c r="E3466">
        <v>0.48347469999999998</v>
      </c>
      <c r="F3466" t="s">
        <v>41</v>
      </c>
      <c r="G3466">
        <v>-491.16550000000001</v>
      </c>
      <c r="H3466" s="1">
        <v>-4.3022869999999997E-6</v>
      </c>
      <c r="I3466">
        <v>239.02180000000001</v>
      </c>
      <c r="J3466">
        <v>-492.61680000000001</v>
      </c>
      <c r="K3466">
        <v>1.1203299999999901</v>
      </c>
      <c r="L3466">
        <v>253.1696</v>
      </c>
      <c r="M3466">
        <v>2.2780539999999998E-2</v>
      </c>
      <c r="N3466">
        <v>-1.0141610000000001E-2</v>
      </c>
      <c r="O3466">
        <v>-0.99968919999999994</v>
      </c>
      <c r="P3466">
        <v>5.6383889999999999E-2</v>
      </c>
      <c r="Q3466">
        <v>-8.004791E-2</v>
      </c>
      <c r="R3466">
        <v>-0.9951953</v>
      </c>
      <c r="S3466">
        <v>0.30224610000000002</v>
      </c>
      <c r="T3466">
        <v>-0.2327079</v>
      </c>
      <c r="U3466">
        <v>-2.9785309999999998</v>
      </c>
      <c r="V3466">
        <v>-3.3763609999999999E-2</v>
      </c>
      <c r="W3466">
        <v>-6.9908399999999996E-2</v>
      </c>
      <c r="X3466">
        <v>0.99698189999999998</v>
      </c>
      <c r="Y3466">
        <v>-7.8000369999999999E-2</v>
      </c>
      <c r="Z3466">
        <v>6.7441050000000002E-2</v>
      </c>
      <c r="AA3466">
        <v>0.99466960000000004</v>
      </c>
      <c r="AB3466">
        <v>21</v>
      </c>
      <c r="AC3466">
        <v>1.4513</v>
      </c>
      <c r="AD3466">
        <v>-1.12033430228699</v>
      </c>
      <c r="AE3466">
        <v>-14.147799999999901</v>
      </c>
      <c r="AF3466">
        <v>-1.1216519604917701</v>
      </c>
      <c r="AG3466">
        <v>-1.12033430228699</v>
      </c>
      <c r="AH3466">
        <v>14.0897583320289</v>
      </c>
      <c r="AI3466">
        <v>94.531978882044797</v>
      </c>
      <c r="AJ3466">
        <v>94.551581140683794</v>
      </c>
      <c r="AK3466">
        <v>14.178665026169901</v>
      </c>
      <c r="AL3466">
        <v>94.008725885901498</v>
      </c>
      <c r="AM3466">
        <v>91.939627291685397</v>
      </c>
      <c r="AN3466">
        <v>1.0000000373392</v>
      </c>
    </row>
    <row r="3467" spans="1:40" x14ac:dyDescent="0.25">
      <c r="A3467" t="str">
        <f>"20190303154204982"</f>
        <v>20190303154204982</v>
      </c>
      <c r="B3467" t="str">
        <f>"1551598924972883"</f>
        <v>1551598924972883</v>
      </c>
      <c r="C3467" t="s">
        <v>40</v>
      </c>
      <c r="D3467">
        <v>5.6043589999999996</v>
      </c>
      <c r="E3467">
        <v>0.48343950000000002</v>
      </c>
      <c r="F3467" t="s">
        <v>41</v>
      </c>
      <c r="G3467">
        <v>-491.17939999999999</v>
      </c>
      <c r="H3467" s="1">
        <v>-4.271349E-6</v>
      </c>
      <c r="I3467">
        <v>238.92359999999999</v>
      </c>
      <c r="J3467">
        <v>-492.6146</v>
      </c>
      <c r="K3467">
        <v>1.120339</v>
      </c>
      <c r="L3467">
        <v>253.05690000000001</v>
      </c>
      <c r="M3467">
        <v>2.2410739999999998E-2</v>
      </c>
      <c r="N3467">
        <v>-1.016592E-2</v>
      </c>
      <c r="O3467">
        <v>-0.99969730000000001</v>
      </c>
      <c r="P3467">
        <v>5.5797470000000002E-2</v>
      </c>
      <c r="Q3467">
        <v>-8.0264820000000001E-2</v>
      </c>
      <c r="R3467">
        <v>-0.99521079999999995</v>
      </c>
      <c r="S3467">
        <v>0.300537099999999</v>
      </c>
      <c r="T3467">
        <v>-0.23424510000000001</v>
      </c>
      <c r="U3467">
        <v>-2.9786220000000001</v>
      </c>
      <c r="V3467">
        <v>-3.354352E-2</v>
      </c>
      <c r="W3467">
        <v>-7.0102310000000001E-2</v>
      </c>
      <c r="X3467">
        <v>0.99697570000000002</v>
      </c>
      <c r="Y3467">
        <v>-7.7797660000000005E-2</v>
      </c>
      <c r="Z3467">
        <v>6.7927550000000003E-2</v>
      </c>
      <c r="AA3467">
        <v>0.99465239999999999</v>
      </c>
      <c r="AB3467">
        <v>21</v>
      </c>
      <c r="AC3467">
        <v>1.4352</v>
      </c>
      <c r="AD3467">
        <v>-1.120343271349</v>
      </c>
      <c r="AE3467">
        <v>-14.1333</v>
      </c>
      <c r="AF3467">
        <v>-1.1111744583776599</v>
      </c>
      <c r="AG3467">
        <v>-1.120343271349</v>
      </c>
      <c r="AH3467">
        <v>14.074379142280799</v>
      </c>
      <c r="AI3467">
        <v>94.537180541193905</v>
      </c>
      <c r="AJ3467">
        <v>94.514147304492099</v>
      </c>
      <c r="AK3467">
        <v>14.162557183054099</v>
      </c>
      <c r="AL3467">
        <v>94.019863488523001</v>
      </c>
      <c r="AM3467">
        <v>91.927005259610993</v>
      </c>
      <c r="AN3467">
        <v>1.0000000239958999</v>
      </c>
    </row>
    <row r="3468" spans="1:40" x14ac:dyDescent="0.25">
      <c r="A3468" t="str">
        <f>"20190303154204994"</f>
        <v>20190303154204994</v>
      </c>
      <c r="B3468" t="str">
        <f>"1551598924982642"</f>
        <v>1551598924982642</v>
      </c>
      <c r="C3468" t="s">
        <v>40</v>
      </c>
      <c r="D3468">
        <v>5.6042290000000001</v>
      </c>
      <c r="E3468">
        <v>0.48330620000000002</v>
      </c>
      <c r="F3468" t="s">
        <v>41</v>
      </c>
      <c r="G3468">
        <v>-491.18520000000001</v>
      </c>
      <c r="H3468" s="1">
        <v>-4.2458500000000002E-6</v>
      </c>
      <c r="I3468">
        <v>238.84569999999999</v>
      </c>
      <c r="J3468">
        <v>-492.61239999999998</v>
      </c>
      <c r="K3468">
        <v>1.120357</v>
      </c>
      <c r="L3468">
        <v>252.94040000000001</v>
      </c>
      <c r="M3468">
        <v>2.2037080000000001E-2</v>
      </c>
      <c r="N3468">
        <v>-1.019482E-2</v>
      </c>
      <c r="O3468">
        <v>-0.99970539999999997</v>
      </c>
      <c r="P3468">
        <v>5.5299170000000002E-2</v>
      </c>
      <c r="Q3468">
        <v>-8.0630489999999999E-2</v>
      </c>
      <c r="R3468">
        <v>-0.99520900000000001</v>
      </c>
      <c r="S3468">
        <v>0.29962159999999999</v>
      </c>
      <c r="T3468">
        <v>-0.2348258</v>
      </c>
      <c r="U3468">
        <v>-2.9786990000000002</v>
      </c>
      <c r="V3468">
        <v>-3.3416260000000003E-2</v>
      </c>
      <c r="W3468">
        <v>-7.0440439999999993E-2</v>
      </c>
      <c r="X3468">
        <v>0.99695610000000001</v>
      </c>
      <c r="Y3468">
        <v>-7.7863769999999999E-2</v>
      </c>
      <c r="Z3468">
        <v>6.8090970000000001E-2</v>
      </c>
      <c r="AA3468">
        <v>0.99463610000000002</v>
      </c>
      <c r="AB3468">
        <v>21</v>
      </c>
      <c r="AC3468">
        <v>1.42719999999997</v>
      </c>
      <c r="AD3468">
        <v>-1.1203612458499901</v>
      </c>
      <c r="AE3468">
        <v>-14.0947</v>
      </c>
      <c r="AF3468">
        <v>-1.10929348765863</v>
      </c>
      <c r="AG3468">
        <v>-1.1203612458499901</v>
      </c>
      <c r="AH3468">
        <v>14.0349518525421</v>
      </c>
      <c r="AI3468">
        <v>94.549914517248396</v>
      </c>
      <c r="AJ3468">
        <v>94.519144857015604</v>
      </c>
      <c r="AK3468">
        <v>14.123229618828001</v>
      </c>
      <c r="AL3468">
        <v>94.039285084725705</v>
      </c>
      <c r="AM3468">
        <v>91.919737631354494</v>
      </c>
      <c r="AN3468">
        <v>0.99999998367349496</v>
      </c>
    </row>
    <row r="3469" spans="1:40" x14ac:dyDescent="0.25">
      <c r="A3469" t="str">
        <f>"20190303154205008"</f>
        <v>20190303154205008</v>
      </c>
      <c r="B3469" t="str">
        <f>"1551598925003138"</f>
        <v>1551598925003138</v>
      </c>
      <c r="C3469" t="s">
        <v>40</v>
      </c>
      <c r="D3469">
        <v>5.5486329999999997</v>
      </c>
      <c r="E3469">
        <v>0.48317480000000002</v>
      </c>
      <c r="F3469" t="s">
        <v>41</v>
      </c>
      <c r="G3469">
        <v>-491.19639999999998</v>
      </c>
      <c r="H3469" s="1">
        <v>-4.2439509999999996E-6</v>
      </c>
      <c r="I3469">
        <v>238.83420000000001</v>
      </c>
      <c r="J3469">
        <v>-492.61040000000003</v>
      </c>
      <c r="K3469">
        <v>1.1203730000000001</v>
      </c>
      <c r="L3469">
        <v>252.8246</v>
      </c>
      <c r="M3469">
        <v>2.1682460000000001E-2</v>
      </c>
      <c r="N3469">
        <v>-1.0232170000000001E-2</v>
      </c>
      <c r="O3469">
        <v>-0.99971270000000001</v>
      </c>
      <c r="P3469">
        <v>5.4613990000000001E-2</v>
      </c>
      <c r="Q3469">
        <v>-8.1050079999999997E-2</v>
      </c>
      <c r="R3469">
        <v>-0.99521309999999996</v>
      </c>
      <c r="S3469">
        <v>0.29901119999999998</v>
      </c>
      <c r="T3469">
        <v>-0.23657429999999999</v>
      </c>
      <c r="U3469">
        <v>-2.978653</v>
      </c>
      <c r="V3469">
        <v>-3.3083069999999999E-2</v>
      </c>
      <c r="W3469">
        <v>-7.082418E-2</v>
      </c>
      <c r="X3469">
        <v>0.99694000000000005</v>
      </c>
      <c r="Y3469">
        <v>-7.8012979999999996E-2</v>
      </c>
      <c r="Z3469">
        <v>6.8635429999999997E-2</v>
      </c>
      <c r="AA3469">
        <v>0.99458690000000005</v>
      </c>
      <c r="AB3469">
        <v>21</v>
      </c>
      <c r="AC3469">
        <v>1.4140000000000399</v>
      </c>
      <c r="AD3469">
        <v>-1.120377243951</v>
      </c>
      <c r="AE3469">
        <v>-13.9903999999999</v>
      </c>
      <c r="AF3469">
        <v>-1.1033013820181301</v>
      </c>
      <c r="AG3469">
        <v>-1.120377243951</v>
      </c>
      <c r="AH3469">
        <v>13.929344169228701</v>
      </c>
      <c r="AI3469">
        <v>94.584268482594993</v>
      </c>
      <c r="AJ3469">
        <v>94.528771066063896</v>
      </c>
      <c r="AK3469">
        <v>14.0178153823323</v>
      </c>
      <c r="AL3469">
        <v>94.061326919863205</v>
      </c>
      <c r="AM3469">
        <v>91.900640910787203</v>
      </c>
      <c r="AN3469">
        <v>0.99999995879664705</v>
      </c>
    </row>
    <row r="3470" spans="1:40" x14ac:dyDescent="0.25">
      <c r="A3470" t="str">
        <f>"20190303154205019"</f>
        <v>20190303154205019</v>
      </c>
      <c r="B3470" t="str">
        <f>"1551598925012899"</f>
        <v>1551598925012899</v>
      </c>
      <c r="C3470" t="s">
        <v>40</v>
      </c>
      <c r="D3470">
        <v>5.528187</v>
      </c>
      <c r="E3470">
        <v>0.50043959999999998</v>
      </c>
      <c r="F3470" t="s">
        <v>41</v>
      </c>
      <c r="G3470">
        <v>-491.21199999999999</v>
      </c>
      <c r="H3470" s="1">
        <v>-4.2507230000000002E-6</v>
      </c>
      <c r="I3470">
        <v>238.846</v>
      </c>
      <c r="J3470">
        <v>-492.60829999999999</v>
      </c>
      <c r="K3470">
        <v>1.1203890000000001</v>
      </c>
      <c r="L3470">
        <v>252.7133</v>
      </c>
      <c r="M3470">
        <v>2.1347930000000001E-2</v>
      </c>
      <c r="N3470">
        <v>-1.027089E-2</v>
      </c>
      <c r="O3470">
        <v>-0.99971940000000004</v>
      </c>
      <c r="P3470">
        <v>5.4104279999999998E-2</v>
      </c>
      <c r="Q3470">
        <v>-8.1582199999999994E-2</v>
      </c>
      <c r="R3470">
        <v>-0.9951972</v>
      </c>
      <c r="S3470">
        <v>0.29797360000000001</v>
      </c>
      <c r="T3470">
        <v>-0.2387367</v>
      </c>
      <c r="U3470">
        <v>-2.9786380000000001</v>
      </c>
      <c r="V3470">
        <v>-3.2905530000000002E-2</v>
      </c>
      <c r="W3470">
        <v>-7.1319069999999998E-2</v>
      </c>
      <c r="X3470">
        <v>0.99691059999999998</v>
      </c>
      <c r="Y3470">
        <v>-7.7998929999999994E-2</v>
      </c>
      <c r="Z3470">
        <v>6.9315849999999998E-2</v>
      </c>
      <c r="AA3470">
        <v>0.9945408</v>
      </c>
      <c r="AB3470">
        <v>21</v>
      </c>
      <c r="AC3470">
        <v>1.3962999999999901</v>
      </c>
      <c r="AD3470">
        <v>-1.1203932507229999</v>
      </c>
      <c r="AE3470">
        <v>-13.8673</v>
      </c>
      <c r="AF3470">
        <v>-1.0928657599337099</v>
      </c>
      <c r="AG3470">
        <v>-1.1203932507229999</v>
      </c>
      <c r="AH3470">
        <v>13.804740951505799</v>
      </c>
      <c r="AI3470">
        <v>94.625548540726399</v>
      </c>
      <c r="AJ3470">
        <v>94.526435825750696</v>
      </c>
      <c r="AK3470">
        <v>13.8931821172719</v>
      </c>
      <c r="AL3470">
        <v>94.089753894021101</v>
      </c>
      <c r="AM3470">
        <v>91.890504270188003</v>
      </c>
      <c r="AN3470">
        <v>0.99999996402130198</v>
      </c>
    </row>
    <row r="3471" spans="1:40" x14ac:dyDescent="0.25">
      <c r="A3471" t="str">
        <f>"20190303154205036"</f>
        <v>20190303154205036</v>
      </c>
      <c r="B3471" t="str">
        <f>"1551598925032831"</f>
        <v>1551598925032831</v>
      </c>
      <c r="C3471" t="s">
        <v>40</v>
      </c>
      <c r="D3471">
        <v>5.463673</v>
      </c>
      <c r="E3471">
        <v>0.50797729999999996</v>
      </c>
      <c r="F3471" t="s">
        <v>41</v>
      </c>
      <c r="G3471">
        <v>-491.57729999999998</v>
      </c>
      <c r="H3471" s="1">
        <v>-2.0786599999999998E-6</v>
      </c>
      <c r="I3471">
        <v>233.4562</v>
      </c>
      <c r="J3471">
        <v>-492.60550000000001</v>
      </c>
      <c r="K3471">
        <v>1.120411</v>
      </c>
      <c r="L3471">
        <v>252.5566</v>
      </c>
      <c r="M3471">
        <v>2.0892979999999998E-2</v>
      </c>
      <c r="N3471">
        <v>-1.033273E-2</v>
      </c>
      <c r="O3471">
        <v>-0.99972839999999996</v>
      </c>
      <c r="P3471">
        <v>5.3190889999999998E-2</v>
      </c>
      <c r="Q3471">
        <v>-8.2673819999999995E-2</v>
      </c>
      <c r="R3471">
        <v>-0.99515640000000005</v>
      </c>
      <c r="S3471">
        <v>0.160156299999999</v>
      </c>
      <c r="T3471">
        <v>-0.17404720000000001</v>
      </c>
      <c r="U3471">
        <v>-2.9914860000000001</v>
      </c>
      <c r="V3471">
        <v>-3.2444859999999999E-2</v>
      </c>
      <c r="W3471">
        <v>-7.2351209999999999E-2</v>
      </c>
      <c r="X3471">
        <v>0.99685140000000005</v>
      </c>
      <c r="Y3471">
        <v>-3.2512569999999998E-2</v>
      </c>
      <c r="Z3471">
        <v>4.7694279999999999E-2</v>
      </c>
      <c r="AA3471">
        <v>0.99833269999999996</v>
      </c>
      <c r="AB3471">
        <v>21</v>
      </c>
      <c r="AC3471">
        <v>1.02820000000002</v>
      </c>
      <c r="AD3471">
        <v>-1.12041307866</v>
      </c>
      <c r="AE3471">
        <v>-19.1004</v>
      </c>
      <c r="AF3471">
        <v>-0.62673967526199004</v>
      </c>
      <c r="AG3471">
        <v>-1.12041307866</v>
      </c>
      <c r="AH3471">
        <v>19.0523458890816</v>
      </c>
      <c r="AI3471">
        <v>93.363706876642894</v>
      </c>
      <c r="AJ3471">
        <v>91.884103615783104</v>
      </c>
      <c r="AK3471">
        <v>19.0955495329301</v>
      </c>
      <c r="AL3471">
        <v>94.149044024209999</v>
      </c>
      <c r="AM3471">
        <v>91.864167063589804</v>
      </c>
      <c r="AN3471">
        <v>1.0000000401054201</v>
      </c>
    </row>
    <row r="3472" spans="1:40" x14ac:dyDescent="0.25">
      <c r="A3472" t="str">
        <f>"20190303154205050"</f>
        <v>20190303154205050</v>
      </c>
      <c r="B3472" t="str">
        <f>"1551598925043546"</f>
        <v>1551598925043546</v>
      </c>
      <c r="C3472" t="s">
        <v>40</v>
      </c>
      <c r="D3472">
        <v>5.4142109999999999</v>
      </c>
      <c r="E3472">
        <v>0.50984779999999996</v>
      </c>
      <c r="F3472" t="s">
        <v>41</v>
      </c>
      <c r="G3472">
        <v>-492.05860000000001</v>
      </c>
      <c r="H3472" s="1">
        <v>-3.1500240000000001E-6</v>
      </c>
      <c r="I3472">
        <v>235.6551</v>
      </c>
      <c r="J3472">
        <v>-492.60309999999998</v>
      </c>
      <c r="K3472">
        <v>1.120428</v>
      </c>
      <c r="L3472">
        <v>252.4238</v>
      </c>
      <c r="M3472">
        <v>2.0522039999999998E-2</v>
      </c>
      <c r="N3472">
        <v>-1.039137E-2</v>
      </c>
      <c r="O3472">
        <v>-0.9997355</v>
      </c>
      <c r="P3472">
        <v>5.2613350000000003E-2</v>
      </c>
      <c r="Q3472">
        <v>-8.3114229999999997E-2</v>
      </c>
      <c r="R3472">
        <v>-0.99515050000000005</v>
      </c>
      <c r="S3472">
        <v>9.6832280000000007E-2</v>
      </c>
      <c r="T3472">
        <v>-0.1984023</v>
      </c>
      <c r="U3472">
        <v>-2.9929199999999998</v>
      </c>
      <c r="V3472">
        <v>-3.2235760000000002E-2</v>
      </c>
      <c r="W3472">
        <v>-7.2734350000000003E-2</v>
      </c>
      <c r="X3472">
        <v>0.99683029999999995</v>
      </c>
      <c r="Y3472">
        <v>-1.1762659999999999E-2</v>
      </c>
      <c r="Z3472">
        <v>5.5736239999999999E-2</v>
      </c>
      <c r="AA3472">
        <v>0.99837629999999999</v>
      </c>
      <c r="AB3472">
        <v>21</v>
      </c>
      <c r="AC3472">
        <v>0.54449999999997001</v>
      </c>
      <c r="AD3472">
        <v>-1.1204311500240001</v>
      </c>
      <c r="AE3472">
        <v>-16.7686999999999</v>
      </c>
      <c r="AF3472">
        <v>-0.19934978125922001</v>
      </c>
      <c r="AG3472">
        <v>-1.1204311500240001</v>
      </c>
      <c r="AH3472">
        <v>16.701856314340901</v>
      </c>
      <c r="AI3472">
        <v>93.837620325908702</v>
      </c>
      <c r="AJ3472">
        <v>90.683837685167006</v>
      </c>
      <c r="AK3472">
        <v>16.740582744997901</v>
      </c>
      <c r="AL3472">
        <v>94.171054325846697</v>
      </c>
      <c r="AM3472">
        <v>91.852200488814503</v>
      </c>
      <c r="AN3472">
        <v>1.00000003844539</v>
      </c>
    </row>
    <row r="3473" spans="1:40" x14ac:dyDescent="0.25">
      <c r="A3473" t="str">
        <f>"20190303154205065"</f>
        <v>20190303154205065</v>
      </c>
      <c r="B3473" t="str">
        <f>"1551598925053306"</f>
        <v>1551598925053306</v>
      </c>
      <c r="C3473" t="s">
        <v>40</v>
      </c>
      <c r="D3473">
        <v>5.4369579999999997</v>
      </c>
      <c r="E3473">
        <v>0.511250599999999</v>
      </c>
      <c r="F3473" t="s">
        <v>41</v>
      </c>
      <c r="G3473">
        <v>-492.15559999999999</v>
      </c>
      <c r="H3473" s="1">
        <v>-3.2034839999999999E-6</v>
      </c>
      <c r="I3473">
        <v>235.71950000000001</v>
      </c>
      <c r="J3473">
        <v>-492.601</v>
      </c>
      <c r="K3473">
        <v>1.1204430000000001</v>
      </c>
      <c r="L3473">
        <v>252.30289999999999</v>
      </c>
      <c r="M3473">
        <v>2.019147E-2</v>
      </c>
      <c r="N3473">
        <v>-1.044754E-2</v>
      </c>
      <c r="O3473">
        <v>-0.99974169999999996</v>
      </c>
      <c r="P3473">
        <v>5.2195419999999999E-2</v>
      </c>
      <c r="Q3473">
        <v>-8.3545170000000002E-2</v>
      </c>
      <c r="R3473">
        <v>-0.99513640000000003</v>
      </c>
      <c r="S3473">
        <v>8.0200199999999999E-2</v>
      </c>
      <c r="T3473">
        <v>-0.2007931</v>
      </c>
      <c r="U3473">
        <v>-2.993576</v>
      </c>
      <c r="V3473">
        <v>-3.2146950000000001E-2</v>
      </c>
      <c r="W3473">
        <v>-7.3110190000000005E-2</v>
      </c>
      <c r="X3473">
        <v>0.99680559999999996</v>
      </c>
      <c r="Y3473">
        <v>-6.5449669999999996E-3</v>
      </c>
      <c r="Z3473">
        <v>5.6466240000000001E-2</v>
      </c>
      <c r="AA3473">
        <v>0.99838300000000002</v>
      </c>
      <c r="AB3473">
        <v>21</v>
      </c>
      <c r="AC3473">
        <v>0.44540000000000601</v>
      </c>
      <c r="AD3473">
        <v>-1.1204462034839999</v>
      </c>
      <c r="AE3473">
        <v>-16.583399999999902</v>
      </c>
      <c r="AF3473">
        <v>-0.10994620439354701</v>
      </c>
      <c r="AG3473">
        <v>-1.1204462034839999</v>
      </c>
      <c r="AH3473">
        <v>16.513682973035699</v>
      </c>
      <c r="AI3473">
        <v>93.881458925074</v>
      </c>
      <c r="AJ3473">
        <v>90.381463082369706</v>
      </c>
      <c r="AK3473">
        <v>16.552015381719901</v>
      </c>
      <c r="AL3473">
        <v>94.192646163118198</v>
      </c>
      <c r="AM3473">
        <v>91.847146926409295</v>
      </c>
      <c r="AN3473">
        <v>0.99999996523374801</v>
      </c>
    </row>
    <row r="3474" spans="1:40" x14ac:dyDescent="0.25">
      <c r="A3474" t="str">
        <f>"20190303154205082"</f>
        <v>20190303154205082</v>
      </c>
      <c r="B3474" t="str">
        <f>"1551598925072830"</f>
        <v>1551598925072830</v>
      </c>
      <c r="C3474" t="s">
        <v>40</v>
      </c>
      <c r="D3474">
        <v>5.3909050000000001</v>
      </c>
      <c r="E3474">
        <v>0.51263840000000005</v>
      </c>
      <c r="F3474" t="s">
        <v>41</v>
      </c>
      <c r="G3474">
        <v>-492.22800000000001</v>
      </c>
      <c r="H3474" s="1">
        <v>-3.2842560000000001E-6</v>
      </c>
      <c r="I3474">
        <v>235.8629</v>
      </c>
      <c r="J3474">
        <v>-492.59820000000002</v>
      </c>
      <c r="K3474">
        <v>1.1204609999999999</v>
      </c>
      <c r="L3474">
        <v>252.13720000000001</v>
      </c>
      <c r="M3474">
        <v>1.974619E-2</v>
      </c>
      <c r="N3474">
        <v>-1.053307E-2</v>
      </c>
      <c r="O3474">
        <v>-0.99974980000000002</v>
      </c>
      <c r="P3474">
        <v>5.215388E-2</v>
      </c>
      <c r="Q3474">
        <v>-8.3616170000000004E-2</v>
      </c>
      <c r="R3474">
        <v>-0.99513280000000004</v>
      </c>
      <c r="S3474">
        <v>6.7932129999999993E-2</v>
      </c>
      <c r="T3474">
        <v>-0.20404949999999999</v>
      </c>
      <c r="U3474">
        <v>-2.9939580000000001</v>
      </c>
      <c r="V3474">
        <v>-3.2547670000000001E-2</v>
      </c>
      <c r="W3474">
        <v>-7.3096320000000006E-2</v>
      </c>
      <c r="X3474">
        <v>0.99679359999999995</v>
      </c>
      <c r="Y3474">
        <v>-2.898589E-3</v>
      </c>
      <c r="Z3474">
        <v>5.7457220000000003E-2</v>
      </c>
      <c r="AA3474">
        <v>0.9983438</v>
      </c>
      <c r="AB3474">
        <v>21</v>
      </c>
      <c r="AC3474">
        <v>0.37020000000001102</v>
      </c>
      <c r="AD3474">
        <v>-1.120464284256</v>
      </c>
      <c r="AE3474">
        <v>-16.2743</v>
      </c>
      <c r="AF3474">
        <v>-4.8524752707998803E-2</v>
      </c>
      <c r="AG3474">
        <v>-1.120464284256</v>
      </c>
      <c r="AH3474">
        <v>16.2016784644041</v>
      </c>
      <c r="AI3474">
        <v>93.956104535055303</v>
      </c>
      <c r="AJ3474">
        <v>90.171602912931306</v>
      </c>
      <c r="AK3474">
        <v>16.240448883200699</v>
      </c>
      <c r="AL3474">
        <v>94.191849394576096</v>
      </c>
      <c r="AM3474">
        <v>91.870178336114904</v>
      </c>
      <c r="AN3474">
        <v>0.99999995191046398</v>
      </c>
    </row>
    <row r="3475" spans="1:40" x14ac:dyDescent="0.25">
      <c r="A3475" t="str">
        <f>"20190303154205094"</f>
        <v>20190303154205094</v>
      </c>
      <c r="B3475" t="str">
        <f>"1551598925082586"</f>
        <v>1551598925082586</v>
      </c>
      <c r="C3475" t="s">
        <v>40</v>
      </c>
      <c r="D3475">
        <v>5.3543149999999997</v>
      </c>
      <c r="E3475">
        <v>0.51313299999999995</v>
      </c>
      <c r="F3475" t="s">
        <v>41</v>
      </c>
      <c r="G3475">
        <v>-492.28359999999998</v>
      </c>
      <c r="H3475" s="1">
        <v>-3.1798640000000001E-6</v>
      </c>
      <c r="I3475">
        <v>235.58510000000001</v>
      </c>
      <c r="J3475">
        <v>-492.59640000000002</v>
      </c>
      <c r="K3475">
        <v>1.120476</v>
      </c>
      <c r="L3475">
        <v>252.02500000000001</v>
      </c>
      <c r="M3475">
        <v>1.9447909999999999E-2</v>
      </c>
      <c r="N3475">
        <v>-1.0598969999999999E-2</v>
      </c>
      <c r="O3475">
        <v>-0.99975480000000005</v>
      </c>
      <c r="P3475">
        <v>5.235745E-2</v>
      </c>
      <c r="Q3475">
        <v>-8.3579650000000005E-2</v>
      </c>
      <c r="R3475">
        <v>-0.99512489999999998</v>
      </c>
      <c r="S3475">
        <v>5.6915279999999999E-2</v>
      </c>
      <c r="T3475">
        <v>-0.20271600000000001</v>
      </c>
      <c r="U3475">
        <v>-2.9946290000000002</v>
      </c>
      <c r="V3475">
        <v>-3.3047930000000003E-2</v>
      </c>
      <c r="W3475">
        <v>-7.2994080000000003E-2</v>
      </c>
      <c r="X3475">
        <v>0.99678469999999997</v>
      </c>
      <c r="Y3475">
        <v>4.77372E-4</v>
      </c>
      <c r="Z3475">
        <v>5.6936800000000003E-2</v>
      </c>
      <c r="AA3475">
        <v>0.99837770000000003</v>
      </c>
      <c r="AB3475">
        <v>21</v>
      </c>
      <c r="AC3475">
        <v>0.31280000000003799</v>
      </c>
      <c r="AD3475">
        <v>-1.1204791798639999</v>
      </c>
      <c r="AE3475">
        <v>-16.439899999999898</v>
      </c>
      <c r="AF3475">
        <v>6.96643738416685E-3</v>
      </c>
      <c r="AG3475">
        <v>-1.1204791798639999</v>
      </c>
      <c r="AH3475">
        <v>16.3668733151254</v>
      </c>
      <c r="AI3475">
        <v>93.916368547974102</v>
      </c>
      <c r="AJ3475">
        <v>89.975612480858999</v>
      </c>
      <c r="AK3475">
        <v>16.405184065932399</v>
      </c>
      <c r="AL3475">
        <v>94.185975498632899</v>
      </c>
      <c r="AM3475">
        <v>91.898919167230503</v>
      </c>
      <c r="AN3475">
        <v>1.00000001977321</v>
      </c>
    </row>
    <row r="3476" spans="1:40" x14ac:dyDescent="0.25">
      <c r="A3476" t="str">
        <f>"20190303154205107"</f>
        <v>20190303154205107</v>
      </c>
      <c r="B3476" t="str">
        <f>"1551598925103082"</f>
        <v>1551598925103082</v>
      </c>
      <c r="C3476" t="s">
        <v>40</v>
      </c>
      <c r="D3476">
        <v>5.4051689999999999</v>
      </c>
      <c r="E3476">
        <v>0.51405789999999996</v>
      </c>
      <c r="F3476" t="s">
        <v>41</v>
      </c>
      <c r="G3476">
        <v>-492.30110000000002</v>
      </c>
      <c r="H3476" s="1">
        <v>-3.114346E-6</v>
      </c>
      <c r="I3476">
        <v>235.42150000000001</v>
      </c>
      <c r="J3476">
        <v>-492.59429999999998</v>
      </c>
      <c r="K3476">
        <v>1.120492</v>
      </c>
      <c r="L3476">
        <v>251.90209999999999</v>
      </c>
      <c r="M3476">
        <v>1.9127020000000002E-2</v>
      </c>
      <c r="N3476">
        <v>-1.068914E-2</v>
      </c>
      <c r="O3476">
        <v>-0.99975999999999998</v>
      </c>
      <c r="P3476">
        <v>5.2777259999999999E-2</v>
      </c>
      <c r="Q3476">
        <v>-8.3427349999999997E-2</v>
      </c>
      <c r="R3476">
        <v>-0.99511570000000005</v>
      </c>
      <c r="S3476">
        <v>5.3253170000000002E-2</v>
      </c>
      <c r="T3476">
        <v>-0.2021096</v>
      </c>
      <c r="U3476">
        <v>-2.994904</v>
      </c>
      <c r="V3476">
        <v>-3.3787150000000002E-2</v>
      </c>
      <c r="W3476">
        <v>-7.2751540000000003E-2</v>
      </c>
      <c r="X3476">
        <v>0.99677769999999999</v>
      </c>
      <c r="Y3476">
        <v>1.3778670000000001E-3</v>
      </c>
      <c r="Z3476">
        <v>5.6640660000000002E-2</v>
      </c>
      <c r="AA3476">
        <v>0.99839370000000005</v>
      </c>
      <c r="AB3476">
        <v>21</v>
      </c>
      <c r="AC3476">
        <v>0.293199999999956</v>
      </c>
      <c r="AD3476">
        <v>-1.120495114346</v>
      </c>
      <c r="AE3476">
        <v>-16.4805999999999</v>
      </c>
      <c r="AF3476">
        <v>2.19947565563357E-2</v>
      </c>
      <c r="AG3476">
        <v>-1.120495114346</v>
      </c>
      <c r="AH3476">
        <v>16.407374523376699</v>
      </c>
      <c r="AI3476">
        <v>93.906783299328495</v>
      </c>
      <c r="AJ3476">
        <v>89.923192710362201</v>
      </c>
      <c r="AK3476">
        <v>16.445605243375599</v>
      </c>
      <c r="AL3476">
        <v>94.172041721915093</v>
      </c>
      <c r="AM3476">
        <v>91.941375891312006</v>
      </c>
      <c r="AN3476">
        <v>1.0000000706473799</v>
      </c>
    </row>
    <row r="3477" spans="1:40" x14ac:dyDescent="0.25">
      <c r="A3477" t="str">
        <f>"20190303154205122"</f>
        <v>20190303154205122</v>
      </c>
      <c r="B3477" t="str">
        <f>"1551598925112841"</f>
        <v>1551598925112841</v>
      </c>
      <c r="C3477" t="s">
        <v>40</v>
      </c>
      <c r="D3477">
        <v>5.3398820000000002</v>
      </c>
      <c r="E3477">
        <v>0.51436809999999999</v>
      </c>
      <c r="F3477" t="s">
        <v>41</v>
      </c>
      <c r="G3477">
        <v>-492.3295</v>
      </c>
      <c r="H3477" s="1">
        <v>-3.0257819999999998E-6</v>
      </c>
      <c r="I3477">
        <v>235.19749999999999</v>
      </c>
      <c r="J3477">
        <v>-492.59199999999998</v>
      </c>
      <c r="K3477">
        <v>1.1205149999999999</v>
      </c>
      <c r="L3477">
        <v>251.7636</v>
      </c>
      <c r="M3477">
        <v>1.8771670000000001E-2</v>
      </c>
      <c r="N3477">
        <v>-1.080774E-2</v>
      </c>
      <c r="O3477">
        <v>-0.99976580000000004</v>
      </c>
      <c r="P3477">
        <v>5.295967E-2</v>
      </c>
      <c r="Q3477">
        <v>-8.3160940000000003E-2</v>
      </c>
      <c r="R3477">
        <v>-0.99512860000000003</v>
      </c>
      <c r="S3477">
        <v>4.7485350000000003E-2</v>
      </c>
      <c r="T3477">
        <v>-0.20091990000000001</v>
      </c>
      <c r="U3477">
        <v>-2.9953609999999999</v>
      </c>
      <c r="V3477">
        <v>-3.4323289999999999E-2</v>
      </c>
      <c r="W3477">
        <v>-7.2366459999999994E-2</v>
      </c>
      <c r="X3477">
        <v>0.99678739999999999</v>
      </c>
      <c r="Y3477">
        <v>2.945979E-3</v>
      </c>
      <c r="Z3477">
        <v>5.6118800000000003E-2</v>
      </c>
      <c r="AA3477">
        <v>0.99841979999999997</v>
      </c>
      <c r="AB3477">
        <v>21</v>
      </c>
      <c r="AC3477">
        <v>0.26249999999998802</v>
      </c>
      <c r="AD3477">
        <v>-1.120518025782</v>
      </c>
      <c r="AE3477">
        <v>-16.566099999999999</v>
      </c>
      <c r="AF3477">
        <v>4.8316658117462503E-2</v>
      </c>
      <c r="AG3477">
        <v>-1.120518025782</v>
      </c>
      <c r="AH3477">
        <v>16.4926724238574</v>
      </c>
      <c r="AI3477">
        <v>93.886706107482595</v>
      </c>
      <c r="AJ3477">
        <v>89.832147719940096</v>
      </c>
      <c r="AK3477">
        <v>16.530763407242301</v>
      </c>
      <c r="AL3477">
        <v>94.149920011916194</v>
      </c>
      <c r="AM3477">
        <v>91.972138646993699</v>
      </c>
      <c r="AN3477">
        <v>1.0000000567840499</v>
      </c>
    </row>
    <row r="3478" spans="1:40" x14ac:dyDescent="0.25">
      <c r="A3478" t="str">
        <f>"20190303154205139"</f>
        <v>20190303154205139</v>
      </c>
      <c r="B3478" t="str">
        <f>"1551598925132887"</f>
        <v>1551598925132887</v>
      </c>
      <c r="C3478" t="s">
        <v>40</v>
      </c>
      <c r="D3478">
        <v>5.3196349999999999</v>
      </c>
      <c r="E3478">
        <v>0.51503399999999999</v>
      </c>
      <c r="F3478" t="s">
        <v>41</v>
      </c>
      <c r="G3478">
        <v>-492.33629999999999</v>
      </c>
      <c r="H3478" s="1">
        <v>-2.8958950000000002E-6</v>
      </c>
      <c r="I3478">
        <v>234.8905</v>
      </c>
      <c r="J3478">
        <v>-492.58960000000002</v>
      </c>
      <c r="K3478">
        <v>1.120544</v>
      </c>
      <c r="L3478">
        <v>251.60720000000001</v>
      </c>
      <c r="M3478">
        <v>1.8376940000000001E-2</v>
      </c>
      <c r="N3478">
        <v>-1.09688999999999E-2</v>
      </c>
      <c r="O3478">
        <v>-0.99977119999999997</v>
      </c>
      <c r="P3478">
        <v>5.4078660000000001E-2</v>
      </c>
      <c r="Q3478">
        <v>-8.3351800000000004E-2</v>
      </c>
      <c r="R3478">
        <v>-0.99505200000000005</v>
      </c>
      <c r="S3478">
        <v>4.5410159999999998E-2</v>
      </c>
      <c r="T3478">
        <v>-0.19893620000000001</v>
      </c>
      <c r="U3478">
        <v>-2.9956510000000001</v>
      </c>
      <c r="V3478">
        <v>-3.5837019999999997E-2</v>
      </c>
      <c r="W3478">
        <v>-7.2396279999999993E-2</v>
      </c>
      <c r="X3478">
        <v>0.9967319</v>
      </c>
      <c r="Y3478">
        <v>3.2433689999999999E-3</v>
      </c>
      <c r="Z3478">
        <v>5.52944E-2</v>
      </c>
      <c r="AA3478">
        <v>0.99846480000000004</v>
      </c>
      <c r="AB3478">
        <v>21</v>
      </c>
      <c r="AC3478">
        <v>0.25330000000002401</v>
      </c>
      <c r="AD3478">
        <v>-1.120546895895</v>
      </c>
      <c r="AE3478">
        <v>-16.716699999999999</v>
      </c>
      <c r="AF3478">
        <v>5.37216528662579E-2</v>
      </c>
      <c r="AG3478">
        <v>-1.120546895895</v>
      </c>
      <c r="AH3478">
        <v>16.643764713934001</v>
      </c>
      <c r="AI3478">
        <v>93.851624635708902</v>
      </c>
      <c r="AJ3478">
        <v>89.815065080440206</v>
      </c>
      <c r="AK3478">
        <v>16.681529162959901</v>
      </c>
      <c r="AL3478">
        <v>94.151633314227396</v>
      </c>
      <c r="AM3478">
        <v>92.0591554175369</v>
      </c>
      <c r="AN3478">
        <v>0.99999999691896402</v>
      </c>
    </row>
    <row r="3479" spans="1:40" x14ac:dyDescent="0.25">
      <c r="A3479" t="str">
        <f>"20190303154205160"</f>
        <v>20190303154205160</v>
      </c>
      <c r="B3479" t="str">
        <f>"1551598925153364"</f>
        <v>1551598925153364</v>
      </c>
      <c r="C3479" t="s">
        <v>40</v>
      </c>
      <c r="D3479">
        <v>5.286524</v>
      </c>
      <c r="E3479">
        <v>0.51536150000000003</v>
      </c>
      <c r="F3479" t="s">
        <v>41</v>
      </c>
      <c r="G3479">
        <v>-492.33980000000003</v>
      </c>
      <c r="H3479" s="1">
        <v>-2.7737589999999999E-6</v>
      </c>
      <c r="I3479">
        <v>234.6036</v>
      </c>
      <c r="J3479">
        <v>-492.58670000000001</v>
      </c>
      <c r="K3479">
        <v>1.1205849999999999</v>
      </c>
      <c r="L3479">
        <v>251.4186</v>
      </c>
      <c r="M3479">
        <v>1.7897389999999999E-2</v>
      </c>
      <c r="N3479">
        <v>-1.1199819999999999E-2</v>
      </c>
      <c r="O3479">
        <v>-0.99977720000000003</v>
      </c>
      <c r="P3479">
        <v>5.4954990000000002E-2</v>
      </c>
      <c r="Q3479">
        <v>-8.4090520000000002E-2</v>
      </c>
      <c r="R3479">
        <v>-0.99494190000000005</v>
      </c>
      <c r="S3479">
        <v>4.400635E-2</v>
      </c>
      <c r="T3479">
        <v>-0.19743550000000001</v>
      </c>
      <c r="U3479">
        <v>-2.9959720000000001</v>
      </c>
      <c r="V3479">
        <v>-3.7192530000000001E-2</v>
      </c>
      <c r="W3479">
        <v>-7.2905349999999994E-2</v>
      </c>
      <c r="X3479">
        <v>0.99664520000000001</v>
      </c>
      <c r="Y3479">
        <v>3.2325069999999999E-3</v>
      </c>
      <c r="Z3479">
        <v>5.4559980000000001E-2</v>
      </c>
      <c r="AA3479">
        <v>0.99850519999999998</v>
      </c>
      <c r="AB3479">
        <v>21</v>
      </c>
      <c r="AC3479">
        <v>0.24689999999998199</v>
      </c>
      <c r="AD3479">
        <v>-1.120587773759</v>
      </c>
      <c r="AE3479">
        <v>-16.814999999999898</v>
      </c>
      <c r="AF3479">
        <v>5.3863842779607901E-2</v>
      </c>
      <c r="AG3479">
        <v>-1.120587773759</v>
      </c>
      <c r="AH3479">
        <v>16.742385668480701</v>
      </c>
      <c r="AI3479">
        <v>93.829143743085993</v>
      </c>
      <c r="AJ3479">
        <v>89.815667834140598</v>
      </c>
      <c r="AK3479">
        <v>16.779931351003899</v>
      </c>
      <c r="AL3479">
        <v>94.1808778753186</v>
      </c>
      <c r="AM3479">
        <v>92.137156348796694</v>
      </c>
      <c r="AN3479">
        <v>1.00000006451472</v>
      </c>
    </row>
    <row r="3480" spans="1:40" x14ac:dyDescent="0.25">
      <c r="A3480" t="str">
        <f>"20190303154205171"</f>
        <v>20190303154205171</v>
      </c>
      <c r="B3480" t="str">
        <f>"1551598925163125"</f>
        <v>1551598925163125</v>
      </c>
      <c r="C3480" t="s">
        <v>40</v>
      </c>
      <c r="D3480">
        <v>5.2656559999999999</v>
      </c>
      <c r="E3480">
        <v>0.51546559999999997</v>
      </c>
      <c r="F3480" t="s">
        <v>41</v>
      </c>
      <c r="G3480">
        <v>-492.33909999999997</v>
      </c>
      <c r="H3480" s="1">
        <v>-2.730863E-6</v>
      </c>
      <c r="I3480">
        <v>234.50399999999999</v>
      </c>
      <c r="J3480">
        <v>-492.58510000000001</v>
      </c>
      <c r="K3480">
        <v>1.120614</v>
      </c>
      <c r="L3480">
        <v>251.3058</v>
      </c>
      <c r="M3480">
        <v>1.7606130000000001E-2</v>
      </c>
      <c r="N3480">
        <v>-1.135126E-2</v>
      </c>
      <c r="O3480">
        <v>-0.99978080000000003</v>
      </c>
      <c r="P3480">
        <v>5.5059419999999998E-2</v>
      </c>
      <c r="Q3480">
        <v>-8.4344649999999993E-2</v>
      </c>
      <c r="R3480">
        <v>-0.99491459999999998</v>
      </c>
      <c r="S3480">
        <v>4.3853759999999999E-2</v>
      </c>
      <c r="T3480">
        <v>-0.198489</v>
      </c>
      <c r="U3480">
        <v>-2.9960629999999999</v>
      </c>
      <c r="V3480">
        <v>-3.7586679999999997E-2</v>
      </c>
      <c r="W3480">
        <v>-7.3008950000000003E-2</v>
      </c>
      <c r="X3480">
        <v>0.99662269999999997</v>
      </c>
      <c r="Y3480">
        <v>2.9927410000000002E-3</v>
      </c>
      <c r="Z3480">
        <v>5.4756760000000002E-2</v>
      </c>
      <c r="AA3480">
        <v>0.99849520000000003</v>
      </c>
      <c r="AB3480">
        <v>21</v>
      </c>
      <c r="AC3480">
        <v>0.24600000000003699</v>
      </c>
      <c r="AD3480">
        <v>-1.120616730863</v>
      </c>
      <c r="AE3480">
        <v>-16.801799999999901</v>
      </c>
      <c r="AF3480">
        <v>4.9650980063276701E-2</v>
      </c>
      <c r="AG3480">
        <v>-1.120616730863</v>
      </c>
      <c r="AH3480">
        <v>16.7291250972348</v>
      </c>
      <c r="AI3480">
        <v>93.832271603767694</v>
      </c>
      <c r="AJ3480">
        <v>89.829950267159703</v>
      </c>
      <c r="AK3480">
        <v>16.7666894047765</v>
      </c>
      <c r="AL3480">
        <v>94.186830118714298</v>
      </c>
      <c r="AM3480">
        <v>92.159832364651294</v>
      </c>
      <c r="AN3480">
        <v>0.99999993572440504</v>
      </c>
    </row>
    <row r="3481" spans="1:40" x14ac:dyDescent="0.25">
      <c r="A3481" t="str">
        <f>"20190303154205184"</f>
        <v>20190303154205184</v>
      </c>
      <c r="B3481" t="str">
        <f>"1551598925172885"</f>
        <v>1551598925172885</v>
      </c>
      <c r="C3481" t="s">
        <v>40</v>
      </c>
      <c r="D3481">
        <v>5.2860300000000002</v>
      </c>
      <c r="E3481">
        <v>0.51564370000000004</v>
      </c>
      <c r="F3481" t="s">
        <v>41</v>
      </c>
      <c r="G3481">
        <v>-492.34269999999998</v>
      </c>
      <c r="H3481" s="1">
        <v>-2.6939390000000002E-6</v>
      </c>
      <c r="I3481">
        <v>234.41579999999999</v>
      </c>
      <c r="J3481">
        <v>-492.58339999999998</v>
      </c>
      <c r="K3481">
        <v>1.12064599999999</v>
      </c>
      <c r="L3481">
        <v>251.19329999999999</v>
      </c>
      <c r="M3481">
        <v>1.731185E-2</v>
      </c>
      <c r="N3481">
        <v>-1.15078E-2</v>
      </c>
      <c r="O3481">
        <v>-0.99978389999999995</v>
      </c>
      <c r="P3481">
        <v>5.5022540000000002E-2</v>
      </c>
      <c r="Q3481">
        <v>-8.4302810000000006E-2</v>
      </c>
      <c r="R3481">
        <v>-0.99492000000000003</v>
      </c>
      <c r="S3481">
        <v>4.2999269999999999E-2</v>
      </c>
      <c r="T3481">
        <v>-0.19878580000000001</v>
      </c>
      <c r="U3481">
        <v>-2.996124</v>
      </c>
      <c r="V3481">
        <v>-3.7841949999999999E-2</v>
      </c>
      <c r="W3481">
        <v>-7.2811319999999999E-2</v>
      </c>
      <c r="X3481">
        <v>0.99662759999999995</v>
      </c>
      <c r="Y3481">
        <v>2.9833780000000001E-3</v>
      </c>
      <c r="Z3481">
        <v>5.4698169999999997E-2</v>
      </c>
      <c r="AA3481">
        <v>0.99849849999999996</v>
      </c>
      <c r="AB3481">
        <v>21</v>
      </c>
      <c r="AC3481">
        <v>0.24070000000000299</v>
      </c>
      <c r="AD3481">
        <v>-1.1206486939389999</v>
      </c>
      <c r="AE3481">
        <v>-16.7775</v>
      </c>
      <c r="AF3481">
        <v>4.9583703165298303E-2</v>
      </c>
      <c r="AG3481">
        <v>-1.1206486939389999</v>
      </c>
      <c r="AH3481">
        <v>16.704639578862199</v>
      </c>
      <c r="AI3481">
        <v>93.837981275529998</v>
      </c>
      <c r="AJ3481">
        <v>89.829931764333196</v>
      </c>
      <c r="AK3481">
        <v>16.742260764261701</v>
      </c>
      <c r="AL3481">
        <v>94.175476110819602</v>
      </c>
      <c r="AM3481">
        <v>92.174476155268195</v>
      </c>
      <c r="AN3481">
        <v>1.00000003729085</v>
      </c>
    </row>
    <row r="3482" spans="1:40" x14ac:dyDescent="0.25">
      <c r="A3482" t="str">
        <f>"20190303154205196"</f>
        <v>20190303154205196</v>
      </c>
      <c r="B3482" t="str">
        <f>"1551598925193381"</f>
        <v>1551598925193381</v>
      </c>
      <c r="C3482" t="s">
        <v>40</v>
      </c>
      <c r="D3482">
        <v>5.2655699999999896</v>
      </c>
      <c r="E3482">
        <v>0.51596549999999997</v>
      </c>
      <c r="F3482" t="s">
        <v>41</v>
      </c>
      <c r="G3482">
        <v>-492.34699999999998</v>
      </c>
      <c r="H3482" s="1">
        <v>-2.6183180000000001E-6</v>
      </c>
      <c r="I3482">
        <v>234.23679999999999</v>
      </c>
      <c r="J3482">
        <v>-492.58170000000001</v>
      </c>
      <c r="K3482">
        <v>1.1206769999999999</v>
      </c>
      <c r="L3482">
        <v>251.0796</v>
      </c>
      <c r="M3482">
        <v>1.7012969999999999E-2</v>
      </c>
      <c r="N3482">
        <v>-1.1668380000000001E-2</v>
      </c>
      <c r="O3482">
        <v>-0.99978739999999999</v>
      </c>
      <c r="P3482">
        <v>5.5074169999999999E-2</v>
      </c>
      <c r="Q3482">
        <v>-8.4634000000000001E-2</v>
      </c>
      <c r="R3482">
        <v>-0.99488940000000003</v>
      </c>
      <c r="S3482">
        <v>4.1778559999999999E-2</v>
      </c>
      <c r="T3482">
        <v>-0.19802059999999999</v>
      </c>
      <c r="U3482">
        <v>-2.9962460000000002</v>
      </c>
      <c r="V3482">
        <v>-3.8191240000000001E-2</v>
      </c>
      <c r="W3482">
        <v>-7.298288E-2</v>
      </c>
      <c r="X3482">
        <v>0.99660170000000003</v>
      </c>
      <c r="Y3482">
        <v>3.0913730000000001E-3</v>
      </c>
      <c r="Z3482">
        <v>5.4281959999999997E-2</v>
      </c>
      <c r="AA3482">
        <v>0.99852090000000004</v>
      </c>
      <c r="AB3482">
        <v>21</v>
      </c>
      <c r="AC3482">
        <v>0.23470000000003199</v>
      </c>
      <c r="AD3482">
        <v>-1.1206796183179999</v>
      </c>
      <c r="AE3482">
        <v>-16.8428</v>
      </c>
      <c r="AF3482">
        <v>5.1670755082495599E-2</v>
      </c>
      <c r="AG3482">
        <v>-1.1206796183179999</v>
      </c>
      <c r="AH3482">
        <v>16.770124036169001</v>
      </c>
      <c r="AI3482">
        <v>93.823143029300795</v>
      </c>
      <c r="AJ3482">
        <v>89.823465418872502</v>
      </c>
      <c r="AK3482">
        <v>16.807606993928001</v>
      </c>
      <c r="AL3482">
        <v>94.185332110668</v>
      </c>
      <c r="AM3482">
        <v>92.194584517939902</v>
      </c>
      <c r="AN3482">
        <v>1.00000001001436</v>
      </c>
    </row>
    <row r="3483" spans="1:40" x14ac:dyDescent="0.25">
      <c r="A3483" t="str">
        <f>"20190303154205208"</f>
        <v>20190303154205208</v>
      </c>
      <c r="B3483" t="str">
        <f>"1551598925203141"</f>
        <v>1551598925203141</v>
      </c>
      <c r="C3483" t="s">
        <v>40</v>
      </c>
      <c r="D3483">
        <v>5.2975269999999997</v>
      </c>
      <c r="E3483">
        <v>0.51621039999999996</v>
      </c>
      <c r="F3483" t="s">
        <v>41</v>
      </c>
      <c r="G3483">
        <v>-492.35700000000003</v>
      </c>
      <c r="H3483" s="1">
        <v>-2.5540820000000002E-6</v>
      </c>
      <c r="I3483">
        <v>234.08090000000001</v>
      </c>
      <c r="J3483">
        <v>-492.58019999999999</v>
      </c>
      <c r="K3483">
        <v>1.1207020000000001</v>
      </c>
      <c r="L3483">
        <v>250.9675</v>
      </c>
      <c r="M3483">
        <v>1.6717280000000001E-2</v>
      </c>
      <c r="N3483">
        <v>-1.1827819999999999E-2</v>
      </c>
      <c r="O3483">
        <v>-0.99979030000000002</v>
      </c>
      <c r="P3483">
        <v>5.4912589999999997E-2</v>
      </c>
      <c r="Q3483">
        <v>-8.4632490000000005E-2</v>
      </c>
      <c r="R3483">
        <v>-0.9948979</v>
      </c>
      <c r="S3483">
        <v>3.9611819999999999E-2</v>
      </c>
      <c r="T3483">
        <v>-0.19754479999999999</v>
      </c>
      <c r="U3483">
        <v>-2.9964140000000001</v>
      </c>
      <c r="V3483">
        <v>-3.8323799999999998E-2</v>
      </c>
      <c r="W3483">
        <v>-7.282247E-2</v>
      </c>
      <c r="X3483">
        <v>0.9966083</v>
      </c>
      <c r="Y3483">
        <v>3.5179019999999998E-3</v>
      </c>
      <c r="Z3483">
        <v>5.3961929999999998E-2</v>
      </c>
      <c r="AA3483">
        <v>0.9985368</v>
      </c>
      <c r="AB3483">
        <v>21</v>
      </c>
      <c r="AC3483">
        <v>0.22320000000001899</v>
      </c>
      <c r="AD3483">
        <v>-1.120704554082</v>
      </c>
      <c r="AE3483">
        <v>-16.886599999999898</v>
      </c>
      <c r="AF3483">
        <v>5.8889627972595199E-2</v>
      </c>
      <c r="AG3483">
        <v>-1.120704554082</v>
      </c>
      <c r="AH3483">
        <v>16.813927219543601</v>
      </c>
      <c r="AI3483">
        <v>93.813291827270007</v>
      </c>
      <c r="AJ3483">
        <v>89.7993262787964</v>
      </c>
      <c r="AK3483">
        <v>16.851338084257002</v>
      </c>
      <c r="AL3483">
        <v>94.176116962844404</v>
      </c>
      <c r="AM3483">
        <v>92.202179761310703</v>
      </c>
      <c r="AN3483">
        <v>0.99999996470611396</v>
      </c>
    </row>
    <row r="3484" spans="1:40" x14ac:dyDescent="0.25">
      <c r="A3484" t="str">
        <f>"20190303154205227"</f>
        <v>20190303154205227</v>
      </c>
      <c r="B3484" t="str">
        <f>"1551598925222661"</f>
        <v>1551598925222661</v>
      </c>
      <c r="C3484" t="s">
        <v>40</v>
      </c>
      <c r="D3484">
        <v>5.2623860000000002</v>
      </c>
      <c r="E3484">
        <v>0.51636300000000002</v>
      </c>
      <c r="F3484" t="s">
        <v>41</v>
      </c>
      <c r="G3484">
        <v>-492.36959999999999</v>
      </c>
      <c r="H3484" s="1">
        <v>-2.452821E-6</v>
      </c>
      <c r="I3484">
        <v>233.83699999999999</v>
      </c>
      <c r="J3484">
        <v>-492.5779</v>
      </c>
      <c r="K3484">
        <v>1.120735</v>
      </c>
      <c r="L3484">
        <v>250.80029999999999</v>
      </c>
      <c r="M3484">
        <v>1.6277549999999998E-2</v>
      </c>
      <c r="N3484">
        <v>-1.20611E-2</v>
      </c>
      <c r="O3484">
        <v>-0.99979479999999998</v>
      </c>
      <c r="P3484">
        <v>5.492698E-2</v>
      </c>
      <c r="Q3484">
        <v>-8.4010349999999998E-2</v>
      </c>
      <c r="R3484">
        <v>-0.99495</v>
      </c>
      <c r="S3484">
        <v>3.6834720000000001E-2</v>
      </c>
      <c r="T3484">
        <v>-0.19604779999999999</v>
      </c>
      <c r="U3484">
        <v>-2.9966889999999999</v>
      </c>
      <c r="V3484">
        <v>-3.8775289999999997E-2</v>
      </c>
      <c r="W3484">
        <v>-7.1966950000000002E-2</v>
      </c>
      <c r="X3484">
        <v>0.99665300000000001</v>
      </c>
      <c r="Y3484">
        <v>4.0038169999999998E-3</v>
      </c>
      <c r="Z3484">
        <v>5.3227330000000003E-2</v>
      </c>
      <c r="AA3484">
        <v>0.99857439999999997</v>
      </c>
      <c r="AB3484">
        <v>21</v>
      </c>
      <c r="AC3484">
        <v>0.20830000000000801</v>
      </c>
      <c r="AD3484">
        <v>-1.1207374528209999</v>
      </c>
      <c r="AE3484">
        <v>-16.963299999999901</v>
      </c>
      <c r="AF3484">
        <v>6.7573724513894901E-2</v>
      </c>
      <c r="AG3484">
        <v>-1.1207374528209999</v>
      </c>
      <c r="AH3484">
        <v>16.890725714113099</v>
      </c>
      <c r="AI3484">
        <v>93.796108450501407</v>
      </c>
      <c r="AJ3484">
        <v>89.770781396209301</v>
      </c>
      <c r="AK3484">
        <v>16.928001470811701</v>
      </c>
      <c r="AL3484">
        <v>94.1269702379048</v>
      </c>
      <c r="AM3484">
        <v>92.227997661240593</v>
      </c>
      <c r="AN3484">
        <v>0.99999998370794296</v>
      </c>
    </row>
    <row r="3485" spans="1:40" x14ac:dyDescent="0.25">
      <c r="A3485" t="str">
        <f>"20190303154205241"</f>
        <v>20190303154205241</v>
      </c>
      <c r="B3485" t="str">
        <f>"1551598925232944"</f>
        <v>1551598925232944</v>
      </c>
      <c r="C3485" t="s">
        <v>40</v>
      </c>
      <c r="D3485">
        <v>5.2461010000000003</v>
      </c>
      <c r="E3485">
        <v>0.51650499999999999</v>
      </c>
      <c r="F3485" t="s">
        <v>41</v>
      </c>
      <c r="G3485">
        <v>-492.36939999999998</v>
      </c>
      <c r="H3485" s="1">
        <v>-2.282609E-6</v>
      </c>
      <c r="I3485">
        <v>233.44030000000001</v>
      </c>
      <c r="J3485">
        <v>-492.57619999999997</v>
      </c>
      <c r="K3485">
        <v>1.1207549999999999</v>
      </c>
      <c r="L3485">
        <v>250.6705</v>
      </c>
      <c r="M3485">
        <v>1.5937819999999998E-2</v>
      </c>
      <c r="N3485">
        <v>-1.2235670000000001E-2</v>
      </c>
      <c r="O3485">
        <v>-0.99979839999999998</v>
      </c>
      <c r="P3485">
        <v>5.4838690000000002E-2</v>
      </c>
      <c r="Q3485">
        <v>-8.4021849999999995E-2</v>
      </c>
      <c r="R3485">
        <v>-0.99495420000000001</v>
      </c>
      <c r="S3485">
        <v>3.598022E-2</v>
      </c>
      <c r="T3485">
        <v>-0.19347739999999999</v>
      </c>
      <c r="U3485">
        <v>-2.996918</v>
      </c>
      <c r="V3485">
        <v>-3.9025249999999997E-2</v>
      </c>
      <c r="W3485">
        <v>-7.1804099999999996E-2</v>
      </c>
      <c r="X3485">
        <v>0.99665499999999996</v>
      </c>
      <c r="Y3485">
        <v>3.9490230000000003E-3</v>
      </c>
      <c r="Z3485">
        <v>5.219596E-2</v>
      </c>
      <c r="AA3485">
        <v>0.99862899999999999</v>
      </c>
      <c r="AB3485">
        <v>20</v>
      </c>
      <c r="AC3485">
        <v>0.20679999999998699</v>
      </c>
      <c r="AD3485">
        <v>-1.120757282609</v>
      </c>
      <c r="AE3485">
        <v>-17.2301999999999</v>
      </c>
      <c r="AF3485">
        <v>6.75727189741583E-2</v>
      </c>
      <c r="AG3485">
        <v>-1.120757282609</v>
      </c>
      <c r="AH3485">
        <v>17.158719366917101</v>
      </c>
      <c r="AI3485">
        <v>93.737055074997699</v>
      </c>
      <c r="AJ3485">
        <v>89.774364769870601</v>
      </c>
      <c r="AK3485">
        <v>17.1954154724882</v>
      </c>
      <c r="AL3485">
        <v>94.117615375764402</v>
      </c>
      <c r="AM3485">
        <v>92.2423410568679</v>
      </c>
      <c r="AN3485">
        <v>0.99999999396968597</v>
      </c>
    </row>
    <row r="3486" spans="1:40" x14ac:dyDescent="0.25">
      <c r="A3486" t="str">
        <f>"20190303154205255"</f>
        <v>20190303154205255</v>
      </c>
      <c r="B3486" t="str">
        <f>"1551598925242688"</f>
        <v>1551598925242688</v>
      </c>
      <c r="C3486" t="s">
        <v>40</v>
      </c>
      <c r="D3486">
        <v>5.2715079999999999</v>
      </c>
      <c r="E3486">
        <v>0.51668820000000004</v>
      </c>
      <c r="F3486" t="s">
        <v>41</v>
      </c>
      <c r="G3486">
        <v>-492.37560000000002</v>
      </c>
      <c r="H3486" s="1">
        <v>-2.212732E-6</v>
      </c>
      <c r="I3486">
        <v>233.27359999999999</v>
      </c>
      <c r="J3486">
        <v>-492.5745</v>
      </c>
      <c r="K3486">
        <v>1.120773</v>
      </c>
      <c r="L3486">
        <v>250.53980000000001</v>
      </c>
      <c r="M3486">
        <v>1.5596830000000001E-2</v>
      </c>
      <c r="N3486">
        <v>-1.240482E-2</v>
      </c>
      <c r="O3486">
        <v>-0.99980150000000001</v>
      </c>
      <c r="P3486">
        <v>5.4581900000000003E-2</v>
      </c>
      <c r="Q3486">
        <v>-8.4247920000000004E-2</v>
      </c>
      <c r="R3486">
        <v>-0.99494899999999997</v>
      </c>
      <c r="S3486">
        <v>3.4545899999999997E-2</v>
      </c>
      <c r="T3486">
        <v>-0.19307589999999999</v>
      </c>
      <c r="U3486">
        <v>-2.9970089999999998</v>
      </c>
      <c r="V3486">
        <v>-3.9109199999999997E-2</v>
      </c>
      <c r="W3486">
        <v>-7.1861380000000002E-2</v>
      </c>
      <c r="X3486">
        <v>0.99664759999999997</v>
      </c>
      <c r="Y3486">
        <v>4.0859670000000002E-3</v>
      </c>
      <c r="Z3486">
        <v>5.1892479999999998E-2</v>
      </c>
      <c r="AA3486">
        <v>0.99864430000000004</v>
      </c>
      <c r="AB3486">
        <v>20</v>
      </c>
      <c r="AC3486">
        <v>0.19889999999998001</v>
      </c>
      <c r="AD3486">
        <v>-1.1207752127320001</v>
      </c>
      <c r="AE3486">
        <v>-17.266200000000001</v>
      </c>
      <c r="AF3486">
        <v>7.0147354518386204E-2</v>
      </c>
      <c r="AG3486">
        <v>-1.1207752127320001</v>
      </c>
      <c r="AH3486">
        <v>17.194761302298399</v>
      </c>
      <c r="AI3486">
        <v>93.729301345954596</v>
      </c>
      <c r="AJ3486">
        <v>89.766258746448798</v>
      </c>
      <c r="AK3486">
        <v>17.231392107773502</v>
      </c>
      <c r="AL3486">
        <v>94.120905699505698</v>
      </c>
      <c r="AM3486">
        <v>92.247176444739793</v>
      </c>
      <c r="AN3486">
        <v>1.0000000130229501</v>
      </c>
    </row>
    <row r="3487" spans="1:40" x14ac:dyDescent="0.25">
      <c r="A3487" t="str">
        <f>"20190303154205272"</f>
        <v>20190303154205272</v>
      </c>
      <c r="B3487" t="str">
        <f>"1551598925263184"</f>
        <v>1551598925263184</v>
      </c>
      <c r="C3487" t="s">
        <v>40</v>
      </c>
      <c r="D3487">
        <v>5.2419760000000002</v>
      </c>
      <c r="E3487">
        <v>0.51690170000000002</v>
      </c>
      <c r="F3487" t="s">
        <v>41</v>
      </c>
      <c r="G3487">
        <v>-492.3852</v>
      </c>
      <c r="H3487" s="1">
        <v>-2.155525E-6</v>
      </c>
      <c r="I3487">
        <v>233.1343</v>
      </c>
      <c r="J3487">
        <v>-492.57249999999999</v>
      </c>
      <c r="K3487">
        <v>1.1207849999999999</v>
      </c>
      <c r="L3487">
        <v>250.38130000000001</v>
      </c>
      <c r="M3487">
        <v>1.5183820000000001E-2</v>
      </c>
      <c r="N3487">
        <v>-1.2593149999999999E-2</v>
      </c>
      <c r="O3487">
        <v>-0.99980530000000001</v>
      </c>
      <c r="P3487">
        <v>5.416398E-2</v>
      </c>
      <c r="Q3487">
        <v>-8.4183129999999995E-2</v>
      </c>
      <c r="R3487">
        <v>-0.99497729999999995</v>
      </c>
      <c r="S3487">
        <v>3.259277E-2</v>
      </c>
      <c r="T3487">
        <v>-0.192991</v>
      </c>
      <c r="U3487">
        <v>-2.9971160000000001</v>
      </c>
      <c r="V3487">
        <v>-3.9102789999999998E-2</v>
      </c>
      <c r="W3487">
        <v>-7.1608340000000006E-2</v>
      </c>
      <c r="X3487">
        <v>0.9966661</v>
      </c>
      <c r="Y3487">
        <v>4.3237550000000003E-3</v>
      </c>
      <c r="Z3487">
        <v>5.1674669999999999E-2</v>
      </c>
      <c r="AA3487">
        <v>0.99865459999999995</v>
      </c>
      <c r="AB3487">
        <v>20</v>
      </c>
      <c r="AC3487">
        <v>0.187299999999993</v>
      </c>
      <c r="AD3487">
        <v>-1.120787155525</v>
      </c>
      <c r="AE3487">
        <v>-17.247</v>
      </c>
      <c r="AF3487">
        <v>7.4303988887573696E-2</v>
      </c>
      <c r="AG3487">
        <v>-1.120787155525</v>
      </c>
      <c r="AH3487">
        <v>17.175333032816599</v>
      </c>
      <c r="AI3487">
        <v>93.733543717803599</v>
      </c>
      <c r="AJ3487">
        <v>89.752128334487097</v>
      </c>
      <c r="AK3487">
        <v>17.212023405716</v>
      </c>
      <c r="AL3487">
        <v>94.1063699813227</v>
      </c>
      <c r="AM3487">
        <v>92.246766847638597</v>
      </c>
      <c r="AN3487">
        <v>1.0000000487162699</v>
      </c>
    </row>
    <row r="3488" spans="1:40" x14ac:dyDescent="0.25">
      <c r="A3488" t="str">
        <f>"20190303154205294"</f>
        <v>20190303154205294</v>
      </c>
      <c r="B3488" t="str">
        <f>"1551598925282704"</f>
        <v>1551598925282704</v>
      </c>
      <c r="C3488" t="s">
        <v>40</v>
      </c>
      <c r="D3488">
        <v>5.245482</v>
      </c>
      <c r="E3488">
        <v>0.51712979999999997</v>
      </c>
      <c r="F3488" t="s">
        <v>41</v>
      </c>
      <c r="G3488">
        <v>-492.40159999999997</v>
      </c>
      <c r="H3488" s="1">
        <v>-2.0509339999999998E-6</v>
      </c>
      <c r="I3488">
        <v>232.88030000000001</v>
      </c>
      <c r="J3488">
        <v>-492.57010000000002</v>
      </c>
      <c r="K3488">
        <v>1.1207929999999999</v>
      </c>
      <c r="L3488">
        <v>250.18889999999999</v>
      </c>
      <c r="M3488">
        <v>1.468035E-2</v>
      </c>
      <c r="N3488">
        <v>-1.2802640000000001E-2</v>
      </c>
      <c r="O3488">
        <v>-0.99981030000000004</v>
      </c>
      <c r="P3488">
        <v>5.3707539999999998E-2</v>
      </c>
      <c r="Q3488">
        <v>-8.4554660000000004E-2</v>
      </c>
      <c r="R3488">
        <v>-0.99497060000000004</v>
      </c>
      <c r="S3488">
        <v>2.9266360000000002E-2</v>
      </c>
      <c r="T3488">
        <v>-0.1919537</v>
      </c>
      <c r="U3488">
        <v>-2.9973299999999998</v>
      </c>
      <c r="V3488">
        <v>-3.9148429999999998E-2</v>
      </c>
      <c r="W3488">
        <v>-7.1771009999999996E-2</v>
      </c>
      <c r="X3488">
        <v>0.99665250000000005</v>
      </c>
      <c r="Y3488">
        <v>4.9285739999999998E-3</v>
      </c>
      <c r="Z3488">
        <v>5.1117620000000003E-2</v>
      </c>
      <c r="AA3488">
        <v>0.99868049999999997</v>
      </c>
      <c r="AB3488">
        <v>20</v>
      </c>
      <c r="AC3488">
        <v>0.168500000000051</v>
      </c>
      <c r="AD3488">
        <v>-1.1207950509339999</v>
      </c>
      <c r="AE3488">
        <v>-17.308599999999899</v>
      </c>
      <c r="AF3488">
        <v>8.5277747747075305E-2</v>
      </c>
      <c r="AG3488">
        <v>-1.1207950509339999</v>
      </c>
      <c r="AH3488">
        <v>17.2369400736263</v>
      </c>
      <c r="AI3488">
        <v>93.720252541875098</v>
      </c>
      <c r="AJ3488">
        <v>89.716538135693895</v>
      </c>
      <c r="AK3488">
        <v>17.2735507913759</v>
      </c>
      <c r="AL3488">
        <v>94.115714770086399</v>
      </c>
      <c r="AM3488">
        <v>92.249417200004004</v>
      </c>
      <c r="AN3488">
        <v>0.99999994160206496</v>
      </c>
    </row>
    <row r="3489" spans="1:40" x14ac:dyDescent="0.25">
      <c r="A3489" t="str">
        <f>"20190303154205309"</f>
        <v>20190303154205309</v>
      </c>
      <c r="B3489" t="str">
        <f>"1551598925303200"</f>
        <v>1551598925303200</v>
      </c>
      <c r="C3489" t="s">
        <v>40</v>
      </c>
      <c r="D3489">
        <v>5.2124699999999997</v>
      </c>
      <c r="E3489">
        <v>0.51729440000000004</v>
      </c>
      <c r="F3489" t="s">
        <v>41</v>
      </c>
      <c r="G3489">
        <v>-492.41590000000002</v>
      </c>
      <c r="H3489" s="1">
        <v>-1.96582E-6</v>
      </c>
      <c r="I3489">
        <v>232.67310000000001</v>
      </c>
      <c r="J3489">
        <v>-492.56869999999998</v>
      </c>
      <c r="K3489">
        <v>1.1208</v>
      </c>
      <c r="L3489">
        <v>250.06200000000001</v>
      </c>
      <c r="M3489">
        <v>1.4345119999999999E-2</v>
      </c>
      <c r="N3489">
        <v>-1.2926719999999999E-2</v>
      </c>
      <c r="O3489">
        <v>-0.99981370000000003</v>
      </c>
      <c r="P3489">
        <v>5.3295439999999999E-2</v>
      </c>
      <c r="Q3489">
        <v>-8.4456080000000003E-2</v>
      </c>
      <c r="R3489">
        <v>-0.99500100000000002</v>
      </c>
      <c r="S3489">
        <v>2.6397710000000001E-2</v>
      </c>
      <c r="T3489">
        <v>-0.19179959999999999</v>
      </c>
      <c r="U3489">
        <v>-2.997452</v>
      </c>
      <c r="V3489">
        <v>-3.907016E-2</v>
      </c>
      <c r="W3489">
        <v>-7.1548600000000004E-2</v>
      </c>
      <c r="X3489">
        <v>0.99667159999999999</v>
      </c>
      <c r="Y3489">
        <v>5.5489750000000003E-3</v>
      </c>
      <c r="Z3489">
        <v>5.0940550000000001E-2</v>
      </c>
      <c r="AA3489">
        <v>0.99868630000000003</v>
      </c>
      <c r="AB3489">
        <v>20</v>
      </c>
      <c r="AC3489">
        <v>0.152799999999956</v>
      </c>
      <c r="AD3489">
        <v>-1.1208019658199999</v>
      </c>
      <c r="AE3489">
        <v>-17.3889</v>
      </c>
      <c r="AF3489">
        <v>9.6282417010645396E-2</v>
      </c>
      <c r="AG3489">
        <v>-1.1208019658199999</v>
      </c>
      <c r="AH3489">
        <v>17.317363991219199</v>
      </c>
      <c r="AI3489">
        <v>93.703034326215899</v>
      </c>
      <c r="AJ3489">
        <v>89.681445784898401</v>
      </c>
      <c r="AK3489">
        <v>17.3538630556653</v>
      </c>
      <c r="AL3489">
        <v>94.102938616257006</v>
      </c>
      <c r="AM3489">
        <v>92.244881537653896</v>
      </c>
      <c r="AN3489">
        <v>0.99999997890547199</v>
      </c>
    </row>
    <row r="3490" spans="1:40" x14ac:dyDescent="0.25">
      <c r="A3490" t="str">
        <f>"20190303154205328"</f>
        <v>20190303154205328</v>
      </c>
      <c r="B3490" t="str">
        <f>"1551598925322720"</f>
        <v>1551598925322720</v>
      </c>
      <c r="C3490" t="s">
        <v>40</v>
      </c>
      <c r="D3490">
        <v>5.2052420000000001</v>
      </c>
      <c r="E3490">
        <v>0.51743909999999904</v>
      </c>
      <c r="F3490" t="s">
        <v>41</v>
      </c>
      <c r="G3490">
        <v>-492.42880000000002</v>
      </c>
      <c r="H3490" s="1">
        <v>-1.8639569999999999E-6</v>
      </c>
      <c r="I3490">
        <v>232.42760000000001</v>
      </c>
      <c r="J3490">
        <v>-492.56670000000003</v>
      </c>
      <c r="K3490">
        <v>1.120808</v>
      </c>
      <c r="L3490">
        <v>249.88210000000001</v>
      </c>
      <c r="M3490">
        <v>1.38675E-2</v>
      </c>
      <c r="N3490">
        <v>-1.308905E-2</v>
      </c>
      <c r="O3490">
        <v>-0.9998184</v>
      </c>
      <c r="P3490">
        <v>5.2639560000000002E-2</v>
      </c>
      <c r="Q3490">
        <v>-8.4558179999999997E-2</v>
      </c>
      <c r="R3490">
        <v>-0.99502789999999997</v>
      </c>
      <c r="S3490">
        <v>2.377319E-2</v>
      </c>
      <c r="T3490">
        <v>-0.19052369999999999</v>
      </c>
      <c r="U3490">
        <v>-2.9976500000000001</v>
      </c>
      <c r="V3490">
        <v>-3.8889260000000002E-2</v>
      </c>
      <c r="W3490">
        <v>-7.1489010000000006E-2</v>
      </c>
      <c r="X3490">
        <v>0.99668299999999999</v>
      </c>
      <c r="Y3490">
        <v>5.9457379999999999E-3</v>
      </c>
      <c r="Z3490">
        <v>5.0351609999999998E-2</v>
      </c>
      <c r="AA3490">
        <v>0.99871390000000004</v>
      </c>
      <c r="AB3490">
        <v>20</v>
      </c>
      <c r="AC3490">
        <v>0.13790000000000099</v>
      </c>
      <c r="AD3490">
        <v>-1.1208098639569899</v>
      </c>
      <c r="AE3490">
        <v>-17.4544999999999</v>
      </c>
      <c r="AF3490">
        <v>0.103756425963606</v>
      </c>
      <c r="AG3490">
        <v>-1.1208098639569899</v>
      </c>
      <c r="AH3490">
        <v>17.383062020454599</v>
      </c>
      <c r="AI3490">
        <v>93.689094948242499</v>
      </c>
      <c r="AJ3490">
        <v>89.658015676331502</v>
      </c>
      <c r="AK3490">
        <v>17.4194668504534</v>
      </c>
      <c r="AL3490">
        <v>94.099515394435002</v>
      </c>
      <c r="AM3490">
        <v>92.234472468074401</v>
      </c>
      <c r="AN3490">
        <v>1.0000000277915599</v>
      </c>
    </row>
    <row r="3491" spans="1:40" x14ac:dyDescent="0.25">
      <c r="A3491" t="str">
        <f>"20190303154205342"</f>
        <v>20190303154205342</v>
      </c>
      <c r="B3491" t="str">
        <f>"1551598925333003"</f>
        <v>1551598925333003</v>
      </c>
      <c r="C3491" t="s">
        <v>40</v>
      </c>
      <c r="D3491">
        <v>5.1801789999999999</v>
      </c>
      <c r="E3491">
        <v>0.51746949999999903</v>
      </c>
      <c r="F3491" t="s">
        <v>41</v>
      </c>
      <c r="G3491">
        <v>-492.44459999999998</v>
      </c>
      <c r="H3491" s="1">
        <v>-1.7590560000000001E-6</v>
      </c>
      <c r="I3491">
        <v>232.17330000000001</v>
      </c>
      <c r="J3491">
        <v>-492.5652</v>
      </c>
      <c r="K3491">
        <v>1.1208129999999901</v>
      </c>
      <c r="L3491">
        <v>249.7483</v>
      </c>
      <c r="M3491">
        <v>1.3510889999999999E-2</v>
      </c>
      <c r="N3491">
        <v>-1.319855E-2</v>
      </c>
      <c r="O3491">
        <v>-0.99982179999999998</v>
      </c>
      <c r="P3491">
        <v>5.2263810000000001E-2</v>
      </c>
      <c r="Q3491">
        <v>-8.4364149999999999E-2</v>
      </c>
      <c r="R3491">
        <v>-0.99506360000000005</v>
      </c>
      <c r="S3491">
        <v>2.0660399999999999E-2</v>
      </c>
      <c r="T3491">
        <v>-0.1897326</v>
      </c>
      <c r="U3491">
        <v>-2.9977719999999999</v>
      </c>
      <c r="V3491">
        <v>-3.8867770000000003E-2</v>
      </c>
      <c r="W3491">
        <v>-7.1185689999999996E-2</v>
      </c>
      <c r="X3491">
        <v>0.99670550000000002</v>
      </c>
      <c r="Y3491">
        <v>6.6258890000000003E-3</v>
      </c>
      <c r="Z3491">
        <v>4.9977630000000002E-2</v>
      </c>
      <c r="AA3491">
        <v>0.99872830000000001</v>
      </c>
      <c r="AB3491">
        <v>20</v>
      </c>
      <c r="AC3491">
        <v>0.12060000000002399</v>
      </c>
      <c r="AD3491">
        <v>-1.12081475905599</v>
      </c>
      <c r="AE3491">
        <v>-17.5749999999999</v>
      </c>
      <c r="AF3491">
        <v>0.116412113003389</v>
      </c>
      <c r="AG3491">
        <v>-1.12081475905599</v>
      </c>
      <c r="AH3491">
        <v>17.503839865389999</v>
      </c>
      <c r="AI3491">
        <v>93.663709717846999</v>
      </c>
      <c r="AJ3491">
        <v>89.618950786032201</v>
      </c>
      <c r="AK3491">
        <v>17.5400737608879</v>
      </c>
      <c r="AL3491">
        <v>94.082092244567093</v>
      </c>
      <c r="AM3491">
        <v>92.233188598006507</v>
      </c>
      <c r="AN3491">
        <v>0.99999997986789901</v>
      </c>
    </row>
    <row r="3492" spans="1:40" x14ac:dyDescent="0.25">
      <c r="A3492" t="str">
        <f>"20190303154205362"</f>
        <v>20190303154205362</v>
      </c>
      <c r="B3492" t="str">
        <f>"1551598925353483"</f>
        <v>1551598925353483</v>
      </c>
      <c r="C3492" t="s">
        <v>40</v>
      </c>
      <c r="D3492">
        <v>5.1724209999999999</v>
      </c>
      <c r="E3492">
        <v>0.5174803</v>
      </c>
      <c r="F3492" t="s">
        <v>41</v>
      </c>
      <c r="G3492">
        <v>-492.45100000000002</v>
      </c>
      <c r="H3492" s="1">
        <v>-1.667335E-6</v>
      </c>
      <c r="I3492">
        <v>231.9555</v>
      </c>
      <c r="J3492">
        <v>-492.5634</v>
      </c>
      <c r="K3492">
        <v>1.1208209999999901</v>
      </c>
      <c r="L3492">
        <v>249.5796</v>
      </c>
      <c r="M3492">
        <v>1.306058E-2</v>
      </c>
      <c r="N3492">
        <v>-1.3323750000000001E-2</v>
      </c>
      <c r="O3492">
        <v>-0.99982610000000005</v>
      </c>
      <c r="P3492">
        <v>5.1942719999999998E-2</v>
      </c>
      <c r="Q3492">
        <v>-8.4200830000000004E-2</v>
      </c>
      <c r="R3492">
        <v>-0.99509440000000005</v>
      </c>
      <c r="S3492">
        <v>1.9226070000000001E-2</v>
      </c>
      <c r="T3492">
        <v>-0.18884280000000001</v>
      </c>
      <c r="U3492">
        <v>-2.997849</v>
      </c>
      <c r="V3492">
        <v>-3.8994519999999998E-2</v>
      </c>
      <c r="W3492">
        <v>-7.0897520000000006E-2</v>
      </c>
      <c r="X3492">
        <v>0.99672110000000003</v>
      </c>
      <c r="Y3492">
        <v>6.6533590000000002E-3</v>
      </c>
      <c r="Z3492">
        <v>4.9556360000000001E-2</v>
      </c>
      <c r="AA3492">
        <v>0.9987492</v>
      </c>
      <c r="AB3492">
        <v>20</v>
      </c>
      <c r="AC3492">
        <v>0.112400000000036</v>
      </c>
      <c r="AD3492">
        <v>-1.1208226673349999</v>
      </c>
      <c r="AE3492">
        <v>-17.624099999999999</v>
      </c>
      <c r="AF3492">
        <v>0.117336409895163</v>
      </c>
      <c r="AG3492">
        <v>-1.1208226673349999</v>
      </c>
      <c r="AH3492">
        <v>17.553074941286098</v>
      </c>
      <c r="AI3492">
        <v>93.653486037721095</v>
      </c>
      <c r="AJ3492">
        <v>89.6170026642816</v>
      </c>
      <c r="AK3492">
        <v>17.589214058027299</v>
      </c>
      <c r="AL3492">
        <v>94.065539450871398</v>
      </c>
      <c r="AM3492">
        <v>92.240428712632493</v>
      </c>
      <c r="AN3492">
        <v>0.99999999105869497</v>
      </c>
    </row>
    <row r="3493" spans="1:40" x14ac:dyDescent="0.25">
      <c r="A3493" t="str">
        <f>"20190303154205373"</f>
        <v>20190303154205373</v>
      </c>
      <c r="B3493" t="str">
        <f>"1551598925363244"</f>
        <v>1551598925363244</v>
      </c>
      <c r="C3493" t="s">
        <v>40</v>
      </c>
      <c r="D3493">
        <v>5.2294039999999997</v>
      </c>
      <c r="E3493">
        <v>0.51753260000000001</v>
      </c>
      <c r="F3493" t="s">
        <v>41</v>
      </c>
      <c r="G3493">
        <v>-492.45490000000001</v>
      </c>
      <c r="H3493" s="1">
        <v>-1.5427770000000001E-6</v>
      </c>
      <c r="I3493">
        <v>231.6628</v>
      </c>
      <c r="J3493">
        <v>-492.56229999999999</v>
      </c>
      <c r="K3493">
        <v>1.1208260000000001</v>
      </c>
      <c r="L3493">
        <v>249.464</v>
      </c>
      <c r="M3493">
        <v>1.275192E-2</v>
      </c>
      <c r="N3493">
        <v>-1.3402539999999999E-2</v>
      </c>
      <c r="O3493">
        <v>-0.99982890000000002</v>
      </c>
      <c r="P3493">
        <v>5.1664710000000003E-2</v>
      </c>
      <c r="Q3493">
        <v>-8.4135890000000005E-2</v>
      </c>
      <c r="R3493">
        <v>-0.99511419999999995</v>
      </c>
      <c r="S3493">
        <v>1.8157960000000001E-2</v>
      </c>
      <c r="T3493">
        <v>-0.18754209999999999</v>
      </c>
      <c r="U3493">
        <v>-2.9979399999999998</v>
      </c>
      <c r="V3493">
        <v>-3.9023429999999998E-2</v>
      </c>
      <c r="W3493">
        <v>-7.0754070000000002E-2</v>
      </c>
      <c r="X3493">
        <v>0.99673009999999995</v>
      </c>
      <c r="Y3493">
        <v>6.700503E-3</v>
      </c>
      <c r="Z3493">
        <v>4.9044579999999997E-2</v>
      </c>
      <c r="AA3493">
        <v>0.9987741</v>
      </c>
      <c r="AB3493">
        <v>20</v>
      </c>
      <c r="AC3493">
        <v>0.10739999999998399</v>
      </c>
      <c r="AD3493">
        <v>-1.120827542777</v>
      </c>
      <c r="AE3493">
        <v>-17.801200000000001</v>
      </c>
      <c r="AF3493">
        <v>0.119156227683197</v>
      </c>
      <c r="AG3493">
        <v>-1.120827542777</v>
      </c>
      <c r="AH3493">
        <v>17.730832215261401</v>
      </c>
      <c r="AI3493">
        <v>93.616971222265704</v>
      </c>
      <c r="AJ3493">
        <v>89.614961887154806</v>
      </c>
      <c r="AK3493">
        <v>17.7666221784838</v>
      </c>
      <c r="AL3493">
        <v>94.057299929354997</v>
      </c>
      <c r="AM3493">
        <v>92.242067816752794</v>
      </c>
      <c r="AN3493">
        <v>0.99999992937826698</v>
      </c>
    </row>
    <row r="3494" spans="1:40" x14ac:dyDescent="0.25">
      <c r="A3494" t="str">
        <f>"20190303154205385"</f>
        <v>20190303154205385</v>
      </c>
      <c r="B3494" t="str">
        <f>"1551598925373002"</f>
        <v>1551598925373002</v>
      </c>
      <c r="C3494" t="s">
        <v>40</v>
      </c>
      <c r="D3494">
        <v>5.202744</v>
      </c>
      <c r="E3494">
        <v>0.51750569999999996</v>
      </c>
      <c r="F3494" t="s">
        <v>41</v>
      </c>
      <c r="G3494">
        <v>-492.46260000000001</v>
      </c>
      <c r="H3494" s="1">
        <v>-1.475648E-6</v>
      </c>
      <c r="I3494">
        <v>231.50149999999999</v>
      </c>
      <c r="J3494">
        <v>-492.56119999999999</v>
      </c>
      <c r="K3494">
        <v>1.1208320000000001</v>
      </c>
      <c r="L3494">
        <v>249.3622</v>
      </c>
      <c r="M3494">
        <v>1.2481040000000001E-2</v>
      </c>
      <c r="N3494">
        <v>-1.346485E-2</v>
      </c>
      <c r="O3494">
        <v>-0.99983160000000004</v>
      </c>
      <c r="P3494">
        <v>5.15286999999999E-2</v>
      </c>
      <c r="Q3494">
        <v>-8.3989869999999994E-2</v>
      </c>
      <c r="R3494">
        <v>-0.9951335</v>
      </c>
      <c r="S3494">
        <v>1.663208E-2</v>
      </c>
      <c r="T3494">
        <v>-0.18707219999999999</v>
      </c>
      <c r="U3494">
        <v>-2.9980319999999998</v>
      </c>
      <c r="V3494">
        <v>-3.9156150000000001E-2</v>
      </c>
      <c r="W3494">
        <v>-7.0545869999999997E-2</v>
      </c>
      <c r="X3494">
        <v>0.99673970000000001</v>
      </c>
      <c r="Y3494">
        <v>6.9379100000000003E-3</v>
      </c>
      <c r="Z3494">
        <v>4.8824810000000003E-2</v>
      </c>
      <c r="AA3494">
        <v>0.99878330000000004</v>
      </c>
      <c r="AB3494">
        <v>20</v>
      </c>
      <c r="AC3494">
        <v>9.8599999999976207E-2</v>
      </c>
      <c r="AD3494">
        <v>-1.1208334756479901</v>
      </c>
      <c r="AE3494">
        <v>-17.860700000000001</v>
      </c>
      <c r="AF3494">
        <v>0.123860211730235</v>
      </c>
      <c r="AG3494">
        <v>-1.1208334756479901</v>
      </c>
      <c r="AH3494">
        <v>17.7904809831637</v>
      </c>
      <c r="AI3494">
        <v>93.604889184048005</v>
      </c>
      <c r="AJ3494">
        <v>89.601103942649004</v>
      </c>
      <c r="AK3494">
        <v>17.826183625344299</v>
      </c>
      <c r="AL3494">
        <v>94.045340872228195</v>
      </c>
      <c r="AM3494">
        <v>92.249663697934096</v>
      </c>
      <c r="AN3494">
        <v>0.999999976706484</v>
      </c>
    </row>
    <row r="3495" spans="1:40" x14ac:dyDescent="0.25">
      <c r="A3495" t="str">
        <f>"20190303154205398"</f>
        <v>20190303154205398</v>
      </c>
      <c r="B3495" t="str">
        <f>"1551598925393499"</f>
        <v>1551598925393499</v>
      </c>
      <c r="C3495" t="s">
        <v>40</v>
      </c>
      <c r="D3495">
        <v>5.1777389999999999</v>
      </c>
      <c r="E3495">
        <v>0.51745439999999998</v>
      </c>
      <c r="F3495" t="s">
        <v>41</v>
      </c>
      <c r="G3495">
        <v>-492.46260000000001</v>
      </c>
      <c r="H3495" s="1">
        <v>-1.4255789999999901E-6</v>
      </c>
      <c r="I3495">
        <v>231.38480000000001</v>
      </c>
      <c r="J3495">
        <v>-492.56020000000001</v>
      </c>
      <c r="K3495">
        <v>1.120835</v>
      </c>
      <c r="L3495">
        <v>249.24619999999999</v>
      </c>
      <c r="M3495">
        <v>1.217208E-2</v>
      </c>
      <c r="N3495">
        <v>-1.353302E-2</v>
      </c>
      <c r="O3495">
        <v>-0.99983440000000001</v>
      </c>
      <c r="P3495">
        <v>5.0937679999999999E-2</v>
      </c>
      <c r="Q3495">
        <v>-8.3924990000000005E-2</v>
      </c>
      <c r="R3495">
        <v>-0.99516939999999998</v>
      </c>
      <c r="S3495">
        <v>1.644897E-2</v>
      </c>
      <c r="T3495">
        <v>-0.1869199</v>
      </c>
      <c r="U3495">
        <v>-2.9980769999999999</v>
      </c>
      <c r="V3495">
        <v>-3.8872759999999999E-2</v>
      </c>
      <c r="W3495">
        <v>-7.0413119999999996E-2</v>
      </c>
      <c r="X3495">
        <v>0.99676019999999999</v>
      </c>
      <c r="Y3495">
        <v>6.6900709999999997E-3</v>
      </c>
      <c r="Z3495">
        <v>4.870567E-2</v>
      </c>
      <c r="AA3495">
        <v>0.99879070000000003</v>
      </c>
      <c r="AB3495">
        <v>20</v>
      </c>
      <c r="AC3495">
        <v>9.7599999999999895E-2</v>
      </c>
      <c r="AD3495">
        <v>-1.120836425579</v>
      </c>
      <c r="AE3495">
        <v>-17.8613999999999</v>
      </c>
      <c r="AF3495">
        <v>0.119367487619099</v>
      </c>
      <c r="AG3495">
        <v>-1.120836425579</v>
      </c>
      <c r="AH3495">
        <v>17.791208543116198</v>
      </c>
      <c r="AI3495">
        <v>93.604757828314703</v>
      </c>
      <c r="AJ3495">
        <v>89.615588192678203</v>
      </c>
      <c r="AK3495">
        <v>17.826879264600901</v>
      </c>
      <c r="AL3495">
        <v>94.0377158111516</v>
      </c>
      <c r="AM3495">
        <v>92.233352569305694</v>
      </c>
      <c r="AN3495">
        <v>0.99999999762109504</v>
      </c>
    </row>
    <row r="3496" spans="1:40" x14ac:dyDescent="0.25">
      <c r="A3496" t="str">
        <f>"20190303154205411"</f>
        <v>20190303154205411</v>
      </c>
      <c r="B3496" t="str">
        <f>"1551598925403259"</f>
        <v>1551598925403259</v>
      </c>
      <c r="C3496" t="s">
        <v>40</v>
      </c>
      <c r="D3496">
        <v>5.2388070000000004</v>
      </c>
      <c r="E3496">
        <v>0.51738890000000004</v>
      </c>
      <c r="F3496" t="s">
        <v>41</v>
      </c>
      <c r="G3496">
        <v>-492.46539999999999</v>
      </c>
      <c r="H3496" s="1">
        <v>-1.3635749999999999E-6</v>
      </c>
      <c r="I3496">
        <v>231.23849999999999</v>
      </c>
      <c r="J3496">
        <v>-492.5591</v>
      </c>
      <c r="K3496">
        <v>1.1208389999999999</v>
      </c>
      <c r="L3496">
        <v>249.13059999999999</v>
      </c>
      <c r="M3496">
        <v>1.1865290000000001E-2</v>
      </c>
      <c r="N3496">
        <v>-1.359427E-2</v>
      </c>
      <c r="O3496">
        <v>-0.99983730000000004</v>
      </c>
      <c r="P3496">
        <v>5.0592900000000003E-2</v>
      </c>
      <c r="Q3496">
        <v>-8.4088129999999997E-2</v>
      </c>
      <c r="R3496">
        <v>-0.99517330000000004</v>
      </c>
      <c r="S3496">
        <v>1.5777590000000001E-2</v>
      </c>
      <c r="T3496">
        <v>-0.1866033</v>
      </c>
      <c r="U3496">
        <v>-2.9980159999999998</v>
      </c>
      <c r="V3496">
        <v>-3.8833029999999998E-2</v>
      </c>
      <c r="W3496">
        <v>-7.0515469999999997E-2</v>
      </c>
      <c r="X3496">
        <v>0.99675449999999999</v>
      </c>
      <c r="Y3496">
        <v>6.6067929999999997E-3</v>
      </c>
      <c r="Z3496">
        <v>4.8541059999999997E-2</v>
      </c>
      <c r="AA3496">
        <v>0.99879929999999995</v>
      </c>
      <c r="AB3496">
        <v>20</v>
      </c>
      <c r="AC3496">
        <v>9.3700000000012496E-2</v>
      </c>
      <c r="AD3496">
        <v>-1.1208403635749999</v>
      </c>
      <c r="AE3496">
        <v>-17.892099999999999</v>
      </c>
      <c r="AF3496">
        <v>0.118157473221257</v>
      </c>
      <c r="AG3496">
        <v>-1.1208403635749999</v>
      </c>
      <c r="AH3496">
        <v>17.822014685361701</v>
      </c>
      <c r="AI3496">
        <v>93.598557744700898</v>
      </c>
      <c r="AJ3496">
        <v>89.620142533554798</v>
      </c>
      <c r="AK3496">
        <v>17.857616071422999</v>
      </c>
      <c r="AL3496">
        <v>94.043594700358696</v>
      </c>
      <c r="AM3496">
        <v>92.231085019313397</v>
      </c>
      <c r="AN3496">
        <v>0.99999998449927496</v>
      </c>
    </row>
    <row r="3497" spans="1:40" x14ac:dyDescent="0.25">
      <c r="A3497" t="str">
        <f>"20190303154205427"</f>
        <v>20190303154205427</v>
      </c>
      <c r="B3497" t="str">
        <f>"1551598925422779"</f>
        <v>1551598925422779</v>
      </c>
      <c r="C3497" t="s">
        <v>40</v>
      </c>
      <c r="D3497">
        <v>5.2860110000000002</v>
      </c>
      <c r="E3497">
        <v>0.49241699999999999</v>
      </c>
      <c r="F3497" t="s">
        <v>41</v>
      </c>
      <c r="G3497">
        <v>-492.47250000000003</v>
      </c>
      <c r="H3497" s="1">
        <v>-1.3733029999999999E-6</v>
      </c>
      <c r="I3497">
        <v>231.2568</v>
      </c>
      <c r="J3497">
        <v>-492.55790000000002</v>
      </c>
      <c r="K3497">
        <v>1.120841</v>
      </c>
      <c r="L3497">
        <v>248.9872</v>
      </c>
      <c r="M3497">
        <v>1.14851E-2</v>
      </c>
      <c r="N3497">
        <v>-1.366359E-2</v>
      </c>
      <c r="O3497">
        <v>-0.99984090000000003</v>
      </c>
      <c r="P3497">
        <v>4.9914100000000003E-2</v>
      </c>
      <c r="Q3497">
        <v>-8.3867520000000001E-2</v>
      </c>
      <c r="R3497">
        <v>-0.99522630000000001</v>
      </c>
      <c r="S3497">
        <v>1.452637E-2</v>
      </c>
      <c r="T3497">
        <v>-0.1879953</v>
      </c>
      <c r="U3497">
        <v>-2.997925</v>
      </c>
      <c r="V3497">
        <v>-3.8531530000000001E-2</v>
      </c>
      <c r="W3497">
        <v>-7.0225679999999999E-2</v>
      </c>
      <c r="X3497">
        <v>0.99678670000000003</v>
      </c>
      <c r="Y3497">
        <v>6.6432790000000002E-3</v>
      </c>
      <c r="Z3497">
        <v>4.893604E-2</v>
      </c>
      <c r="AA3497">
        <v>0.9987798</v>
      </c>
      <c r="AB3497">
        <v>20</v>
      </c>
      <c r="AC3497">
        <v>8.5399999999992801E-2</v>
      </c>
      <c r="AD3497">
        <v>-1.120842373303</v>
      </c>
      <c r="AE3497">
        <v>-17.730399999999999</v>
      </c>
      <c r="AF3497">
        <v>0.11778931473054401</v>
      </c>
      <c r="AG3497">
        <v>-1.120842373303</v>
      </c>
      <c r="AH3497">
        <v>17.659640677086301</v>
      </c>
      <c r="AI3497">
        <v>93.631562566403204</v>
      </c>
      <c r="AJ3497">
        <v>89.617844402951306</v>
      </c>
      <c r="AK3497">
        <v>17.695566416259599</v>
      </c>
      <c r="AL3497">
        <v>94.026949527924899</v>
      </c>
      <c r="AM3497">
        <v>92.213708714525694</v>
      </c>
      <c r="AN3497">
        <v>1.00000002511624</v>
      </c>
    </row>
    <row r="3498" spans="1:40" x14ac:dyDescent="0.25">
      <c r="A3498" t="str">
        <f>"20190303154205440"</f>
        <v>20190303154205440</v>
      </c>
      <c r="B3498" t="str">
        <f>"1551598925433515"</f>
        <v>1551598925433515</v>
      </c>
      <c r="C3498" t="s">
        <v>40</v>
      </c>
      <c r="D3498">
        <v>5.2997449999999997</v>
      </c>
      <c r="E3498">
        <v>0.48424859999999997</v>
      </c>
      <c r="F3498" t="s">
        <v>41</v>
      </c>
      <c r="G3498">
        <v>-491.58049999999997</v>
      </c>
      <c r="H3498" s="1">
        <v>-2.7953749999999999E-6</v>
      </c>
      <c r="I3498">
        <v>235.1249</v>
      </c>
      <c r="J3498">
        <v>-492.55689999999998</v>
      </c>
      <c r="K3498">
        <v>1.120846</v>
      </c>
      <c r="L3498">
        <v>248.86969999999999</v>
      </c>
      <c r="M3498">
        <v>1.1173539999999999E-2</v>
      </c>
      <c r="N3498">
        <v>-1.3715929999999999E-2</v>
      </c>
      <c r="O3498">
        <v>-0.9998435</v>
      </c>
      <c r="P3498">
        <v>4.9491279999999999E-2</v>
      </c>
      <c r="Q3498">
        <v>-8.3850670000000002E-2</v>
      </c>
      <c r="R3498">
        <v>-0.99524869999999999</v>
      </c>
      <c r="S3498">
        <v>0.21035770000000001</v>
      </c>
      <c r="T3498">
        <v>-0.241233</v>
      </c>
      <c r="U3498">
        <v>-2.9835050000000001</v>
      </c>
      <c r="V3498">
        <v>-3.8418599999999997E-2</v>
      </c>
      <c r="W3498">
        <v>-7.0156750000000004E-2</v>
      </c>
      <c r="X3498">
        <v>0.99679589999999996</v>
      </c>
      <c r="Y3498">
        <v>-5.8985990000000002E-2</v>
      </c>
      <c r="Z3498">
        <v>6.6742129999999997E-2</v>
      </c>
      <c r="AA3498">
        <v>0.9960251</v>
      </c>
      <c r="AB3498">
        <v>20</v>
      </c>
      <c r="AC3498">
        <v>0.97640000000001204</v>
      </c>
      <c r="AD3498">
        <v>-1.1208487953749999</v>
      </c>
      <c r="AE3498">
        <v>-13.7447999999999</v>
      </c>
      <c r="AF3498">
        <v>-0.81733855969161395</v>
      </c>
      <c r="AG3498">
        <v>-1.1208487953749999</v>
      </c>
      <c r="AH3498">
        <v>13.6644413193719</v>
      </c>
      <c r="AI3498">
        <v>94.680955364860097</v>
      </c>
      <c r="AJ3498">
        <v>93.423068557734794</v>
      </c>
      <c r="AK3498">
        <v>13.734675129533001</v>
      </c>
      <c r="AL3498">
        <v>94.022990416421095</v>
      </c>
      <c r="AM3498">
        <v>92.207206749031002</v>
      </c>
      <c r="AN3498">
        <v>1.0000000123266599</v>
      </c>
    </row>
    <row r="3499" spans="1:40" x14ac:dyDescent="0.25">
      <c r="A3499" t="str">
        <f>"20190303154205452"</f>
        <v>20190303154205452</v>
      </c>
      <c r="B3499" t="str">
        <f>"1551598925443275"</f>
        <v>1551598925443275</v>
      </c>
      <c r="C3499" t="s">
        <v>40</v>
      </c>
      <c r="D3499">
        <v>5.2630780000000001</v>
      </c>
      <c r="E3499">
        <v>0.48095880000000002</v>
      </c>
      <c r="F3499" t="s">
        <v>41</v>
      </c>
      <c r="G3499">
        <v>-491.32940000000002</v>
      </c>
      <c r="H3499" s="1">
        <v>-2.8977249999999999E-6</v>
      </c>
      <c r="I3499">
        <v>235.51920000000001</v>
      </c>
      <c r="J3499">
        <v>-492.55599999999998</v>
      </c>
      <c r="K3499">
        <v>1.120851</v>
      </c>
      <c r="L3499">
        <v>248.76429999999999</v>
      </c>
      <c r="M3499">
        <v>1.0894249999999999E-2</v>
      </c>
      <c r="N3499">
        <v>-1.3758960000000001E-2</v>
      </c>
      <c r="O3499">
        <v>-0.99984609999999996</v>
      </c>
      <c r="P3499">
        <v>4.9359E-2</v>
      </c>
      <c r="Q3499">
        <v>-8.3800970000000002E-2</v>
      </c>
      <c r="R3499">
        <v>-0.99525949999999996</v>
      </c>
      <c r="S3499">
        <v>0.27395629999999999</v>
      </c>
      <c r="T3499">
        <v>-0.25015900000000002</v>
      </c>
      <c r="U3499">
        <v>-2.9796450000000001</v>
      </c>
      <c r="V3499">
        <v>-3.8564290000000001E-2</v>
      </c>
      <c r="W3499">
        <v>-7.0064139999999997E-2</v>
      </c>
      <c r="X3499">
        <v>0.99679680000000004</v>
      </c>
      <c r="Y3499">
        <v>-8.0425460000000004E-2</v>
      </c>
      <c r="Z3499">
        <v>6.9632319999999998E-2</v>
      </c>
      <c r="AA3499">
        <v>0.99432549999999997</v>
      </c>
      <c r="AB3499">
        <v>20</v>
      </c>
      <c r="AC3499">
        <v>1.2265999999999599</v>
      </c>
      <c r="AD3499">
        <v>-1.120853897725</v>
      </c>
      <c r="AE3499">
        <v>-13.2450999999999</v>
      </c>
      <c r="AF3499">
        <v>-1.0745881840523901</v>
      </c>
      <c r="AG3499">
        <v>-1.120853897725</v>
      </c>
      <c r="AH3499">
        <v>13.164207705163401</v>
      </c>
      <c r="AI3499">
        <v>94.850600300930097</v>
      </c>
      <c r="AJ3499">
        <v>94.666681033874994</v>
      </c>
      <c r="AK3499">
        <v>13.255467465541701</v>
      </c>
      <c r="AL3499">
        <v>94.0176711165971</v>
      </c>
      <c r="AM3499">
        <v>92.215566536133295</v>
      </c>
      <c r="AN3499">
        <v>1.00000002433369</v>
      </c>
    </row>
    <row r="3500" spans="1:40" x14ac:dyDescent="0.25">
      <c r="A3500" t="str">
        <f>"20190303154205465"</f>
        <v>20190303154205465</v>
      </c>
      <c r="B3500" t="str">
        <f>"1551598925453035"</f>
        <v>1551598925453035</v>
      </c>
      <c r="C3500" t="s">
        <v>40</v>
      </c>
      <c r="D3500">
        <v>5.2450970000000003</v>
      </c>
      <c r="E3500">
        <v>0.47877409999999998</v>
      </c>
      <c r="F3500" t="s">
        <v>41</v>
      </c>
      <c r="G3500">
        <v>-491.1703</v>
      </c>
      <c r="H3500" s="1">
        <v>-2.63306E-6</v>
      </c>
      <c r="I3500">
        <v>235.001</v>
      </c>
      <c r="J3500">
        <v>-492.55509999999998</v>
      </c>
      <c r="K3500">
        <v>1.120854</v>
      </c>
      <c r="L3500">
        <v>248.65049999999999</v>
      </c>
      <c r="M3500">
        <v>1.0592849999999999E-2</v>
      </c>
      <c r="N3500">
        <v>-1.380117E-2</v>
      </c>
      <c r="O3500">
        <v>-0.99984899999999999</v>
      </c>
      <c r="P3500">
        <v>4.8975209999999998E-2</v>
      </c>
      <c r="Q3500">
        <v>-8.3657529999999994E-2</v>
      </c>
      <c r="R3500">
        <v>-0.99529089999999998</v>
      </c>
      <c r="S3500">
        <v>0.29992679999999999</v>
      </c>
      <c r="T3500">
        <v>-0.24260200000000001</v>
      </c>
      <c r="U3500">
        <v>-2.9789729999999999</v>
      </c>
      <c r="V3500">
        <v>-3.8480199999999999E-2</v>
      </c>
      <c r="W3500">
        <v>-6.9878560000000006E-2</v>
      </c>
      <c r="X3500">
        <v>0.99681310000000001</v>
      </c>
      <c r="Y3500">
        <v>-8.934491E-2</v>
      </c>
      <c r="Z3500">
        <v>6.704127E-2</v>
      </c>
      <c r="AA3500">
        <v>0.99374189999999996</v>
      </c>
      <c r="AB3500">
        <v>20</v>
      </c>
      <c r="AC3500">
        <v>1.38479999999998</v>
      </c>
      <c r="AD3500">
        <v>-1.1208566330600001</v>
      </c>
      <c r="AE3500">
        <v>-13.6495</v>
      </c>
      <c r="AF3500">
        <v>-1.2318991410612199</v>
      </c>
      <c r="AG3500">
        <v>-1.1208566330600001</v>
      </c>
      <c r="AH3500">
        <v>13.572812550937</v>
      </c>
      <c r="AI3500">
        <v>94.701593149524996</v>
      </c>
      <c r="AJ3500">
        <v>95.186084960654696</v>
      </c>
      <c r="AK3500">
        <v>13.674616470983599</v>
      </c>
      <c r="AL3500">
        <v>94.007011947175599</v>
      </c>
      <c r="AM3500">
        <v>92.210704145135097</v>
      </c>
      <c r="AN3500">
        <v>1.0000000476356601</v>
      </c>
    </row>
    <row r="3501" spans="1:40" x14ac:dyDescent="0.25">
      <c r="A3501" t="str">
        <f>"20190303154205477"</f>
        <v>20190303154205477</v>
      </c>
      <c r="B3501" t="str">
        <f>"1551598925472555"</f>
        <v>1551598925472555</v>
      </c>
      <c r="C3501" t="s">
        <v>40</v>
      </c>
      <c r="D3501">
        <v>5.2733730000000003</v>
      </c>
      <c r="E3501">
        <v>0.47602909999999998</v>
      </c>
      <c r="F3501" t="s">
        <v>41</v>
      </c>
      <c r="G3501">
        <v>-491.04349999999999</v>
      </c>
      <c r="H3501" s="1">
        <v>-2.3490709999999999E-6</v>
      </c>
      <c r="I3501">
        <v>234.41759999999999</v>
      </c>
      <c r="J3501">
        <v>-492.55430000000001</v>
      </c>
      <c r="K3501">
        <v>1.1208579999999999</v>
      </c>
      <c r="L3501">
        <v>248.53909999999999</v>
      </c>
      <c r="M3501">
        <v>1.02977E-2</v>
      </c>
      <c r="N3501">
        <v>-1.384022E-2</v>
      </c>
      <c r="O3501">
        <v>-0.9998513</v>
      </c>
      <c r="P3501">
        <v>4.8607549999999999E-2</v>
      </c>
      <c r="Q3501">
        <v>-8.3566730000000006E-2</v>
      </c>
      <c r="R3501">
        <v>-0.99531610000000004</v>
      </c>
      <c r="S3501">
        <v>0.31637569999999998</v>
      </c>
      <c r="T3501">
        <v>-0.23459289999999999</v>
      </c>
      <c r="U3501">
        <v>-2.9789119999999998</v>
      </c>
      <c r="V3501">
        <v>-3.8405910000000001E-2</v>
      </c>
      <c r="W3501">
        <v>-6.9748829999999998E-2</v>
      </c>
      <c r="X3501">
        <v>0.99682499999999996</v>
      </c>
      <c r="Y3501">
        <v>-9.5085379999999997E-2</v>
      </c>
      <c r="Z3501">
        <v>6.4308190000000001E-2</v>
      </c>
      <c r="AA3501">
        <v>0.99338979999999999</v>
      </c>
      <c r="AB3501">
        <v>20</v>
      </c>
      <c r="AC3501">
        <v>1.5108000000000099</v>
      </c>
      <c r="AD3501">
        <v>-1.1208603490710001</v>
      </c>
      <c r="AE3501">
        <v>-14.1214999999999</v>
      </c>
      <c r="AF3501">
        <v>-1.35683564694057</v>
      </c>
      <c r="AG3501">
        <v>-1.1208603490710001</v>
      </c>
      <c r="AH3501">
        <v>14.0488043103291</v>
      </c>
      <c r="AI3501">
        <v>94.540547172583004</v>
      </c>
      <c r="AJ3501">
        <v>95.516525304156801</v>
      </c>
      <c r="AK3501">
        <v>14.1586098697877</v>
      </c>
      <c r="AL3501">
        <v>93.999560988749906</v>
      </c>
      <c r="AM3501">
        <v>92.206414060667697</v>
      </c>
      <c r="AN3501">
        <v>0.99999999691714803</v>
      </c>
    </row>
    <row r="3502" spans="1:40" x14ac:dyDescent="0.25">
      <c r="A3502" t="str">
        <f>"20190303154205494"</f>
        <v>20190303154205494</v>
      </c>
      <c r="B3502" t="str">
        <f>"1551598925483292"</f>
        <v>1551598925483292</v>
      </c>
      <c r="C3502" t="s">
        <v>40</v>
      </c>
      <c r="D3502">
        <v>5.2516879999999997</v>
      </c>
      <c r="E3502">
        <v>0.47505059999999899</v>
      </c>
      <c r="F3502" t="s">
        <v>41</v>
      </c>
      <c r="G3502">
        <v>-490.91899999999998</v>
      </c>
      <c r="H3502" s="1">
        <v>-2.1837809999999999E-6</v>
      </c>
      <c r="I3502">
        <v>234.1096</v>
      </c>
      <c r="J3502">
        <v>-492.5532</v>
      </c>
      <c r="K3502">
        <v>1.1208659999999999</v>
      </c>
      <c r="L3502">
        <v>248.3845</v>
      </c>
      <c r="M3502">
        <v>9.8876269999999995E-3</v>
      </c>
      <c r="N3502">
        <v>-1.3888289999999999E-2</v>
      </c>
      <c r="O3502">
        <v>-0.99985460000000004</v>
      </c>
      <c r="P3502">
        <v>4.844267E-2</v>
      </c>
      <c r="Q3502">
        <v>-8.3547179999999999E-2</v>
      </c>
      <c r="R3502">
        <v>-0.99532580000000004</v>
      </c>
      <c r="S3502">
        <v>0.3375244</v>
      </c>
      <c r="T3502">
        <v>-0.23134209999999999</v>
      </c>
      <c r="U3502">
        <v>-2.9782099999999998</v>
      </c>
      <c r="V3502">
        <v>-3.8648990000000001E-2</v>
      </c>
      <c r="W3502">
        <v>-6.9681409999999999E-2</v>
      </c>
      <c r="X3502">
        <v>0.99682029999999999</v>
      </c>
      <c r="Y3502">
        <v>-0.10248989999999999</v>
      </c>
      <c r="Z3502">
        <v>6.3143980000000002E-2</v>
      </c>
      <c r="AA3502">
        <v>0.9927279</v>
      </c>
      <c r="AB3502">
        <v>20</v>
      </c>
      <c r="AC3502">
        <v>1.6341999999999599</v>
      </c>
      <c r="AD3502">
        <v>-1.1208681837809999</v>
      </c>
      <c r="AE3502">
        <v>-14.274900000000001</v>
      </c>
      <c r="AF3502">
        <v>-1.4839308807090299</v>
      </c>
      <c r="AG3502">
        <v>-1.1208681837809999</v>
      </c>
      <c r="AH3502">
        <v>14.203921648856101</v>
      </c>
      <c r="AI3502">
        <v>94.487684130864693</v>
      </c>
      <c r="AJ3502">
        <v>95.9642439621948</v>
      </c>
      <c r="AK3502">
        <v>14.325145254097</v>
      </c>
      <c r="AL3502">
        <v>93.995688765814094</v>
      </c>
      <c r="AM3502">
        <v>92.220375497270695</v>
      </c>
      <c r="AN3502">
        <v>0.99999997690984799</v>
      </c>
    </row>
    <row r="3503" spans="1:40" x14ac:dyDescent="0.25">
      <c r="A3503" t="str">
        <f>"20190303154205511"</f>
        <v>20190303154205511</v>
      </c>
      <c r="B3503" t="str">
        <f>"1551598925502811"</f>
        <v>1551598925502811</v>
      </c>
      <c r="C3503" t="s">
        <v>40</v>
      </c>
      <c r="D3503">
        <v>5.2911960000000002</v>
      </c>
      <c r="E3503">
        <v>0.47354930000000001</v>
      </c>
      <c r="F3503" t="s">
        <v>41</v>
      </c>
      <c r="G3503">
        <v>-490.89359999999999</v>
      </c>
      <c r="H3503" s="1">
        <v>-2.1451040000000001E-6</v>
      </c>
      <c r="I3503">
        <v>234.0352</v>
      </c>
      <c r="J3503">
        <v>-492.55220000000003</v>
      </c>
      <c r="K3503">
        <v>1.120871</v>
      </c>
      <c r="L3503">
        <v>248.2492</v>
      </c>
      <c r="M3503">
        <v>9.5290689999999994E-3</v>
      </c>
      <c r="N3503">
        <v>-1.3925130000000001E-2</v>
      </c>
      <c r="O3503">
        <v>-0.99985769999999996</v>
      </c>
      <c r="P3503">
        <v>4.8389990000000001E-2</v>
      </c>
      <c r="Q3503">
        <v>-8.3433859999999999E-2</v>
      </c>
      <c r="R3503">
        <v>-0.9953379</v>
      </c>
      <c r="S3503">
        <v>0.3443909</v>
      </c>
      <c r="T3503">
        <v>-0.2326028</v>
      </c>
      <c r="U3503">
        <v>-2.9777830000000001</v>
      </c>
      <c r="V3503">
        <v>-3.8953130000000002E-2</v>
      </c>
      <c r="W3503">
        <v>-6.9531270000000006E-2</v>
      </c>
      <c r="X3503">
        <v>0.99681900000000001</v>
      </c>
      <c r="Y3503">
        <v>-0.1051168</v>
      </c>
      <c r="Z3503">
        <v>6.3515269999999999E-2</v>
      </c>
      <c r="AA3503">
        <v>0.99242949999999996</v>
      </c>
      <c r="AB3503">
        <v>20</v>
      </c>
      <c r="AC3503">
        <v>1.6586000000000301</v>
      </c>
      <c r="AD3503">
        <v>-1.1208731451039999</v>
      </c>
      <c r="AE3503">
        <v>-14.214</v>
      </c>
      <c r="AF3503">
        <v>-1.51377850308082</v>
      </c>
      <c r="AG3503">
        <v>-1.1208731451039999</v>
      </c>
      <c r="AH3503">
        <v>14.1423988954779</v>
      </c>
      <c r="AI3503">
        <v>94.505942258793297</v>
      </c>
      <c r="AJ3503">
        <v>96.109581478264303</v>
      </c>
      <c r="AK3503">
        <v>14.2672817482035</v>
      </c>
      <c r="AL3503">
        <v>93.987065244548603</v>
      </c>
      <c r="AM3503">
        <v>92.237833490089997</v>
      </c>
      <c r="AN3503">
        <v>1.0000000313027999</v>
      </c>
    </row>
    <row r="3504" spans="1:40" x14ac:dyDescent="0.25">
      <c r="A3504" t="str">
        <f>"20190303154205526"</f>
        <v>20190303154205526</v>
      </c>
      <c r="B3504" t="str">
        <f>"1551598925523307"</f>
        <v>1551598925523307</v>
      </c>
      <c r="C3504" t="s">
        <v>40</v>
      </c>
      <c r="D3504">
        <v>5.3109060000000001</v>
      </c>
      <c r="E3504">
        <v>0.47258220000000001</v>
      </c>
      <c r="F3504" t="s">
        <v>41</v>
      </c>
      <c r="G3504">
        <v>-490.83949999999999</v>
      </c>
      <c r="H3504" s="1">
        <v>-2.0901300000000001E-6</v>
      </c>
      <c r="I3504">
        <v>233.94049999999999</v>
      </c>
      <c r="J3504">
        <v>-492.55130000000003</v>
      </c>
      <c r="K3504">
        <v>1.120876</v>
      </c>
      <c r="L3504">
        <v>248.1097</v>
      </c>
      <c r="M3504">
        <v>9.1593920000000006E-3</v>
      </c>
      <c r="N3504">
        <v>-1.3959650000000001E-2</v>
      </c>
      <c r="O3504">
        <v>-0.99986079999999999</v>
      </c>
      <c r="P3504">
        <v>4.8318229999999997E-2</v>
      </c>
      <c r="Q3504">
        <v>-8.3240919999999996E-2</v>
      </c>
      <c r="R3504">
        <v>-0.99535770000000001</v>
      </c>
      <c r="S3504">
        <v>0.3563538</v>
      </c>
      <c r="T3504">
        <v>-0.2332158</v>
      </c>
      <c r="U3504">
        <v>-2.9771580000000002</v>
      </c>
      <c r="V3504">
        <v>-3.924892E-2</v>
      </c>
      <c r="W3504">
        <v>-6.9303749999999997E-2</v>
      </c>
      <c r="X3504">
        <v>0.99682320000000002</v>
      </c>
      <c r="Y3504">
        <v>-0.1094363</v>
      </c>
      <c r="Z3504">
        <v>6.3664029999999996E-2</v>
      </c>
      <c r="AA3504">
        <v>0.99195290000000003</v>
      </c>
      <c r="AB3504">
        <v>20</v>
      </c>
      <c r="AC3504">
        <v>1.71180000000003</v>
      </c>
      <c r="AD3504">
        <v>-1.1208780901299999</v>
      </c>
      <c r="AE3504">
        <v>-14.1692</v>
      </c>
      <c r="AF3504">
        <v>-1.57223699107647</v>
      </c>
      <c r="AG3504">
        <v>-1.1208780901299999</v>
      </c>
      <c r="AH3504">
        <v>14.0973359487525</v>
      </c>
      <c r="AI3504">
        <v>94.518124315689803</v>
      </c>
      <c r="AJ3504">
        <v>96.363742422445796</v>
      </c>
      <c r="AK3504">
        <v>14.2289556082318</v>
      </c>
      <c r="AL3504">
        <v>93.973997951790906</v>
      </c>
      <c r="AM3504">
        <v>92.254799480553402</v>
      </c>
      <c r="AN3504">
        <v>0.99999998977173399</v>
      </c>
    </row>
    <row r="3505" spans="1:40" x14ac:dyDescent="0.25">
      <c r="A3505" t="str">
        <f>"20190303154205541"</f>
        <v>20190303154205541</v>
      </c>
      <c r="B3505" t="str">
        <f>"1551598925533067"</f>
        <v>1551598925533067</v>
      </c>
      <c r="C3505" t="s">
        <v>40</v>
      </c>
      <c r="D3505">
        <v>5.3117269999999897</v>
      </c>
      <c r="E3505">
        <v>0.47221829999999998</v>
      </c>
      <c r="F3505" t="s">
        <v>41</v>
      </c>
      <c r="G3505">
        <v>-490.80130000000003</v>
      </c>
      <c r="H3505" s="1">
        <v>-2.0206179999999998E-6</v>
      </c>
      <c r="I3505">
        <v>233.8022</v>
      </c>
      <c r="J3505">
        <v>-492.5505</v>
      </c>
      <c r="K3505">
        <v>1.1208830000000001</v>
      </c>
      <c r="L3505">
        <v>247.97329999999999</v>
      </c>
      <c r="M3505">
        <v>8.7981869999999903E-3</v>
      </c>
      <c r="N3505">
        <v>-1.399011E-2</v>
      </c>
      <c r="O3505">
        <v>-0.99986339999999996</v>
      </c>
      <c r="P3505">
        <v>4.8462150000000002E-2</v>
      </c>
      <c r="Q3505">
        <v>-8.2681939999999995E-2</v>
      </c>
      <c r="R3505">
        <v>-0.99539690000000003</v>
      </c>
      <c r="S3505">
        <v>0.36410520000000002</v>
      </c>
      <c r="T3505">
        <v>-0.2332091</v>
      </c>
      <c r="U3505">
        <v>-2.976807</v>
      </c>
      <c r="V3505">
        <v>-3.9751519999999999E-2</v>
      </c>
      <c r="W3505">
        <v>-6.8713789999999997E-2</v>
      </c>
      <c r="X3505">
        <v>0.99684410000000001</v>
      </c>
      <c r="Y3505">
        <v>-0.1123528</v>
      </c>
      <c r="Z3505">
        <v>6.3616030000000004E-2</v>
      </c>
      <c r="AA3505">
        <v>0.99162989999999995</v>
      </c>
      <c r="AB3505">
        <v>20</v>
      </c>
      <c r="AC3505">
        <v>1.7491999999999699</v>
      </c>
      <c r="AD3505">
        <v>-1.1208850206180001</v>
      </c>
      <c r="AE3505">
        <v>-14.1710999999999</v>
      </c>
      <c r="AF3505">
        <v>-1.6144909944813499</v>
      </c>
      <c r="AG3505">
        <v>-1.1208850206180001</v>
      </c>
      <c r="AH3505">
        <v>14.0990590374549</v>
      </c>
      <c r="AI3505">
        <v>94.516104730093204</v>
      </c>
      <c r="AJ3505">
        <v>96.532517437611503</v>
      </c>
      <c r="AK3505">
        <v>14.2353935717403</v>
      </c>
      <c r="AL3505">
        <v>93.940115059344805</v>
      </c>
      <c r="AM3505">
        <v>92.283594992962904</v>
      </c>
      <c r="AN3505">
        <v>0.99999996399164104</v>
      </c>
    </row>
    <row r="3506" spans="1:40" x14ac:dyDescent="0.25">
      <c r="A3506" t="str">
        <f>"20190303154205554"</f>
        <v>20190303154205554</v>
      </c>
      <c r="B3506" t="str">
        <f>"1551598925542828"</f>
        <v>1551598925542828</v>
      </c>
      <c r="C3506" t="s">
        <v>40</v>
      </c>
      <c r="D3506">
        <v>5.300014</v>
      </c>
      <c r="E3506">
        <v>0.47190589999999999</v>
      </c>
      <c r="F3506" t="s">
        <v>41</v>
      </c>
      <c r="G3506">
        <v>-490.786</v>
      </c>
      <c r="H3506" s="1">
        <v>-1.9633060000000001E-6</v>
      </c>
      <c r="I3506">
        <v>233.6781</v>
      </c>
      <c r="J3506">
        <v>-492.5498</v>
      </c>
      <c r="K3506">
        <v>1.120889</v>
      </c>
      <c r="L3506">
        <v>247.84950000000001</v>
      </c>
      <c r="M3506">
        <v>8.4703239999999996E-3</v>
      </c>
      <c r="N3506">
        <v>-1.401519E-2</v>
      </c>
      <c r="O3506">
        <v>-0.99986609999999998</v>
      </c>
      <c r="P3506">
        <v>4.8390610000000001E-2</v>
      </c>
      <c r="Q3506">
        <v>-8.263566E-2</v>
      </c>
      <c r="R3506">
        <v>-0.99540439999999997</v>
      </c>
      <c r="S3506">
        <v>0.36740109999999998</v>
      </c>
      <c r="T3506">
        <v>-0.23339679999999999</v>
      </c>
      <c r="U3506">
        <v>-2.9766240000000002</v>
      </c>
      <c r="V3506">
        <v>-4.00065E-2</v>
      </c>
      <c r="W3506">
        <v>-6.8642469999999997E-2</v>
      </c>
      <c r="X3506">
        <v>0.99683889999999997</v>
      </c>
      <c r="Y3506">
        <v>-0.1137662</v>
      </c>
      <c r="Z3506">
        <v>6.3646480000000005E-2</v>
      </c>
      <c r="AA3506">
        <v>0.99146679999999998</v>
      </c>
      <c r="AB3506">
        <v>20</v>
      </c>
      <c r="AC3506">
        <v>1.7638</v>
      </c>
      <c r="AD3506">
        <v>-1.120890963306</v>
      </c>
      <c r="AE3506">
        <v>-14.1714</v>
      </c>
      <c r="AF3506">
        <v>-1.6336244379989799</v>
      </c>
      <c r="AG3506">
        <v>-1.120890963306</v>
      </c>
      <c r="AH3506">
        <v>14.0989743528145</v>
      </c>
      <c r="AI3506">
        <v>94.515461444967798</v>
      </c>
      <c r="AJ3506">
        <v>96.609293114879193</v>
      </c>
      <c r="AK3506">
        <v>14.237492867684599</v>
      </c>
      <c r="AL3506">
        <v>93.936018711403506</v>
      </c>
      <c r="AM3506">
        <v>92.298239080412401</v>
      </c>
      <c r="AN3506">
        <v>1.00000005064157</v>
      </c>
    </row>
    <row r="3507" spans="1:40" x14ac:dyDescent="0.25">
      <c r="A3507" t="str">
        <f>"20190303154205566"</f>
        <v>20190303154205566</v>
      </c>
      <c r="B3507" t="str">
        <f>"1551598925563323"</f>
        <v>1551598925563323</v>
      </c>
      <c r="C3507" t="s">
        <v>40</v>
      </c>
      <c r="D3507">
        <v>5.3209569999999999</v>
      </c>
      <c r="E3507">
        <v>0.47143040000000003</v>
      </c>
      <c r="F3507" t="s">
        <v>41</v>
      </c>
      <c r="G3507">
        <v>-490.78050000000002</v>
      </c>
      <c r="H3507" s="1">
        <v>-1.9204459999999999E-6</v>
      </c>
      <c r="I3507">
        <v>233.58160000000001</v>
      </c>
      <c r="J3507">
        <v>-492.54930000000002</v>
      </c>
      <c r="K3507">
        <v>1.120892</v>
      </c>
      <c r="L3507">
        <v>247.74889999999999</v>
      </c>
      <c r="M3507">
        <v>8.2036179999999993E-3</v>
      </c>
      <c r="N3507">
        <v>-1.403299E-2</v>
      </c>
      <c r="O3507">
        <v>-0.99986799999999998</v>
      </c>
      <c r="P3507">
        <v>4.8525560000000002E-2</v>
      </c>
      <c r="Q3507">
        <v>-8.2641590000000001E-2</v>
      </c>
      <c r="R3507">
        <v>-0.99539719999999998</v>
      </c>
      <c r="S3507">
        <v>0.3691101</v>
      </c>
      <c r="T3507">
        <v>-0.23383590000000001</v>
      </c>
      <c r="U3507">
        <v>-2.9765009999999998</v>
      </c>
      <c r="V3507">
        <v>-4.0407239999999997E-2</v>
      </c>
      <c r="W3507">
        <v>-6.8630679999999999E-2</v>
      </c>
      <c r="X3507">
        <v>0.99682349999999997</v>
      </c>
      <c r="Y3507">
        <v>-0.114595</v>
      </c>
      <c r="Z3507">
        <v>6.3770820000000006E-2</v>
      </c>
      <c r="AA3507">
        <v>0.99136329999999995</v>
      </c>
      <c r="AB3507">
        <v>20</v>
      </c>
      <c r="AC3507">
        <v>1.7687999999999899</v>
      </c>
      <c r="AD3507">
        <v>-1.120893920446</v>
      </c>
      <c r="AE3507">
        <v>-14.1672999999999</v>
      </c>
      <c r="AF3507">
        <v>-1.6423828594793699</v>
      </c>
      <c r="AG3507">
        <v>-1.120893920446</v>
      </c>
      <c r="AH3507">
        <v>14.0944619444487</v>
      </c>
      <c r="AI3507">
        <v>94.516573386359397</v>
      </c>
      <c r="AJ3507">
        <v>96.646520009483694</v>
      </c>
      <c r="AK3507">
        <v>14.234032532684401</v>
      </c>
      <c r="AL3507">
        <v>93.935341786276197</v>
      </c>
      <c r="AM3507">
        <v>92.321271012273797</v>
      </c>
      <c r="AN3507">
        <v>1.00000000271696</v>
      </c>
    </row>
    <row r="3508" spans="1:40" x14ac:dyDescent="0.25">
      <c r="A3508" t="str">
        <f>"20190303154205584"</f>
        <v>20190303154205584</v>
      </c>
      <c r="B3508" t="str">
        <f>"1551598925573083"</f>
        <v>1551598925573083</v>
      </c>
      <c r="C3508" t="s">
        <v>40</v>
      </c>
      <c r="D3508">
        <v>5.3901440000000003</v>
      </c>
      <c r="E3508">
        <v>0.4711399</v>
      </c>
      <c r="F3508" t="s">
        <v>41</v>
      </c>
      <c r="G3508">
        <v>-490.77859999999998</v>
      </c>
      <c r="H3508" s="1">
        <v>-1.9427259999999999E-6</v>
      </c>
      <c r="I3508">
        <v>233.63470000000001</v>
      </c>
      <c r="J3508">
        <v>-492.54849999999999</v>
      </c>
      <c r="K3508">
        <v>1.1208929999999999</v>
      </c>
      <c r="L3508">
        <v>247.59139999999999</v>
      </c>
      <c r="M3508">
        <v>7.7858069999999996E-3</v>
      </c>
      <c r="N3508">
        <v>-1.405873E-2</v>
      </c>
      <c r="O3508">
        <v>-0.99987110000000001</v>
      </c>
      <c r="P3508">
        <v>4.8487420000000003E-2</v>
      </c>
      <c r="Q3508">
        <v>-8.2966250000000005E-2</v>
      </c>
      <c r="R3508">
        <v>-0.99537220000000004</v>
      </c>
      <c r="S3508">
        <v>0.37335210000000002</v>
      </c>
      <c r="T3508">
        <v>-0.23634579999999999</v>
      </c>
      <c r="U3508">
        <v>-2.9760439999999999</v>
      </c>
      <c r="V3508">
        <v>-4.0785219999999997E-2</v>
      </c>
      <c r="W3508">
        <v>-6.8930099999999994E-2</v>
      </c>
      <c r="X3508">
        <v>0.99678739999999999</v>
      </c>
      <c r="Y3508">
        <v>-0.1164115</v>
      </c>
      <c r="Z3508">
        <v>6.4572299999999999E-2</v>
      </c>
      <c r="AA3508">
        <v>0.99109979999999998</v>
      </c>
      <c r="AB3508">
        <v>20</v>
      </c>
      <c r="AC3508">
        <v>1.7699</v>
      </c>
      <c r="AD3508">
        <v>-1.120894942726</v>
      </c>
      <c r="AE3508">
        <v>-13.9566999999999</v>
      </c>
      <c r="AF3508">
        <v>-1.65069288837287</v>
      </c>
      <c r="AG3508">
        <v>-1.120894942726</v>
      </c>
      <c r="AH3508">
        <v>13.881936065974999</v>
      </c>
      <c r="AI3508">
        <v>94.584168554052695</v>
      </c>
      <c r="AJ3508">
        <v>96.781166560915295</v>
      </c>
      <c r="AK3508">
        <v>14.024597727712999</v>
      </c>
      <c r="AL3508">
        <v>93.952538193939304</v>
      </c>
      <c r="AM3508">
        <v>92.343045467294601</v>
      </c>
      <c r="AN3508">
        <v>0.99999995682760801</v>
      </c>
    </row>
    <row r="3509" spans="1:40" x14ac:dyDescent="0.25">
      <c r="A3509" t="str">
        <f>"20190303154205595"</f>
        <v>20190303154205595</v>
      </c>
      <c r="B3509" t="str">
        <f>"1551598925592604"</f>
        <v>1551598925592604</v>
      </c>
      <c r="C3509" t="s">
        <v>40</v>
      </c>
      <c r="D3509">
        <v>5.331931</v>
      </c>
      <c r="E3509">
        <v>0.47070879999999998</v>
      </c>
      <c r="F3509" t="s">
        <v>41</v>
      </c>
      <c r="G3509">
        <v>-490.78140000000002</v>
      </c>
      <c r="H3509" s="1">
        <v>-1.9264310000000001E-6</v>
      </c>
      <c r="I3509">
        <v>233.595</v>
      </c>
      <c r="J3509">
        <v>-492.548</v>
      </c>
      <c r="K3509">
        <v>1.120895</v>
      </c>
      <c r="L3509">
        <v>247.4896</v>
      </c>
      <c r="M3509">
        <v>7.5157030000000003E-3</v>
      </c>
      <c r="N3509">
        <v>-1.407402E-2</v>
      </c>
      <c r="O3509">
        <v>-0.99987269999999995</v>
      </c>
      <c r="P3509">
        <v>4.8144069999999997E-2</v>
      </c>
      <c r="Q3509">
        <v>-8.3200609999999994E-2</v>
      </c>
      <c r="R3509">
        <v>-0.99536930000000001</v>
      </c>
      <c r="S3509">
        <v>0.37570189999999998</v>
      </c>
      <c r="T3509">
        <v>-0.23831559999999999</v>
      </c>
      <c r="U3509">
        <v>-2.9758</v>
      </c>
      <c r="V3509">
        <v>-4.0710929999999999E-2</v>
      </c>
      <c r="W3509">
        <v>-6.9149550000000004E-2</v>
      </c>
      <c r="X3509">
        <v>0.99677530000000003</v>
      </c>
      <c r="Y3509">
        <v>-0.11745369999999999</v>
      </c>
      <c r="Z3509">
        <v>6.520629E-2</v>
      </c>
      <c r="AA3509">
        <v>0.99093529999999996</v>
      </c>
      <c r="AB3509">
        <v>20</v>
      </c>
      <c r="AC3509">
        <v>1.76659999999998</v>
      </c>
      <c r="AD3509">
        <v>-1.120896926431</v>
      </c>
      <c r="AE3509">
        <v>-13.894599999999899</v>
      </c>
      <c r="AF3509">
        <v>-1.65153505917052</v>
      </c>
      <c r="AG3509">
        <v>-1.120896926431</v>
      </c>
      <c r="AH3509">
        <v>13.8189844704228</v>
      </c>
      <c r="AI3509">
        <v>94.604645204847898</v>
      </c>
      <c r="AJ3509">
        <v>96.815210796515402</v>
      </c>
      <c r="AK3509">
        <v>13.962389113799199</v>
      </c>
      <c r="AL3509">
        <v>93.9651415783364</v>
      </c>
      <c r="AM3509">
        <v>92.338810728785106</v>
      </c>
      <c r="AN3509">
        <v>1.00000001938837</v>
      </c>
    </row>
    <row r="3510" spans="1:40" x14ac:dyDescent="0.25">
      <c r="A3510" t="str">
        <f>"20190303154205607"</f>
        <v>20190303154205607</v>
      </c>
      <c r="B3510" t="str">
        <f>"1551598925603341"</f>
        <v>1551598925603341</v>
      </c>
      <c r="C3510" t="s">
        <v>40</v>
      </c>
      <c r="D3510">
        <v>5.3684079999999996</v>
      </c>
      <c r="E3510">
        <v>0.47039930000000002</v>
      </c>
      <c r="F3510" t="s">
        <v>41</v>
      </c>
      <c r="G3510">
        <v>-490.7912</v>
      </c>
      <c r="H3510" s="1">
        <v>-1.9555190000000001E-6</v>
      </c>
      <c r="I3510">
        <v>233.6568</v>
      </c>
      <c r="J3510">
        <v>-492.54750000000001</v>
      </c>
      <c r="K3510">
        <v>1.1208979999999999</v>
      </c>
      <c r="L3510">
        <v>247.38300000000001</v>
      </c>
      <c r="M3510">
        <v>7.2328359999999899E-3</v>
      </c>
      <c r="N3510">
        <v>-1.4087769999999999E-2</v>
      </c>
      <c r="O3510">
        <v>-0.99987470000000001</v>
      </c>
      <c r="P3510">
        <v>4.781552E-2</v>
      </c>
      <c r="Q3510">
        <v>-8.3491360000000001E-2</v>
      </c>
      <c r="R3510">
        <v>-0.99536069999999999</v>
      </c>
      <c r="S3510">
        <v>0.37789919999999999</v>
      </c>
      <c r="T3510">
        <v>-0.24111160000000001</v>
      </c>
      <c r="U3510">
        <v>-2.9755250000000002</v>
      </c>
      <c r="V3510">
        <v>-4.0664520000000003E-2</v>
      </c>
      <c r="W3510">
        <v>-6.9426979999999999E-2</v>
      </c>
      <c r="X3510">
        <v>0.99675789999999997</v>
      </c>
      <c r="Y3510">
        <v>-0.1184571</v>
      </c>
      <c r="Z3510">
        <v>6.6116060000000004E-2</v>
      </c>
      <c r="AA3510">
        <v>0.99075559999999996</v>
      </c>
      <c r="AB3510">
        <v>20</v>
      </c>
      <c r="AC3510">
        <v>1.75630000000001</v>
      </c>
      <c r="AD3510">
        <v>-1.120899955519</v>
      </c>
      <c r="AE3510">
        <v>-13.726199999999899</v>
      </c>
      <c r="AF3510">
        <v>-1.64616411217354</v>
      </c>
      <c r="AG3510">
        <v>-1.120899955519</v>
      </c>
      <c r="AH3510">
        <v>13.6489919950054</v>
      </c>
      <c r="AI3510">
        <v>94.661154025307496</v>
      </c>
      <c r="AJ3510">
        <v>96.877056340433697</v>
      </c>
      <c r="AK3510">
        <v>13.7935222287207</v>
      </c>
      <c r="AL3510">
        <v>93.981075477888695</v>
      </c>
      <c r="AM3510">
        <v>92.336188202705102</v>
      </c>
      <c r="AN3510">
        <v>1.0000000099755799</v>
      </c>
    </row>
    <row r="3511" spans="1:40" x14ac:dyDescent="0.25">
      <c r="A3511" t="str">
        <f>"20190303154205619"</f>
        <v>20190303154205619</v>
      </c>
      <c r="B3511" t="str">
        <f>"1551598925613100"</f>
        <v>1551598925613100</v>
      </c>
      <c r="C3511" t="s">
        <v>40</v>
      </c>
      <c r="D3511">
        <v>5.3340630000000004</v>
      </c>
      <c r="E3511">
        <v>0.47020859999999898</v>
      </c>
      <c r="F3511" t="s">
        <v>41</v>
      </c>
      <c r="G3511">
        <v>-490.80930000000001</v>
      </c>
      <c r="H3511" s="1">
        <v>-2.0041079999999998E-6</v>
      </c>
      <c r="I3511">
        <v>233.75880000000001</v>
      </c>
      <c r="J3511">
        <v>-492.5471</v>
      </c>
      <c r="K3511">
        <v>1.1209</v>
      </c>
      <c r="L3511">
        <v>247.27879999999999</v>
      </c>
      <c r="M3511">
        <v>6.9561750000000002E-3</v>
      </c>
      <c r="N3511">
        <v>-1.410056E-2</v>
      </c>
      <c r="O3511">
        <v>-0.99987630000000005</v>
      </c>
      <c r="P3511">
        <v>4.7512560000000002E-2</v>
      </c>
      <c r="Q3511">
        <v>-8.3654350000000002E-2</v>
      </c>
      <c r="R3511">
        <v>-0.99536119999999995</v>
      </c>
      <c r="S3511">
        <v>0.37957760000000001</v>
      </c>
      <c r="T3511">
        <v>-0.24477860000000001</v>
      </c>
      <c r="U3511">
        <v>-2.9752200000000002</v>
      </c>
      <c r="V3511">
        <v>-4.0636989999999998E-2</v>
      </c>
      <c r="W3511">
        <v>-6.9577459999999994E-2</v>
      </c>
      <c r="X3511">
        <v>0.99674850000000004</v>
      </c>
      <c r="Y3511">
        <v>-0.11928270000000001</v>
      </c>
      <c r="Z3511">
        <v>6.7316989999999993E-2</v>
      </c>
      <c r="AA3511">
        <v>0.9905756</v>
      </c>
      <c r="AB3511">
        <v>20</v>
      </c>
      <c r="AC3511">
        <v>1.73779999999999</v>
      </c>
      <c r="AD3511">
        <v>-1.120902004108</v>
      </c>
      <c r="AE3511">
        <v>-13.5199999999999</v>
      </c>
      <c r="AF3511">
        <v>-1.6326612942998</v>
      </c>
      <c r="AG3511">
        <v>-1.120902004108</v>
      </c>
      <c r="AH3511">
        <v>13.440877302493799</v>
      </c>
      <c r="AI3511">
        <v>94.7325242899865</v>
      </c>
      <c r="AJ3511">
        <v>96.925779391814402</v>
      </c>
      <c r="AK3511">
        <v>13.585992303303099</v>
      </c>
      <c r="AL3511">
        <v>93.989718366173406</v>
      </c>
      <c r="AM3511">
        <v>92.334630339567397</v>
      </c>
      <c r="AN3511">
        <v>0.99999998007428004</v>
      </c>
    </row>
    <row r="3512" spans="1:40" x14ac:dyDescent="0.25">
      <c r="A3512" t="str">
        <f>"20190303154205631"</f>
        <v>20190303154205631</v>
      </c>
      <c r="B3512" t="str">
        <f>"1551598925622859"</f>
        <v>1551598925622859</v>
      </c>
      <c r="C3512" t="s">
        <v>40</v>
      </c>
      <c r="D3512">
        <v>5.4082019999999904</v>
      </c>
      <c r="E3512">
        <v>0.46988790000000003</v>
      </c>
      <c r="F3512" t="s">
        <v>41</v>
      </c>
      <c r="G3512">
        <v>-490.81959999999998</v>
      </c>
      <c r="H3512" s="1">
        <v>-2.0021619999999999E-6</v>
      </c>
      <c r="I3512">
        <v>233.74780000000001</v>
      </c>
      <c r="J3512">
        <v>-492.54660000000001</v>
      </c>
      <c r="K3512">
        <v>1.1209020000000001</v>
      </c>
      <c r="L3512">
        <v>247.16810000000001</v>
      </c>
      <c r="M3512">
        <v>6.6622230000000001E-3</v>
      </c>
      <c r="N3512">
        <v>-1.411275E-2</v>
      </c>
      <c r="O3512">
        <v>-0.9998785</v>
      </c>
      <c r="P3512">
        <v>4.7431420000000002E-2</v>
      </c>
      <c r="Q3512">
        <v>-8.3788970000000004E-2</v>
      </c>
      <c r="R3512">
        <v>-0.99535439999999997</v>
      </c>
      <c r="S3512">
        <v>0.37982179999999999</v>
      </c>
      <c r="T3512">
        <v>-0.24645890000000001</v>
      </c>
      <c r="U3512">
        <v>-2.9751280000000002</v>
      </c>
      <c r="V3512">
        <v>-4.0848620000000002E-2</v>
      </c>
      <c r="W3512">
        <v>-6.9700090000000006E-2</v>
      </c>
      <c r="X3512">
        <v>0.99673129999999999</v>
      </c>
      <c r="Y3512">
        <v>-0.11965290000000001</v>
      </c>
      <c r="Z3512">
        <v>6.7860459999999997E-2</v>
      </c>
      <c r="AA3512">
        <v>0.99049390000000004</v>
      </c>
      <c r="AB3512">
        <v>20</v>
      </c>
      <c r="AC3512">
        <v>1.7270000000000301</v>
      </c>
      <c r="AD3512">
        <v>-1.120904002162</v>
      </c>
      <c r="AE3512">
        <v>-13.4202999999999</v>
      </c>
      <c r="AF3512">
        <v>-1.6263827791614101</v>
      </c>
      <c r="AG3512">
        <v>-1.120904002162</v>
      </c>
      <c r="AH3512">
        <v>13.339964033183501</v>
      </c>
      <c r="AI3512">
        <v>94.767913479932602</v>
      </c>
      <c r="AJ3512">
        <v>96.951086433710699</v>
      </c>
      <c r="AK3512">
        <v>13.4854064504206</v>
      </c>
      <c r="AL3512">
        <v>93.996761573753403</v>
      </c>
      <c r="AM3512">
        <v>92.3468155598908</v>
      </c>
      <c r="AN3512">
        <v>0.999999998350801</v>
      </c>
    </row>
    <row r="3513" spans="1:40" x14ac:dyDescent="0.25">
      <c r="A3513" t="str">
        <f>"20190303154205645"</f>
        <v>20190303154205645</v>
      </c>
      <c r="B3513" t="str">
        <f>"1551598925632620"</f>
        <v>1551598925632620</v>
      </c>
      <c r="C3513" t="s">
        <v>40</v>
      </c>
      <c r="D3513">
        <v>5.3520539999999999</v>
      </c>
      <c r="E3513">
        <v>0.4697672</v>
      </c>
      <c r="F3513" t="s">
        <v>41</v>
      </c>
      <c r="G3513">
        <v>-490.82830000000001</v>
      </c>
      <c r="H3513" s="1">
        <v>-2.0252169999999999E-6</v>
      </c>
      <c r="I3513">
        <v>233.7962</v>
      </c>
      <c r="J3513">
        <v>-492.54629999999997</v>
      </c>
      <c r="K3513">
        <v>1.12090499999999</v>
      </c>
      <c r="L3513">
        <v>247.05959999999999</v>
      </c>
      <c r="M3513">
        <v>6.373887E-3</v>
      </c>
      <c r="N3513">
        <v>-1.412334E-2</v>
      </c>
      <c r="O3513">
        <v>-0.99988010000000005</v>
      </c>
      <c r="P3513">
        <v>4.7445090000000002E-2</v>
      </c>
      <c r="Q3513">
        <v>-8.381363E-2</v>
      </c>
      <c r="R3513">
        <v>-0.99535149999999994</v>
      </c>
      <c r="S3513">
        <v>0.38226320000000003</v>
      </c>
      <c r="T3513">
        <v>-0.24936230000000001</v>
      </c>
      <c r="U3513">
        <v>-2.9747919999999999</v>
      </c>
      <c r="V3513">
        <v>-4.1148949999999997E-2</v>
      </c>
      <c r="W3513">
        <v>-6.9714289999999998E-2</v>
      </c>
      <c r="X3513">
        <v>0.99671790000000005</v>
      </c>
      <c r="Y3513">
        <v>-0.120743</v>
      </c>
      <c r="Z3513">
        <v>6.8808930000000004E-2</v>
      </c>
      <c r="AA3513">
        <v>0.99029610000000001</v>
      </c>
      <c r="AB3513">
        <v>20</v>
      </c>
      <c r="AC3513">
        <v>1.71799999999996</v>
      </c>
      <c r="AD3513">
        <v>-1.1209070252169999</v>
      </c>
      <c r="AE3513">
        <v>-13.263399999999899</v>
      </c>
      <c r="AF3513">
        <v>-1.6220236729520701</v>
      </c>
      <c r="AG3513">
        <v>-1.1209070252169999</v>
      </c>
      <c r="AH3513">
        <v>13.1814911344702</v>
      </c>
      <c r="AI3513">
        <v>94.824321356901606</v>
      </c>
      <c r="AJ3513">
        <v>97.015158543770596</v>
      </c>
      <c r="AK3513">
        <v>13.328131972745201</v>
      </c>
      <c r="AL3513">
        <v>93.997577370361896</v>
      </c>
      <c r="AM3513">
        <v>92.364082218334104</v>
      </c>
      <c r="AN3513">
        <v>0.999999945248356</v>
      </c>
    </row>
    <row r="3514" spans="1:40" x14ac:dyDescent="0.25">
      <c r="A3514" t="str">
        <f>"20190303154205657"</f>
        <v>20190303154205657</v>
      </c>
      <c r="B3514" t="str">
        <f>"1551598925653115"</f>
        <v>1551598925653115</v>
      </c>
      <c r="C3514" t="s">
        <v>40</v>
      </c>
      <c r="D3514">
        <v>5.3258809999999999</v>
      </c>
      <c r="E3514">
        <v>0.46957939999999998</v>
      </c>
      <c r="F3514" t="s">
        <v>41</v>
      </c>
      <c r="G3514">
        <v>-490.82819999999998</v>
      </c>
      <c r="H3514" s="1">
        <v>-1.998484E-6</v>
      </c>
      <c r="I3514">
        <v>233.73390000000001</v>
      </c>
      <c r="J3514">
        <v>-492.54590000000002</v>
      </c>
      <c r="K3514">
        <v>1.1209</v>
      </c>
      <c r="L3514">
        <v>246.95310000000001</v>
      </c>
      <c r="M3514">
        <v>6.0910360000000002E-3</v>
      </c>
      <c r="N3514">
        <v>-1.4133079999999999E-2</v>
      </c>
      <c r="O3514">
        <v>-0.99988180000000004</v>
      </c>
      <c r="P3514">
        <v>4.7327019999999997E-2</v>
      </c>
      <c r="Q3514">
        <v>-8.4112140000000002E-2</v>
      </c>
      <c r="R3514">
        <v>-0.99533190000000005</v>
      </c>
      <c r="S3514">
        <v>0.38351439999999998</v>
      </c>
      <c r="T3514">
        <v>-0.25021660000000001</v>
      </c>
      <c r="U3514">
        <v>-2.97464</v>
      </c>
      <c r="V3514">
        <v>-4.1312559999999998E-2</v>
      </c>
      <c r="W3514">
        <v>-7.000344E-2</v>
      </c>
      <c r="X3514">
        <v>0.99669090000000005</v>
      </c>
      <c r="Y3514">
        <v>-0.12143669999999999</v>
      </c>
      <c r="Z3514">
        <v>6.9079940000000006E-2</v>
      </c>
      <c r="AA3514">
        <v>0.99019250000000003</v>
      </c>
      <c r="AB3514">
        <v>20</v>
      </c>
      <c r="AC3514">
        <v>1.71770000000003</v>
      </c>
      <c r="AD3514">
        <v>-1.1209019984840001</v>
      </c>
      <c r="AE3514">
        <v>-13.219200000000001</v>
      </c>
      <c r="AF3514">
        <v>-1.62564725704058</v>
      </c>
      <c r="AG3514">
        <v>-1.1209019984840001</v>
      </c>
      <c r="AH3514">
        <v>13.136535771625599</v>
      </c>
      <c r="AI3514">
        <v>94.840322930419802</v>
      </c>
      <c r="AJ3514">
        <v>97.054491755233499</v>
      </c>
      <c r="AK3514">
        <v>13.284115415552799</v>
      </c>
      <c r="AL3514">
        <v>94.014184881917501</v>
      </c>
      <c r="AM3514">
        <v>92.373535405706704</v>
      </c>
      <c r="AN3514">
        <v>0.99999997968419796</v>
      </c>
    </row>
    <row r="3515" spans="1:40" x14ac:dyDescent="0.25">
      <c r="A3515" t="str">
        <f>"20190303154205672"</f>
        <v>20190303154205672</v>
      </c>
      <c r="B3515" t="str">
        <f>"1551598925662875"</f>
        <v>1551598925662875</v>
      </c>
      <c r="C3515" t="s">
        <v>40</v>
      </c>
      <c r="D3515">
        <v>5.3556800000000004</v>
      </c>
      <c r="E3515">
        <v>0.4694642</v>
      </c>
      <c r="F3515" t="s">
        <v>41</v>
      </c>
      <c r="G3515">
        <v>-490.83699999999999</v>
      </c>
      <c r="H3515" s="1">
        <v>-2.0029720000000002E-6</v>
      </c>
      <c r="I3515">
        <v>233.739</v>
      </c>
      <c r="J3515">
        <v>-492.5455</v>
      </c>
      <c r="K3515">
        <v>1.1209009999999999</v>
      </c>
      <c r="L3515">
        <v>246.80869999999999</v>
      </c>
      <c r="M3515">
        <v>5.7075679999999997E-3</v>
      </c>
      <c r="N3515">
        <v>-1.41444E-2</v>
      </c>
      <c r="O3515">
        <v>-0.99988390000000005</v>
      </c>
      <c r="P3515">
        <v>4.7622480000000002E-2</v>
      </c>
      <c r="Q3515">
        <v>-8.4115750000000003E-2</v>
      </c>
      <c r="R3515">
        <v>-0.99531769999999997</v>
      </c>
      <c r="S3515">
        <v>0.38467410000000002</v>
      </c>
      <c r="T3515">
        <v>-0.252310799999999</v>
      </c>
      <c r="U3515">
        <v>-2.9744419999999998</v>
      </c>
      <c r="V3515">
        <v>-4.1989829999999999E-2</v>
      </c>
      <c r="W3515">
        <v>-6.9995790000000002E-2</v>
      </c>
      <c r="X3515">
        <v>0.99666319999999997</v>
      </c>
      <c r="Y3515">
        <v>-0.12219820000000001</v>
      </c>
      <c r="Z3515">
        <v>6.9760030000000001E-2</v>
      </c>
      <c r="AA3515">
        <v>0.99005109999999996</v>
      </c>
      <c r="AB3515">
        <v>20</v>
      </c>
      <c r="AC3515">
        <v>1.7085000000000099</v>
      </c>
      <c r="AD3515">
        <v>-1.120903002972</v>
      </c>
      <c r="AE3515">
        <v>-13.0696999999999</v>
      </c>
      <c r="AF3515">
        <v>-1.62213755023329</v>
      </c>
      <c r="AG3515">
        <v>-1.120903002972</v>
      </c>
      <c r="AH3515">
        <v>12.985332153545</v>
      </c>
      <c r="AI3515">
        <v>94.895718069757706</v>
      </c>
      <c r="AJ3515">
        <v>97.120545986874902</v>
      </c>
      <c r="AK3515">
        <v>13.134176978853199</v>
      </c>
      <c r="AL3515">
        <v>94.013745227429993</v>
      </c>
      <c r="AM3515">
        <v>92.412468046350099</v>
      </c>
      <c r="AN3515">
        <v>1.00000004533769</v>
      </c>
    </row>
    <row r="3516" spans="1:40" x14ac:dyDescent="0.25">
      <c r="A3516" t="str">
        <f>"20190303154205685"</f>
        <v>20190303154205685</v>
      </c>
      <c r="B3516" t="str">
        <f>"1551598925673611"</f>
        <v>1551598925673611</v>
      </c>
      <c r="C3516" t="s">
        <v>40</v>
      </c>
      <c r="D3516">
        <v>5.3399409999999996</v>
      </c>
      <c r="E3516">
        <v>0.46938570000000002</v>
      </c>
      <c r="F3516" t="s">
        <v>41</v>
      </c>
      <c r="G3516">
        <v>-490.839</v>
      </c>
      <c r="H3516" s="1">
        <v>-1.970606E-6</v>
      </c>
      <c r="I3516">
        <v>233.66229999999999</v>
      </c>
      <c r="J3516">
        <v>-492.54520000000002</v>
      </c>
      <c r="K3516">
        <v>1.1209070000000001</v>
      </c>
      <c r="L3516">
        <v>246.71029999999999</v>
      </c>
      <c r="M3516">
        <v>5.4460999999999997E-3</v>
      </c>
      <c r="N3516">
        <v>-1.415111E-2</v>
      </c>
      <c r="O3516">
        <v>-0.99988509999999997</v>
      </c>
      <c r="P3516">
        <v>4.773384E-2</v>
      </c>
      <c r="Q3516">
        <v>-8.4590659999999998E-2</v>
      </c>
      <c r="R3516">
        <v>-0.99527189999999999</v>
      </c>
      <c r="S3516">
        <v>0.38607789999999997</v>
      </c>
      <c r="T3516">
        <v>-0.25359140000000002</v>
      </c>
      <c r="U3516">
        <v>-2.9742280000000001</v>
      </c>
      <c r="V3516">
        <v>-4.2362440000000001E-2</v>
      </c>
      <c r="W3516">
        <v>-7.0464540000000006E-2</v>
      </c>
      <c r="X3516">
        <v>0.99661429999999995</v>
      </c>
      <c r="Y3516">
        <v>-0.12292160000000001</v>
      </c>
      <c r="Z3516">
        <v>7.0176000000000002E-2</v>
      </c>
      <c r="AA3516">
        <v>0.98993209999999998</v>
      </c>
      <c r="AB3516">
        <v>20</v>
      </c>
      <c r="AC3516">
        <v>1.7062000000000199</v>
      </c>
      <c r="AD3516">
        <v>-1.12090897060599</v>
      </c>
      <c r="AE3516">
        <v>-13.048</v>
      </c>
      <c r="AF3516">
        <v>-1.6233282075047999</v>
      </c>
      <c r="AG3516">
        <v>-1.12090897060599</v>
      </c>
      <c r="AH3516">
        <v>12.9630413694984</v>
      </c>
      <c r="AI3516">
        <v>94.903937238148501</v>
      </c>
      <c r="AJ3516">
        <v>97.137845650330306</v>
      </c>
      <c r="AK3516">
        <v>13.112287097871</v>
      </c>
      <c r="AL3516">
        <v>94.040669507893298</v>
      </c>
      <c r="AM3516">
        <v>92.433969487996393</v>
      </c>
      <c r="AN3516">
        <v>0.99999994534232595</v>
      </c>
    </row>
    <row r="3517" spans="1:40" x14ac:dyDescent="0.25">
      <c r="A3517" t="str">
        <f>"20190303154205697"</f>
        <v>20190303154205697</v>
      </c>
      <c r="B3517" t="str">
        <f>"1551598925693131"</f>
        <v>1551598925693131</v>
      </c>
      <c r="C3517" t="s">
        <v>40</v>
      </c>
      <c r="D3517">
        <v>5.400258</v>
      </c>
      <c r="E3517">
        <v>0.46916629999999998</v>
      </c>
      <c r="F3517" t="s">
        <v>41</v>
      </c>
      <c r="G3517">
        <v>-490.84559999999999</v>
      </c>
      <c r="H3517" s="1">
        <v>-1.971728E-6</v>
      </c>
      <c r="I3517">
        <v>233.66079999999999</v>
      </c>
      <c r="J3517">
        <v>-492.54489999999998</v>
      </c>
      <c r="K3517">
        <v>1.1209100000000001</v>
      </c>
      <c r="L3517">
        <v>246.60290000000001</v>
      </c>
      <c r="M3517">
        <v>5.1608610000000001E-3</v>
      </c>
      <c r="N3517">
        <v>-1.415804E-2</v>
      </c>
      <c r="O3517">
        <v>-0.99988659999999996</v>
      </c>
      <c r="P3517">
        <v>4.751437E-2</v>
      </c>
      <c r="Q3517">
        <v>-8.4963670000000005E-2</v>
      </c>
      <c r="R3517">
        <v>-0.99525050000000004</v>
      </c>
      <c r="S3517">
        <v>0.38735960000000003</v>
      </c>
      <c r="T3517">
        <v>-0.25545659999999998</v>
      </c>
      <c r="U3517">
        <v>-2.9739840000000002</v>
      </c>
      <c r="V3517">
        <v>-4.2426909999999998E-2</v>
      </c>
      <c r="W3517">
        <v>-7.0831119999999997E-2</v>
      </c>
      <c r="X3517">
        <v>0.99658559999999996</v>
      </c>
      <c r="Y3517">
        <v>-0.123628</v>
      </c>
      <c r="Z3517">
        <v>7.0785920000000002E-2</v>
      </c>
      <c r="AA3517">
        <v>0.98980080000000004</v>
      </c>
      <c r="AB3517">
        <v>20</v>
      </c>
      <c r="AC3517">
        <v>1.69929999999999</v>
      </c>
      <c r="AD3517">
        <v>-1.1209119717280001</v>
      </c>
      <c r="AE3517">
        <v>-12.9421</v>
      </c>
      <c r="AF3517">
        <v>-1.6205283305854301</v>
      </c>
      <c r="AG3517">
        <v>-1.1209119717280001</v>
      </c>
      <c r="AH3517">
        <v>12.855897410864699</v>
      </c>
      <c r="AI3517">
        <v>94.944116568523597</v>
      </c>
      <c r="AJ3517">
        <v>97.184429978362402</v>
      </c>
      <c r="AK3517">
        <v>13.006023756601101</v>
      </c>
      <c r="AL3517">
        <v>94.061725491102806</v>
      </c>
      <c r="AM3517">
        <v>92.437739317015897</v>
      </c>
      <c r="AN3517">
        <v>0.99999997418997999</v>
      </c>
    </row>
    <row r="3518" spans="1:40" x14ac:dyDescent="0.25">
      <c r="A3518" t="str">
        <f>"20190303154205708"</f>
        <v>20190303154205708</v>
      </c>
      <c r="B3518" t="str">
        <f>"1551598925702891"</f>
        <v>1551598925702891</v>
      </c>
      <c r="C3518" t="s">
        <v>40</v>
      </c>
      <c r="D3518">
        <v>5.3831939999999996</v>
      </c>
      <c r="E3518">
        <v>0.4694429</v>
      </c>
      <c r="F3518" t="s">
        <v>41</v>
      </c>
      <c r="G3518">
        <v>-490.85520000000002</v>
      </c>
      <c r="H3518" s="1">
        <v>-1.9704950000000001E-6</v>
      </c>
      <c r="I3518">
        <v>233.65199999999999</v>
      </c>
      <c r="J3518">
        <v>-492.54480000000001</v>
      </c>
      <c r="K3518">
        <v>1.1209119999999999</v>
      </c>
      <c r="L3518">
        <v>246.49629999999999</v>
      </c>
      <c r="M3518">
        <v>4.8775659999999998E-3</v>
      </c>
      <c r="N3518">
        <v>-1.416384E-2</v>
      </c>
      <c r="O3518">
        <v>-0.999888</v>
      </c>
      <c r="P3518">
        <v>4.7439969999999998E-2</v>
      </c>
      <c r="Q3518">
        <v>-8.5241330000000004E-2</v>
      </c>
      <c r="R3518">
        <v>-0.99523050000000002</v>
      </c>
      <c r="S3518">
        <v>0.38800050000000003</v>
      </c>
      <c r="T3518">
        <v>-0.25738689999999997</v>
      </c>
      <c r="U3518">
        <v>-2.9738310000000001</v>
      </c>
      <c r="V3518">
        <v>-4.2634699999999998E-2</v>
      </c>
      <c r="W3518">
        <v>-7.1103330000000006E-2</v>
      </c>
      <c r="X3518">
        <v>0.99655740000000004</v>
      </c>
      <c r="Y3518">
        <v>-0.12411850000000001</v>
      </c>
      <c r="Z3518">
        <v>7.1418099999999998E-2</v>
      </c>
      <c r="AA3518">
        <v>0.98969390000000002</v>
      </c>
      <c r="AB3518">
        <v>20</v>
      </c>
      <c r="AC3518">
        <v>1.68959999999998</v>
      </c>
      <c r="AD3518">
        <v>-1.120913970495</v>
      </c>
      <c r="AE3518">
        <v>-12.844299999999899</v>
      </c>
      <c r="AF3518">
        <v>-1.61483540368073</v>
      </c>
      <c r="AG3518">
        <v>-1.120913970495</v>
      </c>
      <c r="AH3518">
        <v>12.756886013430201</v>
      </c>
      <c r="AI3518">
        <v>94.981978355212505</v>
      </c>
      <c r="AJ3518">
        <v>97.214437559740205</v>
      </c>
      <c r="AK3518">
        <v>12.907450649523399</v>
      </c>
      <c r="AL3518">
        <v>94.077361186342301</v>
      </c>
      <c r="AM3518">
        <v>92.449733113057306</v>
      </c>
      <c r="AN3518">
        <v>1.00000002633796</v>
      </c>
    </row>
    <row r="3519" spans="1:40" x14ac:dyDescent="0.25">
      <c r="A3519" t="str">
        <f>"20190303154205723"</f>
        <v>20190303154205723</v>
      </c>
      <c r="B3519" t="str">
        <f>"1551598925712651"</f>
        <v>1551598925712651</v>
      </c>
      <c r="C3519" t="s">
        <v>40</v>
      </c>
      <c r="D3519">
        <v>5.368303</v>
      </c>
      <c r="E3519">
        <v>0.4694429</v>
      </c>
      <c r="F3519" t="s">
        <v>41</v>
      </c>
      <c r="G3519">
        <v>-490.86259999999999</v>
      </c>
      <c r="H3519" s="1">
        <v>-1.9204159999999999E-6</v>
      </c>
      <c r="I3519">
        <v>233.53059999999999</v>
      </c>
      <c r="J3519">
        <v>-492.5446</v>
      </c>
      <c r="K3519">
        <v>1.120916</v>
      </c>
      <c r="L3519">
        <v>246.3751</v>
      </c>
      <c r="M3519">
        <v>4.5559670000000002E-3</v>
      </c>
      <c r="N3519">
        <v>-1.416981E-2</v>
      </c>
      <c r="O3519">
        <v>-0.99988920000000003</v>
      </c>
      <c r="P3519">
        <v>4.7474620000000002E-2</v>
      </c>
      <c r="Q3519">
        <v>-8.5153190000000004E-2</v>
      </c>
      <c r="R3519">
        <v>-0.99523600000000001</v>
      </c>
      <c r="S3519">
        <v>0.3858337</v>
      </c>
      <c r="T3519">
        <v>-0.25710440000000001</v>
      </c>
      <c r="U3519">
        <v>-2.973938</v>
      </c>
      <c r="V3519">
        <v>-4.2989010000000001E-2</v>
      </c>
      <c r="W3519">
        <v>-7.1009230000000007E-2</v>
      </c>
      <c r="X3519">
        <v>0.99654889999999996</v>
      </c>
      <c r="Y3519">
        <v>-0.12372519999999999</v>
      </c>
      <c r="Z3519">
        <v>7.1321780000000001E-2</v>
      </c>
      <c r="AA3519">
        <v>0.98975009999999997</v>
      </c>
      <c r="AB3519">
        <v>20</v>
      </c>
      <c r="AC3519">
        <v>1.6820000000000099</v>
      </c>
      <c r="AD3519">
        <v>-1.120917920416</v>
      </c>
      <c r="AE3519">
        <v>-12.8445</v>
      </c>
      <c r="AF3519">
        <v>-1.61139246128651</v>
      </c>
      <c r="AG3519">
        <v>-1.120917920416</v>
      </c>
      <c r="AH3519">
        <v>12.7565178687325</v>
      </c>
      <c r="AI3519">
        <v>94.982303142051904</v>
      </c>
      <c r="AJ3519">
        <v>97.199423013106994</v>
      </c>
      <c r="AK3519">
        <v>12.906656839937</v>
      </c>
      <c r="AL3519">
        <v>94.071955943766696</v>
      </c>
      <c r="AM3519">
        <v>92.470087224979494</v>
      </c>
      <c r="AN3519">
        <v>1.00000003790859</v>
      </c>
    </row>
    <row r="3520" spans="1:40" x14ac:dyDescent="0.25">
      <c r="A3520" t="str">
        <f>"20190303154205738"</f>
        <v>20190303154205738</v>
      </c>
      <c r="B3520" t="str">
        <f>"1551598925733147"</f>
        <v>1551598925733147</v>
      </c>
      <c r="C3520" t="s">
        <v>40</v>
      </c>
      <c r="D3520">
        <v>5.3772510000000002</v>
      </c>
      <c r="E3520">
        <v>0.50231780000000004</v>
      </c>
      <c r="F3520" t="s">
        <v>41</v>
      </c>
      <c r="G3520">
        <v>-490.86160000000001</v>
      </c>
      <c r="H3520" s="1">
        <v>-1.8596270000000001E-6</v>
      </c>
      <c r="I3520">
        <v>233.3895</v>
      </c>
      <c r="J3520">
        <v>-492.54430000000002</v>
      </c>
      <c r="K3520">
        <v>1.120922</v>
      </c>
      <c r="L3520">
        <v>246.2466</v>
      </c>
      <c r="M3520">
        <v>4.2154039999999999E-3</v>
      </c>
      <c r="N3520">
        <v>-1.4175399999999999E-2</v>
      </c>
      <c r="O3520">
        <v>-0.99989079999999997</v>
      </c>
      <c r="P3520">
        <v>4.7232830000000003E-2</v>
      </c>
      <c r="Q3520">
        <v>-8.5407129999999998E-2</v>
      </c>
      <c r="R3520">
        <v>-0.9952259</v>
      </c>
      <c r="S3520">
        <v>0.38543699999999997</v>
      </c>
      <c r="T3520">
        <v>-0.25671890000000003</v>
      </c>
      <c r="U3520">
        <v>-2.97403</v>
      </c>
      <c r="V3520">
        <v>-4.3086600000000003E-2</v>
      </c>
      <c r="W3520">
        <v>-7.1258000000000002E-2</v>
      </c>
      <c r="X3520">
        <v>0.99652689999999999</v>
      </c>
      <c r="Y3520">
        <v>-0.1239306</v>
      </c>
      <c r="Z3520">
        <v>7.1185799999999994E-2</v>
      </c>
      <c r="AA3520">
        <v>0.98973420000000001</v>
      </c>
      <c r="AB3520">
        <v>19</v>
      </c>
      <c r="AC3520">
        <v>1.6827000000000101</v>
      </c>
      <c r="AD3520">
        <v>-1.1209238596269999</v>
      </c>
      <c r="AE3520">
        <v>-12.857100000000001</v>
      </c>
      <c r="AF3520">
        <v>-1.61640249479241</v>
      </c>
      <c r="AG3520">
        <v>-1.1209238596269999</v>
      </c>
      <c r="AH3520">
        <v>12.768660560385699</v>
      </c>
      <c r="AI3520">
        <v>94.977447332062297</v>
      </c>
      <c r="AJ3520">
        <v>97.214775883817794</v>
      </c>
      <c r="AK3520">
        <v>12.9192848033706</v>
      </c>
      <c r="AL3520">
        <v>94.086245727036697</v>
      </c>
      <c r="AM3520">
        <v>92.475742225326002</v>
      </c>
      <c r="AN3520">
        <v>1.00000001004358</v>
      </c>
    </row>
    <row r="3521" spans="1:40" x14ac:dyDescent="0.25">
      <c r="A3521" t="str">
        <f>"20190303154205753"</f>
        <v>20190303154205753</v>
      </c>
      <c r="B3521" t="str">
        <f>"1551598925742907"</f>
        <v>1551598925742907</v>
      </c>
      <c r="C3521" t="s">
        <v>40</v>
      </c>
      <c r="D3521">
        <v>5.3776929999999998</v>
      </c>
      <c r="E3521">
        <v>0.50294719999999904</v>
      </c>
      <c r="F3521" t="s">
        <v>41</v>
      </c>
      <c r="G3521">
        <v>-491.96170000000001</v>
      </c>
      <c r="H3521" s="1">
        <v>-1.6387070000000001E-6</v>
      </c>
      <c r="I3521">
        <v>232.19229999999999</v>
      </c>
      <c r="J3521">
        <v>-492.54419999999999</v>
      </c>
      <c r="K3521">
        <v>1.1209229999999999</v>
      </c>
      <c r="L3521">
        <v>246.1113</v>
      </c>
      <c r="M3521">
        <v>3.8583630000000001E-3</v>
      </c>
      <c r="N3521">
        <v>-1.418027E-2</v>
      </c>
      <c r="O3521">
        <v>-0.99989220000000001</v>
      </c>
      <c r="P3521">
        <v>4.7325779999999998E-2</v>
      </c>
      <c r="Q3521">
        <v>-8.5213629999999999E-2</v>
      </c>
      <c r="R3521">
        <v>-0.99523850000000003</v>
      </c>
      <c r="S3521">
        <v>0.1238708</v>
      </c>
      <c r="T3521">
        <v>-0.2383188</v>
      </c>
      <c r="U3521">
        <v>-2.988083</v>
      </c>
      <c r="V3521">
        <v>-4.3534829999999997E-2</v>
      </c>
      <c r="W3521">
        <v>-7.1059570000000002E-2</v>
      </c>
      <c r="X3521">
        <v>0.99652160000000001</v>
      </c>
      <c r="Y3521">
        <v>-3.7450299999999999E-2</v>
      </c>
      <c r="Z3521">
        <v>6.5299029999999994E-2</v>
      </c>
      <c r="AA3521">
        <v>0.99716280000000002</v>
      </c>
      <c r="AB3521">
        <v>19</v>
      </c>
      <c r="AC3521">
        <v>0.58249999999998103</v>
      </c>
      <c r="AD3521">
        <v>-1.120924638707</v>
      </c>
      <c r="AE3521">
        <v>-13.919</v>
      </c>
      <c r="AF3521">
        <v>-0.52538434801364298</v>
      </c>
      <c r="AG3521">
        <v>-1.120924638707</v>
      </c>
      <c r="AH3521">
        <v>13.831597482450499</v>
      </c>
      <c r="AI3521">
        <v>94.629850050599501</v>
      </c>
      <c r="AJ3521">
        <v>92.175297611463705</v>
      </c>
      <c r="AK3521">
        <v>13.8868855282719</v>
      </c>
      <c r="AL3521">
        <v>94.074847584311698</v>
      </c>
      <c r="AM3521">
        <v>92.501478117377701</v>
      </c>
      <c r="AN3521">
        <v>1.00000002158913</v>
      </c>
    </row>
    <row r="3522" spans="1:40" x14ac:dyDescent="0.25">
      <c r="A3522" t="str">
        <f>"20190303154205775"</f>
        <v>20190303154205775</v>
      </c>
      <c r="B3522" t="str">
        <f>"1551598925763403"</f>
        <v>1551598925763403</v>
      </c>
      <c r="C3522" t="s">
        <v>40</v>
      </c>
      <c r="D3522">
        <v>5.3660350000000001</v>
      </c>
      <c r="E3522">
        <v>0.50495459999999903</v>
      </c>
      <c r="F3522" t="s">
        <v>41</v>
      </c>
      <c r="G3522">
        <v>-492.0301</v>
      </c>
      <c r="H3522" s="1">
        <v>-2.0502880000000002E-6</v>
      </c>
      <c r="I3522">
        <v>233.10929999999999</v>
      </c>
      <c r="J3522">
        <v>-492.54410000000001</v>
      </c>
      <c r="K3522">
        <v>1.120932</v>
      </c>
      <c r="L3522">
        <v>245.92179999999999</v>
      </c>
      <c r="M3522">
        <v>3.3630639999999998E-3</v>
      </c>
      <c r="N3522">
        <v>-1.418581E-2</v>
      </c>
      <c r="O3522">
        <v>-0.9998937</v>
      </c>
      <c r="P3522">
        <v>4.704995E-2</v>
      </c>
      <c r="Q3522">
        <v>-8.4755899999999995E-2</v>
      </c>
      <c r="R3522">
        <v>-0.99529029999999996</v>
      </c>
      <c r="S3522">
        <v>0.118103</v>
      </c>
      <c r="T3522">
        <v>-0.25748749999999998</v>
      </c>
      <c r="U3522">
        <v>-2.9866790000000001</v>
      </c>
      <c r="V3522">
        <v>-4.3750579999999997E-2</v>
      </c>
      <c r="W3522">
        <v>-7.0596240000000005E-2</v>
      </c>
      <c r="X3522">
        <v>0.99654509999999996</v>
      </c>
      <c r="Y3522">
        <v>-3.6024050000000002E-2</v>
      </c>
      <c r="Z3522">
        <v>7.1690390000000007E-2</v>
      </c>
      <c r="AA3522">
        <v>0.9967762</v>
      </c>
      <c r="AB3522">
        <v>19</v>
      </c>
      <c r="AC3522">
        <v>0.51400000000001</v>
      </c>
      <c r="AD3522">
        <v>-1.1209340502879901</v>
      </c>
      <c r="AE3522">
        <v>-12.8125</v>
      </c>
      <c r="AF3522">
        <v>-0.46733225229590702</v>
      </c>
      <c r="AG3522">
        <v>-1.1209340502879901</v>
      </c>
      <c r="AH3522">
        <v>12.716976106771</v>
      </c>
      <c r="AI3522">
        <v>95.033920049413197</v>
      </c>
      <c r="AJ3522">
        <v>92.104597962728505</v>
      </c>
      <c r="AK3522">
        <v>12.774833614545299</v>
      </c>
      <c r="AL3522">
        <v>94.048233820180499</v>
      </c>
      <c r="AM3522">
        <v>92.513799879098997</v>
      </c>
      <c r="AN3522">
        <v>1.00000003934324</v>
      </c>
    </row>
    <row r="3523" spans="1:40" x14ac:dyDescent="0.25">
      <c r="A3523" t="str">
        <f>"20190303154205787"</f>
        <v>20190303154205787</v>
      </c>
      <c r="B3523" t="str">
        <f>"1551598925782923"</f>
        <v>1551598925782923</v>
      </c>
      <c r="C3523" t="s">
        <v>40</v>
      </c>
      <c r="D3523">
        <v>5.3674549999999996</v>
      </c>
      <c r="E3523">
        <v>0.50608339999999996</v>
      </c>
      <c r="F3523" t="s">
        <v>41</v>
      </c>
      <c r="G3523">
        <v>-492.11450000000002</v>
      </c>
      <c r="H3523" s="1">
        <v>-2.138711E-6</v>
      </c>
      <c r="I3523">
        <v>233.26300000000001</v>
      </c>
      <c r="J3523">
        <v>-492.54399999999998</v>
      </c>
      <c r="K3523">
        <v>1.1209450000000001</v>
      </c>
      <c r="L3523">
        <v>245.81610000000001</v>
      </c>
      <c r="M3523">
        <v>3.0921500000000001E-3</v>
      </c>
      <c r="N3523">
        <v>-1.418818E-2</v>
      </c>
      <c r="O3523">
        <v>-0.99989490000000003</v>
      </c>
      <c r="P3523">
        <v>4.7188939999999999E-2</v>
      </c>
      <c r="Q3523">
        <v>-8.4628930000000005E-2</v>
      </c>
      <c r="R3523">
        <v>-0.99529469999999998</v>
      </c>
      <c r="S3523">
        <v>0.10134890000000001</v>
      </c>
      <c r="T3523">
        <v>-0.26448630000000001</v>
      </c>
      <c r="U3523">
        <v>-2.9868619999999999</v>
      </c>
      <c r="V3523">
        <v>-4.4158700000000002E-2</v>
      </c>
      <c r="W3523">
        <v>-7.0467169999999996E-2</v>
      </c>
      <c r="X3523">
        <v>0.99653619999999998</v>
      </c>
      <c r="Y3523">
        <v>-3.070577E-2</v>
      </c>
      <c r="Z3523">
        <v>7.4017139999999995E-2</v>
      </c>
      <c r="AA3523">
        <v>0.99678420000000001</v>
      </c>
      <c r="AB3523">
        <v>19</v>
      </c>
      <c r="AC3523">
        <v>0.42950000000001798</v>
      </c>
      <c r="AD3523">
        <v>-1.1209471387109999</v>
      </c>
      <c r="AE3523">
        <v>-12.553100000000001</v>
      </c>
      <c r="AF3523">
        <v>-0.38759100335145102</v>
      </c>
      <c r="AG3523">
        <v>-1.1209471387109999</v>
      </c>
      <c r="AH3523">
        <v>12.4551686160438</v>
      </c>
      <c r="AI3523">
        <v>95.140207343795495</v>
      </c>
      <c r="AJ3523">
        <v>91.782405770611703</v>
      </c>
      <c r="AK3523">
        <v>12.511513678518099</v>
      </c>
      <c r="AL3523">
        <v>94.040820328344296</v>
      </c>
      <c r="AM3523">
        <v>92.537241570218498</v>
      </c>
      <c r="AN3523">
        <v>1.00000000537196</v>
      </c>
    </row>
    <row r="3524" spans="1:40" x14ac:dyDescent="0.25">
      <c r="A3524" t="str">
        <f>"20190303154205807"</f>
        <v>20190303154205807</v>
      </c>
      <c r="B3524" t="str">
        <f>"1551598925803419"</f>
        <v>1551598925803419</v>
      </c>
      <c r="C3524" t="s">
        <v>40</v>
      </c>
      <c r="D3524">
        <v>5.3824069999999997</v>
      </c>
      <c r="E3524">
        <v>0.50621229999999995</v>
      </c>
      <c r="F3524" t="s">
        <v>41</v>
      </c>
      <c r="G3524">
        <v>-492.15050000000002</v>
      </c>
      <c r="H3524" s="1">
        <v>-2.1138540000000002E-6</v>
      </c>
      <c r="I3524">
        <v>233.18270000000001</v>
      </c>
      <c r="J3524">
        <v>-492.54410000000001</v>
      </c>
      <c r="K3524">
        <v>1.120949</v>
      </c>
      <c r="L3524">
        <v>245.64699999999999</v>
      </c>
      <c r="M3524">
        <v>2.6664380000000001E-3</v>
      </c>
      <c r="N3524">
        <v>-1.419134E-2</v>
      </c>
      <c r="O3524">
        <v>-0.99989600000000001</v>
      </c>
      <c r="P3524">
        <v>4.6542449999999999E-2</v>
      </c>
      <c r="Q3524">
        <v>-8.4775909999999996E-2</v>
      </c>
      <c r="R3524">
        <v>-0.9953128</v>
      </c>
      <c r="S3524">
        <v>9.3048099999999995E-2</v>
      </c>
      <c r="T3524">
        <v>-0.26505489999999998</v>
      </c>
      <c r="U3524">
        <v>-2.987244</v>
      </c>
      <c r="V3524">
        <v>-4.3933960000000001E-2</v>
      </c>
      <c r="W3524">
        <v>-7.0612079999999994E-2</v>
      </c>
      <c r="X3524">
        <v>0.99653590000000003</v>
      </c>
      <c r="Y3524">
        <v>-2.8361299999999999E-2</v>
      </c>
      <c r="Z3524">
        <v>7.4198100000000003E-2</v>
      </c>
      <c r="AA3524">
        <v>0.99684010000000001</v>
      </c>
      <c r="AB3524">
        <v>19</v>
      </c>
      <c r="AC3524">
        <v>0.39359999999999201</v>
      </c>
      <c r="AD3524">
        <v>-1.120951113854</v>
      </c>
      <c r="AE3524">
        <v>-12.4643</v>
      </c>
      <c r="AF3524">
        <v>-0.35747165200606301</v>
      </c>
      <c r="AG3524">
        <v>-1.120951113854</v>
      </c>
      <c r="AH3524">
        <v>12.3653944408422</v>
      </c>
      <c r="AI3524">
        <v>95.1776832423988</v>
      </c>
      <c r="AJ3524">
        <v>91.655904645462499</v>
      </c>
      <c r="AK3524">
        <v>12.4212437806867</v>
      </c>
      <c r="AL3524">
        <v>94.049143696455204</v>
      </c>
      <c r="AM3524">
        <v>92.524346112468393</v>
      </c>
      <c r="AN3524">
        <v>1.0000000293360001</v>
      </c>
    </row>
    <row r="3525" spans="1:40" x14ac:dyDescent="0.25">
      <c r="A3525" t="str">
        <f>"20190303154205821"</f>
        <v>20190303154205821</v>
      </c>
      <c r="B3525" t="str">
        <f>"1551598925813179"</f>
        <v>1551598925813179</v>
      </c>
      <c r="C3525" t="s">
        <v>40</v>
      </c>
      <c r="D3525">
        <v>5.374015</v>
      </c>
      <c r="E3525">
        <v>0.50630220000000004</v>
      </c>
      <c r="F3525" t="s">
        <v>41</v>
      </c>
      <c r="G3525">
        <v>-492.17899999999997</v>
      </c>
      <c r="H3525" s="1">
        <v>-2.2506219999999999E-6</v>
      </c>
      <c r="I3525">
        <v>233.48390000000001</v>
      </c>
      <c r="J3525">
        <v>-492.54410000000001</v>
      </c>
      <c r="K3525">
        <v>1.1209579999999999</v>
      </c>
      <c r="L3525">
        <v>245.52279999999999</v>
      </c>
      <c r="M3525">
        <v>2.3628920000000001E-3</v>
      </c>
      <c r="N3525">
        <v>-1.419307E-2</v>
      </c>
      <c r="O3525">
        <v>-0.99989680000000003</v>
      </c>
      <c r="P3525">
        <v>4.6209630000000002E-2</v>
      </c>
      <c r="Q3525">
        <v>-8.494662E-2</v>
      </c>
      <c r="R3525">
        <v>-0.99531349999999996</v>
      </c>
      <c r="S3525">
        <v>8.9630130000000002E-2</v>
      </c>
      <c r="T3525">
        <v>-0.2752349</v>
      </c>
      <c r="U3525">
        <v>-2.9864959999999998</v>
      </c>
      <c r="V3525">
        <v>-4.3902070000000001E-2</v>
      </c>
      <c r="W3525">
        <v>-7.078218E-2</v>
      </c>
      <c r="X3525">
        <v>0.9965252</v>
      </c>
      <c r="Y3525">
        <v>-2.7524920000000001E-2</v>
      </c>
      <c r="Z3525">
        <v>7.7590779999999998E-2</v>
      </c>
      <c r="AA3525">
        <v>0.99660530000000003</v>
      </c>
      <c r="AB3525">
        <v>19</v>
      </c>
      <c r="AC3525">
        <v>0.36509999999998399</v>
      </c>
      <c r="AD3525">
        <v>-1.120960250622</v>
      </c>
      <c r="AE3525">
        <v>-12.0388999999999</v>
      </c>
      <c r="AF3525">
        <v>-0.33375855750730898</v>
      </c>
      <c r="AG3525">
        <v>-1.120960250622</v>
      </c>
      <c r="AH3525">
        <v>11.9363391196694</v>
      </c>
      <c r="AI3525">
        <v>95.362917216567695</v>
      </c>
      <c r="AJ3525">
        <v>91.601661540929499</v>
      </c>
      <c r="AK3525">
        <v>11.9935040016641</v>
      </c>
      <c r="AL3525">
        <v>94.058914309498604</v>
      </c>
      <c r="AM3525">
        <v>92.522543202829198</v>
      </c>
      <c r="AN3525">
        <v>0.99999999149543795</v>
      </c>
    </row>
    <row r="3526" spans="1:40" x14ac:dyDescent="0.25">
      <c r="A3526" t="str">
        <f>"20190303154205834"</f>
        <v>20190303154205834</v>
      </c>
      <c r="B3526" t="str">
        <f>"1551598925822939"</f>
        <v>1551598925822939</v>
      </c>
      <c r="C3526" t="s">
        <v>40</v>
      </c>
      <c r="D3526">
        <v>5.3665180000000001</v>
      </c>
      <c r="E3526">
        <v>0.50634409999999996</v>
      </c>
      <c r="F3526" t="s">
        <v>41</v>
      </c>
      <c r="G3526">
        <v>-492.19060000000002</v>
      </c>
      <c r="H3526" s="1">
        <v>-2.2693520000000002E-6</v>
      </c>
      <c r="I3526">
        <v>233.5204</v>
      </c>
      <c r="J3526">
        <v>-492.54410000000001</v>
      </c>
      <c r="K3526">
        <v>1.120968</v>
      </c>
      <c r="L3526">
        <v>245.4057</v>
      </c>
      <c r="M3526">
        <v>2.0836779999999998E-3</v>
      </c>
      <c r="N3526">
        <v>-1.419433E-2</v>
      </c>
      <c r="O3526">
        <v>-0.99989720000000004</v>
      </c>
      <c r="P3526">
        <v>4.5743850000000003E-2</v>
      </c>
      <c r="Q3526">
        <v>-8.5170430000000005E-2</v>
      </c>
      <c r="R3526">
        <v>-0.99531590000000003</v>
      </c>
      <c r="S3526">
        <v>8.7951660000000001E-2</v>
      </c>
      <c r="T3526">
        <v>-0.27889899999999901</v>
      </c>
      <c r="U3526">
        <v>-2.9862519999999999</v>
      </c>
      <c r="V3526">
        <v>-4.3713189999999999E-2</v>
      </c>
      <c r="W3526">
        <v>-7.1005970000000002E-2</v>
      </c>
      <c r="X3526">
        <v>0.9965176</v>
      </c>
      <c r="Y3526">
        <v>-2.7243980000000001E-2</v>
      </c>
      <c r="Z3526">
        <v>7.8810340000000006E-2</v>
      </c>
      <c r="AA3526">
        <v>0.99651730000000005</v>
      </c>
      <c r="AB3526">
        <v>19</v>
      </c>
      <c r="AC3526">
        <v>0.35349999999999598</v>
      </c>
      <c r="AD3526">
        <v>-1.1209702693520001</v>
      </c>
      <c r="AE3526">
        <v>-11.885300000000001</v>
      </c>
      <c r="AF3526">
        <v>-0.32583570870121598</v>
      </c>
      <c r="AG3526">
        <v>-1.1209702693520001</v>
      </c>
      <c r="AH3526">
        <v>11.781303485798301</v>
      </c>
      <c r="AI3526">
        <v>95.433164725429407</v>
      </c>
      <c r="AJ3526">
        <v>91.584226489693705</v>
      </c>
      <c r="AK3526">
        <v>11.838997215909799</v>
      </c>
      <c r="AL3526">
        <v>94.071768805036101</v>
      </c>
      <c r="AM3526">
        <v>92.511723517831896</v>
      </c>
      <c r="AN3526">
        <v>1.0000000089326799</v>
      </c>
    </row>
    <row r="3527" spans="1:40" x14ac:dyDescent="0.25">
      <c r="A3527" t="str">
        <f>"20190303154205852"</f>
        <v>20190303154205852</v>
      </c>
      <c r="B3527" t="str">
        <f>"1551598925843435"</f>
        <v>1551598925843435</v>
      </c>
      <c r="C3527" t="s">
        <v>40</v>
      </c>
      <c r="D3527">
        <v>5.3474750000000002</v>
      </c>
      <c r="E3527">
        <v>0.50628130000000005</v>
      </c>
      <c r="F3527" t="s">
        <v>41</v>
      </c>
      <c r="G3527">
        <v>-492.20179999999999</v>
      </c>
      <c r="H3527" s="1">
        <v>-2.2731549999999999E-6</v>
      </c>
      <c r="I3527">
        <v>233.5223</v>
      </c>
      <c r="J3527">
        <v>-492.54419999999999</v>
      </c>
      <c r="K3527">
        <v>1.1209910000000001</v>
      </c>
      <c r="L3527">
        <v>245.25659999999999</v>
      </c>
      <c r="M3527">
        <v>1.746318E-3</v>
      </c>
      <c r="N3527">
        <v>-1.4195299999999999E-2</v>
      </c>
      <c r="O3527">
        <v>-0.99989790000000001</v>
      </c>
      <c r="P3527">
        <v>4.5225799999999997E-2</v>
      </c>
      <c r="Q3527">
        <v>-8.4981390000000004E-2</v>
      </c>
      <c r="R3527">
        <v>-0.99535569999999896</v>
      </c>
      <c r="S3527">
        <v>8.5998539999999998E-2</v>
      </c>
      <c r="T3527">
        <v>-0.2816767</v>
      </c>
      <c r="U3527">
        <v>-2.9860690000000001</v>
      </c>
      <c r="V3527">
        <v>-4.3527980000000001E-2</v>
      </c>
      <c r="W3527">
        <v>-7.0817340000000006E-2</v>
      </c>
      <c r="X3527">
        <v>0.99653910000000001</v>
      </c>
      <c r="Y3527">
        <v>-2.6929740000000001E-2</v>
      </c>
      <c r="Z3527">
        <v>7.9735139999999996E-2</v>
      </c>
      <c r="AA3527">
        <v>0.99645229999999996</v>
      </c>
      <c r="AB3527">
        <v>19</v>
      </c>
      <c r="AC3527">
        <v>0.34239999999999698</v>
      </c>
      <c r="AD3527">
        <v>-1.1209932731550001</v>
      </c>
      <c r="AE3527">
        <v>-11.7342999999999</v>
      </c>
      <c r="AF3527">
        <v>-0.31899683394094702</v>
      </c>
      <c r="AG3527">
        <v>-1.1209932731550001</v>
      </c>
      <c r="AH3527">
        <v>11.6288428370936</v>
      </c>
      <c r="AI3527">
        <v>95.504108161508498</v>
      </c>
      <c r="AJ3527">
        <v>91.571316263784297</v>
      </c>
      <c r="AK3527">
        <v>11.687102747402699</v>
      </c>
      <c r="AL3527">
        <v>94.060933946959395</v>
      </c>
      <c r="AM3527">
        <v>92.501041156231395</v>
      </c>
      <c r="AN3527">
        <v>0.99999997925818196</v>
      </c>
    </row>
    <row r="3528" spans="1:40" x14ac:dyDescent="0.25">
      <c r="A3528" t="str">
        <f>"20190303154205864"</f>
        <v>20190303154205864</v>
      </c>
      <c r="B3528" t="str">
        <f>"1551598925853196"</f>
        <v>1551598925853196</v>
      </c>
      <c r="C3528" t="s">
        <v>40</v>
      </c>
      <c r="D3528">
        <v>5.3675350000000002</v>
      </c>
      <c r="E3528">
        <v>0.50632540000000004</v>
      </c>
      <c r="F3528" t="s">
        <v>41</v>
      </c>
      <c r="G3528">
        <v>-492.21080000000001</v>
      </c>
      <c r="H3528" s="1">
        <v>-2.269652E-6</v>
      </c>
      <c r="I3528">
        <v>233.5086</v>
      </c>
      <c r="J3528">
        <v>-492.54430000000002</v>
      </c>
      <c r="K3528">
        <v>1.1210059999999999</v>
      </c>
      <c r="L3528">
        <v>245.15280000000001</v>
      </c>
      <c r="M3528">
        <v>1.5279789999999901E-3</v>
      </c>
      <c r="N3528">
        <v>-1.4195640000000001E-2</v>
      </c>
      <c r="O3528">
        <v>-0.99989839999999997</v>
      </c>
      <c r="P3528">
        <v>4.4968639999999997E-2</v>
      </c>
      <c r="Q3528">
        <v>-8.4640660000000006E-2</v>
      </c>
      <c r="R3528">
        <v>-0.99539650000000002</v>
      </c>
      <c r="S3528">
        <v>8.4747310000000006E-2</v>
      </c>
      <c r="T3528">
        <v>-0.28490500000000002</v>
      </c>
      <c r="U3528">
        <v>-2.9858090000000002</v>
      </c>
      <c r="V3528">
        <v>-4.3485320000000001E-2</v>
      </c>
      <c r="W3528">
        <v>-7.0477349999999994E-2</v>
      </c>
      <c r="X3528">
        <v>0.99656509999999998</v>
      </c>
      <c r="Y3528">
        <v>-2.6730770000000001E-2</v>
      </c>
      <c r="Z3528">
        <v>8.0811419999999995E-2</v>
      </c>
      <c r="AA3528">
        <v>0.99637089999999995</v>
      </c>
      <c r="AB3528">
        <v>19</v>
      </c>
      <c r="AC3528">
        <v>0.33350000000001501</v>
      </c>
      <c r="AD3528">
        <v>-1.1210082696519901</v>
      </c>
      <c r="AE3528">
        <v>-11.6442</v>
      </c>
      <c r="AF3528">
        <v>-0.31280891163947799</v>
      </c>
      <c r="AG3528">
        <v>-1.1210082696519901</v>
      </c>
      <c r="AH3528">
        <v>11.5378478823843</v>
      </c>
      <c r="AI3528">
        <v>95.5473692357467</v>
      </c>
      <c r="AJ3528">
        <v>91.552996823125795</v>
      </c>
      <c r="AK3528">
        <v>11.596397833502801</v>
      </c>
      <c r="AL3528">
        <v>94.041405017303404</v>
      </c>
      <c r="AM3528">
        <v>92.498527990914695</v>
      </c>
      <c r="AN3528">
        <v>1.0000000142282599</v>
      </c>
    </row>
    <row r="3529" spans="1:40" x14ac:dyDescent="0.25">
      <c r="A3529" t="str">
        <f>"20190303154205877"</f>
        <v>20190303154205877</v>
      </c>
      <c r="B3529" t="str">
        <f>"1551598925872716"</f>
        <v>1551598925872716</v>
      </c>
      <c r="C3529" t="s">
        <v>40</v>
      </c>
      <c r="D3529">
        <v>5.4022509999999997</v>
      </c>
      <c r="E3529">
        <v>0.50635059999999998</v>
      </c>
      <c r="F3529" t="s">
        <v>41</v>
      </c>
      <c r="G3529">
        <v>-492.21350000000001</v>
      </c>
      <c r="H3529" s="1">
        <v>-2.2248479999999999E-6</v>
      </c>
      <c r="I3529">
        <v>233.4024</v>
      </c>
      <c r="J3529">
        <v>-492.5444</v>
      </c>
      <c r="K3529">
        <v>1.1210249999999999</v>
      </c>
      <c r="L3529">
        <v>245.04320000000001</v>
      </c>
      <c r="M3529">
        <v>1.307274E-3</v>
      </c>
      <c r="N3529">
        <v>-1.419583E-2</v>
      </c>
      <c r="O3529">
        <v>-0.99989859999999997</v>
      </c>
      <c r="P3529">
        <v>4.4760250000000001E-2</v>
      </c>
      <c r="Q3529">
        <v>-8.4161680000000003E-2</v>
      </c>
      <c r="R3529">
        <v>-0.99544670000000002</v>
      </c>
      <c r="S3529">
        <v>8.4045410000000001E-2</v>
      </c>
      <c r="T3529">
        <v>-0.28485539999999998</v>
      </c>
      <c r="U3529">
        <v>-2.9858549999999999</v>
      </c>
      <c r="V3529">
        <v>-4.3493919999999998E-2</v>
      </c>
      <c r="W3529">
        <v>-6.9999409999999998E-2</v>
      </c>
      <c r="X3529">
        <v>0.9965984</v>
      </c>
      <c r="Y3529">
        <v>-2.6717000000000001E-2</v>
      </c>
      <c r="Z3529">
        <v>8.0793719999999999E-2</v>
      </c>
      <c r="AA3529">
        <v>0.9963727</v>
      </c>
      <c r="AB3529">
        <v>19</v>
      </c>
      <c r="AC3529">
        <v>0.33089999999998498</v>
      </c>
      <c r="AD3529">
        <v>-1.121027224848</v>
      </c>
      <c r="AE3529">
        <v>-11.6408</v>
      </c>
      <c r="AF3529">
        <v>-0.31278207566731803</v>
      </c>
      <c r="AG3529">
        <v>-1.121027224848</v>
      </c>
      <c r="AH3529">
        <v>11.534339675440201</v>
      </c>
      <c r="AI3529">
        <v>95.549138315911705</v>
      </c>
      <c r="AJ3529">
        <v>91.553335733463499</v>
      </c>
      <c r="AK3529">
        <v>11.592908453625601</v>
      </c>
      <c r="AL3529">
        <v>94.013953311604595</v>
      </c>
      <c r="AM3529">
        <v>92.498938097548702</v>
      </c>
      <c r="AN3529">
        <v>1.00000000467993</v>
      </c>
    </row>
    <row r="3530" spans="1:40" x14ac:dyDescent="0.25">
      <c r="A3530" t="str">
        <f>"20190303154205889"</f>
        <v>20190303154205889</v>
      </c>
      <c r="B3530" t="str">
        <f>"1551598925883451"</f>
        <v>1551598925883451</v>
      </c>
      <c r="C3530" t="s">
        <v>40</v>
      </c>
      <c r="D3530">
        <v>5.3876200000000001</v>
      </c>
      <c r="E3530">
        <v>0.50641409999999998</v>
      </c>
      <c r="F3530" t="s">
        <v>41</v>
      </c>
      <c r="G3530">
        <v>-492.21690000000001</v>
      </c>
      <c r="H3530" s="1">
        <v>-2.1728339999999999E-6</v>
      </c>
      <c r="I3530">
        <v>233.2791</v>
      </c>
      <c r="J3530">
        <v>-492.54450000000003</v>
      </c>
      <c r="K3530">
        <v>1.1210500000000001</v>
      </c>
      <c r="L3530">
        <v>244.9367</v>
      </c>
      <c r="M3530">
        <v>1.1178449999999999E-3</v>
      </c>
      <c r="N3530">
        <v>-1.419568E-2</v>
      </c>
      <c r="O3530">
        <v>-0.99989879999999998</v>
      </c>
      <c r="P3530">
        <v>4.4547089999999998E-2</v>
      </c>
      <c r="Q3530">
        <v>-8.3624359999999995E-2</v>
      </c>
      <c r="R3530">
        <v>-0.99550150000000004</v>
      </c>
      <c r="S3530">
        <v>8.3129880000000003E-2</v>
      </c>
      <c r="T3530">
        <v>-0.28453390000000001</v>
      </c>
      <c r="U3530">
        <v>-2.985916</v>
      </c>
      <c r="V3530">
        <v>-4.3465610000000002E-2</v>
      </c>
      <c r="W3530">
        <v>-6.9463800000000006E-2</v>
      </c>
      <c r="X3530">
        <v>0.99663710000000005</v>
      </c>
      <c r="Y3530">
        <v>-2.66009E-2</v>
      </c>
      <c r="Z3530">
        <v>8.0686170000000002E-2</v>
      </c>
      <c r="AA3530">
        <v>0.99638459999999995</v>
      </c>
      <c r="AB3530">
        <v>19</v>
      </c>
      <c r="AC3530">
        <v>0.32760000000001799</v>
      </c>
      <c r="AD3530">
        <v>-1.1210521728339999</v>
      </c>
      <c r="AE3530">
        <v>-11.6576</v>
      </c>
      <c r="AF3530">
        <v>-0.31168698391733002</v>
      </c>
      <c r="AG3530">
        <v>-1.1210521728339999</v>
      </c>
      <c r="AH3530">
        <v>11.5512211166309</v>
      </c>
      <c r="AI3530">
        <v>95.541221636800898</v>
      </c>
      <c r="AJ3530">
        <v>91.545638880360897</v>
      </c>
      <c r="AK3530">
        <v>11.6096776886983</v>
      </c>
      <c r="AL3530">
        <v>93.983190277977897</v>
      </c>
      <c r="AM3530">
        <v>92.497216760351606</v>
      </c>
      <c r="AN3530">
        <v>0.99999999392976102</v>
      </c>
    </row>
    <row r="3531" spans="1:40" x14ac:dyDescent="0.25">
      <c r="A3531" t="str">
        <f>"20190303154205901"</f>
        <v>20190303154205901</v>
      </c>
      <c r="B3531" t="str">
        <f>"1551598925893212"</f>
        <v>1551598925893212</v>
      </c>
      <c r="C3531" t="s">
        <v>40</v>
      </c>
      <c r="D3531">
        <v>5.3347369999999996</v>
      </c>
      <c r="E3531">
        <v>0.50659739999999998</v>
      </c>
      <c r="F3531" t="s">
        <v>41</v>
      </c>
      <c r="G3531">
        <v>-492.2208</v>
      </c>
      <c r="H3531" s="1">
        <v>-2.104877E-6</v>
      </c>
      <c r="I3531">
        <v>233.1182</v>
      </c>
      <c r="J3531">
        <v>-492.5446</v>
      </c>
      <c r="K3531">
        <v>1.121073</v>
      </c>
      <c r="L3531">
        <v>244.83459999999999</v>
      </c>
      <c r="M3531">
        <v>9.5092340000000003E-4</v>
      </c>
      <c r="N3531">
        <v>-1.419538E-2</v>
      </c>
      <c r="O3531">
        <v>-0.99989899999999998</v>
      </c>
      <c r="P3531">
        <v>4.4447960000000002E-2</v>
      </c>
      <c r="Q3531">
        <v>-8.2984020000000006E-2</v>
      </c>
      <c r="R3531">
        <v>-0.99555939999999998</v>
      </c>
      <c r="S3531">
        <v>8.1787109999999996E-2</v>
      </c>
      <c r="T3531">
        <v>-0.28324700000000003</v>
      </c>
      <c r="U3531">
        <v>-2.9860690000000001</v>
      </c>
      <c r="V3531">
        <v>-4.3528839999999999E-2</v>
      </c>
      <c r="W3531">
        <v>-6.8825289999999997E-2</v>
      </c>
      <c r="X3531">
        <v>0.99667870000000003</v>
      </c>
      <c r="Y3531">
        <v>-2.63199E-2</v>
      </c>
      <c r="Z3531">
        <v>8.0257029999999993E-2</v>
      </c>
      <c r="AA3531">
        <v>0.99642660000000005</v>
      </c>
      <c r="AB3531">
        <v>19</v>
      </c>
      <c r="AC3531">
        <v>0.32380000000000497</v>
      </c>
      <c r="AD3531">
        <v>-1.121075104877</v>
      </c>
      <c r="AE3531">
        <v>-11.716399999999901</v>
      </c>
      <c r="AF3531">
        <v>-0.30982292210972201</v>
      </c>
      <c r="AG3531">
        <v>-1.121075104877</v>
      </c>
      <c r="AH3531">
        <v>11.610484232297701</v>
      </c>
      <c r="AI3531">
        <v>95.513268317777801</v>
      </c>
      <c r="AJ3531">
        <v>91.528561065455705</v>
      </c>
      <c r="AK3531">
        <v>11.6685964769664</v>
      </c>
      <c r="AL3531">
        <v>93.946518336467705</v>
      </c>
      <c r="AM3531">
        <v>92.500740636591104</v>
      </c>
      <c r="AN3531">
        <v>1.0000000557444999</v>
      </c>
    </row>
    <row r="3532" spans="1:40" x14ac:dyDescent="0.25">
      <c r="A3532" t="str">
        <f>"20190303154205916"</f>
        <v>20190303154205916</v>
      </c>
      <c r="B3532" t="str">
        <f>"1551598925902972"</f>
        <v>1551598925902972</v>
      </c>
      <c r="C3532" t="s">
        <v>40</v>
      </c>
      <c r="D3532">
        <v>5.3890279999999997</v>
      </c>
      <c r="E3532">
        <v>0.50657649999999999</v>
      </c>
      <c r="F3532" t="s">
        <v>41</v>
      </c>
      <c r="G3532">
        <v>-492.2226</v>
      </c>
      <c r="H3532" s="1">
        <v>-1.98796E-6</v>
      </c>
      <c r="I3532">
        <v>232.84450000000001</v>
      </c>
      <c r="J3532">
        <v>-492.54469999999998</v>
      </c>
      <c r="K3532">
        <v>1.121102</v>
      </c>
      <c r="L3532">
        <v>244.71260000000001</v>
      </c>
      <c r="M3532">
        <v>7.6978899999999902E-4</v>
      </c>
      <c r="N3532">
        <v>-1.419481E-2</v>
      </c>
      <c r="O3532">
        <v>-0.99989919999999999</v>
      </c>
      <c r="P3532">
        <v>4.4414170000000003E-2</v>
      </c>
      <c r="Q3532">
        <v>-8.2316829999999994E-2</v>
      </c>
      <c r="R3532">
        <v>-0.99561619999999995</v>
      </c>
      <c r="S3532">
        <v>8.0200199999999999E-2</v>
      </c>
      <c r="T3532">
        <v>-0.27923969999999998</v>
      </c>
      <c r="U3532">
        <v>-2.9865110000000001</v>
      </c>
      <c r="V3532">
        <v>-4.3670559999999997E-2</v>
      </c>
      <c r="W3532">
        <v>-6.816084E-2</v>
      </c>
      <c r="X3532">
        <v>0.99671810000000005</v>
      </c>
      <c r="Y3532">
        <v>-2.5971259999999999E-2</v>
      </c>
      <c r="Z3532">
        <v>7.8919459999999997E-2</v>
      </c>
      <c r="AA3532">
        <v>0.99654259999999995</v>
      </c>
      <c r="AB3532">
        <v>19</v>
      </c>
      <c r="AC3532">
        <v>0.32209999999997702</v>
      </c>
      <c r="AD3532">
        <v>-1.12110398796</v>
      </c>
      <c r="AE3532">
        <v>-11.868099999999901</v>
      </c>
      <c r="AF3532">
        <v>-0.310197084240593</v>
      </c>
      <c r="AG3532">
        <v>-1.12110398796</v>
      </c>
      <c r="AH3532">
        <v>11.7634519632812</v>
      </c>
      <c r="AI3532">
        <v>95.442193514729396</v>
      </c>
      <c r="AJ3532">
        <v>91.510514601786795</v>
      </c>
      <c r="AK3532">
        <v>11.8208247798246</v>
      </c>
      <c r="AL3532">
        <v>93.908358782595698</v>
      </c>
      <c r="AM3532">
        <v>92.508773044258206</v>
      </c>
      <c r="AN3532">
        <v>0.99999999439391396</v>
      </c>
    </row>
    <row r="3533" spans="1:40" x14ac:dyDescent="0.25">
      <c r="A3533" t="str">
        <f>"20190303154205931"</f>
        <v>20190303154205931</v>
      </c>
      <c r="B3533" t="str">
        <f>"1551598925923468"</f>
        <v>1551598925923468</v>
      </c>
      <c r="C3533" t="s">
        <v>40</v>
      </c>
      <c r="D3533">
        <v>5.3861919999999897</v>
      </c>
      <c r="E3533">
        <v>0.50636119999999996</v>
      </c>
      <c r="F3533" t="s">
        <v>41</v>
      </c>
      <c r="G3533">
        <v>-492.221</v>
      </c>
      <c r="H3533" s="1">
        <v>-1.9144170000000001E-6</v>
      </c>
      <c r="I3533">
        <v>232.67410000000001</v>
      </c>
      <c r="J3533">
        <v>-492.54480000000001</v>
      </c>
      <c r="K3533">
        <v>1.1211409999999999</v>
      </c>
      <c r="L3533">
        <v>244.57980000000001</v>
      </c>
      <c r="M3533">
        <v>6.2006690000000004E-4</v>
      </c>
      <c r="N3533">
        <v>-1.4193890000000001E-2</v>
      </c>
      <c r="O3533">
        <v>-0.99989919999999999</v>
      </c>
      <c r="P3533">
        <v>4.4019530000000001E-2</v>
      </c>
      <c r="Q3533">
        <v>-8.1780439999999996E-2</v>
      </c>
      <c r="R3533">
        <v>-0.9956779</v>
      </c>
      <c r="S3533">
        <v>8.0291749999999995E-2</v>
      </c>
      <c r="T3533">
        <v>-0.27813529999999997</v>
      </c>
      <c r="U3533">
        <v>-2.9866329999999999</v>
      </c>
      <c r="V3533">
        <v>-4.3419289999999999E-2</v>
      </c>
      <c r="W3533">
        <v>-6.7628339999999995E-2</v>
      </c>
      <c r="X3533">
        <v>0.99676540000000002</v>
      </c>
      <c r="Y3533">
        <v>-2.61511E-2</v>
      </c>
      <c r="Z3533">
        <v>7.8551049999999997E-2</v>
      </c>
      <c r="AA3533">
        <v>0.99656699999999998</v>
      </c>
      <c r="AB3533">
        <v>19</v>
      </c>
      <c r="AC3533">
        <v>0.32380000000000497</v>
      </c>
      <c r="AD3533">
        <v>-1.121142914417</v>
      </c>
      <c r="AE3533">
        <v>-11.9056999999999</v>
      </c>
      <c r="AF3533">
        <v>-0.31363766843114799</v>
      </c>
      <c r="AG3533">
        <v>-1.121142914417</v>
      </c>
      <c r="AH3533">
        <v>11.801324987114199</v>
      </c>
      <c r="AI3533">
        <v>95.424990403122194</v>
      </c>
      <c r="AJ3533">
        <v>91.522361742406005</v>
      </c>
      <c r="AK3533">
        <v>11.8586087494736</v>
      </c>
      <c r="AL3533">
        <v>93.8777780187486</v>
      </c>
      <c r="AM3533">
        <v>92.494238229739494</v>
      </c>
      <c r="AN3533">
        <v>1.0000000448762001</v>
      </c>
    </row>
    <row r="3534" spans="1:40" x14ac:dyDescent="0.25">
      <c r="A3534" t="str">
        <f>"20190303154205955"</f>
        <v>20190303154205955</v>
      </c>
      <c r="B3534" t="str">
        <f>"1551598925942988"</f>
        <v>1551598925942988</v>
      </c>
      <c r="C3534" t="s">
        <v>40</v>
      </c>
      <c r="D3534">
        <v>5.4278149999999998</v>
      </c>
      <c r="E3534">
        <v>0.50628809999999902</v>
      </c>
      <c r="F3534" t="s">
        <v>41</v>
      </c>
      <c r="G3534">
        <v>-492.22109999999998</v>
      </c>
      <c r="H3534" s="1">
        <v>-1.8797519999999999E-6</v>
      </c>
      <c r="I3534">
        <v>232.5933</v>
      </c>
      <c r="J3534">
        <v>-492.54489999999998</v>
      </c>
      <c r="K3534">
        <v>1.1212009999999999</v>
      </c>
      <c r="L3534">
        <v>244.3783</v>
      </c>
      <c r="M3534">
        <v>4.567606E-4</v>
      </c>
      <c r="N3534">
        <v>-1.4192160000000001E-2</v>
      </c>
      <c r="O3534">
        <v>-0.99989939999999999</v>
      </c>
      <c r="P3534">
        <v>4.3461519999999997E-2</v>
      </c>
      <c r="Q3534">
        <v>-8.2122509999999996E-2</v>
      </c>
      <c r="R3534">
        <v>-0.99567439999999996</v>
      </c>
      <c r="S3534">
        <v>8.0657960000000001E-2</v>
      </c>
      <c r="T3534">
        <v>-0.27933809999999998</v>
      </c>
      <c r="U3534">
        <v>-2.9864959999999998</v>
      </c>
      <c r="V3534">
        <v>-4.3014749999999997E-2</v>
      </c>
      <c r="W3534">
        <v>-6.7978230000000001E-2</v>
      </c>
      <c r="X3534">
        <v>0.99675910000000001</v>
      </c>
      <c r="Y3534">
        <v>-2.6436560000000001E-2</v>
      </c>
      <c r="Z3534">
        <v>7.8954360000000001E-2</v>
      </c>
      <c r="AA3534">
        <v>0.99652759999999996</v>
      </c>
      <c r="AB3534">
        <v>19</v>
      </c>
      <c r="AC3534">
        <v>0.32380000000000497</v>
      </c>
      <c r="AD3534">
        <v>-1.1212028797519999</v>
      </c>
      <c r="AE3534">
        <v>-11.784999999999901</v>
      </c>
      <c r="AF3534">
        <v>-0.31556241733495999</v>
      </c>
      <c r="AG3534">
        <v>-1.1212028797519999</v>
      </c>
      <c r="AH3534">
        <v>11.6795120808405</v>
      </c>
      <c r="AI3534">
        <v>95.481455089093004</v>
      </c>
      <c r="AJ3534">
        <v>91.547667140694699</v>
      </c>
      <c r="AK3534">
        <v>11.737447677553099</v>
      </c>
      <c r="AL3534">
        <v>93.897871631091803</v>
      </c>
      <c r="AM3534">
        <v>92.471043809295097</v>
      </c>
      <c r="AN3534">
        <v>1.0000000059521501</v>
      </c>
    </row>
    <row r="3535" spans="1:40" x14ac:dyDescent="0.25">
      <c r="A3535" t="str">
        <f>"20190303154205968"</f>
        <v>20190303154205968</v>
      </c>
      <c r="B3535" t="str">
        <f>"1551598925963483"</f>
        <v>1551598925963483</v>
      </c>
      <c r="C3535" t="s">
        <v>40</v>
      </c>
      <c r="D3535">
        <v>5.4365220000000001</v>
      </c>
      <c r="E3535">
        <v>0.50617429999999997</v>
      </c>
      <c r="F3535" t="s">
        <v>41</v>
      </c>
      <c r="G3535">
        <v>-492.22829999999999</v>
      </c>
      <c r="H3535" s="1">
        <v>-1.83826E-6</v>
      </c>
      <c r="I3535">
        <v>232.49209999999999</v>
      </c>
      <c r="J3535">
        <v>-492.54500000000002</v>
      </c>
      <c r="K3535">
        <v>1.121235</v>
      </c>
      <c r="L3535">
        <v>244.26689999999999</v>
      </c>
      <c r="M3535">
        <v>4.1782260000000003E-4</v>
      </c>
      <c r="N3535">
        <v>-1.4190980000000001E-2</v>
      </c>
      <c r="O3535">
        <v>-0.9998996</v>
      </c>
      <c r="P3535">
        <v>4.3111530000000002E-2</v>
      </c>
      <c r="Q3535">
        <v>-8.2236279999999995E-2</v>
      </c>
      <c r="R3535">
        <v>-0.99568040000000002</v>
      </c>
      <c r="S3535">
        <v>7.9559329999999998E-2</v>
      </c>
      <c r="T3535">
        <v>-0.2816961</v>
      </c>
      <c r="U3535">
        <v>-2.9863279999999999</v>
      </c>
      <c r="V3535">
        <v>-4.2697850000000002E-2</v>
      </c>
      <c r="W3535">
        <v>-6.8096459999999998E-2</v>
      </c>
      <c r="X3535">
        <v>0.99676469999999995</v>
      </c>
      <c r="Y3535">
        <v>-2.6109090000000001E-2</v>
      </c>
      <c r="Z3535">
        <v>7.9741560000000003E-2</v>
      </c>
      <c r="AA3535">
        <v>0.99647359999999896</v>
      </c>
      <c r="AB3535">
        <v>19</v>
      </c>
      <c r="AC3535">
        <v>0.31670000000002502</v>
      </c>
      <c r="AD3535">
        <v>-1.12123683826</v>
      </c>
      <c r="AE3535">
        <v>-11.774800000000001</v>
      </c>
      <c r="AF3535">
        <v>-0.308980049478499</v>
      </c>
      <c r="AG3535">
        <v>-1.12123683826</v>
      </c>
      <c r="AH3535">
        <v>11.669197334756401</v>
      </c>
      <c r="AI3535">
        <v>95.486514647232397</v>
      </c>
      <c r="AJ3535">
        <v>91.516738193770095</v>
      </c>
      <c r="AK3535">
        <v>11.7270118596313</v>
      </c>
      <c r="AL3535">
        <v>93.904661269546594</v>
      </c>
      <c r="AM3535">
        <v>92.4528475892361</v>
      </c>
      <c r="AN3535">
        <v>1.0000000507126201</v>
      </c>
    </row>
    <row r="3536" spans="1:40" x14ac:dyDescent="0.25">
      <c r="A3536" t="str">
        <f>"20190303154205981"</f>
        <v>20190303154205981</v>
      </c>
      <c r="B3536" t="str">
        <f>"1551598925973244"</f>
        <v>1551598925973244</v>
      </c>
      <c r="C3536" t="s">
        <v>40</v>
      </c>
      <c r="D3536">
        <v>5.4330720000000001</v>
      </c>
      <c r="E3536">
        <v>0.50612609999999902</v>
      </c>
      <c r="F3536" t="s">
        <v>41</v>
      </c>
      <c r="G3536">
        <v>-492.23149999999998</v>
      </c>
      <c r="H3536" s="1">
        <v>-1.8272850000000001E-6</v>
      </c>
      <c r="I3536">
        <v>232.46449999999999</v>
      </c>
      <c r="J3536">
        <v>-492.54500000000002</v>
      </c>
      <c r="K3536">
        <v>1.1212679999999999</v>
      </c>
      <c r="L3536">
        <v>244.15860000000001</v>
      </c>
      <c r="M3536">
        <v>4.0258379999999998E-4</v>
      </c>
      <c r="N3536">
        <v>-1.4189759999999999E-2</v>
      </c>
      <c r="O3536">
        <v>-0.99989939999999999</v>
      </c>
      <c r="P3536">
        <v>4.2747739999999999E-2</v>
      </c>
      <c r="Q3536">
        <v>-8.2599039999999999E-2</v>
      </c>
      <c r="R3536">
        <v>-0.99566580000000005</v>
      </c>
      <c r="S3536">
        <v>7.9315189999999994E-2</v>
      </c>
      <c r="T3536">
        <v>-0.28368769999999999</v>
      </c>
      <c r="U3536">
        <v>-2.9861599999999999</v>
      </c>
      <c r="V3536">
        <v>-4.2344590000000001E-2</v>
      </c>
      <c r="W3536">
        <v>-6.8463910000000003E-2</v>
      </c>
      <c r="X3536">
        <v>0.99675449999999999</v>
      </c>
      <c r="Y3536">
        <v>-2.6042909999999999E-2</v>
      </c>
      <c r="Z3536">
        <v>8.0406839999999993E-2</v>
      </c>
      <c r="AA3536">
        <v>0.99642189999999997</v>
      </c>
      <c r="AB3536">
        <v>19</v>
      </c>
      <c r="AC3536">
        <v>0.31350000000003297</v>
      </c>
      <c r="AD3536">
        <v>-1.1212698272849999</v>
      </c>
      <c r="AE3536">
        <v>-11.694100000000001</v>
      </c>
      <c r="AF3536">
        <v>-0.30598059629178898</v>
      </c>
      <c r="AG3536">
        <v>-1.1212698272849999</v>
      </c>
      <c r="AH3536">
        <v>11.5877682184377</v>
      </c>
      <c r="AI3536">
        <v>95.525003654770003</v>
      </c>
      <c r="AJ3536">
        <v>91.512571149874503</v>
      </c>
      <c r="AK3536">
        <v>11.6459109748925</v>
      </c>
      <c r="AL3536">
        <v>93.925764239363204</v>
      </c>
      <c r="AM3536">
        <v>92.432603335500403</v>
      </c>
      <c r="AN3536">
        <v>0.99999995227250105</v>
      </c>
    </row>
    <row r="3537" spans="1:40" x14ac:dyDescent="0.25">
      <c r="A3537" t="str">
        <f>"20190303154205996"</f>
        <v>20190303154205996</v>
      </c>
      <c r="B3537" t="str">
        <f>"1551598925992764"</f>
        <v>1551598925992764</v>
      </c>
      <c r="C3537" t="s">
        <v>40</v>
      </c>
      <c r="D3537">
        <v>5.4129110000000003</v>
      </c>
      <c r="E3537">
        <v>0.50596589999999997</v>
      </c>
      <c r="F3537" t="s">
        <v>41</v>
      </c>
      <c r="G3537">
        <v>-492.23630000000003</v>
      </c>
      <c r="H3537" s="1">
        <v>-1.8179429999999999E-6</v>
      </c>
      <c r="I3537">
        <v>232.43979999999999</v>
      </c>
      <c r="J3537">
        <v>-492.54489999999998</v>
      </c>
      <c r="K3537">
        <v>1.121308</v>
      </c>
      <c r="L3537">
        <v>244.02690000000001</v>
      </c>
      <c r="M3537">
        <v>4.2291049999999998E-4</v>
      </c>
      <c r="N3537">
        <v>-1.418817E-2</v>
      </c>
      <c r="O3537">
        <v>-0.99989939999999999</v>
      </c>
      <c r="P3537">
        <v>4.2557329999999997E-2</v>
      </c>
      <c r="Q3537">
        <v>-8.3085699999999998E-2</v>
      </c>
      <c r="R3537">
        <v>-0.99563330000000005</v>
      </c>
      <c r="S3537">
        <v>7.86438E-2</v>
      </c>
      <c r="T3537">
        <v>-0.28570040000000002</v>
      </c>
      <c r="U3537">
        <v>-2.9859619999999998</v>
      </c>
      <c r="V3537">
        <v>-4.2126900000000002E-2</v>
      </c>
      <c r="W3537">
        <v>-6.8956669999999998E-2</v>
      </c>
      <c r="X3537">
        <v>0.9967298</v>
      </c>
      <c r="Y3537">
        <v>-2.579909E-2</v>
      </c>
      <c r="Z3537">
        <v>8.1080819999999998E-2</v>
      </c>
      <c r="AA3537">
        <v>0.99637359999999997</v>
      </c>
      <c r="AB3537">
        <v>19</v>
      </c>
      <c r="AC3537">
        <v>0.30859999999995502</v>
      </c>
      <c r="AD3537">
        <v>-1.1213098179430001</v>
      </c>
      <c r="AE3537">
        <v>-11.5871</v>
      </c>
      <c r="AF3537">
        <v>-0.30088343663907802</v>
      </c>
      <c r="AG3537">
        <v>-1.1213098179430001</v>
      </c>
      <c r="AH3537">
        <v>11.479798868947199</v>
      </c>
      <c r="AI3537">
        <v>95.576867301397002</v>
      </c>
      <c r="AJ3537">
        <v>91.501368213645407</v>
      </c>
      <c r="AK3537">
        <v>11.538355542352701</v>
      </c>
      <c r="AL3537">
        <v>93.954064018193407</v>
      </c>
      <c r="AM3537">
        <v>92.420172334223196</v>
      </c>
      <c r="AN3537">
        <v>0.99999999612456902</v>
      </c>
    </row>
    <row r="3538" spans="1:40" x14ac:dyDescent="0.25">
      <c r="A3538" t="str">
        <f>"20190303154206009"</f>
        <v>20190303154206009</v>
      </c>
      <c r="B3538" t="str">
        <f>"1551598926003500"</f>
        <v>1551598926003500</v>
      </c>
      <c r="C3538" t="s">
        <v>40</v>
      </c>
      <c r="D3538">
        <v>5.4228019999999999</v>
      </c>
      <c r="E3538">
        <v>0.50590230000000003</v>
      </c>
      <c r="F3538" t="s">
        <v>41</v>
      </c>
      <c r="G3538">
        <v>-492.23779999999999</v>
      </c>
      <c r="H3538" s="1">
        <v>-1.8258219999999999E-6</v>
      </c>
      <c r="I3538">
        <v>232.4572</v>
      </c>
      <c r="J3538">
        <v>-492.54480000000001</v>
      </c>
      <c r="K3538">
        <v>1.1213420000000001</v>
      </c>
      <c r="L3538">
        <v>243.92179999999999</v>
      </c>
      <c r="M3538">
        <v>4.8625730000000002E-4</v>
      </c>
      <c r="N3538">
        <v>-1.4186799999999999E-2</v>
      </c>
      <c r="O3538">
        <v>-0.99989910000000004</v>
      </c>
      <c r="P3538">
        <v>4.2713699999999903E-2</v>
      </c>
      <c r="Q3538">
        <v>-8.3079810000000004E-2</v>
      </c>
      <c r="R3538">
        <v>-0.99562700000000004</v>
      </c>
      <c r="S3538">
        <v>7.9254149999999995E-2</v>
      </c>
      <c r="T3538">
        <v>-0.28936269999999997</v>
      </c>
      <c r="U3538">
        <v>-2.9856410000000002</v>
      </c>
      <c r="V3538">
        <v>-4.2214830000000002E-2</v>
      </c>
      <c r="W3538">
        <v>-6.895548E-2</v>
      </c>
      <c r="X3538">
        <v>0.99672620000000001</v>
      </c>
      <c r="Y3538">
        <v>-2.593912E-2</v>
      </c>
      <c r="Z3538">
        <v>8.2302760000000003E-2</v>
      </c>
      <c r="AA3538">
        <v>0.99626979999999998</v>
      </c>
      <c r="AB3538">
        <v>19</v>
      </c>
      <c r="AC3538">
        <v>0.30700000000001598</v>
      </c>
      <c r="AD3538">
        <v>-1.1213438258220001</v>
      </c>
      <c r="AE3538">
        <v>-11.4645999999999</v>
      </c>
      <c r="AF3538">
        <v>-0.29857038539137598</v>
      </c>
      <c r="AG3538">
        <v>-1.1213438258220001</v>
      </c>
      <c r="AH3538">
        <v>11.3561851649057</v>
      </c>
      <c r="AI3538">
        <v>95.637341265715406</v>
      </c>
      <c r="AJ3538">
        <v>91.5060412206264</v>
      </c>
      <c r="AK3538">
        <v>11.415318556674899</v>
      </c>
      <c r="AL3538">
        <v>93.953995523813504</v>
      </c>
      <c r="AM3538">
        <v>92.425226598666697</v>
      </c>
      <c r="AN3538">
        <v>1.00000003393019</v>
      </c>
    </row>
    <row r="3539" spans="1:40" x14ac:dyDescent="0.25">
      <c r="A3539" t="str">
        <f>"20190303154206022"</f>
        <v>20190303154206022</v>
      </c>
      <c r="B3539" t="str">
        <f>"1551598926013259"</f>
        <v>1551598926013259</v>
      </c>
      <c r="C3539" t="s">
        <v>40</v>
      </c>
      <c r="D3539">
        <v>5.4462289999999998</v>
      </c>
      <c r="E3539">
        <v>0.50576209999999999</v>
      </c>
      <c r="F3539" t="s">
        <v>41</v>
      </c>
      <c r="G3539">
        <v>-492.23649999999998</v>
      </c>
      <c r="H3539" s="1">
        <v>-1.7993629999999999E-6</v>
      </c>
      <c r="I3539">
        <v>232.3963</v>
      </c>
      <c r="J3539">
        <v>-492.54469999999998</v>
      </c>
      <c r="K3539">
        <v>1.1213690000000001</v>
      </c>
      <c r="L3539">
        <v>243.82040000000001</v>
      </c>
      <c r="M3539">
        <v>5.6776720000000001E-4</v>
      </c>
      <c r="N3539">
        <v>-1.4185430000000001E-2</v>
      </c>
      <c r="O3539">
        <v>-0.99989939999999999</v>
      </c>
      <c r="P3539">
        <v>4.2676529999999997E-2</v>
      </c>
      <c r="Q3539">
        <v>-8.2933129999999994E-2</v>
      </c>
      <c r="R3539">
        <v>-0.99564109999999995</v>
      </c>
      <c r="S3539">
        <v>7.9864500000000005E-2</v>
      </c>
      <c r="T3539">
        <v>-0.29046689999999997</v>
      </c>
      <c r="U3539">
        <v>-2.9855040000000002</v>
      </c>
      <c r="V3539">
        <v>-4.2091190000000001E-2</v>
      </c>
      <c r="W3539">
        <v>-6.8813029999999997E-2</v>
      </c>
      <c r="X3539">
        <v>0.99674119999999999</v>
      </c>
      <c r="Y3539">
        <v>-2.606139E-2</v>
      </c>
      <c r="Z3539">
        <v>8.2673150000000001E-2</v>
      </c>
      <c r="AA3539">
        <v>0.99623589999999995</v>
      </c>
      <c r="AB3539">
        <v>19</v>
      </c>
      <c r="AC3539">
        <v>0.30819999999999897</v>
      </c>
      <c r="AD3539">
        <v>-1.121370799363</v>
      </c>
      <c r="AE3539">
        <v>-11.424099999999999</v>
      </c>
      <c r="AF3539">
        <v>-0.29883586166422099</v>
      </c>
      <c r="AG3539">
        <v>-1.121370799363</v>
      </c>
      <c r="AH3539">
        <v>11.3153285660179</v>
      </c>
      <c r="AI3539">
        <v>95.657682051412905</v>
      </c>
      <c r="AJ3539">
        <v>91.512819928575098</v>
      </c>
      <c r="AK3539">
        <v>11.374683991163099</v>
      </c>
      <c r="AL3539">
        <v>93.945814597012998</v>
      </c>
      <c r="AM3539">
        <v>92.418095622411499</v>
      </c>
      <c r="AN3539">
        <v>0.99999996057541696</v>
      </c>
    </row>
    <row r="3540" spans="1:40" x14ac:dyDescent="0.25">
      <c r="A3540" t="str">
        <f>"20190303154206033"</f>
        <v>20190303154206033</v>
      </c>
      <c r="B3540" t="str">
        <f>"1551598926023019"</f>
        <v>1551598926023019</v>
      </c>
      <c r="C3540" t="s">
        <v>40</v>
      </c>
      <c r="D3540">
        <v>5.4457940000000002</v>
      </c>
      <c r="E3540">
        <v>0.50567580000000001</v>
      </c>
      <c r="F3540" t="s">
        <v>41</v>
      </c>
      <c r="G3540">
        <v>-492.23230000000001</v>
      </c>
      <c r="H3540" s="1">
        <v>-1.7759030000000001E-6</v>
      </c>
      <c r="I3540">
        <v>232.3442</v>
      </c>
      <c r="J3540">
        <v>-492.5446</v>
      </c>
      <c r="K3540">
        <v>1.121402</v>
      </c>
      <c r="L3540">
        <v>243.709</v>
      </c>
      <c r="M3540">
        <v>6.8501529999999997E-4</v>
      </c>
      <c r="N3540">
        <v>-1.418385E-2</v>
      </c>
      <c r="O3540">
        <v>-0.99989919999999999</v>
      </c>
      <c r="P3540">
        <v>4.315807E-2</v>
      </c>
      <c r="Q3540">
        <v>-8.2602330000000002E-2</v>
      </c>
      <c r="R3540">
        <v>-0.99564770000000002</v>
      </c>
      <c r="S3540">
        <v>8.1268309999999996E-2</v>
      </c>
      <c r="T3540">
        <v>-0.29170810000000003</v>
      </c>
      <c r="U3540">
        <v>-2.9853519999999998</v>
      </c>
      <c r="V3540">
        <v>-4.2450500000000002E-2</v>
      </c>
      <c r="W3540">
        <v>-6.848717E-2</v>
      </c>
      <c r="X3540">
        <v>0.99674839999999998</v>
      </c>
      <c r="Y3540">
        <v>-2.6412359999999999E-2</v>
      </c>
      <c r="Z3540">
        <v>8.3088869999999995E-2</v>
      </c>
      <c r="AA3540">
        <v>0.99619199999999997</v>
      </c>
      <c r="AB3540">
        <v>19</v>
      </c>
      <c r="AC3540">
        <v>0.31229999999999303</v>
      </c>
      <c r="AD3540">
        <v>-1.121403775903</v>
      </c>
      <c r="AE3540">
        <v>-11.364800000000001</v>
      </c>
      <c r="AF3540">
        <v>-0.30157998044740802</v>
      </c>
      <c r="AG3540">
        <v>-1.121403775903</v>
      </c>
      <c r="AH3540">
        <v>11.255505362164699</v>
      </c>
      <c r="AI3540">
        <v>95.687664546587598</v>
      </c>
      <c r="AJ3540">
        <v>91.534815741930998</v>
      </c>
      <c r="AK3540">
        <v>11.3152506764514</v>
      </c>
      <c r="AL3540">
        <v>93.927100063404893</v>
      </c>
      <c r="AM3540">
        <v>92.438695201517106</v>
      </c>
      <c r="AN3540">
        <v>0.99999995515370799</v>
      </c>
    </row>
    <row r="3541" spans="1:40" x14ac:dyDescent="0.25">
      <c r="A3541" t="str">
        <f>"20190303154206046"</f>
        <v>20190303154206046</v>
      </c>
      <c r="B3541" t="str">
        <f>"1551598926043516"</f>
        <v>1551598926043516</v>
      </c>
      <c r="C3541" t="s">
        <v>40</v>
      </c>
      <c r="D3541">
        <v>5.4344640000000002</v>
      </c>
      <c r="E3541">
        <v>0.50546469999999999</v>
      </c>
      <c r="F3541" t="s">
        <v>41</v>
      </c>
      <c r="G3541">
        <v>-492.22469999999998</v>
      </c>
      <c r="H3541" s="1">
        <v>-1.7209699999999999E-6</v>
      </c>
      <c r="I3541">
        <v>232.2209</v>
      </c>
      <c r="J3541">
        <v>-492.54430000000002</v>
      </c>
      <c r="K3541">
        <v>1.121434</v>
      </c>
      <c r="L3541">
        <v>243.60599999999999</v>
      </c>
      <c r="M3541">
        <v>8.3796599999999999E-4</v>
      </c>
      <c r="N3541">
        <v>-1.418236E-2</v>
      </c>
      <c r="O3541">
        <v>-0.99989930000000005</v>
      </c>
      <c r="P3541">
        <v>4.3439270000000002E-2</v>
      </c>
      <c r="Q3541">
        <v>-8.2515749999999999E-2</v>
      </c>
      <c r="R3541">
        <v>-0.99564249999999999</v>
      </c>
      <c r="S3541">
        <v>8.3129880000000003E-2</v>
      </c>
      <c r="T3541">
        <v>-0.29141009999999901</v>
      </c>
      <c r="U3541">
        <v>-2.9853209999999999</v>
      </c>
      <c r="V3541">
        <v>-4.2574319999999999E-2</v>
      </c>
      <c r="W3541">
        <v>-6.8405339999999995E-2</v>
      </c>
      <c r="X3541">
        <v>0.99674879999999999</v>
      </c>
      <c r="Y3541">
        <v>-2.6880330000000001E-2</v>
      </c>
      <c r="Z3541">
        <v>8.299144E-2</v>
      </c>
      <c r="AA3541">
        <v>0.99618770000000001</v>
      </c>
      <c r="AB3541">
        <v>19</v>
      </c>
      <c r="AC3541">
        <v>0.31960000000003602</v>
      </c>
      <c r="AD3541">
        <v>-1.1214357209700001</v>
      </c>
      <c r="AE3541">
        <v>-11.3850999999999</v>
      </c>
      <c r="AF3541">
        <v>-0.307081549718836</v>
      </c>
      <c r="AG3541">
        <v>-1.1214357209700001</v>
      </c>
      <c r="AH3541">
        <v>11.276046309662901</v>
      </c>
      <c r="AI3541">
        <v>95.677465210304007</v>
      </c>
      <c r="AJ3541">
        <v>91.559955379871695</v>
      </c>
      <c r="AK3541">
        <v>11.335834223033901</v>
      </c>
      <c r="AL3541">
        <v>93.922400286116897</v>
      </c>
      <c r="AM3541">
        <v>92.445798803834194</v>
      </c>
      <c r="AN3541">
        <v>1.0000000167826999</v>
      </c>
    </row>
    <row r="3542" spans="1:40" x14ac:dyDescent="0.25">
      <c r="A3542" t="str">
        <f>"20190303154206059"</f>
        <v>20190303154206059</v>
      </c>
      <c r="B3542" t="str">
        <f>"1551598926053276"</f>
        <v>1551598926053276</v>
      </c>
      <c r="C3542" t="s">
        <v>40</v>
      </c>
      <c r="D3542">
        <v>5.4660390000000003</v>
      </c>
      <c r="E3542">
        <v>0.50536910000000002</v>
      </c>
      <c r="F3542" t="s">
        <v>41</v>
      </c>
      <c r="G3542">
        <v>-492.21510000000001</v>
      </c>
      <c r="H3542" s="1">
        <v>-1.6889489999999999E-6</v>
      </c>
      <c r="I3542">
        <v>232.1523</v>
      </c>
      <c r="J3542">
        <v>-492.54410000000001</v>
      </c>
      <c r="K3542">
        <v>1.1214679999999999</v>
      </c>
      <c r="L3542">
        <v>243.50129999999999</v>
      </c>
      <c r="M3542">
        <v>1.0134670000000001E-3</v>
      </c>
      <c r="N3542">
        <v>-1.418082E-2</v>
      </c>
      <c r="O3542">
        <v>-0.99989899999999998</v>
      </c>
      <c r="P3542">
        <v>4.3944589999999999E-2</v>
      </c>
      <c r="Q3542">
        <v>-8.2605219999999993E-2</v>
      </c>
      <c r="R3542">
        <v>-0.99561299999999997</v>
      </c>
      <c r="S3542">
        <v>8.5815429999999998E-2</v>
      </c>
      <c r="T3542">
        <v>-0.29227979999999998</v>
      </c>
      <c r="U3542">
        <v>-2.9851839999999998</v>
      </c>
      <c r="V3542">
        <v>-4.2899619999999999E-2</v>
      </c>
      <c r="W3542">
        <v>-6.8500119999999998E-2</v>
      </c>
      <c r="X3542">
        <v>0.99672830000000001</v>
      </c>
      <c r="Y3542">
        <v>-2.760029E-2</v>
      </c>
      <c r="Z3542">
        <v>8.3282720000000005E-2</v>
      </c>
      <c r="AA3542">
        <v>0.99614369999999997</v>
      </c>
      <c r="AB3542">
        <v>19</v>
      </c>
      <c r="AC3542">
        <v>0.32900000000000701</v>
      </c>
      <c r="AD3542">
        <v>-1.1214696889489999</v>
      </c>
      <c r="AE3542">
        <v>-11.348999999999901</v>
      </c>
      <c r="AF3542">
        <v>-0.31442910338202401</v>
      </c>
      <c r="AG3542">
        <v>-1.1214696889489999</v>
      </c>
      <c r="AH3542">
        <v>11.239667560714601</v>
      </c>
      <c r="AI3542">
        <v>95.695776087868893</v>
      </c>
      <c r="AJ3542">
        <v>91.602428458762404</v>
      </c>
      <c r="AK3542">
        <v>11.2998533972643</v>
      </c>
      <c r="AL3542">
        <v>93.927843716526397</v>
      </c>
      <c r="AM3542">
        <v>92.464514227088003</v>
      </c>
      <c r="AN3542">
        <v>0.99999997392852402</v>
      </c>
    </row>
    <row r="3543" spans="1:40" x14ac:dyDescent="0.25">
      <c r="A3543" t="str">
        <f>"20190303154206075"</f>
        <v>20190303154206075</v>
      </c>
      <c r="B3543" t="str">
        <f>"1551598926063036"</f>
        <v>1551598926063036</v>
      </c>
      <c r="C3543" t="s">
        <v>40</v>
      </c>
      <c r="D3543">
        <v>5.4587370000000002</v>
      </c>
      <c r="E3543">
        <v>0.50529029999999997</v>
      </c>
      <c r="F3543" t="s">
        <v>41</v>
      </c>
      <c r="G3543">
        <v>-492.20620000000002</v>
      </c>
      <c r="H3543" s="1">
        <v>-1.6610109999999999E-6</v>
      </c>
      <c r="I3543">
        <v>232.0926</v>
      </c>
      <c r="J3543">
        <v>-492.54360000000003</v>
      </c>
      <c r="K3543">
        <v>1.1215090000000001</v>
      </c>
      <c r="L3543">
        <v>243.3613</v>
      </c>
      <c r="M3543">
        <v>1.302152E-3</v>
      </c>
      <c r="N3543">
        <v>-1.4178720000000001E-2</v>
      </c>
      <c r="O3543">
        <v>-0.99989890000000003</v>
      </c>
      <c r="P3543">
        <v>4.4879000000000002E-2</v>
      </c>
      <c r="Q3543">
        <v>-8.325246E-2</v>
      </c>
      <c r="R3543">
        <v>-0.99551780000000001</v>
      </c>
      <c r="S3543">
        <v>8.8409420000000002E-2</v>
      </c>
      <c r="T3543">
        <v>-0.29342200000000002</v>
      </c>
      <c r="U3543">
        <v>-2.984985</v>
      </c>
      <c r="V3543">
        <v>-4.3538779999999999E-2</v>
      </c>
      <c r="W3543">
        <v>-6.9155540000000001E-2</v>
      </c>
      <c r="X3543">
        <v>0.99665530000000002</v>
      </c>
      <c r="Y3543">
        <v>-2.8177029999999999E-2</v>
      </c>
      <c r="Z3543">
        <v>8.3666740000000003E-2</v>
      </c>
      <c r="AA3543">
        <v>0.99609539999999996</v>
      </c>
      <c r="AB3543">
        <v>19</v>
      </c>
      <c r="AC3543">
        <v>0.33740000000000198</v>
      </c>
      <c r="AD3543">
        <v>-1.1215106610109999</v>
      </c>
      <c r="AE3543">
        <v>-11.2686999999999</v>
      </c>
      <c r="AF3543">
        <v>-0.31956221951748998</v>
      </c>
      <c r="AG3543">
        <v>-1.1215106610109999</v>
      </c>
      <c r="AH3543">
        <v>11.1587007062681</v>
      </c>
      <c r="AI3543">
        <v>95.736930940055899</v>
      </c>
      <c r="AJ3543">
        <v>91.640384843630699</v>
      </c>
      <c r="AK3543">
        <v>11.219470024335999</v>
      </c>
      <c r="AL3543">
        <v>93.965485877036997</v>
      </c>
      <c r="AM3543">
        <v>92.501369618899105</v>
      </c>
      <c r="AN3543">
        <v>0.99999995054733304</v>
      </c>
    </row>
    <row r="3544" spans="1:40" x14ac:dyDescent="0.25">
      <c r="A3544" t="str">
        <f>"20190303154206086"</f>
        <v>20190303154206086</v>
      </c>
      <c r="B3544" t="str">
        <f>"1551598926083531"</f>
        <v>1551598926083531</v>
      </c>
      <c r="C3544" t="s">
        <v>40</v>
      </c>
      <c r="D3544">
        <v>5.4706270000000004</v>
      </c>
      <c r="E3544">
        <v>0.50505259999999996</v>
      </c>
      <c r="F3544" t="s">
        <v>41</v>
      </c>
      <c r="G3544">
        <v>-492.19749999999999</v>
      </c>
      <c r="H3544" s="1">
        <v>-1.6388699999999999E-6</v>
      </c>
      <c r="I3544">
        <v>232.04640000000001</v>
      </c>
      <c r="J3544">
        <v>-492.54329999999999</v>
      </c>
      <c r="K3544">
        <v>1.121534</v>
      </c>
      <c r="L3544">
        <v>243.27109999999999</v>
      </c>
      <c r="M3544">
        <v>1.5305679999999999E-3</v>
      </c>
      <c r="N3544">
        <v>-1.417738E-2</v>
      </c>
      <c r="O3544">
        <v>-0.99989839999999997</v>
      </c>
      <c r="P3544">
        <v>4.5365799999999998E-2</v>
      </c>
      <c r="Q3544">
        <v>-8.3605490000000005E-2</v>
      </c>
      <c r="R3544">
        <v>-0.99546579999999996</v>
      </c>
      <c r="S3544">
        <v>9.1308589999999995E-2</v>
      </c>
      <c r="T3544">
        <v>-0.2958344</v>
      </c>
      <c r="U3544">
        <v>-2.9846650000000001</v>
      </c>
      <c r="V3544">
        <v>-4.3793840000000001E-2</v>
      </c>
      <c r="W3544">
        <v>-6.9513640000000002E-2</v>
      </c>
      <c r="X3544">
        <v>0.99661929999999999</v>
      </c>
      <c r="Y3544">
        <v>-2.8915679999999999E-2</v>
      </c>
      <c r="Z3544">
        <v>8.4473329999999999E-2</v>
      </c>
      <c r="AA3544">
        <v>0.99600610000000001</v>
      </c>
      <c r="AB3544">
        <v>19</v>
      </c>
      <c r="AC3544">
        <v>0.345799999999997</v>
      </c>
      <c r="AD3544">
        <v>-1.12153563887</v>
      </c>
      <c r="AE3544">
        <v>-11.224699999999901</v>
      </c>
      <c r="AF3544">
        <v>-0.32537247258007501</v>
      </c>
      <c r="AG3544">
        <v>-1.12153563887</v>
      </c>
      <c r="AH3544">
        <v>11.1143627126142</v>
      </c>
      <c r="AI3544">
        <v>95.759685411883694</v>
      </c>
      <c r="AJ3544">
        <v>91.676852464889393</v>
      </c>
      <c r="AK3544">
        <v>11.1755432951923</v>
      </c>
      <c r="AL3544">
        <v>93.986052643808193</v>
      </c>
      <c r="AM3544">
        <v>92.516095197486607</v>
      </c>
      <c r="AN3544">
        <v>1.0000000378502401</v>
      </c>
    </row>
    <row r="3545" spans="1:40" x14ac:dyDescent="0.25">
      <c r="A3545" t="str">
        <f>"20190303154206099"</f>
        <v>20190303154206099</v>
      </c>
      <c r="B3545" t="str">
        <f>"1551598926093292"</f>
        <v>1551598926093292</v>
      </c>
      <c r="C3545" t="s">
        <v>40</v>
      </c>
      <c r="D3545">
        <v>5.4714929999999997</v>
      </c>
      <c r="E3545">
        <v>0.50495939999999995</v>
      </c>
      <c r="F3545" t="s">
        <v>41</v>
      </c>
      <c r="G3545">
        <v>-492.18849999999998</v>
      </c>
      <c r="H3545" s="1">
        <v>-1.6585610000000001E-6</v>
      </c>
      <c r="I3545">
        <v>232.09790000000001</v>
      </c>
      <c r="J3545">
        <v>-492.5428</v>
      </c>
      <c r="K3545">
        <v>1.121564</v>
      </c>
      <c r="L3545">
        <v>243.1651</v>
      </c>
      <c r="M3545">
        <v>1.8125389999999999E-3</v>
      </c>
      <c r="N3545">
        <v>-1.4175790000000001E-2</v>
      </c>
      <c r="O3545">
        <v>-0.99989779999999995</v>
      </c>
      <c r="P3545">
        <v>4.6099599999999998E-2</v>
      </c>
      <c r="Q3545">
        <v>-8.4059770000000006E-2</v>
      </c>
      <c r="R3545">
        <v>-0.99539370000000005</v>
      </c>
      <c r="S3545">
        <v>9.4757079999999994E-2</v>
      </c>
      <c r="T3545">
        <v>-0.2995466</v>
      </c>
      <c r="U3545">
        <v>-2.9842070000000001</v>
      </c>
      <c r="V3545">
        <v>-4.4241019999999999E-2</v>
      </c>
      <c r="W3545">
        <v>-6.9974149999999999E-2</v>
      </c>
      <c r="X3545">
        <v>0.99656730000000004</v>
      </c>
      <c r="Y3545">
        <v>-2.9783980000000002E-2</v>
      </c>
      <c r="Z3545">
        <v>8.5713540000000005E-2</v>
      </c>
      <c r="AA3545">
        <v>0.9958745</v>
      </c>
      <c r="AB3545">
        <v>19</v>
      </c>
      <c r="AC3545">
        <v>0.35430000000002299</v>
      </c>
      <c r="AD3545">
        <v>-1.1215656585609901</v>
      </c>
      <c r="AE3545">
        <v>-11.0671999999999</v>
      </c>
      <c r="AF3545">
        <v>-0.33084335936807702</v>
      </c>
      <c r="AG3545">
        <v>-1.1215656585609901</v>
      </c>
      <c r="AH3545">
        <v>10.9554261375308</v>
      </c>
      <c r="AI3545">
        <v>95.842666457860503</v>
      </c>
      <c r="AJ3545">
        <v>91.729751868723199</v>
      </c>
      <c r="AK3545">
        <v>11.017655318160701</v>
      </c>
      <c r="AL3545">
        <v>94.012502415219998</v>
      </c>
      <c r="AM3545">
        <v>92.541886036916793</v>
      </c>
      <c r="AN3545">
        <v>1.0000000164740701</v>
      </c>
    </row>
    <row r="3546" spans="1:40" x14ac:dyDescent="0.25">
      <c r="A3546" t="str">
        <f>"20190303154206110"</f>
        <v>20190303154206110</v>
      </c>
      <c r="B3546" t="str">
        <f>"1551598926103052"</f>
        <v>1551598926103052</v>
      </c>
      <c r="C3546" t="s">
        <v>40</v>
      </c>
      <c r="D3546">
        <v>5.4917980000000002</v>
      </c>
      <c r="E3546">
        <v>0.50489340000000005</v>
      </c>
      <c r="F3546" t="s">
        <v>41</v>
      </c>
      <c r="G3546">
        <v>-492.17989999999998</v>
      </c>
      <c r="H3546" s="1">
        <v>-1.6471019999999999E-6</v>
      </c>
      <c r="I3546">
        <v>232.07650000000001</v>
      </c>
      <c r="J3546">
        <v>-492.54239999999999</v>
      </c>
      <c r="K3546">
        <v>1.1215889999999999</v>
      </c>
      <c r="L3546">
        <v>243.0677</v>
      </c>
      <c r="M3546">
        <v>2.104804E-3</v>
      </c>
      <c r="N3546">
        <v>-1.4174340000000001E-2</v>
      </c>
      <c r="O3546">
        <v>-0.99989740000000005</v>
      </c>
      <c r="P3546">
        <v>4.6741100000000001E-2</v>
      </c>
      <c r="Q3546">
        <v>-8.4649160000000001E-2</v>
      </c>
      <c r="R3546">
        <v>-0.99531409999999998</v>
      </c>
      <c r="S3546">
        <v>9.765625E-2</v>
      </c>
      <c r="T3546">
        <v>-0.30180590000000002</v>
      </c>
      <c r="U3546">
        <v>-2.9838559999999998</v>
      </c>
      <c r="V3546">
        <v>-4.458604E-2</v>
      </c>
      <c r="W3546">
        <v>-7.056933E-2</v>
      </c>
      <c r="X3546">
        <v>0.99650989999999995</v>
      </c>
      <c r="Y3546">
        <v>-3.0459279999999998E-2</v>
      </c>
      <c r="Z3546">
        <v>8.6470450000000004E-2</v>
      </c>
      <c r="AA3546">
        <v>0.99578869999999997</v>
      </c>
      <c r="AB3546">
        <v>19</v>
      </c>
      <c r="AC3546">
        <v>0.36250000000001098</v>
      </c>
      <c r="AD3546">
        <v>-1.1215906471019901</v>
      </c>
      <c r="AE3546">
        <v>-10.9911999999999</v>
      </c>
      <c r="AF3546">
        <v>-0.33586892809643698</v>
      </c>
      <c r="AG3546">
        <v>-1.1215906471019901</v>
      </c>
      <c r="AH3546">
        <v>10.878780367518299</v>
      </c>
      <c r="AI3546">
        <v>95.883552739062694</v>
      </c>
      <c r="AJ3546">
        <v>91.768374812432498</v>
      </c>
      <c r="AK3546">
        <v>10.9416011534523</v>
      </c>
      <c r="AL3546">
        <v>94.046688445016201</v>
      </c>
      <c r="AM3546">
        <v>92.561830357370894</v>
      </c>
      <c r="AN3546">
        <v>0.99999996304876904</v>
      </c>
    </row>
    <row r="3547" spans="1:40" x14ac:dyDescent="0.25">
      <c r="A3547" t="str">
        <f>"20190303154206123"</f>
        <v>20190303154206123</v>
      </c>
      <c r="B3547" t="str">
        <f>"1551598926112811"</f>
        <v>1551598926112811</v>
      </c>
      <c r="C3547" t="s">
        <v>40</v>
      </c>
      <c r="D3547">
        <v>5.4686139999999996</v>
      </c>
      <c r="E3547">
        <v>0.50482479999999996</v>
      </c>
      <c r="F3547" t="s">
        <v>41</v>
      </c>
      <c r="G3547">
        <v>-492.1748</v>
      </c>
      <c r="H3547" s="1">
        <v>-1.641772E-6</v>
      </c>
      <c r="I3547">
        <v>232.06729999999999</v>
      </c>
      <c r="J3547">
        <v>-492.54169999999999</v>
      </c>
      <c r="K3547">
        <v>1.1216159999999999</v>
      </c>
      <c r="L3547">
        <v>242.9632</v>
      </c>
      <c r="M3547">
        <v>2.4449369999999999E-3</v>
      </c>
      <c r="N3547">
        <v>-1.4172769999999999E-2</v>
      </c>
      <c r="O3547">
        <v>-0.99989649999999997</v>
      </c>
      <c r="P3547">
        <v>4.7152340000000001E-2</v>
      </c>
      <c r="Q3547">
        <v>-8.503571E-2</v>
      </c>
      <c r="R3547">
        <v>-0.99526139999999996</v>
      </c>
      <c r="S3547">
        <v>9.9700929999999993E-2</v>
      </c>
      <c r="T3547">
        <v>-0.3042028</v>
      </c>
      <c r="U3547">
        <v>-2.9835820000000002</v>
      </c>
      <c r="V3547">
        <v>-4.465322E-2</v>
      </c>
      <c r="W3547">
        <v>-7.0961150000000001E-2</v>
      </c>
      <c r="X3547">
        <v>0.99647909999999995</v>
      </c>
      <c r="Y3547">
        <v>-3.0801160000000001E-2</v>
      </c>
      <c r="Z3547">
        <v>8.7271269999999998E-2</v>
      </c>
      <c r="AA3547">
        <v>0.99570829999999999</v>
      </c>
      <c r="AB3547">
        <v>19</v>
      </c>
      <c r="AC3547">
        <v>0.36689999999998602</v>
      </c>
      <c r="AD3547">
        <v>-1.1216176417720001</v>
      </c>
      <c r="AE3547">
        <v>-10.895899999999999</v>
      </c>
      <c r="AF3547">
        <v>-0.33669270462732198</v>
      </c>
      <c r="AG3547">
        <v>-1.1216176417720001</v>
      </c>
      <c r="AH3547">
        <v>10.782635512758</v>
      </c>
      <c r="AI3547">
        <v>95.935718883807198</v>
      </c>
      <c r="AJ3547">
        <v>91.788505678929695</v>
      </c>
      <c r="AK3547">
        <v>10.846041522724899</v>
      </c>
      <c r="AL3547">
        <v>94.0691943675549</v>
      </c>
      <c r="AM3547">
        <v>92.565764436500402</v>
      </c>
      <c r="AN3547">
        <v>0.99999999580124999</v>
      </c>
    </row>
    <row r="3548" spans="1:40" x14ac:dyDescent="0.25">
      <c r="A3548" t="str">
        <f>"20190303154206140"</f>
        <v>20190303154206140</v>
      </c>
      <c r="B3548" t="str">
        <f>"1551598926133307"</f>
        <v>1551598926133307</v>
      </c>
      <c r="C3548" t="s">
        <v>40</v>
      </c>
      <c r="D3548">
        <v>5.5327909999999996</v>
      </c>
      <c r="E3548">
        <v>0.50472740000000005</v>
      </c>
      <c r="F3548" t="s">
        <v>41</v>
      </c>
      <c r="G3548">
        <v>-492.16890000000001</v>
      </c>
      <c r="H3548" s="1">
        <v>-1.623637E-6</v>
      </c>
      <c r="I3548">
        <v>232.02860000000001</v>
      </c>
      <c r="J3548">
        <v>-492.54090000000002</v>
      </c>
      <c r="K3548">
        <v>1.1216469999999901</v>
      </c>
      <c r="L3548">
        <v>242.83250000000001</v>
      </c>
      <c r="M3548">
        <v>2.9022470000000002E-3</v>
      </c>
      <c r="N3548">
        <v>-1.4170769999999999E-2</v>
      </c>
      <c r="O3548">
        <v>-0.9998956</v>
      </c>
      <c r="P3548">
        <v>4.756614E-2</v>
      </c>
      <c r="Q3548">
        <v>-8.533607E-2</v>
      </c>
      <c r="R3548">
        <v>-0.99521649999999995</v>
      </c>
      <c r="S3548">
        <v>0.1017151</v>
      </c>
      <c r="T3548">
        <v>-0.3060158</v>
      </c>
      <c r="U3548">
        <v>-2.9833219999999998</v>
      </c>
      <c r="V3548">
        <v>-4.4606149999999997E-2</v>
      </c>
      <c r="W3548">
        <v>-7.1267349999999993E-2</v>
      </c>
      <c r="X3548">
        <v>0.9964594</v>
      </c>
      <c r="Y3548">
        <v>-3.1016249999999999E-2</v>
      </c>
      <c r="Z3548">
        <v>8.7879230000000003E-2</v>
      </c>
      <c r="AA3548">
        <v>0.99564810000000004</v>
      </c>
      <c r="AB3548">
        <v>19</v>
      </c>
      <c r="AC3548">
        <v>0.37200000000001399</v>
      </c>
      <c r="AD3548">
        <v>-1.12164862363699</v>
      </c>
      <c r="AE3548">
        <v>-10.803900000000001</v>
      </c>
      <c r="AF3548">
        <v>-0.337011575338245</v>
      </c>
      <c r="AG3548">
        <v>-1.12164862363699</v>
      </c>
      <c r="AH3548">
        <v>10.6898516398143</v>
      </c>
      <c r="AI3548">
        <v>95.986974207460193</v>
      </c>
      <c r="AJ3548">
        <v>91.805726415956897</v>
      </c>
      <c r="AK3548">
        <v>10.7538179507587</v>
      </c>
      <c r="AL3548">
        <v>94.086782686152304</v>
      </c>
      <c r="AM3548">
        <v>92.563114017239499</v>
      </c>
      <c r="AN3548">
        <v>1.0000000398211</v>
      </c>
    </row>
    <row r="3549" spans="1:40" x14ac:dyDescent="0.25">
      <c r="A3549" t="str">
        <f>"20190303154206154"</f>
        <v>20190303154206154</v>
      </c>
      <c r="B3549" t="str">
        <f>"1551598926143068"</f>
        <v>1551598926143068</v>
      </c>
      <c r="C3549" t="s">
        <v>40</v>
      </c>
      <c r="D3549">
        <v>5.4994009999999998</v>
      </c>
      <c r="E3549">
        <v>0.5046988</v>
      </c>
      <c r="F3549" t="s">
        <v>41</v>
      </c>
      <c r="G3549">
        <v>-492.16520000000003</v>
      </c>
      <c r="H3549" s="1">
        <v>-1.6130620000000001E-6</v>
      </c>
      <c r="I3549">
        <v>232.00630000000001</v>
      </c>
      <c r="J3549">
        <v>-492.54</v>
      </c>
      <c r="K3549">
        <v>1.1216710000000001</v>
      </c>
      <c r="L3549">
        <v>242.70500000000001</v>
      </c>
      <c r="M3549">
        <v>3.3865570000000001E-3</v>
      </c>
      <c r="N3549">
        <v>-1.4168740000000001E-2</v>
      </c>
      <c r="O3549">
        <v>-0.99989419999999996</v>
      </c>
      <c r="P3549">
        <v>4.7797480000000003E-2</v>
      </c>
      <c r="Q3549">
        <v>-8.6249619999999999E-2</v>
      </c>
      <c r="R3549">
        <v>-0.99512659999999997</v>
      </c>
      <c r="S3549">
        <v>0.1035156</v>
      </c>
      <c r="T3549">
        <v>-0.3090484</v>
      </c>
      <c r="U3549">
        <v>-2.9829560000000002</v>
      </c>
      <c r="V3549">
        <v>-4.4349479999999997E-2</v>
      </c>
      <c r="W3549">
        <v>-7.2186490000000006E-2</v>
      </c>
      <c r="X3549">
        <v>0.99640459999999997</v>
      </c>
      <c r="Y3549">
        <v>-3.113312E-2</v>
      </c>
      <c r="Z3549">
        <v>8.889379E-2</v>
      </c>
      <c r="AA3549">
        <v>0.99555439999999995</v>
      </c>
      <c r="AB3549">
        <v>19</v>
      </c>
      <c r="AC3549">
        <v>0.37479999999999303</v>
      </c>
      <c r="AD3549">
        <v>-1.1216726130619901</v>
      </c>
      <c r="AE3549">
        <v>-10.698700000000001</v>
      </c>
      <c r="AF3549">
        <v>-0.33488596766672002</v>
      </c>
      <c r="AG3549">
        <v>-1.1216726130619901</v>
      </c>
      <c r="AH3549">
        <v>10.583716178243799</v>
      </c>
      <c r="AI3549">
        <v>96.046676620865398</v>
      </c>
      <c r="AJ3549">
        <v>91.812326843357695</v>
      </c>
      <c r="AK3549">
        <v>10.6482555474525</v>
      </c>
      <c r="AL3549">
        <v>94.1395819100712</v>
      </c>
      <c r="AM3549">
        <v>92.548524972258605</v>
      </c>
      <c r="AN3549">
        <v>0.99999994630797295</v>
      </c>
    </row>
    <row r="3550" spans="1:40" x14ac:dyDescent="0.25">
      <c r="A3550" t="str">
        <f>"20190303154206176"</f>
        <v>20190303154206176</v>
      </c>
      <c r="B3550" t="str">
        <f>"1551598926163565"</f>
        <v>1551598926163565</v>
      </c>
      <c r="C3550" t="s">
        <v>40</v>
      </c>
      <c r="D3550">
        <v>5.4704370000000004</v>
      </c>
      <c r="E3550">
        <v>0.50454809999999894</v>
      </c>
      <c r="F3550" t="s">
        <v>41</v>
      </c>
      <c r="G3550">
        <v>-492.16430000000003</v>
      </c>
      <c r="H3550" s="1">
        <v>-1.610204E-6</v>
      </c>
      <c r="I3550">
        <v>232.00020000000001</v>
      </c>
      <c r="J3550">
        <v>-492.53859999999997</v>
      </c>
      <c r="K3550">
        <v>1.1216930000000001</v>
      </c>
      <c r="L3550">
        <v>242.5273</v>
      </c>
      <c r="M3550">
        <v>4.1163429999999997E-3</v>
      </c>
      <c r="N3550">
        <v>-1.416575E-2</v>
      </c>
      <c r="O3550">
        <v>-0.99989139999999999</v>
      </c>
      <c r="P3550">
        <v>4.8215679999999997E-2</v>
      </c>
      <c r="Q3550">
        <v>-8.6761870000000005E-2</v>
      </c>
      <c r="R3550">
        <v>-0.9950618</v>
      </c>
      <c r="S3550">
        <v>0.1046753</v>
      </c>
      <c r="T3550">
        <v>-0.31251780000000001</v>
      </c>
      <c r="U3550">
        <v>-2.9825740000000001</v>
      </c>
      <c r="V3550">
        <v>-4.4036140000000001E-2</v>
      </c>
      <c r="W3550">
        <v>-7.2704900000000003E-2</v>
      </c>
      <c r="X3550">
        <v>0.99638090000000001</v>
      </c>
      <c r="Y3550">
        <v>-3.0791010000000001E-2</v>
      </c>
      <c r="Z3550">
        <v>9.0054889999999999E-2</v>
      </c>
      <c r="AA3550">
        <v>0.99546069999999998</v>
      </c>
      <c r="AB3550">
        <v>19</v>
      </c>
      <c r="AC3550">
        <v>0.37429999999994801</v>
      </c>
      <c r="AD3550">
        <v>-1.121694610204</v>
      </c>
      <c r="AE3550">
        <v>-10.5270999999999</v>
      </c>
      <c r="AF3550">
        <v>-0.32724859173301701</v>
      </c>
      <c r="AG3550">
        <v>-1.121694610204</v>
      </c>
      <c r="AH3550">
        <v>10.410504722312201</v>
      </c>
      <c r="AI3550">
        <v>96.146677646270206</v>
      </c>
      <c r="AJ3550">
        <v>91.800469001840696</v>
      </c>
      <c r="AK3550">
        <v>10.475872231591801</v>
      </c>
      <c r="AL3550">
        <v>94.169362475269807</v>
      </c>
      <c r="AM3550">
        <v>92.530602618703398</v>
      </c>
      <c r="AN3550">
        <v>1.0000000409974501</v>
      </c>
    </row>
    <row r="3551" spans="1:40" x14ac:dyDescent="0.25">
      <c r="A3551" t="str">
        <f>"20190303154206187"</f>
        <v>20190303154206187</v>
      </c>
      <c r="B3551" t="str">
        <f>"1551598926183084"</f>
        <v>1551598926183084</v>
      </c>
      <c r="C3551" t="s">
        <v>40</v>
      </c>
      <c r="D3551">
        <v>5.4994389999999997</v>
      </c>
      <c r="E3551">
        <v>0.50453999999999999</v>
      </c>
      <c r="F3551" t="s">
        <v>41</v>
      </c>
      <c r="G3551">
        <v>-492.15960000000001</v>
      </c>
      <c r="H3551" s="1">
        <v>-1.584275E-6</v>
      </c>
      <c r="I3551">
        <v>231.9426</v>
      </c>
      <c r="J3551">
        <v>-492.53769999999997</v>
      </c>
      <c r="K3551">
        <v>1.1217029999999999</v>
      </c>
      <c r="L3551">
        <v>242.42660000000001</v>
      </c>
      <c r="M3551">
        <v>4.5616220000000004E-3</v>
      </c>
      <c r="N3551">
        <v>-1.416395E-2</v>
      </c>
      <c r="O3551">
        <v>-0.99988960000000005</v>
      </c>
      <c r="P3551">
        <v>4.8573570000000003E-2</v>
      </c>
      <c r="Q3551">
        <v>-8.7171230000000002E-2</v>
      </c>
      <c r="R3551">
        <v>-0.99500860000000002</v>
      </c>
      <c r="S3551">
        <v>0.106781</v>
      </c>
      <c r="T3551">
        <v>-0.31603120000000001</v>
      </c>
      <c r="U3551">
        <v>-2.9821780000000002</v>
      </c>
      <c r="V3551">
        <v>-4.3948340000000002E-2</v>
      </c>
      <c r="W3551">
        <v>-7.3117550000000003E-2</v>
      </c>
      <c r="X3551">
        <v>0.99635450000000003</v>
      </c>
      <c r="Y3551">
        <v>-3.1048249999999999E-2</v>
      </c>
      <c r="Z3551">
        <v>9.1228279999999995E-2</v>
      </c>
      <c r="AA3551">
        <v>0.99534590000000001</v>
      </c>
      <c r="AB3551">
        <v>19</v>
      </c>
      <c r="AC3551">
        <v>0.37809999999996002</v>
      </c>
      <c r="AD3551">
        <v>-1.121704584275</v>
      </c>
      <c r="AE3551">
        <v>-10.484</v>
      </c>
      <c r="AF3551">
        <v>-0.32653415947636799</v>
      </c>
      <c r="AG3551">
        <v>-1.121704584275</v>
      </c>
      <c r="AH3551">
        <v>10.3670947591505</v>
      </c>
      <c r="AI3551">
        <v>96.172259662122499</v>
      </c>
      <c r="AJ3551">
        <v>91.804058554432501</v>
      </c>
      <c r="AK3551">
        <v>10.432712949031799</v>
      </c>
      <c r="AL3551">
        <v>94.193069008721196</v>
      </c>
      <c r="AM3551">
        <v>92.525630432254403</v>
      </c>
      <c r="AN3551">
        <v>0.99999996118850298</v>
      </c>
    </row>
    <row r="3552" spans="1:40" x14ac:dyDescent="0.25">
      <c r="A3552" t="str">
        <f>"20190303154206200"</f>
        <v>20190303154206200</v>
      </c>
      <c r="B3552" t="str">
        <f>"1551598926192844"</f>
        <v>1551598926192844</v>
      </c>
      <c r="C3552" t="s">
        <v>40</v>
      </c>
      <c r="D3552">
        <v>5.4290469999999997</v>
      </c>
      <c r="E3552">
        <v>0.50450410000000001</v>
      </c>
      <c r="F3552" t="s">
        <v>41</v>
      </c>
      <c r="G3552">
        <v>-492.15679999999998</v>
      </c>
      <c r="H3552" s="1">
        <v>-1.5704620000000001E-6</v>
      </c>
      <c r="I3552">
        <v>231.91220000000001</v>
      </c>
      <c r="J3552">
        <v>-492.5367</v>
      </c>
      <c r="K3552">
        <v>1.121713</v>
      </c>
      <c r="L3552">
        <v>242.31970000000001</v>
      </c>
      <c r="M3552">
        <v>5.0443290000000002E-3</v>
      </c>
      <c r="N3552">
        <v>-1.4162020000000001E-2</v>
      </c>
      <c r="O3552">
        <v>-0.99988719999999998</v>
      </c>
      <c r="P3552">
        <v>4.906779E-2</v>
      </c>
      <c r="Q3552">
        <v>-8.7329390000000007E-2</v>
      </c>
      <c r="R3552">
        <v>-0.99497040000000003</v>
      </c>
      <c r="S3552">
        <v>0.10803219999999999</v>
      </c>
      <c r="T3552">
        <v>-0.31811689999999998</v>
      </c>
      <c r="U3552">
        <v>-2.9818880000000001</v>
      </c>
      <c r="V3552">
        <v>-4.3960649999999997E-2</v>
      </c>
      <c r="W3552">
        <v>-7.3278969999999999E-2</v>
      </c>
      <c r="X3552">
        <v>0.99634210000000001</v>
      </c>
      <c r="Y3552">
        <v>-3.098387E-2</v>
      </c>
      <c r="Z3552">
        <v>9.1927770000000006E-2</v>
      </c>
      <c r="AA3552">
        <v>0.99528349999999999</v>
      </c>
      <c r="AB3552">
        <v>19</v>
      </c>
      <c r="AC3552">
        <v>0.37990000000002</v>
      </c>
      <c r="AD3552">
        <v>-1.121714570462</v>
      </c>
      <c r="AE3552">
        <v>-10.407500000000001</v>
      </c>
      <c r="AF3552">
        <v>-0.32363656520919099</v>
      </c>
      <c r="AG3552">
        <v>-1.121714570462</v>
      </c>
      <c r="AH3552">
        <v>10.2899113351293</v>
      </c>
      <c r="AI3552">
        <v>96.218259433411404</v>
      </c>
      <c r="AJ3552">
        <v>91.801463389467997</v>
      </c>
      <c r="AK3552">
        <v>10.355928712035</v>
      </c>
      <c r="AL3552">
        <v>94.202342562473007</v>
      </c>
      <c r="AM3552">
        <v>92.526368349775197</v>
      </c>
      <c r="AN3552">
        <v>0.99999996321254603</v>
      </c>
    </row>
    <row r="3553" spans="1:40" x14ac:dyDescent="0.25">
      <c r="A3553" t="str">
        <f>"20190303154206213"</f>
        <v>20190303154206213</v>
      </c>
      <c r="B3553" t="str">
        <f>"1551598926203580"</f>
        <v>1551598926203580</v>
      </c>
      <c r="C3553" t="s">
        <v>40</v>
      </c>
      <c r="D3553">
        <v>5.5220060000000002</v>
      </c>
      <c r="E3553">
        <v>0.50450410000000001</v>
      </c>
      <c r="F3553" t="s">
        <v>41</v>
      </c>
      <c r="G3553">
        <v>-492.14920000000001</v>
      </c>
      <c r="H3553" s="1">
        <v>-1.524356E-6</v>
      </c>
      <c r="I3553">
        <v>231.80940000000001</v>
      </c>
      <c r="J3553">
        <v>-492.53559999999999</v>
      </c>
      <c r="K3553">
        <v>1.1217200000000001</v>
      </c>
      <c r="L3553">
        <v>242.21109999999999</v>
      </c>
      <c r="M3553">
        <v>5.5512189999999996E-3</v>
      </c>
      <c r="N3553">
        <v>-1.416006E-2</v>
      </c>
      <c r="O3553">
        <v>-0.99988460000000001</v>
      </c>
      <c r="P3553">
        <v>4.9467329999999997E-2</v>
      </c>
      <c r="Q3553">
        <v>-8.7421280000000004E-2</v>
      </c>
      <c r="R3553">
        <v>-0.99494249999999995</v>
      </c>
      <c r="S3553">
        <v>0.1099243</v>
      </c>
      <c r="T3553">
        <v>-0.31823170000000001</v>
      </c>
      <c r="U3553">
        <v>-2.9817809999999998</v>
      </c>
      <c r="V3553">
        <v>-4.3853919999999998E-2</v>
      </c>
      <c r="W3553">
        <v>-7.3373649999999999E-2</v>
      </c>
      <c r="X3553">
        <v>0.99633989999999995</v>
      </c>
      <c r="Y3553">
        <v>-3.1108920000000002E-2</v>
      </c>
      <c r="Z3553">
        <v>9.1969670000000003E-2</v>
      </c>
      <c r="AA3553">
        <v>0.99527569999999999</v>
      </c>
      <c r="AB3553">
        <v>19</v>
      </c>
      <c r="AC3553">
        <v>0.38639999999997998</v>
      </c>
      <c r="AD3553">
        <v>-1.1217215243559999</v>
      </c>
      <c r="AE3553">
        <v>-10.4016999999999</v>
      </c>
      <c r="AF3553">
        <v>-0.32487324562851</v>
      </c>
      <c r="AG3553">
        <v>-1.1217215243559999</v>
      </c>
      <c r="AH3553">
        <v>10.284248931651399</v>
      </c>
      <c r="AI3553">
        <v>96.221667828637706</v>
      </c>
      <c r="AJ3553">
        <v>91.809337575182496</v>
      </c>
      <c r="AK3553">
        <v>10.350341921506899</v>
      </c>
      <c r="AL3553">
        <v>94.207781698648205</v>
      </c>
      <c r="AM3553">
        <v>92.520248174490305</v>
      </c>
      <c r="AN3553">
        <v>1.00000002757284</v>
      </c>
    </row>
    <row r="3554" spans="1:40" x14ac:dyDescent="0.25">
      <c r="A3554" t="str">
        <f>"20190303154206227"</f>
        <v>20190303154206227</v>
      </c>
      <c r="B3554" t="str">
        <f>"1551598926223099"</f>
        <v>1551598926223099</v>
      </c>
      <c r="C3554" t="s">
        <v>40</v>
      </c>
      <c r="D3554">
        <v>5.510554</v>
      </c>
      <c r="E3554">
        <v>0.48053570000000001</v>
      </c>
      <c r="F3554" t="s">
        <v>41</v>
      </c>
      <c r="G3554">
        <v>-492.14440000000002</v>
      </c>
      <c r="H3554" s="1">
        <v>-1.4805559999999999E-6</v>
      </c>
      <c r="I3554">
        <v>231.71029999999999</v>
      </c>
      <c r="J3554">
        <v>-492.53440000000001</v>
      </c>
      <c r="K3554">
        <v>1.1217220000000001</v>
      </c>
      <c r="L3554">
        <v>242.10499999999999</v>
      </c>
      <c r="M3554">
        <v>6.0617229999999998E-3</v>
      </c>
      <c r="N3554">
        <v>-1.415812E-2</v>
      </c>
      <c r="O3554">
        <v>-0.99988169999999998</v>
      </c>
      <c r="P3554">
        <v>4.9835150000000002E-2</v>
      </c>
      <c r="Q3554">
        <v>-8.7695960000000003E-2</v>
      </c>
      <c r="R3554">
        <v>-0.99490029999999996</v>
      </c>
      <c r="S3554">
        <v>0.111084</v>
      </c>
      <c r="T3554">
        <v>-0.31851699999999999</v>
      </c>
      <c r="U3554">
        <v>-2.981735</v>
      </c>
      <c r="V3554">
        <v>-4.3712870000000001E-2</v>
      </c>
      <c r="W3554">
        <v>-7.3650939999999998E-2</v>
      </c>
      <c r="X3554">
        <v>0.99632560000000003</v>
      </c>
      <c r="Y3554">
        <v>-3.0985470000000001E-2</v>
      </c>
      <c r="Z3554">
        <v>9.2066460000000003E-2</v>
      </c>
      <c r="AA3554">
        <v>0.99527069999999995</v>
      </c>
      <c r="AB3554">
        <v>19</v>
      </c>
      <c r="AC3554">
        <v>0.38999999999998602</v>
      </c>
      <c r="AD3554">
        <v>-1.1217234805559999</v>
      </c>
      <c r="AE3554">
        <v>-10.3947</v>
      </c>
      <c r="AF3554">
        <v>-0.323218089527608</v>
      </c>
      <c r="AG3554">
        <v>-1.1217234805559999</v>
      </c>
      <c r="AH3554">
        <v>10.2773594194124</v>
      </c>
      <c r="AI3554">
        <v>96.225843810571703</v>
      </c>
      <c r="AJ3554">
        <v>91.801331421897004</v>
      </c>
      <c r="AK3554">
        <v>10.3434447905915</v>
      </c>
      <c r="AL3554">
        <v>94.223712513294004</v>
      </c>
      <c r="AM3554">
        <v>92.512188560288493</v>
      </c>
      <c r="AN3554">
        <v>0.99999998859093997</v>
      </c>
    </row>
    <row r="3555" spans="1:40" x14ac:dyDescent="0.25">
      <c r="A3555" t="str">
        <f>"20190303154206244"</f>
        <v>20190303154206244</v>
      </c>
      <c r="B3555" t="str">
        <f>"1551598926232860"</f>
        <v>1551598926232860</v>
      </c>
      <c r="C3555" t="s">
        <v>40</v>
      </c>
      <c r="D3555">
        <v>5.5197139999999996</v>
      </c>
      <c r="E3555">
        <v>0.4780529</v>
      </c>
      <c r="F3555" t="s">
        <v>41</v>
      </c>
      <c r="G3555">
        <v>-491.44729999999998</v>
      </c>
      <c r="H3555" s="1">
        <v>-1.187691E-6</v>
      </c>
      <c r="I3555">
        <v>231.46</v>
      </c>
      <c r="J3555">
        <v>-492.53269999999998</v>
      </c>
      <c r="K3555">
        <v>1.121732</v>
      </c>
      <c r="L3555">
        <v>241.9615</v>
      </c>
      <c r="M3555">
        <v>6.7644480000000002E-3</v>
      </c>
      <c r="N3555">
        <v>-1.415542E-2</v>
      </c>
      <c r="O3555">
        <v>-0.99987700000000002</v>
      </c>
      <c r="P3555">
        <v>5.0192920000000002E-2</v>
      </c>
      <c r="Q3555">
        <v>-8.7590219999999996E-2</v>
      </c>
      <c r="R3555">
        <v>-0.99489150000000004</v>
      </c>
      <c r="S3555">
        <v>0.3035583</v>
      </c>
      <c r="T3555">
        <v>-0.31323459999999997</v>
      </c>
      <c r="U3555">
        <v>-2.9725489999999999</v>
      </c>
      <c r="V3555">
        <v>-4.3370180000000001E-2</v>
      </c>
      <c r="W3555">
        <v>-7.3547710000000002E-2</v>
      </c>
      <c r="X3555">
        <v>0.99634820000000002</v>
      </c>
      <c r="Y3555">
        <v>-9.4366169999999999E-2</v>
      </c>
      <c r="Z3555">
        <v>9.0206620000000001E-2</v>
      </c>
      <c r="AA3555">
        <v>0.9914423</v>
      </c>
      <c r="AB3555">
        <v>19</v>
      </c>
      <c r="AC3555">
        <v>1.0853999999999899</v>
      </c>
      <c r="AD3555">
        <v>-1.1217331876909999</v>
      </c>
      <c r="AE3555">
        <v>-10.501499999999901</v>
      </c>
      <c r="AF3555">
        <v>-1.0030080785914799</v>
      </c>
      <c r="AG3555">
        <v>-1.1217331876909999</v>
      </c>
      <c r="AH3555">
        <v>10.3912935650572</v>
      </c>
      <c r="AI3555">
        <v>96.132898051833195</v>
      </c>
      <c r="AJ3555">
        <v>95.513331546520803</v>
      </c>
      <c r="AK3555">
        <v>10.4996805906316</v>
      </c>
      <c r="AL3555">
        <v>94.217781792267701</v>
      </c>
      <c r="AM3555">
        <v>92.492462558263597</v>
      </c>
      <c r="AN3555">
        <v>0.99999998690135805</v>
      </c>
    </row>
    <row r="3556" spans="1:40" x14ac:dyDescent="0.25">
      <c r="A3556" t="str">
        <f>"20190303154206260"</f>
        <v>20190303154206260</v>
      </c>
      <c r="B3556" t="str">
        <f>"1551598926253355"</f>
        <v>1551598926253355</v>
      </c>
      <c r="C3556" t="s">
        <v>40</v>
      </c>
      <c r="D3556">
        <v>5.4491899999999998</v>
      </c>
      <c r="E3556">
        <v>0.47576380000000001</v>
      </c>
      <c r="F3556" t="s">
        <v>41</v>
      </c>
      <c r="G3556">
        <v>-491.34629999999999</v>
      </c>
      <c r="H3556" s="1">
        <v>-1.0018859999999999E-6</v>
      </c>
      <c r="I3556">
        <v>231.08949999999999</v>
      </c>
      <c r="J3556">
        <v>-492.53109999999998</v>
      </c>
      <c r="K3556">
        <v>1.1217349999999999</v>
      </c>
      <c r="L3556">
        <v>241.8329</v>
      </c>
      <c r="M3556">
        <v>7.4050890000000001E-3</v>
      </c>
      <c r="N3556">
        <v>-1.415288E-2</v>
      </c>
      <c r="O3556">
        <v>-0.99987239999999999</v>
      </c>
      <c r="P3556">
        <v>5.0859210000000002E-2</v>
      </c>
      <c r="Q3556">
        <v>-8.7383470000000005E-2</v>
      </c>
      <c r="R3556">
        <v>-0.99487570000000003</v>
      </c>
      <c r="S3556">
        <v>0.3243103</v>
      </c>
      <c r="T3556">
        <v>-0.30664400000000003</v>
      </c>
      <c r="U3556">
        <v>-2.9720309999999999</v>
      </c>
      <c r="V3556">
        <v>-4.3398399999999997E-2</v>
      </c>
      <c r="W3556">
        <v>-7.3343580000000005E-2</v>
      </c>
      <c r="X3556">
        <v>0.99636199999999997</v>
      </c>
      <c r="Y3556">
        <v>-0.10060810000000001</v>
      </c>
      <c r="Z3556">
        <v>8.7984499999999993E-2</v>
      </c>
      <c r="AA3556">
        <v>0.99102809999999997</v>
      </c>
      <c r="AB3556">
        <v>18</v>
      </c>
      <c r="AC3556">
        <v>1.1847999999999901</v>
      </c>
      <c r="AD3556">
        <v>-1.1217360018860001</v>
      </c>
      <c r="AE3556">
        <v>-10.743399999999999</v>
      </c>
      <c r="AF3556">
        <v>-1.0934266302117399</v>
      </c>
      <c r="AG3556">
        <v>-1.1217360018860001</v>
      </c>
      <c r="AH3556">
        <v>10.637307542691801</v>
      </c>
      <c r="AI3556">
        <v>95.988440659904398</v>
      </c>
      <c r="AJ3556">
        <v>95.868916335644897</v>
      </c>
      <c r="AK3556">
        <v>10.7520316783105</v>
      </c>
      <c r="AL3556">
        <v>94.206054409106997</v>
      </c>
      <c r="AM3556">
        <v>92.494047799901395</v>
      </c>
      <c r="AN3556">
        <v>0.99999996844688699</v>
      </c>
    </row>
    <row r="3557" spans="1:40" x14ac:dyDescent="0.25">
      <c r="A3557" t="str">
        <f>"20190303154206275"</f>
        <v>20190303154206275</v>
      </c>
      <c r="B3557" t="str">
        <f>"1551598926263116"</f>
        <v>1551598926263116</v>
      </c>
      <c r="C3557" t="s">
        <v>40</v>
      </c>
      <c r="D3557">
        <v>5.487463</v>
      </c>
      <c r="E3557">
        <v>0.47485899999999998</v>
      </c>
      <c r="F3557" t="s">
        <v>41</v>
      </c>
      <c r="G3557">
        <v>-491.26170000000002</v>
      </c>
      <c r="H3557" s="1">
        <v>-8.9521500000000001E-7</v>
      </c>
      <c r="I3557">
        <v>230.89330000000001</v>
      </c>
      <c r="J3557">
        <v>-492.52940000000001</v>
      </c>
      <c r="K3557">
        <v>1.1217360000000001</v>
      </c>
      <c r="L3557">
        <v>241.7054</v>
      </c>
      <c r="M3557">
        <v>8.0482769999999995E-3</v>
      </c>
      <c r="N3557">
        <v>-1.415027E-2</v>
      </c>
      <c r="O3557">
        <v>-0.99986770000000003</v>
      </c>
      <c r="P3557">
        <v>5.1613770000000003E-2</v>
      </c>
      <c r="Q3557">
        <v>-8.7139659999999994E-2</v>
      </c>
      <c r="R3557">
        <v>-0.99485840000000003</v>
      </c>
      <c r="S3557">
        <v>0.34472659999999899</v>
      </c>
      <c r="T3557">
        <v>-0.30464740000000001</v>
      </c>
      <c r="U3557">
        <v>-2.9710540000000001</v>
      </c>
      <c r="V3557">
        <v>-4.351319E-2</v>
      </c>
      <c r="W3557">
        <v>-7.3102360000000005E-2</v>
      </c>
      <c r="X3557">
        <v>0.99637469999999995</v>
      </c>
      <c r="Y3557">
        <v>-0.10672860000000001</v>
      </c>
      <c r="Z3557">
        <v>8.7290610000000005E-2</v>
      </c>
      <c r="AA3557">
        <v>0.99044909999999997</v>
      </c>
      <c r="AB3557">
        <v>18</v>
      </c>
      <c r="AC3557">
        <v>1.2676999999999901</v>
      </c>
      <c r="AD3557">
        <v>-1.121736895215</v>
      </c>
      <c r="AE3557">
        <v>-10.8120999999999</v>
      </c>
      <c r="AF3557">
        <v>-1.16822752224341</v>
      </c>
      <c r="AG3557">
        <v>-1.121736895215</v>
      </c>
      <c r="AH3557">
        <v>10.708256046900701</v>
      </c>
      <c r="AI3557">
        <v>95.945154108257796</v>
      </c>
      <c r="AJ3557">
        <v>96.226115314966805</v>
      </c>
      <c r="AK3557">
        <v>10.8300414021277</v>
      </c>
      <c r="AL3557">
        <v>94.192196406814006</v>
      </c>
      <c r="AM3557">
        <v>92.500604430960607</v>
      </c>
      <c r="AN3557">
        <v>0.99999994777081602</v>
      </c>
    </row>
    <row r="3558" spans="1:40" x14ac:dyDescent="0.25">
      <c r="A3558" t="str">
        <f>"20190303154206291"</f>
        <v>20190303154206291</v>
      </c>
      <c r="B3558" t="str">
        <f>"1551598926283614"</f>
        <v>1551598926283614</v>
      </c>
      <c r="C3558" t="s">
        <v>40</v>
      </c>
      <c r="D3558">
        <v>5.4483899999999998</v>
      </c>
      <c r="E3558">
        <v>0.47398390000000001</v>
      </c>
      <c r="F3558" t="s">
        <v>41</v>
      </c>
      <c r="G3558">
        <v>-491.22</v>
      </c>
      <c r="H3558" s="1">
        <v>-8.0709859999999997E-7</v>
      </c>
      <c r="I3558">
        <v>230.71379999999999</v>
      </c>
      <c r="J3558">
        <v>-492.52760000000001</v>
      </c>
      <c r="K3558">
        <v>1.1217410000000001</v>
      </c>
      <c r="L3558">
        <v>241.5797</v>
      </c>
      <c r="M3558">
        <v>8.6902219999999992E-3</v>
      </c>
      <c r="N3558">
        <v>-1.414762E-2</v>
      </c>
      <c r="O3558">
        <v>-0.99986240000000004</v>
      </c>
      <c r="P3558">
        <v>5.2630879999999998E-2</v>
      </c>
      <c r="Q3558">
        <v>-8.662098E-2</v>
      </c>
      <c r="R3558">
        <v>-0.99485040000000002</v>
      </c>
      <c r="S3558">
        <v>0.35385129999999998</v>
      </c>
      <c r="T3558">
        <v>-0.30315599999999998</v>
      </c>
      <c r="U3558">
        <v>-2.9705659999999998</v>
      </c>
      <c r="V3558">
        <v>-4.3892559999999997E-2</v>
      </c>
      <c r="W3558">
        <v>-7.2586289999999998E-2</v>
      </c>
      <c r="X3558">
        <v>0.99639580000000005</v>
      </c>
      <c r="Y3558">
        <v>-0.10911319999999999</v>
      </c>
      <c r="Z3558">
        <v>8.678669E-2</v>
      </c>
      <c r="AA3558">
        <v>0.99023349999999999</v>
      </c>
      <c r="AB3558">
        <v>18</v>
      </c>
      <c r="AC3558">
        <v>1.3075999999999699</v>
      </c>
      <c r="AD3558">
        <v>-1.1217418070985901</v>
      </c>
      <c r="AE3558">
        <v>-10.8659</v>
      </c>
      <c r="AF3558">
        <v>-1.2005024142360901</v>
      </c>
      <c r="AG3558">
        <v>-1.1217418070985901</v>
      </c>
      <c r="AH3558">
        <v>10.7637769230872</v>
      </c>
      <c r="AI3558">
        <v>95.913173128150802</v>
      </c>
      <c r="AJ3558">
        <v>96.363995133712606</v>
      </c>
      <c r="AK3558">
        <v>10.8884528000247</v>
      </c>
      <c r="AL3558">
        <v>94.162548964579798</v>
      </c>
      <c r="AM3558">
        <v>92.522324582917506</v>
      </c>
      <c r="AN3558">
        <v>0.99999995828847799</v>
      </c>
    </row>
    <row r="3559" spans="1:40" x14ac:dyDescent="0.25">
      <c r="A3559" t="str">
        <f>"20190303154206310"</f>
        <v>20190303154206310</v>
      </c>
      <c r="B3559" t="str">
        <f>"1551598926303131"</f>
        <v>1551598926303131</v>
      </c>
      <c r="C3559" t="s">
        <v>40</v>
      </c>
      <c r="D3559">
        <v>5.457859</v>
      </c>
      <c r="E3559">
        <v>0.47313670000000002</v>
      </c>
      <c r="F3559" t="s">
        <v>41</v>
      </c>
      <c r="G3559">
        <v>-491.16090000000003</v>
      </c>
      <c r="H3559" s="1">
        <v>-6.6797649999999999E-7</v>
      </c>
      <c r="I3559">
        <v>230.42619999999999</v>
      </c>
      <c r="J3559">
        <v>-492.52519999999998</v>
      </c>
      <c r="K3559">
        <v>1.121731</v>
      </c>
      <c r="L3559">
        <v>241.4204</v>
      </c>
      <c r="M3559">
        <v>9.5098690000000007E-3</v>
      </c>
      <c r="N3559">
        <v>-1.4144159999999999E-2</v>
      </c>
      <c r="O3559">
        <v>-0.99985469999999999</v>
      </c>
      <c r="P3559">
        <v>5.4078210000000002E-2</v>
      </c>
      <c r="Q3559">
        <v>-8.5957710000000007E-2</v>
      </c>
      <c r="R3559">
        <v>-0.9948304</v>
      </c>
      <c r="S3559">
        <v>0.36398320000000001</v>
      </c>
      <c r="T3559">
        <v>-0.29872860000000001</v>
      </c>
      <c r="U3559">
        <v>-2.9702609999999998</v>
      </c>
      <c r="V3559">
        <v>-4.4525639999999998E-2</v>
      </c>
      <c r="W3559">
        <v>-7.1926470000000006E-2</v>
      </c>
      <c r="X3559">
        <v>0.99641559999999996</v>
      </c>
      <c r="Y3559">
        <v>-0.1116538</v>
      </c>
      <c r="Z3559">
        <v>8.5305560000000002E-2</v>
      </c>
      <c r="AA3559">
        <v>0.99007900000000004</v>
      </c>
      <c r="AB3559">
        <v>18</v>
      </c>
      <c r="AC3559">
        <v>1.3642999999999501</v>
      </c>
      <c r="AD3559">
        <v>-1.1217316679764999</v>
      </c>
      <c r="AE3559">
        <v>-10.994199999999999</v>
      </c>
      <c r="AF3559">
        <v>-1.2468911422255</v>
      </c>
      <c r="AG3559">
        <v>-1.1217316679764999</v>
      </c>
      <c r="AH3559">
        <v>10.894981625569899</v>
      </c>
      <c r="AI3559">
        <v>95.840519490240396</v>
      </c>
      <c r="AJ3559">
        <v>96.528888032370702</v>
      </c>
      <c r="AK3559">
        <v>11.023322733051399</v>
      </c>
      <c r="AL3559">
        <v>94.124644816076795</v>
      </c>
      <c r="AM3559">
        <v>92.558606300587996</v>
      </c>
      <c r="AN3559">
        <v>0.99999999881371504</v>
      </c>
    </row>
    <row r="3560" spans="1:40" x14ac:dyDescent="0.25">
      <c r="A3560" t="str">
        <f>"20190303154206323"</f>
        <v>20190303154206323</v>
      </c>
      <c r="B3560" t="str">
        <f>"1551598926312892"</f>
        <v>1551598926312892</v>
      </c>
      <c r="C3560" t="s">
        <v>40</v>
      </c>
      <c r="D3560">
        <v>5.468718</v>
      </c>
      <c r="E3560">
        <v>0.4728696</v>
      </c>
      <c r="F3560" t="s">
        <v>41</v>
      </c>
      <c r="G3560">
        <v>-491.1121</v>
      </c>
      <c r="H3560" s="1">
        <v>-5.773942E-7</v>
      </c>
      <c r="I3560">
        <v>230.24529999999999</v>
      </c>
      <c r="J3560">
        <v>-492.52359999999999</v>
      </c>
      <c r="K3560">
        <v>1.1217269999999999</v>
      </c>
      <c r="L3560">
        <v>241.31700000000001</v>
      </c>
      <c r="M3560">
        <v>1.004644E-2</v>
      </c>
      <c r="N3560">
        <v>-1.4141880000000001E-2</v>
      </c>
      <c r="O3560">
        <v>-0.99984969999999995</v>
      </c>
      <c r="P3560">
        <v>5.4975759999999999E-2</v>
      </c>
      <c r="Q3560">
        <v>-8.6250430000000003E-2</v>
      </c>
      <c r="R3560">
        <v>-0.99475590000000003</v>
      </c>
      <c r="S3560">
        <v>0.3754883</v>
      </c>
      <c r="T3560">
        <v>-0.29806450000000001</v>
      </c>
      <c r="U3560">
        <v>-2.969452</v>
      </c>
      <c r="V3560">
        <v>-4.4889569999999997E-2</v>
      </c>
      <c r="W3560">
        <v>-7.2222140000000004E-2</v>
      </c>
      <c r="X3560">
        <v>0.99637790000000004</v>
      </c>
      <c r="Y3560">
        <v>-0.11493009999999999</v>
      </c>
      <c r="Z3560">
        <v>8.5073330000000003E-2</v>
      </c>
      <c r="AA3560">
        <v>0.98972400000000005</v>
      </c>
      <c r="AB3560">
        <v>18</v>
      </c>
      <c r="AC3560">
        <v>1.41149999999998</v>
      </c>
      <c r="AD3560">
        <v>-1.1217275773941999</v>
      </c>
      <c r="AE3560">
        <v>-11.0717</v>
      </c>
      <c r="AF3560">
        <v>-1.2871852188553099</v>
      </c>
      <c r="AG3560">
        <v>-1.1217275773941999</v>
      </c>
      <c r="AH3560">
        <v>10.9744750417884</v>
      </c>
      <c r="AI3560">
        <v>95.796610707840102</v>
      </c>
      <c r="AJ3560">
        <v>96.689600860943202</v>
      </c>
      <c r="AK3560">
        <v>11.106494540959501</v>
      </c>
      <c r="AL3560">
        <v>94.141629563869699</v>
      </c>
      <c r="AM3560">
        <v>92.579588387001294</v>
      </c>
      <c r="AN3560">
        <v>1.00000001530468</v>
      </c>
    </row>
    <row r="3561" spans="1:40" x14ac:dyDescent="0.25">
      <c r="A3561" t="str">
        <f>"20190303154206337"</f>
        <v>20190303154206337</v>
      </c>
      <c r="B3561" t="str">
        <f>"1551598926333388"</f>
        <v>1551598926333388</v>
      </c>
      <c r="C3561" t="s">
        <v>40</v>
      </c>
      <c r="D3561">
        <v>5.4640820000000003</v>
      </c>
      <c r="E3561">
        <v>0.47251300000000002</v>
      </c>
      <c r="F3561" t="s">
        <v>41</v>
      </c>
      <c r="G3561">
        <v>-491.09809999999999</v>
      </c>
      <c r="H3561" s="1">
        <v>-5.4244129999999998E-7</v>
      </c>
      <c r="I3561">
        <v>230.17250000000001</v>
      </c>
      <c r="J3561">
        <v>-492.52179999999998</v>
      </c>
      <c r="K3561">
        <v>1.1217200000000001</v>
      </c>
      <c r="L3561">
        <v>241.20359999999999</v>
      </c>
      <c r="M3561">
        <v>1.063684E-2</v>
      </c>
      <c r="N3561">
        <v>-1.413935E-2</v>
      </c>
      <c r="O3561">
        <v>-0.9998435</v>
      </c>
      <c r="P3561">
        <v>5.6131489999999999E-2</v>
      </c>
      <c r="Q3561">
        <v>-8.6188760000000003E-2</v>
      </c>
      <c r="R3561">
        <v>-0.99469640000000004</v>
      </c>
      <c r="S3561">
        <v>0.37976070000000001</v>
      </c>
      <c r="T3561">
        <v>-0.29883159999999998</v>
      </c>
      <c r="U3561">
        <v>-2.9689179999999999</v>
      </c>
      <c r="V3561">
        <v>-4.545942E-2</v>
      </c>
      <c r="W3561">
        <v>-7.2163530000000004E-2</v>
      </c>
      <c r="X3561">
        <v>0.99635629999999997</v>
      </c>
      <c r="Y3561">
        <v>-0.11576359999999999</v>
      </c>
      <c r="Z3561">
        <v>8.5332409999999997E-2</v>
      </c>
      <c r="AA3561">
        <v>0.9896045</v>
      </c>
      <c r="AB3561">
        <v>18</v>
      </c>
      <c r="AC3561">
        <v>1.42369999999999</v>
      </c>
      <c r="AD3561">
        <v>-1.1217205424412999</v>
      </c>
      <c r="AE3561">
        <v>-11.031099999999901</v>
      </c>
      <c r="AF3561">
        <v>-1.29311954629281</v>
      </c>
      <c r="AG3561">
        <v>-1.1217205424412999</v>
      </c>
      <c r="AH3561">
        <v>10.9344087771309</v>
      </c>
      <c r="AI3561">
        <v>95.817016529223096</v>
      </c>
      <c r="AJ3561">
        <v>96.744558408446395</v>
      </c>
      <c r="AK3561">
        <v>11.067597320183699</v>
      </c>
      <c r="AL3561">
        <v>94.1382627147579</v>
      </c>
      <c r="AM3561">
        <v>92.612346409794498</v>
      </c>
      <c r="AN3561">
        <v>1.0000000052392399</v>
      </c>
    </row>
    <row r="3562" spans="1:40" x14ac:dyDescent="0.25">
      <c r="A3562" t="str">
        <f>"20190303154206350"</f>
        <v>20190303154206350</v>
      </c>
      <c r="B3562" t="str">
        <f>"1551598926343148"</f>
        <v>1551598926343148</v>
      </c>
      <c r="C3562" t="s">
        <v>40</v>
      </c>
      <c r="D3562">
        <v>5.4241820000000001</v>
      </c>
      <c r="E3562">
        <v>0.4723233</v>
      </c>
      <c r="F3562" t="s">
        <v>41</v>
      </c>
      <c r="G3562">
        <v>-491.06880000000001</v>
      </c>
      <c r="H3562" s="1">
        <v>-4.7447809999999999E-7</v>
      </c>
      <c r="I3562">
        <v>230.03219999999999</v>
      </c>
      <c r="J3562">
        <v>-492.5197</v>
      </c>
      <c r="K3562">
        <v>1.121718</v>
      </c>
      <c r="L3562">
        <v>241.08449999999999</v>
      </c>
      <c r="M3562">
        <v>1.125929E-2</v>
      </c>
      <c r="N3562">
        <v>-1.4136599999999999E-2</v>
      </c>
      <c r="O3562">
        <v>-0.99983690000000003</v>
      </c>
      <c r="P3562">
        <v>5.7345710000000001E-2</v>
      </c>
      <c r="Q3562">
        <v>-8.6073200000000002E-2</v>
      </c>
      <c r="R3562">
        <v>-0.9946372</v>
      </c>
      <c r="S3562">
        <v>0.38607789999999997</v>
      </c>
      <c r="T3562">
        <v>-0.29805510000000002</v>
      </c>
      <c r="U3562">
        <v>-2.968369</v>
      </c>
      <c r="V3562">
        <v>-4.6055079999999998E-2</v>
      </c>
      <c r="W3562">
        <v>-7.2051169999999998E-2</v>
      </c>
      <c r="X3562">
        <v>0.99633709999999998</v>
      </c>
      <c r="Y3562">
        <v>-0.1172416</v>
      </c>
      <c r="Z3562">
        <v>8.5074880000000005E-2</v>
      </c>
      <c r="AA3562">
        <v>0.98945269999999996</v>
      </c>
      <c r="AB3562">
        <v>18</v>
      </c>
      <c r="AC3562">
        <v>1.4508999999999801</v>
      </c>
      <c r="AD3562">
        <v>-1.1217184744780999</v>
      </c>
      <c r="AE3562">
        <v>-11.052300000000001</v>
      </c>
      <c r="AF3562">
        <v>-1.31305840375073</v>
      </c>
      <c r="AG3562">
        <v>-1.1217184744780999</v>
      </c>
      <c r="AH3562">
        <v>10.956985578613301</v>
      </c>
      <c r="AI3562">
        <v>95.804035360998796</v>
      </c>
      <c r="AJ3562">
        <v>96.833598163329796</v>
      </c>
      <c r="AK3562">
        <v>11.0922453848437</v>
      </c>
      <c r="AL3562">
        <v>94.131808059973807</v>
      </c>
      <c r="AM3562">
        <v>92.646578859196396</v>
      </c>
      <c r="AN3562">
        <v>1.0000000291642901</v>
      </c>
    </row>
    <row r="3563" spans="1:40" x14ac:dyDescent="0.25">
      <c r="A3563" t="str">
        <f>"20190303154206366"</f>
        <v>20190303154206366</v>
      </c>
      <c r="B3563" t="str">
        <f>"1551598926363644"</f>
        <v>1551598926363644</v>
      </c>
      <c r="C3563" t="s">
        <v>40</v>
      </c>
      <c r="D3563">
        <v>5.4471860000000003</v>
      </c>
      <c r="E3563">
        <v>0.47202240000000001</v>
      </c>
      <c r="F3563" t="s">
        <v>41</v>
      </c>
      <c r="G3563">
        <v>-491.0455</v>
      </c>
      <c r="H3563" s="1">
        <v>-4.1477130000000001E-7</v>
      </c>
      <c r="I3563">
        <v>229.9075</v>
      </c>
      <c r="J3563">
        <v>-492.51749999999998</v>
      </c>
      <c r="K3563">
        <v>1.1217109999999999</v>
      </c>
      <c r="L3563">
        <v>240.96019999999999</v>
      </c>
      <c r="M3563">
        <v>1.190891E-2</v>
      </c>
      <c r="N3563">
        <v>-1.4133730000000001E-2</v>
      </c>
      <c r="O3563">
        <v>-0.99982919999999997</v>
      </c>
      <c r="P3563">
        <v>5.9884100000000003E-2</v>
      </c>
      <c r="Q3563">
        <v>-8.6562840000000002E-2</v>
      </c>
      <c r="R3563">
        <v>-0.99444500000000002</v>
      </c>
      <c r="S3563">
        <v>0.39144899999999999</v>
      </c>
      <c r="T3563">
        <v>-0.29785339999999999</v>
      </c>
      <c r="U3563">
        <v>-2.9678650000000002</v>
      </c>
      <c r="V3563">
        <v>-4.7949360000000003E-2</v>
      </c>
      <c r="W3563">
        <v>-7.2547150000000005E-2</v>
      </c>
      <c r="X3563">
        <v>0.99621170000000003</v>
      </c>
      <c r="Y3563">
        <v>-0.1183782</v>
      </c>
      <c r="Z3563">
        <v>8.5009169999999995E-2</v>
      </c>
      <c r="AA3563">
        <v>0.98932299999999995</v>
      </c>
      <c r="AB3563">
        <v>18</v>
      </c>
      <c r="AC3563">
        <v>1.47199999999998</v>
      </c>
      <c r="AD3563">
        <v>-1.1217114147713001</v>
      </c>
      <c r="AE3563">
        <v>-11.0526999999999</v>
      </c>
      <c r="AF3563">
        <v>-1.32682903445809</v>
      </c>
      <c r="AG3563">
        <v>-1.1217114147713001</v>
      </c>
      <c r="AH3563">
        <v>10.958544833757401</v>
      </c>
      <c r="AI3563">
        <v>95.802330674013206</v>
      </c>
      <c r="AJ3563">
        <v>96.903603927374704</v>
      </c>
      <c r="AK3563">
        <v>11.0954232302414</v>
      </c>
      <c r="AL3563">
        <v>94.1603003447795</v>
      </c>
      <c r="AM3563">
        <v>92.755616487174805</v>
      </c>
      <c r="AN3563">
        <v>0.99999999065721101</v>
      </c>
    </row>
    <row r="3564" spans="1:40" x14ac:dyDescent="0.25">
      <c r="A3564" t="str">
        <f>"20190303154206380"</f>
        <v>20190303154206380</v>
      </c>
      <c r="B3564" t="str">
        <f>"1551598926373404"</f>
        <v>1551598926373404</v>
      </c>
      <c r="C3564" t="s">
        <v>40</v>
      </c>
      <c r="D3564">
        <v>5.4405099999999997</v>
      </c>
      <c r="E3564">
        <v>0.47196379999999999</v>
      </c>
      <c r="F3564" t="s">
        <v>41</v>
      </c>
      <c r="G3564">
        <v>-491.01729999999998</v>
      </c>
      <c r="H3564" s="1">
        <v>-3.914395E-7</v>
      </c>
      <c r="I3564">
        <v>229.8706</v>
      </c>
      <c r="J3564">
        <v>-492.51560000000001</v>
      </c>
      <c r="K3564">
        <v>1.1217060000000001</v>
      </c>
      <c r="L3564">
        <v>240.85249999999999</v>
      </c>
      <c r="M3564">
        <v>1.2471289999999999E-2</v>
      </c>
      <c r="N3564">
        <v>-1.413123E-2</v>
      </c>
      <c r="O3564">
        <v>-0.99982249999999995</v>
      </c>
      <c r="P3564">
        <v>6.166837E-2</v>
      </c>
      <c r="Q3564">
        <v>-8.7079450000000003E-2</v>
      </c>
      <c r="R3564">
        <v>-0.99429089999999998</v>
      </c>
      <c r="S3564">
        <v>0.4013062</v>
      </c>
      <c r="T3564">
        <v>-0.3000582</v>
      </c>
      <c r="U3564">
        <v>-2.9664760000000001</v>
      </c>
      <c r="V3564">
        <v>-4.9175879999999998E-2</v>
      </c>
      <c r="W3564">
        <v>-7.3068569999999999E-2</v>
      </c>
      <c r="X3564">
        <v>0.99611380000000005</v>
      </c>
      <c r="Y3564">
        <v>-0.1210977</v>
      </c>
      <c r="Z3564">
        <v>8.5746269999999999E-2</v>
      </c>
      <c r="AA3564">
        <v>0.98893019999999998</v>
      </c>
      <c r="AB3564">
        <v>18</v>
      </c>
      <c r="AC3564">
        <v>1.4983000000000199</v>
      </c>
      <c r="AD3564">
        <v>-1.12170639143949</v>
      </c>
      <c r="AE3564">
        <v>-10.9818999999999</v>
      </c>
      <c r="AF3564">
        <v>-1.3474108690836899</v>
      </c>
      <c r="AG3564">
        <v>-1.12170639143949</v>
      </c>
      <c r="AH3564">
        <v>10.888213982543199</v>
      </c>
      <c r="AI3564">
        <v>95.837657043866301</v>
      </c>
      <c r="AJ3564">
        <v>97.054458569377402</v>
      </c>
      <c r="AK3564">
        <v>11.028460681725701</v>
      </c>
      <c r="AL3564">
        <v>94.1902550017751</v>
      </c>
      <c r="AM3564">
        <v>92.826268193784699</v>
      </c>
      <c r="AN3564">
        <v>0.99999999282302898</v>
      </c>
    </row>
    <row r="3565" spans="1:40" x14ac:dyDescent="0.25">
      <c r="A3565" t="str">
        <f>"20190303154206392"</f>
        <v>20190303154206392</v>
      </c>
      <c r="B3565" t="str">
        <f>"1551598926383164"</f>
        <v>1551598926383164</v>
      </c>
      <c r="C3565" t="s">
        <v>40</v>
      </c>
      <c r="D3565">
        <v>5.4335969999999998</v>
      </c>
      <c r="E3565">
        <v>0.4718503</v>
      </c>
      <c r="F3565" t="s">
        <v>41</v>
      </c>
      <c r="G3565">
        <v>-491.00099999999998</v>
      </c>
      <c r="H3565" s="1">
        <v>-3.6619609999999902E-7</v>
      </c>
      <c r="I3565">
        <v>229.8219</v>
      </c>
      <c r="J3565">
        <v>-492.51369999999997</v>
      </c>
      <c r="K3565">
        <v>1.1216999999999999</v>
      </c>
      <c r="L3565">
        <v>240.74799999999999</v>
      </c>
      <c r="M3565">
        <v>1.301596E-2</v>
      </c>
      <c r="N3565">
        <v>-1.4128740000000001E-2</v>
      </c>
      <c r="O3565">
        <v>-0.99981560000000003</v>
      </c>
      <c r="P3565">
        <v>6.3359390000000002E-2</v>
      </c>
      <c r="Q3565">
        <v>-8.6982970000000007E-2</v>
      </c>
      <c r="R3565">
        <v>-0.99419329999999995</v>
      </c>
      <c r="S3565">
        <v>0.407196</v>
      </c>
      <c r="T3565">
        <v>-0.30157279999999997</v>
      </c>
      <c r="U3565">
        <v>-2.9656069999999999</v>
      </c>
      <c r="V3565">
        <v>-5.032706E-2</v>
      </c>
      <c r="W3565">
        <v>-7.2976009999999994E-2</v>
      </c>
      <c r="X3565">
        <v>0.99606309999999998</v>
      </c>
      <c r="Y3565">
        <v>-0.1225161</v>
      </c>
      <c r="Z3565">
        <v>8.6254600000000001E-2</v>
      </c>
      <c r="AA3565">
        <v>0.98871120000000001</v>
      </c>
      <c r="AB3565">
        <v>18</v>
      </c>
      <c r="AC3565">
        <v>1.5126999999999899</v>
      </c>
      <c r="AD3565">
        <v>-1.1217003661961</v>
      </c>
      <c r="AE3565">
        <v>-10.9260999999999</v>
      </c>
      <c r="AF3565">
        <v>-1.3563178040983901</v>
      </c>
      <c r="AG3565">
        <v>-1.1217003661961</v>
      </c>
      <c r="AH3565">
        <v>10.8328391749624</v>
      </c>
      <c r="AI3565">
        <v>95.866219869607406</v>
      </c>
      <c r="AJ3565">
        <v>97.136540242421603</v>
      </c>
      <c r="AK3565">
        <v>10.974890172017099</v>
      </c>
      <c r="AL3565">
        <v>94.184937456879297</v>
      </c>
      <c r="AM3565">
        <v>92.892465470713603</v>
      </c>
      <c r="AN3565">
        <v>1.0000000050926801</v>
      </c>
    </row>
    <row r="3566" spans="1:40" x14ac:dyDescent="0.25">
      <c r="A3566" t="str">
        <f>"20190303154206404"</f>
        <v>20190303154206404</v>
      </c>
      <c r="B3566" t="str">
        <f>"1551598926392925"</f>
        <v>1551598926392925</v>
      </c>
      <c r="C3566" t="s">
        <v>40</v>
      </c>
      <c r="D3566">
        <v>5.4665949999999999</v>
      </c>
      <c r="E3566">
        <v>0.47173540000000003</v>
      </c>
      <c r="F3566" t="s">
        <v>41</v>
      </c>
      <c r="G3566">
        <v>-490.98039999999997</v>
      </c>
      <c r="H3566" s="1">
        <v>-3.249325E-7</v>
      </c>
      <c r="I3566">
        <v>229.73849999999999</v>
      </c>
      <c r="J3566">
        <v>-492.51179999999999</v>
      </c>
      <c r="K3566">
        <v>1.1216969999999999</v>
      </c>
      <c r="L3566">
        <v>240.65350000000001</v>
      </c>
      <c r="M3566">
        <v>1.350791E-2</v>
      </c>
      <c r="N3566">
        <v>-1.4126440000000001E-2</v>
      </c>
      <c r="O3566">
        <v>-0.99980910000000001</v>
      </c>
      <c r="P3566">
        <v>6.5182100000000007E-2</v>
      </c>
      <c r="Q3566">
        <v>-8.7051699999999996E-2</v>
      </c>
      <c r="R3566">
        <v>-0.99406930000000004</v>
      </c>
      <c r="S3566">
        <v>0.41290280000000001</v>
      </c>
      <c r="T3566">
        <v>-0.30206559999999999</v>
      </c>
      <c r="U3566">
        <v>-2.964798</v>
      </c>
      <c r="V3566">
        <v>-5.1662329999999999E-2</v>
      </c>
      <c r="W3566">
        <v>-7.3049050000000004E-2</v>
      </c>
      <c r="X3566">
        <v>0.99598940000000002</v>
      </c>
      <c r="Y3566">
        <v>-0.1239281</v>
      </c>
      <c r="Z3566">
        <v>8.6424059999999997E-2</v>
      </c>
      <c r="AA3566">
        <v>0.98852039999999997</v>
      </c>
      <c r="AB3566">
        <v>18</v>
      </c>
      <c r="AC3566">
        <v>1.5314000000000101</v>
      </c>
      <c r="AD3566">
        <v>-1.1216973249325</v>
      </c>
      <c r="AE3566">
        <v>-10.914999999999999</v>
      </c>
      <c r="AF3566">
        <v>-1.36962142187001</v>
      </c>
      <c r="AG3566">
        <v>-1.1216973249325</v>
      </c>
      <c r="AH3566">
        <v>10.8226013241886</v>
      </c>
      <c r="AI3566">
        <v>95.870740940048293</v>
      </c>
      <c r="AJ3566">
        <v>97.212552369313201</v>
      </c>
      <c r="AK3566">
        <v>10.9664382162275</v>
      </c>
      <c r="AL3566">
        <v>94.189133466874793</v>
      </c>
      <c r="AM3566">
        <v>92.969291696791203</v>
      </c>
      <c r="AN3566">
        <v>1.0000000224796399</v>
      </c>
    </row>
    <row r="3567" spans="1:40" x14ac:dyDescent="0.25">
      <c r="A3567" t="str">
        <f>"20190303154206417"</f>
        <v>20190303154206417</v>
      </c>
      <c r="B3567" t="str">
        <f>"1551598926413420"</f>
        <v>1551598926413420</v>
      </c>
      <c r="C3567" t="s">
        <v>40</v>
      </c>
      <c r="D3567">
        <v>5.4381940000000002</v>
      </c>
      <c r="E3567">
        <v>0.47166619999999998</v>
      </c>
      <c r="F3567" t="s">
        <v>41</v>
      </c>
      <c r="G3567">
        <v>-490.95940000000002</v>
      </c>
      <c r="H3567" s="1">
        <v>-2.9586520000000002E-7</v>
      </c>
      <c r="I3567">
        <v>229.68369999999999</v>
      </c>
      <c r="J3567">
        <v>-492.50990000000002</v>
      </c>
      <c r="K3567">
        <v>1.1216969999999999</v>
      </c>
      <c r="L3567">
        <v>240.55189999999999</v>
      </c>
      <c r="M3567">
        <v>1.403663E-2</v>
      </c>
      <c r="N3567">
        <v>-1.412395E-2</v>
      </c>
      <c r="O3567">
        <v>-0.99980170000000002</v>
      </c>
      <c r="P3567">
        <v>6.7038390000000003E-2</v>
      </c>
      <c r="Q3567">
        <v>-8.7229790000000001E-2</v>
      </c>
      <c r="R3567">
        <v>-0.99392999999999998</v>
      </c>
      <c r="S3567">
        <v>0.41943359999999902</v>
      </c>
      <c r="T3567">
        <v>-0.30306080000000002</v>
      </c>
      <c r="U3567">
        <v>-2.9638369999999998</v>
      </c>
      <c r="V3567">
        <v>-5.2995639999999997E-2</v>
      </c>
      <c r="W3567">
        <v>-7.3231660000000004E-2</v>
      </c>
      <c r="X3567">
        <v>0.99590590000000001</v>
      </c>
      <c r="Y3567">
        <v>-0.12557739999999901</v>
      </c>
      <c r="Z3567">
        <v>8.6760619999999997E-2</v>
      </c>
      <c r="AA3567">
        <v>0.98828280000000002</v>
      </c>
      <c r="AB3567">
        <v>18</v>
      </c>
      <c r="AC3567">
        <v>1.55049999999999</v>
      </c>
      <c r="AD3567">
        <v>-1.1216972958651901</v>
      </c>
      <c r="AE3567">
        <v>-10.8682</v>
      </c>
      <c r="AF3567">
        <v>-1.3833375421816301</v>
      </c>
      <c r="AG3567">
        <v>-1.1216972958651901</v>
      </c>
      <c r="AH3567">
        <v>10.7763933334606</v>
      </c>
      <c r="AI3567">
        <v>95.894404108189406</v>
      </c>
      <c r="AJ3567">
        <v>97.314906218587694</v>
      </c>
      <c r="AK3567">
        <v>10.9225675029553</v>
      </c>
      <c r="AL3567">
        <v>94.1996244931495</v>
      </c>
      <c r="AM3567">
        <v>93.046036081113201</v>
      </c>
      <c r="AN3567">
        <v>0.99999998777008703</v>
      </c>
    </row>
    <row r="3568" spans="1:40" x14ac:dyDescent="0.25">
      <c r="A3568" t="str">
        <f>"20190303154206431"</f>
        <v>20190303154206431</v>
      </c>
      <c r="B3568" t="str">
        <f>"1551598926423179"</f>
        <v>1551598926423179</v>
      </c>
      <c r="C3568" t="s">
        <v>40</v>
      </c>
      <c r="D3568">
        <v>5.4384269999999999</v>
      </c>
      <c r="E3568">
        <v>0.4716727</v>
      </c>
      <c r="F3568" t="s">
        <v>46</v>
      </c>
      <c r="G3568">
        <v>-490.93759999999997</v>
      </c>
      <c r="H3568" s="1">
        <v>6.3716670000000001E-6</v>
      </c>
      <c r="I3568">
        <v>229.61420000000001</v>
      </c>
      <c r="J3568">
        <v>-492.50729999999999</v>
      </c>
      <c r="K3568">
        <v>1.1216930000000001</v>
      </c>
      <c r="L3568">
        <v>240.4239</v>
      </c>
      <c r="M3568">
        <v>1.470101E-2</v>
      </c>
      <c r="N3568">
        <v>-1.4120819999999999E-2</v>
      </c>
      <c r="O3568">
        <v>-0.99979240000000003</v>
      </c>
      <c r="P3568">
        <v>6.963279E-2</v>
      </c>
      <c r="Q3568">
        <v>-8.6725699999999906E-2</v>
      </c>
      <c r="R3568">
        <v>-0.99379589999999995</v>
      </c>
      <c r="S3568">
        <v>0.42590329999999899</v>
      </c>
      <c r="T3568">
        <v>-0.30385790000000001</v>
      </c>
      <c r="U3568">
        <v>-2.962936</v>
      </c>
      <c r="V3568">
        <v>-5.4931760000000003E-2</v>
      </c>
      <c r="W3568">
        <v>-7.2732920000000006E-2</v>
      </c>
      <c r="X3568">
        <v>0.99583759999999999</v>
      </c>
      <c r="Y3568">
        <v>-0.12706990000000001</v>
      </c>
      <c r="Z3568">
        <v>8.7031109999999995E-2</v>
      </c>
      <c r="AA3568">
        <v>0.98806819999999895</v>
      </c>
      <c r="AB3568">
        <v>18</v>
      </c>
      <c r="AC3568">
        <v>1.5697000000000101</v>
      </c>
      <c r="AD3568">
        <v>-1.121686628333</v>
      </c>
      <c r="AE3568">
        <v>-10.8096999999999</v>
      </c>
      <c r="AF3568">
        <v>-1.39588121758603</v>
      </c>
      <c r="AG3568">
        <v>-1.121686628333</v>
      </c>
      <c r="AH3568">
        <v>10.718580914837201</v>
      </c>
      <c r="AI3568">
        <v>95.924521377071798</v>
      </c>
      <c r="AJ3568">
        <v>97.419873003250004</v>
      </c>
      <c r="AK3568">
        <v>10.8671358735273</v>
      </c>
      <c r="AL3568">
        <v>94.170972123925594</v>
      </c>
      <c r="AM3568">
        <v>93.157313591455207</v>
      </c>
      <c r="AN3568">
        <v>1.00000005074109</v>
      </c>
    </row>
    <row r="3569" spans="1:40" x14ac:dyDescent="0.25">
      <c r="A3569" t="str">
        <f>"20190303154206443"</f>
        <v>20190303154206443</v>
      </c>
      <c r="B3569" t="str">
        <f>"1551598926432940"</f>
        <v>1551598926432940</v>
      </c>
      <c r="C3569" t="s">
        <v>40</v>
      </c>
      <c r="D3569">
        <v>5.4099110000000001</v>
      </c>
      <c r="E3569">
        <v>0.4717076</v>
      </c>
      <c r="F3569" t="s">
        <v>46</v>
      </c>
      <c r="G3569">
        <v>-490.90359999999998</v>
      </c>
      <c r="H3569" s="1">
        <v>6.345505E-6</v>
      </c>
      <c r="I3569">
        <v>229.45490000000001</v>
      </c>
      <c r="J3569">
        <v>-492.50529999999998</v>
      </c>
      <c r="K3569">
        <v>1.1216889999999999</v>
      </c>
      <c r="L3569">
        <v>240.3331</v>
      </c>
      <c r="M3569">
        <v>1.517198E-2</v>
      </c>
      <c r="N3569">
        <v>-1.411867E-2</v>
      </c>
      <c r="O3569">
        <v>-0.99978549999999999</v>
      </c>
      <c r="P3569">
        <v>7.0585679999999998E-2</v>
      </c>
      <c r="Q3569">
        <v>-8.6375709999999994E-2</v>
      </c>
      <c r="R3569">
        <v>-0.99375919999999895</v>
      </c>
      <c r="S3569">
        <v>0.4330444</v>
      </c>
      <c r="T3569">
        <v>-0.30289290000000002</v>
      </c>
      <c r="U3569">
        <v>-2.9619900000000001</v>
      </c>
      <c r="V3569">
        <v>-5.5417979999999999E-2</v>
      </c>
      <c r="W3569">
        <v>-7.2385000000000005E-2</v>
      </c>
      <c r="X3569">
        <v>0.99583600000000005</v>
      </c>
      <c r="Y3569">
        <v>-0.12898270000000001</v>
      </c>
      <c r="Z3569">
        <v>8.6716680000000004E-2</v>
      </c>
      <c r="AA3569">
        <v>0.98784799999999995</v>
      </c>
      <c r="AB3569">
        <v>18</v>
      </c>
      <c r="AC3569">
        <v>1.6016999999999899</v>
      </c>
      <c r="AD3569">
        <v>-1.121682654495</v>
      </c>
      <c r="AE3569">
        <v>-10.8781999999999</v>
      </c>
      <c r="AF3569">
        <v>-1.4216606325232899</v>
      </c>
      <c r="AG3569">
        <v>-1.121682654495</v>
      </c>
      <c r="AH3569">
        <v>10.7889738755071</v>
      </c>
      <c r="AI3569">
        <v>95.884959327483898</v>
      </c>
      <c r="AJ3569">
        <v>97.506604776063398</v>
      </c>
      <c r="AK3569">
        <v>10.9398925139983</v>
      </c>
      <c r="AL3569">
        <v>94.150985139350794</v>
      </c>
      <c r="AM3569">
        <v>93.185207880883397</v>
      </c>
      <c r="AN3569">
        <v>1.00000003981413</v>
      </c>
    </row>
    <row r="3570" spans="1:40" x14ac:dyDescent="0.25">
      <c r="A3570" t="str">
        <f>"20190303154206456"</f>
        <v>20190303154206456</v>
      </c>
      <c r="B3570" t="str">
        <f>"1551598926453436"</f>
        <v>1551598926453436</v>
      </c>
      <c r="C3570" t="s">
        <v>40</v>
      </c>
      <c r="D3570">
        <v>5.4097169999999997</v>
      </c>
      <c r="E3570">
        <v>0.47169680000000003</v>
      </c>
      <c r="F3570" t="s">
        <v>46</v>
      </c>
      <c r="G3570">
        <v>-490.88740000000001</v>
      </c>
      <c r="H3570" s="1">
        <v>6.3226229999999998E-6</v>
      </c>
      <c r="I3570">
        <v>229.33189999999999</v>
      </c>
      <c r="J3570">
        <v>-492.5034</v>
      </c>
      <c r="K3570">
        <v>1.1216839999999999</v>
      </c>
      <c r="L3570">
        <v>240.2372</v>
      </c>
      <c r="M3570">
        <v>1.566944E-2</v>
      </c>
      <c r="N3570">
        <v>-1.4116419999999999E-2</v>
      </c>
      <c r="O3570">
        <v>-0.99977760000000004</v>
      </c>
      <c r="P3570">
        <v>7.1343870000000004E-2</v>
      </c>
      <c r="Q3570">
        <v>-8.6674950000000001E-2</v>
      </c>
      <c r="R3570">
        <v>-0.99367859999999997</v>
      </c>
      <c r="S3570">
        <v>0.4355774</v>
      </c>
      <c r="T3570">
        <v>-0.3019694</v>
      </c>
      <c r="U3570">
        <v>-2.9616389999999999</v>
      </c>
      <c r="V3570">
        <v>-5.5683139999999999E-2</v>
      </c>
      <c r="W3570">
        <v>-7.2686630000000002E-2</v>
      </c>
      <c r="X3570">
        <v>0.9957992</v>
      </c>
      <c r="Y3570">
        <v>-0.1293369</v>
      </c>
      <c r="Z3570">
        <v>8.6417069999999999E-2</v>
      </c>
      <c r="AA3570">
        <v>0.98782800000000004</v>
      </c>
      <c r="AB3570">
        <v>18</v>
      </c>
      <c r="AC3570">
        <v>1.6159999999999799</v>
      </c>
      <c r="AD3570">
        <v>-1.1216776773770001</v>
      </c>
      <c r="AE3570">
        <v>-10.9053</v>
      </c>
      <c r="AF3570">
        <v>-1.4301000828016499</v>
      </c>
      <c r="AG3570">
        <v>-1.1216776773770001</v>
      </c>
      <c r="AH3570">
        <v>10.817303616203001</v>
      </c>
      <c r="AI3570">
        <v>95.869299952616601</v>
      </c>
      <c r="AJ3570">
        <v>97.531106475688702</v>
      </c>
      <c r="AK3570">
        <v>10.968929053643899</v>
      </c>
      <c r="AL3570">
        <v>94.168313065218996</v>
      </c>
      <c r="AM3570">
        <v>93.200534656833696</v>
      </c>
      <c r="AN3570">
        <v>1.00000000249082</v>
      </c>
    </row>
    <row r="3571" spans="1:40" x14ac:dyDescent="0.25">
      <c r="A3571" t="str">
        <f>"20190303154206468"</f>
        <v>20190303154206468</v>
      </c>
      <c r="B3571" t="str">
        <f>"1551598926463196"</f>
        <v>1551598926463196</v>
      </c>
      <c r="C3571" t="s">
        <v>40</v>
      </c>
      <c r="D3571">
        <v>5.4459780000000002</v>
      </c>
      <c r="E3571">
        <v>0.47171410000000003</v>
      </c>
      <c r="F3571" t="s">
        <v>46</v>
      </c>
      <c r="G3571">
        <v>-490.8836</v>
      </c>
      <c r="H3571" s="1">
        <v>6.3133740000000001E-6</v>
      </c>
      <c r="I3571">
        <v>229.28559999999999</v>
      </c>
      <c r="J3571">
        <v>-492.50119999999998</v>
      </c>
      <c r="K3571">
        <v>1.12168</v>
      </c>
      <c r="L3571">
        <v>240.14099999999999</v>
      </c>
      <c r="M3571">
        <v>1.6166509999999999E-2</v>
      </c>
      <c r="N3571">
        <v>-1.411418E-2</v>
      </c>
      <c r="O3571">
        <v>-0.99976969999999998</v>
      </c>
      <c r="P3571">
        <v>7.229882E-2</v>
      </c>
      <c r="Q3571">
        <v>-8.7131189999999997E-2</v>
      </c>
      <c r="R3571">
        <v>-0.99356999999999995</v>
      </c>
      <c r="S3571">
        <v>0.43795780000000001</v>
      </c>
      <c r="T3571">
        <v>-0.30328929999999998</v>
      </c>
      <c r="U3571">
        <v>-2.961182</v>
      </c>
      <c r="V3571">
        <v>-5.614516E-2</v>
      </c>
      <c r="W3571">
        <v>-7.3145950000000001E-2</v>
      </c>
      <c r="X3571">
        <v>0.99573959999999995</v>
      </c>
      <c r="Y3571">
        <v>-0.1296369</v>
      </c>
      <c r="Z3571">
        <v>8.6861389999999997E-2</v>
      </c>
      <c r="AA3571">
        <v>0.98774960000000001</v>
      </c>
      <c r="AB3571">
        <v>18</v>
      </c>
      <c r="AC3571">
        <v>1.6175999999999799</v>
      </c>
      <c r="AD3571">
        <v>-1.121673686626</v>
      </c>
      <c r="AE3571">
        <v>-10.855399999999999</v>
      </c>
      <c r="AF3571">
        <v>-1.4269725898974801</v>
      </c>
      <c r="AG3571">
        <v>-1.121673686626</v>
      </c>
      <c r="AH3571">
        <v>10.7676676306823</v>
      </c>
      <c r="AI3571">
        <v>95.895901877607102</v>
      </c>
      <c r="AJ3571">
        <v>97.549067755761499</v>
      </c>
      <c r="AK3571">
        <v>10.9195727405623</v>
      </c>
      <c r="AL3571">
        <v>94.194700498742193</v>
      </c>
      <c r="AM3571">
        <v>93.227227320548707</v>
      </c>
      <c r="AN3571">
        <v>0.99999998000049295</v>
      </c>
    </row>
    <row r="3572" spans="1:40" x14ac:dyDescent="0.25">
      <c r="A3572" t="str">
        <f>"20190303154206480"</f>
        <v>20190303154206480</v>
      </c>
      <c r="B3572" t="str">
        <f>"1551598926472956"</f>
        <v>1551598926472956</v>
      </c>
      <c r="C3572" t="s">
        <v>40</v>
      </c>
      <c r="D3572">
        <v>5.4234059999999999</v>
      </c>
      <c r="E3572">
        <v>0.47172389999999997</v>
      </c>
      <c r="F3572" t="s">
        <v>46</v>
      </c>
      <c r="G3572">
        <v>-490.88369999999998</v>
      </c>
      <c r="H3572" s="1">
        <v>6.3087829999999998E-6</v>
      </c>
      <c r="I3572">
        <v>229.26490000000001</v>
      </c>
      <c r="J3572">
        <v>-492.4991</v>
      </c>
      <c r="K3572">
        <v>1.1216729999999999</v>
      </c>
      <c r="L3572">
        <v>240.04140000000001</v>
      </c>
      <c r="M3572">
        <v>1.668087E-2</v>
      </c>
      <c r="N3572">
        <v>-1.411186E-2</v>
      </c>
      <c r="O3572">
        <v>-0.99976160000000003</v>
      </c>
      <c r="P3572">
        <v>7.2940710000000006E-2</v>
      </c>
      <c r="Q3572">
        <v>-8.7920910000000005E-2</v>
      </c>
      <c r="R3572">
        <v>-0.9934537</v>
      </c>
      <c r="S3572">
        <v>0.44030760000000002</v>
      </c>
      <c r="T3572">
        <v>-0.30533149999999998</v>
      </c>
      <c r="U3572">
        <v>-2.9605869999999999</v>
      </c>
      <c r="V3572">
        <v>-5.6277170000000001E-2</v>
      </c>
      <c r="W3572">
        <v>-7.3938589999999998E-2</v>
      </c>
      <c r="X3572">
        <v>0.99567360000000005</v>
      </c>
      <c r="Y3572">
        <v>-0.1299129</v>
      </c>
      <c r="Z3572">
        <v>8.7548609999999999E-2</v>
      </c>
      <c r="AA3572">
        <v>0.98765270000000005</v>
      </c>
      <c r="AB3572">
        <v>18</v>
      </c>
      <c r="AC3572">
        <v>1.6154000000000199</v>
      </c>
      <c r="AD3572">
        <v>-1.1216666912169999</v>
      </c>
      <c r="AE3572">
        <v>-10.7765</v>
      </c>
      <c r="AF3572">
        <v>-1.4203466701668599</v>
      </c>
      <c r="AG3572">
        <v>-1.1216666912169999</v>
      </c>
      <c r="AH3572">
        <v>10.6886971414544</v>
      </c>
      <c r="AI3572">
        <v>95.938838891976999</v>
      </c>
      <c r="AJ3572">
        <v>97.5692931493533</v>
      </c>
      <c r="AK3572">
        <v>10.8408379478422</v>
      </c>
      <c r="AL3572">
        <v>94.240238756032994</v>
      </c>
      <c r="AM3572">
        <v>93.235013137421703</v>
      </c>
      <c r="AN3572">
        <v>0.99999997634567805</v>
      </c>
    </row>
    <row r="3573" spans="1:40" x14ac:dyDescent="0.25">
      <c r="A3573" t="str">
        <f>"20190303154206492"</f>
        <v>20190303154206492</v>
      </c>
      <c r="B3573" t="str">
        <f>"1551598926483693"</f>
        <v>1551598926483693</v>
      </c>
      <c r="C3573" t="s">
        <v>40</v>
      </c>
      <c r="D3573">
        <v>5.433681</v>
      </c>
      <c r="E3573">
        <v>0.4717191</v>
      </c>
      <c r="F3573" t="s">
        <v>46</v>
      </c>
      <c r="G3573">
        <v>-490.8929</v>
      </c>
      <c r="H3573" s="1">
        <v>6.3125250000000002E-6</v>
      </c>
      <c r="I3573">
        <v>229.2929</v>
      </c>
      <c r="J3573">
        <v>-492.4966</v>
      </c>
      <c r="K3573">
        <v>1.1216680000000001</v>
      </c>
      <c r="L3573">
        <v>239.93620000000001</v>
      </c>
      <c r="M3573">
        <v>1.7223289999999999E-2</v>
      </c>
      <c r="N3573">
        <v>-1.4109429999999999E-2</v>
      </c>
      <c r="O3573">
        <v>-0.99975230000000004</v>
      </c>
      <c r="P3573">
        <v>7.3420089999999993E-2</v>
      </c>
      <c r="Q3573">
        <v>-8.8624809999999998E-2</v>
      </c>
      <c r="R3573">
        <v>-0.99335580000000001</v>
      </c>
      <c r="S3573">
        <v>0.44232179999999999</v>
      </c>
      <c r="T3573">
        <v>-0.30888939999999998</v>
      </c>
      <c r="U3573">
        <v>-2.9599760000000002</v>
      </c>
      <c r="V3573">
        <v>-5.6218190000000001E-2</v>
      </c>
      <c r="W3573">
        <v>-7.4645180000000005E-2</v>
      </c>
      <c r="X3573">
        <v>0.99562419999999996</v>
      </c>
      <c r="Y3573">
        <v>-0.13004540000000001</v>
      </c>
      <c r="Z3573">
        <v>8.873781E-2</v>
      </c>
      <c r="AA3573">
        <v>0.9875292</v>
      </c>
      <c r="AB3573">
        <v>18</v>
      </c>
      <c r="AC3573">
        <v>1.6036999999999999</v>
      </c>
      <c r="AD3573">
        <v>-1.1216616874750001</v>
      </c>
      <c r="AE3573">
        <v>-10.6433</v>
      </c>
      <c r="AF3573">
        <v>-1.4048745738913899</v>
      </c>
      <c r="AG3573">
        <v>-1.1216616874750001</v>
      </c>
      <c r="AH3573">
        <v>10.554722615499101</v>
      </c>
      <c r="AI3573">
        <v>96.013474610229295</v>
      </c>
      <c r="AJ3573">
        <v>97.581726130801997</v>
      </c>
      <c r="AK3573">
        <v>10.7067253163441</v>
      </c>
      <c r="AL3573">
        <v>94.280835607452602</v>
      </c>
      <c r="AM3573">
        <v>93.231789949844099</v>
      </c>
      <c r="AN3573">
        <v>0.99999996770487298</v>
      </c>
    </row>
    <row r="3574" spans="1:40" x14ac:dyDescent="0.25">
      <c r="A3574" t="str">
        <f>"20190303154206506"</f>
        <v>20190303154206506</v>
      </c>
      <c r="B3574" t="str">
        <f>"1551598926503212"</f>
        <v>1551598926503212</v>
      </c>
      <c r="C3574" t="s">
        <v>40</v>
      </c>
      <c r="D3574">
        <v>5.4312569999999996</v>
      </c>
      <c r="E3574">
        <v>0.47171550000000001</v>
      </c>
      <c r="F3574" t="s">
        <v>46</v>
      </c>
      <c r="G3574">
        <v>-490.89920000000001</v>
      </c>
      <c r="H3574" s="1">
        <v>6.309888E-6</v>
      </c>
      <c r="I3574">
        <v>229.2886</v>
      </c>
      <c r="J3574">
        <v>-492.49430000000001</v>
      </c>
      <c r="K3574">
        <v>1.1216619999999999</v>
      </c>
      <c r="L3574">
        <v>239.8373</v>
      </c>
      <c r="M3574">
        <v>1.7730019999999999E-2</v>
      </c>
      <c r="N3574">
        <v>-1.410702E-2</v>
      </c>
      <c r="O3574">
        <v>-0.99974339999999995</v>
      </c>
      <c r="P3574">
        <v>7.4007690000000001E-2</v>
      </c>
      <c r="Q3574">
        <v>-8.9150409999999999E-2</v>
      </c>
      <c r="R3574">
        <v>-0.99326490000000001</v>
      </c>
      <c r="S3574">
        <v>0.44400020000000001</v>
      </c>
      <c r="T3574">
        <v>-0.31175819999999999</v>
      </c>
      <c r="U3574">
        <v>-2.9594269999999998</v>
      </c>
      <c r="V3574">
        <v>-5.6303300000000001E-2</v>
      </c>
      <c r="W3574">
        <v>-7.5173480000000001E-2</v>
      </c>
      <c r="X3574">
        <v>0.99557969999999896</v>
      </c>
      <c r="Y3574">
        <v>-0.13010369999999999</v>
      </c>
      <c r="Z3574">
        <v>8.9699000000000001E-2</v>
      </c>
      <c r="AA3574">
        <v>0.98743460000000005</v>
      </c>
      <c r="AB3574">
        <v>18</v>
      </c>
      <c r="AC3574">
        <v>1.5951</v>
      </c>
      <c r="AD3574">
        <v>-1.1216556901120001</v>
      </c>
      <c r="AE3574">
        <v>-10.548699999999901</v>
      </c>
      <c r="AF3574">
        <v>-1.3924108459457201</v>
      </c>
      <c r="AG3574">
        <v>-1.1216556901120001</v>
      </c>
      <c r="AH3574">
        <v>10.459708321200701</v>
      </c>
      <c r="AI3574">
        <v>96.067648361615397</v>
      </c>
      <c r="AJ3574">
        <v>97.582711343190198</v>
      </c>
      <c r="AK3574">
        <v>10.611428632171201</v>
      </c>
      <c r="AL3574">
        <v>94.311190001685105</v>
      </c>
      <c r="AM3574">
        <v>93.236816599661495</v>
      </c>
      <c r="AN3574">
        <v>1.00000002636914</v>
      </c>
    </row>
    <row r="3575" spans="1:40" x14ac:dyDescent="0.25">
      <c r="A3575" t="str">
        <f>"20190303154206522"</f>
        <v>20190303154206522</v>
      </c>
      <c r="B3575" t="str">
        <f>"1551598926512975"</f>
        <v>1551598926512975</v>
      </c>
      <c r="C3575" t="s">
        <v>40</v>
      </c>
      <c r="D3575">
        <v>5.4387030000000003</v>
      </c>
      <c r="E3575">
        <v>0.47174509999999997</v>
      </c>
      <c r="F3575" t="s">
        <v>46</v>
      </c>
      <c r="G3575">
        <v>-490.9049</v>
      </c>
      <c r="H3575" s="1">
        <v>6.3068719999999998E-6</v>
      </c>
      <c r="I3575">
        <v>229.2818</v>
      </c>
      <c r="J3575">
        <v>-492.49110000000002</v>
      </c>
      <c r="K3575">
        <v>1.1216459999999999</v>
      </c>
      <c r="L3575">
        <v>239.70050000000001</v>
      </c>
      <c r="M3575">
        <v>1.8424920000000001E-2</v>
      </c>
      <c r="N3575">
        <v>-1.410367E-2</v>
      </c>
      <c r="O3575">
        <v>-0.99973080000000003</v>
      </c>
      <c r="P3575">
        <v>7.524554E-2</v>
      </c>
      <c r="Q3575">
        <v>-9.0368660000000003E-2</v>
      </c>
      <c r="R3575">
        <v>-0.99306179999999999</v>
      </c>
      <c r="S3575">
        <v>0.44555660000000002</v>
      </c>
      <c r="T3575">
        <v>-0.3144245</v>
      </c>
      <c r="U3575">
        <v>-2.958939</v>
      </c>
      <c r="V3575">
        <v>-5.6853430000000003E-2</v>
      </c>
      <c r="W3575">
        <v>-7.6396660000000005E-2</v>
      </c>
      <c r="X3575">
        <v>0.99545530000000004</v>
      </c>
      <c r="Y3575">
        <v>-0.12993379999999999</v>
      </c>
      <c r="Z3575">
        <v>9.0593779999999999E-2</v>
      </c>
      <c r="AA3575">
        <v>0.98737529999999996</v>
      </c>
      <c r="AB3575">
        <v>18</v>
      </c>
      <c r="AC3575">
        <v>1.58620000000001</v>
      </c>
      <c r="AD3575">
        <v>-1.1216396931279999</v>
      </c>
      <c r="AE3575">
        <v>-10.418699999999999</v>
      </c>
      <c r="AF3575">
        <v>-1.37833500272735</v>
      </c>
      <c r="AG3575">
        <v>-1.1216396931279999</v>
      </c>
      <c r="AH3575">
        <v>10.3291576062202</v>
      </c>
      <c r="AI3575">
        <v>96.143412504496197</v>
      </c>
      <c r="AJ3575">
        <v>97.600714635964295</v>
      </c>
      <c r="AK3575">
        <v>10.480905487365099</v>
      </c>
      <c r="AL3575">
        <v>94.381475263298</v>
      </c>
      <c r="AM3575">
        <v>93.268782309298501</v>
      </c>
      <c r="AN3575">
        <v>1.00000000823</v>
      </c>
    </row>
    <row r="3576" spans="1:40" x14ac:dyDescent="0.25">
      <c r="A3576" t="str">
        <f>"20190303154206536"</f>
        <v>20190303154206536</v>
      </c>
      <c r="B3576" t="str">
        <f>"1551598926533468"</f>
        <v>1551598926533468</v>
      </c>
      <c r="C3576" t="s">
        <v>40</v>
      </c>
      <c r="D3576">
        <v>5.4471800000000004</v>
      </c>
      <c r="E3576">
        <v>0.47177530000000001</v>
      </c>
      <c r="F3576" t="s">
        <v>46</v>
      </c>
      <c r="G3576">
        <v>-490.90969999999999</v>
      </c>
      <c r="H3576" s="1">
        <v>6.30482099999999E-6</v>
      </c>
      <c r="I3576">
        <v>229.2783</v>
      </c>
      <c r="J3576">
        <v>-492.48849999999999</v>
      </c>
      <c r="K3576">
        <v>1.1216390000000001</v>
      </c>
      <c r="L3576">
        <v>239.59270000000001</v>
      </c>
      <c r="M3576">
        <v>1.8966940000000002E-2</v>
      </c>
      <c r="N3576">
        <v>-1.410106E-2</v>
      </c>
      <c r="O3576">
        <v>-0.99972099999999997</v>
      </c>
      <c r="P3576">
        <v>7.5771549999999993E-2</v>
      </c>
      <c r="Q3576">
        <v>-9.0826619999999997E-2</v>
      </c>
      <c r="R3576">
        <v>-0.99298039999999999</v>
      </c>
      <c r="S3576">
        <v>0.448822</v>
      </c>
      <c r="T3576">
        <v>-0.31833699999999998</v>
      </c>
      <c r="U3576">
        <v>-2.9579620000000002</v>
      </c>
      <c r="V3576">
        <v>-5.6842869999999997E-2</v>
      </c>
      <c r="W3576">
        <v>-7.6856759999999996E-2</v>
      </c>
      <c r="X3576">
        <v>0.99542050000000004</v>
      </c>
      <c r="Y3576">
        <v>-0.1304902</v>
      </c>
      <c r="Z3576">
        <v>9.1906119999999994E-2</v>
      </c>
      <c r="AA3576">
        <v>0.98718070000000002</v>
      </c>
      <c r="AB3576">
        <v>18</v>
      </c>
      <c r="AC3576">
        <v>1.5788</v>
      </c>
      <c r="AD3576">
        <v>-1.1216326951790001</v>
      </c>
      <c r="AE3576">
        <v>-10.314399999999999</v>
      </c>
      <c r="AF3576">
        <v>-1.3670680011640499</v>
      </c>
      <c r="AG3576">
        <v>-1.1216326951790001</v>
      </c>
      <c r="AH3576">
        <v>10.224353719368301</v>
      </c>
      <c r="AI3576">
        <v>96.2056429041494</v>
      </c>
      <c r="AJ3576">
        <v>97.615679758527406</v>
      </c>
      <c r="AK3576">
        <v>10.376143011806599</v>
      </c>
      <c r="AL3576">
        <v>94.407914724029098</v>
      </c>
      <c r="AM3576">
        <v>93.268290487452802</v>
      </c>
      <c r="AN3576">
        <v>1.0000000226238901</v>
      </c>
    </row>
    <row r="3577" spans="1:40" x14ac:dyDescent="0.25">
      <c r="A3577" t="str">
        <f>"20190303154206551"</f>
        <v>20190303154206551</v>
      </c>
      <c r="B3577" t="str">
        <f>"1551598926543227"</f>
        <v>1551598926543227</v>
      </c>
      <c r="C3577" t="s">
        <v>40</v>
      </c>
      <c r="D3577">
        <v>5.3975689999999998</v>
      </c>
      <c r="E3577">
        <v>0.471798</v>
      </c>
      <c r="F3577" t="s">
        <v>46</v>
      </c>
      <c r="G3577">
        <v>-490.91149999999999</v>
      </c>
      <c r="H3577" s="1">
        <v>6.2957109999999998E-6</v>
      </c>
      <c r="I3577">
        <v>229.23929999999999</v>
      </c>
      <c r="J3577">
        <v>-492.48559999999998</v>
      </c>
      <c r="K3577">
        <v>1.121624</v>
      </c>
      <c r="L3577">
        <v>239.47800000000001</v>
      </c>
      <c r="M3577">
        <v>1.953003E-2</v>
      </c>
      <c r="N3577">
        <v>-1.409812E-2</v>
      </c>
      <c r="O3577">
        <v>-0.99970999999999999</v>
      </c>
      <c r="P3577">
        <v>7.6671680000000006E-2</v>
      </c>
      <c r="Q3577">
        <v>-9.0951110000000002E-2</v>
      </c>
      <c r="R3577">
        <v>-0.9928998</v>
      </c>
      <c r="S3577">
        <v>0.45046999999999998</v>
      </c>
      <c r="T3577">
        <v>-0.3204051</v>
      </c>
      <c r="U3577">
        <v>-2.9575499999999999</v>
      </c>
      <c r="V3577">
        <v>-5.7186420000000002E-2</v>
      </c>
      <c r="W3577">
        <v>-7.6983410000000002E-2</v>
      </c>
      <c r="X3577">
        <v>0.99539100000000003</v>
      </c>
      <c r="Y3577">
        <v>-0.1304795</v>
      </c>
      <c r="Z3577">
        <v>9.2599420000000002E-2</v>
      </c>
      <c r="AA3577">
        <v>0.98711720000000003</v>
      </c>
      <c r="AB3577">
        <v>18</v>
      </c>
      <c r="AC3577">
        <v>1.5740999999999801</v>
      </c>
      <c r="AD3577">
        <v>-1.1216177042890001</v>
      </c>
      <c r="AE3577">
        <v>-10.2386999999999</v>
      </c>
      <c r="AF3577">
        <v>-1.3578985255689899</v>
      </c>
      <c r="AG3577">
        <v>-1.1216177042890001</v>
      </c>
      <c r="AH3577">
        <v>10.148516692732899</v>
      </c>
      <c r="AI3577">
        <v>96.251489271947307</v>
      </c>
      <c r="AJ3577">
        <v>97.621062461133604</v>
      </c>
      <c r="AK3577">
        <v>10.3002090145295</v>
      </c>
      <c r="AL3577">
        <v>94.415192952917707</v>
      </c>
      <c r="AM3577">
        <v>93.288097579941194</v>
      </c>
      <c r="AN3577">
        <v>0.99999998746432195</v>
      </c>
    </row>
    <row r="3578" spans="1:40" x14ac:dyDescent="0.25">
      <c r="A3578" t="str">
        <f>"20190303154206568"</f>
        <v>20190303154206568</v>
      </c>
      <c r="B3578" t="str">
        <f>"1551598926562749"</f>
        <v>1551598926562749</v>
      </c>
      <c r="C3578" t="s">
        <v>40</v>
      </c>
      <c r="D3578">
        <v>5.4205569999999996</v>
      </c>
      <c r="E3578">
        <v>0.4716439</v>
      </c>
      <c r="F3578" t="s">
        <v>46</v>
      </c>
      <c r="G3578">
        <v>-490.90539999999999</v>
      </c>
      <c r="H3578" s="1">
        <v>6.2793399999999996E-6</v>
      </c>
      <c r="I3578">
        <v>229.15790000000001</v>
      </c>
      <c r="J3578">
        <v>-492.4821</v>
      </c>
      <c r="K3578">
        <v>1.1216060000000001</v>
      </c>
      <c r="L3578">
        <v>239.34</v>
      </c>
      <c r="M3578">
        <v>2.019379E-2</v>
      </c>
      <c r="N3578">
        <v>-1.4094580000000001E-2</v>
      </c>
      <c r="O3578">
        <v>-0.99969710000000001</v>
      </c>
      <c r="P3578">
        <v>7.8054090000000007E-2</v>
      </c>
      <c r="Q3578">
        <v>-9.1057609999999997E-2</v>
      </c>
      <c r="R3578">
        <v>-0.99278230000000001</v>
      </c>
      <c r="S3578">
        <v>0.45275880000000002</v>
      </c>
      <c r="T3578">
        <v>-0.3213781</v>
      </c>
      <c r="U3578">
        <v>-2.9570310000000002</v>
      </c>
      <c r="V3578">
        <v>-5.7913529999999998E-2</v>
      </c>
      <c r="W3578">
        <v>-7.7092480000000005E-2</v>
      </c>
      <c r="X3578">
        <v>0.99534049999999996</v>
      </c>
      <c r="Y3578">
        <v>-0.1305887</v>
      </c>
      <c r="Z3578">
        <v>9.2933569999999993E-2</v>
      </c>
      <c r="AA3578">
        <v>0.98707140000000004</v>
      </c>
      <c r="AB3578">
        <v>18</v>
      </c>
      <c r="AC3578">
        <v>1.57670000000001</v>
      </c>
      <c r="AD3578">
        <v>-1.1215997206599999</v>
      </c>
      <c r="AE3578">
        <v>-10.182099999999901</v>
      </c>
      <c r="AF3578">
        <v>-1.35469010679512</v>
      </c>
      <c r="AG3578">
        <v>-1.1215997206599999</v>
      </c>
      <c r="AH3578">
        <v>10.092274790934701</v>
      </c>
      <c r="AI3578">
        <v>96.285598124819202</v>
      </c>
      <c r="AJ3578">
        <v>97.645137909109295</v>
      </c>
      <c r="AK3578">
        <v>10.2443731713839</v>
      </c>
      <c r="AL3578">
        <v>94.421460911773707</v>
      </c>
      <c r="AM3578">
        <v>93.329979937949503</v>
      </c>
      <c r="AN3578">
        <v>0.99999996918492995</v>
      </c>
    </row>
    <row r="3579" spans="1:40" x14ac:dyDescent="0.25">
      <c r="A3579" t="str">
        <f>"20190303154206589"</f>
        <v>20190303154206589</v>
      </c>
      <c r="B3579" t="str">
        <f>"1551598926583244"</f>
        <v>1551598926583244</v>
      </c>
      <c r="C3579" t="s">
        <v>40</v>
      </c>
      <c r="D3579">
        <v>5.2342240000000002</v>
      </c>
      <c r="E3579">
        <v>0.42884290000000003</v>
      </c>
      <c r="F3579" t="s">
        <v>46</v>
      </c>
      <c r="G3579">
        <v>-490.88720000000001</v>
      </c>
      <c r="H3579" s="1">
        <v>6.2521109999999999E-6</v>
      </c>
      <c r="I3579">
        <v>229.05250000000001</v>
      </c>
      <c r="J3579">
        <v>-492.4776</v>
      </c>
      <c r="K3579">
        <v>1.121575</v>
      </c>
      <c r="L3579">
        <v>239.1696</v>
      </c>
      <c r="M3579">
        <v>2.0981759999999999E-2</v>
      </c>
      <c r="N3579">
        <v>-1.409001E-2</v>
      </c>
      <c r="O3579">
        <v>-0.99968060000000003</v>
      </c>
      <c r="P3579">
        <v>8.0022599999999999E-2</v>
      </c>
      <c r="Q3579">
        <v>-9.1682739999999999E-2</v>
      </c>
      <c r="R3579">
        <v>-0.9925678</v>
      </c>
      <c r="S3579">
        <v>0.45831300000000003</v>
      </c>
      <c r="T3579">
        <v>-0.32230629999999999</v>
      </c>
      <c r="U3579">
        <v>-2.9562379999999999</v>
      </c>
      <c r="V3579">
        <v>-5.9107109999999997E-2</v>
      </c>
      <c r="W3579">
        <v>-7.7721020000000002E-2</v>
      </c>
      <c r="X3579">
        <v>0.99522149999999998</v>
      </c>
      <c r="Y3579">
        <v>-0.13165270000000001</v>
      </c>
      <c r="Z3579">
        <v>9.3247789999999997E-2</v>
      </c>
      <c r="AA3579">
        <v>0.98690040000000001</v>
      </c>
      <c r="AB3579">
        <v>18</v>
      </c>
      <c r="AC3579">
        <v>1.5903999999999801</v>
      </c>
      <c r="AD3579">
        <v>-1.121568747889</v>
      </c>
      <c r="AE3579">
        <v>-10.117099999999899</v>
      </c>
      <c r="AF3579">
        <v>-1.36142621673553</v>
      </c>
      <c r="AG3579">
        <v>-1.121568747889</v>
      </c>
      <c r="AH3579">
        <v>10.027976710367</v>
      </c>
      <c r="AI3579">
        <v>96.324127070369997</v>
      </c>
      <c r="AJ3579">
        <v>97.731366484494501</v>
      </c>
      <c r="AK3579">
        <v>10.181930794476999</v>
      </c>
      <c r="AL3579">
        <v>94.4575817502988</v>
      </c>
      <c r="AM3579">
        <v>93.398855966481605</v>
      </c>
      <c r="AN3579">
        <v>1.0000000207323201</v>
      </c>
    </row>
    <row r="3580" spans="1:40" x14ac:dyDescent="0.25">
      <c r="A3580" t="str">
        <f>"20190303154206601"</f>
        <v>20190303154206601</v>
      </c>
      <c r="B3580" t="str">
        <f>"1551598926593004"</f>
        <v>1551598926593004</v>
      </c>
      <c r="C3580" t="s">
        <v>40</v>
      </c>
      <c r="D3580">
        <v>5.252129</v>
      </c>
      <c r="E3580">
        <v>0.36562349999999999</v>
      </c>
      <c r="F3580" t="s">
        <v>46</v>
      </c>
      <c r="G3580">
        <v>-489.82240000000002</v>
      </c>
      <c r="H3580" s="1">
        <v>6.5623209999999998E-6</v>
      </c>
      <c r="I3580">
        <v>229.50489999999999</v>
      </c>
      <c r="J3580">
        <v>-492.47500000000002</v>
      </c>
      <c r="K3580">
        <v>1.121551</v>
      </c>
      <c r="L3580">
        <v>239.07079999999999</v>
      </c>
      <c r="M3580">
        <v>2.1416060000000001E-2</v>
      </c>
      <c r="N3580">
        <v>-1.408731E-2</v>
      </c>
      <c r="O3580">
        <v>-0.99967150000000005</v>
      </c>
      <c r="P3580">
        <v>8.0946790000000005E-2</v>
      </c>
      <c r="Q3580">
        <v>-9.2109449999999995E-2</v>
      </c>
      <c r="R3580">
        <v>-0.99245340000000004</v>
      </c>
      <c r="S3580">
        <v>0.80395509999999903</v>
      </c>
      <c r="T3580">
        <v>-0.33958899999999997</v>
      </c>
      <c r="U3580">
        <v>-2.9262540000000001</v>
      </c>
      <c r="V3580">
        <v>-5.9605279999999997E-2</v>
      </c>
      <c r="W3580">
        <v>-7.8148880000000004E-2</v>
      </c>
      <c r="X3580">
        <v>0.99515830000000005</v>
      </c>
      <c r="Y3580">
        <v>-0.2427356</v>
      </c>
      <c r="Z3580">
        <v>9.7508310000000001E-2</v>
      </c>
      <c r="AA3580">
        <v>0.96517960000000003</v>
      </c>
      <c r="AB3580">
        <v>18</v>
      </c>
      <c r="AC3580">
        <v>2.6526000000000001</v>
      </c>
      <c r="AD3580">
        <v>-1.121544437679</v>
      </c>
      <c r="AE3580">
        <v>-9.5658999999999992</v>
      </c>
      <c r="AF3580">
        <v>-2.4162645731703001</v>
      </c>
      <c r="AG3580">
        <v>-1.121544437679</v>
      </c>
      <c r="AH3580">
        <v>9.4992648533467801</v>
      </c>
      <c r="AI3580">
        <v>96.5275570096032</v>
      </c>
      <c r="AJ3580">
        <v>104.27129493405801</v>
      </c>
      <c r="AK3580">
        <v>9.8657097650030199</v>
      </c>
      <c r="AL3580">
        <v>94.482171027981394</v>
      </c>
      <c r="AM3580">
        <v>93.427651545428205</v>
      </c>
      <c r="AN3580">
        <v>1.0000000394540101</v>
      </c>
    </row>
    <row r="3581" spans="1:40" x14ac:dyDescent="0.25">
      <c r="A3581" t="str">
        <f>"20190303154206613"</f>
        <v>20190303154206613</v>
      </c>
      <c r="B3581" t="str">
        <f>"1551598926603740"</f>
        <v>1551598926603740</v>
      </c>
      <c r="C3581" t="s">
        <v>40</v>
      </c>
      <c r="D3581">
        <v>5.3580329999999998</v>
      </c>
      <c r="E3581">
        <v>0.35277720000000001</v>
      </c>
      <c r="F3581" t="s">
        <v>46</v>
      </c>
      <c r="G3581">
        <v>-487.94690000000003</v>
      </c>
      <c r="H3581" s="1">
        <v>5.9355519999999999E-6</v>
      </c>
      <c r="I3581">
        <v>229.0925</v>
      </c>
      <c r="J3581">
        <v>-492.47239999999999</v>
      </c>
      <c r="K3581">
        <v>1.1215280000000001</v>
      </c>
      <c r="L3581">
        <v>238.97380000000001</v>
      </c>
      <c r="M3581">
        <v>2.182738E-2</v>
      </c>
      <c r="N3581">
        <v>-1.408469E-2</v>
      </c>
      <c r="O3581">
        <v>-0.99966279999999996</v>
      </c>
      <c r="P3581">
        <v>8.1770170000000003E-2</v>
      </c>
      <c r="Q3581">
        <v>-9.2740009999999998E-2</v>
      </c>
      <c r="R3581">
        <v>-0.99232739999999997</v>
      </c>
      <c r="S3581">
        <v>1.309601</v>
      </c>
      <c r="T3581">
        <v>-0.3243741</v>
      </c>
      <c r="U3581">
        <v>-2.88591</v>
      </c>
      <c r="V3581">
        <v>-6.002557E-2</v>
      </c>
      <c r="W3581">
        <v>-7.8780279999999994E-2</v>
      </c>
      <c r="X3581">
        <v>0.99508319999999995</v>
      </c>
      <c r="Y3581">
        <v>-0.39133980000000002</v>
      </c>
      <c r="Z3581">
        <v>8.8299680000000005E-2</v>
      </c>
      <c r="AA3581">
        <v>0.91600020000000004</v>
      </c>
      <c r="AB3581">
        <v>18</v>
      </c>
      <c r="AC3581">
        <v>4.5254999999999601</v>
      </c>
      <c r="AD3581">
        <v>-1.121522064448</v>
      </c>
      <c r="AE3581">
        <v>-9.8813000000000102</v>
      </c>
      <c r="AF3581">
        <v>-4.26331912057785</v>
      </c>
      <c r="AG3581">
        <v>-1.121522064448</v>
      </c>
      <c r="AH3581">
        <v>9.8726057968888199</v>
      </c>
      <c r="AI3581">
        <v>95.953896610571903</v>
      </c>
      <c r="AJ3581">
        <v>113.356290916367</v>
      </c>
      <c r="AK3581">
        <v>10.812124993991301</v>
      </c>
      <c r="AL3581">
        <v>94.518459695004097</v>
      </c>
      <c r="AM3581">
        <v>93.452022318535199</v>
      </c>
      <c r="AN3581">
        <v>0.99999998824647096</v>
      </c>
    </row>
    <row r="3582" spans="1:40" x14ac:dyDescent="0.25">
      <c r="A3582" t="str">
        <f>"20190303154206625"</f>
        <v>20190303154206625</v>
      </c>
      <c r="B3582" t="str">
        <f>"1551598926623260"</f>
        <v>1551598926623260</v>
      </c>
      <c r="C3582" t="s">
        <v>40</v>
      </c>
      <c r="D3582">
        <v>5.2775819999999998</v>
      </c>
      <c r="E3582">
        <v>0.34406419999999999</v>
      </c>
      <c r="F3582" t="s">
        <v>41</v>
      </c>
      <c r="G3582">
        <v>-487.9821</v>
      </c>
      <c r="H3582" s="1">
        <v>-6.0335409999999996E-7</v>
      </c>
      <c r="I3582">
        <v>229.8433</v>
      </c>
      <c r="J3582">
        <v>-492.47</v>
      </c>
      <c r="K3582">
        <v>1.121502</v>
      </c>
      <c r="L3582">
        <v>238.88460000000001</v>
      </c>
      <c r="M3582">
        <v>2.2177079999999998E-2</v>
      </c>
      <c r="N3582">
        <v>-1.408217E-2</v>
      </c>
      <c r="O3582">
        <v>-0.99965519999999997</v>
      </c>
      <c r="P3582">
        <v>8.2432930000000001E-2</v>
      </c>
      <c r="Q3582">
        <v>-9.3632110000000005E-2</v>
      </c>
      <c r="R3582">
        <v>-0.99218870000000003</v>
      </c>
      <c r="S3582">
        <v>1.4133</v>
      </c>
      <c r="T3582">
        <v>-0.35299219999999998</v>
      </c>
      <c r="U3582">
        <v>-2.8737490000000001</v>
      </c>
      <c r="V3582">
        <v>-6.0347720000000001E-2</v>
      </c>
      <c r="W3582">
        <v>-7.967291E-2</v>
      </c>
      <c r="X3582">
        <v>0.99499269999999995</v>
      </c>
      <c r="Y3582">
        <v>-0.41891689999999998</v>
      </c>
      <c r="Z3582">
        <v>9.6138249999999995E-2</v>
      </c>
      <c r="AA3582">
        <v>0.90292090000000003</v>
      </c>
      <c r="AB3582">
        <v>18</v>
      </c>
      <c r="AC3582">
        <v>4.4879000000000202</v>
      </c>
      <c r="AD3582">
        <v>-1.1215026033541</v>
      </c>
      <c r="AE3582">
        <v>-9.0412999999999997</v>
      </c>
      <c r="AF3582">
        <v>-4.2339986408789096</v>
      </c>
      <c r="AG3582">
        <v>-1.1215026033541</v>
      </c>
      <c r="AH3582">
        <v>9.0271754786010696</v>
      </c>
      <c r="AI3582">
        <v>96.417588228689098</v>
      </c>
      <c r="AJ3582">
        <v>115.127895361372</v>
      </c>
      <c r="AK3582">
        <v>10.033663822440399</v>
      </c>
      <c r="AL3582">
        <v>94.5697646334512</v>
      </c>
      <c r="AM3582">
        <v>93.470818634281798</v>
      </c>
      <c r="AN3582">
        <v>1.0000000464751699</v>
      </c>
    </row>
    <row r="3583" spans="1:40" x14ac:dyDescent="0.25">
      <c r="A3583" t="str">
        <f>"20190303154206637"</f>
        <v>20190303154206637</v>
      </c>
      <c r="B3583" t="str">
        <f>"1551598926633020"</f>
        <v>1551598926633020</v>
      </c>
      <c r="C3583" t="s">
        <v>40</v>
      </c>
      <c r="D3583">
        <v>5.2843470000000003</v>
      </c>
      <c r="E3583">
        <v>0.34137980000000001</v>
      </c>
      <c r="F3583" t="s">
        <v>42</v>
      </c>
      <c r="G3583">
        <v>-492.01060000000001</v>
      </c>
      <c r="H3583">
        <v>1.0085850000000001</v>
      </c>
      <c r="I3583">
        <v>237.99709999999999</v>
      </c>
      <c r="J3583">
        <v>-492.46749999999997</v>
      </c>
      <c r="K3583">
        <v>1.12147</v>
      </c>
      <c r="L3583">
        <v>238.7902</v>
      </c>
      <c r="M3583">
        <v>2.2536529999999999E-2</v>
      </c>
      <c r="N3583">
        <v>-1.407948E-2</v>
      </c>
      <c r="O3583">
        <v>-0.99964699999999995</v>
      </c>
      <c r="P3583">
        <v>8.319501E-2</v>
      </c>
      <c r="Q3583">
        <v>-9.3923789999999993E-2</v>
      </c>
      <c r="R3583">
        <v>-0.99209729999999996</v>
      </c>
      <c r="S3583">
        <v>1.48407</v>
      </c>
      <c r="T3583">
        <v>-0.36463299999999998</v>
      </c>
      <c r="U3583">
        <v>-2.8659059999999998</v>
      </c>
      <c r="V3583">
        <v>-6.0759069999999998E-2</v>
      </c>
      <c r="W3583">
        <v>-7.9964320000000005E-2</v>
      </c>
      <c r="X3583">
        <v>0.99494419999999995</v>
      </c>
      <c r="Y3583">
        <v>-0.4370909</v>
      </c>
      <c r="Z3583">
        <v>9.8903820000000003E-2</v>
      </c>
      <c r="AA3583">
        <v>0.8939629</v>
      </c>
      <c r="AB3583">
        <v>18</v>
      </c>
      <c r="AC3583">
        <v>0.456899999999961</v>
      </c>
      <c r="AD3583">
        <v>-0.112884999999999</v>
      </c>
      <c r="AE3583">
        <v>-0.79310000000000902</v>
      </c>
      <c r="AF3583">
        <v>-0.43233235007950099</v>
      </c>
      <c r="AG3583">
        <v>-0.112884999999999</v>
      </c>
      <c r="AH3583">
        <v>0.79116232960208699</v>
      </c>
      <c r="AI3583">
        <v>97.136737151840705</v>
      </c>
      <c r="AJ3583">
        <v>118.654492975484</v>
      </c>
      <c r="AK3583">
        <v>0.90862099685824305</v>
      </c>
      <c r="AL3583">
        <v>94.5865150399962</v>
      </c>
      <c r="AM3583">
        <v>93.494588373350197</v>
      </c>
      <c r="AN3583">
        <v>0.99999995908698203</v>
      </c>
    </row>
    <row r="3584" spans="1:40" x14ac:dyDescent="0.25">
      <c r="A3584" t="str">
        <f>"20190303154206648"</f>
        <v>20190303154206648</v>
      </c>
      <c r="B3584" t="str">
        <f>"1551598926642780"</f>
        <v>1551598926642780</v>
      </c>
      <c r="C3584" t="s">
        <v>40</v>
      </c>
      <c r="D3584">
        <v>5.2633380000000001</v>
      </c>
      <c r="E3584">
        <v>0.33929490000000001</v>
      </c>
      <c r="F3584" t="s">
        <v>42</v>
      </c>
      <c r="G3584">
        <v>-492.01330000000002</v>
      </c>
      <c r="H3584">
        <v>1.0102469999999999</v>
      </c>
      <c r="I3584">
        <v>237.9273</v>
      </c>
      <c r="J3584">
        <v>-492.46499999999997</v>
      </c>
      <c r="K3584">
        <v>1.1214360000000001</v>
      </c>
      <c r="L3584">
        <v>238.696</v>
      </c>
      <c r="M3584">
        <v>2.285624E-2</v>
      </c>
      <c r="N3584">
        <v>-1.4076669999999999E-2</v>
      </c>
      <c r="O3584">
        <v>-0.99963959999999996</v>
      </c>
      <c r="P3584">
        <v>8.3906289999999994E-2</v>
      </c>
      <c r="Q3584">
        <v>-9.4710219999999998E-2</v>
      </c>
      <c r="R3584">
        <v>-0.99196269999999998</v>
      </c>
      <c r="S3584">
        <v>1.5077210000000001</v>
      </c>
      <c r="T3584">
        <v>-0.36896060000000003</v>
      </c>
      <c r="U3584">
        <v>-2.8625180000000001</v>
      </c>
      <c r="V3584">
        <v>-6.116129E-2</v>
      </c>
      <c r="W3584">
        <v>-8.0750520000000006E-2</v>
      </c>
      <c r="X3584">
        <v>0.99485610000000002</v>
      </c>
      <c r="Y3584">
        <v>-0.44296970000000002</v>
      </c>
      <c r="Z3584">
        <v>9.9972350000000001E-2</v>
      </c>
      <c r="AA3584">
        <v>0.89094530000000005</v>
      </c>
      <c r="AB3584">
        <v>18</v>
      </c>
      <c r="AC3584">
        <v>0.45169999999995902</v>
      </c>
      <c r="AD3584">
        <v>-0.111189</v>
      </c>
      <c r="AE3584">
        <v>-0.76869999999999505</v>
      </c>
      <c r="AF3584">
        <v>-0.42736416553441903</v>
      </c>
      <c r="AG3584">
        <v>-0.111189</v>
      </c>
      <c r="AH3584">
        <v>0.76689735103998702</v>
      </c>
      <c r="AI3584">
        <v>97.2179782980146</v>
      </c>
      <c r="AJ3584">
        <v>119.12934319039501</v>
      </c>
      <c r="AK3584">
        <v>0.88494896504605203</v>
      </c>
      <c r="AL3584">
        <v>94.631706918837295</v>
      </c>
      <c r="AM3584">
        <v>93.517975085916106</v>
      </c>
      <c r="AN3584">
        <v>1.0000000047909701</v>
      </c>
    </row>
    <row r="3585" spans="1:40" x14ac:dyDescent="0.25">
      <c r="A3585" t="str">
        <f>"20190303154206661"</f>
        <v>20190303154206661</v>
      </c>
      <c r="B3585" t="str">
        <f>"1551598926653516"</f>
        <v>1551598926653516</v>
      </c>
      <c r="C3585" t="s">
        <v>40</v>
      </c>
      <c r="D3585">
        <v>5.2606320000000002</v>
      </c>
      <c r="E3585">
        <v>0.33799960000000001</v>
      </c>
      <c r="F3585" t="s">
        <v>42</v>
      </c>
      <c r="G3585">
        <v>-492.0043</v>
      </c>
      <c r="H3585">
        <v>1.0084340000000001</v>
      </c>
      <c r="I3585">
        <v>237.83240000000001</v>
      </c>
      <c r="J3585">
        <v>-492.46249999999998</v>
      </c>
      <c r="K3585">
        <v>1.1214029999999999</v>
      </c>
      <c r="L3585">
        <v>238.602</v>
      </c>
      <c r="M3585">
        <v>2.315615E-2</v>
      </c>
      <c r="N3585">
        <v>-1.4073860000000001E-2</v>
      </c>
      <c r="O3585">
        <v>-0.99963290000000005</v>
      </c>
      <c r="P3585">
        <v>8.4494669999999994E-2</v>
      </c>
      <c r="Q3585">
        <v>-9.5228660000000007E-2</v>
      </c>
      <c r="R3585">
        <v>-0.99186319999999994</v>
      </c>
      <c r="S3585">
        <v>1.5262150000000001</v>
      </c>
      <c r="T3585">
        <v>-0.37412410000000001</v>
      </c>
      <c r="U3585">
        <v>-2.8594819999999999</v>
      </c>
      <c r="V3585">
        <v>-6.1459930000000003E-2</v>
      </c>
      <c r="W3585">
        <v>-8.1268060000000003E-2</v>
      </c>
      <c r="X3585">
        <v>0.9947956</v>
      </c>
      <c r="Y3585">
        <v>-0.44750790000000001</v>
      </c>
      <c r="Z3585">
        <v>0.1013565</v>
      </c>
      <c r="AA3585">
        <v>0.88851759999999902</v>
      </c>
      <c r="AB3585">
        <v>18</v>
      </c>
      <c r="AC3585">
        <v>0.45819999999997602</v>
      </c>
      <c r="AD3585">
        <v>-0.112969</v>
      </c>
      <c r="AE3585">
        <v>-0.76959999999999695</v>
      </c>
      <c r="AF3585">
        <v>-0.43336042727500101</v>
      </c>
      <c r="AG3585">
        <v>-0.112969</v>
      </c>
      <c r="AH3585">
        <v>0.76779068873874001</v>
      </c>
      <c r="AI3585">
        <v>97.301741814554802</v>
      </c>
      <c r="AJ3585">
        <v>119.44147856990401</v>
      </c>
      <c r="AK3585">
        <v>0.88885645444181904</v>
      </c>
      <c r="AL3585">
        <v>94.661457330762303</v>
      </c>
      <c r="AM3585">
        <v>93.535323741449801</v>
      </c>
      <c r="AN3585">
        <v>1.00000005317556</v>
      </c>
    </row>
    <row r="3586" spans="1:40" x14ac:dyDescent="0.25">
      <c r="A3586" t="str">
        <f>"20190303154206678"</f>
        <v>20190303154206678</v>
      </c>
      <c r="B3586" t="str">
        <f>"1551598926673036"</f>
        <v>1551598926673036</v>
      </c>
      <c r="C3586" t="s">
        <v>40</v>
      </c>
      <c r="D3586">
        <v>5.206315</v>
      </c>
      <c r="E3586">
        <v>0.33649559999999901</v>
      </c>
      <c r="F3586" t="s">
        <v>42</v>
      </c>
      <c r="G3586">
        <v>-492.01389999999998</v>
      </c>
      <c r="H3586">
        <v>1.0116019999999999</v>
      </c>
      <c r="I3586">
        <v>237.76840000000001</v>
      </c>
      <c r="J3586">
        <v>-492.45870000000002</v>
      </c>
      <c r="K3586">
        <v>1.1213550000000001</v>
      </c>
      <c r="L3586">
        <v>238.4633</v>
      </c>
      <c r="M3586">
        <v>2.3550479999999999E-2</v>
      </c>
      <c r="N3586">
        <v>-1.4069720000000001E-2</v>
      </c>
      <c r="O3586">
        <v>-0.99962379999999995</v>
      </c>
      <c r="P3586">
        <v>8.5898929999999998E-2</v>
      </c>
      <c r="Q3586">
        <v>-9.596441E-2</v>
      </c>
      <c r="R3586">
        <v>-0.99167150000000004</v>
      </c>
      <c r="S3586">
        <v>1.5381469999999999</v>
      </c>
      <c r="T3586">
        <v>-0.3763821</v>
      </c>
      <c r="U3586">
        <v>-2.8574519999999999</v>
      </c>
      <c r="V3586">
        <v>-6.248546E-2</v>
      </c>
      <c r="W3586">
        <v>-8.2002900000000004E-2</v>
      </c>
      <c r="X3586">
        <v>0.99467130000000004</v>
      </c>
      <c r="Y3586">
        <v>-0.45026569999999999</v>
      </c>
      <c r="Z3586">
        <v>0.10192850000000001</v>
      </c>
      <c r="AA3586">
        <v>0.88705769999999995</v>
      </c>
      <c r="AB3586">
        <v>18</v>
      </c>
      <c r="AC3586">
        <v>0.44480000000004299</v>
      </c>
      <c r="AD3586">
        <v>-0.109752999999999</v>
      </c>
      <c r="AE3586">
        <v>-0.69489999999998897</v>
      </c>
      <c r="AF3586">
        <v>-0.42086250928246199</v>
      </c>
      <c r="AG3586">
        <v>-0.109752999999999</v>
      </c>
      <c r="AH3586">
        <v>0.69292211035114304</v>
      </c>
      <c r="AI3586">
        <v>97.709675166058602</v>
      </c>
      <c r="AJ3586">
        <v>121.273385206302</v>
      </c>
      <c r="AK3586">
        <v>0.81811492086504101</v>
      </c>
      <c r="AL3586">
        <v>94.703702039082899</v>
      </c>
      <c r="AM3586">
        <v>93.594609306796599</v>
      </c>
      <c r="AN3586">
        <v>0.99999995168175404</v>
      </c>
    </row>
    <row r="3587" spans="1:40" x14ac:dyDescent="0.25">
      <c r="A3587" t="str">
        <f>"20190303154206689"</f>
        <v>20190303154206689</v>
      </c>
      <c r="B3587" t="str">
        <f>"1551598926682797"</f>
        <v>1551598926682797</v>
      </c>
      <c r="C3587" t="s">
        <v>40</v>
      </c>
      <c r="D3587">
        <v>5.2007899999999996</v>
      </c>
      <c r="E3587">
        <v>0.33612049999999999</v>
      </c>
      <c r="F3587" t="s">
        <v>42</v>
      </c>
      <c r="G3587">
        <v>-491.9966</v>
      </c>
      <c r="H3587">
        <v>1.0072460000000001</v>
      </c>
      <c r="I3587">
        <v>237.61420000000001</v>
      </c>
      <c r="J3587">
        <v>-492.45620000000002</v>
      </c>
      <c r="K3587">
        <v>1.1213219999999999</v>
      </c>
      <c r="L3587">
        <v>238.36949999999999</v>
      </c>
      <c r="M3587">
        <v>2.3776200000000001E-2</v>
      </c>
      <c r="N3587">
        <v>-1.406695E-2</v>
      </c>
      <c r="O3587">
        <v>-0.99961849999999997</v>
      </c>
      <c r="P3587">
        <v>8.6513359999999997E-2</v>
      </c>
      <c r="Q3587">
        <v>-9.6191029999999997E-2</v>
      </c>
      <c r="R3587">
        <v>-0.99159620000000004</v>
      </c>
      <c r="S3587">
        <v>1.553558</v>
      </c>
      <c r="T3587">
        <v>-0.38344539999999999</v>
      </c>
      <c r="U3587">
        <v>-2.8535159999999999</v>
      </c>
      <c r="V3587">
        <v>-6.2883649999999999E-2</v>
      </c>
      <c r="W3587">
        <v>-8.2227960000000003E-2</v>
      </c>
      <c r="X3587">
        <v>0.9946277</v>
      </c>
      <c r="Y3587">
        <v>-0.45416469999999998</v>
      </c>
      <c r="Z3587">
        <v>0.1039537</v>
      </c>
      <c r="AA3587">
        <v>0.88483219999999996</v>
      </c>
      <c r="AB3587">
        <v>18</v>
      </c>
      <c r="AC3587">
        <v>0.45960000000002299</v>
      </c>
      <c r="AD3587">
        <v>-0.114076</v>
      </c>
      <c r="AE3587">
        <v>-0.75529999999997699</v>
      </c>
      <c r="AF3587">
        <v>-0.43428052945580398</v>
      </c>
      <c r="AG3587">
        <v>-0.114076</v>
      </c>
      <c r="AH3587">
        <v>0.75347181893589799</v>
      </c>
      <c r="AI3587">
        <v>97.472945982985095</v>
      </c>
      <c r="AJ3587">
        <v>119.957971011613</v>
      </c>
      <c r="AK3587">
        <v>0.87711612342436396</v>
      </c>
      <c r="AL3587">
        <v>94.716640371682402</v>
      </c>
      <c r="AM3587">
        <v>93.617613553485398</v>
      </c>
      <c r="AN3587">
        <v>1.00000002622518</v>
      </c>
    </row>
    <row r="3588" spans="1:40" x14ac:dyDescent="0.25">
      <c r="A3588" t="str">
        <f>"20190303154206702"</f>
        <v>20190303154206702</v>
      </c>
      <c r="B3588" t="str">
        <f>"1551598926693532"</f>
        <v>1551598926693532</v>
      </c>
      <c r="C3588" t="s">
        <v>40</v>
      </c>
      <c r="D3588">
        <v>5.2429169999999896</v>
      </c>
      <c r="E3588">
        <v>0.3358564</v>
      </c>
      <c r="F3588" t="s">
        <v>42</v>
      </c>
      <c r="G3588">
        <v>-491.99849999999998</v>
      </c>
      <c r="H3588">
        <v>1.0077510000000001</v>
      </c>
      <c r="I3588">
        <v>237.53149999999999</v>
      </c>
      <c r="J3588">
        <v>-492.45370000000003</v>
      </c>
      <c r="K3588">
        <v>1.121289</v>
      </c>
      <c r="L3588">
        <v>238.2774</v>
      </c>
      <c r="M3588">
        <v>2.3972569999999999E-2</v>
      </c>
      <c r="N3588">
        <v>-1.406423E-2</v>
      </c>
      <c r="O3588">
        <v>-0.999614</v>
      </c>
      <c r="P3588">
        <v>8.7124670000000001E-2</v>
      </c>
      <c r="Q3588">
        <v>-9.6246579999999998E-2</v>
      </c>
      <c r="R3588">
        <v>-0.99153720000000001</v>
      </c>
      <c r="S3588">
        <v>1.5584720000000001</v>
      </c>
      <c r="T3588">
        <v>-0.38648690000000002</v>
      </c>
      <c r="U3588">
        <v>-2.851944</v>
      </c>
      <c r="V3588">
        <v>-6.3307829999999995E-2</v>
      </c>
      <c r="W3588">
        <v>-8.2281880000000002E-2</v>
      </c>
      <c r="X3588">
        <v>0.99459629999999999</v>
      </c>
      <c r="Y3588">
        <v>-0.45532030000000001</v>
      </c>
      <c r="Z3588">
        <v>0.1048526</v>
      </c>
      <c r="AA3588">
        <v>0.88413199999999903</v>
      </c>
      <c r="AB3588">
        <v>18</v>
      </c>
      <c r="AC3588">
        <v>0.45520000000004701</v>
      </c>
      <c r="AD3588">
        <v>-0.113537999999999</v>
      </c>
      <c r="AE3588">
        <v>-0.745900000000006</v>
      </c>
      <c r="AF3588">
        <v>-0.42992808244297598</v>
      </c>
      <c r="AG3588">
        <v>-0.113537999999999</v>
      </c>
      <c r="AH3588">
        <v>0.74403792209080699</v>
      </c>
      <c r="AI3588">
        <v>97.526633533372703</v>
      </c>
      <c r="AJ3588">
        <v>120.020648151253</v>
      </c>
      <c r="AK3588">
        <v>0.86678801504537495</v>
      </c>
      <c r="AL3588">
        <v>94.719740414432806</v>
      </c>
      <c r="AM3588">
        <v>93.642065281034107</v>
      </c>
      <c r="AN3588">
        <v>0.99999999454466604</v>
      </c>
    </row>
    <row r="3589" spans="1:40" x14ac:dyDescent="0.25">
      <c r="A3589" t="str">
        <f>"20190303154206723"</f>
        <v>20190303154206723</v>
      </c>
      <c r="B3589" t="str">
        <f>"1551598926713052"</f>
        <v>1551598926713052</v>
      </c>
      <c r="C3589" t="s">
        <v>40</v>
      </c>
      <c r="D3589">
        <v>5.1920479999999998</v>
      </c>
      <c r="E3589">
        <v>0.335262</v>
      </c>
      <c r="F3589" t="s">
        <v>42</v>
      </c>
      <c r="G3589">
        <v>-492.0027</v>
      </c>
      <c r="H3589">
        <v>1.009055</v>
      </c>
      <c r="I3589">
        <v>237.4545</v>
      </c>
      <c r="J3589">
        <v>-492.44929999999999</v>
      </c>
      <c r="K3589">
        <v>1.1212409999999999</v>
      </c>
      <c r="L3589">
        <v>238.11060000000001</v>
      </c>
      <c r="M3589">
        <v>2.425778E-2</v>
      </c>
      <c r="N3589">
        <v>-1.405934E-2</v>
      </c>
      <c r="O3589">
        <v>-0.99960709999999997</v>
      </c>
      <c r="P3589">
        <v>8.9199600000000004E-2</v>
      </c>
      <c r="Q3589">
        <v>-9.6029249999999997E-2</v>
      </c>
      <c r="R3589">
        <v>-0.99137410000000004</v>
      </c>
      <c r="S3589">
        <v>1.56192</v>
      </c>
      <c r="T3589">
        <v>-0.38879170000000002</v>
      </c>
      <c r="U3589">
        <v>-2.8506010000000002</v>
      </c>
      <c r="V3589">
        <v>-6.5113950000000004E-2</v>
      </c>
      <c r="W3589">
        <v>-8.2062360000000001E-2</v>
      </c>
      <c r="X3589">
        <v>0.99449779999999999</v>
      </c>
      <c r="Y3589">
        <v>-0.45602690000000001</v>
      </c>
      <c r="Z3589">
        <v>0.1055493</v>
      </c>
      <c r="AA3589">
        <v>0.88368480000000005</v>
      </c>
      <c r="AB3589">
        <v>18</v>
      </c>
      <c r="AC3589">
        <v>0.44659999999998901</v>
      </c>
      <c r="AD3589">
        <v>-0.11218599999999899</v>
      </c>
      <c r="AE3589">
        <v>-0.65610000000000901</v>
      </c>
      <c r="AF3589">
        <v>-0.42211760001225501</v>
      </c>
      <c r="AG3589">
        <v>-0.11218599999999899</v>
      </c>
      <c r="AH3589">
        <v>0.65368102326584598</v>
      </c>
      <c r="AI3589">
        <v>98.204049487718095</v>
      </c>
      <c r="AJ3589">
        <v>122.852542986877</v>
      </c>
      <c r="AK3589">
        <v>0.78617291165111403</v>
      </c>
      <c r="AL3589">
        <v>94.707120300632198</v>
      </c>
      <c r="AM3589">
        <v>93.746048613497393</v>
      </c>
      <c r="AN3589">
        <v>0.999999965809105</v>
      </c>
    </row>
    <row r="3590" spans="1:40" x14ac:dyDescent="0.25">
      <c r="A3590" t="str">
        <f>"20190303154206734"</f>
        <v>20190303154206734</v>
      </c>
      <c r="B3590" t="str">
        <f>"1551598926722813"</f>
        <v>1551598926722813</v>
      </c>
      <c r="C3590" t="s">
        <v>40</v>
      </c>
      <c r="D3590">
        <v>5.1854310000000003</v>
      </c>
      <c r="E3590">
        <v>0.33494679999999999</v>
      </c>
      <c r="F3590" t="s">
        <v>42</v>
      </c>
      <c r="G3590">
        <v>-492.00009999999997</v>
      </c>
      <c r="H3590">
        <v>1.009225</v>
      </c>
      <c r="I3590">
        <v>237.2972</v>
      </c>
      <c r="J3590">
        <v>-492.44690000000003</v>
      </c>
      <c r="K3590">
        <v>1.121211</v>
      </c>
      <c r="L3590">
        <v>238.0181</v>
      </c>
      <c r="M3590">
        <v>2.4383760000000001E-2</v>
      </c>
      <c r="N3590">
        <v>-1.405669E-2</v>
      </c>
      <c r="O3590">
        <v>-0.99960369999999998</v>
      </c>
      <c r="P3590">
        <v>9.0228559999999999E-2</v>
      </c>
      <c r="Q3590">
        <v>-9.5675679999999999E-2</v>
      </c>
      <c r="R3590">
        <v>-0.9913149</v>
      </c>
      <c r="S3590">
        <v>1.5726009999999999</v>
      </c>
      <c r="T3590">
        <v>-0.39199149999999999</v>
      </c>
      <c r="U3590">
        <v>-2.8466640000000001</v>
      </c>
      <c r="V3590">
        <v>-6.6024440000000004E-2</v>
      </c>
      <c r="W3590">
        <v>-8.1707080000000001E-2</v>
      </c>
      <c r="X3590">
        <v>0.99446710000000005</v>
      </c>
      <c r="Y3590">
        <v>-0.45891890000000002</v>
      </c>
      <c r="Z3590">
        <v>0.1064698</v>
      </c>
      <c r="AA3590">
        <v>0.88207569999999902</v>
      </c>
      <c r="AB3590">
        <v>18</v>
      </c>
      <c r="AC3590">
        <v>0.44680000000005199</v>
      </c>
      <c r="AD3590">
        <v>-0.111985999999999</v>
      </c>
      <c r="AE3590">
        <v>-0.72089999999999999</v>
      </c>
      <c r="AF3590">
        <v>-0.42173454718308101</v>
      </c>
      <c r="AG3590">
        <v>-0.111985999999999</v>
      </c>
      <c r="AH3590">
        <v>0.71904540188335697</v>
      </c>
      <c r="AI3590">
        <v>97.651332411506601</v>
      </c>
      <c r="AJ3590">
        <v>120.392477882412</v>
      </c>
      <c r="AK3590">
        <v>0.84108690541068099</v>
      </c>
      <c r="AL3590">
        <v>94.686695301475396</v>
      </c>
      <c r="AM3590">
        <v>93.798394339538007</v>
      </c>
      <c r="AN3590">
        <v>1.00000004329092</v>
      </c>
    </row>
    <row r="3591" spans="1:40" x14ac:dyDescent="0.25">
      <c r="A3591" t="str">
        <f>"20190303154206749"</f>
        <v>20190303154206749</v>
      </c>
      <c r="B3591" t="str">
        <f>"1551598926743308"</f>
        <v>1551598926743308</v>
      </c>
      <c r="C3591" t="s">
        <v>40</v>
      </c>
      <c r="D3591">
        <v>5.2199289999999996</v>
      </c>
      <c r="E3591">
        <v>0.33440110000000001</v>
      </c>
      <c r="F3591" t="s">
        <v>41</v>
      </c>
      <c r="G3591">
        <v>-487.94650000000001</v>
      </c>
      <c r="H3591" s="1">
        <v>-6.3385880000000003E-7</v>
      </c>
      <c r="I3591">
        <v>229.9051</v>
      </c>
      <c r="J3591">
        <v>-492.4443</v>
      </c>
      <c r="K3591">
        <v>1.121175</v>
      </c>
      <c r="L3591">
        <v>237.91540000000001</v>
      </c>
      <c r="M3591">
        <v>2.4473990000000001E-2</v>
      </c>
      <c r="N3591">
        <v>-1.405378E-2</v>
      </c>
      <c r="O3591">
        <v>-0.99960179999999998</v>
      </c>
      <c r="P3591">
        <v>9.1138720000000006E-2</v>
      </c>
      <c r="Q3591">
        <v>-9.5774999999999999E-2</v>
      </c>
      <c r="R3591">
        <v>-0.9912223</v>
      </c>
      <c r="S3591">
        <v>1.578003</v>
      </c>
      <c r="T3591">
        <v>-0.39313690000000001</v>
      </c>
      <c r="U3591">
        <v>-2.8446959999999999</v>
      </c>
      <c r="V3591">
        <v>-6.6853739999999995E-2</v>
      </c>
      <c r="W3591">
        <v>-8.1805149999999993E-2</v>
      </c>
      <c r="X3591">
        <v>0.99440360000000005</v>
      </c>
      <c r="Y3591">
        <v>-0.46035930000000003</v>
      </c>
      <c r="Z3591">
        <v>0.1067927</v>
      </c>
      <c r="AA3591">
        <v>0.88128580000000001</v>
      </c>
      <c r="AB3591">
        <v>18</v>
      </c>
      <c r="AC3591">
        <v>4.4977999999999803</v>
      </c>
      <c r="AD3591">
        <v>-1.1211756338587999</v>
      </c>
      <c r="AE3591">
        <v>-8.0103000000000009</v>
      </c>
      <c r="AF3591">
        <v>-4.2372764459451604</v>
      </c>
      <c r="AG3591">
        <v>-1.1211756338587999</v>
      </c>
      <c r="AH3591">
        <v>7.9988501548090403</v>
      </c>
      <c r="AI3591">
        <v>97.0607737388207</v>
      </c>
      <c r="AJ3591">
        <v>117.911765827875</v>
      </c>
      <c r="AK3591">
        <v>9.1210279179711407</v>
      </c>
      <c r="AL3591">
        <v>94.692333317107497</v>
      </c>
      <c r="AM3591">
        <v>93.8462066304171</v>
      </c>
      <c r="AN3591">
        <v>1.00000001240573</v>
      </c>
    </row>
    <row r="3592" spans="1:40" x14ac:dyDescent="0.25">
      <c r="A3592" t="str">
        <f>"20190303154206763"</f>
        <v>20190303154206763</v>
      </c>
      <c r="B3592" t="str">
        <f>"1551598926753068"</f>
        <v>1551598926753068</v>
      </c>
      <c r="C3592" t="s">
        <v>40</v>
      </c>
      <c r="D3592">
        <v>5.1964480000000002</v>
      </c>
      <c r="E3592">
        <v>0.33420129999999998</v>
      </c>
      <c r="F3592" t="s">
        <v>42</v>
      </c>
      <c r="G3592">
        <v>-491.9991</v>
      </c>
      <c r="H3592">
        <v>1.0099400000000001</v>
      </c>
      <c r="I3592">
        <v>237.1165</v>
      </c>
      <c r="J3592">
        <v>-492.44119999999998</v>
      </c>
      <c r="K3592">
        <v>1.1211420000000001</v>
      </c>
      <c r="L3592">
        <v>237.79650000000001</v>
      </c>
      <c r="M3592">
        <v>2.4545910000000001E-2</v>
      </c>
      <c r="N3592">
        <v>-1.4050470000000001E-2</v>
      </c>
      <c r="O3592">
        <v>-0.99960000000000004</v>
      </c>
      <c r="P3592">
        <v>9.2149209999999995E-2</v>
      </c>
      <c r="Q3592">
        <v>-9.578043E-2</v>
      </c>
      <c r="R3592">
        <v>-0.99112820000000001</v>
      </c>
      <c r="S3592">
        <v>1.584381</v>
      </c>
      <c r="T3592">
        <v>-0.39581159999999999</v>
      </c>
      <c r="U3592">
        <v>-2.8426670000000001</v>
      </c>
      <c r="V3592">
        <v>-6.7801550000000002E-2</v>
      </c>
      <c r="W3592">
        <v>-8.1808989999999998E-2</v>
      </c>
      <c r="X3592">
        <v>0.99433910000000003</v>
      </c>
      <c r="Y3592">
        <v>-0.46202749999999998</v>
      </c>
      <c r="Z3592">
        <v>0.10756309999999999</v>
      </c>
      <c r="AA3592">
        <v>0.88031859999999995</v>
      </c>
      <c r="AB3592">
        <v>18</v>
      </c>
      <c r="AC3592">
        <v>0.44209999999998201</v>
      </c>
      <c r="AD3592">
        <v>-0.111202</v>
      </c>
      <c r="AE3592">
        <v>-0.68000000000000604</v>
      </c>
      <c r="AF3592">
        <v>-0.41742737444863198</v>
      </c>
      <c r="AG3592">
        <v>-0.111202</v>
      </c>
      <c r="AH3592">
        <v>0.67790507398208499</v>
      </c>
      <c r="AI3592">
        <v>97.951662568184204</v>
      </c>
      <c r="AJ3592">
        <v>121.62313328850701</v>
      </c>
      <c r="AK3592">
        <v>0.803845001896345</v>
      </c>
      <c r="AL3592">
        <v>94.692554115147601</v>
      </c>
      <c r="AM3592">
        <v>93.9008207980485</v>
      </c>
      <c r="AN3592">
        <v>1.0000000034080101</v>
      </c>
    </row>
    <row r="3593" spans="1:40" x14ac:dyDescent="0.25">
      <c r="A3593" t="str">
        <f>"20190303154206779"</f>
        <v>20190303154206779</v>
      </c>
      <c r="B3593" t="str">
        <f>"1551598926773564"</f>
        <v>1551598926773564</v>
      </c>
      <c r="C3593" t="s">
        <v>40</v>
      </c>
      <c r="D3593">
        <v>5.2540380000000004</v>
      </c>
      <c r="E3593">
        <v>0.33346350000000002</v>
      </c>
      <c r="F3593" t="s">
        <v>42</v>
      </c>
      <c r="G3593">
        <v>-491.98759999999999</v>
      </c>
      <c r="H3593">
        <v>1.00776</v>
      </c>
      <c r="I3593">
        <v>236.98519999999999</v>
      </c>
      <c r="J3593">
        <v>-492.43799999999999</v>
      </c>
      <c r="K3593">
        <v>1.121113</v>
      </c>
      <c r="L3593">
        <v>237.66990000000001</v>
      </c>
      <c r="M3593">
        <v>2.4579899999999998E-2</v>
      </c>
      <c r="N3593">
        <v>-1.4046980000000001E-2</v>
      </c>
      <c r="O3593">
        <v>-0.99959929999999997</v>
      </c>
      <c r="P3593">
        <v>9.3816269999999993E-2</v>
      </c>
      <c r="Q3593">
        <v>-9.5748799999999995E-2</v>
      </c>
      <c r="R3593">
        <v>-0.99097500000000005</v>
      </c>
      <c r="S3593">
        <v>1.589264</v>
      </c>
      <c r="T3593">
        <v>-0.39700809999999997</v>
      </c>
      <c r="U3593">
        <v>-2.8407290000000001</v>
      </c>
      <c r="V3593">
        <v>-6.9444519999999996E-2</v>
      </c>
      <c r="W3593">
        <v>-8.1776340000000003E-2</v>
      </c>
      <c r="X3593">
        <v>0.99422840000000001</v>
      </c>
      <c r="Y3593">
        <v>-0.46338509999999999</v>
      </c>
      <c r="Z3593">
        <v>0.10790719999999999</v>
      </c>
      <c r="AA3593">
        <v>0.87956259999999997</v>
      </c>
      <c r="AB3593">
        <v>18</v>
      </c>
      <c r="AC3593">
        <v>0.45040000000005798</v>
      </c>
      <c r="AD3593">
        <v>-0.113353</v>
      </c>
      <c r="AE3593">
        <v>-0.68470000000001996</v>
      </c>
      <c r="AF3593">
        <v>-0.42529659619524901</v>
      </c>
      <c r="AG3593">
        <v>-0.113353</v>
      </c>
      <c r="AH3593">
        <v>0.68250880384810597</v>
      </c>
      <c r="AI3593">
        <v>98.023316847565098</v>
      </c>
      <c r="AJ3593">
        <v>121.92856712334</v>
      </c>
      <c r="AK3593">
        <v>0.81212336789088801</v>
      </c>
      <c r="AL3593">
        <v>94.690677081939896</v>
      </c>
      <c r="AM3593">
        <v>93.995486554832695</v>
      </c>
      <c r="AN3593">
        <v>1.00000001125419</v>
      </c>
    </row>
    <row r="3594" spans="1:40" x14ac:dyDescent="0.25">
      <c r="A3594" t="str">
        <f>"20190303154206793"</f>
        <v>20190303154206793</v>
      </c>
      <c r="B3594" t="str">
        <f>"1551598926783324"</f>
        <v>1551598926783324</v>
      </c>
      <c r="C3594" t="s">
        <v>40</v>
      </c>
      <c r="D3594">
        <v>5.2151680000000002</v>
      </c>
      <c r="E3594">
        <v>0.33325880000000002</v>
      </c>
      <c r="F3594" t="s">
        <v>42</v>
      </c>
      <c r="G3594">
        <v>-491.96620000000001</v>
      </c>
      <c r="H3594">
        <v>1.0045280000000001</v>
      </c>
      <c r="I3594">
        <v>236.83340000000001</v>
      </c>
      <c r="J3594">
        <v>-492.43540000000002</v>
      </c>
      <c r="K3594">
        <v>1.1210899999999999</v>
      </c>
      <c r="L3594">
        <v>237.5652</v>
      </c>
      <c r="M3594">
        <v>2.4577539999999998E-2</v>
      </c>
      <c r="N3594">
        <v>-1.4044070000000001E-2</v>
      </c>
      <c r="O3594">
        <v>-0.99959929999999997</v>
      </c>
      <c r="P3594">
        <v>9.4207940000000004E-2</v>
      </c>
      <c r="Q3594">
        <v>-9.5809270000000002E-2</v>
      </c>
      <c r="R3594">
        <v>-0.99093169999999997</v>
      </c>
      <c r="S3594">
        <v>1.600006</v>
      </c>
      <c r="T3594">
        <v>-0.39547979999999999</v>
      </c>
      <c r="U3594">
        <v>-2.8376459999999999</v>
      </c>
      <c r="V3594">
        <v>-6.9844310000000007E-2</v>
      </c>
      <c r="W3594">
        <v>-8.1835859999999996E-2</v>
      </c>
      <c r="X3594">
        <v>0.99419550000000001</v>
      </c>
      <c r="Y3594">
        <v>-0.4663503</v>
      </c>
      <c r="Z3594">
        <v>0.1073587</v>
      </c>
      <c r="AA3594">
        <v>0.87806119999999899</v>
      </c>
      <c r="AB3594">
        <v>18</v>
      </c>
      <c r="AC3594">
        <v>0.46920000000000001</v>
      </c>
      <c r="AD3594">
        <v>-0.116561999999999</v>
      </c>
      <c r="AE3594">
        <v>-0.73179999999999201</v>
      </c>
      <c r="AF3594">
        <v>-0.44310386331754398</v>
      </c>
      <c r="AG3594">
        <v>-0.116561999999999</v>
      </c>
      <c r="AH3594">
        <v>0.72998706060743102</v>
      </c>
      <c r="AI3594">
        <v>97.772737581506206</v>
      </c>
      <c r="AJ3594">
        <v>121.25784927849701</v>
      </c>
      <c r="AK3594">
        <v>0.86186358676139196</v>
      </c>
      <c r="AL3594">
        <v>94.694098782833393</v>
      </c>
      <c r="AM3594">
        <v>94.0185458520873</v>
      </c>
      <c r="AN3594">
        <v>1.0000000139207801</v>
      </c>
    </row>
    <row r="3595" spans="1:40" x14ac:dyDescent="0.25">
      <c r="A3595" t="str">
        <f>"20190303154206804"</f>
        <v>20190303154206804</v>
      </c>
      <c r="B3595" t="str">
        <f>"1551598926793085"</f>
        <v>1551598926793085</v>
      </c>
      <c r="C3595" t="s">
        <v>40</v>
      </c>
      <c r="D3595">
        <v>5.2049010000000004</v>
      </c>
      <c r="E3595">
        <v>0.33306540000000001</v>
      </c>
      <c r="F3595" t="s">
        <v>42</v>
      </c>
      <c r="G3595">
        <v>-491.98090000000002</v>
      </c>
      <c r="H3595">
        <v>1.008672</v>
      </c>
      <c r="I3595">
        <v>236.76079999999999</v>
      </c>
      <c r="J3595">
        <v>-492.4332</v>
      </c>
      <c r="K3595">
        <v>1.121075</v>
      </c>
      <c r="L3595">
        <v>237.47630000000001</v>
      </c>
      <c r="M3595">
        <v>2.4558170000000001E-2</v>
      </c>
      <c r="N3595">
        <v>-1.4041649999999999E-2</v>
      </c>
      <c r="O3595">
        <v>-0.99959980000000004</v>
      </c>
      <c r="P3595">
        <v>9.4578700000000002E-2</v>
      </c>
      <c r="Q3595">
        <v>-9.5489760000000007E-2</v>
      </c>
      <c r="R3595">
        <v>-0.99092749999999996</v>
      </c>
      <c r="S3595">
        <v>1.6025389999999999</v>
      </c>
      <c r="T3595">
        <v>-0.39648990000000001</v>
      </c>
      <c r="U3595">
        <v>-2.836792</v>
      </c>
      <c r="V3595">
        <v>-7.0237740000000007E-2</v>
      </c>
      <c r="W3595">
        <v>-8.1516060000000001E-2</v>
      </c>
      <c r="X3595">
        <v>0.99419400000000002</v>
      </c>
      <c r="Y3595">
        <v>-0.46705809999999998</v>
      </c>
      <c r="Z3595">
        <v>0.1076492</v>
      </c>
      <c r="AA3595">
        <v>0.87764940000000002</v>
      </c>
      <c r="AB3595">
        <v>18</v>
      </c>
      <c r="AC3595">
        <v>0.452299999999979</v>
      </c>
      <c r="AD3595">
        <v>-0.112403</v>
      </c>
      <c r="AE3595">
        <v>-0.71550000000002001</v>
      </c>
      <c r="AF3595">
        <v>-0.42706003901363898</v>
      </c>
      <c r="AG3595">
        <v>-0.112403</v>
      </c>
      <c r="AH3595">
        <v>0.71380625865047198</v>
      </c>
      <c r="AI3595">
        <v>97.695842783937906</v>
      </c>
      <c r="AJ3595">
        <v>120.89147748161599</v>
      </c>
      <c r="AK3595">
        <v>0.83936528771442298</v>
      </c>
      <c r="AL3595">
        <v>94.6757144264228</v>
      </c>
      <c r="AM3595">
        <v>94.041113438260993</v>
      </c>
      <c r="AN3595">
        <v>0.99999995889711402</v>
      </c>
    </row>
    <row r="3596" spans="1:40" x14ac:dyDescent="0.25">
      <c r="A3596" t="str">
        <f>"20190303154206820"</f>
        <v>20190303154206820</v>
      </c>
      <c r="B3596" t="str">
        <f>"1551598926813580"</f>
        <v>1551598926813580</v>
      </c>
      <c r="C3596" t="s">
        <v>40</v>
      </c>
      <c r="D3596">
        <v>5.2590620000000001</v>
      </c>
      <c r="E3596">
        <v>0.33258520000000003</v>
      </c>
      <c r="F3596" t="s">
        <v>42</v>
      </c>
      <c r="G3596">
        <v>-491.97890000000001</v>
      </c>
      <c r="H3596">
        <v>1.0090159999999999</v>
      </c>
      <c r="I3596">
        <v>236.67349999999999</v>
      </c>
      <c r="J3596">
        <v>-492.43040000000002</v>
      </c>
      <c r="K3596">
        <v>1.1210629999999999</v>
      </c>
      <c r="L3596">
        <v>237.36179999999999</v>
      </c>
      <c r="M3596">
        <v>2.4521629999999999E-2</v>
      </c>
      <c r="N3596">
        <v>-1.403853E-2</v>
      </c>
      <c r="O3596">
        <v>-0.99960079999999996</v>
      </c>
      <c r="P3596">
        <v>9.5058219999999999E-2</v>
      </c>
      <c r="Q3596">
        <v>-9.5429089999999994E-2</v>
      </c>
      <c r="R3596">
        <v>-0.99088739999999997</v>
      </c>
      <c r="S3596">
        <v>1.6052550000000001</v>
      </c>
      <c r="T3596">
        <v>-0.39585779999999998</v>
      </c>
      <c r="U3596">
        <v>-2.83609</v>
      </c>
      <c r="V3596">
        <v>-7.0757169999999994E-2</v>
      </c>
      <c r="W3596">
        <v>-8.1456180000000003E-2</v>
      </c>
      <c r="X3596">
        <v>0.99416210000000005</v>
      </c>
      <c r="Y3596">
        <v>-0.46783130000000001</v>
      </c>
      <c r="Z3596">
        <v>0.1074348</v>
      </c>
      <c r="AA3596">
        <v>0.87726369999999898</v>
      </c>
      <c r="AB3596">
        <v>17</v>
      </c>
      <c r="AC3596">
        <v>0.45150000000001</v>
      </c>
      <c r="AD3596">
        <v>-0.11204699999999999</v>
      </c>
      <c r="AE3596">
        <v>-0.68829999999999802</v>
      </c>
      <c r="AF3596">
        <v>-0.42658075218610197</v>
      </c>
      <c r="AG3596">
        <v>-0.11204699999999999</v>
      </c>
      <c r="AH3596">
        <v>0.68644731231883405</v>
      </c>
      <c r="AI3596">
        <v>97.893080206944006</v>
      </c>
      <c r="AJ3596">
        <v>121.85816625783301</v>
      </c>
      <c r="AK3596">
        <v>0.81592621047151803</v>
      </c>
      <c r="AL3596">
        <v>94.672271991246703</v>
      </c>
      <c r="AM3596">
        <v>94.071028808583407</v>
      </c>
      <c r="AN3596">
        <v>0.999999983721505</v>
      </c>
    </row>
    <row r="3597" spans="1:40" x14ac:dyDescent="0.25">
      <c r="A3597" t="str">
        <f>"20190303154206834"</f>
        <v>20190303154206834</v>
      </c>
      <c r="B3597" t="str">
        <f>"1551598926823340"</f>
        <v>1551598926823340</v>
      </c>
      <c r="C3597" t="s">
        <v>40</v>
      </c>
      <c r="D3597">
        <v>5.2486819999999996</v>
      </c>
      <c r="E3597">
        <v>0.3322908</v>
      </c>
      <c r="F3597" t="s">
        <v>42</v>
      </c>
      <c r="G3597">
        <v>-491.95389999999998</v>
      </c>
      <c r="H3597">
        <v>1.0037529999999999</v>
      </c>
      <c r="I3597">
        <v>236.5231</v>
      </c>
      <c r="J3597">
        <v>-492.42739999999998</v>
      </c>
      <c r="K3597">
        <v>1.121062</v>
      </c>
      <c r="L3597">
        <v>237.2388</v>
      </c>
      <c r="M3597">
        <v>2.4465710000000002E-2</v>
      </c>
      <c r="N3597">
        <v>-1.403516E-2</v>
      </c>
      <c r="O3597">
        <v>-0.9996022</v>
      </c>
      <c r="P3597">
        <v>9.5564179999999999E-2</v>
      </c>
      <c r="Q3597">
        <v>-9.4686549999999994E-2</v>
      </c>
      <c r="R3597">
        <v>-0.99090979999999995</v>
      </c>
      <c r="S3597">
        <v>1.6105039999999999</v>
      </c>
      <c r="T3597">
        <v>-0.39653290000000002</v>
      </c>
      <c r="U3597">
        <v>-2.8348689999999999</v>
      </c>
      <c r="V3597">
        <v>-7.1319450000000006E-2</v>
      </c>
      <c r="W3597">
        <v>-8.0715029999999993E-2</v>
      </c>
      <c r="X3597">
        <v>0.99418240000000002</v>
      </c>
      <c r="Y3597">
        <v>-0.46926119999999999</v>
      </c>
      <c r="Z3597">
        <v>0.1075873</v>
      </c>
      <c r="AA3597">
        <v>0.87648099999999995</v>
      </c>
      <c r="AB3597">
        <v>17</v>
      </c>
      <c r="AC3597">
        <v>0.47350000000000098</v>
      </c>
      <c r="AD3597">
        <v>-0.117308999999999</v>
      </c>
      <c r="AE3597">
        <v>-0.715699999999998</v>
      </c>
      <c r="AF3597">
        <v>-0.44748441274381501</v>
      </c>
      <c r="AG3597">
        <v>-0.117308999999999</v>
      </c>
      <c r="AH3597">
        <v>0.71373406769696102</v>
      </c>
      <c r="AI3597">
        <v>97.927665514859697</v>
      </c>
      <c r="AJ3597">
        <v>122.086164998953</v>
      </c>
      <c r="AK3597">
        <v>0.85054101636601098</v>
      </c>
      <c r="AL3597">
        <v>94.629666797769303</v>
      </c>
      <c r="AM3597">
        <v>94.103186142895495</v>
      </c>
      <c r="AN3597">
        <v>1.00000001224298</v>
      </c>
    </row>
    <row r="3598" spans="1:40" x14ac:dyDescent="0.25">
      <c r="A3598" t="str">
        <f>"20190303154206846"</f>
        <v>20190303154206846</v>
      </c>
      <c r="B3598" t="str">
        <f>"1551598926843129"</f>
        <v>1551598926843129</v>
      </c>
      <c r="C3598" t="s">
        <v>40</v>
      </c>
      <c r="D3598">
        <v>5.2903209999999996</v>
      </c>
      <c r="E3598">
        <v>0.33164189999999999</v>
      </c>
      <c r="F3598" t="s">
        <v>42</v>
      </c>
      <c r="G3598">
        <v>-491.97030000000001</v>
      </c>
      <c r="H3598">
        <v>1.0095639999999999</v>
      </c>
      <c r="I3598">
        <v>236.43629999999999</v>
      </c>
      <c r="J3598">
        <v>-492.42540000000002</v>
      </c>
      <c r="K3598">
        <v>1.1210659999999999</v>
      </c>
      <c r="L3598">
        <v>237.1514</v>
      </c>
      <c r="M3598">
        <v>2.4416230000000001E-2</v>
      </c>
      <c r="N3598">
        <v>-1.403278E-2</v>
      </c>
      <c r="O3598">
        <v>-0.99960360000000004</v>
      </c>
      <c r="P3598">
        <v>9.5822240000000003E-2</v>
      </c>
      <c r="Q3598">
        <v>-9.4067399999999995E-2</v>
      </c>
      <c r="R3598">
        <v>-0.99094420000000005</v>
      </c>
      <c r="S3598">
        <v>1.6143799999999999</v>
      </c>
      <c r="T3598">
        <v>-0.39377079999999998</v>
      </c>
      <c r="U3598">
        <v>-2.8342130000000001</v>
      </c>
      <c r="V3598">
        <v>-7.1625460000000002E-2</v>
      </c>
      <c r="W3598">
        <v>-8.0097799999999997E-2</v>
      </c>
      <c r="X3598">
        <v>0.99421029999999999</v>
      </c>
      <c r="Y3598">
        <v>-0.47034569999999998</v>
      </c>
      <c r="Z3598">
        <v>0.106706</v>
      </c>
      <c r="AA3598">
        <v>0.87600730000000004</v>
      </c>
      <c r="AB3598">
        <v>17</v>
      </c>
      <c r="AC3598">
        <v>0.45510000000001499</v>
      </c>
      <c r="AD3598">
        <v>-0.111502</v>
      </c>
      <c r="AE3598">
        <v>-0.71510000000000595</v>
      </c>
      <c r="AF3598">
        <v>-0.43006073692678298</v>
      </c>
      <c r="AG3598">
        <v>-0.111502</v>
      </c>
      <c r="AH3598">
        <v>0.713650631464675</v>
      </c>
      <c r="AI3598">
        <v>97.622105391025201</v>
      </c>
      <c r="AJ3598">
        <v>121.074042541723</v>
      </c>
      <c r="AK3598">
        <v>0.84064389442851295</v>
      </c>
      <c r="AL3598">
        <v>94.594187338178898</v>
      </c>
      <c r="AM3598">
        <v>94.120615904679894</v>
      </c>
      <c r="AN3598">
        <v>0.99999999235557002</v>
      </c>
    </row>
    <row r="3599" spans="1:40" x14ac:dyDescent="0.25">
      <c r="A3599" t="str">
        <f>"20190303154206868"</f>
        <v>20190303154206868</v>
      </c>
      <c r="B3599" t="str">
        <f>"1551598926863625"</f>
        <v>1551598926863625</v>
      </c>
      <c r="C3599" t="s">
        <v>40</v>
      </c>
      <c r="D3599">
        <v>5.2036259999999999</v>
      </c>
      <c r="E3599">
        <v>0.33123409999999998</v>
      </c>
      <c r="F3599" t="s">
        <v>42</v>
      </c>
      <c r="G3599">
        <v>-491.9742</v>
      </c>
      <c r="H3599">
        <v>1.01189</v>
      </c>
      <c r="I3599">
        <v>236.3621</v>
      </c>
      <c r="J3599">
        <v>-492.42129999999997</v>
      </c>
      <c r="K3599">
        <v>1.121081</v>
      </c>
      <c r="L3599">
        <v>236.9803</v>
      </c>
      <c r="M3599">
        <v>2.4313299999999999E-2</v>
      </c>
      <c r="N3599">
        <v>-1.402817E-2</v>
      </c>
      <c r="O3599">
        <v>-0.99960599999999999</v>
      </c>
      <c r="P3599">
        <v>9.6084900000000001E-2</v>
      </c>
      <c r="Q3599">
        <v>-9.2680789999999999E-2</v>
      </c>
      <c r="R3599">
        <v>-0.99104919999999996</v>
      </c>
      <c r="S3599">
        <v>1.620209</v>
      </c>
      <c r="T3599">
        <v>-0.39188220000000001</v>
      </c>
      <c r="U3599">
        <v>-2.8335110000000001</v>
      </c>
      <c r="V3599">
        <v>-7.1985649999999998E-2</v>
      </c>
      <c r="W3599">
        <v>-7.8715789999999994E-2</v>
      </c>
      <c r="X3599">
        <v>0.99429460000000003</v>
      </c>
      <c r="Y3599">
        <v>-0.47192339999999999</v>
      </c>
      <c r="Z3599">
        <v>0.1060569</v>
      </c>
      <c r="AA3599">
        <v>0.8752373</v>
      </c>
      <c r="AB3599">
        <v>17</v>
      </c>
      <c r="AC3599">
        <v>0.44709999999997702</v>
      </c>
      <c r="AD3599">
        <v>-0.109191</v>
      </c>
      <c r="AE3599">
        <v>-0.61820000000000097</v>
      </c>
      <c r="AF3599">
        <v>-0.42326598497946399</v>
      </c>
      <c r="AG3599">
        <v>-0.109191</v>
      </c>
      <c r="AH3599">
        <v>0.61626564312149001</v>
      </c>
      <c r="AI3599">
        <v>98.309369636280294</v>
      </c>
      <c r="AJ3599">
        <v>124.48221084698601</v>
      </c>
      <c r="AK3599">
        <v>0.75555285150251295</v>
      </c>
      <c r="AL3599">
        <v>94.514753441020801</v>
      </c>
      <c r="AM3599">
        <v>94.1409158457638</v>
      </c>
      <c r="AN3599">
        <v>0.99999993049520097</v>
      </c>
    </row>
    <row r="3600" spans="1:40" x14ac:dyDescent="0.25">
      <c r="A3600" t="str">
        <f>"20190303154206881"</f>
        <v>20190303154206881</v>
      </c>
      <c r="B3600" t="str">
        <f>"1551598926873384"</f>
        <v>1551598926873384</v>
      </c>
      <c r="C3600" t="s">
        <v>40</v>
      </c>
      <c r="D3600">
        <v>5.2031549999999998</v>
      </c>
      <c r="E3600">
        <v>0.33112730000000001</v>
      </c>
      <c r="F3600" t="s">
        <v>42</v>
      </c>
      <c r="G3600">
        <v>-491.97649999999999</v>
      </c>
      <c r="H3600">
        <v>1.014742</v>
      </c>
      <c r="I3600">
        <v>236.2047</v>
      </c>
      <c r="J3600">
        <v>-492.41899999999998</v>
      </c>
      <c r="K3600">
        <v>1.121094</v>
      </c>
      <c r="L3600">
        <v>236.88570000000001</v>
      </c>
      <c r="M3600">
        <v>2.4255229999999999E-2</v>
      </c>
      <c r="N3600">
        <v>-1.4025650000000001E-2</v>
      </c>
      <c r="O3600">
        <v>-0.99960740000000003</v>
      </c>
      <c r="P3600">
        <v>9.5909709999999995E-2</v>
      </c>
      <c r="Q3600">
        <v>-9.2341969999999995E-2</v>
      </c>
      <c r="R3600">
        <v>-0.99109780000000003</v>
      </c>
      <c r="S3600">
        <v>1.624268</v>
      </c>
      <c r="T3600">
        <v>-0.38845540000000001</v>
      </c>
      <c r="U3600">
        <v>-2.8332980000000001</v>
      </c>
      <c r="V3600">
        <v>-7.1865230000000002E-2</v>
      </c>
      <c r="W3600">
        <v>-7.8380420000000006E-2</v>
      </c>
      <c r="X3600">
        <v>0.99432989999999999</v>
      </c>
      <c r="Y3600">
        <v>-0.47300710000000001</v>
      </c>
      <c r="Z3600">
        <v>0.1049583</v>
      </c>
      <c r="AA3600">
        <v>0.87478449999999996</v>
      </c>
      <c r="AB3600">
        <v>17</v>
      </c>
      <c r="AC3600">
        <v>0.44250000000005202</v>
      </c>
      <c r="AD3600">
        <v>-0.106352</v>
      </c>
      <c r="AE3600">
        <v>-0.68100000000001104</v>
      </c>
      <c r="AF3600">
        <v>-0.41867067862524998</v>
      </c>
      <c r="AG3600">
        <v>-0.106352</v>
      </c>
      <c r="AH3600">
        <v>0.67987461103659896</v>
      </c>
      <c r="AI3600">
        <v>97.587074405372704</v>
      </c>
      <c r="AJ3600">
        <v>121.62499943397501</v>
      </c>
      <c r="AK3600">
        <v>0.80549697192273495</v>
      </c>
      <c r="AL3600">
        <v>94.495478171785706</v>
      </c>
      <c r="AM3600">
        <v>94.133866565592697</v>
      </c>
      <c r="AN3600">
        <v>1.0000000257781601</v>
      </c>
    </row>
    <row r="3601" spans="1:40" x14ac:dyDescent="0.25">
      <c r="A3601" t="str">
        <f>"20190303154206893"</f>
        <v>20190303154206893</v>
      </c>
      <c r="B3601" t="str">
        <f>"1551598926883144"</f>
        <v>1551598926883144</v>
      </c>
      <c r="C3601" t="s">
        <v>40</v>
      </c>
      <c r="D3601">
        <v>5.2092479999999997</v>
      </c>
      <c r="E3601">
        <v>0.33106439999999998</v>
      </c>
      <c r="F3601" t="s">
        <v>42</v>
      </c>
      <c r="G3601">
        <v>-491.94459999999998</v>
      </c>
      <c r="H3601">
        <v>1.0076940000000001</v>
      </c>
      <c r="I3601">
        <v>236.05789999999999</v>
      </c>
      <c r="J3601">
        <v>-492.41660000000002</v>
      </c>
      <c r="K3601">
        <v>1.1211070000000001</v>
      </c>
      <c r="L3601">
        <v>236.78290000000001</v>
      </c>
      <c r="M3601">
        <v>2.4193389999999999E-2</v>
      </c>
      <c r="N3601">
        <v>-1.4022929999999999E-2</v>
      </c>
      <c r="O3601">
        <v>-0.99960910000000003</v>
      </c>
      <c r="P3601">
        <v>9.6005770000000004E-2</v>
      </c>
      <c r="Q3601">
        <v>-9.1856480000000004E-2</v>
      </c>
      <c r="R3601">
        <v>-0.99113370000000001</v>
      </c>
      <c r="S3601">
        <v>1.62442</v>
      </c>
      <c r="T3601">
        <v>-0.38812140000000001</v>
      </c>
      <c r="U3601">
        <v>-2.8335880000000002</v>
      </c>
      <c r="V3601">
        <v>-7.2019669999999994E-2</v>
      </c>
      <c r="W3601">
        <v>-7.7899049999999997E-2</v>
      </c>
      <c r="X3601">
        <v>0.99435649999999998</v>
      </c>
      <c r="Y3601">
        <v>-0.4730647</v>
      </c>
      <c r="Z3601">
        <v>0.1048466</v>
      </c>
      <c r="AA3601">
        <v>0.87476679999999996</v>
      </c>
      <c r="AB3601">
        <v>17</v>
      </c>
      <c r="AC3601">
        <v>0.472000000000036</v>
      </c>
      <c r="AD3601">
        <v>-0.113413</v>
      </c>
      <c r="AE3601">
        <v>-0.72500000000002196</v>
      </c>
      <c r="AF3601">
        <v>-0.44664365958441699</v>
      </c>
      <c r="AG3601">
        <v>-0.113413</v>
      </c>
      <c r="AH3601">
        <v>0.72376911400863098</v>
      </c>
      <c r="AI3601">
        <v>97.595597042633003</v>
      </c>
      <c r="AJ3601">
        <v>121.679064461012</v>
      </c>
      <c r="AK3601">
        <v>0.85801794713677104</v>
      </c>
      <c r="AL3601">
        <v>94.467813355492396</v>
      </c>
      <c r="AM3601">
        <v>94.142609005260397</v>
      </c>
      <c r="AN3601">
        <v>0.99999997197502999</v>
      </c>
    </row>
    <row r="3602" spans="1:40" x14ac:dyDescent="0.25">
      <c r="A3602" t="str">
        <f>"20190303154206905"</f>
        <v>20190303154206905</v>
      </c>
      <c r="B3602" t="str">
        <f>"1551598926903640"</f>
        <v>1551598926903640</v>
      </c>
      <c r="C3602" t="s">
        <v>40</v>
      </c>
      <c r="D3602">
        <v>5.2392940000000001</v>
      </c>
      <c r="E3602">
        <v>0.3309782</v>
      </c>
      <c r="F3602" t="s">
        <v>42</v>
      </c>
      <c r="G3602">
        <v>-491.96510000000001</v>
      </c>
      <c r="H3602">
        <v>1.013404</v>
      </c>
      <c r="I3602">
        <v>235.995</v>
      </c>
      <c r="J3602">
        <v>-492.41449999999998</v>
      </c>
      <c r="K3602">
        <v>1.121119</v>
      </c>
      <c r="L3602">
        <v>236.69370000000001</v>
      </c>
      <c r="M3602">
        <v>2.41455E-2</v>
      </c>
      <c r="N3602">
        <v>-1.4020599999999999E-2</v>
      </c>
      <c r="O3602">
        <v>-0.99961029999999995</v>
      </c>
      <c r="P3602">
        <v>9.5972080000000001E-2</v>
      </c>
      <c r="Q3602">
        <v>-9.1649999999999995E-2</v>
      </c>
      <c r="R3602">
        <v>-0.99115620000000004</v>
      </c>
      <c r="S3602">
        <v>1.625</v>
      </c>
      <c r="T3602">
        <v>-0.38733719999999999</v>
      </c>
      <c r="U3602">
        <v>-2.8335720000000002</v>
      </c>
      <c r="V3602">
        <v>-7.2030780000000003E-2</v>
      </c>
      <c r="W3602">
        <v>-7.7696459999999995E-2</v>
      </c>
      <c r="X3602">
        <v>0.99437160000000002</v>
      </c>
      <c r="Y3602">
        <v>-0.47325699999999998</v>
      </c>
      <c r="Z3602">
        <v>0.104601</v>
      </c>
      <c r="AA3602">
        <v>0.87469219999999903</v>
      </c>
      <c r="AB3602">
        <v>17</v>
      </c>
      <c r="AC3602">
        <v>0.44939999999996799</v>
      </c>
      <c r="AD3602">
        <v>-0.10771499999999901</v>
      </c>
      <c r="AE3602">
        <v>-0.69870000000000199</v>
      </c>
      <c r="AF3602">
        <v>-0.42524766426652899</v>
      </c>
      <c r="AG3602">
        <v>-0.10771499999999901</v>
      </c>
      <c r="AH3602">
        <v>0.69762006992830095</v>
      </c>
      <c r="AI3602">
        <v>97.510565257557502</v>
      </c>
      <c r="AJ3602">
        <v>121.365195766844</v>
      </c>
      <c r="AK3602">
        <v>0.82408243468472597</v>
      </c>
      <c r="AL3602">
        <v>94.456170274263997</v>
      </c>
      <c r="AM3602">
        <v>94.143183134898393</v>
      </c>
      <c r="AN3602">
        <v>1.00000002602524</v>
      </c>
    </row>
    <row r="3603" spans="1:40" x14ac:dyDescent="0.25">
      <c r="A3603" t="str">
        <f>"20190303154206917"</f>
        <v>20190303154206917</v>
      </c>
      <c r="B3603" t="str">
        <f>"1551598926913400"</f>
        <v>1551598926913400</v>
      </c>
      <c r="C3603" t="s">
        <v>40</v>
      </c>
      <c r="D3603">
        <v>5.2239269999999998</v>
      </c>
      <c r="E3603">
        <v>0.33095089999999999</v>
      </c>
      <c r="F3603" t="s">
        <v>42</v>
      </c>
      <c r="G3603">
        <v>-491.9588</v>
      </c>
      <c r="H3603">
        <v>1.012381</v>
      </c>
      <c r="I3603">
        <v>235.89930000000001</v>
      </c>
      <c r="J3603">
        <v>-492.41230000000002</v>
      </c>
      <c r="K3603">
        <v>1.121129</v>
      </c>
      <c r="L3603">
        <v>236.601</v>
      </c>
      <c r="M3603">
        <v>2.4098330000000001E-2</v>
      </c>
      <c r="N3603">
        <v>-1.401818E-2</v>
      </c>
      <c r="O3603">
        <v>-0.99961120000000003</v>
      </c>
      <c r="P3603">
        <v>9.6028539999999996E-2</v>
      </c>
      <c r="Q3603">
        <v>-9.1725509999999996E-2</v>
      </c>
      <c r="R3603">
        <v>-0.99114349999999996</v>
      </c>
      <c r="S3603">
        <v>1.625732</v>
      </c>
      <c r="T3603">
        <v>-0.38786779999999998</v>
      </c>
      <c r="U3603">
        <v>-2.8334959999999998</v>
      </c>
      <c r="V3603">
        <v>-7.2132740000000001E-2</v>
      </c>
      <c r="W3603">
        <v>-7.7776449999999997E-2</v>
      </c>
      <c r="X3603">
        <v>0.99435790000000002</v>
      </c>
      <c r="Y3603">
        <v>-0.47347030000000001</v>
      </c>
      <c r="Z3603">
        <v>0.104752</v>
      </c>
      <c r="AA3603">
        <v>0.87455869999999902</v>
      </c>
      <c r="AB3603">
        <v>17</v>
      </c>
      <c r="AC3603">
        <v>0.453500000000019</v>
      </c>
      <c r="AD3603">
        <v>-0.108748</v>
      </c>
      <c r="AE3603">
        <v>-0.701699999999988</v>
      </c>
      <c r="AF3603">
        <v>-0.429185643944754</v>
      </c>
      <c r="AG3603">
        <v>-0.108748</v>
      </c>
      <c r="AH3603">
        <v>0.70055716345406605</v>
      </c>
      <c r="AI3603">
        <v>97.540166229391303</v>
      </c>
      <c r="AJ3603">
        <v>121.493082260729</v>
      </c>
      <c r="AK3603">
        <v>0.82873806702665698</v>
      </c>
      <c r="AL3603">
        <v>94.460767521072597</v>
      </c>
      <c r="AM3603">
        <v>94.149084333596207</v>
      </c>
      <c r="AN3603">
        <v>0.99999997082345904</v>
      </c>
    </row>
    <row r="3604" spans="1:40" x14ac:dyDescent="0.25">
      <c r="A3604" t="str">
        <f>"20190303154206929"</f>
        <v>20190303154206929</v>
      </c>
      <c r="B3604" t="str">
        <f>"1551598926923161"</f>
        <v>1551598926923161</v>
      </c>
      <c r="C3604" t="s">
        <v>40</v>
      </c>
      <c r="D3604">
        <v>5.2266589999999997</v>
      </c>
      <c r="E3604">
        <v>0.33085199999999998</v>
      </c>
      <c r="F3604" t="s">
        <v>42</v>
      </c>
      <c r="G3604">
        <v>-491.92579999999998</v>
      </c>
      <c r="H3604">
        <v>1.0045710000000001</v>
      </c>
      <c r="I3604">
        <v>235.7525</v>
      </c>
      <c r="J3604">
        <v>-492.40989999999999</v>
      </c>
      <c r="K3604">
        <v>1.1211390000000001</v>
      </c>
      <c r="L3604">
        <v>236.4984</v>
      </c>
      <c r="M3604">
        <v>2.405521E-2</v>
      </c>
      <c r="N3604">
        <v>-1.401552E-2</v>
      </c>
      <c r="O3604">
        <v>-0.99961239999999996</v>
      </c>
      <c r="P3604">
        <v>9.6075359999999999E-2</v>
      </c>
      <c r="Q3604">
        <v>-9.1025990000000001E-2</v>
      </c>
      <c r="R3604">
        <v>-0.99120350000000002</v>
      </c>
      <c r="S3604">
        <v>1.6258539999999999</v>
      </c>
      <c r="T3604">
        <v>-0.3891424</v>
      </c>
      <c r="U3604">
        <v>-2.8332980000000001</v>
      </c>
      <c r="V3604">
        <v>-7.2218210000000005E-2</v>
      </c>
      <c r="W3604">
        <v>-7.7080850000000006E-2</v>
      </c>
      <c r="X3604">
        <v>0.99440589999999995</v>
      </c>
      <c r="Y3604">
        <v>-0.4735413</v>
      </c>
      <c r="Z3604">
        <v>0.10514229999999999</v>
      </c>
      <c r="AA3604">
        <v>0.87447350000000001</v>
      </c>
      <c r="AB3604">
        <v>17</v>
      </c>
      <c r="AC3604">
        <v>0.48410000000001202</v>
      </c>
      <c r="AD3604">
        <v>-0.116568</v>
      </c>
      <c r="AE3604">
        <v>-0.745900000000006</v>
      </c>
      <c r="AF3604">
        <v>-0.45814241075823398</v>
      </c>
      <c r="AG3604">
        <v>-0.116568</v>
      </c>
      <c r="AH3604">
        <v>0.74453593217827196</v>
      </c>
      <c r="AI3604">
        <v>97.595145851191504</v>
      </c>
      <c r="AJ3604">
        <v>121.605629682038</v>
      </c>
      <c r="AK3604">
        <v>0.88193895563351499</v>
      </c>
      <c r="AL3604">
        <v>94.420792389570096</v>
      </c>
      <c r="AM3604">
        <v>94.153783568336095</v>
      </c>
      <c r="AN3604">
        <v>1.00000001062356</v>
      </c>
    </row>
    <row r="3605" spans="1:40" x14ac:dyDescent="0.25">
      <c r="A3605" t="str">
        <f>"20190303154206947"</f>
        <v>20190303154206947</v>
      </c>
      <c r="B3605" t="str">
        <f>"1551598926942680"</f>
        <v>1551598926942680</v>
      </c>
      <c r="C3605" t="s">
        <v>40</v>
      </c>
      <c r="D3605">
        <v>5.238823</v>
      </c>
      <c r="E3605">
        <v>0.33070359999999999</v>
      </c>
      <c r="F3605" t="s">
        <v>42</v>
      </c>
      <c r="G3605">
        <v>-491.9676</v>
      </c>
      <c r="H3605">
        <v>1.0154240000000001</v>
      </c>
      <c r="I3605">
        <v>235.7276</v>
      </c>
      <c r="J3605">
        <v>-492.40699999999998</v>
      </c>
      <c r="K3605">
        <v>1.121159</v>
      </c>
      <c r="L3605">
        <v>236.3742</v>
      </c>
      <c r="M3605">
        <v>2.401346E-2</v>
      </c>
      <c r="N3605">
        <v>-1.4012299999999899E-2</v>
      </c>
      <c r="O3605">
        <v>-0.99961359999999999</v>
      </c>
      <c r="P3605">
        <v>9.6230640000000006E-2</v>
      </c>
      <c r="Q3605">
        <v>-8.9938840000000006E-2</v>
      </c>
      <c r="R3605">
        <v>-0.99128780000000005</v>
      </c>
      <c r="S3605">
        <v>1.627197</v>
      </c>
      <c r="T3605">
        <v>-0.38851989999999997</v>
      </c>
      <c r="U3605">
        <v>-2.8332519999999999</v>
      </c>
      <c r="V3605">
        <v>-7.2410119999999994E-2</v>
      </c>
      <c r="W3605">
        <v>-7.5998109999999994E-2</v>
      </c>
      <c r="X3605">
        <v>0.9944752</v>
      </c>
      <c r="Y3605">
        <v>-0.47390719999999997</v>
      </c>
      <c r="Z3605">
        <v>0.1049344</v>
      </c>
      <c r="AA3605">
        <v>0.87430019999999997</v>
      </c>
      <c r="AB3605">
        <v>17</v>
      </c>
      <c r="AC3605">
        <v>0.43939999999997698</v>
      </c>
      <c r="AD3605">
        <v>-0.105735</v>
      </c>
      <c r="AE3605">
        <v>-0.64660000000000595</v>
      </c>
      <c r="AF3605">
        <v>-0.41613242160848402</v>
      </c>
      <c r="AG3605">
        <v>-0.105735</v>
      </c>
      <c r="AH3605">
        <v>0.64516420523431395</v>
      </c>
      <c r="AI3605">
        <v>97.841724925324499</v>
      </c>
      <c r="AJ3605">
        <v>122.822110729824</v>
      </c>
      <c r="AK3605">
        <v>0.77497286033406698</v>
      </c>
      <c r="AL3605">
        <v>94.358573787281699</v>
      </c>
      <c r="AM3605">
        <v>94.164493688140297</v>
      </c>
      <c r="AN3605">
        <v>0.99999993080851002</v>
      </c>
    </row>
    <row r="3606" spans="1:40" x14ac:dyDescent="0.25">
      <c r="A3606" t="str">
        <f>"20190303154206963"</f>
        <v>20190303154206963</v>
      </c>
      <c r="B3606" t="str">
        <f>"1551598926953417"</f>
        <v>1551598926953417</v>
      </c>
      <c r="C3606" t="s">
        <v>40</v>
      </c>
      <c r="D3606">
        <v>5.2202380000000002</v>
      </c>
      <c r="E3606">
        <v>0.33057560000000002</v>
      </c>
      <c r="F3606" t="s">
        <v>42</v>
      </c>
      <c r="G3606">
        <v>-491.95650000000001</v>
      </c>
      <c r="H3606">
        <v>1.0140340000000001</v>
      </c>
      <c r="I3606">
        <v>235.59049999999999</v>
      </c>
      <c r="J3606">
        <v>-492.40410000000003</v>
      </c>
      <c r="K3606">
        <v>1.121173</v>
      </c>
      <c r="L3606">
        <v>236.2508</v>
      </c>
      <c r="M3606">
        <v>2.3983569999999999E-2</v>
      </c>
      <c r="N3606">
        <v>-1.400912E-2</v>
      </c>
      <c r="O3606">
        <v>-0.99961449999999996</v>
      </c>
      <c r="P3606">
        <v>9.6108990000000005E-2</v>
      </c>
      <c r="Q3606">
        <v>-8.9346220000000004E-2</v>
      </c>
      <c r="R3606">
        <v>-0.99135320000000005</v>
      </c>
      <c r="S3606">
        <v>1.628387</v>
      </c>
      <c r="T3606">
        <v>-0.38728990000000002</v>
      </c>
      <c r="U3606">
        <v>-2.8331599999999999</v>
      </c>
      <c r="V3606">
        <v>-7.2314249999999997E-2</v>
      </c>
      <c r="W3606">
        <v>-7.5410050000000006E-2</v>
      </c>
      <c r="X3606">
        <v>0.99452700000000005</v>
      </c>
      <c r="Y3606">
        <v>-0.47424300000000003</v>
      </c>
      <c r="Z3606">
        <v>0.1045474</v>
      </c>
      <c r="AA3606">
        <v>0.87416450000000001</v>
      </c>
      <c r="AB3606">
        <v>17</v>
      </c>
      <c r="AC3606">
        <v>0.44760000000002198</v>
      </c>
      <c r="AD3606">
        <v>-0.107138999999999</v>
      </c>
      <c r="AE3606">
        <v>-0.66030000000000599</v>
      </c>
      <c r="AF3606">
        <v>-0.42398519124508599</v>
      </c>
      <c r="AG3606">
        <v>-0.107138999999999</v>
      </c>
      <c r="AH3606">
        <v>0.65895937011044003</v>
      </c>
      <c r="AI3606">
        <v>97.785822644214207</v>
      </c>
      <c r="AJ3606">
        <v>122.757889006055</v>
      </c>
      <c r="AK3606">
        <v>0.79086639780210599</v>
      </c>
      <c r="AL3606">
        <v>94.324783204464197</v>
      </c>
      <c r="AM3606">
        <v>94.158783454721899</v>
      </c>
      <c r="AN3606">
        <v>0.99999999006153195</v>
      </c>
    </row>
    <row r="3607" spans="1:40" x14ac:dyDescent="0.25">
      <c r="A3607" t="str">
        <f>"20190303154206982"</f>
        <v>20190303154206982</v>
      </c>
      <c r="B3607" t="str">
        <f>"1551598926972938"</f>
        <v>1551598926972938</v>
      </c>
      <c r="C3607" t="s">
        <v>40</v>
      </c>
      <c r="D3607">
        <v>5.2139129999999998</v>
      </c>
      <c r="E3607">
        <v>0.330347</v>
      </c>
      <c r="F3607" t="s">
        <v>42</v>
      </c>
      <c r="G3607">
        <v>-491.93860000000001</v>
      </c>
      <c r="H3607">
        <v>1.0108740000000001</v>
      </c>
      <c r="I3607">
        <v>235.44069999999999</v>
      </c>
      <c r="J3607">
        <v>-492.4006</v>
      </c>
      <c r="K3607">
        <v>1.121189</v>
      </c>
      <c r="L3607">
        <v>236.10419999999999</v>
      </c>
      <c r="M3607">
        <v>2.3963350000000001E-2</v>
      </c>
      <c r="N3607">
        <v>-1.400534E-2</v>
      </c>
      <c r="O3607">
        <v>-0.99961500000000003</v>
      </c>
      <c r="P3607">
        <v>9.6361240000000001E-2</v>
      </c>
      <c r="Q3607">
        <v>-8.9088349999999997E-2</v>
      </c>
      <c r="R3607">
        <v>-0.99135169999999995</v>
      </c>
      <c r="S3607">
        <v>1.629181</v>
      </c>
      <c r="T3607">
        <v>-0.38573350000000001</v>
      </c>
      <c r="U3607">
        <v>-2.83345</v>
      </c>
      <c r="V3607">
        <v>-7.2584029999999994E-2</v>
      </c>
      <c r="W3607">
        <v>-7.5158520000000006E-2</v>
      </c>
      <c r="X3607">
        <v>0.99452640000000003</v>
      </c>
      <c r="Y3607">
        <v>-0.4744331</v>
      </c>
      <c r="Z3607">
        <v>0.10405789999999999</v>
      </c>
      <c r="AA3607">
        <v>0.8741196</v>
      </c>
      <c r="AB3607">
        <v>17</v>
      </c>
      <c r="AC3607">
        <v>0.46199999999998898</v>
      </c>
      <c r="AD3607">
        <v>-0.110314999999999</v>
      </c>
      <c r="AE3607">
        <v>-0.66349999999999898</v>
      </c>
      <c r="AF3607">
        <v>-0.43781532051382599</v>
      </c>
      <c r="AG3607">
        <v>-0.110314999999999</v>
      </c>
      <c r="AH3607">
        <v>0.66205617409361694</v>
      </c>
      <c r="AI3607">
        <v>97.912495834688301</v>
      </c>
      <c r="AJ3607">
        <v>123.47651791167</v>
      </c>
      <c r="AK3607">
        <v>0.80135512212570503</v>
      </c>
      <c r="AL3607">
        <v>94.310330528565302</v>
      </c>
      <c r="AM3607">
        <v>94.174246237871699</v>
      </c>
      <c r="AN3607">
        <v>1.00000000241829</v>
      </c>
    </row>
    <row r="3608" spans="1:40" x14ac:dyDescent="0.25">
      <c r="A3608" t="str">
        <f>"20190303154207004"</f>
        <v>20190303154207004</v>
      </c>
      <c r="B3608" t="str">
        <f>"1551598926993433"</f>
        <v>1551598926993433</v>
      </c>
      <c r="C3608" t="s">
        <v>40</v>
      </c>
      <c r="D3608">
        <v>5.5522729999999996</v>
      </c>
      <c r="E3608">
        <v>0.33008520000000002</v>
      </c>
      <c r="F3608" t="s">
        <v>42</v>
      </c>
      <c r="G3608">
        <v>-491.93099999999998</v>
      </c>
      <c r="H3608">
        <v>1.0098400000000001</v>
      </c>
      <c r="I3608">
        <v>235.28870000000001</v>
      </c>
      <c r="J3608">
        <v>-492.39670000000001</v>
      </c>
      <c r="K3608">
        <v>1.1212059999999999</v>
      </c>
      <c r="L3608">
        <v>235.93989999999999</v>
      </c>
      <c r="M3608">
        <v>2.3956669999999999E-2</v>
      </c>
      <c r="N3608">
        <v>-1.4001120000000001E-2</v>
      </c>
      <c r="O3608">
        <v>-0.99961500000000003</v>
      </c>
      <c r="P3608">
        <v>9.6796599999999997E-2</v>
      </c>
      <c r="Q3608">
        <v>-8.9260679999999995E-2</v>
      </c>
      <c r="R3608">
        <v>-0.9912938</v>
      </c>
      <c r="S3608">
        <v>1.63147</v>
      </c>
      <c r="T3608">
        <v>-0.3867816</v>
      </c>
      <c r="U3608">
        <v>-2.8328549999999999</v>
      </c>
      <c r="V3608">
        <v>-7.3024530000000004E-2</v>
      </c>
      <c r="W3608">
        <v>-7.5338489999999994E-2</v>
      </c>
      <c r="X3608">
        <v>0.99448060000000005</v>
      </c>
      <c r="Y3608">
        <v>-0.4750318</v>
      </c>
      <c r="Z3608">
        <v>0.10435709999999999</v>
      </c>
      <c r="AA3608">
        <v>0.87375879999999995</v>
      </c>
      <c r="AB3608">
        <v>17</v>
      </c>
      <c r="AC3608">
        <v>0.46570000000002598</v>
      </c>
      <c r="AD3608">
        <v>-0.11136599999999899</v>
      </c>
      <c r="AE3608">
        <v>-0.65119999999998801</v>
      </c>
      <c r="AF3608">
        <v>-0.44142251592425702</v>
      </c>
      <c r="AG3608">
        <v>-0.11136599999999899</v>
      </c>
      <c r="AH3608">
        <v>0.64960076681865997</v>
      </c>
      <c r="AI3608">
        <v>98.070586406046402</v>
      </c>
      <c r="AJ3608">
        <v>124.197242021831</v>
      </c>
      <c r="AK3608">
        <v>0.79324484226012604</v>
      </c>
      <c r="AL3608">
        <v>94.320671089010702</v>
      </c>
      <c r="AM3608">
        <v>94.199681374447593</v>
      </c>
      <c r="AN3608">
        <v>1.0000000669167699</v>
      </c>
    </row>
    <row r="3609" spans="1:40" x14ac:dyDescent="0.25">
      <c r="A3609" t="str">
        <f>"20190303154207017"</f>
        <v>20190303154207017</v>
      </c>
      <c r="B3609" t="str">
        <f>"1551598927012953"</f>
        <v>1551598927012953</v>
      </c>
      <c r="C3609" t="s">
        <v>40</v>
      </c>
      <c r="D3609">
        <v>5.6070789999999997</v>
      </c>
      <c r="E3609">
        <v>0.37679200000000002</v>
      </c>
      <c r="F3609" t="s">
        <v>42</v>
      </c>
      <c r="G3609">
        <v>-491.9323</v>
      </c>
      <c r="H3609">
        <v>1.010958</v>
      </c>
      <c r="I3609">
        <v>235.13489999999999</v>
      </c>
      <c r="J3609">
        <v>-492.39420000000001</v>
      </c>
      <c r="K3609">
        <v>1.1212120000000001</v>
      </c>
      <c r="L3609">
        <v>235.8331</v>
      </c>
      <c r="M3609">
        <v>2.3957829999999999E-2</v>
      </c>
      <c r="N3609">
        <v>-1.399838E-2</v>
      </c>
      <c r="O3609">
        <v>-0.99961520000000004</v>
      </c>
      <c r="P3609">
        <v>9.7072240000000004E-2</v>
      </c>
      <c r="Q3609">
        <v>-8.910709E-2</v>
      </c>
      <c r="R3609">
        <v>-0.99128079999999996</v>
      </c>
      <c r="S3609">
        <v>1.6347959999999999</v>
      </c>
      <c r="T3609">
        <v>-0.3877584</v>
      </c>
      <c r="U3609">
        <v>-2.831772</v>
      </c>
      <c r="V3609">
        <v>-7.3297080000000001E-2</v>
      </c>
      <c r="W3609">
        <v>-7.5189420000000007E-2</v>
      </c>
      <c r="X3609">
        <v>0.99447180000000002</v>
      </c>
      <c r="Y3609">
        <v>-0.4759293</v>
      </c>
      <c r="Z3609">
        <v>0.1046306</v>
      </c>
      <c r="AA3609">
        <v>0.8732375</v>
      </c>
      <c r="AB3609">
        <v>17</v>
      </c>
      <c r="AC3609">
        <v>0.46190000000001402</v>
      </c>
      <c r="AD3609">
        <v>-0.110254</v>
      </c>
      <c r="AE3609">
        <v>-0.69820000000001403</v>
      </c>
      <c r="AF3609">
        <v>-0.43745084050282301</v>
      </c>
      <c r="AG3609">
        <v>-0.110254</v>
      </c>
      <c r="AH3609">
        <v>0.69697771712786205</v>
      </c>
      <c r="AI3609">
        <v>97.631300827841102</v>
      </c>
      <c r="AJ3609">
        <v>122.114011051972</v>
      </c>
      <c r="AK3609">
        <v>0.83023919477786201</v>
      </c>
      <c r="AL3609">
        <v>94.312105847263894</v>
      </c>
      <c r="AM3609">
        <v>94.215336648095203</v>
      </c>
      <c r="AN3609">
        <v>1.0000000359058501</v>
      </c>
    </row>
    <row r="3610" spans="1:40" x14ac:dyDescent="0.25">
      <c r="A3610" t="str">
        <f>"20190303154207030"</f>
        <v>20190303154207030</v>
      </c>
      <c r="B3610" t="str">
        <f>"1551598927022713"</f>
        <v>1551598927022713</v>
      </c>
      <c r="C3610" t="s">
        <v>40</v>
      </c>
      <c r="D3610">
        <v>5.532807</v>
      </c>
      <c r="E3610">
        <v>0.45533950000000001</v>
      </c>
      <c r="F3610" t="s">
        <v>46</v>
      </c>
      <c r="G3610">
        <v>-486.13979999999998</v>
      </c>
      <c r="H3610" s="1">
        <v>3.321442E-6</v>
      </c>
      <c r="I3610">
        <v>221.65969999999999</v>
      </c>
      <c r="J3610">
        <v>-492.39190000000002</v>
      </c>
      <c r="K3610">
        <v>1.121221</v>
      </c>
      <c r="L3610">
        <v>235.73759999999999</v>
      </c>
      <c r="M3610">
        <v>2.3963080000000001E-2</v>
      </c>
      <c r="N3610">
        <v>-1.399595E-2</v>
      </c>
      <c r="O3610">
        <v>-0.99961520000000004</v>
      </c>
      <c r="P3610">
        <v>9.7234390000000004E-2</v>
      </c>
      <c r="Q3610">
        <v>-8.8798799999999997E-2</v>
      </c>
      <c r="R3610">
        <v>-0.99129279999999997</v>
      </c>
      <c r="S3610">
        <v>1.2714840000000001</v>
      </c>
      <c r="T3610">
        <v>-0.22793730000000001</v>
      </c>
      <c r="U3610">
        <v>-2.8813930000000001</v>
      </c>
      <c r="V3610">
        <v>-7.3452900000000002E-2</v>
      </c>
      <c r="W3610">
        <v>-7.4884539999999999E-2</v>
      </c>
      <c r="X3610">
        <v>0.99448329999999996</v>
      </c>
      <c r="Y3610">
        <v>-0.38076120000000002</v>
      </c>
      <c r="Z3610">
        <v>5.8612369999999997E-2</v>
      </c>
      <c r="AA3610">
        <v>0.92281389999999996</v>
      </c>
      <c r="AB3610">
        <v>17</v>
      </c>
      <c r="AC3610">
        <v>6.2521000000000404</v>
      </c>
      <c r="AD3610">
        <v>-1.1212176785579999</v>
      </c>
      <c r="AE3610">
        <v>-14.0779</v>
      </c>
      <c r="AF3610">
        <v>-5.8817589761933498</v>
      </c>
      <c r="AG3610">
        <v>-1.1212176785579999</v>
      </c>
      <c r="AH3610">
        <v>14.1487284669911</v>
      </c>
      <c r="AI3610">
        <v>94.185113010428196</v>
      </c>
      <c r="AJ3610">
        <v>112.573113703573</v>
      </c>
      <c r="AK3610">
        <v>15.363552159881101</v>
      </c>
      <c r="AL3610">
        <v>94.294588155990098</v>
      </c>
      <c r="AM3610">
        <v>94.224216826029107</v>
      </c>
      <c r="AN3610">
        <v>1.0000000284141499</v>
      </c>
    </row>
    <row r="3611" spans="1:40" x14ac:dyDescent="0.25">
      <c r="A3611" t="str">
        <f>"20190303154207048"</f>
        <v>20190303154207048</v>
      </c>
      <c r="B3611" t="str">
        <f>"1551598927043209"</f>
        <v>1551598927043209</v>
      </c>
      <c r="C3611" t="s">
        <v>40</v>
      </c>
      <c r="D3611">
        <v>5.6041489999999996</v>
      </c>
      <c r="E3611">
        <v>0.47127400000000003</v>
      </c>
      <c r="F3611" t="s">
        <v>46</v>
      </c>
      <c r="G3611">
        <v>-489.88130000000001</v>
      </c>
      <c r="H3611" s="1">
        <v>4.9720949999999999E-6</v>
      </c>
      <c r="I3611">
        <v>224.31010000000001</v>
      </c>
      <c r="J3611">
        <v>-492.38869999999997</v>
      </c>
      <c r="K3611">
        <v>1.1212340000000001</v>
      </c>
      <c r="L3611">
        <v>235.6069</v>
      </c>
      <c r="M3611">
        <v>2.3975940000000001E-2</v>
      </c>
      <c r="N3611">
        <v>-1.3992620000000001E-2</v>
      </c>
      <c r="O3611">
        <v>-0.99961469999999997</v>
      </c>
      <c r="P3611">
        <v>9.7750580000000004E-2</v>
      </c>
      <c r="Q3611">
        <v>-8.7403679999999997E-2</v>
      </c>
      <c r="R3611">
        <v>-0.99136559999999996</v>
      </c>
      <c r="S3611">
        <v>0.64532469999999997</v>
      </c>
      <c r="T3611">
        <v>-0.28819139999999999</v>
      </c>
      <c r="U3611">
        <v>-2.9372560000000001</v>
      </c>
      <c r="V3611">
        <v>-7.3952790000000004E-2</v>
      </c>
      <c r="W3611">
        <v>-7.3493210000000003E-2</v>
      </c>
      <c r="X3611">
        <v>0.99455000000000005</v>
      </c>
      <c r="Y3611">
        <v>-0.19024279999999999</v>
      </c>
      <c r="Z3611">
        <v>8.1684690000000004E-2</v>
      </c>
      <c r="AA3611">
        <v>0.97833289999999995</v>
      </c>
      <c r="AB3611">
        <v>17</v>
      </c>
      <c r="AC3611">
        <v>2.5073999999999601</v>
      </c>
      <c r="AD3611">
        <v>-1.1212290279049999</v>
      </c>
      <c r="AE3611">
        <v>-11.2967999999999</v>
      </c>
      <c r="AF3611">
        <v>-2.2150057649005901</v>
      </c>
      <c r="AG3611">
        <v>-1.1212290279049999</v>
      </c>
      <c r="AH3611">
        <v>11.248073408532401</v>
      </c>
      <c r="AI3611">
        <v>95.585965574724696</v>
      </c>
      <c r="AJ3611">
        <v>101.140321112487</v>
      </c>
      <c r="AK3611">
        <v>11.5187916239201</v>
      </c>
      <c r="AL3611">
        <v>94.214650707538595</v>
      </c>
      <c r="AM3611">
        <v>94.252575798641701</v>
      </c>
      <c r="AN3611">
        <v>0.99999998478244401</v>
      </c>
    </row>
    <row r="3612" spans="1:40" x14ac:dyDescent="0.25">
      <c r="A3612" t="str">
        <f>"20190303154207060"</f>
        <v>20190303154207060</v>
      </c>
      <c r="B3612" t="str">
        <f>"1551598927052969"</f>
        <v>1551598927052969</v>
      </c>
      <c r="C3612" t="s">
        <v>40</v>
      </c>
      <c r="D3612">
        <v>5.5658799999999999</v>
      </c>
      <c r="E3612">
        <v>0.47451559999999998</v>
      </c>
      <c r="F3612" t="s">
        <v>46</v>
      </c>
      <c r="G3612">
        <v>-490.25659999999999</v>
      </c>
      <c r="H3612" s="1">
        <v>4.6942690000000003E-6</v>
      </c>
      <c r="I3612">
        <v>223.52969999999999</v>
      </c>
      <c r="J3612">
        <v>-492.38639999999998</v>
      </c>
      <c r="K3612">
        <v>1.1212439999999999</v>
      </c>
      <c r="L3612">
        <v>235.511</v>
      </c>
      <c r="M3612">
        <v>2.399097E-2</v>
      </c>
      <c r="N3612">
        <v>-1.399018E-2</v>
      </c>
      <c r="O3612">
        <v>-0.99961420000000001</v>
      </c>
      <c r="P3612">
        <v>9.7669329999999999E-2</v>
      </c>
      <c r="Q3612">
        <v>-8.6956459999999999E-2</v>
      </c>
      <c r="R3612">
        <v>-0.99141259999999998</v>
      </c>
      <c r="S3612">
        <v>0.52090449999999999</v>
      </c>
      <c r="T3612">
        <v>-0.2739297</v>
      </c>
      <c r="U3612">
        <v>-2.9506070000000002</v>
      </c>
      <c r="V3612">
        <v>-7.3853710000000003E-2</v>
      </c>
      <c r="W3612">
        <v>-7.3048989999999994E-2</v>
      </c>
      <c r="X3612">
        <v>0.99459010000000003</v>
      </c>
      <c r="Y3612">
        <v>-0.14954600000000001</v>
      </c>
      <c r="Z3612">
        <v>7.7271999999999993E-2</v>
      </c>
      <c r="AA3612">
        <v>0.98573069999999896</v>
      </c>
      <c r="AB3612">
        <v>17</v>
      </c>
      <c r="AC3612">
        <v>2.1297999999999799</v>
      </c>
      <c r="AD3612">
        <v>-1.1212393057309999</v>
      </c>
      <c r="AE3612">
        <v>-11.981299999999999</v>
      </c>
      <c r="AF3612">
        <v>-1.82621222521572</v>
      </c>
      <c r="AG3612">
        <v>-1.1212393057309999</v>
      </c>
      <c r="AH3612">
        <v>11.9276926093622</v>
      </c>
      <c r="AI3612">
        <v>95.308693790797506</v>
      </c>
      <c r="AJ3612">
        <v>98.704781750541102</v>
      </c>
      <c r="AK3612">
        <v>12.118666579111601</v>
      </c>
      <c r="AL3612">
        <v>94.189130130123104</v>
      </c>
      <c r="AM3612">
        <v>94.246728568529505</v>
      </c>
      <c r="AN3612">
        <v>0.99999999621939695</v>
      </c>
    </row>
    <row r="3613" spans="1:40" x14ac:dyDescent="0.25">
      <c r="A3613" t="str">
        <f>"20190303154207072"</f>
        <v>20190303154207072</v>
      </c>
      <c r="B3613" t="str">
        <f>"1551598927062729"</f>
        <v>1551598927062729</v>
      </c>
      <c r="C3613" t="s">
        <v>40</v>
      </c>
      <c r="D3613">
        <v>5.5722480000000001</v>
      </c>
      <c r="E3613">
        <v>0.47656999999999999</v>
      </c>
      <c r="F3613" t="s">
        <v>46</v>
      </c>
      <c r="G3613">
        <v>-490.3768</v>
      </c>
      <c r="H3613" s="1">
        <v>4.6708460000000002E-6</v>
      </c>
      <c r="I3613">
        <v>223.52289999999999</v>
      </c>
      <c r="J3613">
        <v>-492.38409999999999</v>
      </c>
      <c r="K3613">
        <v>1.1212530000000001</v>
      </c>
      <c r="L3613">
        <v>235.4153</v>
      </c>
      <c r="M3613">
        <v>2.401302E-2</v>
      </c>
      <c r="N3613">
        <v>-1.398774E-2</v>
      </c>
      <c r="O3613">
        <v>-0.9996138</v>
      </c>
      <c r="P3613">
        <v>9.8010990000000006E-2</v>
      </c>
      <c r="Q3613">
        <v>-8.6489679999999999E-2</v>
      </c>
      <c r="R3613">
        <v>-0.99141979999999996</v>
      </c>
      <c r="S3613">
        <v>0.49502560000000001</v>
      </c>
      <c r="T3613">
        <v>-0.27618989999999999</v>
      </c>
      <c r="U3613">
        <v>-2.9529879999999999</v>
      </c>
      <c r="V3613">
        <v>-7.4172089999999996E-2</v>
      </c>
      <c r="W3613">
        <v>-7.2585759999999999E-2</v>
      </c>
      <c r="X3613">
        <v>0.99460040000000005</v>
      </c>
      <c r="Y3613">
        <v>-0.14098749999999999</v>
      </c>
      <c r="Z3613">
        <v>7.8072639999999999E-2</v>
      </c>
      <c r="AA3613">
        <v>0.98692820000000003</v>
      </c>
      <c r="AB3613">
        <v>17</v>
      </c>
      <c r="AC3613">
        <v>2.0072999999999799</v>
      </c>
      <c r="AD3613">
        <v>-1.1212483291540001</v>
      </c>
      <c r="AE3613">
        <v>-11.8924</v>
      </c>
      <c r="AF3613">
        <v>-1.7063725130412899</v>
      </c>
      <c r="AG3613">
        <v>-1.1212483291540001</v>
      </c>
      <c r="AH3613">
        <v>11.834887178236601</v>
      </c>
      <c r="AI3613">
        <v>95.357033620496907</v>
      </c>
      <c r="AJ3613">
        <v>98.204454450383395</v>
      </c>
      <c r="AK3613">
        <v>12.009723539302801</v>
      </c>
      <c r="AL3613">
        <v>94.162518036730901</v>
      </c>
      <c r="AM3613">
        <v>94.264924609989507</v>
      </c>
      <c r="AN3613">
        <v>1.0000000735849499</v>
      </c>
    </row>
    <row r="3614" spans="1:40" x14ac:dyDescent="0.25">
      <c r="A3614" t="str">
        <f>"20190303154207084"</f>
        <v>20190303154207084</v>
      </c>
      <c r="B3614" t="str">
        <f>"1551598927073464"</f>
        <v>1551598927073464</v>
      </c>
      <c r="C3614" t="s">
        <v>40</v>
      </c>
      <c r="D3614">
        <v>5.5093100000000002</v>
      </c>
      <c r="E3614">
        <v>0.47801519999999997</v>
      </c>
      <c r="F3614" t="s">
        <v>46</v>
      </c>
      <c r="G3614">
        <v>-490.4529</v>
      </c>
      <c r="H3614" s="1">
        <v>4.6533409999999996E-6</v>
      </c>
      <c r="I3614">
        <v>223.50989999999999</v>
      </c>
      <c r="J3614">
        <v>-492.38200000000001</v>
      </c>
      <c r="K3614">
        <v>1.1212610000000001</v>
      </c>
      <c r="L3614">
        <v>235.32499999999999</v>
      </c>
      <c r="M3614">
        <v>2.4044030000000001E-2</v>
      </c>
      <c r="N3614">
        <v>-1.398546E-2</v>
      </c>
      <c r="O3614">
        <v>-0.99961330000000004</v>
      </c>
      <c r="P3614">
        <v>9.8187490000000002E-2</v>
      </c>
      <c r="Q3614">
        <v>-8.6223720000000004E-2</v>
      </c>
      <c r="R3614">
        <v>-0.99142589999999997</v>
      </c>
      <c r="S3614">
        <v>0.47921750000000002</v>
      </c>
      <c r="T3614">
        <v>-0.27823769999999998</v>
      </c>
      <c r="U3614">
        <v>-2.9542999999999999</v>
      </c>
      <c r="V3614">
        <v>-7.4316729999999998E-2</v>
      </c>
      <c r="W3614">
        <v>-7.2323360000000003E-2</v>
      </c>
      <c r="X3614">
        <v>0.99460859999999995</v>
      </c>
      <c r="Y3614">
        <v>-0.13573650000000001</v>
      </c>
      <c r="Z3614">
        <v>7.8784480000000004E-2</v>
      </c>
      <c r="AA3614">
        <v>0.98760749999999997</v>
      </c>
      <c r="AB3614">
        <v>17</v>
      </c>
      <c r="AC3614">
        <v>1.9290999999999401</v>
      </c>
      <c r="AD3614">
        <v>-1.121256346659</v>
      </c>
      <c r="AE3614">
        <v>-11.815099999999999</v>
      </c>
      <c r="AF3614">
        <v>-1.6301319882296299</v>
      </c>
      <c r="AG3614">
        <v>-1.121256346659</v>
      </c>
      <c r="AH3614">
        <v>11.7549545229051</v>
      </c>
      <c r="AI3614">
        <v>95.397379451531606</v>
      </c>
      <c r="AJ3614">
        <v>97.895204719116606</v>
      </c>
      <c r="AK3614">
        <v>11.9202978960066</v>
      </c>
      <c r="AL3614">
        <v>94.147444495025397</v>
      </c>
      <c r="AM3614">
        <v>94.273175590506796</v>
      </c>
      <c r="AN3614">
        <v>0.99999995597677005</v>
      </c>
    </row>
    <row r="3615" spans="1:40" x14ac:dyDescent="0.25">
      <c r="A3615" t="str">
        <f>"20190303154207096"</f>
        <v>20190303154207096</v>
      </c>
      <c r="B3615" t="str">
        <f>"1551598927092985"</f>
        <v>1551598927092985</v>
      </c>
      <c r="C3615" t="s">
        <v>40</v>
      </c>
      <c r="D3615">
        <v>5.5296640000000004</v>
      </c>
      <c r="E3615">
        <v>0.4800777</v>
      </c>
      <c r="F3615" t="s">
        <v>46</v>
      </c>
      <c r="G3615">
        <v>-490.50130000000001</v>
      </c>
      <c r="H3615" s="1">
        <v>4.628285E-6</v>
      </c>
      <c r="I3615">
        <v>223.45679999999999</v>
      </c>
      <c r="J3615">
        <v>-492.37970000000001</v>
      </c>
      <c r="K3615">
        <v>1.1212690000000001</v>
      </c>
      <c r="L3615">
        <v>235.23230000000001</v>
      </c>
      <c r="M3615">
        <v>2.4080919999999999E-2</v>
      </c>
      <c r="N3615">
        <v>-1.398303E-2</v>
      </c>
      <c r="O3615">
        <v>-0.99961230000000001</v>
      </c>
      <c r="P3615">
        <v>9.8210229999999996E-2</v>
      </c>
      <c r="Q3615">
        <v>-8.5832249999999999E-2</v>
      </c>
      <c r="R3615">
        <v>-0.99145720000000004</v>
      </c>
      <c r="S3615">
        <v>0.46829219999999999</v>
      </c>
      <c r="T3615">
        <v>-0.27920129999999999</v>
      </c>
      <c r="U3615">
        <v>-2.955276</v>
      </c>
      <c r="V3615">
        <v>-7.4300309999999994E-2</v>
      </c>
      <c r="W3615">
        <v>-7.1935529999999998E-2</v>
      </c>
      <c r="X3615">
        <v>0.99463800000000002</v>
      </c>
      <c r="Y3615">
        <v>-0.13208599999999901</v>
      </c>
      <c r="Z3615">
        <v>7.9124539999999993E-2</v>
      </c>
      <c r="AA3615">
        <v>0.98807520000000004</v>
      </c>
      <c r="AB3615">
        <v>17</v>
      </c>
      <c r="AC3615">
        <v>1.8783999999999901</v>
      </c>
      <c r="AD3615">
        <v>-1.1212643717149999</v>
      </c>
      <c r="AE3615">
        <v>-11.775499999999999</v>
      </c>
      <c r="AF3615">
        <v>-1.5802898727255199</v>
      </c>
      <c r="AG3615">
        <v>-1.1212643717149999</v>
      </c>
      <c r="AH3615">
        <v>11.7137510310636</v>
      </c>
      <c r="AI3615">
        <v>95.419014995057907</v>
      </c>
      <c r="AJ3615">
        <v>97.683324400212598</v>
      </c>
      <c r="AK3615">
        <v>11.8729319500644</v>
      </c>
      <c r="AL3615">
        <v>94.125165243425698</v>
      </c>
      <c r="AM3615">
        <v>94.272109131285404</v>
      </c>
      <c r="AN3615">
        <v>1.00000000379323</v>
      </c>
    </row>
    <row r="3616" spans="1:40" x14ac:dyDescent="0.25">
      <c r="A3616" t="str">
        <f>"20190303154207113"</f>
        <v>20190303154207113</v>
      </c>
      <c r="B3616" t="str">
        <f>"1551598927102745"</f>
        <v>1551598927102745</v>
      </c>
      <c r="C3616" t="s">
        <v>40</v>
      </c>
      <c r="D3616">
        <v>5.5406380000000004</v>
      </c>
      <c r="E3616">
        <v>0.48076429999999998</v>
      </c>
      <c r="F3616" t="s">
        <v>46</v>
      </c>
      <c r="G3616">
        <v>-490.59359999999998</v>
      </c>
      <c r="H3616" s="1">
        <v>4.6384509999999998E-6</v>
      </c>
      <c r="I3616">
        <v>223.54239999999999</v>
      </c>
      <c r="J3616">
        <v>-492.37650000000002</v>
      </c>
      <c r="K3616">
        <v>1.1212850000000001</v>
      </c>
      <c r="L3616">
        <v>235.1028</v>
      </c>
      <c r="M3616">
        <v>2.4152170000000001E-2</v>
      </c>
      <c r="N3616">
        <v>-1.3978610000000001E-2</v>
      </c>
      <c r="O3616">
        <v>-0.99961069999999996</v>
      </c>
      <c r="P3616">
        <v>9.8905980000000004E-2</v>
      </c>
      <c r="Q3616">
        <v>-8.6796189999999995E-2</v>
      </c>
      <c r="R3616">
        <v>-0.99130430000000003</v>
      </c>
      <c r="S3616">
        <v>0.45172119999999999</v>
      </c>
      <c r="T3616">
        <v>-0.28358640000000002</v>
      </c>
      <c r="U3616">
        <v>-2.9565579999999998</v>
      </c>
      <c r="V3616">
        <v>-7.4925790000000006E-2</v>
      </c>
      <c r="W3616">
        <v>-7.2908630000000002E-2</v>
      </c>
      <c r="X3616">
        <v>0.99452019999999997</v>
      </c>
      <c r="Y3616">
        <v>-0.1265249</v>
      </c>
      <c r="Z3616">
        <v>8.0612080000000003E-2</v>
      </c>
      <c r="AA3616">
        <v>0.98868250000000002</v>
      </c>
      <c r="AB3616">
        <v>17</v>
      </c>
      <c r="AC3616">
        <v>1.7829000000000399</v>
      </c>
      <c r="AD3616">
        <v>-1.1212803615489999</v>
      </c>
      <c r="AE3616">
        <v>-11.5604</v>
      </c>
      <c r="AF3616">
        <v>-1.4894570292748099</v>
      </c>
      <c r="AG3616">
        <v>-1.1212803615489999</v>
      </c>
      <c r="AH3616">
        <v>11.4944681824238</v>
      </c>
      <c r="AI3616">
        <v>95.525642043641696</v>
      </c>
      <c r="AJ3616">
        <v>97.383265394154506</v>
      </c>
      <c r="AK3616">
        <v>11.6446790719197</v>
      </c>
      <c r="AL3616">
        <v>94.181066638837095</v>
      </c>
      <c r="AM3616">
        <v>94.308446420258903</v>
      </c>
      <c r="AN3616">
        <v>0.99999998527181999</v>
      </c>
    </row>
    <row r="3617" spans="1:40" x14ac:dyDescent="0.25">
      <c r="A3617" t="str">
        <f>"20190303154207126"</f>
        <v>20190303154207126</v>
      </c>
      <c r="B3617" t="str">
        <f>"1551598927123241"</f>
        <v>1551598927123241</v>
      </c>
      <c r="C3617" t="s">
        <v>40</v>
      </c>
      <c r="D3617">
        <v>5.544308</v>
      </c>
      <c r="E3617">
        <v>0.48191580000000001</v>
      </c>
      <c r="F3617" t="s">
        <v>46</v>
      </c>
      <c r="G3617">
        <v>-490.63900000000001</v>
      </c>
      <c r="H3617" s="1">
        <v>4.6619199999999999E-6</v>
      </c>
      <c r="I3617">
        <v>223.64420000000001</v>
      </c>
      <c r="J3617">
        <v>-492.37430000000001</v>
      </c>
      <c r="K3617">
        <v>1.1212959999999901</v>
      </c>
      <c r="L3617">
        <v>235.01310000000001</v>
      </c>
      <c r="M3617">
        <v>2.4214550000000001E-2</v>
      </c>
      <c r="N3617">
        <v>-1.3970949999999999E-2</v>
      </c>
      <c r="O3617">
        <v>-0.99960950000000004</v>
      </c>
      <c r="P3617">
        <v>9.9299559999999995E-2</v>
      </c>
      <c r="Q3617">
        <v>-8.6991639999999995E-2</v>
      </c>
      <c r="R3617">
        <v>-0.99124829999999997</v>
      </c>
      <c r="S3617">
        <v>0.44827270000000002</v>
      </c>
      <c r="T3617">
        <v>-0.28928779999999998</v>
      </c>
      <c r="U3617">
        <v>-2.956299</v>
      </c>
      <c r="V3617">
        <v>-7.5256130000000004E-2</v>
      </c>
      <c r="W3617">
        <v>-7.3114620000000005E-2</v>
      </c>
      <c r="X3617">
        <v>0.99448009999999998</v>
      </c>
      <c r="Y3617">
        <v>-0.1253244</v>
      </c>
      <c r="Z3617">
        <v>8.2528229999999994E-2</v>
      </c>
      <c r="AA3617">
        <v>0.98867729999999998</v>
      </c>
      <c r="AB3617">
        <v>17</v>
      </c>
      <c r="AC3617">
        <v>1.7352999999999901</v>
      </c>
      <c r="AD3617">
        <v>-1.12129133807999</v>
      </c>
      <c r="AE3617">
        <v>-11.368899999999901</v>
      </c>
      <c r="AF3617">
        <v>-1.44572840838303</v>
      </c>
      <c r="AG3617">
        <v>-1.12129133807999</v>
      </c>
      <c r="AH3617">
        <v>11.300169935007199</v>
      </c>
      <c r="AI3617">
        <v>95.621264232584096</v>
      </c>
      <c r="AJ3617">
        <v>97.290737460237807</v>
      </c>
      <c r="AK3617">
        <v>11.447325690120801</v>
      </c>
      <c r="AL3617">
        <v>94.192900724219896</v>
      </c>
      <c r="AM3617">
        <v>94.327543741777205</v>
      </c>
      <c r="AN3617">
        <v>0.99999995102816397</v>
      </c>
    </row>
    <row r="3618" spans="1:40" x14ac:dyDescent="0.25">
      <c r="A3618" t="str">
        <f>"20190303154207139"</f>
        <v>20190303154207139</v>
      </c>
      <c r="B3618" t="str">
        <f>"1551598927133001"</f>
        <v>1551598927133001</v>
      </c>
      <c r="C3618" t="s">
        <v>40</v>
      </c>
      <c r="D3618">
        <v>5.5560790000000004</v>
      </c>
      <c r="E3618">
        <v>0.48235840000000002</v>
      </c>
      <c r="F3618" t="s">
        <v>46</v>
      </c>
      <c r="G3618">
        <v>-490.685</v>
      </c>
      <c r="H3618" s="1">
        <v>4.662515E-6</v>
      </c>
      <c r="I3618">
        <v>223.67240000000001</v>
      </c>
      <c r="J3618">
        <v>-492.37180000000001</v>
      </c>
      <c r="K3618">
        <v>1.1213089999999999</v>
      </c>
      <c r="L3618">
        <v>234.91489999999999</v>
      </c>
      <c r="M3618">
        <v>2.4290200000000001E-2</v>
      </c>
      <c r="N3618">
        <v>-1.395536E-2</v>
      </c>
      <c r="O3618">
        <v>-0.99960780000000005</v>
      </c>
      <c r="P3618">
        <v>9.9567089999999997E-2</v>
      </c>
      <c r="Q3618">
        <v>-8.708312E-2</v>
      </c>
      <c r="R3618">
        <v>-0.99121329999999996</v>
      </c>
      <c r="S3618">
        <v>0.44042969999999998</v>
      </c>
      <c r="T3618">
        <v>-0.29234159999999998</v>
      </c>
      <c r="U3618">
        <v>-2.9567109999999999</v>
      </c>
      <c r="V3618">
        <v>-7.5446630000000001E-2</v>
      </c>
      <c r="W3618">
        <v>-7.3224629999999999E-2</v>
      </c>
      <c r="X3618">
        <v>0.99445760000000005</v>
      </c>
      <c r="Y3618">
        <v>-0.12265230000000001</v>
      </c>
      <c r="Z3618">
        <v>8.3574449999999995E-2</v>
      </c>
      <c r="AA3618">
        <v>0.98892460000000004</v>
      </c>
      <c r="AB3618">
        <v>17</v>
      </c>
      <c r="AC3618">
        <v>1.6868000000000001</v>
      </c>
      <c r="AD3618">
        <v>-1.121304337485</v>
      </c>
      <c r="AE3618">
        <v>-11.2424999999999</v>
      </c>
      <c r="AF3618">
        <v>-1.3995771027246</v>
      </c>
      <c r="AG3618">
        <v>-1.121304337485</v>
      </c>
      <c r="AH3618">
        <v>11.171475440805001</v>
      </c>
      <c r="AI3618">
        <v>95.687535039874902</v>
      </c>
      <c r="AJ3618">
        <v>97.140885833040301</v>
      </c>
      <c r="AK3618">
        <v>11.314504099086401</v>
      </c>
      <c r="AL3618">
        <v>94.199220655101399</v>
      </c>
      <c r="AM3618">
        <v>94.338554304890394</v>
      </c>
      <c r="AN3618">
        <v>0.99999997930737605</v>
      </c>
    </row>
    <row r="3619" spans="1:40" x14ac:dyDescent="0.25">
      <c r="A3619" t="str">
        <f>"20190303154207153"</f>
        <v>20190303154207153</v>
      </c>
      <c r="B3619" t="str">
        <f>"1551598927142761"</f>
        <v>1551598927142761</v>
      </c>
      <c r="C3619" t="s">
        <v>40</v>
      </c>
      <c r="D3619">
        <v>5.5580020000000001</v>
      </c>
      <c r="E3619">
        <v>0.4827012</v>
      </c>
      <c r="F3619" t="s">
        <v>46</v>
      </c>
      <c r="G3619">
        <v>-490.70800000000003</v>
      </c>
      <c r="H3619" s="1">
        <v>4.6602440000000002E-6</v>
      </c>
      <c r="I3619">
        <v>223.67830000000001</v>
      </c>
      <c r="J3619">
        <v>-492.3691</v>
      </c>
      <c r="K3619">
        <v>1.121319</v>
      </c>
      <c r="L3619">
        <v>234.80619999999999</v>
      </c>
      <c r="M3619">
        <v>2.4390930000000002E-2</v>
      </c>
      <c r="N3619">
        <v>-1.391622E-2</v>
      </c>
      <c r="O3619">
        <v>-0.99960570000000004</v>
      </c>
      <c r="P3619">
        <v>0.1000785</v>
      </c>
      <c r="Q3619">
        <v>-8.6850220000000006E-2</v>
      </c>
      <c r="R3619">
        <v>-0.99118189999999995</v>
      </c>
      <c r="S3619">
        <v>0.43780520000000001</v>
      </c>
      <c r="T3619">
        <v>-0.29505179999999998</v>
      </c>
      <c r="U3619">
        <v>-2.9567109999999999</v>
      </c>
      <c r="V3619">
        <v>-7.5855950000000005E-2</v>
      </c>
      <c r="W3619">
        <v>-7.3034100000000005E-2</v>
      </c>
      <c r="X3619">
        <v>0.99444049999999995</v>
      </c>
      <c r="Y3619">
        <v>-0.1216819</v>
      </c>
      <c r="Z3619">
        <v>8.4521009999999994E-2</v>
      </c>
      <c r="AA3619">
        <v>0.98896399999999995</v>
      </c>
      <c r="AB3619">
        <v>17</v>
      </c>
      <c r="AC3619">
        <v>1.66109999999997</v>
      </c>
      <c r="AD3619">
        <v>-1.1213143397559999</v>
      </c>
      <c r="AE3619">
        <v>-11.127899999999901</v>
      </c>
      <c r="AF3619">
        <v>-1.3754975334052599</v>
      </c>
      <c r="AG3619">
        <v>-1.1213143397559999</v>
      </c>
      <c r="AH3619">
        <v>11.055301987574699</v>
      </c>
      <c r="AI3619">
        <v>95.7475594885032</v>
      </c>
      <c r="AJ3619">
        <v>97.092277694217302</v>
      </c>
      <c r="AK3619">
        <v>11.1968317549841</v>
      </c>
      <c r="AL3619">
        <v>94.188274668014898</v>
      </c>
      <c r="AM3619">
        <v>94.362076345535897</v>
      </c>
      <c r="AN3619">
        <v>1.00000000647673</v>
      </c>
    </row>
    <row r="3620" spans="1:40" x14ac:dyDescent="0.25">
      <c r="A3620" t="str">
        <f>"20190303154207173"</f>
        <v>20190303154207173</v>
      </c>
      <c r="B3620" t="str">
        <f>"1551598927163258"</f>
        <v>1551598927163258</v>
      </c>
      <c r="C3620" t="s">
        <v>40</v>
      </c>
      <c r="D3620">
        <v>5.589181</v>
      </c>
      <c r="E3620">
        <v>0.48324149999999999</v>
      </c>
      <c r="F3620" t="s">
        <v>46</v>
      </c>
      <c r="G3620">
        <v>-490.72219999999999</v>
      </c>
      <c r="H3620" s="1">
        <v>4.6466079999999999E-6</v>
      </c>
      <c r="I3620">
        <v>223.64240000000001</v>
      </c>
      <c r="J3620">
        <v>-492.3655</v>
      </c>
      <c r="K3620">
        <v>1.1213229999999901</v>
      </c>
      <c r="L3620">
        <v>234.6653</v>
      </c>
      <c r="M3620">
        <v>2.4553390000000001E-2</v>
      </c>
      <c r="N3620">
        <v>-1.3816200000000001E-2</v>
      </c>
      <c r="O3620">
        <v>-0.99960329999999997</v>
      </c>
      <c r="P3620">
        <v>0.10078230000000001</v>
      </c>
      <c r="Q3620">
        <v>-8.6365979999999995E-2</v>
      </c>
      <c r="R3620">
        <v>-0.99115319999999996</v>
      </c>
      <c r="S3620">
        <v>0.43615720000000002</v>
      </c>
      <c r="T3620">
        <v>-0.29697119999999999</v>
      </c>
      <c r="U3620">
        <v>-2.9566349999999999</v>
      </c>
      <c r="V3620">
        <v>-7.6394390000000006E-2</v>
      </c>
      <c r="W3620">
        <v>-7.2653839999999997E-2</v>
      </c>
      <c r="X3620">
        <v>0.99442710000000001</v>
      </c>
      <c r="Y3620">
        <v>-0.120976399999999</v>
      </c>
      <c r="Z3620">
        <v>8.5265079999999993E-2</v>
      </c>
      <c r="AA3620">
        <v>0.9889867</v>
      </c>
      <c r="AB3620">
        <v>17</v>
      </c>
      <c r="AC3620">
        <v>1.64330000000001</v>
      </c>
      <c r="AD3620">
        <v>-1.1213183533919999</v>
      </c>
      <c r="AE3620">
        <v>-11.0228999999999</v>
      </c>
      <c r="AF3620">
        <v>-1.35837796607825</v>
      </c>
      <c r="AG3620">
        <v>-1.1213183533919999</v>
      </c>
      <c r="AH3620">
        <v>10.949088338915701</v>
      </c>
      <c r="AI3620">
        <v>95.803208155853497</v>
      </c>
      <c r="AJ3620">
        <v>97.0721563472502</v>
      </c>
      <c r="AK3620">
        <v>11.089863885628199</v>
      </c>
      <c r="AL3620">
        <v>94.166429490686895</v>
      </c>
      <c r="AM3620">
        <v>94.3929773838058</v>
      </c>
      <c r="AN3620">
        <v>0.99999997025231302</v>
      </c>
    </row>
    <row r="3621" spans="1:40" x14ac:dyDescent="0.25">
      <c r="A3621" t="str">
        <f>"20190303154207193"</f>
        <v>20190303154207193</v>
      </c>
      <c r="B3621" t="str">
        <f>"1551598927182777"</f>
        <v>1551598927182777</v>
      </c>
      <c r="C3621" t="s">
        <v>40</v>
      </c>
      <c r="D3621">
        <v>5.577922</v>
      </c>
      <c r="E3621">
        <v>0.48372850000000001</v>
      </c>
      <c r="F3621" t="s">
        <v>46</v>
      </c>
      <c r="G3621">
        <v>-490.73169999999999</v>
      </c>
      <c r="H3621" s="1">
        <v>4.6114740000000004E-6</v>
      </c>
      <c r="I3621">
        <v>223.53440000000001</v>
      </c>
      <c r="J3621">
        <v>-492.3612</v>
      </c>
      <c r="K3621">
        <v>1.1213120000000001</v>
      </c>
      <c r="L3621">
        <v>234.50219999999999</v>
      </c>
      <c r="M3621">
        <v>2.477919E-2</v>
      </c>
      <c r="N3621">
        <v>-1.363672E-2</v>
      </c>
      <c r="O3621">
        <v>-0.99960020000000005</v>
      </c>
      <c r="P3621">
        <v>0.10194159999999999</v>
      </c>
      <c r="Q3621">
        <v>-8.6250389999999996E-2</v>
      </c>
      <c r="R3621">
        <v>-0.99104460000000005</v>
      </c>
      <c r="S3621">
        <v>0.4339905</v>
      </c>
      <c r="T3621">
        <v>-0.297855599999999</v>
      </c>
      <c r="U3621">
        <v>-2.956696</v>
      </c>
      <c r="V3621">
        <v>-7.7327129999999994E-2</v>
      </c>
      <c r="W3621">
        <v>-7.2722460000000003E-2</v>
      </c>
      <c r="X3621">
        <v>0.99434999999999996</v>
      </c>
      <c r="Y3621">
        <v>-0.1200357</v>
      </c>
      <c r="Z3621">
        <v>8.5744029999999999E-2</v>
      </c>
      <c r="AA3621">
        <v>0.98905989999999999</v>
      </c>
      <c r="AB3621">
        <v>17</v>
      </c>
      <c r="AC3621">
        <v>1.6294999999999999</v>
      </c>
      <c r="AD3621">
        <v>-1.1213073885259901</v>
      </c>
      <c r="AE3621">
        <v>-10.967799999999899</v>
      </c>
      <c r="AF3621">
        <v>-1.3434622114336701</v>
      </c>
      <c r="AG3621">
        <v>-1.1213073885259901</v>
      </c>
      <c r="AH3621">
        <v>10.8934113524761</v>
      </c>
      <c r="AI3621">
        <v>95.833126953467499</v>
      </c>
      <c r="AJ3621">
        <v>97.030670104110101</v>
      </c>
      <c r="AK3621">
        <v>11.0330699203517</v>
      </c>
      <c r="AL3621">
        <v>94.170371506569495</v>
      </c>
      <c r="AM3621">
        <v>94.446743180155096</v>
      </c>
      <c r="AN3621">
        <v>0.99999998186124395</v>
      </c>
    </row>
    <row r="3622" spans="1:40" x14ac:dyDescent="0.25">
      <c r="A3622" t="str">
        <f>"20190303154207208"</f>
        <v>20190303154207208</v>
      </c>
      <c r="B3622" t="str">
        <f>"1551598927203273"</f>
        <v>1551598927203273</v>
      </c>
      <c r="C3622" t="s">
        <v>40</v>
      </c>
      <c r="D3622">
        <v>5.6074460000000004</v>
      </c>
      <c r="E3622">
        <v>0.48405670000000001</v>
      </c>
      <c r="F3622" t="s">
        <v>46</v>
      </c>
      <c r="G3622">
        <v>-490.7414</v>
      </c>
      <c r="H3622" s="1">
        <v>4.5832420000000003E-6</v>
      </c>
      <c r="I3622">
        <v>223.44890000000001</v>
      </c>
      <c r="J3622">
        <v>-492.35840000000002</v>
      </c>
      <c r="K3622">
        <v>1.1212979999999999</v>
      </c>
      <c r="L3622">
        <v>234.39619999999999</v>
      </c>
      <c r="M3622">
        <v>2.4951230000000001E-2</v>
      </c>
      <c r="N3622">
        <v>-1.3489610000000001E-2</v>
      </c>
      <c r="O3622">
        <v>-0.99959750000000003</v>
      </c>
      <c r="P3622">
        <v>0.1027016</v>
      </c>
      <c r="Q3622">
        <v>-8.6463689999999996E-2</v>
      </c>
      <c r="R3622">
        <v>-0.99094740000000003</v>
      </c>
      <c r="S3622">
        <v>0.43325809999999998</v>
      </c>
      <c r="T3622">
        <v>-0.29991849999999998</v>
      </c>
      <c r="U3622">
        <v>-2.9564509999999999</v>
      </c>
      <c r="V3622">
        <v>-7.791584E-2</v>
      </c>
      <c r="W3622">
        <v>-7.3085890000000001E-2</v>
      </c>
      <c r="X3622">
        <v>0.99427739999999998</v>
      </c>
      <c r="Y3622">
        <v>-0.1196271</v>
      </c>
      <c r="Z3622">
        <v>8.6583880000000002E-2</v>
      </c>
      <c r="AA3622">
        <v>0.98903620000000003</v>
      </c>
      <c r="AB3622">
        <v>17</v>
      </c>
      <c r="AC3622">
        <v>1.61700000000001</v>
      </c>
      <c r="AD3622">
        <v>-1.121293416758</v>
      </c>
      <c r="AE3622">
        <v>-10.947299999999901</v>
      </c>
      <c r="AF3622">
        <v>-1.32967101861286</v>
      </c>
      <c r="AG3622">
        <v>-1.121293416758</v>
      </c>
      <c r="AH3622">
        <v>10.8726099317766</v>
      </c>
      <c r="AI3622">
        <v>95.844862396593001</v>
      </c>
      <c r="AJ3622">
        <v>96.972392122558702</v>
      </c>
      <c r="AK3622">
        <v>11.010856945432201</v>
      </c>
      <c r="AL3622">
        <v>94.191250050400896</v>
      </c>
      <c r="AM3622">
        <v>94.480785797596994</v>
      </c>
      <c r="AN3622">
        <v>0.99999998679537805</v>
      </c>
    </row>
    <row r="3623" spans="1:40" x14ac:dyDescent="0.25">
      <c r="A3623" t="str">
        <f>"20190303154207221"</f>
        <v>20190303154207221</v>
      </c>
      <c r="B3623" t="str">
        <f>"1551598927213033"</f>
        <v>1551598927213033</v>
      </c>
      <c r="C3623" t="s">
        <v>40</v>
      </c>
      <c r="D3623">
        <v>5.6057519999999998</v>
      </c>
      <c r="E3623">
        <v>0.48421540000000002</v>
      </c>
      <c r="F3623" t="s">
        <v>46</v>
      </c>
      <c r="G3623">
        <v>-490.75310000000002</v>
      </c>
      <c r="H3623" s="1">
        <v>4.5793840000000001E-6</v>
      </c>
      <c r="I3623">
        <v>223.44309999999999</v>
      </c>
      <c r="J3623">
        <v>-492.35559999999998</v>
      </c>
      <c r="K3623">
        <v>1.1212850000000001</v>
      </c>
      <c r="L3623">
        <v>234.29159999999999</v>
      </c>
      <c r="M3623">
        <v>2.5136829999999999E-2</v>
      </c>
      <c r="N3623">
        <v>-1.33382E-2</v>
      </c>
      <c r="O3623">
        <v>-0.99959520000000002</v>
      </c>
      <c r="P3623">
        <v>0.1037681</v>
      </c>
      <c r="Q3623">
        <v>-8.6458199999999999E-2</v>
      </c>
      <c r="R3623">
        <v>-0.99083690000000002</v>
      </c>
      <c r="S3623">
        <v>0.43325809999999998</v>
      </c>
      <c r="T3623">
        <v>-0.30261929999999998</v>
      </c>
      <c r="U3623">
        <v>-2.95607</v>
      </c>
      <c r="V3623">
        <v>-7.8797740000000005E-2</v>
      </c>
      <c r="W3623">
        <v>-7.3234980000000005E-2</v>
      </c>
      <c r="X3623">
        <v>0.994197</v>
      </c>
      <c r="Y3623">
        <v>-0.11944829999999999</v>
      </c>
      <c r="Z3623">
        <v>8.7640129999999997E-2</v>
      </c>
      <c r="AA3623">
        <v>0.98896479999999998</v>
      </c>
      <c r="AB3623">
        <v>17</v>
      </c>
      <c r="AC3623">
        <v>1.6024999999999601</v>
      </c>
      <c r="AD3623">
        <v>-1.1212804206160001</v>
      </c>
      <c r="AE3623">
        <v>-10.8485</v>
      </c>
      <c r="AF3623">
        <v>-1.3155189826707001</v>
      </c>
      <c r="AG3623">
        <v>-1.1212804206160001</v>
      </c>
      <c r="AH3623">
        <v>10.772730367087201</v>
      </c>
      <c r="AI3623">
        <v>95.898731714243596</v>
      </c>
      <c r="AJ3623">
        <v>96.962240459145406</v>
      </c>
      <c r="AK3623">
        <v>10.910526088937599</v>
      </c>
      <c r="AL3623">
        <v>94.199814921431496</v>
      </c>
      <c r="AM3623">
        <v>94.531657003125403</v>
      </c>
      <c r="AN3623">
        <v>1.00000006046685</v>
      </c>
    </row>
    <row r="3624" spans="1:40" x14ac:dyDescent="0.25">
      <c r="A3624" t="str">
        <f>"20190303154207237"</f>
        <v>20190303154207237</v>
      </c>
      <c r="B3624" t="str">
        <f>"1551598927233530"</f>
        <v>1551598927233530</v>
      </c>
      <c r="C3624" t="s">
        <v>40</v>
      </c>
      <c r="D3624">
        <v>5.6140759999999998</v>
      </c>
      <c r="E3624">
        <v>0.48453489999999999</v>
      </c>
      <c r="F3624" t="s">
        <v>46</v>
      </c>
      <c r="G3624">
        <v>-490.7484</v>
      </c>
      <c r="H3624" s="1">
        <v>4.557118E-6</v>
      </c>
      <c r="I3624">
        <v>223.36850000000001</v>
      </c>
      <c r="J3624">
        <v>-492.35239999999999</v>
      </c>
      <c r="K3624">
        <v>1.1212679999999999</v>
      </c>
      <c r="L3624">
        <v>234.17410000000001</v>
      </c>
      <c r="M3624">
        <v>2.5367799999999999E-2</v>
      </c>
      <c r="N3624">
        <v>-1.3165039999999999E-2</v>
      </c>
      <c r="O3624">
        <v>-0.99959189999999998</v>
      </c>
      <c r="P3624">
        <v>0.1054703</v>
      </c>
      <c r="Q3624">
        <v>-8.6421410000000004E-2</v>
      </c>
      <c r="R3624">
        <v>-0.99066069999999995</v>
      </c>
      <c r="S3624">
        <v>0.43490600000000001</v>
      </c>
      <c r="T3624">
        <v>-0.30340850000000003</v>
      </c>
      <c r="U3624">
        <v>-2.9557039999999999</v>
      </c>
      <c r="V3624">
        <v>-8.0271640000000005E-2</v>
      </c>
      <c r="W3624">
        <v>-7.3375770000000007E-2</v>
      </c>
      <c r="X3624">
        <v>0.99406859999999997</v>
      </c>
      <c r="Y3624">
        <v>-0.1197715</v>
      </c>
      <c r="Z3624">
        <v>8.8078760000000006E-2</v>
      </c>
      <c r="AA3624">
        <v>0.98888670000000001</v>
      </c>
      <c r="AB3624">
        <v>17</v>
      </c>
      <c r="AC3624">
        <v>1.6039999999999801</v>
      </c>
      <c r="AD3624">
        <v>-1.1212634428820001</v>
      </c>
      <c r="AE3624">
        <v>-10.805599999999901</v>
      </c>
      <c r="AF3624">
        <v>-1.3154865716353501</v>
      </c>
      <c r="AG3624">
        <v>-1.1212634428820001</v>
      </c>
      <c r="AH3624">
        <v>10.729772806829599</v>
      </c>
      <c r="AI3624">
        <v>95.921746834555606</v>
      </c>
      <c r="AJ3624">
        <v>96.989668673137402</v>
      </c>
      <c r="AK3624">
        <v>10.8681075222265</v>
      </c>
      <c r="AL3624">
        <v>94.207903776079405</v>
      </c>
      <c r="AM3624">
        <v>94.616651660401502</v>
      </c>
      <c r="AN3624">
        <v>0.99999996065867003</v>
      </c>
    </row>
    <row r="3625" spans="1:40" x14ac:dyDescent="0.25">
      <c r="A3625" t="str">
        <f>"20190303154207252"</f>
        <v>20190303154207252</v>
      </c>
      <c r="B3625" t="str">
        <f>"1551598927243289"</f>
        <v>1551598927243289</v>
      </c>
      <c r="C3625" t="s">
        <v>40</v>
      </c>
      <c r="D3625">
        <v>5.6545899999999998</v>
      </c>
      <c r="E3625">
        <v>0.48466769999999998</v>
      </c>
      <c r="F3625" t="s">
        <v>46</v>
      </c>
      <c r="G3625">
        <v>-490.74520000000001</v>
      </c>
      <c r="H3625" s="1">
        <v>4.5418719999999997E-6</v>
      </c>
      <c r="I3625">
        <v>223.3175</v>
      </c>
      <c r="J3625">
        <v>-492.3492</v>
      </c>
      <c r="K3625">
        <v>1.1212629999999999</v>
      </c>
      <c r="L3625">
        <v>234.0607</v>
      </c>
      <c r="M3625">
        <v>2.562159E-2</v>
      </c>
      <c r="N3625">
        <v>-1.3005620000000001E-2</v>
      </c>
      <c r="O3625">
        <v>-0.99958740000000001</v>
      </c>
      <c r="P3625">
        <v>0.1065074</v>
      </c>
      <c r="Q3625">
        <v>-8.6442279999999996E-2</v>
      </c>
      <c r="R3625">
        <v>-0.99054770000000003</v>
      </c>
      <c r="S3625">
        <v>0.43746950000000001</v>
      </c>
      <c r="T3625">
        <v>-0.30519760000000001</v>
      </c>
      <c r="U3625">
        <v>-2.955063</v>
      </c>
      <c r="V3625">
        <v>-8.1055470000000004E-2</v>
      </c>
      <c r="W3625">
        <v>-7.3560059999999997E-2</v>
      </c>
      <c r="X3625">
        <v>0.99399139999999997</v>
      </c>
      <c r="Y3625">
        <v>-0.1203803</v>
      </c>
      <c r="Z3625">
        <v>8.8839260000000003E-2</v>
      </c>
      <c r="AA3625">
        <v>0.98874470000000003</v>
      </c>
      <c r="AB3625">
        <v>17</v>
      </c>
      <c r="AC3625">
        <v>1.6039999999999801</v>
      </c>
      <c r="AD3625">
        <v>-1.1212584581279901</v>
      </c>
      <c r="AE3625">
        <v>-10.7432</v>
      </c>
      <c r="AF3625">
        <v>-1.3141890742419999</v>
      </c>
      <c r="AG3625">
        <v>-1.1212584581279901</v>
      </c>
      <c r="AH3625">
        <v>10.6671108236997</v>
      </c>
      <c r="AI3625">
        <v>95.955828870589997</v>
      </c>
      <c r="AJ3625">
        <v>97.023453604051099</v>
      </c>
      <c r="AK3625">
        <v>10.806089337862799</v>
      </c>
      <c r="AL3625">
        <v>94.218491314726506</v>
      </c>
      <c r="AM3625">
        <v>94.661894699729203</v>
      </c>
      <c r="AN3625">
        <v>0.99999998745904195</v>
      </c>
    </row>
    <row r="3626" spans="1:40" x14ac:dyDescent="0.25">
      <c r="A3626" t="str">
        <f>"20190303154207266"</f>
        <v>20190303154207266</v>
      </c>
      <c r="B3626" t="str">
        <f>"1551598927262810"</f>
        <v>1551598927262810</v>
      </c>
      <c r="C3626" t="s">
        <v>40</v>
      </c>
      <c r="D3626">
        <v>5.6819620000000004</v>
      </c>
      <c r="E3626">
        <v>0.48499510000000001</v>
      </c>
      <c r="F3626" t="s">
        <v>46</v>
      </c>
      <c r="G3626">
        <v>-490.74009999999998</v>
      </c>
      <c r="H3626" s="1">
        <v>4.521628E-6</v>
      </c>
      <c r="I3626">
        <v>223.2492</v>
      </c>
      <c r="J3626">
        <v>-492.34629999999999</v>
      </c>
      <c r="K3626">
        <v>1.1212629999999999</v>
      </c>
      <c r="L3626">
        <v>233.95419999999999</v>
      </c>
      <c r="M3626">
        <v>2.5885720000000001E-2</v>
      </c>
      <c r="N3626">
        <v>-1.286444E-2</v>
      </c>
      <c r="O3626">
        <v>-0.99958239999999998</v>
      </c>
      <c r="P3626">
        <v>0.10755729999999999</v>
      </c>
      <c r="Q3626">
        <v>-8.6688470000000004E-2</v>
      </c>
      <c r="R3626">
        <v>-0.99041279999999998</v>
      </c>
      <c r="S3626">
        <v>0.43975829999999999</v>
      </c>
      <c r="T3626">
        <v>-0.30642150000000001</v>
      </c>
      <c r="U3626">
        <v>-2.9546049999999999</v>
      </c>
      <c r="V3626">
        <v>-8.1842709999999999E-2</v>
      </c>
      <c r="W3626">
        <v>-7.3951959999999997E-2</v>
      </c>
      <c r="X3626">
        <v>0.99389780000000005</v>
      </c>
      <c r="Y3626">
        <v>-0.1208828</v>
      </c>
      <c r="Z3626">
        <v>8.9389910000000003E-2</v>
      </c>
      <c r="AA3626">
        <v>0.98863380000000001</v>
      </c>
      <c r="AB3626">
        <v>17</v>
      </c>
      <c r="AC3626">
        <v>1.6062000000000001</v>
      </c>
      <c r="AD3626">
        <v>-1.1212584783720001</v>
      </c>
      <c r="AE3626">
        <v>-10.704999999999901</v>
      </c>
      <c r="AF3626">
        <v>-1.31442935256883</v>
      </c>
      <c r="AG3626">
        <v>-1.1212584783720001</v>
      </c>
      <c r="AH3626">
        <v>10.628952612247501</v>
      </c>
      <c r="AI3626">
        <v>95.976720660712601</v>
      </c>
      <c r="AJ3626">
        <v>97.049690533791605</v>
      </c>
      <c r="AK3626">
        <v>10.768452940493299</v>
      </c>
      <c r="AL3626">
        <v>94.241006891425698</v>
      </c>
      <c r="AM3626">
        <v>94.707411516477805</v>
      </c>
      <c r="AN3626">
        <v>0.99999997920641204</v>
      </c>
    </row>
    <row r="3627" spans="1:40" x14ac:dyDescent="0.25">
      <c r="A3627" t="str">
        <f>"20190303154207283"</f>
        <v>20190303154207283</v>
      </c>
      <c r="B3627" t="str">
        <f>"1551598927273545"</f>
        <v>1551598927273545</v>
      </c>
      <c r="C3627" t="s">
        <v>40</v>
      </c>
      <c r="D3627">
        <v>5.6856710000000001</v>
      </c>
      <c r="E3627">
        <v>0.48512440000000001</v>
      </c>
      <c r="F3627" t="s">
        <v>46</v>
      </c>
      <c r="G3627">
        <v>-490.7516</v>
      </c>
      <c r="H3627" s="1">
        <v>4.5176389999999998E-6</v>
      </c>
      <c r="I3627">
        <v>223.24289999999999</v>
      </c>
      <c r="J3627">
        <v>-492.34249999999997</v>
      </c>
      <c r="K3627">
        <v>1.121264</v>
      </c>
      <c r="L3627">
        <v>233.82589999999999</v>
      </c>
      <c r="M3627">
        <v>2.623851E-2</v>
      </c>
      <c r="N3627">
        <v>-1.2703839999999999E-2</v>
      </c>
      <c r="O3627">
        <v>-0.99957530000000006</v>
      </c>
      <c r="P3627">
        <v>0.1090773</v>
      </c>
      <c r="Q3627">
        <v>-8.7721030000000005E-2</v>
      </c>
      <c r="R3627">
        <v>-0.99015540000000002</v>
      </c>
      <c r="S3627">
        <v>0.43981930000000002</v>
      </c>
      <c r="T3627">
        <v>-0.30924590000000002</v>
      </c>
      <c r="U3627">
        <v>-2.9541930000000001</v>
      </c>
      <c r="V3627">
        <v>-8.3012399999999903E-2</v>
      </c>
      <c r="W3627">
        <v>-7.515281E-2</v>
      </c>
      <c r="X3627">
        <v>0.99371069999999995</v>
      </c>
      <c r="Y3627">
        <v>-0.1205586</v>
      </c>
      <c r="Z3627">
        <v>9.0497320000000006E-2</v>
      </c>
      <c r="AA3627">
        <v>0.98857269999999997</v>
      </c>
      <c r="AB3627">
        <v>17</v>
      </c>
      <c r="AC3627">
        <v>1.59089999999997</v>
      </c>
      <c r="AD3627">
        <v>-1.121259482361</v>
      </c>
      <c r="AE3627">
        <v>-10.582999999999901</v>
      </c>
      <c r="AF3627">
        <v>-1.2983950259714401</v>
      </c>
      <c r="AG3627">
        <v>-1.121259482361</v>
      </c>
      <c r="AH3627">
        <v>10.505778454516699</v>
      </c>
      <c r="AI3627">
        <v>96.046339305207795</v>
      </c>
      <c r="AJ3627">
        <v>97.045382502931204</v>
      </c>
      <c r="AK3627">
        <v>10.644925241899999</v>
      </c>
      <c r="AL3627">
        <v>94.310002541388698</v>
      </c>
      <c r="AM3627">
        <v>94.775275449914403</v>
      </c>
      <c r="AN3627">
        <v>0.99999997934957197</v>
      </c>
    </row>
    <row r="3628" spans="1:40" x14ac:dyDescent="0.25">
      <c r="A3628" t="str">
        <f>"20190303154207297"</f>
        <v>20190303154207297</v>
      </c>
      <c r="B3628" t="str">
        <f>"1551598927293065"</f>
        <v>1551598927293065</v>
      </c>
      <c r="C3628" t="s">
        <v>40</v>
      </c>
      <c r="D3628">
        <v>5.6031950000000004</v>
      </c>
      <c r="E3628">
        <v>0.4854678</v>
      </c>
      <c r="F3628" t="s">
        <v>46</v>
      </c>
      <c r="G3628">
        <v>-490.75389999999999</v>
      </c>
      <c r="H3628" s="1">
        <v>4.5188879999999997E-6</v>
      </c>
      <c r="I3628">
        <v>223.2483</v>
      </c>
      <c r="J3628">
        <v>-492.33929999999998</v>
      </c>
      <c r="K3628">
        <v>1.121283</v>
      </c>
      <c r="L3628">
        <v>233.7157</v>
      </c>
      <c r="M3628">
        <v>2.657603E-2</v>
      </c>
      <c r="N3628">
        <v>-1.257375E-2</v>
      </c>
      <c r="O3628">
        <v>-0.99956789999999995</v>
      </c>
      <c r="P3628">
        <v>0.1100059</v>
      </c>
      <c r="Q3628">
        <v>-8.8458399999999895E-2</v>
      </c>
      <c r="R3628">
        <v>-0.98998710000000001</v>
      </c>
      <c r="S3628">
        <v>0.44354250000000001</v>
      </c>
      <c r="T3628">
        <v>-0.31305300000000003</v>
      </c>
      <c r="U3628">
        <v>-2.9532470000000002</v>
      </c>
      <c r="V3628">
        <v>-8.3604349999999994E-2</v>
      </c>
      <c r="W3628">
        <v>-7.6027300000000006E-2</v>
      </c>
      <c r="X3628">
        <v>0.99359459999999999</v>
      </c>
      <c r="Y3628">
        <v>-0.1214689</v>
      </c>
      <c r="Z3628">
        <v>9.1900280000000001E-2</v>
      </c>
      <c r="AA3628">
        <v>0.98833170000000004</v>
      </c>
      <c r="AB3628">
        <v>17</v>
      </c>
      <c r="AC3628">
        <v>1.5853999999999899</v>
      </c>
      <c r="AD3628">
        <v>-1.121278481112</v>
      </c>
      <c r="AE3628">
        <v>-10.4673999999999</v>
      </c>
      <c r="AF3628">
        <v>-1.29214136869007</v>
      </c>
      <c r="AG3628">
        <v>-1.121278481112</v>
      </c>
      <c r="AH3628">
        <v>10.3892965151338</v>
      </c>
      <c r="AI3628">
        <v>96.113140854627503</v>
      </c>
      <c r="AJ3628">
        <v>97.089605973073702</v>
      </c>
      <c r="AK3628">
        <v>10.5292153947128</v>
      </c>
      <c r="AL3628">
        <v>94.360250655669105</v>
      </c>
      <c r="AM3628">
        <v>94.809727441032393</v>
      </c>
      <c r="AN3628">
        <v>1.0000000334166801</v>
      </c>
    </row>
    <row r="3629" spans="1:40" x14ac:dyDescent="0.25">
      <c r="A3629" t="str">
        <f>"20190303154207315"</f>
        <v>20190303154207315</v>
      </c>
      <c r="B3629" t="str">
        <f>"1551598927302825"</f>
        <v>1551598927302825</v>
      </c>
      <c r="C3629" t="s">
        <v>40</v>
      </c>
      <c r="D3629">
        <v>5.6531919999999998</v>
      </c>
      <c r="E3629">
        <v>0.48563620000000002</v>
      </c>
      <c r="F3629" t="s">
        <v>46</v>
      </c>
      <c r="G3629">
        <v>-490.7636</v>
      </c>
      <c r="H3629" s="1">
        <v>4.5088849999999999E-6</v>
      </c>
      <c r="I3629">
        <v>223.2216</v>
      </c>
      <c r="J3629">
        <v>-492.33519999999999</v>
      </c>
      <c r="K3629">
        <v>1.1213169999999999</v>
      </c>
      <c r="L3629">
        <v>233.58260000000001</v>
      </c>
      <c r="M3629">
        <v>2.704034E-2</v>
      </c>
      <c r="N3629">
        <v>-1.242804E-2</v>
      </c>
      <c r="O3629">
        <v>-0.99955720000000003</v>
      </c>
      <c r="P3629">
        <v>0.11139489999999901</v>
      </c>
      <c r="Q3629">
        <v>-8.9145409999999994E-2</v>
      </c>
      <c r="R3629">
        <v>-0.98977009999999999</v>
      </c>
      <c r="S3629">
        <v>0.44335940000000001</v>
      </c>
      <c r="T3629">
        <v>-0.31550919999999999</v>
      </c>
      <c r="U3629">
        <v>-2.9528810000000001</v>
      </c>
      <c r="V3629">
        <v>-8.4528859999999997E-2</v>
      </c>
      <c r="W3629">
        <v>-7.6870610000000006E-2</v>
      </c>
      <c r="X3629">
        <v>0.99345150000000004</v>
      </c>
      <c r="Y3629">
        <v>-0.1209534</v>
      </c>
      <c r="Z3629">
        <v>9.2871060000000005E-2</v>
      </c>
      <c r="AA3629">
        <v>0.98830419999999997</v>
      </c>
      <c r="AB3629">
        <v>17</v>
      </c>
      <c r="AC3629">
        <v>1.5715999999999799</v>
      </c>
      <c r="AD3629">
        <v>-1.1213124911150001</v>
      </c>
      <c r="AE3629">
        <v>-10.361000000000001</v>
      </c>
      <c r="AF3629">
        <v>-1.2762270397640301</v>
      </c>
      <c r="AG3629">
        <v>-1.1213124911150001</v>
      </c>
      <c r="AH3629">
        <v>10.2819912952283</v>
      </c>
      <c r="AI3629">
        <v>96.176821637097603</v>
      </c>
      <c r="AJ3629">
        <v>97.075510617519399</v>
      </c>
      <c r="AK3629">
        <v>10.4213934843141</v>
      </c>
      <c r="AL3629">
        <v>94.408710500440193</v>
      </c>
      <c r="AM3629">
        <v>94.863357590265906</v>
      </c>
      <c r="AN3629">
        <v>1.0000000508534499</v>
      </c>
    </row>
    <row r="3630" spans="1:40" x14ac:dyDescent="0.25">
      <c r="A3630" t="str">
        <f>"20190303154207327"</f>
        <v>20190303154207327</v>
      </c>
      <c r="B3630" t="str">
        <f>"1551598927323321"</f>
        <v>1551598927323321</v>
      </c>
      <c r="C3630" t="s">
        <v>40</v>
      </c>
      <c r="D3630">
        <v>5.6791049999999998</v>
      </c>
      <c r="E3630">
        <v>0.48587799999999998</v>
      </c>
      <c r="F3630" t="s">
        <v>46</v>
      </c>
      <c r="G3630">
        <v>-490.75729999999999</v>
      </c>
      <c r="H3630" s="1">
        <v>4.4872339999999997E-6</v>
      </c>
      <c r="I3630">
        <v>223.148</v>
      </c>
      <c r="J3630">
        <v>-492.33249999999998</v>
      </c>
      <c r="K3630">
        <v>1.121348</v>
      </c>
      <c r="L3630">
        <v>233.4949</v>
      </c>
      <c r="M3630">
        <v>2.7395650000000001E-2</v>
      </c>
      <c r="N3630">
        <v>-1.234127E-2</v>
      </c>
      <c r="O3630">
        <v>-0.99954869999999996</v>
      </c>
      <c r="P3630">
        <v>0.11258940000000001</v>
      </c>
      <c r="Q3630">
        <v>-8.8885389999999995E-2</v>
      </c>
      <c r="R3630">
        <v>-0.98965840000000005</v>
      </c>
      <c r="S3630">
        <v>0.4464417</v>
      </c>
      <c r="T3630">
        <v>-0.31724730000000001</v>
      </c>
      <c r="U3630">
        <v>-2.9522089999999999</v>
      </c>
      <c r="V3630">
        <v>-8.5366499999999998E-2</v>
      </c>
      <c r="W3630">
        <v>-7.6705469999999998E-2</v>
      </c>
      <c r="X3630">
        <v>0.99339259999999996</v>
      </c>
      <c r="Y3630">
        <v>-0.1216329</v>
      </c>
      <c r="Z3630">
        <v>9.3541089999999993E-2</v>
      </c>
      <c r="AA3630">
        <v>0.98815759999999997</v>
      </c>
      <c r="AB3630">
        <v>17</v>
      </c>
      <c r="AC3630">
        <v>1.5751999999999899</v>
      </c>
      <c r="AD3630">
        <v>-1.1213435127660001</v>
      </c>
      <c r="AE3630">
        <v>-10.3469</v>
      </c>
      <c r="AF3630">
        <v>-1.2764743872256701</v>
      </c>
      <c r="AG3630">
        <v>-1.1213435127660001</v>
      </c>
      <c r="AH3630">
        <v>10.2683023699001</v>
      </c>
      <c r="AI3630">
        <v>96.185019801667806</v>
      </c>
      <c r="AJ3630">
        <v>97.086206526108597</v>
      </c>
      <c r="AK3630">
        <v>10.4079215838015</v>
      </c>
      <c r="AL3630">
        <v>94.399220822993797</v>
      </c>
      <c r="AM3630">
        <v>94.911606301426005</v>
      </c>
      <c r="AN3630">
        <v>1.00000001309246</v>
      </c>
    </row>
    <row r="3631" spans="1:40" x14ac:dyDescent="0.25">
      <c r="A3631" t="str">
        <f>"20190303154207339"</f>
        <v>20190303154207339</v>
      </c>
      <c r="B3631" t="str">
        <f>"1551598927333081"</f>
        <v>1551598927333081</v>
      </c>
      <c r="C3631" t="s">
        <v>40</v>
      </c>
      <c r="D3631">
        <v>5.6558830000000002</v>
      </c>
      <c r="E3631">
        <v>0.48596149999999999</v>
      </c>
      <c r="F3631" t="s">
        <v>46</v>
      </c>
      <c r="G3631">
        <v>-490.75880000000001</v>
      </c>
      <c r="H3631" s="1">
        <v>4.4779349999999998E-6</v>
      </c>
      <c r="I3631">
        <v>223.1189</v>
      </c>
      <c r="J3631">
        <v>-492.3295</v>
      </c>
      <c r="K3631">
        <v>1.1213879999999901</v>
      </c>
      <c r="L3631">
        <v>233.4032</v>
      </c>
      <c r="M3631">
        <v>2.7789810000000002E-2</v>
      </c>
      <c r="N3631">
        <v>-1.225381E-2</v>
      </c>
      <c r="O3631">
        <v>-0.99953899999999996</v>
      </c>
      <c r="P3631">
        <v>0.1139739</v>
      </c>
      <c r="Q3631">
        <v>-8.8366360000000005E-2</v>
      </c>
      <c r="R3631">
        <v>-0.9895465</v>
      </c>
      <c r="S3631">
        <v>0.4476929</v>
      </c>
      <c r="T3631">
        <v>-0.31900020000000001</v>
      </c>
      <c r="U3631">
        <v>-2.9517669999999998</v>
      </c>
      <c r="V3631">
        <v>-8.6355020000000005E-2</v>
      </c>
      <c r="W3631">
        <v>-7.6283249999999997E-2</v>
      </c>
      <c r="X3631">
        <v>0.99333970000000005</v>
      </c>
      <c r="Y3631">
        <v>-0.1216636</v>
      </c>
      <c r="Z3631">
        <v>9.4217419999999996E-2</v>
      </c>
      <c r="AA3631">
        <v>0.98808960000000001</v>
      </c>
      <c r="AB3631">
        <v>17</v>
      </c>
      <c r="AC3631">
        <v>1.57069999999998</v>
      </c>
      <c r="AD3631">
        <v>-1.1213835220649999</v>
      </c>
      <c r="AE3631">
        <v>-10.2843</v>
      </c>
      <c r="AF3631">
        <v>-1.26952339296255</v>
      </c>
      <c r="AG3631">
        <v>-1.1213835220649999</v>
      </c>
      <c r="AH3631">
        <v>10.2054100544458</v>
      </c>
      <c r="AI3631">
        <v>96.222993781077406</v>
      </c>
      <c r="AJ3631">
        <v>97.091001521522799</v>
      </c>
      <c r="AK3631">
        <v>10.3450270675442</v>
      </c>
      <c r="AL3631">
        <v>94.374958185086498</v>
      </c>
      <c r="AM3631">
        <v>94.968461527288497</v>
      </c>
      <c r="AN3631">
        <v>1.00000004165292</v>
      </c>
    </row>
    <row r="3632" spans="1:40" x14ac:dyDescent="0.25">
      <c r="A3632" t="str">
        <f>"20190303154207351"</f>
        <v>20190303154207351</v>
      </c>
      <c r="B3632" t="str">
        <f>"1551598927342841"</f>
        <v>1551598927342841</v>
      </c>
      <c r="C3632" t="s">
        <v>40</v>
      </c>
      <c r="D3632">
        <v>5.6848720000000004</v>
      </c>
      <c r="E3632">
        <v>0.48601119999999998</v>
      </c>
      <c r="F3632" t="s">
        <v>46</v>
      </c>
      <c r="G3632">
        <v>-490.74470000000002</v>
      </c>
      <c r="H3632" s="1">
        <v>4.4551440000000003E-6</v>
      </c>
      <c r="I3632">
        <v>223.03720000000001</v>
      </c>
      <c r="J3632">
        <v>-492.32639999999998</v>
      </c>
      <c r="K3632">
        <v>1.1214459999999999</v>
      </c>
      <c r="L3632">
        <v>233.30629999999999</v>
      </c>
      <c r="M3632">
        <v>2.8264290000000001E-2</v>
      </c>
      <c r="N3632">
        <v>-1.21692E-2</v>
      </c>
      <c r="O3632">
        <v>-0.99952640000000004</v>
      </c>
      <c r="P3632">
        <v>0.1156785</v>
      </c>
      <c r="Q3632">
        <v>-8.8025989999999998E-2</v>
      </c>
      <c r="R3632">
        <v>-0.9893788</v>
      </c>
      <c r="S3632">
        <v>0.4512024</v>
      </c>
      <c r="T3632">
        <v>-0.3192604</v>
      </c>
      <c r="U3632">
        <v>-2.9512019999999999</v>
      </c>
      <c r="V3632">
        <v>-8.7583350000000004E-2</v>
      </c>
      <c r="W3632">
        <v>-7.6040079999999996E-2</v>
      </c>
      <c r="X3632">
        <v>0.99325070000000004</v>
      </c>
      <c r="Y3632">
        <v>-0.1223665</v>
      </c>
      <c r="Z3632">
        <v>9.4391799999999998E-2</v>
      </c>
      <c r="AA3632">
        <v>0.98798609999999998</v>
      </c>
      <c r="AB3632">
        <v>17</v>
      </c>
      <c r="AC3632">
        <v>1.5816999999999499</v>
      </c>
      <c r="AD3632">
        <v>-1.121441544856</v>
      </c>
      <c r="AE3632">
        <v>-10.2690999999999</v>
      </c>
      <c r="AF3632">
        <v>-1.27593374017273</v>
      </c>
      <c r="AG3632">
        <v>-1.121441544856</v>
      </c>
      <c r="AH3632">
        <v>10.1909862030464</v>
      </c>
      <c r="AI3632">
        <v>96.231440497184394</v>
      </c>
      <c r="AJ3632">
        <v>97.136422192743893</v>
      </c>
      <c r="AK3632">
        <v>10.3315941576565</v>
      </c>
      <c r="AL3632">
        <v>94.360985407812194</v>
      </c>
      <c r="AM3632">
        <v>95.039221736470495</v>
      </c>
      <c r="AN3632">
        <v>0.99999994500705802</v>
      </c>
    </row>
    <row r="3633" spans="1:40" x14ac:dyDescent="0.25">
      <c r="A3633" t="str">
        <f>"20190303154207366"</f>
        <v>20190303154207366</v>
      </c>
      <c r="B3633" t="str">
        <f>"1551598927363337"</f>
        <v>1551598927363337</v>
      </c>
      <c r="C3633" t="s">
        <v>40</v>
      </c>
      <c r="D3633">
        <v>5.6732389999999997</v>
      </c>
      <c r="E3633">
        <v>0.48605949999999998</v>
      </c>
      <c r="F3633" t="s">
        <v>46</v>
      </c>
      <c r="G3633">
        <v>-490.72019999999998</v>
      </c>
      <c r="H3633" s="1">
        <v>4.4228960000000004E-6</v>
      </c>
      <c r="I3633">
        <v>222.91909999999999</v>
      </c>
      <c r="J3633">
        <v>-492.3229</v>
      </c>
      <c r="K3633">
        <v>1.12151</v>
      </c>
      <c r="L3633">
        <v>233.20419999999999</v>
      </c>
      <c r="M3633">
        <v>2.8833919999999999E-2</v>
      </c>
      <c r="N3633">
        <v>-1.208799E-2</v>
      </c>
      <c r="O3633">
        <v>-0.99951109999999999</v>
      </c>
      <c r="P3633">
        <v>0.11742180000000001</v>
      </c>
      <c r="Q3633">
        <v>-8.7507139999999997E-2</v>
      </c>
      <c r="R3633">
        <v>-0.98921939999999997</v>
      </c>
      <c r="S3633">
        <v>0.45623780000000003</v>
      </c>
      <c r="T3633">
        <v>-0.31855029999999901</v>
      </c>
      <c r="U3633">
        <v>-2.9505159999999999</v>
      </c>
      <c r="V3633">
        <v>-8.8754109999999997E-2</v>
      </c>
      <c r="W3633">
        <v>-7.5617359999999995E-2</v>
      </c>
      <c r="X3633">
        <v>0.99317909999999998</v>
      </c>
      <c r="Y3633">
        <v>-0.1234846</v>
      </c>
      <c r="Z3633">
        <v>9.423956E-2</v>
      </c>
      <c r="AA3633">
        <v>0.98786160000000001</v>
      </c>
      <c r="AB3633">
        <v>17</v>
      </c>
      <c r="AC3633">
        <v>1.60270000000002</v>
      </c>
      <c r="AD3633">
        <v>-1.1215055771039999</v>
      </c>
      <c r="AE3633">
        <v>-10.2851</v>
      </c>
      <c r="AF3633">
        <v>-1.2904719958456199</v>
      </c>
      <c r="AG3633">
        <v>-1.1215055771039999</v>
      </c>
      <c r="AH3633">
        <v>10.2085354093101</v>
      </c>
      <c r="AI3633">
        <v>96.220240628122895</v>
      </c>
      <c r="AJ3633">
        <v>97.204607626546704</v>
      </c>
      <c r="AK3633">
        <v>10.3507143683262</v>
      </c>
      <c r="AL3633">
        <v>94.336695157019903</v>
      </c>
      <c r="AM3633">
        <v>95.106595322788706</v>
      </c>
      <c r="AN3633">
        <v>1.0000000009260299</v>
      </c>
    </row>
    <row r="3634" spans="1:40" x14ac:dyDescent="0.25">
      <c r="A3634" t="str">
        <f>"20190303154207383"</f>
        <v>20190303154207383</v>
      </c>
      <c r="B3634" t="str">
        <f>"1551598927373097"</f>
        <v>1551598927373097</v>
      </c>
      <c r="C3634" t="s">
        <v>40</v>
      </c>
      <c r="D3634">
        <v>5.6946949999999896</v>
      </c>
      <c r="E3634">
        <v>0.48610619999999999</v>
      </c>
      <c r="F3634" t="s">
        <v>46</v>
      </c>
      <c r="G3634">
        <v>-490.69920000000002</v>
      </c>
      <c r="H3634" s="1">
        <v>4.3910190000000003E-6</v>
      </c>
      <c r="I3634">
        <v>222.80420000000001</v>
      </c>
      <c r="J3634">
        <v>-492.31799999999998</v>
      </c>
      <c r="K3634">
        <v>1.1216109999999999</v>
      </c>
      <c r="L3634">
        <v>233.0677</v>
      </c>
      <c r="M3634">
        <v>2.9698140000000001E-2</v>
      </c>
      <c r="N3634">
        <v>-1.198889E-2</v>
      </c>
      <c r="O3634">
        <v>-0.99948729999999997</v>
      </c>
      <c r="P3634">
        <v>0.11995699999999999</v>
      </c>
      <c r="Q3634">
        <v>-8.6187180000000002E-2</v>
      </c>
      <c r="R3634">
        <v>-0.9890314</v>
      </c>
      <c r="S3634">
        <v>0.46054079999999997</v>
      </c>
      <c r="T3634">
        <v>-0.31810749999999999</v>
      </c>
      <c r="U3634">
        <v>-2.9498899999999999</v>
      </c>
      <c r="V3634">
        <v>-9.0420650000000005E-2</v>
      </c>
      <c r="W3634">
        <v>-7.4419009999999994E-2</v>
      </c>
      <c r="X3634">
        <v>0.99311930000000004</v>
      </c>
      <c r="Y3634">
        <v>-0.1240665</v>
      </c>
      <c r="Z3634">
        <v>9.4195319999999999E-2</v>
      </c>
      <c r="AA3634">
        <v>0.98779280000000003</v>
      </c>
      <c r="AB3634">
        <v>17</v>
      </c>
      <c r="AC3634">
        <v>1.61880000000002</v>
      </c>
      <c r="AD3634">
        <v>-1.121606608981</v>
      </c>
      <c r="AE3634">
        <v>-10.263499999999899</v>
      </c>
      <c r="AF3634">
        <v>-1.29813074027718</v>
      </c>
      <c r="AG3634">
        <v>-1.121606608981</v>
      </c>
      <c r="AH3634">
        <v>10.188331688030001</v>
      </c>
      <c r="AI3634">
        <v>96.232261403367602</v>
      </c>
      <c r="AJ3634">
        <v>97.261130153061302</v>
      </c>
      <c r="AK3634">
        <v>10.331759162382699</v>
      </c>
      <c r="AL3634">
        <v>94.267840681338797</v>
      </c>
      <c r="AM3634">
        <v>95.202272351692201</v>
      </c>
      <c r="AN3634">
        <v>1.00000001351414</v>
      </c>
    </row>
    <row r="3635" spans="1:40" x14ac:dyDescent="0.25">
      <c r="A3635" t="str">
        <f>"20190303154207398"</f>
        <v>20190303154207398</v>
      </c>
      <c r="B3635" t="str">
        <f>"1551598927393593"</f>
        <v>1551598927393593</v>
      </c>
      <c r="C3635" t="s">
        <v>40</v>
      </c>
      <c r="D3635">
        <v>5.6562109999999999</v>
      </c>
      <c r="E3635">
        <v>0.48619089999999998</v>
      </c>
      <c r="F3635" t="s">
        <v>46</v>
      </c>
      <c r="G3635">
        <v>-490.649</v>
      </c>
      <c r="H3635" s="1">
        <v>4.3219850000000001E-6</v>
      </c>
      <c r="I3635">
        <v>222.55260000000001</v>
      </c>
      <c r="J3635">
        <v>-492.31389999999999</v>
      </c>
      <c r="K3635">
        <v>1.1216969999999999</v>
      </c>
      <c r="L3635">
        <v>232.959</v>
      </c>
      <c r="M3635">
        <v>3.0474339999999999E-2</v>
      </c>
      <c r="N3635">
        <v>-1.191709E-2</v>
      </c>
      <c r="O3635">
        <v>-0.99946469999999998</v>
      </c>
      <c r="P3635">
        <v>0.1209036</v>
      </c>
      <c r="Q3635">
        <v>-8.5416039999999999E-2</v>
      </c>
      <c r="R3635">
        <v>-0.9889829</v>
      </c>
      <c r="S3635">
        <v>0.46807860000000001</v>
      </c>
      <c r="T3635">
        <v>-0.3145714</v>
      </c>
      <c r="U3635">
        <v>-2.9490970000000001</v>
      </c>
      <c r="V3635">
        <v>-9.0583899999999995E-2</v>
      </c>
      <c r="W3635">
        <v>-7.3737120000000003E-2</v>
      </c>
      <c r="X3635">
        <v>0.99315529999999996</v>
      </c>
      <c r="Y3635">
        <v>-0.1258165</v>
      </c>
      <c r="Z3635">
        <v>9.3092010000000003E-2</v>
      </c>
      <c r="AA3635">
        <v>0.98767609999999995</v>
      </c>
      <c r="AB3635">
        <v>17</v>
      </c>
      <c r="AC3635">
        <v>1.6648999999999801</v>
      </c>
      <c r="AD3635">
        <v>-1.1216926780149901</v>
      </c>
      <c r="AE3635">
        <v>-10.4063999999999</v>
      </c>
      <c r="AF3635">
        <v>-1.33188777656594</v>
      </c>
      <c r="AG3635">
        <v>-1.1216926780149901</v>
      </c>
      <c r="AH3635">
        <v>10.335224347130501</v>
      </c>
      <c r="AI3635">
        <v>96.143715002249095</v>
      </c>
      <c r="AJ3635">
        <v>97.343166089840196</v>
      </c>
      <c r="AK3635">
        <v>10.480886499662001</v>
      </c>
      <c r="AL3635">
        <v>94.228663560118704</v>
      </c>
      <c r="AM3635">
        <v>95.211425250659303</v>
      </c>
      <c r="AN3635">
        <v>1.0000000278615899</v>
      </c>
    </row>
    <row r="3636" spans="1:40" x14ac:dyDescent="0.25">
      <c r="A3636" t="str">
        <f>"20190303154207415"</f>
        <v>20190303154207415</v>
      </c>
      <c r="B3636" t="str">
        <f>"1551598927403352"</f>
        <v>1551598927403352</v>
      </c>
      <c r="C3636" t="s">
        <v>40</v>
      </c>
      <c r="D3636">
        <v>5.6066419999999999</v>
      </c>
      <c r="E3636">
        <v>0.48633120000000002</v>
      </c>
      <c r="F3636" t="s">
        <v>46</v>
      </c>
      <c r="G3636">
        <v>-490.6343</v>
      </c>
      <c r="H3636" s="1">
        <v>4.2851029999999997E-6</v>
      </c>
      <c r="I3636">
        <v>222.42509999999999</v>
      </c>
      <c r="J3636">
        <v>-492.30860000000001</v>
      </c>
      <c r="K3636">
        <v>1.121823</v>
      </c>
      <c r="L3636">
        <v>232.82390000000001</v>
      </c>
      <c r="M3636">
        <v>3.1574980000000002E-2</v>
      </c>
      <c r="N3636">
        <v>-1.183713E-2</v>
      </c>
      <c r="O3636">
        <v>-0.99943150000000003</v>
      </c>
      <c r="P3636">
        <v>0.12157</v>
      </c>
      <c r="Q3636">
        <v>-8.3938189999999996E-2</v>
      </c>
      <c r="R3636">
        <v>-0.9890274</v>
      </c>
      <c r="S3636">
        <v>0.4701843</v>
      </c>
      <c r="T3636">
        <v>-0.31400060000000002</v>
      </c>
      <c r="U3636">
        <v>-2.948807</v>
      </c>
      <c r="V3636">
        <v>-9.0138830000000003E-2</v>
      </c>
      <c r="W3636">
        <v>-7.2360499999999994E-2</v>
      </c>
      <c r="X3636">
        <v>0.99329699999999999</v>
      </c>
      <c r="Y3636">
        <v>-0.12542970000000001</v>
      </c>
      <c r="Z3636">
        <v>9.2985609999999996E-2</v>
      </c>
      <c r="AA3636">
        <v>0.98773529999999998</v>
      </c>
      <c r="AB3636">
        <v>17</v>
      </c>
      <c r="AC3636">
        <v>1.6743000000000099</v>
      </c>
      <c r="AD3636">
        <v>-1.121818714897</v>
      </c>
      <c r="AE3636">
        <v>-10.3988</v>
      </c>
      <c r="AF3636">
        <v>-1.3300126369449801</v>
      </c>
      <c r="AG3636">
        <v>-1.121818714897</v>
      </c>
      <c r="AH3636">
        <v>10.329308950127</v>
      </c>
      <c r="AI3636">
        <v>96.1479751747151</v>
      </c>
      <c r="AJ3636">
        <v>97.337094075301394</v>
      </c>
      <c r="AK3636">
        <v>10.4748286014951</v>
      </c>
      <c r="AL3636">
        <v>94.149577907339193</v>
      </c>
      <c r="AM3636">
        <v>95.185223901857199</v>
      </c>
      <c r="AN3636">
        <v>0.999999990421509</v>
      </c>
    </row>
    <row r="3637" spans="1:40" x14ac:dyDescent="0.25">
      <c r="A3637" t="str">
        <f>"20190303154207428"</f>
        <v>20190303154207428</v>
      </c>
      <c r="B3637" t="str">
        <f>"1551598927422873"</f>
        <v>1551598927422873</v>
      </c>
      <c r="C3637" t="s">
        <v>40</v>
      </c>
      <c r="D3637">
        <v>5.6110429999999996</v>
      </c>
      <c r="E3637">
        <v>0.48657129999999998</v>
      </c>
      <c r="F3637" t="s">
        <v>46</v>
      </c>
      <c r="G3637">
        <v>-490.59879999999998</v>
      </c>
      <c r="H3637" s="1">
        <v>4.1968409999999999E-6</v>
      </c>
      <c r="I3637">
        <v>222.1199</v>
      </c>
      <c r="J3637">
        <v>-492.30470000000003</v>
      </c>
      <c r="K3637">
        <v>1.1219059999999901</v>
      </c>
      <c r="L3637">
        <v>232.73009999999999</v>
      </c>
      <c r="M3637">
        <v>3.2456739999999998E-2</v>
      </c>
      <c r="N3637">
        <v>-1.178854E-2</v>
      </c>
      <c r="O3637">
        <v>-0.99940370000000001</v>
      </c>
      <c r="P3637">
        <v>0.12192509999999999</v>
      </c>
      <c r="Q3637">
        <v>-8.3285819999999997E-2</v>
      </c>
      <c r="R3637">
        <v>-0.98903890000000005</v>
      </c>
      <c r="S3637">
        <v>0.47106930000000002</v>
      </c>
      <c r="T3637">
        <v>-0.3090813</v>
      </c>
      <c r="U3637">
        <v>-2.9491420000000002</v>
      </c>
      <c r="V3637">
        <v>-8.9604589999999998E-2</v>
      </c>
      <c r="W3637">
        <v>-7.1771790000000002E-2</v>
      </c>
      <c r="X3637">
        <v>0.9933881</v>
      </c>
      <c r="Y3637">
        <v>-0.1248512</v>
      </c>
      <c r="Z3637">
        <v>9.1395260000000006E-2</v>
      </c>
      <c r="AA3637">
        <v>0.98795699999999997</v>
      </c>
      <c r="AB3637">
        <v>17</v>
      </c>
      <c r="AC3637">
        <v>1.7059000000000399</v>
      </c>
      <c r="AD3637">
        <v>-1.12190180315899</v>
      </c>
      <c r="AE3637">
        <v>-10.610199999999899</v>
      </c>
      <c r="AF3637">
        <v>-1.34593561759208</v>
      </c>
      <c r="AG3637">
        <v>-1.12190180315899</v>
      </c>
      <c r="AH3637">
        <v>10.545052519076499</v>
      </c>
      <c r="AI3637">
        <v>96.024417369435199</v>
      </c>
      <c r="AJ3637">
        <v>97.273714893603398</v>
      </c>
      <c r="AK3637">
        <v>10.689636989754</v>
      </c>
      <c r="AL3637">
        <v>94.115759150855993</v>
      </c>
      <c r="AM3637">
        <v>95.154187698105204</v>
      </c>
      <c r="AN3637">
        <v>1.00000004480524</v>
      </c>
    </row>
    <row r="3638" spans="1:40" x14ac:dyDescent="0.25">
      <c r="A3638" t="str">
        <f>"20190303154207441"</f>
        <v>20190303154207441</v>
      </c>
      <c r="B3638" t="str">
        <f>"1551598927433608"</f>
        <v>1551598927433608</v>
      </c>
      <c r="C3638" t="s">
        <v>40</v>
      </c>
      <c r="D3638">
        <v>5.6277879999999998</v>
      </c>
      <c r="E3638">
        <v>0.48670590000000002</v>
      </c>
      <c r="F3638" t="s">
        <v>46</v>
      </c>
      <c r="G3638">
        <v>-490.58339999999998</v>
      </c>
      <c r="H3638" s="1">
        <v>4.141949E-6</v>
      </c>
      <c r="I3638">
        <v>221.93389999999999</v>
      </c>
      <c r="J3638">
        <v>-492.3005</v>
      </c>
      <c r="K3638">
        <v>1.1219939999999999</v>
      </c>
      <c r="L3638">
        <v>232.63339999999999</v>
      </c>
      <c r="M3638">
        <v>3.3427119999999998E-2</v>
      </c>
      <c r="N3638">
        <v>-1.174119E-2</v>
      </c>
      <c r="O3638">
        <v>-0.99937240000000005</v>
      </c>
      <c r="P3638">
        <v>0.1226078</v>
      </c>
      <c r="Q3638">
        <v>-8.2838599999999998E-2</v>
      </c>
      <c r="R3638">
        <v>-0.98899250000000005</v>
      </c>
      <c r="S3638">
        <v>0.47024539999999998</v>
      </c>
      <c r="T3638">
        <v>-0.30649850000000001</v>
      </c>
      <c r="U3638">
        <v>-2.9494929999999999</v>
      </c>
      <c r="V3638">
        <v>-8.9310500000000001E-2</v>
      </c>
      <c r="W3638">
        <v>-7.1389019999999997E-2</v>
      </c>
      <c r="X3638">
        <v>0.99344209999999999</v>
      </c>
      <c r="Y3638">
        <v>-0.123613899999999</v>
      </c>
      <c r="Z3638">
        <v>9.0583120000000003E-2</v>
      </c>
      <c r="AA3638">
        <v>0.98818740000000005</v>
      </c>
      <c r="AB3638">
        <v>17</v>
      </c>
      <c r="AC3638">
        <v>1.7171000000000101</v>
      </c>
      <c r="AD3638">
        <v>-1.1219898580509999</v>
      </c>
      <c r="AE3638">
        <v>-10.6995</v>
      </c>
      <c r="AF3638">
        <v>-1.34405356444027</v>
      </c>
      <c r="AG3638">
        <v>-1.1219898580509999</v>
      </c>
      <c r="AH3638">
        <v>10.636890771476899</v>
      </c>
      <c r="AI3638">
        <v>95.974193908120697</v>
      </c>
      <c r="AJ3638">
        <v>97.201599921144606</v>
      </c>
      <c r="AK3638">
        <v>10.7800179271643</v>
      </c>
      <c r="AL3638">
        <v>94.0937719028407</v>
      </c>
      <c r="AM3638">
        <v>95.137084124547698</v>
      </c>
      <c r="AN3638">
        <v>0.99999998181961003</v>
      </c>
    </row>
    <row r="3639" spans="1:40" x14ac:dyDescent="0.25">
      <c r="A3639" t="str">
        <f>"20190303154207453"</f>
        <v>20190303154207453</v>
      </c>
      <c r="B3639" t="str">
        <f>"1551598927443369"</f>
        <v>1551598927443369</v>
      </c>
      <c r="C3639" t="s">
        <v>40</v>
      </c>
      <c r="D3639">
        <v>5.6435120000000003</v>
      </c>
      <c r="E3639">
        <v>0.48685349999999999</v>
      </c>
      <c r="F3639" t="s">
        <v>46</v>
      </c>
      <c r="G3639">
        <v>-490.56630000000001</v>
      </c>
      <c r="H3639" s="1">
        <v>4.096997E-6</v>
      </c>
      <c r="I3639">
        <v>221.779</v>
      </c>
      <c r="J3639">
        <v>-492.29610000000002</v>
      </c>
      <c r="K3639">
        <v>1.1220840000000001</v>
      </c>
      <c r="L3639">
        <v>232.5376</v>
      </c>
      <c r="M3639">
        <v>3.4478969999999998E-2</v>
      </c>
      <c r="N3639">
        <v>-1.169838E-2</v>
      </c>
      <c r="O3639">
        <v>-0.99933709999999998</v>
      </c>
      <c r="P3639">
        <v>0.1235285</v>
      </c>
      <c r="Q3639">
        <v>-8.2642709999999994E-2</v>
      </c>
      <c r="R3639">
        <v>-0.98889400000000005</v>
      </c>
      <c r="S3639">
        <v>0.47122190000000003</v>
      </c>
      <c r="T3639">
        <v>-0.30487639999999999</v>
      </c>
      <c r="U3639">
        <v>-2.9494630000000002</v>
      </c>
      <c r="V3639">
        <v>-8.9174459999999997E-2</v>
      </c>
      <c r="W3639">
        <v>-7.1254680000000001E-2</v>
      </c>
      <c r="X3639">
        <v>0.99346400000000001</v>
      </c>
      <c r="Y3639">
        <v>-0.12289849999999999</v>
      </c>
      <c r="Z3639">
        <v>9.0088169999999995E-2</v>
      </c>
      <c r="AA3639">
        <v>0.98832180000000003</v>
      </c>
      <c r="AB3639">
        <v>17</v>
      </c>
      <c r="AC3639">
        <v>1.72980000000001</v>
      </c>
      <c r="AD3639">
        <v>-1.122079903003</v>
      </c>
      <c r="AE3639">
        <v>-10.7585999999999</v>
      </c>
      <c r="AF3639">
        <v>-1.34355412711774</v>
      </c>
      <c r="AG3639">
        <v>-1.122079903003</v>
      </c>
      <c r="AH3639">
        <v>10.6984069144195</v>
      </c>
      <c r="AI3639">
        <v>95.941127320417493</v>
      </c>
      <c r="AJ3639">
        <v>97.157988367015903</v>
      </c>
      <c r="AK3639">
        <v>10.840669329322701</v>
      </c>
      <c r="AL3639">
        <v>94.086054993784899</v>
      </c>
      <c r="AM3639">
        <v>95.129188493941697</v>
      </c>
      <c r="AN3639">
        <v>1.0000000165170899</v>
      </c>
    </row>
    <row r="3640" spans="1:40" x14ac:dyDescent="0.25">
      <c r="A3640" t="str">
        <f>"20190303154207465"</f>
        <v>20190303154207465</v>
      </c>
      <c r="B3640" t="str">
        <f>"1551598927462889"</f>
        <v>1551598927462889</v>
      </c>
      <c r="C3640" t="s">
        <v>40</v>
      </c>
      <c r="D3640">
        <v>5.6152730000000002</v>
      </c>
      <c r="E3640">
        <v>0.48685230000000002</v>
      </c>
      <c r="F3640" t="s">
        <v>46</v>
      </c>
      <c r="G3640">
        <v>-490.54989999999998</v>
      </c>
      <c r="H3640" s="1">
        <v>4.0575149999999999E-6</v>
      </c>
      <c r="I3640">
        <v>221.6421</v>
      </c>
      <c r="J3640">
        <v>-492.29160000000002</v>
      </c>
      <c r="K3640">
        <v>1.1221749999999999</v>
      </c>
      <c r="L3640">
        <v>232.4434</v>
      </c>
      <c r="M3640">
        <v>3.5638580000000003E-2</v>
      </c>
      <c r="N3640">
        <v>-1.166175E-2</v>
      </c>
      <c r="O3640">
        <v>-0.99929679999999999</v>
      </c>
      <c r="P3640">
        <v>0.12494130000000001</v>
      </c>
      <c r="Q3640">
        <v>-8.2977850000000006E-2</v>
      </c>
      <c r="R3640">
        <v>-0.98868809999999996</v>
      </c>
      <c r="S3640">
        <v>0.47268680000000002</v>
      </c>
      <c r="T3640">
        <v>-0.30373070000000002</v>
      </c>
      <c r="U3640">
        <v>-2.949249</v>
      </c>
      <c r="V3640">
        <v>-8.9424909999999996E-2</v>
      </c>
      <c r="W3640">
        <v>-7.1647290000000002E-2</v>
      </c>
      <c r="X3640">
        <v>0.9934132</v>
      </c>
      <c r="Y3640">
        <v>-0.12224260000000001</v>
      </c>
      <c r="Z3640">
        <v>8.9748289999999994E-2</v>
      </c>
      <c r="AA3640">
        <v>0.98843409999999998</v>
      </c>
      <c r="AB3640">
        <v>17</v>
      </c>
      <c r="AC3640">
        <v>1.74170000000003</v>
      </c>
      <c r="AD3640">
        <v>-1.1221709424849999</v>
      </c>
      <c r="AE3640">
        <v>-10.8012999999999</v>
      </c>
      <c r="AF3640">
        <v>-1.3415115132998201</v>
      </c>
      <c r="AG3640">
        <v>-1.1221709424849999</v>
      </c>
      <c r="AH3640">
        <v>10.743491270083799</v>
      </c>
      <c r="AI3640">
        <v>95.917369063908296</v>
      </c>
      <c r="AJ3640">
        <v>97.117534069797799</v>
      </c>
      <c r="AK3640">
        <v>10.8849219305809</v>
      </c>
      <c r="AL3640">
        <v>94.108607733816797</v>
      </c>
      <c r="AM3640">
        <v>95.143778471912199</v>
      </c>
      <c r="AN3640">
        <v>0.99999996731354501</v>
      </c>
    </row>
    <row r="3641" spans="1:40" x14ac:dyDescent="0.25">
      <c r="A3641" t="str">
        <f>"20190303154207483"</f>
        <v>20190303154207483</v>
      </c>
      <c r="B3641" t="str">
        <f>"1551598927473625"</f>
        <v>1551598927473625</v>
      </c>
      <c r="C3641" t="s">
        <v>40</v>
      </c>
      <c r="D3641">
        <v>5.6345769999999904</v>
      </c>
      <c r="E3641">
        <v>0.48685230000000002</v>
      </c>
      <c r="F3641" t="s">
        <v>46</v>
      </c>
      <c r="G3641">
        <v>-490.541</v>
      </c>
      <c r="H3641" s="1">
        <v>4.0511930000000003E-6</v>
      </c>
      <c r="I3641">
        <v>221.61670000000001</v>
      </c>
      <c r="J3641">
        <v>-492.28500000000003</v>
      </c>
      <c r="K3641">
        <v>1.122298</v>
      </c>
      <c r="L3641">
        <v>232.3134</v>
      </c>
      <c r="M3641">
        <v>3.737103E-2</v>
      </c>
      <c r="N3641">
        <v>-1.161645E-2</v>
      </c>
      <c r="O3641">
        <v>-0.99923419999999996</v>
      </c>
      <c r="P3641">
        <v>0.12754269999999901</v>
      </c>
      <c r="Q3641">
        <v>-8.3742380000000005E-2</v>
      </c>
      <c r="R3641">
        <v>-0.9882917</v>
      </c>
      <c r="S3641">
        <v>0.4767151</v>
      </c>
      <c r="T3641">
        <v>-0.30559789999999998</v>
      </c>
      <c r="U3641">
        <v>-2.9484249999999999</v>
      </c>
      <c r="V3641">
        <v>-9.0293330000000005E-2</v>
      </c>
      <c r="W3641">
        <v>-7.2489100000000001E-2</v>
      </c>
      <c r="X3641">
        <v>0.99327359999999998</v>
      </c>
      <c r="Y3641">
        <v>-0.12187190000000001</v>
      </c>
      <c r="Z3641">
        <v>9.0421879999999996E-2</v>
      </c>
      <c r="AA3641">
        <v>0.98841849999999998</v>
      </c>
      <c r="AB3641">
        <v>17</v>
      </c>
      <c r="AC3641">
        <v>1.74400000000002</v>
      </c>
      <c r="AD3641">
        <v>-1.1222939488070001</v>
      </c>
      <c r="AE3641">
        <v>-10.6966999999999</v>
      </c>
      <c r="AF3641">
        <v>-1.3287596100235699</v>
      </c>
      <c r="AG3641">
        <v>-1.1222939488070001</v>
      </c>
      <c r="AH3641">
        <v>10.640309408887999</v>
      </c>
      <c r="AI3641">
        <v>95.974979360871103</v>
      </c>
      <c r="AJ3641">
        <v>97.118234714072699</v>
      </c>
      <c r="AK3641">
        <v>10.781527263130601</v>
      </c>
      <c r="AL3641">
        <v>94.156965506630797</v>
      </c>
      <c r="AM3641">
        <v>95.194184616816003</v>
      </c>
      <c r="AN3641">
        <v>0.99999999975912901</v>
      </c>
    </row>
    <row r="3642" spans="1:40" x14ac:dyDescent="0.25">
      <c r="A3642" t="str">
        <f>"20190303154207497"</f>
        <v>20190303154207497</v>
      </c>
      <c r="B3642" t="str">
        <f>"1551598927493145"</f>
        <v>1551598927493145</v>
      </c>
      <c r="C3642" t="s">
        <v>40</v>
      </c>
      <c r="D3642">
        <v>5.591043</v>
      </c>
      <c r="E3642">
        <v>0.46938819999999998</v>
      </c>
      <c r="F3642" t="s">
        <v>46</v>
      </c>
      <c r="G3642">
        <v>-490.51799999999997</v>
      </c>
      <c r="H3642" s="1">
        <v>4.04048E-6</v>
      </c>
      <c r="I3642">
        <v>221.56890000000001</v>
      </c>
      <c r="J3642">
        <v>-492.27969999999999</v>
      </c>
      <c r="K3642">
        <v>1.1223970000000001</v>
      </c>
      <c r="L3642">
        <v>232.2115</v>
      </c>
      <c r="M3642">
        <v>3.8837829999999997E-2</v>
      </c>
      <c r="N3642">
        <v>-1.1585059999999999E-2</v>
      </c>
      <c r="O3642">
        <v>-0.99917840000000002</v>
      </c>
      <c r="P3642">
        <v>0.12971540000000001</v>
      </c>
      <c r="Q3642">
        <v>-8.4072789999999994E-2</v>
      </c>
      <c r="R3642">
        <v>-0.98798059999999999</v>
      </c>
      <c r="S3642">
        <v>0.48464970000000002</v>
      </c>
      <c r="T3642">
        <v>-0.30781199999999997</v>
      </c>
      <c r="U3642">
        <v>-2.9469150000000002</v>
      </c>
      <c r="V3642">
        <v>-9.1000230000000001E-2</v>
      </c>
      <c r="W3642">
        <v>-7.2876800000000005E-2</v>
      </c>
      <c r="X3642">
        <v>0.99318070000000003</v>
      </c>
      <c r="Y3642">
        <v>-0.1230745</v>
      </c>
      <c r="Z3642">
        <v>9.1199950000000002E-2</v>
      </c>
      <c r="AA3642">
        <v>0.98819800000000002</v>
      </c>
      <c r="AB3642">
        <v>17</v>
      </c>
      <c r="AC3642">
        <v>1.7616999999999601</v>
      </c>
      <c r="AD3642">
        <v>-1.12239295952</v>
      </c>
      <c r="AE3642">
        <v>-10.6425999999999</v>
      </c>
      <c r="AF3642">
        <v>-1.3325813780468201</v>
      </c>
      <c r="AG3642">
        <v>-1.12239295952</v>
      </c>
      <c r="AH3642">
        <v>10.588368492676899</v>
      </c>
      <c r="AI3642">
        <v>96.003885474164804</v>
      </c>
      <c r="AJ3642">
        <v>97.173151003487007</v>
      </c>
      <c r="AK3642">
        <v>10.730754233576</v>
      </c>
      <c r="AL3642">
        <v>94.179238045218099</v>
      </c>
      <c r="AM3642">
        <v>95.235111393463896</v>
      </c>
      <c r="AN3642">
        <v>0.999999986345391</v>
      </c>
    </row>
    <row r="3643" spans="1:40" x14ac:dyDescent="0.25">
      <c r="A3643" t="str">
        <f>"20190303154207516"</f>
        <v>20190303154207516</v>
      </c>
      <c r="B3643" t="str">
        <f>"1551598927502905"</f>
        <v>1551598927502905</v>
      </c>
      <c r="C3643" t="s">
        <v>40</v>
      </c>
      <c r="D3643">
        <v>5.5796060000000001</v>
      </c>
      <c r="E3643">
        <v>0.46935179999999999</v>
      </c>
      <c r="F3643" t="s">
        <v>46</v>
      </c>
      <c r="G3643">
        <v>-490.10199999999998</v>
      </c>
      <c r="H3643" s="1">
        <v>4.2706019999999999E-6</v>
      </c>
      <c r="I3643">
        <v>222.0735</v>
      </c>
      <c r="J3643">
        <v>-492.27120000000002</v>
      </c>
      <c r="K3643">
        <v>1.1225419999999999</v>
      </c>
      <c r="L3643">
        <v>232.06229999999999</v>
      </c>
      <c r="M3643">
        <v>4.1213229999999997E-2</v>
      </c>
      <c r="N3643">
        <v>-1.154722E-2</v>
      </c>
      <c r="O3643">
        <v>-0.99908370000000002</v>
      </c>
      <c r="P3643">
        <v>0.1337391</v>
      </c>
      <c r="Q3643">
        <v>-8.4439059999999996E-2</v>
      </c>
      <c r="R3643">
        <v>-0.98741290000000004</v>
      </c>
      <c r="S3643">
        <v>0.62860109999999902</v>
      </c>
      <c r="T3643">
        <v>-0.32398650000000001</v>
      </c>
      <c r="U3643">
        <v>-2.9264070000000002</v>
      </c>
      <c r="V3643">
        <v>-9.265748E-2</v>
      </c>
      <c r="W3643">
        <v>-7.3321280000000003E-2</v>
      </c>
      <c r="X3643">
        <v>0.99299470000000001</v>
      </c>
      <c r="Y3643">
        <v>-0.16844319999999999</v>
      </c>
      <c r="Z3643">
        <v>9.6463240000000006E-2</v>
      </c>
      <c r="AA3643">
        <v>0.98097999999999996</v>
      </c>
      <c r="AB3643">
        <v>17</v>
      </c>
      <c r="AC3643">
        <v>2.16920000000004</v>
      </c>
      <c r="AD3643">
        <v>-1.1225377293979999</v>
      </c>
      <c r="AE3643">
        <v>-9.9887999999999906</v>
      </c>
      <c r="AF3643">
        <v>-1.73473695886788</v>
      </c>
      <c r="AG3643">
        <v>-1.1225377293979999</v>
      </c>
      <c r="AH3643">
        <v>9.94972006001381</v>
      </c>
      <c r="AI3643">
        <v>96.342075618848696</v>
      </c>
      <c r="AJ3643">
        <v>99.890124173689301</v>
      </c>
      <c r="AK3643">
        <v>10.162004356573799</v>
      </c>
      <c r="AL3643">
        <v>94.204773356364498</v>
      </c>
      <c r="AM3643">
        <v>95.330898992676595</v>
      </c>
      <c r="AN3643">
        <v>0.99999994646443702</v>
      </c>
    </row>
    <row r="3644" spans="1:40" x14ac:dyDescent="0.25">
      <c r="A3644" t="str">
        <f>"20190303154207529"</f>
        <v>20190303154207529</v>
      </c>
      <c r="B3644" t="str">
        <f>"1551598927523401"</f>
        <v>1551598927523401</v>
      </c>
      <c r="C3644" t="s">
        <v>40</v>
      </c>
      <c r="D3644">
        <v>5.579332</v>
      </c>
      <c r="E3644">
        <v>0.4688985</v>
      </c>
      <c r="F3644" t="s">
        <v>46</v>
      </c>
      <c r="G3644">
        <v>-490.03829999999999</v>
      </c>
      <c r="H3644" s="1">
        <v>4.2207659999999998E-6</v>
      </c>
      <c r="I3644">
        <v>221.87620000000001</v>
      </c>
      <c r="J3644">
        <v>-492.26499999999999</v>
      </c>
      <c r="K3644">
        <v>1.1226309999999999</v>
      </c>
      <c r="L3644">
        <v>231.96109999999999</v>
      </c>
      <c r="M3644">
        <v>4.2969489999999999E-2</v>
      </c>
      <c r="N3644">
        <v>-1.1526079999999999E-2</v>
      </c>
      <c r="O3644">
        <v>-0.99901010000000001</v>
      </c>
      <c r="P3644">
        <v>0.13630690000000001</v>
      </c>
      <c r="Q3644">
        <v>-8.4372420000000004E-2</v>
      </c>
      <c r="R3644">
        <v>-0.98706749999999999</v>
      </c>
      <c r="S3644">
        <v>0.64093020000000001</v>
      </c>
      <c r="T3644">
        <v>-0.32221539999999999</v>
      </c>
      <c r="U3644">
        <v>-2.9238430000000002</v>
      </c>
      <c r="V3644">
        <v>-9.3477690000000002E-2</v>
      </c>
      <c r="W3644">
        <v>-7.3300470000000006E-2</v>
      </c>
      <c r="X3644">
        <v>0.99291940000000001</v>
      </c>
      <c r="Y3644">
        <v>-0.17084769999999999</v>
      </c>
      <c r="Z3644">
        <v>9.5913499999999999E-2</v>
      </c>
      <c r="AA3644">
        <v>0.98061799999999999</v>
      </c>
      <c r="AB3644">
        <v>17</v>
      </c>
      <c r="AC3644">
        <v>2.2266999999999899</v>
      </c>
      <c r="AD3644">
        <v>-1.1226267792339999</v>
      </c>
      <c r="AE3644">
        <v>-10.0848999999999</v>
      </c>
      <c r="AF3644">
        <v>-1.77035363402349</v>
      </c>
      <c r="AG3644">
        <v>-1.1226267792339999</v>
      </c>
      <c r="AH3644">
        <v>10.0524945579673</v>
      </c>
      <c r="AI3644">
        <v>96.276386121253793</v>
      </c>
      <c r="AJ3644">
        <v>99.987991091455598</v>
      </c>
      <c r="AK3644">
        <v>10.268743336597501</v>
      </c>
      <c r="AL3644">
        <v>94.203577646911995</v>
      </c>
      <c r="AM3644">
        <v>95.378218437939793</v>
      </c>
      <c r="AN3644">
        <v>0.99999998616315799</v>
      </c>
    </row>
    <row r="3645" spans="1:40" x14ac:dyDescent="0.25">
      <c r="A3645" t="str">
        <f>"20190303154207541"</f>
        <v>20190303154207541</v>
      </c>
      <c r="B3645" t="str">
        <f>"1551598927533211"</f>
        <v>1551598927533211</v>
      </c>
      <c r="C3645" t="s">
        <v>40</v>
      </c>
      <c r="D3645">
        <v>5.5959070000000004</v>
      </c>
      <c r="E3645">
        <v>0.4687578</v>
      </c>
      <c r="F3645" t="s">
        <v>46</v>
      </c>
      <c r="G3645">
        <v>-490.02510000000001</v>
      </c>
      <c r="H3645" s="1">
        <v>4.2392279999999999E-6</v>
      </c>
      <c r="I3645">
        <v>221.9282</v>
      </c>
      <c r="J3645">
        <v>-492.25889999999998</v>
      </c>
      <c r="K3645">
        <v>1.1227100000000001</v>
      </c>
      <c r="L3645">
        <v>231.86500000000001</v>
      </c>
      <c r="M3645">
        <v>4.4705219999999997E-2</v>
      </c>
      <c r="N3645">
        <v>-1.150763E-2</v>
      </c>
      <c r="O3645">
        <v>-0.99893399999999999</v>
      </c>
      <c r="P3645">
        <v>0.1386356</v>
      </c>
      <c r="Q3645">
        <v>-8.4537719999999997E-2</v>
      </c>
      <c r="R3645">
        <v>-0.98672879999999996</v>
      </c>
      <c r="S3645">
        <v>0.65219119999999997</v>
      </c>
      <c r="T3645">
        <v>-0.32687769999999999</v>
      </c>
      <c r="U3645">
        <v>-2.9212950000000002</v>
      </c>
      <c r="V3645">
        <v>-9.4079899999999994E-2</v>
      </c>
      <c r="W3645">
        <v>-7.3505860000000006E-2</v>
      </c>
      <c r="X3645">
        <v>0.99284729999999999</v>
      </c>
      <c r="Y3645">
        <v>-0.17288220000000001</v>
      </c>
      <c r="Z3645">
        <v>9.7486649999999994E-2</v>
      </c>
      <c r="AA3645">
        <v>0.98010620000000004</v>
      </c>
      <c r="AB3645">
        <v>17</v>
      </c>
      <c r="AC3645">
        <v>2.2337999999999698</v>
      </c>
      <c r="AD3645">
        <v>-1.1227057607719999</v>
      </c>
      <c r="AE3645">
        <v>-9.9367999999999999</v>
      </c>
      <c r="AF3645">
        <v>-1.7658525103140801</v>
      </c>
      <c r="AG3645">
        <v>-1.1227057607719999</v>
      </c>
      <c r="AH3645">
        <v>9.9063566141677502</v>
      </c>
      <c r="AI3645">
        <v>96.366338559062299</v>
      </c>
      <c r="AJ3645">
        <v>100.10707241129199</v>
      </c>
      <c r="AK3645">
        <v>10.124949613727299</v>
      </c>
      <c r="AL3645">
        <v>94.215377611414098</v>
      </c>
      <c r="AM3645">
        <v>95.413052067572096</v>
      </c>
      <c r="AN3645">
        <v>0.99999995007781795</v>
      </c>
    </row>
    <row r="3646" spans="1:40" x14ac:dyDescent="0.25">
      <c r="A3646" t="str">
        <f>"20190303154207554"</f>
        <v>20190303154207554</v>
      </c>
      <c r="B3646" t="str">
        <f>"1551598927542972"</f>
        <v>1551598927542972</v>
      </c>
      <c r="C3646" t="s">
        <v>40</v>
      </c>
      <c r="D3646">
        <v>5.5758479999999997</v>
      </c>
      <c r="E3646">
        <v>0.46846579999999899</v>
      </c>
      <c r="F3646" t="s">
        <v>46</v>
      </c>
      <c r="G3646">
        <v>-490.01499999999999</v>
      </c>
      <c r="H3646" s="1">
        <v>4.2434470000000001E-6</v>
      </c>
      <c r="I3646">
        <v>221.93610000000001</v>
      </c>
      <c r="J3646">
        <v>-492.25279999999998</v>
      </c>
      <c r="K3646">
        <v>1.1227830000000001</v>
      </c>
      <c r="L3646">
        <v>231.77180000000001</v>
      </c>
      <c r="M3646">
        <v>4.6448139999999999E-2</v>
      </c>
      <c r="N3646">
        <v>-1.14912E-2</v>
      </c>
      <c r="O3646">
        <v>-0.99885480000000004</v>
      </c>
      <c r="P3646">
        <v>0.14148060000000001</v>
      </c>
      <c r="Q3646">
        <v>-8.4584270000000003E-2</v>
      </c>
      <c r="R3646">
        <v>-0.986321</v>
      </c>
      <c r="S3646">
        <v>0.65975950000000005</v>
      </c>
      <c r="T3646">
        <v>-0.3301058</v>
      </c>
      <c r="U3646">
        <v>-2.9193730000000002</v>
      </c>
      <c r="V3646">
        <v>-9.5196050000000004E-2</v>
      </c>
      <c r="W3646">
        <v>-7.3591530000000002E-2</v>
      </c>
      <c r="X3646">
        <v>0.99273460000000002</v>
      </c>
      <c r="Y3646">
        <v>-0.1736946</v>
      </c>
      <c r="Z3646">
        <v>9.858749E-2</v>
      </c>
      <c r="AA3646">
        <v>0.97985239999999996</v>
      </c>
      <c r="AB3646">
        <v>17</v>
      </c>
      <c r="AC3646">
        <v>2.2377999999999898</v>
      </c>
      <c r="AD3646">
        <v>-1.1227787565530001</v>
      </c>
      <c r="AE3646">
        <v>-9.8356999999999992</v>
      </c>
      <c r="AF3646">
        <v>-1.75673898725594</v>
      </c>
      <c r="AG3646">
        <v>-1.1227787565530001</v>
      </c>
      <c r="AH3646">
        <v>9.8075196332805703</v>
      </c>
      <c r="AI3646">
        <v>96.429418923697497</v>
      </c>
      <c r="AJ3646">
        <v>100.155219268389</v>
      </c>
      <c r="AK3646">
        <v>10.0266746911773</v>
      </c>
      <c r="AL3646">
        <v>94.220299287187501</v>
      </c>
      <c r="AM3646">
        <v>95.477501478365099</v>
      </c>
      <c r="AN3646">
        <v>0.99999999363025105</v>
      </c>
    </row>
    <row r="3647" spans="1:40" x14ac:dyDescent="0.25">
      <c r="A3647" t="str">
        <f>"20190303154207568"</f>
        <v>20190303154207568</v>
      </c>
      <c r="B3647" t="str">
        <f>"1551598927563466"</f>
        <v>1551598927563466</v>
      </c>
      <c r="C3647" t="s">
        <v>40</v>
      </c>
      <c r="D3647">
        <v>5.597944</v>
      </c>
      <c r="E3647">
        <v>0.46848610000000002</v>
      </c>
      <c r="F3647" t="s">
        <v>46</v>
      </c>
      <c r="G3647">
        <v>-489.98950000000002</v>
      </c>
      <c r="H3647" s="1">
        <v>4.2450309999999998E-6</v>
      </c>
      <c r="I3647">
        <v>221.9265</v>
      </c>
      <c r="J3647">
        <v>-492.24619999999999</v>
      </c>
      <c r="K3647">
        <v>1.122849</v>
      </c>
      <c r="L3647">
        <v>231.6756</v>
      </c>
      <c r="M3647">
        <v>4.8376460000000003E-2</v>
      </c>
      <c r="N3647">
        <v>-1.147725E-2</v>
      </c>
      <c r="O3647">
        <v>-0.99876330000000002</v>
      </c>
      <c r="P3647">
        <v>0.14449279999999901</v>
      </c>
      <c r="Q3647">
        <v>-8.4794949999999994E-2</v>
      </c>
      <c r="R3647">
        <v>-0.98586609999999997</v>
      </c>
      <c r="S3647">
        <v>0.67056269999999996</v>
      </c>
      <c r="T3647">
        <v>-0.33264850000000001</v>
      </c>
      <c r="U3647">
        <v>-2.9168699999999999</v>
      </c>
      <c r="V3647">
        <v>-9.6298610000000007E-2</v>
      </c>
      <c r="W3647">
        <v>-7.3839080000000001E-2</v>
      </c>
      <c r="X3647">
        <v>0.99260990000000004</v>
      </c>
      <c r="Y3647">
        <v>-0.17540259999999999</v>
      </c>
      <c r="Z3647">
        <v>9.9457229999999994E-2</v>
      </c>
      <c r="AA3647">
        <v>0.9794602</v>
      </c>
      <c r="AB3647">
        <v>17</v>
      </c>
      <c r="AC3647">
        <v>2.25669999999996</v>
      </c>
      <c r="AD3647">
        <v>-1.1228447549689999</v>
      </c>
      <c r="AE3647">
        <v>-9.7491000000000003</v>
      </c>
      <c r="AF3647">
        <v>-1.76023724869614</v>
      </c>
      <c r="AG3647">
        <v>-1.1228447549689999</v>
      </c>
      <c r="AH3647">
        <v>9.7244271945815299</v>
      </c>
      <c r="AI3647">
        <v>96.482149237818305</v>
      </c>
      <c r="AJ3647">
        <v>100.260123049401</v>
      </c>
      <c r="AK3647">
        <v>9.9460394015997995</v>
      </c>
      <c r="AL3647">
        <v>94.234521427933004</v>
      </c>
      <c r="AM3647">
        <v>95.541241068630598</v>
      </c>
      <c r="AN3647">
        <v>1.0000000228005901</v>
      </c>
    </row>
    <row r="3648" spans="1:40" x14ac:dyDescent="0.25">
      <c r="A3648" t="str">
        <f>"20190303154207585"</f>
        <v>20190303154207585</v>
      </c>
      <c r="B3648" t="str">
        <f>"1551598927573227"</f>
        <v>1551598927573227</v>
      </c>
      <c r="C3648" t="s">
        <v>40</v>
      </c>
      <c r="D3648">
        <v>5.546284</v>
      </c>
      <c r="E3648">
        <v>0.46846739999999998</v>
      </c>
      <c r="F3648" t="s">
        <v>46</v>
      </c>
      <c r="G3648">
        <v>-489.96969999999999</v>
      </c>
      <c r="H3648" s="1">
        <v>4.2446260000000003E-6</v>
      </c>
      <c r="I3648">
        <v>221.91390000000001</v>
      </c>
      <c r="J3648">
        <v>-492.23649999999998</v>
      </c>
      <c r="K3648">
        <v>1.122933</v>
      </c>
      <c r="L3648">
        <v>231.541</v>
      </c>
      <c r="M3648">
        <v>5.1204970000000002E-2</v>
      </c>
      <c r="N3648">
        <v>-1.146047E-2</v>
      </c>
      <c r="O3648">
        <v>-0.99862240000000002</v>
      </c>
      <c r="P3648">
        <v>0.149242299999999</v>
      </c>
      <c r="Q3648">
        <v>-8.6318119999999998E-2</v>
      </c>
      <c r="R3648">
        <v>-0.98502599999999996</v>
      </c>
      <c r="S3648">
        <v>0.6796875</v>
      </c>
      <c r="T3648">
        <v>-0.3352485</v>
      </c>
      <c r="U3648">
        <v>-2.9145660000000002</v>
      </c>
      <c r="V3648">
        <v>-9.8250089999999998E-2</v>
      </c>
      <c r="W3648">
        <v>-7.5415449999999995E-2</v>
      </c>
      <c r="X3648">
        <v>0.99230010000000002</v>
      </c>
      <c r="Y3648">
        <v>-0.17567289999999999</v>
      </c>
      <c r="Z3648">
        <v>0.10035479999999999</v>
      </c>
      <c r="AA3648">
        <v>0.97932019999999997</v>
      </c>
      <c r="AB3648">
        <v>17</v>
      </c>
      <c r="AC3648">
        <v>2.2667999999999799</v>
      </c>
      <c r="AD3648">
        <v>-1.1229287553739999</v>
      </c>
      <c r="AE3648">
        <v>-9.6270999999999791</v>
      </c>
      <c r="AF3648">
        <v>-1.7483012269343301</v>
      </c>
      <c r="AG3648">
        <v>-1.1229287553739999</v>
      </c>
      <c r="AH3648">
        <v>9.6067102207519408</v>
      </c>
      <c r="AI3648">
        <v>96.560262325997897</v>
      </c>
      <c r="AJ3648">
        <v>100.31423725942101</v>
      </c>
      <c r="AK3648">
        <v>9.8288558558585901</v>
      </c>
      <c r="AL3648">
        <v>94.325093314886303</v>
      </c>
      <c r="AM3648">
        <v>95.654566936917107</v>
      </c>
      <c r="AN3648">
        <v>1.0000000293718501</v>
      </c>
    </row>
    <row r="3649" spans="1:40" x14ac:dyDescent="0.25">
      <c r="A3649" t="str">
        <f>"20190303154207601"</f>
        <v>20190303154207601</v>
      </c>
      <c r="B3649" t="str">
        <f>"1551598927592747"</f>
        <v>1551598927592747</v>
      </c>
      <c r="C3649" t="s">
        <v>40</v>
      </c>
      <c r="D3649">
        <v>5.5752119999999996</v>
      </c>
      <c r="E3649">
        <v>0.4684083</v>
      </c>
      <c r="F3649" t="s">
        <v>46</v>
      </c>
      <c r="G3649">
        <v>-489.95269999999999</v>
      </c>
      <c r="H3649" s="1">
        <v>4.2587600000000004E-6</v>
      </c>
      <c r="I3649">
        <v>221.9563</v>
      </c>
      <c r="J3649">
        <v>-492.22739999999999</v>
      </c>
      <c r="K3649">
        <v>1.123014</v>
      </c>
      <c r="L3649">
        <v>231.4228</v>
      </c>
      <c r="M3649">
        <v>5.3826789999999999E-2</v>
      </c>
      <c r="N3649">
        <v>-1.1448959999999999E-2</v>
      </c>
      <c r="O3649">
        <v>-0.99848479999999995</v>
      </c>
      <c r="P3649">
        <v>0.15270110000000001</v>
      </c>
      <c r="Q3649">
        <v>-8.7096759999999995E-2</v>
      </c>
      <c r="R3649">
        <v>-0.98442739999999995</v>
      </c>
      <c r="S3649">
        <v>0.69351200000000002</v>
      </c>
      <c r="T3649">
        <v>-0.341007</v>
      </c>
      <c r="U3649">
        <v>-2.9106290000000001</v>
      </c>
      <c r="V3649">
        <v>-9.9112599999999995E-2</v>
      </c>
      <c r="W3649">
        <v>-7.6232659999999994E-2</v>
      </c>
      <c r="X3649">
        <v>0.99215189999999998</v>
      </c>
      <c r="Y3649">
        <v>-0.17773800000000001</v>
      </c>
      <c r="Z3649">
        <v>0.1023095</v>
      </c>
      <c r="AA3649">
        <v>0.97874510000000003</v>
      </c>
      <c r="AB3649">
        <v>17</v>
      </c>
      <c r="AC3649">
        <v>2.27469999999999</v>
      </c>
      <c r="AD3649">
        <v>-1.12300974124</v>
      </c>
      <c r="AE3649">
        <v>-9.4664999999999893</v>
      </c>
      <c r="AF3649">
        <v>-1.7386843601781801</v>
      </c>
      <c r="AG3649">
        <v>-1.12300974124</v>
      </c>
      <c r="AH3649">
        <v>9.4494982478888403</v>
      </c>
      <c r="AI3649">
        <v>96.666555760091498</v>
      </c>
      <c r="AJ3649">
        <v>100.425671773544</v>
      </c>
      <c r="AK3649">
        <v>9.6735304475719897</v>
      </c>
      <c r="AL3649">
        <v>94.372051049413997</v>
      </c>
      <c r="AM3649">
        <v>95.704727265731904</v>
      </c>
      <c r="AN3649">
        <v>1.0000000593015199</v>
      </c>
    </row>
    <row r="3650" spans="1:40" x14ac:dyDescent="0.25">
      <c r="A3650" t="str">
        <f>"20190303154207618"</f>
        <v>20190303154207618</v>
      </c>
      <c r="B3650" t="str">
        <f>"1551598927613243"</f>
        <v>1551598927613243</v>
      </c>
      <c r="C3650" t="s">
        <v>40</v>
      </c>
      <c r="D3650">
        <v>5.6140400000000001</v>
      </c>
      <c r="E3650">
        <v>0.46841529999999998</v>
      </c>
      <c r="F3650" t="s">
        <v>46</v>
      </c>
      <c r="G3650">
        <v>-489.93360000000001</v>
      </c>
      <c r="H3650" s="1">
        <v>4.2504760000000004E-6</v>
      </c>
      <c r="I3650">
        <v>221.94329999999999</v>
      </c>
      <c r="J3650">
        <v>-492.2174</v>
      </c>
      <c r="K3650">
        <v>1.123094</v>
      </c>
      <c r="L3650">
        <v>231.29740000000001</v>
      </c>
      <c r="M3650">
        <v>5.674295E-2</v>
      </c>
      <c r="N3650">
        <v>-1.1439960000000001E-2</v>
      </c>
      <c r="O3650">
        <v>-0.99832330000000002</v>
      </c>
      <c r="P3650">
        <v>0.15711449999999999</v>
      </c>
      <c r="Q3650">
        <v>-8.8500480000000006E-2</v>
      </c>
      <c r="R3650">
        <v>-0.98360720000000001</v>
      </c>
      <c r="S3650">
        <v>0.70364380000000004</v>
      </c>
      <c r="T3650">
        <v>-0.34448459999999997</v>
      </c>
      <c r="U3650">
        <v>-2.9078369999999998</v>
      </c>
      <c r="V3650">
        <v>-0.1006459</v>
      </c>
      <c r="W3650">
        <v>-7.7678650000000002E-2</v>
      </c>
      <c r="X3650">
        <v>0.99188529999999997</v>
      </c>
      <c r="Y3650">
        <v>-0.17827009999999999</v>
      </c>
      <c r="Z3650">
        <v>0.1034952</v>
      </c>
      <c r="AA3650">
        <v>0.9785237</v>
      </c>
      <c r="AB3650">
        <v>17</v>
      </c>
      <c r="AC3650">
        <v>2.2837999999999798</v>
      </c>
      <c r="AD3650">
        <v>-1.123089749524</v>
      </c>
      <c r="AE3650">
        <v>-9.3541000000000096</v>
      </c>
      <c r="AF3650">
        <v>-1.7258271202367299</v>
      </c>
      <c r="AG3650">
        <v>-1.123089749524</v>
      </c>
      <c r="AH3650">
        <v>9.3415389304679604</v>
      </c>
      <c r="AI3650">
        <v>96.742477535518901</v>
      </c>
      <c r="AJ3650">
        <v>100.467235942546</v>
      </c>
      <c r="AK3650">
        <v>9.5657806489527601</v>
      </c>
      <c r="AL3650">
        <v>94.455146818632898</v>
      </c>
      <c r="AM3650">
        <v>95.793931727718103</v>
      </c>
      <c r="AN3650">
        <v>1.0000000091043599</v>
      </c>
    </row>
    <row r="3651" spans="1:40" x14ac:dyDescent="0.25">
      <c r="A3651" t="str">
        <f>"20190303154207630"</f>
        <v>20190303154207630</v>
      </c>
      <c r="B3651" t="str">
        <f>"1551598927623003"</f>
        <v>1551598927623003</v>
      </c>
      <c r="C3651" t="s">
        <v>40</v>
      </c>
      <c r="D3651">
        <v>5.5906310000000001</v>
      </c>
      <c r="E3651">
        <v>0.46603250000000002</v>
      </c>
      <c r="F3651" t="s">
        <v>46</v>
      </c>
      <c r="G3651">
        <v>-489.90719999999999</v>
      </c>
      <c r="H3651" s="1">
        <v>4.243188E-6</v>
      </c>
      <c r="I3651">
        <v>221.93870000000001</v>
      </c>
      <c r="J3651">
        <v>-492.20890000000003</v>
      </c>
      <c r="K3651">
        <v>1.1231610000000001</v>
      </c>
      <c r="L3651">
        <v>231.1969</v>
      </c>
      <c r="M3651">
        <v>5.9190119999999999E-2</v>
      </c>
      <c r="N3651">
        <v>-1.143536E-2</v>
      </c>
      <c r="O3651">
        <v>-0.9981814</v>
      </c>
      <c r="P3651">
        <v>0.1599479</v>
      </c>
      <c r="Q3651">
        <v>-8.9192380000000002E-2</v>
      </c>
      <c r="R3651">
        <v>-0.98308799999999996</v>
      </c>
      <c r="S3651">
        <v>0.71688839999999998</v>
      </c>
      <c r="T3651">
        <v>-0.34850500000000001</v>
      </c>
      <c r="U3651">
        <v>-2.904099</v>
      </c>
      <c r="V3651">
        <v>-0.1010583</v>
      </c>
      <c r="W3651">
        <v>-7.8395670000000001E-2</v>
      </c>
      <c r="X3651">
        <v>0.99178699999999997</v>
      </c>
      <c r="Y3651">
        <v>-0.1803198</v>
      </c>
      <c r="Z3651">
        <v>0.1048632</v>
      </c>
      <c r="AA3651">
        <v>0.97800229999999999</v>
      </c>
      <c r="AB3651">
        <v>17</v>
      </c>
      <c r="AC3651">
        <v>2.3017000000000301</v>
      </c>
      <c r="AD3651">
        <v>-1.123156756812</v>
      </c>
      <c r="AE3651">
        <v>-9.2581999999999791</v>
      </c>
      <c r="AF3651">
        <v>-1.72571483620127</v>
      </c>
      <c r="AG3651">
        <v>-1.123156756812</v>
      </c>
      <c r="AH3651">
        <v>9.2500020519895898</v>
      </c>
      <c r="AI3651">
        <v>96.806781234412199</v>
      </c>
      <c r="AJ3651">
        <v>100.56782376932</v>
      </c>
      <c r="AK3651">
        <v>9.4763975622632692</v>
      </c>
      <c r="AL3651">
        <v>94.496354487657499</v>
      </c>
      <c r="AM3651">
        <v>95.818082698862099</v>
      </c>
      <c r="AN3651">
        <v>1.0000000572213099</v>
      </c>
    </row>
    <row r="3652" spans="1:40" x14ac:dyDescent="0.25">
      <c r="A3652" t="str">
        <f>"20190303154207644"</f>
        <v>20190303154207644</v>
      </c>
      <c r="B3652" t="str">
        <f>"1551598927632764"</f>
        <v>1551598927632764</v>
      </c>
      <c r="C3652" t="s">
        <v>40</v>
      </c>
      <c r="D3652">
        <v>5.7050190000000001</v>
      </c>
      <c r="E3652">
        <v>0.46509509999999998</v>
      </c>
      <c r="F3652" t="s">
        <v>46</v>
      </c>
      <c r="G3652">
        <v>-490.07990000000001</v>
      </c>
      <c r="H3652" s="1">
        <v>4.5281269999999996E-6</v>
      </c>
      <c r="I3652">
        <v>222.8922</v>
      </c>
      <c r="J3652">
        <v>-492.19990000000001</v>
      </c>
      <c r="K3652">
        <v>1.1232219999999999</v>
      </c>
      <c r="L3652">
        <v>231.09450000000001</v>
      </c>
      <c r="M3652">
        <v>6.1755780000000003E-2</v>
      </c>
      <c r="N3652">
        <v>-1.143169E-2</v>
      </c>
      <c r="O3652">
        <v>-0.99802599999999997</v>
      </c>
      <c r="P3652">
        <v>0.16285179999999999</v>
      </c>
      <c r="Q3652">
        <v>-8.9400969999999996E-2</v>
      </c>
      <c r="R3652">
        <v>-0.98259220000000003</v>
      </c>
      <c r="S3652">
        <v>0.74224849999999998</v>
      </c>
      <c r="T3652">
        <v>-0.39156560000000001</v>
      </c>
      <c r="U3652">
        <v>-2.8952939999999998</v>
      </c>
      <c r="V3652">
        <v>-0.10142619999999999</v>
      </c>
      <c r="W3652">
        <v>-7.8626829999999995E-2</v>
      </c>
      <c r="X3652">
        <v>0.99173109999999998</v>
      </c>
      <c r="Y3652">
        <v>-0.1861158</v>
      </c>
      <c r="Z3652">
        <v>0.1191509</v>
      </c>
      <c r="AA3652">
        <v>0.97527640000000004</v>
      </c>
      <c r="AB3652">
        <v>17</v>
      </c>
      <c r="AC3652">
        <v>2.12</v>
      </c>
      <c r="AD3652">
        <v>-1.1232174718729999</v>
      </c>
      <c r="AE3652">
        <v>-8.2022999999999993</v>
      </c>
      <c r="AF3652">
        <v>-1.5815794033963699</v>
      </c>
      <c r="AG3652">
        <v>-1.1232174718729999</v>
      </c>
      <c r="AH3652">
        <v>8.1738914636453792</v>
      </c>
      <c r="AI3652">
        <v>97.683550426936705</v>
      </c>
      <c r="AJ3652">
        <v>100.950926878503</v>
      </c>
      <c r="AK3652">
        <v>8.4009233157923298</v>
      </c>
      <c r="AL3652">
        <v>94.509640185871206</v>
      </c>
      <c r="AM3652">
        <v>95.839444037229399</v>
      </c>
      <c r="AN3652">
        <v>1.00000001357474</v>
      </c>
    </row>
    <row r="3653" spans="1:40" x14ac:dyDescent="0.25">
      <c r="A3653" t="str">
        <f>"20190303154207657"</f>
        <v>20190303154207657</v>
      </c>
      <c r="B3653" t="str">
        <f>"1551598927643500"</f>
        <v>1551598927643500</v>
      </c>
      <c r="C3653" t="s">
        <v>40</v>
      </c>
      <c r="D3653">
        <v>5.5955260000000004</v>
      </c>
      <c r="E3653">
        <v>0.4658041</v>
      </c>
      <c r="F3653" t="s">
        <v>46</v>
      </c>
      <c r="G3653">
        <v>-490.06560000000002</v>
      </c>
      <c r="H3653" s="1">
        <v>4.5495539999999996E-6</v>
      </c>
      <c r="I3653">
        <v>222.95320000000001</v>
      </c>
      <c r="J3653">
        <v>-492.19159999999999</v>
      </c>
      <c r="K3653">
        <v>1.1232759999999999</v>
      </c>
      <c r="L3653">
        <v>231.00229999999999</v>
      </c>
      <c r="M3653">
        <v>6.4108609999999996E-2</v>
      </c>
      <c r="N3653">
        <v>-1.142894E-2</v>
      </c>
      <c r="O3653">
        <v>-0.99787749999999997</v>
      </c>
      <c r="P3653">
        <v>0.16565489999999999</v>
      </c>
      <c r="Q3653">
        <v>-8.9706620000000001E-2</v>
      </c>
      <c r="R3653">
        <v>-0.98209539999999995</v>
      </c>
      <c r="S3653">
        <v>0.75793459999999901</v>
      </c>
      <c r="T3653">
        <v>-0.3988892</v>
      </c>
      <c r="U3653">
        <v>-2.891235</v>
      </c>
      <c r="V3653">
        <v>-0.10190639999999999</v>
      </c>
      <c r="W3653">
        <v>-7.8952789999999995E-2</v>
      </c>
      <c r="X3653">
        <v>0.99165590000000003</v>
      </c>
      <c r="Y3653">
        <v>-0.1890066</v>
      </c>
      <c r="Z3653">
        <v>0.1215815</v>
      </c>
      <c r="AA3653">
        <v>0.97442010000000001</v>
      </c>
      <c r="AB3653">
        <v>17</v>
      </c>
      <c r="AC3653">
        <v>2.1259999999999701</v>
      </c>
      <c r="AD3653">
        <v>-1.123271450446</v>
      </c>
      <c r="AE3653">
        <v>-8.0490999999999797</v>
      </c>
      <c r="AF3653">
        <v>-1.5768691396546399</v>
      </c>
      <c r="AG3653">
        <v>-1.123271450446</v>
      </c>
      <c r="AH3653">
        <v>8.0227904667490098</v>
      </c>
      <c r="AI3653">
        <v>97.822418063207706</v>
      </c>
      <c r="AJ3653">
        <v>101.119668250584</v>
      </c>
      <c r="AK3653">
        <v>8.2530855992374796</v>
      </c>
      <c r="AL3653">
        <v>94.528374889117501</v>
      </c>
      <c r="AM3653">
        <v>95.867340151543203</v>
      </c>
      <c r="AN3653">
        <v>0.99999994070727505</v>
      </c>
    </row>
    <row r="3654" spans="1:40" x14ac:dyDescent="0.25">
      <c r="A3654" t="str">
        <f>"20190303154207671"</f>
        <v>20190303154207671</v>
      </c>
      <c r="B3654" t="str">
        <f>"1551598927663019"</f>
        <v>1551598927663019</v>
      </c>
      <c r="C3654" t="s">
        <v>40</v>
      </c>
      <c r="D3654">
        <v>5.5449419999999998</v>
      </c>
      <c r="E3654">
        <v>0.46696480000000001</v>
      </c>
      <c r="F3654" t="s">
        <v>46</v>
      </c>
      <c r="G3654">
        <v>-490.02319999999997</v>
      </c>
      <c r="H3654" s="1">
        <v>4.4993219999999996E-6</v>
      </c>
      <c r="I3654">
        <v>222.76669999999999</v>
      </c>
      <c r="J3654">
        <v>-492.18009999999998</v>
      </c>
      <c r="K3654">
        <v>1.1233489999999999</v>
      </c>
      <c r="L3654">
        <v>230.8819</v>
      </c>
      <c r="M3654">
        <v>6.7314830000000006E-2</v>
      </c>
      <c r="N3654">
        <v>-1.142717E-2</v>
      </c>
      <c r="O3654">
        <v>-0.99766650000000001</v>
      </c>
      <c r="P3654">
        <v>0.16914270000000001</v>
      </c>
      <c r="Q3654">
        <v>-8.9051430000000001E-2</v>
      </c>
      <c r="R3654">
        <v>-0.98156030000000005</v>
      </c>
      <c r="S3654">
        <v>0.76101680000000005</v>
      </c>
      <c r="T3654">
        <v>-0.39421729999999999</v>
      </c>
      <c r="U3654">
        <v>-2.89032</v>
      </c>
      <c r="V3654">
        <v>-0.10222879999999999</v>
      </c>
      <c r="W3654">
        <v>-7.8318559999999995E-2</v>
      </c>
      <c r="X3654">
        <v>0.99167309999999997</v>
      </c>
      <c r="Y3654">
        <v>-0.1869497</v>
      </c>
      <c r="Z3654">
        <v>0.1200648</v>
      </c>
      <c r="AA3654">
        <v>0.97500469999999895</v>
      </c>
      <c r="AB3654">
        <v>17</v>
      </c>
      <c r="AC3654">
        <v>2.1568999999999998</v>
      </c>
      <c r="AD3654">
        <v>-1.1233445006779901</v>
      </c>
      <c r="AE3654">
        <v>-8.1152000000000104</v>
      </c>
      <c r="AF3654">
        <v>-1.57746604653653</v>
      </c>
      <c r="AG3654">
        <v>-1.1233445006779901</v>
      </c>
      <c r="AH3654">
        <v>8.0970769857730804</v>
      </c>
      <c r="AI3654">
        <v>97.754522340104202</v>
      </c>
      <c r="AJ3654">
        <v>101.024228965235</v>
      </c>
      <c r="AK3654">
        <v>8.3254403912775192</v>
      </c>
      <c r="AL3654">
        <v>94.491922903242099</v>
      </c>
      <c r="AM3654">
        <v>95.885671103250402</v>
      </c>
      <c r="AN3654">
        <v>1.00000003082676</v>
      </c>
    </row>
    <row r="3655" spans="1:40" x14ac:dyDescent="0.25">
      <c r="A3655" t="str">
        <f>"20190303154207684"</f>
        <v>20190303154207684</v>
      </c>
      <c r="B3655" t="str">
        <f>"1551598927672780"</f>
        <v>1551598927672780</v>
      </c>
      <c r="C3655" t="s">
        <v>40</v>
      </c>
      <c r="D3655">
        <v>5.5721249999999998</v>
      </c>
      <c r="E3655">
        <v>0.46738800000000003</v>
      </c>
      <c r="F3655" t="s">
        <v>46</v>
      </c>
      <c r="G3655">
        <v>-489.98869999999999</v>
      </c>
      <c r="H3655" s="1">
        <v>4.4462419999999998E-6</v>
      </c>
      <c r="I3655">
        <v>222.57560000000001</v>
      </c>
      <c r="J3655">
        <v>-492.17129999999997</v>
      </c>
      <c r="K3655">
        <v>1.1234040000000001</v>
      </c>
      <c r="L3655">
        <v>230.792</v>
      </c>
      <c r="M3655">
        <v>6.9787470000000004E-2</v>
      </c>
      <c r="N3655">
        <v>-1.1426840000000001E-2</v>
      </c>
      <c r="O3655">
        <v>-0.99749650000000001</v>
      </c>
      <c r="P3655">
        <v>0.17157620000000001</v>
      </c>
      <c r="Q3655">
        <v>-8.8488499999999998E-2</v>
      </c>
      <c r="R3655">
        <v>-0.98118899999999998</v>
      </c>
      <c r="S3655">
        <v>0.76232909999999998</v>
      </c>
      <c r="T3655">
        <v>-0.39078649999999998</v>
      </c>
      <c r="U3655">
        <v>-2.8895569999999999</v>
      </c>
      <c r="V3655">
        <v>-0.1022195</v>
      </c>
      <c r="W3655">
        <v>-7.7768100000000007E-2</v>
      </c>
      <c r="X3655">
        <v>0.99171730000000002</v>
      </c>
      <c r="Y3655">
        <v>-0.1850291</v>
      </c>
      <c r="Z3655">
        <v>0.1189606</v>
      </c>
      <c r="AA3655">
        <v>0.97550630000000005</v>
      </c>
      <c r="AB3655">
        <v>17</v>
      </c>
      <c r="AC3655">
        <v>2.1825999999999701</v>
      </c>
      <c r="AD3655">
        <v>-1.1233995537579999</v>
      </c>
      <c r="AE3655">
        <v>-8.2163999999999895</v>
      </c>
      <c r="AF3655">
        <v>-1.57631320703346</v>
      </c>
      <c r="AG3655">
        <v>-1.1233995537579999</v>
      </c>
      <c r="AH3655">
        <v>8.2054104852035596</v>
      </c>
      <c r="AI3655">
        <v>97.657560616840996</v>
      </c>
      <c r="AJ3655">
        <v>100.874413763972</v>
      </c>
      <c r="AK3655">
        <v>8.4306317150460508</v>
      </c>
      <c r="AL3655">
        <v>94.460287725980905</v>
      </c>
      <c r="AM3655">
        <v>95.884878973024101</v>
      </c>
      <c r="AN3655">
        <v>0.99999995333857405</v>
      </c>
    </row>
    <row r="3656" spans="1:40" x14ac:dyDescent="0.25">
      <c r="A3656" t="str">
        <f>"20190303154207698"</f>
        <v>20190303154207698</v>
      </c>
      <c r="B3656" t="str">
        <f>"1551598927693277"</f>
        <v>1551598927693277</v>
      </c>
      <c r="C3656" t="s">
        <v>40</v>
      </c>
      <c r="D3656">
        <v>5.5595699999999999</v>
      </c>
      <c r="E3656">
        <v>0.46821220000000002</v>
      </c>
      <c r="F3656" t="s">
        <v>46</v>
      </c>
      <c r="G3656">
        <v>-489.947</v>
      </c>
      <c r="H3656" s="1">
        <v>4.3976260000000003E-6</v>
      </c>
      <c r="I3656">
        <v>222.40870000000001</v>
      </c>
      <c r="J3656">
        <v>-492.16090000000003</v>
      </c>
      <c r="K3656">
        <v>1.1234649999999999</v>
      </c>
      <c r="L3656">
        <v>230.69049999999999</v>
      </c>
      <c r="M3656">
        <v>7.2632730000000006E-2</v>
      </c>
      <c r="N3656">
        <v>-1.1427090000000001E-2</v>
      </c>
      <c r="O3656">
        <v>-0.9972934</v>
      </c>
      <c r="P3656">
        <v>0.17483760000000001</v>
      </c>
      <c r="Q3656">
        <v>-8.7423120000000007E-2</v>
      </c>
      <c r="R3656">
        <v>-0.98070869999999999</v>
      </c>
      <c r="S3656">
        <v>0.7664185</v>
      </c>
      <c r="T3656">
        <v>-0.38708500000000001</v>
      </c>
      <c r="U3656">
        <v>-2.8885960000000002</v>
      </c>
      <c r="V3656">
        <v>-0.1026767</v>
      </c>
      <c r="W3656">
        <v>-7.6719140000000005E-2</v>
      </c>
      <c r="X3656">
        <v>0.99175179999999996</v>
      </c>
      <c r="Y3656">
        <v>-0.18363650000000001</v>
      </c>
      <c r="Z3656">
        <v>0.1177472</v>
      </c>
      <c r="AA3656">
        <v>0.97591660000000002</v>
      </c>
      <c r="AB3656">
        <v>17</v>
      </c>
      <c r="AC3656">
        <v>2.2139000000000801</v>
      </c>
      <c r="AD3656">
        <v>-1.1234606023739999</v>
      </c>
      <c r="AE3656">
        <v>-8.2817999999999703</v>
      </c>
      <c r="AF3656">
        <v>-1.57935777975033</v>
      </c>
      <c r="AG3656">
        <v>-1.1234606023739999</v>
      </c>
      <c r="AH3656">
        <v>8.2785530195827892</v>
      </c>
      <c r="AI3656">
        <v>97.592946997853801</v>
      </c>
      <c r="AJ3656">
        <v>100.80093045135099</v>
      </c>
      <c r="AK3656">
        <v>8.5024099418687005</v>
      </c>
      <c r="AL3656">
        <v>94.4000065082341</v>
      </c>
      <c r="AM3656">
        <v>95.910810306202706</v>
      </c>
      <c r="AN3656">
        <v>0.99999998198423401</v>
      </c>
    </row>
    <row r="3657" spans="1:40" x14ac:dyDescent="0.25">
      <c r="A3657" t="str">
        <f>"20190303154207710"</f>
        <v>20190303154207710</v>
      </c>
      <c r="B3657" t="str">
        <f>"1551598927703035"</f>
        <v>1551598927703035</v>
      </c>
      <c r="C3657" t="s">
        <v>40</v>
      </c>
      <c r="D3657">
        <v>5.5144149999999996</v>
      </c>
      <c r="E3657">
        <v>0.46872940000000002</v>
      </c>
      <c r="F3657" t="s">
        <v>46</v>
      </c>
      <c r="G3657">
        <v>-489.90320000000003</v>
      </c>
      <c r="H3657" s="1">
        <v>4.3276419999999998E-6</v>
      </c>
      <c r="I3657">
        <v>222.2141</v>
      </c>
      <c r="J3657">
        <v>-492.15069999999997</v>
      </c>
      <c r="K3657">
        <v>1.123526</v>
      </c>
      <c r="L3657">
        <v>230.59389999999999</v>
      </c>
      <c r="M3657">
        <v>7.5447470000000003E-2</v>
      </c>
      <c r="N3657">
        <v>-1.1429140000000001E-2</v>
      </c>
      <c r="O3657">
        <v>-0.99708419999999998</v>
      </c>
      <c r="P3657">
        <v>0.17769779999999999</v>
      </c>
      <c r="Q3657">
        <v>-8.6355399999999999E-2</v>
      </c>
      <c r="R3657">
        <v>-0.98028870000000001</v>
      </c>
      <c r="S3657">
        <v>0.76916499999999999</v>
      </c>
      <c r="T3657">
        <v>-0.38274229999999998</v>
      </c>
      <c r="U3657">
        <v>-2.887756</v>
      </c>
      <c r="V3657">
        <v>-0.1027588</v>
      </c>
      <c r="W3657">
        <v>-7.5663629999999996E-2</v>
      </c>
      <c r="X3657">
        <v>0.99182440000000005</v>
      </c>
      <c r="Y3657">
        <v>-0.18184549999999999</v>
      </c>
      <c r="Z3657">
        <v>0.1163265</v>
      </c>
      <c r="AA3657">
        <v>0.97642229999999997</v>
      </c>
      <c r="AB3657">
        <v>17</v>
      </c>
      <c r="AC3657">
        <v>2.2474999999999401</v>
      </c>
      <c r="AD3657">
        <v>-1.1235216723579999</v>
      </c>
      <c r="AE3657">
        <v>-8.3797999999999799</v>
      </c>
      <c r="AF3657">
        <v>-1.5822826795618199</v>
      </c>
      <c r="AG3657">
        <v>-1.1235216723579999</v>
      </c>
      <c r="AH3657">
        <v>8.3848791704260393</v>
      </c>
      <c r="AI3657">
        <v>97.500979723181302</v>
      </c>
      <c r="AJ3657">
        <v>100.68643004656001</v>
      </c>
      <c r="AK3657">
        <v>8.6065160273448598</v>
      </c>
      <c r="AL3657">
        <v>94.3393538615111</v>
      </c>
      <c r="AM3657">
        <v>95.915073136306901</v>
      </c>
      <c r="AN3657">
        <v>0.99999999815878804</v>
      </c>
    </row>
    <row r="3658" spans="1:40" x14ac:dyDescent="0.25">
      <c r="A3658" t="str">
        <f>"20190303154207722"</f>
        <v>20190303154207722</v>
      </c>
      <c r="B3658" t="str">
        <f>"1551598927712795"</f>
        <v>1551598927712795</v>
      </c>
      <c r="C3658" t="s">
        <v>40</v>
      </c>
      <c r="D3658">
        <v>5.5102399999999996</v>
      </c>
      <c r="E3658">
        <v>0.46910659999999998</v>
      </c>
      <c r="F3658" t="s">
        <v>46</v>
      </c>
      <c r="G3658">
        <v>-489.8639</v>
      </c>
      <c r="H3658" s="1">
        <v>4.2715030000000004E-6</v>
      </c>
      <c r="I3658">
        <v>222.06110000000001</v>
      </c>
      <c r="J3658">
        <v>-492.14080000000001</v>
      </c>
      <c r="K3658">
        <v>1.1235809999999999</v>
      </c>
      <c r="L3658">
        <v>230.5042</v>
      </c>
      <c r="M3658">
        <v>7.8128349999999999E-2</v>
      </c>
      <c r="N3658">
        <v>-1.143215E-2</v>
      </c>
      <c r="O3658">
        <v>-0.99687780000000004</v>
      </c>
      <c r="P3658">
        <v>0.18070240000000001</v>
      </c>
      <c r="Q3658">
        <v>-8.5487549999999995E-2</v>
      </c>
      <c r="R3658">
        <v>-0.97981600000000002</v>
      </c>
      <c r="S3658">
        <v>0.77362059999999999</v>
      </c>
      <c r="T3658">
        <v>-0.3800789</v>
      </c>
      <c r="U3658">
        <v>-2.886612</v>
      </c>
      <c r="V3658">
        <v>-0.1031215</v>
      </c>
      <c r="W3658">
        <v>-7.4808630000000001E-2</v>
      </c>
      <c r="X3658">
        <v>0.99185160000000006</v>
      </c>
      <c r="Y3658">
        <v>-0.180733</v>
      </c>
      <c r="Z3658">
        <v>0.1154511</v>
      </c>
      <c r="AA3658">
        <v>0.97673259999999995</v>
      </c>
      <c r="AB3658">
        <v>17</v>
      </c>
      <c r="AC3658">
        <v>2.2769000000000101</v>
      </c>
      <c r="AD3658">
        <v>-1.123576728497</v>
      </c>
      <c r="AE3658">
        <v>-8.4430999999999798</v>
      </c>
      <c r="AF3658">
        <v>-1.5840993152648799</v>
      </c>
      <c r="AG3658">
        <v>-1.123576728497</v>
      </c>
      <c r="AH3658">
        <v>8.4555996759075391</v>
      </c>
      <c r="AI3658">
        <v>97.441131055026204</v>
      </c>
      <c r="AJ3658">
        <v>100.610977569049</v>
      </c>
      <c r="AK3658">
        <v>8.6757686221250907</v>
      </c>
      <c r="AL3658">
        <v>94.290226783384597</v>
      </c>
      <c r="AM3658">
        <v>95.935640699726093</v>
      </c>
      <c r="AN3658">
        <v>0.99999998565364301</v>
      </c>
    </row>
    <row r="3659" spans="1:40" x14ac:dyDescent="0.25">
      <c r="A3659" t="str">
        <f>"20190303154207740"</f>
        <v>20190303154207740</v>
      </c>
      <c r="B3659" t="str">
        <f>"1551598927733294"</f>
        <v>1551598927733294</v>
      </c>
      <c r="C3659" t="s">
        <v>40</v>
      </c>
      <c r="D3659">
        <v>5.4887350000000001</v>
      </c>
      <c r="E3659">
        <v>0.46965000000000001</v>
      </c>
      <c r="F3659" t="s">
        <v>46</v>
      </c>
      <c r="G3659">
        <v>-489.81259999999997</v>
      </c>
      <c r="H3659" s="1">
        <v>4.206488E-6</v>
      </c>
      <c r="I3659">
        <v>221.8879</v>
      </c>
      <c r="J3659">
        <v>-492.1259</v>
      </c>
      <c r="K3659">
        <v>1.1236699999999999</v>
      </c>
      <c r="L3659">
        <v>230.3733</v>
      </c>
      <c r="M3659">
        <v>8.2146280000000002E-2</v>
      </c>
      <c r="N3659">
        <v>-1.1438250000000001E-2</v>
      </c>
      <c r="O3659">
        <v>-0.99655479999999996</v>
      </c>
      <c r="P3659">
        <v>0.18487809999999999</v>
      </c>
      <c r="Q3659">
        <v>-8.445445E-2</v>
      </c>
      <c r="R3659">
        <v>-0.97912619999999895</v>
      </c>
      <c r="S3659">
        <v>0.77960209999999996</v>
      </c>
      <c r="T3659">
        <v>-0.37623010000000001</v>
      </c>
      <c r="U3659">
        <v>-2.8851779999999998</v>
      </c>
      <c r="V3659">
        <v>-0.1033361</v>
      </c>
      <c r="W3659">
        <v>-7.3791229999999999E-2</v>
      </c>
      <c r="X3659">
        <v>0.9919055</v>
      </c>
      <c r="Y3659">
        <v>-0.1788196</v>
      </c>
      <c r="Z3659">
        <v>0.11417620000000001</v>
      </c>
      <c r="AA3659">
        <v>0.97723450000000001</v>
      </c>
      <c r="AB3659">
        <v>17</v>
      </c>
      <c r="AC3659">
        <v>2.3133000000000199</v>
      </c>
      <c r="AD3659">
        <v>-1.123665793512</v>
      </c>
      <c r="AE3659">
        <v>-8.4853999999999896</v>
      </c>
      <c r="AF3659">
        <v>-1.5825593166651899</v>
      </c>
      <c r="AG3659">
        <v>-1.123665793512</v>
      </c>
      <c r="AH3659">
        <v>8.5078867239034306</v>
      </c>
      <c r="AI3659">
        <v>97.398245839186401</v>
      </c>
      <c r="AJ3659">
        <v>100.53720930421601</v>
      </c>
      <c r="AK3659">
        <v>8.7264686622393306</v>
      </c>
      <c r="AL3659">
        <v>94.231772387725599</v>
      </c>
      <c r="AM3659">
        <v>95.947583653857293</v>
      </c>
      <c r="AN3659">
        <v>1.00000000805918</v>
      </c>
    </row>
    <row r="3660" spans="1:40" x14ac:dyDescent="0.25">
      <c r="A3660" t="str">
        <f>"20190303154207752"</f>
        <v>20190303154207752</v>
      </c>
      <c r="B3660" t="str">
        <f>"1551598927743051"</f>
        <v>1551598927743051</v>
      </c>
      <c r="C3660" t="s">
        <v>40</v>
      </c>
      <c r="D3660">
        <v>5.4483489999999897</v>
      </c>
      <c r="E3660">
        <v>0.46994209999999897</v>
      </c>
      <c r="F3660" t="s">
        <v>46</v>
      </c>
      <c r="G3660">
        <v>-489.75380000000001</v>
      </c>
      <c r="H3660" s="1">
        <v>4.1319360000000003E-6</v>
      </c>
      <c r="I3660">
        <v>221.6893</v>
      </c>
      <c r="J3660">
        <v>-492.1146</v>
      </c>
      <c r="K3660">
        <v>1.12374</v>
      </c>
      <c r="L3660">
        <v>230.27760000000001</v>
      </c>
      <c r="M3660">
        <v>8.5171540000000004E-2</v>
      </c>
      <c r="N3660">
        <v>-1.1444050000000001E-2</v>
      </c>
      <c r="O3660">
        <v>-0.99630079999999999</v>
      </c>
      <c r="P3660">
        <v>0.18772</v>
      </c>
      <c r="Q3660">
        <v>-8.431234E-2</v>
      </c>
      <c r="R3660">
        <v>-0.9785973</v>
      </c>
      <c r="S3660">
        <v>0.78756709999999996</v>
      </c>
      <c r="T3660">
        <v>-0.37306</v>
      </c>
      <c r="U3660">
        <v>-2.8830870000000002</v>
      </c>
      <c r="V3660">
        <v>-0.1031928</v>
      </c>
      <c r="W3660">
        <v>-7.3658319999999999E-2</v>
      </c>
      <c r="X3660">
        <v>0.99193030000000004</v>
      </c>
      <c r="Y3660">
        <v>-0.178558299999999</v>
      </c>
      <c r="Z3660">
        <v>0.1131327</v>
      </c>
      <c r="AA3660">
        <v>0.97740360000000004</v>
      </c>
      <c r="AB3660">
        <v>17</v>
      </c>
      <c r="AC3660">
        <v>2.3607999999999798</v>
      </c>
      <c r="AD3660">
        <v>-1.1237358680639999</v>
      </c>
      <c r="AE3660">
        <v>-8.5883000000000003</v>
      </c>
      <c r="AF3660">
        <v>-1.5953005509537299</v>
      </c>
      <c r="AG3660">
        <v>-1.1237358680639999</v>
      </c>
      <c r="AH3660">
        <v>8.6209495872324506</v>
      </c>
      <c r="AI3660">
        <v>97.303969165582899</v>
      </c>
      <c r="AJ3660">
        <v>100.48394845571001</v>
      </c>
      <c r="AK3660">
        <v>8.8390348983726899</v>
      </c>
      <c r="AL3660">
        <v>94.224136412684999</v>
      </c>
      <c r="AM3660">
        <v>95.939247484668797</v>
      </c>
      <c r="AN3660">
        <v>1.00000001106757</v>
      </c>
    </row>
    <row r="3661" spans="1:40" x14ac:dyDescent="0.25">
      <c r="A3661" t="str">
        <f>"20190303154207765"</f>
        <v>20190303154207765</v>
      </c>
      <c r="B3661" t="str">
        <f>"1551598927752812"</f>
        <v>1551598927752812</v>
      </c>
      <c r="C3661" t="s">
        <v>40</v>
      </c>
      <c r="D3661">
        <v>5.4821429999999998</v>
      </c>
      <c r="E3661">
        <v>0.47007569999999999</v>
      </c>
      <c r="F3661" t="s">
        <v>46</v>
      </c>
      <c r="G3661">
        <v>-489.71600000000001</v>
      </c>
      <c r="H3661" s="1">
        <v>4.0857529999999997E-6</v>
      </c>
      <c r="I3661">
        <v>221.56729999999999</v>
      </c>
      <c r="J3661">
        <v>-492.10320000000002</v>
      </c>
      <c r="K3661">
        <v>1.1238030000000001</v>
      </c>
      <c r="L3661">
        <v>230.185</v>
      </c>
      <c r="M3661">
        <v>8.8182109999999994E-2</v>
      </c>
      <c r="N3661">
        <v>-1.145212E-2</v>
      </c>
      <c r="O3661">
        <v>-0.9960386</v>
      </c>
      <c r="P3661">
        <v>0.19068160000000001</v>
      </c>
      <c r="Q3661">
        <v>-8.442993E-2</v>
      </c>
      <c r="R3661">
        <v>-0.97801439999999995</v>
      </c>
      <c r="S3661">
        <v>0.79345699999999997</v>
      </c>
      <c r="T3661">
        <v>-0.37173329999999999</v>
      </c>
      <c r="U3661">
        <v>-2.8814090000000001</v>
      </c>
      <c r="V3661">
        <v>-0.10318720000000001</v>
      </c>
      <c r="W3661">
        <v>-7.3783349999999998E-2</v>
      </c>
      <c r="X3661">
        <v>0.99192159999999996</v>
      </c>
      <c r="Y3661">
        <v>-0.17760239999999999</v>
      </c>
      <c r="Z3661">
        <v>0.1126928</v>
      </c>
      <c r="AA3661">
        <v>0.97762859999999996</v>
      </c>
      <c r="AB3661">
        <v>17</v>
      </c>
      <c r="AC3661">
        <v>2.3872</v>
      </c>
      <c r="AD3661">
        <v>-1.123798914247</v>
      </c>
      <c r="AE3661">
        <v>-8.6177000000000099</v>
      </c>
      <c r="AF3661">
        <v>-1.59276659834377</v>
      </c>
      <c r="AG3661">
        <v>-1.123798914247</v>
      </c>
      <c r="AH3661">
        <v>8.6579054600944296</v>
      </c>
      <c r="AI3661">
        <v>97.274920792928199</v>
      </c>
      <c r="AJ3661">
        <v>100.423964978435</v>
      </c>
      <c r="AK3661">
        <v>8.8746355639200996</v>
      </c>
      <c r="AL3661">
        <v>94.231319609004501</v>
      </c>
      <c r="AM3661">
        <v>95.938979198306797</v>
      </c>
      <c r="AN3661">
        <v>1.00000002076381</v>
      </c>
    </row>
    <row r="3662" spans="1:40" x14ac:dyDescent="0.25">
      <c r="A3662" t="str">
        <f>"20190303154207779"</f>
        <v>20190303154207779</v>
      </c>
      <c r="B3662" t="str">
        <f>"1551598927773307"</f>
        <v>1551598927773307</v>
      </c>
      <c r="C3662" t="s">
        <v>40</v>
      </c>
      <c r="D3662">
        <v>5.4471970000000001</v>
      </c>
      <c r="E3662">
        <v>0.4705802</v>
      </c>
      <c r="F3662" t="s">
        <v>46</v>
      </c>
      <c r="G3662">
        <v>-489.69099999999997</v>
      </c>
      <c r="H3662" s="1">
        <v>4.0657690000000003E-6</v>
      </c>
      <c r="I3662">
        <v>221.52070000000001</v>
      </c>
      <c r="J3662">
        <v>-492.09089999999998</v>
      </c>
      <c r="K3662">
        <v>1.123866</v>
      </c>
      <c r="L3662">
        <v>230.08680000000001</v>
      </c>
      <c r="M3662">
        <v>9.1424850000000002E-2</v>
      </c>
      <c r="N3662">
        <v>-1.1462079999999999E-2</v>
      </c>
      <c r="O3662">
        <v>-0.99574600000000002</v>
      </c>
      <c r="P3662">
        <v>0.1940598</v>
      </c>
      <c r="Q3662">
        <v>-8.4756559999999995E-2</v>
      </c>
      <c r="R3662">
        <v>-0.97732140000000001</v>
      </c>
      <c r="S3662">
        <v>0.8015137</v>
      </c>
      <c r="T3662">
        <v>-0.37340800000000002</v>
      </c>
      <c r="U3662">
        <v>-2.8789370000000001</v>
      </c>
      <c r="V3662">
        <v>-0.1033728</v>
      </c>
      <c r="W3662">
        <v>-7.4118169999999997E-2</v>
      </c>
      <c r="X3662">
        <v>0.99187729999999996</v>
      </c>
      <c r="Y3662">
        <v>-0.177137299999999</v>
      </c>
      <c r="Z3662">
        <v>0.1132469</v>
      </c>
      <c r="AA3662">
        <v>0.97764899999999999</v>
      </c>
      <c r="AB3662">
        <v>17</v>
      </c>
      <c r="AC3662">
        <v>2.3999000000000001</v>
      </c>
      <c r="AD3662">
        <v>-1.1238619342309999</v>
      </c>
      <c r="AE3662">
        <v>-8.5661000000000005</v>
      </c>
      <c r="AF3662">
        <v>-1.58140220474476</v>
      </c>
      <c r="AG3662">
        <v>-1.1238619342309999</v>
      </c>
      <c r="AH3662">
        <v>8.6121913710102405</v>
      </c>
      <c r="AI3662">
        <v>97.313966523380799</v>
      </c>
      <c r="AJ3662">
        <v>100.404951229311</v>
      </c>
      <c r="AK3662">
        <v>8.82800876706</v>
      </c>
      <c r="AL3662">
        <v>94.250556104900895</v>
      </c>
      <c r="AM3662">
        <v>95.949848741046097</v>
      </c>
      <c r="AN3662">
        <v>1.0000000085796299</v>
      </c>
    </row>
    <row r="3663" spans="1:40" x14ac:dyDescent="0.25">
      <c r="A3663" t="str">
        <f>"20190303154207792"</f>
        <v>20190303154207792</v>
      </c>
      <c r="B3663" t="str">
        <f>"1551598927783069"</f>
        <v>1551598927783069</v>
      </c>
      <c r="C3663" t="s">
        <v>40</v>
      </c>
      <c r="D3663">
        <v>5.4592510000000001</v>
      </c>
      <c r="E3663">
        <v>0.4708869</v>
      </c>
      <c r="F3663" t="s">
        <v>46</v>
      </c>
      <c r="G3663">
        <v>-489.6628</v>
      </c>
      <c r="H3663" s="1">
        <v>4.031315E-6</v>
      </c>
      <c r="I3663">
        <v>221.42959999999999</v>
      </c>
      <c r="J3663">
        <v>-492.07639999999998</v>
      </c>
      <c r="K3663">
        <v>1.1239300000000001</v>
      </c>
      <c r="L3663">
        <v>229.9768</v>
      </c>
      <c r="M3663">
        <v>9.5168249999999996E-2</v>
      </c>
      <c r="N3663">
        <v>-1.147713E-2</v>
      </c>
      <c r="O3663">
        <v>-0.99539489999999997</v>
      </c>
      <c r="P3663">
        <v>0.19756940000000001</v>
      </c>
      <c r="Q3663">
        <v>-8.5256170000000006E-2</v>
      </c>
      <c r="R3663">
        <v>-0.97657439999999995</v>
      </c>
      <c r="S3663">
        <v>0.8069153</v>
      </c>
      <c r="T3663">
        <v>-0.37348690000000001</v>
      </c>
      <c r="U3663">
        <v>-2.8769990000000001</v>
      </c>
      <c r="V3663">
        <v>-0.10319489999999901</v>
      </c>
      <c r="W3663">
        <v>-7.4620019999999995E-2</v>
      </c>
      <c r="X3663">
        <v>0.99185820000000002</v>
      </c>
      <c r="Y3663">
        <v>-0.1753102</v>
      </c>
      <c r="Z3663">
        <v>0.1132691</v>
      </c>
      <c r="AA3663">
        <v>0.9779757</v>
      </c>
      <c r="AB3663">
        <v>17</v>
      </c>
      <c r="AC3663">
        <v>2.41359999999997</v>
      </c>
      <c r="AD3663">
        <v>-1.1239259686849901</v>
      </c>
      <c r="AE3663">
        <v>-8.5472000000000001</v>
      </c>
      <c r="AF3663">
        <v>-1.5641196667781301</v>
      </c>
      <c r="AG3663">
        <v>-1.1239259686849901</v>
      </c>
      <c r="AH3663">
        <v>8.6003849430998098</v>
      </c>
      <c r="AI3663">
        <v>97.326562698167706</v>
      </c>
      <c r="AJ3663">
        <v>100.30751182954801</v>
      </c>
      <c r="AK3663">
        <v>8.8134159713804792</v>
      </c>
      <c r="AL3663">
        <v>94.279389824756095</v>
      </c>
      <c r="AM3663">
        <v>95.939796142838702</v>
      </c>
      <c r="AN3663">
        <v>1.00000001183902</v>
      </c>
    </row>
    <row r="3664" spans="1:40" x14ac:dyDescent="0.25">
      <c r="A3664" t="str">
        <f>"20190303154207809"</f>
        <v>20190303154207809</v>
      </c>
      <c r="B3664" t="str">
        <f>"1551598927803563"</f>
        <v>1551598927803563</v>
      </c>
      <c r="C3664" t="s">
        <v>40</v>
      </c>
      <c r="D3664">
        <v>5.430409</v>
      </c>
      <c r="E3664">
        <v>0.47141640000000001</v>
      </c>
      <c r="F3664" t="s">
        <v>46</v>
      </c>
      <c r="G3664">
        <v>-489.6309</v>
      </c>
      <c r="H3664" s="1">
        <v>4.0003009999999999E-6</v>
      </c>
      <c r="I3664">
        <v>221.35239999999999</v>
      </c>
      <c r="J3664">
        <v>-492.0598</v>
      </c>
      <c r="K3664">
        <v>1.1239939999999999</v>
      </c>
      <c r="L3664">
        <v>229.85579999999999</v>
      </c>
      <c r="M3664">
        <v>9.9404190000000003E-2</v>
      </c>
      <c r="N3664">
        <v>-1.1496320000000001E-2</v>
      </c>
      <c r="O3664">
        <v>-0.9949808</v>
      </c>
      <c r="P3664">
        <v>0.2019669</v>
      </c>
      <c r="Q3664">
        <v>-8.6562310000000003E-2</v>
      </c>
      <c r="R3664">
        <v>-0.97555950000000002</v>
      </c>
      <c r="S3664">
        <v>0.81506350000000005</v>
      </c>
      <c r="T3664">
        <v>-0.3745868</v>
      </c>
      <c r="U3664">
        <v>-2.87439</v>
      </c>
      <c r="V3664">
        <v>-0.1034292</v>
      </c>
      <c r="W3664">
        <v>-7.5929250000000004E-2</v>
      </c>
      <c r="X3664">
        <v>0.99173440000000002</v>
      </c>
      <c r="Y3664">
        <v>-0.1739086</v>
      </c>
      <c r="Z3664">
        <v>0.113619</v>
      </c>
      <c r="AA3664">
        <v>0.97818530000000004</v>
      </c>
      <c r="AB3664">
        <v>17</v>
      </c>
      <c r="AC3664">
        <v>2.4288999999999898</v>
      </c>
      <c r="AD3664">
        <v>-1.1239899996989999</v>
      </c>
      <c r="AE3664">
        <v>-8.5033999999999992</v>
      </c>
      <c r="AF3664">
        <v>-1.54655610880053</v>
      </c>
      <c r="AG3664">
        <v>-1.1239899996989999</v>
      </c>
      <c r="AH3664">
        <v>8.56438880546599</v>
      </c>
      <c r="AI3664">
        <v>97.359076752249294</v>
      </c>
      <c r="AJ3664">
        <v>100.236151188809</v>
      </c>
      <c r="AK3664">
        <v>8.7751891676637293</v>
      </c>
      <c r="AL3664">
        <v>94.354616729070003</v>
      </c>
      <c r="AM3664">
        <v>95.953923283569395</v>
      </c>
      <c r="AN3664">
        <v>0.99999998528078105</v>
      </c>
    </row>
    <row r="3665" spans="1:40" x14ac:dyDescent="0.25">
      <c r="A3665" t="str">
        <f>"20190303154207829"</f>
        <v>20190303154207829</v>
      </c>
      <c r="B3665" t="str">
        <f>"1551598927823083"</f>
        <v>1551598927823083</v>
      </c>
      <c r="C3665" t="s">
        <v>40</v>
      </c>
      <c r="D3665">
        <v>5.4677740000000004</v>
      </c>
      <c r="E3665">
        <v>0.47195409999999999</v>
      </c>
      <c r="F3665" t="s">
        <v>46</v>
      </c>
      <c r="G3665">
        <v>-489.62029999999999</v>
      </c>
      <c r="H3665" s="1">
        <v>3.9984700000000004E-6</v>
      </c>
      <c r="I3665">
        <v>221.35400000000001</v>
      </c>
      <c r="J3665">
        <v>-492.0367</v>
      </c>
      <c r="K3665">
        <v>1.1240889999999999</v>
      </c>
      <c r="L3665">
        <v>229.69390000000001</v>
      </c>
      <c r="M3665">
        <v>0.1052406</v>
      </c>
      <c r="N3665">
        <v>-1.1524E-2</v>
      </c>
      <c r="O3665">
        <v>-0.99438009999999999</v>
      </c>
      <c r="P3665">
        <v>0.20800379999999999</v>
      </c>
      <c r="Q3665">
        <v>-8.8117819999999999E-2</v>
      </c>
      <c r="R3665">
        <v>-0.97415099999999999</v>
      </c>
      <c r="S3665">
        <v>0.82379150000000001</v>
      </c>
      <c r="T3665">
        <v>-0.37956109999999998</v>
      </c>
      <c r="U3665">
        <v>-2.8709720000000001</v>
      </c>
      <c r="V3665">
        <v>-0.10373640000000001</v>
      </c>
      <c r="W3665">
        <v>-7.7485760000000001E-2</v>
      </c>
      <c r="X3665">
        <v>0.99158190000000002</v>
      </c>
      <c r="Y3665">
        <v>-0.17113439999999999</v>
      </c>
      <c r="Z3665">
        <v>0.1152455</v>
      </c>
      <c r="AA3665">
        <v>0.97848429999999997</v>
      </c>
      <c r="AB3665">
        <v>17</v>
      </c>
      <c r="AC3665">
        <v>2.4163999999999999</v>
      </c>
      <c r="AD3665">
        <v>-1.1240850015299999</v>
      </c>
      <c r="AE3665">
        <v>-8.3399000000000001</v>
      </c>
      <c r="AF3665">
        <v>-1.50008409844454</v>
      </c>
      <c r="AG3665">
        <v>-1.1240850015299999</v>
      </c>
      <c r="AH3665">
        <v>8.4070015573828307</v>
      </c>
      <c r="AI3665">
        <v>97.498687466285503</v>
      </c>
      <c r="AJ3665">
        <v>100.11696927558</v>
      </c>
      <c r="AK3665">
        <v>8.6134484719482796</v>
      </c>
      <c r="AL3665">
        <v>94.444061780678695</v>
      </c>
      <c r="AM3665">
        <v>95.972391465603494</v>
      </c>
      <c r="AN3665">
        <v>0.99999997404767305</v>
      </c>
    </row>
    <row r="3666" spans="1:40" x14ac:dyDescent="0.25">
      <c r="A3666" t="str">
        <f>"20190303154207852"</f>
        <v>20190303154207852</v>
      </c>
      <c r="B3666" t="str">
        <f>"1551598927843579"</f>
        <v>1551598927843579</v>
      </c>
      <c r="C3666" t="s">
        <v>40</v>
      </c>
      <c r="D3666">
        <v>5.477468</v>
      </c>
      <c r="E3666">
        <v>0.4719875</v>
      </c>
      <c r="F3666" t="s">
        <v>46</v>
      </c>
      <c r="G3666">
        <v>-489.59179999999998</v>
      </c>
      <c r="H3666" s="1">
        <v>3.98353599999999E-6</v>
      </c>
      <c r="I3666">
        <v>221.3262</v>
      </c>
      <c r="J3666">
        <v>-492.012</v>
      </c>
      <c r="K3666">
        <v>1.1241699999999999</v>
      </c>
      <c r="L3666">
        <v>229.5291</v>
      </c>
      <c r="M3666">
        <v>0.1113912</v>
      </c>
      <c r="N3666">
        <v>-1.1552740000000001E-2</v>
      </c>
      <c r="O3666">
        <v>-0.99370959999999997</v>
      </c>
      <c r="P3666">
        <v>0.21465190000000001</v>
      </c>
      <c r="Q3666">
        <v>-8.9478039999999995E-2</v>
      </c>
      <c r="R3666">
        <v>-0.97258350000000005</v>
      </c>
      <c r="S3666">
        <v>0.83740230000000004</v>
      </c>
      <c r="T3666">
        <v>-0.38500269999999998</v>
      </c>
      <c r="U3666">
        <v>-2.8659669999999999</v>
      </c>
      <c r="V3666">
        <v>-0.1043588</v>
      </c>
      <c r="W3666">
        <v>-7.8847280000000006E-2</v>
      </c>
      <c r="X3666">
        <v>0.99140930000000005</v>
      </c>
      <c r="Y3666">
        <v>-0.16971900000000001</v>
      </c>
      <c r="Z3666">
        <v>0.1170332</v>
      </c>
      <c r="AA3666">
        <v>0.97851860000000002</v>
      </c>
      <c r="AB3666">
        <v>17</v>
      </c>
      <c r="AC3666">
        <v>2.4201999999999599</v>
      </c>
      <c r="AD3666">
        <v>-1.1241660164639999</v>
      </c>
      <c r="AE3666">
        <v>-8.2028999999999996</v>
      </c>
      <c r="AF3666">
        <v>-1.4660156136294</v>
      </c>
      <c r="AG3666">
        <v>-1.1241660164639999</v>
      </c>
      <c r="AH3666">
        <v>8.2784214571841694</v>
      </c>
      <c r="AI3666">
        <v>97.616085868391295</v>
      </c>
      <c r="AJ3666">
        <v>100.042326603256</v>
      </c>
      <c r="AK3666">
        <v>8.4820523951898004</v>
      </c>
      <c r="AL3666">
        <v>94.522310317769097</v>
      </c>
      <c r="AM3666">
        <v>96.0090017457849</v>
      </c>
      <c r="AN3666">
        <v>1.0000000264136599</v>
      </c>
    </row>
    <row r="3667" spans="1:40" x14ac:dyDescent="0.25">
      <c r="A3667" t="str">
        <f>"20190303154207865"</f>
        <v>20190303154207865</v>
      </c>
      <c r="B3667" t="str">
        <f>"1551598927853339"</f>
        <v>1551598927853339</v>
      </c>
      <c r="C3667" t="s">
        <v>40</v>
      </c>
      <c r="D3667">
        <v>5.4725950000000001</v>
      </c>
      <c r="E3667">
        <v>0.44415939999999998</v>
      </c>
      <c r="F3667" t="s">
        <v>46</v>
      </c>
      <c r="G3667">
        <v>-489.5428</v>
      </c>
      <c r="H3667" s="1">
        <v>3.9588930000000003E-6</v>
      </c>
      <c r="I3667">
        <v>221.2817</v>
      </c>
      <c r="J3667">
        <v>-491.99689999999998</v>
      </c>
      <c r="K3667">
        <v>1.1242160000000001</v>
      </c>
      <c r="L3667">
        <v>229.43270000000001</v>
      </c>
      <c r="M3667">
        <v>0.11509270000000001</v>
      </c>
      <c r="N3667">
        <v>-1.156949E-2</v>
      </c>
      <c r="O3667">
        <v>-0.99328740000000004</v>
      </c>
      <c r="P3667">
        <v>0.21865680000000001</v>
      </c>
      <c r="Q3667">
        <v>-9.0331629999999996E-2</v>
      </c>
      <c r="R3667">
        <v>-0.97161169999999997</v>
      </c>
      <c r="S3667">
        <v>0.85617069999999995</v>
      </c>
      <c r="T3667">
        <v>-0.38979740000000002</v>
      </c>
      <c r="U3667">
        <v>-2.8597260000000002</v>
      </c>
      <c r="V3667">
        <v>-0.1047421</v>
      </c>
      <c r="W3667">
        <v>-7.97012E-2</v>
      </c>
      <c r="X3667">
        <v>0.99130059999999998</v>
      </c>
      <c r="Y3667">
        <v>-0.1724677</v>
      </c>
      <c r="Z3667">
        <v>0.1186374</v>
      </c>
      <c r="AA3667">
        <v>0.97784459999999995</v>
      </c>
      <c r="AB3667">
        <v>17</v>
      </c>
      <c r="AC3667">
        <v>2.45409999999998</v>
      </c>
      <c r="AD3667">
        <v>-1.12421204110699</v>
      </c>
      <c r="AE3667">
        <v>-8.1509999999999998</v>
      </c>
      <c r="AF3667">
        <v>-1.4738989897919099</v>
      </c>
      <c r="AG3667">
        <v>-1.12421204110699</v>
      </c>
      <c r="AH3667">
        <v>8.2356511837558095</v>
      </c>
      <c r="AI3667">
        <v>97.653030774654496</v>
      </c>
      <c r="AJ3667">
        <v>100.14656156103899</v>
      </c>
      <c r="AK3667">
        <v>8.4416930390756306</v>
      </c>
      <c r="AL3667">
        <v>94.571390758328207</v>
      </c>
      <c r="AM3667">
        <v>96.031566313870499</v>
      </c>
      <c r="AN3667">
        <v>1.0000000341771</v>
      </c>
    </row>
    <row r="3668" spans="1:40" x14ac:dyDescent="0.25">
      <c r="A3668" t="str">
        <f>"20190303154207877"</f>
        <v>20190303154207877</v>
      </c>
      <c r="B3668" t="str">
        <f>"1551598927872860"</f>
        <v>1551598927872860</v>
      </c>
      <c r="C3668" t="s">
        <v>40</v>
      </c>
      <c r="D3668">
        <v>5.278969</v>
      </c>
      <c r="E3668">
        <v>0.38536179999999998</v>
      </c>
      <c r="F3668" t="s">
        <v>46</v>
      </c>
      <c r="G3668">
        <v>-489.15839999999997</v>
      </c>
      <c r="H3668" s="1">
        <v>4.1220350000000004E-6</v>
      </c>
      <c r="I3668">
        <v>222.08349999999999</v>
      </c>
      <c r="J3668">
        <v>-491.98180000000002</v>
      </c>
      <c r="K3668">
        <v>1.124261</v>
      </c>
      <c r="L3668">
        <v>229.33850000000001</v>
      </c>
      <c r="M3668">
        <v>0.11875529999999999</v>
      </c>
      <c r="N3668">
        <v>-1.1585649999999999E-2</v>
      </c>
      <c r="O3668">
        <v>-0.99285599999999996</v>
      </c>
      <c r="P3668">
        <v>0.22260070000000001</v>
      </c>
      <c r="Q3668">
        <v>-9.0949150000000006E-2</v>
      </c>
      <c r="R3668">
        <v>-0.97065820000000003</v>
      </c>
      <c r="S3668">
        <v>1.0830379999999999</v>
      </c>
      <c r="T3668">
        <v>-0.42893140000000002</v>
      </c>
      <c r="U3668">
        <v>-2.804001</v>
      </c>
      <c r="V3668">
        <v>-0.10510410000000001</v>
      </c>
      <c r="W3668">
        <v>-8.031874E-2</v>
      </c>
      <c r="X3668">
        <v>0.99121239999999999</v>
      </c>
      <c r="Y3668">
        <v>-0.2436401</v>
      </c>
      <c r="Z3668">
        <v>0.1311339</v>
      </c>
      <c r="AA3668">
        <v>0.96095960000000002</v>
      </c>
      <c r="AB3668">
        <v>17</v>
      </c>
      <c r="AC3668">
        <v>2.8234000000000399</v>
      </c>
      <c r="AD3668">
        <v>-1.124256877965</v>
      </c>
      <c r="AE3668">
        <v>-7.2550000000000203</v>
      </c>
      <c r="AF3668">
        <v>-1.9021213480364101</v>
      </c>
      <c r="AG3668">
        <v>-1.124256877965</v>
      </c>
      <c r="AH3668">
        <v>7.3849560785613297</v>
      </c>
      <c r="AI3668">
        <v>98.386392537603001</v>
      </c>
      <c r="AJ3668">
        <v>104.443567831452</v>
      </c>
      <c r="AK3668">
        <v>7.7084106943381903</v>
      </c>
      <c r="AL3668">
        <v>94.606887164273203</v>
      </c>
      <c r="AM3668">
        <v>96.052792145145304</v>
      </c>
      <c r="AN3668">
        <v>0.99999999687287799</v>
      </c>
    </row>
    <row r="3669" spans="1:40" x14ac:dyDescent="0.25">
      <c r="A3669" t="str">
        <f>"20190303154207891"</f>
        <v>20190303154207891</v>
      </c>
      <c r="B3669" t="str">
        <f>"1551598927883595"</f>
        <v>1551598927883595</v>
      </c>
      <c r="C3669" t="s">
        <v>40</v>
      </c>
      <c r="D3669">
        <v>5.4050019999999996</v>
      </c>
      <c r="E3669">
        <v>0.38536179999999998</v>
      </c>
      <c r="F3669" t="s">
        <v>46</v>
      </c>
      <c r="G3669">
        <v>-488.13630000000001</v>
      </c>
      <c r="H3669" s="1">
        <v>4.0743899999999996E-6</v>
      </c>
      <c r="I3669">
        <v>222.66130000000001</v>
      </c>
      <c r="J3669">
        <v>-491.96429999999998</v>
      </c>
      <c r="K3669">
        <v>1.124317</v>
      </c>
      <c r="L3669">
        <v>229.2328</v>
      </c>
      <c r="M3669">
        <v>0.1229543</v>
      </c>
      <c r="N3669">
        <v>-1.160368E-2</v>
      </c>
      <c r="O3669">
        <v>-0.99234460000000002</v>
      </c>
      <c r="P3669">
        <v>0.2274466</v>
      </c>
      <c r="Q3669">
        <v>-9.1348460000000006E-2</v>
      </c>
      <c r="R3669">
        <v>-0.96949649999999998</v>
      </c>
      <c r="S3669">
        <v>1.5506899999999999</v>
      </c>
      <c r="T3669">
        <v>-0.45335229999999999</v>
      </c>
      <c r="U3669">
        <v>-2.6925659999999998</v>
      </c>
      <c r="V3669">
        <v>-0.10585310000000001</v>
      </c>
      <c r="W3669">
        <v>-8.0720929999999996E-2</v>
      </c>
      <c r="X3669">
        <v>0.99109999999999998</v>
      </c>
      <c r="Y3669">
        <v>-0.38378859999999998</v>
      </c>
      <c r="Z3669">
        <v>0.13573760000000001</v>
      </c>
      <c r="AA3669">
        <v>0.91339020000000004</v>
      </c>
      <c r="AB3669">
        <v>17</v>
      </c>
      <c r="AC3669">
        <v>3.8279999999999701</v>
      </c>
      <c r="AD3669">
        <v>-1.12431292561</v>
      </c>
      <c r="AE3669">
        <v>-6.5714999999999799</v>
      </c>
      <c r="AF3669">
        <v>-2.9269325781203901</v>
      </c>
      <c r="AG3669">
        <v>-1.12431292561</v>
      </c>
      <c r="AH3669">
        <v>6.8427796238458303</v>
      </c>
      <c r="AI3669">
        <v>98.590539570611099</v>
      </c>
      <c r="AJ3669">
        <v>113.15834736628</v>
      </c>
      <c r="AK3669">
        <v>7.5269281152456697</v>
      </c>
      <c r="AL3669">
        <v>94.630006105352706</v>
      </c>
      <c r="AM3669">
        <v>96.096288456284498</v>
      </c>
      <c r="AN3669">
        <v>0.99999997865983703</v>
      </c>
    </row>
    <row r="3670" spans="1:40" x14ac:dyDescent="0.25">
      <c r="A3670" t="str">
        <f>"20190303154207907"</f>
        <v>20190303154207907</v>
      </c>
      <c r="B3670" t="str">
        <f>"1551598927903116"</f>
        <v>1551598927903116</v>
      </c>
      <c r="C3670" t="s">
        <v>40</v>
      </c>
      <c r="D3670">
        <v>5.3575379999999999</v>
      </c>
      <c r="E3670">
        <v>0.31680560000000002</v>
      </c>
      <c r="F3670" t="s">
        <v>46</v>
      </c>
      <c r="G3670">
        <v>-488.1</v>
      </c>
      <c r="H3670" s="1">
        <v>4.0469960000000003E-6</v>
      </c>
      <c r="I3670">
        <v>222.59880000000001</v>
      </c>
      <c r="J3670">
        <v>-491.94389999999999</v>
      </c>
      <c r="K3670">
        <v>1.1243669999999999</v>
      </c>
      <c r="L3670">
        <v>229.114</v>
      </c>
      <c r="M3670">
        <v>0.12776940000000001</v>
      </c>
      <c r="N3670">
        <v>-1.162376E-2</v>
      </c>
      <c r="O3670">
        <v>-0.99173579999999995</v>
      </c>
      <c r="P3670">
        <v>0.23352500000000001</v>
      </c>
      <c r="Q3670">
        <v>-9.2181920000000001E-2</v>
      </c>
      <c r="R3670">
        <v>-0.96797160000000004</v>
      </c>
      <c r="S3670">
        <v>1.563812</v>
      </c>
      <c r="T3670">
        <v>-0.45498759999999999</v>
      </c>
      <c r="U3670">
        <v>-2.684647</v>
      </c>
      <c r="V3670">
        <v>-0.1072511</v>
      </c>
      <c r="W3670">
        <v>-8.1563199999999905E-2</v>
      </c>
      <c r="X3670">
        <v>0.99088069999999895</v>
      </c>
      <c r="Y3670">
        <v>-0.38377840000000002</v>
      </c>
      <c r="Z3670">
        <v>0.13632169999999999</v>
      </c>
      <c r="AA3670">
        <v>0.91330750000000005</v>
      </c>
      <c r="AB3670">
        <v>17</v>
      </c>
      <c r="AC3670">
        <v>3.8438999999999601</v>
      </c>
      <c r="AD3670">
        <v>-1.124362953004</v>
      </c>
      <c r="AE3670">
        <v>-6.5151999999999903</v>
      </c>
      <c r="AF3670">
        <v>-2.9154818466540702</v>
      </c>
      <c r="AG3670">
        <v>-1.124362953004</v>
      </c>
      <c r="AH3670">
        <v>6.8026733380385602</v>
      </c>
      <c r="AI3670">
        <v>98.638221225010597</v>
      </c>
      <c r="AJ3670">
        <v>113.19894925289501</v>
      </c>
      <c r="AK3670">
        <v>7.4860263820212403</v>
      </c>
      <c r="AL3670">
        <v>94.678424378394396</v>
      </c>
      <c r="AM3670">
        <v>96.177540121533596</v>
      </c>
      <c r="AN3670">
        <v>0.999999957838969</v>
      </c>
    </row>
    <row r="3671" spans="1:40" x14ac:dyDescent="0.25">
      <c r="A3671" t="str">
        <f>"20190303154207938"</f>
        <v>20190303154207938</v>
      </c>
      <c r="B3671" t="str">
        <f>"1551598927933371"</f>
        <v>1551598927933371</v>
      </c>
      <c r="C3671" t="s">
        <v>40</v>
      </c>
      <c r="D3671">
        <v>5.4739800000000001</v>
      </c>
      <c r="E3671">
        <v>0.31456509999999999</v>
      </c>
      <c r="F3671" t="s">
        <v>42</v>
      </c>
      <c r="G3671">
        <v>-491.36</v>
      </c>
      <c r="H3671">
        <v>0.99419780000000002</v>
      </c>
      <c r="I3671">
        <v>228.40989999999999</v>
      </c>
      <c r="J3671">
        <v>-491.90320000000003</v>
      </c>
      <c r="K3671">
        <v>1.124466</v>
      </c>
      <c r="L3671">
        <v>228.88740000000001</v>
      </c>
      <c r="M3671">
        <v>0.13719049999999999</v>
      </c>
      <c r="N3671">
        <v>-1.166143E-2</v>
      </c>
      <c r="O3671">
        <v>-0.99047609999999997</v>
      </c>
      <c r="P3671">
        <v>0.2433313</v>
      </c>
      <c r="Q3671">
        <v>-9.2961160000000001E-2</v>
      </c>
      <c r="R3671">
        <v>-0.96547839999999996</v>
      </c>
      <c r="S3671">
        <v>2.111389</v>
      </c>
      <c r="T3671">
        <v>-0.47060390000000002</v>
      </c>
      <c r="U3671">
        <v>-2.545105</v>
      </c>
      <c r="V3671">
        <v>-0.1078655</v>
      </c>
      <c r="W3671">
        <v>-8.2339979999999993E-2</v>
      </c>
      <c r="X3671">
        <v>0.99074980000000001</v>
      </c>
      <c r="Y3671">
        <v>-0.52071149999999999</v>
      </c>
      <c r="Z3671">
        <v>0.134047</v>
      </c>
      <c r="AA3671">
        <v>0.84314349999999905</v>
      </c>
      <c r="AB3671">
        <v>17</v>
      </c>
      <c r="AC3671">
        <v>0.54320000000001301</v>
      </c>
      <c r="AD3671">
        <v>-0.130268199999999</v>
      </c>
      <c r="AE3671">
        <v>-0.47750000000002002</v>
      </c>
      <c r="AF3671">
        <v>-0.45770126093241198</v>
      </c>
      <c r="AG3671">
        <v>-0.130268199999999</v>
      </c>
      <c r="AH3671">
        <v>0.53030690484551402</v>
      </c>
      <c r="AI3671">
        <v>100.53448351923799</v>
      </c>
      <c r="AJ3671">
        <v>130.797066423167</v>
      </c>
      <c r="AK3671">
        <v>0.71252063936224896</v>
      </c>
      <c r="AL3671">
        <v>94.723080596908702</v>
      </c>
      <c r="AM3671">
        <v>96.213467309719903</v>
      </c>
      <c r="AN3671">
        <v>1.00000000229834</v>
      </c>
    </row>
    <row r="3672" spans="1:40" x14ac:dyDescent="0.25">
      <c r="A3672" t="str">
        <f>"20190303154207952"</f>
        <v>20190303154207952</v>
      </c>
      <c r="B3672" t="str">
        <f>"1551598927943131"</f>
        <v>1551598927943131</v>
      </c>
      <c r="C3672" t="s">
        <v>40</v>
      </c>
      <c r="D3672">
        <v>5.5188680000000003</v>
      </c>
      <c r="E3672">
        <v>0.31438630000000001</v>
      </c>
      <c r="F3672" t="s">
        <v>42</v>
      </c>
      <c r="G3672">
        <v>-491.25850000000003</v>
      </c>
      <c r="H3672">
        <v>0.97546770000000005</v>
      </c>
      <c r="I3672">
        <v>228.1337</v>
      </c>
      <c r="J3672">
        <v>-491.88319999999999</v>
      </c>
      <c r="K3672">
        <v>1.1245039999999999</v>
      </c>
      <c r="L3672">
        <v>228.7816</v>
      </c>
      <c r="M3672">
        <v>0.1417119</v>
      </c>
      <c r="N3672">
        <v>-1.167878E-2</v>
      </c>
      <c r="O3672">
        <v>-0.98983909999999997</v>
      </c>
      <c r="P3672">
        <v>0.24808530000000001</v>
      </c>
      <c r="Q3672">
        <v>-9.4040020000000002E-2</v>
      </c>
      <c r="R3672">
        <v>-0.9641632</v>
      </c>
      <c r="S3672">
        <v>2.1531370000000001</v>
      </c>
      <c r="T3672">
        <v>-0.4975251</v>
      </c>
      <c r="U3672">
        <v>-2.5166930000000001</v>
      </c>
      <c r="V3672">
        <v>-0.1082176</v>
      </c>
      <c r="W3672">
        <v>-8.3419729999999997E-2</v>
      </c>
      <c r="X3672">
        <v>0.99062110000000003</v>
      </c>
      <c r="Y3672">
        <v>-0.52883939999999996</v>
      </c>
      <c r="Z3672">
        <v>0.14217160000000001</v>
      </c>
      <c r="AA3672">
        <v>0.83672950000000001</v>
      </c>
      <c r="AB3672">
        <v>17</v>
      </c>
      <c r="AC3672">
        <v>0.62469999999996095</v>
      </c>
      <c r="AD3672">
        <v>-0.14903630000000001</v>
      </c>
      <c r="AE3672">
        <v>-0.64789999999999204</v>
      </c>
      <c r="AF3672">
        <v>-0.51251935148115002</v>
      </c>
      <c r="AG3672">
        <v>-0.14903630000000001</v>
      </c>
      <c r="AH3672">
        <v>0.71041354843726401</v>
      </c>
      <c r="AI3672">
        <v>99.655515416909793</v>
      </c>
      <c r="AJ3672">
        <v>125.808113367291</v>
      </c>
      <c r="AK3672">
        <v>0.88858050516741305</v>
      </c>
      <c r="AL3672">
        <v>94.785159154043995</v>
      </c>
      <c r="AM3672">
        <v>96.234393688911794</v>
      </c>
      <c r="AN3672">
        <v>1.00000003203412</v>
      </c>
    </row>
    <row r="3673" spans="1:40" x14ac:dyDescent="0.25">
      <c r="A3673" t="str">
        <f>"20190303154207965"</f>
        <v>20190303154207965</v>
      </c>
      <c r="B3673" t="str">
        <f>"1551598927952892"</f>
        <v>1551598927952892</v>
      </c>
      <c r="C3673" t="s">
        <v>40</v>
      </c>
      <c r="D3673">
        <v>5.4758459999999998</v>
      </c>
      <c r="E3673">
        <v>0.31413720000000001</v>
      </c>
      <c r="F3673" t="s">
        <v>42</v>
      </c>
      <c r="G3673">
        <v>-491.3073</v>
      </c>
      <c r="H3673">
        <v>0.98952560000000001</v>
      </c>
      <c r="I3673">
        <v>228.1156</v>
      </c>
      <c r="J3673">
        <v>-491.86520000000002</v>
      </c>
      <c r="K3673">
        <v>1.1245459999999901</v>
      </c>
      <c r="L3673">
        <v>228.68889999999999</v>
      </c>
      <c r="M3673">
        <v>0.14573659999999999</v>
      </c>
      <c r="N3673">
        <v>-1.1693810000000001E-2</v>
      </c>
      <c r="O3673">
        <v>-0.98925430000000003</v>
      </c>
      <c r="P3673">
        <v>0.2523089</v>
      </c>
      <c r="Q3673">
        <v>-9.4482969999999999E-2</v>
      </c>
      <c r="R3673">
        <v>-0.96302310000000002</v>
      </c>
      <c r="S3673">
        <v>2.166595</v>
      </c>
      <c r="T3673">
        <v>-0.5075752</v>
      </c>
      <c r="U3673">
        <v>-2.5045320000000002</v>
      </c>
      <c r="V3673">
        <v>-0.10852439999999999</v>
      </c>
      <c r="W3673">
        <v>-8.3862759999999995E-2</v>
      </c>
      <c r="X3673">
        <v>0.99055009999999999</v>
      </c>
      <c r="Y3673">
        <v>-0.52967730000000002</v>
      </c>
      <c r="Z3673">
        <v>0.14533009999999999</v>
      </c>
      <c r="AA3673">
        <v>0.83565619999999996</v>
      </c>
      <c r="AB3673">
        <v>17</v>
      </c>
      <c r="AC3673">
        <v>0.55790000000001705</v>
      </c>
      <c r="AD3673">
        <v>-0.13502039999999901</v>
      </c>
      <c r="AE3673">
        <v>-0.57329999999998904</v>
      </c>
      <c r="AF3673">
        <v>-0.45541220553009998</v>
      </c>
      <c r="AG3673">
        <v>-0.13502039999999901</v>
      </c>
      <c r="AH3673">
        <v>0.63052750943093805</v>
      </c>
      <c r="AI3673">
        <v>99.8480511764417</v>
      </c>
      <c r="AJ3673">
        <v>125.839517743447</v>
      </c>
      <c r="AK3673">
        <v>0.78942746690948895</v>
      </c>
      <c r="AL3673">
        <v>94.810632295717696</v>
      </c>
      <c r="AM3673">
        <v>96.252373180260307</v>
      </c>
      <c r="AN3673">
        <v>1.0000000042600901</v>
      </c>
    </row>
    <row r="3674" spans="1:40" x14ac:dyDescent="0.25">
      <c r="A3674" t="str">
        <f>"20190303154207988"</f>
        <v>20190303154207988</v>
      </c>
      <c r="B3674" t="str">
        <f>"1551598927983148"</f>
        <v>1551598927983148</v>
      </c>
      <c r="C3674" t="s">
        <v>40</v>
      </c>
      <c r="D3674">
        <v>5.4142539999999997</v>
      </c>
      <c r="E3674">
        <v>0.313922599999999</v>
      </c>
      <c r="F3674" t="s">
        <v>42</v>
      </c>
      <c r="G3674">
        <v>-491.24689999999998</v>
      </c>
      <c r="H3674">
        <v>0.97884890000000002</v>
      </c>
      <c r="I3674">
        <v>227.98099999999999</v>
      </c>
      <c r="J3674">
        <v>-491.83199999999999</v>
      </c>
      <c r="K3674">
        <v>1.1246149999999999</v>
      </c>
      <c r="L3674">
        <v>228.5231</v>
      </c>
      <c r="M3674">
        <v>0.15305759999999999</v>
      </c>
      <c r="N3674">
        <v>-1.172045E-2</v>
      </c>
      <c r="O3674">
        <v>-0.98814789999999997</v>
      </c>
      <c r="P3674">
        <v>0.260125299999999</v>
      </c>
      <c r="Q3674">
        <v>-9.4465110000000005E-2</v>
      </c>
      <c r="R3674">
        <v>-0.96094290000000004</v>
      </c>
      <c r="S3674">
        <v>2.1790470000000002</v>
      </c>
      <c r="T3674">
        <v>-0.51325699999999996</v>
      </c>
      <c r="U3674">
        <v>-2.4939420000000001</v>
      </c>
      <c r="V3674">
        <v>-0.1092217</v>
      </c>
      <c r="W3674">
        <v>-8.3846290000000004E-2</v>
      </c>
      <c r="X3674">
        <v>0.99047479999999999</v>
      </c>
      <c r="Y3674">
        <v>-0.52736850000000002</v>
      </c>
      <c r="Z3674">
        <v>0.1471662</v>
      </c>
      <c r="AA3674">
        <v>0.83679429999999999</v>
      </c>
      <c r="AB3674">
        <v>17</v>
      </c>
      <c r="AC3674">
        <v>0.58510000000001094</v>
      </c>
      <c r="AD3674">
        <v>-0.14576610000000001</v>
      </c>
      <c r="AE3674">
        <v>-0.54210000000000402</v>
      </c>
      <c r="AF3674">
        <v>-0.47922210192792403</v>
      </c>
      <c r="AG3674">
        <v>-0.14576610000000001</v>
      </c>
      <c r="AH3674">
        <v>0.60506440791496297</v>
      </c>
      <c r="AI3674">
        <v>100.694480928735</v>
      </c>
      <c r="AJ3674">
        <v>128.37986931080101</v>
      </c>
      <c r="AK3674">
        <v>0.78549635047587096</v>
      </c>
      <c r="AL3674">
        <v>94.809685537527201</v>
      </c>
      <c r="AM3674">
        <v>96.292699760878307</v>
      </c>
      <c r="AN3674">
        <v>0.99999995476634596</v>
      </c>
    </row>
    <row r="3675" spans="1:40" x14ac:dyDescent="0.25">
      <c r="A3675" t="str">
        <f>"20190303154208009"</f>
        <v>20190303154208009</v>
      </c>
      <c r="B3675" t="str">
        <f>"1551598928003643"</f>
        <v>1551598928003643</v>
      </c>
      <c r="C3675" t="s">
        <v>40</v>
      </c>
      <c r="D3675">
        <v>5.4308389999999997</v>
      </c>
      <c r="E3675">
        <v>0.31395329999999999</v>
      </c>
      <c r="F3675" t="s">
        <v>42</v>
      </c>
      <c r="G3675">
        <v>-491.2192</v>
      </c>
      <c r="H3675">
        <v>0.97959149999999995</v>
      </c>
      <c r="I3675">
        <v>227.834</v>
      </c>
      <c r="J3675">
        <v>-491.798</v>
      </c>
      <c r="K3675">
        <v>1.12469</v>
      </c>
      <c r="L3675">
        <v>228.36109999999999</v>
      </c>
      <c r="M3675">
        <v>0.16038929999999901</v>
      </c>
      <c r="N3675">
        <v>-1.174647E-2</v>
      </c>
      <c r="O3675">
        <v>-0.98698379999999997</v>
      </c>
      <c r="P3675">
        <v>0.26782869999999998</v>
      </c>
      <c r="Q3675">
        <v>-9.4526150000000003E-2</v>
      </c>
      <c r="R3675">
        <v>-0.95881819999999895</v>
      </c>
      <c r="S3675">
        <v>2.2007750000000001</v>
      </c>
      <c r="T3675">
        <v>-0.52078029999999997</v>
      </c>
      <c r="U3675">
        <v>-2.475006</v>
      </c>
      <c r="V3675">
        <v>-0.1098015</v>
      </c>
      <c r="W3675">
        <v>-8.3908440000000001E-2</v>
      </c>
      <c r="X3675">
        <v>0.99040550000000005</v>
      </c>
      <c r="Y3675">
        <v>-0.52812550000000003</v>
      </c>
      <c r="Z3675">
        <v>0.1496024</v>
      </c>
      <c r="AA3675">
        <v>0.83588430000000002</v>
      </c>
      <c r="AB3675">
        <v>17</v>
      </c>
      <c r="AC3675">
        <v>0.57880000000000098</v>
      </c>
      <c r="AD3675">
        <v>-0.14509849999999899</v>
      </c>
      <c r="AE3675">
        <v>-0.52709999999999002</v>
      </c>
      <c r="AF3675">
        <v>-0.47059200266170997</v>
      </c>
      <c r="AG3675">
        <v>-0.14509849999999899</v>
      </c>
      <c r="AH3675">
        <v>0.59275154541823605</v>
      </c>
      <c r="AI3675">
        <v>100.852801827425</v>
      </c>
      <c r="AJ3675">
        <v>128.446449261705</v>
      </c>
      <c r="AK3675">
        <v>0.77062624031829896</v>
      </c>
      <c r="AL3675">
        <v>94.813258724010296</v>
      </c>
      <c r="AM3675">
        <v>96.326273307584898</v>
      </c>
      <c r="AN3675">
        <v>1.00000002506786</v>
      </c>
    </row>
    <row r="3676" spans="1:40" x14ac:dyDescent="0.25">
      <c r="A3676" t="str">
        <f>"20190303154208045"</f>
        <v>20190303154208045</v>
      </c>
      <c r="B3676" t="str">
        <f>"1551598928043660"</f>
        <v>1551598928043660</v>
      </c>
      <c r="C3676" t="s">
        <v>40</v>
      </c>
      <c r="D3676">
        <v>5.3555349999999997</v>
      </c>
      <c r="E3676">
        <v>0.31426549999999998</v>
      </c>
      <c r="F3676" t="s">
        <v>42</v>
      </c>
      <c r="G3676">
        <v>-491.18939999999998</v>
      </c>
      <c r="H3676">
        <v>0.98109900000000005</v>
      </c>
      <c r="I3676">
        <v>227.6876</v>
      </c>
      <c r="J3676">
        <v>-491.73880000000003</v>
      </c>
      <c r="K3676">
        <v>1.124819</v>
      </c>
      <c r="L3676">
        <v>228.0941</v>
      </c>
      <c r="M3676">
        <v>0.172847</v>
      </c>
      <c r="N3676">
        <v>-1.1789829999999999E-2</v>
      </c>
      <c r="O3676">
        <v>-0.98487800000000003</v>
      </c>
      <c r="P3676">
        <v>0.28084310000000001</v>
      </c>
      <c r="Q3676">
        <v>-9.5166470000000003E-2</v>
      </c>
      <c r="R3676">
        <v>-0.95502379999999998</v>
      </c>
      <c r="S3676">
        <v>2.2202760000000001</v>
      </c>
      <c r="T3676">
        <v>-0.52378709999999995</v>
      </c>
      <c r="U3676">
        <v>-2.457001</v>
      </c>
      <c r="V3676">
        <v>-0.11073429999999999</v>
      </c>
      <c r="W3676">
        <v>-8.455124E-2</v>
      </c>
      <c r="X3676">
        <v>0.99024699999999999</v>
      </c>
      <c r="Y3676">
        <v>-0.52402929999999903</v>
      </c>
      <c r="Z3676">
        <v>0.15071289999999901</v>
      </c>
      <c r="AA3676">
        <v>0.83825949999999905</v>
      </c>
      <c r="AB3676">
        <v>17</v>
      </c>
      <c r="AC3676">
        <v>0.54940000000004796</v>
      </c>
      <c r="AD3676">
        <v>-0.14371999999999999</v>
      </c>
      <c r="AE3676">
        <v>-0.40649999999999398</v>
      </c>
      <c r="AF3676">
        <v>-0.45092168412815498</v>
      </c>
      <c r="AG3676">
        <v>-0.14371999999999999</v>
      </c>
      <c r="AH3676">
        <v>0.474371755437478</v>
      </c>
      <c r="AI3676">
        <v>102.38503022994099</v>
      </c>
      <c r="AJ3676">
        <v>133.548241550527</v>
      </c>
      <c r="AK3676">
        <v>0.67008534230634098</v>
      </c>
      <c r="AL3676">
        <v>94.850219631494895</v>
      </c>
      <c r="AM3676">
        <v>96.380588534680001</v>
      </c>
      <c r="AN3676">
        <v>1.00000005919551</v>
      </c>
    </row>
    <row r="3677" spans="1:40" x14ac:dyDescent="0.25">
      <c r="A3677" t="str">
        <f>"20190303154208058"</f>
        <v>20190303154208058</v>
      </c>
      <c r="B3677" t="str">
        <f>"1551598928053419"</f>
        <v>1551598928053419</v>
      </c>
      <c r="C3677" t="s">
        <v>40</v>
      </c>
      <c r="D3677">
        <v>5.3282369999999997</v>
      </c>
      <c r="E3677">
        <v>0.31426720000000002</v>
      </c>
      <c r="F3677" t="s">
        <v>42</v>
      </c>
      <c r="G3677">
        <v>-491.101</v>
      </c>
      <c r="H3677">
        <v>0.97486450000000002</v>
      </c>
      <c r="I3677">
        <v>227.40610000000001</v>
      </c>
      <c r="J3677">
        <v>-491.71699999999998</v>
      </c>
      <c r="K3677">
        <v>1.1248670000000001</v>
      </c>
      <c r="L3677">
        <v>227.99950000000001</v>
      </c>
      <c r="M3677">
        <v>0.177361299999999</v>
      </c>
      <c r="N3677">
        <v>-1.18052E-2</v>
      </c>
      <c r="O3677">
        <v>-0.98407520000000004</v>
      </c>
      <c r="P3677">
        <v>0.28541919999999998</v>
      </c>
      <c r="Q3677">
        <v>-9.5476549999999993E-2</v>
      </c>
      <c r="R3677">
        <v>-0.95363540000000002</v>
      </c>
      <c r="S3677">
        <v>2.2506710000000001</v>
      </c>
      <c r="T3677">
        <v>-0.52884240000000005</v>
      </c>
      <c r="U3677">
        <v>-2.4267430000000001</v>
      </c>
      <c r="V3677">
        <v>-0.1109344</v>
      </c>
      <c r="W3677">
        <v>-8.4861140000000002E-2</v>
      </c>
      <c r="X3677">
        <v>0.99019800000000002</v>
      </c>
      <c r="Y3677">
        <v>-0.53077830000000004</v>
      </c>
      <c r="Z3677">
        <v>0.15254489999999901</v>
      </c>
      <c r="AA3677">
        <v>0.83366929999999995</v>
      </c>
      <c r="AB3677">
        <v>17</v>
      </c>
      <c r="AC3677">
        <v>0.615999999999985</v>
      </c>
      <c r="AD3677">
        <v>-0.15000250000000001</v>
      </c>
      <c r="AE3677">
        <v>-0.59340000000000204</v>
      </c>
      <c r="AF3677">
        <v>-0.48603039659672398</v>
      </c>
      <c r="AG3677">
        <v>-0.15000250000000001</v>
      </c>
      <c r="AH3677">
        <v>0.67256721386608598</v>
      </c>
      <c r="AI3677">
        <v>100.246641028605</v>
      </c>
      <c r="AJ3677">
        <v>125.853740767235</v>
      </c>
      <c r="AK3677">
        <v>0.84325141778108403</v>
      </c>
      <c r="AL3677">
        <v>94.868040089564602</v>
      </c>
      <c r="AM3677">
        <v>96.392336784309805</v>
      </c>
      <c r="AN3677">
        <v>0.99999996669472901</v>
      </c>
    </row>
    <row r="3678" spans="1:40" x14ac:dyDescent="0.25">
      <c r="A3678" t="str">
        <f>"20190303154208074"</f>
        <v>20190303154208074</v>
      </c>
      <c r="B3678" t="str">
        <f>"1551598928063180"</f>
        <v>1551598928063180</v>
      </c>
      <c r="C3678" t="s">
        <v>40</v>
      </c>
      <c r="D3678">
        <v>5.3402310000000002</v>
      </c>
      <c r="E3678">
        <v>0.31421579999999999</v>
      </c>
      <c r="F3678" t="s">
        <v>46</v>
      </c>
      <c r="G3678">
        <v>-486.91419999999999</v>
      </c>
      <c r="H3678" s="1">
        <v>3.868421E-6</v>
      </c>
      <c r="I3678">
        <v>222.87110000000001</v>
      </c>
      <c r="J3678">
        <v>-491.68680000000001</v>
      </c>
      <c r="K3678">
        <v>1.124927</v>
      </c>
      <c r="L3678">
        <v>227.87289999999999</v>
      </c>
      <c r="M3678">
        <v>0.1835048</v>
      </c>
      <c r="N3678">
        <v>-1.182588E-2</v>
      </c>
      <c r="O3678">
        <v>-0.98294769999999998</v>
      </c>
      <c r="P3678">
        <v>0.291778599999999</v>
      </c>
      <c r="Q3678">
        <v>-9.5911449999999995E-2</v>
      </c>
      <c r="R3678">
        <v>-0.95166499999999998</v>
      </c>
      <c r="S3678">
        <v>2.2623289999999998</v>
      </c>
      <c r="T3678">
        <v>-0.52986290000000003</v>
      </c>
      <c r="U3678">
        <v>-2.4157099999999998</v>
      </c>
      <c r="V3678">
        <v>-0.11135</v>
      </c>
      <c r="W3678">
        <v>-8.5297509999999993E-2</v>
      </c>
      <c r="X3678">
        <v>0.99011389999999999</v>
      </c>
      <c r="Y3678">
        <v>-0.52951099999999995</v>
      </c>
      <c r="Z3678">
        <v>0.15295410000000001</v>
      </c>
      <c r="AA3678">
        <v>0.83439989999999997</v>
      </c>
      <c r="AB3678">
        <v>17</v>
      </c>
      <c r="AC3678">
        <v>4.7726000000000104</v>
      </c>
      <c r="AD3678">
        <v>-1.124923131579</v>
      </c>
      <c r="AE3678">
        <v>-5.00179999999997</v>
      </c>
      <c r="AF3678">
        <v>-3.6762912187649999</v>
      </c>
      <c r="AG3678">
        <v>-1.124923131579</v>
      </c>
      <c r="AH3678">
        <v>5.6432943950947401</v>
      </c>
      <c r="AI3678">
        <v>99.482207152732002</v>
      </c>
      <c r="AJ3678">
        <v>123.081997680855</v>
      </c>
      <c r="AK3678">
        <v>6.8284215457774602</v>
      </c>
      <c r="AL3678">
        <v>94.893133014110504</v>
      </c>
      <c r="AM3678">
        <v>96.416625868307406</v>
      </c>
      <c r="AN3678">
        <v>1.0000000113426999</v>
      </c>
    </row>
    <row r="3679" spans="1:40" x14ac:dyDescent="0.25">
      <c r="A3679" t="str">
        <f>"20190303154208086"</f>
        <v>20190303154208086</v>
      </c>
      <c r="B3679" t="str">
        <f>"1551598928083676"</f>
        <v>1551598928083676</v>
      </c>
      <c r="C3679" t="s">
        <v>40</v>
      </c>
      <c r="D3679">
        <v>5.3612510000000002</v>
      </c>
      <c r="E3679">
        <v>0.31446629999999998</v>
      </c>
      <c r="F3679" t="s">
        <v>42</v>
      </c>
      <c r="G3679">
        <v>-491.0949</v>
      </c>
      <c r="H3679">
        <v>0.98688129999999996</v>
      </c>
      <c r="I3679">
        <v>227.2492</v>
      </c>
      <c r="J3679">
        <v>-491.66609999999997</v>
      </c>
      <c r="K3679">
        <v>1.1249610000000001</v>
      </c>
      <c r="L3679">
        <v>227.78890000000001</v>
      </c>
      <c r="M3679">
        <v>0.1876582</v>
      </c>
      <c r="N3679">
        <v>-1.183976E-2</v>
      </c>
      <c r="O3679">
        <v>-0.98216309999999996</v>
      </c>
      <c r="P3679">
        <v>0.29628739999999998</v>
      </c>
      <c r="Q3679">
        <v>-9.5988089999999998E-2</v>
      </c>
      <c r="R3679">
        <v>-0.95026339999999998</v>
      </c>
      <c r="S3679">
        <v>2.2785639999999998</v>
      </c>
      <c r="T3679">
        <v>-0.53127840000000004</v>
      </c>
      <c r="U3679">
        <v>-2.4002379999999999</v>
      </c>
      <c r="V3679">
        <v>-0.11185059999999999</v>
      </c>
      <c r="W3679">
        <v>-8.5376880000000002E-2</v>
      </c>
      <c r="X3679">
        <v>0.9900506</v>
      </c>
      <c r="Y3679">
        <v>-0.53153589999999995</v>
      </c>
      <c r="Z3679">
        <v>0.1535079</v>
      </c>
      <c r="AA3679">
        <v>0.83300959999999902</v>
      </c>
      <c r="AB3679">
        <v>17</v>
      </c>
      <c r="AC3679">
        <v>0.57119999999997595</v>
      </c>
      <c r="AD3679">
        <v>-0.1380797</v>
      </c>
      <c r="AE3679">
        <v>-0.53970000000000995</v>
      </c>
      <c r="AF3679">
        <v>-0.445995046266638</v>
      </c>
      <c r="AG3679">
        <v>-0.1380797</v>
      </c>
      <c r="AH3679">
        <v>0.61822154175911403</v>
      </c>
      <c r="AI3679">
        <v>100.266916091838</v>
      </c>
      <c r="AJ3679">
        <v>125.807291370824</v>
      </c>
      <c r="AK3679">
        <v>0.77470991960958302</v>
      </c>
      <c r="AL3679">
        <v>94.897697386288797</v>
      </c>
      <c r="AM3679">
        <v>96.445639719577102</v>
      </c>
      <c r="AN3679">
        <v>0.99999997945962704</v>
      </c>
    </row>
    <row r="3680" spans="1:40" x14ac:dyDescent="0.25">
      <c r="A3680" t="str">
        <f>"20190303154208101"</f>
        <v>20190303154208101</v>
      </c>
      <c r="B3680" t="str">
        <f>"1551598928093436"</f>
        <v>1551598928093436</v>
      </c>
      <c r="C3680" t="s">
        <v>40</v>
      </c>
      <c r="D3680">
        <v>5.3532279999999997</v>
      </c>
      <c r="E3680">
        <v>0.31459009999999998</v>
      </c>
      <c r="F3680" t="s">
        <v>42</v>
      </c>
      <c r="G3680">
        <v>-491.02510000000001</v>
      </c>
      <c r="H3680">
        <v>0.97602619999999896</v>
      </c>
      <c r="I3680">
        <v>227.119</v>
      </c>
      <c r="J3680">
        <v>-491.63959999999997</v>
      </c>
      <c r="K3680">
        <v>1.12501299999999</v>
      </c>
      <c r="L3680">
        <v>227.68279999999999</v>
      </c>
      <c r="M3680">
        <v>0.19294539999999999</v>
      </c>
      <c r="N3680">
        <v>-1.185806E-2</v>
      </c>
      <c r="O3680">
        <v>-0.98113779999999995</v>
      </c>
      <c r="P3680">
        <v>0.3014367</v>
      </c>
      <c r="Q3680">
        <v>-9.5776189999999997E-2</v>
      </c>
      <c r="R3680">
        <v>-0.9486637</v>
      </c>
      <c r="S3680">
        <v>2.2879939999999999</v>
      </c>
      <c r="T3680">
        <v>-0.53136919999999899</v>
      </c>
      <c r="U3680">
        <v>-2.389923</v>
      </c>
      <c r="V3680">
        <v>-0.1118753</v>
      </c>
      <c r="W3680">
        <v>-8.5160699999999895E-2</v>
      </c>
      <c r="X3680">
        <v>0.99006649999999996</v>
      </c>
      <c r="Y3680">
        <v>-0.53049199999999996</v>
      </c>
      <c r="Z3680">
        <v>0.15365589999999901</v>
      </c>
      <c r="AA3680">
        <v>0.83364749999999999</v>
      </c>
      <c r="AB3680">
        <v>17</v>
      </c>
      <c r="AC3680">
        <v>0.61449999999996396</v>
      </c>
      <c r="AD3680">
        <v>-0.148986799999999</v>
      </c>
      <c r="AE3680">
        <v>-0.563799999999957</v>
      </c>
      <c r="AF3680">
        <v>-0.478877401240143</v>
      </c>
      <c r="AG3680">
        <v>-0.148986799999999</v>
      </c>
      <c r="AH3680">
        <v>0.65100027487650103</v>
      </c>
      <c r="AI3680">
        <v>100.445357549029</v>
      </c>
      <c r="AJ3680">
        <v>126.338291124351</v>
      </c>
      <c r="AK3680">
        <v>0.82177976969625699</v>
      </c>
      <c r="AL3680">
        <v>94.885265558424393</v>
      </c>
      <c r="AM3680">
        <v>96.446948464215097</v>
      </c>
      <c r="AN3680">
        <v>1.0000000509984099</v>
      </c>
    </row>
    <row r="3681" spans="1:40" x14ac:dyDescent="0.25">
      <c r="A3681" t="str">
        <f>"20190303154208114"</f>
        <v>20190303154208114</v>
      </c>
      <c r="B3681" t="str">
        <f>"1551598928103196"</f>
        <v>1551598928103196</v>
      </c>
      <c r="C3681" t="s">
        <v>40</v>
      </c>
      <c r="D3681">
        <v>5.3468070000000001</v>
      </c>
      <c r="E3681">
        <v>0.31462069999999998</v>
      </c>
      <c r="F3681" t="s">
        <v>42</v>
      </c>
      <c r="G3681">
        <v>-490.964</v>
      </c>
      <c r="H3681">
        <v>0.96896450000000001</v>
      </c>
      <c r="I3681">
        <v>226.98429999999999</v>
      </c>
      <c r="J3681">
        <v>-491.61419999999998</v>
      </c>
      <c r="K3681">
        <v>1.125062</v>
      </c>
      <c r="L3681">
        <v>227.58369999999999</v>
      </c>
      <c r="M3681">
        <v>0.1979409</v>
      </c>
      <c r="N3681">
        <v>-1.1876569999999999E-2</v>
      </c>
      <c r="O3681">
        <v>-0.98014210000000002</v>
      </c>
      <c r="P3681">
        <v>0.30681520000000001</v>
      </c>
      <c r="Q3681">
        <v>-9.5416050000000002E-2</v>
      </c>
      <c r="R3681">
        <v>-0.94697439999999999</v>
      </c>
      <c r="S3681">
        <v>2.3001399999999999</v>
      </c>
      <c r="T3681">
        <v>-0.53124899999999997</v>
      </c>
      <c r="U3681">
        <v>-2.377853</v>
      </c>
      <c r="V3681">
        <v>-0.1124363</v>
      </c>
      <c r="W3681">
        <v>-8.4801290000000001E-2</v>
      </c>
      <c r="X3681">
        <v>0.99003370000000002</v>
      </c>
      <c r="Y3681">
        <v>-0.53050410000000003</v>
      </c>
      <c r="Z3681">
        <v>0.15371850000000001</v>
      </c>
      <c r="AA3681">
        <v>0.83362819999999904</v>
      </c>
      <c r="AB3681">
        <v>17</v>
      </c>
      <c r="AC3681">
        <v>0.65019999999998301</v>
      </c>
      <c r="AD3681">
        <v>-0.1560975</v>
      </c>
      <c r="AE3681">
        <v>-0.59940000000000204</v>
      </c>
      <c r="AF3681">
        <v>-0.50300671540513797</v>
      </c>
      <c r="AG3681">
        <v>-0.1560975</v>
      </c>
      <c r="AH3681">
        <v>0.69460658667587705</v>
      </c>
      <c r="AI3681">
        <v>100.315743047018</v>
      </c>
      <c r="AJ3681">
        <v>125.910574726798</v>
      </c>
      <c r="AK3681">
        <v>0.87169977371938601</v>
      </c>
      <c r="AL3681">
        <v>94.864598594556895</v>
      </c>
      <c r="AM3681">
        <v>96.479215378949107</v>
      </c>
      <c r="AN3681">
        <v>0.99999995373952</v>
      </c>
    </row>
    <row r="3682" spans="1:40" x14ac:dyDescent="0.25">
      <c r="A3682" t="str">
        <f>"20190303154208132"</f>
        <v>20190303154208132</v>
      </c>
      <c r="B3682" t="str">
        <f>"1551598928123691"</f>
        <v>1551598928123691</v>
      </c>
      <c r="C3682" t="s">
        <v>40</v>
      </c>
      <c r="D3682">
        <v>5.355003</v>
      </c>
      <c r="E3682">
        <v>0.31498989999999999</v>
      </c>
      <c r="F3682" t="s">
        <v>42</v>
      </c>
      <c r="G3682">
        <v>-491.0095</v>
      </c>
      <c r="H3682">
        <v>0.98630930000000006</v>
      </c>
      <c r="I3682">
        <v>226.96549999999999</v>
      </c>
      <c r="J3682">
        <v>-491.58069999999998</v>
      </c>
      <c r="K3682">
        <v>1.1251249999999999</v>
      </c>
      <c r="L3682">
        <v>227.45699999999999</v>
      </c>
      <c r="M3682">
        <v>0.20444090000000001</v>
      </c>
      <c r="N3682">
        <v>-1.19043E-2</v>
      </c>
      <c r="O3682">
        <v>-0.97880679999999998</v>
      </c>
      <c r="P3682">
        <v>0.31420769999999998</v>
      </c>
      <c r="Q3682">
        <v>-9.4866660000000005E-2</v>
      </c>
      <c r="R3682">
        <v>-0.94460270000000002</v>
      </c>
      <c r="S3682">
        <v>2.3132320000000002</v>
      </c>
      <c r="T3682">
        <v>-0.53075830000000002</v>
      </c>
      <c r="U3682">
        <v>-2.3650359999999999</v>
      </c>
      <c r="V3682">
        <v>-0.1135864</v>
      </c>
      <c r="W3682">
        <v>-8.4253120000000001E-2</v>
      </c>
      <c r="X3682">
        <v>0.98994930000000003</v>
      </c>
      <c r="Y3682">
        <v>-0.52953269999999997</v>
      </c>
      <c r="Z3682">
        <v>0.15365290000000001</v>
      </c>
      <c r="AA3682">
        <v>0.83425769999999899</v>
      </c>
      <c r="AB3682">
        <v>17</v>
      </c>
      <c r="AC3682">
        <v>0.57119999999997595</v>
      </c>
      <c r="AD3682">
        <v>-0.13881569999999899</v>
      </c>
      <c r="AE3682">
        <v>-0.49150000000000199</v>
      </c>
      <c r="AF3682">
        <v>-0.44359079114424399</v>
      </c>
      <c r="AG3682">
        <v>-0.13881569999999899</v>
      </c>
      <c r="AH3682">
        <v>0.57827841714592298</v>
      </c>
      <c r="AI3682">
        <v>100.783753668532</v>
      </c>
      <c r="AJ3682">
        <v>127.49140274812299</v>
      </c>
      <c r="AK3682">
        <v>0.74192217670808303</v>
      </c>
      <c r="AL3682">
        <v>94.833077552349593</v>
      </c>
      <c r="AM3682">
        <v>96.545471643540097</v>
      </c>
      <c r="AN3682">
        <v>1.0000000375325899</v>
      </c>
    </row>
    <row r="3683" spans="1:40" x14ac:dyDescent="0.25">
      <c r="A3683" t="str">
        <f>"20190303154208148"</f>
        <v>20190303154208148</v>
      </c>
      <c r="B3683" t="str">
        <f>"1551598928143212"</f>
        <v>1551598928143212</v>
      </c>
      <c r="C3683" t="s">
        <v>40</v>
      </c>
      <c r="D3683">
        <v>5.3326399999999996</v>
      </c>
      <c r="E3683">
        <v>0.31527129999999998</v>
      </c>
      <c r="F3683" t="s">
        <v>42</v>
      </c>
      <c r="G3683">
        <v>-490.9572</v>
      </c>
      <c r="H3683">
        <v>0.98299650000000005</v>
      </c>
      <c r="I3683">
        <v>226.8278</v>
      </c>
      <c r="J3683">
        <v>-491.54930000000002</v>
      </c>
      <c r="K3683">
        <v>1.125183</v>
      </c>
      <c r="L3683">
        <v>227.3416</v>
      </c>
      <c r="M3683">
        <v>0.21045330000000001</v>
      </c>
      <c r="N3683">
        <v>-1.193175E-2</v>
      </c>
      <c r="O3683">
        <v>-0.97753120000000004</v>
      </c>
      <c r="P3683">
        <v>0.32049490000000003</v>
      </c>
      <c r="Q3683">
        <v>-9.4638050000000001E-2</v>
      </c>
      <c r="R3683">
        <v>-0.94251110000000005</v>
      </c>
      <c r="S3683">
        <v>2.3286440000000002</v>
      </c>
      <c r="T3683">
        <v>-0.53034209999999904</v>
      </c>
      <c r="U3683">
        <v>-2.3480829999999999</v>
      </c>
      <c r="V3683">
        <v>-0.1140843</v>
      </c>
      <c r="W3683">
        <v>-8.4017629999999996E-2</v>
      </c>
      <c r="X3683">
        <v>0.98991200000000001</v>
      </c>
      <c r="Y3683">
        <v>-0.53011160000000002</v>
      </c>
      <c r="Z3683">
        <v>0.15368809999999999</v>
      </c>
      <c r="AA3683">
        <v>0.833883499999999</v>
      </c>
      <c r="AB3683">
        <v>17</v>
      </c>
      <c r="AC3683">
        <v>0.59210000000001595</v>
      </c>
      <c r="AD3683">
        <v>-0.14218649999999999</v>
      </c>
      <c r="AE3683">
        <v>-0.51380000000000303</v>
      </c>
      <c r="AF3683">
        <v>-0.45570780376254699</v>
      </c>
      <c r="AG3683">
        <v>-0.14218649999999999</v>
      </c>
      <c r="AH3683">
        <v>0.60694346781205699</v>
      </c>
      <c r="AI3683">
        <v>100.610745714872</v>
      </c>
      <c r="AJ3683">
        <v>126.90010611841301</v>
      </c>
      <c r="AK3683">
        <v>0.77218325306371405</v>
      </c>
      <c r="AL3683">
        <v>94.819537243495603</v>
      </c>
      <c r="AM3683">
        <v>96.574158306489295</v>
      </c>
      <c r="AN3683">
        <v>0.99999997870065305</v>
      </c>
    </row>
    <row r="3684" spans="1:40" x14ac:dyDescent="0.25">
      <c r="A3684" t="str">
        <f>"20190303154208165"</f>
        <v>20190303154208165</v>
      </c>
      <c r="B3684" t="str">
        <f>"1551598928152972"</f>
        <v>1551598928152972</v>
      </c>
      <c r="C3684" t="s">
        <v>40</v>
      </c>
      <c r="D3684">
        <v>5.2942339999999897</v>
      </c>
      <c r="E3684">
        <v>0.31532559999999998</v>
      </c>
      <c r="F3684" t="s">
        <v>42</v>
      </c>
      <c r="G3684">
        <v>-490.89830000000001</v>
      </c>
      <c r="H3684">
        <v>0.97807449999999996</v>
      </c>
      <c r="I3684">
        <v>226.69319999999999</v>
      </c>
      <c r="J3684">
        <v>-491.51389999999998</v>
      </c>
      <c r="K3684">
        <v>1.1252390000000001</v>
      </c>
      <c r="L3684">
        <v>227.21539999999999</v>
      </c>
      <c r="M3684">
        <v>0.21712709999999999</v>
      </c>
      <c r="N3684">
        <v>-1.196272E-2</v>
      </c>
      <c r="O3684">
        <v>-0.97606999999999999</v>
      </c>
      <c r="P3684">
        <v>0.32804879999999997</v>
      </c>
      <c r="Q3684">
        <v>-9.4979499999999994E-2</v>
      </c>
      <c r="R3684">
        <v>-0.93987399999999999</v>
      </c>
      <c r="S3684">
        <v>2.3423159999999998</v>
      </c>
      <c r="T3684">
        <v>-0.52931079999999997</v>
      </c>
      <c r="U3684">
        <v>-2.3333439999999999</v>
      </c>
      <c r="V3684">
        <v>-0.1152562</v>
      </c>
      <c r="W3684">
        <v>-8.4358970000000005E-2</v>
      </c>
      <c r="X3684">
        <v>0.98974720000000005</v>
      </c>
      <c r="Y3684">
        <v>-0.52943750000000001</v>
      </c>
      <c r="Z3684">
        <v>0.15348619999999999</v>
      </c>
      <c r="AA3684">
        <v>0.8343488</v>
      </c>
      <c r="AB3684">
        <v>17</v>
      </c>
      <c r="AC3684">
        <v>0.61559999999997195</v>
      </c>
      <c r="AD3684">
        <v>-0.147164499999999</v>
      </c>
      <c r="AE3684">
        <v>-0.522199999999998</v>
      </c>
      <c r="AF3684">
        <v>-0.47183856035871102</v>
      </c>
      <c r="AG3684">
        <v>-0.147164499999999</v>
      </c>
      <c r="AH3684">
        <v>0.62271762512087203</v>
      </c>
      <c r="AI3684">
        <v>100.66734379624999</v>
      </c>
      <c r="AJ3684">
        <v>127.151525812016</v>
      </c>
      <c r="AK3684">
        <v>0.79502594783932101</v>
      </c>
      <c r="AL3684">
        <v>94.839164288336704</v>
      </c>
      <c r="AM3684">
        <v>96.642185269539496</v>
      </c>
      <c r="AN3684">
        <v>0.99999997368286997</v>
      </c>
    </row>
    <row r="3685" spans="1:40" x14ac:dyDescent="0.25">
      <c r="A3685" t="str">
        <f>"20190303154208179"</f>
        <v>20190303154208179</v>
      </c>
      <c r="B3685" t="str">
        <f>"1551598928173468"</f>
        <v>1551598928173468</v>
      </c>
      <c r="C3685" t="s">
        <v>40</v>
      </c>
      <c r="D3685">
        <v>5.2959930000000002</v>
      </c>
      <c r="E3685">
        <v>0.31565969999999999</v>
      </c>
      <c r="F3685" t="s">
        <v>42</v>
      </c>
      <c r="G3685">
        <v>-490.84280000000001</v>
      </c>
      <c r="H3685">
        <v>0.97412299999999996</v>
      </c>
      <c r="I3685">
        <v>226.55709999999999</v>
      </c>
      <c r="J3685">
        <v>-491.48579999999998</v>
      </c>
      <c r="K3685">
        <v>1.1252850000000001</v>
      </c>
      <c r="L3685">
        <v>227.1173</v>
      </c>
      <c r="M3685">
        <v>0.22237019999999999</v>
      </c>
      <c r="N3685">
        <v>-1.1986719999999999E-2</v>
      </c>
      <c r="O3685">
        <v>-0.97488889999999995</v>
      </c>
      <c r="P3685">
        <v>0.33391349999999997</v>
      </c>
      <c r="Q3685">
        <v>-9.5207910000000007E-2</v>
      </c>
      <c r="R3685">
        <v>-0.93778349999999999</v>
      </c>
      <c r="S3685">
        <v>2.360077</v>
      </c>
      <c r="T3685">
        <v>-0.53126649999999997</v>
      </c>
      <c r="U3685">
        <v>-2.3144680000000002</v>
      </c>
      <c r="V3685">
        <v>-0.1161119</v>
      </c>
      <c r="W3685">
        <v>-8.4586880000000003E-2</v>
      </c>
      <c r="X3685">
        <v>0.98962779999999995</v>
      </c>
      <c r="Y3685">
        <v>-0.53135480000000002</v>
      </c>
      <c r="Z3685">
        <v>0.154224</v>
      </c>
      <c r="AA3685">
        <v>0.83299290000000004</v>
      </c>
      <c r="AB3685">
        <v>17</v>
      </c>
      <c r="AC3685">
        <v>0.64299999999997204</v>
      </c>
      <c r="AD3685">
        <v>-0.15116199999999999</v>
      </c>
      <c r="AE3685">
        <v>-0.56020000000000802</v>
      </c>
      <c r="AF3685">
        <v>-0.48701632136455197</v>
      </c>
      <c r="AG3685">
        <v>-0.15116199999999999</v>
      </c>
      <c r="AH3685">
        <v>0.66817301504206805</v>
      </c>
      <c r="AI3685">
        <v>100.360520430378</v>
      </c>
      <c r="AJ3685">
        <v>126.08746810351001</v>
      </c>
      <c r="AK3685">
        <v>0.84052961015651795</v>
      </c>
      <c r="AL3685">
        <v>94.852269048707399</v>
      </c>
      <c r="AM3685">
        <v>96.691853496929795</v>
      </c>
      <c r="AN3685">
        <v>1.0000000480612901</v>
      </c>
    </row>
    <row r="3686" spans="1:40" x14ac:dyDescent="0.25">
      <c r="A3686" t="str">
        <f>"20190303154208194"</f>
        <v>20190303154208194</v>
      </c>
      <c r="B3686" t="str">
        <f>"1551598928183228"</f>
        <v>1551598928183228</v>
      </c>
      <c r="C3686" t="s">
        <v>40</v>
      </c>
      <c r="D3686">
        <v>5.3163989999999997</v>
      </c>
      <c r="E3686">
        <v>0.31575130000000001</v>
      </c>
      <c r="F3686" t="s">
        <v>46</v>
      </c>
      <c r="G3686">
        <v>-486.46809999999999</v>
      </c>
      <c r="H3686" s="1">
        <v>3.5772030000000001E-6</v>
      </c>
      <c r="I3686">
        <v>222.25030000000001</v>
      </c>
      <c r="J3686">
        <v>-491.45030000000003</v>
      </c>
      <c r="K3686">
        <v>1.12534</v>
      </c>
      <c r="L3686">
        <v>226.99629999999999</v>
      </c>
      <c r="M3686">
        <v>0.22892680000000001</v>
      </c>
      <c r="N3686">
        <v>-1.2015710000000001E-2</v>
      </c>
      <c r="O3686">
        <v>-0.9733695</v>
      </c>
      <c r="P3686">
        <v>0.34079179999999998</v>
      </c>
      <c r="Q3686">
        <v>-9.5630300000000001E-2</v>
      </c>
      <c r="R3686">
        <v>-0.93526260000000006</v>
      </c>
      <c r="S3686">
        <v>2.3717649999999999</v>
      </c>
      <c r="T3686">
        <v>-0.53189869999999995</v>
      </c>
      <c r="U3686">
        <v>-2.3005369999999998</v>
      </c>
      <c r="V3686">
        <v>-0.1167132</v>
      </c>
      <c r="W3686">
        <v>-8.5003759999999998E-2</v>
      </c>
      <c r="X3686">
        <v>0.98952130000000005</v>
      </c>
      <c r="Y3686">
        <v>-0.53021739999999995</v>
      </c>
      <c r="Z3686">
        <v>0.15453249999999999</v>
      </c>
      <c r="AA3686">
        <v>0.83366010000000002</v>
      </c>
      <c r="AB3686">
        <v>17</v>
      </c>
      <c r="AC3686">
        <v>4.9822000000000299</v>
      </c>
      <c r="AD3686">
        <v>-1.125336422797</v>
      </c>
      <c r="AE3686">
        <v>-4.74599999999998</v>
      </c>
      <c r="AF3686">
        <v>-3.66527179132042</v>
      </c>
      <c r="AG3686">
        <v>-1.125336422797</v>
      </c>
      <c r="AH3686">
        <v>5.6105222925624201</v>
      </c>
      <c r="AI3686">
        <v>99.532132462139003</v>
      </c>
      <c r="AJ3686">
        <v>123.15599540954599</v>
      </c>
      <c r="AK3686">
        <v>6.7954808339118102</v>
      </c>
      <c r="AL3686">
        <v>94.876241051466096</v>
      </c>
      <c r="AM3686">
        <v>96.726908678673198</v>
      </c>
      <c r="AN3686">
        <v>1.00000000671103</v>
      </c>
    </row>
    <row r="3687" spans="1:40" x14ac:dyDescent="0.25">
      <c r="A3687" t="str">
        <f>"20190303154208215"</f>
        <v>20190303154208215</v>
      </c>
      <c r="B3687" t="str">
        <f>"1551598928203725"</f>
        <v>1551598928203725</v>
      </c>
      <c r="C3687" t="s">
        <v>40</v>
      </c>
      <c r="D3687">
        <v>5.3226420000000001</v>
      </c>
      <c r="E3687">
        <v>0.31611820000000002</v>
      </c>
      <c r="F3687" t="s">
        <v>42</v>
      </c>
      <c r="G3687">
        <v>-490.82830000000001</v>
      </c>
      <c r="H3687">
        <v>0.98619679999999998</v>
      </c>
      <c r="I3687">
        <v>226.4016</v>
      </c>
      <c r="J3687">
        <v>-491.40780000000001</v>
      </c>
      <c r="K3687">
        <v>1.125399</v>
      </c>
      <c r="L3687">
        <v>226.8563</v>
      </c>
      <c r="M3687">
        <v>0.23662739999999999</v>
      </c>
      <c r="N3687">
        <v>-1.2048039999999999E-2</v>
      </c>
      <c r="O3687">
        <v>-0.971526</v>
      </c>
      <c r="P3687">
        <v>0.34997070000000002</v>
      </c>
      <c r="Q3687">
        <v>-9.6246079999999998E-2</v>
      </c>
      <c r="R3687">
        <v>-0.93180350000000001</v>
      </c>
      <c r="S3687">
        <v>2.3874819999999999</v>
      </c>
      <c r="T3687">
        <v>-0.53419640000000002</v>
      </c>
      <c r="U3687">
        <v>-2.283096</v>
      </c>
      <c r="V3687">
        <v>-0.1186001</v>
      </c>
      <c r="W3687">
        <v>-8.5628330000000002E-2</v>
      </c>
      <c r="X3687">
        <v>0.98924299999999998</v>
      </c>
      <c r="Y3687">
        <v>-0.5293658</v>
      </c>
      <c r="Z3687">
        <v>0.15533189999999999</v>
      </c>
      <c r="AA3687">
        <v>0.83405260000000003</v>
      </c>
      <c r="AB3687">
        <v>17</v>
      </c>
      <c r="AC3687">
        <v>0.57949999999999502</v>
      </c>
      <c r="AD3687">
        <v>-0.139202199999999</v>
      </c>
      <c r="AE3687">
        <v>-0.45470000000000199</v>
      </c>
      <c r="AF3687">
        <v>-0.43973329910098802</v>
      </c>
      <c r="AG3687">
        <v>-0.139202199999999</v>
      </c>
      <c r="AH3687">
        <v>0.55895789735519996</v>
      </c>
      <c r="AI3687">
        <v>101.07448699167399</v>
      </c>
      <c r="AJ3687">
        <v>128.19220056319401</v>
      </c>
      <c r="AK3687">
        <v>0.72469066355157696</v>
      </c>
      <c r="AL3687">
        <v>94.912157489775893</v>
      </c>
      <c r="AM3687">
        <v>96.836546373975906</v>
      </c>
      <c r="AN3687">
        <v>0.99999995383379803</v>
      </c>
    </row>
    <row r="3688" spans="1:40" x14ac:dyDescent="0.25">
      <c r="A3688" t="str">
        <f>"20190303154208237"</f>
        <v>20190303154208237</v>
      </c>
      <c r="B3688" t="str">
        <f>"1551598928233004"</f>
        <v>1551598928233004</v>
      </c>
      <c r="C3688" t="s">
        <v>40</v>
      </c>
      <c r="D3688">
        <v>5.3265289999999998</v>
      </c>
      <c r="E3688">
        <v>0.31635530000000001</v>
      </c>
      <c r="F3688" t="s">
        <v>42</v>
      </c>
      <c r="G3688">
        <v>-490.77679999999998</v>
      </c>
      <c r="H3688">
        <v>0.98483209999999999</v>
      </c>
      <c r="I3688">
        <v>226.26329999999999</v>
      </c>
      <c r="J3688">
        <v>-491.35829999999999</v>
      </c>
      <c r="K3688">
        <v>1.1254649999999999</v>
      </c>
      <c r="L3688">
        <v>226.6985</v>
      </c>
      <c r="M3688">
        <v>0.24544959999999999</v>
      </c>
      <c r="N3688">
        <v>-1.208333E-2</v>
      </c>
      <c r="O3688">
        <v>-0.96933409999999998</v>
      </c>
      <c r="P3688">
        <v>0.35999530000000002</v>
      </c>
      <c r="Q3688">
        <v>-9.6844379999999994E-2</v>
      </c>
      <c r="R3688">
        <v>-0.92791409999999996</v>
      </c>
      <c r="S3688">
        <v>2.4072269999999998</v>
      </c>
      <c r="T3688">
        <v>-0.53574319999999997</v>
      </c>
      <c r="U3688">
        <v>-2.2600709999999999</v>
      </c>
      <c r="V3688">
        <v>-0.12026390000000001</v>
      </c>
      <c r="W3688">
        <v>-8.6232619999999996E-2</v>
      </c>
      <c r="X3688">
        <v>0.98898969999999997</v>
      </c>
      <c r="Y3688">
        <v>-0.52926930000000005</v>
      </c>
      <c r="Z3688">
        <v>0.15596099999999999</v>
      </c>
      <c r="AA3688">
        <v>0.83399650000000003</v>
      </c>
      <c r="AB3688">
        <v>17</v>
      </c>
      <c r="AC3688">
        <v>0.58150000000000501</v>
      </c>
      <c r="AD3688">
        <v>-0.14063289999999901</v>
      </c>
      <c r="AE3688">
        <v>-0.43520000000000802</v>
      </c>
      <c r="AF3688">
        <v>-0.44037182848805501</v>
      </c>
      <c r="AG3688">
        <v>-0.14063289999999901</v>
      </c>
      <c r="AH3688">
        <v>0.54422138057068203</v>
      </c>
      <c r="AI3688">
        <v>101.358558014091</v>
      </c>
      <c r="AJ3688">
        <v>128.97901364297601</v>
      </c>
      <c r="AK3688">
        <v>0.71406013119245204</v>
      </c>
      <c r="AL3688">
        <v>94.946908831032005</v>
      </c>
      <c r="AM3688">
        <v>96.933285265478304</v>
      </c>
      <c r="AN3688">
        <v>1.0000000485506799</v>
      </c>
    </row>
    <row r="3689" spans="1:40" x14ac:dyDescent="0.25">
      <c r="A3689" t="str">
        <f>"20190303154208256"</f>
        <v>20190303154208256</v>
      </c>
      <c r="B3689" t="str">
        <f>"1551598928253505"</f>
        <v>1551598928253505</v>
      </c>
      <c r="C3689" t="s">
        <v>40</v>
      </c>
      <c r="D3689">
        <v>5.3132799999999998</v>
      </c>
      <c r="E3689">
        <v>0.31671899999999997</v>
      </c>
      <c r="F3689" t="s">
        <v>46</v>
      </c>
      <c r="G3689">
        <v>-486.25900000000001</v>
      </c>
      <c r="H3689" s="1">
        <v>3.456062E-6</v>
      </c>
      <c r="I3689">
        <v>222.00899999999999</v>
      </c>
      <c r="J3689">
        <v>-491.3125</v>
      </c>
      <c r="K3689">
        <v>1.125524</v>
      </c>
      <c r="L3689">
        <v>226.5573</v>
      </c>
      <c r="M3689">
        <v>0.25347380000000003</v>
      </c>
      <c r="N3689">
        <v>-1.211423E-2</v>
      </c>
      <c r="O3689">
        <v>-0.96726650000000003</v>
      </c>
      <c r="P3689">
        <v>0.36985449999999997</v>
      </c>
      <c r="Q3689">
        <v>-9.7594040000000007E-2</v>
      </c>
      <c r="R3689">
        <v>-0.9239501</v>
      </c>
      <c r="S3689">
        <v>2.4297179999999998</v>
      </c>
      <c r="T3689">
        <v>-0.53625269999999903</v>
      </c>
      <c r="U3689">
        <v>-2.234451</v>
      </c>
      <c r="V3689">
        <v>-0.12259489999999899</v>
      </c>
      <c r="W3689">
        <v>-8.699962E-2</v>
      </c>
      <c r="X3689">
        <v>0.98863619999999997</v>
      </c>
      <c r="Y3689">
        <v>-0.53084469999999995</v>
      </c>
      <c r="Z3689">
        <v>0.15627820000000001</v>
      </c>
      <c r="AA3689">
        <v>0.83293519999999899</v>
      </c>
      <c r="AB3689">
        <v>17</v>
      </c>
      <c r="AC3689">
        <v>5.0534999999999801</v>
      </c>
      <c r="AD3689">
        <v>-1.1255205439380001</v>
      </c>
      <c r="AE3689">
        <v>-4.5482999999999798</v>
      </c>
      <c r="AF3689">
        <v>-3.6358396608101802</v>
      </c>
      <c r="AG3689">
        <v>-1.1255205439380001</v>
      </c>
      <c r="AH3689">
        <v>5.5292352650578396</v>
      </c>
      <c r="AI3689">
        <v>99.652585584678604</v>
      </c>
      <c r="AJ3689">
        <v>123.327578251571</v>
      </c>
      <c r="AK3689">
        <v>6.7125679996783703</v>
      </c>
      <c r="AL3689">
        <v>94.991020769577204</v>
      </c>
      <c r="AM3689">
        <v>97.068824063145996</v>
      </c>
      <c r="AN3689">
        <v>0.99999998966829695</v>
      </c>
    </row>
    <row r="3690" spans="1:40" x14ac:dyDescent="0.25">
      <c r="A3690" t="str">
        <f>"20190303154208278"</f>
        <v>20190303154208278</v>
      </c>
      <c r="B3690" t="str">
        <f>"1551598928273020"</f>
        <v>1551598928273020</v>
      </c>
      <c r="C3690" t="s">
        <v>40</v>
      </c>
      <c r="D3690">
        <v>5.0899109999999999</v>
      </c>
      <c r="E3690">
        <v>0.30021900000000001</v>
      </c>
      <c r="F3690" t="s">
        <v>46</v>
      </c>
      <c r="G3690">
        <v>-486.1875</v>
      </c>
      <c r="H3690" s="1">
        <v>3.417989E-6</v>
      </c>
      <c r="I3690">
        <v>221.93719999999999</v>
      </c>
      <c r="J3690">
        <v>-491.25839999999999</v>
      </c>
      <c r="K3690">
        <v>1.1255759999999999</v>
      </c>
      <c r="L3690">
        <v>226.3963</v>
      </c>
      <c r="M3690">
        <v>0.2627563</v>
      </c>
      <c r="N3690">
        <v>-1.21473E-2</v>
      </c>
      <c r="O3690">
        <v>-0.96478580000000003</v>
      </c>
      <c r="P3690">
        <v>0.38081910000000002</v>
      </c>
      <c r="Q3690">
        <v>-9.7673750000000004E-2</v>
      </c>
      <c r="R3690">
        <v>-0.91947659999999998</v>
      </c>
      <c r="S3690">
        <v>2.4505620000000001</v>
      </c>
      <c r="T3690">
        <v>-0.53817280000000001</v>
      </c>
      <c r="U3690">
        <v>-2.2091219999999998</v>
      </c>
      <c r="V3690">
        <v>-0.1248427</v>
      </c>
      <c r="W3690">
        <v>-8.7092219999999998E-2</v>
      </c>
      <c r="X3690">
        <v>0.98834670000000002</v>
      </c>
      <c r="Y3690">
        <v>-0.53092280000000003</v>
      </c>
      <c r="Z3690">
        <v>0.15701909999999999</v>
      </c>
      <c r="AA3690">
        <v>0.83274609999999905</v>
      </c>
      <c r="AB3690">
        <v>17</v>
      </c>
      <c r="AC3690">
        <v>5.0708999999999902</v>
      </c>
      <c r="AD3690">
        <v>-1.1255725820110001</v>
      </c>
      <c r="AE3690">
        <v>-4.4591000000000003</v>
      </c>
      <c r="AF3690">
        <v>-3.62035965281938</v>
      </c>
      <c r="AG3690">
        <v>-1.1255725820110001</v>
      </c>
      <c r="AH3690">
        <v>5.48257147061737</v>
      </c>
      <c r="AI3690">
        <v>99.721460239761896</v>
      </c>
      <c r="AJ3690">
        <v>123.43836710845601</v>
      </c>
      <c r="AK3690">
        <v>6.6657713419802302</v>
      </c>
      <c r="AL3690">
        <v>94.996346637606393</v>
      </c>
      <c r="AM3690">
        <v>97.199171231762804</v>
      </c>
      <c r="AN3690">
        <v>0.99999997696435405</v>
      </c>
    </row>
    <row r="3691" spans="1:40" x14ac:dyDescent="0.25">
      <c r="A3691" t="str">
        <f>"20190303154208300"</f>
        <v>20190303154208300</v>
      </c>
      <c r="B3691" t="str">
        <f>"1551598928293516"</f>
        <v>1551598928293516</v>
      </c>
      <c r="C3691" t="s">
        <v>40</v>
      </c>
      <c r="D3691">
        <v>5.0479149999999997</v>
      </c>
      <c r="E3691">
        <v>0.30194100000000001</v>
      </c>
      <c r="F3691" t="s">
        <v>42</v>
      </c>
      <c r="G3691">
        <v>-490.47930000000002</v>
      </c>
      <c r="H3691">
        <v>0.97661880000000001</v>
      </c>
      <c r="I3691">
        <v>225.75729999999999</v>
      </c>
      <c r="J3691">
        <v>-491.20589999999999</v>
      </c>
      <c r="K3691">
        <v>1.1256159999999999</v>
      </c>
      <c r="L3691">
        <v>226.2448</v>
      </c>
      <c r="M3691">
        <v>0.27158470000000001</v>
      </c>
      <c r="N3691">
        <v>-1.21756E-2</v>
      </c>
      <c r="O3691">
        <v>-0.96233760000000002</v>
      </c>
      <c r="P3691">
        <v>0.3921135</v>
      </c>
      <c r="Q3691">
        <v>-9.7781220000000002E-2</v>
      </c>
      <c r="R3691">
        <v>-0.91470560000000001</v>
      </c>
      <c r="S3691">
        <v>2.6012879999999998</v>
      </c>
      <c r="T3691">
        <v>-0.49715579999999998</v>
      </c>
      <c r="U3691">
        <v>-2.1325229999999999</v>
      </c>
      <c r="V3691">
        <v>-0.1279478</v>
      </c>
      <c r="W3691">
        <v>-8.7224679999999999E-2</v>
      </c>
      <c r="X3691">
        <v>0.98793790000000004</v>
      </c>
      <c r="Y3691">
        <v>-0.56366059999999996</v>
      </c>
      <c r="Z3691">
        <v>0.1425563</v>
      </c>
      <c r="AA3691">
        <v>0.813612</v>
      </c>
      <c r="AB3691">
        <v>17</v>
      </c>
      <c r="AC3691">
        <v>0.72659999999996205</v>
      </c>
      <c r="AD3691">
        <v>-0.148997199999999</v>
      </c>
      <c r="AE3691">
        <v>-0.48750000000001098</v>
      </c>
      <c r="AF3691">
        <v>-0.55090439606603103</v>
      </c>
      <c r="AG3691">
        <v>-0.148997199999999</v>
      </c>
      <c r="AH3691">
        <v>0.64773990557566596</v>
      </c>
      <c r="AI3691">
        <v>99.938620675357896</v>
      </c>
      <c r="AJ3691">
        <v>130.381246496854</v>
      </c>
      <c r="AK3691">
        <v>0.86328605021041005</v>
      </c>
      <c r="AL3691">
        <v>95.003964716149099</v>
      </c>
      <c r="AM3691">
        <v>97.379299915368307</v>
      </c>
      <c r="AN3691">
        <v>1.0000000392911701</v>
      </c>
    </row>
    <row r="3692" spans="1:40" x14ac:dyDescent="0.25">
      <c r="A3692" t="str">
        <f>"20190303154208327"</f>
        <v>20190303154208327</v>
      </c>
      <c r="B3692" t="str">
        <f>"1551598928323772"</f>
        <v>1551598928323772</v>
      </c>
      <c r="C3692" t="s">
        <v>40</v>
      </c>
      <c r="D3692">
        <v>5.172021</v>
      </c>
      <c r="E3692">
        <v>0.3047549</v>
      </c>
      <c r="F3692" t="s">
        <v>42</v>
      </c>
      <c r="G3692">
        <v>-490.42880000000002</v>
      </c>
      <c r="H3692">
        <v>0.97865840000000004</v>
      </c>
      <c r="I3692">
        <v>225.6189</v>
      </c>
      <c r="J3692">
        <v>-491.1377</v>
      </c>
      <c r="K3692">
        <v>1.125656</v>
      </c>
      <c r="L3692">
        <v>226.0549</v>
      </c>
      <c r="M3692">
        <v>0.28279720000000003</v>
      </c>
      <c r="N3692">
        <v>-1.220678E-2</v>
      </c>
      <c r="O3692">
        <v>-0.95910220000000002</v>
      </c>
      <c r="P3692">
        <v>0.40395300000000001</v>
      </c>
      <c r="Q3692">
        <v>-9.8002610000000004E-2</v>
      </c>
      <c r="R3692">
        <v>-0.90951530000000003</v>
      </c>
      <c r="S3692">
        <v>2.6144409999999998</v>
      </c>
      <c r="T3692">
        <v>-0.49447410000000003</v>
      </c>
      <c r="U3692">
        <v>-2.106125</v>
      </c>
      <c r="V3692">
        <v>-0.12923589999999999</v>
      </c>
      <c r="W3692">
        <v>-8.7444759999999996E-2</v>
      </c>
      <c r="X3692">
        <v>0.98775069999999998</v>
      </c>
      <c r="Y3692">
        <v>-0.56109399999999998</v>
      </c>
      <c r="Z3692">
        <v>0.14205110000000001</v>
      </c>
      <c r="AA3692">
        <v>0.81547230000000004</v>
      </c>
      <c r="AB3692">
        <v>17</v>
      </c>
      <c r="AC3692">
        <v>0.708899999999971</v>
      </c>
      <c r="AD3692">
        <v>-0.14699759999999901</v>
      </c>
      <c r="AE3692">
        <v>-0.43600000000000699</v>
      </c>
      <c r="AF3692">
        <v>-0.53980882678932995</v>
      </c>
      <c r="AG3692">
        <v>-0.14699759999999901</v>
      </c>
      <c r="AH3692">
        <v>0.59997203888432704</v>
      </c>
      <c r="AI3692">
        <v>100.32256315264399</v>
      </c>
      <c r="AJ3692">
        <v>131.978452531112</v>
      </c>
      <c r="AK3692">
        <v>0.82034645810684703</v>
      </c>
      <c r="AL3692">
        <v>95.016623062067495</v>
      </c>
      <c r="AM3692">
        <v>97.454155704718502</v>
      </c>
      <c r="AN3692">
        <v>0.99999997462537804</v>
      </c>
    </row>
    <row r="3693" spans="1:40" x14ac:dyDescent="0.25">
      <c r="A3693" t="str">
        <f>"20190303154208345"</f>
        <v>20190303154208345</v>
      </c>
      <c r="B3693" t="str">
        <f>"1551598928333535"</f>
        <v>1551598928333535</v>
      </c>
      <c r="C3693" t="s">
        <v>40</v>
      </c>
      <c r="D3693">
        <v>5.1493840000000004</v>
      </c>
      <c r="E3693">
        <v>0.30552439999999997</v>
      </c>
      <c r="F3693" t="s">
        <v>42</v>
      </c>
      <c r="G3693">
        <v>-490.39940000000001</v>
      </c>
      <c r="H3693">
        <v>0.98702449999999997</v>
      </c>
      <c r="I3693">
        <v>225.46860000000001</v>
      </c>
      <c r="J3693">
        <v>-491.09</v>
      </c>
      <c r="K3693">
        <v>1.1256740000000001</v>
      </c>
      <c r="L3693">
        <v>225.9264</v>
      </c>
      <c r="M3693">
        <v>0.29046159999999999</v>
      </c>
      <c r="N3693">
        <v>-1.2225939999999999E-2</v>
      </c>
      <c r="O3693">
        <v>-0.95680860000000001</v>
      </c>
      <c r="P3693">
        <v>0.41266059999999999</v>
      </c>
      <c r="Q3693">
        <v>-9.8418619999999998E-2</v>
      </c>
      <c r="R3693">
        <v>-0.90555229999999998</v>
      </c>
      <c r="S3693">
        <v>2.621613</v>
      </c>
      <c r="T3693">
        <v>-0.49206949999999999</v>
      </c>
      <c r="U3693">
        <v>-2.0811000000000002</v>
      </c>
      <c r="V3693">
        <v>-0.13081199999999901</v>
      </c>
      <c r="W3693">
        <v>-8.7870260000000006E-2</v>
      </c>
      <c r="X3693">
        <v>0.98750539999999998</v>
      </c>
      <c r="Y3693">
        <v>-0.56037720000000002</v>
      </c>
      <c r="Z3693">
        <v>0.14180200000000001</v>
      </c>
      <c r="AA3693">
        <v>0.81600839999999997</v>
      </c>
      <c r="AB3693">
        <v>17</v>
      </c>
      <c r="AC3693">
        <v>0.69059999999996002</v>
      </c>
      <c r="AD3693">
        <v>-0.13864949999999901</v>
      </c>
      <c r="AE3693">
        <v>-0.45779999999999099</v>
      </c>
      <c r="AF3693">
        <v>-0.51346016815953399</v>
      </c>
      <c r="AG3693">
        <v>-0.13864949999999901</v>
      </c>
      <c r="AH3693">
        <v>0.62127058890692299</v>
      </c>
      <c r="AI3693">
        <v>99.760718554451003</v>
      </c>
      <c r="AJ3693">
        <v>129.57263710726599</v>
      </c>
      <c r="AK3693">
        <v>0.81782771582859803</v>
      </c>
      <c r="AL3693">
        <v>95.041096806504498</v>
      </c>
      <c r="AM3693">
        <v>97.545874593704895</v>
      </c>
      <c r="AN3693">
        <v>0.99999993848281099</v>
      </c>
    </row>
    <row r="3694" spans="1:40" x14ac:dyDescent="0.25">
      <c r="A3694" t="str">
        <f>"20190303154208367"</f>
        <v>20190303154208367</v>
      </c>
      <c r="B3694" t="str">
        <f>"1551598928363791"</f>
        <v>1551598928363791</v>
      </c>
      <c r="C3694" t="s">
        <v>40</v>
      </c>
      <c r="D3694">
        <v>5.3706569999999996</v>
      </c>
      <c r="E3694">
        <v>0.3137086</v>
      </c>
      <c r="F3694" t="s">
        <v>42</v>
      </c>
      <c r="G3694">
        <v>-490.33510000000001</v>
      </c>
      <c r="H3694">
        <v>0.98402469999999997</v>
      </c>
      <c r="I3694">
        <v>225.33709999999999</v>
      </c>
      <c r="J3694">
        <v>-491.02820000000003</v>
      </c>
      <c r="K3694">
        <v>1.125694</v>
      </c>
      <c r="L3694">
        <v>225.7646</v>
      </c>
      <c r="M3694">
        <v>0.30020089999999999</v>
      </c>
      <c r="N3694">
        <v>-1.224859E-2</v>
      </c>
      <c r="O3694">
        <v>-0.95379760000000002</v>
      </c>
      <c r="P3694">
        <v>0.42381069999999998</v>
      </c>
      <c r="Q3694">
        <v>-9.8188919999999999E-2</v>
      </c>
      <c r="R3694">
        <v>-0.90041319999999903</v>
      </c>
      <c r="S3694">
        <v>2.635529</v>
      </c>
      <c r="T3694">
        <v>-0.4946431</v>
      </c>
      <c r="U3694">
        <v>-2.0581360000000002</v>
      </c>
      <c r="V3694">
        <v>-0.13292470000000001</v>
      </c>
      <c r="W3694">
        <v>-8.7654389999999999E-2</v>
      </c>
      <c r="X3694">
        <v>0.98724250000000002</v>
      </c>
      <c r="Y3694">
        <v>-0.55836459999999999</v>
      </c>
      <c r="Z3694">
        <v>0.14272580000000001</v>
      </c>
      <c r="AA3694">
        <v>0.81722600000000001</v>
      </c>
      <c r="AB3694">
        <v>17</v>
      </c>
      <c r="AC3694">
        <v>0.69310000000001504</v>
      </c>
      <c r="AD3694">
        <v>-0.1416693</v>
      </c>
      <c r="AE3694">
        <v>-0.42750000000000898</v>
      </c>
      <c r="AF3694">
        <v>-0.51713002348831705</v>
      </c>
      <c r="AG3694">
        <v>-0.1416693</v>
      </c>
      <c r="AH3694">
        <v>0.59777207366378704</v>
      </c>
      <c r="AI3694">
        <v>100.161468549177</v>
      </c>
      <c r="AJ3694">
        <v>130.86294024388999</v>
      </c>
      <c r="AK3694">
        <v>0.80301002721499204</v>
      </c>
      <c r="AL3694">
        <v>95.028680091588001</v>
      </c>
      <c r="AM3694">
        <v>97.668324597600602</v>
      </c>
      <c r="AN3694">
        <v>1.0000000108813001</v>
      </c>
    </row>
    <row r="3695" spans="1:40" x14ac:dyDescent="0.25">
      <c r="A3695" t="str">
        <f>"20190303154208394"</f>
        <v>20190303154208394</v>
      </c>
      <c r="B3695" t="str">
        <f>"1551598928383311"</f>
        <v>1551598928383311</v>
      </c>
      <c r="C3695" t="s">
        <v>40</v>
      </c>
      <c r="D3695">
        <v>5.0929390000000003</v>
      </c>
      <c r="E3695">
        <v>0.3161042</v>
      </c>
      <c r="F3695" t="s">
        <v>42</v>
      </c>
      <c r="G3695">
        <v>-490.2996</v>
      </c>
      <c r="H3695">
        <v>0.98744140000000002</v>
      </c>
      <c r="I3695">
        <v>225.1891</v>
      </c>
      <c r="J3695">
        <v>-490.95690000000002</v>
      </c>
      <c r="K3695">
        <v>1.1257170000000001</v>
      </c>
      <c r="L3695">
        <v>225.58369999999999</v>
      </c>
      <c r="M3695">
        <v>0.31117460000000002</v>
      </c>
      <c r="N3695">
        <v>-1.227196E-2</v>
      </c>
      <c r="O3695">
        <v>-0.95027349999999999</v>
      </c>
      <c r="P3695">
        <v>0.43629669999999998</v>
      </c>
      <c r="Q3695">
        <v>-9.9874470000000007E-2</v>
      </c>
      <c r="R3695">
        <v>-0.89424319999999902</v>
      </c>
      <c r="S3695">
        <v>2.6016240000000002</v>
      </c>
      <c r="T3695">
        <v>-0.49334869999999997</v>
      </c>
      <c r="U3695">
        <v>-2.0534669999999999</v>
      </c>
      <c r="V3695">
        <v>-0.13531019999999999</v>
      </c>
      <c r="W3695">
        <v>-8.9359899999999895E-2</v>
      </c>
      <c r="X3695">
        <v>0.98676540000000001</v>
      </c>
      <c r="Y3695">
        <v>-0.54446499999999998</v>
      </c>
      <c r="Z3695">
        <v>0.14326029999999901</v>
      </c>
      <c r="AA3695">
        <v>0.8264589</v>
      </c>
      <c r="AB3695">
        <v>17</v>
      </c>
      <c r="AC3695">
        <v>0.65730000000001998</v>
      </c>
      <c r="AD3695">
        <v>-0.1382756</v>
      </c>
      <c r="AE3695">
        <v>-0.39459999999999601</v>
      </c>
      <c r="AF3695">
        <v>-0.48605136759976902</v>
      </c>
      <c r="AG3695">
        <v>-0.1382756</v>
      </c>
      <c r="AH3695">
        <v>0.56129711789840298</v>
      </c>
      <c r="AI3695">
        <v>100.54938657243299</v>
      </c>
      <c r="AJ3695">
        <v>130.890699952982</v>
      </c>
      <c r="AK3695">
        <v>0.755261893691202</v>
      </c>
      <c r="AL3695">
        <v>95.126783695579206</v>
      </c>
      <c r="AM3695">
        <v>97.807987895040597</v>
      </c>
      <c r="AN3695">
        <v>0.99999999829460495</v>
      </c>
    </row>
    <row r="3696" spans="1:40" x14ac:dyDescent="0.25">
      <c r="A3696" t="str">
        <f>"20190303154208415"</f>
        <v>20190303154208415</v>
      </c>
      <c r="B3696" t="str">
        <f>"1551598928403807"</f>
        <v>1551598928403807</v>
      </c>
      <c r="C3696" t="s">
        <v>40</v>
      </c>
      <c r="D3696">
        <v>5.506278</v>
      </c>
      <c r="E3696">
        <v>0.27336100000000002</v>
      </c>
      <c r="F3696" t="s">
        <v>42</v>
      </c>
      <c r="G3696">
        <v>-490.25940000000003</v>
      </c>
      <c r="H3696">
        <v>0.98480999999999996</v>
      </c>
      <c r="I3696">
        <v>225.04320000000001</v>
      </c>
      <c r="J3696">
        <v>-490.89449999999999</v>
      </c>
      <c r="K3696">
        <v>1.1257330000000001</v>
      </c>
      <c r="L3696">
        <v>225.4306</v>
      </c>
      <c r="M3696">
        <v>0.32054120000000003</v>
      </c>
      <c r="N3696">
        <v>-1.228977E-2</v>
      </c>
      <c r="O3696">
        <v>-0.94715490000000002</v>
      </c>
      <c r="P3696">
        <v>0.44672899999999999</v>
      </c>
      <c r="Q3696">
        <v>-0.10292</v>
      </c>
      <c r="R3696">
        <v>-0.88873009999999997</v>
      </c>
      <c r="S3696">
        <v>2.60968</v>
      </c>
      <c r="T3696">
        <v>-0.52729230000000005</v>
      </c>
      <c r="U3696">
        <v>-2.0225979999999999</v>
      </c>
      <c r="V3696">
        <v>-0.13718129999999901</v>
      </c>
      <c r="W3696">
        <v>-9.2424039999999999E-2</v>
      </c>
      <c r="X3696">
        <v>0.98622469999999995</v>
      </c>
      <c r="Y3696">
        <v>-0.54217559999999998</v>
      </c>
      <c r="Z3696">
        <v>0.1541747</v>
      </c>
      <c r="AA3696">
        <v>0.82599990000000001</v>
      </c>
      <c r="AB3696">
        <v>17</v>
      </c>
      <c r="AC3696">
        <v>0.63509999999996503</v>
      </c>
      <c r="AD3696">
        <v>-0.14092299999999999</v>
      </c>
      <c r="AE3696">
        <v>-0.38739999999998498</v>
      </c>
      <c r="AF3696">
        <v>-0.46085899590023999</v>
      </c>
      <c r="AG3696">
        <v>-0.14092299999999999</v>
      </c>
      <c r="AH3696">
        <v>0.55078232825809403</v>
      </c>
      <c r="AI3696">
        <v>101.10198420913299</v>
      </c>
      <c r="AJ3696">
        <v>129.92041129603501</v>
      </c>
      <c r="AK3696">
        <v>0.73185482108993805</v>
      </c>
      <c r="AL3696">
        <v>95.303075574015807</v>
      </c>
      <c r="AM3696">
        <v>97.918883562006499</v>
      </c>
      <c r="AN3696">
        <v>1.00000003556485</v>
      </c>
    </row>
    <row r="3697" spans="1:40" x14ac:dyDescent="0.25">
      <c r="A3697" t="str">
        <f>"20190303154208435"</f>
        <v>20190303154208435</v>
      </c>
      <c r="B3697" t="str">
        <f>"1551598928423327"</f>
        <v>1551598928423327</v>
      </c>
      <c r="C3697" t="s">
        <v>40</v>
      </c>
      <c r="D3697">
        <v>5.4799449999999998</v>
      </c>
      <c r="E3697">
        <v>0.2771499</v>
      </c>
      <c r="F3697" t="s">
        <v>42</v>
      </c>
      <c r="G3697">
        <v>-490.1277</v>
      </c>
      <c r="H3697">
        <v>0.97210160000000001</v>
      </c>
      <c r="I3697">
        <v>224.9512</v>
      </c>
      <c r="J3697">
        <v>-490.83670000000001</v>
      </c>
      <c r="K3697">
        <v>1.1257379999999999</v>
      </c>
      <c r="L3697">
        <v>225.2928</v>
      </c>
      <c r="M3697">
        <v>0.32901900000000001</v>
      </c>
      <c r="N3697">
        <v>-1.2303939999999999E-2</v>
      </c>
      <c r="O3697">
        <v>-0.94424319999999895</v>
      </c>
      <c r="P3697">
        <v>0.45654169999999999</v>
      </c>
      <c r="Q3697">
        <v>-0.1048149</v>
      </c>
      <c r="R3697">
        <v>-0.88350640000000003</v>
      </c>
      <c r="S3697">
        <v>2.9335939999999998</v>
      </c>
      <c r="T3697">
        <v>-0.58749249999999997</v>
      </c>
      <c r="U3697">
        <v>-1.833008</v>
      </c>
      <c r="V3697">
        <v>-0.1393045</v>
      </c>
      <c r="W3697">
        <v>-9.4342019999999999E-2</v>
      </c>
      <c r="X3697">
        <v>0.98574530000000005</v>
      </c>
      <c r="Y3697">
        <v>-0.61374830000000002</v>
      </c>
      <c r="Z3697">
        <v>0.1673036</v>
      </c>
      <c r="AA3697">
        <v>0.77157149999999997</v>
      </c>
      <c r="AB3697">
        <v>17</v>
      </c>
      <c r="AC3697">
        <v>0.70900000000000296</v>
      </c>
      <c r="AD3697">
        <v>-0.15363639999999901</v>
      </c>
      <c r="AE3697">
        <v>-0.34159999999999902</v>
      </c>
      <c r="AF3697">
        <v>-0.53666545164004997</v>
      </c>
      <c r="AG3697">
        <v>-0.15363639999999901</v>
      </c>
      <c r="AH3697">
        <v>0.53546357046787996</v>
      </c>
      <c r="AI3697">
        <v>101.45624186162399</v>
      </c>
      <c r="AJ3697">
        <v>135.064229853287</v>
      </c>
      <c r="AK3697">
        <v>0.77352128974397905</v>
      </c>
      <c r="AL3697">
        <v>95.413450364790606</v>
      </c>
      <c r="AM3697">
        <v>98.043715022979896</v>
      </c>
      <c r="AN3697">
        <v>0.99999997846500999</v>
      </c>
    </row>
    <row r="3698" spans="1:40" x14ac:dyDescent="0.25">
      <c r="A3698" t="str">
        <f>"20190303154208459"</f>
        <v>20190303154208459</v>
      </c>
      <c r="B3698" t="str">
        <f>"1551598928453690"</f>
        <v>1551598928453690</v>
      </c>
      <c r="C3698" t="s">
        <v>40</v>
      </c>
      <c r="D3698">
        <v>5.4262290000000002</v>
      </c>
      <c r="E3698">
        <v>0.27814559999999999</v>
      </c>
      <c r="F3698" t="s">
        <v>42</v>
      </c>
      <c r="G3698">
        <v>-490.06740000000002</v>
      </c>
      <c r="H3698">
        <v>0.97110260000000004</v>
      </c>
      <c r="I3698">
        <v>224.816</v>
      </c>
      <c r="J3698">
        <v>-490.76389999999998</v>
      </c>
      <c r="K3698">
        <v>1.125748</v>
      </c>
      <c r="L3698">
        <v>225.12430000000001</v>
      </c>
      <c r="M3698">
        <v>0.33945579999999997</v>
      </c>
      <c r="N3698">
        <v>-1.2319180000000001E-2</v>
      </c>
      <c r="O3698">
        <v>-0.94054130000000002</v>
      </c>
      <c r="P3698">
        <v>0.46755980000000003</v>
      </c>
      <c r="Q3698">
        <v>-0.1060305</v>
      </c>
      <c r="R3698">
        <v>-0.877579199999999</v>
      </c>
      <c r="S3698">
        <v>2.926758</v>
      </c>
      <c r="T3698">
        <v>-0.58813509999999902</v>
      </c>
      <c r="U3698">
        <v>-1.8134159999999999</v>
      </c>
      <c r="V3698">
        <v>-0.1407505</v>
      </c>
      <c r="W3698">
        <v>-9.5569699999999994E-2</v>
      </c>
      <c r="X3698">
        <v>0.98542160000000001</v>
      </c>
      <c r="Y3698">
        <v>-0.60785009999999995</v>
      </c>
      <c r="Z3698">
        <v>0.1681194</v>
      </c>
      <c r="AA3698">
        <v>0.77605029999999997</v>
      </c>
      <c r="AB3698">
        <v>17</v>
      </c>
      <c r="AC3698">
        <v>0.69649999999995704</v>
      </c>
      <c r="AD3698">
        <v>-0.15464539999999899</v>
      </c>
      <c r="AE3698">
        <v>-0.30830000000003099</v>
      </c>
      <c r="AF3698">
        <v>-0.52868145888458695</v>
      </c>
      <c r="AG3698">
        <v>-0.15464539999999899</v>
      </c>
      <c r="AH3698">
        <v>0.50559821873936395</v>
      </c>
      <c r="AI3698">
        <v>101.93660741273099</v>
      </c>
      <c r="AJ3698">
        <v>136.27852527747501</v>
      </c>
      <c r="AK3698">
        <v>0.74769568910213302</v>
      </c>
      <c r="AL3698">
        <v>95.484110412613305</v>
      </c>
      <c r="AM3698">
        <v>98.128734002300007</v>
      </c>
      <c r="AN3698">
        <v>1.0000000002774501</v>
      </c>
    </row>
    <row r="3699" spans="1:40" x14ac:dyDescent="0.25">
      <c r="A3699" t="str">
        <f>"20190303154208480"</f>
        <v>20190303154208480</v>
      </c>
      <c r="B3699" t="str">
        <f>"1551598928473210"</f>
        <v>1551598928473210</v>
      </c>
      <c r="C3699" t="s">
        <v>40</v>
      </c>
      <c r="D3699">
        <v>5.5132659999999998</v>
      </c>
      <c r="E3699">
        <v>0.27947939999999999</v>
      </c>
      <c r="F3699" t="s">
        <v>46</v>
      </c>
      <c r="G3699">
        <v>-485.18849999999998</v>
      </c>
      <c r="H3699" s="1">
        <v>3.1609390000000001E-6</v>
      </c>
      <c r="I3699">
        <v>221.7509</v>
      </c>
      <c r="J3699">
        <v>-490.70150000000001</v>
      </c>
      <c r="K3699">
        <v>1.125758</v>
      </c>
      <c r="L3699">
        <v>224.9838</v>
      </c>
      <c r="M3699">
        <v>0.34819139999999998</v>
      </c>
      <c r="N3699">
        <v>-1.233044E-2</v>
      </c>
      <c r="O3699">
        <v>-0.93734249999999997</v>
      </c>
      <c r="P3699">
        <v>0.47626069999999998</v>
      </c>
      <c r="Q3699">
        <v>-0.1063301</v>
      </c>
      <c r="R3699">
        <v>-0.87285179999999996</v>
      </c>
      <c r="S3699">
        <v>2.941376</v>
      </c>
      <c r="T3699">
        <v>-0.59389820000000004</v>
      </c>
      <c r="U3699">
        <v>-1.779633</v>
      </c>
      <c r="V3699">
        <v>-0.14138399999999901</v>
      </c>
      <c r="W3699">
        <v>-9.5871020000000001E-2</v>
      </c>
      <c r="X3699">
        <v>0.9853016</v>
      </c>
      <c r="Y3699">
        <v>-0.60843499999999995</v>
      </c>
      <c r="Z3699">
        <v>0.17015729999999901</v>
      </c>
      <c r="AA3699">
        <v>0.77514729999999998</v>
      </c>
      <c r="AB3699">
        <v>17</v>
      </c>
      <c r="AC3699">
        <v>5.5130000000000301</v>
      </c>
      <c r="AD3699">
        <v>-1.1257548390609999</v>
      </c>
      <c r="AE3699">
        <v>-3.2328999999999999</v>
      </c>
      <c r="AF3699">
        <v>-3.9205616755939401</v>
      </c>
      <c r="AG3699">
        <v>-1.1257548390609999</v>
      </c>
      <c r="AH3699">
        <v>4.8013152941213804</v>
      </c>
      <c r="AI3699">
        <v>100.293438618401</v>
      </c>
      <c r="AJ3699">
        <v>129.23369816174201</v>
      </c>
      <c r="AK3699">
        <v>6.3000600285528296</v>
      </c>
      <c r="AL3699">
        <v>95.501454608246505</v>
      </c>
      <c r="AM3699">
        <v>98.1658091590309</v>
      </c>
      <c r="AN3699">
        <v>0.99999996544719905</v>
      </c>
    </row>
    <row r="3700" spans="1:40" x14ac:dyDescent="0.25">
      <c r="A3700" t="str">
        <f>"20190303154208523"</f>
        <v>20190303154208523</v>
      </c>
      <c r="B3700" t="str">
        <f>"1551598928513226"</f>
        <v>1551598928513226</v>
      </c>
      <c r="C3700" t="s">
        <v>40</v>
      </c>
      <c r="D3700">
        <v>5.5638620000000003</v>
      </c>
      <c r="E3700">
        <v>0.28171230000000003</v>
      </c>
      <c r="F3700" t="s">
        <v>46</v>
      </c>
      <c r="G3700">
        <v>-485.09480000000002</v>
      </c>
      <c r="H3700" s="1">
        <v>3.1216229999999999E-6</v>
      </c>
      <c r="I3700">
        <v>221.6482</v>
      </c>
      <c r="J3700">
        <v>-490.55959999999999</v>
      </c>
      <c r="K3700">
        <v>1.1257600000000001</v>
      </c>
      <c r="L3700">
        <v>224.67679999999999</v>
      </c>
      <c r="M3700">
        <v>0.36741040000000003</v>
      </c>
      <c r="N3700">
        <v>-1.2350389999999999E-2</v>
      </c>
      <c r="O3700">
        <v>-0.9299771</v>
      </c>
      <c r="P3700">
        <v>0.49320950000000002</v>
      </c>
      <c r="Q3700">
        <v>-0.1087067</v>
      </c>
      <c r="R3700">
        <v>-0.86309179999999996</v>
      </c>
      <c r="S3700">
        <v>2.9501040000000001</v>
      </c>
      <c r="T3700">
        <v>-0.59234639999999905</v>
      </c>
      <c r="U3700">
        <v>-1.7551270000000001</v>
      </c>
      <c r="V3700">
        <v>-0.1404185</v>
      </c>
      <c r="W3700">
        <v>-9.8221290000000003E-2</v>
      </c>
      <c r="X3700">
        <v>0.98520819999999998</v>
      </c>
      <c r="Y3700">
        <v>-0.59803499999999998</v>
      </c>
      <c r="Z3700">
        <v>0.16950390000000001</v>
      </c>
      <c r="AA3700">
        <v>0.78334059999999905</v>
      </c>
      <c r="AB3700">
        <v>17</v>
      </c>
      <c r="AC3700">
        <v>5.4647999999999604</v>
      </c>
      <c r="AD3700">
        <v>-1.125756878377</v>
      </c>
      <c r="AE3700">
        <v>-3.02859999999998</v>
      </c>
      <c r="AF3700">
        <v>-3.8448768967559799</v>
      </c>
      <c r="AG3700">
        <v>-1.125756878377</v>
      </c>
      <c r="AH3700">
        <v>4.6730096997963502</v>
      </c>
      <c r="AI3700">
        <v>100.538313736392</v>
      </c>
      <c r="AJ3700">
        <v>129.446996052495</v>
      </c>
      <c r="AK3700">
        <v>6.15527631831519</v>
      </c>
      <c r="AL3700">
        <v>95.636753702363393</v>
      </c>
      <c r="AM3700">
        <v>98.111548682033799</v>
      </c>
      <c r="AN3700">
        <v>0.99999998714937599</v>
      </c>
    </row>
    <row r="3701" spans="1:40" x14ac:dyDescent="0.25">
      <c r="A3701" t="str">
        <f>"20190303154208546"</f>
        <v>20190303154208546</v>
      </c>
      <c r="B3701" t="str">
        <f>"1551598928543483"</f>
        <v>1551598928543483</v>
      </c>
      <c r="C3701" t="s">
        <v>40</v>
      </c>
      <c r="D3701">
        <v>5.5710379999999997</v>
      </c>
      <c r="E3701">
        <v>0.28293210000000002</v>
      </c>
      <c r="F3701" t="s">
        <v>46</v>
      </c>
      <c r="G3701">
        <v>-484.90750000000003</v>
      </c>
      <c r="H3701" s="1">
        <v>3.0405590000000001E-6</v>
      </c>
      <c r="I3701">
        <v>221.43190000000001</v>
      </c>
      <c r="J3701">
        <v>-490.4873</v>
      </c>
      <c r="K3701">
        <v>1.125758</v>
      </c>
      <c r="L3701">
        <v>224.52680000000001</v>
      </c>
      <c r="M3701">
        <v>0.37685089999999999</v>
      </c>
      <c r="N3701">
        <v>-1.235824E-2</v>
      </c>
      <c r="O3701">
        <v>-0.9261914</v>
      </c>
      <c r="P3701">
        <v>0.50128980000000001</v>
      </c>
      <c r="Q3701">
        <v>-0.1094545</v>
      </c>
      <c r="R3701">
        <v>-0.85832849999999905</v>
      </c>
      <c r="S3701">
        <v>2.9692080000000001</v>
      </c>
      <c r="T3701">
        <v>-0.59139560000000002</v>
      </c>
      <c r="U3701">
        <v>-1.704666</v>
      </c>
      <c r="V3701">
        <v>-0.13967309999999999</v>
      </c>
      <c r="W3701">
        <v>-9.8953219999999995E-2</v>
      </c>
      <c r="X3701">
        <v>0.98524089999999998</v>
      </c>
      <c r="Y3701">
        <v>-0.60204639999999998</v>
      </c>
      <c r="Z3701">
        <v>0.16986180000000001</v>
      </c>
      <c r="AA3701">
        <v>0.78018399999999999</v>
      </c>
      <c r="AB3701">
        <v>17</v>
      </c>
      <c r="AC3701">
        <v>5.5797999999999703</v>
      </c>
      <c r="AD3701">
        <v>-1.1257549594409999</v>
      </c>
      <c r="AE3701">
        <v>-3.0948999999999902</v>
      </c>
      <c r="AF3701">
        <v>-3.8811385684830899</v>
      </c>
      <c r="AG3701">
        <v>-1.1257549594409999</v>
      </c>
      <c r="AH3701">
        <v>4.8195758252738603</v>
      </c>
      <c r="AI3701">
        <v>100.310771321277</v>
      </c>
      <c r="AJ3701">
        <v>128.84401849300099</v>
      </c>
      <c r="AK3701">
        <v>6.2895844021713501</v>
      </c>
      <c r="AL3701">
        <v>95.678895582958901</v>
      </c>
      <c r="AM3701">
        <v>98.068793487746404</v>
      </c>
      <c r="AN3701">
        <v>0.99999997282239295</v>
      </c>
    </row>
    <row r="3702" spans="1:40" x14ac:dyDescent="0.25">
      <c r="A3702" t="str">
        <f>"20190303154208569"</f>
        <v>20190303154208569</v>
      </c>
      <c r="B3702" t="str">
        <f>"1551598928563003"</f>
        <v>1551598928563003</v>
      </c>
      <c r="C3702" t="s">
        <v>40</v>
      </c>
      <c r="D3702">
        <v>5.6395980000000003</v>
      </c>
      <c r="E3702">
        <v>0.28422520000000001</v>
      </c>
      <c r="F3702" t="s">
        <v>46</v>
      </c>
      <c r="G3702">
        <v>-484.78730000000002</v>
      </c>
      <c r="H3702" s="1">
        <v>2.9919480000000002E-6</v>
      </c>
      <c r="I3702">
        <v>221.30850000000001</v>
      </c>
      <c r="J3702">
        <v>-490.41050000000001</v>
      </c>
      <c r="K3702">
        <v>1.125769</v>
      </c>
      <c r="L3702">
        <v>224.37139999999999</v>
      </c>
      <c r="M3702">
        <v>0.38666129999999999</v>
      </c>
      <c r="N3702">
        <v>-1.236567E-2</v>
      </c>
      <c r="O3702">
        <v>-0.92213889999999998</v>
      </c>
      <c r="P3702">
        <v>0.50895670000000004</v>
      </c>
      <c r="Q3702">
        <v>-0.1090942</v>
      </c>
      <c r="R3702">
        <v>-0.85385089999999997</v>
      </c>
      <c r="S3702">
        <v>2.9775700000000001</v>
      </c>
      <c r="T3702">
        <v>-0.58806859999999905</v>
      </c>
      <c r="U3702">
        <v>-1.6811830000000001</v>
      </c>
      <c r="V3702">
        <v>-0.13802500000000001</v>
      </c>
      <c r="W3702">
        <v>-9.8564509999999994E-2</v>
      </c>
      <c r="X3702">
        <v>0.9855121</v>
      </c>
      <c r="Y3702">
        <v>-0.59937759999999995</v>
      </c>
      <c r="Z3702">
        <v>0.1689329</v>
      </c>
      <c r="AA3702">
        <v>0.78243739999999995</v>
      </c>
      <c r="AB3702">
        <v>17</v>
      </c>
      <c r="AC3702">
        <v>5.62319999999999</v>
      </c>
      <c r="AD3702">
        <v>-1.125766008052</v>
      </c>
      <c r="AE3702">
        <v>-3.06289999999998</v>
      </c>
      <c r="AF3702">
        <v>-3.88139976678226</v>
      </c>
      <c r="AG3702">
        <v>-1.125766008052</v>
      </c>
      <c r="AH3702">
        <v>4.84918852256338</v>
      </c>
      <c r="AI3702">
        <v>100.273089959019</v>
      </c>
      <c r="AJ3702">
        <v>128.67456706242399</v>
      </c>
      <c r="AK3702">
        <v>6.3124672341187704</v>
      </c>
      <c r="AL3702">
        <v>95.656514680734801</v>
      </c>
      <c r="AM3702">
        <v>97.972649905281997</v>
      </c>
      <c r="AN3702">
        <v>0.99999998125147405</v>
      </c>
    </row>
    <row r="3703" spans="1:40" x14ac:dyDescent="0.25">
      <c r="A3703" t="str">
        <f>"20190303154208592"</f>
        <v>20190303154208592</v>
      </c>
      <c r="B3703" t="str">
        <f>"1551598928583499"</f>
        <v>1551598928583499</v>
      </c>
      <c r="C3703" t="s">
        <v>40</v>
      </c>
      <c r="D3703">
        <v>5.5557239999999997</v>
      </c>
      <c r="E3703">
        <v>0.28503030000000001</v>
      </c>
      <c r="F3703" t="s">
        <v>46</v>
      </c>
      <c r="G3703">
        <v>-484.64449999999999</v>
      </c>
      <c r="H3703" s="1">
        <v>2.9346479999999999E-6</v>
      </c>
      <c r="I3703">
        <v>221.16390000000001</v>
      </c>
      <c r="J3703">
        <v>-490.33339999999998</v>
      </c>
      <c r="K3703">
        <v>1.125777</v>
      </c>
      <c r="L3703">
        <v>224.21940000000001</v>
      </c>
      <c r="M3703">
        <v>0.39629429999999999</v>
      </c>
      <c r="N3703">
        <v>-1.2372670000000001E-2</v>
      </c>
      <c r="O3703">
        <v>-0.91804019999999997</v>
      </c>
      <c r="P3703">
        <v>0.51644060000000003</v>
      </c>
      <c r="Q3703">
        <v>-0.1086115</v>
      </c>
      <c r="R3703">
        <v>-0.84940740000000003</v>
      </c>
      <c r="S3703">
        <v>2.984375</v>
      </c>
      <c r="T3703">
        <v>-0.5826694</v>
      </c>
      <c r="U3703">
        <v>-1.6601410000000001</v>
      </c>
      <c r="V3703">
        <v>-0.13634939999999901</v>
      </c>
      <c r="W3703">
        <v>-9.8054240000000001E-2</v>
      </c>
      <c r="X3703">
        <v>0.98579620000000001</v>
      </c>
      <c r="Y3703">
        <v>-0.59627129999999995</v>
      </c>
      <c r="Z3703">
        <v>0.16734170000000001</v>
      </c>
      <c r="AA3703">
        <v>0.78514799999999996</v>
      </c>
      <c r="AB3703">
        <v>17</v>
      </c>
      <c r="AC3703">
        <v>5.6888999999999896</v>
      </c>
      <c r="AD3703">
        <v>-1.1257740653520001</v>
      </c>
      <c r="AE3703">
        <v>-3.0554999999999901</v>
      </c>
      <c r="AF3703">
        <v>-3.8937275634891302</v>
      </c>
      <c r="AG3703">
        <v>-1.1257740653520001</v>
      </c>
      <c r="AH3703">
        <v>4.9106883234635097</v>
      </c>
      <c r="AI3703">
        <v>100.18364228802101</v>
      </c>
      <c r="AJ3703">
        <v>128.41120548631201</v>
      </c>
      <c r="AK3703">
        <v>6.3673653417324099</v>
      </c>
      <c r="AL3703">
        <v>95.627136110702494</v>
      </c>
      <c r="AM3703">
        <v>97.874843944596293</v>
      </c>
      <c r="AN3703">
        <v>0.99999997039838795</v>
      </c>
    </row>
    <row r="3704" spans="1:40" x14ac:dyDescent="0.25">
      <c r="A3704" t="str">
        <f>"20190303154208615"</f>
        <v>20190303154208615</v>
      </c>
      <c r="B3704" t="str">
        <f>"1551598928603018"</f>
        <v>1551598928603018</v>
      </c>
      <c r="C3704" t="s">
        <v>40</v>
      </c>
      <c r="D3704">
        <v>5.6499759999999997</v>
      </c>
      <c r="E3704">
        <v>0.285649599999999</v>
      </c>
      <c r="F3704" t="s">
        <v>46</v>
      </c>
      <c r="G3704">
        <v>-484.54300000000001</v>
      </c>
      <c r="H3704" s="1">
        <v>2.8918279999999999E-6</v>
      </c>
      <c r="I3704">
        <v>221.05160000000001</v>
      </c>
      <c r="J3704">
        <v>-490.25060000000002</v>
      </c>
      <c r="K3704">
        <v>1.125786</v>
      </c>
      <c r="L3704">
        <v>224.06059999999999</v>
      </c>
      <c r="M3704">
        <v>0.40638489999999999</v>
      </c>
      <c r="N3704">
        <v>-1.2379869999999999E-2</v>
      </c>
      <c r="O3704">
        <v>-0.91361809999999999</v>
      </c>
      <c r="P3704">
        <v>0.52438619999999903</v>
      </c>
      <c r="Q3704">
        <v>-0.1085585</v>
      </c>
      <c r="R3704">
        <v>-0.844531699999999</v>
      </c>
      <c r="S3704">
        <v>2.9932249999999998</v>
      </c>
      <c r="T3704">
        <v>-0.58195149999999995</v>
      </c>
      <c r="U3704">
        <v>-1.637543</v>
      </c>
      <c r="V3704">
        <v>-0.1347332</v>
      </c>
      <c r="W3704">
        <v>-9.7975919999999994E-2</v>
      </c>
      <c r="X3704">
        <v>0.98602619999999996</v>
      </c>
      <c r="Y3704">
        <v>-0.5930647</v>
      </c>
      <c r="Z3704">
        <v>0.16704720000000001</v>
      </c>
      <c r="AA3704">
        <v>0.78763539999999999</v>
      </c>
      <c r="AB3704">
        <v>17</v>
      </c>
      <c r="AC3704">
        <v>5.70760000000001</v>
      </c>
      <c r="AD3704">
        <v>-1.125783108172</v>
      </c>
      <c r="AE3704">
        <v>-3.0089999999999799</v>
      </c>
      <c r="AF3704">
        <v>-3.8741186441134601</v>
      </c>
      <c r="AG3704">
        <v>-1.125783108172</v>
      </c>
      <c r="AH3704">
        <v>4.9191903300117001</v>
      </c>
      <c r="AI3704">
        <v>100.192459456268</v>
      </c>
      <c r="AJ3704">
        <v>128.22227427116599</v>
      </c>
      <c r="AK3704">
        <v>6.3619663924130796</v>
      </c>
      <c r="AL3704">
        <v>95.622626873894305</v>
      </c>
      <c r="AM3704">
        <v>97.780858017556199</v>
      </c>
      <c r="AN3704">
        <v>0.999999991584263</v>
      </c>
    </row>
    <row r="3705" spans="1:40" x14ac:dyDescent="0.25">
      <c r="A3705" t="str">
        <f>"20190303154208640"</f>
        <v>20190303154208640</v>
      </c>
      <c r="B3705" t="str">
        <f>"1551598928633274"</f>
        <v>1551598928633274</v>
      </c>
      <c r="C3705" t="s">
        <v>40</v>
      </c>
      <c r="D3705">
        <v>5.615958</v>
      </c>
      <c r="E3705">
        <v>0.28643950000000001</v>
      </c>
      <c r="F3705" t="s">
        <v>42</v>
      </c>
      <c r="G3705">
        <v>-489.46519999999998</v>
      </c>
      <c r="H3705">
        <v>0.97408519999999998</v>
      </c>
      <c r="I3705">
        <v>223.63900000000001</v>
      </c>
      <c r="J3705">
        <v>-490.17070000000001</v>
      </c>
      <c r="K3705">
        <v>1.125794</v>
      </c>
      <c r="L3705">
        <v>223.91159999999999</v>
      </c>
      <c r="M3705">
        <v>0.41589939999999997</v>
      </c>
      <c r="N3705">
        <v>-1.238617E-2</v>
      </c>
      <c r="O3705">
        <v>-0.90932639999999998</v>
      </c>
      <c r="P3705">
        <v>0.53316019999999997</v>
      </c>
      <c r="Q3705">
        <v>-0.10937330000000001</v>
      </c>
      <c r="R3705">
        <v>-0.83891479999999996</v>
      </c>
      <c r="S3705">
        <v>3.0044559999999998</v>
      </c>
      <c r="T3705">
        <v>-0.58009449999999996</v>
      </c>
      <c r="U3705">
        <v>-1.6121219999999901</v>
      </c>
      <c r="V3705">
        <v>-0.13474910000000001</v>
      </c>
      <c r="W3705">
        <v>-9.8789979999999999E-2</v>
      </c>
      <c r="X3705">
        <v>0.98594280000000001</v>
      </c>
      <c r="Y3705">
        <v>-0.59121380000000001</v>
      </c>
      <c r="Z3705">
        <v>0.16641779999999901</v>
      </c>
      <c r="AA3705">
        <v>0.78915859999999904</v>
      </c>
      <c r="AB3705">
        <v>17</v>
      </c>
      <c r="AC3705">
        <v>0.70550000000002899</v>
      </c>
      <c r="AD3705">
        <v>-0.1517088</v>
      </c>
      <c r="AE3705">
        <v>-0.27259999999998202</v>
      </c>
      <c r="AF3705">
        <v>-0.50776652344570905</v>
      </c>
      <c r="AG3705">
        <v>-0.1517088</v>
      </c>
      <c r="AH3705">
        <v>0.52040292069698502</v>
      </c>
      <c r="AI3705">
        <v>101.785937693704</v>
      </c>
      <c r="AJ3705">
        <v>134.295859467074</v>
      </c>
      <c r="AK3705">
        <v>0.74273925586273803</v>
      </c>
      <c r="AL3705">
        <v>95.6694964544904</v>
      </c>
      <c r="AM3705">
        <v>97.782415180955994</v>
      </c>
      <c r="AN3705">
        <v>0.99999999248552496</v>
      </c>
    </row>
    <row r="3706" spans="1:40" x14ac:dyDescent="0.25">
      <c r="A3706" t="str">
        <f>"20190303154208659"</f>
        <v>20190303154208659</v>
      </c>
      <c r="B3706" t="str">
        <f>"1551598928653771"</f>
        <v>1551598928653771</v>
      </c>
      <c r="C3706" t="s">
        <v>40</v>
      </c>
      <c r="D3706">
        <v>5.650366</v>
      </c>
      <c r="E3706">
        <v>0.28722249999999999</v>
      </c>
      <c r="F3706" t="s">
        <v>46</v>
      </c>
      <c r="G3706">
        <v>-484.30990000000003</v>
      </c>
      <c r="H3706" s="1">
        <v>2.8025209999999998E-6</v>
      </c>
      <c r="I3706">
        <v>220.8347</v>
      </c>
      <c r="J3706">
        <v>-490.09440000000001</v>
      </c>
      <c r="K3706">
        <v>1.125799</v>
      </c>
      <c r="L3706">
        <v>223.77260000000001</v>
      </c>
      <c r="M3706">
        <v>0.42479939999999999</v>
      </c>
      <c r="N3706">
        <v>-1.2391869999999999E-2</v>
      </c>
      <c r="O3706">
        <v>-0.90520279999999997</v>
      </c>
      <c r="P3706">
        <v>0.54269690000000004</v>
      </c>
      <c r="Q3706">
        <v>-0.1097568</v>
      </c>
      <c r="R3706">
        <v>-0.83272679999999999</v>
      </c>
      <c r="S3706">
        <v>3.016327</v>
      </c>
      <c r="T3706">
        <v>-0.57939879999999999</v>
      </c>
      <c r="U3706">
        <v>-1.5835269999999999</v>
      </c>
      <c r="V3706">
        <v>-0.13633819999999999</v>
      </c>
      <c r="W3706">
        <v>-9.9193890000000007E-2</v>
      </c>
      <c r="X3706">
        <v>0.98568370000000005</v>
      </c>
      <c r="Y3706">
        <v>-0.59052550000000004</v>
      </c>
      <c r="Z3706">
        <v>0.16621610000000001</v>
      </c>
      <c r="AA3706">
        <v>0.78971639999999999</v>
      </c>
      <c r="AB3706">
        <v>17</v>
      </c>
      <c r="AC3706">
        <v>5.78449999999998</v>
      </c>
      <c r="AD3706">
        <v>-1.1257961974789901</v>
      </c>
      <c r="AE3706">
        <v>-2.9379000000000102</v>
      </c>
      <c r="AF3706">
        <v>-3.8718486039808102</v>
      </c>
      <c r="AG3706">
        <v>-1.1257961974789901</v>
      </c>
      <c r="AH3706">
        <v>4.9674651904231997</v>
      </c>
      <c r="AI3706">
        <v>100.134574582818</v>
      </c>
      <c r="AJ3706">
        <v>127.934330736628</v>
      </c>
      <c r="AK3706">
        <v>6.3979949287626399</v>
      </c>
      <c r="AL3706">
        <v>95.692753297883499</v>
      </c>
      <c r="AM3706">
        <v>97.875092643328401</v>
      </c>
      <c r="AN3706">
        <v>0.99999994451912899</v>
      </c>
    </row>
    <row r="3707" spans="1:40" x14ac:dyDescent="0.25">
      <c r="A3707" t="str">
        <f>"20190303154208682"</f>
        <v>20190303154208682</v>
      </c>
      <c r="B3707" t="str">
        <f>"1551598928673290"</f>
        <v>1551598928673290</v>
      </c>
      <c r="C3707" t="s">
        <v>40</v>
      </c>
      <c r="D3707">
        <v>5.6146830000000003</v>
      </c>
      <c r="E3707">
        <v>0.28759099999999999</v>
      </c>
      <c r="F3707" t="s">
        <v>46</v>
      </c>
      <c r="G3707">
        <v>-484.19880000000001</v>
      </c>
      <c r="H3707" s="1">
        <v>2.764486E-6</v>
      </c>
      <c r="I3707">
        <v>220.7518</v>
      </c>
      <c r="J3707">
        <v>-490.00900000000001</v>
      </c>
      <c r="K3707">
        <v>1.125807</v>
      </c>
      <c r="L3707">
        <v>223.62090000000001</v>
      </c>
      <c r="M3707">
        <v>0.43453979999999998</v>
      </c>
      <c r="N3707">
        <v>-1.2397429999999999E-2</v>
      </c>
      <c r="O3707">
        <v>-0.90056740000000002</v>
      </c>
      <c r="P3707">
        <v>0.55438609999999999</v>
      </c>
      <c r="Q3707">
        <v>-0.10947229999999999</v>
      </c>
      <c r="R3707">
        <v>-0.82502869999999995</v>
      </c>
      <c r="S3707">
        <v>3.0292659999999998</v>
      </c>
      <c r="T3707">
        <v>-0.57846019999999998</v>
      </c>
      <c r="U3707">
        <v>-1.5521389999999999</v>
      </c>
      <c r="V3707">
        <v>-0.13958480000000001</v>
      </c>
      <c r="W3707">
        <v>-9.8951319999999995E-2</v>
      </c>
      <c r="X3707">
        <v>0.98525359999999995</v>
      </c>
      <c r="Y3707">
        <v>-0.58976949999999995</v>
      </c>
      <c r="Z3707">
        <v>0.1659109</v>
      </c>
      <c r="AA3707">
        <v>0.79034510000000002</v>
      </c>
      <c r="AB3707">
        <v>17</v>
      </c>
      <c r="AC3707">
        <v>5.8102</v>
      </c>
      <c r="AD3707">
        <v>-1.1258042355140001</v>
      </c>
      <c r="AE3707">
        <v>-2.8691</v>
      </c>
      <c r="AF3707">
        <v>-3.8692545791112898</v>
      </c>
      <c r="AG3707">
        <v>-1.1258042355140001</v>
      </c>
      <c r="AH3707">
        <v>4.9592817935415496</v>
      </c>
      <c r="AI3707">
        <v>100.147343674902</v>
      </c>
      <c r="AJ3707">
        <v>127.96151938336</v>
      </c>
      <c r="AK3707">
        <v>6.39007371494474</v>
      </c>
      <c r="AL3707">
        <v>95.678786210304594</v>
      </c>
      <c r="AM3707">
        <v>98.063657011502301</v>
      </c>
      <c r="AN3707">
        <v>0.99999996821686998</v>
      </c>
    </row>
    <row r="3708" spans="1:40" x14ac:dyDescent="0.25">
      <c r="A3708" t="str">
        <f>"20190303154208705"</f>
        <v>20190303154208705</v>
      </c>
      <c r="B3708" t="str">
        <f>"1551598928693787"</f>
        <v>1551598928693787</v>
      </c>
      <c r="C3708" t="s">
        <v>40</v>
      </c>
      <c r="D3708">
        <v>5.6432219999999997</v>
      </c>
      <c r="E3708">
        <v>0.28827909999999901</v>
      </c>
      <c r="F3708" t="s">
        <v>46</v>
      </c>
      <c r="G3708">
        <v>-484.05029999999999</v>
      </c>
      <c r="H3708" s="1">
        <v>2.7195169999999998E-6</v>
      </c>
      <c r="I3708">
        <v>220.66759999999999</v>
      </c>
      <c r="J3708">
        <v>-489.92250000000001</v>
      </c>
      <c r="K3708">
        <v>1.12581</v>
      </c>
      <c r="L3708">
        <v>223.47110000000001</v>
      </c>
      <c r="M3708">
        <v>0.44418439999999998</v>
      </c>
      <c r="N3708">
        <v>-1.2402349999999999E-2</v>
      </c>
      <c r="O3708">
        <v>-0.89584959999999902</v>
      </c>
      <c r="P3708">
        <v>0.5655116</v>
      </c>
      <c r="Q3708">
        <v>-0.1090696</v>
      </c>
      <c r="R3708">
        <v>-0.81749659999999902</v>
      </c>
      <c r="S3708">
        <v>3.0488279999999999</v>
      </c>
      <c r="T3708">
        <v>-0.57602929999999997</v>
      </c>
      <c r="U3708">
        <v>-1.511093</v>
      </c>
      <c r="V3708">
        <v>-0.1423285</v>
      </c>
      <c r="W3708">
        <v>-9.8583219999999999E-2</v>
      </c>
      <c r="X3708">
        <v>0.98489800000000005</v>
      </c>
      <c r="Y3708">
        <v>-0.5918291</v>
      </c>
      <c r="Z3708">
        <v>0.16520290000000001</v>
      </c>
      <c r="AA3708">
        <v>0.78895269999999995</v>
      </c>
      <c r="AB3708">
        <v>17</v>
      </c>
      <c r="AC3708">
        <v>5.8722000000000198</v>
      </c>
      <c r="AD3708">
        <v>-1.1258072804829999</v>
      </c>
      <c r="AE3708">
        <v>-2.8035000000000099</v>
      </c>
      <c r="AF3708">
        <v>-3.8989379916201901</v>
      </c>
      <c r="AG3708">
        <v>-1.1258072804829999</v>
      </c>
      <c r="AH3708">
        <v>4.9714365059634398</v>
      </c>
      <c r="AI3708">
        <v>100.103544464531</v>
      </c>
      <c r="AJ3708">
        <v>128.105950678657</v>
      </c>
      <c r="AK3708">
        <v>6.4175026628832699</v>
      </c>
      <c r="AL3708">
        <v>95.657591474137604</v>
      </c>
      <c r="AM3708">
        <v>98.222939223140301</v>
      </c>
      <c r="AN3708">
        <v>1.0000000617909</v>
      </c>
    </row>
    <row r="3709" spans="1:40" x14ac:dyDescent="0.25">
      <c r="A3709" t="str">
        <f>"20190303154208728"</f>
        <v>20190303154208728</v>
      </c>
      <c r="B3709" t="str">
        <f>"1551598928723066"</f>
        <v>1551598928723066</v>
      </c>
      <c r="C3709" t="s">
        <v>40</v>
      </c>
      <c r="D3709">
        <v>5.115424</v>
      </c>
      <c r="E3709">
        <v>0.28660910000000001</v>
      </c>
      <c r="F3709" t="s">
        <v>46</v>
      </c>
      <c r="G3709">
        <v>-483.8965</v>
      </c>
      <c r="H3709" s="1">
        <v>2.671715E-6</v>
      </c>
      <c r="I3709">
        <v>220.57470000000001</v>
      </c>
      <c r="J3709">
        <v>-489.82960000000003</v>
      </c>
      <c r="K3709">
        <v>1.125813</v>
      </c>
      <c r="L3709">
        <v>223.3142</v>
      </c>
      <c r="M3709">
        <v>0.45430939999999997</v>
      </c>
      <c r="N3709">
        <v>-1.2406810000000001E-2</v>
      </c>
      <c r="O3709">
        <v>-0.89075769999999999</v>
      </c>
      <c r="P3709">
        <v>0.57556719999999995</v>
      </c>
      <c r="Q3709">
        <v>-0.1088828</v>
      </c>
      <c r="R3709">
        <v>-0.81047329999999995</v>
      </c>
      <c r="S3709">
        <v>3.06488</v>
      </c>
      <c r="T3709">
        <v>-0.57260349999999904</v>
      </c>
      <c r="U3709">
        <v>-1.4731449999999999</v>
      </c>
      <c r="V3709">
        <v>-0.14332139999999999</v>
      </c>
      <c r="W3709">
        <v>-9.8406560000000004E-2</v>
      </c>
      <c r="X3709">
        <v>0.98477159999999997</v>
      </c>
      <c r="Y3709">
        <v>-0.59246779999999999</v>
      </c>
      <c r="Z3709">
        <v>0.16415679999999999</v>
      </c>
      <c r="AA3709">
        <v>0.7886917</v>
      </c>
      <c r="AB3709">
        <v>17</v>
      </c>
      <c r="AC3709">
        <v>5.93310000000002</v>
      </c>
      <c r="AD3709">
        <v>-1.1258103282850001</v>
      </c>
      <c r="AE3709">
        <v>-2.7394999999999898</v>
      </c>
      <c r="AF3709">
        <v>-3.9242209967325499</v>
      </c>
      <c r="AG3709">
        <v>-1.1258103282850001</v>
      </c>
      <c r="AH3709">
        <v>4.9880525858322002</v>
      </c>
      <c r="AI3709">
        <v>100.058841367856</v>
      </c>
      <c r="AJ3709">
        <v>128.192981192433</v>
      </c>
      <c r="AK3709">
        <v>6.4457449472886399</v>
      </c>
      <c r="AL3709">
        <v>95.6474205546577</v>
      </c>
      <c r="AM3709">
        <v>98.280558823686704</v>
      </c>
      <c r="AN3709">
        <v>0.99999998945777602</v>
      </c>
    </row>
    <row r="3710" spans="1:40" x14ac:dyDescent="0.25">
      <c r="A3710" t="str">
        <f>"20190303154208749"</f>
        <v>20190303154208749</v>
      </c>
      <c r="B3710" t="str">
        <f>"1551598928743563"</f>
        <v>1551598928743563</v>
      </c>
      <c r="C3710" t="s">
        <v>40</v>
      </c>
      <c r="D3710">
        <v>5.0622730000000002</v>
      </c>
      <c r="E3710">
        <v>0.25917689999999999</v>
      </c>
      <c r="F3710" t="s">
        <v>46</v>
      </c>
      <c r="G3710">
        <v>-483.7337</v>
      </c>
      <c r="H3710" s="1">
        <v>2.6267580000000001E-6</v>
      </c>
      <c r="I3710">
        <v>220.50200000000001</v>
      </c>
      <c r="J3710">
        <v>-489.7475</v>
      </c>
      <c r="K3710">
        <v>1.1258109999999999</v>
      </c>
      <c r="L3710">
        <v>223.1788</v>
      </c>
      <c r="M3710">
        <v>0.46306779999999997</v>
      </c>
      <c r="N3710">
        <v>-1.241008E-2</v>
      </c>
      <c r="O3710">
        <v>-0.88623619999999903</v>
      </c>
      <c r="P3710">
        <v>0.58400379999999996</v>
      </c>
      <c r="Q3710">
        <v>-0.1097128</v>
      </c>
      <c r="R3710">
        <v>-0.80430279999999998</v>
      </c>
      <c r="S3710">
        <v>3.0941770000000002</v>
      </c>
      <c r="T3710">
        <v>-0.57144359999999905</v>
      </c>
      <c r="U3710">
        <v>-1.4273990000000001</v>
      </c>
      <c r="V3710">
        <v>-0.14394370000000001</v>
      </c>
      <c r="W3710">
        <v>-9.9243600000000001E-2</v>
      </c>
      <c r="X3710">
        <v>0.98459680000000005</v>
      </c>
      <c r="Y3710">
        <v>-0.59715260000000003</v>
      </c>
      <c r="Z3710">
        <v>0.16356770000000001</v>
      </c>
      <c r="AA3710">
        <v>0.78527349999999996</v>
      </c>
      <c r="AB3710">
        <v>17</v>
      </c>
      <c r="AC3710">
        <v>6.0137999999999998</v>
      </c>
      <c r="AD3710">
        <v>-1.1258083732419999</v>
      </c>
      <c r="AE3710">
        <v>-2.6767999999999801</v>
      </c>
      <c r="AF3710">
        <v>-3.97417586794543</v>
      </c>
      <c r="AG3710">
        <v>-1.1258083732419999</v>
      </c>
      <c r="AH3710">
        <v>5.0109001919734197</v>
      </c>
      <c r="AI3710">
        <v>99.983477845142204</v>
      </c>
      <c r="AJ3710">
        <v>128.418151132617</v>
      </c>
      <c r="AK3710">
        <v>6.4938924426372298</v>
      </c>
      <c r="AL3710">
        <v>95.695615450702206</v>
      </c>
      <c r="AM3710">
        <v>98.317466892786001</v>
      </c>
      <c r="AN3710">
        <v>0.99999996974044403</v>
      </c>
    </row>
    <row r="3711" spans="1:40" x14ac:dyDescent="0.25">
      <c r="A3711" t="str">
        <f>"20190303154208771"</f>
        <v>20190303154208771</v>
      </c>
      <c r="B3711" t="str">
        <f>"1551598928763082"</f>
        <v>1551598928763082</v>
      </c>
      <c r="C3711" t="s">
        <v>40</v>
      </c>
      <c r="D3711">
        <v>5.220243</v>
      </c>
      <c r="E3711">
        <v>0.26204899999999998</v>
      </c>
      <c r="F3711" t="s">
        <v>46</v>
      </c>
      <c r="G3711">
        <v>-483.63510000000002</v>
      </c>
      <c r="H3711" s="1">
        <v>2.681008E-6</v>
      </c>
      <c r="I3711">
        <v>220.82650000000001</v>
      </c>
      <c r="J3711">
        <v>-489.65969999999999</v>
      </c>
      <c r="K3711">
        <v>1.125812</v>
      </c>
      <c r="L3711">
        <v>223.03729999999999</v>
      </c>
      <c r="M3711">
        <v>0.47222570000000003</v>
      </c>
      <c r="N3711">
        <v>-1.2412980000000001E-2</v>
      </c>
      <c r="O3711">
        <v>-0.88139029999999996</v>
      </c>
      <c r="P3711">
        <v>0.59266949999999996</v>
      </c>
      <c r="Q3711">
        <v>-0.1096999</v>
      </c>
      <c r="R3711">
        <v>-0.79794039999999999</v>
      </c>
      <c r="S3711">
        <v>3.2832949999999999</v>
      </c>
      <c r="T3711">
        <v>-0.60473120000000002</v>
      </c>
      <c r="U3711">
        <v>-1.263504</v>
      </c>
      <c r="V3711">
        <v>-0.14439080000000001</v>
      </c>
      <c r="W3711">
        <v>-9.9234310000000006E-2</v>
      </c>
      <c r="X3711">
        <v>0.98453230000000003</v>
      </c>
      <c r="Y3711">
        <v>-0.63785930000000002</v>
      </c>
      <c r="Z3711">
        <v>0.1701664</v>
      </c>
      <c r="AA3711">
        <v>0.75111850000000002</v>
      </c>
      <c r="AB3711">
        <v>17</v>
      </c>
      <c r="AC3711">
        <v>6.0245999999999604</v>
      </c>
      <c r="AD3711">
        <v>-1.125809318992</v>
      </c>
      <c r="AE3711">
        <v>-2.2107999999999701</v>
      </c>
      <c r="AF3711">
        <v>-4.1389763730353497</v>
      </c>
      <c r="AG3711">
        <v>-1.125809318992</v>
      </c>
      <c r="AH3711">
        <v>4.6507869127308403</v>
      </c>
      <c r="AI3711">
        <v>100.24996501095799</v>
      </c>
      <c r="AJ3711">
        <v>131.66754286246299</v>
      </c>
      <c r="AK3711">
        <v>6.3267994236345597</v>
      </c>
      <c r="AL3711">
        <v>95.695080356156595</v>
      </c>
      <c r="AM3711">
        <v>98.343477370519494</v>
      </c>
      <c r="AN3711">
        <v>1.00000000057455</v>
      </c>
    </row>
    <row r="3712" spans="1:40" x14ac:dyDescent="0.25">
      <c r="A3712" t="str">
        <f>"20190303154208793"</f>
        <v>20190303154208793</v>
      </c>
      <c r="B3712" t="str">
        <f>"1551598928783578"</f>
        <v>1551598928783578</v>
      </c>
      <c r="C3712" t="s">
        <v>40</v>
      </c>
      <c r="D3712">
        <v>5.231484</v>
      </c>
      <c r="E3712">
        <v>0.26337850000000002</v>
      </c>
      <c r="F3712" t="s">
        <v>46</v>
      </c>
      <c r="G3712">
        <v>-483.4522</v>
      </c>
      <c r="H3712" s="1">
        <v>2.6175060000000001E-6</v>
      </c>
      <c r="I3712">
        <v>220.68600000000001</v>
      </c>
      <c r="J3712">
        <v>-489.57299999999998</v>
      </c>
      <c r="K3712">
        <v>1.1258250000000001</v>
      </c>
      <c r="L3712">
        <v>222.9006</v>
      </c>
      <c r="M3712">
        <v>0.48109649999999998</v>
      </c>
      <c r="N3712">
        <v>-1.241549E-2</v>
      </c>
      <c r="O3712">
        <v>-0.87657989999999997</v>
      </c>
      <c r="P3712">
        <v>0.60055979999999998</v>
      </c>
      <c r="Q3712">
        <v>-0.10934629999999999</v>
      </c>
      <c r="R3712">
        <v>-0.79206809999999905</v>
      </c>
      <c r="S3712">
        <v>3.2793879999999902</v>
      </c>
      <c r="T3712">
        <v>-0.59475979999999995</v>
      </c>
      <c r="U3712">
        <v>-1.2422029999999999</v>
      </c>
      <c r="V3712">
        <v>-0.1442068</v>
      </c>
      <c r="W3712">
        <v>-9.8875740000000004E-2</v>
      </c>
      <c r="X3712">
        <v>0.98459540000000001</v>
      </c>
      <c r="Y3712">
        <v>-0.63457759999999996</v>
      </c>
      <c r="Z3712">
        <v>0.1674571</v>
      </c>
      <c r="AA3712">
        <v>0.75449940000000004</v>
      </c>
      <c r="AB3712">
        <v>17</v>
      </c>
      <c r="AC3712">
        <v>6.1208000000000302</v>
      </c>
      <c r="AD3712">
        <v>-1.1258223824939999</v>
      </c>
      <c r="AE3712">
        <v>-2.2146000000000101</v>
      </c>
      <c r="AF3712">
        <v>-4.17535714223831</v>
      </c>
      <c r="AG3712">
        <v>-1.1258223824939999</v>
      </c>
      <c r="AH3712">
        <v>4.7444140071602803</v>
      </c>
      <c r="AI3712">
        <v>100.100434567799</v>
      </c>
      <c r="AJ3712">
        <v>131.34963393738701</v>
      </c>
      <c r="AK3712">
        <v>6.4195441873628099</v>
      </c>
      <c r="AL3712">
        <v>95.674433946473698</v>
      </c>
      <c r="AM3712">
        <v>98.332467965932693</v>
      </c>
      <c r="AN3712">
        <v>1.00000005741397</v>
      </c>
    </row>
    <row r="3713" spans="1:40" x14ac:dyDescent="0.25">
      <c r="A3713" t="str">
        <f>"20190303154208818"</f>
        <v>20190303154208818</v>
      </c>
      <c r="B3713" t="str">
        <f>"1551598928812858"</f>
        <v>1551598928812858</v>
      </c>
      <c r="C3713" t="s">
        <v>40</v>
      </c>
      <c r="D3713">
        <v>5.1841910000000002</v>
      </c>
      <c r="E3713">
        <v>0.26376809999999901</v>
      </c>
      <c r="F3713" t="s">
        <v>46</v>
      </c>
      <c r="G3713">
        <v>-483.26589999999999</v>
      </c>
      <c r="H3713" s="1">
        <v>2.5574880000000002E-6</v>
      </c>
      <c r="I3713">
        <v>220.5641</v>
      </c>
      <c r="J3713">
        <v>-489.47160000000002</v>
      </c>
      <c r="K3713">
        <v>1.125829</v>
      </c>
      <c r="L3713">
        <v>222.74449999999999</v>
      </c>
      <c r="M3713">
        <v>0.49123270000000002</v>
      </c>
      <c r="N3713">
        <v>-1.2418230000000001E-2</v>
      </c>
      <c r="O3713">
        <v>-0.87094009999999999</v>
      </c>
      <c r="P3713">
        <v>0.60916689999999996</v>
      </c>
      <c r="Q3713">
        <v>-0.10756110000000001</v>
      </c>
      <c r="R3713">
        <v>-0.78571429999999998</v>
      </c>
      <c r="S3713">
        <v>3.284027</v>
      </c>
      <c r="T3713">
        <v>-0.58620240000000001</v>
      </c>
      <c r="U3713">
        <v>-1.216599</v>
      </c>
      <c r="V3713">
        <v>-0.14342939999999901</v>
      </c>
      <c r="W3713">
        <v>-9.7075690000000006E-2</v>
      </c>
      <c r="X3713">
        <v>0.98488799999999999</v>
      </c>
      <c r="Y3713">
        <v>-0.63165150000000003</v>
      </c>
      <c r="Z3713">
        <v>0.1648037</v>
      </c>
      <c r="AA3713">
        <v>0.75753289999999995</v>
      </c>
      <c r="AB3713">
        <v>17</v>
      </c>
      <c r="AC3713">
        <v>6.2057000000000304</v>
      </c>
      <c r="AD3713">
        <v>-1.1258264425119999</v>
      </c>
      <c r="AE3713">
        <v>-2.1803999999999899</v>
      </c>
      <c r="AF3713">
        <v>-4.2106863820043703</v>
      </c>
      <c r="AG3713">
        <v>-1.1258264425119999</v>
      </c>
      <c r="AH3713">
        <v>4.8069954938439601</v>
      </c>
      <c r="AI3713">
        <v>99.991549880577594</v>
      </c>
      <c r="AJ3713">
        <v>131.216729919248</v>
      </c>
      <c r="AK3713">
        <v>6.4888034847799601</v>
      </c>
      <c r="AL3713">
        <v>95.570800234761094</v>
      </c>
      <c r="AM3713">
        <v>98.285746251644397</v>
      </c>
      <c r="AN3713">
        <v>1.00000002745866</v>
      </c>
    </row>
    <row r="3714" spans="1:40" x14ac:dyDescent="0.25">
      <c r="A3714" t="str">
        <f>"20190303154208848"</f>
        <v>20190303154208848</v>
      </c>
      <c r="B3714" t="str">
        <f>"1551598928843115"</f>
        <v>1551598928843115</v>
      </c>
      <c r="C3714" t="s">
        <v>40</v>
      </c>
      <c r="D3714">
        <v>5.7102170000000001</v>
      </c>
      <c r="E3714">
        <v>0.26374239999999999</v>
      </c>
      <c r="F3714" t="s">
        <v>46</v>
      </c>
      <c r="G3714">
        <v>-483.0421</v>
      </c>
      <c r="H3714" s="1">
        <v>2.489199E-6</v>
      </c>
      <c r="I3714">
        <v>220.43469999999999</v>
      </c>
      <c r="J3714">
        <v>-489.33980000000003</v>
      </c>
      <c r="K3714">
        <v>1.125847</v>
      </c>
      <c r="L3714">
        <v>222.5478</v>
      </c>
      <c r="M3714">
        <v>0.50404099999999996</v>
      </c>
      <c r="N3714">
        <v>-1.242133E-2</v>
      </c>
      <c r="O3714">
        <v>-0.86359050000000004</v>
      </c>
      <c r="P3714">
        <v>0.61882479999999995</v>
      </c>
      <c r="Q3714">
        <v>-0.10622719999999999</v>
      </c>
      <c r="R3714">
        <v>-0.77831349999999999</v>
      </c>
      <c r="S3714">
        <v>3.295715</v>
      </c>
      <c r="T3714">
        <v>-0.57709239999999995</v>
      </c>
      <c r="U3714">
        <v>-1.183975</v>
      </c>
      <c r="V3714">
        <v>-0.14097419999999999</v>
      </c>
      <c r="W3714">
        <v>-9.5705380000000007E-2</v>
      </c>
      <c r="X3714">
        <v>0.98537649999999999</v>
      </c>
      <c r="Y3714">
        <v>-0.62831780000000004</v>
      </c>
      <c r="Z3714">
        <v>0.16166150000000001</v>
      </c>
      <c r="AA3714">
        <v>0.76097459999999995</v>
      </c>
      <c r="AB3714">
        <v>17</v>
      </c>
      <c r="AC3714">
        <v>6.2977000000000096</v>
      </c>
      <c r="AD3714">
        <v>-1.125844510801</v>
      </c>
      <c r="AE3714">
        <v>-2.1131000000000002</v>
      </c>
      <c r="AF3714">
        <v>-4.2517503598166897</v>
      </c>
      <c r="AG3714">
        <v>-1.125844510801</v>
      </c>
      <c r="AH3714">
        <v>4.8599356834458503</v>
      </c>
      <c r="AI3714">
        <v>99.890271382513902</v>
      </c>
      <c r="AJ3714">
        <v>131.18129512153899</v>
      </c>
      <c r="AK3714">
        <v>6.5546839612549102</v>
      </c>
      <c r="AL3714">
        <v>95.491919851123697</v>
      </c>
      <c r="AM3714">
        <v>98.141847866782001</v>
      </c>
      <c r="AN3714">
        <v>1.00000004578941</v>
      </c>
    </row>
    <row r="3715" spans="1:40" x14ac:dyDescent="0.25">
      <c r="A3715" t="str">
        <f>"20190303154208871"</f>
        <v>20190303154208871</v>
      </c>
      <c r="B3715" t="str">
        <f>"1551598928863611"</f>
        <v>1551598928863611</v>
      </c>
      <c r="C3715" t="s">
        <v>40</v>
      </c>
      <c r="D3715">
        <v>5.7148209999999997</v>
      </c>
      <c r="E3715">
        <v>0.30618600000000001</v>
      </c>
      <c r="F3715" t="s">
        <v>46</v>
      </c>
      <c r="G3715">
        <v>-482.8175</v>
      </c>
      <c r="H3715" s="1">
        <v>2.418285E-6</v>
      </c>
      <c r="I3715">
        <v>220.29419999999999</v>
      </c>
      <c r="J3715">
        <v>-489.24220000000003</v>
      </c>
      <c r="K3715">
        <v>1.1258509999999999</v>
      </c>
      <c r="L3715">
        <v>222.4059</v>
      </c>
      <c r="M3715">
        <v>0.51330070000000005</v>
      </c>
      <c r="N3715">
        <v>-1.2423729999999999E-2</v>
      </c>
      <c r="O3715">
        <v>-0.85811899999999997</v>
      </c>
      <c r="P3715">
        <v>0.62600049999999996</v>
      </c>
      <c r="Q3715">
        <v>-0.10593900000000001</v>
      </c>
      <c r="R3715">
        <v>-0.77259330000000004</v>
      </c>
      <c r="S3715">
        <v>3.3109440000000001</v>
      </c>
      <c r="T3715">
        <v>-0.57151030000000003</v>
      </c>
      <c r="U3715">
        <v>-1.1439969999999999</v>
      </c>
      <c r="V3715">
        <v>-0.13947699999999999</v>
      </c>
      <c r="W3715">
        <v>-9.5395540000000001E-2</v>
      </c>
      <c r="X3715">
        <v>0.98561949999999998</v>
      </c>
      <c r="Y3715">
        <v>-0.62961659999999997</v>
      </c>
      <c r="Z3715">
        <v>0.15984789999999999</v>
      </c>
      <c r="AA3715">
        <v>0.76028390000000001</v>
      </c>
      <c r="AB3715">
        <v>17</v>
      </c>
      <c r="AC3715">
        <v>6.4247000000000298</v>
      </c>
      <c r="AD3715">
        <v>-1.1258485817149999</v>
      </c>
      <c r="AE3715">
        <v>-2.1117000000000101</v>
      </c>
      <c r="AF3715">
        <v>-4.3101105343582002</v>
      </c>
      <c r="AG3715">
        <v>-1.1258485817149999</v>
      </c>
      <c r="AH3715">
        <v>4.9724788928573496</v>
      </c>
      <c r="AI3715">
        <v>99.708696978270297</v>
      </c>
      <c r="AJ3715">
        <v>130.918520740232</v>
      </c>
      <c r="AK3715">
        <v>6.6760867420403596</v>
      </c>
      <c r="AL3715">
        <v>95.474086141490801</v>
      </c>
      <c r="AM3715">
        <v>98.0545593420199</v>
      </c>
      <c r="AN3715">
        <v>0.99999997068057001</v>
      </c>
    </row>
    <row r="3716" spans="1:40" x14ac:dyDescent="0.25">
      <c r="A3716" t="str">
        <f>"20190303154208894"</f>
        <v>20190303154208894</v>
      </c>
      <c r="B3716" t="str">
        <f>"1551598928883130"</f>
        <v>1551598928883130</v>
      </c>
      <c r="C3716" t="s">
        <v>40</v>
      </c>
      <c r="D3716">
        <v>5.2650350000000001</v>
      </c>
      <c r="E3716">
        <v>0.30706309999999998</v>
      </c>
      <c r="F3716" t="s">
        <v>42</v>
      </c>
      <c r="G3716">
        <v>-488.40719999999999</v>
      </c>
      <c r="H3716">
        <v>0.97304679999999999</v>
      </c>
      <c r="I3716">
        <v>222.04329999999999</v>
      </c>
      <c r="J3716">
        <v>-489.14100000000002</v>
      </c>
      <c r="K3716">
        <v>1.125856</v>
      </c>
      <c r="L3716">
        <v>222.2619</v>
      </c>
      <c r="M3716">
        <v>0.52270559999999999</v>
      </c>
      <c r="N3716">
        <v>-1.24262E-2</v>
      </c>
      <c r="O3716">
        <v>-0.85242299999999904</v>
      </c>
      <c r="P3716">
        <v>0.63339409999999996</v>
      </c>
      <c r="Q3716">
        <v>-0.1059688</v>
      </c>
      <c r="R3716">
        <v>-0.76653979999999999</v>
      </c>
      <c r="S3716">
        <v>3.0592649999999999</v>
      </c>
      <c r="T3716">
        <v>-0.55962129999999999</v>
      </c>
      <c r="U3716">
        <v>-1.3274840000000001</v>
      </c>
      <c r="V3716">
        <v>-0.13810999999999901</v>
      </c>
      <c r="W3716">
        <v>-9.5406439999999995E-2</v>
      </c>
      <c r="X3716">
        <v>0.98581090000000005</v>
      </c>
      <c r="Y3716">
        <v>-0.56032939999999998</v>
      </c>
      <c r="Z3716">
        <v>0.15973419999999999</v>
      </c>
      <c r="AA3716">
        <v>0.81272129999999998</v>
      </c>
      <c r="AB3716">
        <v>17</v>
      </c>
      <c r="AC3716">
        <v>0.73379999999997303</v>
      </c>
      <c r="AD3716">
        <v>-0.15280919999999901</v>
      </c>
      <c r="AE3716">
        <v>-0.21860000000000901</v>
      </c>
      <c r="AF3716">
        <v>-0.491699198202524</v>
      </c>
      <c r="AG3716">
        <v>-0.15280919999999901</v>
      </c>
      <c r="AH3716">
        <v>0.54811319007928405</v>
      </c>
      <c r="AI3716">
        <v>101.72391671282</v>
      </c>
      <c r="AJ3716">
        <v>131.89451880042699</v>
      </c>
      <c r="AK3716">
        <v>0.75202847170604903</v>
      </c>
      <c r="AL3716">
        <v>95.474713664095006</v>
      </c>
      <c r="AM3716">
        <v>97.975109646535401</v>
      </c>
      <c r="AN3716">
        <v>0.99999994572614004</v>
      </c>
    </row>
    <row r="3717" spans="1:40" x14ac:dyDescent="0.25">
      <c r="A3717" t="str">
        <f>"20190303154208914"</f>
        <v>20190303154208914</v>
      </c>
      <c r="B3717" t="str">
        <f>"1551598928903626"</f>
        <v>1551598928903626</v>
      </c>
      <c r="C3717" t="s">
        <v>40</v>
      </c>
      <c r="D3717">
        <v>5.6616039999999996</v>
      </c>
      <c r="E3717">
        <v>0.30336079999999999</v>
      </c>
      <c r="F3717" t="s">
        <v>42</v>
      </c>
      <c r="G3717">
        <v>-488.32769999999999</v>
      </c>
      <c r="H3717">
        <v>0.9770913</v>
      </c>
      <c r="I3717">
        <v>221.91630000000001</v>
      </c>
      <c r="J3717">
        <v>-489.05040000000002</v>
      </c>
      <c r="K3717">
        <v>1.125861</v>
      </c>
      <c r="L3717">
        <v>222.136</v>
      </c>
      <c r="M3717">
        <v>0.53095719999999902</v>
      </c>
      <c r="N3717">
        <v>-1.242862E-2</v>
      </c>
      <c r="O3717">
        <v>-0.84730759999999905</v>
      </c>
      <c r="P3717">
        <v>0.64027019999999901</v>
      </c>
      <c r="Q3717">
        <v>-0.10582569999999999</v>
      </c>
      <c r="R3717">
        <v>-0.76082569999999905</v>
      </c>
      <c r="S3717">
        <v>3.0663450000000001</v>
      </c>
      <c r="T3717">
        <v>-0.56068399999999996</v>
      </c>
      <c r="U3717">
        <v>-1.3023830000000001</v>
      </c>
      <c r="V3717">
        <v>-0.137405</v>
      </c>
      <c r="W3717">
        <v>-9.5253619999999997E-2</v>
      </c>
      <c r="X3717">
        <v>0.98592420000000003</v>
      </c>
      <c r="Y3717">
        <v>-0.55860710000000002</v>
      </c>
      <c r="Z3717">
        <v>0.15978310000000001</v>
      </c>
      <c r="AA3717">
        <v>0.81389650000000002</v>
      </c>
      <c r="AB3717">
        <v>17</v>
      </c>
      <c r="AC3717">
        <v>0.72270000000003098</v>
      </c>
      <c r="AD3717">
        <v>-0.1487697</v>
      </c>
      <c r="AE3717">
        <v>-0.21969999999998799</v>
      </c>
      <c r="AF3717">
        <v>-0.477224388939058</v>
      </c>
      <c r="AG3717">
        <v>-0.1487697</v>
      </c>
      <c r="AH3717">
        <v>0.54863827581831504</v>
      </c>
      <c r="AI3717">
        <v>101.562738470608</v>
      </c>
      <c r="AJ3717">
        <v>131.01786469732701</v>
      </c>
      <c r="AK3717">
        <v>0.74221256977313499</v>
      </c>
      <c r="AL3717">
        <v>95.465917600532606</v>
      </c>
      <c r="AM3717">
        <v>97.934019283905897</v>
      </c>
      <c r="AN3717">
        <v>0.99999995714687095</v>
      </c>
    </row>
    <row r="3718" spans="1:40" x14ac:dyDescent="0.25">
      <c r="A3718" t="str">
        <f>"20190303154208938"</f>
        <v>20190303154208938</v>
      </c>
      <c r="B3718" t="str">
        <f>"1551598928932907"</f>
        <v>1551598928932907</v>
      </c>
      <c r="C3718" t="s">
        <v>40</v>
      </c>
      <c r="D3718">
        <v>5.7617029999999998</v>
      </c>
      <c r="E3718">
        <v>0.30043140000000002</v>
      </c>
      <c r="F3718" t="s">
        <v>42</v>
      </c>
      <c r="G3718">
        <v>-488.23149999999998</v>
      </c>
      <c r="H3718">
        <v>0.97957320000000003</v>
      </c>
      <c r="I3718">
        <v>221.8047</v>
      </c>
      <c r="J3718">
        <v>-488.947</v>
      </c>
      <c r="K3718">
        <v>1.125869</v>
      </c>
      <c r="L3718">
        <v>221.99549999999999</v>
      </c>
      <c r="M3718">
        <v>0.54018149999999998</v>
      </c>
      <c r="N3718">
        <v>-1.24317E-2</v>
      </c>
      <c r="O3718">
        <v>-0.8414568</v>
      </c>
      <c r="P3718">
        <v>0.64825369999999904</v>
      </c>
      <c r="Q3718">
        <v>-0.1056516</v>
      </c>
      <c r="R3718">
        <v>-0.75405900000000003</v>
      </c>
      <c r="S3718">
        <v>3.1016849999999998</v>
      </c>
      <c r="T3718">
        <v>-0.55438730000000003</v>
      </c>
      <c r="U3718">
        <v>-1.255844</v>
      </c>
      <c r="V3718">
        <v>-0.13701429999999901</v>
      </c>
      <c r="W3718">
        <v>-9.50738E-2</v>
      </c>
      <c r="X3718">
        <v>0.98599590000000004</v>
      </c>
      <c r="Y3718">
        <v>-0.56380390000000002</v>
      </c>
      <c r="Z3718">
        <v>0.15716289999999999</v>
      </c>
      <c r="AA3718">
        <v>0.81081749999999997</v>
      </c>
      <c r="AB3718">
        <v>17</v>
      </c>
      <c r="AC3718">
        <v>0.71549999999996305</v>
      </c>
      <c r="AD3718">
        <v>-0.146295799999999</v>
      </c>
      <c r="AE3718">
        <v>-0.190799999999995</v>
      </c>
      <c r="AF3718">
        <v>-0.48028810216767498</v>
      </c>
      <c r="AG3718">
        <v>-0.146295799999999</v>
      </c>
      <c r="AH3718">
        <v>0.52654063912706295</v>
      </c>
      <c r="AI3718">
        <v>101.60017901389</v>
      </c>
      <c r="AJ3718">
        <v>132.369748012483</v>
      </c>
      <c r="AK3718">
        <v>0.72754667673888995</v>
      </c>
      <c r="AL3718">
        <v>95.455567848112494</v>
      </c>
      <c r="AM3718">
        <v>97.911177580797499</v>
      </c>
      <c r="AN3718">
        <v>0.99999993033386703</v>
      </c>
    </row>
    <row r="3719" spans="1:40" x14ac:dyDescent="0.25">
      <c r="A3719" t="str">
        <f>"20190303154208960"</f>
        <v>20190303154208960</v>
      </c>
      <c r="B3719" t="str">
        <f>"1551598928953403"</f>
        <v>1551598928953403</v>
      </c>
      <c r="C3719" t="s">
        <v>40</v>
      </c>
      <c r="D3719">
        <v>5.7603900000000001</v>
      </c>
      <c r="E3719">
        <v>0.3004559</v>
      </c>
      <c r="F3719" t="s">
        <v>46</v>
      </c>
      <c r="G3719">
        <v>-482.47399999999999</v>
      </c>
      <c r="H3719" s="1">
        <v>2.2023850000000001E-6</v>
      </c>
      <c r="I3719">
        <v>219.49950000000001</v>
      </c>
      <c r="J3719">
        <v>-488.84519999999998</v>
      </c>
      <c r="K3719">
        <v>1.12588</v>
      </c>
      <c r="L3719">
        <v>221.8603</v>
      </c>
      <c r="M3719">
        <v>0.54907869999999903</v>
      </c>
      <c r="N3719">
        <v>-1.2434560000000001E-2</v>
      </c>
      <c r="O3719">
        <v>-0.83567819999999904</v>
      </c>
      <c r="P3719">
        <v>0.65622230000000004</v>
      </c>
      <c r="Q3719">
        <v>-0.1060551</v>
      </c>
      <c r="R3719">
        <v>-0.74707760000000001</v>
      </c>
      <c r="S3719">
        <v>3.1335449999999998</v>
      </c>
      <c r="T3719">
        <v>-0.54502729999999999</v>
      </c>
      <c r="U3719">
        <v>-1.2082820000000001</v>
      </c>
      <c r="V3719">
        <v>-0.13704520000000001</v>
      </c>
      <c r="W3719">
        <v>-9.5477999999999993E-2</v>
      </c>
      <c r="X3719">
        <v>0.98595259999999996</v>
      </c>
      <c r="Y3719">
        <v>-0.56916820000000001</v>
      </c>
      <c r="Z3719">
        <v>0.15381600000000001</v>
      </c>
      <c r="AA3719">
        <v>0.80770559999999902</v>
      </c>
      <c r="AB3719">
        <v>17</v>
      </c>
      <c r="AC3719">
        <v>6.3711999999999804</v>
      </c>
      <c r="AD3719">
        <v>-1.1258777976150001</v>
      </c>
      <c r="AE3719">
        <v>-2.3607999999999798</v>
      </c>
      <c r="AF3719">
        <v>-3.9206666713603999</v>
      </c>
      <c r="AG3719">
        <v>-1.1258777976150001</v>
      </c>
      <c r="AH3719">
        <v>5.3253598809907299</v>
      </c>
      <c r="AI3719">
        <v>99.662162979619694</v>
      </c>
      <c r="AJ3719">
        <v>126.361454390475</v>
      </c>
      <c r="AK3719">
        <v>6.7081059789738102</v>
      </c>
      <c r="AL3719">
        <v>95.478832351675393</v>
      </c>
      <c r="AM3719">
        <v>97.913282252162006</v>
      </c>
      <c r="AN3719">
        <v>0.99999998238689902</v>
      </c>
    </row>
    <row r="3720" spans="1:40" x14ac:dyDescent="0.25">
      <c r="A3720" t="str">
        <f>"20190303154208982"</f>
        <v>20190303154208982</v>
      </c>
      <c r="B3720" t="str">
        <f>"1551598928972922"</f>
        <v>1551598928972922</v>
      </c>
      <c r="C3720" t="s">
        <v>40</v>
      </c>
      <c r="D3720">
        <v>5.7554349999999896</v>
      </c>
      <c r="E3720">
        <v>0.30045490000000002</v>
      </c>
      <c r="F3720" t="s">
        <v>46</v>
      </c>
      <c r="G3720">
        <v>-482.31040000000002</v>
      </c>
      <c r="H3720" s="1">
        <v>2.1698739999999999E-6</v>
      </c>
      <c r="I3720">
        <v>219.42</v>
      </c>
      <c r="J3720">
        <v>-488.73899999999998</v>
      </c>
      <c r="K3720">
        <v>1.1258870000000001</v>
      </c>
      <c r="L3720">
        <v>221.72239999999999</v>
      </c>
      <c r="M3720">
        <v>0.55817439999999996</v>
      </c>
      <c r="N3720">
        <v>-1.2437119999999999E-2</v>
      </c>
      <c r="O3720">
        <v>-0.82963039999999999</v>
      </c>
      <c r="P3720">
        <v>0.66395490000000001</v>
      </c>
      <c r="Q3720">
        <v>-0.1060528</v>
      </c>
      <c r="R3720">
        <v>-0.74021389999999998</v>
      </c>
      <c r="S3720">
        <v>3.1463930000000002</v>
      </c>
      <c r="T3720">
        <v>-0.5420914</v>
      </c>
      <c r="U3720">
        <v>-1.1749879999999999</v>
      </c>
      <c r="V3720">
        <v>-0.136525799999999</v>
      </c>
      <c r="W3720">
        <v>-9.5467979999999994E-2</v>
      </c>
      <c r="X3720">
        <v>0.98602559999999995</v>
      </c>
      <c r="Y3720">
        <v>-0.56900969999999995</v>
      </c>
      <c r="Z3720">
        <v>0.15254879999999901</v>
      </c>
      <c r="AA3720">
        <v>0.80805740000000004</v>
      </c>
      <c r="AB3720">
        <v>17</v>
      </c>
      <c r="AC3720">
        <v>6.4286000000000101</v>
      </c>
      <c r="AD3720">
        <v>-1.125884830126</v>
      </c>
      <c r="AE3720">
        <v>-2.3024</v>
      </c>
      <c r="AF3720">
        <v>-3.9413849035560502</v>
      </c>
      <c r="AG3720">
        <v>-1.125884830126</v>
      </c>
      <c r="AH3720">
        <v>5.3533125054392903</v>
      </c>
      <c r="AI3720">
        <v>99.612597410291201</v>
      </c>
      <c r="AJ3720">
        <v>126.362417704808</v>
      </c>
      <c r="AK3720">
        <v>6.7424095388503398</v>
      </c>
      <c r="AL3720">
        <v>95.478255755327993</v>
      </c>
      <c r="AM3720">
        <v>97.883092476924602</v>
      </c>
      <c r="AN3720">
        <v>0.999999956563139</v>
      </c>
    </row>
    <row r="3721" spans="1:40" x14ac:dyDescent="0.25">
      <c r="A3721" t="str">
        <f>"20190303154209028"</f>
        <v>20190303154209028</v>
      </c>
      <c r="B3721" t="str">
        <f>"1551598929023674"</f>
        <v>1551598929023674</v>
      </c>
      <c r="C3721" t="s">
        <v>40</v>
      </c>
      <c r="D3721">
        <v>5.4005960000000002</v>
      </c>
      <c r="E3721">
        <v>0.29636449999999998</v>
      </c>
      <c r="F3721" t="s">
        <v>46</v>
      </c>
      <c r="G3721">
        <v>-482.14339999999999</v>
      </c>
      <c r="H3721" s="1">
        <v>2.1366579999999999E-6</v>
      </c>
      <c r="I3721">
        <v>219.33750000000001</v>
      </c>
      <c r="J3721">
        <v>-488.524</v>
      </c>
      <c r="K3721">
        <v>1.125894</v>
      </c>
      <c r="L3721">
        <v>221.45230000000001</v>
      </c>
      <c r="M3721">
        <v>0.5760227</v>
      </c>
      <c r="N3721">
        <v>-1.244106E-2</v>
      </c>
      <c r="O3721">
        <v>-0.81733889999999998</v>
      </c>
      <c r="P3721">
        <v>0.67828109999999997</v>
      </c>
      <c r="Q3721">
        <v>-0.1037846</v>
      </c>
      <c r="R3721">
        <v>-0.72743630000000004</v>
      </c>
      <c r="S3721">
        <v>3.1588440000000002</v>
      </c>
      <c r="T3721">
        <v>-0.53922760000000003</v>
      </c>
      <c r="U3721">
        <v>-1.1421809999999999</v>
      </c>
      <c r="V3721">
        <v>-0.1342497</v>
      </c>
      <c r="W3721">
        <v>-9.3162980000000006E-2</v>
      </c>
      <c r="X3721">
        <v>0.9865585</v>
      </c>
      <c r="Y3721">
        <v>-0.56000609999999995</v>
      </c>
      <c r="Z3721">
        <v>0.15027399999999999</v>
      </c>
      <c r="AA3721">
        <v>0.81474590000000002</v>
      </c>
      <c r="AB3721">
        <v>17</v>
      </c>
      <c r="AC3721">
        <v>6.38060000000001</v>
      </c>
      <c r="AD3721">
        <v>-1.1258918633420001</v>
      </c>
      <c r="AE3721">
        <v>-2.1147999999999998</v>
      </c>
      <c r="AF3721">
        <v>-3.8881684065937101</v>
      </c>
      <c r="AG3721">
        <v>-1.1258918633420001</v>
      </c>
      <c r="AH3721">
        <v>5.2568194094616798</v>
      </c>
      <c r="AI3721">
        <v>99.770186354888693</v>
      </c>
      <c r="AJ3721">
        <v>126.48821292682899</v>
      </c>
      <c r="AK3721">
        <v>6.6347295611551704</v>
      </c>
      <c r="AL3721">
        <v>95.345597381105406</v>
      </c>
      <c r="AM3721">
        <v>97.749143597884995</v>
      </c>
      <c r="AN3721">
        <v>0.99999999835741005</v>
      </c>
    </row>
    <row r="3722" spans="1:40" x14ac:dyDescent="0.25">
      <c r="A3722" t="str">
        <f>"20190303154209051"</f>
        <v>20190303154209051</v>
      </c>
      <c r="B3722" t="str">
        <f>"1551598929043195"</f>
        <v>1551598929043195</v>
      </c>
      <c r="C3722" t="s">
        <v>40</v>
      </c>
      <c r="D3722">
        <v>5.4158489999999997</v>
      </c>
      <c r="E3722">
        <v>0.29334009999999999</v>
      </c>
      <c r="F3722" t="s">
        <v>42</v>
      </c>
      <c r="G3722">
        <v>-487.63150000000002</v>
      </c>
      <c r="H3722">
        <v>0.97906360000000003</v>
      </c>
      <c r="I3722">
        <v>221.1574</v>
      </c>
      <c r="J3722">
        <v>-488.41820000000001</v>
      </c>
      <c r="K3722">
        <v>1.125901</v>
      </c>
      <c r="L3722">
        <v>221.3236</v>
      </c>
      <c r="M3722">
        <v>0.58454439999999996</v>
      </c>
      <c r="N3722">
        <v>-1.2442689999999999E-2</v>
      </c>
      <c r="O3722">
        <v>-0.81126640000000005</v>
      </c>
      <c r="P3722">
        <v>0.68549230000000005</v>
      </c>
      <c r="Q3722">
        <v>-0.10243819999999999</v>
      </c>
      <c r="R3722">
        <v>-0.72083769999999903</v>
      </c>
      <c r="S3722">
        <v>3.2057799999999999</v>
      </c>
      <c r="T3722">
        <v>-0.52749509999999999</v>
      </c>
      <c r="U3722">
        <v>-1.0597080000000001</v>
      </c>
      <c r="V3722">
        <v>-0.13365550000000001</v>
      </c>
      <c r="W3722">
        <v>-9.1805209999999998E-2</v>
      </c>
      <c r="X3722">
        <v>0.98676649999999999</v>
      </c>
      <c r="Y3722">
        <v>-0.57448480000000002</v>
      </c>
      <c r="Z3722">
        <v>0.1466441</v>
      </c>
      <c r="AA3722">
        <v>0.80527190000000004</v>
      </c>
      <c r="AB3722">
        <v>17</v>
      </c>
      <c r="AC3722">
        <v>0.78669999999999596</v>
      </c>
      <c r="AD3722">
        <v>-0.14683740000000001</v>
      </c>
      <c r="AE3722">
        <v>-0.16620000000000301</v>
      </c>
      <c r="AF3722">
        <v>-0.52365027051581503</v>
      </c>
      <c r="AG3722">
        <v>-0.14683740000000001</v>
      </c>
      <c r="AH3722">
        <v>0.575545292336062</v>
      </c>
      <c r="AI3722">
        <v>100.686573775116</v>
      </c>
      <c r="AJ3722">
        <v>132.2969691552</v>
      </c>
      <c r="AK3722">
        <v>0.79184797239132398</v>
      </c>
      <c r="AL3722">
        <v>95.267467722665799</v>
      </c>
      <c r="AM3722">
        <v>97.713652557131397</v>
      </c>
      <c r="AN3722">
        <v>1.0000000573928201</v>
      </c>
    </row>
    <row r="3723" spans="1:40" x14ac:dyDescent="0.25">
      <c r="A3723" t="str">
        <f>"20190303154209071"</f>
        <v>20190303154209071</v>
      </c>
      <c r="B3723" t="str">
        <f>"1551598929063691"</f>
        <v>1551598929063691</v>
      </c>
      <c r="C3723" t="s">
        <v>40</v>
      </c>
      <c r="D3723">
        <v>5.7517480000000001</v>
      </c>
      <c r="E3723">
        <v>0.29272700000000001</v>
      </c>
      <c r="F3723" t="s">
        <v>42</v>
      </c>
      <c r="G3723">
        <v>-487.53359999999998</v>
      </c>
      <c r="H3723">
        <v>0.98304440000000004</v>
      </c>
      <c r="I3723">
        <v>221.04660000000001</v>
      </c>
      <c r="J3723">
        <v>-488.31490000000002</v>
      </c>
      <c r="K3723">
        <v>1.125902</v>
      </c>
      <c r="L3723">
        <v>221.20060000000001</v>
      </c>
      <c r="M3723">
        <v>0.59270129999999999</v>
      </c>
      <c r="N3723">
        <v>-1.244404E-2</v>
      </c>
      <c r="O3723">
        <v>-0.80532619999999999</v>
      </c>
      <c r="P3723">
        <v>0.69298510000000002</v>
      </c>
      <c r="Q3723">
        <v>-0.1017393</v>
      </c>
      <c r="R3723">
        <v>-0.71373719999999996</v>
      </c>
      <c r="S3723">
        <v>3.2341000000000002</v>
      </c>
      <c r="T3723">
        <v>-0.52217829999999998</v>
      </c>
      <c r="U3723">
        <v>-1.0121</v>
      </c>
      <c r="V3723">
        <v>-0.133954399999999</v>
      </c>
      <c r="W3723">
        <v>-9.1108389999999997E-2</v>
      </c>
      <c r="X3723">
        <v>0.98679050000000001</v>
      </c>
      <c r="Y3723">
        <v>-0.57945749999999996</v>
      </c>
      <c r="Z3723">
        <v>0.14449770000000001</v>
      </c>
      <c r="AA3723">
        <v>0.80209059999999999</v>
      </c>
      <c r="AB3723">
        <v>17</v>
      </c>
      <c r="AC3723">
        <v>0.78130000000004396</v>
      </c>
      <c r="AD3723">
        <v>-0.1428576</v>
      </c>
      <c r="AE3723">
        <v>-0.153999999999996</v>
      </c>
      <c r="AF3723">
        <v>-0.52119378482926704</v>
      </c>
      <c r="AG3723">
        <v>-0.1428576</v>
      </c>
      <c r="AH3723">
        <v>0.568836732170793</v>
      </c>
      <c r="AI3723">
        <v>100.490508881355</v>
      </c>
      <c r="AJ3723">
        <v>132.49731454975699</v>
      </c>
      <c r="AK3723">
        <v>0.78461868642619204</v>
      </c>
      <c r="AL3723">
        <v>95.227375123920993</v>
      </c>
      <c r="AM3723">
        <v>97.730508836075401</v>
      </c>
      <c r="AN3723">
        <v>1.0000000054489999</v>
      </c>
    </row>
    <row r="3724" spans="1:40" x14ac:dyDescent="0.25">
      <c r="A3724" t="str">
        <f>"20190303154209094"</f>
        <v>20190303154209094</v>
      </c>
      <c r="B3724" t="str">
        <f>"1551598929083210"</f>
        <v>1551598929083210</v>
      </c>
      <c r="C3724" t="s">
        <v>40</v>
      </c>
      <c r="D3724">
        <v>5.7113149999999999</v>
      </c>
      <c r="E3724">
        <v>0.29327389999999998</v>
      </c>
      <c r="F3724" t="s">
        <v>42</v>
      </c>
      <c r="G3724">
        <v>-487.435</v>
      </c>
      <c r="H3724">
        <v>0.9856355</v>
      </c>
      <c r="I3724">
        <v>220.93639999999999</v>
      </c>
      <c r="J3724">
        <v>-488.19709999999998</v>
      </c>
      <c r="K3724">
        <v>1.1259060000000001</v>
      </c>
      <c r="L3724">
        <v>221.0633</v>
      </c>
      <c r="M3724">
        <v>0.60180619999999996</v>
      </c>
      <c r="N3724">
        <v>-1.24452E-2</v>
      </c>
      <c r="O3724">
        <v>-0.79854519999999996</v>
      </c>
      <c r="P3724">
        <v>0.70098009999999999</v>
      </c>
      <c r="Q3724">
        <v>-0.1024412</v>
      </c>
      <c r="R3724">
        <v>-0.70578540000000001</v>
      </c>
      <c r="S3724">
        <v>3.2486269999999999</v>
      </c>
      <c r="T3724">
        <v>-0.51788159999999905</v>
      </c>
      <c r="U3724">
        <v>-0.97529600000000005</v>
      </c>
      <c r="V3724">
        <v>-0.13391839999999999</v>
      </c>
      <c r="W3724">
        <v>-9.1809810000000006E-2</v>
      </c>
      <c r="X3724">
        <v>0.98673029999999995</v>
      </c>
      <c r="Y3724">
        <v>-0.57985750000000003</v>
      </c>
      <c r="Z3724">
        <v>0.14270070000000001</v>
      </c>
      <c r="AA3724">
        <v>0.80212329999999998</v>
      </c>
      <c r="AB3724">
        <v>17</v>
      </c>
      <c r="AC3724">
        <v>0.76209999999997502</v>
      </c>
      <c r="AD3724">
        <v>-0.14027049999999899</v>
      </c>
      <c r="AE3724">
        <v>-0.12690000000000601</v>
      </c>
      <c r="AF3724">
        <v>-0.51525866163484202</v>
      </c>
      <c r="AG3724">
        <v>-0.14027049999999899</v>
      </c>
      <c r="AH3724">
        <v>0.54214437035069396</v>
      </c>
      <c r="AI3724">
        <v>100.622025610481</v>
      </c>
      <c r="AJ3724">
        <v>133.543501615249</v>
      </c>
      <c r="AK3724">
        <v>0.76097819933486199</v>
      </c>
      <c r="AL3724">
        <v>95.267733063413104</v>
      </c>
      <c r="AM3724">
        <v>97.728922198723296</v>
      </c>
      <c r="AN3724">
        <v>0.99999993200444004</v>
      </c>
    </row>
    <row r="3725" spans="1:40" x14ac:dyDescent="0.25">
      <c r="A3725" t="str">
        <f>"20190303154209161"</f>
        <v>20190303154209161</v>
      </c>
      <c r="B3725" t="str">
        <f>"1551598929153483"</f>
        <v>1551598929153483</v>
      </c>
      <c r="C3725" t="s">
        <v>40</v>
      </c>
      <c r="D3725">
        <v>5.7715870000000002</v>
      </c>
      <c r="E3725">
        <v>0.2945546</v>
      </c>
      <c r="F3725" t="s">
        <v>42</v>
      </c>
      <c r="G3725">
        <v>-487.34429999999998</v>
      </c>
      <c r="H3725">
        <v>0.98990199999999995</v>
      </c>
      <c r="I3725">
        <v>220.8167</v>
      </c>
      <c r="J3725">
        <v>-487.86020000000002</v>
      </c>
      <c r="K3725">
        <v>1.1258969999999999</v>
      </c>
      <c r="L3725">
        <v>220.6876</v>
      </c>
      <c r="M3725">
        <v>0.62681779999999998</v>
      </c>
      <c r="N3725">
        <v>-1.2448860000000001E-2</v>
      </c>
      <c r="O3725">
        <v>-0.77906640000000005</v>
      </c>
      <c r="P3725">
        <v>0.72364340000000005</v>
      </c>
      <c r="Q3725">
        <v>-0.10259260000000001</v>
      </c>
      <c r="R3725">
        <v>-0.68250690000000003</v>
      </c>
      <c r="S3725">
        <v>3.2563170000000001</v>
      </c>
      <c r="T3725">
        <v>-0.51910909999999999</v>
      </c>
      <c r="U3725">
        <v>-0.94114690000000001</v>
      </c>
      <c r="V3725">
        <v>-0.13485449999999999</v>
      </c>
      <c r="W3725">
        <v>-9.1974340000000002E-2</v>
      </c>
      <c r="X3725">
        <v>0.98658749999999995</v>
      </c>
      <c r="Y3725">
        <v>-0.56252009999999997</v>
      </c>
      <c r="Z3725">
        <v>0.14056440000000001</v>
      </c>
      <c r="AA3725">
        <v>0.81474709999999995</v>
      </c>
      <c r="AB3725">
        <v>17</v>
      </c>
      <c r="AC3725">
        <v>0.51590000000004399</v>
      </c>
      <c r="AD3725">
        <v>-0.13599499999999901</v>
      </c>
      <c r="AE3725">
        <v>0.129099999999994</v>
      </c>
      <c r="AF3725">
        <v>-0.453240831157393</v>
      </c>
      <c r="AG3725">
        <v>-0.13599499999999901</v>
      </c>
      <c r="AH3725">
        <v>0.20913872939200401</v>
      </c>
      <c r="AI3725">
        <v>105.240046974248</v>
      </c>
      <c r="AJ3725">
        <v>155.23000224767799</v>
      </c>
      <c r="AK3725">
        <v>0.51735954536951001</v>
      </c>
      <c r="AL3725">
        <v>95.277199870377203</v>
      </c>
      <c r="AM3725">
        <v>97.783400802053706</v>
      </c>
      <c r="AN3725">
        <v>0.99999995527246599</v>
      </c>
    </row>
    <row r="3726" spans="1:40" x14ac:dyDescent="0.25">
      <c r="A3726" t="str">
        <f>"20190303154209184"</f>
        <v>20190303154209184</v>
      </c>
      <c r="B3726" t="str">
        <f>"1551598929173009"</f>
        <v>1551598929173009</v>
      </c>
      <c r="C3726" t="s">
        <v>40</v>
      </c>
      <c r="D3726">
        <v>5.7793109999999999</v>
      </c>
      <c r="E3726">
        <v>0.3118339</v>
      </c>
      <c r="F3726" t="s">
        <v>42</v>
      </c>
      <c r="G3726">
        <v>-486.8938</v>
      </c>
      <c r="H3726">
        <v>0.97270239999999997</v>
      </c>
      <c r="I3726">
        <v>220.4392</v>
      </c>
      <c r="J3726">
        <v>-487.74020000000002</v>
      </c>
      <c r="K3726">
        <v>1.1258969999999999</v>
      </c>
      <c r="L3726">
        <v>220.55950000000001</v>
      </c>
      <c r="M3726">
        <v>0.63537699999999997</v>
      </c>
      <c r="N3726">
        <v>-1.245075E-2</v>
      </c>
      <c r="O3726">
        <v>-0.77210179999999995</v>
      </c>
      <c r="P3726">
        <v>0.73167260000000001</v>
      </c>
      <c r="Q3726">
        <v>-0.10385510000000001</v>
      </c>
      <c r="R3726">
        <v>-0.67369820000000002</v>
      </c>
      <c r="S3726">
        <v>3.2782290000000001</v>
      </c>
      <c r="T3726">
        <v>-0.51947639999999995</v>
      </c>
      <c r="U3726">
        <v>-0.84167479999999995</v>
      </c>
      <c r="V3726">
        <v>-0.13575139999999999</v>
      </c>
      <c r="W3726">
        <v>-9.3251879999999995E-2</v>
      </c>
      <c r="X3726">
        <v>0.98634460000000002</v>
      </c>
      <c r="Y3726">
        <v>-0.57765940000000005</v>
      </c>
      <c r="Z3726">
        <v>0.14143410000000001</v>
      </c>
      <c r="AA3726">
        <v>0.80393149999999902</v>
      </c>
      <c r="AB3726">
        <v>17</v>
      </c>
      <c r="AC3726">
        <v>0.84640000000001603</v>
      </c>
      <c r="AD3726">
        <v>-0.15319459999999899</v>
      </c>
      <c r="AE3726">
        <v>-0.12030000000001401</v>
      </c>
      <c r="AF3726">
        <v>-0.55916076223467304</v>
      </c>
      <c r="AG3726">
        <v>-0.15319459999999899</v>
      </c>
      <c r="AH3726">
        <v>0.611093156718439</v>
      </c>
      <c r="AI3726">
        <v>100.478372704607</v>
      </c>
      <c r="AJ3726">
        <v>132.459050520782</v>
      </c>
      <c r="AK3726">
        <v>0.84235633177422398</v>
      </c>
      <c r="AL3726">
        <v>95.350713169047197</v>
      </c>
      <c r="AM3726">
        <v>97.836431815103197</v>
      </c>
      <c r="AN3726">
        <v>1.0000000128373201</v>
      </c>
    </row>
    <row r="3727" spans="1:40" x14ac:dyDescent="0.25">
      <c r="A3727" t="str">
        <f>"20190303154209209"</f>
        <v>20190303154209209</v>
      </c>
      <c r="B3727" t="str">
        <f>"1551598929203259"</f>
        <v>1551598929203259</v>
      </c>
      <c r="C3727" t="s">
        <v>40</v>
      </c>
      <c r="D3727">
        <v>5.7772880000000004</v>
      </c>
      <c r="E3727">
        <v>0.31179970000000001</v>
      </c>
      <c r="F3727" t="s">
        <v>42</v>
      </c>
      <c r="G3727">
        <v>-486.81740000000002</v>
      </c>
      <c r="H3727">
        <v>0.97219370000000005</v>
      </c>
      <c r="I3727">
        <v>220.29900000000001</v>
      </c>
      <c r="J3727">
        <v>-487.61630000000002</v>
      </c>
      <c r="K3727">
        <v>1.125901</v>
      </c>
      <c r="L3727">
        <v>220.43010000000001</v>
      </c>
      <c r="M3727">
        <v>0.6440536</v>
      </c>
      <c r="N3727">
        <v>-1.245375E-2</v>
      </c>
      <c r="O3727">
        <v>-0.76487899999999998</v>
      </c>
      <c r="P3727">
        <v>0.73979229999999996</v>
      </c>
      <c r="Q3727">
        <v>-0.1045949</v>
      </c>
      <c r="R3727">
        <v>-0.66465589999999997</v>
      </c>
      <c r="S3727">
        <v>3.1938170000000001</v>
      </c>
      <c r="T3727">
        <v>-0.53213669999999902</v>
      </c>
      <c r="U3727">
        <v>-0.90237429999999996</v>
      </c>
      <c r="V3727">
        <v>-0.13664370000000001</v>
      </c>
      <c r="W3727">
        <v>-9.4006980000000004E-2</v>
      </c>
      <c r="X3727">
        <v>0.98614970000000002</v>
      </c>
      <c r="Y3727">
        <v>-0.54804180000000002</v>
      </c>
      <c r="Z3727">
        <v>0.14518879999999901</v>
      </c>
      <c r="AA3727">
        <v>0.82375379999999998</v>
      </c>
      <c r="AB3727">
        <v>17</v>
      </c>
      <c r="AC3727">
        <v>0.79890000000000305</v>
      </c>
      <c r="AD3727">
        <v>-0.15370729999999999</v>
      </c>
      <c r="AE3727">
        <v>-0.13110000000000299</v>
      </c>
      <c r="AF3727">
        <v>-0.50834322432300205</v>
      </c>
      <c r="AG3727">
        <v>-0.15370729999999999</v>
      </c>
      <c r="AH3727">
        <v>0.59346535524150701</v>
      </c>
      <c r="AI3727">
        <v>101.128182833618</v>
      </c>
      <c r="AJ3727">
        <v>130.58229051607401</v>
      </c>
      <c r="AK3727">
        <v>0.79639179783591696</v>
      </c>
      <c r="AL3727">
        <v>95.394168055984593</v>
      </c>
      <c r="AM3727">
        <v>97.888834030737499</v>
      </c>
      <c r="AN3727">
        <v>1.00000002192425</v>
      </c>
    </row>
    <row r="3728" spans="1:40" x14ac:dyDescent="0.25">
      <c r="A3728" t="str">
        <f>"20190303154209231"</f>
        <v>20190303154209231</v>
      </c>
      <c r="B3728" t="str">
        <f>"1551598929222779"</f>
        <v>1551598929222779</v>
      </c>
      <c r="C3728" t="s">
        <v>40</v>
      </c>
      <c r="D3728">
        <v>5.8287409999999999</v>
      </c>
      <c r="E3728">
        <v>0.33438759999999901</v>
      </c>
      <c r="F3728" t="s">
        <v>42</v>
      </c>
      <c r="G3728">
        <v>-486.71710000000002</v>
      </c>
      <c r="H3728">
        <v>0.9773636</v>
      </c>
      <c r="I3728">
        <v>220.18790000000001</v>
      </c>
      <c r="J3728">
        <v>-487.49209999999999</v>
      </c>
      <c r="K3728">
        <v>1.1259170000000001</v>
      </c>
      <c r="L3728">
        <v>220.3032</v>
      </c>
      <c r="M3728">
        <v>0.65259529999999999</v>
      </c>
      <c r="N3728">
        <v>-1.245831E-2</v>
      </c>
      <c r="O3728">
        <v>-0.75760439999999996</v>
      </c>
      <c r="P3728">
        <v>0.74758179999999996</v>
      </c>
      <c r="Q3728">
        <v>-0.10486669999999999</v>
      </c>
      <c r="R3728">
        <v>-0.65583919999999996</v>
      </c>
      <c r="S3728">
        <v>3.2049560000000001</v>
      </c>
      <c r="T3728">
        <v>-0.52943109999999904</v>
      </c>
      <c r="U3728">
        <v>-0.86300659999999896</v>
      </c>
      <c r="V3728">
        <v>-0.13723150000000001</v>
      </c>
      <c r="W3728">
        <v>-9.4290139999999995E-2</v>
      </c>
      <c r="X3728">
        <v>0.98604099999999995</v>
      </c>
      <c r="Y3728">
        <v>-0.54904529999999996</v>
      </c>
      <c r="Z3728">
        <v>0.14387349999999999</v>
      </c>
      <c r="AA3728">
        <v>0.8233163</v>
      </c>
      <c r="AB3728">
        <v>17</v>
      </c>
      <c r="AC3728">
        <v>0.77499999999997704</v>
      </c>
      <c r="AD3728">
        <v>-0.1485534</v>
      </c>
      <c r="AE3728">
        <v>-0.11529999999998999</v>
      </c>
      <c r="AF3728">
        <v>-0.49417507549815598</v>
      </c>
      <c r="AG3728">
        <v>-0.1485534</v>
      </c>
      <c r="AH3728">
        <v>0.57257708002680596</v>
      </c>
      <c r="AI3728">
        <v>101.11203271914999</v>
      </c>
      <c r="AJ3728">
        <v>130.79654769700201</v>
      </c>
      <c r="AK3728">
        <v>0.77079285833950995</v>
      </c>
      <c r="AL3728">
        <v>95.410464517688496</v>
      </c>
      <c r="AM3728">
        <v>97.923201692948993</v>
      </c>
      <c r="AN3728">
        <v>0.99999998438723403</v>
      </c>
    </row>
    <row r="3729" spans="1:40" x14ac:dyDescent="0.25">
      <c r="A3729" t="str">
        <f>"20190303154209254"</f>
        <v>20190303154209254</v>
      </c>
      <c r="B3729" t="str">
        <f>"1551598929243275"</f>
        <v>1551598929243275</v>
      </c>
      <c r="C3729" t="s">
        <v>40</v>
      </c>
      <c r="D3729">
        <v>5.7946549999999997</v>
      </c>
      <c r="E3729">
        <v>0.38689839999999998</v>
      </c>
      <c r="F3729" t="s">
        <v>42</v>
      </c>
      <c r="G3729">
        <v>-486.64449999999999</v>
      </c>
      <c r="H3729">
        <v>1.0046550000000001</v>
      </c>
      <c r="I3729">
        <v>220.03919999999999</v>
      </c>
      <c r="J3729">
        <v>-487.37200000000001</v>
      </c>
      <c r="K3729">
        <v>1.125961</v>
      </c>
      <c r="L3729">
        <v>220.1833</v>
      </c>
      <c r="M3729">
        <v>0.66071519999999995</v>
      </c>
      <c r="N3729">
        <v>-1.246473E-2</v>
      </c>
      <c r="O3729">
        <v>-0.75053319999999901</v>
      </c>
      <c r="P3729">
        <v>0.75445530000000005</v>
      </c>
      <c r="Q3729">
        <v>-0.1040437</v>
      </c>
      <c r="R3729">
        <v>-0.64805279999999998</v>
      </c>
      <c r="S3729">
        <v>3.1032410000000001</v>
      </c>
      <c r="T3729">
        <v>-0.44387149999999997</v>
      </c>
      <c r="U3729">
        <v>-0.96601870000000001</v>
      </c>
      <c r="V3729">
        <v>-0.13692670000000001</v>
      </c>
      <c r="W3729">
        <v>-9.3465610000000005E-2</v>
      </c>
      <c r="X3729">
        <v>0.98616190000000004</v>
      </c>
      <c r="Y3729">
        <v>-0.51133709999999999</v>
      </c>
      <c r="Z3729">
        <v>0.1195379</v>
      </c>
      <c r="AA3729">
        <v>0.8510259</v>
      </c>
      <c r="AB3729">
        <v>17</v>
      </c>
      <c r="AC3729">
        <v>0.72749999999996295</v>
      </c>
      <c r="AD3729">
        <v>-0.121306</v>
      </c>
      <c r="AE3729">
        <v>-0.144100000000008</v>
      </c>
      <c r="AF3729">
        <v>-0.43909150076917303</v>
      </c>
      <c r="AG3729">
        <v>-0.121306</v>
      </c>
      <c r="AH3729">
        <v>0.57352394454438804</v>
      </c>
      <c r="AI3729">
        <v>99.533395494498606</v>
      </c>
      <c r="AJ3729">
        <v>127.43776732619099</v>
      </c>
      <c r="AK3729">
        <v>0.73242488123320804</v>
      </c>
      <c r="AL3729">
        <v>95.363012690133402</v>
      </c>
      <c r="AM3729">
        <v>97.904869539353399</v>
      </c>
      <c r="AN3729">
        <v>1.0000000172185799</v>
      </c>
    </row>
    <row r="3730" spans="1:40" x14ac:dyDescent="0.25">
      <c r="A3730" t="str">
        <f>"20190303154209289"</f>
        <v>20190303154209289</v>
      </c>
      <c r="B3730" t="str">
        <f>"1551598929283292"</f>
        <v>1551598929283292</v>
      </c>
      <c r="C3730" t="s">
        <v>40</v>
      </c>
      <c r="D3730">
        <v>5.7498760000000004</v>
      </c>
      <c r="E3730">
        <v>0.39053759999999998</v>
      </c>
      <c r="F3730" t="s">
        <v>46</v>
      </c>
      <c r="G3730">
        <v>-476.28590000000003</v>
      </c>
      <c r="H3730" s="1">
        <v>3.1999539999999999E-6</v>
      </c>
      <c r="I3730">
        <v>215.2808</v>
      </c>
      <c r="J3730">
        <v>-487.24639999999999</v>
      </c>
      <c r="K3730">
        <v>1.1260059999999901</v>
      </c>
      <c r="L3730">
        <v>220.06059999999999</v>
      </c>
      <c r="M3730">
        <v>0.66907919999999999</v>
      </c>
      <c r="N3730">
        <v>-1.2474030000000001E-2</v>
      </c>
      <c r="O3730">
        <v>-0.74308689999999999</v>
      </c>
      <c r="P3730">
        <v>0.76086189999999998</v>
      </c>
      <c r="Q3730">
        <v>-0.10390099999999999</v>
      </c>
      <c r="R3730">
        <v>-0.64054259999999996</v>
      </c>
      <c r="S3730">
        <v>2.852814</v>
      </c>
      <c r="T3730">
        <v>-0.28974509999999998</v>
      </c>
      <c r="U3730">
        <v>-1.261566</v>
      </c>
      <c r="V3730">
        <v>-0.1356665</v>
      </c>
      <c r="W3730">
        <v>-9.3309489999999995E-2</v>
      </c>
      <c r="X3730">
        <v>0.98635079999999997</v>
      </c>
      <c r="Y3730">
        <v>-0.40556239999999999</v>
      </c>
      <c r="Z3730">
        <v>7.4478559999999999E-2</v>
      </c>
      <c r="AA3730">
        <v>0.91102799999999995</v>
      </c>
      <c r="AB3730">
        <v>17</v>
      </c>
      <c r="AC3730">
        <v>10.9604999999999</v>
      </c>
      <c r="AD3730">
        <v>-1.1260028000459901</v>
      </c>
      <c r="AE3730">
        <v>-4.7797999999999901</v>
      </c>
      <c r="AF3730">
        <v>-4.9034405259529104</v>
      </c>
      <c r="AG3730">
        <v>-1.1260028000459901</v>
      </c>
      <c r="AH3730">
        <v>10.790407291558701</v>
      </c>
      <c r="AI3730">
        <v>95.426984445554098</v>
      </c>
      <c r="AJ3730">
        <v>114.438277410992</v>
      </c>
      <c r="AK3730">
        <v>11.9056499534881</v>
      </c>
      <c r="AL3730">
        <v>95.354028608068901</v>
      </c>
      <c r="AM3730">
        <v>97.831543066980004</v>
      </c>
      <c r="AN3730">
        <v>0.99999998040347404</v>
      </c>
    </row>
    <row r="3731" spans="1:40" x14ac:dyDescent="0.25">
      <c r="A3731" t="str">
        <f>"20190303154209308"</f>
        <v>20190303154209308</v>
      </c>
      <c r="B3731" t="str">
        <f>"1551598929303788"</f>
        <v>1551598929303788</v>
      </c>
      <c r="C3731" t="s">
        <v>40</v>
      </c>
      <c r="D3731">
        <v>5.7627560000000004</v>
      </c>
      <c r="E3731">
        <v>0.39323399999999997</v>
      </c>
      <c r="F3731" t="s">
        <v>46</v>
      </c>
      <c r="G3731">
        <v>-477.54079999999999</v>
      </c>
      <c r="H3731" s="1">
        <v>2.665503E-6</v>
      </c>
      <c r="I3731">
        <v>215.785</v>
      </c>
      <c r="J3731">
        <v>-487.07010000000002</v>
      </c>
      <c r="K3731">
        <v>1.126066</v>
      </c>
      <c r="L3731">
        <v>219.89359999999999</v>
      </c>
      <c r="M3731">
        <v>0.68061249999999995</v>
      </c>
      <c r="N3731">
        <v>-1.249127E-2</v>
      </c>
      <c r="O3731">
        <v>-0.73253729999999995</v>
      </c>
      <c r="P3731">
        <v>0.77000970000000002</v>
      </c>
      <c r="Q3731">
        <v>-0.1041279</v>
      </c>
      <c r="R3731">
        <v>-0.62947799999999998</v>
      </c>
      <c r="S3731">
        <v>2.843353</v>
      </c>
      <c r="T3731">
        <v>-0.32987240000000001</v>
      </c>
      <c r="U3731">
        <v>-1.2525790000000001</v>
      </c>
      <c r="V3731">
        <v>-0.13446520000000001</v>
      </c>
      <c r="W3731">
        <v>-9.3525720000000007E-2</v>
      </c>
      <c r="X3731">
        <v>0.98649480000000001</v>
      </c>
      <c r="Y3731">
        <v>-0.39148820000000001</v>
      </c>
      <c r="Z3731">
        <v>8.4773379999999995E-2</v>
      </c>
      <c r="AA3731">
        <v>0.91626989999999997</v>
      </c>
      <c r="AB3731">
        <v>17</v>
      </c>
      <c r="AC3731">
        <v>9.5293000000000294</v>
      </c>
      <c r="AD3731">
        <v>-1.1260633344969999</v>
      </c>
      <c r="AE3731">
        <v>-4.1085999999999903</v>
      </c>
      <c r="AF3731">
        <v>-4.1358299758166002</v>
      </c>
      <c r="AG3731">
        <v>-1.1260633344969999</v>
      </c>
      <c r="AH3731">
        <v>9.3856872413555497</v>
      </c>
      <c r="AI3731">
        <v>96.265409616538307</v>
      </c>
      <c r="AJ3731">
        <v>113.78082611387801</v>
      </c>
      <c r="AK3731">
        <v>10.318150668346799</v>
      </c>
      <c r="AL3731">
        <v>95.366472143917903</v>
      </c>
      <c r="AM3731">
        <v>97.7619262277221</v>
      </c>
      <c r="AN3731">
        <v>0.99999997036979804</v>
      </c>
    </row>
    <row r="3732" spans="1:40" x14ac:dyDescent="0.25">
      <c r="A3732" t="str">
        <f>"20190303154209325"</f>
        <v>20190303154209325</v>
      </c>
      <c r="B3732" t="str">
        <f>"1551598929313547"</f>
        <v>1551598929313547</v>
      </c>
      <c r="C3732" t="s">
        <v>40</v>
      </c>
      <c r="D3732">
        <v>5.7826649999999997</v>
      </c>
      <c r="E3732">
        <v>0.39442090000000002</v>
      </c>
      <c r="F3732" t="s">
        <v>46</v>
      </c>
      <c r="G3732">
        <v>-477.47980000000001</v>
      </c>
      <c r="H3732" s="1">
        <v>2.6913489999999998E-6</v>
      </c>
      <c r="I3732">
        <v>215.75800000000001</v>
      </c>
      <c r="J3732">
        <v>-486.97609999999997</v>
      </c>
      <c r="K3732">
        <v>1.1261000000000001</v>
      </c>
      <c r="L3732">
        <v>219.8065</v>
      </c>
      <c r="M3732">
        <v>0.68667270000000002</v>
      </c>
      <c r="N3732">
        <v>-1.250125E-2</v>
      </c>
      <c r="O3732">
        <v>-0.72685929999999999</v>
      </c>
      <c r="P3732">
        <v>0.77511319999999995</v>
      </c>
      <c r="Q3732">
        <v>-0.10428850000000001</v>
      </c>
      <c r="R3732">
        <v>-0.62315669999999901</v>
      </c>
      <c r="S3732">
        <v>2.8471069999999998</v>
      </c>
      <c r="T3732">
        <v>-0.3342987</v>
      </c>
      <c r="U3732">
        <v>-1.2277530000000001</v>
      </c>
      <c r="V3732">
        <v>-0.1343183</v>
      </c>
      <c r="W3732">
        <v>-9.3686549999999993E-2</v>
      </c>
      <c r="X3732">
        <v>0.98649960000000003</v>
      </c>
      <c r="Y3732">
        <v>-0.39088630000000002</v>
      </c>
      <c r="Z3732">
        <v>8.577253E-2</v>
      </c>
      <c r="AA3732">
        <v>0.91643379999999997</v>
      </c>
      <c r="AB3732">
        <v>17</v>
      </c>
      <c r="AC3732">
        <v>9.4962999999999607</v>
      </c>
      <c r="AD3732">
        <v>-1.126097308651</v>
      </c>
      <c r="AE3732">
        <v>-4.0485000000000104</v>
      </c>
      <c r="AF3732">
        <v>-4.0743204431773998</v>
      </c>
      <c r="AG3732">
        <v>-1.126097308651</v>
      </c>
      <c r="AH3732">
        <v>9.3529860865142798</v>
      </c>
      <c r="AI3732">
        <v>96.298883829098401</v>
      </c>
      <c r="AJ3732">
        <v>113.53876363357099</v>
      </c>
      <c r="AK3732">
        <v>10.263845817079099</v>
      </c>
      <c r="AL3732">
        <v>95.375727405318599</v>
      </c>
      <c r="AM3732">
        <v>97.753512444353902</v>
      </c>
      <c r="AN3732">
        <v>1.00000001808297</v>
      </c>
    </row>
    <row r="3733" spans="1:40" x14ac:dyDescent="0.25">
      <c r="A3733" t="str">
        <f>"20190303154209341"</f>
        <v>20190303154209341</v>
      </c>
      <c r="B3733" t="str">
        <f>"1551598929333067"</f>
        <v>1551598929333067</v>
      </c>
      <c r="C3733" t="s">
        <v>40</v>
      </c>
      <c r="D3733">
        <v>5.7793979999999996</v>
      </c>
      <c r="E3733">
        <v>0.39660119999999999</v>
      </c>
      <c r="F3733" t="s">
        <v>46</v>
      </c>
      <c r="G3733">
        <v>-477.37139999999999</v>
      </c>
      <c r="H3733" s="1">
        <v>2.737974E-6</v>
      </c>
      <c r="I3733">
        <v>215.7243</v>
      </c>
      <c r="J3733">
        <v>-486.88389999999998</v>
      </c>
      <c r="K3733">
        <v>1.126134</v>
      </c>
      <c r="L3733">
        <v>219.7226</v>
      </c>
      <c r="M3733">
        <v>0.69255409999999995</v>
      </c>
      <c r="N3733">
        <v>-1.25115E-2</v>
      </c>
      <c r="O3733">
        <v>-0.721257699999999</v>
      </c>
      <c r="P3733">
        <v>0.78031149999999905</v>
      </c>
      <c r="Q3733">
        <v>-0.1044477</v>
      </c>
      <c r="R3733">
        <v>-0.61660769999999998</v>
      </c>
      <c r="S3733">
        <v>2.8511660000000001</v>
      </c>
      <c r="T3733">
        <v>-0.3342832</v>
      </c>
      <c r="U3733">
        <v>-1.2118230000000001</v>
      </c>
      <c r="V3733">
        <v>-0.13458619999999999</v>
      </c>
      <c r="W3733">
        <v>-9.385135E-2</v>
      </c>
      <c r="X3733">
        <v>0.98644739999999997</v>
      </c>
      <c r="Y3733">
        <v>-0.38824209999999998</v>
      </c>
      <c r="Z3733">
        <v>8.5326979999999997E-2</v>
      </c>
      <c r="AA3733">
        <v>0.91759869999999999</v>
      </c>
      <c r="AB3733">
        <v>17</v>
      </c>
      <c r="AC3733">
        <v>9.5124999999999797</v>
      </c>
      <c r="AD3733">
        <v>-1.126131262026</v>
      </c>
      <c r="AE3733">
        <v>-3.9983</v>
      </c>
      <c r="AF3733">
        <v>-4.0440768788575001</v>
      </c>
      <c r="AG3733">
        <v>-1.126131262026</v>
      </c>
      <c r="AH3733">
        <v>9.3609702035592193</v>
      </c>
      <c r="AI3733">
        <v>96.301959375053897</v>
      </c>
      <c r="AJ3733">
        <v>113.365055003447</v>
      </c>
      <c r="AK3733">
        <v>10.2591662708694</v>
      </c>
      <c r="AL3733">
        <v>95.385211650459794</v>
      </c>
      <c r="AM3733">
        <v>97.7691943684693</v>
      </c>
      <c r="AN3733">
        <v>0.99999999704701104</v>
      </c>
    </row>
    <row r="3734" spans="1:40" x14ac:dyDescent="0.25">
      <c r="A3734" t="str">
        <f>"20190303154209364"</f>
        <v>20190303154209364</v>
      </c>
      <c r="B3734" t="str">
        <f>"1551598929353564"</f>
        <v>1551598929353564</v>
      </c>
      <c r="C3734" t="s">
        <v>40</v>
      </c>
      <c r="D3734">
        <v>5.8076470000000002</v>
      </c>
      <c r="E3734">
        <v>0.39808490000000002</v>
      </c>
      <c r="F3734" t="s">
        <v>46</v>
      </c>
      <c r="G3734">
        <v>-477.29730000000001</v>
      </c>
      <c r="H3734" s="1">
        <v>2.768968E-6</v>
      </c>
      <c r="I3734">
        <v>215.68190000000001</v>
      </c>
      <c r="J3734">
        <v>-486.75240000000002</v>
      </c>
      <c r="K3734">
        <v>1.126187</v>
      </c>
      <c r="L3734">
        <v>219.60560000000001</v>
      </c>
      <c r="M3734">
        <v>0.70084419999999903</v>
      </c>
      <c r="N3734">
        <v>-1.252751E-2</v>
      </c>
      <c r="O3734">
        <v>-0.71320439999999996</v>
      </c>
      <c r="P3734">
        <v>0.78758569999999894</v>
      </c>
      <c r="Q3734">
        <v>-0.1045838</v>
      </c>
      <c r="R3734">
        <v>-0.60726539999999996</v>
      </c>
      <c r="S3734">
        <v>2.850403</v>
      </c>
      <c r="T3734">
        <v>-0.33483679999999999</v>
      </c>
      <c r="U3734">
        <v>-1.2014469999999999</v>
      </c>
      <c r="V3734">
        <v>-0.13491220000000001</v>
      </c>
      <c r="W3734">
        <v>-9.3994339999999996E-2</v>
      </c>
      <c r="X3734">
        <v>0.98638930000000002</v>
      </c>
      <c r="Y3734">
        <v>-0.38036320000000001</v>
      </c>
      <c r="Z3734">
        <v>8.4672369999999997E-2</v>
      </c>
      <c r="AA3734">
        <v>0.92095300000000002</v>
      </c>
      <c r="AB3734">
        <v>17</v>
      </c>
      <c r="AC3734">
        <v>9.4551000000000105</v>
      </c>
      <c r="AD3734">
        <v>-1.126184231032</v>
      </c>
      <c r="AE3734">
        <v>-3.92369999999999</v>
      </c>
      <c r="AF3734">
        <v>-3.9460718537574602</v>
      </c>
      <c r="AG3734">
        <v>-1.126184231032</v>
      </c>
      <c r="AH3734">
        <v>9.3129796455368208</v>
      </c>
      <c r="AI3734">
        <v>96.353347324268995</v>
      </c>
      <c r="AJ3734">
        <v>112.96322038260701</v>
      </c>
      <c r="AK3734">
        <v>10.177001713443101</v>
      </c>
      <c r="AL3734">
        <v>95.393440494720494</v>
      </c>
      <c r="AM3734">
        <v>97.788235645632994</v>
      </c>
      <c r="AN3734">
        <v>1.00000004440768</v>
      </c>
    </row>
    <row r="3735" spans="1:40" x14ac:dyDescent="0.25">
      <c r="A3735" t="str">
        <f>"20190303154209385"</f>
        <v>20190303154209385</v>
      </c>
      <c r="B3735" t="str">
        <f>"1551598929373591"</f>
        <v>1551598929373591</v>
      </c>
      <c r="C3735" t="s">
        <v>40</v>
      </c>
      <c r="D3735">
        <v>5.822298</v>
      </c>
      <c r="E3735">
        <v>0.39934910000000001</v>
      </c>
      <c r="F3735" t="s">
        <v>46</v>
      </c>
      <c r="G3735">
        <v>-477.14210000000003</v>
      </c>
      <c r="H3735" s="1">
        <v>2.8362690000000001E-6</v>
      </c>
      <c r="I3735">
        <v>215.6472</v>
      </c>
      <c r="J3735">
        <v>-486.63279999999997</v>
      </c>
      <c r="K3735">
        <v>1.1262399999999999</v>
      </c>
      <c r="L3735">
        <v>219.50149999999999</v>
      </c>
      <c r="M3735">
        <v>0.70829730000000002</v>
      </c>
      <c r="N3735">
        <v>-1.2543779999999999E-2</v>
      </c>
      <c r="O3735">
        <v>-0.70580269999999901</v>
      </c>
      <c r="P3735">
        <v>0.7943808</v>
      </c>
      <c r="Q3735">
        <v>-0.1048409</v>
      </c>
      <c r="R3735">
        <v>-0.59830419999999995</v>
      </c>
      <c r="S3735">
        <v>2.8572389999999999</v>
      </c>
      <c r="T3735">
        <v>-0.33482729999999999</v>
      </c>
      <c r="U3735">
        <v>-1.176865</v>
      </c>
      <c r="V3735">
        <v>-0.13568520000000001</v>
      </c>
      <c r="W3735">
        <v>-9.4264280000000006E-2</v>
      </c>
      <c r="X3735">
        <v>0.98625739999999995</v>
      </c>
      <c r="Y3735">
        <v>-0.37822539999999999</v>
      </c>
      <c r="Z3735">
        <v>8.4124470000000007E-2</v>
      </c>
      <c r="AA3735">
        <v>0.92188320000000001</v>
      </c>
      <c r="AB3735">
        <v>17</v>
      </c>
      <c r="AC3735">
        <v>9.49069999999994</v>
      </c>
      <c r="AD3735">
        <v>-1.12623716373099</v>
      </c>
      <c r="AE3735">
        <v>-3.8542999999999901</v>
      </c>
      <c r="AF3735">
        <v>-3.92148002558912</v>
      </c>
      <c r="AG3735">
        <v>-1.12623716373099</v>
      </c>
      <c r="AH3735">
        <v>9.3305657593868201</v>
      </c>
      <c r="AI3735">
        <v>96.349508450132703</v>
      </c>
      <c r="AJ3735">
        <v>112.796197353411</v>
      </c>
      <c r="AK3735">
        <v>10.1836080605208</v>
      </c>
      <c r="AL3735">
        <v>95.408976441620993</v>
      </c>
      <c r="AM3735">
        <v>97.833341704421997</v>
      </c>
      <c r="AN3735">
        <v>0.99999994351885702</v>
      </c>
    </row>
    <row r="3736" spans="1:40" x14ac:dyDescent="0.25">
      <c r="A3736" t="str">
        <f>"20190303154209408"</f>
        <v>20190303154209408</v>
      </c>
      <c r="B3736" t="str">
        <f>"1551598929402871"</f>
        <v>1551598929402871</v>
      </c>
      <c r="C3736" t="s">
        <v>40</v>
      </c>
      <c r="D3736">
        <v>5.8123459999999998</v>
      </c>
      <c r="E3736">
        <v>0.40079730000000002</v>
      </c>
      <c r="F3736" t="s">
        <v>46</v>
      </c>
      <c r="G3736">
        <v>-476.90780000000001</v>
      </c>
      <c r="H3736" s="1">
        <v>2.9376009999999999E-6</v>
      </c>
      <c r="I3736">
        <v>215.5882</v>
      </c>
      <c r="J3736">
        <v>-486.5034</v>
      </c>
      <c r="K3736">
        <v>1.126295</v>
      </c>
      <c r="L3736">
        <v>219.39160000000001</v>
      </c>
      <c r="M3736">
        <v>0.71626619999999996</v>
      </c>
      <c r="N3736">
        <v>-1.256317E-2</v>
      </c>
      <c r="O3736">
        <v>-0.6977141</v>
      </c>
      <c r="P3736">
        <v>0.80163249999999997</v>
      </c>
      <c r="Q3736">
        <v>-0.1056711</v>
      </c>
      <c r="R3736">
        <v>-0.58840419999999904</v>
      </c>
      <c r="S3736">
        <v>2.864563</v>
      </c>
      <c r="T3736">
        <v>-0.33174219999999999</v>
      </c>
      <c r="U3736">
        <v>-1.1527099999999999</v>
      </c>
      <c r="V3736">
        <v>-0.13661889999999999</v>
      </c>
      <c r="W3736">
        <v>-9.5109920000000001E-2</v>
      </c>
      <c r="X3736">
        <v>0.98604729999999996</v>
      </c>
      <c r="Y3736">
        <v>-0.37534770000000001</v>
      </c>
      <c r="Z3736">
        <v>8.2633609999999996E-2</v>
      </c>
      <c r="AA3736">
        <v>0.92319329999999999</v>
      </c>
      <c r="AB3736">
        <v>17</v>
      </c>
      <c r="AC3736">
        <v>9.5955999999999904</v>
      </c>
      <c r="AD3736">
        <v>-1.126292062399</v>
      </c>
      <c r="AE3736">
        <v>-3.8034000000000101</v>
      </c>
      <c r="AF3736">
        <v>-3.9243268612028399</v>
      </c>
      <c r="AG3736">
        <v>-1.126292062399</v>
      </c>
      <c r="AH3736">
        <v>9.4153377293729807</v>
      </c>
      <c r="AI3736">
        <v>96.300850573424498</v>
      </c>
      <c r="AJ3736">
        <v>112.626447063933</v>
      </c>
      <c r="AK3736">
        <v>10.2624295213918</v>
      </c>
      <c r="AL3736">
        <v>95.457646688840299</v>
      </c>
      <c r="AM3736">
        <v>97.888229067007202</v>
      </c>
      <c r="AN3736">
        <v>0.99999994927845104</v>
      </c>
    </row>
    <row r="3737" spans="1:40" x14ac:dyDescent="0.25">
      <c r="A3737" t="str">
        <f>"20190303154209433"</f>
        <v>20190303154209433</v>
      </c>
      <c r="B3737" t="str">
        <f>"1551598929423367"</f>
        <v>1551598929423367</v>
      </c>
      <c r="C3737" t="s">
        <v>40</v>
      </c>
      <c r="D3737">
        <v>5.8210509999999998</v>
      </c>
      <c r="E3737">
        <v>0.41522399999999998</v>
      </c>
      <c r="F3737" t="s">
        <v>46</v>
      </c>
      <c r="G3737">
        <v>-476.77409999999998</v>
      </c>
      <c r="H3737" s="1">
        <v>2.9963180000000001E-6</v>
      </c>
      <c r="I3737">
        <v>215.57499999999999</v>
      </c>
      <c r="J3737">
        <v>-486.3571</v>
      </c>
      <c r="K3737">
        <v>1.1263650000000001</v>
      </c>
      <c r="L3737">
        <v>219.2704</v>
      </c>
      <c r="M3737">
        <v>0.72515490000000005</v>
      </c>
      <c r="N3737">
        <v>-1.2586740000000001E-2</v>
      </c>
      <c r="O3737">
        <v>-0.68847080000000005</v>
      </c>
      <c r="P3737">
        <v>0.80965469999999995</v>
      </c>
      <c r="Q3737">
        <v>-0.1060041</v>
      </c>
      <c r="R3737">
        <v>-0.57725400000000004</v>
      </c>
      <c r="S3737">
        <v>2.8716430000000002</v>
      </c>
      <c r="T3737">
        <v>-0.33242909999999998</v>
      </c>
      <c r="U3737">
        <v>-1.1264799999999999</v>
      </c>
      <c r="V3737">
        <v>-0.137567299999999</v>
      </c>
      <c r="W3737">
        <v>-9.5457769999999997E-2</v>
      </c>
      <c r="X3737">
        <v>0.98588189999999998</v>
      </c>
      <c r="Y3737">
        <v>-0.3715637</v>
      </c>
      <c r="Z3737">
        <v>8.2044500000000006E-2</v>
      </c>
      <c r="AA3737">
        <v>0.92477520000000002</v>
      </c>
      <c r="AB3737">
        <v>17</v>
      </c>
      <c r="AC3737">
        <v>9.5830000000000197</v>
      </c>
      <c r="AD3737">
        <v>-1.1263620036819999</v>
      </c>
      <c r="AE3737">
        <v>-3.6953999999999998</v>
      </c>
      <c r="AF3737">
        <v>-3.8716257051628902</v>
      </c>
      <c r="AG3737">
        <v>-1.1263620036819999</v>
      </c>
      <c r="AH3737">
        <v>9.3812607400007302</v>
      </c>
      <c r="AI3737">
        <v>96.333058210007806</v>
      </c>
      <c r="AJ3737">
        <v>112.425832115926</v>
      </c>
      <c r="AK3737">
        <v>10.211083685686599</v>
      </c>
      <c r="AL3737">
        <v>95.477667654279799</v>
      </c>
      <c r="AM3737">
        <v>97.943607697793993</v>
      </c>
      <c r="AN3737">
        <v>1.0000000343151301</v>
      </c>
    </row>
    <row r="3738" spans="1:40" x14ac:dyDescent="0.25">
      <c r="A3738" t="str">
        <f>"20190303154209456"</f>
        <v>20190303154209456</v>
      </c>
      <c r="B3738" t="str">
        <f>"1551598929453623"</f>
        <v>1551598929453623</v>
      </c>
      <c r="C3738" t="s">
        <v>40</v>
      </c>
      <c r="D3738">
        <v>5.8692640000000003</v>
      </c>
      <c r="E3738">
        <v>0.4172342</v>
      </c>
      <c r="F3738" t="s">
        <v>46</v>
      </c>
      <c r="G3738">
        <v>-476.37259999999998</v>
      </c>
      <c r="H3738" s="1">
        <v>3.1531669999999999E-6</v>
      </c>
      <c r="I3738">
        <v>215.0898</v>
      </c>
      <c r="J3738">
        <v>-486.21769999999998</v>
      </c>
      <c r="K3738">
        <v>1.126439</v>
      </c>
      <c r="L3738">
        <v>219.15790000000001</v>
      </c>
      <c r="M3738">
        <v>0.73351899999999903</v>
      </c>
      <c r="N3738">
        <v>-1.26102E-2</v>
      </c>
      <c r="O3738">
        <v>-0.67955209999999999</v>
      </c>
      <c r="P3738">
        <v>0.81716040000000001</v>
      </c>
      <c r="Q3738">
        <v>-0.10620259999999999</v>
      </c>
      <c r="R3738">
        <v>-0.56654230000000005</v>
      </c>
      <c r="S3738">
        <v>2.8213499999999998</v>
      </c>
      <c r="T3738">
        <v>-0.31827810000000001</v>
      </c>
      <c r="U3738">
        <v>-1.1813199999999999</v>
      </c>
      <c r="V3738">
        <v>-0.1384572</v>
      </c>
      <c r="W3738">
        <v>-9.5670140000000001E-2</v>
      </c>
      <c r="X3738">
        <v>0.98573670000000002</v>
      </c>
      <c r="Y3738">
        <v>-0.33950259999999999</v>
      </c>
      <c r="Z3738">
        <v>7.6849180000000003E-2</v>
      </c>
      <c r="AA3738">
        <v>0.93746050000000003</v>
      </c>
      <c r="AB3738">
        <v>17</v>
      </c>
      <c r="AC3738">
        <v>9.8451000000000004</v>
      </c>
      <c r="AD3738">
        <v>-1.126435846833</v>
      </c>
      <c r="AE3738">
        <v>-4.06810000000001</v>
      </c>
      <c r="AF3738">
        <v>-3.6655368429698898</v>
      </c>
      <c r="AG3738">
        <v>-1.126435846833</v>
      </c>
      <c r="AH3738">
        <v>9.8764110017528406</v>
      </c>
      <c r="AI3738">
        <v>96.103239630120498</v>
      </c>
      <c r="AJ3738">
        <v>110.361933271263</v>
      </c>
      <c r="AK3738">
        <v>10.5947398429477</v>
      </c>
      <c r="AL3738">
        <v>95.489891654956097</v>
      </c>
      <c r="AM3738">
        <v>97.995493687999797</v>
      </c>
      <c r="AN3738">
        <v>1.00000000682317</v>
      </c>
    </row>
    <row r="3739" spans="1:40" x14ac:dyDescent="0.25">
      <c r="A3739" t="str">
        <f>"20190303154209475"</f>
        <v>20190303154209475</v>
      </c>
      <c r="B3739" t="str">
        <f>"1551598929463386"</f>
        <v>1551598929463386</v>
      </c>
      <c r="C3739" t="s">
        <v>40</v>
      </c>
      <c r="D3739">
        <v>5.8667689999999997</v>
      </c>
      <c r="E3739">
        <v>0.41805880000000001</v>
      </c>
      <c r="F3739" t="s">
        <v>46</v>
      </c>
      <c r="G3739">
        <v>-476.20100000000002</v>
      </c>
      <c r="H3739" s="1">
        <v>3.2278779999999999E-6</v>
      </c>
      <c r="I3739">
        <v>215.05850000000001</v>
      </c>
      <c r="J3739">
        <v>-486.10239999999999</v>
      </c>
      <c r="K3739">
        <v>1.1265050000000001</v>
      </c>
      <c r="L3739">
        <v>219.06729999999999</v>
      </c>
      <c r="M3739">
        <v>0.74035580000000001</v>
      </c>
      <c r="N3739">
        <v>-1.263076E-2</v>
      </c>
      <c r="O3739">
        <v>-0.67209640000000004</v>
      </c>
      <c r="P3739">
        <v>0.82344450000000002</v>
      </c>
      <c r="Q3739">
        <v>-0.1057549</v>
      </c>
      <c r="R3739">
        <v>-0.55745409999999995</v>
      </c>
      <c r="S3739">
        <v>2.8276059999999998</v>
      </c>
      <c r="T3739">
        <v>-0.31798159999999998</v>
      </c>
      <c r="U3739">
        <v>-1.157227</v>
      </c>
      <c r="V3739">
        <v>-0.13943639999999999</v>
      </c>
      <c r="W3739">
        <v>-9.5236849999999998E-2</v>
      </c>
      <c r="X3739">
        <v>0.98564059999999998</v>
      </c>
      <c r="Y3739">
        <v>-0.33758579999999999</v>
      </c>
      <c r="Z3739">
        <v>7.6225269999999998E-2</v>
      </c>
      <c r="AA3739">
        <v>0.93820329999999996</v>
      </c>
      <c r="AB3739">
        <v>17</v>
      </c>
      <c r="AC3739">
        <v>9.9014000000000202</v>
      </c>
      <c r="AD3739">
        <v>-1.1265017721220001</v>
      </c>
      <c r="AE3739">
        <v>-4.0087999999999804</v>
      </c>
      <c r="AF3739">
        <v>-3.6464984256359601</v>
      </c>
      <c r="AG3739">
        <v>-1.1265017721220001</v>
      </c>
      <c r="AH3739">
        <v>9.9153898117215196</v>
      </c>
      <c r="AI3739">
        <v>96.086412099296595</v>
      </c>
      <c r="AJ3739">
        <v>110.191578006789</v>
      </c>
      <c r="AK3739">
        <v>10.6245429138928</v>
      </c>
      <c r="AL3739">
        <v>95.464952237933403</v>
      </c>
      <c r="AM3739">
        <v>98.052075398754596</v>
      </c>
      <c r="AN3739">
        <v>0.99999997980562005</v>
      </c>
    </row>
    <row r="3740" spans="1:40" x14ac:dyDescent="0.25">
      <c r="A3740" t="str">
        <f>"20190303154209497"</f>
        <v>20190303154209497</v>
      </c>
      <c r="B3740" t="str">
        <f>"1551598929493639"</f>
        <v>1551598929493639</v>
      </c>
      <c r="C3740" t="s">
        <v>40</v>
      </c>
      <c r="D3740">
        <v>5.8639340000000004</v>
      </c>
      <c r="E3740">
        <v>0.41946250000000002</v>
      </c>
      <c r="F3740" t="s">
        <v>46</v>
      </c>
      <c r="G3740">
        <v>-476.04050000000001</v>
      </c>
      <c r="H3740" s="1">
        <v>3.2989159999999999E-6</v>
      </c>
      <c r="I3740">
        <v>215.05520000000001</v>
      </c>
      <c r="J3740">
        <v>-485.97289999999998</v>
      </c>
      <c r="K3740">
        <v>1.1265700000000001</v>
      </c>
      <c r="L3740">
        <v>218.96780000000001</v>
      </c>
      <c r="M3740">
        <v>0.74794649999999996</v>
      </c>
      <c r="N3740">
        <v>-1.2653910000000001E-2</v>
      </c>
      <c r="O3740">
        <v>-0.66363859999999997</v>
      </c>
      <c r="P3740">
        <v>0.83076890000000003</v>
      </c>
      <c r="Q3740">
        <v>-0.1048246</v>
      </c>
      <c r="R3740">
        <v>-0.54665830000000004</v>
      </c>
      <c r="S3740">
        <v>2.8367610000000001</v>
      </c>
      <c r="T3740">
        <v>-0.31759409999999999</v>
      </c>
      <c r="U3740">
        <v>-1.1311340000000001</v>
      </c>
      <c r="V3740">
        <v>-0.1411751</v>
      </c>
      <c r="W3740">
        <v>-9.4330150000000001E-2</v>
      </c>
      <c r="X3740">
        <v>0.98548029999999998</v>
      </c>
      <c r="Y3740">
        <v>-0.33542359999999999</v>
      </c>
      <c r="Z3740">
        <v>7.5429860000000001E-2</v>
      </c>
      <c r="AA3740">
        <v>0.93904270000000001</v>
      </c>
      <c r="AB3740">
        <v>17</v>
      </c>
      <c r="AC3740">
        <v>9.9323999999999693</v>
      </c>
      <c r="AD3740">
        <v>-1.1265667010839999</v>
      </c>
      <c r="AE3740">
        <v>-3.9125999999999901</v>
      </c>
      <c r="AF3740">
        <v>-3.625030536503</v>
      </c>
      <c r="AG3740">
        <v>-1.1265667010839999</v>
      </c>
      <c r="AH3740">
        <v>9.9158276856772805</v>
      </c>
      <c r="AI3740">
        <v>96.090753823744805</v>
      </c>
      <c r="AJ3740">
        <v>110.081412901441</v>
      </c>
      <c r="AK3740">
        <v>10.6176097882063</v>
      </c>
      <c r="AL3740">
        <v>95.4127670793725</v>
      </c>
      <c r="AM3740">
        <v>98.152447548254798</v>
      </c>
      <c r="AN3740">
        <v>1.0000000038735599</v>
      </c>
    </row>
    <row r="3741" spans="1:40" x14ac:dyDescent="0.25">
      <c r="A3741" t="str">
        <f>"20190303154209521"</f>
        <v>20190303154209521</v>
      </c>
      <c r="B3741" t="str">
        <f>"1551598929513160"</f>
        <v>1551598929513160</v>
      </c>
      <c r="C3741" t="s">
        <v>40</v>
      </c>
      <c r="D3741">
        <v>5.8918699999999999</v>
      </c>
      <c r="E3741">
        <v>0.42699979999999998</v>
      </c>
      <c r="F3741" t="s">
        <v>46</v>
      </c>
      <c r="G3741">
        <v>-475.8381</v>
      </c>
      <c r="H3741" s="1">
        <v>3.3879210000000002E-6</v>
      </c>
      <c r="I3741">
        <v>215.03819999999999</v>
      </c>
      <c r="J3741">
        <v>-485.82069999999999</v>
      </c>
      <c r="K3741">
        <v>1.1266350000000001</v>
      </c>
      <c r="L3741">
        <v>218.8544</v>
      </c>
      <c r="M3741">
        <v>0.75674549999999996</v>
      </c>
      <c r="N3741">
        <v>-1.268179E-2</v>
      </c>
      <c r="O3741">
        <v>-0.65358669999999996</v>
      </c>
      <c r="P3741">
        <v>0.83867809999999898</v>
      </c>
      <c r="Q3741">
        <v>-0.1043046</v>
      </c>
      <c r="R3741">
        <v>-0.53454639999999998</v>
      </c>
      <c r="S3741">
        <v>2.8452449999999998</v>
      </c>
      <c r="T3741">
        <v>-0.31627309999999997</v>
      </c>
      <c r="U3741">
        <v>-1.10321</v>
      </c>
      <c r="V3741">
        <v>-0.1423412</v>
      </c>
      <c r="W3741">
        <v>-9.3824389999999994E-2</v>
      </c>
      <c r="X3741">
        <v>0.98536089999999998</v>
      </c>
      <c r="Y3741">
        <v>-0.33187179999999999</v>
      </c>
      <c r="Z3741">
        <v>7.4234530000000007E-2</v>
      </c>
      <c r="AA3741">
        <v>0.94039910000000004</v>
      </c>
      <c r="AB3741">
        <v>17</v>
      </c>
      <c r="AC3741">
        <v>9.9825999999999908</v>
      </c>
      <c r="AD3741">
        <v>-1.1266316120790001</v>
      </c>
      <c r="AE3741">
        <v>-3.8161999999999998</v>
      </c>
      <c r="AF3741">
        <v>-3.59692138945866</v>
      </c>
      <c r="AG3741">
        <v>-1.1266316120790001</v>
      </c>
      <c r="AH3741">
        <v>9.9388602718538408</v>
      </c>
      <c r="AI3741">
        <v>96.084217741658705</v>
      </c>
      <c r="AJ3741">
        <v>109.89543403205199</v>
      </c>
      <c r="AK3741">
        <v>10.629585399944601</v>
      </c>
      <c r="AL3741">
        <v>95.3836597252524</v>
      </c>
      <c r="AM3741">
        <v>98.219852437066393</v>
      </c>
      <c r="AN3741">
        <v>1.0000000683125501</v>
      </c>
    </row>
    <row r="3742" spans="1:40" x14ac:dyDescent="0.25">
      <c r="A3742" t="str">
        <f>"20190303154209542"</f>
        <v>20190303154209542</v>
      </c>
      <c r="B3742" t="str">
        <f>"1551598929533655"</f>
        <v>1551598929533655</v>
      </c>
      <c r="C3742" t="s">
        <v>40</v>
      </c>
      <c r="D3742">
        <v>5.8851449999999996</v>
      </c>
      <c r="E3742">
        <v>0.42766979999999999</v>
      </c>
      <c r="F3742" t="s">
        <v>46</v>
      </c>
      <c r="G3742">
        <v>-476.36329999999998</v>
      </c>
      <c r="H3742" s="1">
        <v>3.159286E-6</v>
      </c>
      <c r="I3742">
        <v>215.1354</v>
      </c>
      <c r="J3742">
        <v>-485.69420000000002</v>
      </c>
      <c r="K3742">
        <v>1.1266849999999999</v>
      </c>
      <c r="L3742">
        <v>218.76240000000001</v>
      </c>
      <c r="M3742">
        <v>0.76396229999999998</v>
      </c>
      <c r="N3742">
        <v>-1.2704470000000001E-2</v>
      </c>
      <c r="O3742">
        <v>-0.64513589999999998</v>
      </c>
      <c r="P3742">
        <v>0.84515289999999998</v>
      </c>
      <c r="Q3742">
        <v>-0.1045711</v>
      </c>
      <c r="R3742">
        <v>-0.52419589999999905</v>
      </c>
      <c r="S3742">
        <v>2.826721</v>
      </c>
      <c r="T3742">
        <v>-0.3367366</v>
      </c>
      <c r="U3742">
        <v>-1.111542</v>
      </c>
      <c r="V3742">
        <v>-0.14346539999999999</v>
      </c>
      <c r="W3742">
        <v>-9.4104820000000006E-2</v>
      </c>
      <c r="X3742">
        <v>0.98517100000000002</v>
      </c>
      <c r="Y3742">
        <v>-0.3163821</v>
      </c>
      <c r="Z3742">
        <v>7.8353140000000002E-2</v>
      </c>
      <c r="AA3742">
        <v>0.94539050000000002</v>
      </c>
      <c r="AB3742">
        <v>17</v>
      </c>
      <c r="AC3742">
        <v>9.3309000000000406</v>
      </c>
      <c r="AD3742">
        <v>-1.126681840714</v>
      </c>
      <c r="AE3742">
        <v>-3.6269999999999998</v>
      </c>
      <c r="AF3742">
        <v>-3.20843084829467</v>
      </c>
      <c r="AG3742">
        <v>-1.126681840714</v>
      </c>
      <c r="AH3742">
        <v>9.3506900888854396</v>
      </c>
      <c r="AI3742">
        <v>96.501916375453803</v>
      </c>
      <c r="AJ3742">
        <v>108.93824072612099</v>
      </c>
      <c r="AK3742">
        <v>9.9498163609618402</v>
      </c>
      <c r="AL3742">
        <v>95.399799124938099</v>
      </c>
      <c r="AM3742">
        <v>98.285449349866298</v>
      </c>
      <c r="AN3742">
        <v>0.99999996869269503</v>
      </c>
    </row>
    <row r="3743" spans="1:40" x14ac:dyDescent="0.25">
      <c r="A3743" t="str">
        <f>"20190303154209564"</f>
        <v>20190303154209564</v>
      </c>
      <c r="B3743" t="str">
        <f>"1551598929553175"</f>
        <v>1551598929553175</v>
      </c>
      <c r="C3743" t="s">
        <v>40</v>
      </c>
      <c r="D3743">
        <v>5.9598690000000003</v>
      </c>
      <c r="E3743">
        <v>0.42789260000000001</v>
      </c>
      <c r="F3743" t="s">
        <v>46</v>
      </c>
      <c r="G3743">
        <v>-476.56979999999999</v>
      </c>
      <c r="H3743" s="1">
        <v>3.0743170000000002E-6</v>
      </c>
      <c r="I3743">
        <v>215.28630000000001</v>
      </c>
      <c r="J3743">
        <v>-485.55200000000002</v>
      </c>
      <c r="K3743">
        <v>1.12673</v>
      </c>
      <c r="L3743">
        <v>218.6618</v>
      </c>
      <c r="M3743">
        <v>0.77195139999999995</v>
      </c>
      <c r="N3743">
        <v>-1.2729310000000001E-2</v>
      </c>
      <c r="O3743">
        <v>-0.63555399999999995</v>
      </c>
      <c r="P3743">
        <v>0.85252510000000004</v>
      </c>
      <c r="Q3743">
        <v>-0.1048096</v>
      </c>
      <c r="R3743">
        <v>-0.51207020000000003</v>
      </c>
      <c r="S3743">
        <v>2.8361510000000001</v>
      </c>
      <c r="T3743">
        <v>-0.35020829999999997</v>
      </c>
      <c r="U3743">
        <v>-1.08046</v>
      </c>
      <c r="V3743">
        <v>-0.14521049999999999</v>
      </c>
      <c r="W3743">
        <v>-9.436572E-2</v>
      </c>
      <c r="X3743">
        <v>0.9848903</v>
      </c>
      <c r="Y3743">
        <v>-0.3142993</v>
      </c>
      <c r="Z3743">
        <v>8.0861429999999998E-2</v>
      </c>
      <c r="AA3743">
        <v>0.94587390000000005</v>
      </c>
      <c r="AB3743">
        <v>17</v>
      </c>
      <c r="AC3743">
        <v>8.9821999999999704</v>
      </c>
      <c r="AD3743">
        <v>-1.1267269256829999</v>
      </c>
      <c r="AE3743">
        <v>-3.3754999999999802</v>
      </c>
      <c r="AF3743">
        <v>-3.0609978046900399</v>
      </c>
      <c r="AG3743">
        <v>-1.1267269256829999</v>
      </c>
      <c r="AH3743">
        <v>8.9563801548743793</v>
      </c>
      <c r="AI3743">
        <v>96.788615114700207</v>
      </c>
      <c r="AJ3743">
        <v>108.868750201246</v>
      </c>
      <c r="AK3743">
        <v>9.5318396232838491</v>
      </c>
      <c r="AL3743">
        <v>95.414814564907005</v>
      </c>
      <c r="AM3743">
        <v>98.387164173451197</v>
      </c>
      <c r="AN3743">
        <v>0.99999994072772702</v>
      </c>
    </row>
    <row r="3744" spans="1:40" x14ac:dyDescent="0.25">
      <c r="A3744" t="str">
        <f>"20190303154209586"</f>
        <v>20190303154209586</v>
      </c>
      <c r="B3744" t="str">
        <f>"1551598929583432"</f>
        <v>1551598929583432</v>
      </c>
      <c r="C3744" t="s">
        <v>40</v>
      </c>
      <c r="D3744">
        <v>5.7726790000000001</v>
      </c>
      <c r="E3744">
        <v>0.35926960000000002</v>
      </c>
      <c r="F3744" t="s">
        <v>46</v>
      </c>
      <c r="G3744">
        <v>-476.5403</v>
      </c>
      <c r="H3744" s="1">
        <v>3.0910280000000001E-6</v>
      </c>
      <c r="I3744">
        <v>215.36940000000001</v>
      </c>
      <c r="J3744">
        <v>-485.4212</v>
      </c>
      <c r="K3744">
        <v>1.126782</v>
      </c>
      <c r="L3744">
        <v>218.57159999999999</v>
      </c>
      <c r="M3744">
        <v>0.77919949999999905</v>
      </c>
      <c r="N3744">
        <v>-1.2751729999999999E-2</v>
      </c>
      <c r="O3744">
        <v>-0.62664619999999904</v>
      </c>
      <c r="P3744">
        <v>0.85905429999999905</v>
      </c>
      <c r="Q3744">
        <v>-0.10484060000000001</v>
      </c>
      <c r="R3744">
        <v>-0.50103350000000002</v>
      </c>
      <c r="S3744">
        <v>2.8497919999999999</v>
      </c>
      <c r="T3744">
        <v>-0.35630479999999998</v>
      </c>
      <c r="U3744">
        <v>-1.041153</v>
      </c>
      <c r="V3744">
        <v>-0.14658479999999999</v>
      </c>
      <c r="W3744">
        <v>-9.4413590000000006E-2</v>
      </c>
      <c r="X3744">
        <v>0.98468219999999995</v>
      </c>
      <c r="Y3744">
        <v>-0.31621719999999998</v>
      </c>
      <c r="Z3744">
        <v>8.1718159999999998E-2</v>
      </c>
      <c r="AA3744">
        <v>0.94516069999999996</v>
      </c>
      <c r="AB3744">
        <v>17</v>
      </c>
      <c r="AC3744">
        <v>8.8808999999999898</v>
      </c>
      <c r="AD3744">
        <v>-1.1267789089719999</v>
      </c>
      <c r="AE3744">
        <v>-3.2021999999999702</v>
      </c>
      <c r="AF3744">
        <v>-3.02715572296899</v>
      </c>
      <c r="AG3744">
        <v>-1.1267789089719999</v>
      </c>
      <c r="AH3744">
        <v>8.8019761304893294</v>
      </c>
      <c r="AI3744">
        <v>96.902364779009602</v>
      </c>
      <c r="AJ3744">
        <v>108.979002431347</v>
      </c>
      <c r="AK3744">
        <v>9.3759312221513191</v>
      </c>
      <c r="AL3744">
        <v>95.417569116937202</v>
      </c>
      <c r="AM3744">
        <v>98.467160127252896</v>
      </c>
      <c r="AN3744">
        <v>1.00000003228228</v>
      </c>
    </row>
    <row r="3745" spans="1:40" x14ac:dyDescent="0.25">
      <c r="A3745" t="str">
        <f>"20190303154209609"</f>
        <v>20190303154209609</v>
      </c>
      <c r="B3745" t="str">
        <f>"1551598929602952"</f>
        <v>1551598929602952</v>
      </c>
      <c r="C3745" t="s">
        <v>40</v>
      </c>
      <c r="D3745">
        <v>5.7497470000000002</v>
      </c>
      <c r="E3745">
        <v>0.35993540000000002</v>
      </c>
      <c r="F3745" t="s">
        <v>42</v>
      </c>
      <c r="G3745">
        <v>-484.52050000000003</v>
      </c>
      <c r="H3745">
        <v>1.0147839999999999</v>
      </c>
      <c r="I3745">
        <v>218.4194</v>
      </c>
      <c r="J3745">
        <v>-485.27429999999998</v>
      </c>
      <c r="K3745">
        <v>1.1268359999999999</v>
      </c>
      <c r="L3745">
        <v>218.47309999999999</v>
      </c>
      <c r="M3745">
        <v>0.78721989999999997</v>
      </c>
      <c r="N3745">
        <v>-1.277701E-2</v>
      </c>
      <c r="O3745">
        <v>-0.61654010000000004</v>
      </c>
      <c r="P3745">
        <v>0.8661778</v>
      </c>
      <c r="Q3745">
        <v>-0.10450470000000001</v>
      </c>
      <c r="R3745">
        <v>-0.4886875</v>
      </c>
      <c r="S3745">
        <v>3.1355590000000002</v>
      </c>
      <c r="T3745">
        <v>-0.3899167</v>
      </c>
      <c r="U3745">
        <v>-0.52995300000000001</v>
      </c>
      <c r="V3745">
        <v>-0.14798919999999999</v>
      </c>
      <c r="W3745">
        <v>-9.4094399999999995E-2</v>
      </c>
      <c r="X3745">
        <v>0.98450260000000001</v>
      </c>
      <c r="Y3745">
        <v>-0.46994269999999999</v>
      </c>
      <c r="Z3745">
        <v>9.3955159999999996E-2</v>
      </c>
      <c r="AA3745">
        <v>0.87768230000000003</v>
      </c>
      <c r="AB3745">
        <v>17</v>
      </c>
      <c r="AC3745">
        <v>0.75379999999995495</v>
      </c>
      <c r="AD3745">
        <v>-0.112052</v>
      </c>
      <c r="AE3745">
        <v>-5.3699999999991997E-2</v>
      </c>
      <c r="AF3745">
        <v>-0.41341961059603399</v>
      </c>
      <c r="AG3745">
        <v>-0.112052</v>
      </c>
      <c r="AH3745">
        <v>0.61308689520474202</v>
      </c>
      <c r="AI3745">
        <v>98.616678892245503</v>
      </c>
      <c r="AJ3745">
        <v>123.992759077541</v>
      </c>
      <c r="AK3745">
        <v>0.74789502351678105</v>
      </c>
      <c r="AL3745">
        <v>95.399199465127694</v>
      </c>
      <c r="AM3745">
        <v>98.548625916378498</v>
      </c>
      <c r="AN3745">
        <v>0.99999996441737904</v>
      </c>
    </row>
    <row r="3746" spans="1:40" x14ac:dyDescent="0.25">
      <c r="A3746" t="str">
        <f>"20190303154209633"</f>
        <v>20190303154209633</v>
      </c>
      <c r="B3746" t="str">
        <f>"1551598929623446"</f>
        <v>1551598929623446</v>
      </c>
      <c r="C3746" t="s">
        <v>40</v>
      </c>
      <c r="D3746">
        <v>5.7041139999999997</v>
      </c>
      <c r="E3746">
        <v>0.36156759999999999</v>
      </c>
      <c r="F3746" t="s">
        <v>42</v>
      </c>
      <c r="G3746">
        <v>-484.39569999999998</v>
      </c>
      <c r="H3746">
        <v>1.0203949999999999</v>
      </c>
      <c r="I3746">
        <v>218.33590000000001</v>
      </c>
      <c r="J3746">
        <v>-485.12740000000002</v>
      </c>
      <c r="K3746">
        <v>1.126887</v>
      </c>
      <c r="L3746">
        <v>218.3775</v>
      </c>
      <c r="M3746">
        <v>0.79510780000000003</v>
      </c>
      <c r="N3746">
        <v>-1.2802559999999999E-2</v>
      </c>
      <c r="O3746">
        <v>-0.60633300000000001</v>
      </c>
      <c r="P3746">
        <v>0.87300630000000001</v>
      </c>
      <c r="Q3746">
        <v>-0.1043177</v>
      </c>
      <c r="R3746">
        <v>-0.4764217</v>
      </c>
      <c r="S3746">
        <v>3.1409910000000001</v>
      </c>
      <c r="T3746">
        <v>-0.38044889999999998</v>
      </c>
      <c r="U3746">
        <v>-0.49015809999999999</v>
      </c>
      <c r="V3746">
        <v>-0.14917649999999999</v>
      </c>
      <c r="W3746">
        <v>-9.3921539999999998E-2</v>
      </c>
      <c r="X3746">
        <v>0.98433999999999999</v>
      </c>
      <c r="Y3746">
        <v>-0.47004879999999999</v>
      </c>
      <c r="Z3746">
        <v>9.0766700000000006E-2</v>
      </c>
      <c r="AA3746">
        <v>0.87796099999999999</v>
      </c>
      <c r="AB3746">
        <v>17</v>
      </c>
      <c r="AC3746">
        <v>0.73170000000004598</v>
      </c>
      <c r="AD3746">
        <v>-0.106491999999999</v>
      </c>
      <c r="AE3746">
        <v>-4.1599999999988299E-2</v>
      </c>
      <c r="AF3746">
        <v>-0.40212072342093003</v>
      </c>
      <c r="AG3746">
        <v>-0.106491999999999</v>
      </c>
      <c r="AH3746">
        <v>0.59450139275795999</v>
      </c>
      <c r="AI3746">
        <v>98.439621473680305</v>
      </c>
      <c r="AJ3746">
        <v>124.07441927676599</v>
      </c>
      <c r="AK3746">
        <v>0.72558495592158301</v>
      </c>
      <c r="AL3746">
        <v>95.389250745039206</v>
      </c>
      <c r="AM3746">
        <v>98.617587120192795</v>
      </c>
      <c r="AN3746">
        <v>1.0000000597141001</v>
      </c>
    </row>
    <row r="3747" spans="1:40" x14ac:dyDescent="0.25">
      <c r="A3747" t="str">
        <f>"20190303154209655"</f>
        <v>20190303154209655</v>
      </c>
      <c r="B3747" t="str">
        <f>"1551598929642966"</f>
        <v>1551598929642966</v>
      </c>
      <c r="C3747" t="s">
        <v>40</v>
      </c>
      <c r="D3747">
        <v>5.628603</v>
      </c>
      <c r="E3747">
        <v>0.3629522</v>
      </c>
      <c r="F3747" t="s">
        <v>42</v>
      </c>
      <c r="G3747">
        <v>-484.25170000000003</v>
      </c>
      <c r="H3747">
        <v>1.0224409999999999</v>
      </c>
      <c r="I3747">
        <v>218.25</v>
      </c>
      <c r="J3747">
        <v>-484.97770000000003</v>
      </c>
      <c r="K3747">
        <v>1.1269499999999999</v>
      </c>
      <c r="L3747">
        <v>218.28280000000001</v>
      </c>
      <c r="M3747">
        <v>0.80301659999999997</v>
      </c>
      <c r="N3747">
        <v>-1.282904E-2</v>
      </c>
      <c r="O3747">
        <v>-0.59581870000000003</v>
      </c>
      <c r="P3747">
        <v>0.87945300000000004</v>
      </c>
      <c r="Q3747">
        <v>-0.1052211</v>
      </c>
      <c r="R3747">
        <v>-0.46421050000000003</v>
      </c>
      <c r="S3747">
        <v>3.141937</v>
      </c>
      <c r="T3747">
        <v>-0.37480210000000003</v>
      </c>
      <c r="U3747">
        <v>-0.45748899999999998</v>
      </c>
      <c r="V3747">
        <v>-0.14985010000000001</v>
      </c>
      <c r="W3747">
        <v>-9.4832379999999994E-2</v>
      </c>
      <c r="X3747">
        <v>0.98415030000000003</v>
      </c>
      <c r="Y3747">
        <v>-0.4676727</v>
      </c>
      <c r="Z3747">
        <v>8.8467309999999993E-2</v>
      </c>
      <c r="AA3747">
        <v>0.87946340000000001</v>
      </c>
      <c r="AB3747">
        <v>17</v>
      </c>
      <c r="AC3747">
        <v>0.72599999999999898</v>
      </c>
      <c r="AD3747">
        <v>-0.10450899999999901</v>
      </c>
      <c r="AE3747">
        <v>-3.2800000000008801E-2</v>
      </c>
      <c r="AF3747">
        <v>-0.398027655972095</v>
      </c>
      <c r="AG3747">
        <v>-0.10450899999999901</v>
      </c>
      <c r="AH3747">
        <v>0.59037357358905196</v>
      </c>
      <c r="AI3747">
        <v>98.350190933202299</v>
      </c>
      <c r="AJ3747">
        <v>123.987701720896</v>
      </c>
      <c r="AK3747">
        <v>0.71964512253745505</v>
      </c>
      <c r="AL3747">
        <v>95.441672213201798</v>
      </c>
      <c r="AM3747">
        <v>98.657554567995405</v>
      </c>
      <c r="AN3747">
        <v>1.0000000228782799</v>
      </c>
    </row>
    <row r="3748" spans="1:40" x14ac:dyDescent="0.25">
      <c r="A3748" t="str">
        <f>"20190303154209677"</f>
        <v>20190303154209677</v>
      </c>
      <c r="B3748" t="str">
        <f>"1551598929673223"</f>
        <v>1551598929673223</v>
      </c>
      <c r="C3748" t="s">
        <v>40</v>
      </c>
      <c r="D3748">
        <v>5.9727449999999997</v>
      </c>
      <c r="E3748">
        <v>0.36452119999999999</v>
      </c>
      <c r="F3748" t="s">
        <v>42</v>
      </c>
      <c r="G3748">
        <v>-484.08659999999998</v>
      </c>
      <c r="H3748">
        <v>1.020022</v>
      </c>
      <c r="I3748">
        <v>218.1626</v>
      </c>
      <c r="J3748">
        <v>-484.8408</v>
      </c>
      <c r="K3748">
        <v>1.1269990000000001</v>
      </c>
      <c r="L3748">
        <v>218.19900000000001</v>
      </c>
      <c r="M3748">
        <v>0.81012930000000005</v>
      </c>
      <c r="N3748">
        <v>-1.285326E-2</v>
      </c>
      <c r="O3748">
        <v>-0.58611049999999998</v>
      </c>
      <c r="P3748">
        <v>0.88527869999999997</v>
      </c>
      <c r="Q3748">
        <v>-0.1058933</v>
      </c>
      <c r="R3748">
        <v>-0.4528452</v>
      </c>
      <c r="S3748">
        <v>3.1425779999999999</v>
      </c>
      <c r="T3748">
        <v>-0.37702000000000002</v>
      </c>
      <c r="U3748">
        <v>-0.42343140000000001</v>
      </c>
      <c r="V3748">
        <v>-0.15061079999999999</v>
      </c>
      <c r="W3748">
        <v>-9.5513600000000004E-2</v>
      </c>
      <c r="X3748">
        <v>0.98396830000000002</v>
      </c>
      <c r="Y3748">
        <v>-0.46639069999999999</v>
      </c>
      <c r="Z3748">
        <v>8.8256109999999999E-2</v>
      </c>
      <c r="AA3748">
        <v>0.88016510000000003</v>
      </c>
      <c r="AB3748">
        <v>17</v>
      </c>
      <c r="AC3748">
        <v>0.75420000000002496</v>
      </c>
      <c r="AD3748">
        <v>-0.106977</v>
      </c>
      <c r="AE3748">
        <v>-3.6400000000014601E-2</v>
      </c>
      <c r="AF3748">
        <v>-0.40447120145758197</v>
      </c>
      <c r="AG3748">
        <v>-0.106977</v>
      </c>
      <c r="AH3748">
        <v>0.61994243770576996</v>
      </c>
      <c r="AI3748">
        <v>98.223481009789197</v>
      </c>
      <c r="AJ3748">
        <v>123.12177481681501</v>
      </c>
      <c r="AK3748">
        <v>0.74791019340968501</v>
      </c>
      <c r="AL3748">
        <v>95.480881139692201</v>
      </c>
      <c r="AM3748">
        <v>98.702417643809795</v>
      </c>
      <c r="AN3748">
        <v>1.0000000381332399</v>
      </c>
    </row>
    <row r="3749" spans="1:40" x14ac:dyDescent="0.25">
      <c r="A3749" t="str">
        <f>"20190303154209698"</f>
        <v>20190303154209698</v>
      </c>
      <c r="B3749" t="str">
        <f>"1551598929693719"</f>
        <v>1551598929693719</v>
      </c>
      <c r="C3749" t="s">
        <v>40</v>
      </c>
      <c r="D3749">
        <v>5.7300089999999999</v>
      </c>
      <c r="E3749">
        <v>0.38271860000000002</v>
      </c>
      <c r="F3749" t="s">
        <v>42</v>
      </c>
      <c r="G3749">
        <v>-483.86599999999999</v>
      </c>
      <c r="H3749">
        <v>1.0096719999999999</v>
      </c>
      <c r="I3749">
        <v>218.07650000000001</v>
      </c>
      <c r="J3749">
        <v>-484.70159999999998</v>
      </c>
      <c r="K3749">
        <v>1.1270519999999999</v>
      </c>
      <c r="L3749">
        <v>218.11619999999999</v>
      </c>
      <c r="M3749">
        <v>0.81724390000000002</v>
      </c>
      <c r="N3749">
        <v>-1.287747E-2</v>
      </c>
      <c r="O3749">
        <v>-0.57614829999999995</v>
      </c>
      <c r="P3749">
        <v>0.89084449999999904</v>
      </c>
      <c r="Q3749">
        <v>-0.1052917</v>
      </c>
      <c r="R3749">
        <v>-0.44193880000000002</v>
      </c>
      <c r="S3749">
        <v>3.1419980000000001</v>
      </c>
      <c r="T3749">
        <v>-0.37804349999999998</v>
      </c>
      <c r="U3749">
        <v>-0.39410400000000001</v>
      </c>
      <c r="V3749">
        <v>-0.15068809999999999</v>
      </c>
      <c r="W3749">
        <v>-9.490693E-2</v>
      </c>
      <c r="X3749">
        <v>0.98401510000000003</v>
      </c>
      <c r="Y3749">
        <v>-0.4636538</v>
      </c>
      <c r="Z3749">
        <v>8.7627289999999997E-2</v>
      </c>
      <c r="AA3749">
        <v>0.88167260000000003</v>
      </c>
      <c r="AB3749">
        <v>17</v>
      </c>
      <c r="AC3749">
        <v>0.83559999999999901</v>
      </c>
      <c r="AD3749">
        <v>-0.11738</v>
      </c>
      <c r="AE3749">
        <v>-3.9699999999982E-2</v>
      </c>
      <c r="AF3749">
        <v>-0.44035223960640701</v>
      </c>
      <c r="AG3749">
        <v>-0.11738</v>
      </c>
      <c r="AH3749">
        <v>0.69219230256086395</v>
      </c>
      <c r="AI3749">
        <v>98.142516323157494</v>
      </c>
      <c r="AJ3749">
        <v>122.463310359014</v>
      </c>
      <c r="AK3749">
        <v>0.82874504104150704</v>
      </c>
      <c r="AL3749">
        <v>95.445963238843902</v>
      </c>
      <c r="AM3749">
        <v>98.706407921731198</v>
      </c>
      <c r="AN3749">
        <v>0.99999997293582199</v>
      </c>
    </row>
    <row r="3750" spans="1:40" x14ac:dyDescent="0.25">
      <c r="A3750" t="str">
        <f>"20190303154209721"</f>
        <v>20190303154209721</v>
      </c>
      <c r="B3750" t="str">
        <f>"1551598929713239"</f>
        <v>1551598929713239</v>
      </c>
      <c r="C3750" t="s">
        <v>40</v>
      </c>
      <c r="D3750">
        <v>5.6985799999999998</v>
      </c>
      <c r="E3750">
        <v>0.38951449999999999</v>
      </c>
      <c r="F3750" t="s">
        <v>42</v>
      </c>
      <c r="G3750">
        <v>-483.68009999999998</v>
      </c>
      <c r="H3750">
        <v>1.011719</v>
      </c>
      <c r="I3750">
        <v>217.95519999999999</v>
      </c>
      <c r="J3750">
        <v>-484.5521</v>
      </c>
      <c r="K3750">
        <v>1.1270990000000001</v>
      </c>
      <c r="L3750">
        <v>218.03</v>
      </c>
      <c r="M3750">
        <v>0.82473719999999995</v>
      </c>
      <c r="N3750">
        <v>-1.290141E-2</v>
      </c>
      <c r="O3750">
        <v>-0.56536900000000001</v>
      </c>
      <c r="P3750">
        <v>0.8968199</v>
      </c>
      <c r="Q3750">
        <v>-0.104432</v>
      </c>
      <c r="R3750">
        <v>-0.42989329999999998</v>
      </c>
      <c r="S3750">
        <v>3.084991</v>
      </c>
      <c r="T3750">
        <v>-0.34839730000000002</v>
      </c>
      <c r="U3750">
        <v>-0.48667909999999998</v>
      </c>
      <c r="V3750">
        <v>-0.1510899</v>
      </c>
      <c r="W3750">
        <v>-9.404498E-2</v>
      </c>
      <c r="X3750">
        <v>0.98403629999999997</v>
      </c>
      <c r="Y3750">
        <v>-0.42477579999999998</v>
      </c>
      <c r="Z3750">
        <v>7.8409419999999994E-2</v>
      </c>
      <c r="AA3750">
        <v>0.90189660000000005</v>
      </c>
      <c r="AB3750">
        <v>17</v>
      </c>
      <c r="AC3750">
        <v>0.87200000000001399</v>
      </c>
      <c r="AD3750">
        <v>-0.11538</v>
      </c>
      <c r="AE3750">
        <v>-7.48000000000104E-2</v>
      </c>
      <c r="AF3750">
        <v>-0.42397867022464097</v>
      </c>
      <c r="AG3750">
        <v>-0.11538</v>
      </c>
      <c r="AH3750">
        <v>0.74851479828279599</v>
      </c>
      <c r="AI3750">
        <v>97.639126631758202</v>
      </c>
      <c r="AJ3750">
        <v>119.528368367301</v>
      </c>
      <c r="AK3750">
        <v>0.86795441150661301</v>
      </c>
      <c r="AL3750">
        <v>95.396354951696793</v>
      </c>
      <c r="AM3750">
        <v>98.729080709556399</v>
      </c>
      <c r="AN3750">
        <v>1.00000002793144</v>
      </c>
    </row>
    <row r="3751" spans="1:40" x14ac:dyDescent="0.25">
      <c r="A3751" t="str">
        <f>"20190303154209743"</f>
        <v>20190303154209743</v>
      </c>
      <c r="B3751" t="str">
        <f>"1551598929733735"</f>
        <v>1551598929733735</v>
      </c>
      <c r="C3751" t="s">
        <v>40</v>
      </c>
      <c r="D3751">
        <v>5.6851510000000003</v>
      </c>
      <c r="E3751">
        <v>0.39032450000000002</v>
      </c>
      <c r="F3751" t="s">
        <v>46</v>
      </c>
      <c r="G3751">
        <v>-474.48970000000003</v>
      </c>
      <c r="H3751" s="1">
        <v>4.0458749999999996E-6</v>
      </c>
      <c r="I3751">
        <v>216.41</v>
      </c>
      <c r="J3751">
        <v>-484.40210000000002</v>
      </c>
      <c r="K3751">
        <v>1.1271279999999999</v>
      </c>
      <c r="L3751">
        <v>217.9462</v>
      </c>
      <c r="M3751">
        <v>0.8321016</v>
      </c>
      <c r="N3751">
        <v>-1.292308E-2</v>
      </c>
      <c r="O3751">
        <v>-0.55447270000000004</v>
      </c>
      <c r="P3751">
        <v>0.90264500000000003</v>
      </c>
      <c r="Q3751">
        <v>-0.10471220000000001</v>
      </c>
      <c r="R3751">
        <v>-0.41745359999999998</v>
      </c>
      <c r="S3751">
        <v>3.068298</v>
      </c>
      <c r="T3751">
        <v>-0.34368029999999999</v>
      </c>
      <c r="U3751">
        <v>-0.49397279999999999</v>
      </c>
      <c r="V3751">
        <v>-0.1517211</v>
      </c>
      <c r="W3751">
        <v>-9.4327140000000004E-2</v>
      </c>
      <c r="X3751">
        <v>0.98391209999999996</v>
      </c>
      <c r="Y3751">
        <v>-0.41021410000000003</v>
      </c>
      <c r="Z3751">
        <v>7.5963589999999998E-2</v>
      </c>
      <c r="AA3751">
        <v>0.90882010000000002</v>
      </c>
      <c r="AB3751">
        <v>17</v>
      </c>
      <c r="AC3751">
        <v>9.9123999999999892</v>
      </c>
      <c r="AD3751">
        <v>-1.127123954125</v>
      </c>
      <c r="AE3751">
        <v>-1.5362</v>
      </c>
      <c r="AF3751">
        <v>-4.1656360371611498</v>
      </c>
      <c r="AG3751">
        <v>-1.127123954125</v>
      </c>
      <c r="AH3751">
        <v>8.9871891123590508</v>
      </c>
      <c r="AI3751">
        <v>96.491529634068598</v>
      </c>
      <c r="AJ3751">
        <v>114.868110587698</v>
      </c>
      <c r="AK3751">
        <v>9.9695787344984197</v>
      </c>
      <c r="AL3751">
        <v>95.412594079259904</v>
      </c>
      <c r="AM3751">
        <v>98.766071805319896</v>
      </c>
      <c r="AN3751">
        <v>0.999999961026099</v>
      </c>
    </row>
    <row r="3752" spans="1:40" x14ac:dyDescent="0.25">
      <c r="A3752" t="str">
        <f>"20190303154209765"</f>
        <v>20190303154209765</v>
      </c>
      <c r="B3752" t="str">
        <f>"1551598929753258"</f>
        <v>1551598929753258</v>
      </c>
      <c r="C3752" t="s">
        <v>40</v>
      </c>
      <c r="D3752">
        <v>5.6051010000000003</v>
      </c>
      <c r="E3752">
        <v>0.39100889999999999</v>
      </c>
      <c r="F3752" t="s">
        <v>46</v>
      </c>
      <c r="G3752">
        <v>-474.43040000000002</v>
      </c>
      <c r="H3752" s="1">
        <v>4.0744180000000004E-6</v>
      </c>
      <c r="I3752">
        <v>216.46199999999999</v>
      </c>
      <c r="J3752">
        <v>-484.25209999999998</v>
      </c>
      <c r="K3752">
        <v>1.1271500000000001</v>
      </c>
      <c r="L3752">
        <v>217.86500000000001</v>
      </c>
      <c r="M3752">
        <v>0.8393159</v>
      </c>
      <c r="N3752">
        <v>-1.294291E-2</v>
      </c>
      <c r="O3752">
        <v>-0.54349009999999998</v>
      </c>
      <c r="P3752">
        <v>0.9084411</v>
      </c>
      <c r="Q3752">
        <v>-0.1054124</v>
      </c>
      <c r="R3752">
        <v>-0.40450350000000002</v>
      </c>
      <c r="S3752">
        <v>3.0718079999999999</v>
      </c>
      <c r="T3752">
        <v>-0.34721259999999998</v>
      </c>
      <c r="U3752">
        <v>-0.45721440000000002</v>
      </c>
      <c r="V3752">
        <v>-0.15279909999999999</v>
      </c>
      <c r="W3752">
        <v>-9.5037070000000001E-2</v>
      </c>
      <c r="X3752">
        <v>0.98367700000000002</v>
      </c>
      <c r="Y3752">
        <v>-0.40896890000000002</v>
      </c>
      <c r="Z3752">
        <v>7.587679E-2</v>
      </c>
      <c r="AA3752">
        <v>0.90938830000000004</v>
      </c>
      <c r="AB3752">
        <v>17</v>
      </c>
      <c r="AC3752">
        <v>9.8216999999999608</v>
      </c>
      <c r="AD3752">
        <v>-1.127145925582</v>
      </c>
      <c r="AE3752">
        <v>-1.40299999999999</v>
      </c>
      <c r="AF3752">
        <v>-4.1077670345781696</v>
      </c>
      <c r="AG3752">
        <v>-1.127145925582</v>
      </c>
      <c r="AH3752">
        <v>8.8920128802741694</v>
      </c>
      <c r="AI3752">
        <v>96.564371323806995</v>
      </c>
      <c r="AJ3752">
        <v>114.79511613944599</v>
      </c>
      <c r="AK3752">
        <v>9.8596197193849804</v>
      </c>
      <c r="AL3752">
        <v>95.453453283815605</v>
      </c>
      <c r="AM3752">
        <v>98.829454940878804</v>
      </c>
      <c r="AN3752">
        <v>1.00000002498199</v>
      </c>
    </row>
    <row r="3753" spans="1:40" x14ac:dyDescent="0.25">
      <c r="A3753" t="str">
        <f>"20190303154209787"</f>
        <v>20190303154209787</v>
      </c>
      <c r="B3753" t="str">
        <f>"1551598929783511"</f>
        <v>1551598929783511</v>
      </c>
      <c r="C3753" t="s">
        <v>40</v>
      </c>
      <c r="D3753">
        <v>5.6406970000000003</v>
      </c>
      <c r="E3753">
        <v>0.40185799999999999</v>
      </c>
      <c r="F3753" t="s">
        <v>46</v>
      </c>
      <c r="G3753">
        <v>-474.35700000000003</v>
      </c>
      <c r="H3753" s="1">
        <v>4.1094900000000004E-6</v>
      </c>
      <c r="I3753">
        <v>216.51929999999999</v>
      </c>
      <c r="J3753">
        <v>-484.10669999999999</v>
      </c>
      <c r="K3753">
        <v>1.1271719999999901</v>
      </c>
      <c r="L3753">
        <v>217.78880000000001</v>
      </c>
      <c r="M3753">
        <v>0.84616329999999995</v>
      </c>
      <c r="N3753">
        <v>-1.2961179999999999E-2</v>
      </c>
      <c r="O3753">
        <v>-0.53276619999999997</v>
      </c>
      <c r="P3753">
        <v>0.91398639999999998</v>
      </c>
      <c r="Q3753">
        <v>-0.10585839999999901</v>
      </c>
      <c r="R3753">
        <v>-0.39169229999999999</v>
      </c>
      <c r="S3753">
        <v>3.0754700000000001</v>
      </c>
      <c r="T3753">
        <v>-0.35032489999999999</v>
      </c>
      <c r="U3753">
        <v>-0.41825869999999998</v>
      </c>
      <c r="V3753">
        <v>-0.1540704</v>
      </c>
      <c r="W3753">
        <v>-9.5496639999999994E-2</v>
      </c>
      <c r="X3753">
        <v>0.98343409999999998</v>
      </c>
      <c r="Y3753">
        <v>-0.40876770000000001</v>
      </c>
      <c r="Z3753">
        <v>7.5743240000000003E-2</v>
      </c>
      <c r="AA3753">
        <v>0.90948989999999996</v>
      </c>
      <c r="AB3753">
        <v>17</v>
      </c>
      <c r="AC3753">
        <v>9.7497000000000096</v>
      </c>
      <c r="AD3753">
        <v>-1.12716789050999</v>
      </c>
      <c r="AE3753">
        <v>-1.2695000000000201</v>
      </c>
      <c r="AF3753">
        <v>-4.0669997065791996</v>
      </c>
      <c r="AG3753">
        <v>-1.12716789050999</v>
      </c>
      <c r="AH3753">
        <v>8.8111298850645507</v>
      </c>
      <c r="AI3753">
        <v>96.625189728069998</v>
      </c>
      <c r="AJ3753">
        <v>114.776879431081</v>
      </c>
      <c r="AK3753">
        <v>9.7696982511329296</v>
      </c>
      <c r="AL3753">
        <v>95.479905355539202</v>
      </c>
      <c r="AM3753">
        <v>98.903908371394095</v>
      </c>
      <c r="AN3753">
        <v>0.99999996272512903</v>
      </c>
    </row>
    <row r="3754" spans="1:40" x14ac:dyDescent="0.25">
      <c r="A3754" t="str">
        <f>"20190303154209810"</f>
        <v>20190303154209810</v>
      </c>
      <c r="B3754" t="str">
        <f>"1551598929803031"</f>
        <v>1551598929803031</v>
      </c>
      <c r="C3754" t="s">
        <v>40</v>
      </c>
      <c r="D3754">
        <v>5.6046579999999997</v>
      </c>
      <c r="E3754">
        <v>0.4074199</v>
      </c>
      <c r="F3754" t="s">
        <v>46</v>
      </c>
      <c r="G3754">
        <v>-474.9622</v>
      </c>
      <c r="H3754" s="1">
        <v>3.8370139999999998E-6</v>
      </c>
      <c r="I3754">
        <v>216.4256</v>
      </c>
      <c r="J3754">
        <v>-483.952</v>
      </c>
      <c r="K3754">
        <v>1.127203</v>
      </c>
      <c r="L3754">
        <v>217.71029999999999</v>
      </c>
      <c r="M3754">
        <v>0.853284499999999</v>
      </c>
      <c r="N3754">
        <v>-1.298007E-2</v>
      </c>
      <c r="O3754">
        <v>-0.52128439999999998</v>
      </c>
      <c r="P3754">
        <v>0.91970300000000005</v>
      </c>
      <c r="Q3754">
        <v>-0.1059237</v>
      </c>
      <c r="R3754">
        <v>-0.37805660000000002</v>
      </c>
      <c r="S3754">
        <v>3.0443419999999999</v>
      </c>
      <c r="T3754">
        <v>-0.37525140000000001</v>
      </c>
      <c r="U3754">
        <v>-0.45382689999999998</v>
      </c>
      <c r="V3754">
        <v>-0.15539520000000001</v>
      </c>
      <c r="W3754">
        <v>-9.5576579999999994E-2</v>
      </c>
      <c r="X3754">
        <v>0.98321789999999998</v>
      </c>
      <c r="Y3754">
        <v>-0.38402019999999998</v>
      </c>
      <c r="Z3754">
        <v>7.9468250000000004E-2</v>
      </c>
      <c r="AA3754">
        <v>0.91989849999999995</v>
      </c>
      <c r="AB3754">
        <v>17</v>
      </c>
      <c r="AC3754">
        <v>8.9898000000000007</v>
      </c>
      <c r="AD3754">
        <v>-1.1271991629860001</v>
      </c>
      <c r="AE3754">
        <v>-1.28469999999998</v>
      </c>
      <c r="AF3754">
        <v>-3.5358524597569501</v>
      </c>
      <c r="AG3754">
        <v>-1.1271991629860001</v>
      </c>
      <c r="AH3754">
        <v>8.2146876878086399</v>
      </c>
      <c r="AI3754">
        <v>97.183556573506493</v>
      </c>
      <c r="AJ3754">
        <v>113.288520310672</v>
      </c>
      <c r="AK3754">
        <v>9.0140958713805794</v>
      </c>
      <c r="AL3754">
        <v>95.484506450173399</v>
      </c>
      <c r="AM3754">
        <v>98.981170114988103</v>
      </c>
      <c r="AN3754">
        <v>0.99999999485397295</v>
      </c>
    </row>
    <row r="3755" spans="1:40" x14ac:dyDescent="0.25">
      <c r="A3755" t="str">
        <f>"20190303154209835"</f>
        <v>20190303154209835</v>
      </c>
      <c r="B3755" t="str">
        <f>"1551598929823528"</f>
        <v>1551598929823528</v>
      </c>
      <c r="C3755" t="s">
        <v>40</v>
      </c>
      <c r="D3755">
        <v>5.6310729999999998</v>
      </c>
      <c r="E3755">
        <v>0.40923769999999998</v>
      </c>
      <c r="F3755" t="s">
        <v>46</v>
      </c>
      <c r="G3755">
        <v>-474.43610000000001</v>
      </c>
      <c r="H3755" s="1">
        <v>4.0647899999999998E-6</v>
      </c>
      <c r="I3755">
        <v>216.29990000000001</v>
      </c>
      <c r="J3755">
        <v>-483.78070000000002</v>
      </c>
      <c r="K3755">
        <v>1.1272329999999999</v>
      </c>
      <c r="L3755">
        <v>217.62639999999999</v>
      </c>
      <c r="M3755">
        <v>0.86097319999999999</v>
      </c>
      <c r="N3755">
        <v>-1.300027E-2</v>
      </c>
      <c r="O3755">
        <v>-0.50848409999999999</v>
      </c>
      <c r="P3755">
        <v>0.92548810000000004</v>
      </c>
      <c r="Q3755">
        <v>-0.1056117</v>
      </c>
      <c r="R3755">
        <v>-0.36375550000000001</v>
      </c>
      <c r="S3755">
        <v>3.0354920000000001</v>
      </c>
      <c r="T3755">
        <v>-0.35956969999999999</v>
      </c>
      <c r="U3755">
        <v>-0.44992070000000001</v>
      </c>
      <c r="V3755">
        <v>-0.1559681</v>
      </c>
      <c r="W3755">
        <v>-9.5266329999999996E-2</v>
      </c>
      <c r="X3755">
        <v>0.98315730000000001</v>
      </c>
      <c r="Y3755">
        <v>-0.37158809999999998</v>
      </c>
      <c r="Z3755">
        <v>7.4309710000000001E-2</v>
      </c>
      <c r="AA3755">
        <v>0.92541899999999999</v>
      </c>
      <c r="AB3755">
        <v>17</v>
      </c>
      <c r="AC3755">
        <v>9.3446000000000105</v>
      </c>
      <c r="AD3755">
        <v>-1.12722893521</v>
      </c>
      <c r="AE3755">
        <v>-1.32649999999998</v>
      </c>
      <c r="AF3755">
        <v>-3.5590389438280199</v>
      </c>
      <c r="AG3755">
        <v>-1.12722893521</v>
      </c>
      <c r="AH3755">
        <v>8.5980497889798304</v>
      </c>
      <c r="AI3755">
        <v>96.906880909172401</v>
      </c>
      <c r="AJ3755">
        <v>112.48640517184</v>
      </c>
      <c r="AK3755">
        <v>9.3735726086607603</v>
      </c>
      <c r="AL3755">
        <v>95.466648926156495</v>
      </c>
      <c r="AM3755">
        <v>99.014285073183103</v>
      </c>
      <c r="AN3755">
        <v>0.99999999919628402</v>
      </c>
    </row>
    <row r="3756" spans="1:40" x14ac:dyDescent="0.25">
      <c r="A3756" t="str">
        <f>"20190303154209858"</f>
        <v>20190303154209858</v>
      </c>
      <c r="B3756" t="str">
        <f>"1551598929852807"</f>
        <v>1551598929852807</v>
      </c>
      <c r="C3756" t="s">
        <v>40</v>
      </c>
      <c r="D3756">
        <v>5.6547359999999998</v>
      </c>
      <c r="E3756">
        <v>0.41113329999999998</v>
      </c>
      <c r="F3756" t="s">
        <v>46</v>
      </c>
      <c r="G3756">
        <v>-473.9522</v>
      </c>
      <c r="H3756" s="1">
        <v>4.2784639999999996E-6</v>
      </c>
      <c r="I3756">
        <v>216.27850000000001</v>
      </c>
      <c r="J3756">
        <v>-483.62700000000001</v>
      </c>
      <c r="K3756">
        <v>1.1272679999999999</v>
      </c>
      <c r="L3756">
        <v>217.55410000000001</v>
      </c>
      <c r="M3756">
        <v>0.86769589999999996</v>
      </c>
      <c r="N3756">
        <v>-1.301745E-2</v>
      </c>
      <c r="O3756">
        <v>-0.49692520000000001</v>
      </c>
      <c r="P3756">
        <v>0.93022360000000004</v>
      </c>
      <c r="Q3756">
        <v>-0.10553999999999999</v>
      </c>
      <c r="R3756">
        <v>-0.35149079999999999</v>
      </c>
      <c r="S3756">
        <v>3.0380250000000002</v>
      </c>
      <c r="T3756">
        <v>-0.34843030000000003</v>
      </c>
      <c r="U3756">
        <v>-0.41664119999999999</v>
      </c>
      <c r="V3756">
        <v>-0.1558155</v>
      </c>
      <c r="W3756">
        <v>-9.5185969999999995E-2</v>
      </c>
      <c r="X3756">
        <v>0.98318930000000004</v>
      </c>
      <c r="Y3756">
        <v>-0.36962220000000001</v>
      </c>
      <c r="Z3756">
        <v>7.0820850000000005E-2</v>
      </c>
      <c r="AA3756">
        <v>0.92647930000000001</v>
      </c>
      <c r="AB3756">
        <v>17</v>
      </c>
      <c r="AC3756">
        <v>9.6747999999999408</v>
      </c>
      <c r="AD3756">
        <v>-1.127263721536</v>
      </c>
      <c r="AE3756">
        <v>-1.2755999999999901</v>
      </c>
      <c r="AF3756">
        <v>-3.6523949762610499</v>
      </c>
      <c r="AG3756">
        <v>-1.127263721536</v>
      </c>
      <c r="AH3756">
        <v>8.9105248612530001</v>
      </c>
      <c r="AI3756">
        <v>96.6764970819616</v>
      </c>
      <c r="AJ3756">
        <v>112.288563392274</v>
      </c>
      <c r="AK3756">
        <v>9.6957808279434605</v>
      </c>
      <c r="AL3756">
        <v>95.462023508330105</v>
      </c>
      <c r="AM3756">
        <v>99.005321757158995</v>
      </c>
      <c r="AN3756">
        <v>1.00000001927979</v>
      </c>
    </row>
    <row r="3757" spans="1:40" x14ac:dyDescent="0.25">
      <c r="A3757" t="str">
        <f>"20190303154209879"</f>
        <v>20190303154209879</v>
      </c>
      <c r="B3757" t="str">
        <f>"1551598929873304"</f>
        <v>1551598929873304</v>
      </c>
      <c r="C3757" t="s">
        <v>40</v>
      </c>
      <c r="D3757">
        <v>5.667484</v>
      </c>
      <c r="E3757">
        <v>0.41815069999999999</v>
      </c>
      <c r="F3757" t="s">
        <v>46</v>
      </c>
      <c r="G3757">
        <v>-473.82920000000001</v>
      </c>
      <c r="H3757" s="1">
        <v>4.333726E-6</v>
      </c>
      <c r="I3757">
        <v>216.2944</v>
      </c>
      <c r="J3757">
        <v>-483.48250000000002</v>
      </c>
      <c r="K3757">
        <v>1.1273040000000001</v>
      </c>
      <c r="L3757">
        <v>217.48849999999999</v>
      </c>
      <c r="M3757">
        <v>0.87386209999999898</v>
      </c>
      <c r="N3757">
        <v>-1.3032439999999999E-2</v>
      </c>
      <c r="O3757">
        <v>-0.48599930000000002</v>
      </c>
      <c r="P3757">
        <v>0.93456150000000004</v>
      </c>
      <c r="Q3757">
        <v>-0.10501340000000001</v>
      </c>
      <c r="R3757">
        <v>-0.33995209999999998</v>
      </c>
      <c r="S3757">
        <v>3.0377809999999998</v>
      </c>
      <c r="T3757">
        <v>-0.34950360000000003</v>
      </c>
      <c r="U3757">
        <v>-0.39057920000000002</v>
      </c>
      <c r="V3757">
        <v>-0.1556786</v>
      </c>
      <c r="W3757">
        <v>-9.4650739999999997E-2</v>
      </c>
      <c r="X3757">
        <v>0.98326270000000005</v>
      </c>
      <c r="Y3757">
        <v>-0.36580790000000002</v>
      </c>
      <c r="Z3757">
        <v>6.9951100000000002E-2</v>
      </c>
      <c r="AA3757">
        <v>0.92805789999999999</v>
      </c>
      <c r="AB3757">
        <v>17</v>
      </c>
      <c r="AC3757">
        <v>9.6532999999999998</v>
      </c>
      <c r="AD3757">
        <v>-1.127299666274</v>
      </c>
      <c r="AE3757">
        <v>-1.1940999999999899</v>
      </c>
      <c r="AF3757">
        <v>-3.5999739974513898</v>
      </c>
      <c r="AG3757">
        <v>-1.127299666274</v>
      </c>
      <c r="AH3757">
        <v>8.8972444757874793</v>
      </c>
      <c r="AI3757">
        <v>96.698815797592403</v>
      </c>
      <c r="AJ3757">
        <v>112.029079760961</v>
      </c>
      <c r="AK3757">
        <v>9.6639317351603093</v>
      </c>
      <c r="AL3757">
        <v>95.431217764528498</v>
      </c>
      <c r="AM3757">
        <v>98.996878471219304</v>
      </c>
      <c r="AN3757">
        <v>1.0000000631458901</v>
      </c>
    </row>
    <row r="3758" spans="1:40" x14ac:dyDescent="0.25">
      <c r="A3758" t="str">
        <f>"20190303154209899"</f>
        <v>20190303154209899</v>
      </c>
      <c r="B3758" t="str">
        <f>"1551598929892823"</f>
        <v>1551598929892823</v>
      </c>
      <c r="C3758" t="s">
        <v>40</v>
      </c>
      <c r="D3758">
        <v>5.7074800000000003</v>
      </c>
      <c r="E3758">
        <v>0.4199792</v>
      </c>
      <c r="F3758" t="s">
        <v>46</v>
      </c>
      <c r="G3758">
        <v>-474.97500000000002</v>
      </c>
      <c r="H3758" s="1">
        <v>3.8279430000000004E-6</v>
      </c>
      <c r="I3758">
        <v>216.3486</v>
      </c>
      <c r="J3758">
        <v>-483.33440000000002</v>
      </c>
      <c r="K3758">
        <v>1.127316</v>
      </c>
      <c r="L3758">
        <v>217.42349999999999</v>
      </c>
      <c r="M3758">
        <v>0.88002369999999996</v>
      </c>
      <c r="N3758">
        <v>-1.3046E-2</v>
      </c>
      <c r="O3758">
        <v>-0.47475079999999997</v>
      </c>
      <c r="P3758">
        <v>0.9391119</v>
      </c>
      <c r="Q3758">
        <v>-0.10317129999999999</v>
      </c>
      <c r="R3758">
        <v>-0.32775700000000002</v>
      </c>
      <c r="S3758">
        <v>3.018005</v>
      </c>
      <c r="T3758">
        <v>-0.39990819999999999</v>
      </c>
      <c r="U3758">
        <v>-0.40435789999999999</v>
      </c>
      <c r="V3758">
        <v>-0.15598899999999999</v>
      </c>
      <c r="W3758">
        <v>-9.2805360000000003E-2</v>
      </c>
      <c r="X3758">
        <v>0.98338930000000002</v>
      </c>
      <c r="Y3758">
        <v>-0.3475008</v>
      </c>
      <c r="Z3758">
        <v>7.8603359999999997E-2</v>
      </c>
      <c r="AA3758">
        <v>0.93437930000000002</v>
      </c>
      <c r="AB3758">
        <v>17</v>
      </c>
      <c r="AC3758">
        <v>8.3593999999999902</v>
      </c>
      <c r="AD3758">
        <v>-1.1273121720569901</v>
      </c>
      <c r="AE3758">
        <v>-1.07489999999998</v>
      </c>
      <c r="AF3758">
        <v>-2.96982047400483</v>
      </c>
      <c r="AG3758">
        <v>-1.1273121720569901</v>
      </c>
      <c r="AH3758">
        <v>7.7291716505476504</v>
      </c>
      <c r="AI3758">
        <v>97.752996550789206</v>
      </c>
      <c r="AJ3758">
        <v>111.01853697582</v>
      </c>
      <c r="AK3758">
        <v>8.3564801671945403</v>
      </c>
      <c r="AL3758">
        <v>95.325018315704398</v>
      </c>
      <c r="AM3758">
        <v>99.013381166891705</v>
      </c>
      <c r="AN3758">
        <v>0.99999995916010898</v>
      </c>
    </row>
    <row r="3759" spans="1:40" x14ac:dyDescent="0.25">
      <c r="A3759" t="str">
        <f>"20190303154209922"</f>
        <v>20190303154209922</v>
      </c>
      <c r="B3759" t="str">
        <f>"1551598929913320"</f>
        <v>1551598929913320</v>
      </c>
      <c r="C3759" t="s">
        <v>40</v>
      </c>
      <c r="D3759">
        <v>5.6748240000000001</v>
      </c>
      <c r="E3759">
        <v>0.42149439999999999</v>
      </c>
      <c r="F3759" t="s">
        <v>46</v>
      </c>
      <c r="G3759">
        <v>-474.64940000000001</v>
      </c>
      <c r="H3759" s="1">
        <v>3.9717009999999998E-6</v>
      </c>
      <c r="I3759">
        <v>216.33320000000001</v>
      </c>
      <c r="J3759">
        <v>-483.18099999999998</v>
      </c>
      <c r="K3759">
        <v>1.1273219999999999</v>
      </c>
      <c r="L3759">
        <v>217.3587</v>
      </c>
      <c r="M3759">
        <v>0.88623369999999901</v>
      </c>
      <c r="N3759">
        <v>-1.305806E-2</v>
      </c>
      <c r="O3759">
        <v>-0.46305429999999997</v>
      </c>
      <c r="P3759">
        <v>0.94325239999999999</v>
      </c>
      <c r="Q3759">
        <v>-0.1041275</v>
      </c>
      <c r="R3759">
        <v>-0.31532909999999997</v>
      </c>
      <c r="S3759">
        <v>3.0191650000000001</v>
      </c>
      <c r="T3759">
        <v>-0.39188679999999998</v>
      </c>
      <c r="U3759">
        <v>-0.37902829999999998</v>
      </c>
      <c r="V3759">
        <v>-0.15588270000000001</v>
      </c>
      <c r="W3759">
        <v>-9.3753669999999997E-2</v>
      </c>
      <c r="X3759">
        <v>0.98331619999999997</v>
      </c>
      <c r="Y3759">
        <v>-0.34320659999999997</v>
      </c>
      <c r="Z3759">
        <v>7.5525889999999998E-2</v>
      </c>
      <c r="AA3759">
        <v>0.93621849999999995</v>
      </c>
      <c r="AB3759">
        <v>17</v>
      </c>
      <c r="AC3759">
        <v>8.5315999999999601</v>
      </c>
      <c r="AD3759">
        <v>-1.1273180282990001</v>
      </c>
      <c r="AE3759">
        <v>-1.0254999999999901</v>
      </c>
      <c r="AF3759">
        <v>-2.9905509191726098</v>
      </c>
      <c r="AG3759">
        <v>-1.1273180282990001</v>
      </c>
      <c r="AH3759">
        <v>7.90056359343337</v>
      </c>
      <c r="AI3759">
        <v>97.601097805212007</v>
      </c>
      <c r="AJ3759">
        <v>110.732844302518</v>
      </c>
      <c r="AK3759">
        <v>8.5225081889650802</v>
      </c>
      <c r="AL3759">
        <v>95.379590423520497</v>
      </c>
      <c r="AM3759">
        <v>99.007998287278198</v>
      </c>
      <c r="AN3759">
        <v>0.999999957990098</v>
      </c>
    </row>
    <row r="3760" spans="1:40" x14ac:dyDescent="0.25">
      <c r="A3760" t="str">
        <f>"20190303154209957"</f>
        <v>20190303154209957</v>
      </c>
      <c r="B3760" t="str">
        <f>"1551598929953335"</f>
        <v>1551598929953335</v>
      </c>
      <c r="C3760" t="s">
        <v>40</v>
      </c>
      <c r="D3760">
        <v>5.7039249999999999</v>
      </c>
      <c r="E3760">
        <v>0.43188929999999998</v>
      </c>
      <c r="F3760" t="s">
        <v>46</v>
      </c>
      <c r="G3760">
        <v>-474.48039999999997</v>
      </c>
      <c r="H3760" s="1">
        <v>4.047285E-6</v>
      </c>
      <c r="I3760">
        <v>216.34880000000001</v>
      </c>
      <c r="J3760">
        <v>-482.9384</v>
      </c>
      <c r="K3760">
        <v>1.127321</v>
      </c>
      <c r="L3760">
        <v>217.26079999999999</v>
      </c>
      <c r="M3760">
        <v>0.89569779999999999</v>
      </c>
      <c r="N3760">
        <v>-1.307321E-2</v>
      </c>
      <c r="O3760">
        <v>-0.44447160000000002</v>
      </c>
      <c r="P3760">
        <v>0.94934280000000004</v>
      </c>
      <c r="Q3760">
        <v>-0.1058969</v>
      </c>
      <c r="R3760">
        <v>-0.29586180000000001</v>
      </c>
      <c r="S3760">
        <v>3.020111</v>
      </c>
      <c r="T3760">
        <v>-0.39131250000000001</v>
      </c>
      <c r="U3760">
        <v>-0.35055540000000002</v>
      </c>
      <c r="V3760">
        <v>-0.15548529999999999</v>
      </c>
      <c r="W3760">
        <v>-9.5505450000000006E-2</v>
      </c>
      <c r="X3760">
        <v>0.98321060000000005</v>
      </c>
      <c r="Y3760">
        <v>-0.33256999999999998</v>
      </c>
      <c r="Z3760">
        <v>7.2832620000000001E-2</v>
      </c>
      <c r="AA3760">
        <v>0.94026200000000004</v>
      </c>
      <c r="AB3760">
        <v>17</v>
      </c>
      <c r="AC3760">
        <v>8.4580000000000197</v>
      </c>
      <c r="AD3760">
        <v>-1.127316952715</v>
      </c>
      <c r="AE3760">
        <v>-0.91199999999997705</v>
      </c>
      <c r="AF3760">
        <v>-2.8919314860787999</v>
      </c>
      <c r="AG3760">
        <v>-1.127316952715</v>
      </c>
      <c r="AH3760">
        <v>7.8441041087611998</v>
      </c>
      <c r="AI3760">
        <v>97.679614109317498</v>
      </c>
      <c r="AJ3760">
        <v>110.23771075044</v>
      </c>
      <c r="AK3760">
        <v>8.4358805409475099</v>
      </c>
      <c r="AL3760">
        <v>95.480412097319103</v>
      </c>
      <c r="AM3760">
        <v>98.986358182146006</v>
      </c>
      <c r="AN3760">
        <v>1.0000000267240701</v>
      </c>
    </row>
    <row r="3761" spans="1:40" x14ac:dyDescent="0.25">
      <c r="A3761" t="str">
        <f>"20190303154209977"</f>
        <v>20190303154209977</v>
      </c>
      <c r="B3761" t="str">
        <f>"1551598929973362"</f>
        <v>1551598929973362</v>
      </c>
      <c r="C3761" t="s">
        <v>40</v>
      </c>
      <c r="D3761">
        <v>5.6908349999999999</v>
      </c>
      <c r="E3761">
        <v>0.43324459999999998</v>
      </c>
      <c r="F3761" t="s">
        <v>46</v>
      </c>
      <c r="G3761">
        <v>-474.1207</v>
      </c>
      <c r="H3761" s="1">
        <v>4.1994440000000003E-6</v>
      </c>
      <c r="I3761">
        <v>216.18049999999999</v>
      </c>
      <c r="J3761">
        <v>-482.79090000000002</v>
      </c>
      <c r="K3761">
        <v>1.127321</v>
      </c>
      <c r="L3761">
        <v>217.20429999999999</v>
      </c>
      <c r="M3761">
        <v>0.90123759999999997</v>
      </c>
      <c r="N3761">
        <v>-1.3080019999999999E-2</v>
      </c>
      <c r="O3761">
        <v>-0.4331277</v>
      </c>
      <c r="P3761">
        <v>0.95292200000000005</v>
      </c>
      <c r="Q3761">
        <v>-0.1062708</v>
      </c>
      <c r="R3761">
        <v>-0.28398309999999999</v>
      </c>
      <c r="S3761">
        <v>3.0026250000000001</v>
      </c>
      <c r="T3761">
        <v>-0.38387579999999999</v>
      </c>
      <c r="U3761">
        <v>-0.36785889999999999</v>
      </c>
      <c r="V3761">
        <v>-0.15532799999999999</v>
      </c>
      <c r="W3761">
        <v>-9.5868770000000006E-2</v>
      </c>
      <c r="X3761">
        <v>0.98320010000000002</v>
      </c>
      <c r="Y3761">
        <v>-0.31502859999999899</v>
      </c>
      <c r="Z3761">
        <v>6.9410879999999994E-2</v>
      </c>
      <c r="AA3761">
        <v>0.94654059999999995</v>
      </c>
      <c r="AB3761">
        <v>17</v>
      </c>
      <c r="AC3761">
        <v>8.6702000000000208</v>
      </c>
      <c r="AD3761">
        <v>-1.1273168005559999</v>
      </c>
      <c r="AE3761">
        <v>-1.0237999999999901</v>
      </c>
      <c r="AF3761">
        <v>-2.7864008827321101</v>
      </c>
      <c r="AG3761">
        <v>-1.1273168005559999</v>
      </c>
      <c r="AH3761">
        <v>8.1226228024216507</v>
      </c>
      <c r="AI3761">
        <v>97.4788976219087</v>
      </c>
      <c r="AJ3761">
        <v>108.934122031371</v>
      </c>
      <c r="AK3761">
        <v>8.6609395701925003</v>
      </c>
      <c r="AL3761">
        <v>95.501324780567799</v>
      </c>
      <c r="AM3761">
        <v>98.977509393849104</v>
      </c>
      <c r="AN3761">
        <v>1.00000002264266</v>
      </c>
    </row>
    <row r="3762" spans="1:40" x14ac:dyDescent="0.25">
      <c r="A3762" t="str">
        <f>"20190303154210000"</f>
        <v>20190303154210000</v>
      </c>
      <c r="B3762" t="str">
        <f>"1551598929992882"</f>
        <v>1551598929992882</v>
      </c>
      <c r="C3762" t="s">
        <v>40</v>
      </c>
      <c r="D3762">
        <v>5.7109230000000002</v>
      </c>
      <c r="E3762">
        <v>0.43465209999999999</v>
      </c>
      <c r="F3762" t="s">
        <v>46</v>
      </c>
      <c r="G3762">
        <v>-474.14690000000002</v>
      </c>
      <c r="H3762" s="1">
        <v>4.1897519999999996E-6</v>
      </c>
      <c r="I3762">
        <v>216.2242</v>
      </c>
      <c r="J3762">
        <v>-482.62310000000002</v>
      </c>
      <c r="K3762">
        <v>1.127313</v>
      </c>
      <c r="L3762">
        <v>217.14269999999999</v>
      </c>
      <c r="M3762">
        <v>0.90732959999999996</v>
      </c>
      <c r="N3762">
        <v>-1.308521E-2</v>
      </c>
      <c r="O3762">
        <v>-0.4202166</v>
      </c>
      <c r="P3762">
        <v>0.95690620000000004</v>
      </c>
      <c r="Q3762">
        <v>-0.106701</v>
      </c>
      <c r="R3762">
        <v>-0.27008450000000001</v>
      </c>
      <c r="S3762">
        <v>3.0030519999999998</v>
      </c>
      <c r="T3762">
        <v>-0.39164589999999999</v>
      </c>
      <c r="U3762">
        <v>-0.34051510000000001</v>
      </c>
      <c r="V3762">
        <v>-0.1555752</v>
      </c>
      <c r="W3762">
        <v>-9.6295790000000006E-2</v>
      </c>
      <c r="X3762">
        <v>0.98311919999999997</v>
      </c>
      <c r="Y3762">
        <v>-0.30989489999999997</v>
      </c>
      <c r="Z3762">
        <v>6.9233279999999994E-2</v>
      </c>
      <c r="AA3762">
        <v>0.94824679999999995</v>
      </c>
      <c r="AB3762">
        <v>17</v>
      </c>
      <c r="AC3762">
        <v>8.4762000000000004</v>
      </c>
      <c r="AD3762">
        <v>-1.127308810248</v>
      </c>
      <c r="AE3762">
        <v>-0.91849999999999399</v>
      </c>
      <c r="AF3762">
        <v>-2.6818052950623001</v>
      </c>
      <c r="AG3762">
        <v>-1.127308810248</v>
      </c>
      <c r="AH3762">
        <v>7.9385774169777497</v>
      </c>
      <c r="AI3762">
        <v>97.662255590345893</v>
      </c>
      <c r="AJ3762">
        <v>108.66596501209</v>
      </c>
      <c r="AK3762">
        <v>8.4548161541003495</v>
      </c>
      <c r="AL3762">
        <v>95.525905395264104</v>
      </c>
      <c r="AM3762">
        <v>98.992291411738293</v>
      </c>
      <c r="AN3762">
        <v>0.99999994171770001</v>
      </c>
    </row>
    <row r="3763" spans="1:40" x14ac:dyDescent="0.25">
      <c r="A3763" t="str">
        <f>"20190303154210024"</f>
        <v>20190303154210024</v>
      </c>
      <c r="B3763" t="str">
        <f>"1551598930013379"</f>
        <v>1551598930013379</v>
      </c>
      <c r="C3763" t="s">
        <v>40</v>
      </c>
      <c r="D3763">
        <v>5.6836200000000003</v>
      </c>
      <c r="E3763">
        <v>0.44088480000000002</v>
      </c>
      <c r="F3763" t="s">
        <v>46</v>
      </c>
      <c r="G3763">
        <v>-474.05360000000002</v>
      </c>
      <c r="H3763" s="1">
        <v>4.2329389999999998E-6</v>
      </c>
      <c r="I3763">
        <v>216.2655</v>
      </c>
      <c r="J3763">
        <v>-482.45729999999998</v>
      </c>
      <c r="K3763">
        <v>1.1272960000000001</v>
      </c>
      <c r="L3763">
        <v>217.08439999999999</v>
      </c>
      <c r="M3763">
        <v>0.91314329999999999</v>
      </c>
      <c r="N3763">
        <v>-1.308842E-2</v>
      </c>
      <c r="O3763">
        <v>-0.40742859999999997</v>
      </c>
      <c r="P3763">
        <v>0.96037629999999996</v>
      </c>
      <c r="Q3763">
        <v>-0.1077642</v>
      </c>
      <c r="R3763">
        <v>-0.2570305</v>
      </c>
      <c r="S3763">
        <v>3.0042420000000001</v>
      </c>
      <c r="T3763">
        <v>-0.39520159999999999</v>
      </c>
      <c r="U3763">
        <v>-0.30752560000000001</v>
      </c>
      <c r="V3763">
        <v>-0.15508720000000001</v>
      </c>
      <c r="W3763">
        <v>-9.7345000000000001E-2</v>
      </c>
      <c r="X3763">
        <v>0.98309299999999999</v>
      </c>
      <c r="Y3763">
        <v>-0.30688310000000002</v>
      </c>
      <c r="Z3763">
        <v>6.8367929999999993E-2</v>
      </c>
      <c r="AA3763">
        <v>0.94928840000000003</v>
      </c>
      <c r="AB3763">
        <v>17</v>
      </c>
      <c r="AC3763">
        <v>8.4036999999999509</v>
      </c>
      <c r="AD3763">
        <v>-1.1272917670610001</v>
      </c>
      <c r="AE3763">
        <v>-0.81889999999998497</v>
      </c>
      <c r="AF3763">
        <v>-2.62949338571699</v>
      </c>
      <c r="AG3763">
        <v>-1.1272917670610001</v>
      </c>
      <c r="AH3763">
        <v>7.8678673798064702</v>
      </c>
      <c r="AI3763">
        <v>97.738507620554898</v>
      </c>
      <c r="AJ3763">
        <v>108.479969240039</v>
      </c>
      <c r="AK3763">
        <v>8.3718790781900108</v>
      </c>
      <c r="AL3763">
        <v>95.586304323963105</v>
      </c>
      <c r="AM3763">
        <v>98.964778685119498</v>
      </c>
      <c r="AN3763">
        <v>0.99999996763891896</v>
      </c>
    </row>
    <row r="3764" spans="1:40" x14ac:dyDescent="0.25">
      <c r="A3764" t="str">
        <f>"20190303154210070"</f>
        <v>20190303154210070</v>
      </c>
      <c r="B3764" t="str">
        <f>"1551598930063661"</f>
        <v>1551598930063661</v>
      </c>
      <c r="C3764" t="s">
        <v>40</v>
      </c>
      <c r="D3764">
        <v>5.7177610000000003</v>
      </c>
      <c r="E3764">
        <v>0.44185990000000003</v>
      </c>
      <c r="F3764" t="s">
        <v>46</v>
      </c>
      <c r="G3764">
        <v>-474.34789999999998</v>
      </c>
      <c r="H3764" s="1">
        <v>4.1009839999999998E-6</v>
      </c>
      <c r="I3764">
        <v>216.2328</v>
      </c>
      <c r="J3764">
        <v>-482.1232</v>
      </c>
      <c r="K3764">
        <v>1.127273</v>
      </c>
      <c r="L3764">
        <v>216.97460000000001</v>
      </c>
      <c r="M3764">
        <v>0.92422119999999996</v>
      </c>
      <c r="N3764">
        <v>-1.3090630000000001E-2</v>
      </c>
      <c r="O3764">
        <v>-0.381633</v>
      </c>
      <c r="P3764">
        <v>0.96757859999999996</v>
      </c>
      <c r="Q3764">
        <v>-0.1080354</v>
      </c>
      <c r="R3764">
        <v>-0.22829859999999999</v>
      </c>
      <c r="S3764">
        <v>2.993042</v>
      </c>
      <c r="T3764">
        <v>-0.41606589999999999</v>
      </c>
      <c r="U3764">
        <v>-0.31431579999999998</v>
      </c>
      <c r="V3764">
        <v>-0.15676999999999999</v>
      </c>
      <c r="W3764">
        <v>-9.7637180000000004E-2</v>
      </c>
      <c r="X3764">
        <v>0.98279709999999998</v>
      </c>
      <c r="Y3764">
        <v>-0.27738760000000001</v>
      </c>
      <c r="Z3764">
        <v>6.7237729999999996E-2</v>
      </c>
      <c r="AA3764">
        <v>0.95840239999999999</v>
      </c>
      <c r="AB3764">
        <v>17</v>
      </c>
      <c r="AC3764">
        <v>7.7753000000000103</v>
      </c>
      <c r="AD3764">
        <v>-1.127268899016</v>
      </c>
      <c r="AE3764">
        <v>-0.74180000000001201</v>
      </c>
      <c r="AF3764">
        <v>-2.2353572741324901</v>
      </c>
      <c r="AG3764">
        <v>-1.127268899016</v>
      </c>
      <c r="AH3764">
        <v>7.3174123193381</v>
      </c>
      <c r="AI3764">
        <v>98.381188778598698</v>
      </c>
      <c r="AJ3764">
        <v>106.987108492022</v>
      </c>
      <c r="AK3764">
        <v>7.7338270193292296</v>
      </c>
      <c r="AL3764">
        <v>95.603124974816694</v>
      </c>
      <c r="AM3764">
        <v>99.063130050982494</v>
      </c>
      <c r="AN3764">
        <v>0.99999999579338095</v>
      </c>
    </row>
    <row r="3765" spans="1:40" x14ac:dyDescent="0.25">
      <c r="A3765" t="str">
        <f>"20190303154210090"</f>
        <v>20190303154210090</v>
      </c>
      <c r="B3765" t="str">
        <f>"1551598930083181"</f>
        <v>1551598930083181</v>
      </c>
      <c r="C3765" t="s">
        <v>40</v>
      </c>
      <c r="D3765">
        <v>5.7640190000000002</v>
      </c>
      <c r="E3765">
        <v>0.44794509999999998</v>
      </c>
      <c r="F3765" t="s">
        <v>46</v>
      </c>
      <c r="G3765">
        <v>-473.84289999999999</v>
      </c>
      <c r="H3765" s="1">
        <v>4.3293269999999999E-6</v>
      </c>
      <c r="I3765">
        <v>216.33320000000001</v>
      </c>
      <c r="J3765">
        <v>-481.98059999999998</v>
      </c>
      <c r="K3765">
        <v>1.127273</v>
      </c>
      <c r="L3765">
        <v>216.93090000000001</v>
      </c>
      <c r="M3765">
        <v>0.92869840000000003</v>
      </c>
      <c r="N3765">
        <v>-1.309041E-2</v>
      </c>
      <c r="O3765">
        <v>-0.37060460000000001</v>
      </c>
      <c r="P3765">
        <v>0.97080480000000002</v>
      </c>
      <c r="Q3765">
        <v>-0.1063202</v>
      </c>
      <c r="R3765">
        <v>-0.2150214</v>
      </c>
      <c r="S3765">
        <v>3.0000610000000001</v>
      </c>
      <c r="T3765">
        <v>-0.40842250000000002</v>
      </c>
      <c r="U3765">
        <v>-0.2323761</v>
      </c>
      <c r="V3765">
        <v>-0.15863160000000001</v>
      </c>
      <c r="W3765">
        <v>-9.5950110000000005E-2</v>
      </c>
      <c r="X3765">
        <v>0.98266450000000005</v>
      </c>
      <c r="Y3765">
        <v>-0.29226459999999999</v>
      </c>
      <c r="Z3765">
        <v>6.580859E-2</v>
      </c>
      <c r="AA3765">
        <v>0.95407059999999999</v>
      </c>
      <c r="AB3765">
        <v>18</v>
      </c>
      <c r="AC3765">
        <v>8.1376999999999899</v>
      </c>
      <c r="AD3765">
        <v>-1.127268670673</v>
      </c>
      <c r="AE3765">
        <v>-0.59770000000000301</v>
      </c>
      <c r="AF3765">
        <v>-2.4149061715339499</v>
      </c>
      <c r="AG3765">
        <v>-1.127268670673</v>
      </c>
      <c r="AH3765">
        <v>7.6339450336330001</v>
      </c>
      <c r="AI3765">
        <v>98.013935454264498</v>
      </c>
      <c r="AJ3765">
        <v>107.554137199571</v>
      </c>
      <c r="AK3765">
        <v>8.0857667075994506</v>
      </c>
      <c r="AL3765">
        <v>95.506007127738997</v>
      </c>
      <c r="AM3765">
        <v>99.170150851515103</v>
      </c>
      <c r="AN3765">
        <v>0.99999996384390999</v>
      </c>
    </row>
    <row r="3766" spans="1:40" x14ac:dyDescent="0.25">
      <c r="A3766" t="str">
        <f>"20190303154210112"</f>
        <v>20190303154210112</v>
      </c>
      <c r="B3766" t="str">
        <f>"1551598930103678"</f>
        <v>1551598930103678</v>
      </c>
      <c r="C3766" t="s">
        <v>40</v>
      </c>
      <c r="D3766">
        <v>5.7783949999999997</v>
      </c>
      <c r="E3766">
        <v>0.44833030000000001</v>
      </c>
      <c r="F3766" t="s">
        <v>46</v>
      </c>
      <c r="G3766">
        <v>-473.55959999999999</v>
      </c>
      <c r="H3766" s="1">
        <v>4.4516979999999996E-6</v>
      </c>
      <c r="I3766">
        <v>216.2586</v>
      </c>
      <c r="J3766">
        <v>-481.81779999999998</v>
      </c>
      <c r="K3766">
        <v>1.127264</v>
      </c>
      <c r="L3766">
        <v>216.88319999999999</v>
      </c>
      <c r="M3766">
        <v>0.93362179999999995</v>
      </c>
      <c r="N3766">
        <v>-1.30896E-2</v>
      </c>
      <c r="O3766">
        <v>-0.35802119999999998</v>
      </c>
      <c r="P3766">
        <v>0.97371039999999998</v>
      </c>
      <c r="Q3766">
        <v>-0.1066705</v>
      </c>
      <c r="R3766">
        <v>-0.20127</v>
      </c>
      <c r="S3766">
        <v>2.9933779999999999</v>
      </c>
      <c r="T3766">
        <v>-0.40070679999999997</v>
      </c>
      <c r="U3766">
        <v>-0.23896790000000001</v>
      </c>
      <c r="V3766">
        <v>-0.15923180000000001</v>
      </c>
      <c r="W3766">
        <v>-9.6309519999999996E-2</v>
      </c>
      <c r="X3766">
        <v>0.98253230000000003</v>
      </c>
      <c r="Y3766">
        <v>-0.27748329999999999</v>
      </c>
      <c r="Z3766">
        <v>6.2182559999999998E-2</v>
      </c>
      <c r="AA3766">
        <v>0.95871600000000001</v>
      </c>
      <c r="AB3766">
        <v>18</v>
      </c>
      <c r="AC3766">
        <v>8.2581999999999791</v>
      </c>
      <c r="AD3766">
        <v>-1.127259548302</v>
      </c>
      <c r="AE3766">
        <v>-0.62459999999998606</v>
      </c>
      <c r="AF3766">
        <v>-2.3304970519480301</v>
      </c>
      <c r="AG3766">
        <v>-1.127259548302</v>
      </c>
      <c r="AH3766">
        <v>7.7900108652397897</v>
      </c>
      <c r="AI3766">
        <v>97.892880682850901</v>
      </c>
      <c r="AJ3766">
        <v>106.65533197820599</v>
      </c>
      <c r="AK3766">
        <v>8.2089097862585003</v>
      </c>
      <c r="AL3766">
        <v>95.526695388097295</v>
      </c>
      <c r="AM3766">
        <v>99.205471585823602</v>
      </c>
      <c r="AN3766">
        <v>1.00000000515858</v>
      </c>
    </row>
    <row r="3767" spans="1:40" x14ac:dyDescent="0.25">
      <c r="A3767" t="str">
        <f>"20190303154210134"</f>
        <v>20190303154210134</v>
      </c>
      <c r="B3767" t="str">
        <f>"1551598930123197"</f>
        <v>1551598930123197</v>
      </c>
      <c r="C3767" t="s">
        <v>40</v>
      </c>
      <c r="D3767">
        <v>5.7777440000000002</v>
      </c>
      <c r="E3767">
        <v>0.44846960000000002</v>
      </c>
      <c r="F3767" t="s">
        <v>46</v>
      </c>
      <c r="G3767">
        <v>-473.5419</v>
      </c>
      <c r="H3767" s="1">
        <v>4.462765E-6</v>
      </c>
      <c r="I3767">
        <v>216.33199999999999</v>
      </c>
      <c r="J3767">
        <v>-481.65120000000002</v>
      </c>
      <c r="K3767">
        <v>1.1272359999999999</v>
      </c>
      <c r="L3767">
        <v>216.83680000000001</v>
      </c>
      <c r="M3767">
        <v>0.93846229999999997</v>
      </c>
      <c r="N3767">
        <v>-1.3088010000000001E-2</v>
      </c>
      <c r="O3767">
        <v>-0.34513369999999999</v>
      </c>
      <c r="P3767">
        <v>0.97589649999999994</v>
      </c>
      <c r="Q3767">
        <v>-0.10899399999999999</v>
      </c>
      <c r="R3767">
        <v>-0.1890674</v>
      </c>
      <c r="S3767">
        <v>2.9950869999999998</v>
      </c>
      <c r="T3767">
        <v>-0.40795870000000001</v>
      </c>
      <c r="U3767">
        <v>-0.1994629</v>
      </c>
      <c r="V3767">
        <v>-0.15788079999999999</v>
      </c>
      <c r="W3767">
        <v>-9.8610950000000003E-2</v>
      </c>
      <c r="X3767">
        <v>0.98252200000000001</v>
      </c>
      <c r="Y3767">
        <v>-0.27679090000000001</v>
      </c>
      <c r="Z3767">
        <v>6.1854680000000002E-2</v>
      </c>
      <c r="AA3767">
        <v>0.95893729999999999</v>
      </c>
      <c r="AB3767">
        <v>18</v>
      </c>
      <c r="AC3767">
        <v>8.1093000000000099</v>
      </c>
      <c r="AD3767">
        <v>-1.1272315372349999</v>
      </c>
      <c r="AE3767">
        <v>-0.50480000000001701</v>
      </c>
      <c r="AF3767">
        <v>-2.2813452865674599</v>
      </c>
      <c r="AG3767">
        <v>-1.1272315372349999</v>
      </c>
      <c r="AH3767">
        <v>7.6381453335530303</v>
      </c>
      <c r="AI3767">
        <v>98.048638507825402</v>
      </c>
      <c r="AJ3767">
        <v>106.629723409867</v>
      </c>
      <c r="AK3767">
        <v>8.0508664994246892</v>
      </c>
      <c r="AL3767">
        <v>95.659188566918004</v>
      </c>
      <c r="AM3767">
        <v>99.1287825142674</v>
      </c>
      <c r="AN3767">
        <v>0.99999997347627001</v>
      </c>
    </row>
    <row r="3768" spans="1:40" x14ac:dyDescent="0.25">
      <c r="A3768" t="str">
        <f>"20190303154210159"</f>
        <v>20190303154210159</v>
      </c>
      <c r="B3768" t="str">
        <f>"1551598930153453"</f>
        <v>1551598930153453</v>
      </c>
      <c r="C3768" t="s">
        <v>40</v>
      </c>
      <c r="D3768">
        <v>5.7430500000000002</v>
      </c>
      <c r="E3768">
        <v>0.43393969999999998</v>
      </c>
      <c r="F3768" t="s">
        <v>46</v>
      </c>
      <c r="G3768">
        <v>-473.46589999999998</v>
      </c>
      <c r="H3768" s="1">
        <v>4.4990779999999997E-6</v>
      </c>
      <c r="I3768">
        <v>216.39240000000001</v>
      </c>
      <c r="J3768">
        <v>-481.47800000000001</v>
      </c>
      <c r="K3768">
        <v>1.127219</v>
      </c>
      <c r="L3768">
        <v>216.7912</v>
      </c>
      <c r="M3768">
        <v>0.94328270000000003</v>
      </c>
      <c r="N3768">
        <v>-1.308512E-2</v>
      </c>
      <c r="O3768">
        <v>-0.3317329</v>
      </c>
      <c r="P3768">
        <v>0.97766379999999997</v>
      </c>
      <c r="Q3768">
        <v>-0.113006</v>
      </c>
      <c r="R3768">
        <v>-0.1772098</v>
      </c>
      <c r="S3768">
        <v>2.9964900000000001</v>
      </c>
      <c r="T3768">
        <v>-0.41265859999999899</v>
      </c>
      <c r="U3768">
        <v>-0.16267400000000001</v>
      </c>
      <c r="V3768">
        <v>-0.15560389999999999</v>
      </c>
      <c r="W3768">
        <v>-0.1025871</v>
      </c>
      <c r="X3768">
        <v>0.98247810000000002</v>
      </c>
      <c r="Y3768">
        <v>-0.27486719999999998</v>
      </c>
      <c r="Z3768">
        <v>6.0911159999999999E-2</v>
      </c>
      <c r="AA3768">
        <v>0.95955089999999998</v>
      </c>
      <c r="AB3768">
        <v>18</v>
      </c>
      <c r="AC3768">
        <v>8.0121000000000304</v>
      </c>
      <c r="AD3768">
        <v>-1.127214500922</v>
      </c>
      <c r="AE3768">
        <v>-0.39879999999999399</v>
      </c>
      <c r="AF3768">
        <v>-2.2377087697187199</v>
      </c>
      <c r="AG3768">
        <v>-1.127214500922</v>
      </c>
      <c r="AH3768">
        <v>7.5417207198088398</v>
      </c>
      <c r="AI3768">
        <v>98.154375479619603</v>
      </c>
      <c r="AJ3768">
        <v>106.52618300485901</v>
      </c>
      <c r="AK3768">
        <v>7.9470437575716799</v>
      </c>
      <c r="AL3768">
        <v>95.888167066274093</v>
      </c>
      <c r="AM3768">
        <v>98.999695977034307</v>
      </c>
      <c r="AN3768">
        <v>0.99999995188061397</v>
      </c>
    </row>
    <row r="3769" spans="1:40" x14ac:dyDescent="0.25">
      <c r="A3769" t="str">
        <f>"20190303154210180"</f>
        <v>20190303154210180</v>
      </c>
      <c r="B3769" t="str">
        <f>"1551598930173481"</f>
        <v>1551598930173481</v>
      </c>
      <c r="C3769" t="s">
        <v>40</v>
      </c>
      <c r="D3769">
        <v>5.7964289999999998</v>
      </c>
      <c r="E3769">
        <v>0.43481579999999898</v>
      </c>
      <c r="F3769" t="s">
        <v>46</v>
      </c>
      <c r="G3769">
        <v>-472.10149999999999</v>
      </c>
      <c r="H3769" s="1">
        <v>5.1198149999999999E-6</v>
      </c>
      <c r="I3769">
        <v>216.75110000000001</v>
      </c>
      <c r="J3769">
        <v>-481.3193</v>
      </c>
      <c r="K3769">
        <v>1.1272009999999999</v>
      </c>
      <c r="L3769">
        <v>216.7518</v>
      </c>
      <c r="M3769">
        <v>0.94750310000000004</v>
      </c>
      <c r="N3769">
        <v>-1.3081000000000001E-2</v>
      </c>
      <c r="O3769">
        <v>-0.31947910000000002</v>
      </c>
      <c r="P3769">
        <v>0.97994559999999997</v>
      </c>
      <c r="Q3769">
        <v>-0.1120714</v>
      </c>
      <c r="R3769">
        <v>-0.16476299999999999</v>
      </c>
      <c r="S3769">
        <v>3.0242</v>
      </c>
      <c r="T3769">
        <v>-0.3635622</v>
      </c>
      <c r="U3769">
        <v>-1.293945E-2</v>
      </c>
      <c r="V3769">
        <v>-0.15541659999999999</v>
      </c>
      <c r="W3769">
        <v>-0.1016454</v>
      </c>
      <c r="X3769">
        <v>0.98260570000000003</v>
      </c>
      <c r="Y3769">
        <v>-0.31120619999999999</v>
      </c>
      <c r="Z3769">
        <v>5.4205709999999997E-2</v>
      </c>
      <c r="AA3769">
        <v>0.94879530000000001</v>
      </c>
      <c r="AB3769">
        <v>18</v>
      </c>
      <c r="AC3769">
        <v>9.2178000000000093</v>
      </c>
      <c r="AD3769">
        <v>-1.1271958801849999</v>
      </c>
      <c r="AE3769">
        <v>-6.9999999999481501E-4</v>
      </c>
      <c r="AF3769">
        <v>-2.9011011777171798</v>
      </c>
      <c r="AG3769">
        <v>-1.1271958801849999</v>
      </c>
      <c r="AH3769">
        <v>8.6061716934651606</v>
      </c>
      <c r="AI3769">
        <v>97.074987582431902</v>
      </c>
      <c r="AJ3769">
        <v>108.62872659492599</v>
      </c>
      <c r="AK3769">
        <v>9.1516746999147092</v>
      </c>
      <c r="AL3769">
        <v>95.833927607843407</v>
      </c>
      <c r="AM3769">
        <v>98.9878918092123</v>
      </c>
      <c r="AN3769">
        <v>1.0000000342846</v>
      </c>
    </row>
    <row r="3770" spans="1:40" x14ac:dyDescent="0.25">
      <c r="A3770" t="str">
        <f>"20190303154210201"</f>
        <v>20190303154210201</v>
      </c>
      <c r="B3770" t="str">
        <f>"1551598930193001"</f>
        <v>1551598930193001</v>
      </c>
      <c r="C3770" t="s">
        <v>40</v>
      </c>
      <c r="D3770">
        <v>5.7983949999999904</v>
      </c>
      <c r="E3770">
        <v>0.43606509999999998</v>
      </c>
      <c r="F3770" t="s">
        <v>46</v>
      </c>
      <c r="G3770">
        <v>-471.71010000000001</v>
      </c>
      <c r="H3770" s="1">
        <v>5.2959630000000002E-6</v>
      </c>
      <c r="I3770">
        <v>216.81020000000001</v>
      </c>
      <c r="J3770">
        <v>-481.15589999999997</v>
      </c>
      <c r="K3770">
        <v>1.127194</v>
      </c>
      <c r="L3770">
        <v>216.71340000000001</v>
      </c>
      <c r="M3770">
        <v>0.95166050000000002</v>
      </c>
      <c r="N3770">
        <v>-1.307527E-2</v>
      </c>
      <c r="O3770">
        <v>-0.30687399999999998</v>
      </c>
      <c r="P3770">
        <v>0.98261189999999998</v>
      </c>
      <c r="Q3770">
        <v>-0.1078913</v>
      </c>
      <c r="R3770">
        <v>-0.15110799999999999</v>
      </c>
      <c r="S3770">
        <v>3.0239259999999999</v>
      </c>
      <c r="T3770">
        <v>-0.35471819999999998</v>
      </c>
      <c r="U3770">
        <v>1.8402100000000001E-2</v>
      </c>
      <c r="V3770">
        <v>-0.15626219999999999</v>
      </c>
      <c r="W3770">
        <v>-9.7471130000000003E-2</v>
      </c>
      <c r="X3770">
        <v>0.98289439999999995</v>
      </c>
      <c r="Y3770">
        <v>-0.30872699999999997</v>
      </c>
      <c r="Z3770">
        <v>5.1460039999999999E-2</v>
      </c>
      <c r="AA3770">
        <v>0.94975759999999998</v>
      </c>
      <c r="AB3770">
        <v>18</v>
      </c>
      <c r="AC3770">
        <v>9.4457999999999593</v>
      </c>
      <c r="AD3770">
        <v>-1.1271887040369899</v>
      </c>
      <c r="AE3770">
        <v>9.6800000000001704E-2</v>
      </c>
      <c r="AF3770">
        <v>-2.9490556725472601</v>
      </c>
      <c r="AG3770">
        <v>-1.1271887040369899</v>
      </c>
      <c r="AH3770">
        <v>8.8344626625446097</v>
      </c>
      <c r="AI3770">
        <v>96.900663420941498</v>
      </c>
      <c r="AJ3770">
        <v>108.45966344055201</v>
      </c>
      <c r="AK3770">
        <v>9.3816424079255203</v>
      </c>
      <c r="AL3770">
        <v>95.593565676456606</v>
      </c>
      <c r="AM3770">
        <v>99.033378653522803</v>
      </c>
      <c r="AN3770">
        <v>0.99999994894183697</v>
      </c>
    </row>
    <row r="3771" spans="1:40" x14ac:dyDescent="0.25">
      <c r="A3771" t="str">
        <f>"20190303154210226"</f>
        <v>20190303154210226</v>
      </c>
      <c r="B3771" t="str">
        <f>"1551598930223256"</f>
        <v>1551598930223256</v>
      </c>
      <c r="C3771" t="s">
        <v>40</v>
      </c>
      <c r="D3771">
        <v>5.7219230000000003</v>
      </c>
      <c r="E3771">
        <v>0.43738300000000002</v>
      </c>
      <c r="F3771" t="s">
        <v>46</v>
      </c>
      <c r="G3771">
        <v>-471.29899999999998</v>
      </c>
      <c r="H3771" s="1">
        <v>5.4813179999999996E-6</v>
      </c>
      <c r="I3771">
        <v>216.87899999999999</v>
      </c>
      <c r="J3771">
        <v>-480.97570000000002</v>
      </c>
      <c r="K3771">
        <v>1.1271639999999901</v>
      </c>
      <c r="L3771">
        <v>216.67359999999999</v>
      </c>
      <c r="M3771">
        <v>0.95602010000000004</v>
      </c>
      <c r="N3771">
        <v>-1.3066329999999999E-2</v>
      </c>
      <c r="O3771">
        <v>-0.293010099999999</v>
      </c>
      <c r="P3771">
        <v>0.98485679999999998</v>
      </c>
      <c r="Q3771">
        <v>-0.1065272</v>
      </c>
      <c r="R3771">
        <v>-0.13678189999999901</v>
      </c>
      <c r="S3771">
        <v>3.0229490000000001</v>
      </c>
      <c r="T3771">
        <v>-0.34568680000000002</v>
      </c>
      <c r="U3771">
        <v>5.078125E-2</v>
      </c>
      <c r="V3771">
        <v>-0.15636329999999901</v>
      </c>
      <c r="W3771">
        <v>-9.6102870000000007E-2</v>
      </c>
      <c r="X3771">
        <v>0.98301309999999997</v>
      </c>
      <c r="Y3771">
        <v>-0.30537979999999998</v>
      </c>
      <c r="Z3771">
        <v>4.8587650000000003E-2</v>
      </c>
      <c r="AA3771">
        <v>0.95099020000000001</v>
      </c>
      <c r="AB3771">
        <v>18</v>
      </c>
      <c r="AC3771">
        <v>9.6766999999999808</v>
      </c>
      <c r="AD3771">
        <v>-1.1271585186819999</v>
      </c>
      <c r="AE3771">
        <v>0.20540000000002501</v>
      </c>
      <c r="AF3771">
        <v>-2.9914267166374802</v>
      </c>
      <c r="AG3771">
        <v>-1.1271585186819999</v>
      </c>
      <c r="AH3771">
        <v>9.0687307288701806</v>
      </c>
      <c r="AI3771">
        <v>96.731750075050797</v>
      </c>
      <c r="AJ3771">
        <v>108.25574257764301</v>
      </c>
      <c r="AK3771">
        <v>9.6156641559490907</v>
      </c>
      <c r="AL3771">
        <v>95.514800071958206</v>
      </c>
      <c r="AM3771">
        <v>99.038053222793096</v>
      </c>
      <c r="AN3771">
        <v>0.99999999899036796</v>
      </c>
    </row>
    <row r="3772" spans="1:40" x14ac:dyDescent="0.25">
      <c r="A3772" t="str">
        <f>"20190303154210249"</f>
        <v>20190303154210249</v>
      </c>
      <c r="B3772" t="str">
        <f>"1551598930243752"</f>
        <v>1551598930243752</v>
      </c>
      <c r="C3772" t="s">
        <v>40</v>
      </c>
      <c r="D3772">
        <v>5.7817869999999996</v>
      </c>
      <c r="E3772">
        <v>0.44604050000000001</v>
      </c>
      <c r="F3772" t="s">
        <v>46</v>
      </c>
      <c r="G3772">
        <v>-471.05380000000002</v>
      </c>
      <c r="H3772" s="1">
        <v>5.5931599999999998E-6</v>
      </c>
      <c r="I3772">
        <v>216.95070000000001</v>
      </c>
      <c r="J3772">
        <v>-480.79910000000001</v>
      </c>
      <c r="K3772">
        <v>1.1270960000000001</v>
      </c>
      <c r="L3772">
        <v>216.63720000000001</v>
      </c>
      <c r="M3772">
        <v>0.96006089999999999</v>
      </c>
      <c r="N3772">
        <v>-1.305358E-2</v>
      </c>
      <c r="O3772">
        <v>-0.27948659999999997</v>
      </c>
      <c r="P3772">
        <v>0.98579689999999998</v>
      </c>
      <c r="Q3772">
        <v>-0.111329</v>
      </c>
      <c r="R3772">
        <v>-0.12574169999999901</v>
      </c>
      <c r="S3772">
        <v>3.0206909999999998</v>
      </c>
      <c r="T3772">
        <v>-0.34316020000000003</v>
      </c>
      <c r="U3772">
        <v>8.4365839999999998E-2</v>
      </c>
      <c r="V3772">
        <v>-0.15329209999999999</v>
      </c>
      <c r="W3772">
        <v>-0.1008527</v>
      </c>
      <c r="X3772">
        <v>0.98302100000000003</v>
      </c>
      <c r="Y3772">
        <v>-0.30266369999999998</v>
      </c>
      <c r="Z3772">
        <v>4.6796169999999998E-2</v>
      </c>
      <c r="AA3772">
        <v>0.95194789999999996</v>
      </c>
      <c r="AB3772">
        <v>18</v>
      </c>
      <c r="AC3772">
        <v>9.7452999999999808</v>
      </c>
      <c r="AD3772">
        <v>-1.1270904068399901</v>
      </c>
      <c r="AE3772">
        <v>0.313500000000004</v>
      </c>
      <c r="AF3772">
        <v>-2.9850308798168501</v>
      </c>
      <c r="AG3772">
        <v>-1.1270904068399901</v>
      </c>
      <c r="AH3772">
        <v>9.1470274067060195</v>
      </c>
      <c r="AI3772">
        <v>96.681155286036201</v>
      </c>
      <c r="AJ3772">
        <v>108.07351894846499</v>
      </c>
      <c r="AK3772">
        <v>9.6875617426513507</v>
      </c>
      <c r="AL3772">
        <v>95.788274775011601</v>
      </c>
      <c r="AM3772">
        <v>98.863308859072205</v>
      </c>
      <c r="AN3772">
        <v>1.0000000107303499</v>
      </c>
    </row>
    <row r="3773" spans="1:40" x14ac:dyDescent="0.25">
      <c r="A3773" t="str">
        <f>"20190303154210273"</f>
        <v>20190303154210273</v>
      </c>
      <c r="B3773" t="str">
        <f>"1551598930263781"</f>
        <v>1551598930263781</v>
      </c>
      <c r="C3773" t="s">
        <v>40</v>
      </c>
      <c r="D3773">
        <v>5.8304029999999996</v>
      </c>
      <c r="E3773">
        <v>0.44736419999999999</v>
      </c>
      <c r="F3773" t="s">
        <v>46</v>
      </c>
      <c r="G3773">
        <v>-471.4658</v>
      </c>
      <c r="H3773" s="1">
        <v>5.4034919999999998E-6</v>
      </c>
      <c r="I3773">
        <v>216.7912</v>
      </c>
      <c r="J3773">
        <v>-480.62630000000001</v>
      </c>
      <c r="K3773">
        <v>1.127</v>
      </c>
      <c r="L3773">
        <v>216.60380000000001</v>
      </c>
      <c r="M3773">
        <v>0.96378680000000005</v>
      </c>
      <c r="N3773">
        <v>-1.303552E-2</v>
      </c>
      <c r="O3773">
        <v>-0.26635520000000001</v>
      </c>
      <c r="P3773">
        <v>0.9862052</v>
      </c>
      <c r="Q3773">
        <v>-0.116922</v>
      </c>
      <c r="R3773">
        <v>-0.11716840000000001</v>
      </c>
      <c r="S3773">
        <v>3.0084840000000002</v>
      </c>
      <c r="T3773">
        <v>-0.36330319999999999</v>
      </c>
      <c r="U3773">
        <v>4.9652099999999998E-2</v>
      </c>
      <c r="V3773">
        <v>-0.14818249999999999</v>
      </c>
      <c r="W3773">
        <v>-0.1063588</v>
      </c>
      <c r="X3773">
        <v>0.98322419999999999</v>
      </c>
      <c r="Y3773">
        <v>-0.27850049999999998</v>
      </c>
      <c r="Z3773">
        <v>4.6853770000000003E-2</v>
      </c>
      <c r="AA3773">
        <v>0.95929260000000005</v>
      </c>
      <c r="AB3773">
        <v>18</v>
      </c>
      <c r="AC3773">
        <v>9.1605000000000096</v>
      </c>
      <c r="AD3773">
        <v>-1.1269945965079999</v>
      </c>
      <c r="AE3773">
        <v>0.18739999999999599</v>
      </c>
      <c r="AF3773">
        <v>-2.5817230259381598</v>
      </c>
      <c r="AG3773">
        <v>-1.1269945965079999</v>
      </c>
      <c r="AH3773">
        <v>8.6487489749116708</v>
      </c>
      <c r="AI3773">
        <v>97.1172787863228</v>
      </c>
      <c r="AJ3773">
        <v>106.620798970061</v>
      </c>
      <c r="AK3773">
        <v>9.0959479678730197</v>
      </c>
      <c r="AL3773">
        <v>96.105458256366205</v>
      </c>
      <c r="AM3773">
        <v>98.570590794944906</v>
      </c>
      <c r="AN3773">
        <v>1.00000003755466</v>
      </c>
    </row>
    <row r="3774" spans="1:40" x14ac:dyDescent="0.25">
      <c r="A3774" t="str">
        <f>"20190303154210295"</f>
        <v>20190303154210295</v>
      </c>
      <c r="B3774" t="str">
        <f>"1551598930283300"</f>
        <v>1551598930283300</v>
      </c>
      <c r="C3774" t="s">
        <v>40</v>
      </c>
      <c r="D3774">
        <v>5.8017310000000002</v>
      </c>
      <c r="E3774">
        <v>0.4490615</v>
      </c>
      <c r="F3774" t="s">
        <v>46</v>
      </c>
      <c r="G3774">
        <v>-471.73289999999997</v>
      </c>
      <c r="H3774" s="1">
        <v>5.2853169999999999E-6</v>
      </c>
      <c r="I3774">
        <v>216.7979</v>
      </c>
      <c r="J3774">
        <v>-480.46409999999997</v>
      </c>
      <c r="K3774">
        <v>1.126895</v>
      </c>
      <c r="L3774">
        <v>216.5745</v>
      </c>
      <c r="M3774">
        <v>0.96707390000000004</v>
      </c>
      <c r="N3774">
        <v>-1.301166E-2</v>
      </c>
      <c r="O3774">
        <v>-0.25416280000000002</v>
      </c>
      <c r="P3774">
        <v>0.9868924</v>
      </c>
      <c r="Q3774">
        <v>-0.11901299999999999</v>
      </c>
      <c r="R3774">
        <v>-0.108992699999999</v>
      </c>
      <c r="S3774">
        <v>3.0046080000000002</v>
      </c>
      <c r="T3774">
        <v>-0.38075140000000002</v>
      </c>
      <c r="U3774">
        <v>6.5582280000000007E-2</v>
      </c>
      <c r="V3774">
        <v>-0.14384620000000001</v>
      </c>
      <c r="W3774">
        <v>-0.10837049999999999</v>
      </c>
      <c r="X3774">
        <v>0.98364839999999998</v>
      </c>
      <c r="Y3774">
        <v>-0.27123269999999999</v>
      </c>
      <c r="Z3774">
        <v>4.7396929999999997E-2</v>
      </c>
      <c r="AA3774">
        <v>0.96134609999999998</v>
      </c>
      <c r="AB3774">
        <v>18</v>
      </c>
      <c r="AC3774">
        <v>8.7311999999999994</v>
      </c>
      <c r="AD3774">
        <v>-1.1268897146829999</v>
      </c>
      <c r="AE3774">
        <v>0.22339999999999799</v>
      </c>
      <c r="AF3774">
        <v>-2.3955190423207702</v>
      </c>
      <c r="AG3774">
        <v>-1.1268897146829999</v>
      </c>
      <c r="AH3774">
        <v>8.2503047272382801</v>
      </c>
      <c r="AI3774">
        <v>97.472840308398105</v>
      </c>
      <c r="AJ3774">
        <v>106.190930955307</v>
      </c>
      <c r="AK3774">
        <v>8.6646361725966408</v>
      </c>
      <c r="AL3774">
        <v>96.221390330875195</v>
      </c>
      <c r="AM3774">
        <v>98.319813743524605</v>
      </c>
      <c r="AN3774">
        <v>1.00000003467362</v>
      </c>
    </row>
    <row r="3775" spans="1:40" x14ac:dyDescent="0.25">
      <c r="A3775" t="str">
        <f>"20190303154210317"</f>
        <v>20190303154210317</v>
      </c>
      <c r="B3775" t="str">
        <f>"1551598930313556"</f>
        <v>1551598930313556</v>
      </c>
      <c r="C3775" t="s">
        <v>40</v>
      </c>
      <c r="D3775">
        <v>5.8403989999999997</v>
      </c>
      <c r="E3775">
        <v>0.45045160000000001</v>
      </c>
      <c r="F3775" t="s">
        <v>46</v>
      </c>
      <c r="G3775">
        <v>-471.52929999999998</v>
      </c>
      <c r="H3775" s="1">
        <v>5.3758630000000001E-6</v>
      </c>
      <c r="I3775">
        <v>216.80330000000001</v>
      </c>
      <c r="J3775">
        <v>-480.2946</v>
      </c>
      <c r="K3775">
        <v>1.126768</v>
      </c>
      <c r="L3775">
        <v>216.54599999999999</v>
      </c>
      <c r="M3775">
        <v>0.97028930000000002</v>
      </c>
      <c r="N3775">
        <v>-1.298293E-2</v>
      </c>
      <c r="O3775">
        <v>-0.24159939999999999</v>
      </c>
      <c r="P3775">
        <v>0.98824909999999999</v>
      </c>
      <c r="Q3775">
        <v>-0.11686340000000001</v>
      </c>
      <c r="R3775">
        <v>-9.8523230000000003E-2</v>
      </c>
      <c r="S3775">
        <v>3.0026549999999999</v>
      </c>
      <c r="T3775">
        <v>-0.37870350000000003</v>
      </c>
      <c r="U3775">
        <v>7.6889040000000006E-2</v>
      </c>
      <c r="V3775">
        <v>-0.14164760000000001</v>
      </c>
      <c r="W3775">
        <v>-0.1061658</v>
      </c>
      <c r="X3775">
        <v>0.98420770000000002</v>
      </c>
      <c r="Y3775">
        <v>-0.262573</v>
      </c>
      <c r="Z3775">
        <v>4.5196569999999998E-2</v>
      </c>
      <c r="AA3775">
        <v>0.96385310000000002</v>
      </c>
      <c r="AB3775">
        <v>18</v>
      </c>
      <c r="AC3775">
        <v>8.7653000000000194</v>
      </c>
      <c r="AD3775">
        <v>-1.1267626241369999</v>
      </c>
      <c r="AE3775">
        <v>0.25730000000001402</v>
      </c>
      <c r="AF3775">
        <v>-2.3290918130004701</v>
      </c>
      <c r="AG3775">
        <v>-1.1267626241369999</v>
      </c>
      <c r="AH3775">
        <v>8.3062842975834794</v>
      </c>
      <c r="AI3775">
        <v>97.441516351455306</v>
      </c>
      <c r="AJ3775">
        <v>105.66355839937199</v>
      </c>
      <c r="AK3775">
        <v>8.6999207764680193</v>
      </c>
      <c r="AL3775">
        <v>96.094337384945703</v>
      </c>
      <c r="AM3775">
        <v>98.189797137534498</v>
      </c>
      <c r="AN3775">
        <v>1.0000000082073399</v>
      </c>
    </row>
    <row r="3776" spans="1:40" x14ac:dyDescent="0.25">
      <c r="A3776" t="str">
        <f>"20190303154210336"</f>
        <v>20190303154210336</v>
      </c>
      <c r="B3776" t="str">
        <f>"1551598930333076"</f>
        <v>1551598930333076</v>
      </c>
      <c r="C3776" t="s">
        <v>40</v>
      </c>
      <c r="D3776">
        <v>5.914428</v>
      </c>
      <c r="E3776">
        <v>0.45161489999999999</v>
      </c>
      <c r="F3776" t="s">
        <v>46</v>
      </c>
      <c r="G3776">
        <v>-471.35649999999998</v>
      </c>
      <c r="H3776" s="1">
        <v>5.4539910000000002E-6</v>
      </c>
      <c r="I3776">
        <v>216.8374</v>
      </c>
      <c r="J3776">
        <v>-480.14240000000001</v>
      </c>
      <c r="K3776">
        <v>1.1266419999999999</v>
      </c>
      <c r="L3776">
        <v>216.52209999999999</v>
      </c>
      <c r="M3776">
        <v>0.97298079999999998</v>
      </c>
      <c r="N3776">
        <v>-1.2969339999999999E-2</v>
      </c>
      <c r="O3776">
        <v>-0.23052159999999999</v>
      </c>
      <c r="P3776">
        <v>0.98955289999999996</v>
      </c>
      <c r="Q3776">
        <v>-0.1137605</v>
      </c>
      <c r="R3776">
        <v>-8.8563119999999995E-2</v>
      </c>
      <c r="S3776">
        <v>3.0007320000000002</v>
      </c>
      <c r="T3776">
        <v>-0.37827870000000002</v>
      </c>
      <c r="U3776">
        <v>9.7824099999999997E-2</v>
      </c>
      <c r="V3776">
        <v>-0.1405052</v>
      </c>
      <c r="W3776">
        <v>-0.103005</v>
      </c>
      <c r="X3776">
        <v>0.9847072</v>
      </c>
      <c r="Y3776">
        <v>-0.2584224</v>
      </c>
      <c r="Z3776">
        <v>4.3674379999999999E-2</v>
      </c>
      <c r="AA3776">
        <v>0.96504429999999997</v>
      </c>
      <c r="AB3776">
        <v>18</v>
      </c>
      <c r="AC3776">
        <v>8.7859000000000194</v>
      </c>
      <c r="AD3776">
        <v>-1.126636546009</v>
      </c>
      <c r="AE3776">
        <v>0.31530000000000702</v>
      </c>
      <c r="AF3776">
        <v>-2.29463332576554</v>
      </c>
      <c r="AG3776">
        <v>-1.126636546009</v>
      </c>
      <c r="AH3776">
        <v>8.3395853932394299</v>
      </c>
      <c r="AI3776">
        <v>97.421244067483698</v>
      </c>
      <c r="AJ3776">
        <v>105.384218095123</v>
      </c>
      <c r="AK3776">
        <v>8.7225762557658104</v>
      </c>
      <c r="AL3776">
        <v>95.912238175276997</v>
      </c>
      <c r="AM3776">
        <v>98.120564809334496</v>
      </c>
      <c r="AN3776">
        <v>1.00000000549194</v>
      </c>
    </row>
    <row r="3777" spans="1:40" x14ac:dyDescent="0.25">
      <c r="A3777" t="str">
        <f>"20190303154210359"</f>
        <v>20190303154210359</v>
      </c>
      <c r="B3777" t="str">
        <f>"1551598930353572"</f>
        <v>1551598930353572</v>
      </c>
      <c r="C3777" t="s">
        <v>40</v>
      </c>
      <c r="D3777">
        <v>5.8621239999999997</v>
      </c>
      <c r="E3777">
        <v>0.46435749999999998</v>
      </c>
      <c r="F3777" t="s">
        <v>46</v>
      </c>
      <c r="G3777">
        <v>-471.0582</v>
      </c>
      <c r="H3777" s="1">
        <v>5.5881559999999998E-6</v>
      </c>
      <c r="I3777">
        <v>216.881</v>
      </c>
      <c r="J3777">
        <v>-479.97269999999997</v>
      </c>
      <c r="K3777">
        <v>1.126495</v>
      </c>
      <c r="L3777">
        <v>216.4973</v>
      </c>
      <c r="M3777">
        <v>0.97577910000000001</v>
      </c>
      <c r="N3777">
        <v>-1.2980210000000001E-2</v>
      </c>
      <c r="O3777">
        <v>-0.2183735</v>
      </c>
      <c r="P3777">
        <v>0.99040320000000004</v>
      </c>
      <c r="Q3777">
        <v>-0.11353530000000001</v>
      </c>
      <c r="R3777">
        <v>-7.8813220000000003E-2</v>
      </c>
      <c r="S3777">
        <v>2.9995120000000002</v>
      </c>
      <c r="T3777">
        <v>-0.37200549999999999</v>
      </c>
      <c r="U3777">
        <v>0.118515</v>
      </c>
      <c r="V3777">
        <v>-0.13797909999999999</v>
      </c>
      <c r="W3777">
        <v>-0.1026746</v>
      </c>
      <c r="X3777">
        <v>0.98509880000000005</v>
      </c>
      <c r="Y3777">
        <v>-0.25328339999999999</v>
      </c>
      <c r="Z3777">
        <v>4.1286749999999997E-2</v>
      </c>
      <c r="AA3777">
        <v>0.96651069999999994</v>
      </c>
      <c r="AB3777">
        <v>18</v>
      </c>
      <c r="AC3777">
        <v>8.9144999999999701</v>
      </c>
      <c r="AD3777">
        <v>-1.1264894118440001</v>
      </c>
      <c r="AE3777">
        <v>0.383699999999976</v>
      </c>
      <c r="AF3777">
        <v>-2.2848739766944202</v>
      </c>
      <c r="AG3777">
        <v>-1.1264894118440001</v>
      </c>
      <c r="AH3777">
        <v>8.4803504550892992</v>
      </c>
      <c r="AI3777">
        <v>97.308927943557507</v>
      </c>
      <c r="AJ3777">
        <v>105.079214062022</v>
      </c>
      <c r="AK3777">
        <v>8.8547146382876392</v>
      </c>
      <c r="AL3777">
        <v>95.893206920330201</v>
      </c>
      <c r="AM3777">
        <v>97.973333534336106</v>
      </c>
      <c r="AN3777">
        <v>0.99999997564170395</v>
      </c>
    </row>
    <row r="3778" spans="1:40" x14ac:dyDescent="0.25">
      <c r="A3778" t="str">
        <f>"20190303154210381"</f>
        <v>20190303154210381</v>
      </c>
      <c r="B3778" t="str">
        <f>"1551598930373599"</f>
        <v>1551598930373599</v>
      </c>
      <c r="C3778" t="s">
        <v>40</v>
      </c>
      <c r="D3778">
        <v>5.8473579999999998</v>
      </c>
      <c r="E3778">
        <v>0.46564480000000003</v>
      </c>
      <c r="F3778" t="s">
        <v>50</v>
      </c>
      <c r="G3778">
        <v>-469.541</v>
      </c>
      <c r="H3778" s="1">
        <v>3.4510640000000002E-6</v>
      </c>
      <c r="I3778">
        <v>216.66120000000001</v>
      </c>
      <c r="J3778">
        <v>-479.80520000000001</v>
      </c>
      <c r="K3778">
        <v>1.1263559999999999</v>
      </c>
      <c r="L3778">
        <v>216.47450000000001</v>
      </c>
      <c r="M3778">
        <v>0.97833040000000004</v>
      </c>
      <c r="N3778">
        <v>-1.3041850000000001E-2</v>
      </c>
      <c r="O3778">
        <v>-0.20663899999999999</v>
      </c>
      <c r="P3778">
        <v>0.99080380000000001</v>
      </c>
      <c r="Q3778">
        <v>-0.11514729999999999</v>
      </c>
      <c r="R3778">
        <v>-7.105786E-2</v>
      </c>
      <c r="S3778">
        <v>2.9957280000000002</v>
      </c>
      <c r="T3778">
        <v>-0.32350129999999999</v>
      </c>
      <c r="U3778">
        <v>4.7073360000000002E-2</v>
      </c>
      <c r="V3778">
        <v>-0.1338463</v>
      </c>
      <c r="W3778">
        <v>-0.1041096</v>
      </c>
      <c r="X3778">
        <v>0.98551829999999996</v>
      </c>
      <c r="Y3778">
        <v>-0.21965609999999999</v>
      </c>
      <c r="Z3778">
        <v>3.2696179999999998E-2</v>
      </c>
      <c r="AA3778">
        <v>0.97502929999999999</v>
      </c>
      <c r="AB3778">
        <v>18</v>
      </c>
      <c r="AC3778">
        <v>10.264200000000001</v>
      </c>
      <c r="AD3778">
        <v>-1.126352548936</v>
      </c>
      <c r="AE3778">
        <v>0.186700000000001</v>
      </c>
      <c r="AF3778">
        <v>-2.27643038941696</v>
      </c>
      <c r="AG3778">
        <v>-1.126352548936</v>
      </c>
      <c r="AH3778">
        <v>9.8850531309311602</v>
      </c>
      <c r="AI3778">
        <v>96.336091500578704</v>
      </c>
      <c r="AJ3778">
        <v>102.96855275431901</v>
      </c>
      <c r="AK3778">
        <v>10.206129569219</v>
      </c>
      <c r="AL3778">
        <v>95.975869360743999</v>
      </c>
      <c r="AM3778">
        <v>97.734196432856294</v>
      </c>
      <c r="AN3778">
        <v>0.99999998023536896</v>
      </c>
    </row>
    <row r="3779" spans="1:40" x14ac:dyDescent="0.25">
      <c r="A3779" t="str">
        <f>"20190303154210402"</f>
        <v>20190303154210402</v>
      </c>
      <c r="B3779" t="str">
        <f>"1551598930393119"</f>
        <v>1551598930393119</v>
      </c>
      <c r="C3779" t="s">
        <v>40</v>
      </c>
      <c r="D3779">
        <v>5.8735520000000001</v>
      </c>
      <c r="E3779">
        <v>0.46745959999999998</v>
      </c>
      <c r="F3779" t="s">
        <v>50</v>
      </c>
      <c r="G3779">
        <v>-469.65199999999999</v>
      </c>
      <c r="H3779" s="1">
        <v>3.5093559999999999E-6</v>
      </c>
      <c r="I3779">
        <v>216.6789</v>
      </c>
      <c r="J3779">
        <v>-479.64600000000002</v>
      </c>
      <c r="K3779">
        <v>1.1262190000000001</v>
      </c>
      <c r="L3779">
        <v>216.4545</v>
      </c>
      <c r="M3779">
        <v>0.9805644</v>
      </c>
      <c r="N3779">
        <v>-1.3157230000000001E-2</v>
      </c>
      <c r="O3779">
        <v>-0.19575619999999999</v>
      </c>
      <c r="P3779">
        <v>0.99117909999999998</v>
      </c>
      <c r="Q3779">
        <v>-0.11566709999999999</v>
      </c>
      <c r="R3779">
        <v>-6.4694689999999999E-2</v>
      </c>
      <c r="S3779">
        <v>2.9935610000000001</v>
      </c>
      <c r="T3779">
        <v>-0.33209070000000002</v>
      </c>
      <c r="U3779">
        <v>6.0241699999999898E-2</v>
      </c>
      <c r="V3779">
        <v>-0.12925729999999999</v>
      </c>
      <c r="W3779">
        <v>-0.104390899999999</v>
      </c>
      <c r="X3779">
        <v>0.98610100000000001</v>
      </c>
      <c r="Y3779">
        <v>-0.21307970000000001</v>
      </c>
      <c r="Z3779">
        <v>3.2160830000000001E-2</v>
      </c>
      <c r="AA3779">
        <v>0.97650530000000002</v>
      </c>
      <c r="AB3779">
        <v>18</v>
      </c>
      <c r="AC3779">
        <v>9.9939999999999696</v>
      </c>
      <c r="AD3779">
        <v>-1.1262154906440001</v>
      </c>
      <c r="AE3779">
        <v>0.22440000000000199</v>
      </c>
      <c r="AF3779">
        <v>-2.1493340527368399</v>
      </c>
      <c r="AG3779">
        <v>-1.1262154906440001</v>
      </c>
      <c r="AH3779">
        <v>9.6343927213198306</v>
      </c>
      <c r="AI3779">
        <v>96.508772505227</v>
      </c>
      <c r="AJ3779">
        <v>102.57616439304699</v>
      </c>
      <c r="AK3779">
        <v>9.9352665444990098</v>
      </c>
      <c r="AL3779">
        <v>95.992074571737007</v>
      </c>
      <c r="AM3779">
        <v>97.467707976855493</v>
      </c>
      <c r="AN3779">
        <v>1.0000000459035401</v>
      </c>
    </row>
    <row r="3780" spans="1:40" x14ac:dyDescent="0.25">
      <c r="A3780" t="str">
        <f>"20190303154210426"</f>
        <v>20190303154210426</v>
      </c>
      <c r="B3780" t="str">
        <f>"1551598930413618"</f>
        <v>1551598930413618</v>
      </c>
      <c r="C3780" t="s">
        <v>40</v>
      </c>
      <c r="D3780">
        <v>5.9352010000000002</v>
      </c>
      <c r="E3780">
        <v>0.46816970000000002</v>
      </c>
      <c r="F3780" t="s">
        <v>50</v>
      </c>
      <c r="G3780">
        <v>-469.69240000000002</v>
      </c>
      <c r="H3780" s="1">
        <v>3.5312420000000001E-6</v>
      </c>
      <c r="I3780">
        <v>216.67089999999999</v>
      </c>
      <c r="J3780">
        <v>-479.46929999999998</v>
      </c>
      <c r="K3780">
        <v>1.126044</v>
      </c>
      <c r="L3780">
        <v>216.434</v>
      </c>
      <c r="M3780">
        <v>0.98282360000000002</v>
      </c>
      <c r="N3780">
        <v>-1.3321690000000001E-2</v>
      </c>
      <c r="O3780">
        <v>-0.18406629999999999</v>
      </c>
      <c r="P3780">
        <v>0.99185160000000006</v>
      </c>
      <c r="Q3780">
        <v>-0.1139652</v>
      </c>
      <c r="R3780">
        <v>-5.6942619999999999E-2</v>
      </c>
      <c r="S3780">
        <v>2.991425</v>
      </c>
      <c r="T3780">
        <v>-0.33847129999999997</v>
      </c>
      <c r="U3780">
        <v>6.5032960000000001E-2</v>
      </c>
      <c r="V3780">
        <v>-0.12534819999999999</v>
      </c>
      <c r="W3780">
        <v>-0.1023968</v>
      </c>
      <c r="X3780">
        <v>0.98681439999999998</v>
      </c>
      <c r="Y3780">
        <v>-0.20304920000000001</v>
      </c>
      <c r="Z3780">
        <v>3.1031050000000001E-2</v>
      </c>
      <c r="AA3780">
        <v>0.97867669999999996</v>
      </c>
      <c r="AB3780">
        <v>18</v>
      </c>
      <c r="AC3780">
        <v>9.7768999999999497</v>
      </c>
      <c r="AD3780">
        <v>-1.1260404687579999</v>
      </c>
      <c r="AE3780">
        <v>0.236899999999963</v>
      </c>
      <c r="AF3780">
        <v>-2.00601491204015</v>
      </c>
      <c r="AG3780">
        <v>-1.1260404687579999</v>
      </c>
      <c r="AH3780">
        <v>9.4410495826974401</v>
      </c>
      <c r="AI3780">
        <v>96.654398719334907</v>
      </c>
      <c r="AJ3780">
        <v>101.995690810209</v>
      </c>
      <c r="AK3780">
        <v>9.7172774061235803</v>
      </c>
      <c r="AL3780">
        <v>95.877205860960402</v>
      </c>
      <c r="AM3780">
        <v>97.239118185605804</v>
      </c>
      <c r="AN3780">
        <v>0.99999996797041901</v>
      </c>
    </row>
    <row r="3781" spans="1:40" x14ac:dyDescent="0.25">
      <c r="A3781" t="str">
        <f>"20190303154210449"</f>
        <v>20190303154210449</v>
      </c>
      <c r="B3781" t="str">
        <f>"1551598930443871"</f>
        <v>1551598930443871</v>
      </c>
      <c r="C3781" t="s">
        <v>40</v>
      </c>
      <c r="D3781">
        <v>5.912369</v>
      </c>
      <c r="E3781">
        <v>0.4697307</v>
      </c>
      <c r="F3781" t="s">
        <v>50</v>
      </c>
      <c r="G3781">
        <v>-469.64299999999997</v>
      </c>
      <c r="H3781" s="1">
        <v>3.5034230000000002E-6</v>
      </c>
      <c r="I3781">
        <v>216.70519999999999</v>
      </c>
      <c r="J3781">
        <v>-479.28879999999998</v>
      </c>
      <c r="K3781">
        <v>1.125829</v>
      </c>
      <c r="L3781">
        <v>216.41470000000001</v>
      </c>
      <c r="M3781">
        <v>0.98490639999999996</v>
      </c>
      <c r="N3781">
        <v>-1.3484899999999999E-2</v>
      </c>
      <c r="O3781">
        <v>-0.172562299999999</v>
      </c>
      <c r="P3781">
        <v>0.99245919999999999</v>
      </c>
      <c r="Q3781">
        <v>-0.1120999</v>
      </c>
      <c r="R3781">
        <v>-4.9583000000000002E-2</v>
      </c>
      <c r="S3781">
        <v>2.9899900000000001</v>
      </c>
      <c r="T3781">
        <v>-0.34263539999999998</v>
      </c>
      <c r="U3781">
        <v>8.2519529999999994E-2</v>
      </c>
      <c r="V3781">
        <v>-0.1212623</v>
      </c>
      <c r="W3781">
        <v>-0.1002311</v>
      </c>
      <c r="X3781">
        <v>0.98754699999999995</v>
      </c>
      <c r="Y3781">
        <v>-0.1973712</v>
      </c>
      <c r="Z3781">
        <v>2.992175E-2</v>
      </c>
      <c r="AA3781">
        <v>0.97987210000000002</v>
      </c>
      <c r="AB3781">
        <v>17</v>
      </c>
      <c r="AC3781">
        <v>9.6457999999999497</v>
      </c>
      <c r="AD3781">
        <v>-1.125825496577</v>
      </c>
      <c r="AE3781">
        <v>0.29049999999998</v>
      </c>
      <c r="AF3781">
        <v>-1.9245992893036801</v>
      </c>
      <c r="AG3781">
        <v>-1.125825496577</v>
      </c>
      <c r="AH3781">
        <v>9.3240350113189301</v>
      </c>
      <c r="AI3781">
        <v>96.743999288953404</v>
      </c>
      <c r="AJ3781">
        <v>101.662782232989</v>
      </c>
      <c r="AK3781">
        <v>9.5869283070977591</v>
      </c>
      <c r="AL3781">
        <v>95.752478693434597</v>
      </c>
      <c r="AM3781">
        <v>97.000387248922607</v>
      </c>
      <c r="AN3781">
        <v>0.99999994800874803</v>
      </c>
    </row>
    <row r="3782" spans="1:40" x14ac:dyDescent="0.25">
      <c r="A3782" t="str">
        <f>"20190303154210472"</f>
        <v>20190303154210472</v>
      </c>
      <c r="B3782" t="str">
        <f>"1551598930463896"</f>
        <v>1551598930463896</v>
      </c>
      <c r="C3782" t="s">
        <v>40</v>
      </c>
      <c r="D3782">
        <v>5.9584659999999996</v>
      </c>
      <c r="E3782">
        <v>0.47976370000000002</v>
      </c>
      <c r="F3782" t="s">
        <v>50</v>
      </c>
      <c r="G3782">
        <v>-469.10809999999998</v>
      </c>
      <c r="H3782" s="1">
        <v>3.217758E-6</v>
      </c>
      <c r="I3782">
        <v>216.72900000000001</v>
      </c>
      <c r="J3782">
        <v>-479.12110000000001</v>
      </c>
      <c r="K3782">
        <v>1.125578</v>
      </c>
      <c r="L3782">
        <v>216.3981</v>
      </c>
      <c r="M3782">
        <v>0.98664209999999997</v>
      </c>
      <c r="N3782">
        <v>-1.3609680000000001E-2</v>
      </c>
      <c r="O3782">
        <v>-0.16233330000000001</v>
      </c>
      <c r="P3782">
        <v>0.99288220000000005</v>
      </c>
      <c r="Q3782">
        <v>-0.11080660000000001</v>
      </c>
      <c r="R3782">
        <v>-4.3671189999999999E-2</v>
      </c>
      <c r="S3782">
        <v>2.990021</v>
      </c>
      <c r="T3782">
        <v>-0.33064969999999999</v>
      </c>
      <c r="U3782">
        <v>9.2315670000000002E-2</v>
      </c>
      <c r="V3782">
        <v>-0.1170089</v>
      </c>
      <c r="W3782">
        <v>-9.8675899999999997E-2</v>
      </c>
      <c r="X3782">
        <v>0.9882166</v>
      </c>
      <c r="Y3782">
        <v>-0.1906612</v>
      </c>
      <c r="Z3782">
        <v>2.744481E-2</v>
      </c>
      <c r="AA3782">
        <v>0.98127220000000004</v>
      </c>
      <c r="AB3782">
        <v>17</v>
      </c>
      <c r="AC3782">
        <v>10.013</v>
      </c>
      <c r="AD3782">
        <v>-1.1255747822419999</v>
      </c>
      <c r="AE3782">
        <v>0.33090000000001402</v>
      </c>
      <c r="AF3782">
        <v>-1.9277707076863799</v>
      </c>
      <c r="AG3782">
        <v>-1.1255747822419999</v>
      </c>
      <c r="AH3782">
        <v>9.7039531629560791</v>
      </c>
      <c r="AI3782">
        <v>96.490528232553302</v>
      </c>
      <c r="AJ3782">
        <v>101.235995629531</v>
      </c>
      <c r="AK3782">
        <v>9.9574055597167508</v>
      </c>
      <c r="AL3782">
        <v>95.6629278327718</v>
      </c>
      <c r="AM3782">
        <v>96.7526163164964</v>
      </c>
      <c r="AN3782">
        <v>1.00000003221778</v>
      </c>
    </row>
    <row r="3783" spans="1:40" x14ac:dyDescent="0.25">
      <c r="A3783" t="str">
        <f>"20190303154210493"</f>
        <v>20190303154210493</v>
      </c>
      <c r="B3783" t="str">
        <f>"1551598930483417"</f>
        <v>1551598930483417</v>
      </c>
      <c r="C3783" t="s">
        <v>40</v>
      </c>
      <c r="D3783">
        <v>5.8657599999999999</v>
      </c>
      <c r="E3783">
        <v>0.4809869</v>
      </c>
      <c r="F3783" t="s">
        <v>50</v>
      </c>
      <c r="G3783">
        <v>-468.26209999999998</v>
      </c>
      <c r="H3783" s="1">
        <v>2.7771430000000002E-6</v>
      </c>
      <c r="I3783">
        <v>216.5087</v>
      </c>
      <c r="J3783">
        <v>-478.96039999999999</v>
      </c>
      <c r="K3783">
        <v>1.125292</v>
      </c>
      <c r="L3783">
        <v>216.38329999999999</v>
      </c>
      <c r="M3783">
        <v>0.98813050000000002</v>
      </c>
      <c r="N3783">
        <v>-1.3703419999999999E-2</v>
      </c>
      <c r="O3783">
        <v>-0.153005</v>
      </c>
      <c r="P3783">
        <v>0.99306970000000006</v>
      </c>
      <c r="Q3783">
        <v>-0.1104927</v>
      </c>
      <c r="R3783">
        <v>-4.005094E-2</v>
      </c>
      <c r="S3783">
        <v>2.988251</v>
      </c>
      <c r="T3783">
        <v>-0.30974170000000001</v>
      </c>
      <c r="U3783">
        <v>3.042603E-2</v>
      </c>
      <c r="V3783">
        <v>-0.1113647</v>
      </c>
      <c r="W3783">
        <v>-9.811454E-2</v>
      </c>
      <c r="X3783">
        <v>0.98892440000000004</v>
      </c>
      <c r="Y3783">
        <v>-0.1614806</v>
      </c>
      <c r="Z3783">
        <v>2.313138E-2</v>
      </c>
      <c r="AA3783">
        <v>0.98660479999999995</v>
      </c>
      <c r="AB3783">
        <v>17</v>
      </c>
      <c r="AC3783">
        <v>10.6983</v>
      </c>
      <c r="AD3783">
        <v>-1.1252892228569999</v>
      </c>
      <c r="AE3783">
        <v>0.125400000000013</v>
      </c>
      <c r="AF3783">
        <v>-1.7417031672213701</v>
      </c>
      <c r="AG3783">
        <v>-1.1252892228569999</v>
      </c>
      <c r="AH3783">
        <v>10.4376567414295</v>
      </c>
      <c r="AI3783">
        <v>96.070031811836998</v>
      </c>
      <c r="AJ3783">
        <v>99.473504294837497</v>
      </c>
      <c r="AK3783">
        <v>10.641639159908401</v>
      </c>
      <c r="AL3783">
        <v>95.630607539290693</v>
      </c>
      <c r="AM3783">
        <v>96.425120457030204</v>
      </c>
      <c r="AN3783">
        <v>1.0000000141404299</v>
      </c>
    </row>
    <row r="3784" spans="1:40" x14ac:dyDescent="0.25">
      <c r="A3784" t="str">
        <f>"20190303154210515"</f>
        <v>20190303154210515</v>
      </c>
      <c r="B3784" t="str">
        <f>"1551598930503912"</f>
        <v>1551598930503912</v>
      </c>
      <c r="C3784" t="s">
        <v>40</v>
      </c>
      <c r="D3784">
        <v>5.961462</v>
      </c>
      <c r="E3784">
        <v>0.48184539999999998</v>
      </c>
      <c r="F3784" t="s">
        <v>50</v>
      </c>
      <c r="G3784">
        <v>-467.99250000000001</v>
      </c>
      <c r="H3784" s="1">
        <v>2.6341010000000001E-6</v>
      </c>
      <c r="I3784">
        <v>216.49930000000001</v>
      </c>
      <c r="J3784">
        <v>-478.79180000000002</v>
      </c>
      <c r="K3784">
        <v>1.1249499999999999</v>
      </c>
      <c r="L3784">
        <v>216.36879999999999</v>
      </c>
      <c r="M3784">
        <v>0.98951579999999995</v>
      </c>
      <c r="N3784">
        <v>-1.377973E-2</v>
      </c>
      <c r="O3784">
        <v>-0.1437657</v>
      </c>
      <c r="P3784">
        <v>0.99325870000000005</v>
      </c>
      <c r="Q3784">
        <v>-0.1101896</v>
      </c>
      <c r="R3784">
        <v>-3.5998240000000001E-2</v>
      </c>
      <c r="S3784">
        <v>2.9880680000000002</v>
      </c>
      <c r="T3784">
        <v>-0.30657060000000003</v>
      </c>
      <c r="U3784">
        <v>3.158569E-2</v>
      </c>
      <c r="V3784">
        <v>-0.1062596</v>
      </c>
      <c r="W3784">
        <v>-9.7582210000000003E-2</v>
      </c>
      <c r="X3784">
        <v>0.98953860000000005</v>
      </c>
      <c r="Y3784">
        <v>-0.1527599</v>
      </c>
      <c r="Z3784">
        <v>2.156541E-2</v>
      </c>
      <c r="AA3784">
        <v>0.98802800000000002</v>
      </c>
      <c r="AB3784">
        <v>17</v>
      </c>
      <c r="AC3784">
        <v>10.799300000000001</v>
      </c>
      <c r="AD3784">
        <v>-1.1249473658989999</v>
      </c>
      <c r="AE3784">
        <v>0.130500000000012</v>
      </c>
      <c r="AF3784">
        <v>-1.6638089429049601</v>
      </c>
      <c r="AG3784">
        <v>-1.1249473658989999</v>
      </c>
      <c r="AH3784">
        <v>10.5538258396211</v>
      </c>
      <c r="AI3784">
        <v>96.010585646958404</v>
      </c>
      <c r="AJ3784">
        <v>98.958935787185595</v>
      </c>
      <c r="AK3784">
        <v>10.7432307350995</v>
      </c>
      <c r="AL3784">
        <v>95.599960202581897</v>
      </c>
      <c r="AM3784">
        <v>96.129104890896997</v>
      </c>
      <c r="AN3784">
        <v>1.0000000155952999</v>
      </c>
    </row>
    <row r="3785" spans="1:40" x14ac:dyDescent="0.25">
      <c r="A3785" t="str">
        <f>"20190303154210538"</f>
        <v>20190303154210538</v>
      </c>
      <c r="B3785" t="str">
        <f>"1551598930533193"</f>
        <v>1551598930533193</v>
      </c>
      <c r="C3785" t="s">
        <v>40</v>
      </c>
      <c r="D3785">
        <v>5.9037810000000004</v>
      </c>
      <c r="E3785">
        <v>0.4847996</v>
      </c>
      <c r="F3785" t="s">
        <v>50</v>
      </c>
      <c r="G3785">
        <v>-468.13420000000002</v>
      </c>
      <c r="H3785" s="1">
        <v>2.709496E-6</v>
      </c>
      <c r="I3785">
        <v>216.49979999999999</v>
      </c>
      <c r="J3785">
        <v>-478.62459999999999</v>
      </c>
      <c r="K3785">
        <v>1.124582</v>
      </c>
      <c r="L3785">
        <v>216.3552</v>
      </c>
      <c r="M3785">
        <v>0.99071670000000001</v>
      </c>
      <c r="N3785">
        <v>-1.3834569999999999E-2</v>
      </c>
      <c r="O3785">
        <v>-0.13523750000000001</v>
      </c>
      <c r="P3785">
        <v>0.99372090000000002</v>
      </c>
      <c r="Q3785">
        <v>-0.10699359999999999</v>
      </c>
      <c r="R3785">
        <v>-3.2732480000000001E-2</v>
      </c>
      <c r="S3785">
        <v>2.9867249999999999</v>
      </c>
      <c r="T3785">
        <v>-0.31525900000000001</v>
      </c>
      <c r="U3785">
        <v>3.6712649999999999E-2</v>
      </c>
      <c r="V3785">
        <v>-0.1011615</v>
      </c>
      <c r="W3785">
        <v>-9.4176590000000004E-2</v>
      </c>
      <c r="X3785">
        <v>0.99040249999999996</v>
      </c>
      <c r="Y3785">
        <v>-0.14593699999999901</v>
      </c>
      <c r="Z3785">
        <v>2.1027509999999999E-2</v>
      </c>
      <c r="AA3785">
        <v>0.98907040000000002</v>
      </c>
      <c r="AB3785">
        <v>17</v>
      </c>
      <c r="AC3785">
        <v>10.4903999999999</v>
      </c>
      <c r="AD3785">
        <v>-1.124579290504</v>
      </c>
      <c r="AE3785">
        <v>0.14459999999999601</v>
      </c>
      <c r="AF3785">
        <v>-1.54435806949767</v>
      </c>
      <c r="AG3785">
        <v>-1.124579290504</v>
      </c>
      <c r="AH3785">
        <v>10.2566045435217</v>
      </c>
      <c r="AI3785">
        <v>96.187963928833597</v>
      </c>
      <c r="AJ3785">
        <v>98.562818265804196</v>
      </c>
      <c r="AK3785">
        <v>10.433008060461001</v>
      </c>
      <c r="AL3785">
        <v>95.403929441132902</v>
      </c>
      <c r="AM3785">
        <v>95.832068624423997</v>
      </c>
      <c r="AN3785">
        <v>0.99999999559626396</v>
      </c>
    </row>
    <row r="3786" spans="1:40" x14ac:dyDescent="0.25">
      <c r="A3786" t="str">
        <f>"20190303154210560"</f>
        <v>20190303154210560</v>
      </c>
      <c r="B3786" t="str">
        <f>"1551598930553689"</f>
        <v>1551598930553689</v>
      </c>
      <c r="C3786" t="s">
        <v>40</v>
      </c>
      <c r="D3786">
        <v>5.9882960000000001</v>
      </c>
      <c r="E3786">
        <v>0.48552519999999999</v>
      </c>
      <c r="F3786" t="s">
        <v>50</v>
      </c>
      <c r="G3786">
        <v>-467.61779999999999</v>
      </c>
      <c r="H3786" s="1">
        <v>2.437334E-6</v>
      </c>
      <c r="I3786">
        <v>216.43979999999999</v>
      </c>
      <c r="J3786">
        <v>-478.45729999999998</v>
      </c>
      <c r="K3786">
        <v>1.124214</v>
      </c>
      <c r="L3786">
        <v>216.34229999999999</v>
      </c>
      <c r="M3786">
        <v>0.99176410000000004</v>
      </c>
      <c r="N3786">
        <v>-1.3871619999999999E-2</v>
      </c>
      <c r="O3786">
        <v>-0.12732470000000001</v>
      </c>
      <c r="P3786">
        <v>0.99435879999999999</v>
      </c>
      <c r="Q3786">
        <v>-0.1019516</v>
      </c>
      <c r="R3786">
        <v>-2.9265320000000001E-2</v>
      </c>
      <c r="S3786">
        <v>2.986847</v>
      </c>
      <c r="T3786">
        <v>-0.30517179999999999</v>
      </c>
      <c r="U3786">
        <v>2.2949219999999999E-2</v>
      </c>
      <c r="V3786">
        <v>-9.6910659999999996E-2</v>
      </c>
      <c r="W3786">
        <v>-8.8956789999999994E-2</v>
      </c>
      <c r="X3786">
        <v>0.99130980000000002</v>
      </c>
      <c r="Y3786">
        <v>-0.13367079999999901</v>
      </c>
      <c r="Z3786">
        <v>1.892514E-2</v>
      </c>
      <c r="AA3786">
        <v>0.99084510000000003</v>
      </c>
      <c r="AB3786">
        <v>17</v>
      </c>
      <c r="AC3786">
        <v>10.8394999999999</v>
      </c>
      <c r="AD3786">
        <v>-1.1242115626660001</v>
      </c>
      <c r="AE3786">
        <v>9.7499999999996603E-2</v>
      </c>
      <c r="AF3786">
        <v>-1.46125817902296</v>
      </c>
      <c r="AG3786">
        <v>-1.1242115626660001</v>
      </c>
      <c r="AH3786">
        <v>10.6245701964174</v>
      </c>
      <c r="AI3786">
        <v>95.984210887292406</v>
      </c>
      <c r="AJ3786">
        <v>97.831086545052401</v>
      </c>
      <c r="AK3786">
        <v>10.7833491533009</v>
      </c>
      <c r="AL3786">
        <v>95.103594563118406</v>
      </c>
      <c r="AM3786">
        <v>95.583505578578396</v>
      </c>
      <c r="AN3786">
        <v>1.00000005304238</v>
      </c>
    </row>
    <row r="3787" spans="1:40" x14ac:dyDescent="0.25">
      <c r="A3787" t="str">
        <f>"20190303154210582"</f>
        <v>20190303154210582</v>
      </c>
      <c r="B3787" t="str">
        <f>"1551598930573619"</f>
        <v>1551598930573619</v>
      </c>
      <c r="C3787" t="s">
        <v>40</v>
      </c>
      <c r="D3787">
        <v>5.9839769999999897</v>
      </c>
      <c r="E3787">
        <v>0.48613519999999999</v>
      </c>
      <c r="F3787" t="s">
        <v>50</v>
      </c>
      <c r="G3787">
        <v>-467.28949999999998</v>
      </c>
      <c r="H3787" s="1">
        <v>2.2623430000000001E-6</v>
      </c>
      <c r="I3787">
        <v>216.44540000000001</v>
      </c>
      <c r="J3787">
        <v>-478.28919999999999</v>
      </c>
      <c r="K3787">
        <v>1.123899</v>
      </c>
      <c r="L3787">
        <v>216.33</v>
      </c>
      <c r="M3787">
        <v>0.99268780000000001</v>
      </c>
      <c r="N3787">
        <v>-1.3897400000000001E-2</v>
      </c>
      <c r="O3787">
        <v>-0.1199066</v>
      </c>
      <c r="P3787">
        <v>0.99466169999999998</v>
      </c>
      <c r="Q3787">
        <v>-9.9681909999999999E-2</v>
      </c>
      <c r="R3787">
        <v>-2.667779E-2</v>
      </c>
      <c r="S3787">
        <v>2.9870610000000002</v>
      </c>
      <c r="T3787">
        <v>-0.3006933</v>
      </c>
      <c r="U3787">
        <v>2.7572630000000001E-2</v>
      </c>
      <c r="V3787">
        <v>-9.2199489999999995E-2</v>
      </c>
      <c r="W3787">
        <v>-8.6541279999999998E-2</v>
      </c>
      <c r="X3787">
        <v>0.99197270000000004</v>
      </c>
      <c r="Y3787">
        <v>-0.1278928</v>
      </c>
      <c r="Z3787">
        <v>1.7666080000000001E-2</v>
      </c>
      <c r="AA3787">
        <v>0.99163069999999998</v>
      </c>
      <c r="AB3787">
        <v>17</v>
      </c>
      <c r="AC3787">
        <v>10.999700000000001</v>
      </c>
      <c r="AD3787">
        <v>-1.1238967376569999</v>
      </c>
      <c r="AE3787">
        <v>0.11539999999999299</v>
      </c>
      <c r="AF3787">
        <v>-1.4188208548685599</v>
      </c>
      <c r="AG3787">
        <v>-1.1238967376569999</v>
      </c>
      <c r="AH3787">
        <v>10.793812573845001</v>
      </c>
      <c r="AI3787">
        <v>95.894113073022794</v>
      </c>
      <c r="AJ3787">
        <v>97.488460445728194</v>
      </c>
      <c r="AK3787">
        <v>10.944523122293701</v>
      </c>
      <c r="AL3787">
        <v>94.964660405608896</v>
      </c>
      <c r="AM3787">
        <v>95.310134013524802</v>
      </c>
      <c r="AN3787">
        <v>0.99999998832279402</v>
      </c>
    </row>
    <row r="3788" spans="1:40" x14ac:dyDescent="0.25">
      <c r="A3788" t="str">
        <f>"20190303154210603"</f>
        <v>20190303154210603</v>
      </c>
      <c r="B3788" t="str">
        <f>"1551598930593139"</f>
        <v>1551598930593139</v>
      </c>
      <c r="C3788" t="s">
        <v>40</v>
      </c>
      <c r="D3788">
        <v>5.9943239999999998</v>
      </c>
      <c r="E3788">
        <v>0.48677219999999999</v>
      </c>
      <c r="F3788" t="s">
        <v>50</v>
      </c>
      <c r="G3788">
        <v>-467.14690000000002</v>
      </c>
      <c r="H3788" s="1">
        <v>2.1865959999999998E-6</v>
      </c>
      <c r="I3788">
        <v>216.44319999999999</v>
      </c>
      <c r="J3788">
        <v>-478.12470000000002</v>
      </c>
      <c r="K3788">
        <v>1.1236189999999999</v>
      </c>
      <c r="L3788">
        <v>216.3185</v>
      </c>
      <c r="M3788">
        <v>0.99348029999999998</v>
      </c>
      <c r="N3788">
        <v>-1.391512E-2</v>
      </c>
      <c r="O3788">
        <v>-0.1131511</v>
      </c>
      <c r="P3788">
        <v>0.99441060000000003</v>
      </c>
      <c r="Q3788">
        <v>-0.1023395</v>
      </c>
      <c r="R3788">
        <v>-2.597062E-2</v>
      </c>
      <c r="S3788">
        <v>2.9867249999999999</v>
      </c>
      <c r="T3788">
        <v>-0.30126330000000001</v>
      </c>
      <c r="U3788">
        <v>3.0334469999999999E-2</v>
      </c>
      <c r="V3788">
        <v>-8.6172689999999996E-2</v>
      </c>
      <c r="W3788">
        <v>-8.9079259999999993E-2</v>
      </c>
      <c r="X3788">
        <v>0.9922898</v>
      </c>
      <c r="Y3788">
        <v>-0.12211660000000001</v>
      </c>
      <c r="Z3788">
        <v>1.6789109999999999E-2</v>
      </c>
      <c r="AA3788">
        <v>0.99237379999999997</v>
      </c>
      <c r="AB3788">
        <v>17</v>
      </c>
      <c r="AC3788">
        <v>10.9778</v>
      </c>
      <c r="AD3788">
        <v>-1.1236168134039899</v>
      </c>
      <c r="AE3788">
        <v>0.12469999999999</v>
      </c>
      <c r="AF3788">
        <v>-1.3520073353156901</v>
      </c>
      <c r="AG3788">
        <v>-1.1236168134039899</v>
      </c>
      <c r="AH3788">
        <v>10.7802512402282</v>
      </c>
      <c r="AI3788">
        <v>95.904482736582906</v>
      </c>
      <c r="AJ3788">
        <v>97.148438213416696</v>
      </c>
      <c r="AK3788">
        <v>10.9226487346501</v>
      </c>
      <c r="AL3788">
        <v>95.110640088087706</v>
      </c>
      <c r="AM3788">
        <v>94.963243148096097</v>
      </c>
      <c r="AN3788">
        <v>0.99999994712400997</v>
      </c>
    </row>
    <row r="3789" spans="1:40" x14ac:dyDescent="0.25">
      <c r="A3789" t="str">
        <f>"20190303154210627"</f>
        <v>20190303154210627</v>
      </c>
      <c r="B3789" t="str">
        <f>"1551598930623394"</f>
        <v>1551598930623394</v>
      </c>
      <c r="C3789" t="s">
        <v>40</v>
      </c>
      <c r="D3789">
        <v>6.0421709999999997</v>
      </c>
      <c r="E3789">
        <v>0.48799229999999999</v>
      </c>
      <c r="F3789" t="s">
        <v>50</v>
      </c>
      <c r="G3789">
        <v>-467.51749999999998</v>
      </c>
      <c r="H3789" s="1">
        <v>2.3849429999999999E-6</v>
      </c>
      <c r="I3789">
        <v>216.41650000000001</v>
      </c>
      <c r="J3789">
        <v>-477.95030000000003</v>
      </c>
      <c r="K3789">
        <v>1.1233519999999999</v>
      </c>
      <c r="L3789">
        <v>216.30680000000001</v>
      </c>
      <c r="M3789">
        <v>0.99420699999999995</v>
      </c>
      <c r="N3789">
        <v>-1.392736E-2</v>
      </c>
      <c r="O3789">
        <v>-0.1065767</v>
      </c>
      <c r="P3789">
        <v>0.9939287</v>
      </c>
      <c r="Q3789">
        <v>-0.1069591</v>
      </c>
      <c r="R3789">
        <v>-2.5802180000000001E-2</v>
      </c>
      <c r="S3789">
        <v>2.9850460000000001</v>
      </c>
      <c r="T3789">
        <v>-0.31620399999999999</v>
      </c>
      <c r="U3789">
        <v>2.758789E-2</v>
      </c>
      <c r="V3789">
        <v>-7.9759079999999996E-2</v>
      </c>
      <c r="W3789">
        <v>-9.3597040000000006E-2</v>
      </c>
      <c r="X3789">
        <v>0.99241020000000002</v>
      </c>
      <c r="Y3789">
        <v>-0.1145975</v>
      </c>
      <c r="Z3789">
        <v>1.6613570000000001E-2</v>
      </c>
      <c r="AA3789">
        <v>0.99327310000000002</v>
      </c>
      <c r="AB3789">
        <v>17</v>
      </c>
      <c r="AC3789">
        <v>10.4328</v>
      </c>
      <c r="AD3789">
        <v>-1.1233496150569999</v>
      </c>
      <c r="AE3789">
        <v>0.109700000000003</v>
      </c>
      <c r="AF3789">
        <v>-1.2070830541650499</v>
      </c>
      <c r="AG3789">
        <v>-1.1233496150569999</v>
      </c>
      <c r="AH3789">
        <v>10.2429336420432</v>
      </c>
      <c r="AI3789">
        <v>96.2159820413559</v>
      </c>
      <c r="AJ3789">
        <v>96.7210479587294</v>
      </c>
      <c r="AK3789">
        <v>10.3748085983599</v>
      </c>
      <c r="AL3789">
        <v>95.370576533661506</v>
      </c>
      <c r="AM3789">
        <v>94.594932043932005</v>
      </c>
      <c r="AN3789">
        <v>0.99999996090162302</v>
      </c>
    </row>
    <row r="3790" spans="1:40" x14ac:dyDescent="0.25">
      <c r="A3790" t="str">
        <f>"20190303154210650"</f>
        <v>20190303154210650</v>
      </c>
      <c r="B3790" t="str">
        <f>"1551598930643891"</f>
        <v>1551598930643891</v>
      </c>
      <c r="C3790" t="s">
        <v>40</v>
      </c>
      <c r="D3790">
        <v>5.9745049999999997</v>
      </c>
      <c r="E3790">
        <v>0.48903750000000001</v>
      </c>
      <c r="F3790" t="s">
        <v>50</v>
      </c>
      <c r="G3790">
        <v>-467.95609999999999</v>
      </c>
      <c r="H3790" s="1">
        <v>2.6204680000000001E-6</v>
      </c>
      <c r="I3790">
        <v>216.36840000000001</v>
      </c>
      <c r="J3790">
        <v>-477.76839999999999</v>
      </c>
      <c r="K3790">
        <v>1.1230910000000001</v>
      </c>
      <c r="L3790">
        <v>216.29519999999999</v>
      </c>
      <c r="M3790">
        <v>0.99485389999999996</v>
      </c>
      <c r="N3790">
        <v>-1.3933269999999999E-2</v>
      </c>
      <c r="O3790">
        <v>-0.1003578</v>
      </c>
      <c r="P3790">
        <v>0.99385820000000002</v>
      </c>
      <c r="Q3790">
        <v>-0.1077259</v>
      </c>
      <c r="R3790">
        <v>-2.531769E-2</v>
      </c>
      <c r="S3790">
        <v>2.9826969999999999</v>
      </c>
      <c r="T3790">
        <v>-0.33525709999999997</v>
      </c>
      <c r="U3790">
        <v>1.8386840000000002E-2</v>
      </c>
      <c r="V3790">
        <v>-7.4091480000000001E-2</v>
      </c>
      <c r="W3790">
        <v>-9.4273709999999997E-2</v>
      </c>
      <c r="X3790">
        <v>0.99278549999999999</v>
      </c>
      <c r="Y3790">
        <v>-0.10527</v>
      </c>
      <c r="Z3790">
        <v>1.6468770000000001E-2</v>
      </c>
      <c r="AA3790">
        <v>0.99430730000000001</v>
      </c>
      <c r="AB3790">
        <v>17</v>
      </c>
      <c r="AC3790">
        <v>9.8122999999999898</v>
      </c>
      <c r="AD3790">
        <v>-1.1230883795319999</v>
      </c>
      <c r="AE3790">
        <v>7.3200000000014101E-2</v>
      </c>
      <c r="AF3790">
        <v>-1.0439907723653199</v>
      </c>
      <c r="AG3790">
        <v>-1.1230883795319999</v>
      </c>
      <c r="AH3790">
        <v>9.6292645132774695</v>
      </c>
      <c r="AI3790">
        <v>96.614099424897205</v>
      </c>
      <c r="AJ3790">
        <v>96.187755312072895</v>
      </c>
      <c r="AK3790">
        <v>9.750588664675</v>
      </c>
      <c r="AL3790">
        <v>95.409518501793997</v>
      </c>
      <c r="AM3790">
        <v>94.268066043156495</v>
      </c>
      <c r="AN3790">
        <v>1.000000064408</v>
      </c>
    </row>
    <row r="3791" spans="1:40" x14ac:dyDescent="0.25">
      <c r="A3791" t="str">
        <f>"20190303154210685"</f>
        <v>20190303154210685</v>
      </c>
      <c r="B3791" t="str">
        <f>"1551598930673676"</f>
        <v>1551598930673676</v>
      </c>
      <c r="C3791" t="s">
        <v>40</v>
      </c>
      <c r="D3791">
        <v>6.0414849999999998</v>
      </c>
      <c r="E3791">
        <v>0.4898922</v>
      </c>
      <c r="F3791" t="s">
        <v>50</v>
      </c>
      <c r="G3791">
        <v>-467.8467</v>
      </c>
      <c r="H3791" s="1">
        <v>2.563804E-6</v>
      </c>
      <c r="I3791">
        <v>216.33279999999999</v>
      </c>
      <c r="J3791">
        <v>-477.51479999999998</v>
      </c>
      <c r="K3791">
        <v>1.1226989999999999</v>
      </c>
      <c r="L3791">
        <v>216.27969999999999</v>
      </c>
      <c r="M3791">
        <v>0.99558869999999999</v>
      </c>
      <c r="N3791">
        <v>-1.393049E-2</v>
      </c>
      <c r="O3791">
        <v>-9.2785560000000003E-2</v>
      </c>
      <c r="P3791">
        <v>0.99427969999999999</v>
      </c>
      <c r="Q3791">
        <v>-0.104144</v>
      </c>
      <c r="R3791">
        <v>-2.3705710000000001E-2</v>
      </c>
      <c r="S3791">
        <v>2.9822690000000001</v>
      </c>
      <c r="T3791">
        <v>-0.33757939999999997</v>
      </c>
      <c r="U3791">
        <v>1.1291499999999999E-2</v>
      </c>
      <c r="V3791">
        <v>-6.8299929999999995E-2</v>
      </c>
      <c r="W3791">
        <v>-9.0585319999999997E-2</v>
      </c>
      <c r="X3791">
        <v>0.99354390000000004</v>
      </c>
      <c r="Y3791">
        <v>-9.5424560000000005E-2</v>
      </c>
      <c r="Z3791">
        <v>1.5218880000000001E-2</v>
      </c>
      <c r="AA3791">
        <v>0.99532030000000005</v>
      </c>
      <c r="AB3791">
        <v>17</v>
      </c>
      <c r="AC3791">
        <v>9.6680999999999795</v>
      </c>
      <c r="AD3791">
        <v>-1.1226964361959999</v>
      </c>
      <c r="AE3791">
        <v>5.3100000000000501E-2</v>
      </c>
      <c r="AF3791">
        <v>-0.93737806580293104</v>
      </c>
      <c r="AG3791">
        <v>-1.1226964361959999</v>
      </c>
      <c r="AH3791">
        <v>9.4934447032286595</v>
      </c>
      <c r="AI3791">
        <v>96.712143103877295</v>
      </c>
      <c r="AJ3791">
        <v>95.639078475273493</v>
      </c>
      <c r="AK3791">
        <v>9.6054472701356293</v>
      </c>
      <c r="AL3791">
        <v>95.197280844471095</v>
      </c>
      <c r="AM3791">
        <v>93.932539658579302</v>
      </c>
      <c r="AN3791">
        <v>1.00000003093235</v>
      </c>
    </row>
    <row r="3792" spans="1:40" x14ac:dyDescent="0.25">
      <c r="A3792" t="str">
        <f>"20190303154210704"</f>
        <v>20190303154210704</v>
      </c>
      <c r="B3792" t="str">
        <f>"1551598930693196"</f>
        <v>1551598930693196</v>
      </c>
      <c r="C3792" t="s">
        <v>40</v>
      </c>
      <c r="D3792">
        <v>5.9955730000000003</v>
      </c>
      <c r="E3792">
        <v>0.49094670000000001</v>
      </c>
      <c r="F3792" t="s">
        <v>50</v>
      </c>
      <c r="G3792">
        <v>-467.49799999999999</v>
      </c>
      <c r="H3792" s="1">
        <v>2.3791779999999998E-6</v>
      </c>
      <c r="I3792">
        <v>216.3115</v>
      </c>
      <c r="J3792">
        <v>-477.36509999999998</v>
      </c>
      <c r="K3792">
        <v>1.1224400000000001</v>
      </c>
      <c r="L3792">
        <v>216.27070000000001</v>
      </c>
      <c r="M3792">
        <v>0.99594899999999997</v>
      </c>
      <c r="N3792">
        <v>-1.3926310000000001E-2</v>
      </c>
      <c r="O3792">
        <v>-8.8834220000000005E-2</v>
      </c>
      <c r="P3792">
        <v>0.99425859999999999</v>
      </c>
      <c r="Q3792">
        <v>-0.10421709999999999</v>
      </c>
      <c r="R3792">
        <v>-2.4260299999999999E-2</v>
      </c>
      <c r="S3792">
        <v>2.9824519999999999</v>
      </c>
      <c r="T3792">
        <v>-0.33427859999999998</v>
      </c>
      <c r="U3792">
        <v>9.4757079999999994E-3</v>
      </c>
      <c r="V3792">
        <v>-6.3863370000000003E-2</v>
      </c>
      <c r="W3792">
        <v>-9.0601210000000001E-2</v>
      </c>
      <c r="X3792">
        <v>0.99383750000000004</v>
      </c>
      <c r="Y3792">
        <v>-9.0940919999999995E-2</v>
      </c>
      <c r="Z3792">
        <v>1.439708E-2</v>
      </c>
      <c r="AA3792">
        <v>0.99575219999999998</v>
      </c>
      <c r="AB3792">
        <v>17</v>
      </c>
      <c r="AC3792">
        <v>9.8670999999999296</v>
      </c>
      <c r="AD3792">
        <v>-1.1224376208219999</v>
      </c>
      <c r="AE3792">
        <v>4.0799999999990101E-2</v>
      </c>
      <c r="AF3792">
        <v>-0.90554204925431303</v>
      </c>
      <c r="AG3792">
        <v>-1.1224376208219999</v>
      </c>
      <c r="AH3792">
        <v>9.6989518114718702</v>
      </c>
      <c r="AI3792">
        <v>96.573009727997004</v>
      </c>
      <c r="AJ3792">
        <v>95.333954138598898</v>
      </c>
      <c r="AK3792">
        <v>9.8055871245355704</v>
      </c>
      <c r="AL3792">
        <v>95.198194971458605</v>
      </c>
      <c r="AM3792">
        <v>93.676735421572801</v>
      </c>
      <c r="AN3792">
        <v>1.0000000428437299</v>
      </c>
    </row>
    <row r="3793" spans="1:40" x14ac:dyDescent="0.25">
      <c r="A3793" t="str">
        <f>"20190303154210884"</f>
        <v>20190303154210884</v>
      </c>
      <c r="B3793" t="str">
        <f>"1551598930873757"</f>
        <v>1551598930873757</v>
      </c>
      <c r="C3793" t="s">
        <v>40</v>
      </c>
      <c r="D3793">
        <v>6.2725949999999999</v>
      </c>
      <c r="E3793">
        <v>0.49308150000000001</v>
      </c>
      <c r="F3793" t="s">
        <v>50</v>
      </c>
      <c r="G3793">
        <v>-467.40679999999998</v>
      </c>
      <c r="H3793" s="1">
        <v>2.3325469999999999E-6</v>
      </c>
      <c r="I3793">
        <v>216.26830000000001</v>
      </c>
      <c r="J3793">
        <v>-476.01069999999999</v>
      </c>
      <c r="K3793">
        <v>1.121324</v>
      </c>
      <c r="L3793">
        <v>216.19200000000001</v>
      </c>
      <c r="M3793">
        <v>0.99762030000000002</v>
      </c>
      <c r="N3793">
        <v>-1.390078E-2</v>
      </c>
      <c r="O3793">
        <v>-6.7531939999999999E-2</v>
      </c>
      <c r="P3793">
        <v>0.99231029999999998</v>
      </c>
      <c r="Q3793">
        <v>-0.11211260000000001</v>
      </c>
      <c r="R3793">
        <v>-5.2452749999999999E-2</v>
      </c>
      <c r="S3793">
        <v>2.9820859999999998</v>
      </c>
      <c r="T3793">
        <v>-0.3361228</v>
      </c>
      <c r="U3793">
        <v>-7.3242190000000001E-4</v>
      </c>
      <c r="V3793">
        <v>-1.462567E-2</v>
      </c>
      <c r="W3793">
        <v>-9.8299209999999998E-2</v>
      </c>
      <c r="X3793">
        <v>0.99504939999999997</v>
      </c>
      <c r="Y3793">
        <v>-6.6492029999999994E-2</v>
      </c>
      <c r="Z3793">
        <v>1.084594E-2</v>
      </c>
      <c r="AA3793">
        <v>0.99772799999999995</v>
      </c>
      <c r="AB3793">
        <v>17</v>
      </c>
      <c r="AC3793">
        <v>8.6039000000000101</v>
      </c>
      <c r="AD3793">
        <v>-1.121321667453</v>
      </c>
      <c r="AE3793">
        <v>7.6300000000003296E-2</v>
      </c>
      <c r="AF3793">
        <v>-0.64624426835617998</v>
      </c>
      <c r="AG3793">
        <v>-1.121321667453</v>
      </c>
      <c r="AH3793">
        <v>8.4358286250177006</v>
      </c>
      <c r="AI3793">
        <v>97.549717960732295</v>
      </c>
      <c r="AJ3793">
        <v>94.380706605072405</v>
      </c>
      <c r="AK3793">
        <v>8.5345297777294604</v>
      </c>
      <c r="AL3793">
        <v>95.641239958660293</v>
      </c>
      <c r="AM3793">
        <v>90.842097712792693</v>
      </c>
      <c r="AN3793">
        <v>0.99999997667496598</v>
      </c>
    </row>
    <row r="3794" spans="1:40" x14ac:dyDescent="0.25">
      <c r="A3794" t="str">
        <f>"20190303154210906"</f>
        <v>20190303154210906</v>
      </c>
      <c r="B3794" t="str">
        <f>"1551598930903037"</f>
        <v>1551598930903037</v>
      </c>
      <c r="C3794" t="s">
        <v>40</v>
      </c>
      <c r="D3794">
        <v>5.9357230000000003</v>
      </c>
      <c r="E3794">
        <v>0.54859969999999902</v>
      </c>
      <c r="F3794" t="s">
        <v>42</v>
      </c>
      <c r="G3794">
        <v>-475.20530000000002</v>
      </c>
      <c r="H3794">
        <v>1.0262560000000001</v>
      </c>
      <c r="I3794">
        <v>216.16419999999999</v>
      </c>
      <c r="J3794">
        <v>-475.84769999999997</v>
      </c>
      <c r="K3794">
        <v>1.1213070000000001</v>
      </c>
      <c r="L3794">
        <v>216.18270000000001</v>
      </c>
      <c r="M3794">
        <v>0.99771480000000001</v>
      </c>
      <c r="N3794">
        <v>-1.3901439999999999E-2</v>
      </c>
      <c r="O3794">
        <v>-6.6121390000000002E-2</v>
      </c>
      <c r="P3794">
        <v>0.99198280000000005</v>
      </c>
      <c r="Q3794">
        <v>-0.1119103</v>
      </c>
      <c r="R3794">
        <v>-5.8705269999999997E-2</v>
      </c>
      <c r="S3794">
        <v>2.9780880000000001</v>
      </c>
      <c r="T3794">
        <v>-0.35164649999999997</v>
      </c>
      <c r="U3794">
        <v>-0.1025085</v>
      </c>
      <c r="V3794">
        <v>-6.9655069999999897E-3</v>
      </c>
      <c r="W3794">
        <v>-9.8089620000000002E-2</v>
      </c>
      <c r="X3794">
        <v>0.99515319999999996</v>
      </c>
      <c r="Y3794">
        <v>-3.1165269999999998E-2</v>
      </c>
      <c r="Z3794">
        <v>8.9053719999999999E-3</v>
      </c>
      <c r="AA3794">
        <v>0.99947459999999999</v>
      </c>
      <c r="AB3794">
        <v>17</v>
      </c>
      <c r="AC3794">
        <v>0.64239999999995201</v>
      </c>
      <c r="AD3794">
        <v>-9.5050999999999997E-2</v>
      </c>
      <c r="AE3794">
        <v>-1.8500000000017201E-2</v>
      </c>
      <c r="AF3794">
        <v>-2.3506773123824602E-2</v>
      </c>
      <c r="AG3794">
        <v>-9.5050999999999997E-2</v>
      </c>
      <c r="AH3794">
        <v>0.62846966391466696</v>
      </c>
      <c r="AI3794">
        <v>98.594427701724399</v>
      </c>
      <c r="AJ3794">
        <v>92.142046654817094</v>
      </c>
      <c r="AK3794">
        <v>0.63605139685776102</v>
      </c>
      <c r="AL3794">
        <v>95.629172934837499</v>
      </c>
      <c r="AM3794">
        <v>90.401031354750899</v>
      </c>
      <c r="AN3794">
        <v>0.99999999165487496</v>
      </c>
    </row>
    <row r="3795" spans="1:40" x14ac:dyDescent="0.25">
      <c r="A3795" t="str">
        <f>"20190303154210928"</f>
        <v>20190303154210928</v>
      </c>
      <c r="B3795" t="str">
        <f>"1551598930923532"</f>
        <v>1551598930923532</v>
      </c>
      <c r="C3795" t="s">
        <v>40</v>
      </c>
      <c r="D3795">
        <v>5.9963249999999997</v>
      </c>
      <c r="E3795">
        <v>0.54540690000000003</v>
      </c>
      <c r="F3795" t="s">
        <v>50</v>
      </c>
      <c r="G3795">
        <v>-459.36399999999998</v>
      </c>
      <c r="H3795" s="1">
        <v>3.5140079999999999E-6</v>
      </c>
      <c r="I3795">
        <v>213.066</v>
      </c>
      <c r="J3795">
        <v>-475.69170000000003</v>
      </c>
      <c r="K3795">
        <v>1.1212839999999999</v>
      </c>
      <c r="L3795">
        <v>216.1739</v>
      </c>
      <c r="M3795">
        <v>0.99779370000000001</v>
      </c>
      <c r="N3795">
        <v>-1.389277E-2</v>
      </c>
      <c r="O3795">
        <v>-6.492125E-2</v>
      </c>
      <c r="P3795">
        <v>0.9917861</v>
      </c>
      <c r="Q3795">
        <v>-0.11189449999999999</v>
      </c>
      <c r="R3795">
        <v>-6.1967920000000003E-2</v>
      </c>
      <c r="S3795">
        <v>2.9682620000000002</v>
      </c>
      <c r="T3795">
        <v>-0.20191590000000001</v>
      </c>
      <c r="U3795">
        <v>-0.56123350000000005</v>
      </c>
      <c r="V3795">
        <v>-2.5077570000000002E-3</v>
      </c>
      <c r="W3795">
        <v>-9.8079509999999995E-2</v>
      </c>
      <c r="X3795">
        <v>0.99517540000000004</v>
      </c>
      <c r="Y3795">
        <v>0.12136139999999999</v>
      </c>
      <c r="Z3795">
        <v>-1.4700519999999999E-3</v>
      </c>
      <c r="AA3795">
        <v>0.99260729999999997</v>
      </c>
      <c r="AB3795">
        <v>17</v>
      </c>
      <c r="AC3795">
        <v>16.327699999999901</v>
      </c>
      <c r="AD3795">
        <v>-1.121280485992</v>
      </c>
      <c r="AE3795">
        <v>-3.1079000000000199</v>
      </c>
      <c r="AF3795">
        <v>2.0319774492679601</v>
      </c>
      <c r="AG3795">
        <v>-1.121280485992</v>
      </c>
      <c r="AH3795">
        <v>16.420305113139001</v>
      </c>
      <c r="AI3795">
        <v>93.8769664990092</v>
      </c>
      <c r="AJ3795">
        <v>82.945633693050695</v>
      </c>
      <c r="AK3795">
        <v>16.5835045238085</v>
      </c>
      <c r="AL3795">
        <v>95.628590945233597</v>
      </c>
      <c r="AM3795">
        <v>90.144380164558001</v>
      </c>
      <c r="AN3795">
        <v>0.99999997794608497</v>
      </c>
    </row>
    <row r="3796" spans="1:40" x14ac:dyDescent="0.25">
      <c r="A3796" t="str">
        <f>"20190303154210951"</f>
        <v>20190303154210951</v>
      </c>
      <c r="B3796" t="str">
        <f>"1551598930943053"</f>
        <v>1551598930943053</v>
      </c>
      <c r="C3796" t="s">
        <v>40</v>
      </c>
      <c r="D3796">
        <v>5.9754440000000004</v>
      </c>
      <c r="E3796">
        <v>0.54194039999999999</v>
      </c>
      <c r="F3796" t="s">
        <v>50</v>
      </c>
      <c r="G3796">
        <v>-459.91239999999999</v>
      </c>
      <c r="H3796" s="1">
        <v>3.7968740000000001E-6</v>
      </c>
      <c r="I3796">
        <v>213.2713</v>
      </c>
      <c r="J3796">
        <v>-475.51639999999998</v>
      </c>
      <c r="K3796">
        <v>1.121227</v>
      </c>
      <c r="L3796">
        <v>216.16399999999999</v>
      </c>
      <c r="M3796">
        <v>0.99787139999999996</v>
      </c>
      <c r="N3796">
        <v>-1.383828E-2</v>
      </c>
      <c r="O3796">
        <v>-6.3727190000000003E-2</v>
      </c>
      <c r="P3796">
        <v>0.99165769999999998</v>
      </c>
      <c r="Q3796">
        <v>-0.1128502</v>
      </c>
      <c r="R3796">
        <v>-6.2289129999999998E-2</v>
      </c>
      <c r="S3796">
        <v>2.9669189999999999</v>
      </c>
      <c r="T3796">
        <v>-0.21082999999999999</v>
      </c>
      <c r="U3796">
        <v>-0.5457611</v>
      </c>
      <c r="V3796">
        <v>-9.9957720000000004E-4</v>
      </c>
      <c r="W3796">
        <v>-9.9089880000000005E-2</v>
      </c>
      <c r="X3796">
        <v>0.99507800000000002</v>
      </c>
      <c r="Y3796">
        <v>0.11762069999999999</v>
      </c>
      <c r="Z3796">
        <v>-1.36000799999999E-3</v>
      </c>
      <c r="AA3796">
        <v>0.99305770000000004</v>
      </c>
      <c r="AB3796">
        <v>17</v>
      </c>
      <c r="AC3796">
        <v>15.6039999999999</v>
      </c>
      <c r="AD3796">
        <v>-1.1212232031260001</v>
      </c>
      <c r="AE3796">
        <v>-2.8927000000000098</v>
      </c>
      <c r="AF3796">
        <v>1.88292596705093</v>
      </c>
      <c r="AG3796">
        <v>-1.1212232031260001</v>
      </c>
      <c r="AH3796">
        <v>15.6783780090382</v>
      </c>
      <c r="AI3796">
        <v>94.061399637170297</v>
      </c>
      <c r="AJ3796">
        <v>83.151748562912701</v>
      </c>
      <c r="AK3796">
        <v>15.8307955789631</v>
      </c>
      <c r="AL3796">
        <v>95.686764057481099</v>
      </c>
      <c r="AM3796">
        <v>90.057554820419995</v>
      </c>
      <c r="AN3796">
        <v>1.00000001477849</v>
      </c>
    </row>
    <row r="3797" spans="1:40" x14ac:dyDescent="0.25">
      <c r="A3797" t="str">
        <f>"20190303154210972"</f>
        <v>20190303154210972</v>
      </c>
      <c r="B3797" t="str">
        <f>"1551598930963549"</f>
        <v>1551598930963549</v>
      </c>
      <c r="C3797" t="s">
        <v>40</v>
      </c>
      <c r="D3797">
        <v>6.005916</v>
      </c>
      <c r="E3797">
        <v>0.53969269999999903</v>
      </c>
      <c r="F3797" t="s">
        <v>50</v>
      </c>
      <c r="G3797">
        <v>-461.58010000000002</v>
      </c>
      <c r="H3797" s="1">
        <v>-6.5688080000000003E-7</v>
      </c>
      <c r="I3797">
        <v>213.72300000000001</v>
      </c>
      <c r="J3797">
        <v>-475.3603</v>
      </c>
      <c r="K3797">
        <v>1.121135</v>
      </c>
      <c r="L3797">
        <v>216.15520000000001</v>
      </c>
      <c r="M3797">
        <v>0.99793240000000005</v>
      </c>
      <c r="N3797">
        <v>-1.3706090000000001E-2</v>
      </c>
      <c r="O3797">
        <v>-6.2795589999999998E-2</v>
      </c>
      <c r="P3797">
        <v>0.99162550000000005</v>
      </c>
      <c r="Q3797">
        <v>-0.1138716</v>
      </c>
      <c r="R3797">
        <v>-6.0929469999999999E-2</v>
      </c>
      <c r="S3797">
        <v>2.9654539999999998</v>
      </c>
      <c r="T3797">
        <v>-0.23858190000000001</v>
      </c>
      <c r="U3797">
        <v>-0.51940920000000002</v>
      </c>
      <c r="V3797">
        <v>-1.4387880000000001E-3</v>
      </c>
      <c r="W3797">
        <v>-0.1002444</v>
      </c>
      <c r="X3797">
        <v>0.99496180000000001</v>
      </c>
      <c r="Y3797">
        <v>0.1100569</v>
      </c>
      <c r="Z3797">
        <v>-1.0061390000000001E-3</v>
      </c>
      <c r="AA3797">
        <v>0.99392480000000005</v>
      </c>
      <c r="AB3797">
        <v>17</v>
      </c>
      <c r="AC3797">
        <v>13.780199999999899</v>
      </c>
      <c r="AD3797">
        <v>-1.1211356568808</v>
      </c>
      <c r="AE3797">
        <v>-2.4322000000000199</v>
      </c>
      <c r="AF3797">
        <v>1.5520191858293999</v>
      </c>
      <c r="AG3797">
        <v>-1.1211356568808</v>
      </c>
      <c r="AH3797">
        <v>13.817049443210699</v>
      </c>
      <c r="AI3797">
        <v>94.610035048970204</v>
      </c>
      <c r="AJ3797">
        <v>83.591036663268397</v>
      </c>
      <c r="AK3797">
        <v>13.949070364380599</v>
      </c>
      <c r="AL3797">
        <v>95.7532443039496</v>
      </c>
      <c r="AM3797">
        <v>90.082853856853902</v>
      </c>
      <c r="AN3797">
        <v>0.99999999665075401</v>
      </c>
    </row>
    <row r="3798" spans="1:40" x14ac:dyDescent="0.25">
      <c r="A3798" t="str">
        <f>"20190303154210995"</f>
        <v>20190303154210995</v>
      </c>
      <c r="B3798" t="str">
        <f>"1551598930983069"</f>
        <v>1551598930983069</v>
      </c>
      <c r="C3798" t="s">
        <v>40</v>
      </c>
      <c r="D3798">
        <v>5.9486470000000002</v>
      </c>
      <c r="E3798">
        <v>0.53989129999999996</v>
      </c>
      <c r="F3798" t="s">
        <v>50</v>
      </c>
      <c r="G3798">
        <v>-462.12150000000003</v>
      </c>
      <c r="H3798" s="1">
        <v>-3.780558E-7</v>
      </c>
      <c r="I3798">
        <v>213.93469999999999</v>
      </c>
      <c r="J3798">
        <v>-475.18880000000001</v>
      </c>
      <c r="K3798">
        <v>1.121011</v>
      </c>
      <c r="L3798">
        <v>216.1455</v>
      </c>
      <c r="M3798">
        <v>0.99799139999999997</v>
      </c>
      <c r="N3798">
        <v>-1.3448669999999999E-2</v>
      </c>
      <c r="O3798">
        <v>-6.190673E-2</v>
      </c>
      <c r="P3798">
        <v>0.99156770000000005</v>
      </c>
      <c r="Q3798">
        <v>-0.1150969</v>
      </c>
      <c r="R3798">
        <v>-5.9555789999999997E-2</v>
      </c>
      <c r="S3798">
        <v>2.9659420000000001</v>
      </c>
      <c r="T3798">
        <v>-0.25117210000000001</v>
      </c>
      <c r="U3798">
        <v>-0.49746699999999999</v>
      </c>
      <c r="V3798">
        <v>-1.935228E-3</v>
      </c>
      <c r="W3798">
        <v>-0.1017275</v>
      </c>
      <c r="X3798">
        <v>0.99481039999999998</v>
      </c>
      <c r="Y3798">
        <v>0.103771699999999</v>
      </c>
      <c r="Z3798">
        <v>-6.9907520000000003E-4</v>
      </c>
      <c r="AA3798">
        <v>0.99460090000000001</v>
      </c>
      <c r="AB3798">
        <v>17</v>
      </c>
      <c r="AC3798">
        <v>13.0672999999999</v>
      </c>
      <c r="AD3798">
        <v>-1.1210113780558</v>
      </c>
      <c r="AE3798">
        <v>-2.2107999999999999</v>
      </c>
      <c r="AF3798">
        <v>1.3876039650042999</v>
      </c>
      <c r="AG3798">
        <v>-1.1210113780558</v>
      </c>
      <c r="AH3798">
        <v>13.085484566884</v>
      </c>
      <c r="AI3798">
        <v>94.869309280263494</v>
      </c>
      <c r="AJ3798">
        <v>83.946892561726202</v>
      </c>
      <c r="AK3798">
        <v>13.2065142116905</v>
      </c>
      <c r="AL3798">
        <v>95.838656415540399</v>
      </c>
      <c r="AM3798">
        <v>90.111458682909003</v>
      </c>
      <c r="AN3798">
        <v>0.99999998065591</v>
      </c>
    </row>
    <row r="3799" spans="1:40" x14ac:dyDescent="0.25">
      <c r="A3799" t="str">
        <f>"20190303154211017"</f>
        <v>20190303154211017</v>
      </c>
      <c r="B3799" t="str">
        <f>"1551598931013325"</f>
        <v>1551598931013325</v>
      </c>
      <c r="C3799" t="s">
        <v>40</v>
      </c>
      <c r="D3799">
        <v>5.9470479999999997</v>
      </c>
      <c r="E3799">
        <v>0.53905599999999998</v>
      </c>
      <c r="F3799" t="s">
        <v>50</v>
      </c>
      <c r="G3799">
        <v>-461.77960000000002</v>
      </c>
      <c r="H3799" s="1">
        <v>-5.5880959999999898E-7</v>
      </c>
      <c r="I3799">
        <v>213.90780000000001</v>
      </c>
      <c r="J3799">
        <v>-475.02789999999999</v>
      </c>
      <c r="K3799">
        <v>1.1208849999999999</v>
      </c>
      <c r="L3799">
        <v>216.13640000000001</v>
      </c>
      <c r="M3799">
        <v>0.99803900000000001</v>
      </c>
      <c r="N3799">
        <v>-1.3095259999999999E-2</v>
      </c>
      <c r="O3799">
        <v>-6.1211700000000001E-2</v>
      </c>
      <c r="P3799">
        <v>0.99160740000000003</v>
      </c>
      <c r="Q3799">
        <v>-0.1158956</v>
      </c>
      <c r="R3799">
        <v>-5.7302220000000001E-2</v>
      </c>
      <c r="S3799">
        <v>2.96698</v>
      </c>
      <c r="T3799">
        <v>-0.24804029999999999</v>
      </c>
      <c r="U3799">
        <v>-0.49513239999999997</v>
      </c>
      <c r="V3799">
        <v>-3.5073190000000001E-3</v>
      </c>
      <c r="W3799">
        <v>-0.10287880000000001</v>
      </c>
      <c r="X3799">
        <v>0.99468769999999995</v>
      </c>
      <c r="Y3799">
        <v>0.1036537</v>
      </c>
      <c r="Z3799">
        <v>-7.1200979999999896E-4</v>
      </c>
      <c r="AA3799">
        <v>0.99461319999999998</v>
      </c>
      <c r="AB3799">
        <v>17</v>
      </c>
      <c r="AC3799">
        <v>13.248299999999899</v>
      </c>
      <c r="AD3799">
        <v>-1.1208855588096001</v>
      </c>
      <c r="AE3799">
        <v>-2.2286000000000001</v>
      </c>
      <c r="AF3799">
        <v>1.4036288714363201</v>
      </c>
      <c r="AG3799">
        <v>-1.1208855588096001</v>
      </c>
      <c r="AH3799">
        <v>13.267522916503101</v>
      </c>
      <c r="AI3799">
        <v>94.802401317749798</v>
      </c>
      <c r="AJ3799">
        <v>83.960894570391602</v>
      </c>
      <c r="AK3799">
        <v>13.3885668682131</v>
      </c>
      <c r="AL3799">
        <v>95.904968952079599</v>
      </c>
      <c r="AM3799">
        <v>90.202026971166305</v>
      </c>
      <c r="AN3799">
        <v>0.99999998465364803</v>
      </c>
    </row>
    <row r="3800" spans="1:40" x14ac:dyDescent="0.25">
      <c r="A3800" t="str">
        <f>"20190303154211038"</f>
        <v>20190303154211038</v>
      </c>
      <c r="B3800" t="str">
        <f>"1551598931033821"</f>
        <v>1551598931033821</v>
      </c>
      <c r="C3800" t="s">
        <v>40</v>
      </c>
      <c r="D3800">
        <v>5.9606599999999998</v>
      </c>
      <c r="E3800">
        <v>0.53816309999999901</v>
      </c>
      <c r="F3800" t="s">
        <v>42</v>
      </c>
      <c r="G3800">
        <v>-474.16070000000002</v>
      </c>
      <c r="H3800">
        <v>1.0486260000000001</v>
      </c>
      <c r="I3800">
        <v>215.99549999999999</v>
      </c>
      <c r="J3800">
        <v>-474.86180000000002</v>
      </c>
      <c r="K3800">
        <v>1.1207549999999999</v>
      </c>
      <c r="L3800">
        <v>216.1268</v>
      </c>
      <c r="M3800">
        <v>0.99808030000000003</v>
      </c>
      <c r="N3800">
        <v>-1.264358E-2</v>
      </c>
      <c r="O3800">
        <v>-6.0628960000000003E-2</v>
      </c>
      <c r="P3800">
        <v>0.99173670000000003</v>
      </c>
      <c r="Q3800">
        <v>-0.1159142</v>
      </c>
      <c r="R3800">
        <v>-5.4976619999999997E-2</v>
      </c>
      <c r="S3800">
        <v>2.9685969999999999</v>
      </c>
      <c r="T3800">
        <v>-0.24746119999999999</v>
      </c>
      <c r="U3800">
        <v>-0.48184199999999999</v>
      </c>
      <c r="V3800">
        <v>-5.2667240000000004E-3</v>
      </c>
      <c r="W3800">
        <v>-0.1033463</v>
      </c>
      <c r="X3800">
        <v>0.9946315</v>
      </c>
      <c r="Y3800">
        <v>9.9828780000000006E-2</v>
      </c>
      <c r="Z3800">
        <v>-5.2083260000000003E-4</v>
      </c>
      <c r="AA3800">
        <v>0.99500449999999996</v>
      </c>
      <c r="AB3800">
        <v>17</v>
      </c>
      <c r="AC3800">
        <v>0.70109999999999595</v>
      </c>
      <c r="AD3800">
        <v>-7.2128999999999804E-2</v>
      </c>
      <c r="AE3800">
        <v>-0.13130000000000999</v>
      </c>
      <c r="AF3800">
        <v>8.7651764410775296E-2</v>
      </c>
      <c r="AG3800">
        <v>-7.2128999999999804E-2</v>
      </c>
      <c r="AH3800">
        <v>0.70060711769934902</v>
      </c>
      <c r="AI3800">
        <v>95.832860199766699</v>
      </c>
      <c r="AJ3800">
        <v>82.868874147965997</v>
      </c>
      <c r="AK3800">
        <v>0.70974344506751996</v>
      </c>
      <c r="AL3800">
        <v>95.931898129500695</v>
      </c>
      <c r="AM3800">
        <v>90.303386969732998</v>
      </c>
      <c r="AN3800">
        <v>1.0000000084488101</v>
      </c>
    </row>
    <row r="3801" spans="1:40" x14ac:dyDescent="0.25">
      <c r="A3801" t="str">
        <f>"20190303154211064"</f>
        <v>20190303154211064</v>
      </c>
      <c r="B3801" t="str">
        <f>"1551598931053341"</f>
        <v>1551598931053341</v>
      </c>
      <c r="C3801" t="s">
        <v>40</v>
      </c>
      <c r="D3801">
        <v>5.9530320000000003</v>
      </c>
      <c r="E3801">
        <v>0.53780649999999997</v>
      </c>
      <c r="F3801" t="s">
        <v>42</v>
      </c>
      <c r="G3801">
        <v>-474.00839999999999</v>
      </c>
      <c r="H3801">
        <v>1.050184</v>
      </c>
      <c r="I3801">
        <v>215.99189999999999</v>
      </c>
      <c r="J3801">
        <v>-474.67500000000001</v>
      </c>
      <c r="K3801">
        <v>1.1206419999999999</v>
      </c>
      <c r="L3801">
        <v>216.11609999999999</v>
      </c>
      <c r="M3801">
        <v>0.99811919999999998</v>
      </c>
      <c r="N3801">
        <v>-1.2085169999999999E-2</v>
      </c>
      <c r="O3801">
        <v>-6.0102719999999998E-2</v>
      </c>
      <c r="P3801">
        <v>0.99185730000000005</v>
      </c>
      <c r="Q3801">
        <v>-0.1150838</v>
      </c>
      <c r="R3801">
        <v>-5.4545200000000002E-2</v>
      </c>
      <c r="S3801">
        <v>2.9703059999999999</v>
      </c>
      <c r="T3801">
        <v>-0.24590090000000001</v>
      </c>
      <c r="U3801">
        <v>-0.46788020000000002</v>
      </c>
      <c r="V3801">
        <v>-5.1857730000000003E-3</v>
      </c>
      <c r="W3801">
        <v>-0.10306989999999901</v>
      </c>
      <c r="X3801">
        <v>0.99466060000000001</v>
      </c>
      <c r="Y3801">
        <v>9.572348E-2</v>
      </c>
      <c r="Z3801">
        <v>-3.0770569999999999E-4</v>
      </c>
      <c r="AA3801">
        <v>0.99540790000000001</v>
      </c>
      <c r="AB3801">
        <v>17</v>
      </c>
      <c r="AC3801">
        <v>0.66660000000001596</v>
      </c>
      <c r="AD3801">
        <v>-7.0457999999999896E-2</v>
      </c>
      <c r="AE3801">
        <v>-0.124200000000001</v>
      </c>
      <c r="AF3801">
        <v>8.3011754547736002E-2</v>
      </c>
      <c r="AG3801">
        <v>-7.0457999999999896E-2</v>
      </c>
      <c r="AH3801">
        <v>0.66567267250995499</v>
      </c>
      <c r="AI3801">
        <v>95.995866434818495</v>
      </c>
      <c r="AJ3801">
        <v>82.891707506540101</v>
      </c>
      <c r="AK3801">
        <v>0.67451863434870296</v>
      </c>
      <c r="AL3801">
        <v>95.915976584659106</v>
      </c>
      <c r="AM3801">
        <v>90.298715174152207</v>
      </c>
      <c r="AN3801">
        <v>1.00000000285998</v>
      </c>
    </row>
    <row r="3802" spans="1:40" x14ac:dyDescent="0.25">
      <c r="A3802" t="str">
        <f>"20190303154211087"</f>
        <v>20190303154211087</v>
      </c>
      <c r="B3802" t="str">
        <f>"1551598931083597"</f>
        <v>1551598931083597</v>
      </c>
      <c r="C3802" t="s">
        <v>40</v>
      </c>
      <c r="D3802">
        <v>5.9567249999999996</v>
      </c>
      <c r="E3802">
        <v>0.5373308</v>
      </c>
      <c r="F3802" t="s">
        <v>42</v>
      </c>
      <c r="G3802">
        <v>-473.85359999999997</v>
      </c>
      <c r="H3802">
        <v>1.0537399999999999</v>
      </c>
      <c r="I3802">
        <v>215.988</v>
      </c>
      <c r="J3802">
        <v>-474.49959999999999</v>
      </c>
      <c r="K3802">
        <v>1.120557</v>
      </c>
      <c r="L3802">
        <v>216.10599999999999</v>
      </c>
      <c r="M3802">
        <v>0.99814930000000002</v>
      </c>
      <c r="N3802">
        <v>-1.153703E-2</v>
      </c>
      <c r="O3802">
        <v>-5.9707509999999998E-2</v>
      </c>
      <c r="P3802">
        <v>0.9918013</v>
      </c>
      <c r="Q3802">
        <v>-0.1148796</v>
      </c>
      <c r="R3802">
        <v>-5.5976659999999998E-2</v>
      </c>
      <c r="S3802">
        <v>2.9710390000000002</v>
      </c>
      <c r="T3802">
        <v>-0.24211840000000001</v>
      </c>
      <c r="U3802">
        <v>-0.46360780000000001</v>
      </c>
      <c r="V3802">
        <v>-3.361522E-3</v>
      </c>
      <c r="W3802">
        <v>-0.1034108</v>
      </c>
      <c r="X3802">
        <v>0.99463299999999999</v>
      </c>
      <c r="Y3802">
        <v>9.4695639999999998E-2</v>
      </c>
      <c r="Z3802">
        <v>-2.436347E-4</v>
      </c>
      <c r="AA3802">
        <v>0.99550620000000001</v>
      </c>
      <c r="AB3802">
        <v>17</v>
      </c>
      <c r="AC3802">
        <v>0.64600000000001501</v>
      </c>
      <c r="AD3802">
        <v>-6.6817000000000099E-2</v>
      </c>
      <c r="AE3802">
        <v>-0.117999999999994</v>
      </c>
      <c r="AF3802">
        <v>7.8404136604859107E-2</v>
      </c>
      <c r="AG3802">
        <v>-6.6817000000000099E-2</v>
      </c>
      <c r="AH3802">
        <v>0.645213560377211</v>
      </c>
      <c r="AI3802">
        <v>95.869487249352105</v>
      </c>
      <c r="AJ3802">
        <v>83.071582643381205</v>
      </c>
      <c r="AK3802">
        <v>0.65338522987621195</v>
      </c>
      <c r="AL3802">
        <v>95.935613968412</v>
      </c>
      <c r="AM3802">
        <v>90.193639553525998</v>
      </c>
      <c r="AN3802">
        <v>0.99999994903789602</v>
      </c>
    </row>
    <row r="3803" spans="1:40" x14ac:dyDescent="0.25">
      <c r="A3803" t="str">
        <f>"20190303154211107"</f>
        <v>20190303154211107</v>
      </c>
      <c r="B3803" t="str">
        <f>"1551598931103116"</f>
        <v>1551598931103116</v>
      </c>
      <c r="C3803" t="s">
        <v>40</v>
      </c>
      <c r="D3803">
        <v>6.0581559999999897</v>
      </c>
      <c r="E3803">
        <v>0.51198829999999995</v>
      </c>
      <c r="F3803" t="s">
        <v>50</v>
      </c>
      <c r="G3803">
        <v>-460.5634</v>
      </c>
      <c r="H3803" s="1">
        <v>-1.207005E-6</v>
      </c>
      <c r="I3803">
        <v>213.93020000000001</v>
      </c>
      <c r="J3803">
        <v>-474.34379999999999</v>
      </c>
      <c r="K3803">
        <v>1.1204970000000001</v>
      </c>
      <c r="L3803">
        <v>216.09700000000001</v>
      </c>
      <c r="M3803">
        <v>0.9981719</v>
      </c>
      <c r="N3803">
        <v>-1.103925E-2</v>
      </c>
      <c r="O3803">
        <v>-5.9424419999999999E-2</v>
      </c>
      <c r="P3803">
        <v>0.99184550000000005</v>
      </c>
      <c r="Q3803">
        <v>-0.11322889999999999</v>
      </c>
      <c r="R3803">
        <v>-5.849729E-2</v>
      </c>
      <c r="S3803">
        <v>2.970917</v>
      </c>
      <c r="T3803">
        <v>-0.23887910000000001</v>
      </c>
      <c r="U3803">
        <v>-0.46383669999999999</v>
      </c>
      <c r="V3803">
        <v>-5.6428819999999999E-4</v>
      </c>
      <c r="W3803">
        <v>-0.1022537</v>
      </c>
      <c r="X3803">
        <v>0.99475820000000004</v>
      </c>
      <c r="Y3803">
        <v>9.5065629999999998E-2</v>
      </c>
      <c r="Z3803">
        <v>-2.3972659999999999E-4</v>
      </c>
      <c r="AA3803">
        <v>0.99547099999999999</v>
      </c>
      <c r="AB3803">
        <v>17</v>
      </c>
      <c r="AC3803">
        <v>13.780399999999901</v>
      </c>
      <c r="AD3803">
        <v>-1.12049820700499</v>
      </c>
      <c r="AE3803">
        <v>-2.1667999999999901</v>
      </c>
      <c r="AF3803">
        <v>1.3354122814432301</v>
      </c>
      <c r="AG3803">
        <v>-1.12049820700499</v>
      </c>
      <c r="AH3803">
        <v>13.7958030655789</v>
      </c>
      <c r="AI3803">
        <v>94.621874928144393</v>
      </c>
      <c r="AJ3803">
        <v>84.471083249691006</v>
      </c>
      <c r="AK3803">
        <v>13.905503385982399</v>
      </c>
      <c r="AL3803">
        <v>95.868963340800903</v>
      </c>
      <c r="AM3803">
        <v>90.032501696212293</v>
      </c>
      <c r="AN3803">
        <v>1.00000000702605</v>
      </c>
    </row>
    <row r="3804" spans="1:40" x14ac:dyDescent="0.25">
      <c r="A3804" t="str">
        <f>"20190303154211129"</f>
        <v>20190303154211129</v>
      </c>
      <c r="B3804" t="str">
        <f>"1551598931123613"</f>
        <v>1551598931123613</v>
      </c>
      <c r="C3804" t="s">
        <v>40</v>
      </c>
      <c r="D3804">
        <v>5.9913889999999999</v>
      </c>
      <c r="E3804">
        <v>0.50686390000000003</v>
      </c>
      <c r="F3804" t="s">
        <v>42</v>
      </c>
      <c r="G3804">
        <v>-473.5514</v>
      </c>
      <c r="H3804">
        <v>1.044594</v>
      </c>
      <c r="I3804">
        <v>216.02500000000001</v>
      </c>
      <c r="J3804">
        <v>-474.17079999999999</v>
      </c>
      <c r="K3804">
        <v>1.1204449999999999</v>
      </c>
      <c r="L3804">
        <v>216.08699999999999</v>
      </c>
      <c r="M3804">
        <v>0.99819310000000006</v>
      </c>
      <c r="N3804">
        <v>-1.049165E-2</v>
      </c>
      <c r="O3804">
        <v>-5.9164620000000001E-2</v>
      </c>
      <c r="P3804">
        <v>0.99198169999999997</v>
      </c>
      <c r="Q3804">
        <v>-0.11119999999999999</v>
      </c>
      <c r="R3804">
        <v>-6.0055329999999997E-2</v>
      </c>
      <c r="S3804">
        <v>2.9761350000000002</v>
      </c>
      <c r="T3804">
        <v>-0.28516529999999901</v>
      </c>
      <c r="U3804">
        <v>-0.27034000000000002</v>
      </c>
      <c r="V3804">
        <v>1.2438130000000001E-3</v>
      </c>
      <c r="W3804">
        <v>-0.1007675</v>
      </c>
      <c r="X3804">
        <v>0.99490919999999905</v>
      </c>
      <c r="Y3804">
        <v>3.1433839999999998E-2</v>
      </c>
      <c r="Z3804">
        <v>3.3542390000000002E-3</v>
      </c>
      <c r="AA3804">
        <v>0.99950019999999995</v>
      </c>
      <c r="AB3804">
        <v>17</v>
      </c>
      <c r="AC3804">
        <v>0.61939999999998396</v>
      </c>
      <c r="AD3804">
        <v>-7.5851000000000099E-2</v>
      </c>
      <c r="AE3804">
        <v>-6.2000000000011803E-2</v>
      </c>
      <c r="AF3804">
        <v>2.4873489278005499E-2</v>
      </c>
      <c r="AG3804">
        <v>-7.5851000000000099E-2</v>
      </c>
      <c r="AH3804">
        <v>0.61288351945597797</v>
      </c>
      <c r="AI3804">
        <v>97.049356665302696</v>
      </c>
      <c r="AJ3804">
        <v>87.675962501412201</v>
      </c>
      <c r="AK3804">
        <v>0.61806008857603001</v>
      </c>
      <c r="AL3804">
        <v>95.783368379371396</v>
      </c>
      <c r="AM3804">
        <v>89.928370148476105</v>
      </c>
      <c r="AN3804">
        <v>0.99999997618583303</v>
      </c>
    </row>
    <row r="3805" spans="1:40" x14ac:dyDescent="0.25">
      <c r="A3805" t="str">
        <f>"20190303154211151"</f>
        <v>20190303154211151</v>
      </c>
      <c r="B3805" t="str">
        <f>"1551598931143133"</f>
        <v>1551598931143133</v>
      </c>
      <c r="C3805" t="s">
        <v>40</v>
      </c>
      <c r="D3805">
        <v>5.9924089999999897</v>
      </c>
      <c r="E3805">
        <v>0.50498989999999999</v>
      </c>
      <c r="F3805" t="s">
        <v>50</v>
      </c>
      <c r="G3805">
        <v>-460.42320000000001</v>
      </c>
      <c r="H3805" s="1">
        <v>-1.3288450000000001E-6</v>
      </c>
      <c r="I3805">
        <v>215.01130000000001</v>
      </c>
      <c r="J3805">
        <v>-474.00299999999999</v>
      </c>
      <c r="K3805">
        <v>1.120395</v>
      </c>
      <c r="L3805">
        <v>216.07730000000001</v>
      </c>
      <c r="M3805">
        <v>0.99821150000000003</v>
      </c>
      <c r="N3805">
        <v>-9.9848000000000003E-3</v>
      </c>
      <c r="O3805">
        <v>-5.894398E-2</v>
      </c>
      <c r="P3805">
        <v>0.99217069999999996</v>
      </c>
      <c r="Q3805">
        <v>-0.1093272</v>
      </c>
      <c r="R3805">
        <v>-6.0374379999999998E-2</v>
      </c>
      <c r="S3805">
        <v>2.9828800000000002</v>
      </c>
      <c r="T3805">
        <v>-0.24310899999999999</v>
      </c>
      <c r="U3805">
        <v>-0.23339840000000001</v>
      </c>
      <c r="V3805">
        <v>1.774124E-3</v>
      </c>
      <c r="W3805">
        <v>-9.9397029999999997E-2</v>
      </c>
      <c r="X3805">
        <v>0.99504630000000005</v>
      </c>
      <c r="Y3805">
        <v>1.9182890000000001E-2</v>
      </c>
      <c r="Z3805">
        <v>3.3212129999999999E-3</v>
      </c>
      <c r="AA3805">
        <v>0.99981050000000005</v>
      </c>
      <c r="AB3805">
        <v>17</v>
      </c>
      <c r="AC3805">
        <v>13.579800000000001</v>
      </c>
      <c r="AD3805">
        <v>-1.1203963288450001</v>
      </c>
      <c r="AE3805">
        <v>-1.0660000000000001</v>
      </c>
      <c r="AF3805">
        <v>0.261887351673948</v>
      </c>
      <c r="AG3805">
        <v>-1.1203963288450001</v>
      </c>
      <c r="AH3805">
        <v>13.5275057786516</v>
      </c>
      <c r="AI3805">
        <v>94.733751663576001</v>
      </c>
      <c r="AJ3805">
        <v>88.890914110707996</v>
      </c>
      <c r="AK3805">
        <v>13.5763502278819</v>
      </c>
      <c r="AL3805">
        <v>95.704449690756405</v>
      </c>
      <c r="AM3805">
        <v>89.897844241197205</v>
      </c>
      <c r="AN3805">
        <v>1.00000002811623</v>
      </c>
    </row>
    <row r="3806" spans="1:40" x14ac:dyDescent="0.25">
      <c r="A3806" t="str">
        <f>"20190303154211175"</f>
        <v>20190303154211175</v>
      </c>
      <c r="B3806" t="str">
        <f>"1551598931163631"</f>
        <v>1551598931163631</v>
      </c>
      <c r="C3806" t="s">
        <v>40</v>
      </c>
      <c r="D3806">
        <v>6.0412210000000002</v>
      </c>
      <c r="E3806">
        <v>0.50300500000000004</v>
      </c>
      <c r="F3806" t="s">
        <v>50</v>
      </c>
      <c r="G3806">
        <v>-459.3329</v>
      </c>
      <c r="H3806" s="1">
        <v>3.4128769999999898E-6</v>
      </c>
      <c r="I3806">
        <v>215.0009</v>
      </c>
      <c r="J3806">
        <v>-473.8254</v>
      </c>
      <c r="K3806">
        <v>1.1203559999999999</v>
      </c>
      <c r="L3806">
        <v>216.06710000000001</v>
      </c>
      <c r="M3806">
        <v>0.99822949999999999</v>
      </c>
      <c r="N3806">
        <v>-9.4835219999999994E-3</v>
      </c>
      <c r="O3806">
        <v>-5.8720809999999998E-2</v>
      </c>
      <c r="P3806">
        <v>0.99211780000000005</v>
      </c>
      <c r="Q3806">
        <v>-0.1100338</v>
      </c>
      <c r="R3806">
        <v>-5.9961340000000002E-2</v>
      </c>
      <c r="S3806">
        <v>2.9852599999999998</v>
      </c>
      <c r="T3806">
        <v>-0.2279909</v>
      </c>
      <c r="U3806">
        <v>-0.21905520000000001</v>
      </c>
      <c r="V3806">
        <v>1.591255E-3</v>
      </c>
      <c r="W3806">
        <v>-0.100603</v>
      </c>
      <c r="X3806">
        <v>0.99492539999999996</v>
      </c>
      <c r="Y3806">
        <v>1.457259E-2</v>
      </c>
      <c r="Z3806">
        <v>3.2875930000000001E-3</v>
      </c>
      <c r="AA3806">
        <v>0.99988840000000001</v>
      </c>
      <c r="AB3806">
        <v>17</v>
      </c>
      <c r="AC3806">
        <v>14.4925</v>
      </c>
      <c r="AD3806">
        <v>-1.120352587123</v>
      </c>
      <c r="AE3806">
        <v>-1.0662</v>
      </c>
      <c r="AF3806">
        <v>0.21205009940015301</v>
      </c>
      <c r="AG3806">
        <v>-1.120352587123</v>
      </c>
      <c r="AH3806">
        <v>14.444244530660299</v>
      </c>
      <c r="AI3806">
        <v>94.434730644147095</v>
      </c>
      <c r="AJ3806">
        <v>89.158924303513004</v>
      </c>
      <c r="AK3806">
        <v>14.4891806264412</v>
      </c>
      <c r="AL3806">
        <v>95.773894808337005</v>
      </c>
      <c r="AM3806">
        <v>89.908362860280704</v>
      </c>
      <c r="AN3806">
        <v>1.00000002363331</v>
      </c>
    </row>
    <row r="3807" spans="1:40" x14ac:dyDescent="0.25">
      <c r="A3807" t="str">
        <f>"20190303154211197"</f>
        <v>20190303154211197</v>
      </c>
      <c r="B3807" t="str">
        <f>"1551598931193885"</f>
        <v>1551598931193885</v>
      </c>
      <c r="C3807" t="s">
        <v>40</v>
      </c>
      <c r="D3807">
        <v>6.0375439999999996</v>
      </c>
      <c r="E3807">
        <v>0.50138309999999997</v>
      </c>
      <c r="F3807" t="s">
        <v>50</v>
      </c>
      <c r="G3807">
        <v>-460.01679999999999</v>
      </c>
      <c r="H3807" s="1">
        <v>-1.550467E-6</v>
      </c>
      <c r="I3807">
        <v>215.1335</v>
      </c>
      <c r="J3807">
        <v>-473.64499999999998</v>
      </c>
      <c r="K3807">
        <v>1.1203339999999999</v>
      </c>
      <c r="L3807">
        <v>216.05680000000001</v>
      </c>
      <c r="M3807">
        <v>0.99824729999999995</v>
      </c>
      <c r="N3807">
        <v>-9.006165E-3</v>
      </c>
      <c r="O3807">
        <v>-5.8491969999999997E-2</v>
      </c>
      <c r="P3807">
        <v>0.99202480000000004</v>
      </c>
      <c r="Q3807">
        <v>-0.1115491</v>
      </c>
      <c r="R3807">
        <v>-5.8685660000000001E-2</v>
      </c>
      <c r="S3807">
        <v>2.984772</v>
      </c>
      <c r="T3807">
        <v>-0.24216869999999999</v>
      </c>
      <c r="U3807">
        <v>-0.20181270000000001</v>
      </c>
      <c r="V3807">
        <v>5.5709080000000005E-4</v>
      </c>
      <c r="W3807">
        <v>-0.10259459999999999</v>
      </c>
      <c r="X3807">
        <v>0.99472309999999997</v>
      </c>
      <c r="Y3807">
        <v>9.1012969999999995E-3</v>
      </c>
      <c r="Z3807">
        <v>3.7929909999999999E-3</v>
      </c>
      <c r="AA3807">
        <v>0.99995140000000005</v>
      </c>
      <c r="AB3807">
        <v>17</v>
      </c>
      <c r="AC3807">
        <v>13.6281999999999</v>
      </c>
      <c r="AD3807">
        <v>-1.1203355504669901</v>
      </c>
      <c r="AE3807">
        <v>-0.923300000000011</v>
      </c>
      <c r="AF3807">
        <v>0.123714268771437</v>
      </c>
      <c r="AG3807">
        <v>-1.1203355504669901</v>
      </c>
      <c r="AH3807">
        <v>13.567601661683</v>
      </c>
      <c r="AI3807">
        <v>94.720255593870107</v>
      </c>
      <c r="AJ3807">
        <v>89.477570966369598</v>
      </c>
      <c r="AK3807">
        <v>13.6143406676946</v>
      </c>
      <c r="AL3807">
        <v>95.888598756102098</v>
      </c>
      <c r="AM3807">
        <v>89.967911725073606</v>
      </c>
      <c r="AN3807">
        <v>1.0000000039864601</v>
      </c>
    </row>
    <row r="3808" spans="1:40" x14ac:dyDescent="0.25">
      <c r="A3808" t="str">
        <f>"20190303154211219"</f>
        <v>20190303154211219</v>
      </c>
      <c r="B3808" t="str">
        <f>"1551598931213406"</f>
        <v>1551598931213406</v>
      </c>
      <c r="C3808" t="s">
        <v>40</v>
      </c>
      <c r="D3808">
        <v>6.0311949999999896</v>
      </c>
      <c r="E3808">
        <v>0.500971099999999</v>
      </c>
      <c r="F3808" t="s">
        <v>42</v>
      </c>
      <c r="G3808">
        <v>-472.76859999999999</v>
      </c>
      <c r="H3808">
        <v>1.0440039999999999</v>
      </c>
      <c r="I3808">
        <v>216.00200000000001</v>
      </c>
      <c r="J3808">
        <v>-473.47390000000001</v>
      </c>
      <c r="K3808">
        <v>1.1203179999999999</v>
      </c>
      <c r="L3808">
        <v>216.047</v>
      </c>
      <c r="M3808">
        <v>0.99826440000000005</v>
      </c>
      <c r="N3808">
        <v>-8.571759E-3</v>
      </c>
      <c r="O3808">
        <v>-5.8266989999999998E-2</v>
      </c>
      <c r="P3808">
        <v>0.99219539999999995</v>
      </c>
      <c r="Q3808">
        <v>-0.111624</v>
      </c>
      <c r="R3808">
        <v>-5.5576819999999999E-2</v>
      </c>
      <c r="S3808">
        <v>2.9839169999999999</v>
      </c>
      <c r="T3808">
        <v>-0.2599552</v>
      </c>
      <c r="U3808">
        <v>-0.1854401</v>
      </c>
      <c r="V3808">
        <v>-2.3257709999999999E-3</v>
      </c>
      <c r="W3808">
        <v>-0.10310179999999999</v>
      </c>
      <c r="X3808">
        <v>0.99466810000000005</v>
      </c>
      <c r="Y3808">
        <v>3.9265970000000004E-3</v>
      </c>
      <c r="Z3808">
        <v>4.3712569999999999E-3</v>
      </c>
      <c r="AA3808">
        <v>0.9999827</v>
      </c>
      <c r="AB3808">
        <v>18</v>
      </c>
      <c r="AC3808">
        <v>0.70530000000002202</v>
      </c>
      <c r="AD3808">
        <v>-7.6313999999999702E-2</v>
      </c>
      <c r="AE3808">
        <v>-4.4999999999987397E-2</v>
      </c>
      <c r="AF3808">
        <v>3.78222932554517E-3</v>
      </c>
      <c r="AG3808">
        <v>-7.6313999999999702E-2</v>
      </c>
      <c r="AH3808">
        <v>0.69857836095528103</v>
      </c>
      <c r="AI3808">
        <v>96.234285443621403</v>
      </c>
      <c r="AJ3808">
        <v>89.689793340023002</v>
      </c>
      <c r="AK3808">
        <v>0.70274451847711905</v>
      </c>
      <c r="AL3808">
        <v>95.917814068489804</v>
      </c>
      <c r="AM3808">
        <v>90.133970939211096</v>
      </c>
      <c r="AN3808">
        <v>1.00000000976579</v>
      </c>
    </row>
    <row r="3809" spans="1:40" x14ac:dyDescent="0.25">
      <c r="A3809" t="str">
        <f>"20190303154211242"</f>
        <v>20190303154211242</v>
      </c>
      <c r="B3809" t="str">
        <f>"1551598931232925"</f>
        <v>1551598931232925</v>
      </c>
      <c r="C3809" t="s">
        <v>40</v>
      </c>
      <c r="D3809">
        <v>6.0217349999999996</v>
      </c>
      <c r="E3809">
        <v>0.50132100000000002</v>
      </c>
      <c r="F3809" t="s">
        <v>50</v>
      </c>
      <c r="G3809">
        <v>-460.47190000000001</v>
      </c>
      <c r="H3809" s="1">
        <v>-1.315341E-6</v>
      </c>
      <c r="I3809">
        <v>215.2954</v>
      </c>
      <c r="J3809">
        <v>-473.29399999999998</v>
      </c>
      <c r="K3809">
        <v>1.120309</v>
      </c>
      <c r="L3809">
        <v>216.0368</v>
      </c>
      <c r="M3809">
        <v>0.99828249999999996</v>
      </c>
      <c r="N3809">
        <v>-8.1361530000000001E-3</v>
      </c>
      <c r="O3809">
        <v>-5.8018159999999999E-2</v>
      </c>
      <c r="P3809">
        <v>0.99265150000000002</v>
      </c>
      <c r="Q3809">
        <v>-0.1096328</v>
      </c>
      <c r="R3809">
        <v>-5.1225430000000002E-2</v>
      </c>
      <c r="S3809">
        <v>2.9850159999999999</v>
      </c>
      <c r="T3809">
        <v>-0.25720409999999999</v>
      </c>
      <c r="U3809">
        <v>-0.17254639999999999</v>
      </c>
      <c r="V3809">
        <v>-6.4422330000000003E-3</v>
      </c>
      <c r="W3809">
        <v>-0.10154299999999999</v>
      </c>
      <c r="X3809">
        <v>0.99481030000000004</v>
      </c>
      <c r="Y3809">
        <v>-1.3685079999999999E-4</v>
      </c>
      <c r="Z3809">
        <v>4.5167380000000002E-3</v>
      </c>
      <c r="AA3809">
        <v>0.99998980000000004</v>
      </c>
      <c r="AB3809">
        <v>18</v>
      </c>
      <c r="AC3809">
        <v>12.822100000000001</v>
      </c>
      <c r="AD3809">
        <v>-1.1203103153409999</v>
      </c>
      <c r="AE3809">
        <v>-0.74139999999999795</v>
      </c>
      <c r="AF3809">
        <v>-3.7595237626922798E-3</v>
      </c>
      <c r="AG3809">
        <v>-1.1203103153409999</v>
      </c>
      <c r="AH3809">
        <v>12.7465320282377</v>
      </c>
      <c r="AI3809">
        <v>95.022897774734105</v>
      </c>
      <c r="AJ3809">
        <v>90.016899093640305</v>
      </c>
      <c r="AK3809">
        <v>12.795670677364599</v>
      </c>
      <c r="AL3809">
        <v>95.828030158707804</v>
      </c>
      <c r="AM3809">
        <v>90.371033152654704</v>
      </c>
      <c r="AN3809">
        <v>1.00000000810055</v>
      </c>
    </row>
    <row r="3810" spans="1:40" x14ac:dyDescent="0.25">
      <c r="A3810" t="str">
        <f>"20190303154211268"</f>
        <v>20190303154211268</v>
      </c>
      <c r="B3810" t="str">
        <f>"1551598931263181"</f>
        <v>1551598931263181</v>
      </c>
      <c r="C3810" t="s">
        <v>40</v>
      </c>
      <c r="D3810">
        <v>6.0278039999999997</v>
      </c>
      <c r="E3810">
        <v>0.50179510000000005</v>
      </c>
      <c r="F3810" t="s">
        <v>50</v>
      </c>
      <c r="G3810">
        <v>-459.70339999999999</v>
      </c>
      <c r="H3810" s="1">
        <v>3.597021E-6</v>
      </c>
      <c r="I3810">
        <v>215.2996</v>
      </c>
      <c r="J3810">
        <v>-473.09089999999998</v>
      </c>
      <c r="K3810">
        <v>1.1203000000000001</v>
      </c>
      <c r="L3810">
        <v>216.02529999999999</v>
      </c>
      <c r="M3810">
        <v>0.99830319999999995</v>
      </c>
      <c r="N3810">
        <v>-7.6755019999999998E-3</v>
      </c>
      <c r="O3810">
        <v>-5.77212E-2</v>
      </c>
      <c r="P3810">
        <v>0.99312750000000005</v>
      </c>
      <c r="Q3810">
        <v>-0.1077222</v>
      </c>
      <c r="R3810">
        <v>-4.5757550000000001E-2</v>
      </c>
      <c r="S3810">
        <v>2.986694</v>
      </c>
      <c r="T3810">
        <v>-0.24620059999999999</v>
      </c>
      <c r="U3810">
        <v>-0.1620026</v>
      </c>
      <c r="V3810">
        <v>-1.162673E-2</v>
      </c>
      <c r="W3810">
        <v>-0.1000909</v>
      </c>
      <c r="X3810">
        <v>0.99491039999999997</v>
      </c>
      <c r="Y3810">
        <v>-3.3938990000000001E-3</v>
      </c>
      <c r="Z3810">
        <v>4.452943E-3</v>
      </c>
      <c r="AA3810">
        <v>0.99998430000000005</v>
      </c>
      <c r="AB3810">
        <v>18</v>
      </c>
      <c r="AC3810">
        <v>13.3874999999999</v>
      </c>
      <c r="AD3810">
        <v>-1.1202964029789999</v>
      </c>
      <c r="AE3810">
        <v>-0.72569999999998902</v>
      </c>
      <c r="AF3810">
        <v>-4.7940625206932097E-2</v>
      </c>
      <c r="AG3810">
        <v>-1.1202964029789999</v>
      </c>
      <c r="AH3810">
        <v>13.314105944302799</v>
      </c>
      <c r="AI3810">
        <v>94.809710527227296</v>
      </c>
      <c r="AJ3810">
        <v>90.2063062763754</v>
      </c>
      <c r="AK3810">
        <v>13.3612416874403</v>
      </c>
      <c r="AL3810">
        <v>95.744404714759696</v>
      </c>
      <c r="AM3810">
        <v>90.6695399260541</v>
      </c>
      <c r="AN3810">
        <v>1.00000003657073</v>
      </c>
    </row>
    <row r="3811" spans="1:40" x14ac:dyDescent="0.25">
      <c r="A3811" t="str">
        <f>"20190303154211288"</f>
        <v>20190303154211288</v>
      </c>
      <c r="B3811" t="str">
        <f>"1551598931283677"</f>
        <v>1551598931283677</v>
      </c>
      <c r="C3811" t="s">
        <v>40</v>
      </c>
      <c r="D3811">
        <v>6.0301859999999996</v>
      </c>
      <c r="E3811">
        <v>0.5024092</v>
      </c>
      <c r="F3811" t="s">
        <v>50</v>
      </c>
      <c r="G3811">
        <v>-458.7321</v>
      </c>
      <c r="H3811" s="1">
        <v>3.0796990000000001E-6</v>
      </c>
      <c r="I3811">
        <v>215.3091</v>
      </c>
      <c r="J3811">
        <v>-472.91849999999999</v>
      </c>
      <c r="K3811">
        <v>1.120288</v>
      </c>
      <c r="L3811">
        <v>216.01560000000001</v>
      </c>
      <c r="M3811">
        <v>0.99832120000000002</v>
      </c>
      <c r="N3811">
        <v>-7.3098669999999899E-3</v>
      </c>
      <c r="O3811">
        <v>-5.7456460000000001E-2</v>
      </c>
      <c r="P3811">
        <v>0.9934577</v>
      </c>
      <c r="Q3811">
        <v>-0.1068429</v>
      </c>
      <c r="R3811">
        <v>-4.0333599999999997E-2</v>
      </c>
      <c r="S3811">
        <v>2.9886170000000001</v>
      </c>
      <c r="T3811">
        <v>-0.23317650000000001</v>
      </c>
      <c r="U3811">
        <v>-0.1490784</v>
      </c>
      <c r="V3811">
        <v>-1.6792789999999998E-2</v>
      </c>
      <c r="W3811">
        <v>-9.9576899999999996E-2</v>
      </c>
      <c r="X3811">
        <v>0.99488810000000005</v>
      </c>
      <c r="Y3811">
        <v>-7.4812380000000003E-3</v>
      </c>
      <c r="Z3811">
        <v>4.3689619999999997E-3</v>
      </c>
      <c r="AA3811">
        <v>0.99996240000000003</v>
      </c>
      <c r="AB3811">
        <v>18</v>
      </c>
      <c r="AC3811">
        <v>14.1863999999999</v>
      </c>
      <c r="AD3811">
        <v>-1.1202849203009999</v>
      </c>
      <c r="AE3811">
        <v>-0.70650000000000501</v>
      </c>
      <c r="AF3811">
        <v>-0.10911059484706399</v>
      </c>
      <c r="AG3811">
        <v>-1.1202849203009999</v>
      </c>
      <c r="AH3811">
        <v>14.115747739182799</v>
      </c>
      <c r="AI3811">
        <v>94.537587021529205</v>
      </c>
      <c r="AJ3811">
        <v>90.442870770836706</v>
      </c>
      <c r="AK3811">
        <v>14.1605535788967</v>
      </c>
      <c r="AL3811">
        <v>95.714807347036398</v>
      </c>
      <c r="AM3811">
        <v>90.967007882705701</v>
      </c>
      <c r="AN3811">
        <v>0.99999994416560001</v>
      </c>
    </row>
    <row r="3812" spans="1:40" x14ac:dyDescent="0.25">
      <c r="A3812" t="str">
        <f>"20190303154211311"</f>
        <v>20190303154211311</v>
      </c>
      <c r="B3812" t="str">
        <f>"1551598931303197"</f>
        <v>1551598931303197</v>
      </c>
      <c r="C3812" t="s">
        <v>40</v>
      </c>
      <c r="D3812">
        <v>6.0537609999999997</v>
      </c>
      <c r="E3812">
        <v>0.5029477</v>
      </c>
      <c r="F3812" t="s">
        <v>50</v>
      </c>
      <c r="G3812">
        <v>-458.18509999999998</v>
      </c>
      <c r="H3812" s="1">
        <v>2.7873809999999999E-6</v>
      </c>
      <c r="I3812">
        <v>215.3381</v>
      </c>
      <c r="J3812">
        <v>-472.73590000000002</v>
      </c>
      <c r="K3812">
        <v>1.1202650000000001</v>
      </c>
      <c r="L3812">
        <v>216.00550000000001</v>
      </c>
      <c r="M3812">
        <v>0.99834060000000002</v>
      </c>
      <c r="N3812">
        <v>-6.9457019999999998E-3</v>
      </c>
      <c r="O3812">
        <v>-5.7165140000000003E-2</v>
      </c>
      <c r="P3812">
        <v>0.99368190000000001</v>
      </c>
      <c r="Q3812">
        <v>-0.1066206</v>
      </c>
      <c r="R3812">
        <v>-3.5047559999999998E-2</v>
      </c>
      <c r="S3812">
        <v>2.9897459999999998</v>
      </c>
      <c r="T3812">
        <v>-0.22733239999999999</v>
      </c>
      <c r="U3812">
        <v>-0.13748170000000001</v>
      </c>
      <c r="V3812">
        <v>-2.1789579999999999E-2</v>
      </c>
      <c r="W3812">
        <v>-9.9719349999999998E-2</v>
      </c>
      <c r="X3812">
        <v>0.99477700000000002</v>
      </c>
      <c r="Y3812">
        <v>-1.107491E-2</v>
      </c>
      <c r="Z3812">
        <v>4.397087E-3</v>
      </c>
      <c r="AA3812">
        <v>0.99992899999999996</v>
      </c>
      <c r="AB3812">
        <v>18</v>
      </c>
      <c r="AC3812">
        <v>14.550800000000001</v>
      </c>
      <c r="AD3812">
        <v>-1.1202622126189901</v>
      </c>
      <c r="AE3812">
        <v>-0.66740000000001398</v>
      </c>
      <c r="AF3812">
        <v>-0.16453676007493401</v>
      </c>
      <c r="AG3812">
        <v>-1.1202622126189901</v>
      </c>
      <c r="AH3812">
        <v>14.4795114392766</v>
      </c>
      <c r="AI3812">
        <v>94.423807007274505</v>
      </c>
      <c r="AJ3812">
        <v>90.6510479463157</v>
      </c>
      <c r="AK3812">
        <v>14.523715478161201</v>
      </c>
      <c r="AL3812">
        <v>95.7230095961948</v>
      </c>
      <c r="AM3812">
        <v>91.254805213961802</v>
      </c>
      <c r="AN3812">
        <v>1.0000000071449899</v>
      </c>
    </row>
    <row r="3813" spans="1:40" x14ac:dyDescent="0.25">
      <c r="A3813" t="str">
        <f>"20190303154211330"</f>
        <v>20190303154211330</v>
      </c>
      <c r="B3813" t="str">
        <f>"1551598931323693"</f>
        <v>1551598931323693</v>
      </c>
      <c r="C3813" t="s">
        <v>40</v>
      </c>
      <c r="D3813">
        <v>6.0185969999999998</v>
      </c>
      <c r="E3813">
        <v>0.50355019999999995</v>
      </c>
      <c r="F3813" t="s">
        <v>50</v>
      </c>
      <c r="G3813">
        <v>-457.82159999999999</v>
      </c>
      <c r="H3813" s="1">
        <v>2.5921780000000002E-6</v>
      </c>
      <c r="I3813">
        <v>215.37819999999999</v>
      </c>
      <c r="J3813">
        <v>-472.56900000000002</v>
      </c>
      <c r="K3813">
        <v>1.1202379999999901</v>
      </c>
      <c r="L3813">
        <v>215.99619999999999</v>
      </c>
      <c r="M3813">
        <v>0.99835839999999998</v>
      </c>
      <c r="N3813">
        <v>-6.6289490000000003E-3</v>
      </c>
      <c r="O3813">
        <v>-5.6892539999999998E-2</v>
      </c>
      <c r="P3813">
        <v>0.99381969999999997</v>
      </c>
      <c r="Q3813">
        <v>-0.1068172</v>
      </c>
      <c r="R3813">
        <v>-3.0212639999999999E-2</v>
      </c>
      <c r="S3813">
        <v>2.9905400000000002</v>
      </c>
      <c r="T3813">
        <v>-0.22462950000000001</v>
      </c>
      <c r="U3813">
        <v>-0.12577819999999901</v>
      </c>
      <c r="V3813">
        <v>-2.6350229999999999E-2</v>
      </c>
      <c r="W3813">
        <v>-0.10023360000000001</v>
      </c>
      <c r="X3813">
        <v>0.99461500000000003</v>
      </c>
      <c r="Y3813">
        <v>-1.471227E-2</v>
      </c>
      <c r="Z3813">
        <v>4.4861249999999997E-3</v>
      </c>
      <c r="AA3813">
        <v>0.99988169999999998</v>
      </c>
      <c r="AB3813">
        <v>18</v>
      </c>
      <c r="AC3813">
        <v>14.747400000000001</v>
      </c>
      <c r="AD3813">
        <v>-1.12023540782199</v>
      </c>
      <c r="AE3813">
        <v>-0.617999999999995</v>
      </c>
      <c r="AF3813">
        <v>-0.22076479505198299</v>
      </c>
      <c r="AG3813">
        <v>-1.12023540782199</v>
      </c>
      <c r="AH3813">
        <v>14.6741493408823</v>
      </c>
      <c r="AI3813">
        <v>94.365042609469796</v>
      </c>
      <c r="AJ3813">
        <v>90.861919594602895</v>
      </c>
      <c r="AK3813">
        <v>14.718502754770601</v>
      </c>
      <c r="AL3813">
        <v>95.752622047791107</v>
      </c>
      <c r="AM3813">
        <v>91.517576044431493</v>
      </c>
      <c r="AN3813">
        <v>1.0000000537075</v>
      </c>
    </row>
    <row r="3814" spans="1:40" x14ac:dyDescent="0.25">
      <c r="A3814" t="str">
        <f>"20190303154211351"</f>
        <v>20190303154211351</v>
      </c>
      <c r="B3814" t="str">
        <f>"1551598931343213"</f>
        <v>1551598931343213</v>
      </c>
      <c r="C3814" t="s">
        <v>40</v>
      </c>
      <c r="D3814">
        <v>6.0088499999999998</v>
      </c>
      <c r="E3814">
        <v>0.50414910000000002</v>
      </c>
      <c r="F3814" t="s">
        <v>50</v>
      </c>
      <c r="G3814">
        <v>-457.5702</v>
      </c>
      <c r="H3814" s="1">
        <v>2.4567710000000002E-6</v>
      </c>
      <c r="I3814">
        <v>215.41470000000001</v>
      </c>
      <c r="J3814">
        <v>-472.39870000000002</v>
      </c>
      <c r="K3814">
        <v>1.120217</v>
      </c>
      <c r="L3814">
        <v>215.98679999999999</v>
      </c>
      <c r="M3814">
        <v>0.9983765</v>
      </c>
      <c r="N3814">
        <v>-6.3139030000000001E-3</v>
      </c>
      <c r="O3814">
        <v>-5.6611199999999903E-2</v>
      </c>
      <c r="P3814">
        <v>0.99399850000000001</v>
      </c>
      <c r="Q3814">
        <v>-0.10601919999999999</v>
      </c>
      <c r="R3814">
        <v>-2.6969E-2</v>
      </c>
      <c r="S3814">
        <v>2.9911189999999999</v>
      </c>
      <c r="T3814">
        <v>-0.2234006</v>
      </c>
      <c r="U3814">
        <v>-0.11596679999999999</v>
      </c>
      <c r="V3814">
        <v>-2.931667E-2</v>
      </c>
      <c r="W3814">
        <v>-9.9750329999999998E-2</v>
      </c>
      <c r="X3814">
        <v>0.99458049999999998</v>
      </c>
      <c r="Y3814">
        <v>-1.7705559999999999E-2</v>
      </c>
      <c r="Z3814">
        <v>4.5767999999999998E-3</v>
      </c>
      <c r="AA3814">
        <v>0.99983270000000002</v>
      </c>
      <c r="AB3814">
        <v>18</v>
      </c>
      <c r="AC3814">
        <v>14.8285</v>
      </c>
      <c r="AD3814">
        <v>-1.120214543229</v>
      </c>
      <c r="AE3814">
        <v>-0.57209999999997696</v>
      </c>
      <c r="AF3814">
        <v>-0.26677307581396797</v>
      </c>
      <c r="AG3814">
        <v>-1.120214543229</v>
      </c>
      <c r="AH3814">
        <v>14.753036046090299</v>
      </c>
      <c r="AI3814">
        <v>94.341493419020296</v>
      </c>
      <c r="AJ3814">
        <v>91.035943086624499</v>
      </c>
      <c r="AK3814">
        <v>14.797909348083</v>
      </c>
      <c r="AL3814">
        <v>95.724793651333897</v>
      </c>
      <c r="AM3814">
        <v>91.688385438239607</v>
      </c>
      <c r="AN3814">
        <v>0.99999998322762296</v>
      </c>
    </row>
    <row r="3815" spans="1:40" x14ac:dyDescent="0.25">
      <c r="A3815" t="str">
        <f>"20190303154211375"</f>
        <v>20190303154211375</v>
      </c>
      <c r="B3815" t="str">
        <f>"1551598931363709"</f>
        <v>1551598931363709</v>
      </c>
      <c r="C3815" t="s">
        <v>40</v>
      </c>
      <c r="D3815">
        <v>6.0104839999999999</v>
      </c>
      <c r="E3815">
        <v>0.50452149999999996</v>
      </c>
      <c r="F3815" t="s">
        <v>50</v>
      </c>
      <c r="G3815">
        <v>-457.26659999999998</v>
      </c>
      <c r="H3815" s="1">
        <v>2.294807E-6</v>
      </c>
      <c r="I3815">
        <v>215.42449999999999</v>
      </c>
      <c r="J3815">
        <v>-472.20190000000002</v>
      </c>
      <c r="K3815">
        <v>1.1201840000000001</v>
      </c>
      <c r="L3815">
        <v>215.976</v>
      </c>
      <c r="M3815">
        <v>0.99839699999999998</v>
      </c>
      <c r="N3815">
        <v>-5.9517869999999896E-3</v>
      </c>
      <c r="O3815">
        <v>-5.6285080000000001E-2</v>
      </c>
      <c r="P3815">
        <v>0.99416789999999999</v>
      </c>
      <c r="Q3815">
        <v>-0.1050142</v>
      </c>
      <c r="R3815">
        <v>-2.4536079999999998E-2</v>
      </c>
      <c r="S3815">
        <v>2.9915470000000002</v>
      </c>
      <c r="T3815">
        <v>-0.22146170000000001</v>
      </c>
      <c r="U3815">
        <v>-0.1111755</v>
      </c>
      <c r="V3815">
        <v>-3.1429060000000002E-2</v>
      </c>
      <c r="W3815">
        <v>-9.9106390000000003E-2</v>
      </c>
      <c r="X3815">
        <v>0.99458040000000003</v>
      </c>
      <c r="Y3815">
        <v>-1.898263E-2</v>
      </c>
      <c r="Z3815">
        <v>4.580219E-3</v>
      </c>
      <c r="AA3815">
        <v>0.99980930000000001</v>
      </c>
      <c r="AB3815">
        <v>18</v>
      </c>
      <c r="AC3815">
        <v>14.9353</v>
      </c>
      <c r="AD3815">
        <v>-1.1201817051930001</v>
      </c>
      <c r="AE3815">
        <v>-0.55150000000000399</v>
      </c>
      <c r="AF3815">
        <v>-0.28840358609261701</v>
      </c>
      <c r="AG3815">
        <v>-1.1201817051930001</v>
      </c>
      <c r="AH3815">
        <v>14.8591903426714</v>
      </c>
      <c r="AI3815">
        <v>94.310362412319904</v>
      </c>
      <c r="AJ3815">
        <v>91.111920191579003</v>
      </c>
      <c r="AK3815">
        <v>14.904144434379999</v>
      </c>
      <c r="AL3815">
        <v>95.687714676256604</v>
      </c>
      <c r="AM3815">
        <v>91.809962726276595</v>
      </c>
      <c r="AN3815">
        <v>1.0000000172077299</v>
      </c>
    </row>
    <row r="3816" spans="1:40" x14ac:dyDescent="0.25">
      <c r="A3816" t="str">
        <f>"20190303154211397"</f>
        <v>20190303154211397</v>
      </c>
      <c r="B3816" t="str">
        <f>"1551598931392989"</f>
        <v>1551598931392989</v>
      </c>
      <c r="C3816" t="s">
        <v>40</v>
      </c>
      <c r="D3816">
        <v>6.1269939999999998</v>
      </c>
      <c r="E3816">
        <v>0.50486980000000004</v>
      </c>
      <c r="F3816" t="s">
        <v>50</v>
      </c>
      <c r="G3816">
        <v>-456.81389999999999</v>
      </c>
      <c r="H3816" s="1">
        <v>2.0539330000000002E-6</v>
      </c>
      <c r="I3816">
        <v>215.42429999999999</v>
      </c>
      <c r="J3816">
        <v>-472.01580000000001</v>
      </c>
      <c r="K3816">
        <v>1.1201399999999999</v>
      </c>
      <c r="L3816">
        <v>215.9659</v>
      </c>
      <c r="M3816">
        <v>0.99841670000000005</v>
      </c>
      <c r="N3816">
        <v>-5.6034539999999999E-3</v>
      </c>
      <c r="O3816">
        <v>-5.5971819999999999E-2</v>
      </c>
      <c r="P3816">
        <v>0.99424230000000002</v>
      </c>
      <c r="Q3816">
        <v>-0.104635199999999</v>
      </c>
      <c r="R3816">
        <v>-2.310651E-2</v>
      </c>
      <c r="S3816">
        <v>2.9919739999999999</v>
      </c>
      <c r="T3816">
        <v>-0.21780340000000001</v>
      </c>
      <c r="U3816">
        <v>-0.1072693</v>
      </c>
      <c r="V3816">
        <v>-3.254696E-2</v>
      </c>
      <c r="W3816">
        <v>-9.9074700000000002E-2</v>
      </c>
      <c r="X3816">
        <v>0.99454759999999998</v>
      </c>
      <c r="Y3816">
        <v>-1.9980910000000001E-2</v>
      </c>
      <c r="Z3816">
        <v>4.5340090000000003E-3</v>
      </c>
      <c r="AA3816">
        <v>0.99979010000000001</v>
      </c>
      <c r="AB3816">
        <v>19</v>
      </c>
      <c r="AC3816">
        <v>15.2019</v>
      </c>
      <c r="AD3816">
        <v>-1.120137946067</v>
      </c>
      <c r="AE3816">
        <v>-0.54160000000001596</v>
      </c>
      <c r="AF3816">
        <v>-0.30846771754343599</v>
      </c>
      <c r="AG3816">
        <v>-1.120137946067</v>
      </c>
      <c r="AH3816">
        <v>15.1263607009354</v>
      </c>
      <c r="AI3816">
        <v>94.234262379436004</v>
      </c>
      <c r="AJ3816">
        <v>91.1682551617602</v>
      </c>
      <c r="AK3816">
        <v>15.170914586991399</v>
      </c>
      <c r="AL3816">
        <v>95.685890006871006</v>
      </c>
      <c r="AM3816">
        <v>91.8743579159744</v>
      </c>
      <c r="AN3816">
        <v>1.0000000147255399</v>
      </c>
    </row>
    <row r="3817" spans="1:40" x14ac:dyDescent="0.25">
      <c r="A3817" t="str">
        <f>"20190303154211419"</f>
        <v>20190303154211419</v>
      </c>
      <c r="B3817" t="str">
        <f>"1551598931413487"</f>
        <v>1551598931413487</v>
      </c>
      <c r="C3817" t="s">
        <v>40</v>
      </c>
      <c r="D3817">
        <v>6.0028969999999999</v>
      </c>
      <c r="E3817">
        <v>0.50535169999999996</v>
      </c>
      <c r="F3817" t="s">
        <v>50</v>
      </c>
      <c r="G3817">
        <v>-457.19459999999998</v>
      </c>
      <c r="H3817" s="1">
        <v>2.2558040000000002E-6</v>
      </c>
      <c r="I3817">
        <v>215.44069999999999</v>
      </c>
      <c r="J3817">
        <v>-471.82310000000001</v>
      </c>
      <c r="K3817">
        <v>1.1200969999999999</v>
      </c>
      <c r="L3817">
        <v>215.9554</v>
      </c>
      <c r="M3817">
        <v>0.99843780000000004</v>
      </c>
      <c r="N3817">
        <v>-5.2369490000000003E-3</v>
      </c>
      <c r="O3817">
        <v>-5.5629919999999999E-2</v>
      </c>
      <c r="P3817">
        <v>0.99398540000000002</v>
      </c>
      <c r="Q3817">
        <v>-0.1072733</v>
      </c>
      <c r="R3817">
        <v>-2.2040790000000001E-2</v>
      </c>
      <c r="S3817">
        <v>2.9911189999999999</v>
      </c>
      <c r="T3817">
        <v>-0.22605939999999999</v>
      </c>
      <c r="U3817">
        <v>-0.1059875</v>
      </c>
      <c r="V3817">
        <v>-3.3252419999999998E-2</v>
      </c>
      <c r="W3817">
        <v>-0.10208009999999999</v>
      </c>
      <c r="X3817">
        <v>0.99422029999999995</v>
      </c>
      <c r="Y3817">
        <v>-2.004071E-2</v>
      </c>
      <c r="Z3817">
        <v>4.7119010000000001E-3</v>
      </c>
      <c r="AA3817">
        <v>0.99978800000000001</v>
      </c>
      <c r="AB3817">
        <v>19</v>
      </c>
      <c r="AC3817">
        <v>14.628500000000001</v>
      </c>
      <c r="AD3817">
        <v>-1.1200947441960001</v>
      </c>
      <c r="AE3817">
        <v>-0.51470000000000404</v>
      </c>
      <c r="AF3817">
        <v>-0.29814461781430102</v>
      </c>
      <c r="AG3817">
        <v>-1.1200947441960001</v>
      </c>
      <c r="AH3817">
        <v>14.549284601509701</v>
      </c>
      <c r="AI3817">
        <v>94.401382742955306</v>
      </c>
      <c r="AJ3817">
        <v>91.173943478894103</v>
      </c>
      <c r="AK3817">
        <v>14.595382313075399</v>
      </c>
      <c r="AL3817">
        <v>95.858964292459206</v>
      </c>
      <c r="AM3817">
        <v>91.915584902261799</v>
      </c>
      <c r="AN3817">
        <v>1.00000003759197</v>
      </c>
    </row>
    <row r="3818" spans="1:40" x14ac:dyDescent="0.25">
      <c r="A3818" t="str">
        <f>"20190303154211440"</f>
        <v>20190303154211440</v>
      </c>
      <c r="B3818" t="str">
        <f>"1551598931433005"</f>
        <v>1551598931433005</v>
      </c>
      <c r="C3818" t="s">
        <v>40</v>
      </c>
      <c r="D3818">
        <v>6.0151979999999998</v>
      </c>
      <c r="E3818">
        <v>0.50607340000000001</v>
      </c>
      <c r="F3818" t="s">
        <v>50</v>
      </c>
      <c r="G3818">
        <v>-457.67110000000002</v>
      </c>
      <c r="H3818" s="1">
        <v>2.50889E-6</v>
      </c>
      <c r="I3818">
        <v>215.45150000000001</v>
      </c>
      <c r="J3818">
        <v>-471.64060000000001</v>
      </c>
      <c r="K3818">
        <v>1.1200490000000001</v>
      </c>
      <c r="L3818">
        <v>215.94569999999999</v>
      </c>
      <c r="M3818">
        <v>0.99845859999999997</v>
      </c>
      <c r="N3818">
        <v>-4.8944990000000001E-3</v>
      </c>
      <c r="O3818">
        <v>-5.5287299999999998E-2</v>
      </c>
      <c r="P3818">
        <v>0.99369499999999999</v>
      </c>
      <c r="Q3818">
        <v>-0.11001859999999999</v>
      </c>
      <c r="R3818">
        <v>-2.1596879999999999E-2</v>
      </c>
      <c r="S3818">
        <v>2.9902340000000001</v>
      </c>
      <c r="T3818">
        <v>-0.2366704</v>
      </c>
      <c r="U3818">
        <v>-0.1064758</v>
      </c>
      <c r="V3818">
        <v>-3.333266E-2</v>
      </c>
      <c r="W3818">
        <v>-0.10516880000000001</v>
      </c>
      <c r="X3818">
        <v>0.99389559999999999</v>
      </c>
      <c r="Y3818">
        <v>-1.9505629999999999E-2</v>
      </c>
      <c r="Z3818">
        <v>4.9129129999999997E-3</v>
      </c>
      <c r="AA3818">
        <v>0.99979770000000001</v>
      </c>
      <c r="AB3818">
        <v>19</v>
      </c>
      <c r="AC3818">
        <v>13.969499999999901</v>
      </c>
      <c r="AD3818">
        <v>-1.1200464911100001</v>
      </c>
      <c r="AE3818">
        <v>-0.49419999999997699</v>
      </c>
      <c r="AF3818">
        <v>-0.27712175422268498</v>
      </c>
      <c r="AG3818">
        <v>-1.1200464911100001</v>
      </c>
      <c r="AH3818">
        <v>13.8862996319994</v>
      </c>
      <c r="AI3818">
        <v>94.610488001075396</v>
      </c>
      <c r="AJ3818">
        <v>91.143270705674396</v>
      </c>
      <c r="AK3818">
        <v>13.9341529372466</v>
      </c>
      <c r="AL3818">
        <v>96.0368919146987</v>
      </c>
      <c r="AM3818">
        <v>91.920830712176297</v>
      </c>
      <c r="AN3818">
        <v>1.0000000032077301</v>
      </c>
    </row>
    <row r="3819" spans="1:40" x14ac:dyDescent="0.25">
      <c r="A3819" t="str">
        <f>"20190303154211464"</f>
        <v>20190303154211464</v>
      </c>
      <c r="B3819" t="str">
        <f>"1551598931453502"</f>
        <v>1551598931453502</v>
      </c>
      <c r="C3819" t="s">
        <v>40</v>
      </c>
      <c r="D3819">
        <v>6.0590789999999997</v>
      </c>
      <c r="E3819">
        <v>0.50663879999999994</v>
      </c>
      <c r="F3819" t="s">
        <v>50</v>
      </c>
      <c r="G3819">
        <v>-457.94319999999999</v>
      </c>
      <c r="H3819" s="1">
        <v>2.6542980000000001E-6</v>
      </c>
      <c r="I3819">
        <v>215.4374</v>
      </c>
      <c r="J3819">
        <v>-471.43729999999999</v>
      </c>
      <c r="K3819">
        <v>1.1200110000000001</v>
      </c>
      <c r="L3819">
        <v>215.9349</v>
      </c>
      <c r="M3819">
        <v>0.99848369999999997</v>
      </c>
      <c r="N3819">
        <v>-4.5258770000000002E-3</v>
      </c>
      <c r="O3819">
        <v>-5.48656E-2</v>
      </c>
      <c r="P3819">
        <v>0.99356869999999997</v>
      </c>
      <c r="Q3819">
        <v>-0.1113628</v>
      </c>
      <c r="R3819">
        <v>-2.0495380000000001E-2</v>
      </c>
      <c r="S3819">
        <v>2.989563</v>
      </c>
      <c r="T3819">
        <v>-0.24445829999999999</v>
      </c>
      <c r="U3819">
        <v>-0.1109314</v>
      </c>
      <c r="V3819">
        <v>-3.3997960000000001E-2</v>
      </c>
      <c r="W3819">
        <v>-0.1068828</v>
      </c>
      <c r="X3819">
        <v>0.99369019999999997</v>
      </c>
      <c r="Y3819">
        <v>-1.7578799999999999E-2</v>
      </c>
      <c r="Z3819">
        <v>4.9836960000000001E-3</v>
      </c>
      <c r="AA3819">
        <v>0.99983299999999997</v>
      </c>
      <c r="AB3819">
        <v>19</v>
      </c>
      <c r="AC3819">
        <v>13.4941</v>
      </c>
      <c r="AD3819">
        <v>-1.120008345702</v>
      </c>
      <c r="AE3819">
        <v>-0.497500000000002</v>
      </c>
      <c r="AF3819">
        <v>-0.24195414280893601</v>
      </c>
      <c r="AG3819">
        <v>-1.120008345702</v>
      </c>
      <c r="AH3819">
        <v>13.408822326988799</v>
      </c>
      <c r="AI3819">
        <v>94.773928649805896</v>
      </c>
      <c r="AJ3819">
        <v>91.033755730414796</v>
      </c>
      <c r="AK3819">
        <v>13.4576921014867</v>
      </c>
      <c r="AL3819">
        <v>96.135653570823493</v>
      </c>
      <c r="AM3819">
        <v>91.959544409152699</v>
      </c>
      <c r="AN3819">
        <v>1.0000000038980199</v>
      </c>
    </row>
    <row r="3820" spans="1:40" x14ac:dyDescent="0.25">
      <c r="A3820" t="str">
        <f>"20190303154211488"</f>
        <v>20190303154211488</v>
      </c>
      <c r="B3820" t="str">
        <f>"1551598931483757"</f>
        <v>1551598931483757</v>
      </c>
      <c r="C3820" t="s">
        <v>40</v>
      </c>
      <c r="D3820">
        <v>5.9810220000000003</v>
      </c>
      <c r="E3820">
        <v>0.50837949999999998</v>
      </c>
      <c r="F3820" t="s">
        <v>50</v>
      </c>
      <c r="G3820">
        <v>-457.92579999999998</v>
      </c>
      <c r="H3820" s="1">
        <v>2.6453779999999999E-6</v>
      </c>
      <c r="I3820">
        <v>215.42920000000001</v>
      </c>
      <c r="J3820">
        <v>-471.22820000000002</v>
      </c>
      <c r="K3820">
        <v>1.1199950000000001</v>
      </c>
      <c r="L3820">
        <v>215.9239</v>
      </c>
      <c r="M3820">
        <v>0.99851219999999996</v>
      </c>
      <c r="N3820">
        <v>-4.1642110000000001E-3</v>
      </c>
      <c r="O3820">
        <v>-5.436933E-2</v>
      </c>
      <c r="P3820">
        <v>0.99367000000000005</v>
      </c>
      <c r="Q3820">
        <v>-0.11079120000000001</v>
      </c>
      <c r="R3820">
        <v>-1.8583530000000001E-2</v>
      </c>
      <c r="S3820">
        <v>2.9893489999999998</v>
      </c>
      <c r="T3820">
        <v>-0.24779499999999999</v>
      </c>
      <c r="U3820">
        <v>-0.1118774</v>
      </c>
      <c r="V3820">
        <v>-3.540741E-2</v>
      </c>
      <c r="W3820">
        <v>-0.10667500000000001</v>
      </c>
      <c r="X3820">
        <v>0.99366330000000003</v>
      </c>
      <c r="Y3820">
        <v>-1.6759900000000001E-2</v>
      </c>
      <c r="Z3820">
        <v>4.9968019999999998E-3</v>
      </c>
      <c r="AA3820">
        <v>0.99984709999999999</v>
      </c>
      <c r="AB3820">
        <v>19</v>
      </c>
      <c r="AC3820">
        <v>13.3024</v>
      </c>
      <c r="AD3820">
        <v>-1.1199923546220001</v>
      </c>
      <c r="AE3820">
        <v>-0.49469999999999398</v>
      </c>
      <c r="AF3820">
        <v>-0.22766891969977199</v>
      </c>
      <c r="AG3820">
        <v>-1.1199923546220001</v>
      </c>
      <c r="AH3820">
        <v>13.2160646539814</v>
      </c>
      <c r="AI3820">
        <v>94.843228719379297</v>
      </c>
      <c r="AJ3820">
        <v>90.986918454469702</v>
      </c>
      <c r="AK3820">
        <v>13.265390342904499</v>
      </c>
      <c r="AL3820">
        <v>96.123679089170906</v>
      </c>
      <c r="AM3820">
        <v>92.040768921842499</v>
      </c>
      <c r="AN3820">
        <v>0.99999999703739895</v>
      </c>
    </row>
    <row r="3821" spans="1:40" x14ac:dyDescent="0.25">
      <c r="A3821" t="str">
        <f>"20190303154211511"</f>
        <v>20190303154211511</v>
      </c>
      <c r="B3821" t="str">
        <f>"1551598931503277"</f>
        <v>1551598931503277</v>
      </c>
      <c r="C3821" t="s">
        <v>40</v>
      </c>
      <c r="D3821">
        <v>6.067418</v>
      </c>
      <c r="E3821">
        <v>0.50905789999999995</v>
      </c>
      <c r="F3821" t="s">
        <v>50</v>
      </c>
      <c r="G3821">
        <v>-457.04109999999997</v>
      </c>
      <c r="H3821" s="1">
        <v>2.1777369999999999E-6</v>
      </c>
      <c r="I3821">
        <v>215.358</v>
      </c>
      <c r="J3821">
        <v>-471.02589999999998</v>
      </c>
      <c r="K3821">
        <v>1.1199969999999999</v>
      </c>
      <c r="L3821">
        <v>215.9135</v>
      </c>
      <c r="M3821">
        <v>0.99854359999999998</v>
      </c>
      <c r="N3821">
        <v>-3.8359840000000002E-3</v>
      </c>
      <c r="O3821">
        <v>-5.3816900000000001E-2</v>
      </c>
      <c r="P3821">
        <v>0.99387809999999999</v>
      </c>
      <c r="Q3821">
        <v>-0.10939790000000001</v>
      </c>
      <c r="R3821">
        <v>-1.544501E-2</v>
      </c>
      <c r="S3821">
        <v>2.9905400000000002</v>
      </c>
      <c r="T3821">
        <v>-0.23608709999999999</v>
      </c>
      <c r="U3821">
        <v>-0.119278</v>
      </c>
      <c r="V3821">
        <v>-3.7990120000000002E-2</v>
      </c>
      <c r="W3821">
        <v>-0.105613899999999</v>
      </c>
      <c r="X3821">
        <v>0.99368129999999999</v>
      </c>
      <c r="Y3821">
        <v>-1.3782890000000001E-2</v>
      </c>
      <c r="Z3821">
        <v>4.6008919999999997E-3</v>
      </c>
      <c r="AA3821">
        <v>0.99989439999999996</v>
      </c>
      <c r="AB3821">
        <v>20</v>
      </c>
      <c r="AC3821">
        <v>13.9848</v>
      </c>
      <c r="AD3821">
        <v>-1.1199948222629901</v>
      </c>
      <c r="AE3821">
        <v>-0.555499999999995</v>
      </c>
      <c r="AF3821">
        <v>-0.196669616064057</v>
      </c>
      <c r="AG3821">
        <v>-1.1199948222629901</v>
      </c>
      <c r="AH3821">
        <v>13.905382044963799</v>
      </c>
      <c r="AI3821">
        <v>94.604430984259594</v>
      </c>
      <c r="AJ3821">
        <v>90.810304071756505</v>
      </c>
      <c r="AK3821">
        <v>13.951799781970101</v>
      </c>
      <c r="AL3821">
        <v>96.062536892099203</v>
      </c>
      <c r="AM3821">
        <v>92.1894484153256</v>
      </c>
      <c r="AN3821">
        <v>1.0000000355302501</v>
      </c>
    </row>
    <row r="3822" spans="1:40" x14ac:dyDescent="0.25">
      <c r="A3822" t="str">
        <f>"20190303154211532"</f>
        <v>20190303154211532</v>
      </c>
      <c r="B3822" t="str">
        <f>"1551598931523774"</f>
        <v>1551598931523774</v>
      </c>
      <c r="C3822" t="s">
        <v>40</v>
      </c>
      <c r="D3822">
        <v>5.994694</v>
      </c>
      <c r="E3822">
        <v>0.50968729999999995</v>
      </c>
      <c r="F3822" t="s">
        <v>50</v>
      </c>
      <c r="G3822">
        <v>-456.39089999999999</v>
      </c>
      <c r="H3822" s="1">
        <v>1.8320589999999999E-6</v>
      </c>
      <c r="I3822">
        <v>215.34989999999999</v>
      </c>
      <c r="J3822">
        <v>-470.83710000000002</v>
      </c>
      <c r="K3822">
        <v>1.120001</v>
      </c>
      <c r="L3822">
        <v>215.90389999999999</v>
      </c>
      <c r="M3822">
        <v>0.99857589999999996</v>
      </c>
      <c r="N3822">
        <v>-3.555103E-3</v>
      </c>
      <c r="O3822">
        <v>-5.3231729999999998E-2</v>
      </c>
      <c r="P3822">
        <v>0.9938188</v>
      </c>
      <c r="Q3822">
        <v>-0.11022129999999999</v>
      </c>
      <c r="R3822">
        <v>-1.3256550000000001E-2</v>
      </c>
      <c r="S3822">
        <v>2.9914550000000002</v>
      </c>
      <c r="T3822">
        <v>-0.228931</v>
      </c>
      <c r="U3822">
        <v>-0.1151886</v>
      </c>
      <c r="V3822">
        <v>-3.9575979999999997E-2</v>
      </c>
      <c r="W3822">
        <v>-0.1067232</v>
      </c>
      <c r="X3822">
        <v>0.99350079999999996</v>
      </c>
      <c r="Y3822">
        <v>-1.458418E-2</v>
      </c>
      <c r="Z3822">
        <v>4.4577799999999997E-3</v>
      </c>
      <c r="AA3822">
        <v>0.99988370000000004</v>
      </c>
      <c r="AB3822">
        <v>20</v>
      </c>
      <c r="AC3822">
        <v>14.446199999999999</v>
      </c>
      <c r="AD3822">
        <v>-1.119999167941</v>
      </c>
      <c r="AE3822">
        <v>-0.55400000000000205</v>
      </c>
      <c r="AF3822">
        <v>-0.214499118194523</v>
      </c>
      <c r="AG3822">
        <v>-1.119999167941</v>
      </c>
      <c r="AH3822">
        <v>14.3689669521097</v>
      </c>
      <c r="AI3822">
        <v>94.456453513241399</v>
      </c>
      <c r="AJ3822">
        <v>90.855244600201999</v>
      </c>
      <c r="AK3822">
        <v>14.414146498447799</v>
      </c>
      <c r="AL3822">
        <v>96.126456770280697</v>
      </c>
      <c r="AM3822">
        <v>92.281164117817696</v>
      </c>
      <c r="AN3822">
        <v>0.99999996960591897</v>
      </c>
    </row>
    <row r="3823" spans="1:40" x14ac:dyDescent="0.25">
      <c r="A3823" t="str">
        <f>"20190303154211553"</f>
        <v>20190303154211553</v>
      </c>
      <c r="B3823" t="str">
        <f>"1551598931543293"</f>
        <v>1551598931543293</v>
      </c>
      <c r="C3823" t="s">
        <v>40</v>
      </c>
      <c r="D3823">
        <v>5.9935669999999996</v>
      </c>
      <c r="E3823">
        <v>0.52468769999999998</v>
      </c>
      <c r="F3823" t="s">
        <v>50</v>
      </c>
      <c r="G3823">
        <v>-456.19819999999999</v>
      </c>
      <c r="H3823" s="1">
        <v>1.7295419999999901E-6</v>
      </c>
      <c r="I3823">
        <v>215.34909999999999</v>
      </c>
      <c r="J3823">
        <v>-470.6431</v>
      </c>
      <c r="K3823">
        <v>1.120012</v>
      </c>
      <c r="L3823">
        <v>215.89429999999999</v>
      </c>
      <c r="M3823">
        <v>0.99861200000000006</v>
      </c>
      <c r="N3823">
        <v>-3.2961430000000001E-3</v>
      </c>
      <c r="O3823">
        <v>-5.2566920000000003E-2</v>
      </c>
      <c r="P3823">
        <v>0.99349489999999996</v>
      </c>
      <c r="Q3823">
        <v>-0.11324529999999999</v>
      </c>
      <c r="R3823">
        <v>-1.198961E-2</v>
      </c>
      <c r="S3823">
        <v>2.9917600000000002</v>
      </c>
      <c r="T3823">
        <v>-0.2288946</v>
      </c>
      <c r="U3823">
        <v>-0.11338810000000001</v>
      </c>
      <c r="V3823">
        <v>-4.0146080000000001E-2</v>
      </c>
      <c r="W3823">
        <v>-0.1100112</v>
      </c>
      <c r="X3823">
        <v>0.99311919999999998</v>
      </c>
      <c r="Y3823">
        <v>-1.452444E-2</v>
      </c>
      <c r="Z3823">
        <v>4.4176429999999997E-3</v>
      </c>
      <c r="AA3823">
        <v>0.99988480000000002</v>
      </c>
      <c r="AB3823">
        <v>20</v>
      </c>
      <c r="AC3823">
        <v>14.444900000000001</v>
      </c>
      <c r="AD3823">
        <v>-1.1200102704579999</v>
      </c>
      <c r="AE3823">
        <v>-0.54519999999999402</v>
      </c>
      <c r="AF3823">
        <v>-0.213599478489156</v>
      </c>
      <c r="AG3823">
        <v>-1.1200102704579999</v>
      </c>
      <c r="AH3823">
        <v>14.367335215188</v>
      </c>
      <c r="AI3823">
        <v>94.457005637040993</v>
      </c>
      <c r="AJ3823">
        <v>90.851754823424599</v>
      </c>
      <c r="AK3823">
        <v>14.412507378271201</v>
      </c>
      <c r="AL3823">
        <v>96.315961462756206</v>
      </c>
      <c r="AM3823">
        <v>92.314877450179694</v>
      </c>
      <c r="AN3823">
        <v>0.99999995863672198</v>
      </c>
    </row>
    <row r="3824" spans="1:40" x14ac:dyDescent="0.25">
      <c r="A3824" t="str">
        <f>"20190303154211575"</f>
        <v>20190303154211575</v>
      </c>
      <c r="B3824" t="str">
        <f>"1551598931563792"</f>
        <v>1551598931563792</v>
      </c>
      <c r="C3824" t="s">
        <v>40</v>
      </c>
      <c r="D3824">
        <v>6.1283390000000004</v>
      </c>
      <c r="E3824">
        <v>0.52395179999999997</v>
      </c>
      <c r="F3824" t="s">
        <v>50</v>
      </c>
      <c r="G3824">
        <v>-452.44049999999999</v>
      </c>
      <c r="H3824" s="1">
        <v>-2.3356540000000001E-7</v>
      </c>
      <c r="I3824">
        <v>214.5127</v>
      </c>
      <c r="J3824">
        <v>-470.4409</v>
      </c>
      <c r="K3824">
        <v>1.12002</v>
      </c>
      <c r="L3824">
        <v>215.8844</v>
      </c>
      <c r="M3824">
        <v>0.99865219999999999</v>
      </c>
      <c r="N3824">
        <v>-3.058463E-3</v>
      </c>
      <c r="O3824">
        <v>-5.1814119999999998E-2</v>
      </c>
      <c r="P3824">
        <v>0.99327449999999995</v>
      </c>
      <c r="Q3824">
        <v>-0.1152339</v>
      </c>
      <c r="R3824">
        <v>-1.1279819999999999E-2</v>
      </c>
      <c r="S3824">
        <v>2.995819</v>
      </c>
      <c r="T3824">
        <v>-0.1843331</v>
      </c>
      <c r="U3824">
        <v>-0.2273712</v>
      </c>
      <c r="V3824">
        <v>-4.0080150000000002E-2</v>
      </c>
      <c r="W3824">
        <v>-0.1122412</v>
      </c>
      <c r="X3824">
        <v>0.99287239999999999</v>
      </c>
      <c r="Y3824">
        <v>2.3951690000000001E-2</v>
      </c>
      <c r="Z3824">
        <v>2.2478530000000002E-3</v>
      </c>
      <c r="AA3824">
        <v>0.9997106</v>
      </c>
      <c r="AB3824">
        <v>20</v>
      </c>
      <c r="AC3824">
        <v>18.000399999999999</v>
      </c>
      <c r="AD3824">
        <v>-1.1200202335653999</v>
      </c>
      <c r="AE3824">
        <v>-1.3716999999999999</v>
      </c>
      <c r="AF3824">
        <v>0.435501978950185</v>
      </c>
      <c r="AG3824">
        <v>-1.1200202335653999</v>
      </c>
      <c r="AH3824">
        <v>17.978092789508899</v>
      </c>
      <c r="AI3824">
        <v>93.563829427418398</v>
      </c>
      <c r="AJ3824">
        <v>88.612336322548003</v>
      </c>
      <c r="AK3824">
        <v>18.018211000137001</v>
      </c>
      <c r="AL3824">
        <v>96.444526765152503</v>
      </c>
      <c r="AM3824">
        <v>92.311653808401104</v>
      </c>
      <c r="AN3824">
        <v>1.0000000540416001</v>
      </c>
    </row>
    <row r="3825" spans="1:40" x14ac:dyDescent="0.25">
      <c r="A3825" t="str">
        <f>"20190303154211598"</f>
        <v>20190303154211598</v>
      </c>
      <c r="B3825" t="str">
        <f>"1551598931593069"</f>
        <v>1551598931593069</v>
      </c>
      <c r="C3825" t="s">
        <v>40</v>
      </c>
      <c r="D3825">
        <v>6.089054</v>
      </c>
      <c r="E3825">
        <v>0.52508940000000004</v>
      </c>
      <c r="F3825" t="s">
        <v>50</v>
      </c>
      <c r="G3825">
        <v>-454.05829999999997</v>
      </c>
      <c r="H3825" s="1">
        <v>6.2004510000000001E-7</v>
      </c>
      <c r="I3825">
        <v>214.6798</v>
      </c>
      <c r="J3825">
        <v>-470.23419999999999</v>
      </c>
      <c r="K3825">
        <v>1.120044</v>
      </c>
      <c r="L3825">
        <v>215.87459999999999</v>
      </c>
      <c r="M3825">
        <v>0.99869490000000005</v>
      </c>
      <c r="N3825">
        <v>-2.850928E-3</v>
      </c>
      <c r="O3825">
        <v>-5.0992990000000002E-2</v>
      </c>
      <c r="P3825">
        <v>0.99338890000000002</v>
      </c>
      <c r="Q3825">
        <v>-0.1142551</v>
      </c>
      <c r="R3825">
        <v>-1.113605E-2</v>
      </c>
      <c r="S3825">
        <v>2.9940799999999999</v>
      </c>
      <c r="T3825">
        <v>-0.2046946</v>
      </c>
      <c r="U3825">
        <v>-0.22015380000000001</v>
      </c>
      <c r="V3825">
        <v>-3.9403720000000003E-2</v>
      </c>
      <c r="W3825">
        <v>-0.11147079999999999</v>
      </c>
      <c r="X3825">
        <v>0.99298620000000004</v>
      </c>
      <c r="Y3825">
        <v>2.2434740000000002E-2</v>
      </c>
      <c r="Z3825">
        <v>2.5325450000000002E-3</v>
      </c>
      <c r="AA3825">
        <v>0.99974510000000005</v>
      </c>
      <c r="AB3825">
        <v>20</v>
      </c>
      <c r="AC3825">
        <v>16.175899999999999</v>
      </c>
      <c r="AD3825">
        <v>-1.1200433799548899</v>
      </c>
      <c r="AE3825">
        <v>-1.1947999999999801</v>
      </c>
      <c r="AF3825">
        <v>0.36663641453015799</v>
      </c>
      <c r="AG3825">
        <v>-1.1200433799548899</v>
      </c>
      <c r="AH3825">
        <v>16.138825965323299</v>
      </c>
      <c r="AI3825">
        <v>93.968972200398497</v>
      </c>
      <c r="AJ3825">
        <v>88.698597622240399</v>
      </c>
      <c r="AK3825">
        <v>16.181799126563</v>
      </c>
      <c r="AL3825">
        <v>96.400107733478507</v>
      </c>
      <c r="AM3825">
        <v>92.272421257100603</v>
      </c>
      <c r="AN3825">
        <v>0.99999999289645902</v>
      </c>
    </row>
    <row r="3826" spans="1:40" x14ac:dyDescent="0.25">
      <c r="A3826" t="str">
        <f>"20190303154211620"</f>
        <v>20190303154211620</v>
      </c>
      <c r="B3826" t="str">
        <f>"1551598931613566"</f>
        <v>1551598931613566</v>
      </c>
      <c r="C3826" t="s">
        <v>40</v>
      </c>
      <c r="D3826">
        <v>6.132574</v>
      </c>
      <c r="E3826">
        <v>0.52338240000000003</v>
      </c>
      <c r="F3826" t="s">
        <v>50</v>
      </c>
      <c r="G3826">
        <v>-453.39299999999997</v>
      </c>
      <c r="H3826" s="1">
        <v>2.7000109999999998E-7</v>
      </c>
      <c r="I3826">
        <v>214.5883</v>
      </c>
      <c r="J3826">
        <v>-470.03070000000002</v>
      </c>
      <c r="K3826">
        <v>1.1200669999999999</v>
      </c>
      <c r="L3826">
        <v>215.86519999999999</v>
      </c>
      <c r="M3826">
        <v>0.99873800000000001</v>
      </c>
      <c r="N3826">
        <v>-2.6767230000000002E-3</v>
      </c>
      <c r="O3826">
        <v>-5.015526E-2</v>
      </c>
      <c r="P3826">
        <v>0.99396059999999997</v>
      </c>
      <c r="Q3826">
        <v>-0.109167</v>
      </c>
      <c r="R3826">
        <v>-1.11871E-2</v>
      </c>
      <c r="S3826">
        <v>2.994507</v>
      </c>
      <c r="T3826">
        <v>-0.19915279999999999</v>
      </c>
      <c r="U3826">
        <v>-0.228714</v>
      </c>
      <c r="V3826">
        <v>-3.8549119999999999E-2</v>
      </c>
      <c r="W3826">
        <v>-0.1065552</v>
      </c>
      <c r="X3826">
        <v>0.99355919999999998</v>
      </c>
      <c r="Y3826">
        <v>2.6092130000000002E-2</v>
      </c>
      <c r="Z3826">
        <v>2.2900199999999998E-3</v>
      </c>
      <c r="AA3826">
        <v>0.99965689999999996</v>
      </c>
      <c r="AB3826">
        <v>21</v>
      </c>
      <c r="AC3826">
        <v>16.637699999999899</v>
      </c>
      <c r="AD3826">
        <v>-1.12006672999889</v>
      </c>
      <c r="AE3826">
        <v>-1.2768999999999799</v>
      </c>
      <c r="AF3826">
        <v>0.43884464488283598</v>
      </c>
      <c r="AG3826">
        <v>-1.12006672999889</v>
      </c>
      <c r="AH3826">
        <v>16.605984085128998</v>
      </c>
      <c r="AI3826">
        <v>93.857389256552807</v>
      </c>
      <c r="AJ3826">
        <v>88.486202625177697</v>
      </c>
      <c r="AK3826">
        <v>16.649499738357001</v>
      </c>
      <c r="AL3826">
        <v>96.116775907179502</v>
      </c>
      <c r="AM3826">
        <v>92.221905428512599</v>
      </c>
      <c r="AN3826">
        <v>0.99999996460222595</v>
      </c>
    </row>
    <row r="3827" spans="1:40" x14ac:dyDescent="0.25">
      <c r="A3827" t="str">
        <f>"20190303154211642"</f>
        <v>20190303154211642</v>
      </c>
      <c r="B3827" t="str">
        <f>"1551598931634062"</f>
        <v>1551598931634062</v>
      </c>
      <c r="C3827" t="s">
        <v>40</v>
      </c>
      <c r="D3827">
        <v>6.1094780000000002</v>
      </c>
      <c r="E3827">
        <v>0.52273400000000003</v>
      </c>
      <c r="F3827" t="s">
        <v>50</v>
      </c>
      <c r="G3827">
        <v>-453.80020000000002</v>
      </c>
      <c r="H3827" s="1">
        <v>4.8208970000000002E-7</v>
      </c>
      <c r="I3827">
        <v>214.6943</v>
      </c>
      <c r="J3827">
        <v>-469.8229</v>
      </c>
      <c r="K3827">
        <v>1.120079</v>
      </c>
      <c r="L3827">
        <v>215.85570000000001</v>
      </c>
      <c r="M3827">
        <v>0.99878169999999999</v>
      </c>
      <c r="N3827">
        <v>-2.525729E-3</v>
      </c>
      <c r="O3827">
        <v>-4.928337E-2</v>
      </c>
      <c r="P3827">
        <v>0.99436329999999995</v>
      </c>
      <c r="Q3827">
        <v>-0.10546030000000001</v>
      </c>
      <c r="R3827">
        <v>-1.095496E-2</v>
      </c>
      <c r="S3827">
        <v>2.9930729999999999</v>
      </c>
      <c r="T3827">
        <v>-0.20655200000000001</v>
      </c>
      <c r="U3827">
        <v>-0.21592710000000001</v>
      </c>
      <c r="V3827">
        <v>-3.7935190000000001E-2</v>
      </c>
      <c r="W3827">
        <v>-0.1029979</v>
      </c>
      <c r="X3827">
        <v>0.99395789999999995</v>
      </c>
      <c r="Y3827">
        <v>2.2764340000000001E-2</v>
      </c>
      <c r="Z3827">
        <v>2.4534560000000001E-3</v>
      </c>
      <c r="AA3827">
        <v>0.99973789999999996</v>
      </c>
      <c r="AB3827">
        <v>21</v>
      </c>
      <c r="AC3827">
        <v>16.022699999999901</v>
      </c>
      <c r="AD3827">
        <v>-1.1200785179103001</v>
      </c>
      <c r="AE3827">
        <v>-1.16140000000001</v>
      </c>
      <c r="AF3827">
        <v>0.36854199198509002</v>
      </c>
      <c r="AG3827">
        <v>-1.1200785179103001</v>
      </c>
      <c r="AH3827">
        <v>15.982771001826499</v>
      </c>
      <c r="AI3827">
        <v>94.007693528881802</v>
      </c>
      <c r="AJ3827">
        <v>88.679067638734395</v>
      </c>
      <c r="AK3827">
        <v>16.026208783831699</v>
      </c>
      <c r="AL3827">
        <v>95.911829371944705</v>
      </c>
      <c r="AM3827">
        <v>92.185677948655396</v>
      </c>
      <c r="AN3827">
        <v>0.99999997650857697</v>
      </c>
    </row>
    <row r="3828" spans="1:40" x14ac:dyDescent="0.25">
      <c r="A3828" t="str">
        <f>"20190303154211665"</f>
        <v>20190303154211665</v>
      </c>
      <c r="B3828" t="str">
        <f>"1551598931653581"</f>
        <v>1551598931653581</v>
      </c>
      <c r="C3828" t="s">
        <v>40</v>
      </c>
      <c r="D3828">
        <v>6.0980809999999996</v>
      </c>
      <c r="E3828">
        <v>0.5222791</v>
      </c>
      <c r="F3828" t="s">
        <v>50</v>
      </c>
      <c r="G3828">
        <v>-453.47820000000002</v>
      </c>
      <c r="H3828" s="1">
        <v>3.1017119999999999E-7</v>
      </c>
      <c r="I3828">
        <v>214.7072</v>
      </c>
      <c r="J3828">
        <v>-469.60120000000001</v>
      </c>
      <c r="K3828">
        <v>1.1200730000000001</v>
      </c>
      <c r="L3828">
        <v>215.8458</v>
      </c>
      <c r="M3828">
        <v>0.99882780000000004</v>
      </c>
      <c r="N3828">
        <v>-2.3924599999999999E-3</v>
      </c>
      <c r="O3828">
        <v>-4.8348460000000003E-2</v>
      </c>
      <c r="P3828">
        <v>0.99464220000000003</v>
      </c>
      <c r="Q3828">
        <v>-0.1028192</v>
      </c>
      <c r="R3828">
        <v>-1.0745009999999999E-2</v>
      </c>
      <c r="S3828">
        <v>2.99295</v>
      </c>
      <c r="T3828">
        <v>-0.20510300000000001</v>
      </c>
      <c r="U3828">
        <v>-0.2102966</v>
      </c>
      <c r="V3828">
        <v>-3.7230069999999997E-2</v>
      </c>
      <c r="W3828">
        <v>-0.1004879</v>
      </c>
      <c r="X3828">
        <v>0.9942415</v>
      </c>
      <c r="Y3828">
        <v>2.183177E-2</v>
      </c>
      <c r="Z3828">
        <v>2.415029E-3</v>
      </c>
      <c r="AA3828">
        <v>0.9997587</v>
      </c>
      <c r="AB3828">
        <v>21</v>
      </c>
      <c r="AC3828">
        <v>16.122999999999902</v>
      </c>
      <c r="AD3828">
        <v>-1.12007268982879</v>
      </c>
      <c r="AE3828">
        <v>-1.1385999999999901</v>
      </c>
      <c r="AF3828">
        <v>0.35603433980775001</v>
      </c>
      <c r="AG3828">
        <v>-1.12007268982879</v>
      </c>
      <c r="AH3828">
        <v>16.081965420790102</v>
      </c>
      <c r="AI3828">
        <v>93.9831155136917</v>
      </c>
      <c r="AJ3828">
        <v>88.731751203349404</v>
      </c>
      <c r="AK3828">
        <v>16.124854575378698</v>
      </c>
      <c r="AL3828">
        <v>95.767266448305307</v>
      </c>
      <c r="AM3828">
        <v>92.144478691280995</v>
      </c>
      <c r="AN3828">
        <v>1.00000002824043</v>
      </c>
    </row>
    <row r="3829" spans="1:40" x14ac:dyDescent="0.25">
      <c r="A3829" t="str">
        <f>"20190303154211688"</f>
        <v>20190303154211688</v>
      </c>
      <c r="B3829" t="str">
        <f>"1551598931683838"</f>
        <v>1551598931683838</v>
      </c>
      <c r="C3829" t="s">
        <v>40</v>
      </c>
      <c r="D3829">
        <v>5.9503659999999998</v>
      </c>
      <c r="E3829">
        <v>0.52344550000000001</v>
      </c>
      <c r="F3829" t="s">
        <v>50</v>
      </c>
      <c r="G3829">
        <v>-453.64789999999999</v>
      </c>
      <c r="H3829" s="1">
        <v>3.9880829999999998E-7</v>
      </c>
      <c r="I3829">
        <v>214.74510000000001</v>
      </c>
      <c r="J3829">
        <v>-469.38150000000002</v>
      </c>
      <c r="K3829">
        <v>1.1200650000000001</v>
      </c>
      <c r="L3829">
        <v>215.83619999999999</v>
      </c>
      <c r="M3829">
        <v>0.99887230000000005</v>
      </c>
      <c r="N3829">
        <v>-2.2873889999999999E-3</v>
      </c>
      <c r="O3829">
        <v>-4.7424059999999997E-2</v>
      </c>
      <c r="P3829">
        <v>0.9947473</v>
      </c>
      <c r="Q3829">
        <v>-0.1018916</v>
      </c>
      <c r="R3829">
        <v>-9.8027099999999992E-3</v>
      </c>
      <c r="S3829">
        <v>2.9921880000000001</v>
      </c>
      <c r="T3829">
        <v>-0.2100793</v>
      </c>
      <c r="U3829">
        <v>-0.20645140000000001</v>
      </c>
      <c r="V3829">
        <v>-3.7257810000000002E-2</v>
      </c>
      <c r="W3829">
        <v>-9.9664559999999999E-2</v>
      </c>
      <c r="X3829">
        <v>0.99432330000000002</v>
      </c>
      <c r="Y3829">
        <v>2.149825E-2</v>
      </c>
      <c r="Z3829">
        <v>2.43348E-3</v>
      </c>
      <c r="AA3829">
        <v>0.99976589999999999</v>
      </c>
      <c r="AB3829">
        <v>21</v>
      </c>
      <c r="AC3829">
        <v>15.733599999999999</v>
      </c>
      <c r="AD3829">
        <v>-1.1200646011916999</v>
      </c>
      <c r="AE3829">
        <v>-1.09109999999998</v>
      </c>
      <c r="AF3829">
        <v>0.34199434503718801</v>
      </c>
      <c r="AG3829">
        <v>-1.1200646011916999</v>
      </c>
      <c r="AH3829">
        <v>15.688514087541799</v>
      </c>
      <c r="AI3829">
        <v>94.082675126245704</v>
      </c>
      <c r="AJ3829">
        <v>88.751205527968594</v>
      </c>
      <c r="AK3829">
        <v>15.732163840930401</v>
      </c>
      <c r="AL3829">
        <v>95.719854702238706</v>
      </c>
      <c r="AM3829">
        <v>92.145898655544102</v>
      </c>
      <c r="AN3829">
        <v>0.99999999692443897</v>
      </c>
    </row>
    <row r="3830" spans="1:40" x14ac:dyDescent="0.25">
      <c r="A3830" t="str">
        <f>"20190303154211711"</f>
        <v>20190303154211711</v>
      </c>
      <c r="B3830" t="str">
        <f>"1551598931703357"</f>
        <v>1551598931703357</v>
      </c>
      <c r="C3830" t="s">
        <v>40</v>
      </c>
      <c r="D3830">
        <v>6.0075440000000002</v>
      </c>
      <c r="E3830">
        <v>0.5216518</v>
      </c>
      <c r="F3830" t="s">
        <v>50</v>
      </c>
      <c r="G3830">
        <v>-452.45609999999999</v>
      </c>
      <c r="H3830" s="1">
        <v>-2.306177E-7</v>
      </c>
      <c r="I3830">
        <v>214.6352</v>
      </c>
      <c r="J3830">
        <v>-469.17250000000001</v>
      </c>
      <c r="K3830">
        <v>1.120055</v>
      </c>
      <c r="L3830">
        <v>215.8272</v>
      </c>
      <c r="M3830">
        <v>0.99891339999999995</v>
      </c>
      <c r="N3830">
        <v>-2.211223E-3</v>
      </c>
      <c r="O3830">
        <v>-4.6551299999999997E-2</v>
      </c>
      <c r="P3830">
        <v>0.9947549</v>
      </c>
      <c r="Q3830">
        <v>-0.10196429999999999</v>
      </c>
      <c r="R3830">
        <v>-8.1286829999999994E-3</v>
      </c>
      <c r="S3830">
        <v>2.9934690000000002</v>
      </c>
      <c r="T3830">
        <v>-0.19809760000000001</v>
      </c>
      <c r="U3830">
        <v>-0.21240229999999999</v>
      </c>
      <c r="V3830">
        <v>-3.8062310000000002E-2</v>
      </c>
      <c r="W3830">
        <v>-9.9813890000000002E-2</v>
      </c>
      <c r="X3830">
        <v>0.99427779999999999</v>
      </c>
      <c r="Y3830">
        <v>2.4305790000000001E-2</v>
      </c>
      <c r="Z3830">
        <v>2.1392329999999999E-3</v>
      </c>
      <c r="AA3830">
        <v>0.99970230000000004</v>
      </c>
      <c r="AB3830">
        <v>21</v>
      </c>
      <c r="AC3830">
        <v>16.7164</v>
      </c>
      <c r="AD3830">
        <v>-1.1200552306176901</v>
      </c>
      <c r="AE3830">
        <v>-1.1919999999999999</v>
      </c>
      <c r="AF3830">
        <v>0.41070115656400802</v>
      </c>
      <c r="AG3830">
        <v>-1.1200552306176901</v>
      </c>
      <c r="AH3830">
        <v>16.6792650141319</v>
      </c>
      <c r="AI3830">
        <v>93.840629348726694</v>
      </c>
      <c r="AJ3830">
        <v>88.589464895336803</v>
      </c>
      <c r="AK3830">
        <v>16.721874313942202</v>
      </c>
      <c r="AL3830">
        <v>95.728453840463501</v>
      </c>
      <c r="AM3830">
        <v>92.192290081026698</v>
      </c>
      <c r="AN3830">
        <v>0.99999994782615198</v>
      </c>
    </row>
    <row r="3831" spans="1:40" x14ac:dyDescent="0.25">
      <c r="A3831" t="str">
        <f>"20190303154211732"</f>
        <v>20190303154211732</v>
      </c>
      <c r="B3831" t="str">
        <f>"1551598931723853"</f>
        <v>1551598931723853</v>
      </c>
      <c r="C3831" t="s">
        <v>40</v>
      </c>
      <c r="D3831">
        <v>5.9624370000000004</v>
      </c>
      <c r="E3831">
        <v>0.51934360000000002</v>
      </c>
      <c r="F3831" t="s">
        <v>50</v>
      </c>
      <c r="G3831">
        <v>-452.21159999999998</v>
      </c>
      <c r="H3831" s="1">
        <v>-3.6506179999999998E-7</v>
      </c>
      <c r="I3831">
        <v>214.7345</v>
      </c>
      <c r="J3831">
        <v>-468.95859999999999</v>
      </c>
      <c r="K3831">
        <v>1.120039</v>
      </c>
      <c r="L3831">
        <v>215.81819999999999</v>
      </c>
      <c r="M3831">
        <v>0.99895449999999997</v>
      </c>
      <c r="N3831">
        <v>-2.1569319999999999E-3</v>
      </c>
      <c r="O3831">
        <v>-4.5666390000000001E-2</v>
      </c>
      <c r="P3831">
        <v>0.99467740000000004</v>
      </c>
      <c r="Q3831">
        <v>-0.10279870000000001</v>
      </c>
      <c r="R3831">
        <v>-7.0590180000000002E-3</v>
      </c>
      <c r="S3831">
        <v>2.9939879999999999</v>
      </c>
      <c r="T3831">
        <v>-0.1977159</v>
      </c>
      <c r="U3831">
        <v>-0.19288640000000001</v>
      </c>
      <c r="V3831">
        <v>-3.8245660000000001E-2</v>
      </c>
      <c r="W3831">
        <v>-0.1007025</v>
      </c>
      <c r="X3831">
        <v>0.99418119999999999</v>
      </c>
      <c r="Y3831">
        <v>1.8702880000000002E-2</v>
      </c>
      <c r="Z3831">
        <v>2.2726130000000002E-3</v>
      </c>
      <c r="AA3831">
        <v>0.99982249999999995</v>
      </c>
      <c r="AB3831">
        <v>21</v>
      </c>
      <c r="AC3831">
        <v>16.747</v>
      </c>
      <c r="AD3831">
        <v>-1.1200393650617999</v>
      </c>
      <c r="AE3831">
        <v>-1.0836999999999899</v>
      </c>
      <c r="AF3831">
        <v>0.31638341029154898</v>
      </c>
      <c r="AG3831">
        <v>-1.1200393650617999</v>
      </c>
      <c r="AH3831">
        <v>16.7046102736854</v>
      </c>
      <c r="AI3831">
        <v>93.835238471732495</v>
      </c>
      <c r="AJ3831">
        <v>88.9149542112159</v>
      </c>
      <c r="AK3831">
        <v>16.745106480321699</v>
      </c>
      <c r="AL3831">
        <v>95.779625025498106</v>
      </c>
      <c r="AM3831">
        <v>92.203054014449094</v>
      </c>
      <c r="AN3831">
        <v>0.99999999122426197</v>
      </c>
    </row>
    <row r="3832" spans="1:40" x14ac:dyDescent="0.25">
      <c r="A3832" t="str">
        <f>"20190303154211754"</f>
        <v>20190303154211754</v>
      </c>
      <c r="B3832" t="str">
        <f>"1551598931743373"</f>
        <v>1551598931743373</v>
      </c>
      <c r="C3832" t="s">
        <v>40</v>
      </c>
      <c r="D3832">
        <v>5.9585939999999997</v>
      </c>
      <c r="E3832">
        <v>0.51747219999999905</v>
      </c>
      <c r="F3832" t="s">
        <v>50</v>
      </c>
      <c r="G3832">
        <v>-452.13159999999999</v>
      </c>
      <c r="H3832" s="1">
        <v>-4.1292200000000002E-7</v>
      </c>
      <c r="I3832">
        <v>214.85570000000001</v>
      </c>
      <c r="J3832">
        <v>-468.745</v>
      </c>
      <c r="K3832">
        <v>1.1200270000000001</v>
      </c>
      <c r="L3832">
        <v>215.80940000000001</v>
      </c>
      <c r="M3832">
        <v>0.99899420000000005</v>
      </c>
      <c r="N3832">
        <v>-2.124529E-3</v>
      </c>
      <c r="O3832">
        <v>-4.4789589999999997E-2</v>
      </c>
      <c r="P3832">
        <v>0.99440070000000003</v>
      </c>
      <c r="Q3832">
        <v>-0.1054361</v>
      </c>
      <c r="R3832">
        <v>-7.1067609999999996E-3</v>
      </c>
      <c r="S3832">
        <v>2.9942929999999999</v>
      </c>
      <c r="T3832">
        <v>-0.1993057</v>
      </c>
      <c r="U3832">
        <v>-0.17127989999999901</v>
      </c>
      <c r="V3832">
        <v>-3.7310000000000003E-2</v>
      </c>
      <c r="W3832">
        <v>-0.10337150000000001</v>
      </c>
      <c r="X3832">
        <v>0.99394280000000002</v>
      </c>
      <c r="Y3832">
        <v>1.239911E-2</v>
      </c>
      <c r="Z3832">
        <v>2.4537700000000001E-3</v>
      </c>
      <c r="AA3832">
        <v>0.99992009999999998</v>
      </c>
      <c r="AB3832">
        <v>22</v>
      </c>
      <c r="AC3832">
        <v>16.613399999999999</v>
      </c>
      <c r="AD3832">
        <v>-1.120027412922</v>
      </c>
      <c r="AE3832">
        <v>-0.95369999999999699</v>
      </c>
      <c r="AF3832">
        <v>0.20769298357177801</v>
      </c>
      <c r="AG3832">
        <v>-1.120027412922</v>
      </c>
      <c r="AH3832">
        <v>16.564404315173601</v>
      </c>
      <c r="AI3832">
        <v>93.867950196535503</v>
      </c>
      <c r="AJ3832">
        <v>89.281633820783298</v>
      </c>
      <c r="AK3832">
        <v>16.6035263753717</v>
      </c>
      <c r="AL3832">
        <v>95.933349829664394</v>
      </c>
      <c r="AM3832">
        <v>92.149723639977907</v>
      </c>
      <c r="AN3832">
        <v>0.99999999639204495</v>
      </c>
    </row>
    <row r="3833" spans="1:40" x14ac:dyDescent="0.25">
      <c r="A3833" t="str">
        <f>"20190303154211776"</f>
        <v>20190303154211776</v>
      </c>
      <c r="B3833" t="str">
        <f>"1551598931773630"</f>
        <v>1551598931773630</v>
      </c>
      <c r="C3833" t="s">
        <v>40</v>
      </c>
      <c r="D3833">
        <v>5.9556950000000004</v>
      </c>
      <c r="E3833">
        <v>0.51539020000000002</v>
      </c>
      <c r="F3833" t="s">
        <v>50</v>
      </c>
      <c r="G3833">
        <v>-452.4563</v>
      </c>
      <c r="H3833" s="1">
        <v>-2.445182E-7</v>
      </c>
      <c r="I3833">
        <v>214.9563</v>
      </c>
      <c r="J3833">
        <v>-468.5299</v>
      </c>
      <c r="K3833">
        <v>1.120028</v>
      </c>
      <c r="L3833">
        <v>215.80070000000001</v>
      </c>
      <c r="M3833">
        <v>0.99903319999999995</v>
      </c>
      <c r="N3833">
        <v>-2.1092810000000002E-3</v>
      </c>
      <c r="O3833">
        <v>-4.3913519999999998E-2</v>
      </c>
      <c r="P3833">
        <v>0.99429619999999996</v>
      </c>
      <c r="Q3833">
        <v>-0.106376</v>
      </c>
      <c r="R3833">
        <v>-7.7238119999999896E-3</v>
      </c>
      <c r="S3833">
        <v>2.9939879999999999</v>
      </c>
      <c r="T3833">
        <v>-0.20586989999999999</v>
      </c>
      <c r="U3833">
        <v>-0.1568146</v>
      </c>
      <c r="V3833">
        <v>-3.5816279999999999E-2</v>
      </c>
      <c r="W3833">
        <v>-0.1043248</v>
      </c>
      <c r="X3833">
        <v>0.99389819999999995</v>
      </c>
      <c r="Y3833">
        <v>8.4773190000000005E-3</v>
      </c>
      <c r="Z3833">
        <v>2.6199539999999999E-3</v>
      </c>
      <c r="AA3833">
        <v>0.99996070000000004</v>
      </c>
      <c r="AB3833">
        <v>22</v>
      </c>
      <c r="AC3833">
        <v>16.073599999999999</v>
      </c>
      <c r="AD3833">
        <v>-1.1200282445181999</v>
      </c>
      <c r="AE3833">
        <v>-0.84440000000000703</v>
      </c>
      <c r="AF3833">
        <v>0.137071855797748</v>
      </c>
      <c r="AG3833">
        <v>-1.1200282445181999</v>
      </c>
      <c r="AH3833">
        <v>16.0176158931259</v>
      </c>
      <c r="AI3833">
        <v>93.999738086717102</v>
      </c>
      <c r="AJ3833">
        <v>89.509699372520402</v>
      </c>
      <c r="AK3833">
        <v>16.057312068397099</v>
      </c>
      <c r="AL3833">
        <v>95.988266498312498</v>
      </c>
      <c r="AM3833">
        <v>92.063827135115901</v>
      </c>
      <c r="AN3833">
        <v>1.0000000508856499</v>
      </c>
    </row>
    <row r="3834" spans="1:40" x14ac:dyDescent="0.25">
      <c r="A3834" t="str">
        <f>"20190303154211799"</f>
        <v>20190303154211799</v>
      </c>
      <c r="B3834" t="str">
        <f>"1551598931793150"</f>
        <v>1551598931793150</v>
      </c>
      <c r="C3834" t="s">
        <v>40</v>
      </c>
      <c r="D3834">
        <v>5.9774659999999997</v>
      </c>
      <c r="E3834">
        <v>0.51432389999999995</v>
      </c>
      <c r="F3834" t="s">
        <v>50</v>
      </c>
      <c r="G3834">
        <v>-452.3861</v>
      </c>
      <c r="H3834" s="1">
        <v>-2.8525780000000001E-7</v>
      </c>
      <c r="I3834">
        <v>215.0334</v>
      </c>
      <c r="J3834">
        <v>-468.29910000000001</v>
      </c>
      <c r="K3834">
        <v>1.120045</v>
      </c>
      <c r="L3834">
        <v>215.79159999999999</v>
      </c>
      <c r="M3834">
        <v>0.99907360000000001</v>
      </c>
      <c r="N3834">
        <v>-2.1081429999999998E-3</v>
      </c>
      <c r="O3834">
        <v>-4.2981890000000002E-2</v>
      </c>
      <c r="P3834">
        <v>0.99440600000000001</v>
      </c>
      <c r="Q3834">
        <v>-0.1052816</v>
      </c>
      <c r="R3834">
        <v>-8.5146890000000006E-3</v>
      </c>
      <c r="S3834">
        <v>2.9939269999999998</v>
      </c>
      <c r="T3834">
        <v>-0.20771319999999999</v>
      </c>
      <c r="U3834">
        <v>-0.1423035</v>
      </c>
      <c r="V3834">
        <v>-3.4104530000000001E-2</v>
      </c>
      <c r="W3834">
        <v>-0.1032293</v>
      </c>
      <c r="X3834">
        <v>0.99407270000000003</v>
      </c>
      <c r="Y3834">
        <v>4.5852039999999998E-3</v>
      </c>
      <c r="Z3834">
        <v>2.7211869999999999E-3</v>
      </c>
      <c r="AA3834">
        <v>0.99998580000000004</v>
      </c>
      <c r="AB3834">
        <v>22</v>
      </c>
      <c r="AC3834">
        <v>15.913</v>
      </c>
      <c r="AD3834">
        <v>-1.1200452852578</v>
      </c>
      <c r="AE3834">
        <v>-0.758199999999987</v>
      </c>
      <c r="AF3834">
        <v>7.31653042319661E-2</v>
      </c>
      <c r="AG3834">
        <v>-1.1200452852578</v>
      </c>
      <c r="AH3834">
        <v>15.8525253821078</v>
      </c>
      <c r="AI3834">
        <v>94.041420501578997</v>
      </c>
      <c r="AJ3834">
        <v>89.735560532303197</v>
      </c>
      <c r="AK3834">
        <v>15.8922124197087</v>
      </c>
      <c r="AL3834">
        <v>95.925158704343602</v>
      </c>
      <c r="AM3834">
        <v>91.964926222120297</v>
      </c>
      <c r="AN3834">
        <v>0.99999997011514996</v>
      </c>
    </row>
    <row r="3835" spans="1:40" x14ac:dyDescent="0.25">
      <c r="A3835" t="str">
        <f>"20190303154211823"</f>
        <v>20190303154211823</v>
      </c>
      <c r="B3835" t="str">
        <f>"1551598931813646"</f>
        <v>1551598931813646</v>
      </c>
      <c r="C3835" t="s">
        <v>40</v>
      </c>
      <c r="D3835">
        <v>5.9605550000000003</v>
      </c>
      <c r="E3835">
        <v>0.51323799999999997</v>
      </c>
      <c r="F3835" t="s">
        <v>50</v>
      </c>
      <c r="G3835">
        <v>-451.89460000000003</v>
      </c>
      <c r="H3835" s="1">
        <v>-5.4732519999999997E-7</v>
      </c>
      <c r="I3835">
        <v>215.04560000000001</v>
      </c>
      <c r="J3835">
        <v>-468.05419999999998</v>
      </c>
      <c r="K3835">
        <v>1.120052</v>
      </c>
      <c r="L3835">
        <v>215.78219999999999</v>
      </c>
      <c r="M3835">
        <v>0.99911530000000004</v>
      </c>
      <c r="N3835">
        <v>-2.117542E-3</v>
      </c>
      <c r="O3835">
        <v>-4.2001400000000001E-2</v>
      </c>
      <c r="P3835">
        <v>0.99465859999999995</v>
      </c>
      <c r="Q3835">
        <v>-0.1028563</v>
      </c>
      <c r="R3835">
        <v>-8.6460779999999997E-3</v>
      </c>
      <c r="S3835">
        <v>2.99411</v>
      </c>
      <c r="T3835">
        <v>-0.20442869999999999</v>
      </c>
      <c r="U3835">
        <v>-0.1361694</v>
      </c>
      <c r="V3835">
        <v>-3.3011199999999997E-2</v>
      </c>
      <c r="W3835">
        <v>-0.1007928</v>
      </c>
      <c r="X3835">
        <v>0.99435960000000001</v>
      </c>
      <c r="Y3835">
        <v>3.5170370000000002E-3</v>
      </c>
      <c r="Z3835">
        <v>2.6491739999999998E-3</v>
      </c>
      <c r="AA3835">
        <v>0.9999903</v>
      </c>
      <c r="AB3835">
        <v>22</v>
      </c>
      <c r="AC3835">
        <v>16.159599999999902</v>
      </c>
      <c r="AD3835">
        <v>-1.1200525473252001</v>
      </c>
      <c r="AE3835">
        <v>-0.73659999999998105</v>
      </c>
      <c r="AF3835">
        <v>5.69496087270151E-2</v>
      </c>
      <c r="AG3835">
        <v>-1.1200525473252001</v>
      </c>
      <c r="AH3835">
        <v>16.099096295721601</v>
      </c>
      <c r="AI3835">
        <v>93.979766404910706</v>
      </c>
      <c r="AJ3835">
        <v>89.797320386514002</v>
      </c>
      <c r="AK3835">
        <v>16.138112110950999</v>
      </c>
      <c r="AL3835">
        <v>95.784825410819394</v>
      </c>
      <c r="AM3835">
        <v>91.901432876100401</v>
      </c>
      <c r="AN3835">
        <v>0.99999997098471904</v>
      </c>
    </row>
    <row r="3836" spans="1:40" x14ac:dyDescent="0.25">
      <c r="A3836" t="str">
        <f>"20190303154211842"</f>
        <v>20190303154211842</v>
      </c>
      <c r="B3836" t="str">
        <f>"1551598931833166"</f>
        <v>1551598931833166</v>
      </c>
      <c r="C3836" t="s">
        <v>40</v>
      </c>
      <c r="D3836">
        <v>6.0030989999999997</v>
      </c>
      <c r="E3836">
        <v>0.51221049999999901</v>
      </c>
      <c r="F3836" t="s">
        <v>50</v>
      </c>
      <c r="G3836">
        <v>-450.92619999999999</v>
      </c>
      <c r="H3836" s="1">
        <v>-1.0629640000000001E-6</v>
      </c>
      <c r="I3836">
        <v>215.0521</v>
      </c>
      <c r="J3836">
        <v>-467.85919999999999</v>
      </c>
      <c r="K3836">
        <v>1.1200490000000001</v>
      </c>
      <c r="L3836">
        <v>215.7748</v>
      </c>
      <c r="M3836">
        <v>0.99914749999999997</v>
      </c>
      <c r="N3836">
        <v>-2.1306010000000002E-3</v>
      </c>
      <c r="O3836">
        <v>-4.1232629999999999E-2</v>
      </c>
      <c r="P3836">
        <v>0.99480279999999999</v>
      </c>
      <c r="Q3836">
        <v>-0.1014729</v>
      </c>
      <c r="R3836">
        <v>-8.4240069999999903E-3</v>
      </c>
      <c r="S3836">
        <v>2.9947509999999999</v>
      </c>
      <c r="T3836">
        <v>-0.19583629999999999</v>
      </c>
      <c r="U3836">
        <v>-0.12765499999999999</v>
      </c>
      <c r="V3836">
        <v>-3.2476199999999997E-2</v>
      </c>
      <c r="W3836">
        <v>-9.9395339999999999E-2</v>
      </c>
      <c r="X3836">
        <v>0.99451789999999995</v>
      </c>
      <c r="Y3836">
        <v>1.435104E-3</v>
      </c>
      <c r="Z3836">
        <v>2.5549330000000001E-3</v>
      </c>
      <c r="AA3836">
        <v>0.99999570000000004</v>
      </c>
      <c r="AB3836">
        <v>22</v>
      </c>
      <c r="AC3836">
        <v>16.9329999999999</v>
      </c>
      <c r="AD3836">
        <v>-1.120050062964</v>
      </c>
      <c r="AE3836">
        <v>-0.72270000000000301</v>
      </c>
      <c r="AF3836">
        <v>2.3787934041359999E-2</v>
      </c>
      <c r="AG3836">
        <v>-1.120050062964</v>
      </c>
      <c r="AH3836">
        <v>16.874701051428399</v>
      </c>
      <c r="AI3836">
        <v>93.7974056400639</v>
      </c>
      <c r="AJ3836">
        <v>89.919231320487597</v>
      </c>
      <c r="AK3836">
        <v>16.9118483195785</v>
      </c>
      <c r="AL3836">
        <v>95.704352566812602</v>
      </c>
      <c r="AM3836">
        <v>91.870341605624802</v>
      </c>
      <c r="AN3836">
        <v>0.99999999530028205</v>
      </c>
    </row>
    <row r="3837" spans="1:40" x14ac:dyDescent="0.25">
      <c r="A3837" t="str">
        <f>"20190303154211877"</f>
        <v>20190303154211877</v>
      </c>
      <c r="B3837" t="str">
        <f>"1551598931873687"</f>
        <v>1551598931873687</v>
      </c>
      <c r="C3837" t="s">
        <v>40</v>
      </c>
      <c r="D3837">
        <v>5.9752669999999997</v>
      </c>
      <c r="E3837">
        <v>0.51086849999999995</v>
      </c>
      <c r="F3837" t="s">
        <v>50</v>
      </c>
      <c r="G3837">
        <v>-450.30250000000001</v>
      </c>
      <c r="H3837" s="1">
        <v>-1.3960329999999999E-6</v>
      </c>
      <c r="I3837">
        <v>215.0788</v>
      </c>
      <c r="J3837">
        <v>-467.51569999999998</v>
      </c>
      <c r="K3837">
        <v>1.120023</v>
      </c>
      <c r="L3837">
        <v>215.7621</v>
      </c>
      <c r="M3837">
        <v>0.99919999999999998</v>
      </c>
      <c r="N3837">
        <v>-2.1616360000000002E-3</v>
      </c>
      <c r="O3837">
        <v>-3.9931729999999999E-2</v>
      </c>
      <c r="P3837">
        <v>0.99466220000000005</v>
      </c>
      <c r="Q3837">
        <v>-0.1028946</v>
      </c>
      <c r="R3837">
        <v>-7.74507699999999E-3</v>
      </c>
      <c r="S3837">
        <v>2.9951780000000001</v>
      </c>
      <c r="T3837">
        <v>-0.1910809</v>
      </c>
      <c r="U3837">
        <v>-0.1187439</v>
      </c>
      <c r="V3837">
        <v>-3.1856660000000002E-2</v>
      </c>
      <c r="W3837">
        <v>-0.1007844</v>
      </c>
      <c r="X3837">
        <v>0.99439809999999995</v>
      </c>
      <c r="Y3837">
        <v>-2.420798E-4</v>
      </c>
      <c r="Z3837">
        <v>2.464637E-3</v>
      </c>
      <c r="AA3837">
        <v>0.99999700000000002</v>
      </c>
      <c r="AB3837">
        <v>23</v>
      </c>
      <c r="AC3837">
        <v>17.213199999999901</v>
      </c>
      <c r="AD3837">
        <v>-1.1200243960330001</v>
      </c>
      <c r="AE3837">
        <v>-0.68330000000000202</v>
      </c>
      <c r="AF3837">
        <v>-4.5801449426756602E-3</v>
      </c>
      <c r="AG3837">
        <v>-1.1200243960330001</v>
      </c>
      <c r="AH3837">
        <v>17.154242681593701</v>
      </c>
      <c r="AI3837">
        <v>93.735618858348602</v>
      </c>
      <c r="AJ3837">
        <v>90.015297846335002</v>
      </c>
      <c r="AK3837">
        <v>17.1907683831889</v>
      </c>
      <c r="AL3837">
        <v>95.784341716972193</v>
      </c>
      <c r="AM3837">
        <v>91.834907090858593</v>
      </c>
      <c r="AN3837">
        <v>0.99999996167666105</v>
      </c>
    </row>
    <row r="3838" spans="1:40" x14ac:dyDescent="0.25">
      <c r="A3838" t="str">
        <f>"20190303154211902"</f>
        <v>20190303154211902</v>
      </c>
      <c r="B3838" t="str">
        <f>"1551598931893207"</f>
        <v>1551598931893207</v>
      </c>
      <c r="C3838" t="s">
        <v>40</v>
      </c>
      <c r="D3838">
        <v>6.0298610000000004</v>
      </c>
      <c r="E3838">
        <v>0.51033620000000002</v>
      </c>
      <c r="F3838" t="s">
        <v>50</v>
      </c>
      <c r="G3838">
        <v>-450.3596</v>
      </c>
      <c r="H3838" s="1">
        <v>-1.3690079999999999E-6</v>
      </c>
      <c r="I3838">
        <v>215.15559999999999</v>
      </c>
      <c r="J3838">
        <v>-467.2482</v>
      </c>
      <c r="K3838">
        <v>1.1199699999999999</v>
      </c>
      <c r="L3838">
        <v>215.7526</v>
      </c>
      <c r="M3838">
        <v>0.99923680000000004</v>
      </c>
      <c r="N3838">
        <v>-2.195336E-3</v>
      </c>
      <c r="O3838">
        <v>-3.8999800000000001E-2</v>
      </c>
      <c r="P3838">
        <v>0.99450170000000004</v>
      </c>
      <c r="Q3838">
        <v>-0.1045089</v>
      </c>
      <c r="R3838">
        <v>-6.6684450000000003E-3</v>
      </c>
      <c r="S3838">
        <v>2.9950559999999999</v>
      </c>
      <c r="T3838">
        <v>-0.1955296</v>
      </c>
      <c r="U3838">
        <v>-0.105896</v>
      </c>
      <c r="V3838">
        <v>-3.2004619999999998E-2</v>
      </c>
      <c r="W3838">
        <v>-0.1023633</v>
      </c>
      <c r="X3838">
        <v>0.99423209999999995</v>
      </c>
      <c r="Y3838">
        <v>-3.5823270000000002E-3</v>
      </c>
      <c r="Z3838">
        <v>2.5768240000000001E-3</v>
      </c>
      <c r="AA3838">
        <v>0.9999903</v>
      </c>
      <c r="AB3838">
        <v>23</v>
      </c>
      <c r="AC3838">
        <v>16.888599999999901</v>
      </c>
      <c r="AD3838">
        <v>-1.119971369008</v>
      </c>
      <c r="AE3838">
        <v>-0.59700000000000797</v>
      </c>
      <c r="AF3838">
        <v>-6.1836204482971197E-2</v>
      </c>
      <c r="AG3838">
        <v>-1.119971369008</v>
      </c>
      <c r="AH3838">
        <v>16.825134626699999</v>
      </c>
      <c r="AI3838">
        <v>93.808271155075502</v>
      </c>
      <c r="AJ3838">
        <v>90.210574100285498</v>
      </c>
      <c r="AK3838">
        <v>16.862482462264001</v>
      </c>
      <c r="AL3838">
        <v>95.875276096176293</v>
      </c>
      <c r="AM3838">
        <v>91.843731121892404</v>
      </c>
      <c r="AN3838">
        <v>1.0000000047793201</v>
      </c>
    </row>
    <row r="3839" spans="1:40" x14ac:dyDescent="0.25">
      <c r="A3839" t="str">
        <f>"20190303154211923"</f>
        <v>20190303154211923</v>
      </c>
      <c r="B3839" t="str">
        <f>"1551598931913703"</f>
        <v>1551598931913703</v>
      </c>
      <c r="C3839" t="s">
        <v>40</v>
      </c>
      <c r="D3839">
        <v>5.953195</v>
      </c>
      <c r="E3839">
        <v>0.50989739999999995</v>
      </c>
      <c r="F3839" t="s">
        <v>50</v>
      </c>
      <c r="G3839">
        <v>-450.5179</v>
      </c>
      <c r="H3839" s="1">
        <v>-1.2868549999999999E-6</v>
      </c>
      <c r="I3839">
        <v>215.20310000000001</v>
      </c>
      <c r="J3839">
        <v>-467.03449999999998</v>
      </c>
      <c r="K3839">
        <v>1.119937</v>
      </c>
      <c r="L3839">
        <v>215.745</v>
      </c>
      <c r="M3839">
        <v>0.99926369999999998</v>
      </c>
      <c r="N3839">
        <v>-2.2274840000000001E-3</v>
      </c>
      <c r="O3839">
        <v>-3.8304390000000001E-2</v>
      </c>
      <c r="P3839">
        <v>0.99443760000000003</v>
      </c>
      <c r="Q3839">
        <v>-0.1051887</v>
      </c>
      <c r="R3839">
        <v>-5.4255199999999996E-3</v>
      </c>
      <c r="S3839">
        <v>2.9948429999999999</v>
      </c>
      <c r="T3839">
        <v>-0.2004821</v>
      </c>
      <c r="U3839">
        <v>-9.8358150000000005E-2</v>
      </c>
      <c r="V3839">
        <v>-3.2559490000000003E-2</v>
      </c>
      <c r="W3839">
        <v>-0.10300960000000001</v>
      </c>
      <c r="X3839">
        <v>0.99414729999999996</v>
      </c>
      <c r="Y3839">
        <v>-5.3906869999999999E-3</v>
      </c>
      <c r="Z3839">
        <v>2.6607219999999999E-3</v>
      </c>
      <c r="AA3839">
        <v>0.99998189999999998</v>
      </c>
      <c r="AB3839">
        <v>23</v>
      </c>
      <c r="AC3839">
        <v>16.516599999999901</v>
      </c>
      <c r="AD3839">
        <v>-1.1199382868549901</v>
      </c>
      <c r="AE3839">
        <v>-0.54189999999999805</v>
      </c>
      <c r="AF3839">
        <v>-9.0740752916457806E-2</v>
      </c>
      <c r="AG3839">
        <v>-1.1199382868549901</v>
      </c>
      <c r="AH3839">
        <v>16.449685417401401</v>
      </c>
      <c r="AI3839">
        <v>93.894779391371003</v>
      </c>
      <c r="AJ3839">
        <v>90.316055250096099</v>
      </c>
      <c r="AK3839">
        <v>16.488015222641899</v>
      </c>
      <c r="AL3839">
        <v>95.912503319806305</v>
      </c>
      <c r="AM3839">
        <v>91.875833469070699</v>
      </c>
      <c r="AN3839">
        <v>0.99999997608925395</v>
      </c>
    </row>
    <row r="3840" spans="1:40" x14ac:dyDescent="0.25">
      <c r="A3840" t="str">
        <f>"20190303154211944"</f>
        <v>20190303154211944</v>
      </c>
      <c r="B3840" t="str">
        <f>"1551598931933223"</f>
        <v>1551598931933223</v>
      </c>
      <c r="C3840" t="s">
        <v>40</v>
      </c>
      <c r="D3840">
        <v>5.9692040000000004</v>
      </c>
      <c r="E3840">
        <v>0.50944920000000005</v>
      </c>
      <c r="F3840" t="s">
        <v>50</v>
      </c>
      <c r="G3840">
        <v>-450.45069999999998</v>
      </c>
      <c r="H3840" s="1">
        <v>-1.3242289999999999E-6</v>
      </c>
      <c r="I3840">
        <v>215.24029999999999</v>
      </c>
      <c r="J3840">
        <v>-466.80020000000002</v>
      </c>
      <c r="K3840">
        <v>1.1198939999999999</v>
      </c>
      <c r="L3840">
        <v>215.73679999999999</v>
      </c>
      <c r="M3840">
        <v>0.99928980000000001</v>
      </c>
      <c r="N3840">
        <v>-2.2679150000000001E-3</v>
      </c>
      <c r="O3840">
        <v>-3.7616160000000003E-2</v>
      </c>
      <c r="P3840">
        <v>0.99460009999999999</v>
      </c>
      <c r="Q3840">
        <v>-0.10370989999999999</v>
      </c>
      <c r="R3840">
        <v>-3.9224669999999998E-3</v>
      </c>
      <c r="S3840">
        <v>2.994904</v>
      </c>
      <c r="T3840">
        <v>-0.2022514</v>
      </c>
      <c r="U3840">
        <v>-9.1140750000000006E-2</v>
      </c>
      <c r="V3840">
        <v>-3.3395250000000001E-2</v>
      </c>
      <c r="W3840">
        <v>-0.1014876</v>
      </c>
      <c r="X3840">
        <v>0.9942761</v>
      </c>
      <c r="Y3840">
        <v>-7.1059069999999998E-3</v>
      </c>
      <c r="Z3840">
        <v>2.698457E-3</v>
      </c>
      <c r="AA3840">
        <v>0.9999711</v>
      </c>
      <c r="AB3840">
        <v>23</v>
      </c>
      <c r="AC3840">
        <v>16.349499999999999</v>
      </c>
      <c r="AD3840">
        <v>-1.119895324229</v>
      </c>
      <c r="AE3840">
        <v>-0.496499999999997</v>
      </c>
      <c r="AF3840">
        <v>-0.118303760246011</v>
      </c>
      <c r="AG3840">
        <v>-1.119895324229</v>
      </c>
      <c r="AH3840">
        <v>16.280290628064499</v>
      </c>
      <c r="AI3840">
        <v>93.934983140915506</v>
      </c>
      <c r="AJ3840">
        <v>90.416343111581398</v>
      </c>
      <c r="AK3840">
        <v>16.319191899452701</v>
      </c>
      <c r="AL3840">
        <v>95.824839715955704</v>
      </c>
      <c r="AM3840">
        <v>91.923698909916695</v>
      </c>
      <c r="AN3840">
        <v>0.99999996935376501</v>
      </c>
    </row>
    <row r="3841" spans="1:40" x14ac:dyDescent="0.25">
      <c r="A3841" t="str">
        <f>"20190303154211965"</f>
        <v>20190303154211965</v>
      </c>
      <c r="B3841" t="str">
        <f>"1551598931963479"</f>
        <v>1551598931963479</v>
      </c>
      <c r="C3841" t="s">
        <v>40</v>
      </c>
      <c r="D3841">
        <v>5.9611409999999996</v>
      </c>
      <c r="E3841">
        <v>0.50885829999999999</v>
      </c>
      <c r="F3841" t="s">
        <v>50</v>
      </c>
      <c r="G3841">
        <v>-449.8809</v>
      </c>
      <c r="H3841" s="1">
        <v>3.6928559999999999E-6</v>
      </c>
      <c r="I3841">
        <v>215.2672</v>
      </c>
      <c r="J3841">
        <v>-466.58210000000003</v>
      </c>
      <c r="K3841">
        <v>1.119847</v>
      </c>
      <c r="L3841">
        <v>215.72919999999999</v>
      </c>
      <c r="M3841">
        <v>0.99931029999999998</v>
      </c>
      <c r="N3841">
        <v>-2.3119500000000001E-3</v>
      </c>
      <c r="O3841">
        <v>-3.7060639999999999E-2</v>
      </c>
      <c r="P3841">
        <v>0.99463210000000002</v>
      </c>
      <c r="Q3841">
        <v>-0.10342469999999999</v>
      </c>
      <c r="R3841">
        <v>-3.2037179999999999E-3</v>
      </c>
      <c r="S3841">
        <v>2.9952999999999999</v>
      </c>
      <c r="T3841">
        <v>-0.19825860000000001</v>
      </c>
      <c r="U3841">
        <v>-8.3129880000000003E-2</v>
      </c>
      <c r="V3841">
        <v>-3.3575140000000003E-2</v>
      </c>
      <c r="W3841">
        <v>-0.1011546</v>
      </c>
      <c r="X3841">
        <v>0.99430399999999997</v>
      </c>
      <c r="Y3841">
        <v>-9.2264819999999994E-3</v>
      </c>
      <c r="Z3841">
        <v>2.6791889999999998E-3</v>
      </c>
      <c r="AA3841">
        <v>0.99995389999999995</v>
      </c>
      <c r="AB3841">
        <v>23</v>
      </c>
      <c r="AC3841">
        <v>16.7012</v>
      </c>
      <c r="AD3841">
        <v>-1.1198433071439999</v>
      </c>
      <c r="AE3841">
        <v>-0.46199999999998898</v>
      </c>
      <c r="AF3841">
        <v>-0.15657282782822499</v>
      </c>
      <c r="AG3841">
        <v>-1.1198433071439999</v>
      </c>
      <c r="AH3841">
        <v>16.6321289392781</v>
      </c>
      <c r="AI3841">
        <v>93.851748122713005</v>
      </c>
      <c r="AJ3841">
        <v>90.539359528917302</v>
      </c>
      <c r="AK3841">
        <v>16.670521201682298</v>
      </c>
      <c r="AL3841">
        <v>95.805661383173103</v>
      </c>
      <c r="AM3841">
        <v>91.933999211020193</v>
      </c>
      <c r="AN3841">
        <v>0.99999999377158899</v>
      </c>
    </row>
    <row r="3842" spans="1:40" x14ac:dyDescent="0.25">
      <c r="A3842" t="str">
        <f>"20190303154211988"</f>
        <v>20190303154211988</v>
      </c>
      <c r="B3842" t="str">
        <f>"1551598931983507"</f>
        <v>1551598931983507</v>
      </c>
      <c r="C3842" t="s">
        <v>40</v>
      </c>
      <c r="D3842">
        <v>6.0175989999999997</v>
      </c>
      <c r="E3842">
        <v>0.50848329999999997</v>
      </c>
      <c r="F3842" t="s">
        <v>50</v>
      </c>
      <c r="G3842">
        <v>-449.66359999999997</v>
      </c>
      <c r="H3842" s="1">
        <v>3.5759259999999998E-6</v>
      </c>
      <c r="I3842">
        <v>215.29740000000001</v>
      </c>
      <c r="J3842">
        <v>-466.34660000000002</v>
      </c>
      <c r="K3842">
        <v>1.1197870000000001</v>
      </c>
      <c r="L3842">
        <v>215.72110000000001</v>
      </c>
      <c r="M3842">
        <v>0.99932869999999996</v>
      </c>
      <c r="N3842">
        <v>-2.3704770000000002E-3</v>
      </c>
      <c r="O3842">
        <v>-3.6562989999999997E-2</v>
      </c>
      <c r="P3842">
        <v>0.99462030000000001</v>
      </c>
      <c r="Q3842">
        <v>-0.1035538</v>
      </c>
      <c r="R3842">
        <v>-2.7156649999999999E-3</v>
      </c>
      <c r="S3842">
        <v>2.9952999999999999</v>
      </c>
      <c r="T3842">
        <v>-0.1982604</v>
      </c>
      <c r="U3842">
        <v>-7.6446529999999999E-2</v>
      </c>
      <c r="V3842">
        <v>-3.3583450000000001E-2</v>
      </c>
      <c r="W3842">
        <v>-0.10122009999999999</v>
      </c>
      <c r="X3842">
        <v>0.99429710000000004</v>
      </c>
      <c r="Y3842">
        <v>-1.0955299999999999E-2</v>
      </c>
      <c r="Z3842">
        <v>2.7049230000000001E-3</v>
      </c>
      <c r="AA3842">
        <v>0.9999363</v>
      </c>
      <c r="AB3842">
        <v>24</v>
      </c>
      <c r="AC3842">
        <v>16.683</v>
      </c>
      <c r="AD3842">
        <v>-1.1197834240739999</v>
      </c>
      <c r="AE3842">
        <v>-0.42369999999999602</v>
      </c>
      <c r="AF3842">
        <v>-0.18572906791464899</v>
      </c>
      <c r="AG3842">
        <v>-1.1197834240739999</v>
      </c>
      <c r="AH3842">
        <v>16.612541081231502</v>
      </c>
      <c r="AI3842">
        <v>93.856000528442493</v>
      </c>
      <c r="AJ3842">
        <v>90.640543089283796</v>
      </c>
      <c r="AK3842">
        <v>16.651274166834899</v>
      </c>
      <c r="AL3842">
        <v>95.809433349194407</v>
      </c>
      <c r="AM3842">
        <v>91.934490935237704</v>
      </c>
      <c r="AN3842">
        <v>1.0000000399131601</v>
      </c>
    </row>
    <row r="3843" spans="1:40" x14ac:dyDescent="0.25">
      <c r="A3843" t="str">
        <f>"20190303154212022"</f>
        <v>20190303154212022</v>
      </c>
      <c r="B3843" t="str">
        <f>"1551598932013763"</f>
        <v>1551598932013763</v>
      </c>
      <c r="C3843" t="s">
        <v>40</v>
      </c>
      <c r="D3843">
        <v>8.2429089999999992</v>
      </c>
      <c r="E3843">
        <v>0.50809129999999902</v>
      </c>
      <c r="F3843" t="s">
        <v>50</v>
      </c>
      <c r="G3843">
        <v>-449.52030000000002</v>
      </c>
      <c r="H3843" s="1">
        <v>3.4988209999999998E-6</v>
      </c>
      <c r="I3843">
        <v>215.31659999999999</v>
      </c>
      <c r="J3843">
        <v>-465.98790000000002</v>
      </c>
      <c r="K3843">
        <v>1.119678</v>
      </c>
      <c r="L3843">
        <v>215.70869999999999</v>
      </c>
      <c r="M3843">
        <v>0.99934829999999997</v>
      </c>
      <c r="N3843">
        <v>-2.4889809999999999E-3</v>
      </c>
      <c r="O3843">
        <v>-3.6012469999999998E-2</v>
      </c>
      <c r="P3843">
        <v>0.99468579999999995</v>
      </c>
      <c r="Q3843">
        <v>-0.10294010000000001</v>
      </c>
      <c r="R3843">
        <v>-2.001063E-3</v>
      </c>
      <c r="S3843">
        <v>2.9952999999999999</v>
      </c>
      <c r="T3843">
        <v>-0.19933629999999999</v>
      </c>
      <c r="U3843">
        <v>-7.2006230000000004E-2</v>
      </c>
      <c r="V3843">
        <v>-3.3779440000000001E-2</v>
      </c>
      <c r="W3843">
        <v>-0.1004796</v>
      </c>
      <c r="X3843">
        <v>0.99436550000000001</v>
      </c>
      <c r="Y3843">
        <v>-1.188401E-2</v>
      </c>
      <c r="Z3843">
        <v>2.7131820000000002E-3</v>
      </c>
      <c r="AA3843">
        <v>0.99992570000000003</v>
      </c>
      <c r="AB3843">
        <v>24</v>
      </c>
      <c r="AC3843">
        <v>16.467600000000001</v>
      </c>
      <c r="AD3843">
        <v>-1.1196745011789999</v>
      </c>
      <c r="AE3843">
        <v>-0.392099999999999</v>
      </c>
      <c r="AF3843">
        <v>-0.20026977333388099</v>
      </c>
      <c r="AG3843">
        <v>-1.1196745011789999</v>
      </c>
      <c r="AH3843">
        <v>16.3952863057239</v>
      </c>
      <c r="AI3843">
        <v>93.906513374865696</v>
      </c>
      <c r="AJ3843">
        <v>90.699837862599594</v>
      </c>
      <c r="AK3843">
        <v>16.434694764958699</v>
      </c>
      <c r="AL3843">
        <v>95.766788787531098</v>
      </c>
      <c r="AM3843">
        <v>91.9456380557329</v>
      </c>
      <c r="AN3843">
        <v>0.99999997408656105</v>
      </c>
    </row>
    <row r="3844" spans="1:40" x14ac:dyDescent="0.25">
      <c r="A3844" t="str">
        <f>"20190303154212044"</f>
        <v>20190303154212044</v>
      </c>
      <c r="B3844" t="str">
        <f>"1551598932033282"</f>
        <v>1551598932033282</v>
      </c>
      <c r="C3844" t="s">
        <v>40</v>
      </c>
      <c r="D3844">
        <v>5.9643230000000003</v>
      </c>
      <c r="E3844">
        <v>0.50793549999999998</v>
      </c>
      <c r="F3844" t="s">
        <v>50</v>
      </c>
      <c r="G3844">
        <v>-448.97359999999998</v>
      </c>
      <c r="H3844" s="1">
        <v>3.2072820000000001E-6</v>
      </c>
      <c r="I3844">
        <v>215.33109999999999</v>
      </c>
      <c r="J3844">
        <v>-465.73329999999999</v>
      </c>
      <c r="K3844">
        <v>1.1196219999999999</v>
      </c>
      <c r="L3844">
        <v>215.69980000000001</v>
      </c>
      <c r="M3844">
        <v>0.99935700000000005</v>
      </c>
      <c r="N3844">
        <v>-2.5992580000000001E-3</v>
      </c>
      <c r="O3844">
        <v>-3.5762090000000003E-2</v>
      </c>
      <c r="P3844">
        <v>0.99465119999999896</v>
      </c>
      <c r="Q3844">
        <v>-0.103281</v>
      </c>
      <c r="R3844">
        <v>-1.494726E-3</v>
      </c>
      <c r="S3844">
        <v>2.995514</v>
      </c>
      <c r="T3844">
        <v>-0.19712869999999999</v>
      </c>
      <c r="U3844">
        <v>-6.6482540000000007E-2</v>
      </c>
      <c r="V3844">
        <v>-3.4052720000000002E-2</v>
      </c>
      <c r="W3844">
        <v>-0.100705</v>
      </c>
      <c r="X3844">
        <v>0.99433340000000003</v>
      </c>
      <c r="Y3844">
        <v>-1.347745E-2</v>
      </c>
      <c r="Z3844">
        <v>2.7175849999999998E-3</v>
      </c>
      <c r="AA3844">
        <v>0.9999055</v>
      </c>
      <c r="AB3844">
        <v>24</v>
      </c>
      <c r="AC3844">
        <v>16.759699999999999</v>
      </c>
      <c r="AD3844">
        <v>-1.1196187927179999</v>
      </c>
      <c r="AE3844">
        <v>-0.36870000000001801</v>
      </c>
      <c r="AF3844">
        <v>-0.22987435461969799</v>
      </c>
      <c r="AG3844">
        <v>-1.1196187927179999</v>
      </c>
      <c r="AH3844">
        <v>16.687726769722801</v>
      </c>
      <c r="AI3844">
        <v>93.837993015002894</v>
      </c>
      <c r="AJ3844">
        <v>90.789202600818598</v>
      </c>
      <c r="AK3844">
        <v>16.726823165229</v>
      </c>
      <c r="AL3844">
        <v>95.779768960089001</v>
      </c>
      <c r="AM3844">
        <v>91.9614295414043</v>
      </c>
      <c r="AN3844">
        <v>0.99999999755997904</v>
      </c>
    </row>
    <row r="3845" spans="1:40" x14ac:dyDescent="0.25">
      <c r="A3845" t="str">
        <f>"20190303154212067"</f>
        <v>20190303154212067</v>
      </c>
      <c r="B3845" t="str">
        <f>"1551598932063539"</f>
        <v>1551598932063539</v>
      </c>
      <c r="C3845" t="s">
        <v>40</v>
      </c>
      <c r="D3845">
        <v>6.022945</v>
      </c>
      <c r="E3845">
        <v>0.50772850000000003</v>
      </c>
      <c r="F3845" t="s">
        <v>50</v>
      </c>
      <c r="G3845">
        <v>-448.70639999999997</v>
      </c>
      <c r="H3845" s="1">
        <v>3.0648330000000001E-6</v>
      </c>
      <c r="I3845">
        <v>215.33609999999999</v>
      </c>
      <c r="J3845">
        <v>-465.49090000000001</v>
      </c>
      <c r="K3845">
        <v>1.119594</v>
      </c>
      <c r="L3845">
        <v>215.69130000000001</v>
      </c>
      <c r="M3845">
        <v>0.99936239999999998</v>
      </c>
      <c r="N3845">
        <v>-2.728374E-3</v>
      </c>
      <c r="O3845">
        <v>-3.5605409999999997E-2</v>
      </c>
      <c r="P3845">
        <v>0.99467249999999996</v>
      </c>
      <c r="Q3845">
        <v>-0.1030722</v>
      </c>
      <c r="R3845">
        <v>-1.743428E-3</v>
      </c>
      <c r="S3845">
        <v>2.9956049999999999</v>
      </c>
      <c r="T3845">
        <v>-0.1969776</v>
      </c>
      <c r="U3845">
        <v>-6.3980099999999998E-2</v>
      </c>
      <c r="V3845">
        <v>-3.366272E-2</v>
      </c>
      <c r="W3845">
        <v>-0.1003632</v>
      </c>
      <c r="X3845">
        <v>0.99438119999999997</v>
      </c>
      <c r="Y3845">
        <v>-1.415545E-2</v>
      </c>
      <c r="Z3845">
        <v>2.7249890000000001E-3</v>
      </c>
      <c r="AA3845">
        <v>0.99989609999999995</v>
      </c>
      <c r="AB3845">
        <v>24</v>
      </c>
      <c r="AC3845">
        <v>16.784500000000001</v>
      </c>
      <c r="AD3845">
        <v>-1.1195909351669999</v>
      </c>
      <c r="AE3845">
        <v>-0.355200000000024</v>
      </c>
      <c r="AF3845">
        <v>-0.241571964448832</v>
      </c>
      <c r="AG3845">
        <v>-1.1195909351669999</v>
      </c>
      <c r="AH3845">
        <v>16.712178439957601</v>
      </c>
      <c r="AI3845">
        <v>93.832262649195201</v>
      </c>
      <c r="AJ3845">
        <v>90.828143990146103</v>
      </c>
      <c r="AK3845">
        <v>16.751380512814499</v>
      </c>
      <c r="AL3845">
        <v>95.760085751292493</v>
      </c>
      <c r="AM3845">
        <v>91.938889733694594</v>
      </c>
      <c r="AN3845">
        <v>0.99999996077273801</v>
      </c>
    </row>
    <row r="3846" spans="1:40" x14ac:dyDescent="0.25">
      <c r="A3846" t="str">
        <f>"20190303154212090"</f>
        <v>20190303154212090</v>
      </c>
      <c r="B3846" t="str">
        <f>"1551598932083059"</f>
        <v>1551598932083059</v>
      </c>
      <c r="C3846" t="s">
        <v>40</v>
      </c>
      <c r="D3846">
        <v>6.0454319999999999</v>
      </c>
      <c r="E3846">
        <v>0.50761480000000003</v>
      </c>
      <c r="F3846" t="s">
        <v>50</v>
      </c>
      <c r="G3846">
        <v>-448.32510000000002</v>
      </c>
      <c r="H3846" s="1">
        <v>2.8622619999999999E-6</v>
      </c>
      <c r="I3846">
        <v>215.32929999999999</v>
      </c>
      <c r="J3846">
        <v>-465.24290000000002</v>
      </c>
      <c r="K3846">
        <v>1.119583</v>
      </c>
      <c r="L3846">
        <v>215.6825</v>
      </c>
      <c r="M3846">
        <v>0.99936519999999995</v>
      </c>
      <c r="N3846">
        <v>-2.903419E-3</v>
      </c>
      <c r="O3846">
        <v>-3.5512090000000003E-2</v>
      </c>
      <c r="P3846">
        <v>0.99476209999999998</v>
      </c>
      <c r="Q3846">
        <v>-0.10218770000000001</v>
      </c>
      <c r="R3846">
        <v>-2.5683500000000001E-3</v>
      </c>
      <c r="S3846">
        <v>2.9956670000000001</v>
      </c>
      <c r="T3846">
        <v>-0.1953841</v>
      </c>
      <c r="U3846">
        <v>-6.3171389999999994E-2</v>
      </c>
      <c r="V3846">
        <v>-3.2758679999999998E-2</v>
      </c>
      <c r="W3846">
        <v>-9.930079E-2</v>
      </c>
      <c r="X3846">
        <v>0.99451809999999996</v>
      </c>
      <c r="Y3846">
        <v>-1.4334120000000001E-2</v>
      </c>
      <c r="Z3846">
        <v>2.6976050000000001E-3</v>
      </c>
      <c r="AA3846">
        <v>0.99989360000000005</v>
      </c>
      <c r="AB3846">
        <v>24</v>
      </c>
      <c r="AC3846">
        <v>16.9178</v>
      </c>
      <c r="AD3846">
        <v>-1.1195801377379999</v>
      </c>
      <c r="AE3846">
        <v>-0.353200000000015</v>
      </c>
      <c r="AF3846">
        <v>-0.24673156447234201</v>
      </c>
      <c r="AG3846">
        <v>-1.1195801377379999</v>
      </c>
      <c r="AH3846">
        <v>16.845927609347399</v>
      </c>
      <c r="AI3846">
        <v>93.801878660397705</v>
      </c>
      <c r="AJ3846">
        <v>90.839114765733399</v>
      </c>
      <c r="AK3846">
        <v>16.884893045829401</v>
      </c>
      <c r="AL3846">
        <v>95.698908206270303</v>
      </c>
      <c r="AM3846">
        <v>91.886597867986197</v>
      </c>
      <c r="AN3846">
        <v>1.00000001461878</v>
      </c>
    </row>
    <row r="3847" spans="1:40" x14ac:dyDescent="0.25">
      <c r="A3847" t="str">
        <f>"20190303154212113"</f>
        <v>20190303154212113</v>
      </c>
      <c r="B3847" t="str">
        <f>"1551598932103555"</f>
        <v>1551598932103555</v>
      </c>
      <c r="C3847" t="s">
        <v>40</v>
      </c>
      <c r="D3847">
        <v>6.0473780000000001</v>
      </c>
      <c r="E3847">
        <v>0.5074902</v>
      </c>
      <c r="F3847" t="s">
        <v>50</v>
      </c>
      <c r="G3847">
        <v>-447.779</v>
      </c>
      <c r="H3847" s="1">
        <v>2.5727809999999999E-6</v>
      </c>
      <c r="I3847">
        <v>215.30350000000001</v>
      </c>
      <c r="J3847">
        <v>-464.98570000000001</v>
      </c>
      <c r="K3847">
        <v>1.119599</v>
      </c>
      <c r="L3847">
        <v>215.67349999999999</v>
      </c>
      <c r="M3847">
        <v>0.99936599999999998</v>
      </c>
      <c r="N3847">
        <v>-3.1503159999999998E-3</v>
      </c>
      <c r="O3847">
        <v>-3.5465579999999997E-2</v>
      </c>
      <c r="P3847">
        <v>0.99483220000000006</v>
      </c>
      <c r="Q3847">
        <v>-0.1014611</v>
      </c>
      <c r="R3847">
        <v>-3.8586879999999999E-3</v>
      </c>
      <c r="S3847">
        <v>2.9959410000000002</v>
      </c>
      <c r="T3847">
        <v>-0.1920646</v>
      </c>
      <c r="U3847">
        <v>-6.5017699999999998E-2</v>
      </c>
      <c r="V3847">
        <v>-3.1431979999999998E-2</v>
      </c>
      <c r="W3847">
        <v>-9.8326300000000005E-2</v>
      </c>
      <c r="X3847">
        <v>0.99465769999999998</v>
      </c>
      <c r="Y3847">
        <v>-1.367903E-2</v>
      </c>
      <c r="Z3847">
        <v>2.6183700000000001E-3</v>
      </c>
      <c r="AA3847">
        <v>0.99990299999999999</v>
      </c>
      <c r="AB3847">
        <v>24</v>
      </c>
      <c r="AC3847">
        <v>17.206700000000001</v>
      </c>
      <c r="AD3847">
        <v>-1.119596427219</v>
      </c>
      <c r="AE3847">
        <v>-0.36999999999997601</v>
      </c>
      <c r="AF3847">
        <v>-0.23946796757115299</v>
      </c>
      <c r="AG3847">
        <v>-1.119596427219</v>
      </c>
      <c r="AH3847">
        <v>17.136478986346201</v>
      </c>
      <c r="AI3847">
        <v>93.737691637559493</v>
      </c>
      <c r="AJ3847">
        <v>90.800608508034998</v>
      </c>
      <c r="AK3847">
        <v>17.1746834939343</v>
      </c>
      <c r="AL3847">
        <v>95.642799607804093</v>
      </c>
      <c r="AM3847">
        <v>91.809990192728606</v>
      </c>
      <c r="AN3847">
        <v>0.99999998540385004</v>
      </c>
    </row>
    <row r="3848" spans="1:40" x14ac:dyDescent="0.25">
      <c r="A3848" t="str">
        <f>"20190303154212134"</f>
        <v>20190303154212134</v>
      </c>
      <c r="B3848" t="str">
        <f>"1551598932124051"</f>
        <v>1551598932124051</v>
      </c>
      <c r="C3848" t="s">
        <v>40</v>
      </c>
      <c r="D3848">
        <v>6.0413379999999997</v>
      </c>
      <c r="E3848">
        <v>0.50740029999999903</v>
      </c>
      <c r="F3848" t="s">
        <v>50</v>
      </c>
      <c r="G3848">
        <v>-447.25729999999999</v>
      </c>
      <c r="H3848" s="1">
        <v>2.2965820000000001E-6</v>
      </c>
      <c r="I3848">
        <v>215.27090000000001</v>
      </c>
      <c r="J3848">
        <v>-464.7559</v>
      </c>
      <c r="K3848">
        <v>1.119645</v>
      </c>
      <c r="L3848">
        <v>215.6653</v>
      </c>
      <c r="M3848">
        <v>0.99936559999999997</v>
      </c>
      <c r="N3848">
        <v>-3.4396959999999999E-3</v>
      </c>
      <c r="O3848">
        <v>-3.5450950000000002E-2</v>
      </c>
      <c r="P3848">
        <v>0.99492429999999998</v>
      </c>
      <c r="Q3848">
        <v>-0.1004833</v>
      </c>
      <c r="R3848">
        <v>-5.407373E-3</v>
      </c>
      <c r="S3848">
        <v>2.9960629999999999</v>
      </c>
      <c r="T3848">
        <v>-0.1892102</v>
      </c>
      <c r="U3848">
        <v>-6.8038940000000006E-2</v>
      </c>
      <c r="V3848">
        <v>-2.9875260000000001E-2</v>
      </c>
      <c r="W3848">
        <v>-9.7059500000000007E-2</v>
      </c>
      <c r="X3848">
        <v>0.99483010000000005</v>
      </c>
      <c r="Y3848">
        <v>-1.266304E-2</v>
      </c>
      <c r="Z3848">
        <v>2.535107E-3</v>
      </c>
      <c r="AA3848">
        <v>0.99991660000000004</v>
      </c>
      <c r="AB3848">
        <v>25</v>
      </c>
      <c r="AC3848">
        <v>17.4986</v>
      </c>
      <c r="AD3848">
        <v>-1.1196427034180001</v>
      </c>
      <c r="AE3848">
        <v>-0.39439999999998998</v>
      </c>
      <c r="AF3848">
        <v>-0.225271712499093</v>
      </c>
      <c r="AG3848">
        <v>-1.1196427034180001</v>
      </c>
      <c r="AH3848">
        <v>17.4302585157937</v>
      </c>
      <c r="AI3848">
        <v>93.675071771858796</v>
      </c>
      <c r="AJ3848">
        <v>90.740459459414794</v>
      </c>
      <c r="AK3848">
        <v>17.467634615344199</v>
      </c>
      <c r="AL3848">
        <v>95.569868352798295</v>
      </c>
      <c r="AM3848">
        <v>91.720104794802495</v>
      </c>
      <c r="AN3848">
        <v>1.0000000027831599</v>
      </c>
    </row>
    <row r="3849" spans="1:40" x14ac:dyDescent="0.25">
      <c r="A3849" t="str">
        <f>"20190303154212155"</f>
        <v>20190303154212155</v>
      </c>
      <c r="B3849" t="str">
        <f>"1551598932143571"</f>
        <v>1551598932143571</v>
      </c>
      <c r="C3849" t="s">
        <v>40</v>
      </c>
      <c r="D3849">
        <v>6.1662530000000002</v>
      </c>
      <c r="E3849">
        <v>0.52345379999999997</v>
      </c>
      <c r="F3849" t="s">
        <v>50</v>
      </c>
      <c r="G3849">
        <v>-446.69569999999999</v>
      </c>
      <c r="H3849" s="1">
        <v>1.9994930000000001E-6</v>
      </c>
      <c r="I3849">
        <v>215.23070000000001</v>
      </c>
      <c r="J3849">
        <v>-464.52120000000002</v>
      </c>
      <c r="K3849">
        <v>1.1197060000000001</v>
      </c>
      <c r="L3849">
        <v>215.65700000000001</v>
      </c>
      <c r="M3849">
        <v>0.99936449999999999</v>
      </c>
      <c r="N3849">
        <v>-3.7926499999999998E-3</v>
      </c>
      <c r="O3849">
        <v>-3.5448010000000002E-2</v>
      </c>
      <c r="P3849">
        <v>0.99495239999999996</v>
      </c>
      <c r="Q3849">
        <v>-0.1001042</v>
      </c>
      <c r="R3849">
        <v>-7.0216740000000003E-3</v>
      </c>
      <c r="S3849">
        <v>2.9961549999999999</v>
      </c>
      <c r="T3849">
        <v>-0.18574750000000001</v>
      </c>
      <c r="U3849">
        <v>-7.209778E-2</v>
      </c>
      <c r="V3849">
        <v>-2.826058E-2</v>
      </c>
      <c r="W3849">
        <v>-9.632897E-2</v>
      </c>
      <c r="X3849">
        <v>0.99494830000000001</v>
      </c>
      <c r="Y3849">
        <v>-1.1313699999999999E-2</v>
      </c>
      <c r="Z3849">
        <v>2.4320589999999999E-3</v>
      </c>
      <c r="AA3849">
        <v>0.99993310000000002</v>
      </c>
      <c r="AB3849">
        <v>25</v>
      </c>
      <c r="AC3849">
        <v>17.825500000000002</v>
      </c>
      <c r="AD3849">
        <v>-1.11970400050699</v>
      </c>
      <c r="AE3849">
        <v>-0.42629999999999701</v>
      </c>
      <c r="AF3849">
        <v>-0.20504228947266301</v>
      </c>
      <c r="AG3849">
        <v>-1.11970400050699</v>
      </c>
      <c r="AH3849">
        <v>17.7593755518301</v>
      </c>
      <c r="AI3849">
        <v>93.607404426028694</v>
      </c>
      <c r="AJ3849">
        <v>90.661483609541804</v>
      </c>
      <c r="AK3849">
        <v>17.795819716443699</v>
      </c>
      <c r="AL3849">
        <v>95.527814885179097</v>
      </c>
      <c r="AM3849">
        <v>91.626995810719805</v>
      </c>
      <c r="AN3849">
        <v>1.0000000252580401</v>
      </c>
    </row>
    <row r="3850" spans="1:40" x14ac:dyDescent="0.25">
      <c r="A3850" t="str">
        <f>"20190303154212179"</f>
        <v>20190303154212179</v>
      </c>
      <c r="B3850" t="str">
        <f>"1551598932173829"</f>
        <v>1551598932173829</v>
      </c>
      <c r="C3850" t="s">
        <v>40</v>
      </c>
      <c r="D3850">
        <v>6.173368</v>
      </c>
      <c r="E3850">
        <v>0.52400930000000001</v>
      </c>
      <c r="F3850" t="s">
        <v>50</v>
      </c>
      <c r="G3850">
        <v>-448.14870000000002</v>
      </c>
      <c r="H3850" s="1">
        <v>2.8032300000000001E-6</v>
      </c>
      <c r="I3850">
        <v>214.53190000000001</v>
      </c>
      <c r="J3850">
        <v>-464.2645</v>
      </c>
      <c r="K3850">
        <v>1.119777</v>
      </c>
      <c r="L3850">
        <v>215.64779999999999</v>
      </c>
      <c r="M3850">
        <v>0.99936250000000004</v>
      </c>
      <c r="N3850">
        <v>-4.2228220000000002E-3</v>
      </c>
      <c r="O3850">
        <v>-3.5449899999999999E-2</v>
      </c>
      <c r="P3850">
        <v>0.9949289</v>
      </c>
      <c r="Q3850">
        <v>-0.1002707</v>
      </c>
      <c r="R3850">
        <v>-7.8894680000000002E-3</v>
      </c>
      <c r="S3850">
        <v>2.9931950000000001</v>
      </c>
      <c r="T3850">
        <v>-0.20470250000000001</v>
      </c>
      <c r="U3850">
        <v>-0.2056732</v>
      </c>
      <c r="V3850">
        <v>-2.739258E-2</v>
      </c>
      <c r="W3850">
        <v>-9.6067979999999997E-2</v>
      </c>
      <c r="X3850">
        <v>0.99499780000000004</v>
      </c>
      <c r="Y3850">
        <v>3.3132769999999999E-2</v>
      </c>
      <c r="Z3850">
        <v>1.06774E-3</v>
      </c>
      <c r="AA3850">
        <v>0.99945039999999996</v>
      </c>
      <c r="AB3850">
        <v>25</v>
      </c>
      <c r="AC3850">
        <v>16.115799999999901</v>
      </c>
      <c r="AD3850">
        <v>-1.1197741967699999</v>
      </c>
      <c r="AE3850">
        <v>-1.1158999999999799</v>
      </c>
      <c r="AF3850">
        <v>0.54128916897113599</v>
      </c>
      <c r="AG3850">
        <v>-1.1197741967699999</v>
      </c>
      <c r="AH3850">
        <v>16.068024744982701</v>
      </c>
      <c r="AI3850">
        <v>93.984221799252893</v>
      </c>
      <c r="AJ3850">
        <v>88.070586673931999</v>
      </c>
      <c r="AK3850">
        <v>16.116088465306099</v>
      </c>
      <c r="AL3850">
        <v>95.512791635109707</v>
      </c>
      <c r="AM3850">
        <v>91.576971217966403</v>
      </c>
      <c r="AN3850">
        <v>1.0000000161125799</v>
      </c>
    </row>
    <row r="3851" spans="1:40" x14ac:dyDescent="0.25">
      <c r="A3851" t="str">
        <f>"20190303154212200"</f>
        <v>20190303154212200</v>
      </c>
      <c r="B3851" t="str">
        <f>"1551598932193347"</f>
        <v>1551598932193347</v>
      </c>
      <c r="C3851" t="s">
        <v>40</v>
      </c>
      <c r="D3851">
        <v>6.1578759999999999</v>
      </c>
      <c r="E3851">
        <v>0.52416799999999997</v>
      </c>
      <c r="F3851" t="s">
        <v>42</v>
      </c>
      <c r="G3851">
        <v>-463.34829999999999</v>
      </c>
      <c r="H3851">
        <v>1.046775</v>
      </c>
      <c r="I3851">
        <v>215.5821</v>
      </c>
      <c r="J3851">
        <v>-464.03039999999999</v>
      </c>
      <c r="K3851">
        <v>1.119847</v>
      </c>
      <c r="L3851">
        <v>215.6395</v>
      </c>
      <c r="M3851">
        <v>0.99936069999999999</v>
      </c>
      <c r="N3851">
        <v>-4.6315039999999998E-3</v>
      </c>
      <c r="O3851">
        <v>-3.5449309999999998E-2</v>
      </c>
      <c r="P3851">
        <v>0.99480119999999905</v>
      </c>
      <c r="Q3851">
        <v>-0.10151300000000001</v>
      </c>
      <c r="R3851">
        <v>-8.1381049999999996E-3</v>
      </c>
      <c r="S3851">
        <v>2.9896240000000001</v>
      </c>
      <c r="T3851">
        <v>-0.2383111</v>
      </c>
      <c r="U3851">
        <v>-0.213501</v>
      </c>
      <c r="V3851">
        <v>-2.713749E-2</v>
      </c>
      <c r="W3851">
        <v>-9.690464E-2</v>
      </c>
      <c r="X3851">
        <v>0.99492369999999997</v>
      </c>
      <c r="Y3851">
        <v>3.5807770000000003E-2</v>
      </c>
      <c r="Z3851">
        <v>1.1463039999999999E-3</v>
      </c>
      <c r="AA3851">
        <v>0.99935810000000003</v>
      </c>
      <c r="AB3851">
        <v>25</v>
      </c>
      <c r="AC3851">
        <v>0.68209999999999105</v>
      </c>
      <c r="AD3851">
        <v>-7.3071999999999998E-2</v>
      </c>
      <c r="AE3851">
        <v>-5.74000000000012E-2</v>
      </c>
      <c r="AF3851">
        <v>3.2809796372423199E-2</v>
      </c>
      <c r="AG3851">
        <v>-7.3071999999999998E-2</v>
      </c>
      <c r="AH3851">
        <v>0.67600255988951596</v>
      </c>
      <c r="AI3851">
        <v>96.162193312567894</v>
      </c>
      <c r="AJ3851">
        <v>87.221328801544999</v>
      </c>
      <c r="AK3851">
        <v>0.68073156302552795</v>
      </c>
      <c r="AL3851">
        <v>95.560953181757796</v>
      </c>
      <c r="AM3851">
        <v>91.562409480335106</v>
      </c>
      <c r="AN3851">
        <v>1.00000006071935</v>
      </c>
    </row>
    <row r="3852" spans="1:40" x14ac:dyDescent="0.25">
      <c r="A3852" t="str">
        <f>"20190303154212224"</f>
        <v>20190303154212224</v>
      </c>
      <c r="B3852" t="str">
        <f>"1551598932213843"</f>
        <v>1551598932213843</v>
      </c>
      <c r="C3852" t="s">
        <v>40</v>
      </c>
      <c r="D3852">
        <v>6.1742220000000003</v>
      </c>
      <c r="E3852">
        <v>0.52394510000000005</v>
      </c>
      <c r="F3852" t="s">
        <v>42</v>
      </c>
      <c r="G3852">
        <v>-463.12549999999999</v>
      </c>
      <c r="H3852">
        <v>1.0463559999999901</v>
      </c>
      <c r="I3852">
        <v>215.57419999999999</v>
      </c>
      <c r="J3852">
        <v>-463.7561</v>
      </c>
      <c r="K3852">
        <v>1.119918</v>
      </c>
      <c r="L3852">
        <v>215.62989999999999</v>
      </c>
      <c r="M3852">
        <v>0.99935879999999999</v>
      </c>
      <c r="N3852">
        <v>-5.1095619999999998E-3</v>
      </c>
      <c r="O3852">
        <v>-3.5439419999999999E-2</v>
      </c>
      <c r="P3852">
        <v>0.99475440000000004</v>
      </c>
      <c r="Q3852">
        <v>-0.10201109999999999</v>
      </c>
      <c r="R3852">
        <v>-7.6109659999999899E-3</v>
      </c>
      <c r="S3852">
        <v>2.9891359999999998</v>
      </c>
      <c r="T3852">
        <v>-0.24280669999999999</v>
      </c>
      <c r="U3852">
        <v>-0.21543880000000001</v>
      </c>
      <c r="V3852">
        <v>-2.765074E-2</v>
      </c>
      <c r="W3852">
        <v>-9.6927970000000002E-2</v>
      </c>
      <c r="X3852">
        <v>0.99490730000000005</v>
      </c>
      <c r="Y3852">
        <v>3.6469010000000003E-2</v>
      </c>
      <c r="Z3852">
        <v>1.1179810000000001E-3</v>
      </c>
      <c r="AA3852">
        <v>0.99933419999999895</v>
      </c>
      <c r="AB3852">
        <v>25</v>
      </c>
      <c r="AC3852">
        <v>0.63060000000001504</v>
      </c>
      <c r="AD3852">
        <v>-7.35620000000001E-2</v>
      </c>
      <c r="AE3852">
        <v>-5.5700000000001602E-2</v>
      </c>
      <c r="AF3852">
        <v>3.2872746410508399E-2</v>
      </c>
      <c r="AG3852">
        <v>-7.35620000000001E-2</v>
      </c>
      <c r="AH3852">
        <v>0.62375541823886704</v>
      </c>
      <c r="AI3852">
        <v>96.716818983373201</v>
      </c>
      <c r="AJ3852">
        <v>86.983226534607496</v>
      </c>
      <c r="AK3852">
        <v>0.62893784039673895</v>
      </c>
      <c r="AL3852">
        <v>95.562296189534706</v>
      </c>
      <c r="AM3852">
        <v>91.591970416542395</v>
      </c>
      <c r="AN3852">
        <v>1.00000006519207</v>
      </c>
    </row>
    <row r="3853" spans="1:40" x14ac:dyDescent="0.25">
      <c r="A3853" t="str">
        <f>"20190303154212247"</f>
        <v>20190303154212247</v>
      </c>
      <c r="B3853" t="str">
        <f>"1551598932243123"</f>
        <v>1551598932243123</v>
      </c>
      <c r="C3853" t="s">
        <v>40</v>
      </c>
      <c r="D3853">
        <v>6.1664890000000003</v>
      </c>
      <c r="E3853">
        <v>0.52333620000000003</v>
      </c>
      <c r="F3853" t="s">
        <v>42</v>
      </c>
      <c r="G3853">
        <v>-462.89909999999998</v>
      </c>
      <c r="H3853">
        <v>1.049401</v>
      </c>
      <c r="I3853">
        <v>215.56880000000001</v>
      </c>
      <c r="J3853">
        <v>-463.51170000000002</v>
      </c>
      <c r="K3853">
        <v>1.1199779999999999</v>
      </c>
      <c r="L3853">
        <v>215.62119999999999</v>
      </c>
      <c r="M3853">
        <v>0.9993573</v>
      </c>
      <c r="N3853">
        <v>-5.5341940000000001E-3</v>
      </c>
      <c r="O3853">
        <v>-3.5418539999999998E-2</v>
      </c>
      <c r="P3853">
        <v>0.99474099999999999</v>
      </c>
      <c r="Q3853">
        <v>-0.1021905</v>
      </c>
      <c r="R3853">
        <v>-6.9072319999999897E-3</v>
      </c>
      <c r="S3853">
        <v>2.9889830000000002</v>
      </c>
      <c r="T3853">
        <v>-0.24598790000000001</v>
      </c>
      <c r="U3853">
        <v>-0.21217349999999999</v>
      </c>
      <c r="V3853">
        <v>-2.833171E-2</v>
      </c>
      <c r="W3853">
        <v>-9.6685599999999997E-2</v>
      </c>
      <c r="X3853">
        <v>0.99491169999999995</v>
      </c>
      <c r="Y3853">
        <v>3.5408830000000002E-2</v>
      </c>
      <c r="Z3853">
        <v>1.1583609999999999E-3</v>
      </c>
      <c r="AA3853">
        <v>0.99937220000000004</v>
      </c>
      <c r="AB3853">
        <v>25</v>
      </c>
      <c r="AC3853">
        <v>0.612600000000043</v>
      </c>
      <c r="AD3853">
        <v>-7.0577000000000098E-2</v>
      </c>
      <c r="AE3853">
        <v>-5.2399999999977298E-2</v>
      </c>
      <c r="AF3853">
        <v>3.0270527404723399E-2</v>
      </c>
      <c r="AG3853">
        <v>-7.0577000000000098E-2</v>
      </c>
      <c r="AH3853">
        <v>0.60608538160882597</v>
      </c>
      <c r="AI3853">
        <v>96.633829300926706</v>
      </c>
      <c r="AJ3853">
        <v>87.140776569617202</v>
      </c>
      <c r="AK3853">
        <v>0.61093118070554897</v>
      </c>
      <c r="AL3853">
        <v>95.548344016139296</v>
      </c>
      <c r="AM3853">
        <v>91.631148612359098</v>
      </c>
      <c r="AN3853">
        <v>1.00000004091788</v>
      </c>
    </row>
    <row r="3854" spans="1:40" x14ac:dyDescent="0.25">
      <c r="A3854" t="str">
        <f>"20190303154212268"</f>
        <v>20190303154212268</v>
      </c>
      <c r="B3854" t="str">
        <f>"1551598932263619"</f>
        <v>1551598932263619</v>
      </c>
      <c r="C3854" t="s">
        <v>40</v>
      </c>
      <c r="D3854">
        <v>6.1998069999999998</v>
      </c>
      <c r="E3854">
        <v>0.5229838</v>
      </c>
      <c r="F3854" t="s">
        <v>42</v>
      </c>
      <c r="G3854">
        <v>-462.67540000000002</v>
      </c>
      <c r="H3854">
        <v>1.048883</v>
      </c>
      <c r="I3854">
        <v>215.5633</v>
      </c>
      <c r="J3854">
        <v>-463.262</v>
      </c>
      <c r="K3854">
        <v>1.120045</v>
      </c>
      <c r="L3854">
        <v>215.61240000000001</v>
      </c>
      <c r="M3854">
        <v>0.99935620000000003</v>
      </c>
      <c r="N3854">
        <v>-5.9675020000000004E-3</v>
      </c>
      <c r="O3854">
        <v>-3.5380229999999999E-2</v>
      </c>
      <c r="P3854">
        <v>0.99475369999999996</v>
      </c>
      <c r="Q3854">
        <v>-0.1021502</v>
      </c>
      <c r="R3854">
        <v>-5.5199450000000001E-3</v>
      </c>
      <c r="S3854">
        <v>2.9883120000000001</v>
      </c>
      <c r="T3854">
        <v>-0.25424560000000002</v>
      </c>
      <c r="U3854">
        <v>-0.20539859999999999</v>
      </c>
      <c r="V3854">
        <v>-2.9678469999999998E-2</v>
      </c>
      <c r="W3854">
        <v>-9.6214960000000002E-2</v>
      </c>
      <c r="X3854">
        <v>0.99491799999999997</v>
      </c>
      <c r="Y3854">
        <v>3.3213769999999997E-2</v>
      </c>
      <c r="Z3854">
        <v>1.2810689999999999E-3</v>
      </c>
      <c r="AA3854">
        <v>0.99944750000000004</v>
      </c>
      <c r="AB3854">
        <v>25</v>
      </c>
      <c r="AC3854">
        <v>0.58659999999991896</v>
      </c>
      <c r="AD3854">
        <v>-7.11620000000001E-2</v>
      </c>
      <c r="AE3854">
        <v>-4.91000000000099E-2</v>
      </c>
      <c r="AF3854">
        <v>2.7907004778836599E-2</v>
      </c>
      <c r="AG3854">
        <v>-7.11620000000001E-2</v>
      </c>
      <c r="AH3854">
        <v>0.57950089109596803</v>
      </c>
      <c r="AI3854">
        <v>96.992778968942503</v>
      </c>
      <c r="AJ3854">
        <v>87.242939064667397</v>
      </c>
      <c r="AK3854">
        <v>0.58452041362192597</v>
      </c>
      <c r="AL3854">
        <v>95.521252369292498</v>
      </c>
      <c r="AM3854">
        <v>91.708630228927504</v>
      </c>
      <c r="AN3854">
        <v>0.99999997841667099</v>
      </c>
    </row>
    <row r="3855" spans="1:40" x14ac:dyDescent="0.25">
      <c r="A3855" t="str">
        <f>"20190303154212293"</f>
        <v>20190303154212293</v>
      </c>
      <c r="B3855" t="str">
        <f>"1551598932283139"</f>
        <v>1551598932283139</v>
      </c>
      <c r="C3855" t="s">
        <v>40</v>
      </c>
      <c r="D3855">
        <v>6.1917839999999904</v>
      </c>
      <c r="E3855">
        <v>0.52265629999999996</v>
      </c>
      <c r="F3855" t="s">
        <v>42</v>
      </c>
      <c r="G3855">
        <v>-462.44970000000001</v>
      </c>
      <c r="H3855">
        <v>1.050027</v>
      </c>
      <c r="I3855">
        <v>215.5582</v>
      </c>
      <c r="J3855">
        <v>-462.9846</v>
      </c>
      <c r="K3855">
        <v>1.1201159999999999</v>
      </c>
      <c r="L3855">
        <v>215.6026</v>
      </c>
      <c r="M3855">
        <v>0.99935549999999995</v>
      </c>
      <c r="N3855">
        <v>-6.4401689999999999E-3</v>
      </c>
      <c r="O3855">
        <v>-3.5313940000000002E-2</v>
      </c>
      <c r="P3855">
        <v>0.9948013</v>
      </c>
      <c r="Q3855">
        <v>-0.10177559999999999</v>
      </c>
      <c r="R3855">
        <v>-3.4726599999999998E-3</v>
      </c>
      <c r="S3855">
        <v>2.9882200000000001</v>
      </c>
      <c r="T3855">
        <v>-0.25776639999999901</v>
      </c>
      <c r="U3855">
        <v>-0.1985779</v>
      </c>
      <c r="V3855">
        <v>-3.1656450000000003E-2</v>
      </c>
      <c r="W3855">
        <v>-9.5371399999999995E-2</v>
      </c>
      <c r="X3855">
        <v>0.99493830000000005</v>
      </c>
      <c r="Y3855">
        <v>3.1017449999999998E-2</v>
      </c>
      <c r="Z3855">
        <v>1.3749369999999999E-3</v>
      </c>
      <c r="AA3855">
        <v>0.99951789999999996</v>
      </c>
      <c r="AB3855">
        <v>25</v>
      </c>
      <c r="AC3855">
        <v>0.53489999999999305</v>
      </c>
      <c r="AD3855">
        <v>-7.0088999999999804E-2</v>
      </c>
      <c r="AE3855">
        <v>-4.4399999999995998E-2</v>
      </c>
      <c r="AF3855">
        <v>2.5055247299341801E-2</v>
      </c>
      <c r="AG3855">
        <v>-7.0088999999999804E-2</v>
      </c>
      <c r="AH3855">
        <v>0.52714549710605196</v>
      </c>
      <c r="AI3855">
        <v>97.565155876154606</v>
      </c>
      <c r="AJ3855">
        <v>87.278777170769402</v>
      </c>
      <c r="AK3855">
        <v>0.53237450019457</v>
      </c>
      <c r="AL3855">
        <v>95.472696372780902</v>
      </c>
      <c r="AM3855">
        <v>91.822393698641605</v>
      </c>
      <c r="AN3855">
        <v>1.0000000277857199</v>
      </c>
    </row>
    <row r="3856" spans="1:40" x14ac:dyDescent="0.25">
      <c r="A3856" t="str">
        <f>"20190303154212315"</f>
        <v>20190303154212315</v>
      </c>
      <c r="B3856" t="str">
        <f>"1551598932303635"</f>
        <v>1551598932303635</v>
      </c>
      <c r="C3856" t="s">
        <v>40</v>
      </c>
      <c r="D3856">
        <v>6.2104379999999999</v>
      </c>
      <c r="E3856">
        <v>0.52257180000000003</v>
      </c>
      <c r="F3856" t="s">
        <v>42</v>
      </c>
      <c r="G3856">
        <v>-462.21409999999997</v>
      </c>
      <c r="H3856">
        <v>1.0527260000000001</v>
      </c>
      <c r="I3856">
        <v>215.5531</v>
      </c>
      <c r="J3856">
        <v>-462.73820000000001</v>
      </c>
      <c r="K3856">
        <v>1.12018</v>
      </c>
      <c r="L3856">
        <v>215.59399999999999</v>
      </c>
      <c r="M3856">
        <v>0.99935589999999996</v>
      </c>
      <c r="N3856">
        <v>-6.844401E-3</v>
      </c>
      <c r="O3856">
        <v>-3.5228410000000002E-2</v>
      </c>
      <c r="P3856">
        <v>0.99482369999999998</v>
      </c>
      <c r="Q3856">
        <v>-0.1016079</v>
      </c>
      <c r="R3856">
        <v>-1.390156E-3</v>
      </c>
      <c r="S3856">
        <v>2.988251</v>
      </c>
      <c r="T3856">
        <v>-0.26155499999999998</v>
      </c>
      <c r="U3856">
        <v>-0.19001770000000001</v>
      </c>
      <c r="V3856">
        <v>-3.3649850000000002E-2</v>
      </c>
      <c r="W3856">
        <v>-9.4803349999999995E-2</v>
      </c>
      <c r="X3856">
        <v>0.99492720000000001</v>
      </c>
      <c r="Y3856">
        <v>2.826033E-2</v>
      </c>
      <c r="Z3856">
        <v>1.502406E-3</v>
      </c>
      <c r="AA3856">
        <v>0.99959949999999997</v>
      </c>
      <c r="AB3856">
        <v>25</v>
      </c>
      <c r="AC3856">
        <v>0.52410000000003198</v>
      </c>
      <c r="AD3856">
        <v>-6.7453999999999903E-2</v>
      </c>
      <c r="AE3856">
        <v>-4.0900000000021898E-2</v>
      </c>
      <c r="AF3856">
        <v>2.2047960352828098E-2</v>
      </c>
      <c r="AG3856">
        <v>-6.7453999999999903E-2</v>
      </c>
      <c r="AH3856">
        <v>0.51670816951050003</v>
      </c>
      <c r="AI3856">
        <v>97.430967279338304</v>
      </c>
      <c r="AJ3856">
        <v>87.556668729478403</v>
      </c>
      <c r="AK3856">
        <v>0.52155870916955405</v>
      </c>
      <c r="AL3856">
        <v>95.440001184150603</v>
      </c>
      <c r="AM3856">
        <v>91.9370862044765</v>
      </c>
      <c r="AN3856">
        <v>1.0000000604380399</v>
      </c>
    </row>
    <row r="3857" spans="1:40" x14ac:dyDescent="0.25">
      <c r="A3857" t="str">
        <f>"20190303154212337"</f>
        <v>20190303154212337</v>
      </c>
      <c r="B3857" t="str">
        <f>"1551598932333890"</f>
        <v>1551598932333890</v>
      </c>
      <c r="C3857" t="s">
        <v>40</v>
      </c>
      <c r="D3857">
        <v>6.20296</v>
      </c>
      <c r="E3857">
        <v>0.52263539999999997</v>
      </c>
      <c r="F3857" t="s">
        <v>50</v>
      </c>
      <c r="G3857">
        <v>-450.0616</v>
      </c>
      <c r="H3857" s="1">
        <v>-1.512816E-6</v>
      </c>
      <c r="I3857">
        <v>214.81720000000001</v>
      </c>
      <c r="J3857">
        <v>-462.4966</v>
      </c>
      <c r="K3857">
        <v>1.120247</v>
      </c>
      <c r="L3857">
        <v>215.5856</v>
      </c>
      <c r="M3857">
        <v>0.9993573</v>
      </c>
      <c r="N3857">
        <v>-7.2337059999999899E-3</v>
      </c>
      <c r="O3857">
        <v>-3.5111009999999998E-2</v>
      </c>
      <c r="P3857">
        <v>0.99480999999999997</v>
      </c>
      <c r="Q3857">
        <v>-0.1017496</v>
      </c>
      <c r="R3857" s="1">
        <v>-8.1868379999999996E-5</v>
      </c>
      <c r="S3857">
        <v>2.9883730000000002</v>
      </c>
      <c r="T3857">
        <v>-0.26407059999999999</v>
      </c>
      <c r="U3857">
        <v>-0.1831207</v>
      </c>
      <c r="V3857">
        <v>-3.4833830000000003E-2</v>
      </c>
      <c r="W3857">
        <v>-9.4560329999999998E-2</v>
      </c>
      <c r="X3857">
        <v>0.9949095</v>
      </c>
      <c r="Y3857">
        <v>2.6084340000000001E-2</v>
      </c>
      <c r="Z3857">
        <v>1.5951889999999999E-3</v>
      </c>
      <c r="AA3857">
        <v>0.99965850000000001</v>
      </c>
      <c r="AB3857">
        <v>25</v>
      </c>
      <c r="AC3857">
        <v>12.435</v>
      </c>
      <c r="AD3857">
        <v>-1.120248512816</v>
      </c>
      <c r="AE3857">
        <v>-0.76839999999998498</v>
      </c>
      <c r="AF3857">
        <v>0.32865222251123999</v>
      </c>
      <c r="AG3857">
        <v>-1.120248512816</v>
      </c>
      <c r="AH3857">
        <v>12.3544264164662</v>
      </c>
      <c r="AI3857">
        <v>95.179353940947394</v>
      </c>
      <c r="AJ3857">
        <v>88.476178119719194</v>
      </c>
      <c r="AK3857">
        <v>12.4094649801555</v>
      </c>
      <c r="AL3857">
        <v>95.426014754254496</v>
      </c>
      <c r="AM3857">
        <v>92.005224109729099</v>
      </c>
      <c r="AN3857">
        <v>0.99999998245621302</v>
      </c>
    </row>
    <row r="3858" spans="1:40" x14ac:dyDescent="0.25">
      <c r="A3858" t="str">
        <f>"20190303154212357"</f>
        <v>20190303154212357</v>
      </c>
      <c r="B3858" t="str">
        <f>"1551598932353411"</f>
        <v>1551598932353411</v>
      </c>
      <c r="C3858" t="s">
        <v>40</v>
      </c>
      <c r="D3858">
        <v>6.2065000000000001</v>
      </c>
      <c r="E3858">
        <v>0.52263440000000005</v>
      </c>
      <c r="F3858" t="s">
        <v>42</v>
      </c>
      <c r="G3858">
        <v>-461.56029999999998</v>
      </c>
      <c r="H3858">
        <v>1.036043</v>
      </c>
      <c r="I3858">
        <v>215.5291</v>
      </c>
      <c r="J3858">
        <v>-462.26710000000003</v>
      </c>
      <c r="K3858">
        <v>1.1203099999999999</v>
      </c>
      <c r="L3858">
        <v>215.57769999999999</v>
      </c>
      <c r="M3858">
        <v>0.99935969999999996</v>
      </c>
      <c r="N3858">
        <v>-7.6106999999999998E-3</v>
      </c>
      <c r="O3858">
        <v>-3.4960659999999998E-2</v>
      </c>
      <c r="P3858">
        <v>0.99477230000000005</v>
      </c>
      <c r="Q3858">
        <v>-0.1021133</v>
      </c>
      <c r="R3858">
        <v>1.0810100000000001E-3</v>
      </c>
      <c r="S3858">
        <v>2.988159</v>
      </c>
      <c r="T3858">
        <v>-0.26877079999999998</v>
      </c>
      <c r="U3858">
        <v>-0.17980960000000001</v>
      </c>
      <c r="V3858">
        <v>-3.583865E-2</v>
      </c>
      <c r="W3858">
        <v>-9.4552339999999999E-2</v>
      </c>
      <c r="X3858">
        <v>0.99487460000000005</v>
      </c>
      <c r="Y3858">
        <v>2.513816E-2</v>
      </c>
      <c r="Z3858">
        <v>1.645437E-3</v>
      </c>
      <c r="AA3858">
        <v>0.99968259999999998</v>
      </c>
      <c r="AB3858">
        <v>25</v>
      </c>
      <c r="AC3858">
        <v>0.70680000000004295</v>
      </c>
      <c r="AD3858">
        <v>-8.4266999999999995E-2</v>
      </c>
      <c r="AE3858">
        <v>-4.8599999999993301E-2</v>
      </c>
      <c r="AF3858">
        <v>2.35265412107225E-2</v>
      </c>
      <c r="AG3858">
        <v>-8.4266999999999995E-2</v>
      </c>
      <c r="AH3858">
        <v>0.69818954305094205</v>
      </c>
      <c r="AI3858">
        <v>96.878079309391097</v>
      </c>
      <c r="AJ3858">
        <v>88.070063219740604</v>
      </c>
      <c r="AK3858">
        <v>0.70364981592836595</v>
      </c>
      <c r="AL3858">
        <v>95.425554741028606</v>
      </c>
      <c r="AM3858">
        <v>92.063090022884793</v>
      </c>
      <c r="AN3858">
        <v>1.00000001177922</v>
      </c>
    </row>
    <row r="3859" spans="1:40" x14ac:dyDescent="0.25">
      <c r="A3859" t="str">
        <f>"20190303154212380"</f>
        <v>20190303154212380</v>
      </c>
      <c r="B3859" t="str">
        <f>"1551598932373427"</f>
        <v>1551598932373427</v>
      </c>
      <c r="C3859" t="s">
        <v>40</v>
      </c>
      <c r="D3859">
        <v>6.200018</v>
      </c>
      <c r="E3859">
        <v>0.523088</v>
      </c>
      <c r="F3859" t="s">
        <v>42</v>
      </c>
      <c r="G3859">
        <v>-461.33569999999997</v>
      </c>
      <c r="H3859">
        <v>1.035328</v>
      </c>
      <c r="I3859">
        <v>215.52209999999999</v>
      </c>
      <c r="J3859">
        <v>-462.0043</v>
      </c>
      <c r="K3859">
        <v>1.1203970000000001</v>
      </c>
      <c r="L3859">
        <v>215.56870000000001</v>
      </c>
      <c r="M3859">
        <v>0.99936400000000003</v>
      </c>
      <c r="N3859">
        <v>-8.0444609999999993E-3</v>
      </c>
      <c r="O3859">
        <v>-3.4744110000000002E-2</v>
      </c>
      <c r="P3859">
        <v>0.99469450000000004</v>
      </c>
      <c r="Q3859">
        <v>-0.10287209999999999</v>
      </c>
      <c r="R3859">
        <v>6.1711669999999896E-4</v>
      </c>
      <c r="S3859">
        <v>2.9880070000000001</v>
      </c>
      <c r="T3859">
        <v>-0.27286579999999999</v>
      </c>
      <c r="U3859">
        <v>-0.1762543</v>
      </c>
      <c r="V3859">
        <v>-3.5148230000000003E-2</v>
      </c>
      <c r="W3859">
        <v>-9.4882999999999995E-2</v>
      </c>
      <c r="X3859">
        <v>0.99486770000000002</v>
      </c>
      <c r="Y3859">
        <v>2.4174999999999999E-2</v>
      </c>
      <c r="Z3859">
        <v>1.6852569999999999E-3</v>
      </c>
      <c r="AA3859">
        <v>0.99970630000000005</v>
      </c>
      <c r="AB3859">
        <v>25</v>
      </c>
      <c r="AC3859">
        <v>0.66860000000002595</v>
      </c>
      <c r="AD3859">
        <v>-8.5068999999999798E-2</v>
      </c>
      <c r="AE3859">
        <v>-4.6600000000012097E-2</v>
      </c>
      <c r="AF3859">
        <v>2.2971129332373299E-2</v>
      </c>
      <c r="AG3859">
        <v>-8.5068999999999798E-2</v>
      </c>
      <c r="AH3859">
        <v>0.65919554942223801</v>
      </c>
      <c r="AI3859">
        <v>97.348951515582996</v>
      </c>
      <c r="AJ3859">
        <v>88.004209214169293</v>
      </c>
      <c r="AK3859">
        <v>0.66505877929840995</v>
      </c>
      <c r="AL3859">
        <v>95.444585999892396</v>
      </c>
      <c r="AM3859">
        <v>92.023392642756505</v>
      </c>
      <c r="AN3859">
        <v>0.99999996113221001</v>
      </c>
    </row>
    <row r="3860" spans="1:40" x14ac:dyDescent="0.25">
      <c r="A3860" t="str">
        <f>"20190303154212403"</f>
        <v>20190303154212403</v>
      </c>
      <c r="B3860" t="str">
        <f>"1551598932393923"</f>
        <v>1551598932393923</v>
      </c>
      <c r="C3860" t="s">
        <v>40</v>
      </c>
      <c r="D3860">
        <v>6.1654419999999996</v>
      </c>
      <c r="E3860">
        <v>0.52313199999999904</v>
      </c>
      <c r="F3860" t="s">
        <v>42</v>
      </c>
      <c r="G3860">
        <v>-461.10969999999998</v>
      </c>
      <c r="H3860">
        <v>1.0375490000000001</v>
      </c>
      <c r="I3860">
        <v>215.51439999999999</v>
      </c>
      <c r="J3860">
        <v>-461.7473</v>
      </c>
      <c r="K3860">
        <v>1.120485</v>
      </c>
      <c r="L3860">
        <v>215.56010000000001</v>
      </c>
      <c r="M3860">
        <v>0.99936959999999997</v>
      </c>
      <c r="N3860">
        <v>-8.4745359999999995E-3</v>
      </c>
      <c r="O3860">
        <v>-3.4479900000000001E-2</v>
      </c>
      <c r="P3860">
        <v>0.9945891</v>
      </c>
      <c r="Q3860">
        <v>-0.103883199999999</v>
      </c>
      <c r="R3860">
        <v>-1.0555479999999999E-3</v>
      </c>
      <c r="S3860">
        <v>2.9875180000000001</v>
      </c>
      <c r="T3860">
        <v>-0.27667320000000001</v>
      </c>
      <c r="U3860">
        <v>-0.18138119999999999</v>
      </c>
      <c r="V3860">
        <v>-3.3201300000000003E-2</v>
      </c>
      <c r="W3860">
        <v>-9.5468949999999997E-2</v>
      </c>
      <c r="X3860">
        <v>0.99487859999999995</v>
      </c>
      <c r="Y3860">
        <v>2.6147139999999999E-2</v>
      </c>
      <c r="Z3860">
        <v>1.572443E-3</v>
      </c>
      <c r="AA3860">
        <v>0.99965689999999996</v>
      </c>
      <c r="AB3860">
        <v>25</v>
      </c>
      <c r="AC3860">
        <v>0.63760000000002004</v>
      </c>
      <c r="AD3860">
        <v>-8.2935999999999899E-2</v>
      </c>
      <c r="AE3860">
        <v>-4.5700000000010697E-2</v>
      </c>
      <c r="AF3860">
        <v>2.3295517957177402E-2</v>
      </c>
      <c r="AG3860">
        <v>-8.2935999999999899E-2</v>
      </c>
      <c r="AH3860">
        <v>0.62822171788215098</v>
      </c>
      <c r="AI3860">
        <v>97.515426294095406</v>
      </c>
      <c r="AJ3860">
        <v>87.876349144655293</v>
      </c>
      <c r="AK3860">
        <v>0.63410061352414304</v>
      </c>
      <c r="AL3860">
        <v>95.478311141196301</v>
      </c>
      <c r="AM3860">
        <v>91.911377566969904</v>
      </c>
      <c r="AN3860">
        <v>1.0000000377368701</v>
      </c>
    </row>
    <row r="3861" spans="1:40" x14ac:dyDescent="0.25">
      <c r="A3861" t="str">
        <f>"20190303154212424"</f>
        <v>20190303154212424</v>
      </c>
      <c r="B3861" t="str">
        <f>"1551598932413446"</f>
        <v>1551598932413446</v>
      </c>
      <c r="C3861" t="s">
        <v>40</v>
      </c>
      <c r="D3861">
        <v>6.172885</v>
      </c>
      <c r="E3861">
        <v>0.52323399999999998</v>
      </c>
      <c r="F3861" t="s">
        <v>42</v>
      </c>
      <c r="G3861">
        <v>-460.88409999999999</v>
      </c>
      <c r="H3861">
        <v>1.039293</v>
      </c>
      <c r="I3861">
        <v>215.50579999999999</v>
      </c>
      <c r="J3861">
        <v>-461.5206</v>
      </c>
      <c r="K3861">
        <v>1.1205750000000001</v>
      </c>
      <c r="L3861">
        <v>215.55250000000001</v>
      </c>
      <c r="M3861">
        <v>0.99937589999999998</v>
      </c>
      <c r="N3861">
        <v>-8.8664520000000004E-3</v>
      </c>
      <c r="O3861">
        <v>-3.4199170000000001E-2</v>
      </c>
      <c r="P3861">
        <v>0.99448820000000004</v>
      </c>
      <c r="Q3861">
        <v>-0.10480589999999999</v>
      </c>
      <c r="R3861">
        <v>-3.0951910000000002E-3</v>
      </c>
      <c r="S3861">
        <v>2.986755</v>
      </c>
      <c r="T3861">
        <v>-0.28108759999999999</v>
      </c>
      <c r="U3861">
        <v>-0.18690490000000001</v>
      </c>
      <c r="V3861">
        <v>-3.0871280000000001E-2</v>
      </c>
      <c r="W3861">
        <v>-9.6003640000000001E-2</v>
      </c>
      <c r="X3861">
        <v>0.99490210000000001</v>
      </c>
      <c r="Y3861">
        <v>2.8272660000000002E-2</v>
      </c>
      <c r="Z3861">
        <v>1.4526020000000001E-3</v>
      </c>
      <c r="AA3861">
        <v>0.99959920000000002</v>
      </c>
      <c r="AB3861">
        <v>25</v>
      </c>
      <c r="AC3861">
        <v>0.63650000000001195</v>
      </c>
      <c r="AD3861">
        <v>-8.1281999999999993E-2</v>
      </c>
      <c r="AE3861">
        <v>-4.67000000000155E-2</v>
      </c>
      <c r="AF3861">
        <v>2.4506551971670201E-2</v>
      </c>
      <c r="AG3861">
        <v>-8.1281999999999993E-2</v>
      </c>
      <c r="AH3861">
        <v>0.62754579062235305</v>
      </c>
      <c r="AI3861">
        <v>97.374510291019007</v>
      </c>
      <c r="AJ3861">
        <v>87.763655013543399</v>
      </c>
      <c r="AK3861">
        <v>0.6332622315766</v>
      </c>
      <c r="AL3861">
        <v>95.509088407233193</v>
      </c>
      <c r="AM3861">
        <v>91.777287130646101</v>
      </c>
      <c r="AN3861">
        <v>0.99999996170324801</v>
      </c>
    </row>
    <row r="3862" spans="1:40" x14ac:dyDescent="0.25">
      <c r="A3862" t="str">
        <f>"20190303154212446"</f>
        <v>20190303154212446</v>
      </c>
      <c r="B3862" t="str">
        <f>"1551598932443699"</f>
        <v>1551598932443699</v>
      </c>
      <c r="C3862" t="s">
        <v>40</v>
      </c>
      <c r="D3862">
        <v>6.2666409999999999</v>
      </c>
      <c r="E3862">
        <v>0.52336289999999996</v>
      </c>
      <c r="F3862" t="s">
        <v>42</v>
      </c>
      <c r="G3862">
        <v>-460.66</v>
      </c>
      <c r="H3862">
        <v>1.038241</v>
      </c>
      <c r="I3862">
        <v>215.4965</v>
      </c>
      <c r="J3862">
        <v>-461.26420000000002</v>
      </c>
      <c r="K3862">
        <v>1.1206750000000001</v>
      </c>
      <c r="L3862">
        <v>215.54419999999999</v>
      </c>
      <c r="M3862">
        <v>0.99938450000000001</v>
      </c>
      <c r="N3862">
        <v>-9.3172659999999994E-3</v>
      </c>
      <c r="O3862">
        <v>-3.3820780000000002E-2</v>
      </c>
      <c r="P3862">
        <v>0.9945058</v>
      </c>
      <c r="Q3862">
        <v>-0.1045841</v>
      </c>
      <c r="R3862">
        <v>-4.5316380000000002E-3</v>
      </c>
      <c r="S3862">
        <v>2.9859010000000001</v>
      </c>
      <c r="T3862">
        <v>-0.28572599999999998</v>
      </c>
      <c r="U3862">
        <v>-0.19390869999999999</v>
      </c>
      <c r="V3862">
        <v>-2.9049970000000001E-2</v>
      </c>
      <c r="W3862">
        <v>-9.5334829999999995E-2</v>
      </c>
      <c r="X3862">
        <v>0.9950213</v>
      </c>
      <c r="Y3862">
        <v>3.0987210000000001E-2</v>
      </c>
      <c r="Z3862">
        <v>1.2874379999999999E-3</v>
      </c>
      <c r="AA3862">
        <v>0.99951889999999999</v>
      </c>
      <c r="AB3862">
        <v>25</v>
      </c>
      <c r="AC3862">
        <v>0.60419999999999097</v>
      </c>
      <c r="AD3862">
        <v>-8.2434000000000104E-2</v>
      </c>
      <c r="AE3862">
        <v>-4.7699999999991798E-2</v>
      </c>
      <c r="AF3862">
        <v>2.6742590709401399E-2</v>
      </c>
      <c r="AG3862">
        <v>-8.2434000000000104E-2</v>
      </c>
      <c r="AH3862">
        <v>0.59447041126394096</v>
      </c>
      <c r="AI3862">
        <v>97.886867895488194</v>
      </c>
      <c r="AJ3862">
        <v>87.424253238031696</v>
      </c>
      <c r="AK3862">
        <v>0.60075419297926602</v>
      </c>
      <c r="AL3862">
        <v>95.470591578262798</v>
      </c>
      <c r="AM3862">
        <v>91.672293862378197</v>
      </c>
      <c r="AN3862">
        <v>1.0000000090109</v>
      </c>
    </row>
    <row r="3863" spans="1:40" x14ac:dyDescent="0.25">
      <c r="A3863" t="str">
        <f>"20190303154212469"</f>
        <v>20190303154212469</v>
      </c>
      <c r="B3863" t="str">
        <f>"1551598932463220"</f>
        <v>1551598932463220</v>
      </c>
      <c r="C3863" t="s">
        <v>40</v>
      </c>
      <c r="D3863">
        <v>6.243798</v>
      </c>
      <c r="E3863">
        <v>0.52336380000000005</v>
      </c>
      <c r="F3863" t="s">
        <v>42</v>
      </c>
      <c r="G3863">
        <v>-460.43450000000001</v>
      </c>
      <c r="H3863">
        <v>1.0405610000000001</v>
      </c>
      <c r="I3863">
        <v>215.48840000000001</v>
      </c>
      <c r="J3863">
        <v>-461.00990000000002</v>
      </c>
      <c r="K3863">
        <v>1.1207780000000001</v>
      </c>
      <c r="L3863">
        <v>215.536</v>
      </c>
      <c r="M3863">
        <v>0.99939540000000004</v>
      </c>
      <c r="N3863">
        <v>-9.7507730000000008E-3</v>
      </c>
      <c r="O3863">
        <v>-3.3376309999999999E-2</v>
      </c>
      <c r="P3863">
        <v>0.99455959999999999</v>
      </c>
      <c r="Q3863">
        <v>-0.10403080000000001</v>
      </c>
      <c r="R3863">
        <v>-5.4037640000000001E-3</v>
      </c>
      <c r="S3863">
        <v>2.985382</v>
      </c>
      <c r="T3863">
        <v>-0.28834530000000003</v>
      </c>
      <c r="U3863">
        <v>-0.19947809999999999</v>
      </c>
      <c r="V3863">
        <v>-2.772879E-2</v>
      </c>
      <c r="W3863">
        <v>-9.435151E-2</v>
      </c>
      <c r="X3863">
        <v>0.9951527</v>
      </c>
      <c r="Y3863">
        <v>3.3283899999999998E-2</v>
      </c>
      <c r="Z3863">
        <v>1.1220049999999999E-3</v>
      </c>
      <c r="AA3863">
        <v>0.99944529999999998</v>
      </c>
      <c r="AB3863">
        <v>25</v>
      </c>
      <c r="AC3863">
        <v>0.57540000000000102</v>
      </c>
      <c r="AD3863">
        <v>-8.0216999999999899E-2</v>
      </c>
      <c r="AE3863">
        <v>-4.7599999999960098E-2</v>
      </c>
      <c r="AF3863">
        <v>2.78306154911598E-2</v>
      </c>
      <c r="AG3863">
        <v>-8.0216999999999899E-2</v>
      </c>
      <c r="AH3863">
        <v>0.56574739453065204</v>
      </c>
      <c r="AI3863">
        <v>98.060522743643702</v>
      </c>
      <c r="AJ3863">
        <v>87.183738819263695</v>
      </c>
      <c r="AK3863">
        <v>0.57208340708837002</v>
      </c>
      <c r="AL3863">
        <v>95.413996449442905</v>
      </c>
      <c r="AM3863">
        <v>91.5960682876227</v>
      </c>
      <c r="AN3863">
        <v>0.99999999477571699</v>
      </c>
    </row>
    <row r="3864" spans="1:40" x14ac:dyDescent="0.25">
      <c r="A3864" t="str">
        <f>"20190303154212490"</f>
        <v>20190303154212490</v>
      </c>
      <c r="B3864" t="str">
        <f>"1551598932483247"</f>
        <v>1551598932483247</v>
      </c>
      <c r="C3864" t="s">
        <v>40</v>
      </c>
      <c r="D3864">
        <v>6.0845690000000001</v>
      </c>
      <c r="E3864">
        <v>0.52324910000000002</v>
      </c>
      <c r="F3864" t="s">
        <v>42</v>
      </c>
      <c r="G3864">
        <v>-460.20830000000001</v>
      </c>
      <c r="H3864">
        <v>1.0435449999999999</v>
      </c>
      <c r="I3864">
        <v>215.48150000000001</v>
      </c>
      <c r="J3864">
        <v>-460.77550000000002</v>
      </c>
      <c r="K3864">
        <v>1.120862</v>
      </c>
      <c r="L3864">
        <v>215.52869999999999</v>
      </c>
      <c r="M3864">
        <v>0.9994073</v>
      </c>
      <c r="N3864">
        <v>-1.0121450000000001E-2</v>
      </c>
      <c r="O3864">
        <v>-3.2906499999999998E-2</v>
      </c>
      <c r="P3864">
        <v>0.99465669999999995</v>
      </c>
      <c r="Q3864">
        <v>-0.10309020000000001</v>
      </c>
      <c r="R3864">
        <v>-5.5580079999999997E-3</v>
      </c>
      <c r="S3864">
        <v>2.9851990000000002</v>
      </c>
      <c r="T3864">
        <v>-0.28790959999999899</v>
      </c>
      <c r="U3864">
        <v>-0.2019196</v>
      </c>
      <c r="V3864">
        <v>-2.7101500000000001E-2</v>
      </c>
      <c r="W3864">
        <v>-9.3043230000000005E-2</v>
      </c>
      <c r="X3864">
        <v>0.99529310000000004</v>
      </c>
      <c r="Y3864">
        <v>3.4561519999999998E-2</v>
      </c>
      <c r="Z3864">
        <v>9.9283930000000002E-4</v>
      </c>
      <c r="AA3864">
        <v>0.99940209999999996</v>
      </c>
      <c r="AB3864">
        <v>25</v>
      </c>
      <c r="AC3864">
        <v>0.56720000000001303</v>
      </c>
      <c r="AD3864">
        <v>-7.7316999999999803E-2</v>
      </c>
      <c r="AE3864">
        <v>-4.7199999999975199E-2</v>
      </c>
      <c r="AF3864">
        <v>2.7992355766179099E-2</v>
      </c>
      <c r="AG3864">
        <v>-7.7316999999999803E-2</v>
      </c>
      <c r="AH3864">
        <v>0.55814626570834702</v>
      </c>
      <c r="AI3864">
        <v>97.876910153308302</v>
      </c>
      <c r="AJ3864">
        <v>87.128886685180603</v>
      </c>
      <c r="AK3864">
        <v>0.56417084681372198</v>
      </c>
      <c r="AL3864">
        <v>95.338706568549497</v>
      </c>
      <c r="AM3864">
        <v>91.559759594166295</v>
      </c>
      <c r="AN3864">
        <v>0.99999994442934503</v>
      </c>
    </row>
    <row r="3865" spans="1:40" x14ac:dyDescent="0.25">
      <c r="A3865" t="str">
        <f>"20190303154212515"</f>
        <v>20190303154212515</v>
      </c>
      <c r="B3865" t="str">
        <f>"1551598932503743"</f>
        <v>1551598932503743</v>
      </c>
      <c r="C3865" t="s">
        <v>40</v>
      </c>
      <c r="D3865">
        <v>6.0958410000000001</v>
      </c>
      <c r="E3865">
        <v>0.50033369999999999</v>
      </c>
      <c r="F3865" t="s">
        <v>42</v>
      </c>
      <c r="G3865">
        <v>-459.98289999999997</v>
      </c>
      <c r="H3865">
        <v>1.04499599999999</v>
      </c>
      <c r="I3865">
        <v>215.47499999999999</v>
      </c>
      <c r="J3865">
        <v>-460.49090000000001</v>
      </c>
      <c r="K3865">
        <v>1.1209469999999999</v>
      </c>
      <c r="L3865">
        <v>215.52010000000001</v>
      </c>
      <c r="M3865">
        <v>0.99942370000000003</v>
      </c>
      <c r="N3865">
        <v>-1.052924E-2</v>
      </c>
      <c r="O3865">
        <v>-3.22729E-2</v>
      </c>
      <c r="P3865">
        <v>0.99464770000000002</v>
      </c>
      <c r="Q3865">
        <v>-0.10320310000000001</v>
      </c>
      <c r="R3865">
        <v>-5.0368130000000002E-3</v>
      </c>
      <c r="S3865">
        <v>2.9853209999999999</v>
      </c>
      <c r="T3865">
        <v>-0.28584500000000002</v>
      </c>
      <c r="U3865">
        <v>-0.20149230000000001</v>
      </c>
      <c r="V3865">
        <v>-2.6981209999999999E-2</v>
      </c>
      <c r="W3865">
        <v>-9.2753429999999998E-2</v>
      </c>
      <c r="X3865">
        <v>0.99532350000000003</v>
      </c>
      <c r="Y3865">
        <v>3.504376E-2</v>
      </c>
      <c r="Z3865">
        <v>8.8230779999999998E-4</v>
      </c>
      <c r="AA3865">
        <v>0.99938539999999998</v>
      </c>
      <c r="AB3865">
        <v>25</v>
      </c>
      <c r="AC3865">
        <v>0.50800000000003798</v>
      </c>
      <c r="AD3865">
        <v>-7.5951000000000102E-2</v>
      </c>
      <c r="AE3865">
        <v>-4.5100000000019201E-2</v>
      </c>
      <c r="AF3865">
        <v>2.8058667606807201E-2</v>
      </c>
      <c r="AG3865">
        <v>-7.5951000000000102E-2</v>
      </c>
      <c r="AH3865">
        <v>0.49814293209043498</v>
      </c>
      <c r="AI3865">
        <v>98.655514330890895</v>
      </c>
      <c r="AJ3865">
        <v>86.776133555944497</v>
      </c>
      <c r="AK3865">
        <v>0.50468031863797203</v>
      </c>
      <c r="AL3865">
        <v>95.322029694047998</v>
      </c>
      <c r="AM3865">
        <v>91.552792593878607</v>
      </c>
      <c r="AN3865">
        <v>1.0000000270610301</v>
      </c>
    </row>
    <row r="3866" spans="1:40" x14ac:dyDescent="0.25">
      <c r="A3866" t="str">
        <f>"20190303154212538"</f>
        <v>20190303154212538</v>
      </c>
      <c r="B3866" t="str">
        <f>"1551598932533999"</f>
        <v>1551598932533999</v>
      </c>
      <c r="C3866" t="s">
        <v>40</v>
      </c>
      <c r="D3866">
        <v>6.0554050000000004</v>
      </c>
      <c r="E3866">
        <v>0.49914510000000001</v>
      </c>
      <c r="F3866" t="s">
        <v>50</v>
      </c>
      <c r="G3866">
        <v>-447.49939999999998</v>
      </c>
      <c r="H3866" s="1">
        <v>2.4176099999999998E-6</v>
      </c>
      <c r="I3866">
        <v>215.44890000000001</v>
      </c>
      <c r="J3866">
        <v>-460.23770000000002</v>
      </c>
      <c r="K3866">
        <v>1.121011</v>
      </c>
      <c r="L3866">
        <v>215.51259999999999</v>
      </c>
      <c r="M3866">
        <v>0.99943979999999999</v>
      </c>
      <c r="N3866">
        <v>-1.0856950000000001E-2</v>
      </c>
      <c r="O3866">
        <v>-3.1659390000000003E-2</v>
      </c>
      <c r="P3866">
        <v>0.99453510000000001</v>
      </c>
      <c r="Q3866">
        <v>-0.1043385</v>
      </c>
      <c r="R3866">
        <v>-3.6766440000000002E-3</v>
      </c>
      <c r="S3866">
        <v>2.989258</v>
      </c>
      <c r="T3866">
        <v>-0.25792179999999998</v>
      </c>
      <c r="U3866">
        <v>-1.6372680000000001E-2</v>
      </c>
      <c r="V3866">
        <v>-2.7718039999999999E-2</v>
      </c>
      <c r="W3866">
        <v>-9.3567170000000005E-2</v>
      </c>
      <c r="X3866">
        <v>0.99522699999999997</v>
      </c>
      <c r="Y3866">
        <v>-2.5987840000000002E-2</v>
      </c>
      <c r="Z3866">
        <v>3.6433920000000001E-3</v>
      </c>
      <c r="AA3866">
        <v>0.99965559999999998</v>
      </c>
      <c r="AB3866">
        <v>25</v>
      </c>
      <c r="AC3866">
        <v>12.738300000000001</v>
      </c>
      <c r="AD3866">
        <v>-1.12100858239</v>
      </c>
      <c r="AE3866">
        <v>-6.3699999999982895E-2</v>
      </c>
      <c r="AF3866">
        <v>-0.337032401228192</v>
      </c>
      <c r="AG3866">
        <v>-1.12100858239</v>
      </c>
      <c r="AH3866">
        <v>12.6360725966037</v>
      </c>
      <c r="AI3866">
        <v>95.067927050606599</v>
      </c>
      <c r="AJ3866">
        <v>91.527844726211995</v>
      </c>
      <c r="AK3866">
        <v>12.6901765845834</v>
      </c>
      <c r="AL3866">
        <v>95.368857659932004</v>
      </c>
      <c r="AM3866">
        <v>91.595330788947393</v>
      </c>
      <c r="AN3866">
        <v>0.99999994328612296</v>
      </c>
    </row>
    <row r="3867" spans="1:40" x14ac:dyDescent="0.25">
      <c r="A3867" t="str">
        <f>"20190303154212557"</f>
        <v>20190303154212557</v>
      </c>
      <c r="B3867" t="str">
        <f>"1551598932553519"</f>
        <v>1551598932553519</v>
      </c>
      <c r="C3867" t="s">
        <v>40</v>
      </c>
      <c r="D3867">
        <v>5.9769069999999997</v>
      </c>
      <c r="E3867">
        <v>0.4992026</v>
      </c>
      <c r="F3867" t="s">
        <v>50</v>
      </c>
      <c r="G3867">
        <v>-448.29259999999999</v>
      </c>
      <c r="H3867" s="1">
        <v>2.8375130000000001E-6</v>
      </c>
      <c r="I3867">
        <v>215.4992</v>
      </c>
      <c r="J3867">
        <v>-460.02120000000002</v>
      </c>
      <c r="K3867">
        <v>1.1210420000000001</v>
      </c>
      <c r="L3867">
        <v>215.50640000000001</v>
      </c>
      <c r="M3867">
        <v>0.99945399999999995</v>
      </c>
      <c r="N3867">
        <v>-1.113022E-2</v>
      </c>
      <c r="O3867">
        <v>-3.1112250000000001E-2</v>
      </c>
      <c r="P3867">
        <v>0.99442330000000001</v>
      </c>
      <c r="Q3867">
        <v>-0.10545359999999999</v>
      </c>
      <c r="R3867">
        <v>-1.4183430000000001E-3</v>
      </c>
      <c r="S3867">
        <v>2.9870909999999999</v>
      </c>
      <c r="T3867">
        <v>-0.28032849999999998</v>
      </c>
      <c r="U3867">
        <v>-3.3569339999999998E-3</v>
      </c>
      <c r="V3867">
        <v>-2.9422630000000002E-2</v>
      </c>
      <c r="W3867">
        <v>-9.4415170000000007E-2</v>
      </c>
      <c r="X3867">
        <v>0.99509809999999999</v>
      </c>
      <c r="Y3867">
        <v>-2.9738500000000001E-2</v>
      </c>
      <c r="Z3867">
        <v>4.1256210000000003E-3</v>
      </c>
      <c r="AA3867">
        <v>0.99954920000000003</v>
      </c>
      <c r="AB3867">
        <v>25</v>
      </c>
      <c r="AC3867">
        <v>11.7286</v>
      </c>
      <c r="AD3867">
        <v>-1.121039162487</v>
      </c>
      <c r="AE3867">
        <v>-7.2000000000116398E-3</v>
      </c>
      <c r="AF3867">
        <v>-0.35449062423543498</v>
      </c>
      <c r="AG3867">
        <v>-1.121039162487</v>
      </c>
      <c r="AH3867">
        <v>11.617014144293201</v>
      </c>
      <c r="AI3867">
        <v>95.509413504514896</v>
      </c>
      <c r="AJ3867">
        <v>91.747825711690396</v>
      </c>
      <c r="AK3867">
        <v>11.676361164130199</v>
      </c>
      <c r="AL3867">
        <v>95.4176598343591</v>
      </c>
      <c r="AM3867">
        <v>91.693603390163105</v>
      </c>
      <c r="AN3867">
        <v>1.0000000720529201</v>
      </c>
    </row>
    <row r="3868" spans="1:40" x14ac:dyDescent="0.25">
      <c r="A3868" t="str">
        <f>"20190303154212579"</f>
        <v>20190303154212579</v>
      </c>
      <c r="B3868" t="str">
        <f>"1551598932574015"</f>
        <v>1551598932574015</v>
      </c>
      <c r="C3868" t="s">
        <v>40</v>
      </c>
      <c r="D3868">
        <v>6.0674640000000002</v>
      </c>
      <c r="E3868">
        <v>0.49886659999999999</v>
      </c>
      <c r="F3868" t="s">
        <v>50</v>
      </c>
      <c r="G3868">
        <v>-448.16309999999999</v>
      </c>
      <c r="H3868" s="1">
        <v>2.7677440000000001E-6</v>
      </c>
      <c r="I3868">
        <v>215.51859999999999</v>
      </c>
      <c r="J3868">
        <v>-459.77550000000002</v>
      </c>
      <c r="K3868">
        <v>1.121073</v>
      </c>
      <c r="L3868">
        <v>215.49950000000001</v>
      </c>
      <c r="M3868">
        <v>0.99947050000000004</v>
      </c>
      <c r="N3868">
        <v>-1.143397E-2</v>
      </c>
      <c r="O3868">
        <v>-3.046722E-2</v>
      </c>
      <c r="P3868">
        <v>0.99438939999999998</v>
      </c>
      <c r="Q3868">
        <v>-0.1057801</v>
      </c>
      <c r="R3868">
        <v>8.1699020000000004E-4</v>
      </c>
      <c r="S3868">
        <v>2.9868769999999998</v>
      </c>
      <c r="T3868">
        <v>-0.28237089999999998</v>
      </c>
      <c r="U3868">
        <v>3.067017E-3</v>
      </c>
      <c r="V3868">
        <v>-3.1013039999999999E-2</v>
      </c>
      <c r="W3868">
        <v>-9.4442499999999999E-2</v>
      </c>
      <c r="X3868">
        <v>0.99504720000000002</v>
      </c>
      <c r="Y3868">
        <v>-3.1234419999999999E-2</v>
      </c>
      <c r="Z3868">
        <v>4.1779629999999998E-3</v>
      </c>
      <c r="AA3868">
        <v>0.99950340000000004</v>
      </c>
      <c r="AB3868">
        <v>25</v>
      </c>
      <c r="AC3868">
        <v>11.612399999999999</v>
      </c>
      <c r="AD3868">
        <v>-1.121070232256</v>
      </c>
      <c r="AE3868">
        <v>1.9099999999980299E-2</v>
      </c>
      <c r="AF3868">
        <v>-0.36946827874740601</v>
      </c>
      <c r="AG3868">
        <v>-1.121070232256</v>
      </c>
      <c r="AH3868">
        <v>11.499252307572201</v>
      </c>
      <c r="AI3868">
        <v>95.565355781916097</v>
      </c>
      <c r="AJ3868">
        <v>91.840266878327199</v>
      </c>
      <c r="AK3868">
        <v>11.559675986283301</v>
      </c>
      <c r="AL3868">
        <v>95.419232809104201</v>
      </c>
      <c r="AM3868">
        <v>91.785182921202406</v>
      </c>
      <c r="AN3868">
        <v>1.00000006234206</v>
      </c>
    </row>
    <row r="3869" spans="1:40" x14ac:dyDescent="0.25">
      <c r="A3869" t="str">
        <f>"20190303154212602"</f>
        <v>20190303154212602</v>
      </c>
      <c r="B3869" t="str">
        <f>"1551598932593535"</f>
        <v>1551598932593535</v>
      </c>
      <c r="C3869" t="s">
        <v>40</v>
      </c>
      <c r="D3869">
        <v>6.0078740000000002</v>
      </c>
      <c r="E3869">
        <v>0.49824239999999997</v>
      </c>
      <c r="F3869" t="s">
        <v>50</v>
      </c>
      <c r="G3869">
        <v>-448.18830000000003</v>
      </c>
      <c r="H3869" s="1">
        <v>2.7799339999999999E-6</v>
      </c>
      <c r="I3869">
        <v>215.547</v>
      </c>
      <c r="J3869">
        <v>-459.52330000000001</v>
      </c>
      <c r="K3869">
        <v>1.1211100000000001</v>
      </c>
      <c r="L3869">
        <v>215.49260000000001</v>
      </c>
      <c r="M3869">
        <v>0.99948720000000002</v>
      </c>
      <c r="N3869">
        <v>-1.174567E-2</v>
      </c>
      <c r="O3869">
        <v>-2.979093E-2</v>
      </c>
      <c r="P3869">
        <v>0.99441780000000002</v>
      </c>
      <c r="Q3869">
        <v>-0.10546999999999999</v>
      </c>
      <c r="R3869">
        <v>3.0750119999999998E-3</v>
      </c>
      <c r="S3869">
        <v>2.9862060000000001</v>
      </c>
      <c r="T3869">
        <v>-0.28891709999999998</v>
      </c>
      <c r="U3869">
        <v>1.222229E-2</v>
      </c>
      <c r="V3869">
        <v>-3.2599660000000003E-2</v>
      </c>
      <c r="W3869">
        <v>-9.3823920000000005E-2</v>
      </c>
      <c r="X3869">
        <v>0.99505500000000002</v>
      </c>
      <c r="Y3869">
        <v>-3.3600409999999997E-2</v>
      </c>
      <c r="Z3869">
        <v>4.3455339999999999E-3</v>
      </c>
      <c r="AA3869">
        <v>0.99942589999999998</v>
      </c>
      <c r="AB3869">
        <v>25</v>
      </c>
      <c r="AC3869">
        <v>11.3349999999999</v>
      </c>
      <c r="AD3869">
        <v>-1.1211072200659999</v>
      </c>
      <c r="AE3869">
        <v>5.4399999999986903E-2</v>
      </c>
      <c r="AF3869">
        <v>-0.38828103386823898</v>
      </c>
      <c r="AG3869">
        <v>-1.1211072200659999</v>
      </c>
      <c r="AH3869">
        <v>11.218603732620901</v>
      </c>
      <c r="AI3869">
        <v>95.703392239703206</v>
      </c>
      <c r="AJ3869">
        <v>91.982242029478201</v>
      </c>
      <c r="AK3869">
        <v>11.2811663080429</v>
      </c>
      <c r="AL3869">
        <v>95.383632724988004</v>
      </c>
      <c r="AM3869">
        <v>91.876434066586199</v>
      </c>
      <c r="AN3869">
        <v>1.00000005941063</v>
      </c>
    </row>
    <row r="3870" spans="1:40" x14ac:dyDescent="0.25">
      <c r="A3870" t="str">
        <f>"20190303154212625"</f>
        <v>20190303154212625</v>
      </c>
      <c r="B3870" t="str">
        <f>"1551598932613055"</f>
        <v>1551598932613055</v>
      </c>
      <c r="C3870" t="s">
        <v>40</v>
      </c>
      <c r="D3870">
        <v>6.0332119999999998</v>
      </c>
      <c r="E3870">
        <v>0.4982046</v>
      </c>
      <c r="F3870" t="s">
        <v>50</v>
      </c>
      <c r="G3870">
        <v>-448.0437</v>
      </c>
      <c r="H3870" s="1">
        <v>2.7012999999999999E-6</v>
      </c>
      <c r="I3870">
        <v>215.58510000000001</v>
      </c>
      <c r="J3870">
        <v>-459.26229999999998</v>
      </c>
      <c r="K3870">
        <v>1.121156</v>
      </c>
      <c r="L3870">
        <v>215.48570000000001</v>
      </c>
      <c r="M3870">
        <v>0.99950410000000001</v>
      </c>
      <c r="N3870">
        <v>-1.207391E-2</v>
      </c>
      <c r="O3870">
        <v>-2.9088369999999999E-2</v>
      </c>
      <c r="P3870">
        <v>0.99457569999999995</v>
      </c>
      <c r="Q3870">
        <v>-0.1038876</v>
      </c>
      <c r="R3870">
        <v>5.1961510000000004E-3</v>
      </c>
      <c r="S3870">
        <v>2.9858699999999998</v>
      </c>
      <c r="T3870">
        <v>-0.29160199999999997</v>
      </c>
      <c r="U3870">
        <v>2.4047849999999999E-2</v>
      </c>
      <c r="V3870">
        <v>-3.4030110000000002E-2</v>
      </c>
      <c r="W3870">
        <v>-9.1914410000000002E-2</v>
      </c>
      <c r="X3870">
        <v>0.99518530000000005</v>
      </c>
      <c r="Y3870">
        <v>-3.6836500000000001E-2</v>
      </c>
      <c r="Z3870">
        <v>4.5006959999999898E-3</v>
      </c>
      <c r="AA3870">
        <v>0.99931110000000001</v>
      </c>
      <c r="AB3870">
        <v>25</v>
      </c>
      <c r="AC3870">
        <v>11.218599999999901</v>
      </c>
      <c r="AD3870">
        <v>-1.1211532986999999</v>
      </c>
      <c r="AE3870">
        <v>9.9400000000002806E-2</v>
      </c>
      <c r="AF3870">
        <v>-0.42150305867912602</v>
      </c>
      <c r="AG3870">
        <v>-1.1211532986999999</v>
      </c>
      <c r="AH3870">
        <v>11.100107922004099</v>
      </c>
      <c r="AI3870">
        <v>95.763406885023102</v>
      </c>
      <c r="AJ3870">
        <v>92.174640889631803</v>
      </c>
      <c r="AK3870">
        <v>11.164544120912399</v>
      </c>
      <c r="AL3870">
        <v>95.273751056929797</v>
      </c>
      <c r="AM3870">
        <v>91.958451621702295</v>
      </c>
      <c r="AN3870">
        <v>1.0000000442441701</v>
      </c>
    </row>
    <row r="3871" spans="1:40" x14ac:dyDescent="0.25">
      <c r="A3871" t="str">
        <f>"20190303154212647"</f>
        <v>20190303154212647</v>
      </c>
      <c r="B3871" t="str">
        <f>"1551598932643311"</f>
        <v>1551598932643311</v>
      </c>
      <c r="C3871" t="s">
        <v>40</v>
      </c>
      <c r="D3871">
        <v>6.0762839999999896</v>
      </c>
      <c r="E3871">
        <v>0.49783660000000002</v>
      </c>
      <c r="F3871" t="s">
        <v>50</v>
      </c>
      <c r="G3871">
        <v>-447.72449999999998</v>
      </c>
      <c r="H3871" s="1">
        <v>2.5306579999999999E-6</v>
      </c>
      <c r="I3871">
        <v>215.60380000000001</v>
      </c>
      <c r="J3871">
        <v>-459.0283</v>
      </c>
      <c r="K3871">
        <v>1.121194</v>
      </c>
      <c r="L3871">
        <v>215.4796</v>
      </c>
      <c r="M3871">
        <v>0.99951829999999997</v>
      </c>
      <c r="N3871">
        <v>-1.236626E-2</v>
      </c>
      <c r="O3871">
        <v>-2.8464570000000002E-2</v>
      </c>
      <c r="P3871">
        <v>0.99459580000000003</v>
      </c>
      <c r="Q3871">
        <v>-0.1036484</v>
      </c>
      <c r="R3871">
        <v>6.0372960000000002E-3</v>
      </c>
      <c r="S3871">
        <v>2.9859010000000001</v>
      </c>
      <c r="T3871">
        <v>-0.29014669999999998</v>
      </c>
      <c r="U3871">
        <v>3.0578609999999999E-2</v>
      </c>
      <c r="V3871">
        <v>-3.4252919999999999E-2</v>
      </c>
      <c r="W3871">
        <v>-9.1383779999999998E-2</v>
      </c>
      <c r="X3871">
        <v>0.99522650000000001</v>
      </c>
      <c r="Y3871">
        <v>-3.8395520000000002E-2</v>
      </c>
      <c r="Z3871">
        <v>4.5070179999999998E-3</v>
      </c>
      <c r="AA3871">
        <v>0.99925240000000004</v>
      </c>
      <c r="AB3871">
        <v>25</v>
      </c>
      <c r="AC3871">
        <v>11.303800000000001</v>
      </c>
      <c r="AD3871">
        <v>-1.121191469342</v>
      </c>
      <c r="AE3871">
        <v>0.124200000000001</v>
      </c>
      <c r="AF3871">
        <v>-0.44158822137227699</v>
      </c>
      <c r="AG3871">
        <v>-1.121191469342</v>
      </c>
      <c r="AH3871">
        <v>11.1856513299608</v>
      </c>
      <c r="AI3871">
        <v>95.719486741356704</v>
      </c>
      <c r="AJ3871">
        <v>92.260754316981604</v>
      </c>
      <c r="AK3871">
        <v>11.2503718224614</v>
      </c>
      <c r="AL3871">
        <v>95.243219819875193</v>
      </c>
      <c r="AM3871">
        <v>91.971182835240697</v>
      </c>
      <c r="AN3871">
        <v>1.00000002203893</v>
      </c>
    </row>
    <row r="3872" spans="1:40" x14ac:dyDescent="0.25">
      <c r="A3872" t="str">
        <f>"20190303154212669"</f>
        <v>20190303154212669</v>
      </c>
      <c r="B3872" t="str">
        <f>"1551598932663806"</f>
        <v>1551598932663806</v>
      </c>
      <c r="C3872" t="s">
        <v>40</v>
      </c>
      <c r="D3872">
        <v>6.076943</v>
      </c>
      <c r="E3872">
        <v>0.497616</v>
      </c>
      <c r="F3872" t="s">
        <v>50</v>
      </c>
      <c r="G3872">
        <v>-447.86939999999998</v>
      </c>
      <c r="H3872" s="1">
        <v>2.6072939999999998E-6</v>
      </c>
      <c r="I3872">
        <v>215.61369999999999</v>
      </c>
      <c r="J3872">
        <v>-458.77569999999997</v>
      </c>
      <c r="K3872">
        <v>1.121232</v>
      </c>
      <c r="L3872">
        <v>215.47309999999999</v>
      </c>
      <c r="M3872">
        <v>0.99953340000000002</v>
      </c>
      <c r="N3872">
        <v>-1.266625E-2</v>
      </c>
      <c r="O3872">
        <v>-2.7801619999999999E-2</v>
      </c>
      <c r="P3872">
        <v>0.99458579999999996</v>
      </c>
      <c r="Q3872">
        <v>-0.1037174</v>
      </c>
      <c r="R3872">
        <v>6.5241149999999996E-3</v>
      </c>
      <c r="S3872">
        <v>2.9848330000000001</v>
      </c>
      <c r="T3872">
        <v>-0.29989959999999999</v>
      </c>
      <c r="U3872">
        <v>3.5888669999999998E-2</v>
      </c>
      <c r="V3872">
        <v>-3.408137E-2</v>
      </c>
      <c r="W3872">
        <v>-9.1153509999999993E-2</v>
      </c>
      <c r="X3872">
        <v>0.99525350000000001</v>
      </c>
      <c r="Y3872">
        <v>-3.9489120000000003E-2</v>
      </c>
      <c r="Z3872">
        <v>4.6642840000000003E-3</v>
      </c>
      <c r="AA3872">
        <v>0.99920909999999996</v>
      </c>
      <c r="AB3872">
        <v>25</v>
      </c>
      <c r="AC3872">
        <v>10.9062999999999</v>
      </c>
      <c r="AD3872">
        <v>-1.121229392706</v>
      </c>
      <c r="AE3872">
        <v>0.140600000000006</v>
      </c>
      <c r="AF3872">
        <v>-0.439142195406516</v>
      </c>
      <c r="AG3872">
        <v>-1.121229392706</v>
      </c>
      <c r="AH3872">
        <v>10.7842149130871</v>
      </c>
      <c r="AI3872">
        <v>95.930806986746703</v>
      </c>
      <c r="AJ3872">
        <v>92.331843460274897</v>
      </c>
      <c r="AK3872">
        <v>10.851234607661301</v>
      </c>
      <c r="AL3872">
        <v>95.229971057760196</v>
      </c>
      <c r="AM3872">
        <v>91.961265060108104</v>
      </c>
      <c r="AN3872">
        <v>1.0000000157143201</v>
      </c>
    </row>
    <row r="3873" spans="1:40" x14ac:dyDescent="0.25">
      <c r="A3873" t="str">
        <f>"20190303154212691"</f>
        <v>20190303154212691</v>
      </c>
      <c r="B3873" t="str">
        <f>"1551598932683834"</f>
        <v>1551598932683834</v>
      </c>
      <c r="C3873" t="s">
        <v>40</v>
      </c>
      <c r="D3873">
        <v>6.0591480000000004</v>
      </c>
      <c r="E3873">
        <v>0.4976411</v>
      </c>
      <c r="F3873" t="s">
        <v>50</v>
      </c>
      <c r="G3873">
        <v>-447.83199999999999</v>
      </c>
      <c r="H3873" s="1">
        <v>2.5873420000000001E-6</v>
      </c>
      <c r="I3873">
        <v>215.61500000000001</v>
      </c>
      <c r="J3873">
        <v>-458.53120000000001</v>
      </c>
      <c r="K3873">
        <v>1.12127</v>
      </c>
      <c r="L3873">
        <v>215.46709999999999</v>
      </c>
      <c r="M3873">
        <v>0.99954719999999997</v>
      </c>
      <c r="N3873">
        <v>-1.2931720000000001E-2</v>
      </c>
      <c r="O3873">
        <v>-2.716901E-2</v>
      </c>
      <c r="P3873">
        <v>0.99463440000000003</v>
      </c>
      <c r="Q3873">
        <v>-0.1032535</v>
      </c>
      <c r="R3873">
        <v>6.448479E-3</v>
      </c>
      <c r="S3873">
        <v>2.9841920000000002</v>
      </c>
      <c r="T3873">
        <v>-0.30574359999999901</v>
      </c>
      <c r="U3873">
        <v>3.8696290000000001E-2</v>
      </c>
      <c r="V3873">
        <v>-3.3379810000000003E-2</v>
      </c>
      <c r="W3873">
        <v>-9.0423580000000003E-2</v>
      </c>
      <c r="X3873">
        <v>0.99534389999999995</v>
      </c>
      <c r="Y3873">
        <v>-3.978698E-2</v>
      </c>
      <c r="Z3873">
        <v>4.7163140000000001E-3</v>
      </c>
      <c r="AA3873">
        <v>0.99919709999999995</v>
      </c>
      <c r="AB3873">
        <v>25</v>
      </c>
      <c r="AC3873">
        <v>10.699199999999999</v>
      </c>
      <c r="AD3873">
        <v>-1.121267412658</v>
      </c>
      <c r="AE3873">
        <v>0.14790000000002099</v>
      </c>
      <c r="AF3873">
        <v>-0.43379299500600799</v>
      </c>
      <c r="AG3873">
        <v>-1.121267412658</v>
      </c>
      <c r="AH3873">
        <v>10.575108307407</v>
      </c>
      <c r="AI3873">
        <v>96.047349206795701</v>
      </c>
      <c r="AJ3873">
        <v>92.348967083827901</v>
      </c>
      <c r="AK3873">
        <v>10.6432294293881</v>
      </c>
      <c r="AL3873">
        <v>95.187975499578599</v>
      </c>
      <c r="AM3873">
        <v>91.920748937163594</v>
      </c>
      <c r="AN3873">
        <v>1.0000000574014201</v>
      </c>
    </row>
    <row r="3874" spans="1:40" x14ac:dyDescent="0.25">
      <c r="A3874" t="str">
        <f>"20190303154212717"</f>
        <v>20190303154212717</v>
      </c>
      <c r="B3874" t="str">
        <f>"1551598932713113"</f>
        <v>1551598932713113</v>
      </c>
      <c r="C3874" t="s">
        <v>40</v>
      </c>
      <c r="D3874">
        <v>6.0405920000000002</v>
      </c>
      <c r="E3874">
        <v>0.49791970000000002</v>
      </c>
      <c r="F3874" t="s">
        <v>50</v>
      </c>
      <c r="G3874">
        <v>-447.70710000000003</v>
      </c>
      <c r="H3874" s="1">
        <v>2.52129E-6</v>
      </c>
      <c r="I3874">
        <v>215.60570000000001</v>
      </c>
      <c r="J3874">
        <v>-458.26549999999997</v>
      </c>
      <c r="K3874">
        <v>1.1213</v>
      </c>
      <c r="L3874">
        <v>215.4606</v>
      </c>
      <c r="M3874">
        <v>0.99956210000000001</v>
      </c>
      <c r="N3874">
        <v>-1.319061E-2</v>
      </c>
      <c r="O3874">
        <v>-2.6487750000000001E-2</v>
      </c>
      <c r="P3874">
        <v>0.99474300000000004</v>
      </c>
      <c r="Q3874">
        <v>-0.1022174</v>
      </c>
      <c r="R3874">
        <v>6.1525460000000001E-3</v>
      </c>
      <c r="S3874">
        <v>2.9838559999999998</v>
      </c>
      <c r="T3874">
        <v>-0.30909799999999998</v>
      </c>
      <c r="U3874">
        <v>3.8208010000000001E-2</v>
      </c>
      <c r="V3874">
        <v>-3.2410620000000001E-2</v>
      </c>
      <c r="W3874">
        <v>-8.9126910000000004E-2</v>
      </c>
      <c r="X3874">
        <v>0.99549279999999996</v>
      </c>
      <c r="Y3874">
        <v>-3.8944300000000001E-2</v>
      </c>
      <c r="Z3874">
        <v>4.6570209999999999E-3</v>
      </c>
      <c r="AA3874">
        <v>0.99923050000000002</v>
      </c>
      <c r="AB3874">
        <v>25</v>
      </c>
      <c r="AC3874">
        <v>10.558399999999899</v>
      </c>
      <c r="AD3874">
        <v>-1.1212974787100001</v>
      </c>
      <c r="AE3874">
        <v>0.145100000000013</v>
      </c>
      <c r="AF3874">
        <v>-0.42000560135749299</v>
      </c>
      <c r="AG3874">
        <v>-1.1212974787100001</v>
      </c>
      <c r="AH3874">
        <v>10.4332040257068</v>
      </c>
      <c r="AI3874">
        <v>96.129330176484402</v>
      </c>
      <c r="AJ3874">
        <v>92.305290039290995</v>
      </c>
      <c r="AK3874">
        <v>10.501688387252701</v>
      </c>
      <c r="AL3874">
        <v>95.113380942680905</v>
      </c>
      <c r="AM3874">
        <v>91.864740788206703</v>
      </c>
      <c r="AN3874">
        <v>0.99999998461338602</v>
      </c>
    </row>
    <row r="3875" spans="1:40" x14ac:dyDescent="0.25">
      <c r="A3875" t="str">
        <f>"20190303154212739"</f>
        <v>20190303154212739</v>
      </c>
      <c r="B3875" t="str">
        <f>"1551598932733609"</f>
        <v>1551598932733609</v>
      </c>
      <c r="C3875" t="s">
        <v>40</v>
      </c>
      <c r="D3875">
        <v>6.0391149999999998</v>
      </c>
      <c r="E3875">
        <v>0.49809330000000002</v>
      </c>
      <c r="F3875" t="s">
        <v>42</v>
      </c>
      <c r="G3875">
        <v>-457.31990000000002</v>
      </c>
      <c r="H3875">
        <v>1.023174</v>
      </c>
      <c r="I3875">
        <v>215.47149999999999</v>
      </c>
      <c r="J3875">
        <v>-458.01130000000001</v>
      </c>
      <c r="K3875">
        <v>1.121326</v>
      </c>
      <c r="L3875">
        <v>215.4547</v>
      </c>
      <c r="M3875">
        <v>0.99957640000000003</v>
      </c>
      <c r="N3875">
        <v>-1.3406080000000001E-2</v>
      </c>
      <c r="O3875">
        <v>-2.583763E-2</v>
      </c>
      <c r="P3875">
        <v>0.99473299999999998</v>
      </c>
      <c r="Q3875">
        <v>-0.1023092</v>
      </c>
      <c r="R3875">
        <v>6.260313E-3</v>
      </c>
      <c r="S3875">
        <v>2.9838870000000002</v>
      </c>
      <c r="T3875">
        <v>-0.30967489999999998</v>
      </c>
      <c r="U3875">
        <v>3.4988400000000003E-2</v>
      </c>
      <c r="V3875">
        <v>-3.1872200000000003E-2</v>
      </c>
      <c r="W3875">
        <v>-8.9003260000000001E-2</v>
      </c>
      <c r="X3875">
        <v>0.9955212</v>
      </c>
      <c r="Y3875">
        <v>-3.7228120000000003E-2</v>
      </c>
      <c r="Z3875">
        <v>4.5053899999999997E-3</v>
      </c>
      <c r="AA3875">
        <v>0.99929670000000004</v>
      </c>
      <c r="AB3875">
        <v>25</v>
      </c>
      <c r="AC3875">
        <v>0.69139999999998702</v>
      </c>
      <c r="AD3875">
        <v>-9.8152000000000003E-2</v>
      </c>
      <c r="AE3875">
        <v>1.6799999999989199E-2</v>
      </c>
      <c r="AF3875">
        <v>-3.3975820261688099E-2</v>
      </c>
      <c r="AG3875">
        <v>-9.8152000000000003E-2</v>
      </c>
      <c r="AH3875">
        <v>0.67709753527632499</v>
      </c>
      <c r="AI3875">
        <v>98.237915648257996</v>
      </c>
      <c r="AJ3875">
        <v>92.872613813939793</v>
      </c>
      <c r="AK3875">
        <v>0.68501769593473105</v>
      </c>
      <c r="AL3875">
        <v>95.106268287341805</v>
      </c>
      <c r="AM3875">
        <v>91.833731914857196</v>
      </c>
      <c r="AN3875">
        <v>0.99999993853645197</v>
      </c>
    </row>
    <row r="3876" spans="1:40" x14ac:dyDescent="0.25">
      <c r="A3876" t="str">
        <f>"20190303154212758"</f>
        <v>20190303154212758</v>
      </c>
      <c r="B3876" t="str">
        <f>"1551598932754106"</f>
        <v>1551598932754106</v>
      </c>
      <c r="C3876" t="s">
        <v>40</v>
      </c>
      <c r="D3876">
        <v>6.075647</v>
      </c>
      <c r="E3876">
        <v>0.49823869999999998</v>
      </c>
      <c r="F3876" t="s">
        <v>42</v>
      </c>
      <c r="G3876">
        <v>-457.09390000000002</v>
      </c>
      <c r="H3876">
        <v>1.0247599999999999</v>
      </c>
      <c r="I3876">
        <v>215.46510000000001</v>
      </c>
      <c r="J3876">
        <v>-457.79320000000001</v>
      </c>
      <c r="K3876">
        <v>1.1213409999999999</v>
      </c>
      <c r="L3876">
        <v>215.44970000000001</v>
      </c>
      <c r="M3876">
        <v>0.99958840000000004</v>
      </c>
      <c r="N3876">
        <v>-1.357074E-2</v>
      </c>
      <c r="O3876">
        <v>-2.5278780000000001E-2</v>
      </c>
      <c r="P3876">
        <v>0.99479759999999995</v>
      </c>
      <c r="Q3876">
        <v>-0.1016937</v>
      </c>
      <c r="R3876">
        <v>6.0215599999999996E-3</v>
      </c>
      <c r="S3876">
        <v>2.983368</v>
      </c>
      <c r="T3876">
        <v>-0.31410959999999899</v>
      </c>
      <c r="U3876">
        <v>3.3721920000000002E-2</v>
      </c>
      <c r="V3876">
        <v>-3.108066E-2</v>
      </c>
      <c r="W3876">
        <v>-8.8221670000000002E-2</v>
      </c>
      <c r="X3876">
        <v>0.99561580000000005</v>
      </c>
      <c r="Y3876">
        <v>-3.6246159999999999E-2</v>
      </c>
      <c r="Z3876">
        <v>4.4612710000000002E-3</v>
      </c>
      <c r="AA3876">
        <v>0.99933289999999997</v>
      </c>
      <c r="AB3876">
        <v>25</v>
      </c>
      <c r="AC3876">
        <v>0.69929999999999304</v>
      </c>
      <c r="AD3876">
        <v>-9.6580999999999806E-2</v>
      </c>
      <c r="AE3876">
        <v>1.53999999999996E-2</v>
      </c>
      <c r="AF3876">
        <v>-3.24553808033375E-2</v>
      </c>
      <c r="AG3876">
        <v>-9.6580999999999806E-2</v>
      </c>
      <c r="AH3876">
        <v>0.68561563023160499</v>
      </c>
      <c r="AI3876">
        <v>98.009504060739303</v>
      </c>
      <c r="AJ3876">
        <v>92.710220030033895</v>
      </c>
      <c r="AK3876">
        <v>0.69314503079945</v>
      </c>
      <c r="AL3876">
        <v>95.061309578576498</v>
      </c>
      <c r="AM3876">
        <v>91.7880516764329</v>
      </c>
      <c r="AN3876">
        <v>0.99999994584663099</v>
      </c>
    </row>
    <row r="3877" spans="1:40" x14ac:dyDescent="0.25">
      <c r="A3877" t="str">
        <f>"20190303154212781"</f>
        <v>20190303154212781</v>
      </c>
      <c r="B3877" t="str">
        <f>"1551598932773626"</f>
        <v>1551598932773626</v>
      </c>
      <c r="C3877" t="s">
        <v>40</v>
      </c>
      <c r="D3877">
        <v>6.0802899999999998</v>
      </c>
      <c r="E3877">
        <v>0.49819400000000003</v>
      </c>
      <c r="F3877" t="s">
        <v>42</v>
      </c>
      <c r="G3877">
        <v>-456.88159999999999</v>
      </c>
      <c r="H3877">
        <v>1.0250030000000001</v>
      </c>
      <c r="I3877">
        <v>215.4589</v>
      </c>
      <c r="J3877">
        <v>-457.5548</v>
      </c>
      <c r="K3877">
        <v>1.121359</v>
      </c>
      <c r="L3877">
        <v>215.4444</v>
      </c>
      <c r="M3877">
        <v>0.99960159999999998</v>
      </c>
      <c r="N3877">
        <v>-1.372928E-2</v>
      </c>
      <c r="O3877">
        <v>-2.4666380000000002E-2</v>
      </c>
      <c r="P3877">
        <v>0.99480780000000002</v>
      </c>
      <c r="Q3877">
        <v>-0.1015823</v>
      </c>
      <c r="R3877">
        <v>6.2226979999999996E-3</v>
      </c>
      <c r="S3877">
        <v>2.9832459999999998</v>
      </c>
      <c r="T3877">
        <v>-0.31546829999999998</v>
      </c>
      <c r="U3877">
        <v>3.1799319999999999E-2</v>
      </c>
      <c r="V3877">
        <v>-3.067406E-2</v>
      </c>
      <c r="W3877">
        <v>-8.7951440000000006E-2</v>
      </c>
      <c r="X3877">
        <v>0.99565239999999999</v>
      </c>
      <c r="Y3877">
        <v>-3.4998040000000001E-2</v>
      </c>
      <c r="Z3877">
        <v>4.3493840000000004E-3</v>
      </c>
      <c r="AA3877">
        <v>0.99937790000000004</v>
      </c>
      <c r="AB3877">
        <v>25</v>
      </c>
      <c r="AC3877">
        <v>0.67320000000000801</v>
      </c>
      <c r="AD3877">
        <v>-9.6355999999999803E-2</v>
      </c>
      <c r="AE3877">
        <v>1.4499999999998099E-2</v>
      </c>
      <c r="AF3877">
        <v>-3.0478447873852E-2</v>
      </c>
      <c r="AG3877">
        <v>-9.6355999999999803E-2</v>
      </c>
      <c r="AH3877">
        <v>0.65914017500012301</v>
      </c>
      <c r="AI3877">
        <v>98.308085853097595</v>
      </c>
      <c r="AJ3877">
        <v>92.647454221836796</v>
      </c>
      <c r="AK3877">
        <v>0.66684269870786705</v>
      </c>
      <c r="AL3877">
        <v>95.045765704992306</v>
      </c>
      <c r="AM3877">
        <v>91.764610282771898</v>
      </c>
      <c r="AN3877">
        <v>1.00000002769035</v>
      </c>
    </row>
    <row r="3878" spans="1:40" x14ac:dyDescent="0.25">
      <c r="A3878" t="str">
        <f>"20190303154212803"</f>
        <v>20190303154212803</v>
      </c>
      <c r="B3878" t="str">
        <f>"1551598932793145"</f>
        <v>1551598932793145</v>
      </c>
      <c r="C3878" t="s">
        <v>40</v>
      </c>
      <c r="D3878">
        <v>6.072953</v>
      </c>
      <c r="E3878">
        <v>0.49817400000000001</v>
      </c>
      <c r="F3878" t="s">
        <v>42</v>
      </c>
      <c r="G3878">
        <v>-456.65820000000002</v>
      </c>
      <c r="H3878">
        <v>1.0257069999999999</v>
      </c>
      <c r="I3878">
        <v>215.45400000000001</v>
      </c>
      <c r="J3878">
        <v>-457.2989</v>
      </c>
      <c r="K3878">
        <v>1.1213789999999999</v>
      </c>
      <c r="L3878">
        <v>215.43879999999999</v>
      </c>
      <c r="M3878">
        <v>0.99961540000000004</v>
      </c>
      <c r="N3878">
        <v>-1.3877230000000001E-2</v>
      </c>
      <c r="O3878">
        <v>-2.4007919999999999E-2</v>
      </c>
      <c r="P3878">
        <v>0.99480760000000001</v>
      </c>
      <c r="Q3878">
        <v>-0.10152890000000001</v>
      </c>
      <c r="R3878">
        <v>7.0481830000000004E-3</v>
      </c>
      <c r="S3878">
        <v>2.9830019999999999</v>
      </c>
      <c r="T3878">
        <v>-0.31826320000000002</v>
      </c>
      <c r="U3878">
        <v>3.259277E-2</v>
      </c>
      <c r="V3878">
        <v>-3.0845529999999999E-2</v>
      </c>
      <c r="W3878">
        <v>-8.7750659999999994E-2</v>
      </c>
      <c r="X3878">
        <v>0.99566480000000002</v>
      </c>
      <c r="Y3878">
        <v>-3.4605990000000003E-2</v>
      </c>
      <c r="Z3878">
        <v>4.303393E-3</v>
      </c>
      <c r="AA3878">
        <v>0.99939180000000005</v>
      </c>
      <c r="AB3878">
        <v>25</v>
      </c>
      <c r="AC3878">
        <v>0.64069999999998095</v>
      </c>
      <c r="AD3878">
        <v>-9.5672000000000201E-2</v>
      </c>
      <c r="AE3878">
        <v>1.52000000000214E-2</v>
      </c>
      <c r="AF3878">
        <v>-2.9912372210774599E-2</v>
      </c>
      <c r="AG3878">
        <v>-9.5672000000000201E-2</v>
      </c>
      <c r="AH3878">
        <v>0.62619546828040995</v>
      </c>
      <c r="AI3878">
        <v>98.676901879358994</v>
      </c>
      <c r="AJ3878">
        <v>92.734850349785503</v>
      </c>
      <c r="AK3878">
        <v>0.63416767978997302</v>
      </c>
      <c r="AL3878">
        <v>95.034217299612394</v>
      </c>
      <c r="AM3878">
        <v>91.774446195588496</v>
      </c>
      <c r="AN3878">
        <v>1.0000000095052199</v>
      </c>
    </row>
    <row r="3879" spans="1:40" x14ac:dyDescent="0.25">
      <c r="A3879" t="str">
        <f>"20190303154212827"</f>
        <v>20190303154212827</v>
      </c>
      <c r="B3879" t="str">
        <f>"1551598932823402"</f>
        <v>1551598932823402</v>
      </c>
      <c r="C3879" t="s">
        <v>40</v>
      </c>
      <c r="D3879">
        <v>6.1417619999999999</v>
      </c>
      <c r="E3879">
        <v>0.49818590000000001</v>
      </c>
      <c r="F3879" t="s">
        <v>50</v>
      </c>
      <c r="G3879">
        <v>-446.87240000000003</v>
      </c>
      <c r="H3879" s="1">
        <v>2.0790030000000002E-6</v>
      </c>
      <c r="I3879">
        <v>215.56209999999999</v>
      </c>
      <c r="J3879">
        <v>-457.048</v>
      </c>
      <c r="K3879">
        <v>1.1213979999999999</v>
      </c>
      <c r="L3879">
        <v>215.43360000000001</v>
      </c>
      <c r="M3879">
        <v>0.99962910000000005</v>
      </c>
      <c r="N3879">
        <v>-1.400262E-2</v>
      </c>
      <c r="O3879">
        <v>-2.3362790000000001E-2</v>
      </c>
      <c r="P3879">
        <v>0.99485650000000003</v>
      </c>
      <c r="Q3879">
        <v>-0.100953</v>
      </c>
      <c r="R3879">
        <v>8.3385000000000004E-3</v>
      </c>
      <c r="S3879">
        <v>2.9826969999999999</v>
      </c>
      <c r="T3879">
        <v>-0.3207914</v>
      </c>
      <c r="U3879">
        <v>3.5278320000000002E-2</v>
      </c>
      <c r="V3879">
        <v>-3.1496000000000003E-2</v>
      </c>
      <c r="W3879">
        <v>-8.7049810000000005E-2</v>
      </c>
      <c r="X3879">
        <v>0.99570599999999998</v>
      </c>
      <c r="Y3879">
        <v>-3.4857819999999998E-2</v>
      </c>
      <c r="Z3879">
        <v>4.2928559999999899E-3</v>
      </c>
      <c r="AA3879">
        <v>0.99938300000000002</v>
      </c>
      <c r="AB3879">
        <v>24</v>
      </c>
      <c r="AC3879">
        <v>10.1755999999999</v>
      </c>
      <c r="AD3879">
        <v>-1.1213959209969999</v>
      </c>
      <c r="AE3879">
        <v>0.128499999999974</v>
      </c>
      <c r="AF3879">
        <v>-0.36182494061472698</v>
      </c>
      <c r="AG3879">
        <v>-1.1213959209969999</v>
      </c>
      <c r="AH3879">
        <v>10.047808362011599</v>
      </c>
      <c r="AI3879">
        <v>96.364109621050403</v>
      </c>
      <c r="AJ3879">
        <v>92.062349050259797</v>
      </c>
      <c r="AK3879">
        <v>10.1166644196093</v>
      </c>
      <c r="AL3879">
        <v>94.993907079443204</v>
      </c>
      <c r="AM3879">
        <v>91.8117660825191</v>
      </c>
      <c r="AN3879">
        <v>1.0000000529365101</v>
      </c>
    </row>
    <row r="3880" spans="1:40" x14ac:dyDescent="0.25">
      <c r="A3880" t="str">
        <f>"20190303154212847"</f>
        <v>20190303154212847</v>
      </c>
      <c r="B3880" t="str">
        <f>"1551598932843898"</f>
        <v>1551598932843898</v>
      </c>
      <c r="C3880" t="s">
        <v>40</v>
      </c>
      <c r="D3880">
        <v>6.0959529999999997</v>
      </c>
      <c r="E3880">
        <v>0.49820880000000001</v>
      </c>
      <c r="F3880" t="s">
        <v>50</v>
      </c>
      <c r="G3880">
        <v>-446.72109999999998</v>
      </c>
      <c r="H3880" s="1">
        <v>1.9982549999999998E-6</v>
      </c>
      <c r="I3880">
        <v>215.56819999999999</v>
      </c>
      <c r="J3880">
        <v>-456.82600000000002</v>
      </c>
      <c r="K3880">
        <v>1.121421</v>
      </c>
      <c r="L3880">
        <v>215.42910000000001</v>
      </c>
      <c r="M3880">
        <v>0.9996408</v>
      </c>
      <c r="N3880">
        <v>-1.40988E-2</v>
      </c>
      <c r="O3880">
        <v>-2.2791740000000001E-2</v>
      </c>
      <c r="P3880">
        <v>0.99498719999999996</v>
      </c>
      <c r="Q3880">
        <v>-9.94979E-2</v>
      </c>
      <c r="R3880">
        <v>1.0029980000000001E-2</v>
      </c>
      <c r="S3880">
        <v>2.982361</v>
      </c>
      <c r="T3880">
        <v>-0.3238547</v>
      </c>
      <c r="U3880">
        <v>3.887939E-2</v>
      </c>
      <c r="V3880">
        <v>-3.2624199999999999E-2</v>
      </c>
      <c r="W3880">
        <v>-8.5498469999999993E-2</v>
      </c>
      <c r="X3880">
        <v>0.99580400000000002</v>
      </c>
      <c r="Y3880">
        <v>-3.5486759999999999E-2</v>
      </c>
      <c r="Z3880">
        <v>4.3190399999999997E-3</v>
      </c>
      <c r="AA3880">
        <v>0.99936080000000005</v>
      </c>
      <c r="AB3880">
        <v>24</v>
      </c>
      <c r="AC3880">
        <v>10.104899999999899</v>
      </c>
      <c r="AD3880">
        <v>-1.1214190017450001</v>
      </c>
      <c r="AE3880">
        <v>0.13909999999998399</v>
      </c>
      <c r="AF3880">
        <v>-0.36490171013076</v>
      </c>
      <c r="AG3880">
        <v>-1.1214190017450001</v>
      </c>
      <c r="AH3880">
        <v>9.9762590056601095</v>
      </c>
      <c r="AI3880">
        <v>96.409374555798195</v>
      </c>
      <c r="AJ3880">
        <v>92.094774361631195</v>
      </c>
      <c r="AK3880">
        <v>10.045719366155099</v>
      </c>
      <c r="AL3880">
        <v>94.904689610178394</v>
      </c>
      <c r="AM3880">
        <v>91.876434153479806</v>
      </c>
      <c r="AN3880">
        <v>0.99999996660698998</v>
      </c>
    </row>
    <row r="3881" spans="1:40" x14ac:dyDescent="0.25">
      <c r="A3881" t="str">
        <f>"20190303154212870"</f>
        <v>20190303154212870</v>
      </c>
      <c r="B3881" t="str">
        <f>"1551598932863417"</f>
        <v>1551598932863417</v>
      </c>
      <c r="C3881" t="s">
        <v>40</v>
      </c>
      <c r="D3881">
        <v>6.067558</v>
      </c>
      <c r="E3881">
        <v>0.49820379999999997</v>
      </c>
      <c r="F3881" t="s">
        <v>50</v>
      </c>
      <c r="G3881">
        <v>-446.42700000000002</v>
      </c>
      <c r="H3881" s="1">
        <v>1.84116E-6</v>
      </c>
      <c r="I3881">
        <v>215.5814</v>
      </c>
      <c r="J3881">
        <v>-456.58780000000002</v>
      </c>
      <c r="K3881">
        <v>1.12144</v>
      </c>
      <c r="L3881">
        <v>215.42429999999999</v>
      </c>
      <c r="M3881">
        <v>0.99965349999999997</v>
      </c>
      <c r="N3881">
        <v>-1.4188559999999999E-2</v>
      </c>
      <c r="O3881">
        <v>-2.217916E-2</v>
      </c>
      <c r="P3881">
        <v>0.99522259999999996</v>
      </c>
      <c r="Q3881">
        <v>-9.6943329999999994E-2</v>
      </c>
      <c r="R3881">
        <v>1.157711E-2</v>
      </c>
      <c r="S3881">
        <v>2.9824830000000002</v>
      </c>
      <c r="T3881">
        <v>-0.32162990000000002</v>
      </c>
      <c r="U3881">
        <v>4.3685910000000001E-2</v>
      </c>
      <c r="V3881">
        <v>-3.3569519999999999E-2</v>
      </c>
      <c r="W3881">
        <v>-8.2852419999999996E-2</v>
      </c>
      <c r="X3881">
        <v>0.99599629999999995</v>
      </c>
      <c r="Y3881">
        <v>-3.6484889999999999E-2</v>
      </c>
      <c r="Z3881">
        <v>4.2919710000000003E-3</v>
      </c>
      <c r="AA3881">
        <v>0.99932500000000002</v>
      </c>
      <c r="AB3881">
        <v>24</v>
      </c>
      <c r="AC3881">
        <v>10.1608</v>
      </c>
      <c r="AD3881">
        <v>-1.12143815884</v>
      </c>
      <c r="AE3881">
        <v>0.15710000000001401</v>
      </c>
      <c r="AF3881">
        <v>-0.37784050302147798</v>
      </c>
      <c r="AG3881">
        <v>-1.12143815884</v>
      </c>
      <c r="AH3881">
        <v>10.032633713593199</v>
      </c>
      <c r="AI3881">
        <v>96.373510588161494</v>
      </c>
      <c r="AJ3881">
        <v>92.156805506495402</v>
      </c>
      <c r="AK3881">
        <v>10.102184230202599</v>
      </c>
      <c r="AL3881">
        <v>94.752541767167401</v>
      </c>
      <c r="AM3881">
        <v>91.930392707109903</v>
      </c>
      <c r="AN3881">
        <v>1.0000000328932801</v>
      </c>
    </row>
    <row r="3882" spans="1:40" x14ac:dyDescent="0.25">
      <c r="A3882" t="str">
        <f>"20190303154212892"</f>
        <v>20190303154212892</v>
      </c>
      <c r="B3882" t="str">
        <f>"1551598932883914"</f>
        <v>1551598932883914</v>
      </c>
      <c r="C3882" t="s">
        <v>40</v>
      </c>
      <c r="D3882">
        <v>6.0191369999999997</v>
      </c>
      <c r="E3882">
        <v>0.4984538</v>
      </c>
      <c r="F3882" t="s">
        <v>50</v>
      </c>
      <c r="G3882">
        <v>-446.02210000000002</v>
      </c>
      <c r="H3882" s="1">
        <v>1.625079E-6</v>
      </c>
      <c r="I3882">
        <v>215.59540000000001</v>
      </c>
      <c r="J3882">
        <v>-456.33839999999998</v>
      </c>
      <c r="K3882">
        <v>1.121464</v>
      </c>
      <c r="L3882">
        <v>215.4196</v>
      </c>
      <c r="M3882">
        <v>0.99966630000000001</v>
      </c>
      <c r="N3882">
        <v>-1.4269570000000001E-2</v>
      </c>
      <c r="O3882">
        <v>-2.1536969999999999E-2</v>
      </c>
      <c r="P3882">
        <v>0.99544480000000002</v>
      </c>
      <c r="Q3882">
        <v>-9.4458619999999993E-2</v>
      </c>
      <c r="R3882">
        <v>1.294913E-2</v>
      </c>
      <c r="S3882">
        <v>2.9830019999999999</v>
      </c>
      <c r="T3882">
        <v>-0.31661450000000002</v>
      </c>
      <c r="U3882">
        <v>4.8278809999999998E-2</v>
      </c>
      <c r="V3882">
        <v>-3.4310029999999998E-2</v>
      </c>
      <c r="W3882">
        <v>-8.0284739999999993E-2</v>
      </c>
      <c r="X3882">
        <v>0.99618130000000005</v>
      </c>
      <c r="Y3882">
        <v>-3.7386160000000002E-2</v>
      </c>
      <c r="Z3882">
        <v>4.2187750000000001E-3</v>
      </c>
      <c r="AA3882">
        <v>0.99929199999999996</v>
      </c>
      <c r="AB3882">
        <v>24</v>
      </c>
      <c r="AC3882">
        <v>10.316299999999901</v>
      </c>
      <c r="AD3882">
        <v>-1.121462374921</v>
      </c>
      <c r="AE3882">
        <v>0.175800000000009</v>
      </c>
      <c r="AF3882">
        <v>-0.393317033016435</v>
      </c>
      <c r="AG3882">
        <v>-1.121462374921</v>
      </c>
      <c r="AH3882">
        <v>10.1897389500971</v>
      </c>
      <c r="AI3882">
        <v>96.275946153741302</v>
      </c>
      <c r="AJ3882">
        <v>92.210480976469398</v>
      </c>
      <c r="AK3882">
        <v>10.2588087036434</v>
      </c>
      <c r="AL3882">
        <v>94.604932781655293</v>
      </c>
      <c r="AM3882">
        <v>91.972575843473095</v>
      </c>
      <c r="AN3882">
        <v>1.0000000000525699</v>
      </c>
    </row>
    <row r="3883" spans="1:40" x14ac:dyDescent="0.25">
      <c r="A3883" t="str">
        <f>"20190303154212917"</f>
        <v>20190303154212917</v>
      </c>
      <c r="B3883" t="str">
        <f>"1551598932913193"</f>
        <v>1551598932913193</v>
      </c>
      <c r="C3883" t="s">
        <v>40</v>
      </c>
      <c r="D3883">
        <v>5.9915969999999996</v>
      </c>
      <c r="E3883">
        <v>0.52744899999999995</v>
      </c>
      <c r="F3883" t="s">
        <v>50</v>
      </c>
      <c r="G3883">
        <v>-445.50380000000001</v>
      </c>
      <c r="H3883" s="1">
        <v>1.3489699999999999E-6</v>
      </c>
      <c r="I3883">
        <v>215.60249999999999</v>
      </c>
      <c r="J3883">
        <v>-456.0804</v>
      </c>
      <c r="K3883">
        <v>1.1214789999999999</v>
      </c>
      <c r="L3883">
        <v>215.41480000000001</v>
      </c>
      <c r="M3883">
        <v>0.9996794</v>
      </c>
      <c r="N3883">
        <v>-1.4340790000000001E-2</v>
      </c>
      <c r="O3883">
        <v>-2.0872430000000001E-2</v>
      </c>
      <c r="P3883">
        <v>0.99569510000000006</v>
      </c>
      <c r="Q3883">
        <v>-9.1608339999999996E-2</v>
      </c>
      <c r="R3883">
        <v>1.413358E-2</v>
      </c>
      <c r="S3883">
        <v>2.983765</v>
      </c>
      <c r="T3883">
        <v>-0.30884279999999997</v>
      </c>
      <c r="U3883">
        <v>5.0384520000000002E-2</v>
      </c>
      <c r="V3883">
        <v>-3.48411E-2</v>
      </c>
      <c r="W3883">
        <v>-7.7360650000000003E-2</v>
      </c>
      <c r="X3883">
        <v>0.99639420000000001</v>
      </c>
      <c r="Y3883">
        <v>-3.7441160000000001E-2</v>
      </c>
      <c r="Z3883">
        <v>4.0576309999999999E-3</v>
      </c>
      <c r="AA3883">
        <v>0.99929060000000003</v>
      </c>
      <c r="AB3883">
        <v>24</v>
      </c>
      <c r="AC3883">
        <v>10.5765999999999</v>
      </c>
      <c r="AD3883">
        <v>-1.12147765103</v>
      </c>
      <c r="AE3883">
        <v>0.187699999999978</v>
      </c>
      <c r="AF3883">
        <v>-0.40390141774178501</v>
      </c>
      <c r="AG3883">
        <v>-1.12147765103</v>
      </c>
      <c r="AH3883">
        <v>10.4528905191062</v>
      </c>
      <c r="AI3883">
        <v>96.119236307321998</v>
      </c>
      <c r="AJ3883">
        <v>92.212817539186602</v>
      </c>
      <c r="AK3883">
        <v>10.520635374416999</v>
      </c>
      <c r="AL3883">
        <v>94.436871865799901</v>
      </c>
      <c r="AM3883">
        <v>92.002656150699906</v>
      </c>
      <c r="AN3883">
        <v>0.99999998710563598</v>
      </c>
    </row>
    <row r="3884" spans="1:40" x14ac:dyDescent="0.25">
      <c r="A3884" t="str">
        <f>"20190303154212939"</f>
        <v>20190303154212939</v>
      </c>
      <c r="B3884" t="str">
        <f>"1551598932933690"</f>
        <v>1551598932933690</v>
      </c>
      <c r="C3884" t="s">
        <v>40</v>
      </c>
      <c r="D3884">
        <v>5.9672289999999997</v>
      </c>
      <c r="E3884">
        <v>0.52805990000000003</v>
      </c>
      <c r="F3884" t="s">
        <v>50</v>
      </c>
      <c r="G3884">
        <v>-440.9205</v>
      </c>
      <c r="H3884" s="1">
        <v>-1.043115E-6</v>
      </c>
      <c r="I3884">
        <v>214.5291</v>
      </c>
      <c r="J3884">
        <v>-455.83440000000002</v>
      </c>
      <c r="K3884">
        <v>1.121497</v>
      </c>
      <c r="L3884">
        <v>215.41040000000001</v>
      </c>
      <c r="M3884">
        <v>0.99969160000000001</v>
      </c>
      <c r="N3884">
        <v>-1.4397770000000001E-2</v>
      </c>
      <c r="O3884">
        <v>-2.0238079999999999E-2</v>
      </c>
      <c r="P3884">
        <v>0.99592809999999998</v>
      </c>
      <c r="Q3884">
        <v>-8.8953110000000002E-2</v>
      </c>
      <c r="R3884">
        <v>1.466044E-2</v>
      </c>
      <c r="S3884">
        <v>2.9950260000000002</v>
      </c>
      <c r="T3884">
        <v>-0.22156300000000001</v>
      </c>
      <c r="U3884">
        <v>-0.1749725</v>
      </c>
      <c r="V3884">
        <v>-3.4744259999999999E-2</v>
      </c>
      <c r="W3884">
        <v>-7.4645160000000002E-2</v>
      </c>
      <c r="X3884">
        <v>0.99660470000000001</v>
      </c>
      <c r="Y3884">
        <v>3.8015899999999998E-2</v>
      </c>
      <c r="Z3884">
        <v>-4.7475039999999999E-4</v>
      </c>
      <c r="AA3884">
        <v>0.99927699999999997</v>
      </c>
      <c r="AB3884">
        <v>24</v>
      </c>
      <c r="AC3884">
        <v>14.9139</v>
      </c>
      <c r="AD3884">
        <v>-1.1214980431149999</v>
      </c>
      <c r="AE3884">
        <v>-0.88130000000000996</v>
      </c>
      <c r="AF3884">
        <v>0.57601361104042503</v>
      </c>
      <c r="AG3884">
        <v>-1.1214980431149999</v>
      </c>
      <c r="AH3884">
        <v>14.845029457313499</v>
      </c>
      <c r="AI3884">
        <v>94.317083516767795</v>
      </c>
      <c r="AJ3884">
        <v>87.7779363150932</v>
      </c>
      <c r="AK3884">
        <v>14.898471368879401</v>
      </c>
      <c r="AL3884">
        <v>94.280834337886702</v>
      </c>
      <c r="AM3884">
        <v>91.996672850621906</v>
      </c>
      <c r="AN3884">
        <v>0.99999999578823096</v>
      </c>
    </row>
    <row r="3885" spans="1:40" x14ac:dyDescent="0.25">
      <c r="A3885" t="str">
        <f>"20190303154212961"</f>
        <v>20190303154212961</v>
      </c>
      <c r="B3885" t="str">
        <f>"1551598932953210"</f>
        <v>1551598932953210</v>
      </c>
      <c r="C3885" t="s">
        <v>40</v>
      </c>
      <c r="D3885">
        <v>5.9769110000000003</v>
      </c>
      <c r="E3885">
        <v>0.52839840000000005</v>
      </c>
      <c r="F3885" t="s">
        <v>50</v>
      </c>
      <c r="G3885">
        <v>-440.11680000000001</v>
      </c>
      <c r="H3885" s="1">
        <v>-1.468485E-6</v>
      </c>
      <c r="I3885">
        <v>214.4751</v>
      </c>
      <c r="J3885">
        <v>-455.59800000000001</v>
      </c>
      <c r="K3885">
        <v>1.12151</v>
      </c>
      <c r="L3885">
        <v>215.40629999999999</v>
      </c>
      <c r="M3885">
        <v>0.99970300000000001</v>
      </c>
      <c r="N3885">
        <v>-1.444437E-2</v>
      </c>
      <c r="O3885">
        <v>-1.9628329999999999E-2</v>
      </c>
      <c r="P3885">
        <v>0.99608379999999996</v>
      </c>
      <c r="Q3885">
        <v>-8.7243100000000004E-2</v>
      </c>
      <c r="R3885">
        <v>1.435435E-2</v>
      </c>
      <c r="S3885">
        <v>2.9957889999999998</v>
      </c>
      <c r="T3885">
        <v>-0.2137579</v>
      </c>
      <c r="U3885">
        <v>-0.17826839999999999</v>
      </c>
      <c r="V3885">
        <v>-3.3835759999999999E-2</v>
      </c>
      <c r="W3885">
        <v>-7.2885229999999995E-2</v>
      </c>
      <c r="X3885">
        <v>0.99676620000000005</v>
      </c>
      <c r="Y3885">
        <v>3.9704700000000002E-2</v>
      </c>
      <c r="Z3885">
        <v>-5.8673280000000002E-4</v>
      </c>
      <c r="AA3885">
        <v>0.99921130000000002</v>
      </c>
      <c r="AB3885">
        <v>24</v>
      </c>
      <c r="AC3885">
        <v>15.481199999999999</v>
      </c>
      <c r="AD3885">
        <v>-1.1215114684850001</v>
      </c>
      <c r="AE3885">
        <v>-0.93119999999998904</v>
      </c>
      <c r="AF3885">
        <v>0.62385652676314096</v>
      </c>
      <c r="AG3885">
        <v>-1.1215114684850001</v>
      </c>
      <c r="AH3885">
        <v>15.4158849474235</v>
      </c>
      <c r="AI3885">
        <v>94.157568132759195</v>
      </c>
      <c r="AJ3885">
        <v>87.682594770156697</v>
      </c>
      <c r="AK3885">
        <v>15.469211151578699</v>
      </c>
      <c r="AL3885">
        <v>94.1797223361758</v>
      </c>
      <c r="AM3885">
        <v>91.944189244682704</v>
      </c>
      <c r="AN3885">
        <v>0.99999998643468502</v>
      </c>
    </row>
    <row r="3886" spans="1:40" x14ac:dyDescent="0.25">
      <c r="A3886" t="str">
        <f>"20190303154212981"</f>
        <v>20190303154212981</v>
      </c>
      <c r="B3886" t="str">
        <f>"1551598932973707"</f>
        <v>1551598932973707</v>
      </c>
      <c r="C3886" t="s">
        <v>40</v>
      </c>
      <c r="D3886">
        <v>5.9754310000000004</v>
      </c>
      <c r="E3886">
        <v>0.52863870000000002</v>
      </c>
      <c r="F3886" t="s">
        <v>51</v>
      </c>
      <c r="G3886">
        <v>-439.63760000000002</v>
      </c>
      <c r="H3886" s="1">
        <v>6.5064909999999998E-6</v>
      </c>
      <c r="I3886">
        <v>214.43770000000001</v>
      </c>
      <c r="J3886">
        <v>-455.38310000000001</v>
      </c>
      <c r="K3886">
        <v>1.121532</v>
      </c>
      <c r="L3886">
        <v>215.40270000000001</v>
      </c>
      <c r="M3886">
        <v>0.99971319999999997</v>
      </c>
      <c r="N3886">
        <v>-1.4480969999999999E-2</v>
      </c>
      <c r="O3886">
        <v>-1.9073940000000001E-2</v>
      </c>
      <c r="P3886">
        <v>0.99630229999999997</v>
      </c>
      <c r="Q3886">
        <v>-8.4816909999999995E-2</v>
      </c>
      <c r="R3886">
        <v>1.371207E-2</v>
      </c>
      <c r="S3886">
        <v>2.9959410000000002</v>
      </c>
      <c r="T3886">
        <v>-0.21051900000000001</v>
      </c>
      <c r="U3886">
        <v>-0.1818237</v>
      </c>
      <c r="V3886">
        <v>-3.264856E-2</v>
      </c>
      <c r="W3886">
        <v>-7.0417999999999994E-2</v>
      </c>
      <c r="X3886">
        <v>0.99698310000000001</v>
      </c>
      <c r="Y3886">
        <v>4.1433299999999999E-2</v>
      </c>
      <c r="Z3886">
        <v>-6.9192259999999997E-4</v>
      </c>
      <c r="AA3886">
        <v>0.99914099999999995</v>
      </c>
      <c r="AB3886">
        <v>24</v>
      </c>
      <c r="AC3886">
        <v>15.7454999999999</v>
      </c>
      <c r="AD3886">
        <v>-1.121525493509</v>
      </c>
      <c r="AE3886">
        <v>-0.96500000000000297</v>
      </c>
      <c r="AF3886">
        <v>0.66112255326772396</v>
      </c>
      <c r="AG3886">
        <v>-1.121525493509</v>
      </c>
      <c r="AH3886">
        <v>15.681779826381099</v>
      </c>
      <c r="AI3886">
        <v>94.087081788237001</v>
      </c>
      <c r="AJ3886">
        <v>87.585917247871095</v>
      </c>
      <c r="AK3886">
        <v>15.735727532787401</v>
      </c>
      <c r="AL3886">
        <v>94.037996252628105</v>
      </c>
      <c r="AM3886">
        <v>91.875614988662804</v>
      </c>
      <c r="AN3886">
        <v>0.99999996243984102</v>
      </c>
    </row>
    <row r="3887" spans="1:40" x14ac:dyDescent="0.25">
      <c r="A3887" t="str">
        <f>"20190303154213005"</f>
        <v>20190303154213005</v>
      </c>
      <c r="B3887" t="str">
        <f>"1551598932993226"</f>
        <v>1551598932993226</v>
      </c>
      <c r="C3887" t="s">
        <v>40</v>
      </c>
      <c r="D3887">
        <v>6.0030460000000003</v>
      </c>
      <c r="E3887">
        <v>0.52889350000000002</v>
      </c>
      <c r="F3887" t="s">
        <v>51</v>
      </c>
      <c r="G3887">
        <v>-439.1866</v>
      </c>
      <c r="H3887" s="1">
        <v>6.3099609999999997E-6</v>
      </c>
      <c r="I3887">
        <v>214.398</v>
      </c>
      <c r="J3887">
        <v>-455.12329999999997</v>
      </c>
      <c r="K3887">
        <v>1.121548</v>
      </c>
      <c r="L3887">
        <v>215.39859999999999</v>
      </c>
      <c r="M3887">
        <v>0.99972539999999999</v>
      </c>
      <c r="N3887">
        <v>-1.451816E-2</v>
      </c>
      <c r="O3887">
        <v>-1.840346E-2</v>
      </c>
      <c r="P3887">
        <v>0.99649600000000005</v>
      </c>
      <c r="Q3887">
        <v>-8.2637769999999999E-2</v>
      </c>
      <c r="R3887">
        <v>1.2932549999999999E-2</v>
      </c>
      <c r="S3887">
        <v>2.9960019999999998</v>
      </c>
      <c r="T3887">
        <v>-0.2074589</v>
      </c>
      <c r="U3887">
        <v>-0.18585209999999999</v>
      </c>
      <c r="V3887">
        <v>-3.120672E-2</v>
      </c>
      <c r="W3887">
        <v>-6.8197129999999995E-2</v>
      </c>
      <c r="X3887">
        <v>0.99718370000000001</v>
      </c>
      <c r="Y3887">
        <v>4.343574E-2</v>
      </c>
      <c r="Z3887">
        <v>-8.1206609999999999E-4</v>
      </c>
      <c r="AA3887">
        <v>0.9990559</v>
      </c>
      <c r="AB3887">
        <v>24</v>
      </c>
      <c r="AC3887">
        <v>15.936699999999901</v>
      </c>
      <c r="AD3887">
        <v>-1.1215416900390001</v>
      </c>
      <c r="AE3887">
        <v>-1.0005999999999899</v>
      </c>
      <c r="AF3887">
        <v>0.70363805855496298</v>
      </c>
      <c r="AG3887">
        <v>-1.1215416900390001</v>
      </c>
      <c r="AH3887">
        <v>15.8741073176586</v>
      </c>
      <c r="AI3887">
        <v>94.037409947731206</v>
      </c>
      <c r="AJ3887">
        <v>87.461960078950696</v>
      </c>
      <c r="AK3887">
        <v>15.9292261397873</v>
      </c>
      <c r="AL3887">
        <v>93.910442796729697</v>
      </c>
      <c r="AM3887">
        <v>91.792478139708606</v>
      </c>
      <c r="AN3887">
        <v>1.00000001972954</v>
      </c>
    </row>
    <row r="3888" spans="1:40" x14ac:dyDescent="0.25">
      <c r="A3888" t="str">
        <f>"20190303154213026"</f>
        <v>20190303154213026</v>
      </c>
      <c r="B3888" t="str">
        <f>"1551598933023482"</f>
        <v>1551598933023482</v>
      </c>
      <c r="C3888" t="s">
        <v>40</v>
      </c>
      <c r="D3888">
        <v>6.0012420000000004</v>
      </c>
      <c r="E3888">
        <v>0.52878990000000003</v>
      </c>
      <c r="F3888" t="s">
        <v>51</v>
      </c>
      <c r="G3888">
        <v>-438.77089999999998</v>
      </c>
      <c r="H3888" s="1">
        <v>6.1289260000000002E-6</v>
      </c>
      <c r="I3888">
        <v>214.36</v>
      </c>
      <c r="J3888">
        <v>-454.90159999999997</v>
      </c>
      <c r="K3888">
        <v>1.1215619999999999</v>
      </c>
      <c r="L3888">
        <v>215.39519999999999</v>
      </c>
      <c r="M3888">
        <v>0.99973529999999999</v>
      </c>
      <c r="N3888">
        <v>-1.4544929999999999E-2</v>
      </c>
      <c r="O3888">
        <v>-1.7830889999999999E-2</v>
      </c>
      <c r="P3888">
        <v>0.99663420000000003</v>
      </c>
      <c r="Q3888">
        <v>-8.1030939999999996E-2</v>
      </c>
      <c r="R3888">
        <v>1.2412799999999899E-2</v>
      </c>
      <c r="S3888">
        <v>2.9959720000000001</v>
      </c>
      <c r="T3888">
        <v>-0.20548140000000001</v>
      </c>
      <c r="U3888">
        <v>-0.1902771</v>
      </c>
      <c r="V3888">
        <v>-3.0121149999999999E-2</v>
      </c>
      <c r="W3888">
        <v>-6.6560259999999996E-2</v>
      </c>
      <c r="X3888">
        <v>0.99732759999999998</v>
      </c>
      <c r="Y3888">
        <v>4.5473100000000002E-2</v>
      </c>
      <c r="Z3888">
        <v>-9.2637929999999996E-4</v>
      </c>
      <c r="AA3888">
        <v>0.99896510000000005</v>
      </c>
      <c r="AB3888">
        <v>24</v>
      </c>
      <c r="AC3888">
        <v>16.130699999999901</v>
      </c>
      <c r="AD3888">
        <v>-1.1215558710739999</v>
      </c>
      <c r="AE3888">
        <v>-1.0351999999999699</v>
      </c>
      <c r="AF3888">
        <v>0.74379922850259905</v>
      </c>
      <c r="AG3888">
        <v>-1.1215558710739999</v>
      </c>
      <c r="AH3888">
        <v>16.0692302687604</v>
      </c>
      <c r="AI3888">
        <v>93.988242087148194</v>
      </c>
      <c r="AJ3888">
        <v>87.349831971167205</v>
      </c>
      <c r="AK3888">
        <v>16.125485614229</v>
      </c>
      <c r="AL3888">
        <v>93.816443707989606</v>
      </c>
      <c r="AM3888">
        <v>91.729913341107903</v>
      </c>
      <c r="AN3888">
        <v>0.99999994680517301</v>
      </c>
    </row>
    <row r="3889" spans="1:40" x14ac:dyDescent="0.25">
      <c r="A3889" t="str">
        <f>"20190303154213048"</f>
        <v>20190303154213048</v>
      </c>
      <c r="B3889" t="str">
        <f>"1551598933043978"</f>
        <v>1551598933043978</v>
      </c>
      <c r="C3889" t="s">
        <v>40</v>
      </c>
      <c r="D3889">
        <v>5.9924229999999996</v>
      </c>
      <c r="E3889">
        <v>0.52855280000000004</v>
      </c>
      <c r="F3889" t="s">
        <v>51</v>
      </c>
      <c r="G3889">
        <v>-438.7559</v>
      </c>
      <c r="H3889" s="1">
        <v>6.1219989999999998E-6</v>
      </c>
      <c r="I3889">
        <v>214.36330000000001</v>
      </c>
      <c r="J3889">
        <v>-454.66399999999999</v>
      </c>
      <c r="K3889">
        <v>1.121577</v>
      </c>
      <c r="L3889">
        <v>215.39160000000001</v>
      </c>
      <c r="M3889">
        <v>0.99974560000000001</v>
      </c>
      <c r="N3889">
        <v>-1.4569159999999999E-2</v>
      </c>
      <c r="O3889">
        <v>-1.7217420000000001E-2</v>
      </c>
      <c r="P3889">
        <v>0.996757</v>
      </c>
      <c r="Q3889">
        <v>-7.9448260000000007E-2</v>
      </c>
      <c r="R3889">
        <v>1.278494E-2</v>
      </c>
      <c r="S3889">
        <v>2.9956360000000002</v>
      </c>
      <c r="T3889">
        <v>-0.20809150000000001</v>
      </c>
      <c r="U3889">
        <v>-0.19145200000000001</v>
      </c>
      <c r="V3889">
        <v>-2.9886059999999999E-2</v>
      </c>
      <c r="W3889">
        <v>-6.4951270000000005E-2</v>
      </c>
      <c r="X3889">
        <v>0.99744080000000002</v>
      </c>
      <c r="Y3889">
        <v>4.6477280000000003E-2</v>
      </c>
      <c r="Z3889">
        <v>-1.007373E-3</v>
      </c>
      <c r="AA3889">
        <v>0.9989188</v>
      </c>
      <c r="AB3889">
        <v>24</v>
      </c>
      <c r="AC3889">
        <v>15.9080999999999</v>
      </c>
      <c r="AD3889">
        <v>-1.1215708780010001</v>
      </c>
      <c r="AE3889">
        <v>-1.0283</v>
      </c>
      <c r="AF3889">
        <v>0.75050700833624695</v>
      </c>
      <c r="AG3889">
        <v>-1.1215708780010001</v>
      </c>
      <c r="AH3889">
        <v>15.8450150171759</v>
      </c>
      <c r="AI3889">
        <v>94.044342650253895</v>
      </c>
      <c r="AJ3889">
        <v>87.288183703935303</v>
      </c>
      <c r="AK3889">
        <v>15.902379787266799</v>
      </c>
      <c r="AL3889">
        <v>93.724055218695597</v>
      </c>
      <c r="AM3889">
        <v>91.716225115130598</v>
      </c>
      <c r="AN3889">
        <v>0.99999999678078799</v>
      </c>
    </row>
    <row r="3890" spans="1:40" x14ac:dyDescent="0.25">
      <c r="A3890" t="str">
        <f>"20190303154213071"</f>
        <v>20190303154213071</v>
      </c>
      <c r="B3890" t="str">
        <f>"1551598933063498"</f>
        <v>1551598933063498</v>
      </c>
      <c r="C3890" t="s">
        <v>40</v>
      </c>
      <c r="D3890">
        <v>6.0226829999999998</v>
      </c>
      <c r="E3890">
        <v>0.52893819999999903</v>
      </c>
      <c r="F3890" t="s">
        <v>50</v>
      </c>
      <c r="G3890">
        <v>-441.37349999999998</v>
      </c>
      <c r="H3890" s="1">
        <v>-8.0291370000000001E-7</v>
      </c>
      <c r="I3890">
        <v>214.54839999999999</v>
      </c>
      <c r="J3890">
        <v>-454.42200000000003</v>
      </c>
      <c r="K3890">
        <v>1.1215889999999999</v>
      </c>
      <c r="L3890">
        <v>215.38820000000001</v>
      </c>
      <c r="M3890">
        <v>0.99975590000000003</v>
      </c>
      <c r="N3890">
        <v>-1.4589609999999999E-2</v>
      </c>
      <c r="O3890">
        <v>-1.6592719999999998E-2</v>
      </c>
      <c r="P3890">
        <v>0.99686779999999997</v>
      </c>
      <c r="Q3890">
        <v>-7.7988100000000005E-2</v>
      </c>
      <c r="R3890">
        <v>1.313423E-2</v>
      </c>
      <c r="S3890">
        <v>2.992035</v>
      </c>
      <c r="T3890">
        <v>-0.25249549999999998</v>
      </c>
      <c r="U3890">
        <v>-0.1898193</v>
      </c>
      <c r="V3890">
        <v>-2.9615889999999999E-2</v>
      </c>
      <c r="W3890">
        <v>-6.3468689999999994E-2</v>
      </c>
      <c r="X3890">
        <v>0.99754430000000005</v>
      </c>
      <c r="Y3890">
        <v>4.6590909999999999E-2</v>
      </c>
      <c r="Z3890">
        <v>-1.146776E-3</v>
      </c>
      <c r="AA3890">
        <v>0.99891339999999995</v>
      </c>
      <c r="AB3890">
        <v>24</v>
      </c>
      <c r="AC3890">
        <v>13.048499999999899</v>
      </c>
      <c r="AD3890">
        <v>-1.1215898029136999</v>
      </c>
      <c r="AE3890">
        <v>-0.83980000000002497</v>
      </c>
      <c r="AF3890">
        <v>0.61859964007794599</v>
      </c>
      <c r="AG3890">
        <v>-1.1215898029136999</v>
      </c>
      <c r="AH3890">
        <v>12.9652428147563</v>
      </c>
      <c r="AI3890">
        <v>94.9386114187365</v>
      </c>
      <c r="AJ3890">
        <v>87.268366592102296</v>
      </c>
      <c r="AK3890">
        <v>13.0283594687241</v>
      </c>
      <c r="AL3890">
        <v>93.638933955697993</v>
      </c>
      <c r="AM3890">
        <v>91.700543238019705</v>
      </c>
      <c r="AN3890">
        <v>1.00000000300664</v>
      </c>
    </row>
    <row r="3891" spans="1:40" x14ac:dyDescent="0.25">
      <c r="A3891" t="str">
        <f>"20190303154213093"</f>
        <v>20190303154213093</v>
      </c>
      <c r="B3891" t="str">
        <f>"1551598933083995"</f>
        <v>1551598933083995</v>
      </c>
      <c r="C3891" t="s">
        <v>40</v>
      </c>
      <c r="D3891">
        <v>6.0017310000000004</v>
      </c>
      <c r="E3891">
        <v>0.52941700000000003</v>
      </c>
      <c r="F3891" t="s">
        <v>50</v>
      </c>
      <c r="G3891">
        <v>-441.1524</v>
      </c>
      <c r="H3891" s="1">
        <v>-9.2004710000000005E-7</v>
      </c>
      <c r="I3891">
        <v>214.53639999999999</v>
      </c>
      <c r="J3891">
        <v>-454.18349999999998</v>
      </c>
      <c r="K3891">
        <v>1.1215999999999999</v>
      </c>
      <c r="L3891">
        <v>215.38489999999999</v>
      </c>
      <c r="M3891">
        <v>0.99976589999999999</v>
      </c>
      <c r="N3891">
        <v>-1.460609E-2</v>
      </c>
      <c r="O3891">
        <v>-1.5976460000000001E-2</v>
      </c>
      <c r="P3891">
        <v>0.99697639999999998</v>
      </c>
      <c r="Q3891">
        <v>-7.6451740000000004E-2</v>
      </c>
      <c r="R3891">
        <v>1.3907279999999999E-2</v>
      </c>
      <c r="S3891">
        <v>2.9921570000000002</v>
      </c>
      <c r="T3891">
        <v>-0.25290639999999998</v>
      </c>
      <c r="U3891">
        <v>-0.19206239999999999</v>
      </c>
      <c r="V3891">
        <v>-2.977815E-2</v>
      </c>
      <c r="W3891">
        <v>-6.1914419999999998E-2</v>
      </c>
      <c r="X3891">
        <v>0.9976372</v>
      </c>
      <c r="Y3891">
        <v>4.7942220000000001E-2</v>
      </c>
      <c r="Z3891">
        <v>-1.258108E-3</v>
      </c>
      <c r="AA3891">
        <v>0.99884930000000005</v>
      </c>
      <c r="AB3891">
        <v>24</v>
      </c>
      <c r="AC3891">
        <v>13.031099999999901</v>
      </c>
      <c r="AD3891">
        <v>-1.1216009200471</v>
      </c>
      <c r="AE3891">
        <v>-0.84850000000000103</v>
      </c>
      <c r="AF3891">
        <v>0.63549068194070102</v>
      </c>
      <c r="AG3891">
        <v>-1.1216009200471</v>
      </c>
      <c r="AH3891">
        <v>12.9474809460853</v>
      </c>
      <c r="AI3891">
        <v>94.945076091986195</v>
      </c>
      <c r="AJ3891">
        <v>87.190052828399601</v>
      </c>
      <c r="AK3891">
        <v>13.011498756097399</v>
      </c>
      <c r="AL3891">
        <v>93.549705122179105</v>
      </c>
      <c r="AM3891">
        <v>91.7096955579959</v>
      </c>
      <c r="AN3891">
        <v>1.0000000582225901</v>
      </c>
    </row>
    <row r="3892" spans="1:40" x14ac:dyDescent="0.25">
      <c r="A3892" t="str">
        <f>"20190303154213118"</f>
        <v>20190303154213118</v>
      </c>
      <c r="B3892" t="str">
        <f>"1551598933113274"</f>
        <v>1551598933113274</v>
      </c>
      <c r="C3892" t="s">
        <v>40</v>
      </c>
      <c r="D3892">
        <v>6.004467</v>
      </c>
      <c r="E3892">
        <v>0.52968899999999997</v>
      </c>
      <c r="F3892" t="s">
        <v>50</v>
      </c>
      <c r="G3892">
        <v>-440.4982</v>
      </c>
      <c r="H3892" s="1">
        <v>-1.266588E-6</v>
      </c>
      <c r="I3892">
        <v>214.5001</v>
      </c>
      <c r="J3892">
        <v>-453.93720000000002</v>
      </c>
      <c r="K3892">
        <v>1.1216170000000001</v>
      </c>
      <c r="L3892">
        <v>215.3817</v>
      </c>
      <c r="M3892">
        <v>0.99977550000000004</v>
      </c>
      <c r="N3892">
        <v>-1.4620050000000001E-2</v>
      </c>
      <c r="O3892">
        <v>-1.5339449999999999E-2</v>
      </c>
      <c r="P3892">
        <v>0.99713309999999999</v>
      </c>
      <c r="Q3892">
        <v>-7.4320440000000002E-2</v>
      </c>
      <c r="R3892">
        <v>1.421559E-2</v>
      </c>
      <c r="S3892">
        <v>2.9930110000000001</v>
      </c>
      <c r="T3892">
        <v>-0.24529780000000001</v>
      </c>
      <c r="U3892">
        <v>-0.19352720000000001</v>
      </c>
      <c r="V3892">
        <v>-2.945615E-2</v>
      </c>
      <c r="W3892">
        <v>-5.9766489999999999E-2</v>
      </c>
      <c r="X3892">
        <v>0.99777769999999999</v>
      </c>
      <c r="Y3892">
        <v>4.9049660000000002E-2</v>
      </c>
      <c r="Z3892">
        <v>-1.33437799999999E-3</v>
      </c>
      <c r="AA3892">
        <v>0.9987954</v>
      </c>
      <c r="AB3892">
        <v>24</v>
      </c>
      <c r="AC3892">
        <v>13.439</v>
      </c>
      <c r="AD3892">
        <v>-1.1216182665879999</v>
      </c>
      <c r="AE3892">
        <v>-0.88159999999999095</v>
      </c>
      <c r="AF3892">
        <v>0.67067574160838905</v>
      </c>
      <c r="AG3892">
        <v>-1.1216182665879999</v>
      </c>
      <c r="AH3892">
        <v>13.358293847630501</v>
      </c>
      <c r="AI3892">
        <v>94.793526159460498</v>
      </c>
      <c r="AJ3892">
        <v>87.125781863074195</v>
      </c>
      <c r="AK3892">
        <v>13.4220657130699</v>
      </c>
      <c r="AL3892">
        <v>93.426409513506101</v>
      </c>
      <c r="AM3892">
        <v>91.690980898958301</v>
      </c>
      <c r="AN3892">
        <v>1.00000001835851</v>
      </c>
    </row>
    <row r="3893" spans="1:40" x14ac:dyDescent="0.25">
      <c r="A3893" t="str">
        <f>"20190303154213141"</f>
        <v>20190303154213141</v>
      </c>
      <c r="B3893" t="str">
        <f>"1551598933133770"</f>
        <v>1551598933133770</v>
      </c>
      <c r="C3893" t="s">
        <v>40</v>
      </c>
      <c r="D3893">
        <v>5.9984769999999896</v>
      </c>
      <c r="E3893">
        <v>0.52975989999999995</v>
      </c>
      <c r="F3893" t="s">
        <v>42</v>
      </c>
      <c r="G3893">
        <v>-453.00979999999998</v>
      </c>
      <c r="H3893">
        <v>1.045652</v>
      </c>
      <c r="I3893">
        <v>215.321</v>
      </c>
      <c r="J3893">
        <v>-453.68060000000003</v>
      </c>
      <c r="K3893">
        <v>1.1216360000000001</v>
      </c>
      <c r="L3893">
        <v>215.37860000000001</v>
      </c>
      <c r="M3893">
        <v>0.99978540000000005</v>
      </c>
      <c r="N3893">
        <v>-1.4631379999999999E-2</v>
      </c>
      <c r="O3893">
        <v>-1.467619E-2</v>
      </c>
      <c r="P3893">
        <v>0.99737089999999995</v>
      </c>
      <c r="Q3893">
        <v>-7.0927710000000005E-2</v>
      </c>
      <c r="R3893">
        <v>1.4858959999999999E-2</v>
      </c>
      <c r="S3893">
        <v>2.9931640000000002</v>
      </c>
      <c r="T3893">
        <v>-0.24535380000000001</v>
      </c>
      <c r="U3893">
        <v>-0.19500729999999999</v>
      </c>
      <c r="V3893">
        <v>-2.944486E-2</v>
      </c>
      <c r="W3893">
        <v>-5.6359050000000001E-2</v>
      </c>
      <c r="X3893">
        <v>0.99797630000000004</v>
      </c>
      <c r="Y3893">
        <v>5.0194669999999997E-2</v>
      </c>
      <c r="Z3893">
        <v>-1.434676E-3</v>
      </c>
      <c r="AA3893">
        <v>0.99873840000000003</v>
      </c>
      <c r="AB3893">
        <v>24</v>
      </c>
      <c r="AC3893">
        <v>0.67080000000004203</v>
      </c>
      <c r="AD3893">
        <v>-7.5983999999999996E-2</v>
      </c>
      <c r="AE3893">
        <v>-5.7600000000007798E-2</v>
      </c>
      <c r="AF3893">
        <v>4.7147436665413302E-2</v>
      </c>
      <c r="AG3893">
        <v>-7.5983999999999996E-2</v>
      </c>
      <c r="AH3893">
        <v>0.663126917696374</v>
      </c>
      <c r="AI3893">
        <v>96.520376705963599</v>
      </c>
      <c r="AJ3893">
        <v>85.933190119838002</v>
      </c>
      <c r="AK3893">
        <v>0.66912910414479299</v>
      </c>
      <c r="AL3893">
        <v>93.230847563043795</v>
      </c>
      <c r="AM3893">
        <v>91.689996967375706</v>
      </c>
      <c r="AN3893">
        <v>1.0000000188295</v>
      </c>
    </row>
    <row r="3894" spans="1:40" x14ac:dyDescent="0.25">
      <c r="A3894" t="str">
        <f>"20190303154213164"</f>
        <v>20190303154213164</v>
      </c>
      <c r="B3894" t="str">
        <f>"1551598933153289"</f>
        <v>1551598933153289</v>
      </c>
      <c r="C3894" t="s">
        <v>40</v>
      </c>
      <c r="D3894">
        <v>5.9897169999999997</v>
      </c>
      <c r="E3894">
        <v>0.52992410000000001</v>
      </c>
      <c r="F3894" t="s">
        <v>42</v>
      </c>
      <c r="G3894">
        <v>-452.79360000000003</v>
      </c>
      <c r="H3894">
        <v>1.051031</v>
      </c>
      <c r="I3894">
        <v>215.3212</v>
      </c>
      <c r="J3894">
        <v>-453.45370000000003</v>
      </c>
      <c r="K3894">
        <v>1.1216539999999999</v>
      </c>
      <c r="L3894">
        <v>215.3759</v>
      </c>
      <c r="M3894">
        <v>0.99979359999999995</v>
      </c>
      <c r="N3894">
        <v>-1.4639320000000001E-2</v>
      </c>
      <c r="O3894">
        <v>-1.4089310000000001E-2</v>
      </c>
      <c r="P3894">
        <v>0.99762269999999997</v>
      </c>
      <c r="Q3894">
        <v>-6.7190490000000005E-2</v>
      </c>
      <c r="R3894">
        <v>1.53118E-2</v>
      </c>
      <c r="S3894">
        <v>2.9938349999999998</v>
      </c>
      <c r="T3894">
        <v>-0.23843349999999999</v>
      </c>
      <c r="U3894">
        <v>-0.19374079999999999</v>
      </c>
      <c r="V3894">
        <v>-2.931953E-2</v>
      </c>
      <c r="W3894">
        <v>-5.2610240000000003E-2</v>
      </c>
      <c r="X3894">
        <v>0.99818459999999998</v>
      </c>
      <c r="Y3894">
        <v>5.035183E-2</v>
      </c>
      <c r="Z3894">
        <v>-1.4562640000000001E-3</v>
      </c>
      <c r="AA3894">
        <v>0.99873049999999997</v>
      </c>
      <c r="AB3894">
        <v>24</v>
      </c>
      <c r="AC3894">
        <v>0.66009999999999902</v>
      </c>
      <c r="AD3894">
        <v>-7.0623000000000102E-2</v>
      </c>
      <c r="AE3894">
        <v>-5.46999999999968E-2</v>
      </c>
      <c r="AF3894">
        <v>4.4882970066294499E-2</v>
      </c>
      <c r="AG3894">
        <v>-7.0623000000000102E-2</v>
      </c>
      <c r="AH3894">
        <v>0.65337735224031701</v>
      </c>
      <c r="AI3894">
        <v>96.154708460973794</v>
      </c>
      <c r="AJ3894">
        <v>86.070308884817806</v>
      </c>
      <c r="AK3894">
        <v>0.65871393909005704</v>
      </c>
      <c r="AL3894">
        <v>93.015737030453394</v>
      </c>
      <c r="AM3894">
        <v>91.682456793151005</v>
      </c>
      <c r="AN3894">
        <v>0.99999998393471901</v>
      </c>
    </row>
    <row r="3895" spans="1:40" x14ac:dyDescent="0.25">
      <c r="A3895" t="str">
        <f>"20190303154213184"</f>
        <v>20190303154213184</v>
      </c>
      <c r="B3895" t="str">
        <f>"1551598933173787"</f>
        <v>1551598933173787</v>
      </c>
      <c r="C3895" t="s">
        <v>40</v>
      </c>
      <c r="D3895">
        <v>5.9602729999999999</v>
      </c>
      <c r="E3895">
        <v>0.52994809999999903</v>
      </c>
      <c r="F3895" t="s">
        <v>51</v>
      </c>
      <c r="G3895">
        <v>-438.84</v>
      </c>
      <c r="H3895" s="1">
        <v>6.1533970000000004E-6</v>
      </c>
      <c r="I3895">
        <v>214.43039999999999</v>
      </c>
      <c r="J3895">
        <v>-453.22899999999998</v>
      </c>
      <c r="K3895">
        <v>1.1216839999999999</v>
      </c>
      <c r="L3895">
        <v>215.37350000000001</v>
      </c>
      <c r="M3895">
        <v>0.99980150000000001</v>
      </c>
      <c r="N3895">
        <v>-1.464538E-2</v>
      </c>
      <c r="O3895">
        <v>-1.3508259999999999E-2</v>
      </c>
      <c r="P3895">
        <v>0.99791470000000004</v>
      </c>
      <c r="Q3895">
        <v>-6.2639619999999993E-2</v>
      </c>
      <c r="R3895">
        <v>1.5579249999999999E-2</v>
      </c>
      <c r="S3895">
        <v>2.9945979999999999</v>
      </c>
      <c r="T3895">
        <v>-0.22984470000000001</v>
      </c>
      <c r="U3895">
        <v>-0.19375609999999999</v>
      </c>
      <c r="V3895">
        <v>-2.9015869999999999E-2</v>
      </c>
      <c r="W3895">
        <v>-4.804895E-2</v>
      </c>
      <c r="X3895">
        <v>0.99842350000000002</v>
      </c>
      <c r="Y3895">
        <v>5.0927550000000002E-2</v>
      </c>
      <c r="Z3895">
        <v>-1.4868749999999999E-3</v>
      </c>
      <c r="AA3895">
        <v>0.99870119999999896</v>
      </c>
      <c r="AB3895">
        <v>24</v>
      </c>
      <c r="AC3895">
        <v>14.388999999999999</v>
      </c>
      <c r="AD3895">
        <v>-1.121677846603</v>
      </c>
      <c r="AE3895">
        <v>-0.94310000000001504</v>
      </c>
      <c r="AF3895">
        <v>0.74412020248149602</v>
      </c>
      <c r="AG3895">
        <v>-1.121677846603</v>
      </c>
      <c r="AH3895">
        <v>14.3138177001596</v>
      </c>
      <c r="AI3895">
        <v>94.474711075844795</v>
      </c>
      <c r="AJ3895">
        <v>87.024092224676593</v>
      </c>
      <c r="AK3895">
        <v>14.3769695423168</v>
      </c>
      <c r="AL3895">
        <v>92.754062308753902</v>
      </c>
      <c r="AM3895">
        <v>91.664643401989593</v>
      </c>
      <c r="AN3895">
        <v>1.0000000538300999</v>
      </c>
    </row>
    <row r="3896" spans="1:40" x14ac:dyDescent="0.25">
      <c r="A3896" t="str">
        <f>"20190303154213217"</f>
        <v>20190303154213217</v>
      </c>
      <c r="B3896" t="str">
        <f>"1551598933213802"</f>
        <v>1551598933213802</v>
      </c>
      <c r="C3896" t="s">
        <v>40</v>
      </c>
      <c r="D3896">
        <v>5.955292</v>
      </c>
      <c r="E3896">
        <v>0.51662439999999998</v>
      </c>
      <c r="F3896" t="s">
        <v>51</v>
      </c>
      <c r="G3896">
        <v>-437.49329999999998</v>
      </c>
      <c r="H3896" s="1">
        <v>5.5623500000000002E-6</v>
      </c>
      <c r="I3896">
        <v>214.3603</v>
      </c>
      <c r="J3896">
        <v>-452.89139999999998</v>
      </c>
      <c r="K3896">
        <v>1.12171</v>
      </c>
      <c r="L3896">
        <v>215.37</v>
      </c>
      <c r="M3896">
        <v>0.99981299999999995</v>
      </c>
      <c r="N3896">
        <v>-1.4651849999999999E-2</v>
      </c>
      <c r="O3896">
        <v>-1.263542E-2</v>
      </c>
      <c r="P3896">
        <v>0.99813540000000001</v>
      </c>
      <c r="Q3896">
        <v>-5.8985280000000001E-2</v>
      </c>
      <c r="R3896">
        <v>1.5707079999999998E-2</v>
      </c>
      <c r="S3896">
        <v>2.9958800000000001</v>
      </c>
      <c r="T3896">
        <v>-0.2135533</v>
      </c>
      <c r="U3896">
        <v>-0.19290160000000001</v>
      </c>
      <c r="V3896">
        <v>-2.8278930000000001E-2</v>
      </c>
      <c r="W3896">
        <v>-4.4384140000000002E-2</v>
      </c>
      <c r="X3896">
        <v>0.99861420000000001</v>
      </c>
      <c r="Y3896">
        <v>5.1503210000000001E-2</v>
      </c>
      <c r="Z3896">
        <v>-1.4959960000000001E-3</v>
      </c>
      <c r="AA3896">
        <v>0.99867169999999905</v>
      </c>
      <c r="AB3896">
        <v>24</v>
      </c>
      <c r="AC3896">
        <v>15.398099999999999</v>
      </c>
      <c r="AD3896">
        <v>-1.1217044376500001</v>
      </c>
      <c r="AE3896">
        <v>-1.0097</v>
      </c>
      <c r="AF3896">
        <v>0.81075308198760199</v>
      </c>
      <c r="AG3896">
        <v>-1.1217044376500001</v>
      </c>
      <c r="AH3896">
        <v>15.328634022779701</v>
      </c>
      <c r="AI3896">
        <v>94.1794558347449</v>
      </c>
      <c r="AJ3896">
        <v>86.972366544367006</v>
      </c>
      <c r="AK3896">
        <v>15.3909896501075</v>
      </c>
      <c r="AL3896">
        <v>92.543859617381699</v>
      </c>
      <c r="AM3896">
        <v>91.6220783159268</v>
      </c>
      <c r="AN3896">
        <v>0.99999998510356203</v>
      </c>
    </row>
    <row r="3897" spans="1:40" x14ac:dyDescent="0.25">
      <c r="A3897" t="str">
        <f>"20190303154213240"</f>
        <v>20190303154213240</v>
      </c>
      <c r="B3897" t="str">
        <f>"1551598933233322"</f>
        <v>1551598933233322</v>
      </c>
      <c r="C3897" t="s">
        <v>40</v>
      </c>
      <c r="D3897">
        <v>5.9306519999999896</v>
      </c>
      <c r="E3897">
        <v>0.51708160000000003</v>
      </c>
      <c r="F3897" t="s">
        <v>51</v>
      </c>
      <c r="G3897">
        <v>-437.44130000000001</v>
      </c>
      <c r="H3897" s="1">
        <v>5.4901839999999999E-6</v>
      </c>
      <c r="I3897">
        <v>214.92179999999999</v>
      </c>
      <c r="J3897">
        <v>-452.64940000000001</v>
      </c>
      <c r="K3897">
        <v>1.1217280000000001</v>
      </c>
      <c r="L3897">
        <v>215.36770000000001</v>
      </c>
      <c r="M3897">
        <v>0.9998205</v>
      </c>
      <c r="N3897">
        <v>-1.465464E-2</v>
      </c>
      <c r="O3897">
        <v>-1.201122E-2</v>
      </c>
      <c r="P3897">
        <v>0.99827569999999999</v>
      </c>
      <c r="Q3897">
        <v>-5.6567109999999997E-2</v>
      </c>
      <c r="R3897">
        <v>1.5675169999999999E-2</v>
      </c>
      <c r="S3897">
        <v>2.9941710000000001</v>
      </c>
      <c r="T3897">
        <v>-0.2173814</v>
      </c>
      <c r="U3897">
        <v>-8.6853029999999998E-2</v>
      </c>
      <c r="V3897">
        <v>-2.7628030000000001E-2</v>
      </c>
      <c r="W3897">
        <v>-4.1960369999999997E-2</v>
      </c>
      <c r="X3897">
        <v>0.99873719999999999</v>
      </c>
      <c r="Y3897">
        <v>1.6952140000000001E-2</v>
      </c>
      <c r="Z3897" s="1">
        <v>-4.4048909999999998E-5</v>
      </c>
      <c r="AA3897">
        <v>0.99985630000000003</v>
      </c>
      <c r="AB3897">
        <v>23</v>
      </c>
      <c r="AC3897">
        <v>15.2081</v>
      </c>
      <c r="AD3897">
        <v>-1.121722509816</v>
      </c>
      <c r="AE3897">
        <v>-0.445900000000023</v>
      </c>
      <c r="AF3897">
        <v>0.26175756943170397</v>
      </c>
      <c r="AG3897">
        <v>-1.121722509816</v>
      </c>
      <c r="AH3897">
        <v>15.130117750541499</v>
      </c>
      <c r="AI3897">
        <v>94.239427394935902</v>
      </c>
      <c r="AJ3897">
        <v>89.008857154035894</v>
      </c>
      <c r="AK3897">
        <v>15.1739000115144</v>
      </c>
      <c r="AL3897">
        <v>92.404858184480801</v>
      </c>
      <c r="AM3897">
        <v>91.584566908040102</v>
      </c>
      <c r="AN3897">
        <v>0.999999987678028</v>
      </c>
    </row>
    <row r="3898" spans="1:40" x14ac:dyDescent="0.25">
      <c r="A3898" t="str">
        <f>"20190303154213261"</f>
        <v>20190303154213261</v>
      </c>
      <c r="B3898" t="str">
        <f>"1551598933253818"</f>
        <v>1551598933253818</v>
      </c>
      <c r="C3898" t="s">
        <v>40</v>
      </c>
      <c r="D3898">
        <v>5.9157359999999999</v>
      </c>
      <c r="E3898">
        <v>0.5169994</v>
      </c>
      <c r="F3898" t="s">
        <v>51</v>
      </c>
      <c r="G3898">
        <v>-436.44</v>
      </c>
      <c r="H3898" s="1">
        <v>5.0500940000000004E-6</v>
      </c>
      <c r="I3898">
        <v>214.8766</v>
      </c>
      <c r="J3898">
        <v>-452.41890000000001</v>
      </c>
      <c r="K3898">
        <v>1.121742</v>
      </c>
      <c r="L3898">
        <v>215.3656</v>
      </c>
      <c r="M3898">
        <v>0.99982740000000003</v>
      </c>
      <c r="N3898">
        <v>-1.4656209999999999E-2</v>
      </c>
      <c r="O3898">
        <v>-1.1420400000000001E-2</v>
      </c>
      <c r="P3898">
        <v>0.99841650000000004</v>
      </c>
      <c r="Q3898">
        <v>-5.3996660000000002E-2</v>
      </c>
      <c r="R3898">
        <v>1.5784059999999999E-2</v>
      </c>
      <c r="S3898">
        <v>2.994904</v>
      </c>
      <c r="T3898">
        <v>-0.20725360000000001</v>
      </c>
      <c r="U3898">
        <v>-9.0728760000000006E-2</v>
      </c>
      <c r="V3898">
        <v>-2.715178E-2</v>
      </c>
      <c r="W3898">
        <v>-3.9385690000000001E-2</v>
      </c>
      <c r="X3898">
        <v>0.9988551</v>
      </c>
      <c r="Y3898">
        <v>1.8824549999999999E-2</v>
      </c>
      <c r="Z3898">
        <v>-1.666684E-4</v>
      </c>
      <c r="AA3898">
        <v>0.99982280000000001</v>
      </c>
      <c r="AB3898">
        <v>23</v>
      </c>
      <c r="AC3898">
        <v>15.978899999999999</v>
      </c>
      <c r="AD3898">
        <v>-1.1217369499059999</v>
      </c>
      <c r="AE3898">
        <v>-0.48900000000000399</v>
      </c>
      <c r="AF3898">
        <v>0.304961571166324</v>
      </c>
      <c r="AG3898">
        <v>-1.1217369499059999</v>
      </c>
      <c r="AH3898">
        <v>15.9051325608054</v>
      </c>
      <c r="AI3898">
        <v>94.033465037538704</v>
      </c>
      <c r="AJ3898">
        <v>88.901557712724696</v>
      </c>
      <c r="AK3898">
        <v>15.947555835345501</v>
      </c>
      <c r="AL3898">
        <v>92.257217687475503</v>
      </c>
      <c r="AM3898">
        <v>91.557082103519207</v>
      </c>
      <c r="AN3898">
        <v>0.99999998126497702</v>
      </c>
    </row>
    <row r="3899" spans="1:40" x14ac:dyDescent="0.25">
      <c r="A3899" t="str">
        <f>"20190303154213285"</f>
        <v>20190303154213285</v>
      </c>
      <c r="B3899" t="str">
        <f>"1551598933273337"</f>
        <v>1551598933273337</v>
      </c>
      <c r="C3899" t="s">
        <v>40</v>
      </c>
      <c r="D3899">
        <v>5.9035219999999997</v>
      </c>
      <c r="E3899">
        <v>0.51676889999999998</v>
      </c>
      <c r="F3899" t="s">
        <v>51</v>
      </c>
      <c r="G3899">
        <v>-435.84559999999999</v>
      </c>
      <c r="H3899" s="1">
        <v>4.7871600000000003E-6</v>
      </c>
      <c r="I3899">
        <v>214.8689</v>
      </c>
      <c r="J3899">
        <v>-452.17750000000001</v>
      </c>
      <c r="K3899">
        <v>1.1217469999999901</v>
      </c>
      <c r="L3899">
        <v>215.36359999999999</v>
      </c>
      <c r="M3899">
        <v>0.99983420000000001</v>
      </c>
      <c r="N3899">
        <v>-1.4656819999999999E-2</v>
      </c>
      <c r="O3899">
        <v>-1.080708E-2</v>
      </c>
      <c r="P3899">
        <v>0.99851389999999995</v>
      </c>
      <c r="Q3899">
        <v>-5.2014459999999998E-2</v>
      </c>
      <c r="R3899">
        <v>1.6267819999999999E-2</v>
      </c>
      <c r="S3899">
        <v>2.9952390000000002</v>
      </c>
      <c r="T3899">
        <v>-0.20272660000000001</v>
      </c>
      <c r="U3899">
        <v>-8.9767459999999993E-2</v>
      </c>
      <c r="V3899">
        <v>-2.7026669999999999E-2</v>
      </c>
      <c r="W3899">
        <v>-3.7401009999999998E-2</v>
      </c>
      <c r="X3899">
        <v>0.99893480000000001</v>
      </c>
      <c r="Y3899">
        <v>1.9113439999999999E-2</v>
      </c>
      <c r="Z3899">
        <v>-2.140702E-4</v>
      </c>
      <c r="AA3899">
        <v>0.99981730000000002</v>
      </c>
      <c r="AB3899">
        <v>23</v>
      </c>
      <c r="AC3899">
        <v>16.331900000000001</v>
      </c>
      <c r="AD3899">
        <v>-1.1217422128400001</v>
      </c>
      <c r="AE3899">
        <v>-0.49469999999999398</v>
      </c>
      <c r="AF3899">
        <v>0.316659522323882</v>
      </c>
      <c r="AG3899">
        <v>-1.1217422128400001</v>
      </c>
      <c r="AH3899">
        <v>16.259658114102201</v>
      </c>
      <c r="AI3899">
        <v>93.945795811425995</v>
      </c>
      <c r="AJ3899">
        <v>88.884296289453403</v>
      </c>
      <c r="AK3899">
        <v>16.301382175528499</v>
      </c>
      <c r="AL3899">
        <v>92.143419924166196</v>
      </c>
      <c r="AM3899">
        <v>91.549787287375693</v>
      </c>
      <c r="AN3899">
        <v>1.0000000055456699</v>
      </c>
    </row>
    <row r="3900" spans="1:40" x14ac:dyDescent="0.25">
      <c r="A3900" t="str">
        <f>"20190303154213306"</f>
        <v>20190303154213306</v>
      </c>
      <c r="B3900" t="str">
        <f>"1551598933293835"</f>
        <v>1551598933293835</v>
      </c>
      <c r="C3900" t="s">
        <v>40</v>
      </c>
      <c r="D3900">
        <v>5.9553149999999997</v>
      </c>
      <c r="E3900">
        <v>0.5161057</v>
      </c>
      <c r="F3900" t="s">
        <v>51</v>
      </c>
      <c r="G3900">
        <v>-435.53269999999998</v>
      </c>
      <c r="H3900" s="1">
        <v>4.6472729999999998E-6</v>
      </c>
      <c r="I3900">
        <v>214.8819</v>
      </c>
      <c r="J3900">
        <v>-451.9547</v>
      </c>
      <c r="K3900">
        <v>1.1217469999999901</v>
      </c>
      <c r="L3900">
        <v>215.36179999999999</v>
      </c>
      <c r="M3900">
        <v>0.99984019999999996</v>
      </c>
      <c r="N3900">
        <v>-1.4656570000000001E-2</v>
      </c>
      <c r="O3900">
        <v>-1.025101E-2</v>
      </c>
      <c r="P3900">
        <v>0.99853809999999998</v>
      </c>
      <c r="Q3900">
        <v>-5.1535190000000002E-2</v>
      </c>
      <c r="R3900">
        <v>1.6319230000000001E-2</v>
      </c>
      <c r="S3900">
        <v>2.9953310000000002</v>
      </c>
      <c r="T3900">
        <v>-0.2018634</v>
      </c>
      <c r="U3900">
        <v>-8.6685180000000001E-2</v>
      </c>
      <c r="V3900">
        <v>-2.6524140000000002E-2</v>
      </c>
      <c r="W3900">
        <v>-3.6920509999999997E-2</v>
      </c>
      <c r="X3900">
        <v>0.99896620000000003</v>
      </c>
      <c r="Y3900">
        <v>1.8641410000000001E-2</v>
      </c>
      <c r="Z3900">
        <v>-2.243526E-4</v>
      </c>
      <c r="AA3900">
        <v>0.9998262</v>
      </c>
      <c r="AB3900">
        <v>23</v>
      </c>
      <c r="AC3900">
        <v>16.422000000000001</v>
      </c>
      <c r="AD3900">
        <v>-1.1217423527269901</v>
      </c>
      <c r="AE3900">
        <v>-0.479899999999986</v>
      </c>
      <c r="AF3900">
        <v>0.31006912334437697</v>
      </c>
      <c r="AG3900">
        <v>-1.1217423527269901</v>
      </c>
      <c r="AH3900">
        <v>16.349835561549401</v>
      </c>
      <c r="AI3900">
        <v>93.924139826951603</v>
      </c>
      <c r="AJ3900">
        <v>88.913535083459394</v>
      </c>
      <c r="AK3900">
        <v>16.391204094173801</v>
      </c>
      <c r="AL3900">
        <v>92.115870155226403</v>
      </c>
      <c r="AM3900">
        <v>91.520936644649595</v>
      </c>
      <c r="AN3900">
        <v>1.00000006140191</v>
      </c>
    </row>
    <row r="3901" spans="1:40" x14ac:dyDescent="0.25">
      <c r="A3901" t="str">
        <f>"20190303154213329"</f>
        <v>20190303154213329</v>
      </c>
      <c r="B3901" t="str">
        <f>"1551598933324090"</f>
        <v>1551598933324090</v>
      </c>
      <c r="C3901" t="s">
        <v>40</v>
      </c>
      <c r="D3901">
        <v>5.8787570000000002</v>
      </c>
      <c r="E3901">
        <v>0.51592950000000004</v>
      </c>
      <c r="F3901" t="s">
        <v>51</v>
      </c>
      <c r="G3901">
        <v>-436.09410000000003</v>
      </c>
      <c r="H3901" s="1">
        <v>4.8921080000000004E-6</v>
      </c>
      <c r="I3901">
        <v>214.92910000000001</v>
      </c>
      <c r="J3901">
        <v>-451.709</v>
      </c>
      <c r="K3901">
        <v>1.1217250000000001</v>
      </c>
      <c r="L3901">
        <v>215.36</v>
      </c>
      <c r="M3901">
        <v>0.99984609999999996</v>
      </c>
      <c r="N3901">
        <v>-1.465551E-2</v>
      </c>
      <c r="O3901">
        <v>-9.6547309999999997E-3</v>
      </c>
      <c r="P3901">
        <v>0.99852059999999998</v>
      </c>
      <c r="Q3901">
        <v>-5.192741E-2</v>
      </c>
      <c r="R3901">
        <v>1.614005E-2</v>
      </c>
      <c r="S3901">
        <v>2.9948429999999999</v>
      </c>
      <c r="T3901">
        <v>-0.2118101</v>
      </c>
      <c r="U3901">
        <v>-8.1710820000000003E-2</v>
      </c>
      <c r="V3901">
        <v>-2.5750169999999999E-2</v>
      </c>
      <c r="W3901">
        <v>-3.7312270000000002E-2</v>
      </c>
      <c r="X3901">
        <v>0.99897179999999997</v>
      </c>
      <c r="Y3901">
        <v>1.7582380000000002E-2</v>
      </c>
      <c r="Z3901">
        <v>-2.0945109999999999E-4</v>
      </c>
      <c r="AA3901">
        <v>0.9998454</v>
      </c>
      <c r="AB3901">
        <v>23</v>
      </c>
      <c r="AC3901">
        <v>15.614899999999899</v>
      </c>
      <c r="AD3901">
        <v>-1.1217201078919901</v>
      </c>
      <c r="AE3901">
        <v>-0.430900000000008</v>
      </c>
      <c r="AF3901">
        <v>0.27866910342690399</v>
      </c>
      <c r="AG3901">
        <v>-1.1217201078919901</v>
      </c>
      <c r="AH3901">
        <v>15.5382090407166</v>
      </c>
      <c r="AI3901">
        <v>94.128419637118796</v>
      </c>
      <c r="AJ3901">
        <v>88.972542334533202</v>
      </c>
      <c r="AK3901">
        <v>15.581137720418999</v>
      </c>
      <c r="AL3901">
        <v>92.138332027817796</v>
      </c>
      <c r="AM3901">
        <v>91.476567635027493</v>
      </c>
      <c r="AN3901">
        <v>0.99999996697141003</v>
      </c>
    </row>
    <row r="3902" spans="1:40" x14ac:dyDescent="0.25">
      <c r="A3902" t="str">
        <f>"20190303154213353"</f>
        <v>20190303154213353</v>
      </c>
      <c r="B3902" t="str">
        <f>"1551598933343610"</f>
        <v>1551598933343610</v>
      </c>
      <c r="C3902" t="s">
        <v>40</v>
      </c>
      <c r="D3902">
        <v>5.8638510000000004</v>
      </c>
      <c r="E3902">
        <v>0.51575479999999996</v>
      </c>
      <c r="F3902" t="s">
        <v>51</v>
      </c>
      <c r="G3902">
        <v>-436.38659999999999</v>
      </c>
      <c r="H3902" s="1">
        <v>5.0204430000000004E-6</v>
      </c>
      <c r="I3902">
        <v>214.94489999999999</v>
      </c>
      <c r="J3902">
        <v>-451.47179999999997</v>
      </c>
      <c r="K3902">
        <v>1.1217029999999999</v>
      </c>
      <c r="L3902">
        <v>215.35839999999999</v>
      </c>
      <c r="M3902">
        <v>0.9998513</v>
      </c>
      <c r="N3902">
        <v>-1.4653799999999899E-2</v>
      </c>
      <c r="O3902">
        <v>-9.1019050000000004E-3</v>
      </c>
      <c r="P3902">
        <v>0.99852850000000004</v>
      </c>
      <c r="Q3902">
        <v>-5.2061410000000002E-2</v>
      </c>
      <c r="R3902">
        <v>1.5193180000000001E-2</v>
      </c>
      <c r="S3902">
        <v>2.994354</v>
      </c>
      <c r="T3902">
        <v>-0.2192105</v>
      </c>
      <c r="U3902">
        <v>-8.1130980000000005E-2</v>
      </c>
      <c r="V3902">
        <v>-2.4252869999999999E-2</v>
      </c>
      <c r="W3902">
        <v>-3.7445270000000003E-2</v>
      </c>
      <c r="X3902">
        <v>0.99900429999999996</v>
      </c>
      <c r="Y3902">
        <v>1.7942E-2</v>
      </c>
      <c r="Z3902">
        <v>-2.5538310000000001E-4</v>
      </c>
      <c r="AA3902">
        <v>0.99983900000000003</v>
      </c>
      <c r="AB3902">
        <v>23</v>
      </c>
      <c r="AC3902">
        <v>15.085199999999899</v>
      </c>
      <c r="AD3902">
        <v>-1.1216979795569999</v>
      </c>
      <c r="AE3902">
        <v>-0.41349999999999898</v>
      </c>
      <c r="AF3902">
        <v>0.27464668761051197</v>
      </c>
      <c r="AG3902">
        <v>-1.1216979795569999</v>
      </c>
      <c r="AH3902">
        <v>15.005435666880899</v>
      </c>
      <c r="AI3902">
        <v>94.274354189679897</v>
      </c>
      <c r="AJ3902">
        <v>88.951424034914496</v>
      </c>
      <c r="AK3902">
        <v>15.0498085274617</v>
      </c>
      <c r="AL3902">
        <v>92.145957687829494</v>
      </c>
      <c r="AM3902">
        <v>91.390698911611807</v>
      </c>
      <c r="AN3902">
        <v>0.99999997068354896</v>
      </c>
    </row>
    <row r="3903" spans="1:40" x14ac:dyDescent="0.25">
      <c r="A3903" t="str">
        <f>"20190303154213372"</f>
        <v>20190303154213372</v>
      </c>
      <c r="B3903" t="str">
        <f>"1551598933363130"</f>
        <v>1551598933363130</v>
      </c>
      <c r="C3903" t="s">
        <v>40</v>
      </c>
      <c r="D3903">
        <v>5.8589960000000003</v>
      </c>
      <c r="E3903">
        <v>0.51565439999999996</v>
      </c>
      <c r="F3903" t="s">
        <v>51</v>
      </c>
      <c r="G3903">
        <v>-436.44540000000001</v>
      </c>
      <c r="H3903" s="1">
        <v>5.0466479999999997E-6</v>
      </c>
      <c r="I3903">
        <v>214.9436</v>
      </c>
      <c r="J3903">
        <v>-451.26389999999998</v>
      </c>
      <c r="K3903">
        <v>1.1216809999999999</v>
      </c>
      <c r="L3903">
        <v>215.357</v>
      </c>
      <c r="M3903">
        <v>0.9998553</v>
      </c>
      <c r="N3903">
        <v>-1.465165E-2</v>
      </c>
      <c r="O3903">
        <v>-8.6416029999999994E-3</v>
      </c>
      <c r="P3903">
        <v>0.99856</v>
      </c>
      <c r="Q3903">
        <v>-5.1900099999999998E-2</v>
      </c>
      <c r="R3903">
        <v>1.356768E-2</v>
      </c>
      <c r="S3903">
        <v>2.994049</v>
      </c>
      <c r="T3903">
        <v>-0.22350100000000001</v>
      </c>
      <c r="U3903">
        <v>-8.2641599999999996E-2</v>
      </c>
      <c r="V3903">
        <v>-2.216982E-2</v>
      </c>
      <c r="W3903">
        <v>-3.7282660000000002E-2</v>
      </c>
      <c r="X3903">
        <v>0.99905880000000002</v>
      </c>
      <c r="Y3903">
        <v>1.890379E-2</v>
      </c>
      <c r="Z3903">
        <v>-3.2562660000000002E-4</v>
      </c>
      <c r="AA3903">
        <v>0.99982119999999997</v>
      </c>
      <c r="AB3903">
        <v>23</v>
      </c>
      <c r="AC3903">
        <v>14.818499999999901</v>
      </c>
      <c r="AD3903">
        <v>-1.121675953352</v>
      </c>
      <c r="AE3903">
        <v>-0.41339999999999499</v>
      </c>
      <c r="AF3903">
        <v>0.28369103775089699</v>
      </c>
      <c r="AG3903">
        <v>-1.121675953352</v>
      </c>
      <c r="AH3903">
        <v>14.7371467056011</v>
      </c>
      <c r="AI3903">
        <v>94.351710123510202</v>
      </c>
      <c r="AJ3903">
        <v>88.8971887054158</v>
      </c>
      <c r="AK3903">
        <v>14.782494057892899</v>
      </c>
      <c r="AL3903">
        <v>92.136634265495601</v>
      </c>
      <c r="AM3903">
        <v>91.271225157398007</v>
      </c>
      <c r="AN3903">
        <v>0.99999999175647403</v>
      </c>
    </row>
    <row r="3904" spans="1:40" x14ac:dyDescent="0.25">
      <c r="A3904" t="str">
        <f>"20190303154213395"</f>
        <v>20190303154213395</v>
      </c>
      <c r="B3904" t="str">
        <f>"1551598933383627"</f>
        <v>1551598933383627</v>
      </c>
      <c r="C3904" t="s">
        <v>40</v>
      </c>
      <c r="D3904">
        <v>5.8628019999999896</v>
      </c>
      <c r="E3904">
        <v>0.51542509999999997</v>
      </c>
      <c r="F3904" t="s">
        <v>51</v>
      </c>
      <c r="G3904">
        <v>-436.39749999999998</v>
      </c>
      <c r="H3904" s="1">
        <v>5.0269759999999997E-6</v>
      </c>
      <c r="I3904">
        <v>214.92570000000001</v>
      </c>
      <c r="J3904">
        <v>-451.03050000000002</v>
      </c>
      <c r="K3904">
        <v>1.121661</v>
      </c>
      <c r="L3904">
        <v>215.35560000000001</v>
      </c>
      <c r="M3904">
        <v>0.99985959999999996</v>
      </c>
      <c r="N3904">
        <v>-1.464909E-2</v>
      </c>
      <c r="O3904">
        <v>-8.1526369999999904E-3</v>
      </c>
      <c r="P3904">
        <v>0.99860199999999999</v>
      </c>
      <c r="Q3904">
        <v>-5.1775969999999998E-2</v>
      </c>
      <c r="R3904">
        <v>1.064434E-2</v>
      </c>
      <c r="S3904">
        <v>2.9937740000000002</v>
      </c>
      <c r="T3904">
        <v>-0.22588179999999999</v>
      </c>
      <c r="U3904">
        <v>-8.6853029999999998E-2</v>
      </c>
      <c r="V3904">
        <v>-1.8760740000000001E-2</v>
      </c>
      <c r="W3904">
        <v>-3.7156429999999997E-2</v>
      </c>
      <c r="X3904">
        <v>0.9991333</v>
      </c>
      <c r="Y3904">
        <v>2.0792439999999999E-2</v>
      </c>
      <c r="Z3904">
        <v>-4.4089880000000001E-4</v>
      </c>
      <c r="AA3904">
        <v>0.99978370000000005</v>
      </c>
      <c r="AB3904">
        <v>23</v>
      </c>
      <c r="AC3904">
        <v>14.632999999999999</v>
      </c>
      <c r="AD3904">
        <v>-1.1216559730239899</v>
      </c>
      <c r="AE3904">
        <v>-0.429900000000003</v>
      </c>
      <c r="AF3904">
        <v>0.30876278334181001</v>
      </c>
      <c r="AG3904">
        <v>-1.1216559730239899</v>
      </c>
      <c r="AH3904">
        <v>14.5505989404275</v>
      </c>
      <c r="AI3904">
        <v>94.407030228209194</v>
      </c>
      <c r="AJ3904">
        <v>88.784369644138096</v>
      </c>
      <c r="AK3904">
        <v>14.597033126747601</v>
      </c>
      <c r="AL3904">
        <v>92.129396875473901</v>
      </c>
      <c r="AM3904">
        <v>91.075717244003798</v>
      </c>
      <c r="AN3904">
        <v>0.99999995841228995</v>
      </c>
    </row>
    <row r="3905" spans="1:40" x14ac:dyDescent="0.25">
      <c r="A3905" t="str">
        <f>"20190303154213417"</f>
        <v>20190303154213417</v>
      </c>
      <c r="B3905" t="str">
        <f>"1551598933413882"</f>
        <v>1551598933413882</v>
      </c>
      <c r="C3905" t="s">
        <v>40</v>
      </c>
      <c r="D3905">
        <v>5.8109699999999904</v>
      </c>
      <c r="E3905">
        <v>0.51559529999999998</v>
      </c>
      <c r="F3905" t="s">
        <v>51</v>
      </c>
      <c r="G3905">
        <v>-436.52330000000001</v>
      </c>
      <c r="H3905" s="1">
        <v>5.0851130000000004E-6</v>
      </c>
      <c r="I3905">
        <v>214.89859999999999</v>
      </c>
      <c r="J3905">
        <v>-450.80939999999998</v>
      </c>
      <c r="K3905">
        <v>1.121645</v>
      </c>
      <c r="L3905">
        <v>215.35429999999999</v>
      </c>
      <c r="M3905">
        <v>0.99986299999999995</v>
      </c>
      <c r="N3905">
        <v>-1.464625E-2</v>
      </c>
      <c r="O3905">
        <v>-7.7187200000000001E-3</v>
      </c>
      <c r="P3905">
        <v>0.99869010000000003</v>
      </c>
      <c r="Q3905">
        <v>-5.0783630000000003E-2</v>
      </c>
      <c r="R3905">
        <v>6.2795109999999998E-3</v>
      </c>
      <c r="S3905">
        <v>2.9932249999999998</v>
      </c>
      <c r="T3905">
        <v>-0.23142670000000001</v>
      </c>
      <c r="U3905">
        <v>-9.4284060000000003E-2</v>
      </c>
      <c r="V3905">
        <v>-1.396585E-2</v>
      </c>
      <c r="W3905">
        <v>-3.616113E-2</v>
      </c>
      <c r="X3905">
        <v>0.99924840000000004</v>
      </c>
      <c r="Y3905">
        <v>2.3697909999999999E-2</v>
      </c>
      <c r="Z3905">
        <v>-6.0560339999999897E-4</v>
      </c>
      <c r="AA3905">
        <v>0.99971900000000002</v>
      </c>
      <c r="AB3905">
        <v>23</v>
      </c>
      <c r="AC3905">
        <v>14.2860999999999</v>
      </c>
      <c r="AD3905">
        <v>-1.121639914887</v>
      </c>
      <c r="AE3905">
        <v>-0.45570000000000699</v>
      </c>
      <c r="AF3905">
        <v>0.343290220705049</v>
      </c>
      <c r="AG3905">
        <v>-1.121639914887</v>
      </c>
      <c r="AH3905">
        <v>14.201738187906701</v>
      </c>
      <c r="AI3905">
        <v>94.514479658559594</v>
      </c>
      <c r="AJ3905">
        <v>88.615292652176606</v>
      </c>
      <c r="AK3905">
        <v>14.250097958686</v>
      </c>
      <c r="AL3905">
        <v>92.072331899957007</v>
      </c>
      <c r="AM3905">
        <v>90.800733997829695</v>
      </c>
      <c r="AN3905">
        <v>1.00000001859582</v>
      </c>
    </row>
    <row r="3906" spans="1:40" x14ac:dyDescent="0.25">
      <c r="A3906" t="str">
        <f>"20190303154213439"</f>
        <v>20190303154213439</v>
      </c>
      <c r="B3906" t="str">
        <f>"1551598933433402"</f>
        <v>1551598933433402</v>
      </c>
      <c r="C3906" t="s">
        <v>40</v>
      </c>
      <c r="D3906">
        <v>5.6880709999999999</v>
      </c>
      <c r="E3906">
        <v>0.51532900000000004</v>
      </c>
      <c r="F3906" t="s">
        <v>51</v>
      </c>
      <c r="G3906">
        <v>-436.15719999999999</v>
      </c>
      <c r="H3906" s="1">
        <v>4.9294050000000001E-6</v>
      </c>
      <c r="I3906">
        <v>214.82259999999999</v>
      </c>
      <c r="J3906">
        <v>-450.57810000000001</v>
      </c>
      <c r="K3906">
        <v>1.121629</v>
      </c>
      <c r="L3906">
        <v>215.35300000000001</v>
      </c>
      <c r="M3906">
        <v>0.99986620000000004</v>
      </c>
      <c r="N3906">
        <v>-1.464266E-2</v>
      </c>
      <c r="O3906">
        <v>-7.2927629999999998E-3</v>
      </c>
      <c r="P3906">
        <v>0.99869030000000003</v>
      </c>
      <c r="Q3906">
        <v>-5.1157899999999999E-2</v>
      </c>
      <c r="R3906">
        <v>7.2048559999999997E-4</v>
      </c>
      <c r="S3906">
        <v>2.99295</v>
      </c>
      <c r="T3906">
        <v>-0.22911210000000001</v>
      </c>
      <c r="U3906">
        <v>-0.10859679999999999</v>
      </c>
      <c r="V3906">
        <v>-7.9828599999999996E-3</v>
      </c>
      <c r="W3906">
        <v>-3.6534079999999997E-2</v>
      </c>
      <c r="X3906">
        <v>0.99930050000000004</v>
      </c>
      <c r="Y3906">
        <v>2.8883949999999999E-2</v>
      </c>
      <c r="Z3906">
        <v>-8.6487229999999895E-4</v>
      </c>
      <c r="AA3906">
        <v>0.99958239999999998</v>
      </c>
      <c r="AB3906">
        <v>23</v>
      </c>
      <c r="AC3906">
        <v>14.4209</v>
      </c>
      <c r="AD3906">
        <v>-1.121624070595</v>
      </c>
      <c r="AE3906">
        <v>-0.53039999999998599</v>
      </c>
      <c r="AF3906">
        <v>0.42265308119606099</v>
      </c>
      <c r="AG3906">
        <v>-1.121624070595</v>
      </c>
      <c r="AH3906">
        <v>14.337767683884101</v>
      </c>
      <c r="AI3906">
        <v>94.471126804643504</v>
      </c>
      <c r="AJ3906">
        <v>88.3115065370568</v>
      </c>
      <c r="AK3906">
        <v>14.3877815642236</v>
      </c>
      <c r="AL3906">
        <v>92.093714576864897</v>
      </c>
      <c r="AM3906">
        <v>90.457694614829606</v>
      </c>
      <c r="AN3906">
        <v>0.99999997717773703</v>
      </c>
    </row>
    <row r="3907" spans="1:40" x14ac:dyDescent="0.25">
      <c r="A3907" t="str">
        <f>"20190303154213462"</f>
        <v>20190303154213462</v>
      </c>
      <c r="B3907" t="str">
        <f>"1551598933453899"</f>
        <v>1551598933453899</v>
      </c>
      <c r="C3907" t="s">
        <v>40</v>
      </c>
      <c r="D3907">
        <v>5.6485589999999997</v>
      </c>
      <c r="E3907">
        <v>0.51488699999999998</v>
      </c>
      <c r="F3907" t="s">
        <v>51</v>
      </c>
      <c r="G3907">
        <v>-436.12880000000001</v>
      </c>
      <c r="H3907" s="1">
        <v>4.92255E-6</v>
      </c>
      <c r="I3907">
        <v>214.75720000000001</v>
      </c>
      <c r="J3907">
        <v>-450.34769999999997</v>
      </c>
      <c r="K3907">
        <v>1.121621</v>
      </c>
      <c r="L3907">
        <v>215.3518</v>
      </c>
      <c r="M3907">
        <v>0.99986909999999896</v>
      </c>
      <c r="N3907">
        <v>-1.463863E-2</v>
      </c>
      <c r="O3907">
        <v>-6.890686E-3</v>
      </c>
      <c r="P3907">
        <v>0.9986874</v>
      </c>
      <c r="Q3907">
        <v>-5.0912100000000002E-2</v>
      </c>
      <c r="R3907">
        <v>-5.6031550000000003E-3</v>
      </c>
      <c r="S3907">
        <v>2.9921259999999998</v>
      </c>
      <c r="T3907">
        <v>-0.2322642</v>
      </c>
      <c r="U3907">
        <v>-0.1233673</v>
      </c>
      <c r="V3907">
        <v>-1.259275E-3</v>
      </c>
      <c r="W3907">
        <v>-3.6287710000000001E-2</v>
      </c>
      <c r="X3907">
        <v>0.99934060000000002</v>
      </c>
      <c r="Y3907">
        <v>3.4200550000000003E-2</v>
      </c>
      <c r="Z3907">
        <v>-1.1426229999999999E-3</v>
      </c>
      <c r="AA3907">
        <v>0.99941429999999998</v>
      </c>
      <c r="AB3907">
        <v>23</v>
      </c>
      <c r="AC3907">
        <v>14.2188999999999</v>
      </c>
      <c r="AD3907">
        <v>-1.1216160774499999</v>
      </c>
      <c r="AE3907">
        <v>-0.59459999999998503</v>
      </c>
      <c r="AF3907">
        <v>0.4935318240946</v>
      </c>
      <c r="AG3907">
        <v>-1.1216160774499999</v>
      </c>
      <c r="AH3907">
        <v>14.134861070682399</v>
      </c>
      <c r="AI3907">
        <v>94.534222243358201</v>
      </c>
      <c r="AJ3907">
        <v>88.000276926998794</v>
      </c>
      <c r="AK3907">
        <v>14.187878409899101</v>
      </c>
      <c r="AL3907">
        <v>92.079589182147899</v>
      </c>
      <c r="AM3907">
        <v>90.072198712388499</v>
      </c>
      <c r="AN3907">
        <v>1.0000000092394601</v>
      </c>
    </row>
    <row r="3908" spans="1:40" x14ac:dyDescent="0.25">
      <c r="A3908" t="str">
        <f>"20190303154213485"</f>
        <v>20190303154213485</v>
      </c>
      <c r="B3908" t="str">
        <f>"1551598933473418"</f>
        <v>1551598933473418</v>
      </c>
      <c r="C3908" t="s">
        <v>40</v>
      </c>
      <c r="D3908">
        <v>5.6448669999999996</v>
      </c>
      <c r="E3908">
        <v>0.51448179999999999</v>
      </c>
      <c r="F3908" t="s">
        <v>51</v>
      </c>
      <c r="G3908">
        <v>-435.91030000000001</v>
      </c>
      <c r="H3908" s="1">
        <v>4.8322839999999999E-6</v>
      </c>
      <c r="I3908">
        <v>214.68129999999999</v>
      </c>
      <c r="J3908">
        <v>-450.11279999999999</v>
      </c>
      <c r="K3908">
        <v>1.1216159999999999</v>
      </c>
      <c r="L3908">
        <v>215.35059999999999</v>
      </c>
      <c r="M3908">
        <v>0.99987179999999998</v>
      </c>
      <c r="N3908">
        <v>-1.463423E-2</v>
      </c>
      <c r="O3908">
        <v>-6.4975889999999998E-3</v>
      </c>
      <c r="P3908">
        <v>0.99867269999999997</v>
      </c>
      <c r="Q3908">
        <v>-5.0175570000000003E-2</v>
      </c>
      <c r="R3908">
        <v>-1.163173E-2</v>
      </c>
      <c r="S3908">
        <v>2.9913020000000001</v>
      </c>
      <c r="T3908">
        <v>-0.23238890000000001</v>
      </c>
      <c r="U3908">
        <v>-0.13891600000000001</v>
      </c>
      <c r="V3908">
        <v>5.160408E-3</v>
      </c>
      <c r="W3908">
        <v>-3.5551909999999999E-2</v>
      </c>
      <c r="X3908">
        <v>0.99935450000000003</v>
      </c>
      <c r="Y3908">
        <v>3.9768379999999999E-2</v>
      </c>
      <c r="Z3908">
        <v>-1.4244920000000001E-3</v>
      </c>
      <c r="AA3908">
        <v>0.99920790000000004</v>
      </c>
      <c r="AB3908">
        <v>23</v>
      </c>
      <c r="AC3908">
        <v>14.202499999999899</v>
      </c>
      <c r="AD3908">
        <v>-1.1216111677159999</v>
      </c>
      <c r="AE3908">
        <v>-0.66929999999999201</v>
      </c>
      <c r="AF3908">
        <v>0.57342561667866998</v>
      </c>
      <c r="AG3908">
        <v>-1.1216111677159999</v>
      </c>
      <c r="AH3908">
        <v>14.1186904703825</v>
      </c>
      <c r="AI3908">
        <v>94.538402601669304</v>
      </c>
      <c r="AJ3908">
        <v>87.674230454683396</v>
      </c>
      <c r="AK3908">
        <v>14.1747751004338</v>
      </c>
      <c r="AL3908">
        <v>92.037403758040199</v>
      </c>
      <c r="AM3908">
        <v>89.704142052620696</v>
      </c>
      <c r="AN3908">
        <v>0.99999999239281201</v>
      </c>
    </row>
    <row r="3909" spans="1:40" x14ac:dyDescent="0.25">
      <c r="A3909" t="str">
        <f>"20190303154213507"</f>
        <v>20190303154213507</v>
      </c>
      <c r="B3909" t="str">
        <f>"1551598933503675"</f>
        <v>1551598933503675</v>
      </c>
      <c r="C3909" t="s">
        <v>40</v>
      </c>
      <c r="D3909">
        <v>5.6683250000000003</v>
      </c>
      <c r="E3909">
        <v>0.50194659999999902</v>
      </c>
      <c r="F3909" t="s">
        <v>51</v>
      </c>
      <c r="G3909">
        <v>-435.65429999999998</v>
      </c>
      <c r="H3909" s="1">
        <v>4.7251919999999999E-6</v>
      </c>
      <c r="I3909">
        <v>214.6078</v>
      </c>
      <c r="J3909">
        <v>-449.8879</v>
      </c>
      <c r="K3909">
        <v>1.121621</v>
      </c>
      <c r="L3909">
        <v>215.34950000000001</v>
      </c>
      <c r="M3909">
        <v>0.99987429999999999</v>
      </c>
      <c r="N3909">
        <v>-1.462985E-2</v>
      </c>
      <c r="O3909">
        <v>-6.1320690000000004E-3</v>
      </c>
      <c r="P3909">
        <v>0.99868270000000003</v>
      </c>
      <c r="Q3909">
        <v>-4.834215E-2</v>
      </c>
      <c r="R3909">
        <v>-1.7214520000000001E-2</v>
      </c>
      <c r="S3909">
        <v>2.9905400000000002</v>
      </c>
      <c r="T3909">
        <v>-0.2319909</v>
      </c>
      <c r="U3909">
        <v>-0.1536255</v>
      </c>
      <c r="V3909">
        <v>1.110655E-2</v>
      </c>
      <c r="W3909">
        <v>-3.3719489999999998E-2</v>
      </c>
      <c r="X3909">
        <v>0.99936959999999997</v>
      </c>
      <c r="Y3909">
        <v>4.5028819999999997E-2</v>
      </c>
      <c r="Z3909">
        <v>-1.6878970000000001E-3</v>
      </c>
      <c r="AA3909">
        <v>0.99898430000000005</v>
      </c>
      <c r="AB3909">
        <v>23</v>
      </c>
      <c r="AC3909">
        <v>14.233599999999999</v>
      </c>
      <c r="AD3909">
        <v>-1.1216162748080001</v>
      </c>
      <c r="AE3909">
        <v>-0.74170000000000802</v>
      </c>
      <c r="AF3909">
        <v>0.65036775843513495</v>
      </c>
      <c r="AG3909">
        <v>-1.1216162748080001</v>
      </c>
      <c r="AH3909">
        <v>14.150252427039</v>
      </c>
      <c r="AI3909">
        <v>94.527300750924795</v>
      </c>
      <c r="AJ3909">
        <v>87.368448236236006</v>
      </c>
      <c r="AK3909">
        <v>14.209526559250699</v>
      </c>
      <c r="AL3909">
        <v>91.932350805822097</v>
      </c>
      <c r="AM3909">
        <v>89.363266360337093</v>
      </c>
      <c r="AN3909">
        <v>0.99999997843146105</v>
      </c>
    </row>
    <row r="3910" spans="1:40" x14ac:dyDescent="0.25">
      <c r="A3910" t="str">
        <f>"20190303154213529"</f>
        <v>20190303154213529</v>
      </c>
      <c r="B3910" t="str">
        <f>"1551598933523194"</f>
        <v>1551598933523194</v>
      </c>
      <c r="C3910" t="s">
        <v>40</v>
      </c>
      <c r="D3910">
        <v>5.6430540000000002</v>
      </c>
      <c r="E3910">
        <v>0.50157229999999997</v>
      </c>
      <c r="F3910" t="s">
        <v>42</v>
      </c>
      <c r="G3910">
        <v>-449.06950000000001</v>
      </c>
      <c r="H3910">
        <v>1.0386070000000001</v>
      </c>
      <c r="I3910">
        <v>215.32910000000001</v>
      </c>
      <c r="J3910">
        <v>-449.66410000000002</v>
      </c>
      <c r="K3910">
        <v>1.1216250000000001</v>
      </c>
      <c r="L3910">
        <v>215.3486</v>
      </c>
      <c r="M3910">
        <v>0.9998764</v>
      </c>
      <c r="N3910">
        <v>-1.462539E-2</v>
      </c>
      <c r="O3910">
        <v>-5.7728099999999997E-3</v>
      </c>
      <c r="P3910">
        <v>0.99873239999999996</v>
      </c>
      <c r="Q3910">
        <v>-4.5228810000000001E-2</v>
      </c>
      <c r="R3910">
        <v>-2.2093249999999998E-2</v>
      </c>
      <c r="S3910">
        <v>2.9880369999999998</v>
      </c>
      <c r="T3910">
        <v>-0.30326940000000002</v>
      </c>
      <c r="U3910">
        <v>-7.3623659999999994E-2</v>
      </c>
      <c r="V3910">
        <v>1.6341979999999999E-2</v>
      </c>
      <c r="W3910">
        <v>-3.0607309999999999E-2</v>
      </c>
      <c r="X3910">
        <v>0.99939789999999995</v>
      </c>
      <c r="Y3910">
        <v>1.8771280000000001E-2</v>
      </c>
      <c r="Z3910">
        <v>-5.8763809999999995E-4</v>
      </c>
      <c r="AA3910">
        <v>0.99982360000000003</v>
      </c>
      <c r="AB3910">
        <v>23</v>
      </c>
      <c r="AC3910">
        <v>0.59460000000001401</v>
      </c>
      <c r="AD3910">
        <v>-8.3017999999999995E-2</v>
      </c>
      <c r="AE3910">
        <v>-1.9499999999993599E-2</v>
      </c>
      <c r="AF3910">
        <v>1.5759905955826999E-2</v>
      </c>
      <c r="AG3910">
        <v>-8.3017999999999995E-2</v>
      </c>
      <c r="AH3910">
        <v>0.58334335715006502</v>
      </c>
      <c r="AI3910">
        <v>98.096694590571303</v>
      </c>
      <c r="AJ3910">
        <v>88.452444019208798</v>
      </c>
      <c r="AK3910">
        <v>0.58943179019361003</v>
      </c>
      <c r="AL3910">
        <v>91.753943582658707</v>
      </c>
      <c r="AM3910">
        <v>89.063192904518303</v>
      </c>
      <c r="AN3910">
        <v>1.0000000151300801</v>
      </c>
    </row>
    <row r="3911" spans="1:40" x14ac:dyDescent="0.25">
      <c r="A3911" t="str">
        <f>"20190303154213553"</f>
        <v>20190303154213553</v>
      </c>
      <c r="B3911" t="str">
        <f>"1551598933543691"</f>
        <v>1551598933543691</v>
      </c>
      <c r="C3911" t="s">
        <v>40</v>
      </c>
      <c r="D3911">
        <v>5.5556130000000001</v>
      </c>
      <c r="E3911">
        <v>0.50367550000000005</v>
      </c>
      <c r="F3911" t="s">
        <v>42</v>
      </c>
      <c r="G3911">
        <v>-448.86360000000002</v>
      </c>
      <c r="H3911">
        <v>1.04179</v>
      </c>
      <c r="I3911">
        <v>215.3254</v>
      </c>
      <c r="J3911">
        <v>-449.4228</v>
      </c>
      <c r="K3911">
        <v>1.121637</v>
      </c>
      <c r="L3911">
        <v>215.3476</v>
      </c>
      <c r="M3911">
        <v>0.99987879999999996</v>
      </c>
      <c r="N3911">
        <v>-1.462045E-2</v>
      </c>
      <c r="O3911">
        <v>-5.3863309999999899E-3</v>
      </c>
      <c r="P3911">
        <v>0.99874589999999996</v>
      </c>
      <c r="Q3911">
        <v>-4.2690319999999997E-2</v>
      </c>
      <c r="R3911">
        <v>-2.6163659999999998E-2</v>
      </c>
      <c r="S3911">
        <v>2.9884029999999999</v>
      </c>
      <c r="T3911">
        <v>-0.29815760000000002</v>
      </c>
      <c r="U3911">
        <v>-8.5449220000000006E-2</v>
      </c>
      <c r="V3911">
        <v>2.07969E-2</v>
      </c>
      <c r="W3911">
        <v>-2.8071410000000002E-2</v>
      </c>
      <c r="X3911">
        <v>0.99938950000000004</v>
      </c>
      <c r="Y3911">
        <v>2.308487E-2</v>
      </c>
      <c r="Z3911">
        <v>-8.6042319999999999E-4</v>
      </c>
      <c r="AA3911">
        <v>0.99973319999999999</v>
      </c>
      <c r="AB3911">
        <v>23</v>
      </c>
      <c r="AC3911">
        <v>0.55919999999997505</v>
      </c>
      <c r="AD3911">
        <v>-7.9847000000000001E-2</v>
      </c>
      <c r="AE3911">
        <v>-2.2199999999997999E-2</v>
      </c>
      <c r="AF3911">
        <v>1.88045294636364E-2</v>
      </c>
      <c r="AG3911">
        <v>-7.9847000000000001E-2</v>
      </c>
      <c r="AH3911">
        <v>0.54815310386946103</v>
      </c>
      <c r="AI3911">
        <v>98.282924481681704</v>
      </c>
      <c r="AJ3911">
        <v>88.0352244463582</v>
      </c>
      <c r="AK3911">
        <v>0.55425714160403305</v>
      </c>
      <c r="AL3911">
        <v>91.608584717287599</v>
      </c>
      <c r="AM3911">
        <v>88.807869562410403</v>
      </c>
      <c r="AN3911">
        <v>0.99999994390962199</v>
      </c>
    </row>
    <row r="3912" spans="1:40" x14ac:dyDescent="0.25">
      <c r="A3912" t="str">
        <f>"20190303154213574"</f>
        <v>20190303154213574</v>
      </c>
      <c r="B3912" t="str">
        <f>"1551598933563210"</f>
        <v>1551598933563210</v>
      </c>
      <c r="C3912" t="s">
        <v>40</v>
      </c>
      <c r="D3912">
        <v>5.6158460000000003</v>
      </c>
      <c r="E3912">
        <v>0.50324469999999999</v>
      </c>
      <c r="F3912" t="s">
        <v>51</v>
      </c>
      <c r="G3912">
        <v>-434.92070000000001</v>
      </c>
      <c r="H3912" s="1">
        <v>4.3826430000000003E-6</v>
      </c>
      <c r="I3912">
        <v>214.8047</v>
      </c>
      <c r="J3912">
        <v>-449.19630000000001</v>
      </c>
      <c r="K3912">
        <v>1.1216440000000001</v>
      </c>
      <c r="L3912">
        <v>215.3468</v>
      </c>
      <c r="M3912">
        <v>0.99988060000000001</v>
      </c>
      <c r="N3912">
        <v>-1.4615700000000001E-2</v>
      </c>
      <c r="O3912">
        <v>-5.0210469999999998E-3</v>
      </c>
      <c r="P3912">
        <v>0.998699</v>
      </c>
      <c r="Q3912">
        <v>-4.1234359999999998E-2</v>
      </c>
      <c r="R3912">
        <v>-3.0004030000000001E-2</v>
      </c>
      <c r="S3912">
        <v>2.990936</v>
      </c>
      <c r="T3912">
        <v>-0.23132749999999999</v>
      </c>
      <c r="U3912">
        <v>-0.111969</v>
      </c>
      <c r="V3912">
        <v>2.5001820000000001E-2</v>
      </c>
      <c r="W3912">
        <v>-2.6618739999999998E-2</v>
      </c>
      <c r="X3912">
        <v>0.99933300000000003</v>
      </c>
      <c r="Y3912">
        <v>3.2286639999999998E-2</v>
      </c>
      <c r="Z3912">
        <v>-1.1683939999999999E-3</v>
      </c>
      <c r="AA3912">
        <v>0.99947799999999998</v>
      </c>
      <c r="AB3912">
        <v>23</v>
      </c>
      <c r="AC3912">
        <v>14.275599999999899</v>
      </c>
      <c r="AD3912">
        <v>-1.121639617357</v>
      </c>
      <c r="AE3912">
        <v>-0.54210000000000402</v>
      </c>
      <c r="AF3912">
        <v>0.467525030884198</v>
      </c>
      <c r="AG3912">
        <v>-1.121639617357</v>
      </c>
      <c r="AH3912">
        <v>14.190665009055699</v>
      </c>
      <c r="AI3912">
        <v>94.516860314857098</v>
      </c>
      <c r="AJ3912">
        <v>88.1130182805679</v>
      </c>
      <c r="AK3912">
        <v>14.24259907759</v>
      </c>
      <c r="AL3912">
        <v>91.525321552659506</v>
      </c>
      <c r="AM3912">
        <v>88.5668440859329</v>
      </c>
      <c r="AN3912">
        <v>1.0000000466057399</v>
      </c>
    </row>
    <row r="3913" spans="1:40" x14ac:dyDescent="0.25">
      <c r="A3913" t="str">
        <f>"20190303154213597"</f>
        <v>20190303154213597</v>
      </c>
      <c r="B3913" t="str">
        <f>"1551598933593507"</f>
        <v>1551598933593507</v>
      </c>
      <c r="C3913" t="s">
        <v>40</v>
      </c>
      <c r="D3913">
        <v>5.618671</v>
      </c>
      <c r="E3913">
        <v>0.5002375</v>
      </c>
      <c r="F3913" t="s">
        <v>51</v>
      </c>
      <c r="G3913">
        <v>-434.86070000000001</v>
      </c>
      <c r="H3913" s="1">
        <v>4.3591299999999999E-6</v>
      </c>
      <c r="I3913">
        <v>214.7696</v>
      </c>
      <c r="J3913">
        <v>-448.97789999999998</v>
      </c>
      <c r="K3913">
        <v>1.1216520000000001</v>
      </c>
      <c r="L3913">
        <v>215.34610000000001</v>
      </c>
      <c r="M3913">
        <v>0.99988250000000001</v>
      </c>
      <c r="N3913">
        <v>-1.4611020000000001E-2</v>
      </c>
      <c r="O3913">
        <v>-4.6655330000000004E-3</v>
      </c>
      <c r="P3913">
        <v>0.9986621</v>
      </c>
      <c r="Q3913">
        <v>-4.0472790000000002E-2</v>
      </c>
      <c r="R3913">
        <v>-3.2188929999999998E-2</v>
      </c>
      <c r="S3913">
        <v>2.9906619999999999</v>
      </c>
      <c r="T3913">
        <v>-0.23399510000000001</v>
      </c>
      <c r="U3913">
        <v>-0.1204224</v>
      </c>
      <c r="V3913">
        <v>2.7541860000000001E-2</v>
      </c>
      <c r="W3913">
        <v>-2.5861100000000001E-2</v>
      </c>
      <c r="X3913">
        <v>0.99928609999999896</v>
      </c>
      <c r="Y3913">
        <v>3.5451780000000002E-2</v>
      </c>
      <c r="Z3913">
        <v>-1.347549E-3</v>
      </c>
      <c r="AA3913">
        <v>0.99937050000000005</v>
      </c>
      <c r="AB3913">
        <v>23</v>
      </c>
      <c r="AC3913">
        <v>14.117199999999899</v>
      </c>
      <c r="AD3913">
        <v>-1.12164764087</v>
      </c>
      <c r="AE3913">
        <v>-0.57650000000001</v>
      </c>
      <c r="AF3913">
        <v>0.50742454836931405</v>
      </c>
      <c r="AG3913">
        <v>-1.12164764087</v>
      </c>
      <c r="AH3913">
        <v>14.0313081895907</v>
      </c>
      <c r="AI3913">
        <v>94.567470860899405</v>
      </c>
      <c r="AJ3913">
        <v>87.928873030377602</v>
      </c>
      <c r="AK3913">
        <v>14.085211486301199</v>
      </c>
      <c r="AL3913">
        <v>91.481897051526502</v>
      </c>
      <c r="AM3913">
        <v>88.421239981182197</v>
      </c>
      <c r="AN3913">
        <v>1.0000000300993299</v>
      </c>
    </row>
    <row r="3914" spans="1:40" x14ac:dyDescent="0.25">
      <c r="A3914" t="str">
        <f>"20190303154213619"</f>
        <v>20190303154213619</v>
      </c>
      <c r="B3914" t="str">
        <f>"1551598933614003"</f>
        <v>1551598933614003</v>
      </c>
      <c r="C3914" t="s">
        <v>40</v>
      </c>
      <c r="D3914">
        <v>5.6063039999999997</v>
      </c>
      <c r="E3914">
        <v>0.49913590000000002</v>
      </c>
      <c r="F3914" t="s">
        <v>42</v>
      </c>
      <c r="G3914">
        <v>-448.05430000000001</v>
      </c>
      <c r="H3914">
        <v>1.04193</v>
      </c>
      <c r="I3914">
        <v>215.31370000000001</v>
      </c>
      <c r="J3914">
        <v>-448.74369999999999</v>
      </c>
      <c r="K3914">
        <v>1.121659</v>
      </c>
      <c r="L3914">
        <v>215.34549999999999</v>
      </c>
      <c r="M3914">
        <v>0.9998842</v>
      </c>
      <c r="N3914">
        <v>-1.460591E-2</v>
      </c>
      <c r="O3914">
        <v>-4.2804490000000004E-3</v>
      </c>
      <c r="P3914">
        <v>0.99864299999999995</v>
      </c>
      <c r="Q3914">
        <v>-3.9506560000000003E-2</v>
      </c>
      <c r="R3914">
        <v>-3.3933999999999999E-2</v>
      </c>
      <c r="S3914">
        <v>2.9902039999999999</v>
      </c>
      <c r="T3914">
        <v>-0.25827309999999998</v>
      </c>
      <c r="U3914">
        <v>-0.1041565</v>
      </c>
      <c r="V3914">
        <v>2.967121E-2</v>
      </c>
      <c r="W3914">
        <v>-2.4899230000000001E-2</v>
      </c>
      <c r="X3914">
        <v>0.99924950000000001</v>
      </c>
      <c r="Y3914">
        <v>3.0411520000000001E-2</v>
      </c>
      <c r="Z3914">
        <v>-1.2266880000000001E-3</v>
      </c>
      <c r="AA3914">
        <v>0.99953669999999994</v>
      </c>
      <c r="AB3914">
        <v>23</v>
      </c>
      <c r="AC3914">
        <v>0.68939999999997703</v>
      </c>
      <c r="AD3914">
        <v>-7.9728999999999897E-2</v>
      </c>
      <c r="AE3914">
        <v>-3.1799999999975598E-2</v>
      </c>
      <c r="AF3914">
        <v>2.8468497885844098E-2</v>
      </c>
      <c r="AG3914">
        <v>-7.9728999999999897E-2</v>
      </c>
      <c r="AH3914">
        <v>0.68044822159033302</v>
      </c>
      <c r="AI3914">
        <v>96.677159759918496</v>
      </c>
      <c r="AJ3914">
        <v>87.604264345215498</v>
      </c>
      <c r="AK3914">
        <v>0.68569450273304899</v>
      </c>
      <c r="AL3914">
        <v>91.426768304225106</v>
      </c>
      <c r="AM3914">
        <v>88.299187812633704</v>
      </c>
      <c r="AN3914">
        <v>0.99999995780385198</v>
      </c>
    </row>
    <row r="3915" spans="1:40" x14ac:dyDescent="0.25">
      <c r="A3915" t="str">
        <f>"20190303154213640"</f>
        <v>20190303154213640</v>
      </c>
      <c r="B3915" t="str">
        <f>"1551598933633524"</f>
        <v>1551598933633524</v>
      </c>
      <c r="C3915" t="s">
        <v>40</v>
      </c>
      <c r="D3915">
        <v>5.5890559999999896</v>
      </c>
      <c r="E3915">
        <v>0.5108338</v>
      </c>
      <c r="F3915" t="s">
        <v>42</v>
      </c>
      <c r="G3915">
        <v>-447.85230000000001</v>
      </c>
      <c r="H3915">
        <v>1.042068</v>
      </c>
      <c r="I3915">
        <v>215.31540000000001</v>
      </c>
      <c r="J3915">
        <v>-448.53559999999999</v>
      </c>
      <c r="K3915">
        <v>1.1216619999999999</v>
      </c>
      <c r="L3915">
        <v>215.345</v>
      </c>
      <c r="M3915">
        <v>0.99988560000000004</v>
      </c>
      <c r="N3915">
        <v>-1.460141E-2</v>
      </c>
      <c r="O3915">
        <v>-3.9357849999999998E-3</v>
      </c>
      <c r="P3915">
        <v>0.99862220000000002</v>
      </c>
      <c r="Q3915">
        <v>-3.875137E-2</v>
      </c>
      <c r="R3915">
        <v>-3.5382719999999999E-2</v>
      </c>
      <c r="S3915">
        <v>2.9900820000000001</v>
      </c>
      <c r="T3915">
        <v>-0.2670109</v>
      </c>
      <c r="U3915">
        <v>-0.10086059999999999</v>
      </c>
      <c r="V3915">
        <v>3.1464069999999997E-2</v>
      </c>
      <c r="W3915">
        <v>-2.4148019999999999E-2</v>
      </c>
      <c r="X3915">
        <v>0.99921320000000002</v>
      </c>
      <c r="Y3915">
        <v>2.9652029999999999E-2</v>
      </c>
      <c r="Z3915">
        <v>-1.244701E-3</v>
      </c>
      <c r="AA3915">
        <v>0.99955950000000005</v>
      </c>
      <c r="AB3915">
        <v>23</v>
      </c>
      <c r="AC3915">
        <v>0.68329999999997404</v>
      </c>
      <c r="AD3915">
        <v>-7.9594000000000095E-2</v>
      </c>
      <c r="AE3915">
        <v>-2.9599999999987799E-2</v>
      </c>
      <c r="AF3915">
        <v>2.65505802091889E-2</v>
      </c>
      <c r="AG3915">
        <v>-7.9594000000000095E-2</v>
      </c>
      <c r="AH3915">
        <v>0.67427927050922498</v>
      </c>
      <c r="AI3915">
        <v>96.727050942587994</v>
      </c>
      <c r="AJ3915">
        <v>87.745072750686901</v>
      </c>
      <c r="AK3915">
        <v>0.67947970741141095</v>
      </c>
      <c r="AL3915">
        <v>91.383714039503801</v>
      </c>
      <c r="AM3915">
        <v>88.196418010287104</v>
      </c>
      <c r="AN3915">
        <v>1.0000000668125599</v>
      </c>
    </row>
    <row r="3916" spans="1:40" x14ac:dyDescent="0.25">
      <c r="A3916" t="str">
        <f>"20190303154213664"</f>
        <v>20190303154213664</v>
      </c>
      <c r="B3916" t="str">
        <f>"1551598933654019"</f>
        <v>1551598933654019</v>
      </c>
      <c r="C3916" t="s">
        <v>40</v>
      </c>
      <c r="D3916">
        <v>5.5986880000000001</v>
      </c>
      <c r="E3916">
        <v>0.5120074</v>
      </c>
      <c r="F3916" t="s">
        <v>51</v>
      </c>
      <c r="G3916">
        <v>-433.35489999999999</v>
      </c>
      <c r="H3916" s="1">
        <v>3.7284690000000002E-6</v>
      </c>
      <c r="I3916">
        <v>214.34479999999999</v>
      </c>
      <c r="J3916">
        <v>-448.3005</v>
      </c>
      <c r="K3916">
        <v>1.1216680000000001</v>
      </c>
      <c r="L3916">
        <v>215.34450000000001</v>
      </c>
      <c r="M3916">
        <v>0.99988730000000003</v>
      </c>
      <c r="N3916">
        <v>-1.459622E-2</v>
      </c>
      <c r="O3916">
        <v>-3.5448680000000001E-3</v>
      </c>
      <c r="P3916">
        <v>0.99858899999999995</v>
      </c>
      <c r="Q3916">
        <v>-3.8392669999999997E-2</v>
      </c>
      <c r="R3916">
        <v>-3.6693040000000003E-2</v>
      </c>
      <c r="S3916">
        <v>2.9886170000000001</v>
      </c>
      <c r="T3916">
        <v>-0.22082019999999999</v>
      </c>
      <c r="U3916">
        <v>-0.1968994</v>
      </c>
      <c r="V3916">
        <v>3.3164560000000003E-2</v>
      </c>
      <c r="W3916">
        <v>-2.379421E-2</v>
      </c>
      <c r="X3916">
        <v>0.99916660000000002</v>
      </c>
      <c r="Y3916">
        <v>6.2007060000000003E-2</v>
      </c>
      <c r="Z3916">
        <v>-2.5293199999999998E-3</v>
      </c>
      <c r="AA3916">
        <v>0.99807250000000003</v>
      </c>
      <c r="AB3916">
        <v>23</v>
      </c>
      <c r="AC3916">
        <v>14.945600000000001</v>
      </c>
      <c r="AD3916">
        <v>-1.1216642715309999</v>
      </c>
      <c r="AE3916">
        <v>-0.99970000000001802</v>
      </c>
      <c r="AF3916">
        <v>0.94142894624704299</v>
      </c>
      <c r="AG3916">
        <v>-1.1216642715309999</v>
      </c>
      <c r="AH3916">
        <v>14.8656926123376</v>
      </c>
      <c r="AI3916">
        <v>94.306380096972006</v>
      </c>
      <c r="AJ3916">
        <v>86.376356618224406</v>
      </c>
      <c r="AK3916">
        <v>14.9376449296189</v>
      </c>
      <c r="AL3916">
        <v>91.363436521485994</v>
      </c>
      <c r="AM3916">
        <v>88.098923692494296</v>
      </c>
      <c r="AN3916">
        <v>0.999999973512538</v>
      </c>
    </row>
    <row r="3917" spans="1:40" x14ac:dyDescent="0.25">
      <c r="A3917" t="str">
        <f>"20190303154213776"</f>
        <v>20190303154213776</v>
      </c>
      <c r="B3917" t="str">
        <f>"1551598933773155"</f>
        <v>1551598933773155</v>
      </c>
      <c r="C3917" t="s">
        <v>40</v>
      </c>
      <c r="D3917">
        <v>4.0051360000000003</v>
      </c>
      <c r="E3917">
        <v>0.5170806</v>
      </c>
      <c r="F3917" t="s">
        <v>51</v>
      </c>
      <c r="G3917">
        <v>-433.17189999999999</v>
      </c>
      <c r="H3917" s="1">
        <v>3.6529140000000002E-6</v>
      </c>
      <c r="I3917">
        <v>214.28110000000001</v>
      </c>
      <c r="J3917">
        <v>-447.18099999999998</v>
      </c>
      <c r="K3917">
        <v>1.1216759999999999</v>
      </c>
      <c r="L3917">
        <v>215.34350000000001</v>
      </c>
      <c r="M3917">
        <v>0.99989249999999996</v>
      </c>
      <c r="N3917">
        <v>-1.45706E-2</v>
      </c>
      <c r="O3917">
        <v>-1.6733410000000001E-3</v>
      </c>
      <c r="P3917">
        <v>0.99845589999999995</v>
      </c>
      <c r="Q3917">
        <v>-3.583244E-2</v>
      </c>
      <c r="R3917">
        <v>-4.2451750000000003E-2</v>
      </c>
      <c r="S3917">
        <v>2.9879760000000002</v>
      </c>
      <c r="T3917">
        <v>-0.22153519999999999</v>
      </c>
      <c r="U3917">
        <v>-0.21003720000000001</v>
      </c>
      <c r="V3917">
        <v>4.079145E-2</v>
      </c>
      <c r="W3917">
        <v>-2.1258800000000001E-2</v>
      </c>
      <c r="X3917">
        <v>0.99894150000000004</v>
      </c>
      <c r="Y3917">
        <v>6.8231340000000001E-2</v>
      </c>
      <c r="Z3917">
        <v>-2.921968E-3</v>
      </c>
      <c r="AA3917">
        <v>0.99766520000000003</v>
      </c>
      <c r="AB3917">
        <v>22</v>
      </c>
      <c r="AC3917">
        <v>14.009099999999901</v>
      </c>
      <c r="AD3917">
        <v>-1.1216723470859999</v>
      </c>
      <c r="AE3917">
        <v>-1.06239999999999</v>
      </c>
      <c r="AF3917">
        <v>1.03237353883159</v>
      </c>
      <c r="AG3917">
        <v>-1.1216723470859999</v>
      </c>
      <c r="AH3917">
        <v>13.9221169259907</v>
      </c>
      <c r="AI3917">
        <v>94.593679131822896</v>
      </c>
      <c r="AJ3917">
        <v>85.759079940069299</v>
      </c>
      <c r="AK3917">
        <v>14.005330545148</v>
      </c>
      <c r="AL3917">
        <v>91.218131282647903</v>
      </c>
      <c r="AM3917">
        <v>87.661644686003399</v>
      </c>
      <c r="AN3917">
        <v>0.99999999969639597</v>
      </c>
    </row>
    <row r="3918" spans="1:40" x14ac:dyDescent="0.25">
      <c r="A3918" t="str">
        <f>"20190303154213797"</f>
        <v>20190303154213797</v>
      </c>
      <c r="B3918" t="str">
        <f>"1551598933793651"</f>
        <v>1551598933793651</v>
      </c>
      <c r="C3918" t="s">
        <v>40</v>
      </c>
      <c r="D3918">
        <v>5.630503</v>
      </c>
      <c r="E3918">
        <v>0.54109439999999998</v>
      </c>
      <c r="F3918" t="s">
        <v>51</v>
      </c>
      <c r="G3918">
        <v>-430.98779999999999</v>
      </c>
      <c r="H3918" s="1">
        <v>2.7181630000000001E-6</v>
      </c>
      <c r="I3918">
        <v>213.89410000000001</v>
      </c>
      <c r="J3918">
        <v>-446.97</v>
      </c>
      <c r="K3918">
        <v>1.1216740000000001</v>
      </c>
      <c r="L3918">
        <v>215.34360000000001</v>
      </c>
      <c r="M3918">
        <v>0.99989300000000003</v>
      </c>
      <c r="N3918">
        <v>-1.4565720000000001E-2</v>
      </c>
      <c r="O3918">
        <v>-1.3208359999999999E-3</v>
      </c>
      <c r="P3918">
        <v>0.99840580000000001</v>
      </c>
      <c r="Q3918">
        <v>-3.5412180000000001E-2</v>
      </c>
      <c r="R3918">
        <v>-4.3955019999999997E-2</v>
      </c>
      <c r="S3918">
        <v>2.9858699999999998</v>
      </c>
      <c r="T3918">
        <v>-0.2068255</v>
      </c>
      <c r="U3918">
        <v>-0.26725769999999999</v>
      </c>
      <c r="V3918">
        <v>4.264656E-2</v>
      </c>
      <c r="W3918">
        <v>-2.0843500000000001E-2</v>
      </c>
      <c r="X3918">
        <v>0.99887280000000001</v>
      </c>
      <c r="Y3918">
        <v>8.7584850000000006E-2</v>
      </c>
      <c r="Z3918">
        <v>-3.591842E-3</v>
      </c>
      <c r="AA3918">
        <v>0.9961506</v>
      </c>
      <c r="AB3918">
        <v>22</v>
      </c>
      <c r="AC3918">
        <v>15.982200000000001</v>
      </c>
      <c r="AD3918">
        <v>-1.121671281837</v>
      </c>
      <c r="AE3918">
        <v>-1.4495</v>
      </c>
      <c r="AF3918">
        <v>1.42144231111591</v>
      </c>
      <c r="AG3918">
        <v>-1.121671281837</v>
      </c>
      <c r="AH3918">
        <v>15.906391677258201</v>
      </c>
      <c r="AI3918">
        <v>94.017692806021401</v>
      </c>
      <c r="AJ3918">
        <v>84.893443685164002</v>
      </c>
      <c r="AK3918">
        <v>16.009120553568099</v>
      </c>
      <c r="AL3918">
        <v>91.194331040197198</v>
      </c>
      <c r="AM3918">
        <v>87.5552594485643</v>
      </c>
      <c r="AN3918">
        <v>1.00000002557596</v>
      </c>
    </row>
    <row r="3919" spans="1:40" x14ac:dyDescent="0.25">
      <c r="A3919" t="str">
        <f>"20190303154213822"</f>
        <v>20190303154213822</v>
      </c>
      <c r="B3919" t="str">
        <f>"1551598933813172"</f>
        <v>1551598933813172</v>
      </c>
      <c r="C3919" t="s">
        <v>40</v>
      </c>
      <c r="D3919">
        <v>5.7496660000000004</v>
      </c>
      <c r="E3919">
        <v>0.512741</v>
      </c>
      <c r="F3919" t="s">
        <v>42</v>
      </c>
      <c r="G3919">
        <v>-446.16109999999998</v>
      </c>
      <c r="H3919">
        <v>0.8099035</v>
      </c>
      <c r="I3919">
        <v>215.20660000000001</v>
      </c>
      <c r="J3919">
        <v>-446.71820000000002</v>
      </c>
      <c r="K3919">
        <v>1.121672</v>
      </c>
      <c r="L3919">
        <v>215.34370000000001</v>
      </c>
      <c r="M3919">
        <v>0.9998937</v>
      </c>
      <c r="N3919">
        <v>-1.4559880000000001E-2</v>
      </c>
      <c r="O3919">
        <v>-9.0074070000000005E-4</v>
      </c>
      <c r="P3919">
        <v>0.9983436</v>
      </c>
      <c r="Q3919">
        <v>-3.5079510000000001E-2</v>
      </c>
      <c r="R3919">
        <v>-4.5610249999999998E-2</v>
      </c>
      <c r="S3919">
        <v>2.9427189999999999</v>
      </c>
      <c r="T3919">
        <v>-1.134093</v>
      </c>
      <c r="U3919">
        <v>-0.49684139999999999</v>
      </c>
      <c r="V3919">
        <v>4.472098E-2</v>
      </c>
      <c r="W3919">
        <v>-2.0516909999999999E-2</v>
      </c>
      <c r="X3919">
        <v>0.99878880000000003</v>
      </c>
      <c r="Y3919">
        <v>0.1544315</v>
      </c>
      <c r="Z3919">
        <v>-2.93975E-2</v>
      </c>
      <c r="AA3919">
        <v>0.9875661</v>
      </c>
      <c r="AB3919">
        <v>22</v>
      </c>
      <c r="AC3919">
        <v>0.557100000000048</v>
      </c>
      <c r="AD3919">
        <v>-0.3117685</v>
      </c>
      <c r="AE3919">
        <v>-0.137100000000003</v>
      </c>
      <c r="AF3919">
        <v>0.10545682110330699</v>
      </c>
      <c r="AG3919">
        <v>-0.3117685</v>
      </c>
      <c r="AH3919">
        <v>0.430189003473466</v>
      </c>
      <c r="AI3919">
        <v>125.141080137413</v>
      </c>
      <c r="AJ3919">
        <v>76.226096087730696</v>
      </c>
      <c r="AK3919">
        <v>0.54164870296065404</v>
      </c>
      <c r="AL3919">
        <v>91.175614853136906</v>
      </c>
      <c r="AM3919">
        <v>87.436281689941296</v>
      </c>
      <c r="AN3919">
        <v>0.99999998832677395</v>
      </c>
    </row>
    <row r="3920" spans="1:40" x14ac:dyDescent="0.25">
      <c r="A3920" t="str">
        <f>"20190303154213842"</f>
        <v>20190303154213842</v>
      </c>
      <c r="B3920" t="str">
        <f>"1551598933833667"</f>
        <v>1551598933833667</v>
      </c>
      <c r="C3920" t="s">
        <v>40</v>
      </c>
      <c r="D3920">
        <v>5.8238059999999896</v>
      </c>
      <c r="E3920">
        <v>0.51068979999999997</v>
      </c>
      <c r="F3920" t="s">
        <v>42</v>
      </c>
      <c r="G3920">
        <v>-445.8535</v>
      </c>
      <c r="H3920">
        <v>1.048157</v>
      </c>
      <c r="I3920">
        <v>215.273</v>
      </c>
      <c r="J3920">
        <v>-446.5247</v>
      </c>
      <c r="K3920">
        <v>1.1216699999999999</v>
      </c>
      <c r="L3920">
        <v>215.34389999999999</v>
      </c>
      <c r="M3920">
        <v>0.9998939</v>
      </c>
      <c r="N3920">
        <v>-1.455535E-2</v>
      </c>
      <c r="O3920">
        <v>-5.7792080000000005E-4</v>
      </c>
      <c r="P3920">
        <v>0.99827710000000003</v>
      </c>
      <c r="Q3920">
        <v>-3.4959659999999997E-2</v>
      </c>
      <c r="R3920">
        <v>-4.7125300000000002E-2</v>
      </c>
      <c r="S3920">
        <v>2.9849239999999999</v>
      </c>
      <c r="T3920">
        <v>-0.25382890000000002</v>
      </c>
      <c r="U3920">
        <v>-0.24383540000000001</v>
      </c>
      <c r="V3920">
        <v>4.6558519999999999E-2</v>
      </c>
      <c r="W3920">
        <v>-2.040192E-2</v>
      </c>
      <c r="X3920">
        <v>0.99870720000000002</v>
      </c>
      <c r="Y3920">
        <v>8.0504660000000006E-2</v>
      </c>
      <c r="Z3920">
        <v>-3.958652E-3</v>
      </c>
      <c r="AA3920">
        <v>0.99674640000000003</v>
      </c>
      <c r="AB3920">
        <v>22</v>
      </c>
      <c r="AC3920">
        <v>0.67119999999999802</v>
      </c>
      <c r="AD3920">
        <v>-7.3513000000000106E-2</v>
      </c>
      <c r="AE3920">
        <v>-7.0899999999994606E-2</v>
      </c>
      <c r="AF3920">
        <v>6.9685348732932098E-2</v>
      </c>
      <c r="AG3920">
        <v>-7.3513000000000106E-2</v>
      </c>
      <c r="AH3920">
        <v>0.66337109940039496</v>
      </c>
      <c r="AI3920">
        <v>96.289236982028399</v>
      </c>
      <c r="AJ3920">
        <v>84.003226027469495</v>
      </c>
      <c r="AK3920">
        <v>0.67105992617404797</v>
      </c>
      <c r="AL3920">
        <v>91.169025015179102</v>
      </c>
      <c r="AM3920">
        <v>87.330872653130697</v>
      </c>
      <c r="AN3920">
        <v>1.00000000272805</v>
      </c>
    </row>
    <row r="3921" spans="1:40" x14ac:dyDescent="0.25">
      <c r="A3921" t="str">
        <f>"20190303154213864"</f>
        <v>20190303154213864</v>
      </c>
      <c r="B3921" t="str">
        <f>"1551598933853187"</f>
        <v>1551598933853187</v>
      </c>
      <c r="C3921" t="s">
        <v>40</v>
      </c>
      <c r="D3921">
        <v>5.6613150000000001</v>
      </c>
      <c r="E3921">
        <v>0.50874509999999995</v>
      </c>
      <c r="F3921" t="s">
        <v>51</v>
      </c>
      <c r="G3921">
        <v>-429.0369</v>
      </c>
      <c r="H3921" s="1">
        <v>2.4154560000000001E-6</v>
      </c>
      <c r="I3921">
        <v>214.00030000000001</v>
      </c>
      <c r="J3921">
        <v>-446.30250000000001</v>
      </c>
      <c r="K3921">
        <v>1.1216680000000001</v>
      </c>
      <c r="L3921">
        <v>215.3442</v>
      </c>
      <c r="M3921">
        <v>0.99989410000000001</v>
      </c>
      <c r="N3921">
        <v>-1.455013E-2</v>
      </c>
      <c r="O3921">
        <v>-2.0705969999999999E-4</v>
      </c>
      <c r="P3921">
        <v>0.99822169999999999</v>
      </c>
      <c r="Q3921">
        <v>-3.4712279999999998E-2</v>
      </c>
      <c r="R3921">
        <v>-4.8463060000000002E-2</v>
      </c>
      <c r="S3921">
        <v>2.9876710000000002</v>
      </c>
      <c r="T3921">
        <v>-0.1916301</v>
      </c>
      <c r="U3921">
        <v>-0.22955320000000001</v>
      </c>
      <c r="V3921">
        <v>4.8266299999999998E-2</v>
      </c>
      <c r="W3921">
        <v>-2.01601E-2</v>
      </c>
      <c r="X3921">
        <v>0.99863100000000005</v>
      </c>
      <c r="Y3921">
        <v>7.6210249999999993E-2</v>
      </c>
      <c r="Z3921">
        <v>-2.9837169999999999E-3</v>
      </c>
      <c r="AA3921">
        <v>0.99708730000000001</v>
      </c>
      <c r="AB3921">
        <v>22</v>
      </c>
      <c r="AC3921">
        <v>17.265599999999999</v>
      </c>
      <c r="AD3921">
        <v>-1.121665584544</v>
      </c>
      <c r="AE3921">
        <v>-1.3438999999999901</v>
      </c>
      <c r="AF3921">
        <v>1.33472530421414</v>
      </c>
      <c r="AG3921">
        <v>-1.121665584544</v>
      </c>
      <c r="AH3921">
        <v>17.193748787651899</v>
      </c>
      <c r="AI3921">
        <v>93.721341455916203</v>
      </c>
      <c r="AJ3921">
        <v>85.561115558469595</v>
      </c>
      <c r="AK3921">
        <v>17.281916059689099</v>
      </c>
      <c r="AL3921">
        <v>91.155166937527696</v>
      </c>
      <c r="AM3921">
        <v>87.232906946780503</v>
      </c>
      <c r="AN3921">
        <v>0.99999996975434902</v>
      </c>
    </row>
    <row r="3922" spans="1:40" x14ac:dyDescent="0.25">
      <c r="A3922" t="str">
        <f>"20190303154213887"</f>
        <v>20190303154213887</v>
      </c>
      <c r="B3922" t="str">
        <f>"1551598933883443"</f>
        <v>1551598933883443</v>
      </c>
      <c r="C3922" t="s">
        <v>40</v>
      </c>
      <c r="D3922">
        <v>5.7404359999999999</v>
      </c>
      <c r="E3922">
        <v>0.50361650000000002</v>
      </c>
      <c r="F3922" t="s">
        <v>51</v>
      </c>
      <c r="G3922">
        <v>-429.66160000000002</v>
      </c>
      <c r="H3922" s="1">
        <v>2.2935280000000001E-6</v>
      </c>
      <c r="I3922">
        <v>214.1275</v>
      </c>
      <c r="J3922">
        <v>-446.08420000000001</v>
      </c>
      <c r="K3922">
        <v>1.1216740000000001</v>
      </c>
      <c r="L3922">
        <v>215.34460000000001</v>
      </c>
      <c r="M3922">
        <v>0.99989430000000001</v>
      </c>
      <c r="N3922">
        <v>-1.4544980000000001E-2</v>
      </c>
      <c r="O3922">
        <v>1.5736299999999999E-4</v>
      </c>
      <c r="P3922">
        <v>0.99817489999999998</v>
      </c>
      <c r="Q3922">
        <v>-3.4757740000000002E-2</v>
      </c>
      <c r="R3922">
        <v>-4.9385930000000001E-2</v>
      </c>
      <c r="S3922">
        <v>2.9877319999999998</v>
      </c>
      <c r="T3922">
        <v>-0.20138590000000001</v>
      </c>
      <c r="U3922">
        <v>-0.21844479999999999</v>
      </c>
      <c r="V3922">
        <v>4.9553119999999999E-2</v>
      </c>
      <c r="W3922">
        <v>-2.0211110000000001E-2</v>
      </c>
      <c r="X3922">
        <v>0.99856699999999998</v>
      </c>
      <c r="Y3922">
        <v>7.2875819999999994E-2</v>
      </c>
      <c r="Z3922">
        <v>-2.989776E-3</v>
      </c>
      <c r="AA3922">
        <v>0.99733660000000002</v>
      </c>
      <c r="AB3922">
        <v>22</v>
      </c>
      <c r="AC3922">
        <v>16.4225999999999</v>
      </c>
      <c r="AD3922">
        <v>-1.1216717064720001</v>
      </c>
      <c r="AE3922">
        <v>-1.2171000000000101</v>
      </c>
      <c r="AF3922">
        <v>1.2140520033381901</v>
      </c>
      <c r="AG3922">
        <v>-1.1216717064720001</v>
      </c>
      <c r="AH3922">
        <v>16.3465687469999</v>
      </c>
      <c r="AI3922">
        <v>93.914630717930095</v>
      </c>
      <c r="AJ3922">
        <v>85.752467585465695</v>
      </c>
      <c r="AK3922">
        <v>16.429923295143599</v>
      </c>
      <c r="AL3922">
        <v>91.158090124546305</v>
      </c>
      <c r="AM3922">
        <v>87.159071432507702</v>
      </c>
      <c r="AN3922">
        <v>1.0000000270790801</v>
      </c>
    </row>
    <row r="3923" spans="1:40" x14ac:dyDescent="0.25">
      <c r="A3923" t="str">
        <f>"20190303154213908"</f>
        <v>20190303154213908</v>
      </c>
      <c r="B3923" t="str">
        <f>"1551598933903940"</f>
        <v>1551598933903940</v>
      </c>
      <c r="C3923" t="s">
        <v>40</v>
      </c>
      <c r="D3923">
        <v>5.7265079999999999</v>
      </c>
      <c r="E3923">
        <v>0.50181659999999995</v>
      </c>
      <c r="F3923" t="s">
        <v>51</v>
      </c>
      <c r="G3923">
        <v>-430.2208</v>
      </c>
      <c r="H3923" s="1">
        <v>2.3350160000000001E-6</v>
      </c>
      <c r="I3923">
        <v>214.38640000000001</v>
      </c>
      <c r="J3923">
        <v>-445.86779999999999</v>
      </c>
      <c r="K3923">
        <v>1.121672</v>
      </c>
      <c r="L3923">
        <v>215.345</v>
      </c>
      <c r="M3923">
        <v>0.99989410000000001</v>
      </c>
      <c r="N3923">
        <v>-1.453901E-2</v>
      </c>
      <c r="O3923">
        <v>5.1875249999999999E-4</v>
      </c>
      <c r="P3923">
        <v>0.99812069999999997</v>
      </c>
      <c r="Q3923">
        <v>-3.4291990000000001E-2</v>
      </c>
      <c r="R3923">
        <v>-5.078477E-2</v>
      </c>
      <c r="S3923">
        <v>2.9891969999999999</v>
      </c>
      <c r="T3923">
        <v>-0.2113614</v>
      </c>
      <c r="U3923">
        <v>-0.1805573</v>
      </c>
      <c r="V3923">
        <v>5.1312360000000001E-2</v>
      </c>
      <c r="W3923">
        <v>-1.9751680000000001E-2</v>
      </c>
      <c r="X3923">
        <v>0.99848729999999997</v>
      </c>
      <c r="Y3923">
        <v>6.0628399999999999E-2</v>
      </c>
      <c r="Z3923">
        <v>-2.6097519999999999E-3</v>
      </c>
      <c r="AA3923">
        <v>0.99815699999999996</v>
      </c>
      <c r="AB3923">
        <v>22</v>
      </c>
      <c r="AC3923">
        <v>15.646999999999901</v>
      </c>
      <c r="AD3923">
        <v>-1.1216696649839999</v>
      </c>
      <c r="AE3923">
        <v>-0.95859999999999002</v>
      </c>
      <c r="AF3923">
        <v>0.96179359735468295</v>
      </c>
      <c r="AG3923">
        <v>-1.1216696649839999</v>
      </c>
      <c r="AH3923">
        <v>15.5668038809746</v>
      </c>
      <c r="AI3923">
        <v>94.113520986148998</v>
      </c>
      <c r="AJ3923">
        <v>86.4644795758973</v>
      </c>
      <c r="AK3923">
        <v>15.6367698975838</v>
      </c>
      <c r="AL3923">
        <v>91.131761513148405</v>
      </c>
      <c r="AM3923">
        <v>87.058152215864695</v>
      </c>
      <c r="AN3923">
        <v>0.99999998770644005</v>
      </c>
    </row>
    <row r="3924" spans="1:40" x14ac:dyDescent="0.25">
      <c r="A3924" t="str">
        <f>"20190303154213931"</f>
        <v>20190303154213931</v>
      </c>
      <c r="B3924" t="str">
        <f>"1551598933923460"</f>
        <v>1551598933923460</v>
      </c>
      <c r="C3924" t="s">
        <v>40</v>
      </c>
      <c r="D3924">
        <v>5.7006040000000002</v>
      </c>
      <c r="E3924">
        <v>0.5010249</v>
      </c>
      <c r="F3924" t="s">
        <v>51</v>
      </c>
      <c r="G3924">
        <v>-429.8811</v>
      </c>
      <c r="H3924" s="1">
        <v>2.227819E-6</v>
      </c>
      <c r="I3924">
        <v>214.43369999999999</v>
      </c>
      <c r="J3924">
        <v>-445.6481</v>
      </c>
      <c r="K3924">
        <v>1.1216710000000001</v>
      </c>
      <c r="L3924">
        <v>215.34559999999999</v>
      </c>
      <c r="M3924">
        <v>0.99989399999999995</v>
      </c>
      <c r="N3924">
        <v>-1.453102E-2</v>
      </c>
      <c r="O3924">
        <v>8.8534490000000002E-4</v>
      </c>
      <c r="P3924">
        <v>0.99806850000000003</v>
      </c>
      <c r="Q3924">
        <v>-3.3979450000000001E-2</v>
      </c>
      <c r="R3924">
        <v>-5.2006620000000003E-2</v>
      </c>
      <c r="S3924">
        <v>2.9897770000000001</v>
      </c>
      <c r="T3924">
        <v>-0.20977080000000001</v>
      </c>
      <c r="U3924">
        <v>-0.17042539999999901</v>
      </c>
      <c r="V3924">
        <v>5.2899839999999997E-2</v>
      </c>
      <c r="W3924">
        <v>-1.9447510000000001E-2</v>
      </c>
      <c r="X3924">
        <v>0.99841049999999998</v>
      </c>
      <c r="Y3924">
        <v>5.7622350000000003E-2</v>
      </c>
      <c r="Z3924">
        <v>-2.4861430000000001E-3</v>
      </c>
      <c r="AA3924">
        <v>0.99833539999999998</v>
      </c>
      <c r="AB3924">
        <v>22</v>
      </c>
      <c r="AC3924">
        <v>15.7669999999999</v>
      </c>
      <c r="AD3924">
        <v>-1.1216687721809999</v>
      </c>
      <c r="AE3924">
        <v>-0.91190000000000204</v>
      </c>
      <c r="AF3924">
        <v>0.92121368654135205</v>
      </c>
      <c r="AG3924">
        <v>-1.1216687721809999</v>
      </c>
      <c r="AH3924">
        <v>15.6870598100789</v>
      </c>
      <c r="AI3924">
        <v>94.082838367304802</v>
      </c>
      <c r="AJ3924">
        <v>86.639197619660607</v>
      </c>
      <c r="AK3924">
        <v>15.754066807518299</v>
      </c>
      <c r="AL3924">
        <v>91.114330423799501</v>
      </c>
      <c r="AM3924">
        <v>86.967073086826403</v>
      </c>
      <c r="AN3924">
        <v>1.00000006261373</v>
      </c>
    </row>
    <row r="3925" spans="1:40" x14ac:dyDescent="0.25">
      <c r="A3925" t="str">
        <f>"20190303154213956"</f>
        <v>20190303154213956</v>
      </c>
      <c r="B3925" t="str">
        <f>"1551598933943955"</f>
        <v>1551598933943955</v>
      </c>
      <c r="C3925" t="s">
        <v>40</v>
      </c>
      <c r="D3925">
        <v>5.7930400000000004</v>
      </c>
      <c r="E3925">
        <v>0.49945149999999999</v>
      </c>
      <c r="F3925" t="s">
        <v>51</v>
      </c>
      <c r="G3925">
        <v>-429.50479999999999</v>
      </c>
      <c r="H3925" s="1">
        <v>2.2939569999999998E-6</v>
      </c>
      <c r="I3925">
        <v>214.44069999999999</v>
      </c>
      <c r="J3925">
        <v>-445.40949999999998</v>
      </c>
      <c r="K3925">
        <v>1.1216729999999999</v>
      </c>
      <c r="L3925">
        <v>215.34630000000001</v>
      </c>
      <c r="M3925">
        <v>0.9998939</v>
      </c>
      <c r="N3925">
        <v>-1.4520689999999999E-2</v>
      </c>
      <c r="O3925">
        <v>1.2833020000000001E-3</v>
      </c>
      <c r="P3925">
        <v>0.99808419999999998</v>
      </c>
      <c r="Q3925">
        <v>-3.3351310000000002E-2</v>
      </c>
      <c r="R3925">
        <v>-5.211259E-2</v>
      </c>
      <c r="S3925">
        <v>2.9899900000000001</v>
      </c>
      <c r="T3925">
        <v>-0.20775060000000001</v>
      </c>
      <c r="U3925">
        <v>-0.16760249999999999</v>
      </c>
      <c r="V3925">
        <v>5.3402730000000002E-2</v>
      </c>
      <c r="W3925">
        <v>-1.8829700000000001E-2</v>
      </c>
      <c r="X3925">
        <v>0.99839549999999999</v>
      </c>
      <c r="Y3925">
        <v>5.708013E-2</v>
      </c>
      <c r="Z3925">
        <v>-2.464843E-3</v>
      </c>
      <c r="AA3925">
        <v>0.99836650000000005</v>
      </c>
      <c r="AB3925">
        <v>22</v>
      </c>
      <c r="AC3925">
        <v>15.904699999999901</v>
      </c>
      <c r="AD3925">
        <v>-1.121670706043</v>
      </c>
      <c r="AE3925">
        <v>-0.90560000000002105</v>
      </c>
      <c r="AF3925">
        <v>0.92144375976649495</v>
      </c>
      <c r="AG3925">
        <v>-1.121670706043</v>
      </c>
      <c r="AH3925">
        <v>15.8250697889534</v>
      </c>
      <c r="AI3925">
        <v>94.047474832010494</v>
      </c>
      <c r="AJ3925">
        <v>86.667610589320802</v>
      </c>
      <c r="AK3925">
        <v>15.8915083488149</v>
      </c>
      <c r="AL3925">
        <v>91.078926111663705</v>
      </c>
      <c r="AM3925">
        <v>86.938249387098494</v>
      </c>
      <c r="AN3925">
        <v>0.99999999179689603</v>
      </c>
    </row>
    <row r="3926" spans="1:40" x14ac:dyDescent="0.25">
      <c r="A3926" t="str">
        <f>"20190303154213977"</f>
        <v>20190303154213977</v>
      </c>
      <c r="B3926" t="str">
        <f>"1551598933973235"</f>
        <v>1551598933973235</v>
      </c>
      <c r="C3926" t="s">
        <v>40</v>
      </c>
      <c r="D3926">
        <v>5.6837429999999998</v>
      </c>
      <c r="E3926">
        <v>0.49824940000000001</v>
      </c>
      <c r="F3926" t="s">
        <v>51</v>
      </c>
      <c r="G3926">
        <v>-429.36259999999999</v>
      </c>
      <c r="H3926" s="1">
        <v>2.3128550000000002E-6</v>
      </c>
      <c r="I3926">
        <v>214.51300000000001</v>
      </c>
      <c r="J3926">
        <v>-445.19959999999998</v>
      </c>
      <c r="K3926">
        <v>1.1216710000000001</v>
      </c>
      <c r="L3926">
        <v>215.34690000000001</v>
      </c>
      <c r="M3926">
        <v>0.99989349999999999</v>
      </c>
      <c r="N3926">
        <v>-1.451122E-2</v>
      </c>
      <c r="O3926">
        <v>1.63393E-3</v>
      </c>
      <c r="P3926">
        <v>0.99809740000000002</v>
      </c>
      <c r="Q3926">
        <v>-3.2517730000000002E-2</v>
      </c>
      <c r="R3926">
        <v>-5.2387830000000003E-2</v>
      </c>
      <c r="S3926">
        <v>2.990723</v>
      </c>
      <c r="T3926">
        <v>-0.20904980000000001</v>
      </c>
      <c r="U3926">
        <v>-0.1552887</v>
      </c>
      <c r="V3926">
        <v>5.4027520000000002E-2</v>
      </c>
      <c r="W3926">
        <v>-1.8005549999999999E-2</v>
      </c>
      <c r="X3926">
        <v>0.99837710000000002</v>
      </c>
      <c r="Y3926">
        <v>5.3326119999999998E-2</v>
      </c>
      <c r="Z3926">
        <v>-2.3383000000000002E-3</v>
      </c>
      <c r="AA3926">
        <v>0.99857439999999997</v>
      </c>
      <c r="AB3926">
        <v>22</v>
      </c>
      <c r="AC3926">
        <v>15.8369999999999</v>
      </c>
      <c r="AD3926">
        <v>-1.1216686871449999</v>
      </c>
      <c r="AE3926">
        <v>-0.83389999999999898</v>
      </c>
      <c r="AF3926">
        <v>0.85549858687339697</v>
      </c>
      <c r="AG3926">
        <v>-1.1216686871449999</v>
      </c>
      <c r="AH3926">
        <v>15.756793938291199</v>
      </c>
      <c r="AI3926">
        <v>94.065840693458895</v>
      </c>
      <c r="AJ3926">
        <v>86.892237120312501</v>
      </c>
      <c r="AK3926">
        <v>15.819815855111401</v>
      </c>
      <c r="AL3926">
        <v>91.031697770593397</v>
      </c>
      <c r="AM3926">
        <v>86.902440539944195</v>
      </c>
      <c r="AN3926">
        <v>1.0000000032762799</v>
      </c>
    </row>
    <row r="3927" spans="1:40" x14ac:dyDescent="0.25">
      <c r="A3927" t="str">
        <f>"20190303154213998"</f>
        <v>20190303154213998</v>
      </c>
      <c r="B3927" t="str">
        <f>"1551598933993732"</f>
        <v>1551598933993732</v>
      </c>
      <c r="C3927" t="s">
        <v>40</v>
      </c>
      <c r="D3927">
        <v>5.6741440000000001</v>
      </c>
      <c r="E3927">
        <v>0.49821460000000001</v>
      </c>
      <c r="F3927" t="s">
        <v>51</v>
      </c>
      <c r="G3927">
        <v>-428.93529999999998</v>
      </c>
      <c r="H3927" s="1">
        <v>2.3854550000000001E-6</v>
      </c>
      <c r="I3927">
        <v>214.5497</v>
      </c>
      <c r="J3927">
        <v>-444.99189999999999</v>
      </c>
      <c r="K3927">
        <v>1.1216710000000001</v>
      </c>
      <c r="L3927">
        <v>215.3477</v>
      </c>
      <c r="M3927">
        <v>0.99989300000000003</v>
      </c>
      <c r="N3927">
        <v>-1.450217E-2</v>
      </c>
      <c r="O3927">
        <v>1.9814540000000001E-3</v>
      </c>
      <c r="P3927">
        <v>0.99813059999999998</v>
      </c>
      <c r="Q3927">
        <v>-3.2145630000000001E-2</v>
      </c>
      <c r="R3927">
        <v>-5.1986770000000002E-2</v>
      </c>
      <c r="S3927">
        <v>2.9913020000000001</v>
      </c>
      <c r="T3927">
        <v>-0.20629449999999999</v>
      </c>
      <c r="U3927">
        <v>-0.14662169999999999</v>
      </c>
      <c r="V3927">
        <v>5.3972840000000001E-2</v>
      </c>
      <c r="W3927">
        <v>-1.764247E-2</v>
      </c>
      <c r="X3927">
        <v>0.99838660000000001</v>
      </c>
      <c r="Y3927">
        <v>5.0787720000000001E-2</v>
      </c>
      <c r="Z3927">
        <v>-2.2249100000000001E-3</v>
      </c>
      <c r="AA3927">
        <v>0.99870700000000001</v>
      </c>
      <c r="AB3927">
        <v>22</v>
      </c>
      <c r="AC3927">
        <v>16.0566</v>
      </c>
      <c r="AD3927">
        <v>-1.1216686145450001</v>
      </c>
      <c r="AE3927">
        <v>-0.79800000000000104</v>
      </c>
      <c r="AF3927">
        <v>0.82579720874544205</v>
      </c>
      <c r="AG3927">
        <v>-1.1216686145450001</v>
      </c>
      <c r="AH3927">
        <v>15.977210047898099</v>
      </c>
      <c r="AI3927">
        <v>94.010484592049394</v>
      </c>
      <c r="AJ3927">
        <v>87.041246292947804</v>
      </c>
      <c r="AK3927">
        <v>16.037809152919898</v>
      </c>
      <c r="AL3927">
        <v>91.010891452613706</v>
      </c>
      <c r="AM3927">
        <v>86.905598799703696</v>
      </c>
      <c r="AN3927">
        <v>1.00000006363246</v>
      </c>
    </row>
    <row r="3928" spans="1:40" x14ac:dyDescent="0.25">
      <c r="A3928" t="str">
        <f>"20190303154214021"</f>
        <v>20190303154214021</v>
      </c>
      <c r="B3928" t="str">
        <f>"1551598934013252"</f>
        <v>1551598934013252</v>
      </c>
      <c r="C3928" t="s">
        <v>40</v>
      </c>
      <c r="D3928">
        <v>5.705959</v>
      </c>
      <c r="E3928">
        <v>0.49810700000000002</v>
      </c>
      <c r="F3928" t="s">
        <v>51</v>
      </c>
      <c r="G3928">
        <v>-428.28269999999998</v>
      </c>
      <c r="H3928" s="1">
        <v>2.5022529999999999E-6</v>
      </c>
      <c r="I3928">
        <v>214.5378</v>
      </c>
      <c r="J3928">
        <v>-444.77730000000003</v>
      </c>
      <c r="K3928">
        <v>1.121669</v>
      </c>
      <c r="L3928">
        <v>215.3485</v>
      </c>
      <c r="M3928">
        <v>0.99989220000000001</v>
      </c>
      <c r="N3928">
        <v>-1.449319E-2</v>
      </c>
      <c r="O3928">
        <v>2.3404810000000002E-3</v>
      </c>
      <c r="P3928">
        <v>0.99815359999999997</v>
      </c>
      <c r="Q3928">
        <v>-3.1518409999999997E-2</v>
      </c>
      <c r="R3928">
        <v>-5.1924829999999998E-2</v>
      </c>
      <c r="S3928">
        <v>2.991638</v>
      </c>
      <c r="T3928">
        <v>-0.20082530000000001</v>
      </c>
      <c r="U3928">
        <v>-0.1450043</v>
      </c>
      <c r="V3928">
        <v>5.4269089999999999E-2</v>
      </c>
      <c r="W3928">
        <v>-1.7024190000000002E-2</v>
      </c>
      <c r="X3928">
        <v>0.99838119999999997</v>
      </c>
      <c r="Y3928">
        <v>5.0609370000000001E-2</v>
      </c>
      <c r="Z3928">
        <v>-2.186229E-3</v>
      </c>
      <c r="AA3928">
        <v>0.9987161</v>
      </c>
      <c r="AB3928">
        <v>22</v>
      </c>
      <c r="AC3928">
        <v>16.494599999999998</v>
      </c>
      <c r="AD3928">
        <v>-1.1216664977469999</v>
      </c>
      <c r="AE3928">
        <v>-0.81069999999999698</v>
      </c>
      <c r="AF3928">
        <v>0.84540715676699196</v>
      </c>
      <c r="AG3928">
        <v>-1.1216664977469999</v>
      </c>
      <c r="AH3928">
        <v>16.416923715724899</v>
      </c>
      <c r="AI3928">
        <v>93.903434376493394</v>
      </c>
      <c r="AJ3928">
        <v>87.052096120240805</v>
      </c>
      <c r="AK3928">
        <v>16.476899990010601</v>
      </c>
      <c r="AL3928">
        <v>90.975461369912097</v>
      </c>
      <c r="AM3928">
        <v>86.888630512620594</v>
      </c>
      <c r="AN3928">
        <v>0.99999998884401198</v>
      </c>
    </row>
    <row r="3929" spans="1:40" x14ac:dyDescent="0.25">
      <c r="A3929" t="str">
        <f>"20190303154214044"</f>
        <v>20190303154214044</v>
      </c>
      <c r="B3929" t="str">
        <f>"1551598934033748"</f>
        <v>1551598934033748</v>
      </c>
      <c r="C3929" t="s">
        <v>40</v>
      </c>
      <c r="D3929">
        <v>5.681349</v>
      </c>
      <c r="E3929">
        <v>0.49770609999999998</v>
      </c>
      <c r="F3929" t="s">
        <v>51</v>
      </c>
      <c r="G3929">
        <v>-427.69290000000001</v>
      </c>
      <c r="H3929" s="1">
        <v>2.6078919999999998E-6</v>
      </c>
      <c r="I3929">
        <v>214.52619999999999</v>
      </c>
      <c r="J3929">
        <v>-444.54660000000001</v>
      </c>
      <c r="K3929">
        <v>1.1216699999999999</v>
      </c>
      <c r="L3929">
        <v>215.34950000000001</v>
      </c>
      <c r="M3929">
        <v>0.99989150000000004</v>
      </c>
      <c r="N3929">
        <v>-1.4483950000000001E-2</v>
      </c>
      <c r="O3929">
        <v>2.7262699999999998E-3</v>
      </c>
      <c r="P3929">
        <v>0.99823479999999998</v>
      </c>
      <c r="Q3929">
        <v>-3.0328709999999998E-2</v>
      </c>
      <c r="R3929">
        <v>-5.1068530000000001E-2</v>
      </c>
      <c r="S3929">
        <v>2.9918520000000002</v>
      </c>
      <c r="T3929">
        <v>-0.19642870000000001</v>
      </c>
      <c r="U3929">
        <v>-0.14401249999999999</v>
      </c>
      <c r="V3929">
        <v>5.3797579999999998E-2</v>
      </c>
      <c r="W3929">
        <v>-1.5843299999999901E-2</v>
      </c>
      <c r="X3929">
        <v>0.99842609999999998</v>
      </c>
      <c r="Y3929">
        <v>5.066594E-2</v>
      </c>
      <c r="Z3929">
        <v>-2.1673780000000002E-3</v>
      </c>
      <c r="AA3929">
        <v>0.99871330000000003</v>
      </c>
      <c r="AB3929">
        <v>22</v>
      </c>
      <c r="AC3929">
        <v>16.8537</v>
      </c>
      <c r="AD3929">
        <v>-1.121667392108</v>
      </c>
      <c r="AE3929">
        <v>-0.82330000000001702</v>
      </c>
      <c r="AF3929">
        <v>0.86542536573150797</v>
      </c>
      <c r="AG3929">
        <v>-1.121667392108</v>
      </c>
      <c r="AH3929">
        <v>16.777257541789499</v>
      </c>
      <c r="AI3929">
        <v>93.819835182207896</v>
      </c>
      <c r="AJ3929">
        <v>87.047115024730005</v>
      </c>
      <c r="AK3929">
        <v>16.836967346458302</v>
      </c>
      <c r="AL3929">
        <v>90.907792264176194</v>
      </c>
      <c r="AM3929">
        <v>86.915749260960595</v>
      </c>
      <c r="AN3929">
        <v>0.99999993346497595</v>
      </c>
    </row>
    <row r="3930" spans="1:40" x14ac:dyDescent="0.25">
      <c r="A3930" t="str">
        <f>"20190303154214065"</f>
        <v>20190303154214065</v>
      </c>
      <c r="B3930" t="str">
        <f>"1551598934053267"</f>
        <v>1551598934053267</v>
      </c>
      <c r="C3930" t="s">
        <v>40</v>
      </c>
      <c r="D3930">
        <v>5.6768660000000004</v>
      </c>
      <c r="E3930">
        <v>0.49744820000000001</v>
      </c>
      <c r="F3930" t="s">
        <v>51</v>
      </c>
      <c r="G3930">
        <v>-427.09840000000003</v>
      </c>
      <c r="H3930" s="1">
        <v>2.7118410000000001E-6</v>
      </c>
      <c r="I3930">
        <v>214.54339999999999</v>
      </c>
      <c r="J3930">
        <v>-444.33980000000003</v>
      </c>
      <c r="K3930">
        <v>1.1216649999999999</v>
      </c>
      <c r="L3930">
        <v>215.35050000000001</v>
      </c>
      <c r="M3930">
        <v>0.99989059999999996</v>
      </c>
      <c r="N3930">
        <v>-1.447654E-2</v>
      </c>
      <c r="O3930">
        <v>3.0722330000000002E-3</v>
      </c>
      <c r="P3930">
        <v>0.99831040000000004</v>
      </c>
      <c r="Q3930">
        <v>-2.9772610000000001E-2</v>
      </c>
      <c r="R3930">
        <v>-4.9899180000000001E-2</v>
      </c>
      <c r="S3930">
        <v>2.9923709999999999</v>
      </c>
      <c r="T3930">
        <v>-0.19236610000000001</v>
      </c>
      <c r="U3930">
        <v>-0.1382446</v>
      </c>
      <c r="V3930">
        <v>5.2973520000000003E-2</v>
      </c>
      <c r="W3930">
        <v>-1.52943E-2</v>
      </c>
      <c r="X3930">
        <v>0.9984788</v>
      </c>
      <c r="Y3930">
        <v>4.9091089999999997E-2</v>
      </c>
      <c r="Z3930">
        <v>-2.0842270000000001E-3</v>
      </c>
      <c r="AA3930">
        <v>0.99879209999999996</v>
      </c>
      <c r="AB3930">
        <v>22</v>
      </c>
      <c r="AC3930">
        <v>17.241399999999999</v>
      </c>
      <c r="AD3930">
        <v>-1.1216622881589999</v>
      </c>
      <c r="AE3930">
        <v>-0.80710000000001902</v>
      </c>
      <c r="AF3930">
        <v>0.85645446444434103</v>
      </c>
      <c r="AG3930">
        <v>-1.1216622881589999</v>
      </c>
      <c r="AH3930">
        <v>17.166344041132401</v>
      </c>
      <c r="AI3930">
        <v>93.7338056103752</v>
      </c>
      <c r="AJ3930">
        <v>87.143796526975294</v>
      </c>
      <c r="AK3930">
        <v>17.224256392566399</v>
      </c>
      <c r="AL3930">
        <v>90.876332997243196</v>
      </c>
      <c r="AM3930">
        <v>86.963064030256405</v>
      </c>
      <c r="AN3930">
        <v>1.0000000117415599</v>
      </c>
    </row>
    <row r="3931" spans="1:40" x14ac:dyDescent="0.25">
      <c r="A3931" t="str">
        <f>"20190303154214088"</f>
        <v>20190303154214088</v>
      </c>
      <c r="B3931" t="str">
        <f>"1551598934083523"</f>
        <v>1551598934083523</v>
      </c>
      <c r="C3931" t="s">
        <v>40</v>
      </c>
      <c r="D3931">
        <v>5.6740089999999999</v>
      </c>
      <c r="E3931">
        <v>0.49734329999999999</v>
      </c>
      <c r="F3931" t="s">
        <v>51</v>
      </c>
      <c r="G3931">
        <v>-426.7527</v>
      </c>
      <c r="H3931" s="1">
        <v>2.7707969999999999E-6</v>
      </c>
      <c r="I3931">
        <v>214.57040000000001</v>
      </c>
      <c r="J3931">
        <v>-444.12139999999999</v>
      </c>
      <c r="K3931">
        <v>1.121669</v>
      </c>
      <c r="L3931">
        <v>215.35159999999999</v>
      </c>
      <c r="M3931">
        <v>0.99988940000000004</v>
      </c>
      <c r="N3931">
        <v>-1.447098E-2</v>
      </c>
      <c r="O3931">
        <v>3.4377930000000002E-3</v>
      </c>
      <c r="P3931">
        <v>0.99835030000000002</v>
      </c>
      <c r="Q3931">
        <v>-2.991106E-2</v>
      </c>
      <c r="R3931">
        <v>-4.901353E-2</v>
      </c>
      <c r="S3931">
        <v>2.992737</v>
      </c>
      <c r="T3931">
        <v>-0.19086980000000001</v>
      </c>
      <c r="U3931">
        <v>-0.13275149999999999</v>
      </c>
      <c r="V3931">
        <v>5.245296E-2</v>
      </c>
      <c r="W3931">
        <v>-1.543832E-2</v>
      </c>
      <c r="X3931">
        <v>0.99850399999999995</v>
      </c>
      <c r="Y3931">
        <v>4.7626080000000001E-2</v>
      </c>
      <c r="Z3931">
        <v>-2.0309120000000002E-3</v>
      </c>
      <c r="AA3931">
        <v>0.99886319999999995</v>
      </c>
      <c r="AB3931">
        <v>22</v>
      </c>
      <c r="AC3931">
        <v>17.368699999999901</v>
      </c>
      <c r="AD3931">
        <v>-1.121666229203</v>
      </c>
      <c r="AE3931">
        <v>-0.78119999999998402</v>
      </c>
      <c r="AF3931">
        <v>0.83742615846881596</v>
      </c>
      <c r="AG3931">
        <v>-1.121666229203</v>
      </c>
      <c r="AH3931">
        <v>17.2939319737585</v>
      </c>
      <c r="AI3931">
        <v>93.706615239036495</v>
      </c>
      <c r="AJ3931">
        <v>87.227724998361793</v>
      </c>
      <c r="AK3931">
        <v>17.3504899300743</v>
      </c>
      <c r="AL3931">
        <v>90.884585767531505</v>
      </c>
      <c r="AM3931">
        <v>86.9929280904678</v>
      </c>
      <c r="AN3931">
        <v>0.99999994637658995</v>
      </c>
    </row>
    <row r="3932" spans="1:40" x14ac:dyDescent="0.25">
      <c r="A3932" t="str">
        <f>"20190303154214110"</f>
        <v>20190303154214110</v>
      </c>
      <c r="B3932" t="str">
        <f>"1551598934104020"</f>
        <v>1551598934104020</v>
      </c>
      <c r="C3932" t="s">
        <v>40</v>
      </c>
      <c r="D3932">
        <v>5.6874859999999998</v>
      </c>
      <c r="E3932">
        <v>0.4972877</v>
      </c>
      <c r="F3932" t="s">
        <v>51</v>
      </c>
      <c r="G3932">
        <v>-426.49639999999999</v>
      </c>
      <c r="H3932" s="1">
        <v>2.8145100000000002E-6</v>
      </c>
      <c r="I3932">
        <v>214.59039999999999</v>
      </c>
      <c r="J3932">
        <v>-443.90629999999999</v>
      </c>
      <c r="K3932">
        <v>1.1216649999999999</v>
      </c>
      <c r="L3932">
        <v>215.3528</v>
      </c>
      <c r="M3932">
        <v>0.9998882</v>
      </c>
      <c r="N3932">
        <v>-1.446748E-2</v>
      </c>
      <c r="O3932">
        <v>3.7977340000000001E-3</v>
      </c>
      <c r="P3932">
        <v>0.9983959</v>
      </c>
      <c r="Q3932">
        <v>-3.0259210000000002E-2</v>
      </c>
      <c r="R3932">
        <v>-4.7859069999999997E-2</v>
      </c>
      <c r="S3932">
        <v>2.99295</v>
      </c>
      <c r="T3932">
        <v>-0.19047359999999999</v>
      </c>
      <c r="U3932">
        <v>-0.12925719999999999</v>
      </c>
      <c r="V3932">
        <v>5.1658059999999999E-2</v>
      </c>
      <c r="W3932">
        <v>-1.578997E-2</v>
      </c>
      <c r="X3932">
        <v>0.99853999999999998</v>
      </c>
      <c r="Y3932">
        <v>4.6820590000000002E-2</v>
      </c>
      <c r="Z3932">
        <v>-2.0133960000000002E-3</v>
      </c>
      <c r="AA3932">
        <v>0.99890129999999999</v>
      </c>
      <c r="AB3932">
        <v>22</v>
      </c>
      <c r="AC3932">
        <v>17.409899999999901</v>
      </c>
      <c r="AD3932">
        <v>-1.12166218549</v>
      </c>
      <c r="AE3932">
        <v>-0.76240000000001296</v>
      </c>
      <c r="AF3932">
        <v>0.82510131210180104</v>
      </c>
      <c r="AG3932">
        <v>-1.12166218549</v>
      </c>
      <c r="AH3932">
        <v>17.335062106744299</v>
      </c>
      <c r="AI3932">
        <v>93.697977732799302</v>
      </c>
      <c r="AJ3932">
        <v>87.274935003531894</v>
      </c>
      <c r="AK3932">
        <v>17.390896942891501</v>
      </c>
      <c r="AL3932">
        <v>90.904736233090304</v>
      </c>
      <c r="AM3932">
        <v>87.038523687870693</v>
      </c>
      <c r="AN3932">
        <v>1.00000000495778</v>
      </c>
    </row>
    <row r="3933" spans="1:40" x14ac:dyDescent="0.25">
      <c r="A3933" t="str">
        <f>"20190303154214132"</f>
        <v>20190303154214132</v>
      </c>
      <c r="B3933" t="str">
        <f>"1551598934123540"</f>
        <v>1551598934123540</v>
      </c>
      <c r="C3933" t="s">
        <v>40</v>
      </c>
      <c r="D3933">
        <v>5.6600169999999999</v>
      </c>
      <c r="E3933">
        <v>0.49725510000000001</v>
      </c>
      <c r="F3933" t="s">
        <v>51</v>
      </c>
      <c r="G3933">
        <v>-426.3888</v>
      </c>
      <c r="H3933" s="1">
        <v>2.830929E-6</v>
      </c>
      <c r="I3933">
        <v>214.62090000000001</v>
      </c>
      <c r="J3933">
        <v>-443.70060000000001</v>
      </c>
      <c r="K3933">
        <v>1.1216660000000001</v>
      </c>
      <c r="L3933">
        <v>215.35400000000001</v>
      </c>
      <c r="M3933">
        <v>0.99988690000000002</v>
      </c>
      <c r="N3933">
        <v>-1.4464909999999999E-2</v>
      </c>
      <c r="O3933">
        <v>4.1419359999999997E-3</v>
      </c>
      <c r="P3933">
        <v>0.99842260000000005</v>
      </c>
      <c r="Q3933">
        <v>-3.0804979999999999E-2</v>
      </c>
      <c r="R3933">
        <v>-4.6942169999999998E-2</v>
      </c>
      <c r="S3933">
        <v>2.993042</v>
      </c>
      <c r="T3933">
        <v>-0.19164800000000001</v>
      </c>
      <c r="U3933">
        <v>-0.12504580000000001</v>
      </c>
      <c r="V3933">
        <v>5.1085350000000002E-2</v>
      </c>
      <c r="W3933">
        <v>-1.6338450000000001E-2</v>
      </c>
      <c r="X3933">
        <v>0.99856060000000002</v>
      </c>
      <c r="Y3933">
        <v>4.576098E-2</v>
      </c>
      <c r="Z3933">
        <v>-1.9994610000000001E-3</v>
      </c>
      <c r="AA3933">
        <v>0.99895040000000002</v>
      </c>
      <c r="AB3933">
        <v>22</v>
      </c>
      <c r="AC3933">
        <v>17.311800000000002</v>
      </c>
      <c r="AD3933">
        <v>-1.1216631690709999</v>
      </c>
      <c r="AE3933">
        <v>-0.73310000000000697</v>
      </c>
      <c r="AF3933">
        <v>0.80144713601610695</v>
      </c>
      <c r="AG3933">
        <v>-1.1216631690709999</v>
      </c>
      <c r="AH3933">
        <v>17.236386202762301</v>
      </c>
      <c r="AI3933">
        <v>93.719283629535497</v>
      </c>
      <c r="AJ3933">
        <v>87.337812699651593</v>
      </c>
      <c r="AK3933">
        <v>17.291427214300501</v>
      </c>
      <c r="AL3933">
        <v>90.936165915588205</v>
      </c>
      <c r="AM3933">
        <v>87.071359095885697</v>
      </c>
      <c r="AN3933">
        <v>0.99999996490269105</v>
      </c>
    </row>
    <row r="3934" spans="1:40" x14ac:dyDescent="0.25">
      <c r="A3934" t="str">
        <f>"20190303154214157"</f>
        <v>20190303154214157</v>
      </c>
      <c r="B3934" t="str">
        <f>"1551598934153796"</f>
        <v>1551598934153796</v>
      </c>
      <c r="C3934" t="s">
        <v>40</v>
      </c>
      <c r="D3934">
        <v>5.6492870000000002</v>
      </c>
      <c r="E3934">
        <v>0.4972162</v>
      </c>
      <c r="F3934" t="s">
        <v>51</v>
      </c>
      <c r="G3934">
        <v>-426.4402</v>
      </c>
      <c r="H3934" s="1">
        <v>2.8193540000000001E-6</v>
      </c>
      <c r="I3934">
        <v>214.6491</v>
      </c>
      <c r="J3934">
        <v>-443.46179999999998</v>
      </c>
      <c r="K3934">
        <v>1.121661</v>
      </c>
      <c r="L3934">
        <v>215.35550000000001</v>
      </c>
      <c r="M3934">
        <v>0.99988509999999997</v>
      </c>
      <c r="N3934">
        <v>-1.44618E-2</v>
      </c>
      <c r="O3934">
        <v>4.5417490000000003E-3</v>
      </c>
      <c r="P3934">
        <v>0.99846639999999998</v>
      </c>
      <c r="Q3934">
        <v>-3.017914E-2</v>
      </c>
      <c r="R3934">
        <v>-4.6411250000000001E-2</v>
      </c>
      <c r="S3934">
        <v>2.9929809999999999</v>
      </c>
      <c r="T3934">
        <v>-0.19449759999999999</v>
      </c>
      <c r="U3934">
        <v>-0.1222229</v>
      </c>
      <c r="V3934">
        <v>5.0953459999999999E-2</v>
      </c>
      <c r="W3934">
        <v>-1.5715590000000002E-2</v>
      </c>
      <c r="X3934">
        <v>0.99857739999999995</v>
      </c>
      <c r="Y3934">
        <v>4.5218260000000003E-2</v>
      </c>
      <c r="Z3934">
        <v>-2.0237430000000002E-3</v>
      </c>
      <c r="AA3934">
        <v>0.9989751</v>
      </c>
      <c r="AB3934">
        <v>22</v>
      </c>
      <c r="AC3934">
        <v>17.0215999999999</v>
      </c>
      <c r="AD3934">
        <v>-1.121658180646</v>
      </c>
      <c r="AE3934">
        <v>-0.70640000000000203</v>
      </c>
      <c r="AF3934">
        <v>0.78032604594514798</v>
      </c>
      <c r="AG3934">
        <v>-1.121658180646</v>
      </c>
      <c r="AH3934">
        <v>16.944762960389699</v>
      </c>
      <c r="AI3934">
        <v>93.783169987348302</v>
      </c>
      <c r="AJ3934">
        <v>87.363325522765294</v>
      </c>
      <c r="AK3934">
        <v>16.999765221790199</v>
      </c>
      <c r="AL3934">
        <v>90.900474022224202</v>
      </c>
      <c r="AM3934">
        <v>87.078956084459406</v>
      </c>
      <c r="AN3934">
        <v>1.0000000293228799</v>
      </c>
    </row>
    <row r="3935" spans="1:40" x14ac:dyDescent="0.25">
      <c r="A3935" t="str">
        <f>"20190303154214183"</f>
        <v>20190303154214183</v>
      </c>
      <c r="B3935" t="str">
        <f>"1551598934173316"</f>
        <v>1551598934173316</v>
      </c>
      <c r="C3935" t="s">
        <v>40</v>
      </c>
      <c r="D3935">
        <v>5.6700869999999997</v>
      </c>
      <c r="E3935">
        <v>0.49733519999999998</v>
      </c>
      <c r="F3935" t="s">
        <v>51</v>
      </c>
      <c r="G3935">
        <v>-426.23770000000002</v>
      </c>
      <c r="H3935" s="1">
        <v>2.8540909999999999E-6</v>
      </c>
      <c r="I3935">
        <v>214.6626</v>
      </c>
      <c r="J3935">
        <v>-443.21460000000002</v>
      </c>
      <c r="K3935">
        <v>1.1216600000000001</v>
      </c>
      <c r="L3935">
        <v>215.3571</v>
      </c>
      <c r="M3935">
        <v>0.99988319999999997</v>
      </c>
      <c r="N3935">
        <v>-1.4458560000000001E-2</v>
      </c>
      <c r="O3935">
        <v>4.9558049999999998E-3</v>
      </c>
      <c r="P3935">
        <v>0.99846979999999996</v>
      </c>
      <c r="Q3935">
        <v>-3.0832129999999999E-2</v>
      </c>
      <c r="R3935">
        <v>-4.5909789999999999E-2</v>
      </c>
      <c r="S3935">
        <v>2.993134</v>
      </c>
      <c r="T3935">
        <v>-0.19491710000000001</v>
      </c>
      <c r="U3935">
        <v>-0.1204071</v>
      </c>
      <c r="V3935">
        <v>5.0865500000000001E-2</v>
      </c>
      <c r="W3935">
        <v>-1.6372149999999999E-2</v>
      </c>
      <c r="X3935">
        <v>0.99857130000000005</v>
      </c>
      <c r="Y3935">
        <v>4.5024309999999998E-2</v>
      </c>
      <c r="Z3935">
        <v>-2.0406410000000002E-3</v>
      </c>
      <c r="AA3935">
        <v>0.99898379999999998</v>
      </c>
      <c r="AB3935">
        <v>21</v>
      </c>
      <c r="AC3935">
        <v>16.976900000000001</v>
      </c>
      <c r="AD3935">
        <v>-1.1216571459089999</v>
      </c>
      <c r="AE3935">
        <v>-0.694500000000005</v>
      </c>
      <c r="AF3935">
        <v>0.77525598187448996</v>
      </c>
      <c r="AG3935">
        <v>-1.1216571459089999</v>
      </c>
      <c r="AH3935">
        <v>16.899602530161999</v>
      </c>
      <c r="AI3935">
        <v>93.793277398953705</v>
      </c>
      <c r="AJ3935">
        <v>87.373442600798498</v>
      </c>
      <c r="AK3935">
        <v>16.954518638636099</v>
      </c>
      <c r="AL3935">
        <v>90.938097014630401</v>
      </c>
      <c r="AM3935">
        <v>87.083972134836401</v>
      </c>
      <c r="AN3935">
        <v>0.99999999378478099</v>
      </c>
    </row>
    <row r="3936" spans="1:40" x14ac:dyDescent="0.25">
      <c r="A3936" t="str">
        <f>"20190303154214200"</f>
        <v>20190303154214200</v>
      </c>
      <c r="B3936" t="str">
        <f>"1551598934193812"</f>
        <v>1551598934193812</v>
      </c>
      <c r="C3936" t="s">
        <v>40</v>
      </c>
      <c r="D3936">
        <v>5.6929319999999999</v>
      </c>
      <c r="E3936">
        <v>0.49746639999999998</v>
      </c>
      <c r="F3936" t="s">
        <v>51</v>
      </c>
      <c r="G3936">
        <v>-426.36189999999999</v>
      </c>
      <c r="H3936" s="1">
        <v>2.8305409999999999E-6</v>
      </c>
      <c r="I3936">
        <v>214.68</v>
      </c>
      <c r="J3936">
        <v>-443.05380000000002</v>
      </c>
      <c r="K3936">
        <v>1.121659</v>
      </c>
      <c r="L3936">
        <v>215.35820000000001</v>
      </c>
      <c r="M3936">
        <v>0.99988189999999999</v>
      </c>
      <c r="N3936">
        <v>-1.4456409999999999E-2</v>
      </c>
      <c r="O3936">
        <v>5.2252100000000001E-3</v>
      </c>
      <c r="P3936">
        <v>0.99848550000000003</v>
      </c>
      <c r="Q3936">
        <v>-3.1363710000000003E-2</v>
      </c>
      <c r="R3936">
        <v>-4.5200289999999997E-2</v>
      </c>
      <c r="S3936">
        <v>2.9929199999999998</v>
      </c>
      <c r="T3936">
        <v>-0.1991984</v>
      </c>
      <c r="U3936">
        <v>-0.12023929999999999</v>
      </c>
      <c r="V3936">
        <v>5.0425329999999997E-2</v>
      </c>
      <c r="W3936">
        <v>-1.6906009999999999E-2</v>
      </c>
      <c r="X3936">
        <v>0.99858469999999999</v>
      </c>
      <c r="Y3936">
        <v>4.5234400000000001E-2</v>
      </c>
      <c r="Z3936">
        <v>-2.102418E-3</v>
      </c>
      <c r="AA3936">
        <v>0.99897420000000003</v>
      </c>
      <c r="AB3936">
        <v>21</v>
      </c>
      <c r="AC3936">
        <v>16.6919</v>
      </c>
      <c r="AD3936">
        <v>-1.1216561694589999</v>
      </c>
      <c r="AE3936">
        <v>-0.67820000000000302</v>
      </c>
      <c r="AF3936">
        <v>0.76198345092096098</v>
      </c>
      <c r="AG3936">
        <v>-1.1216561694589999</v>
      </c>
      <c r="AH3936">
        <v>16.613234190269999</v>
      </c>
      <c r="AI3936">
        <v>93.858465742469804</v>
      </c>
      <c r="AJ3936">
        <v>87.373909305762893</v>
      </c>
      <c r="AK3936">
        <v>16.668481682586499</v>
      </c>
      <c r="AL3936">
        <v>90.968689202997098</v>
      </c>
      <c r="AM3936">
        <v>87.109202027903294</v>
      </c>
      <c r="AN3936">
        <v>0.99999996507690803</v>
      </c>
    </row>
    <row r="3937" spans="1:40" x14ac:dyDescent="0.25">
      <c r="A3937" t="str">
        <f>"20190303154214223"</f>
        <v>20190303154214223</v>
      </c>
      <c r="B3937" t="str">
        <f>"1551598934213332"</f>
        <v>1551598934213332</v>
      </c>
      <c r="C3937" t="s">
        <v>40</v>
      </c>
      <c r="D3937">
        <v>5.6809250000000002</v>
      </c>
      <c r="E3937">
        <v>0.49758010000000003</v>
      </c>
      <c r="F3937" t="s">
        <v>51</v>
      </c>
      <c r="G3937">
        <v>-426.54039999999998</v>
      </c>
      <c r="H3937" s="1">
        <v>2.7969919999999999E-6</v>
      </c>
      <c r="I3937">
        <v>214.70150000000001</v>
      </c>
      <c r="J3937">
        <v>-442.83210000000003</v>
      </c>
      <c r="K3937">
        <v>1.121651</v>
      </c>
      <c r="L3937">
        <v>215.35980000000001</v>
      </c>
      <c r="M3937">
        <v>0.99987999999999999</v>
      </c>
      <c r="N3937">
        <v>-1.4453270000000001E-2</v>
      </c>
      <c r="O3937">
        <v>5.5960589999999996E-3</v>
      </c>
      <c r="P3937">
        <v>0.99849089999999996</v>
      </c>
      <c r="Q3937">
        <v>-3.2101560000000001E-2</v>
      </c>
      <c r="R3937">
        <v>-4.4560139999999998E-2</v>
      </c>
      <c r="S3937">
        <v>2.992737</v>
      </c>
      <c r="T3937">
        <v>-0.2032794</v>
      </c>
      <c r="U3937">
        <v>-0.1190186</v>
      </c>
      <c r="V3937">
        <v>5.0156010000000001E-2</v>
      </c>
      <c r="W3937">
        <v>-1.764729E-2</v>
      </c>
      <c r="X3937">
        <v>0.99858550000000001</v>
      </c>
      <c r="Y3937">
        <v>4.5195159999999998E-2</v>
      </c>
      <c r="Z3937">
        <v>-2.1585160000000001E-3</v>
      </c>
      <c r="AA3937">
        <v>0.99897590000000003</v>
      </c>
      <c r="AB3937">
        <v>21</v>
      </c>
      <c r="AC3937">
        <v>16.291699999999999</v>
      </c>
      <c r="AD3937">
        <v>-1.1216482030079999</v>
      </c>
      <c r="AE3937">
        <v>-0.658299999999997</v>
      </c>
      <c r="AF3937">
        <v>0.745938515424725</v>
      </c>
      <c r="AG3937">
        <v>-1.1216482030079999</v>
      </c>
      <c r="AH3937">
        <v>16.211045096698399</v>
      </c>
      <c r="AI3937">
        <v>93.953837897912706</v>
      </c>
      <c r="AJ3937">
        <v>87.365438023821497</v>
      </c>
      <c r="AK3937">
        <v>16.266914338229402</v>
      </c>
      <c r="AL3937">
        <v>91.011167698808606</v>
      </c>
      <c r="AM3937">
        <v>87.124618003052504</v>
      </c>
      <c r="AN3937">
        <v>1.00000002649685</v>
      </c>
    </row>
    <row r="3938" spans="1:40" x14ac:dyDescent="0.25">
      <c r="A3938" t="str">
        <f>"20190303154214246"</f>
        <v>20190303154214246</v>
      </c>
      <c r="B3938" t="str">
        <f>"1551598934233829"</f>
        <v>1551598934233829</v>
      </c>
      <c r="C3938" t="s">
        <v>40</v>
      </c>
      <c r="D3938">
        <v>5.6595740000000001</v>
      </c>
      <c r="E3938">
        <v>0.4976102</v>
      </c>
      <c r="F3938" t="s">
        <v>51</v>
      </c>
      <c r="G3938">
        <v>-426.69810000000001</v>
      </c>
      <c r="H3938" s="1">
        <v>2.7670840000000001E-6</v>
      </c>
      <c r="I3938">
        <v>214.72380000000001</v>
      </c>
      <c r="J3938">
        <v>-442.61040000000003</v>
      </c>
      <c r="K3938">
        <v>1.121648</v>
      </c>
      <c r="L3938">
        <v>215.36150000000001</v>
      </c>
      <c r="M3938">
        <v>0.99987789999999999</v>
      </c>
      <c r="N3938">
        <v>-1.444987E-2</v>
      </c>
      <c r="O3938">
        <v>5.9672090000000002E-3</v>
      </c>
      <c r="P3938">
        <v>0.99849880000000002</v>
      </c>
      <c r="Q3938">
        <v>-3.2604069999999999E-2</v>
      </c>
      <c r="R3938">
        <v>-4.4014850000000001E-2</v>
      </c>
      <c r="S3938">
        <v>2.9925839999999999</v>
      </c>
      <c r="T3938">
        <v>-0.2080458</v>
      </c>
      <c r="U3938">
        <v>-0.11796570000000001</v>
      </c>
      <c r="V3938">
        <v>4.9981310000000001E-2</v>
      </c>
      <c r="W3938">
        <v>-1.8153409999999998E-2</v>
      </c>
      <c r="X3938">
        <v>0.99858519999999995</v>
      </c>
      <c r="Y3938">
        <v>4.5210529999999999E-2</v>
      </c>
      <c r="Z3938">
        <v>-2.2243699999999998E-3</v>
      </c>
      <c r="AA3938">
        <v>0.99897499999999995</v>
      </c>
      <c r="AB3938">
        <v>21</v>
      </c>
      <c r="AC3938">
        <v>15.9123</v>
      </c>
      <c r="AD3938">
        <v>-1.121645232916</v>
      </c>
      <c r="AE3938">
        <v>-0.63769999999999505</v>
      </c>
      <c r="AF3938">
        <v>0.72903400552214903</v>
      </c>
      <c r="AG3938">
        <v>-1.121645232916</v>
      </c>
      <c r="AH3938">
        <v>15.829683701175499</v>
      </c>
      <c r="AI3938">
        <v>94.048760629031605</v>
      </c>
      <c r="AJ3938">
        <v>87.363113663567404</v>
      </c>
      <c r="AK3938">
        <v>15.8861091740234</v>
      </c>
      <c r="AL3938">
        <v>91.040170871602001</v>
      </c>
      <c r="AM3938">
        <v>87.134615758610707</v>
      </c>
      <c r="AN3938">
        <v>1.0000000396514901</v>
      </c>
    </row>
    <row r="3939" spans="1:40" x14ac:dyDescent="0.25">
      <c r="A3939" t="str">
        <f>"20190303154214268"</f>
        <v>20190303154214268</v>
      </c>
      <c r="B3939" t="str">
        <f>"1551598934264083"</f>
        <v>1551598934264083</v>
      </c>
      <c r="C3939" t="s">
        <v>40</v>
      </c>
      <c r="D3939">
        <v>5.6833929999999997</v>
      </c>
      <c r="E3939">
        <v>0.49751289999999998</v>
      </c>
      <c r="F3939" t="s">
        <v>51</v>
      </c>
      <c r="G3939">
        <v>-426.7901</v>
      </c>
      <c r="H3939" s="1">
        <v>2.749006E-6</v>
      </c>
      <c r="I3939">
        <v>214.74369999999999</v>
      </c>
      <c r="J3939">
        <v>-442.39499999999998</v>
      </c>
      <c r="K3939">
        <v>1.1216459999999999</v>
      </c>
      <c r="L3939">
        <v>215.36320000000001</v>
      </c>
      <c r="M3939">
        <v>0.99987570000000003</v>
      </c>
      <c r="N3939">
        <v>-1.444644E-2</v>
      </c>
      <c r="O3939">
        <v>6.3280469999999998E-3</v>
      </c>
      <c r="P3939">
        <v>0.99847569999999997</v>
      </c>
      <c r="Q3939">
        <v>-3.298222E-2</v>
      </c>
      <c r="R3939">
        <v>-4.425772E-2</v>
      </c>
      <c r="S3939">
        <v>2.992432</v>
      </c>
      <c r="T3939">
        <v>-0.21216090000000001</v>
      </c>
      <c r="U3939">
        <v>-0.11685180000000001</v>
      </c>
      <c r="V3939">
        <v>5.0584329999999997E-2</v>
      </c>
      <c r="W3939">
        <v>-1.8535389999999999E-2</v>
      </c>
      <c r="X3939">
        <v>0.99854779999999999</v>
      </c>
      <c r="Y3939">
        <v>4.5195970000000002E-2</v>
      </c>
      <c r="Z3939">
        <v>-2.2832949999999999E-3</v>
      </c>
      <c r="AA3939">
        <v>0.99897550000000002</v>
      </c>
      <c r="AB3939">
        <v>21</v>
      </c>
      <c r="AC3939">
        <v>15.604899999999899</v>
      </c>
      <c r="AD3939">
        <v>-1.121643250994</v>
      </c>
      <c r="AE3939">
        <v>-0.61950000000001604</v>
      </c>
      <c r="AF3939">
        <v>0.71456054018127202</v>
      </c>
      <c r="AG3939">
        <v>-1.121643250994</v>
      </c>
      <c r="AH3939">
        <v>15.520607458212</v>
      </c>
      <c r="AI3939">
        <v>94.129106829105496</v>
      </c>
      <c r="AJ3939">
        <v>87.363994085978405</v>
      </c>
      <c r="AK3939">
        <v>15.5774817034074</v>
      </c>
      <c r="AL3939">
        <v>91.062060414878502</v>
      </c>
      <c r="AM3939">
        <v>87.099995385060197</v>
      </c>
      <c r="AN3939">
        <v>1.0000000220044201</v>
      </c>
    </row>
    <row r="3940" spans="1:40" x14ac:dyDescent="0.25">
      <c r="A3940" t="str">
        <f>"20190303154214290"</f>
        <v>20190303154214290</v>
      </c>
      <c r="B3940" t="str">
        <f>"1551598934283604"</f>
        <v>1551598934283604</v>
      </c>
      <c r="C3940" t="s">
        <v>40</v>
      </c>
      <c r="D3940">
        <v>5.5268179999999996</v>
      </c>
      <c r="E3940">
        <v>0.49701010000000001</v>
      </c>
      <c r="F3940" t="s">
        <v>51</v>
      </c>
      <c r="G3940">
        <v>-426.72840000000002</v>
      </c>
      <c r="H3940" s="1">
        <v>2.759268E-6</v>
      </c>
      <c r="I3940">
        <v>214.7517</v>
      </c>
      <c r="J3940">
        <v>-442.19479999999999</v>
      </c>
      <c r="K3940">
        <v>1.1216489999999999</v>
      </c>
      <c r="L3940">
        <v>215.36490000000001</v>
      </c>
      <c r="M3940">
        <v>0.99987360000000003</v>
      </c>
      <c r="N3940">
        <v>-1.4443070000000001E-2</v>
      </c>
      <c r="O3940">
        <v>6.6639109999999998E-3</v>
      </c>
      <c r="P3940">
        <v>0.99846480000000004</v>
      </c>
      <c r="Q3940">
        <v>-3.3411860000000002E-2</v>
      </c>
      <c r="R3940">
        <v>-4.4179610000000001E-2</v>
      </c>
      <c r="S3940">
        <v>2.9923099999999998</v>
      </c>
      <c r="T3940">
        <v>-0.21423239999999999</v>
      </c>
      <c r="U3940">
        <v>-0.11680599999999999</v>
      </c>
      <c r="V3940">
        <v>5.084176E-2</v>
      </c>
      <c r="W3940">
        <v>-1.896875E-2</v>
      </c>
      <c r="X3940">
        <v>0.99852660000000004</v>
      </c>
      <c r="Y3940">
        <v>4.5513629999999999E-2</v>
      </c>
      <c r="Z3940">
        <v>-2.3360899999999999E-3</v>
      </c>
      <c r="AA3940">
        <v>0.99896099999999999</v>
      </c>
      <c r="AB3940">
        <v>21</v>
      </c>
      <c r="AC3940">
        <v>15.466399999999901</v>
      </c>
      <c r="AD3940">
        <v>-1.12164624073199</v>
      </c>
      <c r="AE3940">
        <v>-0.61320000000000596</v>
      </c>
      <c r="AF3940">
        <v>0.71252230099068203</v>
      </c>
      <c r="AG3940">
        <v>-1.12164624073199</v>
      </c>
      <c r="AH3940">
        <v>15.3812013786064</v>
      </c>
      <c r="AI3940">
        <v>94.166355988411894</v>
      </c>
      <c r="AJ3940">
        <v>87.3477132931135</v>
      </c>
      <c r="AK3940">
        <v>15.438495204131801</v>
      </c>
      <c r="AL3940">
        <v>91.086894466694602</v>
      </c>
      <c r="AM3940">
        <v>87.0852005061938</v>
      </c>
      <c r="AN3940">
        <v>1.0000000344719999</v>
      </c>
    </row>
    <row r="3941" spans="1:40" x14ac:dyDescent="0.25">
      <c r="A3941" t="str">
        <f>"20190303154214316"</f>
        <v>20190303154214316</v>
      </c>
      <c r="B3941" t="str">
        <f>"1551598934303125"</f>
        <v>1551598934303125</v>
      </c>
      <c r="C3941" t="s">
        <v>40</v>
      </c>
      <c r="D3941">
        <v>5.5241449999999999</v>
      </c>
      <c r="E3941">
        <v>0.49676930000000002</v>
      </c>
      <c r="F3941" t="s">
        <v>51</v>
      </c>
      <c r="G3941">
        <v>-426.5367</v>
      </c>
      <c r="H3941" s="1">
        <v>2.7911529999999998E-6</v>
      </c>
      <c r="I3941">
        <v>214.7758</v>
      </c>
      <c r="J3941">
        <v>-441.947</v>
      </c>
      <c r="K3941">
        <v>1.121648</v>
      </c>
      <c r="L3941">
        <v>215.36699999999999</v>
      </c>
      <c r="M3941">
        <v>0.99987079999999995</v>
      </c>
      <c r="N3941">
        <v>-1.4438690000000001E-2</v>
      </c>
      <c r="O3941">
        <v>7.0790499999999999E-3</v>
      </c>
      <c r="P3941">
        <v>0.99850070000000002</v>
      </c>
      <c r="Q3941">
        <v>-3.3199260000000001E-2</v>
      </c>
      <c r="R3941">
        <v>-4.3524970000000003E-2</v>
      </c>
      <c r="S3941">
        <v>2.992432</v>
      </c>
      <c r="T3941">
        <v>-0.21435940000000001</v>
      </c>
      <c r="U3941">
        <v>-0.11257929999999999</v>
      </c>
      <c r="V3941">
        <v>5.0601550000000002E-2</v>
      </c>
      <c r="W3941">
        <v>-1.8760470000000001E-2</v>
      </c>
      <c r="X3941">
        <v>0.99854270000000001</v>
      </c>
      <c r="Y3941">
        <v>4.4520079999999997E-2</v>
      </c>
      <c r="Z3941">
        <v>-2.318213E-3</v>
      </c>
      <c r="AA3941">
        <v>0.99900580000000005</v>
      </c>
      <c r="AB3941">
        <v>21</v>
      </c>
      <c r="AC3941">
        <v>15.4102999999999</v>
      </c>
      <c r="AD3941">
        <v>-1.1216452088469999</v>
      </c>
      <c r="AE3941">
        <v>-0.59120000000001405</v>
      </c>
      <c r="AF3941">
        <v>0.69660185292058396</v>
      </c>
      <c r="AG3941">
        <v>-1.1216452088469999</v>
      </c>
      <c r="AH3941">
        <v>15.3246617953754</v>
      </c>
      <c r="AI3941">
        <v>94.181834916023405</v>
      </c>
      <c r="AJ3941">
        <v>87.397339607364302</v>
      </c>
      <c r="AK3941">
        <v>15.381436904875301</v>
      </c>
      <c r="AL3941">
        <v>91.074958817448007</v>
      </c>
      <c r="AM3941">
        <v>87.098995055503195</v>
      </c>
      <c r="AN3941">
        <v>0.99999999791015604</v>
      </c>
    </row>
    <row r="3942" spans="1:40" x14ac:dyDescent="0.25">
      <c r="A3942" t="str">
        <f>"20190303154214333"</f>
        <v>20190303154214333</v>
      </c>
      <c r="B3942" t="str">
        <f>"1551598934323620"</f>
        <v>1551598934323620</v>
      </c>
      <c r="C3942" t="s">
        <v>40</v>
      </c>
      <c r="D3942">
        <v>5.4667219999999999</v>
      </c>
      <c r="E3942">
        <v>0.49638169999999998</v>
      </c>
      <c r="F3942" t="s">
        <v>51</v>
      </c>
      <c r="G3942">
        <v>-426.25850000000003</v>
      </c>
      <c r="H3942" s="1">
        <v>2.8387180000000001E-6</v>
      </c>
      <c r="I3942">
        <v>214.7963</v>
      </c>
      <c r="J3942">
        <v>-441.78590000000003</v>
      </c>
      <c r="K3942">
        <v>1.121648</v>
      </c>
      <c r="L3942">
        <v>215.36850000000001</v>
      </c>
      <c r="M3942">
        <v>0.9998688</v>
      </c>
      <c r="N3942">
        <v>-1.4435720000000001E-2</v>
      </c>
      <c r="O3942">
        <v>7.3491750000000003E-3</v>
      </c>
      <c r="P3942">
        <v>0.99852859999999999</v>
      </c>
      <c r="Q3942">
        <v>-3.3096260000000002E-2</v>
      </c>
      <c r="R3942">
        <v>-4.295595E-2</v>
      </c>
      <c r="S3942">
        <v>2.9926149999999998</v>
      </c>
      <c r="T3942">
        <v>-0.21395649999999999</v>
      </c>
      <c r="U3942">
        <v>-0.1088715</v>
      </c>
      <c r="V3942">
        <v>5.030246E-2</v>
      </c>
      <c r="W3942">
        <v>-1.8660409999999999E-2</v>
      </c>
      <c r="X3942">
        <v>0.99855970000000005</v>
      </c>
      <c r="Y3942">
        <v>4.3554629999999997E-2</v>
      </c>
      <c r="Z3942">
        <v>-2.28809E-3</v>
      </c>
      <c r="AA3942">
        <v>0.99904839999999995</v>
      </c>
      <c r="AB3942">
        <v>21</v>
      </c>
      <c r="AC3942">
        <v>15.5274</v>
      </c>
      <c r="AD3942">
        <v>-1.121645161282</v>
      </c>
      <c r="AE3942">
        <v>-0.57220000000000903</v>
      </c>
      <c r="AF3942">
        <v>0.68275216848525699</v>
      </c>
      <c r="AG3942">
        <v>-1.121645161282</v>
      </c>
      <c r="AH3942">
        <v>15.4423045365028</v>
      </c>
      <c r="AI3942">
        <v>94.150318423114399</v>
      </c>
      <c r="AJ3942">
        <v>87.468424633729896</v>
      </c>
      <c r="AK3942">
        <v>15.498032384451101</v>
      </c>
      <c r="AL3942">
        <v>91.069224783512496</v>
      </c>
      <c r="AM3942">
        <v>87.116161974321699</v>
      </c>
      <c r="AN3942">
        <v>1.0000000114237499</v>
      </c>
    </row>
    <row r="3943" spans="1:40" x14ac:dyDescent="0.25">
      <c r="A3943" t="str">
        <f>"20190303154214358"</f>
        <v>20190303154214358</v>
      </c>
      <c r="B3943" t="str">
        <f>"1551598934353877"</f>
        <v>1551598934353877</v>
      </c>
      <c r="C3943" t="s">
        <v>40</v>
      </c>
      <c r="D3943">
        <v>5.4266180000000004</v>
      </c>
      <c r="E3943">
        <v>0.49583100000000002</v>
      </c>
      <c r="F3943" t="s">
        <v>51</v>
      </c>
      <c r="G3943">
        <v>-426.11090000000002</v>
      </c>
      <c r="H3943" s="1">
        <v>2.8625499999999998E-6</v>
      </c>
      <c r="I3943">
        <v>214.82310000000001</v>
      </c>
      <c r="J3943">
        <v>-441.55160000000001</v>
      </c>
      <c r="K3943">
        <v>1.12164</v>
      </c>
      <c r="L3943">
        <v>215.3707</v>
      </c>
      <c r="M3943">
        <v>0.99986600000000003</v>
      </c>
      <c r="N3943">
        <v>-1.4431090000000001E-2</v>
      </c>
      <c r="O3943">
        <v>7.7417869999999904E-3</v>
      </c>
      <c r="P3943">
        <v>0.99854200000000004</v>
      </c>
      <c r="Q3943">
        <v>-3.3576580000000002E-2</v>
      </c>
      <c r="R3943">
        <v>-4.2273709999999999E-2</v>
      </c>
      <c r="S3943">
        <v>2.9928590000000002</v>
      </c>
      <c r="T3943">
        <v>-0.21415719999999999</v>
      </c>
      <c r="U3943">
        <v>-0.104126</v>
      </c>
      <c r="V3943">
        <v>5.0012309999999997E-2</v>
      </c>
      <c r="W3943">
        <v>-1.9145570000000001E-2</v>
      </c>
      <c r="X3943">
        <v>0.99856509999999998</v>
      </c>
      <c r="Y3943">
        <v>4.2364600000000002E-2</v>
      </c>
      <c r="Z3943">
        <v>-2.261126E-3</v>
      </c>
      <c r="AA3943">
        <v>0.99909970000000003</v>
      </c>
      <c r="AB3943">
        <v>21</v>
      </c>
      <c r="AC3943">
        <v>15.4406999999999</v>
      </c>
      <c r="AD3943">
        <v>-1.12163713745</v>
      </c>
      <c r="AE3943">
        <v>-0.54759999999998799</v>
      </c>
      <c r="AF3943">
        <v>0.66363715051212302</v>
      </c>
      <c r="AG3943">
        <v>-1.12163713745</v>
      </c>
      <c r="AH3943">
        <v>15.355073432906799</v>
      </c>
      <c r="AI3943">
        <v>94.173963581220505</v>
      </c>
      <c r="AJ3943">
        <v>87.525250560659103</v>
      </c>
      <c r="AK3943">
        <v>15.410281122212099</v>
      </c>
      <c r="AL3943">
        <v>91.097027360530305</v>
      </c>
      <c r="AM3943">
        <v>87.132783904171006</v>
      </c>
      <c r="AN3943">
        <v>1.0000000214700799</v>
      </c>
    </row>
    <row r="3944" spans="1:40" x14ac:dyDescent="0.25">
      <c r="A3944" t="str">
        <f>"20190303154214380"</f>
        <v>20190303154214380</v>
      </c>
      <c r="B3944" t="str">
        <f>"1551598934373396"</f>
        <v>1551598934373396</v>
      </c>
      <c r="C3944" t="s">
        <v>40</v>
      </c>
      <c r="D3944">
        <v>5.4467530000000002</v>
      </c>
      <c r="E3944">
        <v>0.49544179999999999</v>
      </c>
      <c r="F3944" t="s">
        <v>51</v>
      </c>
      <c r="G3944">
        <v>-425.9151</v>
      </c>
      <c r="H3944" s="1">
        <v>2.893925E-6</v>
      </c>
      <c r="I3944">
        <v>214.86160000000001</v>
      </c>
      <c r="J3944">
        <v>-441.34710000000001</v>
      </c>
      <c r="K3944">
        <v>1.121637</v>
      </c>
      <c r="L3944">
        <v>215.37270000000001</v>
      </c>
      <c r="M3944">
        <v>0.99986330000000001</v>
      </c>
      <c r="N3944">
        <v>-1.4426990000000001E-2</v>
      </c>
      <c r="O3944">
        <v>8.0834840000000002E-3</v>
      </c>
      <c r="P3944">
        <v>0.99854259999999995</v>
      </c>
      <c r="Q3944">
        <v>-3.414267E-2</v>
      </c>
      <c r="R3944">
        <v>-4.1798349999999998E-2</v>
      </c>
      <c r="S3944">
        <v>2.993042</v>
      </c>
      <c r="T3944">
        <v>-0.2146969</v>
      </c>
      <c r="U3944">
        <v>-9.7457890000000005E-2</v>
      </c>
      <c r="V3944">
        <v>4.987834E-2</v>
      </c>
      <c r="W3944">
        <v>-1.9716129999999998E-2</v>
      </c>
      <c r="X3944">
        <v>0.99856069999999997</v>
      </c>
      <c r="Y3944">
        <v>4.048508E-2</v>
      </c>
      <c r="Z3944">
        <v>-2.2048620000000001E-3</v>
      </c>
      <c r="AA3944">
        <v>0.99917769999999995</v>
      </c>
      <c r="AB3944">
        <v>21</v>
      </c>
      <c r="AC3944">
        <v>15.432</v>
      </c>
      <c r="AD3944">
        <v>-1.1216341060749999</v>
      </c>
      <c r="AE3944">
        <v>-0.511099999999999</v>
      </c>
      <c r="AF3944">
        <v>0.63250292309880796</v>
      </c>
      <c r="AG3944">
        <v>-1.1216341060749999</v>
      </c>
      <c r="AH3944">
        <v>15.346381921263101</v>
      </c>
      <c r="AI3944">
        <v>94.176659438752793</v>
      </c>
      <c r="AJ3944">
        <v>87.639883516810201</v>
      </c>
      <c r="AK3944">
        <v>15.400310421836</v>
      </c>
      <c r="AL3944">
        <v>91.129724211468599</v>
      </c>
      <c r="AM3944">
        <v>87.140439087986806</v>
      </c>
      <c r="AN3944">
        <v>1.0000000230839099</v>
      </c>
    </row>
    <row r="3945" spans="1:40" x14ac:dyDescent="0.25">
      <c r="A3945" t="str">
        <f>"20190303154214402"</f>
        <v>20190303154214402</v>
      </c>
      <c r="B3945" t="str">
        <f>"1551598934393892"</f>
        <v>1551598934393892</v>
      </c>
      <c r="C3945" t="s">
        <v>40</v>
      </c>
      <c r="D3945">
        <v>5.4155579999999999</v>
      </c>
      <c r="E3945">
        <v>0.49506519999999998</v>
      </c>
      <c r="F3945" t="s">
        <v>51</v>
      </c>
      <c r="G3945">
        <v>-425.91379999999998</v>
      </c>
      <c r="H3945" s="1">
        <v>2.8913780000000002E-6</v>
      </c>
      <c r="I3945">
        <v>214.89320000000001</v>
      </c>
      <c r="J3945">
        <v>-441.1413</v>
      </c>
      <c r="K3945">
        <v>1.1216390000000001</v>
      </c>
      <c r="L3945">
        <v>215.37479999999999</v>
      </c>
      <c r="M3945">
        <v>0.99986050000000004</v>
      </c>
      <c r="N3945">
        <v>-1.4422829999999999E-2</v>
      </c>
      <c r="O3945">
        <v>8.4249319999999996E-3</v>
      </c>
      <c r="P3945">
        <v>0.99858179999999996</v>
      </c>
      <c r="Q3945">
        <v>-3.390319E-2</v>
      </c>
      <c r="R3945">
        <v>-4.1052539999999998E-2</v>
      </c>
      <c r="S3945">
        <v>2.9930729999999999</v>
      </c>
      <c r="T3945">
        <v>-0.217526</v>
      </c>
      <c r="U3945">
        <v>-9.3002319999999999E-2</v>
      </c>
      <c r="V3945">
        <v>4.9473450000000002E-2</v>
      </c>
      <c r="W3945">
        <v>-1.9480859999999999E-2</v>
      </c>
      <c r="X3945">
        <v>0.99858550000000001</v>
      </c>
      <c r="Y3945">
        <v>3.9339609999999997E-2</v>
      </c>
      <c r="Z3945">
        <v>-2.2015300000000002E-3</v>
      </c>
      <c r="AA3945">
        <v>0.99922350000000004</v>
      </c>
      <c r="AB3945">
        <v>21</v>
      </c>
      <c r="AC3945">
        <v>15.227499999999999</v>
      </c>
      <c r="AD3945">
        <v>-1.1216361086219999</v>
      </c>
      <c r="AE3945">
        <v>-0.48159999999998598</v>
      </c>
      <c r="AF3945">
        <v>0.60659903348302402</v>
      </c>
      <c r="AG3945">
        <v>-1.1216361086219999</v>
      </c>
      <c r="AH3945">
        <v>15.140835751763699</v>
      </c>
      <c r="AI3945">
        <v>94.233359980373294</v>
      </c>
      <c r="AJ3945">
        <v>87.705741778240295</v>
      </c>
      <c r="AK3945">
        <v>15.194437706261899</v>
      </c>
      <c r="AL3945">
        <v>91.116241599016305</v>
      </c>
      <c r="AM3945">
        <v>87.163683987801804</v>
      </c>
      <c r="AN3945">
        <v>1.00000006348574</v>
      </c>
    </row>
    <row r="3946" spans="1:40" x14ac:dyDescent="0.25">
      <c r="A3946" t="str">
        <f>"20190303154214423"</f>
        <v>20190303154214423</v>
      </c>
      <c r="B3946" t="str">
        <f>"1551598934413413"</f>
        <v>1551598934413413</v>
      </c>
      <c r="C3946" t="s">
        <v>40</v>
      </c>
      <c r="D3946">
        <v>5.3983829999999999</v>
      </c>
      <c r="E3946">
        <v>0.49476609999999999</v>
      </c>
      <c r="F3946" t="s">
        <v>51</v>
      </c>
      <c r="G3946">
        <v>-425.69040000000001</v>
      </c>
      <c r="H3946" s="1">
        <v>2.9285629999999998E-6</v>
      </c>
      <c r="I3946">
        <v>214.9212</v>
      </c>
      <c r="J3946">
        <v>-440.94380000000001</v>
      </c>
      <c r="K3946">
        <v>1.1216379999999999</v>
      </c>
      <c r="L3946">
        <v>215.37690000000001</v>
      </c>
      <c r="M3946">
        <v>0.99985780000000002</v>
      </c>
      <c r="N3946">
        <v>-1.441893E-2</v>
      </c>
      <c r="O3946">
        <v>8.7480579999999995E-3</v>
      </c>
      <c r="P3946">
        <v>0.99863120000000005</v>
      </c>
      <c r="Q3946">
        <v>-3.3430830000000002E-2</v>
      </c>
      <c r="R3946">
        <v>-4.0229229999999998E-2</v>
      </c>
      <c r="S3946">
        <v>2.9933169999999998</v>
      </c>
      <c r="T3946">
        <v>-0.21729619999999999</v>
      </c>
      <c r="U3946">
        <v>-8.7875369999999994E-2</v>
      </c>
      <c r="V3946">
        <v>4.8972799999999997E-2</v>
      </c>
      <c r="W3946">
        <v>-1.901251E-2</v>
      </c>
      <c r="X3946">
        <v>0.99861909999999998</v>
      </c>
      <c r="Y3946">
        <v>3.7954170000000002E-2</v>
      </c>
      <c r="Z3946">
        <v>-2.1577639999999999E-3</v>
      </c>
      <c r="AA3946">
        <v>0.99927719999999998</v>
      </c>
      <c r="AB3946">
        <v>21</v>
      </c>
      <c r="AC3946">
        <v>15.253399999999999</v>
      </c>
      <c r="AD3946">
        <v>-1.12163507143699</v>
      </c>
      <c r="AE3946">
        <v>-0.45570000000000699</v>
      </c>
      <c r="AF3946">
        <v>0.58596845236376505</v>
      </c>
      <c r="AG3946">
        <v>-1.12163507143699</v>
      </c>
      <c r="AH3946">
        <v>15.1668925025508</v>
      </c>
      <c r="AI3946">
        <v>94.226345963595506</v>
      </c>
      <c r="AJ3946">
        <v>87.787494716700095</v>
      </c>
      <c r="AK3946">
        <v>15.219594358739499</v>
      </c>
      <c r="AL3946">
        <v>91.089402264625306</v>
      </c>
      <c r="AM3946">
        <v>87.192434440238102</v>
      </c>
      <c r="AN3946">
        <v>0.99999995878057402</v>
      </c>
    </row>
    <row r="3947" spans="1:40" x14ac:dyDescent="0.25">
      <c r="A3947" t="str">
        <f>"20190303154214444"</f>
        <v>20190303154214444</v>
      </c>
      <c r="B3947" t="str">
        <f>"1551598934433908"</f>
        <v>1551598934433908</v>
      </c>
      <c r="C3947" t="s">
        <v>40</v>
      </c>
      <c r="D3947">
        <v>5.4307160000000003</v>
      </c>
      <c r="E3947">
        <v>0.49447099999999999</v>
      </c>
      <c r="F3947" t="s">
        <v>51</v>
      </c>
      <c r="G3947">
        <v>-425.3852</v>
      </c>
      <c r="H3947" s="1">
        <v>2.9806330000000002E-6</v>
      </c>
      <c r="I3947">
        <v>214.94489999999999</v>
      </c>
      <c r="J3947">
        <v>-440.73970000000003</v>
      </c>
      <c r="K3947">
        <v>1.121634</v>
      </c>
      <c r="L3947">
        <v>215.37899999999999</v>
      </c>
      <c r="M3947">
        <v>0.9998551</v>
      </c>
      <c r="N3947">
        <v>-1.44146E-2</v>
      </c>
      <c r="O3947">
        <v>9.0728649999999994E-3</v>
      </c>
      <c r="P3947">
        <v>0.9986796</v>
      </c>
      <c r="Q3947">
        <v>-3.3182240000000002E-2</v>
      </c>
      <c r="R3947">
        <v>-3.9217719999999998E-2</v>
      </c>
      <c r="S3947">
        <v>2.9935299999999998</v>
      </c>
      <c r="T3947">
        <v>-0.21580589999999999</v>
      </c>
      <c r="U3947">
        <v>-8.311462E-2</v>
      </c>
      <c r="V3947">
        <v>4.8285880000000003E-2</v>
      </c>
      <c r="W3947">
        <v>-1.8768739999999999E-2</v>
      </c>
      <c r="X3947">
        <v>0.99865720000000002</v>
      </c>
      <c r="Y3947">
        <v>3.6693919999999998E-2</v>
      </c>
      <c r="Z3947">
        <v>-2.1081049999999999E-3</v>
      </c>
      <c r="AA3947">
        <v>0.99932430000000005</v>
      </c>
      <c r="AB3947">
        <v>21</v>
      </c>
      <c r="AC3947">
        <v>15.3545</v>
      </c>
      <c r="AD3947">
        <v>-1.121631019367</v>
      </c>
      <c r="AE3947">
        <v>-0.43410000000002902</v>
      </c>
      <c r="AF3947">
        <v>0.57036476201879305</v>
      </c>
      <c r="AG3947">
        <v>-1.121631019367</v>
      </c>
      <c r="AH3947">
        <v>15.2685187942547</v>
      </c>
      <c r="AI3947">
        <v>94.198504496034602</v>
      </c>
      <c r="AJ3947">
        <v>87.860676203758402</v>
      </c>
      <c r="AK3947">
        <v>15.3202819254695</v>
      </c>
      <c r="AL3947">
        <v>91.075432737472894</v>
      </c>
      <c r="AM3947">
        <v>87.231858688471405</v>
      </c>
      <c r="AN3947">
        <v>0.99999999746020096</v>
      </c>
    </row>
    <row r="3948" spans="1:40" x14ac:dyDescent="0.25">
      <c r="A3948" t="str">
        <f>"20190303154214468"</f>
        <v>20190303154214468</v>
      </c>
      <c r="B3948" t="str">
        <f>"1551598934463188"</f>
        <v>1551598934463188</v>
      </c>
      <c r="C3948" t="s">
        <v>40</v>
      </c>
      <c r="D3948">
        <v>5.3917390000000003</v>
      </c>
      <c r="E3948">
        <v>0.49403789999999997</v>
      </c>
      <c r="F3948" t="s">
        <v>51</v>
      </c>
      <c r="G3948">
        <v>-425.11849999999998</v>
      </c>
      <c r="H3948" s="1">
        <v>3.0255550000000001E-6</v>
      </c>
      <c r="I3948">
        <v>214.97219999999999</v>
      </c>
      <c r="J3948">
        <v>-440.52980000000002</v>
      </c>
      <c r="K3948">
        <v>1.1216120000000001</v>
      </c>
      <c r="L3948">
        <v>215.38140000000001</v>
      </c>
      <c r="M3948">
        <v>0.99985219999999997</v>
      </c>
      <c r="N3948">
        <v>-1.440979E-2</v>
      </c>
      <c r="O3948">
        <v>9.3894819999999993E-3</v>
      </c>
      <c r="P3948">
        <v>0.99869909999999995</v>
      </c>
      <c r="Q3948">
        <v>-3.4015700000000003E-2</v>
      </c>
      <c r="R3948">
        <v>-3.7987430000000003E-2</v>
      </c>
      <c r="S3948">
        <v>2.993805</v>
      </c>
      <c r="T3948">
        <v>-0.21496019999999999</v>
      </c>
      <c r="U3948">
        <v>-7.7972410000000006E-2</v>
      </c>
      <c r="V3948">
        <v>4.7371839999999998E-2</v>
      </c>
      <c r="W3948">
        <v>-1.9608420000000001E-2</v>
      </c>
      <c r="X3948">
        <v>0.99868480000000004</v>
      </c>
      <c r="Y3948">
        <v>3.5297349999999998E-2</v>
      </c>
      <c r="Z3948">
        <v>-2.0581940000000002E-3</v>
      </c>
      <c r="AA3948">
        <v>0.99937469999999995</v>
      </c>
      <c r="AB3948">
        <v>21</v>
      </c>
      <c r="AC3948">
        <v>15.411300000000001</v>
      </c>
      <c r="AD3948">
        <v>-1.121608974445</v>
      </c>
      <c r="AE3948">
        <v>-0.40920000000002599</v>
      </c>
      <c r="AF3948">
        <v>0.550984752718225</v>
      </c>
      <c r="AG3948">
        <v>-1.121608974445</v>
      </c>
      <c r="AH3948">
        <v>15.3256598691903</v>
      </c>
      <c r="AI3948">
        <v>94.183038477261306</v>
      </c>
      <c r="AJ3948">
        <v>87.941001537767093</v>
      </c>
      <c r="AK3948">
        <v>15.3765224064284</v>
      </c>
      <c r="AL3948">
        <v>91.123551765798894</v>
      </c>
      <c r="AM3948">
        <v>87.2842546683069</v>
      </c>
      <c r="AN3948">
        <v>0.99999995555545995</v>
      </c>
    </row>
    <row r="3949" spans="1:40" x14ac:dyDescent="0.25">
      <c r="A3949" t="str">
        <f>"20190303154214489"</f>
        <v>20190303154214489</v>
      </c>
      <c r="B3949" t="str">
        <f>"1551598934483685"</f>
        <v>1551598934483685</v>
      </c>
      <c r="C3949" t="s">
        <v>40</v>
      </c>
      <c r="D3949">
        <v>5.385942</v>
      </c>
      <c r="E3949">
        <v>0.49378569999999999</v>
      </c>
      <c r="F3949" t="s">
        <v>51</v>
      </c>
      <c r="G3949">
        <v>-425.02629999999999</v>
      </c>
      <c r="H3949" s="1">
        <v>3.0380969999999999E-6</v>
      </c>
      <c r="I3949">
        <v>215.01580000000001</v>
      </c>
      <c r="J3949">
        <v>-440.3306</v>
      </c>
      <c r="K3949">
        <v>1.1215919999999999</v>
      </c>
      <c r="L3949">
        <v>215.3836</v>
      </c>
      <c r="M3949">
        <v>0.99984969999999995</v>
      </c>
      <c r="N3949">
        <v>-1.440495E-2</v>
      </c>
      <c r="O3949">
        <v>9.6645129999999996E-3</v>
      </c>
      <c r="P3949">
        <v>0.99871010000000005</v>
      </c>
      <c r="Q3949">
        <v>-3.515774E-2</v>
      </c>
      <c r="R3949">
        <v>-3.6639339999999999E-2</v>
      </c>
      <c r="S3949">
        <v>2.993805</v>
      </c>
      <c r="T3949">
        <v>-0.21658740000000001</v>
      </c>
      <c r="U3949">
        <v>-7.0587159999999996E-2</v>
      </c>
      <c r="V3949">
        <v>4.6297680000000001E-2</v>
      </c>
      <c r="W3949">
        <v>-2.0757439999999999E-2</v>
      </c>
      <c r="X3949">
        <v>0.99871200000000004</v>
      </c>
      <c r="Y3949">
        <v>3.3112950000000002E-2</v>
      </c>
      <c r="Z3949">
        <v>-1.9940940000000001E-3</v>
      </c>
      <c r="AA3949">
        <v>0.99944960000000005</v>
      </c>
      <c r="AB3949">
        <v>21</v>
      </c>
      <c r="AC3949">
        <v>15.3043</v>
      </c>
      <c r="AD3949">
        <v>-1.1215889619029999</v>
      </c>
      <c r="AE3949">
        <v>-0.36779999999998803</v>
      </c>
      <c r="AF3949">
        <v>0.51295336002173297</v>
      </c>
      <c r="AG3949">
        <v>-1.1215889619029999</v>
      </c>
      <c r="AH3949">
        <v>15.2183423448132</v>
      </c>
      <c r="AI3949">
        <v>94.212683823238606</v>
      </c>
      <c r="AJ3949">
        <v>88.069504588639006</v>
      </c>
      <c r="AK3949">
        <v>15.2682358729801</v>
      </c>
      <c r="AL3949">
        <v>91.189399125688794</v>
      </c>
      <c r="AM3949">
        <v>87.345817497884397</v>
      </c>
      <c r="AN3949">
        <v>1.00000000271636</v>
      </c>
    </row>
    <row r="3950" spans="1:40" x14ac:dyDescent="0.25">
      <c r="A3950" t="str">
        <f>"20190303154214512"</f>
        <v>20190303154214512</v>
      </c>
      <c r="B3950" t="str">
        <f>"1551598934504181"</f>
        <v>1551598934504181</v>
      </c>
      <c r="C3950" t="s">
        <v>40</v>
      </c>
      <c r="D3950">
        <v>5.3527899999999997</v>
      </c>
      <c r="E3950">
        <v>0.49354599999999998</v>
      </c>
      <c r="F3950" t="s">
        <v>51</v>
      </c>
      <c r="G3950">
        <v>-424.95190000000002</v>
      </c>
      <c r="H3950" s="1">
        <v>3.0481600000000001E-6</v>
      </c>
      <c r="I3950">
        <v>215.05160000000001</v>
      </c>
      <c r="J3950">
        <v>-440.11660000000001</v>
      </c>
      <c r="K3950">
        <v>1.1215569999999999</v>
      </c>
      <c r="L3950">
        <v>215.386</v>
      </c>
      <c r="M3950">
        <v>0.99984709999999999</v>
      </c>
      <c r="N3950">
        <v>-1.43996E-2</v>
      </c>
      <c r="O3950">
        <v>9.9210800000000005E-3</v>
      </c>
      <c r="P3950">
        <v>0.99869629999999998</v>
      </c>
      <c r="Q3950">
        <v>-3.593884E-2</v>
      </c>
      <c r="R3950">
        <v>-3.6254250000000002E-2</v>
      </c>
      <c r="S3950">
        <v>2.9938349999999998</v>
      </c>
      <c r="T3950">
        <v>-0.21834439999999999</v>
      </c>
      <c r="U3950">
        <v>-6.4636230000000003E-2</v>
      </c>
      <c r="V3950">
        <v>4.6167630000000001E-2</v>
      </c>
      <c r="W3950">
        <v>-2.1547279999999999E-2</v>
      </c>
      <c r="X3950">
        <v>0.99870130000000001</v>
      </c>
      <c r="Y3950">
        <v>3.1386690000000002E-2</v>
      </c>
      <c r="Z3950">
        <v>-1.9490899999999999E-3</v>
      </c>
      <c r="AA3950">
        <v>0.99950539999999999</v>
      </c>
      <c r="AB3950">
        <v>21</v>
      </c>
      <c r="AC3950">
        <v>15.1646999999999</v>
      </c>
      <c r="AD3950">
        <v>-1.12155395184</v>
      </c>
      <c r="AE3950">
        <v>-0.33439999999998798</v>
      </c>
      <c r="AF3950">
        <v>0.48221300684177598</v>
      </c>
      <c r="AG3950">
        <v>-1.12155395184</v>
      </c>
      <c r="AH3950">
        <v>15.078200665155</v>
      </c>
      <c r="AI3950">
        <v>94.251802522097194</v>
      </c>
      <c r="AJ3950">
        <v>88.168259118079803</v>
      </c>
      <c r="AK3950">
        <v>15.1275426936941</v>
      </c>
      <c r="AL3950">
        <v>91.2346637423678</v>
      </c>
      <c r="AM3950">
        <v>87.353234152688898</v>
      </c>
      <c r="AN3950">
        <v>1.0000000109784499</v>
      </c>
    </row>
    <row r="3951" spans="1:40" x14ac:dyDescent="0.25">
      <c r="A3951" t="str">
        <f>"20190303154214535"</f>
        <v>20190303154214535</v>
      </c>
      <c r="B3951" t="str">
        <f>"1551598934523704"</f>
        <v>1551598934523704</v>
      </c>
      <c r="C3951" t="s">
        <v>40</v>
      </c>
      <c r="D3951">
        <v>5.421564</v>
      </c>
      <c r="E3951">
        <v>0.49328499999999997</v>
      </c>
      <c r="F3951" t="s">
        <v>51</v>
      </c>
      <c r="G3951">
        <v>-424.79910000000001</v>
      </c>
      <c r="H3951" s="1">
        <v>3.0735529999999999E-6</v>
      </c>
      <c r="I3951">
        <v>215.0712</v>
      </c>
      <c r="J3951">
        <v>-439.9092</v>
      </c>
      <c r="K3951">
        <v>1.121516</v>
      </c>
      <c r="L3951">
        <v>215.38829999999999</v>
      </c>
      <c r="M3951">
        <v>0.9998454</v>
      </c>
      <c r="N3951">
        <v>-1.439441E-2</v>
      </c>
      <c r="O3951">
        <v>1.011593E-2</v>
      </c>
      <c r="P3951">
        <v>0.99872950000000005</v>
      </c>
      <c r="Q3951">
        <v>-3.5964019999999999E-2</v>
      </c>
      <c r="R3951">
        <v>-3.5304410000000001E-2</v>
      </c>
      <c r="S3951">
        <v>2.993805</v>
      </c>
      <c r="T3951">
        <v>-0.21920799999999999</v>
      </c>
      <c r="U3951">
        <v>-6.1523439999999999E-2</v>
      </c>
      <c r="V3951">
        <v>4.5410909999999999E-2</v>
      </c>
      <c r="W3951">
        <v>-2.1581360000000001E-2</v>
      </c>
      <c r="X3951">
        <v>0.99873520000000005</v>
      </c>
      <c r="Y3951">
        <v>3.0544379999999999E-2</v>
      </c>
      <c r="Z3951">
        <v>-1.931035E-3</v>
      </c>
      <c r="AA3951">
        <v>0.99953159999999996</v>
      </c>
      <c r="AB3951">
        <v>21</v>
      </c>
      <c r="AC3951">
        <v>15.1100999999999</v>
      </c>
      <c r="AD3951">
        <v>-1.1215129264469901</v>
      </c>
      <c r="AE3951">
        <v>-0.31709999999998201</v>
      </c>
      <c r="AF3951">
        <v>0.46737863411320402</v>
      </c>
      <c r="AG3951">
        <v>-1.1215129264469901</v>
      </c>
      <c r="AH3951">
        <v>15.0233909636917</v>
      </c>
      <c r="AI3951">
        <v>94.267218285473305</v>
      </c>
      <c r="AJ3951">
        <v>88.218099423918005</v>
      </c>
      <c r="AK3951">
        <v>15.0724420741878</v>
      </c>
      <c r="AL3951">
        <v>91.236616908655805</v>
      </c>
      <c r="AM3951">
        <v>87.396644572481904</v>
      </c>
      <c r="AN3951">
        <v>0.999999952782757</v>
      </c>
    </row>
    <row r="3952" spans="1:40" x14ac:dyDescent="0.25">
      <c r="A3952" t="str">
        <f>"20190303154214558"</f>
        <v>20190303154214558</v>
      </c>
      <c r="B3952" t="str">
        <f>"1551598934553956"</f>
        <v>1551598934553956</v>
      </c>
      <c r="C3952" t="s">
        <v>40</v>
      </c>
      <c r="D3952">
        <v>5.3150789999999999</v>
      </c>
      <c r="E3952">
        <v>0.49299130000000002</v>
      </c>
      <c r="F3952" t="s">
        <v>51</v>
      </c>
      <c r="G3952">
        <v>-424.5745</v>
      </c>
      <c r="H3952" s="1">
        <v>3.111064E-6</v>
      </c>
      <c r="I3952">
        <v>215.09790000000001</v>
      </c>
      <c r="J3952">
        <v>-439.69560000000001</v>
      </c>
      <c r="K3952">
        <v>1.1214660000000001</v>
      </c>
      <c r="L3952">
        <v>215.39070000000001</v>
      </c>
      <c r="M3952">
        <v>0.99984399999999996</v>
      </c>
      <c r="N3952">
        <v>-1.438909E-2</v>
      </c>
      <c r="O3952">
        <v>1.0242930000000001E-2</v>
      </c>
      <c r="P3952">
        <v>0.99877039999999995</v>
      </c>
      <c r="Q3952">
        <v>-3.6246359999999998E-2</v>
      </c>
      <c r="R3952">
        <v>-3.3825550000000003E-2</v>
      </c>
      <c r="S3952">
        <v>2.9939269999999998</v>
      </c>
      <c r="T3952">
        <v>-0.21896180000000001</v>
      </c>
      <c r="U3952">
        <v>-5.6701660000000001E-2</v>
      </c>
      <c r="V3952">
        <v>4.40568E-2</v>
      </c>
      <c r="W3952">
        <v>-2.187358E-2</v>
      </c>
      <c r="X3952">
        <v>0.9987895</v>
      </c>
      <c r="Y3952">
        <v>2.9066089999999999E-2</v>
      </c>
      <c r="Z3952">
        <v>-1.8716889999999999E-3</v>
      </c>
      <c r="AA3952">
        <v>0.99957569999999996</v>
      </c>
      <c r="AB3952">
        <v>21</v>
      </c>
      <c r="AC3952">
        <v>15.1211</v>
      </c>
      <c r="AD3952">
        <v>-1.1214628889360001</v>
      </c>
      <c r="AE3952">
        <v>-0.29279999999999901</v>
      </c>
      <c r="AF3952">
        <v>0.44523693008423798</v>
      </c>
      <c r="AG3952">
        <v>-1.1214628889360001</v>
      </c>
      <c r="AH3952">
        <v>15.0346399325669</v>
      </c>
      <c r="AI3952">
        <v>94.264040557226906</v>
      </c>
      <c r="AJ3952">
        <v>88.3037343369122</v>
      </c>
      <c r="AK3952">
        <v>15.0829809002433</v>
      </c>
      <c r="AL3952">
        <v>91.253363826309695</v>
      </c>
      <c r="AM3952">
        <v>87.474309208221698</v>
      </c>
      <c r="AN3952">
        <v>0.99999996021925197</v>
      </c>
    </row>
    <row r="3953" spans="1:40" x14ac:dyDescent="0.25">
      <c r="A3953" t="str">
        <f>"20190303154214581"</f>
        <v>20190303154214581</v>
      </c>
      <c r="B3953" t="str">
        <f>"1551598934573476"</f>
        <v>1551598934573476</v>
      </c>
      <c r="C3953" t="s">
        <v>40</v>
      </c>
      <c r="D3953">
        <v>5.3301119999999997</v>
      </c>
      <c r="E3953">
        <v>0.49281910000000001</v>
      </c>
      <c r="F3953" t="s">
        <v>51</v>
      </c>
      <c r="G3953">
        <v>-424.23559999999998</v>
      </c>
      <c r="H3953" s="1">
        <v>3.1681429999999999E-6</v>
      </c>
      <c r="I3953">
        <v>215.1326</v>
      </c>
      <c r="J3953">
        <v>-439.48570000000001</v>
      </c>
      <c r="K3953">
        <v>1.1214150000000001</v>
      </c>
      <c r="L3953">
        <v>215.3929</v>
      </c>
      <c r="M3953">
        <v>0.9998435</v>
      </c>
      <c r="N3953">
        <v>-1.438386E-2</v>
      </c>
      <c r="O3953">
        <v>1.030273E-2</v>
      </c>
      <c r="P3953">
        <v>0.99877959999999999</v>
      </c>
      <c r="Q3953">
        <v>-3.709776E-2</v>
      </c>
      <c r="R3953">
        <v>-3.2606290000000003E-2</v>
      </c>
      <c r="S3953">
        <v>2.9941409999999999</v>
      </c>
      <c r="T3953">
        <v>-0.21719289999999999</v>
      </c>
      <c r="U3953">
        <v>-4.9972530000000001E-2</v>
      </c>
      <c r="V3953">
        <v>4.2895049999999997E-2</v>
      </c>
      <c r="W3953">
        <v>-2.273464E-2</v>
      </c>
      <c r="X3953">
        <v>0.99882090000000001</v>
      </c>
      <c r="Y3953">
        <v>2.68872E-2</v>
      </c>
      <c r="Z3953">
        <v>-1.765834E-3</v>
      </c>
      <c r="AA3953">
        <v>0.99963690000000005</v>
      </c>
      <c r="AB3953">
        <v>21</v>
      </c>
      <c r="AC3953">
        <v>15.2501</v>
      </c>
      <c r="AD3953">
        <v>-1.1214118318569899</v>
      </c>
      <c r="AE3953">
        <v>-0.26029999999999998</v>
      </c>
      <c r="AF3953">
        <v>0.41517574661161299</v>
      </c>
      <c r="AG3953">
        <v>-1.1214118318569899</v>
      </c>
      <c r="AH3953">
        <v>15.164631698394</v>
      </c>
      <c r="AI3953">
        <v>94.227698560578503</v>
      </c>
      <c r="AJ3953">
        <v>88.431753714792194</v>
      </c>
      <c r="AK3953">
        <v>15.2117056882238</v>
      </c>
      <c r="AL3953">
        <v>91.302711132207904</v>
      </c>
      <c r="AM3953">
        <v>87.540904425169202</v>
      </c>
      <c r="AN3953">
        <v>1.0000000197236201</v>
      </c>
    </row>
    <row r="3954" spans="1:40" x14ac:dyDescent="0.25">
      <c r="A3954" t="str">
        <f>"20190303154214601"</f>
        <v>20190303154214601</v>
      </c>
      <c r="B3954" t="str">
        <f>"1551598934593973"</f>
        <v>1551598934593973</v>
      </c>
      <c r="C3954" t="s">
        <v>40</v>
      </c>
      <c r="D3954">
        <v>5.2749959999999998</v>
      </c>
      <c r="E3954">
        <v>0.492622</v>
      </c>
      <c r="F3954" t="s">
        <v>51</v>
      </c>
      <c r="G3954">
        <v>-424.07490000000001</v>
      </c>
      <c r="H3954" s="1">
        <v>3.1939800000000001E-6</v>
      </c>
      <c r="I3954">
        <v>215.16300000000001</v>
      </c>
      <c r="J3954">
        <v>-439.29410000000001</v>
      </c>
      <c r="K3954">
        <v>1.121383</v>
      </c>
      <c r="L3954">
        <v>215.39490000000001</v>
      </c>
      <c r="M3954">
        <v>0.9998435</v>
      </c>
      <c r="N3954">
        <v>-1.4379090000000001E-2</v>
      </c>
      <c r="O3954">
        <v>1.031237E-2</v>
      </c>
      <c r="P3954">
        <v>0.99876180000000003</v>
      </c>
      <c r="Q3954">
        <v>-3.8096070000000003E-2</v>
      </c>
      <c r="R3954">
        <v>-3.1997079999999997E-2</v>
      </c>
      <c r="S3954">
        <v>2.99411</v>
      </c>
      <c r="T3954">
        <v>-0.21787500000000001</v>
      </c>
      <c r="U3954">
        <v>-4.4662479999999997E-2</v>
      </c>
      <c r="V3954">
        <v>4.2293230000000001E-2</v>
      </c>
      <c r="W3954">
        <v>-2.374126E-2</v>
      </c>
      <c r="X3954">
        <v>0.99882309999999996</v>
      </c>
      <c r="Y3954">
        <v>2.5129459999999999E-2</v>
      </c>
      <c r="Z3954">
        <v>-1.695282E-3</v>
      </c>
      <c r="AA3954">
        <v>0.99968279999999998</v>
      </c>
      <c r="AB3954">
        <v>21</v>
      </c>
      <c r="AC3954">
        <v>15.219200000000001</v>
      </c>
      <c r="AD3954">
        <v>-1.12137980602</v>
      </c>
      <c r="AE3954">
        <v>-0.231900000000024</v>
      </c>
      <c r="AF3954">
        <v>0.38675071358657598</v>
      </c>
      <c r="AG3954">
        <v>-1.12137980602</v>
      </c>
      <c r="AH3954">
        <v>15.1338558778543</v>
      </c>
      <c r="AI3954">
        <v>94.236347550117301</v>
      </c>
      <c r="AJ3954">
        <v>88.536105946118397</v>
      </c>
      <c r="AK3954">
        <v>15.1802721489265</v>
      </c>
      <c r="AL3954">
        <v>91.360401850704704</v>
      </c>
      <c r="AM3954">
        <v>87.575369542966797</v>
      </c>
      <c r="AN3954">
        <v>0.99999997491191495</v>
      </c>
    </row>
    <row r="3955" spans="1:40" x14ac:dyDescent="0.25">
      <c r="A3955" t="str">
        <f>"20190303154214624"</f>
        <v>20190303154214624</v>
      </c>
      <c r="B3955" t="str">
        <f>"1551598934613496"</f>
        <v>1551598934613496</v>
      </c>
      <c r="C3955" t="s">
        <v>40</v>
      </c>
      <c r="D3955">
        <v>5.385389</v>
      </c>
      <c r="E3955">
        <v>0.49242469999999999</v>
      </c>
      <c r="F3955" t="s">
        <v>51</v>
      </c>
      <c r="G3955">
        <v>-424.07530000000003</v>
      </c>
      <c r="H3955" s="1">
        <v>3.191975E-6</v>
      </c>
      <c r="I3955">
        <v>215.18530000000001</v>
      </c>
      <c r="J3955">
        <v>-439.08819999999997</v>
      </c>
      <c r="K3955">
        <v>1.121356</v>
      </c>
      <c r="L3955">
        <v>215.39699999999999</v>
      </c>
      <c r="M3955">
        <v>0.99984410000000001</v>
      </c>
      <c r="N3955">
        <v>-1.437396E-2</v>
      </c>
      <c r="O3955">
        <v>1.0260689999999999E-2</v>
      </c>
      <c r="P3955">
        <v>0.9987277</v>
      </c>
      <c r="Q3955">
        <v>-3.9359819999999997E-2</v>
      </c>
      <c r="R3955">
        <v>-3.1528229999999997E-2</v>
      </c>
      <c r="S3955">
        <v>2.9939879999999999</v>
      </c>
      <c r="T3955">
        <v>-0.2206082</v>
      </c>
      <c r="U3955">
        <v>-4.1244509999999998E-2</v>
      </c>
      <c r="V3955">
        <v>4.1770410000000001E-2</v>
      </c>
      <c r="W3955">
        <v>-2.5013649999999998E-2</v>
      </c>
      <c r="X3955">
        <v>0.99881399999999998</v>
      </c>
      <c r="Y3955">
        <v>2.3938910000000001E-2</v>
      </c>
      <c r="Z3955">
        <v>-1.6607270000000001E-3</v>
      </c>
      <c r="AA3955">
        <v>0.99971200000000005</v>
      </c>
      <c r="AB3955">
        <v>21</v>
      </c>
      <c r="AC3955">
        <v>15.012899999999901</v>
      </c>
      <c r="AD3955">
        <v>-1.1213528080249999</v>
      </c>
      <c r="AE3955">
        <v>-0.21170000000000699</v>
      </c>
      <c r="AF3955">
        <v>0.363718694601324</v>
      </c>
      <c r="AG3955">
        <v>-1.1213528080249999</v>
      </c>
      <c r="AH3955">
        <v>14.926677921612599</v>
      </c>
      <c r="AI3955">
        <v>94.294952123987201</v>
      </c>
      <c r="AJ3955">
        <v>88.604148679099296</v>
      </c>
      <c r="AK3955">
        <v>14.9731572216558</v>
      </c>
      <c r="AL3955">
        <v>91.433326172517297</v>
      </c>
      <c r="AM3955">
        <v>87.605285410783296</v>
      </c>
      <c r="AN3955">
        <v>0.99999992821694195</v>
      </c>
    </row>
    <row r="3956" spans="1:40" x14ac:dyDescent="0.25">
      <c r="A3956" t="str">
        <f>"20190303154214645"</f>
        <v>20190303154214645</v>
      </c>
      <c r="B3956" t="str">
        <f>"1551598934633988"</f>
        <v>1551598934633988</v>
      </c>
      <c r="C3956" t="s">
        <v>40</v>
      </c>
      <c r="D3956">
        <v>5.3228249999999999</v>
      </c>
      <c r="E3956">
        <v>0.4925233</v>
      </c>
      <c r="F3956" t="s">
        <v>51</v>
      </c>
      <c r="G3956">
        <v>-424.1302</v>
      </c>
      <c r="H3956" s="1">
        <v>3.1804449999999998E-6</v>
      </c>
      <c r="I3956">
        <v>215.20570000000001</v>
      </c>
      <c r="J3956">
        <v>-438.88799999999998</v>
      </c>
      <c r="K3956">
        <v>1.1213200000000001</v>
      </c>
      <c r="L3956">
        <v>215.399</v>
      </c>
      <c r="M3956">
        <v>0.9998454</v>
      </c>
      <c r="N3956">
        <v>-1.436901E-2</v>
      </c>
      <c r="O3956">
        <v>1.0135460000000001E-2</v>
      </c>
      <c r="P3956">
        <v>0.99873749999999994</v>
      </c>
      <c r="Q3956">
        <v>-3.9601440000000002E-2</v>
      </c>
      <c r="R3956">
        <v>-3.0910750000000001E-2</v>
      </c>
      <c r="S3956">
        <v>2.9937130000000001</v>
      </c>
      <c r="T3956">
        <v>-0.2244295</v>
      </c>
      <c r="U3956">
        <v>-3.8299560000000003E-2</v>
      </c>
      <c r="V3956">
        <v>4.1025699999999998E-2</v>
      </c>
      <c r="W3956">
        <v>-2.5263339999999999E-2</v>
      </c>
      <c r="X3956">
        <v>0.99883869999999997</v>
      </c>
      <c r="Y3956">
        <v>2.283234E-2</v>
      </c>
      <c r="Z3956">
        <v>-1.6321879999999999E-3</v>
      </c>
      <c r="AA3956">
        <v>0.99973800000000002</v>
      </c>
      <c r="AB3956">
        <v>21</v>
      </c>
      <c r="AC3956">
        <v>14.7578</v>
      </c>
      <c r="AD3956">
        <v>-1.1213168195550001</v>
      </c>
      <c r="AE3956">
        <v>-0.19329999999999301</v>
      </c>
      <c r="AF3956">
        <v>0.34091478577311202</v>
      </c>
      <c r="AG3956">
        <v>-1.1213168195550001</v>
      </c>
      <c r="AH3956">
        <v>14.6704024000604</v>
      </c>
      <c r="AI3956">
        <v>94.369669203140205</v>
      </c>
      <c r="AJ3956">
        <v>88.668784743846899</v>
      </c>
      <c r="AK3956">
        <v>14.7171424155871</v>
      </c>
      <c r="AL3956">
        <v>91.447636707979299</v>
      </c>
      <c r="AM3956">
        <v>87.647989651726206</v>
      </c>
      <c r="AN3956">
        <v>1.0000000465130601</v>
      </c>
    </row>
    <row r="3957" spans="1:40" x14ac:dyDescent="0.25">
      <c r="A3957" t="str">
        <f>"20190303154214668"</f>
        <v>20190303154214668</v>
      </c>
      <c r="B3957" t="str">
        <f>"1551598934663268"</f>
        <v>1551598934663268</v>
      </c>
      <c r="C3957" t="s">
        <v>40</v>
      </c>
      <c r="D3957">
        <v>5.2670190000000003</v>
      </c>
      <c r="E3957">
        <v>0.49300569999999999</v>
      </c>
      <c r="F3957" t="s">
        <v>51</v>
      </c>
      <c r="G3957">
        <v>-423.95929999999998</v>
      </c>
      <c r="H3957" s="1">
        <v>3.2100869999999998E-6</v>
      </c>
      <c r="I3957">
        <v>215.21340000000001</v>
      </c>
      <c r="J3957">
        <v>-438.68630000000002</v>
      </c>
      <c r="K3957">
        <v>1.1212709999999999</v>
      </c>
      <c r="L3957">
        <v>215.4008</v>
      </c>
      <c r="M3957">
        <v>0.99984770000000001</v>
      </c>
      <c r="N3957">
        <v>-1.436425E-2</v>
      </c>
      <c r="O3957">
        <v>9.9265310000000006E-3</v>
      </c>
      <c r="P3957">
        <v>0.99870809999999999</v>
      </c>
      <c r="Q3957">
        <v>-4.0853569999999999E-2</v>
      </c>
      <c r="R3957">
        <v>-3.022147E-2</v>
      </c>
      <c r="S3957">
        <v>2.9937130000000001</v>
      </c>
      <c r="T3957">
        <v>-0.22486229999999999</v>
      </c>
      <c r="U3957">
        <v>-3.7216190000000003E-2</v>
      </c>
      <c r="V3957">
        <v>4.012404E-2</v>
      </c>
      <c r="W3957">
        <v>-2.6524579999999999E-2</v>
      </c>
      <c r="X3957">
        <v>0.99884260000000002</v>
      </c>
      <c r="Y3957">
        <v>2.2263640000000001E-2</v>
      </c>
      <c r="Z3957">
        <v>-1.597198E-3</v>
      </c>
      <c r="AA3957">
        <v>0.9997509</v>
      </c>
      <c r="AB3957">
        <v>20</v>
      </c>
      <c r="AC3957">
        <v>14.727</v>
      </c>
      <c r="AD3957">
        <v>-1.1212677899129999</v>
      </c>
      <c r="AE3957">
        <v>-0.18739999999999599</v>
      </c>
      <c r="AF3957">
        <v>0.331671519582172</v>
      </c>
      <c r="AG3957">
        <v>-1.1212677899129999</v>
      </c>
      <c r="AH3957">
        <v>14.6395645978129</v>
      </c>
      <c r="AI3957">
        <v>94.378705561149403</v>
      </c>
      <c r="AJ3957">
        <v>88.7021384593248</v>
      </c>
      <c r="AK3957">
        <v>14.686187356394999</v>
      </c>
      <c r="AL3957">
        <v>91.519924723638994</v>
      </c>
      <c r="AM3957">
        <v>87.699634789595095</v>
      </c>
      <c r="AN3957">
        <v>1.00000001575242</v>
      </c>
    </row>
    <row r="3958" spans="1:40" x14ac:dyDescent="0.25">
      <c r="A3958" t="str">
        <f>"20190303154214691"</f>
        <v>20190303154214691</v>
      </c>
      <c r="B3958" t="str">
        <f>"1551598934683765"</f>
        <v>1551598934683765</v>
      </c>
      <c r="C3958" t="s">
        <v>40</v>
      </c>
      <c r="D3958">
        <v>5.3790199999999997</v>
      </c>
      <c r="E3958">
        <v>0.49318620000000002</v>
      </c>
      <c r="F3958" t="s">
        <v>51</v>
      </c>
      <c r="G3958">
        <v>-423.92230000000001</v>
      </c>
      <c r="H3958" s="1">
        <v>3.217027E-6</v>
      </c>
      <c r="I3958">
        <v>215.20920000000001</v>
      </c>
      <c r="J3958">
        <v>-438.47500000000002</v>
      </c>
      <c r="K3958">
        <v>1.1212059999999999</v>
      </c>
      <c r="L3958">
        <v>215.40260000000001</v>
      </c>
      <c r="M3958">
        <v>0.99985080000000004</v>
      </c>
      <c r="N3958">
        <v>-1.435955E-2</v>
      </c>
      <c r="O3958">
        <v>9.6163040000000009E-3</v>
      </c>
      <c r="P3958">
        <v>0.99871049999999995</v>
      </c>
      <c r="Q3958">
        <v>-4.1097359999999999E-2</v>
      </c>
      <c r="R3958">
        <v>-2.9814500000000001E-2</v>
      </c>
      <c r="S3958">
        <v>2.9934080000000001</v>
      </c>
      <c r="T3958">
        <v>-0.2273375</v>
      </c>
      <c r="U3958">
        <v>-3.8864139999999998E-2</v>
      </c>
      <c r="V3958">
        <v>3.9403290000000001E-2</v>
      </c>
      <c r="W3958">
        <v>-2.6778369999999999E-2</v>
      </c>
      <c r="X3958">
        <v>0.99886450000000004</v>
      </c>
      <c r="Y3958">
        <v>2.250274E-2</v>
      </c>
      <c r="Z3958">
        <v>-1.606405E-3</v>
      </c>
      <c r="AA3958">
        <v>0.99974549999999995</v>
      </c>
      <c r="AB3958">
        <v>20</v>
      </c>
      <c r="AC3958">
        <v>14.5527</v>
      </c>
      <c r="AD3958">
        <v>-1.121202782973</v>
      </c>
      <c r="AE3958">
        <v>-0.19339999999999599</v>
      </c>
      <c r="AF3958">
        <v>0.33138197420881799</v>
      </c>
      <c r="AG3958">
        <v>-1.121202782973</v>
      </c>
      <c r="AH3958">
        <v>14.4643244372055</v>
      </c>
      <c r="AI3958">
        <v>94.431263516771494</v>
      </c>
      <c r="AJ3958">
        <v>88.687566244961403</v>
      </c>
      <c r="AK3958">
        <v>14.511498582783201</v>
      </c>
      <c r="AL3958">
        <v>91.5344710184268</v>
      </c>
      <c r="AM3958">
        <v>87.740962632533694</v>
      </c>
      <c r="AN3958">
        <v>0.99999999486146496</v>
      </c>
    </row>
    <row r="3959" spans="1:40" x14ac:dyDescent="0.25">
      <c r="A3959" t="str">
        <f>"20190303154214713"</f>
        <v>20190303154214713</v>
      </c>
      <c r="B3959" t="str">
        <f>"1551598934703284"</f>
        <v>1551598934703284</v>
      </c>
      <c r="C3959" t="s">
        <v>40</v>
      </c>
      <c r="D3959">
        <v>5.3011030000000003</v>
      </c>
      <c r="E3959">
        <v>0.50939060000000003</v>
      </c>
      <c r="F3959" t="s">
        <v>51</v>
      </c>
      <c r="G3959">
        <v>-423.71370000000002</v>
      </c>
      <c r="H3959" s="1">
        <v>3.2539770000000001E-6</v>
      </c>
      <c r="I3959">
        <v>215.20959999999999</v>
      </c>
      <c r="J3959">
        <v>-438.27550000000002</v>
      </c>
      <c r="K3959">
        <v>1.1211310000000001</v>
      </c>
      <c r="L3959">
        <v>215.4042</v>
      </c>
      <c r="M3959">
        <v>0.99985440000000003</v>
      </c>
      <c r="N3959">
        <v>-1.435522E-2</v>
      </c>
      <c r="O3959">
        <v>9.2310580000000003E-3</v>
      </c>
      <c r="P3959">
        <v>0.99870619999999999</v>
      </c>
      <c r="Q3959">
        <v>-4.1697369999999997E-2</v>
      </c>
      <c r="R3959">
        <v>-2.9110830000000001E-2</v>
      </c>
      <c r="S3959">
        <v>2.9933779999999999</v>
      </c>
      <c r="T3959">
        <v>-0.22736410000000001</v>
      </c>
      <c r="U3959">
        <v>-3.913879E-2</v>
      </c>
      <c r="V3959">
        <v>3.831035E-2</v>
      </c>
      <c r="W3959">
        <v>-2.7387979999999999E-2</v>
      </c>
      <c r="X3959">
        <v>0.99889050000000001</v>
      </c>
      <c r="Y3959">
        <v>2.2211089999999999E-2</v>
      </c>
      <c r="Z3959">
        <v>-1.569747E-3</v>
      </c>
      <c r="AA3959">
        <v>0.99975199999999997</v>
      </c>
      <c r="AB3959">
        <v>20</v>
      </c>
      <c r="AC3959">
        <v>14.5618</v>
      </c>
      <c r="AD3959">
        <v>-1.12112774602299</v>
      </c>
      <c r="AE3959">
        <v>-0.19460000000000799</v>
      </c>
      <c r="AF3959">
        <v>0.32708786740133899</v>
      </c>
      <c r="AG3959">
        <v>-1.12112774602299</v>
      </c>
      <c r="AH3959">
        <v>14.4736042347973</v>
      </c>
      <c r="AI3959">
        <v>94.428169740567796</v>
      </c>
      <c r="AJ3959">
        <v>88.705397450868006</v>
      </c>
      <c r="AK3959">
        <v>14.5206450766296</v>
      </c>
      <c r="AL3959">
        <v>91.569411896074996</v>
      </c>
      <c r="AM3959">
        <v>87.803617049578904</v>
      </c>
      <c r="AN3959">
        <v>1.0000000076779201</v>
      </c>
    </row>
    <row r="3960" spans="1:40" x14ac:dyDescent="0.25">
      <c r="A3960" t="str">
        <f>"20190303154214736"</f>
        <v>20190303154214736</v>
      </c>
      <c r="B3960" t="str">
        <f>"1551598934723783"</f>
        <v>1551598934723783</v>
      </c>
      <c r="C3960" t="s">
        <v>40</v>
      </c>
      <c r="D3960">
        <v>5.3345940000000001</v>
      </c>
      <c r="E3960">
        <v>0.50964129999999996</v>
      </c>
      <c r="F3960" t="s">
        <v>51</v>
      </c>
      <c r="G3960">
        <v>-416.91059999999999</v>
      </c>
      <c r="H3960" s="1">
        <v>3.4647239999999999E-6</v>
      </c>
      <c r="I3960">
        <v>214.2371</v>
      </c>
      <c r="J3960">
        <v>-438.06849999999997</v>
      </c>
      <c r="K3960">
        <v>1.121057</v>
      </c>
      <c r="L3960">
        <v>215.40549999999999</v>
      </c>
      <c r="M3960">
        <v>0.99985900000000005</v>
      </c>
      <c r="N3960">
        <v>-1.43508E-2</v>
      </c>
      <c r="O3960">
        <v>8.7302079999999997E-3</v>
      </c>
      <c r="P3960">
        <v>0.99869629999999998</v>
      </c>
      <c r="Q3960">
        <v>-4.2043179999999999E-2</v>
      </c>
      <c r="R3960">
        <v>-2.8955020000000001E-2</v>
      </c>
      <c r="S3960">
        <v>2.9925540000000002</v>
      </c>
      <c r="T3960">
        <v>-0.1570346</v>
      </c>
      <c r="U3960">
        <v>-0.16346739999999901</v>
      </c>
      <c r="V3960">
        <v>3.7649200000000001E-2</v>
      </c>
      <c r="W3960">
        <v>-2.7744049999999999E-2</v>
      </c>
      <c r="X3960">
        <v>0.99890579999999995</v>
      </c>
      <c r="Y3960">
        <v>6.3142710000000005E-2</v>
      </c>
      <c r="Z3960">
        <v>-2.440528E-3</v>
      </c>
      <c r="AA3960">
        <v>0.99800149999999999</v>
      </c>
      <c r="AB3960">
        <v>20</v>
      </c>
      <c r="AC3960">
        <v>21.157899999999898</v>
      </c>
      <c r="AD3960">
        <v>-1.121053535276</v>
      </c>
      <c r="AE3960">
        <v>-1.1683999999999899</v>
      </c>
      <c r="AF3960">
        <v>1.34931077179484</v>
      </c>
      <c r="AG3960">
        <v>-1.121053535276</v>
      </c>
      <c r="AH3960">
        <v>21.0878695629013</v>
      </c>
      <c r="AI3960">
        <v>93.036841426272701</v>
      </c>
      <c r="AJ3960">
        <v>86.3389110536407</v>
      </c>
      <c r="AK3960">
        <v>21.160709895695199</v>
      </c>
      <c r="AL3960">
        <v>91.589820978677906</v>
      </c>
      <c r="AM3960">
        <v>87.841518513534993</v>
      </c>
      <c r="AN3960">
        <v>0.99999999592234101</v>
      </c>
    </row>
    <row r="3961" spans="1:40" x14ac:dyDescent="0.25">
      <c r="A3961" t="str">
        <f>"20190303154214758"</f>
        <v>20190303154214758</v>
      </c>
      <c r="B3961" t="str">
        <f>"1551598934754038"</f>
        <v>1551598934754038</v>
      </c>
      <c r="C3961" t="s">
        <v>40</v>
      </c>
      <c r="D3961">
        <v>5.3266989999999996</v>
      </c>
      <c r="E3961">
        <v>0.50981520000000002</v>
      </c>
      <c r="F3961" t="s">
        <v>51</v>
      </c>
      <c r="G3961">
        <v>-416.76609999999999</v>
      </c>
      <c r="H3961" s="1">
        <v>3.439598E-6</v>
      </c>
      <c r="I3961">
        <v>214.23140000000001</v>
      </c>
      <c r="J3961">
        <v>-437.86419999999998</v>
      </c>
      <c r="K3961">
        <v>1.1209899999999999</v>
      </c>
      <c r="L3961">
        <v>215.4066</v>
      </c>
      <c r="M3961">
        <v>0.99986410000000003</v>
      </c>
      <c r="N3961">
        <v>-1.4346599999999999E-2</v>
      </c>
      <c r="O3961">
        <v>8.1207689999999999E-3</v>
      </c>
      <c r="P3961">
        <v>0.99868480000000004</v>
      </c>
      <c r="Q3961">
        <v>-4.308389E-2</v>
      </c>
      <c r="R3961">
        <v>-2.7793379999999999E-2</v>
      </c>
      <c r="S3961">
        <v>2.9924620000000002</v>
      </c>
      <c r="T3961">
        <v>-0.1574805</v>
      </c>
      <c r="U3961">
        <v>-0.164932299999999</v>
      </c>
      <c r="V3961">
        <v>3.5873540000000002E-2</v>
      </c>
      <c r="W3961">
        <v>-2.8792519999999999E-2</v>
      </c>
      <c r="X3961">
        <v>0.99894150000000004</v>
      </c>
      <c r="Y3961">
        <v>6.3023179999999998E-2</v>
      </c>
      <c r="Z3961">
        <v>-2.4191709999999999E-3</v>
      </c>
      <c r="AA3961">
        <v>0.99800909999999998</v>
      </c>
      <c r="AB3961">
        <v>20</v>
      </c>
      <c r="AC3961">
        <v>21.098099999999899</v>
      </c>
      <c r="AD3961">
        <v>-1.120986560402</v>
      </c>
      <c r="AE3961">
        <v>-1.17519999999998</v>
      </c>
      <c r="AF3961">
        <v>1.3427328347118701</v>
      </c>
      <c r="AG3961">
        <v>-1.120986560402</v>
      </c>
      <c r="AH3961">
        <v>21.0286788737594</v>
      </c>
      <c r="AI3961">
        <v>93.045217419313005</v>
      </c>
      <c r="AJ3961">
        <v>86.346483552716904</v>
      </c>
      <c r="AK3961">
        <v>21.101300374851501</v>
      </c>
      <c r="AL3961">
        <v>91.6499178638811</v>
      </c>
      <c r="AM3961">
        <v>87.943303441553496</v>
      </c>
      <c r="AN3961">
        <v>1.0000000202511601</v>
      </c>
    </row>
    <row r="3962" spans="1:40" x14ac:dyDescent="0.25">
      <c r="A3962" t="str">
        <f>"20190303154214782"</f>
        <v>20190303154214782</v>
      </c>
      <c r="B3962" t="str">
        <f>"1551598934773558"</f>
        <v>1551598934773558</v>
      </c>
      <c r="C3962" t="s">
        <v>40</v>
      </c>
      <c r="D3962">
        <v>5.3569879999999896</v>
      </c>
      <c r="E3962">
        <v>0.51008310000000001</v>
      </c>
      <c r="F3962" t="s">
        <v>51</v>
      </c>
      <c r="G3962">
        <v>-416.80849999999998</v>
      </c>
      <c r="H3962" s="1">
        <v>3.4446629999999999E-6</v>
      </c>
      <c r="I3962">
        <v>214.2595</v>
      </c>
      <c r="J3962">
        <v>-437.65469999999999</v>
      </c>
      <c r="K3962">
        <v>1.1209439999999999</v>
      </c>
      <c r="L3962">
        <v>215.4075</v>
      </c>
      <c r="M3962">
        <v>0.99986980000000003</v>
      </c>
      <c r="N3962">
        <v>-1.434241E-2</v>
      </c>
      <c r="O3962">
        <v>7.4058609999999997E-3</v>
      </c>
      <c r="P3962">
        <v>0.99870970000000003</v>
      </c>
      <c r="Q3962">
        <v>-4.3447569999999998E-2</v>
      </c>
      <c r="R3962">
        <v>-2.6296050000000001E-2</v>
      </c>
      <c r="S3962">
        <v>2.9925229999999998</v>
      </c>
      <c r="T3962">
        <v>-0.15931960000000001</v>
      </c>
      <c r="U3962">
        <v>-0.1630249</v>
      </c>
      <c r="V3962">
        <v>3.3658739999999999E-2</v>
      </c>
      <c r="W3962">
        <v>-2.9161159999999998E-2</v>
      </c>
      <c r="X3962">
        <v>0.99900789999999995</v>
      </c>
      <c r="Y3962">
        <v>6.1674689999999997E-2</v>
      </c>
      <c r="Z3962">
        <v>-2.3700549999999998E-3</v>
      </c>
      <c r="AA3962">
        <v>0.99809349999999997</v>
      </c>
      <c r="AB3962">
        <v>20</v>
      </c>
      <c r="AC3962">
        <v>20.8462</v>
      </c>
      <c r="AD3962">
        <v>-1.120940555337</v>
      </c>
      <c r="AE3962">
        <v>-1.1479999999999899</v>
      </c>
      <c r="AF3962">
        <v>1.2986249201636899</v>
      </c>
      <c r="AG3962">
        <v>-1.120940555337</v>
      </c>
      <c r="AH3962">
        <v>20.777231312400399</v>
      </c>
      <c r="AI3962">
        <v>93.082135337182393</v>
      </c>
      <c r="AJ3962">
        <v>86.423533875394398</v>
      </c>
      <c r="AK3962">
        <v>20.8479321617484</v>
      </c>
      <c r="AL3962">
        <v>91.6710482295112</v>
      </c>
      <c r="AM3962">
        <v>88.070311034662296</v>
      </c>
      <c r="AN3962">
        <v>1.0000000341466699</v>
      </c>
    </row>
    <row r="3963" spans="1:40" x14ac:dyDescent="0.25">
      <c r="A3963" t="str">
        <f>"20190303154214802"</f>
        <v>20190303154214802</v>
      </c>
      <c r="B3963" t="str">
        <f>"1551598934794053"</f>
        <v>1551598934794053</v>
      </c>
      <c r="C3963" t="s">
        <v>40</v>
      </c>
      <c r="D3963">
        <v>5.3634740000000001</v>
      </c>
      <c r="E3963">
        <v>0.51016530000000004</v>
      </c>
      <c r="F3963" t="s">
        <v>51</v>
      </c>
      <c r="G3963">
        <v>-416.47289999999998</v>
      </c>
      <c r="H3963" s="1">
        <v>3.3840640000000002E-6</v>
      </c>
      <c r="I3963">
        <v>214.27170000000001</v>
      </c>
      <c r="J3963">
        <v>-437.46839999999997</v>
      </c>
      <c r="K3963">
        <v>1.120911</v>
      </c>
      <c r="L3963">
        <v>215.40809999999999</v>
      </c>
      <c r="M3963">
        <v>0.99987479999999995</v>
      </c>
      <c r="N3963">
        <v>-1.433865E-2</v>
      </c>
      <c r="O3963">
        <v>6.708594E-3</v>
      </c>
      <c r="P3963">
        <v>0.9986988</v>
      </c>
      <c r="Q3963">
        <v>-4.4702690000000003E-2</v>
      </c>
      <c r="R3963">
        <v>-2.4551460000000001E-2</v>
      </c>
      <c r="S3963">
        <v>2.9927670000000002</v>
      </c>
      <c r="T3963">
        <v>-0.15837689999999999</v>
      </c>
      <c r="U3963">
        <v>-0.1604767</v>
      </c>
      <c r="V3963">
        <v>3.1214209999999999E-2</v>
      </c>
      <c r="W3963">
        <v>-3.0418980000000002E-2</v>
      </c>
      <c r="X3963">
        <v>0.99904970000000004</v>
      </c>
      <c r="Y3963">
        <v>6.0131329999999997E-2</v>
      </c>
      <c r="Z3963">
        <v>-2.2790900000000001E-3</v>
      </c>
      <c r="AA3963">
        <v>0.99818790000000002</v>
      </c>
      <c r="AB3963">
        <v>20</v>
      </c>
      <c r="AC3963">
        <v>20.9955</v>
      </c>
      <c r="AD3963">
        <v>-1.1209076159360001</v>
      </c>
      <c r="AE3963">
        <v>-1.1363999999999801</v>
      </c>
      <c r="AF3963">
        <v>1.27361960806583</v>
      </c>
      <c r="AG3963">
        <v>-1.1209076159360001</v>
      </c>
      <c r="AH3963">
        <v>20.9279268505956</v>
      </c>
      <c r="AI3963">
        <v>93.060203111467899</v>
      </c>
      <c r="AJ3963">
        <v>86.517421903405506</v>
      </c>
      <c r="AK3963">
        <v>20.9965869382001</v>
      </c>
      <c r="AL3963">
        <v>91.743148116801194</v>
      </c>
      <c r="AM3963">
        <v>88.210438493322599</v>
      </c>
      <c r="AN3963">
        <v>0.99999997216012604</v>
      </c>
    </row>
    <row r="3964" spans="1:40" x14ac:dyDescent="0.25">
      <c r="A3964" t="str">
        <f>"20190303154214826"</f>
        <v>20190303154214826</v>
      </c>
      <c r="B3964" t="str">
        <f>"1551598934813573"</f>
        <v>1551598934813573</v>
      </c>
      <c r="C3964" t="s">
        <v>40</v>
      </c>
      <c r="D3964">
        <v>5.3789009999999999</v>
      </c>
      <c r="E3964">
        <v>0.51038159999999999</v>
      </c>
      <c r="F3964" t="s">
        <v>51</v>
      </c>
      <c r="G3964">
        <v>-416.68700000000001</v>
      </c>
      <c r="H3964" s="1">
        <v>3.417334E-6</v>
      </c>
      <c r="I3964">
        <v>214.32550000000001</v>
      </c>
      <c r="J3964">
        <v>-437.2543</v>
      </c>
      <c r="K3964">
        <v>1.120892</v>
      </c>
      <c r="L3964">
        <v>215.4085</v>
      </c>
      <c r="M3964">
        <v>0.99988030000000006</v>
      </c>
      <c r="N3964">
        <v>-1.4331719999999999E-2</v>
      </c>
      <c r="O3964">
        <v>5.8499019999999997E-3</v>
      </c>
      <c r="P3964">
        <v>0.99869479999999999</v>
      </c>
      <c r="Q3964">
        <v>-4.5521560000000003E-2</v>
      </c>
      <c r="R3964">
        <v>-2.316843E-2</v>
      </c>
      <c r="S3964">
        <v>2.9928590000000002</v>
      </c>
      <c r="T3964">
        <v>-0.16142879999999901</v>
      </c>
      <c r="U3964">
        <v>-0.15589900000000001</v>
      </c>
      <c r="V3964">
        <v>2.8971150000000001E-2</v>
      </c>
      <c r="W3964">
        <v>-3.1242860000000001E-2</v>
      </c>
      <c r="X3964">
        <v>0.99909190000000003</v>
      </c>
      <c r="Y3964">
        <v>5.7750879999999997E-2</v>
      </c>
      <c r="Z3964">
        <v>-2.2011769999999999E-3</v>
      </c>
      <c r="AA3964">
        <v>0.99832860000000001</v>
      </c>
      <c r="AB3964">
        <v>20</v>
      </c>
      <c r="AC3964">
        <v>20.567299999999999</v>
      </c>
      <c r="AD3964">
        <v>-1.120888582666</v>
      </c>
      <c r="AE3964">
        <v>-1.08299999999999</v>
      </c>
      <c r="AF3964">
        <v>1.19975695969074</v>
      </c>
      <c r="AG3964">
        <v>-1.120888582666</v>
      </c>
      <c r="AH3964">
        <v>20.4998936344128</v>
      </c>
      <c r="AI3964">
        <v>93.124353809088802</v>
      </c>
      <c r="AJ3964">
        <v>86.650583221514907</v>
      </c>
      <c r="AK3964">
        <v>20.565540279781601</v>
      </c>
      <c r="AL3964">
        <v>91.790375306289107</v>
      </c>
      <c r="AM3964">
        <v>88.339032069215804</v>
      </c>
      <c r="AN3964">
        <v>1.0000000342394499</v>
      </c>
    </row>
    <row r="3965" spans="1:40" x14ac:dyDescent="0.25">
      <c r="A3965" t="str">
        <f>"20190303154214847"</f>
        <v>20190303154214847</v>
      </c>
      <c r="B3965" t="str">
        <f>"1551598934843829"</f>
        <v>1551598934843829</v>
      </c>
      <c r="C3965" t="s">
        <v>40</v>
      </c>
      <c r="D3965">
        <v>5.4032359999999997</v>
      </c>
      <c r="E3965">
        <v>0.51067259999999903</v>
      </c>
      <c r="F3965" t="s">
        <v>51</v>
      </c>
      <c r="G3965">
        <v>-416.62299999999999</v>
      </c>
      <c r="H3965" s="1">
        <v>3.4037129999999998E-6</v>
      </c>
      <c r="I3965">
        <v>214.35149999999999</v>
      </c>
      <c r="J3965">
        <v>-437.06459999999998</v>
      </c>
      <c r="K3965">
        <v>1.1208720000000001</v>
      </c>
      <c r="L3965">
        <v>215.40870000000001</v>
      </c>
      <c r="M3965">
        <v>0.99988500000000002</v>
      </c>
      <c r="N3965">
        <v>-1.4300520000000001E-2</v>
      </c>
      <c r="O3965">
        <v>5.0570099999999998E-3</v>
      </c>
      <c r="P3965">
        <v>0.99870890000000001</v>
      </c>
      <c r="Q3965">
        <v>-4.582174E-2</v>
      </c>
      <c r="R3965">
        <v>-2.1929819999999999E-2</v>
      </c>
      <c r="S3965">
        <v>2.9929199999999998</v>
      </c>
      <c r="T3965">
        <v>-0.16260350000000001</v>
      </c>
      <c r="U3965">
        <v>-0.15333559999999999</v>
      </c>
      <c r="V3965">
        <v>2.6939950000000001E-2</v>
      </c>
      <c r="W3965">
        <v>-3.1571469999999997E-2</v>
      </c>
      <c r="X3965">
        <v>0.99913839999999998</v>
      </c>
      <c r="Y3965">
        <v>5.6107530000000003E-2</v>
      </c>
      <c r="Z3965">
        <v>-2.1260020000000001E-3</v>
      </c>
      <c r="AA3965">
        <v>0.99842240000000004</v>
      </c>
      <c r="AB3965">
        <v>20</v>
      </c>
      <c r="AC3965">
        <v>20.441599999999902</v>
      </c>
      <c r="AD3965">
        <v>-1.120868596287</v>
      </c>
      <c r="AE3965">
        <v>-1.0572000000000199</v>
      </c>
      <c r="AF3965">
        <v>1.15710073141984</v>
      </c>
      <c r="AG3965">
        <v>-1.120868596287</v>
      </c>
      <c r="AH3965">
        <v>20.374895443332701</v>
      </c>
      <c r="AI3965">
        <v>93.143739897565695</v>
      </c>
      <c r="AJ3965">
        <v>86.749634700092599</v>
      </c>
      <c r="AK3965">
        <v>20.438483134507202</v>
      </c>
      <c r="AL3965">
        <v>91.809212571544293</v>
      </c>
      <c r="AM3965">
        <v>88.455497717736307</v>
      </c>
      <c r="AN3965">
        <v>1.00000003048926</v>
      </c>
    </row>
    <row r="3966" spans="1:40" x14ac:dyDescent="0.25">
      <c r="A3966" t="str">
        <f>"20190303154214868"</f>
        <v>20190303154214868</v>
      </c>
      <c r="B3966" t="str">
        <f>"1551598934863348"</f>
        <v>1551598934863348</v>
      </c>
      <c r="C3966" t="s">
        <v>40</v>
      </c>
      <c r="D3966">
        <v>5.4241099999999998</v>
      </c>
      <c r="E3966">
        <v>0.51089079999999998</v>
      </c>
      <c r="F3966" t="s">
        <v>51</v>
      </c>
      <c r="G3966">
        <v>-416.34980000000002</v>
      </c>
      <c r="H3966" s="1">
        <v>3.3547319999999999E-6</v>
      </c>
      <c r="I3966">
        <v>214.35740000000001</v>
      </c>
      <c r="J3966">
        <v>-436.8777</v>
      </c>
      <c r="K3966">
        <v>1.120844</v>
      </c>
      <c r="L3966">
        <v>215.40870000000001</v>
      </c>
      <c r="M3966">
        <v>0.99988999999999995</v>
      </c>
      <c r="N3966">
        <v>-1.4205300000000001E-2</v>
      </c>
      <c r="O3966">
        <v>4.2612029999999999E-3</v>
      </c>
      <c r="P3966">
        <v>0.99866580000000005</v>
      </c>
      <c r="Q3966">
        <v>-4.7242760000000002E-2</v>
      </c>
      <c r="R3966">
        <v>-2.0854660000000001E-2</v>
      </c>
      <c r="S3966">
        <v>2.9930729999999999</v>
      </c>
      <c r="T3966">
        <v>-0.16195379999999901</v>
      </c>
      <c r="U3966">
        <v>-0.15190119999999999</v>
      </c>
      <c r="V3966">
        <v>2.506775E-2</v>
      </c>
      <c r="W3966">
        <v>-3.3085440000000001E-2</v>
      </c>
      <c r="X3966">
        <v>0.99913810000000003</v>
      </c>
      <c r="Y3966">
        <v>5.4836929999999999E-2</v>
      </c>
      <c r="Z3966">
        <v>-2.0414809999999999E-3</v>
      </c>
      <c r="AA3966">
        <v>0.99849330000000003</v>
      </c>
      <c r="AB3966">
        <v>20</v>
      </c>
      <c r="AC3966">
        <v>20.527899999999899</v>
      </c>
      <c r="AD3966">
        <v>-1.120840645268</v>
      </c>
      <c r="AE3966">
        <v>-1.0512999999999899</v>
      </c>
      <c r="AF3966">
        <v>1.1353967818427899</v>
      </c>
      <c r="AG3966">
        <v>-1.120840645268</v>
      </c>
      <c r="AH3966">
        <v>20.4623893761704</v>
      </c>
      <c r="AI3966">
        <v>93.130474545696003</v>
      </c>
      <c r="AJ3966">
        <v>86.824085243494594</v>
      </c>
      <c r="AK3966">
        <v>20.5244924075193</v>
      </c>
      <c r="AL3966">
        <v>91.896002109034697</v>
      </c>
      <c r="AM3966">
        <v>88.562786242292603</v>
      </c>
      <c r="AN3966">
        <v>0.999999990650833</v>
      </c>
    </row>
    <row r="3967" spans="1:40" x14ac:dyDescent="0.25">
      <c r="A3967" t="str">
        <f>"20190303154214891"</f>
        <v>20190303154214891</v>
      </c>
      <c r="B3967" t="str">
        <f>"1551598934883845"</f>
        <v>1551598934883845</v>
      </c>
      <c r="C3967" t="s">
        <v>40</v>
      </c>
      <c r="D3967">
        <v>5.4190930000000002</v>
      </c>
      <c r="E3967">
        <v>0.51106960000000001</v>
      </c>
      <c r="F3967" t="s">
        <v>51</v>
      </c>
      <c r="G3967">
        <v>-416.49020000000002</v>
      </c>
      <c r="H3967" s="1">
        <v>3.3772189999999999E-6</v>
      </c>
      <c r="I3967">
        <v>214.38499999999999</v>
      </c>
      <c r="J3967">
        <v>-436.66590000000002</v>
      </c>
      <c r="K3967">
        <v>1.120789</v>
      </c>
      <c r="L3967">
        <v>215.4085</v>
      </c>
      <c r="M3967">
        <v>0.99989629999999996</v>
      </c>
      <c r="N3967">
        <v>-1.3999670000000001E-2</v>
      </c>
      <c r="O3967">
        <v>3.373699E-3</v>
      </c>
      <c r="P3967">
        <v>0.99859030000000004</v>
      </c>
      <c r="Q3967">
        <v>-4.8933890000000001E-2</v>
      </c>
      <c r="R3967">
        <v>-2.0566689999999999E-2</v>
      </c>
      <c r="S3967">
        <v>2.9930729999999999</v>
      </c>
      <c r="T3967">
        <v>-0.16454959999999999</v>
      </c>
      <c r="U3967">
        <v>-0.1502838</v>
      </c>
      <c r="V3967">
        <v>2.389115E-2</v>
      </c>
      <c r="W3967">
        <v>-3.4980770000000001E-2</v>
      </c>
      <c r="X3967">
        <v>0.99910239999999995</v>
      </c>
      <c r="Y3967">
        <v>5.341303E-2</v>
      </c>
      <c r="Z3967">
        <v>-1.978746E-3</v>
      </c>
      <c r="AA3967">
        <v>0.99857059999999997</v>
      </c>
      <c r="AB3967">
        <v>20</v>
      </c>
      <c r="AC3967">
        <v>20.175699999999999</v>
      </c>
      <c r="AD3967">
        <v>-1.120785622781</v>
      </c>
      <c r="AE3967">
        <v>-1.0235000000000101</v>
      </c>
      <c r="AF3967">
        <v>1.08821802620512</v>
      </c>
      <c r="AG3967">
        <v>-1.120785622781</v>
      </c>
      <c r="AH3967">
        <v>20.110232109247701</v>
      </c>
      <c r="AI3967">
        <v>93.185264105051203</v>
      </c>
      <c r="AJ3967">
        <v>86.902594220090194</v>
      </c>
      <c r="AK3967">
        <v>20.1708159074592</v>
      </c>
      <c r="AL3967">
        <v>92.004659414836695</v>
      </c>
      <c r="AM3967">
        <v>88.630169198769394</v>
      </c>
      <c r="AN3967">
        <v>1.00000002350193</v>
      </c>
    </row>
    <row r="3968" spans="1:40" x14ac:dyDescent="0.25">
      <c r="A3968" t="str">
        <f>"20190303154214915"</f>
        <v>20190303154214915</v>
      </c>
      <c r="B3968" t="str">
        <f>"1551598934903368"</f>
        <v>1551598934903368</v>
      </c>
      <c r="C3968" t="s">
        <v>40</v>
      </c>
      <c r="D3968">
        <v>5.153594</v>
      </c>
      <c r="E3968">
        <v>0.51120690000000002</v>
      </c>
      <c r="F3968" t="s">
        <v>51</v>
      </c>
      <c r="G3968">
        <v>-416.74579999999997</v>
      </c>
      <c r="H3968" s="1">
        <v>3.4207760000000001E-6</v>
      </c>
      <c r="I3968">
        <v>214.40549999999999</v>
      </c>
      <c r="J3968">
        <v>-436.45859999999999</v>
      </c>
      <c r="K3968">
        <v>1.120733</v>
      </c>
      <c r="L3968">
        <v>215.40819999999999</v>
      </c>
      <c r="M3968">
        <v>0.99990279999999998</v>
      </c>
      <c r="N3968">
        <v>-1.372345E-2</v>
      </c>
      <c r="O3968">
        <v>2.5380049999999999E-3</v>
      </c>
      <c r="P3968">
        <v>0.99846570000000001</v>
      </c>
      <c r="Q3968">
        <v>-5.172152E-2</v>
      </c>
      <c r="R3968">
        <v>-1.9791070000000001E-2</v>
      </c>
      <c r="S3968">
        <v>2.9928889999999999</v>
      </c>
      <c r="T3968">
        <v>-0.1683925</v>
      </c>
      <c r="U3968">
        <v>-0.15069579999999999</v>
      </c>
      <c r="V3968">
        <v>2.2278929999999999E-2</v>
      </c>
      <c r="W3968">
        <v>-3.8042140000000002E-2</v>
      </c>
      <c r="X3968">
        <v>0.99902769999999996</v>
      </c>
      <c r="Y3968">
        <v>5.2716619999999999E-2</v>
      </c>
      <c r="Z3968">
        <v>-1.951059E-3</v>
      </c>
      <c r="AA3968">
        <v>0.99860760000000004</v>
      </c>
      <c r="AB3968">
        <v>20</v>
      </c>
      <c r="AC3968">
        <v>19.712800000000001</v>
      </c>
      <c r="AD3968">
        <v>-1.120729579224</v>
      </c>
      <c r="AE3968">
        <v>-1.0026999999999999</v>
      </c>
      <c r="AF3968">
        <v>1.0493496489407701</v>
      </c>
      <c r="AG3968">
        <v>-1.120729579224</v>
      </c>
      <c r="AH3968">
        <v>19.6468517295522</v>
      </c>
      <c r="AI3968">
        <v>93.260189644927806</v>
      </c>
      <c r="AJ3968">
        <v>86.9427044312975</v>
      </c>
      <c r="AK3968">
        <v>19.706748903827101</v>
      </c>
      <c r="AL3968">
        <v>92.180180250996798</v>
      </c>
      <c r="AM3968">
        <v>88.722480750493702</v>
      </c>
      <c r="AN3968">
        <v>0.99999995025250599</v>
      </c>
    </row>
    <row r="3969" spans="1:40" x14ac:dyDescent="0.25">
      <c r="A3969" t="str">
        <f>"20190303154214935"</f>
        <v>20190303154214935</v>
      </c>
      <c r="B3969" t="str">
        <f>"1551598934923860"</f>
        <v>1551598934923860</v>
      </c>
      <c r="C3969" t="s">
        <v>40</v>
      </c>
      <c r="D3969">
        <v>5.4616680000000004</v>
      </c>
      <c r="E3969">
        <v>0.51144840000000003</v>
      </c>
      <c r="F3969" t="s">
        <v>51</v>
      </c>
      <c r="G3969">
        <v>-417.40440000000001</v>
      </c>
      <c r="H3969" s="1">
        <v>3.5332049999999998E-6</v>
      </c>
      <c r="I3969">
        <v>214.45570000000001</v>
      </c>
      <c r="J3969">
        <v>-436.26929999999999</v>
      </c>
      <c r="K3969">
        <v>1.1207129999999901</v>
      </c>
      <c r="L3969">
        <v>215.40770000000001</v>
      </c>
      <c r="M3969">
        <v>0.99990800000000002</v>
      </c>
      <c r="N3969">
        <v>-1.3446049999999999E-2</v>
      </c>
      <c r="O3969">
        <v>1.813165E-3</v>
      </c>
      <c r="P3969">
        <v>0.99837569999999998</v>
      </c>
      <c r="Q3969">
        <v>-5.3503019999999998E-2</v>
      </c>
      <c r="R3969">
        <v>-1.9585700000000001E-2</v>
      </c>
      <c r="S3969">
        <v>2.9925229999999998</v>
      </c>
      <c r="T3969">
        <v>-0.17601420000000001</v>
      </c>
      <c r="U3969">
        <v>-0.14958189999999999</v>
      </c>
      <c r="V3969">
        <v>2.1351080000000001E-2</v>
      </c>
      <c r="W3969">
        <v>-4.0098380000000003E-2</v>
      </c>
      <c r="X3969">
        <v>0.99896759999999996</v>
      </c>
      <c r="Y3969">
        <v>5.1622580000000001E-2</v>
      </c>
      <c r="Z3969">
        <v>-1.945713E-3</v>
      </c>
      <c r="AA3969">
        <v>0.99866480000000002</v>
      </c>
      <c r="AB3969">
        <v>20</v>
      </c>
      <c r="AC3969">
        <v>18.864899999999899</v>
      </c>
      <c r="AD3969">
        <v>-1.1207094667949999</v>
      </c>
      <c r="AE3969">
        <v>-0.95199999999999796</v>
      </c>
      <c r="AF3969">
        <v>0.98274719448061498</v>
      </c>
      <c r="AG3969">
        <v>-1.1207094667949999</v>
      </c>
      <c r="AH3969">
        <v>18.7969728073795</v>
      </c>
      <c r="AI3969">
        <v>93.407395913538195</v>
      </c>
      <c r="AJ3969">
        <v>87.007175189637195</v>
      </c>
      <c r="AK3969">
        <v>18.855979647809001</v>
      </c>
      <c r="AL3969">
        <v>92.2980840439742</v>
      </c>
      <c r="AM3969">
        <v>88.775595378102693</v>
      </c>
      <c r="AN3969">
        <v>1.0000000072727699</v>
      </c>
    </row>
    <row r="3970" spans="1:40" x14ac:dyDescent="0.25">
      <c r="A3970" t="str">
        <f>"20190303154214959"</f>
        <v>20190303154214959</v>
      </c>
      <c r="B3970" t="str">
        <f>"1551598934954117"</f>
        <v>1551598934954117</v>
      </c>
      <c r="C3970" t="s">
        <v>40</v>
      </c>
      <c r="D3970">
        <v>5.5258479999999999</v>
      </c>
      <c r="E3970">
        <v>0.51162399999999997</v>
      </c>
      <c r="F3970" t="s">
        <v>51</v>
      </c>
      <c r="G3970">
        <v>-417.56470000000002</v>
      </c>
      <c r="H3970" s="1">
        <v>3.5607500000000002E-6</v>
      </c>
      <c r="I3970">
        <v>214.4659</v>
      </c>
      <c r="J3970">
        <v>-436.05790000000002</v>
      </c>
      <c r="K3970">
        <v>1.120709</v>
      </c>
      <c r="L3970">
        <v>215.40719999999999</v>
      </c>
      <c r="M3970">
        <v>0.9999133</v>
      </c>
      <c r="N3970">
        <v>-1.313135E-2</v>
      </c>
      <c r="O3970">
        <v>1.0676640000000001E-3</v>
      </c>
      <c r="P3970">
        <v>0.99828890000000003</v>
      </c>
      <c r="Q3970">
        <v>-5.4903069999999998E-2</v>
      </c>
      <c r="R3970">
        <v>-2.0123869999999999E-2</v>
      </c>
      <c r="S3970">
        <v>2.99234</v>
      </c>
      <c r="T3970">
        <v>-0.17928920000000001</v>
      </c>
      <c r="U3970">
        <v>-0.15068049999999999</v>
      </c>
      <c r="V3970">
        <v>2.1149029999999999E-2</v>
      </c>
      <c r="W3970">
        <v>-4.1810409999999999E-2</v>
      </c>
      <c r="X3970">
        <v>0.9989017</v>
      </c>
      <c r="Y3970">
        <v>5.1245079999999998E-2</v>
      </c>
      <c r="Z3970">
        <v>-1.9197820000000001E-3</v>
      </c>
      <c r="AA3970">
        <v>0.99868429999999997</v>
      </c>
      <c r="AB3970">
        <v>20</v>
      </c>
      <c r="AC3970">
        <v>18.493200000000002</v>
      </c>
      <c r="AD3970">
        <v>-1.12070543925</v>
      </c>
      <c r="AE3970">
        <v>-0.94129999999998404</v>
      </c>
      <c r="AF3970">
        <v>0.957538240020394</v>
      </c>
      <c r="AG3970">
        <v>-1.12070543925</v>
      </c>
      <c r="AH3970">
        <v>18.424695001524999</v>
      </c>
      <c r="AI3970">
        <v>93.4761202137732</v>
      </c>
      <c r="AJ3970">
        <v>87.024993556945901</v>
      </c>
      <c r="AK3970">
        <v>18.483566919344501</v>
      </c>
      <c r="AL3970">
        <v>92.396258535144895</v>
      </c>
      <c r="AM3970">
        <v>88.787098724016801</v>
      </c>
      <c r="AN3970">
        <v>0.99999999905859904</v>
      </c>
    </row>
    <row r="3971" spans="1:40" x14ac:dyDescent="0.25">
      <c r="A3971" t="str">
        <f>"20190303154214982"</f>
        <v>20190303154214982</v>
      </c>
      <c r="B3971" t="str">
        <f>"1551598934973636"</f>
        <v>1551598934973636</v>
      </c>
      <c r="C3971" t="s">
        <v>40</v>
      </c>
      <c r="D3971">
        <v>5.5204649999999997</v>
      </c>
      <c r="E3971">
        <v>0.51167010000000002</v>
      </c>
      <c r="F3971" t="s">
        <v>51</v>
      </c>
      <c r="G3971">
        <v>-417.58359999999999</v>
      </c>
      <c r="H3971" s="1">
        <v>3.564748E-6</v>
      </c>
      <c r="I3971">
        <v>214.45849999999999</v>
      </c>
      <c r="J3971">
        <v>-435.85219999999998</v>
      </c>
      <c r="K3971">
        <v>1.1207149999999999</v>
      </c>
      <c r="L3971">
        <v>215.4067</v>
      </c>
      <c r="M3971">
        <v>0.99991790000000003</v>
      </c>
      <c r="N3971">
        <v>-1.2814300000000001E-2</v>
      </c>
      <c r="O3971">
        <v>4.1834009999999999E-4</v>
      </c>
      <c r="P3971">
        <v>0.99816159999999998</v>
      </c>
      <c r="Q3971">
        <v>-5.7042179999999998E-2</v>
      </c>
      <c r="R3971">
        <v>-2.0493210000000001E-2</v>
      </c>
      <c r="S3971">
        <v>2.992035</v>
      </c>
      <c r="T3971">
        <v>-0.18150579999999999</v>
      </c>
      <c r="U3971">
        <v>-0.15365599999999999</v>
      </c>
      <c r="V3971">
        <v>2.087406E-2</v>
      </c>
      <c r="W3971">
        <v>-4.426426E-2</v>
      </c>
      <c r="X3971">
        <v>0.99880179999999996</v>
      </c>
      <c r="Y3971">
        <v>5.1590120000000003E-2</v>
      </c>
      <c r="Z3971">
        <v>-1.91347E-3</v>
      </c>
      <c r="AA3971">
        <v>0.99866650000000001</v>
      </c>
      <c r="AB3971">
        <v>20</v>
      </c>
      <c r="AC3971">
        <v>18.2685999999999</v>
      </c>
      <c r="AD3971">
        <v>-1.120711435252</v>
      </c>
      <c r="AE3971">
        <v>-0.94820000000001403</v>
      </c>
      <c r="AF3971">
        <v>0.95226891871997699</v>
      </c>
      <c r="AG3971">
        <v>-1.120711435252</v>
      </c>
      <c r="AH3971">
        <v>18.199892764536301</v>
      </c>
      <c r="AI3971">
        <v>93.518903923017405</v>
      </c>
      <c r="AJ3971">
        <v>87.004856990821096</v>
      </c>
      <c r="AK3971">
        <v>18.259214300053699</v>
      </c>
      <c r="AL3971">
        <v>92.536984094140806</v>
      </c>
      <c r="AM3971">
        <v>88.802743988888196</v>
      </c>
      <c r="AN3971">
        <v>1.0000000433887299</v>
      </c>
    </row>
    <row r="3972" spans="1:40" x14ac:dyDescent="0.25">
      <c r="A3972" t="str">
        <f>"20190303154215003"</f>
        <v>20190303154215003</v>
      </c>
      <c r="B3972" t="str">
        <f>"1551598934994132"</f>
        <v>1551598934994132</v>
      </c>
      <c r="C3972" t="s">
        <v>40</v>
      </c>
      <c r="D3972">
        <v>5.5506650000000004</v>
      </c>
      <c r="E3972">
        <v>0.51172070000000003</v>
      </c>
      <c r="F3972" t="s">
        <v>51</v>
      </c>
      <c r="G3972">
        <v>-417.93549999999999</v>
      </c>
      <c r="H3972" s="1">
        <v>3.6255050000000002E-6</v>
      </c>
      <c r="I3972">
        <v>214.4777</v>
      </c>
      <c r="J3972">
        <v>-435.65050000000002</v>
      </c>
      <c r="K3972">
        <v>1.1207100000000001</v>
      </c>
      <c r="L3972">
        <v>215.40610000000001</v>
      </c>
      <c r="M3972">
        <v>0.99992210000000004</v>
      </c>
      <c r="N3972">
        <v>-1.2490879999999999E-2</v>
      </c>
      <c r="O3972">
        <v>-1.4500240000000001E-4</v>
      </c>
      <c r="P3972">
        <v>0.99801879999999998</v>
      </c>
      <c r="Q3972">
        <v>-5.924215E-2</v>
      </c>
      <c r="R3972">
        <v>-2.1185079999999998E-2</v>
      </c>
      <c r="S3972">
        <v>2.9916689999999999</v>
      </c>
      <c r="T3972">
        <v>-0.18713250000000001</v>
      </c>
      <c r="U3972">
        <v>-0.155120799999999</v>
      </c>
      <c r="V3972">
        <v>2.10072E-2</v>
      </c>
      <c r="W3972">
        <v>-4.6786260000000003E-2</v>
      </c>
      <c r="X3972">
        <v>0.99868400000000002</v>
      </c>
      <c r="Y3972">
        <v>5.1516190000000003E-2</v>
      </c>
      <c r="Z3972">
        <v>-1.9236489999999999E-3</v>
      </c>
      <c r="AA3972">
        <v>0.99867030000000001</v>
      </c>
      <c r="AB3972">
        <v>20</v>
      </c>
      <c r="AC3972">
        <v>17.715</v>
      </c>
      <c r="AD3972">
        <v>-1.1207063744949901</v>
      </c>
      <c r="AE3972">
        <v>-0.92840000000001</v>
      </c>
      <c r="AF3972">
        <v>0.92215052863969305</v>
      </c>
      <c r="AG3972">
        <v>-1.1207063744949901</v>
      </c>
      <c r="AH3972">
        <v>17.644709791879599</v>
      </c>
      <c r="AI3972">
        <v>93.629328332640497</v>
      </c>
      <c r="AJ3972">
        <v>87.008320961687502</v>
      </c>
      <c r="AK3972">
        <v>17.704296879993699</v>
      </c>
      <c r="AL3972">
        <v>92.681634189200594</v>
      </c>
      <c r="AM3972">
        <v>88.794967752048194</v>
      </c>
      <c r="AN3972">
        <v>0.99999999421631303</v>
      </c>
    </row>
    <row r="3973" spans="1:40" x14ac:dyDescent="0.25">
      <c r="A3973" t="str">
        <f>"20190303154215026"</f>
        <v>20190303154215026</v>
      </c>
      <c r="B3973" t="str">
        <f>"1551598935013652"</f>
        <v>1551598935013652</v>
      </c>
      <c r="C3973" t="s">
        <v>40</v>
      </c>
      <c r="D3973">
        <v>5.5516389999999998</v>
      </c>
      <c r="E3973">
        <v>0.48990319999999998</v>
      </c>
      <c r="F3973" t="s">
        <v>51</v>
      </c>
      <c r="G3973">
        <v>-418.33659999999998</v>
      </c>
      <c r="H3973" s="1">
        <v>3.695153E-6</v>
      </c>
      <c r="I3973">
        <v>214.4948</v>
      </c>
      <c r="J3973">
        <v>-435.4522</v>
      </c>
      <c r="K3973">
        <v>1.1206959999999999</v>
      </c>
      <c r="L3973">
        <v>215.40539999999999</v>
      </c>
      <c r="M3973">
        <v>0.99992610000000004</v>
      </c>
      <c r="N3973">
        <v>-1.214463E-2</v>
      </c>
      <c r="O3973">
        <v>-6.2090210000000003E-4</v>
      </c>
      <c r="P3973">
        <v>0.99792179999999997</v>
      </c>
      <c r="Q3973">
        <v>-6.0681010000000001E-2</v>
      </c>
      <c r="R3973">
        <v>-2.1681809999999999E-2</v>
      </c>
      <c r="S3973">
        <v>2.9911189999999999</v>
      </c>
      <c r="T3973">
        <v>-0.19361139999999999</v>
      </c>
      <c r="U3973">
        <v>-0.15742490000000001</v>
      </c>
      <c r="V3973">
        <v>2.103294E-2</v>
      </c>
      <c r="W3973">
        <v>-4.8569630000000003E-2</v>
      </c>
      <c r="X3973">
        <v>0.99859830000000005</v>
      </c>
      <c r="Y3973">
        <v>5.1810290000000002E-2</v>
      </c>
      <c r="Z3973">
        <v>-1.956536E-3</v>
      </c>
      <c r="AA3973">
        <v>0.99865499999999996</v>
      </c>
      <c r="AB3973">
        <v>20</v>
      </c>
      <c r="AC3973">
        <v>17.115600000000001</v>
      </c>
      <c r="AD3973">
        <v>-1.1206923048470001</v>
      </c>
      <c r="AE3973">
        <v>-0.91059999999998797</v>
      </c>
      <c r="AF3973">
        <v>0.89614070838857396</v>
      </c>
      <c r="AG3973">
        <v>-1.1206923048470001</v>
      </c>
      <c r="AH3973">
        <v>17.043297868291098</v>
      </c>
      <c r="AI3973">
        <v>93.756927621375695</v>
      </c>
      <c r="AJ3973">
        <v>86.990145829106595</v>
      </c>
      <c r="AK3973">
        <v>17.103596745675201</v>
      </c>
      <c r="AL3973">
        <v>92.783930154766594</v>
      </c>
      <c r="AM3973">
        <v>88.793388156925204</v>
      </c>
      <c r="AN3973">
        <v>0.99999997914313499</v>
      </c>
    </row>
    <row r="3974" spans="1:40" x14ac:dyDescent="0.25">
      <c r="A3974" t="str">
        <f>"20190303154215047"</f>
        <v>20190303154215047</v>
      </c>
      <c r="B3974" t="str">
        <f>"1551598935043909"</f>
        <v>1551598935043909</v>
      </c>
      <c r="C3974" t="s">
        <v>40</v>
      </c>
      <c r="D3974">
        <v>5.7476849999999997</v>
      </c>
      <c r="E3974">
        <v>0.48741620000000002</v>
      </c>
      <c r="F3974" t="s">
        <v>42</v>
      </c>
      <c r="G3974">
        <v>-434.65370000000001</v>
      </c>
      <c r="H3974">
        <v>1.0026839999999999</v>
      </c>
      <c r="I3974">
        <v>215.40700000000001</v>
      </c>
      <c r="J3974">
        <v>-435.2509</v>
      </c>
      <c r="K3974">
        <v>1.1206799999999999</v>
      </c>
      <c r="L3974">
        <v>215.40479999999999</v>
      </c>
      <c r="M3974">
        <v>0.9999304</v>
      </c>
      <c r="N3974">
        <v>-1.1745739999999999E-2</v>
      </c>
      <c r="O3974">
        <v>-1.0185019999999999E-3</v>
      </c>
      <c r="P3974">
        <v>0.99782040000000005</v>
      </c>
      <c r="Q3974">
        <v>-6.2037809999999999E-2</v>
      </c>
      <c r="R3974">
        <v>-2.2491520000000001E-2</v>
      </c>
      <c r="S3974">
        <v>2.9796140000000002</v>
      </c>
      <c r="T3974">
        <v>-0.44049549999999998</v>
      </c>
      <c r="U3974">
        <v>7.019043E-3</v>
      </c>
      <c r="V3974">
        <v>2.145027E-2</v>
      </c>
      <c r="W3974">
        <v>-5.0323720000000002E-2</v>
      </c>
      <c r="X3974">
        <v>0.99850260000000002</v>
      </c>
      <c r="Y3974">
        <v>-3.3258189999999998E-3</v>
      </c>
      <c r="Z3974">
        <v>4.0201020000000002E-4</v>
      </c>
      <c r="AA3974">
        <v>0.99999439999999995</v>
      </c>
      <c r="AB3974">
        <v>20</v>
      </c>
      <c r="AC3974">
        <v>0.59719999999998596</v>
      </c>
      <c r="AD3974">
        <v>-0.117996</v>
      </c>
      <c r="AE3974">
        <v>2.2000000000161799E-3</v>
      </c>
      <c r="AF3974">
        <v>-2.7027788259142501E-3</v>
      </c>
      <c r="AG3974">
        <v>-0.117996</v>
      </c>
      <c r="AH3974">
        <v>0.57475989412680395</v>
      </c>
      <c r="AI3974">
        <v>101.60128492930799</v>
      </c>
      <c r="AJ3974">
        <v>90.269428468864305</v>
      </c>
      <c r="AK3974">
        <v>0.58675318228880302</v>
      </c>
      <c r="AL3974">
        <v>92.884555103884296</v>
      </c>
      <c r="AM3974">
        <v>88.769336272086903</v>
      </c>
      <c r="AN3974">
        <v>1.00000001654223</v>
      </c>
    </row>
    <row r="3975" spans="1:40" x14ac:dyDescent="0.25">
      <c r="A3975" t="str">
        <f>"20190303154215070"</f>
        <v>20190303154215070</v>
      </c>
      <c r="B3975" t="str">
        <f>"1551598935063429"</f>
        <v>1551598935063429</v>
      </c>
      <c r="C3975" t="s">
        <v>40</v>
      </c>
      <c r="D3975">
        <v>5.5712349999999997</v>
      </c>
      <c r="E3975">
        <v>0.48793950000000003</v>
      </c>
      <c r="F3975" t="s">
        <v>42</v>
      </c>
      <c r="G3975">
        <v>-434.4742</v>
      </c>
      <c r="H3975">
        <v>0.99689349999999999</v>
      </c>
      <c r="I3975">
        <v>215.41040000000001</v>
      </c>
      <c r="J3975">
        <v>-435.05180000000001</v>
      </c>
      <c r="K3975">
        <v>1.1206560000000001</v>
      </c>
      <c r="L3975">
        <v>215.4042</v>
      </c>
      <c r="M3975">
        <v>0.99993529999999997</v>
      </c>
      <c r="N3975">
        <v>-1.1296199999999999E-2</v>
      </c>
      <c r="O3975">
        <v>-1.32732799999999E-3</v>
      </c>
      <c r="P3975">
        <v>0.99780080000000004</v>
      </c>
      <c r="Q3975">
        <v>-6.2250989999999999E-2</v>
      </c>
      <c r="R3975">
        <v>-2.2769899999999999E-2</v>
      </c>
      <c r="S3975">
        <v>2.9775390000000002</v>
      </c>
      <c r="T3975">
        <v>-0.47465109999999999</v>
      </c>
      <c r="U3975">
        <v>2.3544309999999999E-2</v>
      </c>
      <c r="V3975">
        <v>2.1426290000000001E-2</v>
      </c>
      <c r="W3975">
        <v>-5.098341E-2</v>
      </c>
      <c r="X3975">
        <v>0.99846970000000002</v>
      </c>
      <c r="Y3975">
        <v>-9.0968579999999993E-3</v>
      </c>
      <c r="Z3975">
        <v>9.6758870000000004E-4</v>
      </c>
      <c r="AA3975">
        <v>0.99995820000000002</v>
      </c>
      <c r="AB3975">
        <v>20</v>
      </c>
      <c r="AC3975">
        <v>0.57760000000001799</v>
      </c>
      <c r="AD3975">
        <v>-0.123762499999999</v>
      </c>
      <c r="AE3975">
        <v>6.2000000000068597E-3</v>
      </c>
      <c r="AF3975">
        <v>-6.6609285172092103E-3</v>
      </c>
      <c r="AG3975">
        <v>-0.123762499999999</v>
      </c>
      <c r="AH3975">
        <v>0.552239886576812</v>
      </c>
      <c r="AI3975">
        <v>102.630950743855</v>
      </c>
      <c r="AJ3975">
        <v>90.691048573208406</v>
      </c>
      <c r="AK3975">
        <v>0.56597739946161396</v>
      </c>
      <c r="AL3975">
        <v>92.922400990048899</v>
      </c>
      <c r="AM3975">
        <v>88.770671158157896</v>
      </c>
      <c r="AN3975">
        <v>1.0000000679082299</v>
      </c>
    </row>
    <row r="3976" spans="1:40" x14ac:dyDescent="0.25">
      <c r="A3976" t="str">
        <f>"20190303154215092"</f>
        <v>20190303154215092</v>
      </c>
      <c r="B3976" t="str">
        <f>"1551598935083925"</f>
        <v>1551598935083925</v>
      </c>
      <c r="C3976" t="s">
        <v>40</v>
      </c>
      <c r="D3976">
        <v>5.6365759999999998</v>
      </c>
      <c r="E3976">
        <v>0.48722330000000003</v>
      </c>
      <c r="F3976" t="s">
        <v>42</v>
      </c>
      <c r="G3976">
        <v>-434.29039999999998</v>
      </c>
      <c r="H3976">
        <v>0.99841060000000004</v>
      </c>
      <c r="I3976">
        <v>215.40870000000001</v>
      </c>
      <c r="J3976">
        <v>-434.84769999999997</v>
      </c>
      <c r="K3976">
        <v>1.120625</v>
      </c>
      <c r="L3976">
        <v>215.40360000000001</v>
      </c>
      <c r="M3976">
        <v>0.99994079999999996</v>
      </c>
      <c r="N3976">
        <v>-1.0789109999999999E-2</v>
      </c>
      <c r="O3976">
        <v>-1.5611920000000001E-3</v>
      </c>
      <c r="P3976">
        <v>0.99778489999999997</v>
      </c>
      <c r="Q3976">
        <v>-6.2536540000000002E-2</v>
      </c>
      <c r="R3976">
        <v>-2.2691059999999999E-2</v>
      </c>
      <c r="S3976">
        <v>2.9772340000000002</v>
      </c>
      <c r="T3976">
        <v>-0.47806999999999999</v>
      </c>
      <c r="U3976">
        <v>1.8310549999999998E-2</v>
      </c>
      <c r="V3976">
        <v>2.1120280000000002E-2</v>
      </c>
      <c r="W3976">
        <v>-5.1772619999999998E-2</v>
      </c>
      <c r="X3976">
        <v>0.99843559999999998</v>
      </c>
      <c r="Y3976">
        <v>-7.59007E-3</v>
      </c>
      <c r="Z3976">
        <v>8.7907649999999996E-4</v>
      </c>
      <c r="AA3976">
        <v>0.99997080000000005</v>
      </c>
      <c r="AB3976">
        <v>20</v>
      </c>
      <c r="AC3976">
        <v>0.55729999999999702</v>
      </c>
      <c r="AD3976">
        <v>-0.1222144</v>
      </c>
      <c r="AE3976">
        <v>5.0999999999987696E-3</v>
      </c>
      <c r="AF3976">
        <v>-5.6961825516196997E-3</v>
      </c>
      <c r="AG3976">
        <v>-0.1222144</v>
      </c>
      <c r="AH3976">
        <v>0.53172227485076096</v>
      </c>
      <c r="AI3976">
        <v>102.943682892354</v>
      </c>
      <c r="AJ3976">
        <v>90.613769162941196</v>
      </c>
      <c r="AK3976">
        <v>0.54561651701125202</v>
      </c>
      <c r="AL3976">
        <v>92.967679217059697</v>
      </c>
      <c r="AM3976">
        <v>88.788181769947201</v>
      </c>
      <c r="AN3976">
        <v>1.0000000588781399</v>
      </c>
    </row>
    <row r="3977" spans="1:40" x14ac:dyDescent="0.25">
      <c r="A3977" t="str">
        <f>"20190303154215115"</f>
        <v>20190303154215115</v>
      </c>
      <c r="B3977" t="str">
        <f>"1551598935103448"</f>
        <v>1551598935103448</v>
      </c>
      <c r="C3977" t="s">
        <v>40</v>
      </c>
      <c r="D3977">
        <v>5.9093200000000001</v>
      </c>
      <c r="E3977">
        <v>0.4863788</v>
      </c>
      <c r="F3977" t="s">
        <v>42</v>
      </c>
      <c r="G3977">
        <v>-434.10649999999998</v>
      </c>
      <c r="H3977">
        <v>0.99831999999999999</v>
      </c>
      <c r="I3977">
        <v>215.4091</v>
      </c>
      <c r="J3977">
        <v>-434.63549999999998</v>
      </c>
      <c r="K3977">
        <v>1.1205940000000001</v>
      </c>
      <c r="L3977">
        <v>215.40299999999999</v>
      </c>
      <c r="M3977">
        <v>0.99994609999999995</v>
      </c>
      <c r="N3977">
        <v>-1.023874E-2</v>
      </c>
      <c r="O3977">
        <v>-1.7226399999999999E-3</v>
      </c>
      <c r="P3977">
        <v>0.99770550000000002</v>
      </c>
      <c r="Q3977">
        <v>-6.3826939999999999E-2</v>
      </c>
      <c r="R3977">
        <v>-2.258371E-2</v>
      </c>
      <c r="S3977">
        <v>2.9764400000000002</v>
      </c>
      <c r="T3977">
        <v>-0.49130079999999998</v>
      </c>
      <c r="U3977">
        <v>2.3879999999999998E-2</v>
      </c>
      <c r="V3977">
        <v>2.0858539999999998E-2</v>
      </c>
      <c r="W3977">
        <v>-5.3610430000000001E-2</v>
      </c>
      <c r="X3977">
        <v>0.99834409999999896</v>
      </c>
      <c r="Y3977">
        <v>-9.5870299999999999E-3</v>
      </c>
      <c r="Z3977">
        <v>1.1002379999999999E-3</v>
      </c>
      <c r="AA3977">
        <v>0.99995339999999999</v>
      </c>
      <c r="AB3977">
        <v>20</v>
      </c>
      <c r="AC3977">
        <v>0.52899999999999603</v>
      </c>
      <c r="AD3977">
        <v>-0.12227399999999999</v>
      </c>
      <c r="AE3977">
        <v>6.1000000000035401E-3</v>
      </c>
      <c r="AF3977">
        <v>-6.6557680225484703E-3</v>
      </c>
      <c r="AG3977">
        <v>-0.12227399999999999</v>
      </c>
      <c r="AH3977">
        <v>0.50216342830415295</v>
      </c>
      <c r="AI3977">
        <v>103.683737875823</v>
      </c>
      <c r="AJ3977">
        <v>90.759364515803298</v>
      </c>
      <c r="AK3977">
        <v>0.51687845674795696</v>
      </c>
      <c r="AL3977">
        <v>93.073124492039497</v>
      </c>
      <c r="AM3977">
        <v>88.803085572261097</v>
      </c>
      <c r="AN3977">
        <v>1.0000000494502601</v>
      </c>
    </row>
    <row r="3978" spans="1:40" x14ac:dyDescent="0.25">
      <c r="A3978" t="str">
        <f>"20190303154215137"</f>
        <v>20190303154215137</v>
      </c>
      <c r="B3978" t="str">
        <f>"1551598935133701"</f>
        <v>1551598935133701</v>
      </c>
      <c r="C3978" t="s">
        <v>40</v>
      </c>
      <c r="D3978">
        <v>5.6024789999999998</v>
      </c>
      <c r="E3978">
        <v>0.48584070000000001</v>
      </c>
      <c r="F3978" t="s">
        <v>42</v>
      </c>
      <c r="G3978">
        <v>-433.92099999999999</v>
      </c>
      <c r="H3978">
        <v>0.9996526</v>
      </c>
      <c r="I3978">
        <v>215.41040000000001</v>
      </c>
      <c r="J3978">
        <v>-434.4307</v>
      </c>
      <c r="K3978">
        <v>1.120566</v>
      </c>
      <c r="L3978">
        <v>215.40260000000001</v>
      </c>
      <c r="M3978">
        <v>0.99995129999999999</v>
      </c>
      <c r="N3978">
        <v>-9.7143290000000007E-3</v>
      </c>
      <c r="O3978">
        <v>-1.801205E-3</v>
      </c>
      <c r="P3978">
        <v>0.99761469999999997</v>
      </c>
      <c r="Q3978">
        <v>-6.5374199999999993E-2</v>
      </c>
      <c r="R3978">
        <v>-2.216657E-2</v>
      </c>
      <c r="S3978">
        <v>2.9753720000000001</v>
      </c>
      <c r="T3978">
        <v>-0.5036197</v>
      </c>
      <c r="U3978">
        <v>3.0944820000000001E-2</v>
      </c>
      <c r="V3978">
        <v>2.036951E-2</v>
      </c>
      <c r="W3978">
        <v>-5.5679600000000003E-2</v>
      </c>
      <c r="X3978">
        <v>0.99824089999999999</v>
      </c>
      <c r="Y3978">
        <v>-1.1997600000000001E-2</v>
      </c>
      <c r="Z3978">
        <v>1.3522250000000001E-3</v>
      </c>
      <c r="AA3978">
        <v>0.99992709999999996</v>
      </c>
      <c r="AB3978">
        <v>21</v>
      </c>
      <c r="AC3978">
        <v>0.50970000000000903</v>
      </c>
      <c r="AD3978">
        <v>-0.12091339999999901</v>
      </c>
      <c r="AE3978">
        <v>7.80000000000313E-3</v>
      </c>
      <c r="AF3978">
        <v>-8.2537304455352605E-3</v>
      </c>
      <c r="AG3978">
        <v>-0.12091339999999901</v>
      </c>
      <c r="AH3978">
        <v>0.48253648410993799</v>
      </c>
      <c r="AI3978">
        <v>104.06547401191401</v>
      </c>
      <c r="AJ3978">
        <v>90.979942083461594</v>
      </c>
      <c r="AK3978">
        <v>0.49752349980981603</v>
      </c>
      <c r="AL3978">
        <v>93.191856731179897</v>
      </c>
      <c r="AM3978">
        <v>88.831018634780904</v>
      </c>
      <c r="AN3978">
        <v>1.0000000146132999</v>
      </c>
    </row>
    <row r="3979" spans="1:40" x14ac:dyDescent="0.25">
      <c r="A3979" t="str">
        <f>"20190303154215160"</f>
        <v>20190303154215160</v>
      </c>
      <c r="B3979" t="str">
        <f>"1551598935154197"</f>
        <v>1551598935154197</v>
      </c>
      <c r="C3979" t="s">
        <v>40</v>
      </c>
      <c r="D3979">
        <v>5.592765</v>
      </c>
      <c r="E3979">
        <v>0.48583100000000001</v>
      </c>
      <c r="F3979" t="s">
        <v>42</v>
      </c>
      <c r="G3979">
        <v>-433.5625</v>
      </c>
      <c r="H3979">
        <v>0.96993240000000003</v>
      </c>
      <c r="I3979">
        <v>215.41300000000001</v>
      </c>
      <c r="J3979">
        <v>-434.21809999999999</v>
      </c>
      <c r="K3979">
        <v>1.12053</v>
      </c>
      <c r="L3979">
        <v>215.40209999999999</v>
      </c>
      <c r="M3979">
        <v>0.99995599999999996</v>
      </c>
      <c r="N3979">
        <v>-9.2019630000000005E-3</v>
      </c>
      <c r="O3979">
        <v>-1.823056E-3</v>
      </c>
      <c r="P3979">
        <v>0.99758599999999997</v>
      </c>
      <c r="Q3979">
        <v>-6.6161780000000003E-2</v>
      </c>
      <c r="R3979">
        <v>-2.1090210000000002E-2</v>
      </c>
      <c r="S3979">
        <v>2.9741819999999999</v>
      </c>
      <c r="T3979">
        <v>-0.51600469999999998</v>
      </c>
      <c r="U3979">
        <v>3.6300659999999998E-2</v>
      </c>
      <c r="V3979">
        <v>1.92763E-2</v>
      </c>
      <c r="W3979">
        <v>-5.697721E-2</v>
      </c>
      <c r="X3979">
        <v>0.9981894</v>
      </c>
      <c r="Y3979">
        <v>-1.378591E-2</v>
      </c>
      <c r="Z3979">
        <v>1.548186E-3</v>
      </c>
      <c r="AA3979">
        <v>0.99990380000000001</v>
      </c>
      <c r="AB3979">
        <v>21</v>
      </c>
      <c r="AC3979">
        <v>0.65559999999999197</v>
      </c>
      <c r="AD3979">
        <v>-0.1505976</v>
      </c>
      <c r="AE3979">
        <v>1.08999999999923E-2</v>
      </c>
      <c r="AF3979">
        <v>-1.1489153239243301E-2</v>
      </c>
      <c r="AG3979">
        <v>-0.1505976</v>
      </c>
      <c r="AH3979">
        <v>0.62272890014252202</v>
      </c>
      <c r="AI3979">
        <v>103.59287225801</v>
      </c>
      <c r="AJ3979">
        <v>91.056969276739693</v>
      </c>
      <c r="AK3979">
        <v>0.64078305286628001</v>
      </c>
      <c r="AL3979">
        <v>93.2663224970199</v>
      </c>
      <c r="AM3979">
        <v>88.893683530461601</v>
      </c>
      <c r="AN3979">
        <v>1.0000000282367101</v>
      </c>
    </row>
    <row r="3980" spans="1:40" x14ac:dyDescent="0.25">
      <c r="A3980" t="str">
        <f>"20190303154215185"</f>
        <v>20190303154215185</v>
      </c>
      <c r="B3980" t="str">
        <f>"1551598935173717"</f>
        <v>1551598935173717</v>
      </c>
      <c r="C3980" t="s">
        <v>40</v>
      </c>
      <c r="D3980">
        <v>5.6127050000000001</v>
      </c>
      <c r="E3980">
        <v>0.4860756</v>
      </c>
      <c r="F3980" t="s">
        <v>42</v>
      </c>
      <c r="G3980">
        <v>-433.37369999999999</v>
      </c>
      <c r="H3980">
        <v>0.97190770000000004</v>
      </c>
      <c r="I3980">
        <v>215.4127</v>
      </c>
      <c r="J3980">
        <v>-433.98849999999999</v>
      </c>
      <c r="K3980">
        <v>1.120498</v>
      </c>
      <c r="L3980">
        <v>215.40170000000001</v>
      </c>
      <c r="M3980">
        <v>0.99996059999999998</v>
      </c>
      <c r="N3980">
        <v>-8.6984039999999999E-3</v>
      </c>
      <c r="O3980">
        <v>-1.804527E-3</v>
      </c>
      <c r="P3980">
        <v>0.99758800000000003</v>
      </c>
      <c r="Q3980">
        <v>-6.656128E-2</v>
      </c>
      <c r="R3980">
        <v>-1.970073E-2</v>
      </c>
      <c r="S3980">
        <v>2.9733580000000002</v>
      </c>
      <c r="T3980">
        <v>-0.5235668</v>
      </c>
      <c r="U3980">
        <v>3.9169309999999999E-2</v>
      </c>
      <c r="V3980">
        <v>1.7908130000000001E-2</v>
      </c>
      <c r="W3980">
        <v>-5.7878609999999997E-2</v>
      </c>
      <c r="X3980">
        <v>0.99816300000000002</v>
      </c>
      <c r="Y3980">
        <v>-1.471393E-2</v>
      </c>
      <c r="Z3980">
        <v>1.649757E-3</v>
      </c>
      <c r="AA3980">
        <v>0.99989039999999996</v>
      </c>
      <c r="AB3980">
        <v>21</v>
      </c>
      <c r="AC3980">
        <v>0.61480000000000201</v>
      </c>
      <c r="AD3980">
        <v>-0.14859030000000001</v>
      </c>
      <c r="AE3980">
        <v>1.09999999999956E-2</v>
      </c>
      <c r="AF3980">
        <v>-1.14413328216765E-2</v>
      </c>
      <c r="AG3980">
        <v>-0.14859030000000001</v>
      </c>
      <c r="AH3980">
        <v>0.58085994639204497</v>
      </c>
      <c r="AI3980">
        <v>104.346499396327</v>
      </c>
      <c r="AJ3980">
        <v>91.128422311559703</v>
      </c>
      <c r="AK3980">
        <v>0.59967346003754096</v>
      </c>
      <c r="AL3980">
        <v>93.318054366786598</v>
      </c>
      <c r="AM3980">
        <v>88.972161662070903</v>
      </c>
      <c r="AN3980">
        <v>1.0000000045923101</v>
      </c>
    </row>
    <row r="3981" spans="1:40" x14ac:dyDescent="0.25">
      <c r="A3981" t="str">
        <f>"20190303154215206"</f>
        <v>20190303154215206</v>
      </c>
      <c r="B3981" t="str">
        <f>"1551598935203973"</f>
        <v>1551598935203973</v>
      </c>
      <c r="C3981" t="s">
        <v>40</v>
      </c>
      <c r="D3981">
        <v>5.6221329999999998</v>
      </c>
      <c r="E3981">
        <v>0.48670980000000003</v>
      </c>
      <c r="F3981" t="s">
        <v>42</v>
      </c>
      <c r="G3981">
        <v>-433.18189999999998</v>
      </c>
      <c r="H3981">
        <v>0.97839640000000005</v>
      </c>
      <c r="I3981">
        <v>215.4128</v>
      </c>
      <c r="J3981">
        <v>-433.77620000000002</v>
      </c>
      <c r="K3981">
        <v>1.1204620000000001</v>
      </c>
      <c r="L3981">
        <v>215.4014</v>
      </c>
      <c r="M3981">
        <v>0.99996410000000002</v>
      </c>
      <c r="N3981">
        <v>-8.2838159999999994E-3</v>
      </c>
      <c r="O3981">
        <v>-1.7664169999999999E-3</v>
      </c>
      <c r="P3981">
        <v>0.99761259999999996</v>
      </c>
      <c r="Q3981">
        <v>-6.6559530000000006E-2</v>
      </c>
      <c r="R3981">
        <v>-1.841551E-2</v>
      </c>
      <c r="S3981">
        <v>2.9731749999999999</v>
      </c>
      <c r="T3981">
        <v>-0.5238872</v>
      </c>
      <c r="U3981">
        <v>4.1473389999999999E-2</v>
      </c>
      <c r="V3981">
        <v>1.6661450000000001E-2</v>
      </c>
      <c r="W3981">
        <v>-5.8290590000000003E-2</v>
      </c>
      <c r="X3981">
        <v>0.99816059999999995</v>
      </c>
      <c r="Y3981">
        <v>-1.5440229999999999E-2</v>
      </c>
      <c r="Z3981">
        <v>1.7086579999999901E-3</v>
      </c>
      <c r="AA3981">
        <v>0.99987939999999997</v>
      </c>
      <c r="AB3981">
        <v>21</v>
      </c>
      <c r="AC3981">
        <v>0.59430000000003202</v>
      </c>
      <c r="AD3981">
        <v>-0.14206559999999999</v>
      </c>
      <c r="AE3981">
        <v>1.14000000000089E-2</v>
      </c>
      <c r="AF3981">
        <v>-1.1777065368799E-2</v>
      </c>
      <c r="AG3981">
        <v>-0.14206559999999999</v>
      </c>
      <c r="AH3981">
        <v>0.56216661530606404</v>
      </c>
      <c r="AI3981">
        <v>104.17934779725999</v>
      </c>
      <c r="AJ3981">
        <v>91.200137883394305</v>
      </c>
      <c r="AK3981">
        <v>0.57995916868063802</v>
      </c>
      <c r="AL3981">
        <v>93.341699050669803</v>
      </c>
      <c r="AM3981">
        <v>89.0436988615822</v>
      </c>
      <c r="AN3981">
        <v>0.999999990095505</v>
      </c>
    </row>
    <row r="3982" spans="1:40" x14ac:dyDescent="0.25">
      <c r="A3982" t="str">
        <f>"20190303154215228"</f>
        <v>20190303154215228</v>
      </c>
      <c r="B3982" t="str">
        <f>"1551598935223493"</f>
        <v>1551598935223493</v>
      </c>
      <c r="C3982" t="s">
        <v>40</v>
      </c>
      <c r="D3982">
        <v>5.6129350000000002</v>
      </c>
      <c r="E3982">
        <v>0.48699969999999998</v>
      </c>
      <c r="F3982" t="s">
        <v>42</v>
      </c>
      <c r="G3982">
        <v>-432.99040000000002</v>
      </c>
      <c r="H3982">
        <v>0.98209449999999998</v>
      </c>
      <c r="I3982">
        <v>215.41159999999999</v>
      </c>
      <c r="J3982">
        <v>-433.57319999999999</v>
      </c>
      <c r="K3982">
        <v>1.12042</v>
      </c>
      <c r="L3982">
        <v>215.40110000000001</v>
      </c>
      <c r="M3982">
        <v>0.99996719999999895</v>
      </c>
      <c r="N3982">
        <v>-7.93260199999999E-3</v>
      </c>
      <c r="O3982">
        <v>-1.7226590000000001E-3</v>
      </c>
      <c r="P3982">
        <v>0.99760360000000003</v>
      </c>
      <c r="Q3982">
        <v>-6.7172309999999999E-2</v>
      </c>
      <c r="R3982">
        <v>-1.6590980000000002E-2</v>
      </c>
      <c r="S3982">
        <v>2.9729920000000001</v>
      </c>
      <c r="T3982">
        <v>-0.52366049999999997</v>
      </c>
      <c r="U3982">
        <v>4.0161130000000003E-2</v>
      </c>
      <c r="V3982">
        <v>1.487953E-2</v>
      </c>
      <c r="W3982">
        <v>-5.9254569999999999E-2</v>
      </c>
      <c r="X3982">
        <v>0.99813200000000002</v>
      </c>
      <c r="Y3982">
        <v>-1.496491E-2</v>
      </c>
      <c r="Z3982">
        <v>1.6551949999999999E-3</v>
      </c>
      <c r="AA3982">
        <v>0.99988659999999996</v>
      </c>
      <c r="AB3982">
        <v>21</v>
      </c>
      <c r="AC3982">
        <v>0.58279999999996301</v>
      </c>
      <c r="AD3982">
        <v>-0.13832549999999999</v>
      </c>
      <c r="AE3982">
        <v>1.0499999999979E-2</v>
      </c>
      <c r="AF3982">
        <v>-1.08906727577047E-2</v>
      </c>
      <c r="AG3982">
        <v>-0.13832549999999999</v>
      </c>
      <c r="AH3982">
        <v>0.55171139269257596</v>
      </c>
      <c r="AI3982">
        <v>104.072471692414</v>
      </c>
      <c r="AJ3982">
        <v>91.130860381737307</v>
      </c>
      <c r="AK3982">
        <v>0.56889191550781104</v>
      </c>
      <c r="AL3982">
        <v>93.397026655058994</v>
      </c>
      <c r="AM3982">
        <v>89.145933478044597</v>
      </c>
      <c r="AN3982">
        <v>0.99999999695145203</v>
      </c>
    </row>
    <row r="3983" spans="1:40" x14ac:dyDescent="0.25">
      <c r="A3983" t="str">
        <f>"20190303154215272"</f>
        <v>20190303154215272</v>
      </c>
      <c r="B3983" t="str">
        <f>"1551598935263509"</f>
        <v>1551598935263509</v>
      </c>
      <c r="C3983" t="s">
        <v>40</v>
      </c>
      <c r="D3983">
        <v>5.6307359999999997</v>
      </c>
      <c r="E3983">
        <v>0.48737370000000002</v>
      </c>
      <c r="F3983" t="s">
        <v>42</v>
      </c>
      <c r="G3983">
        <v>-432.7987</v>
      </c>
      <c r="H3983">
        <v>0.98394510000000002</v>
      </c>
      <c r="I3983">
        <v>215.41220000000001</v>
      </c>
      <c r="J3983">
        <v>-433.15269999999998</v>
      </c>
      <c r="K3983">
        <v>1.1203369999999999</v>
      </c>
      <c r="L3983">
        <v>215.40049999999999</v>
      </c>
      <c r="M3983">
        <v>0.99997199999999997</v>
      </c>
      <c r="N3983">
        <v>-7.3031779999999996E-3</v>
      </c>
      <c r="O3983">
        <v>-1.64246799999999E-3</v>
      </c>
      <c r="P3983">
        <v>0.99757669999999998</v>
      </c>
      <c r="Q3983">
        <v>-6.8232479999999998E-2</v>
      </c>
      <c r="R3983">
        <v>-1.3614670000000001E-2</v>
      </c>
      <c r="S3983">
        <v>2.9726560000000002</v>
      </c>
      <c r="T3983">
        <v>-0.52393719999999999</v>
      </c>
      <c r="U3983">
        <v>4.2877199999999997E-2</v>
      </c>
      <c r="V3983">
        <v>1.19793E-2</v>
      </c>
      <c r="W3983">
        <v>-6.0944369999999998E-2</v>
      </c>
      <c r="X3983">
        <v>0.99806930000000005</v>
      </c>
      <c r="Y3983">
        <v>-1.5787889999999999E-2</v>
      </c>
      <c r="Z3983">
        <v>1.714082E-3</v>
      </c>
      <c r="AA3983">
        <v>0.99987389999999998</v>
      </c>
      <c r="AB3983">
        <v>21</v>
      </c>
      <c r="AC3983">
        <v>0.35399999999998399</v>
      </c>
      <c r="AD3983">
        <v>-0.13639190000000001</v>
      </c>
      <c r="AE3983">
        <v>1.17000000000189E-2</v>
      </c>
      <c r="AF3983">
        <v>-1.0695459806205201E-2</v>
      </c>
      <c r="AG3983">
        <v>-0.13639190000000001</v>
      </c>
      <c r="AH3983">
        <v>0.30826875058949299</v>
      </c>
      <c r="AI3983">
        <v>113.853994591188</v>
      </c>
      <c r="AJ3983">
        <v>91.987094031371498</v>
      </c>
      <c r="AK3983">
        <v>0.337263644403134</v>
      </c>
      <c r="AL3983">
        <v>93.494020308135006</v>
      </c>
      <c r="AM3983">
        <v>89.312341963280105</v>
      </c>
      <c r="AN3983">
        <v>1.0000000237328299</v>
      </c>
    </row>
    <row r="3984" spans="1:40" x14ac:dyDescent="0.25">
      <c r="A3984" t="str">
        <f>"20190303154215296"</f>
        <v>20190303154215296</v>
      </c>
      <c r="B3984" t="str">
        <f>"1551598935284006"</f>
        <v>1551598935284006</v>
      </c>
      <c r="C3984" t="s">
        <v>40</v>
      </c>
      <c r="D3984">
        <v>5.5760079999999999</v>
      </c>
      <c r="E3984">
        <v>0.48772549999999998</v>
      </c>
      <c r="F3984" t="s">
        <v>42</v>
      </c>
      <c r="G3984">
        <v>-432.41149999999999</v>
      </c>
      <c r="H3984">
        <v>0.98945559999999999</v>
      </c>
      <c r="I3984">
        <v>215.4127</v>
      </c>
      <c r="J3984">
        <v>-432.91969999999998</v>
      </c>
      <c r="K3984">
        <v>1.120304</v>
      </c>
      <c r="L3984">
        <v>215.40010000000001</v>
      </c>
      <c r="M3984">
        <v>0.99997440000000004</v>
      </c>
      <c r="N3984">
        <v>-6.9785410000000004E-3</v>
      </c>
      <c r="O3984">
        <v>-1.61508299999999E-3</v>
      </c>
      <c r="P3984">
        <v>0.99760789999999999</v>
      </c>
      <c r="Q3984">
        <v>-6.7966890000000002E-2</v>
      </c>
      <c r="R3984">
        <v>-1.261543E-2</v>
      </c>
      <c r="S3984">
        <v>2.972137</v>
      </c>
      <c r="T3984">
        <v>-0.52475930000000004</v>
      </c>
      <c r="U3984">
        <v>4.8828129999999997E-2</v>
      </c>
      <c r="V3984">
        <v>1.100552E-2</v>
      </c>
      <c r="W3984">
        <v>-6.1003010000000003E-2</v>
      </c>
      <c r="X3984">
        <v>0.99807690000000004</v>
      </c>
      <c r="Y3984">
        <v>-1.773303E-2</v>
      </c>
      <c r="Z3984">
        <v>1.887491E-3</v>
      </c>
      <c r="AA3984">
        <v>0.99984099999999998</v>
      </c>
      <c r="AB3984">
        <v>21</v>
      </c>
      <c r="AC3984">
        <v>0.50819999999998799</v>
      </c>
      <c r="AD3984">
        <v>-0.1308484</v>
      </c>
      <c r="AE3984">
        <v>1.2599999999991901E-2</v>
      </c>
      <c r="AF3984">
        <v>-1.25868796027371E-2</v>
      </c>
      <c r="AG3984">
        <v>-0.1308484</v>
      </c>
      <c r="AH3984">
        <v>0.47660296795012302</v>
      </c>
      <c r="AI3984">
        <v>105.34685034310201</v>
      </c>
      <c r="AJ3984">
        <v>91.512805274413395</v>
      </c>
      <c r="AK3984">
        <v>0.49439874835962</v>
      </c>
      <c r="AL3984">
        <v>93.497386501441696</v>
      </c>
      <c r="AM3984">
        <v>89.368240771333703</v>
      </c>
      <c r="AN3984">
        <v>0.99999999350656998</v>
      </c>
    </row>
    <row r="3985" spans="1:40" x14ac:dyDescent="0.25">
      <c r="A3985" t="str">
        <f>"20190303154215317"</f>
        <v>20190303154215317</v>
      </c>
      <c r="B3985" t="str">
        <f>"1551598935313285"</f>
        <v>1551598935313285</v>
      </c>
      <c r="C3985" t="s">
        <v>40</v>
      </c>
      <c r="D3985">
        <v>5.5789279999999897</v>
      </c>
      <c r="E3985">
        <v>0.48830240000000003</v>
      </c>
      <c r="F3985" t="s">
        <v>42</v>
      </c>
      <c r="G3985">
        <v>-432.21440000000001</v>
      </c>
      <c r="H3985">
        <v>0.99618700000000004</v>
      </c>
      <c r="I3985">
        <v>215.41139999999999</v>
      </c>
      <c r="J3985">
        <v>-432.7176</v>
      </c>
      <c r="K3985">
        <v>1.1202700000000001</v>
      </c>
      <c r="L3985">
        <v>215.3998</v>
      </c>
      <c r="M3985">
        <v>0.99997639999999999</v>
      </c>
      <c r="N3985">
        <v>-6.69829E-3</v>
      </c>
      <c r="O3985">
        <v>-1.6027459999999999E-3</v>
      </c>
      <c r="P3985">
        <v>0.99764580000000003</v>
      </c>
      <c r="Q3985">
        <v>-6.7456260000000004E-2</v>
      </c>
      <c r="R3985">
        <v>-1.235793E-2</v>
      </c>
      <c r="S3985">
        <v>2.972137</v>
      </c>
      <c r="T3985">
        <v>-0.52318469999999995</v>
      </c>
      <c r="U3985">
        <v>4.9453740000000003E-2</v>
      </c>
      <c r="V3985">
        <v>1.07592E-2</v>
      </c>
      <c r="W3985">
        <v>-6.0772050000000001E-2</v>
      </c>
      <c r="X3985">
        <v>0.99809369999999997</v>
      </c>
      <c r="Y3985">
        <v>-1.79303E-2</v>
      </c>
      <c r="Z3985">
        <v>1.8958239999999999E-3</v>
      </c>
      <c r="AA3985">
        <v>0.99983750000000005</v>
      </c>
      <c r="AB3985">
        <v>22</v>
      </c>
      <c r="AC3985">
        <v>0.50319999999999199</v>
      </c>
      <c r="AD3985">
        <v>-0.124083</v>
      </c>
      <c r="AE3985">
        <v>1.15999999999871E-2</v>
      </c>
      <c r="AF3985">
        <v>-1.16957179112118E-2</v>
      </c>
      <c r="AG3985">
        <v>-0.124083</v>
      </c>
      <c r="AH3985">
        <v>0.47435279298576999</v>
      </c>
      <c r="AI3985">
        <v>104.654919718039</v>
      </c>
      <c r="AJ3985">
        <v>91.412407685936202</v>
      </c>
      <c r="AK3985">
        <v>0.49045280396778201</v>
      </c>
      <c r="AL3985">
        <v>93.484128784134199</v>
      </c>
      <c r="AM3985">
        <v>89.382389775067196</v>
      </c>
      <c r="AN3985">
        <v>1.00000001821276</v>
      </c>
    </row>
    <row r="3986" spans="1:40" x14ac:dyDescent="0.25">
      <c r="A3986" t="str">
        <f>"20190303154215338"</f>
        <v>20190303154215338</v>
      </c>
      <c r="B3986" t="str">
        <f>"1551598935333781"</f>
        <v>1551598935333781</v>
      </c>
      <c r="C3986" t="s">
        <v>40</v>
      </c>
      <c r="D3986">
        <v>5.5715180000000002</v>
      </c>
      <c r="E3986">
        <v>0.48862949999999999</v>
      </c>
      <c r="F3986" t="s">
        <v>42</v>
      </c>
      <c r="G3986">
        <v>-431.8372</v>
      </c>
      <c r="H3986">
        <v>0.96597889999999997</v>
      </c>
      <c r="I3986">
        <v>215.41290000000001</v>
      </c>
      <c r="J3986">
        <v>-432.50720000000001</v>
      </c>
      <c r="K3986">
        <v>1.120233</v>
      </c>
      <c r="L3986">
        <v>215.39949999999999</v>
      </c>
      <c r="M3986">
        <v>0.99997829999999999</v>
      </c>
      <c r="N3986">
        <v>-6.4080049999999996E-3</v>
      </c>
      <c r="O3986">
        <v>-1.597902E-3</v>
      </c>
      <c r="P3986">
        <v>0.99768219999999996</v>
      </c>
      <c r="Q3986">
        <v>-6.692708E-2</v>
      </c>
      <c r="R3986">
        <v>-1.2298299999999899E-2</v>
      </c>
      <c r="S3986">
        <v>2.9724119999999998</v>
      </c>
      <c r="T3986">
        <v>-0.52098370000000005</v>
      </c>
      <c r="U3986">
        <v>4.5761110000000001E-2</v>
      </c>
      <c r="V3986">
        <v>1.070345E-2</v>
      </c>
      <c r="W3986">
        <v>-6.0532519999999999E-2</v>
      </c>
      <c r="X3986">
        <v>0.99810889999999997</v>
      </c>
      <c r="Y3986">
        <v>-1.670454E-2</v>
      </c>
      <c r="Z3986">
        <v>1.7744849999999999E-3</v>
      </c>
      <c r="AA3986">
        <v>0.99985889999999999</v>
      </c>
      <c r="AB3986">
        <v>22</v>
      </c>
      <c r="AC3986">
        <v>0.67000000000001503</v>
      </c>
      <c r="AD3986">
        <v>-0.15425409999999901</v>
      </c>
      <c r="AE3986">
        <v>1.34000000000185E-2</v>
      </c>
      <c r="AF3986">
        <v>-1.37424595635121E-2</v>
      </c>
      <c r="AG3986">
        <v>-0.15425409999999901</v>
      </c>
      <c r="AH3986">
        <v>0.63626542565313005</v>
      </c>
      <c r="AI3986">
        <v>103.62461074949699</v>
      </c>
      <c r="AJ3986">
        <v>91.237317787670804</v>
      </c>
      <c r="AK3986">
        <v>0.65484110625648995</v>
      </c>
      <c r="AL3986">
        <v>93.470379257324595</v>
      </c>
      <c r="AM3986">
        <v>89.385599101674501</v>
      </c>
      <c r="AN3986">
        <v>1.00000006303932</v>
      </c>
    </row>
    <row r="3987" spans="1:40" x14ac:dyDescent="0.25">
      <c r="A3987" t="str">
        <f>"20190303154215374"</f>
        <v>20190303154215374</v>
      </c>
      <c r="B3987" t="str">
        <f>"1551598935364037"</f>
        <v>1551598935364037</v>
      </c>
      <c r="C3987" t="s">
        <v>40</v>
      </c>
      <c r="D3987">
        <v>5.557194</v>
      </c>
      <c r="E3987">
        <v>0.48719479999999998</v>
      </c>
      <c r="F3987" t="s">
        <v>42</v>
      </c>
      <c r="G3987">
        <v>-431.63830000000002</v>
      </c>
      <c r="H3987">
        <v>0.96898209999999996</v>
      </c>
      <c r="I3987">
        <v>215.41200000000001</v>
      </c>
      <c r="J3987">
        <v>-432.14819999999997</v>
      </c>
      <c r="K3987">
        <v>1.1201749999999999</v>
      </c>
      <c r="L3987">
        <v>215.3989</v>
      </c>
      <c r="M3987">
        <v>0.99998120000000001</v>
      </c>
      <c r="N3987">
        <v>-5.9365169999999997E-3</v>
      </c>
      <c r="O3987">
        <v>-1.6002950000000001E-3</v>
      </c>
      <c r="P3987">
        <v>0.99772400000000006</v>
      </c>
      <c r="Q3987">
        <v>-6.619042E-2</v>
      </c>
      <c r="R3987">
        <v>-1.2877039999999999E-2</v>
      </c>
      <c r="S3987">
        <v>2.9727779999999999</v>
      </c>
      <c r="T3987">
        <v>-0.51745580000000002</v>
      </c>
      <c r="U3987">
        <v>4.3548580000000003E-2</v>
      </c>
      <c r="V3987">
        <v>1.1279249999999999E-2</v>
      </c>
      <c r="W3987">
        <v>-6.0266350000000003E-2</v>
      </c>
      <c r="X3987">
        <v>0.99811859999999997</v>
      </c>
      <c r="Y3987">
        <v>-1.597674E-2</v>
      </c>
      <c r="Z3987">
        <v>1.694868E-3</v>
      </c>
      <c r="AA3987">
        <v>0.99987099999999995</v>
      </c>
      <c r="AB3987">
        <v>22</v>
      </c>
      <c r="AC3987">
        <v>0.50989999999995905</v>
      </c>
      <c r="AD3987">
        <v>-0.15119289999999899</v>
      </c>
      <c r="AE3987">
        <v>1.3100000000008501E-2</v>
      </c>
      <c r="AF3987">
        <v>-1.27920404181104E-2</v>
      </c>
      <c r="AG3987">
        <v>-0.15119289999999899</v>
      </c>
      <c r="AH3987">
        <v>0.46869722141350001</v>
      </c>
      <c r="AI3987">
        <v>107.87249233943</v>
      </c>
      <c r="AJ3987">
        <v>91.563371810043094</v>
      </c>
      <c r="AK3987">
        <v>0.49264593235832499</v>
      </c>
      <c r="AL3987">
        <v>93.455101175104303</v>
      </c>
      <c r="AM3987">
        <v>89.352555984835902</v>
      </c>
      <c r="AN3987">
        <v>0.999999997044422</v>
      </c>
    </row>
    <row r="3988" spans="1:40" x14ac:dyDescent="0.25">
      <c r="A3988" t="str">
        <f>"20190303154215396"</f>
        <v>20190303154215396</v>
      </c>
      <c r="B3988" t="str">
        <f>"1551598935383557"</f>
        <v>1551598935383557</v>
      </c>
      <c r="C3988" t="s">
        <v>40</v>
      </c>
      <c r="D3988">
        <v>5.5813220000000001</v>
      </c>
      <c r="E3988">
        <v>0.48594150000000003</v>
      </c>
      <c r="F3988" t="s">
        <v>51</v>
      </c>
      <c r="G3988">
        <v>-420.61799999999999</v>
      </c>
      <c r="H3988" s="1">
        <v>3.7661600000000002E-6</v>
      </c>
      <c r="I3988">
        <v>215.63239999999999</v>
      </c>
      <c r="J3988">
        <v>-431.93520000000001</v>
      </c>
      <c r="K3988">
        <v>1.1201380000000001</v>
      </c>
      <c r="L3988">
        <v>215.39859999999999</v>
      </c>
      <c r="M3988">
        <v>0.9999827</v>
      </c>
      <c r="N3988">
        <v>-5.6785059999999998E-3</v>
      </c>
      <c r="O3988">
        <v>-1.60325299999999E-3</v>
      </c>
      <c r="P3988">
        <v>0.99774600000000002</v>
      </c>
      <c r="Q3988">
        <v>-6.5868469999999998E-2</v>
      </c>
      <c r="R3988">
        <v>-1.2824449999999999E-2</v>
      </c>
      <c r="S3988">
        <v>2.9883730000000002</v>
      </c>
      <c r="T3988">
        <v>-0.29032269999999999</v>
      </c>
      <c r="U3988">
        <v>6.0501100000000002E-2</v>
      </c>
      <c r="V3988">
        <v>1.1223469999999999E-2</v>
      </c>
      <c r="W3988">
        <v>-6.0201850000000001E-2</v>
      </c>
      <c r="X3988">
        <v>0.99812310000000004</v>
      </c>
      <c r="Y3988">
        <v>-2.172932E-2</v>
      </c>
      <c r="Z3988">
        <v>1.261072E-3</v>
      </c>
      <c r="AA3988">
        <v>0.99976310000000002</v>
      </c>
      <c r="AB3988">
        <v>22</v>
      </c>
      <c r="AC3988">
        <v>11.3171999999999</v>
      </c>
      <c r="AD3988">
        <v>-1.12013423383999</v>
      </c>
      <c r="AE3988">
        <v>0.23380000000000201</v>
      </c>
      <c r="AF3988">
        <v>-0.24950117878113201</v>
      </c>
      <c r="AG3988">
        <v>-1.12013423383999</v>
      </c>
      <c r="AH3988">
        <v>11.2070696071066</v>
      </c>
      <c r="AI3988">
        <v>95.706289460304603</v>
      </c>
      <c r="AJ3988">
        <v>91.275356000700896</v>
      </c>
      <c r="AK3988">
        <v>11.265671782835099</v>
      </c>
      <c r="AL3988">
        <v>93.451398948074896</v>
      </c>
      <c r="AM3988">
        <v>89.355760465097603</v>
      </c>
      <c r="AN3988">
        <v>0.99999997588793599</v>
      </c>
    </row>
    <row r="3989" spans="1:40" x14ac:dyDescent="0.25">
      <c r="A3989" t="str">
        <f>"20190303154215415"</f>
        <v>20190303154215415</v>
      </c>
      <c r="B3989" t="str">
        <f>"1551598935404053"</f>
        <v>1551598935404053</v>
      </c>
      <c r="C3989" t="s">
        <v>40</v>
      </c>
      <c r="D3989">
        <v>5.5655219999999996</v>
      </c>
      <c r="E3989">
        <v>0.48675309999999999</v>
      </c>
      <c r="F3989" t="s">
        <v>51</v>
      </c>
      <c r="G3989">
        <v>-419.63979999999998</v>
      </c>
      <c r="H3989" s="1">
        <v>3.8217430000000003E-6</v>
      </c>
      <c r="I3989">
        <v>215.691</v>
      </c>
      <c r="J3989">
        <v>-431.73079999999999</v>
      </c>
      <c r="K3989">
        <v>1.120104</v>
      </c>
      <c r="L3989">
        <v>215.39830000000001</v>
      </c>
      <c r="M3989">
        <v>0.99998379999999998</v>
      </c>
      <c r="N3989">
        <v>-5.4494979999999997E-3</v>
      </c>
      <c r="O3989">
        <v>-1.6058429999999901E-3</v>
      </c>
      <c r="P3989">
        <v>0.99769379999999996</v>
      </c>
      <c r="Q3989">
        <v>-6.6559549999999995E-2</v>
      </c>
      <c r="R3989">
        <v>-1.330431E-2</v>
      </c>
      <c r="S3989">
        <v>2.9896850000000001</v>
      </c>
      <c r="T3989">
        <v>-0.27236510000000003</v>
      </c>
      <c r="U3989">
        <v>7.1090699999999896E-2</v>
      </c>
      <c r="V3989">
        <v>1.1700520000000001E-2</v>
      </c>
      <c r="W3989">
        <v>-6.1121830000000002E-2</v>
      </c>
      <c r="X3989">
        <v>0.99806170000000005</v>
      </c>
      <c r="Y3989">
        <v>-2.5260609999999999E-2</v>
      </c>
      <c r="Z3989">
        <v>1.354332E-3</v>
      </c>
      <c r="AA3989">
        <v>0.99968000000000001</v>
      </c>
      <c r="AB3989">
        <v>22</v>
      </c>
      <c r="AC3989">
        <v>12.090999999999999</v>
      </c>
      <c r="AD3989">
        <v>-1.1201001782569999</v>
      </c>
      <c r="AE3989">
        <v>0.29269999999996799</v>
      </c>
      <c r="AF3989">
        <v>-0.30946190842271099</v>
      </c>
      <c r="AG3989">
        <v>-1.1201001782569999</v>
      </c>
      <c r="AH3989">
        <v>11.987696035154601</v>
      </c>
      <c r="AI3989">
        <v>95.336307261732998</v>
      </c>
      <c r="AJ3989">
        <v>91.478759897420005</v>
      </c>
      <c r="AK3989">
        <v>12.043888380143599</v>
      </c>
      <c r="AL3989">
        <v>93.504207200870098</v>
      </c>
      <c r="AM3989">
        <v>89.328338413280605</v>
      </c>
      <c r="AN3989">
        <v>0.99999996863885399</v>
      </c>
    </row>
    <row r="3990" spans="1:40" x14ac:dyDescent="0.25">
      <c r="A3990" t="str">
        <f>"20190303154215439"</f>
        <v>20190303154215439</v>
      </c>
      <c r="B3990" t="str">
        <f>"1551598935433333"</f>
        <v>1551598935433333</v>
      </c>
      <c r="C3990" t="s">
        <v>40</v>
      </c>
      <c r="D3990">
        <v>5.5367170000000003</v>
      </c>
      <c r="E3990">
        <v>0.48785840000000003</v>
      </c>
      <c r="F3990" t="s">
        <v>51</v>
      </c>
      <c r="G3990">
        <v>-419.01569999999998</v>
      </c>
      <c r="H3990" s="1">
        <v>3.7130759999999998E-6</v>
      </c>
      <c r="I3990">
        <v>215.6677</v>
      </c>
      <c r="J3990">
        <v>-431.50150000000002</v>
      </c>
      <c r="K3990">
        <v>1.1200680000000001</v>
      </c>
      <c r="L3990">
        <v>215.39789999999999</v>
      </c>
      <c r="M3990">
        <v>0.99998520000000002</v>
      </c>
      <c r="N3990">
        <v>-5.2189920000000004E-3</v>
      </c>
      <c r="O3990">
        <v>-1.6077400000000001E-3</v>
      </c>
      <c r="P3990">
        <v>0.99768129999999999</v>
      </c>
      <c r="Q3990">
        <v>-6.6808229999999996E-2</v>
      </c>
      <c r="R3990">
        <v>-1.2997899999999901E-2</v>
      </c>
      <c r="S3990">
        <v>2.990173</v>
      </c>
      <c r="T3990">
        <v>-0.263410799999999</v>
      </c>
      <c r="U3990">
        <v>6.3369750000000002E-2</v>
      </c>
      <c r="V3990">
        <v>1.139188E-2</v>
      </c>
      <c r="W3990">
        <v>-6.160069E-2</v>
      </c>
      <c r="X3990">
        <v>0.99803580000000003</v>
      </c>
      <c r="Y3990">
        <v>-2.2696689999999999E-2</v>
      </c>
      <c r="Z3990">
        <v>1.189978E-3</v>
      </c>
      <c r="AA3990">
        <v>0.99974169999999996</v>
      </c>
      <c r="AB3990">
        <v>22</v>
      </c>
      <c r="AC3990">
        <v>12.485799999999999</v>
      </c>
      <c r="AD3990">
        <v>-1.1200642869239901</v>
      </c>
      <c r="AE3990">
        <v>0.26980000000000298</v>
      </c>
      <c r="AF3990">
        <v>-0.28756081861322502</v>
      </c>
      <c r="AG3990">
        <v>-1.1200642869239901</v>
      </c>
      <c r="AH3990">
        <v>12.385724288417199</v>
      </c>
      <c r="AI3990">
        <v>95.165924895534999</v>
      </c>
      <c r="AJ3990">
        <v>91.330003918362493</v>
      </c>
      <c r="AK3990">
        <v>12.439590080864001</v>
      </c>
      <c r="AL3990">
        <v>93.531695762381105</v>
      </c>
      <c r="AM3990">
        <v>89.346037185537</v>
      </c>
      <c r="AN3990">
        <v>0.99999993901002304</v>
      </c>
    </row>
    <row r="3991" spans="1:40" x14ac:dyDescent="0.25">
      <c r="A3991" t="str">
        <f>"20190303154215461"</f>
        <v>20190303154215461</v>
      </c>
      <c r="B3991" t="str">
        <f>"1551598935453829"</f>
        <v>1551598935453829</v>
      </c>
      <c r="C3991" t="s">
        <v>40</v>
      </c>
      <c r="D3991">
        <v>5.5238339999999999</v>
      </c>
      <c r="E3991">
        <v>0.48839630000000001</v>
      </c>
      <c r="F3991" t="s">
        <v>51</v>
      </c>
      <c r="G3991">
        <v>-418.69510000000002</v>
      </c>
      <c r="H3991" s="1">
        <v>3.6589429999999999E-6</v>
      </c>
      <c r="I3991">
        <v>215.63640000000001</v>
      </c>
      <c r="J3991">
        <v>-431.26900000000001</v>
      </c>
      <c r="K3991">
        <v>1.120034</v>
      </c>
      <c r="L3991">
        <v>215.39760000000001</v>
      </c>
      <c r="M3991">
        <v>0.99998620000000005</v>
      </c>
      <c r="N3991">
        <v>-5.0143330000000002E-3</v>
      </c>
      <c r="O3991">
        <v>-1.6085330000000001E-3</v>
      </c>
      <c r="P3991">
        <v>0.99759759999999997</v>
      </c>
      <c r="Q3991">
        <v>-6.8008509999999994E-2</v>
      </c>
      <c r="R3991">
        <v>-1.3182279999999999E-2</v>
      </c>
      <c r="S3991">
        <v>2.990173</v>
      </c>
      <c r="T3991">
        <v>-0.2615248</v>
      </c>
      <c r="U3991">
        <v>5.569458E-2</v>
      </c>
      <c r="V3991">
        <v>1.1575429999999999E-2</v>
      </c>
      <c r="W3991">
        <v>-6.300567E-2</v>
      </c>
      <c r="X3991">
        <v>0.997946</v>
      </c>
      <c r="Y3991">
        <v>-2.0144140000000001E-2</v>
      </c>
      <c r="Z3991">
        <v>1.062129E-3</v>
      </c>
      <c r="AA3991">
        <v>0.99979649999999998</v>
      </c>
      <c r="AB3991">
        <v>23</v>
      </c>
      <c r="AC3991">
        <v>12.573899999999901</v>
      </c>
      <c r="AD3991">
        <v>-1.1200303410570001</v>
      </c>
      <c r="AE3991">
        <v>0.23879999999999699</v>
      </c>
      <c r="AF3991">
        <v>-0.25698714773829601</v>
      </c>
      <c r="AG3991">
        <v>-1.1200303410570001</v>
      </c>
      <c r="AH3991">
        <v>12.474555932368199</v>
      </c>
      <c r="AI3991">
        <v>95.129472812455404</v>
      </c>
      <c r="AJ3991">
        <v>91.180178002578103</v>
      </c>
      <c r="AK3991">
        <v>12.527372273097599</v>
      </c>
      <c r="AL3991">
        <v>93.612351808370207</v>
      </c>
      <c r="AM3991">
        <v>89.335441453248393</v>
      </c>
      <c r="AN3991">
        <v>0.99999996197391605</v>
      </c>
    </row>
    <row r="3992" spans="1:40" x14ac:dyDescent="0.25">
      <c r="A3992" t="str">
        <f>"20190303154215484"</f>
        <v>20190303154215484</v>
      </c>
      <c r="B3992" t="str">
        <f>"1551598935473352"</f>
        <v>1551598935473352</v>
      </c>
      <c r="C3992" t="s">
        <v>40</v>
      </c>
      <c r="D3992">
        <v>5.531447</v>
      </c>
      <c r="E3992">
        <v>0.48873129999999998</v>
      </c>
      <c r="F3992" t="s">
        <v>51</v>
      </c>
      <c r="G3992">
        <v>-418.4855</v>
      </c>
      <c r="H3992" s="1">
        <v>3.6235600000000001E-6</v>
      </c>
      <c r="I3992">
        <v>215.61580000000001</v>
      </c>
      <c r="J3992">
        <v>-431.03460000000001</v>
      </c>
      <c r="K3992">
        <v>1.120007</v>
      </c>
      <c r="L3992">
        <v>215.3972</v>
      </c>
      <c r="M3992">
        <v>0.99998719999999996</v>
      </c>
      <c r="N3992">
        <v>-4.836229E-3</v>
      </c>
      <c r="O3992">
        <v>-1.6089330000000001E-3</v>
      </c>
      <c r="P3992">
        <v>0.99755819999999995</v>
      </c>
      <c r="Q3992">
        <v>-6.859693E-2</v>
      </c>
      <c r="R3992">
        <v>-1.312748E-2</v>
      </c>
      <c r="S3992">
        <v>2.9900509999999998</v>
      </c>
      <c r="T3992">
        <v>-0.26197429999999999</v>
      </c>
      <c r="U3992">
        <v>5.104065E-2</v>
      </c>
      <c r="V3992">
        <v>1.152012E-2</v>
      </c>
      <c r="W3992">
        <v>-6.3772029999999993E-2</v>
      </c>
      <c r="X3992">
        <v>0.99789799999999995</v>
      </c>
      <c r="Y3992">
        <v>-1.85957E-2</v>
      </c>
      <c r="Z3992">
        <v>9.9100019999999998E-4</v>
      </c>
      <c r="AA3992">
        <v>0.99982660000000001</v>
      </c>
      <c r="AB3992">
        <v>23</v>
      </c>
      <c r="AC3992">
        <v>12.549099999999999</v>
      </c>
      <c r="AD3992">
        <v>-1.1200033764399999</v>
      </c>
      <c r="AE3992">
        <v>0.21860000000000901</v>
      </c>
      <c r="AF3992">
        <v>-0.236904121128102</v>
      </c>
      <c r="AG3992">
        <v>-1.1200033764399999</v>
      </c>
      <c r="AH3992">
        <v>12.449594769905101</v>
      </c>
      <c r="AI3992">
        <v>95.139738348047402</v>
      </c>
      <c r="AJ3992">
        <v>91.090153417733205</v>
      </c>
      <c r="AK3992">
        <v>12.502117463081699</v>
      </c>
      <c r="AL3992">
        <v>93.656349342846298</v>
      </c>
      <c r="AM3992">
        <v>89.338584769795702</v>
      </c>
      <c r="AN3992">
        <v>1.00000000168956</v>
      </c>
    </row>
    <row r="3993" spans="1:40" x14ac:dyDescent="0.25">
      <c r="A3993" t="str">
        <f>"20190303154215505"</f>
        <v>20190303154215505</v>
      </c>
      <c r="B3993" t="str">
        <f>"1551598935493845"</f>
        <v>1551598935493845</v>
      </c>
      <c r="C3993" t="s">
        <v>40</v>
      </c>
      <c r="D3993">
        <v>5.542859</v>
      </c>
      <c r="E3993">
        <v>0.48850359999999998</v>
      </c>
      <c r="F3993" t="s">
        <v>51</v>
      </c>
      <c r="G3993">
        <v>-418.30869999999999</v>
      </c>
      <c r="H3993" s="1">
        <v>3.593238E-6</v>
      </c>
      <c r="I3993">
        <v>215.60390000000001</v>
      </c>
      <c r="J3993">
        <v>-430.81330000000003</v>
      </c>
      <c r="K3993">
        <v>1.1199889999999999</v>
      </c>
      <c r="L3993">
        <v>215.39680000000001</v>
      </c>
      <c r="M3993">
        <v>0.99998779999999998</v>
      </c>
      <c r="N3993">
        <v>-4.6920499999999997E-3</v>
      </c>
      <c r="O3993">
        <v>-1.60894799999999E-3</v>
      </c>
      <c r="P3993">
        <v>0.99756180000000005</v>
      </c>
      <c r="Q3993">
        <v>-6.8609619999999996E-2</v>
      </c>
      <c r="R3993">
        <v>-1.2778390000000001E-2</v>
      </c>
      <c r="S3993">
        <v>2.9898989999999999</v>
      </c>
      <c r="T3993">
        <v>-0.26313969999999998</v>
      </c>
      <c r="U3993">
        <v>4.8583979999999999E-2</v>
      </c>
      <c r="V3993">
        <v>1.1170899999999999E-2</v>
      </c>
      <c r="W3993">
        <v>-6.3928589999999993E-2</v>
      </c>
      <c r="X3993">
        <v>0.997892</v>
      </c>
      <c r="Y3993">
        <v>-1.777801E-2</v>
      </c>
      <c r="Z3993">
        <v>9.5633869999999996E-4</v>
      </c>
      <c r="AA3993">
        <v>0.99984150000000005</v>
      </c>
      <c r="AB3993">
        <v>23</v>
      </c>
      <c r="AC3993">
        <v>12.5046</v>
      </c>
      <c r="AD3993">
        <v>-1.1199854067620001</v>
      </c>
      <c r="AE3993">
        <v>0.20709999999999601</v>
      </c>
      <c r="AF3993">
        <v>-0.22541143756882601</v>
      </c>
      <c r="AG3993">
        <v>-1.1199854067620001</v>
      </c>
      <c r="AH3993">
        <v>12.4047662863476</v>
      </c>
      <c r="AI3993">
        <v>95.1582118769484</v>
      </c>
      <c r="AJ3993">
        <v>91.041027496460501</v>
      </c>
      <c r="AK3993">
        <v>12.4572631121949</v>
      </c>
      <c r="AL3993">
        <v>93.665337739027905</v>
      </c>
      <c r="AM3993">
        <v>89.358629301339406</v>
      </c>
      <c r="AN3993">
        <v>1.00000004864509</v>
      </c>
    </row>
    <row r="3994" spans="1:40" x14ac:dyDescent="0.25">
      <c r="A3994" t="str">
        <f>"20190303154215526"</f>
        <v>20190303154215526</v>
      </c>
      <c r="B3994" t="str">
        <f>"1551598935524100"</f>
        <v>1551598935524100</v>
      </c>
      <c r="C3994" t="s">
        <v>40</v>
      </c>
      <c r="D3994">
        <v>5.5533000000000001</v>
      </c>
      <c r="E3994">
        <v>0.48839709999999997</v>
      </c>
      <c r="F3994" t="s">
        <v>51</v>
      </c>
      <c r="G3994">
        <v>-418.0034</v>
      </c>
      <c r="H3994" s="1">
        <v>3.5379040000000002E-6</v>
      </c>
      <c r="I3994">
        <v>215.6173</v>
      </c>
      <c r="J3994">
        <v>-430.59530000000001</v>
      </c>
      <c r="K3994">
        <v>1.1199730000000001</v>
      </c>
      <c r="L3994">
        <v>215.3965</v>
      </c>
      <c r="M3994">
        <v>0.99998830000000005</v>
      </c>
      <c r="N3994">
        <v>-4.5696309999999898E-3</v>
      </c>
      <c r="O3994">
        <v>-1.608784E-3</v>
      </c>
      <c r="P3994">
        <v>0.99757300000000004</v>
      </c>
      <c r="Q3994">
        <v>-6.8540840000000006E-2</v>
      </c>
      <c r="R3994">
        <v>-1.2266300000000001E-2</v>
      </c>
      <c r="S3994">
        <v>2.9900509999999998</v>
      </c>
      <c r="T3994">
        <v>-0.26142300000000002</v>
      </c>
      <c r="U3994">
        <v>5.1467899999999997E-2</v>
      </c>
      <c r="V3994">
        <v>1.065896E-2</v>
      </c>
      <c r="W3994">
        <v>-6.3981919999999998E-2</v>
      </c>
      <c r="X3994">
        <v>0.99789410000000001</v>
      </c>
      <c r="Y3994">
        <v>-1.8738319999999999E-2</v>
      </c>
      <c r="Z3994">
        <v>9.9347929999999991E-4</v>
      </c>
      <c r="AA3994">
        <v>0.99982389999999999</v>
      </c>
      <c r="AB3994">
        <v>23</v>
      </c>
      <c r="AC3994">
        <v>12.591900000000001</v>
      </c>
      <c r="AD3994">
        <v>-1.1199694620959999</v>
      </c>
      <c r="AE3994">
        <v>0.220799999999996</v>
      </c>
      <c r="AF3994">
        <v>-0.23916611750831299</v>
      </c>
      <c r="AG3994">
        <v>-1.1199694620959999</v>
      </c>
      <c r="AH3994">
        <v>12.4927292328465</v>
      </c>
      <c r="AI3994">
        <v>95.121921110856803</v>
      </c>
      <c r="AJ3994">
        <v>91.096760774359495</v>
      </c>
      <c r="AK3994">
        <v>12.5451112276061</v>
      </c>
      <c r="AL3994">
        <v>93.668399890435495</v>
      </c>
      <c r="AM3994">
        <v>89.388021036047206</v>
      </c>
      <c r="AN3994">
        <v>0.99999996716498796</v>
      </c>
    </row>
    <row r="3995" spans="1:40" x14ac:dyDescent="0.25">
      <c r="A3995" t="str">
        <f>"20190303154215550"</f>
        <v>20190303154215550</v>
      </c>
      <c r="B3995" t="str">
        <f>"1551598935543621"</f>
        <v>1551598935543621</v>
      </c>
      <c r="C3995" t="s">
        <v>40</v>
      </c>
      <c r="D3995">
        <v>5.5479459999999996</v>
      </c>
      <c r="E3995">
        <v>0.48826409999999998</v>
      </c>
      <c r="F3995" t="s">
        <v>51</v>
      </c>
      <c r="G3995">
        <v>-417.68490000000003</v>
      </c>
      <c r="H3995" s="1">
        <v>3.4803700000000002E-6</v>
      </c>
      <c r="I3995">
        <v>215.6294</v>
      </c>
      <c r="J3995">
        <v>-430.34640000000002</v>
      </c>
      <c r="K3995">
        <v>1.1199539999999999</v>
      </c>
      <c r="L3995">
        <v>215.39609999999999</v>
      </c>
      <c r="M3995">
        <v>0.99998889999999996</v>
      </c>
      <c r="N3995">
        <v>-4.4448999999999999E-3</v>
      </c>
      <c r="O3995">
        <v>-1.6085019999999999E-3</v>
      </c>
      <c r="P3995">
        <v>0.99758060000000004</v>
      </c>
      <c r="Q3995">
        <v>-6.8482260000000003E-2</v>
      </c>
      <c r="R3995">
        <v>-1.197806E-2</v>
      </c>
      <c r="S3995">
        <v>2.9901430000000002</v>
      </c>
      <c r="T3995">
        <v>-0.25939329999999999</v>
      </c>
      <c r="U3995">
        <v>5.3939819999999999E-2</v>
      </c>
      <c r="V3995">
        <v>1.037071E-2</v>
      </c>
      <c r="W3995">
        <v>-6.4047750000000001E-2</v>
      </c>
      <c r="X3995">
        <v>0.99789300000000003</v>
      </c>
      <c r="Y3995">
        <v>-1.956186E-2</v>
      </c>
      <c r="Z3995">
        <v>1.0225239999999999E-3</v>
      </c>
      <c r="AA3995">
        <v>0.99980809999999998</v>
      </c>
      <c r="AB3995">
        <v>23</v>
      </c>
      <c r="AC3995">
        <v>12.661499999999901</v>
      </c>
      <c r="AD3995">
        <v>-1.1199505196299999</v>
      </c>
      <c r="AE3995">
        <v>0.233300000000014</v>
      </c>
      <c r="AF3995">
        <v>-0.251697341106567</v>
      </c>
      <c r="AG3995">
        <v>-1.1199505196299999</v>
      </c>
      <c r="AH3995">
        <v>12.562850309383601</v>
      </c>
      <c r="AI3995">
        <v>95.093309229472496</v>
      </c>
      <c r="AJ3995">
        <v>91.147770282857095</v>
      </c>
      <c r="AK3995">
        <v>12.6151832572467</v>
      </c>
      <c r="AL3995">
        <v>93.672179109300998</v>
      </c>
      <c r="AM3995">
        <v>89.404568904110306</v>
      </c>
      <c r="AN3995">
        <v>1.0000000526774799</v>
      </c>
    </row>
    <row r="3996" spans="1:40" x14ac:dyDescent="0.25">
      <c r="A3996" t="str">
        <f>"20190303154215574"</f>
        <v>20190303154215574</v>
      </c>
      <c r="B3996" t="str">
        <f>"1551598935563141"</f>
        <v>1551598935563141</v>
      </c>
      <c r="C3996" t="s">
        <v>40</v>
      </c>
      <c r="D3996">
        <v>5.5164410000000004</v>
      </c>
      <c r="E3996">
        <v>0.4882377</v>
      </c>
      <c r="F3996" t="s">
        <v>51</v>
      </c>
      <c r="G3996">
        <v>-417.48070000000001</v>
      </c>
      <c r="H3996" s="1">
        <v>3.4435359999999999E-6</v>
      </c>
      <c r="I3996">
        <v>215.6362</v>
      </c>
      <c r="J3996">
        <v>-430.09010000000001</v>
      </c>
      <c r="K3996">
        <v>1.119939</v>
      </c>
      <c r="L3996">
        <v>215.39570000000001</v>
      </c>
      <c r="M3996">
        <v>0.99998940000000003</v>
      </c>
      <c r="N3996">
        <v>-4.3239100000000003E-3</v>
      </c>
      <c r="O3996">
        <v>-1.607996E-3</v>
      </c>
      <c r="P3996">
        <v>0.99760450000000001</v>
      </c>
      <c r="Q3996">
        <v>-6.8155770000000004E-2</v>
      </c>
      <c r="R3996">
        <v>-1.183756E-2</v>
      </c>
      <c r="S3996">
        <v>2.9900820000000001</v>
      </c>
      <c r="T3996">
        <v>-0.26028479999999998</v>
      </c>
      <c r="U3996">
        <v>5.5816650000000002E-2</v>
      </c>
      <c r="V3996">
        <v>1.023082E-2</v>
      </c>
      <c r="W3996">
        <v>-6.3841899999999993E-2</v>
      </c>
      <c r="X3996">
        <v>0.99790760000000001</v>
      </c>
      <c r="Y3996">
        <v>-2.018611E-2</v>
      </c>
      <c r="Z3996">
        <v>1.053352E-3</v>
      </c>
      <c r="AA3996">
        <v>0.99979569999999995</v>
      </c>
      <c r="AB3996">
        <v>23</v>
      </c>
      <c r="AC3996">
        <v>12.6093999999999</v>
      </c>
      <c r="AD3996">
        <v>-1.1199355564639999</v>
      </c>
      <c r="AE3996">
        <v>0.24049999999999699</v>
      </c>
      <c r="AF3996">
        <v>-0.25873543714964098</v>
      </c>
      <c r="AG3996">
        <v>-1.1199355564639999</v>
      </c>
      <c r="AH3996">
        <v>12.510344373120599</v>
      </c>
      <c r="AI3996">
        <v>95.114437794637197</v>
      </c>
      <c r="AJ3996">
        <v>91.1848063507624</v>
      </c>
      <c r="AK3996">
        <v>12.563037690429001</v>
      </c>
      <c r="AL3996">
        <v>93.660360713405396</v>
      </c>
      <c r="AM3996">
        <v>89.412608671843302</v>
      </c>
      <c r="AN3996">
        <v>1.0000000180056201</v>
      </c>
    </row>
    <row r="3997" spans="1:40" x14ac:dyDescent="0.25">
      <c r="A3997" t="str">
        <f>"20190303154215597"</f>
        <v>20190303154215597</v>
      </c>
      <c r="B3997" t="str">
        <f>"1551598935593397"</f>
        <v>1551598935593397</v>
      </c>
      <c r="C3997" t="s">
        <v>40</v>
      </c>
      <c r="D3997">
        <v>5.5802420000000001</v>
      </c>
      <c r="E3997">
        <v>0.48815989999999998</v>
      </c>
      <c r="F3997" t="s">
        <v>51</v>
      </c>
      <c r="G3997">
        <v>-417.16079999999999</v>
      </c>
      <c r="H3997" s="1">
        <v>3.3864919999999999E-6</v>
      </c>
      <c r="I3997">
        <v>215.6397</v>
      </c>
      <c r="J3997">
        <v>-429.85390000000001</v>
      </c>
      <c r="K3997">
        <v>1.1199269999999999</v>
      </c>
      <c r="L3997">
        <v>215.39529999999999</v>
      </c>
      <c r="M3997">
        <v>0.99998989999999999</v>
      </c>
      <c r="N3997">
        <v>-4.215735E-3</v>
      </c>
      <c r="O3997">
        <v>-1.6075250000000001E-3</v>
      </c>
      <c r="P3997">
        <v>0.99759240000000005</v>
      </c>
      <c r="Q3997">
        <v>-6.8315280000000006E-2</v>
      </c>
      <c r="R3997">
        <v>-1.1956329999999999E-2</v>
      </c>
      <c r="S3997">
        <v>2.990173</v>
      </c>
      <c r="T3997">
        <v>-0.25900790000000001</v>
      </c>
      <c r="U3997">
        <v>5.6442260000000001E-2</v>
      </c>
      <c r="V3997">
        <v>1.034998E-2</v>
      </c>
      <c r="W3997">
        <v>-6.4109399999999997E-2</v>
      </c>
      <c r="X3997">
        <v>0.99788920000000003</v>
      </c>
      <c r="Y3997">
        <v>-2.0394269999999999E-2</v>
      </c>
      <c r="Z3997">
        <v>1.0568280000000001E-3</v>
      </c>
      <c r="AA3997">
        <v>0.9997914</v>
      </c>
      <c r="AB3997">
        <v>23</v>
      </c>
      <c r="AC3997">
        <v>12.693099999999999</v>
      </c>
      <c r="AD3997">
        <v>-1.119923613508</v>
      </c>
      <c r="AE3997">
        <v>0.244400000000013</v>
      </c>
      <c r="AF3997">
        <v>-0.26275959521820702</v>
      </c>
      <c r="AG3997">
        <v>-1.119923613508</v>
      </c>
      <c r="AH3997">
        <v>12.594681345126</v>
      </c>
      <c r="AI3997">
        <v>95.080297242898595</v>
      </c>
      <c r="AJ3997">
        <v>91.195173719622403</v>
      </c>
      <c r="AK3997">
        <v>12.647105190130899</v>
      </c>
      <c r="AL3997">
        <v>93.675718875495306</v>
      </c>
      <c r="AM3997">
        <v>89.405756762461294</v>
      </c>
      <c r="AN3997">
        <v>0.99999999636549997</v>
      </c>
    </row>
    <row r="3998" spans="1:40" x14ac:dyDescent="0.25">
      <c r="A3998" t="str">
        <f>"20190303154215617"</f>
        <v>20190303154215617</v>
      </c>
      <c r="B3998" t="str">
        <f>"1551598935613894"</f>
        <v>1551598935613894</v>
      </c>
      <c r="C3998" t="s">
        <v>40</v>
      </c>
      <c r="D3998">
        <v>5.5529849999999996</v>
      </c>
      <c r="E3998">
        <v>0.48812319999999998</v>
      </c>
      <c r="F3998" t="s">
        <v>42</v>
      </c>
      <c r="G3998">
        <v>-428.91469999999998</v>
      </c>
      <c r="H3998">
        <v>1.0383</v>
      </c>
      <c r="I3998">
        <v>215.4127</v>
      </c>
      <c r="J3998">
        <v>-429.63260000000002</v>
      </c>
      <c r="K3998">
        <v>1.1199129999999999</v>
      </c>
      <c r="L3998">
        <v>215.39490000000001</v>
      </c>
      <c r="M3998">
        <v>0.9999903</v>
      </c>
      <c r="N3998">
        <v>-4.1193860000000001E-3</v>
      </c>
      <c r="O3998">
        <v>-1.607203E-3</v>
      </c>
      <c r="P3998">
        <v>0.99763080000000004</v>
      </c>
      <c r="Q3998">
        <v>-6.7758009999999994E-2</v>
      </c>
      <c r="R3998">
        <v>-1.1923889999999999E-2</v>
      </c>
      <c r="S3998">
        <v>2.9901119999999999</v>
      </c>
      <c r="T3998">
        <v>-0.25998749999999998</v>
      </c>
      <c r="U3998">
        <v>5.6564330000000003E-2</v>
      </c>
      <c r="V3998">
        <v>1.03179E-2</v>
      </c>
      <c r="W3998">
        <v>-6.3648140000000006E-2</v>
      </c>
      <c r="X3998">
        <v>0.99791909999999895</v>
      </c>
      <c r="Y3998">
        <v>-2.043441E-2</v>
      </c>
      <c r="Z3998">
        <v>1.0616619999999999E-3</v>
      </c>
      <c r="AA3998">
        <v>0.99979059999999997</v>
      </c>
      <c r="AB3998">
        <v>24</v>
      </c>
      <c r="AC3998">
        <v>0.71790000000004195</v>
      </c>
      <c r="AD3998">
        <v>-8.1612999999999894E-2</v>
      </c>
      <c r="AE3998">
        <v>1.7799999999994001E-2</v>
      </c>
      <c r="AF3998">
        <v>-1.8712114395044499E-2</v>
      </c>
      <c r="AG3998">
        <v>-8.1612999999999894E-2</v>
      </c>
      <c r="AH3998">
        <v>0.70871676640426695</v>
      </c>
      <c r="AI3998">
        <v>96.566750211848799</v>
      </c>
      <c r="AJ3998">
        <v>91.512418227433002</v>
      </c>
      <c r="AK3998">
        <v>0.71364576645325495</v>
      </c>
      <c r="AL3998">
        <v>93.6492363879333</v>
      </c>
      <c r="AM3998">
        <v>89.407616249990099</v>
      </c>
      <c r="AN3998">
        <v>1.0000000374653299</v>
      </c>
    </row>
    <row r="3999" spans="1:40" x14ac:dyDescent="0.25">
      <c r="A3999" t="str">
        <f>"20190303154215640"</f>
        <v>20190303154215640</v>
      </c>
      <c r="B3999" t="str">
        <f>"1551598935633413"</f>
        <v>1551598935633413</v>
      </c>
      <c r="C3999" t="s">
        <v>40</v>
      </c>
      <c r="D3999">
        <v>5.5812530000000002</v>
      </c>
      <c r="E3999">
        <v>0.48812519999999998</v>
      </c>
      <c r="F3999" t="s">
        <v>42</v>
      </c>
      <c r="G3999">
        <v>-428.69560000000001</v>
      </c>
      <c r="H3999">
        <v>1.038748</v>
      </c>
      <c r="I3999">
        <v>215.41239999999999</v>
      </c>
      <c r="J3999">
        <v>-429.39490000000001</v>
      </c>
      <c r="K3999">
        <v>1.119896</v>
      </c>
      <c r="L3999">
        <v>215.39449999999999</v>
      </c>
      <c r="M3999">
        <v>0.99999070000000001</v>
      </c>
      <c r="N3999">
        <v>-4.0248280000000003E-3</v>
      </c>
      <c r="O3999">
        <v>-1.6065319999999999E-3</v>
      </c>
      <c r="P3999">
        <v>0.99758950000000002</v>
      </c>
      <c r="Q3999">
        <v>-6.8428199999999995E-2</v>
      </c>
      <c r="R3999">
        <v>-1.152983E-2</v>
      </c>
      <c r="S3999">
        <v>2.9902039999999999</v>
      </c>
      <c r="T3999">
        <v>-0.25919510000000001</v>
      </c>
      <c r="U3999">
        <v>5.7006840000000003E-2</v>
      </c>
      <c r="V3999">
        <v>9.9246809999999994E-3</v>
      </c>
      <c r="W3999">
        <v>-6.4412810000000001E-2</v>
      </c>
      <c r="X3999">
        <v>0.99787400000000004</v>
      </c>
      <c r="Y3999">
        <v>-2.0581080000000002E-2</v>
      </c>
      <c r="Z3999">
        <v>1.064281E-3</v>
      </c>
      <c r="AA3999">
        <v>0.9997876</v>
      </c>
      <c r="AB3999">
        <v>24</v>
      </c>
      <c r="AC3999">
        <v>0.69929999999999304</v>
      </c>
      <c r="AD3999">
        <v>-8.1147999999999998E-2</v>
      </c>
      <c r="AE3999">
        <v>1.78999999999973E-2</v>
      </c>
      <c r="AF3999">
        <v>-1.8770836973756901E-2</v>
      </c>
      <c r="AG3999">
        <v>-8.1147999999999998E-2</v>
      </c>
      <c r="AH3999">
        <v>0.68998529651908802</v>
      </c>
      <c r="AI3999">
        <v>96.7051884029364</v>
      </c>
      <c r="AJ3999">
        <v>91.558329631221895</v>
      </c>
      <c r="AK3999">
        <v>0.69499428172987798</v>
      </c>
      <c r="AL3999">
        <v>93.693138925847094</v>
      </c>
      <c r="AM3999">
        <v>89.430164945176202</v>
      </c>
      <c r="AN3999">
        <v>1.0000000146305199</v>
      </c>
    </row>
    <row r="4000" spans="1:40" x14ac:dyDescent="0.25">
      <c r="A4000" t="str">
        <f>"20190303154215661"</f>
        <v>20190303154215661</v>
      </c>
      <c r="B4000" t="str">
        <f>"1551598935653909"</f>
        <v>1551598935653909</v>
      </c>
      <c r="C4000" t="s">
        <v>40</v>
      </c>
      <c r="D4000">
        <v>5.5780900000000004</v>
      </c>
      <c r="E4000">
        <v>0.48819299999999999</v>
      </c>
      <c r="F4000" t="s">
        <v>51</v>
      </c>
      <c r="G4000">
        <v>-416.61439999999999</v>
      </c>
      <c r="H4000" s="1">
        <v>3.289291E-6</v>
      </c>
      <c r="I4000">
        <v>215.6429</v>
      </c>
      <c r="J4000">
        <v>-429.15499999999997</v>
      </c>
      <c r="K4000">
        <v>1.119875</v>
      </c>
      <c r="L4000">
        <v>215.39410000000001</v>
      </c>
      <c r="M4000">
        <v>0.99999110000000002</v>
      </c>
      <c r="N4000">
        <v>-3.9404690000000003E-3</v>
      </c>
      <c r="O4000">
        <v>-1.606005E-3</v>
      </c>
      <c r="P4000">
        <v>0.99757799999999996</v>
      </c>
      <c r="Q4000">
        <v>-6.8553030000000001E-2</v>
      </c>
      <c r="R4000">
        <v>-1.178764E-2</v>
      </c>
      <c r="S4000">
        <v>2.98996</v>
      </c>
      <c r="T4000">
        <v>-0.26199640000000002</v>
      </c>
      <c r="U4000">
        <v>5.8105469999999999E-2</v>
      </c>
      <c r="V4000">
        <v>1.018294E-2</v>
      </c>
      <c r="W4000">
        <v>-6.4621890000000001E-2</v>
      </c>
      <c r="X4000">
        <v>0.99785789999999996</v>
      </c>
      <c r="Y4000">
        <v>-2.0946090000000001E-2</v>
      </c>
      <c r="Z4000">
        <v>1.091348E-3</v>
      </c>
      <c r="AA4000">
        <v>0.99978</v>
      </c>
      <c r="AB4000">
        <v>24</v>
      </c>
      <c r="AC4000">
        <v>12.5405999999999</v>
      </c>
      <c r="AD4000">
        <v>-1.1198717107089999</v>
      </c>
      <c r="AE4000">
        <v>0.248799999999988</v>
      </c>
      <c r="AF4000">
        <v>-0.26681325096072001</v>
      </c>
      <c r="AG4000">
        <v>-1.1198717107089999</v>
      </c>
      <c r="AH4000">
        <v>12.4410132344362</v>
      </c>
      <c r="AI4000">
        <v>95.142413112606505</v>
      </c>
      <c r="AJ4000">
        <v>91.228592061000498</v>
      </c>
      <c r="AK4000">
        <v>12.4941631275868</v>
      </c>
      <c r="AL4000">
        <v>93.705143262740407</v>
      </c>
      <c r="AM4000">
        <v>89.415328341267596</v>
      </c>
      <c r="AN4000">
        <v>1.00000003476331</v>
      </c>
    </row>
    <row r="4001" spans="1:40" x14ac:dyDescent="0.25">
      <c r="A4001" t="str">
        <f>"20190303154215685"</f>
        <v>20190303154215685</v>
      </c>
      <c r="B4001" t="str">
        <f>"1551598935673433"</f>
        <v>1551598935673433</v>
      </c>
      <c r="C4001" t="s">
        <v>40</v>
      </c>
      <c r="D4001">
        <v>5.6162070000000002</v>
      </c>
      <c r="E4001">
        <v>0.4881894</v>
      </c>
      <c r="F4001" t="s">
        <v>51</v>
      </c>
      <c r="G4001">
        <v>-416.36320000000001</v>
      </c>
      <c r="H4001" s="1">
        <v>3.2451979999999998E-6</v>
      </c>
      <c r="I4001">
        <v>215.63759999999999</v>
      </c>
      <c r="J4001">
        <v>-428.90190000000001</v>
      </c>
      <c r="K4001">
        <v>1.119853</v>
      </c>
      <c r="L4001">
        <v>215.3937</v>
      </c>
      <c r="M4001">
        <v>0.99999119999999997</v>
      </c>
      <c r="N4001">
        <v>-3.8646309999999999E-3</v>
      </c>
      <c r="O4001">
        <v>-1.6052589999999999E-3</v>
      </c>
      <c r="P4001">
        <v>0.99752689999999999</v>
      </c>
      <c r="Q4001">
        <v>-6.9240969999999999E-2</v>
      </c>
      <c r="R4001">
        <v>-1.207718E-2</v>
      </c>
      <c r="S4001">
        <v>2.9899900000000001</v>
      </c>
      <c r="T4001">
        <v>-0.26176260000000001</v>
      </c>
      <c r="U4001">
        <v>5.6900020000000003E-2</v>
      </c>
      <c r="V4001">
        <v>1.04733E-2</v>
      </c>
      <c r="W4001">
        <v>-6.538571E-2</v>
      </c>
      <c r="X4001">
        <v>0.9978051</v>
      </c>
      <c r="Y4001">
        <v>-2.054404E-2</v>
      </c>
      <c r="Z4001">
        <v>1.0713229999999999E-3</v>
      </c>
      <c r="AA4001">
        <v>0.99978840000000002</v>
      </c>
      <c r="AB4001">
        <v>24</v>
      </c>
      <c r="AC4001">
        <v>12.5387</v>
      </c>
      <c r="AD4001">
        <v>-1.1198497548020001</v>
      </c>
      <c r="AE4001">
        <v>0.24389999999999601</v>
      </c>
      <c r="AF4001">
        <v>-0.26193912059968999</v>
      </c>
      <c r="AG4001">
        <v>-1.1198497548020001</v>
      </c>
      <c r="AH4001">
        <v>12.4391088100676</v>
      </c>
      <c r="AI4001">
        <v>95.143138120068301</v>
      </c>
      <c r="AJ4001">
        <v>91.206339505519793</v>
      </c>
      <c r="AK4001">
        <v>12.49216168503</v>
      </c>
      <c r="AL4001">
        <v>93.748999813213899</v>
      </c>
      <c r="AM4001">
        <v>89.398626193010898</v>
      </c>
      <c r="AN4001">
        <v>0.99999999933555195</v>
      </c>
    </row>
    <row r="4002" spans="1:40" x14ac:dyDescent="0.25">
      <c r="A4002" t="str">
        <f>"20190303154215706"</f>
        <v>20190303154215706</v>
      </c>
      <c r="B4002" t="str">
        <f>"1551598935703685"</f>
        <v>1551598935703685</v>
      </c>
      <c r="C4002" t="s">
        <v>40</v>
      </c>
      <c r="D4002">
        <v>5.5768139999999997</v>
      </c>
      <c r="E4002">
        <v>0.48835909999999899</v>
      </c>
      <c r="F4002" t="s">
        <v>51</v>
      </c>
      <c r="G4002">
        <v>-416.23910000000001</v>
      </c>
      <c r="H4002" s="1">
        <v>3.2237510000000001E-6</v>
      </c>
      <c r="I4002">
        <v>215.631</v>
      </c>
      <c r="J4002">
        <v>-428.66309999999999</v>
      </c>
      <c r="K4002">
        <v>1.119837</v>
      </c>
      <c r="L4002">
        <v>215.39330000000001</v>
      </c>
      <c r="M4002">
        <v>0.99999150000000003</v>
      </c>
      <c r="N4002">
        <v>-3.8050660000000002E-3</v>
      </c>
      <c r="O4002">
        <v>-1.6045479999999999E-3</v>
      </c>
      <c r="P4002">
        <v>0.99749759999999998</v>
      </c>
      <c r="Q4002">
        <v>-6.9665770000000002E-2</v>
      </c>
      <c r="R4002">
        <v>-1.2062450000000001E-2</v>
      </c>
      <c r="S4002">
        <v>2.9898069999999999</v>
      </c>
      <c r="T4002">
        <v>-0.26440619999999998</v>
      </c>
      <c r="U4002">
        <v>5.603027E-2</v>
      </c>
      <c r="V4002">
        <v>1.0459319999999999E-2</v>
      </c>
      <c r="W4002">
        <v>-6.5870079999999998E-2</v>
      </c>
      <c r="X4002">
        <v>0.99777340000000003</v>
      </c>
      <c r="Y4002">
        <v>-2.0253230000000001E-2</v>
      </c>
      <c r="Z4002">
        <v>1.067866E-3</v>
      </c>
      <c r="AA4002">
        <v>0.99979430000000002</v>
      </c>
      <c r="AB4002">
        <v>24</v>
      </c>
      <c r="AC4002">
        <v>12.4239999999999</v>
      </c>
      <c r="AD4002">
        <v>-1.119833776249</v>
      </c>
      <c r="AE4002">
        <v>0.237699999999961</v>
      </c>
      <c r="AF4002">
        <v>-0.25555926987295202</v>
      </c>
      <c r="AG4002">
        <v>-1.119833776249</v>
      </c>
      <c r="AH4002">
        <v>12.323519661613799</v>
      </c>
      <c r="AI4002">
        <v>95.191076991066694</v>
      </c>
      <c r="AJ4002">
        <v>91.188002255037006</v>
      </c>
      <c r="AK4002">
        <v>12.376933185447401</v>
      </c>
      <c r="AL4002">
        <v>93.776812083789693</v>
      </c>
      <c r="AM4002">
        <v>89.399409782473001</v>
      </c>
      <c r="AN4002">
        <v>1.0000000112808101</v>
      </c>
    </row>
    <row r="4003" spans="1:40" x14ac:dyDescent="0.25">
      <c r="A4003" t="str">
        <f>"20190303154215730"</f>
        <v>20190303154215730</v>
      </c>
      <c r="B4003" t="str">
        <f>"1551598935723205"</f>
        <v>1551598935723205</v>
      </c>
      <c r="C4003" t="s">
        <v>40</v>
      </c>
      <c r="D4003">
        <v>5.5989199999999997</v>
      </c>
      <c r="E4003">
        <v>0.50484989999999996</v>
      </c>
      <c r="F4003" t="s">
        <v>51</v>
      </c>
      <c r="G4003">
        <v>-416.0573</v>
      </c>
      <c r="H4003" s="1">
        <v>3.1920640000000002E-6</v>
      </c>
      <c r="I4003">
        <v>215.62459999999999</v>
      </c>
      <c r="J4003">
        <v>-428.41329999999999</v>
      </c>
      <c r="K4003">
        <v>1.119818</v>
      </c>
      <c r="L4003">
        <v>215.3929</v>
      </c>
      <c r="M4003">
        <v>0.99999170000000004</v>
      </c>
      <c r="N4003">
        <v>-3.7551350000000002E-3</v>
      </c>
      <c r="O4003">
        <v>-1.603976E-3</v>
      </c>
      <c r="P4003">
        <v>0.99746259999999998</v>
      </c>
      <c r="Q4003">
        <v>-7.0171410000000004E-2</v>
      </c>
      <c r="R4003">
        <v>-1.202335E-2</v>
      </c>
      <c r="S4003">
        <v>2.9896850000000001</v>
      </c>
      <c r="T4003">
        <v>-0.26558759999999998</v>
      </c>
      <c r="U4003">
        <v>5.4840090000000001E-2</v>
      </c>
      <c r="V4003">
        <v>1.04207E-2</v>
      </c>
      <c r="W4003">
        <v>-6.6425629999999999E-2</v>
      </c>
      <c r="X4003">
        <v>0.99773699999999999</v>
      </c>
      <c r="Y4003">
        <v>-1.9856430000000001E-2</v>
      </c>
      <c r="Z4003">
        <v>1.05371E-3</v>
      </c>
      <c r="AA4003">
        <v>0.99980230000000003</v>
      </c>
      <c r="AB4003">
        <v>24</v>
      </c>
      <c r="AC4003">
        <v>12.3559999999999</v>
      </c>
      <c r="AD4003">
        <v>-1.119814807936</v>
      </c>
      <c r="AE4003">
        <v>0.231699999999989</v>
      </c>
      <c r="AF4003">
        <v>-0.24947022557682799</v>
      </c>
      <c r="AG4003">
        <v>-1.119814807936</v>
      </c>
      <c r="AH4003">
        <v>12.254989552087</v>
      </c>
      <c r="AI4003">
        <v>95.219898342084605</v>
      </c>
      <c r="AJ4003">
        <v>91.166187623876397</v>
      </c>
      <c r="AK4003">
        <v>12.308573821498699</v>
      </c>
      <c r="AL4003">
        <v>93.808712518856098</v>
      </c>
      <c r="AM4003">
        <v>89.401605412058601</v>
      </c>
      <c r="AN4003">
        <v>1.00000003823919</v>
      </c>
    </row>
    <row r="4004" spans="1:40" x14ac:dyDescent="0.25">
      <c r="A4004" t="str">
        <f>"20190303154215751"</f>
        <v>20190303154215751</v>
      </c>
      <c r="B4004" t="str">
        <f>"1551598935743702"</f>
        <v>1551598935743702</v>
      </c>
      <c r="C4004" t="s">
        <v>40</v>
      </c>
      <c r="D4004">
        <v>5.6014419999999996</v>
      </c>
      <c r="E4004">
        <v>0.50560260000000001</v>
      </c>
      <c r="F4004" t="s">
        <v>51</v>
      </c>
      <c r="G4004">
        <v>-412.59980000000002</v>
      </c>
      <c r="H4004" s="1">
        <v>2.6335249999999999E-6</v>
      </c>
      <c r="I4004">
        <v>214.9982</v>
      </c>
      <c r="J4004">
        <v>-428.166</v>
      </c>
      <c r="K4004">
        <v>1.1198060000000001</v>
      </c>
      <c r="L4004">
        <v>215.39250000000001</v>
      </c>
      <c r="M4004">
        <v>0.99999179999999999</v>
      </c>
      <c r="N4004">
        <v>-3.7172049999999999E-3</v>
      </c>
      <c r="O4004">
        <v>-1.6033079999999999E-3</v>
      </c>
      <c r="P4004">
        <v>0.99740689999999999</v>
      </c>
      <c r="Q4004">
        <v>-7.0909130000000001E-2</v>
      </c>
      <c r="R4004">
        <v>-1.2299539999999999E-2</v>
      </c>
      <c r="S4004">
        <v>2.9918520000000002</v>
      </c>
      <c r="T4004">
        <v>-0.21186530000000001</v>
      </c>
      <c r="U4004">
        <v>-7.4676510000000001E-2</v>
      </c>
      <c r="V4004">
        <v>1.069782E-2</v>
      </c>
      <c r="W4004">
        <v>-6.7201410000000003E-2</v>
      </c>
      <c r="X4004">
        <v>0.99768210000000002</v>
      </c>
      <c r="Y4004">
        <v>2.3291590000000001E-2</v>
      </c>
      <c r="Z4004">
        <v>-7.594562E-4</v>
      </c>
      <c r="AA4004">
        <v>0.99972839999999996</v>
      </c>
      <c r="AB4004">
        <v>25</v>
      </c>
      <c r="AC4004">
        <v>15.566199999999901</v>
      </c>
      <c r="AD4004">
        <v>-1.11980336647499</v>
      </c>
      <c r="AE4004">
        <v>-0.39430000000001503</v>
      </c>
      <c r="AF4004">
        <v>0.36744158186479697</v>
      </c>
      <c r="AG4004">
        <v>-1.11980336647499</v>
      </c>
      <c r="AH4004">
        <v>15.4867183338863</v>
      </c>
      <c r="AI4004">
        <v>94.134548094781806</v>
      </c>
      <c r="AJ4004">
        <v>88.640841637323803</v>
      </c>
      <c r="AK4004">
        <v>15.531497598389601</v>
      </c>
      <c r="AL4004">
        <v>93.8532610422739</v>
      </c>
      <c r="AM4004">
        <v>89.385659573789098</v>
      </c>
      <c r="AN4004">
        <v>1.00000002275957</v>
      </c>
    </row>
    <row r="4005" spans="1:40" x14ac:dyDescent="0.25">
      <c r="A4005" t="str">
        <f>"20190303154215775"</f>
        <v>20190303154215775</v>
      </c>
      <c r="B4005" t="str">
        <f>"1551598935763221"</f>
        <v>1551598935763221</v>
      </c>
      <c r="C4005" t="s">
        <v>40</v>
      </c>
      <c r="D4005">
        <v>5.5991600000000004</v>
      </c>
      <c r="E4005">
        <v>0.50576790000000005</v>
      </c>
      <c r="F4005" t="s">
        <v>51</v>
      </c>
      <c r="G4005">
        <v>-412.39179999999999</v>
      </c>
      <c r="H4005" s="1">
        <v>2.5997319999999999E-6</v>
      </c>
      <c r="I4005">
        <v>214.96270000000001</v>
      </c>
      <c r="J4005">
        <v>-427.8956</v>
      </c>
      <c r="K4005">
        <v>1.1197969999999999</v>
      </c>
      <c r="L4005">
        <v>215.3921</v>
      </c>
      <c r="M4005">
        <v>0.99999210000000005</v>
      </c>
      <c r="N4005">
        <v>-3.68937E-3</v>
      </c>
      <c r="O4005">
        <v>-1.6027789999999999E-3</v>
      </c>
      <c r="P4005">
        <v>0.99738130000000003</v>
      </c>
      <c r="Q4005">
        <v>-7.1159639999999996E-2</v>
      </c>
      <c r="R4005">
        <v>-1.2932509999999999E-2</v>
      </c>
      <c r="S4005">
        <v>2.99173</v>
      </c>
      <c r="T4005">
        <v>-0.21238119999999999</v>
      </c>
      <c r="U4005">
        <v>-8.1527710000000003E-2</v>
      </c>
      <c r="V4005">
        <v>1.1331310000000001E-2</v>
      </c>
      <c r="W4005">
        <v>-6.7479819999999996E-2</v>
      </c>
      <c r="X4005">
        <v>0.99765630000000005</v>
      </c>
      <c r="Y4005">
        <v>2.5574639999999999E-2</v>
      </c>
      <c r="Z4005">
        <v>-8.4599429999999997E-4</v>
      </c>
      <c r="AA4005">
        <v>0.99967249999999996</v>
      </c>
      <c r="AB4005">
        <v>25</v>
      </c>
      <c r="AC4005">
        <v>15.5038</v>
      </c>
      <c r="AD4005">
        <v>-1.119794400268</v>
      </c>
      <c r="AE4005">
        <v>-0.42939999999998602</v>
      </c>
      <c r="AF4005">
        <v>0.40245223439843603</v>
      </c>
      <c r="AG4005">
        <v>-1.119794400268</v>
      </c>
      <c r="AH4005">
        <v>15.424066455607701</v>
      </c>
      <c r="AI4005">
        <v>94.151007061237394</v>
      </c>
      <c r="AJ4005">
        <v>88.505349822045105</v>
      </c>
      <c r="AK4005">
        <v>15.46989765082</v>
      </c>
      <c r="AL4005">
        <v>93.869249106057794</v>
      </c>
      <c r="AM4005">
        <v>89.349266552216605</v>
      </c>
      <c r="AN4005">
        <v>1.0000000088116101</v>
      </c>
    </row>
    <row r="4006" spans="1:40" x14ac:dyDescent="0.25">
      <c r="A4006" t="str">
        <f>"20190303154215798"</f>
        <v>20190303154215798</v>
      </c>
      <c r="B4006" t="str">
        <f>"1551598935793477"</f>
        <v>1551598935793477</v>
      </c>
      <c r="C4006" t="s">
        <v>40</v>
      </c>
      <c r="D4006">
        <v>5.6124619999999998</v>
      </c>
      <c r="E4006">
        <v>0.50594450000000002</v>
      </c>
      <c r="F4006" t="s">
        <v>51</v>
      </c>
      <c r="G4006">
        <v>-412.41570000000002</v>
      </c>
      <c r="H4006" s="1">
        <v>2.6048559999999999E-6</v>
      </c>
      <c r="I4006">
        <v>214.95269999999999</v>
      </c>
      <c r="J4006">
        <v>-427.64710000000002</v>
      </c>
      <c r="K4006">
        <v>1.1197900000000001</v>
      </c>
      <c r="L4006">
        <v>215.39169999999999</v>
      </c>
      <c r="M4006">
        <v>0.99999210000000005</v>
      </c>
      <c r="N4006">
        <v>-3.6783219999999999E-3</v>
      </c>
      <c r="O4006">
        <v>-1.602282E-3</v>
      </c>
      <c r="P4006">
        <v>0.99737200000000004</v>
      </c>
      <c r="Q4006">
        <v>-7.1351810000000002E-2</v>
      </c>
      <c r="R4006">
        <v>-1.2578249999999999E-2</v>
      </c>
      <c r="S4006">
        <v>2.9913020000000001</v>
      </c>
      <c r="T4006">
        <v>-0.216387</v>
      </c>
      <c r="U4006">
        <v>-8.4915160000000003E-2</v>
      </c>
      <c r="V4006">
        <v>1.097762E-2</v>
      </c>
      <c r="W4006">
        <v>-6.7682999999999993E-2</v>
      </c>
      <c r="X4006">
        <v>0.99764649999999999</v>
      </c>
      <c r="Y4006">
        <v>2.6704729999999999E-2</v>
      </c>
      <c r="Z4006">
        <v>-9.0378439999999995E-4</v>
      </c>
      <c r="AA4006">
        <v>0.99964299999999995</v>
      </c>
      <c r="AB4006">
        <v>25</v>
      </c>
      <c r="AC4006">
        <v>15.231400000000001</v>
      </c>
      <c r="AD4006">
        <v>-1.1197873951440001</v>
      </c>
      <c r="AE4006">
        <v>-0.43899999999999201</v>
      </c>
      <c r="AF4006">
        <v>0.412367303171356</v>
      </c>
      <c r="AG4006">
        <v>-1.1197873951440001</v>
      </c>
      <c r="AH4006">
        <v>15.150265428272</v>
      </c>
      <c r="AI4006">
        <v>94.225603578019204</v>
      </c>
      <c r="AJ4006">
        <v>88.440880514492093</v>
      </c>
      <c r="AK4006">
        <v>15.197187672399799</v>
      </c>
      <c r="AL4006">
        <v>93.880917103421595</v>
      </c>
      <c r="AM4006">
        <v>89.369570371659805</v>
      </c>
      <c r="AN4006">
        <v>1.00000001779605</v>
      </c>
    </row>
    <row r="4007" spans="1:40" x14ac:dyDescent="0.25">
      <c r="A4007" t="str">
        <f>"20190303154215820"</f>
        <v>20190303154215820</v>
      </c>
      <c r="B4007" t="str">
        <f>"1551598935813973"</f>
        <v>1551598935813973</v>
      </c>
      <c r="C4007" t="s">
        <v>40</v>
      </c>
      <c r="D4007">
        <v>5.6258650000000001</v>
      </c>
      <c r="E4007">
        <v>0.50596169999999996</v>
      </c>
      <c r="F4007" t="s">
        <v>42</v>
      </c>
      <c r="G4007">
        <v>-426.7097</v>
      </c>
      <c r="H4007">
        <v>1.051061</v>
      </c>
      <c r="I4007">
        <v>215.36449999999999</v>
      </c>
      <c r="J4007">
        <v>-427.38850000000002</v>
      </c>
      <c r="K4007">
        <v>1.1197919999999999</v>
      </c>
      <c r="L4007">
        <v>215.3913</v>
      </c>
      <c r="M4007">
        <v>0.99999210000000005</v>
      </c>
      <c r="N4007">
        <v>-3.6809339999999999E-3</v>
      </c>
      <c r="O4007">
        <v>-1.6015719999999999E-3</v>
      </c>
      <c r="P4007">
        <v>0.99736360000000002</v>
      </c>
      <c r="Q4007">
        <v>-7.1620390000000006E-2</v>
      </c>
      <c r="R4007">
        <v>-1.1698180000000001E-2</v>
      </c>
      <c r="S4007">
        <v>2.9911189999999999</v>
      </c>
      <c r="T4007">
        <v>-0.21948909999999999</v>
      </c>
      <c r="U4007">
        <v>-8.5357669999999997E-2</v>
      </c>
      <c r="V4007">
        <v>1.009791E-2</v>
      </c>
      <c r="W4007">
        <v>-6.7948999999999996E-2</v>
      </c>
      <c r="X4007">
        <v>0.99763769999999996</v>
      </c>
      <c r="Y4007">
        <v>2.6852560000000001E-2</v>
      </c>
      <c r="Z4007">
        <v>-9.2174830000000001E-4</v>
      </c>
      <c r="AA4007">
        <v>0.99963900000000006</v>
      </c>
      <c r="AB4007">
        <v>25</v>
      </c>
      <c r="AC4007">
        <v>0.67880000000002305</v>
      </c>
      <c r="AD4007">
        <v>-6.8730999999999806E-2</v>
      </c>
      <c r="AE4007">
        <v>-2.6800000000008602E-2</v>
      </c>
      <c r="AF4007">
        <v>2.5452272933952799E-2</v>
      </c>
      <c r="AG4007">
        <v>-6.8730999999999806E-2</v>
      </c>
      <c r="AH4007">
        <v>0.67196359589446997</v>
      </c>
      <c r="AI4007">
        <v>95.835964985577206</v>
      </c>
      <c r="AJ4007">
        <v>87.830818493040098</v>
      </c>
      <c r="AK4007">
        <v>0.67594884626422103</v>
      </c>
      <c r="AL4007">
        <v>93.896192988378104</v>
      </c>
      <c r="AM4007">
        <v>89.420082192372206</v>
      </c>
      <c r="AN4007">
        <v>1.00000000742432</v>
      </c>
    </row>
    <row r="4008" spans="1:40" x14ac:dyDescent="0.25">
      <c r="A4008" t="str">
        <f>"20190303154215840"</f>
        <v>20190303154215840</v>
      </c>
      <c r="B4008" t="str">
        <f>"1551598935833494"</f>
        <v>1551598935833494</v>
      </c>
      <c r="C4008" t="s">
        <v>40</v>
      </c>
      <c r="D4008">
        <v>5.6630839999999996</v>
      </c>
      <c r="E4008">
        <v>0.50609989999999905</v>
      </c>
      <c r="F4008" t="s">
        <v>42</v>
      </c>
      <c r="G4008">
        <v>-426.48009999999999</v>
      </c>
      <c r="H4008">
        <v>1.053207</v>
      </c>
      <c r="I4008">
        <v>215.36590000000001</v>
      </c>
      <c r="J4008">
        <v>-427.16469999999998</v>
      </c>
      <c r="K4008">
        <v>1.119791</v>
      </c>
      <c r="L4008">
        <v>215.39089999999999</v>
      </c>
      <c r="M4008">
        <v>0.99999210000000005</v>
      </c>
      <c r="N4008">
        <v>-3.6924729999999999E-3</v>
      </c>
      <c r="O4008">
        <v>-1.6011160000000001E-3</v>
      </c>
      <c r="P4008">
        <v>0.99737100000000001</v>
      </c>
      <c r="Q4008">
        <v>-7.1570259999999997E-2</v>
      </c>
      <c r="R4008">
        <v>-1.135076E-2</v>
      </c>
      <c r="S4008">
        <v>2.9912109999999998</v>
      </c>
      <c r="T4008">
        <v>-0.2192836</v>
      </c>
      <c r="U4008">
        <v>-8.2794190000000004E-2</v>
      </c>
      <c r="V4008">
        <v>9.7513889999999992E-3</v>
      </c>
      <c r="W4008">
        <v>-6.7887320000000001E-2</v>
      </c>
      <c r="X4008">
        <v>0.99764529999999996</v>
      </c>
      <c r="Y4008">
        <v>2.599864E-2</v>
      </c>
      <c r="Z4008">
        <v>-8.882963E-4</v>
      </c>
      <c r="AA4008">
        <v>0.99966160000000004</v>
      </c>
      <c r="AB4008">
        <v>25</v>
      </c>
      <c r="AC4008">
        <v>0.684599999999989</v>
      </c>
      <c r="AD4008">
        <v>-6.6583999999999893E-2</v>
      </c>
      <c r="AE4008">
        <v>-2.49999999999772E-2</v>
      </c>
      <c r="AF4008">
        <v>2.3680133915593801E-2</v>
      </c>
      <c r="AG4008">
        <v>-6.6583999999999893E-2</v>
      </c>
      <c r="AH4008">
        <v>0.67823199193678796</v>
      </c>
      <c r="AI4008">
        <v>95.603533110930002</v>
      </c>
      <c r="AJ4008">
        <v>88.000358522059798</v>
      </c>
      <c r="AK4008">
        <v>0.68190381483373697</v>
      </c>
      <c r="AL4008">
        <v>93.892650985634802</v>
      </c>
      <c r="AM4008">
        <v>89.439985692171305</v>
      </c>
      <c r="AN4008">
        <v>0.99999996120815005</v>
      </c>
    </row>
    <row r="4009" spans="1:40" x14ac:dyDescent="0.25">
      <c r="A4009" t="str">
        <f>"20190303154215862"</f>
        <v>20190303154215862</v>
      </c>
      <c r="B4009" t="str">
        <f>"1551598935853989"</f>
        <v>1551598935853989</v>
      </c>
      <c r="C4009" t="s">
        <v>40</v>
      </c>
      <c r="D4009">
        <v>5.6591620000000002</v>
      </c>
      <c r="E4009">
        <v>0.506216</v>
      </c>
      <c r="F4009" t="s">
        <v>42</v>
      </c>
      <c r="G4009">
        <v>-426.25200000000001</v>
      </c>
      <c r="H4009">
        <v>1.0526089999999999</v>
      </c>
      <c r="I4009">
        <v>215.36519999999999</v>
      </c>
      <c r="J4009">
        <v>-426.90649999999999</v>
      </c>
      <c r="K4009">
        <v>1.1197919999999999</v>
      </c>
      <c r="L4009">
        <v>215.3905</v>
      </c>
      <c r="M4009">
        <v>0.99999199999999999</v>
      </c>
      <c r="N4009">
        <v>-3.71419E-3</v>
      </c>
      <c r="O4009">
        <v>-1.600799E-3</v>
      </c>
      <c r="P4009">
        <v>0.99737659999999995</v>
      </c>
      <c r="Q4009">
        <v>-7.1572029999999995E-2</v>
      </c>
      <c r="R4009">
        <v>-1.0852540000000001E-2</v>
      </c>
      <c r="S4009">
        <v>2.9911500000000002</v>
      </c>
      <c r="T4009">
        <v>-0.22035469999999999</v>
      </c>
      <c r="U4009">
        <v>-8.2946779999999998E-2</v>
      </c>
      <c r="V4009">
        <v>9.2532480000000004E-3</v>
      </c>
      <c r="W4009">
        <v>-6.7867360000000002E-2</v>
      </c>
      <c r="X4009">
        <v>0.99765150000000002</v>
      </c>
      <c r="Y4009">
        <v>2.6049659999999999E-2</v>
      </c>
      <c r="Z4009">
        <v>-8.9468869999999995E-4</v>
      </c>
      <c r="AA4009">
        <v>0.99966029999999995</v>
      </c>
      <c r="AB4009">
        <v>25</v>
      </c>
      <c r="AC4009">
        <v>0.65450000000004105</v>
      </c>
      <c r="AD4009">
        <v>-6.7182999999999896E-2</v>
      </c>
      <c r="AE4009">
        <v>-2.5300000000015602E-2</v>
      </c>
      <c r="AF4009">
        <v>2.3999739820746501E-2</v>
      </c>
      <c r="AG4009">
        <v>-6.7182999999999896E-2</v>
      </c>
      <c r="AH4009">
        <v>0.647725040782543</v>
      </c>
      <c r="AI4009">
        <v>95.917596565404807</v>
      </c>
      <c r="AJ4009">
        <v>87.878027004192703</v>
      </c>
      <c r="AK4009">
        <v>0.65164198104266602</v>
      </c>
      <c r="AL4009">
        <v>93.891504339740806</v>
      </c>
      <c r="AM4009">
        <v>89.468595140608997</v>
      </c>
      <c r="AN4009">
        <v>1.0000000583020801</v>
      </c>
    </row>
    <row r="4010" spans="1:40" x14ac:dyDescent="0.25">
      <c r="A4010" t="str">
        <f>"20190303154215885"</f>
        <v>20190303154215885</v>
      </c>
      <c r="B4010" t="str">
        <f>"1551598935873513"</f>
        <v>1551598935873513</v>
      </c>
      <c r="C4010" t="s">
        <v>40</v>
      </c>
      <c r="D4010">
        <v>5.6257000000000001</v>
      </c>
      <c r="E4010">
        <v>0.50597230000000004</v>
      </c>
      <c r="F4010" t="s">
        <v>42</v>
      </c>
      <c r="G4010">
        <v>-426.01949999999999</v>
      </c>
      <c r="H4010">
        <v>1.054003</v>
      </c>
      <c r="I4010">
        <v>215.36600000000001</v>
      </c>
      <c r="J4010">
        <v>-426.64600000000002</v>
      </c>
      <c r="K4010">
        <v>1.119791</v>
      </c>
      <c r="L4010">
        <v>215.39009999999999</v>
      </c>
      <c r="M4010">
        <v>0.99999179999999999</v>
      </c>
      <c r="N4010">
        <v>-3.7421210000000002E-3</v>
      </c>
      <c r="O4010">
        <v>-1.600136E-3</v>
      </c>
      <c r="P4010">
        <v>0.997448</v>
      </c>
      <c r="Q4010">
        <v>-7.0634199999999994E-2</v>
      </c>
      <c r="R4010">
        <v>-1.0416460000000001E-2</v>
      </c>
      <c r="S4010">
        <v>2.9911189999999999</v>
      </c>
      <c r="T4010">
        <v>-0.22184690000000001</v>
      </c>
      <c r="U4010">
        <v>-8.2427979999999998E-2</v>
      </c>
      <c r="V4010">
        <v>8.8178219999999995E-3</v>
      </c>
      <c r="W4010">
        <v>-6.6901420000000003E-2</v>
      </c>
      <c r="X4010">
        <v>0.99772059999999996</v>
      </c>
      <c r="Y4010">
        <v>2.5876880000000001E-2</v>
      </c>
      <c r="Z4010">
        <v>-8.9410949999999998E-4</v>
      </c>
      <c r="AA4010">
        <v>0.99966469999999996</v>
      </c>
      <c r="AB4010">
        <v>26</v>
      </c>
      <c r="AC4010">
        <v>0.62649999999996397</v>
      </c>
      <c r="AD4010">
        <v>-6.5787999999999902E-2</v>
      </c>
      <c r="AE4010">
        <v>-2.4100000000004201E-2</v>
      </c>
      <c r="AF4010">
        <v>2.2845930727742499E-2</v>
      </c>
      <c r="AG4010">
        <v>-6.5787999999999902E-2</v>
      </c>
      <c r="AH4010">
        <v>0.61971436506786703</v>
      </c>
      <c r="AI4010">
        <v>96.055660190833294</v>
      </c>
      <c r="AJ4010">
        <v>87.888732325645194</v>
      </c>
      <c r="AK4010">
        <v>0.62361517923017795</v>
      </c>
      <c r="AL4010">
        <v>93.836034297030906</v>
      </c>
      <c r="AM4010">
        <v>89.493634960106107</v>
      </c>
      <c r="AN4010">
        <v>0.99999997482359904</v>
      </c>
    </row>
    <row r="4011" spans="1:40" x14ac:dyDescent="0.25">
      <c r="A4011" t="str">
        <f>"20190303154215908"</f>
        <v>20190303154215908</v>
      </c>
      <c r="B4011" t="str">
        <f>"1551598935903297"</f>
        <v>1551598935903297</v>
      </c>
      <c r="C4011" t="s">
        <v>40</v>
      </c>
      <c r="D4011">
        <v>5.6679259999999996</v>
      </c>
      <c r="E4011">
        <v>0.50593080000000001</v>
      </c>
      <c r="F4011" t="s">
        <v>51</v>
      </c>
      <c r="G4011">
        <v>-411.64080000000001</v>
      </c>
      <c r="H4011" s="1">
        <v>2.4639740000000002E-6</v>
      </c>
      <c r="I4011">
        <v>214.99180000000001</v>
      </c>
      <c r="J4011">
        <v>-426.39080000000001</v>
      </c>
      <c r="K4011">
        <v>1.1197919999999999</v>
      </c>
      <c r="L4011">
        <v>215.3897</v>
      </c>
      <c r="M4011">
        <v>0.99999159999999998</v>
      </c>
      <c r="N4011">
        <v>-3.773462E-3</v>
      </c>
      <c r="O4011">
        <v>-1.5993610000000001E-3</v>
      </c>
      <c r="P4011">
        <v>0.99747580000000002</v>
      </c>
      <c r="Q4011">
        <v>-7.0308010000000004E-2</v>
      </c>
      <c r="R4011">
        <v>-9.9634960000000005E-3</v>
      </c>
      <c r="S4011">
        <v>2.9910580000000002</v>
      </c>
      <c r="T4011">
        <v>-0.2232132</v>
      </c>
      <c r="U4011">
        <v>-7.939148E-2</v>
      </c>
      <c r="V4011">
        <v>8.3654780000000008E-3</v>
      </c>
      <c r="W4011">
        <v>-6.6543850000000002E-2</v>
      </c>
      <c r="X4011">
        <v>0.99774839999999998</v>
      </c>
      <c r="Y4011">
        <v>2.4866159999999998E-2</v>
      </c>
      <c r="Z4011">
        <v>-8.6024149999999896E-4</v>
      </c>
      <c r="AA4011">
        <v>0.99969039999999998</v>
      </c>
      <c r="AB4011">
        <v>26</v>
      </c>
      <c r="AC4011">
        <v>14.75</v>
      </c>
      <c r="AD4011">
        <v>-1.119789536026</v>
      </c>
      <c r="AE4011">
        <v>-0.39789999999999198</v>
      </c>
      <c r="AF4011">
        <v>0.37216532112468598</v>
      </c>
      <c r="AG4011">
        <v>-1.119789536026</v>
      </c>
      <c r="AH4011">
        <v>14.6661501561095</v>
      </c>
      <c r="AI4011">
        <v>94.364775062734296</v>
      </c>
      <c r="AJ4011">
        <v>88.5463856045928</v>
      </c>
      <c r="AK4011">
        <v>14.7135446454208</v>
      </c>
      <c r="AL4011">
        <v>93.815501316164401</v>
      </c>
      <c r="AM4011">
        <v>89.519623031073706</v>
      </c>
      <c r="AN4011">
        <v>0.99999996744877495</v>
      </c>
    </row>
    <row r="4012" spans="1:40" x14ac:dyDescent="0.25">
      <c r="A4012" t="str">
        <f>"20190303154215929"</f>
        <v>20190303154215929</v>
      </c>
      <c r="B4012" t="str">
        <f>"1551598935923793"</f>
        <v>1551598935923793</v>
      </c>
      <c r="C4012" t="s">
        <v>40</v>
      </c>
      <c r="D4012">
        <v>5.633108</v>
      </c>
      <c r="E4012">
        <v>0.50626839999999995</v>
      </c>
      <c r="F4012" t="s">
        <v>51</v>
      </c>
      <c r="G4012">
        <v>-411.51429999999999</v>
      </c>
      <c r="H4012" s="1">
        <v>2.4405869999999998E-6</v>
      </c>
      <c r="I4012">
        <v>215.0026</v>
      </c>
      <c r="J4012">
        <v>-426.13240000000002</v>
      </c>
      <c r="K4012">
        <v>1.1197969999999999</v>
      </c>
      <c r="L4012">
        <v>215.38929999999999</v>
      </c>
      <c r="M4012">
        <v>0.99999139999999997</v>
      </c>
      <c r="N4012">
        <v>-3.8096839999999998E-3</v>
      </c>
      <c r="O4012">
        <v>-1.5988339999999999E-3</v>
      </c>
      <c r="P4012">
        <v>0.99747529999999995</v>
      </c>
      <c r="Q4012">
        <v>-7.0351789999999997E-2</v>
      </c>
      <c r="R4012">
        <v>-9.6662150000000006E-3</v>
      </c>
      <c r="S4012">
        <v>2.990936</v>
      </c>
      <c r="T4012">
        <v>-0.22513430000000001</v>
      </c>
      <c r="U4012">
        <v>-7.7819819999999998E-2</v>
      </c>
      <c r="V4012">
        <v>8.0689909999999993E-3</v>
      </c>
      <c r="W4012">
        <v>-6.6551479999999996E-2</v>
      </c>
      <c r="X4012">
        <v>0.99775029999999998</v>
      </c>
      <c r="Y4012">
        <v>2.4343170000000001E-2</v>
      </c>
      <c r="Z4012">
        <v>-8.4710500000000002E-4</v>
      </c>
      <c r="AA4012">
        <v>0.99970329999999996</v>
      </c>
      <c r="AB4012">
        <v>26</v>
      </c>
      <c r="AC4012">
        <v>14.6181</v>
      </c>
      <c r="AD4012">
        <v>-1.1197945594130001</v>
      </c>
      <c r="AE4012">
        <v>-0.38669999999999</v>
      </c>
      <c r="AF4012">
        <v>0.36120930220911801</v>
      </c>
      <c r="AG4012">
        <v>-1.1197945594130001</v>
      </c>
      <c r="AH4012">
        <v>14.5334758600388</v>
      </c>
      <c r="AI4012">
        <v>94.404541649233494</v>
      </c>
      <c r="AJ4012">
        <v>88.576286289378302</v>
      </c>
      <c r="AK4012">
        <v>14.581026458710699</v>
      </c>
      <c r="AL4012">
        <v>93.815939579647704</v>
      </c>
      <c r="AM4012">
        <v>89.5366485475639</v>
      </c>
      <c r="AN4012">
        <v>0.99999993462801695</v>
      </c>
    </row>
    <row r="4013" spans="1:40" x14ac:dyDescent="0.25">
      <c r="A4013" t="str">
        <f>"20190303154215952"</f>
        <v>20190303154215952</v>
      </c>
      <c r="B4013" t="str">
        <f>"1551598935943312"</f>
        <v>1551598935943312</v>
      </c>
      <c r="C4013" t="s">
        <v>40</v>
      </c>
      <c r="D4013">
        <v>5.7256460000000002</v>
      </c>
      <c r="E4013">
        <v>0.50625029999999904</v>
      </c>
      <c r="F4013" t="s">
        <v>51</v>
      </c>
      <c r="G4013">
        <v>-411.08030000000002</v>
      </c>
      <c r="H4013" s="1">
        <v>2.3646720000000001E-6</v>
      </c>
      <c r="I4013">
        <v>214.99039999999999</v>
      </c>
      <c r="J4013">
        <v>-425.86509999999998</v>
      </c>
      <c r="K4013">
        <v>1.1197979999999901</v>
      </c>
      <c r="L4013">
        <v>215.3888</v>
      </c>
      <c r="M4013">
        <v>0.99999139999999997</v>
      </c>
      <c r="N4013">
        <v>-3.852538E-3</v>
      </c>
      <c r="O4013">
        <v>-1.598202E-3</v>
      </c>
      <c r="P4013">
        <v>0.99744109999999997</v>
      </c>
      <c r="Q4013">
        <v>-7.0884030000000001E-2</v>
      </c>
      <c r="R4013">
        <v>-9.3130209999999995E-3</v>
      </c>
      <c r="S4013">
        <v>2.9910890000000001</v>
      </c>
      <c r="T4013">
        <v>-0.22252050000000001</v>
      </c>
      <c r="U4013">
        <v>-7.9269409999999998E-2</v>
      </c>
      <c r="V4013">
        <v>7.7163669999999896E-3</v>
      </c>
      <c r="W4013">
        <v>-6.7041069999999994E-2</v>
      </c>
      <c r="X4013">
        <v>0.99772039999999995</v>
      </c>
      <c r="Y4013">
        <v>2.482672E-2</v>
      </c>
      <c r="Z4013">
        <v>-8.5738699999999895E-4</v>
      </c>
      <c r="AA4013">
        <v>0.99969140000000001</v>
      </c>
      <c r="AB4013">
        <v>26</v>
      </c>
      <c r="AC4013">
        <v>14.784799999999899</v>
      </c>
      <c r="AD4013">
        <v>-1.1197956353280001</v>
      </c>
      <c r="AE4013">
        <v>-0.39840000000000902</v>
      </c>
      <c r="AF4013">
        <v>0.37263415820678097</v>
      </c>
      <c r="AG4013">
        <v>-1.1197956353280001</v>
      </c>
      <c r="AH4013">
        <v>14.701145984381</v>
      </c>
      <c r="AI4013">
        <v>94.354451561095402</v>
      </c>
      <c r="AJ4013">
        <v>88.548018370608702</v>
      </c>
      <c r="AK4013">
        <v>14.7484403153298</v>
      </c>
      <c r="AL4013">
        <v>93.8440534755172</v>
      </c>
      <c r="AM4013">
        <v>89.556883423862303</v>
      </c>
      <c r="AN4013">
        <v>1.0000000219812899</v>
      </c>
    </row>
    <row r="4014" spans="1:40" x14ac:dyDescent="0.25">
      <c r="A4014" t="str">
        <f>"20190303154215987"</f>
        <v>20190303154215987</v>
      </c>
      <c r="B4014" t="str">
        <f>"1551598935983328"</f>
        <v>1551598935983328</v>
      </c>
      <c r="C4014" t="s">
        <v>40</v>
      </c>
      <c r="D4014">
        <v>5.729082</v>
      </c>
      <c r="E4014">
        <v>0.50630280000000005</v>
      </c>
      <c r="F4014" t="s">
        <v>51</v>
      </c>
      <c r="G4014">
        <v>-411.07089999999999</v>
      </c>
      <c r="H4014" s="1">
        <v>2.3620500000000001E-6</v>
      </c>
      <c r="I4014">
        <v>215.00129999999999</v>
      </c>
      <c r="J4014">
        <v>-425.46069999999997</v>
      </c>
      <c r="K4014">
        <v>1.1197969999999999</v>
      </c>
      <c r="L4014">
        <v>215.38820000000001</v>
      </c>
      <c r="M4014">
        <v>0.99999099999999996</v>
      </c>
      <c r="N4014">
        <v>-3.9250250000000004E-3</v>
      </c>
      <c r="O4014">
        <v>-1.59739E-3</v>
      </c>
      <c r="P4014">
        <v>0.99744069999999996</v>
      </c>
      <c r="Q4014">
        <v>-7.0838090000000006E-2</v>
      </c>
      <c r="R4014">
        <v>-9.7008089999999995E-3</v>
      </c>
      <c r="S4014">
        <v>2.990875</v>
      </c>
      <c r="T4014">
        <v>-0.22638449999999999</v>
      </c>
      <c r="U4014">
        <v>-7.8338619999999998E-2</v>
      </c>
      <c r="V4014">
        <v>8.1050059999999997E-3</v>
      </c>
      <c r="W4014">
        <v>-6.6922830000000003E-2</v>
      </c>
      <c r="X4014">
        <v>0.99772519999999998</v>
      </c>
      <c r="Y4014">
        <v>2.4517049999999999E-2</v>
      </c>
      <c r="Z4014">
        <v>-8.6012619999999997E-4</v>
      </c>
      <c r="AA4014">
        <v>0.99969909999999995</v>
      </c>
      <c r="AB4014">
        <v>26</v>
      </c>
      <c r="AC4014">
        <v>14.3897999999999</v>
      </c>
      <c r="AD4014">
        <v>-1.1197946379499999</v>
      </c>
      <c r="AE4014">
        <v>-0.386900000000025</v>
      </c>
      <c r="AF4014">
        <v>0.36172428026421999</v>
      </c>
      <c r="AG4014">
        <v>-1.1197946379499999</v>
      </c>
      <c r="AH4014">
        <v>14.3038418961206</v>
      </c>
      <c r="AI4014">
        <v>94.474918970864806</v>
      </c>
      <c r="AJ4014">
        <v>88.551378124950205</v>
      </c>
      <c r="AK4014">
        <v>14.3521662990411</v>
      </c>
      <c r="AL4014">
        <v>93.8372637908803</v>
      </c>
      <c r="AM4014">
        <v>89.534568815034703</v>
      </c>
      <c r="AN4014">
        <v>0.99999996550625303</v>
      </c>
    </row>
    <row r="4015" spans="1:40" x14ac:dyDescent="0.25">
      <c r="A4015" t="str">
        <f>"20190303154216010"</f>
        <v>20190303154216010</v>
      </c>
      <c r="B4015" t="str">
        <f>"1551598936003355"</f>
        <v>1551598936003355</v>
      </c>
      <c r="C4015" t="s">
        <v>40</v>
      </c>
      <c r="D4015">
        <v>5.6845569999999999</v>
      </c>
      <c r="E4015">
        <v>0.50656009999999996</v>
      </c>
      <c r="F4015" t="s">
        <v>51</v>
      </c>
      <c r="G4015">
        <v>-410.79450000000003</v>
      </c>
      <c r="H4015" s="1">
        <v>2.3134639999999998E-6</v>
      </c>
      <c r="I4015">
        <v>214.99619999999999</v>
      </c>
      <c r="J4015">
        <v>-425.18389999999999</v>
      </c>
      <c r="K4015">
        <v>1.1197969999999999</v>
      </c>
      <c r="L4015">
        <v>215.3877</v>
      </c>
      <c r="M4015">
        <v>0.99999079999999996</v>
      </c>
      <c r="N4015">
        <v>-3.9766710000000002E-3</v>
      </c>
      <c r="O4015">
        <v>-1.5967780000000001E-3</v>
      </c>
      <c r="P4015">
        <v>0.99745229999999996</v>
      </c>
      <c r="Q4015">
        <v>-7.0629940000000002E-2</v>
      </c>
      <c r="R4015">
        <v>-1.002465E-2</v>
      </c>
      <c r="S4015">
        <v>2.990723</v>
      </c>
      <c r="T4015">
        <v>-0.2283483</v>
      </c>
      <c r="U4015">
        <v>-7.9925540000000003E-2</v>
      </c>
      <c r="V4015">
        <v>8.4293630000000005E-3</v>
      </c>
      <c r="W4015">
        <v>-6.6663109999999998E-2</v>
      </c>
      <c r="X4015">
        <v>0.99773990000000001</v>
      </c>
      <c r="Y4015">
        <v>2.5046209999999999E-2</v>
      </c>
      <c r="Z4015">
        <v>-8.8911509999999895E-4</v>
      </c>
      <c r="AA4015">
        <v>0.99968590000000002</v>
      </c>
      <c r="AB4015">
        <v>26</v>
      </c>
      <c r="AC4015">
        <v>14.389399999999901</v>
      </c>
      <c r="AD4015">
        <v>-1.119794686536</v>
      </c>
      <c r="AE4015">
        <v>-0.39150000000000701</v>
      </c>
      <c r="AF4015">
        <v>0.36630590537587598</v>
      </c>
      <c r="AG4015">
        <v>-1.119794686536</v>
      </c>
      <c r="AH4015">
        <v>14.303448081897001</v>
      </c>
      <c r="AI4015">
        <v>94.475005484359301</v>
      </c>
      <c r="AJ4015">
        <v>88.532997374132407</v>
      </c>
      <c r="AK4015">
        <v>14.351890021451201</v>
      </c>
      <c r="AL4015">
        <v>93.822349622242101</v>
      </c>
      <c r="AM4015">
        <v>89.515950566317599</v>
      </c>
      <c r="AN4015">
        <v>0.99999996622373299</v>
      </c>
    </row>
    <row r="4016" spans="1:40" x14ac:dyDescent="0.25">
      <c r="A4016" t="str">
        <f>"20190303154216030"</f>
        <v>20190303154216030</v>
      </c>
      <c r="B4016" t="str">
        <f>"1551598936023851"</f>
        <v>1551598936023851</v>
      </c>
      <c r="C4016" t="s">
        <v>40</v>
      </c>
      <c r="D4016">
        <v>5.7648539999999997</v>
      </c>
      <c r="E4016">
        <v>0.506575</v>
      </c>
      <c r="F4016" t="s">
        <v>51</v>
      </c>
      <c r="G4016">
        <v>-410.42779999999999</v>
      </c>
      <c r="H4016" s="1">
        <v>2.2499490000000001E-6</v>
      </c>
      <c r="I4016">
        <v>214.9787</v>
      </c>
      <c r="J4016">
        <v>-424.94060000000002</v>
      </c>
      <c r="K4016">
        <v>1.1198030000000001</v>
      </c>
      <c r="L4016">
        <v>215.38730000000001</v>
      </c>
      <c r="M4016">
        <v>0.99999070000000001</v>
      </c>
      <c r="N4016">
        <v>-4.0224520000000001E-3</v>
      </c>
      <c r="O4016">
        <v>-1.5965129999999999E-3</v>
      </c>
      <c r="P4016">
        <v>0.99743230000000005</v>
      </c>
      <c r="Q4016">
        <v>-7.0844439999999995E-2</v>
      </c>
      <c r="R4016">
        <v>-1.049683E-2</v>
      </c>
      <c r="S4016">
        <v>2.9907530000000002</v>
      </c>
      <c r="T4016">
        <v>-0.2269582</v>
      </c>
      <c r="U4016">
        <v>-8.2901000000000002E-2</v>
      </c>
      <c r="V4016">
        <v>8.9018159999999999E-3</v>
      </c>
      <c r="W4016">
        <v>-6.6832020000000006E-2</v>
      </c>
      <c r="X4016">
        <v>0.99772450000000001</v>
      </c>
      <c r="Y4016">
        <v>2.603784E-2</v>
      </c>
      <c r="Z4016">
        <v>-9.2426819999999997E-4</v>
      </c>
      <c r="AA4016">
        <v>0.99966060000000001</v>
      </c>
      <c r="AB4016">
        <v>26</v>
      </c>
      <c r="AC4016">
        <v>14.5128</v>
      </c>
      <c r="AD4016">
        <v>-1.1198007500509899</v>
      </c>
      <c r="AE4016">
        <v>-0.40860000000000601</v>
      </c>
      <c r="AF4016">
        <v>0.38315010668558402</v>
      </c>
      <c r="AG4016">
        <v>-1.1198007500509899</v>
      </c>
      <c r="AH4016">
        <v>14.4276057961705</v>
      </c>
      <c r="AI4016">
        <v>94.436564784782306</v>
      </c>
      <c r="AJ4016">
        <v>88.478768709500301</v>
      </c>
      <c r="AK4016">
        <v>14.4760687596377</v>
      </c>
      <c r="AL4016">
        <v>93.832049070706105</v>
      </c>
      <c r="AM4016">
        <v>89.488813842130597</v>
      </c>
      <c r="AN4016">
        <v>0.99999996956281301</v>
      </c>
    </row>
    <row r="4017" spans="1:40" x14ac:dyDescent="0.25">
      <c r="A4017" t="str">
        <f>"20190303154216054"</f>
        <v>20190303154216054</v>
      </c>
      <c r="B4017" t="str">
        <f>"1551598936043375"</f>
        <v>1551598936043375</v>
      </c>
      <c r="C4017" t="s">
        <v>40</v>
      </c>
      <c r="D4017">
        <v>5.7965429999999998</v>
      </c>
      <c r="E4017">
        <v>0.50670660000000001</v>
      </c>
      <c r="F4017" t="s">
        <v>51</v>
      </c>
      <c r="G4017">
        <v>-410.26229999999998</v>
      </c>
      <c r="H4017" s="1">
        <v>2.221122E-6</v>
      </c>
      <c r="I4017">
        <v>214.9727</v>
      </c>
      <c r="J4017">
        <v>-424.65690000000001</v>
      </c>
      <c r="K4017">
        <v>1.1198090000000001</v>
      </c>
      <c r="L4017">
        <v>215.3869</v>
      </c>
      <c r="M4017">
        <v>0.9999905</v>
      </c>
      <c r="N4017">
        <v>-4.0756029999999997E-3</v>
      </c>
      <c r="O4017">
        <v>-1.595787E-3</v>
      </c>
      <c r="P4017">
        <v>0.99741210000000002</v>
      </c>
      <c r="Q4017">
        <v>-7.1035239999999999E-2</v>
      </c>
      <c r="R4017">
        <v>-1.1114219999999999E-2</v>
      </c>
      <c r="S4017">
        <v>2.9906619999999999</v>
      </c>
      <c r="T4017">
        <v>-0.22815679999999999</v>
      </c>
      <c r="U4017">
        <v>-8.4472660000000005E-2</v>
      </c>
      <c r="V4017">
        <v>9.5199470000000008E-3</v>
      </c>
      <c r="W4017">
        <v>-6.6969899999999999E-2</v>
      </c>
      <c r="X4017">
        <v>0.99770959999999997</v>
      </c>
      <c r="Y4017">
        <v>2.6561910000000001E-2</v>
      </c>
      <c r="Z4017">
        <v>-9.5070449999999998E-4</v>
      </c>
      <c r="AA4017">
        <v>0.9996467</v>
      </c>
      <c r="AB4017">
        <v>27</v>
      </c>
      <c r="AC4017">
        <v>14.394600000000001</v>
      </c>
      <c r="AD4017">
        <v>-1.119806778878</v>
      </c>
      <c r="AE4017">
        <v>-0.41419999999999302</v>
      </c>
      <c r="AF4017">
        <v>0.38887709556064898</v>
      </c>
      <c r="AG4017">
        <v>-1.119806778878</v>
      </c>
      <c r="AH4017">
        <v>14.3087202958361</v>
      </c>
      <c r="AI4017">
        <v>94.473227170732301</v>
      </c>
      <c r="AJ4017">
        <v>88.443219761568699</v>
      </c>
      <c r="AK4017">
        <v>14.357738997556099</v>
      </c>
      <c r="AL4017">
        <v>93.839966552230806</v>
      </c>
      <c r="AM4017">
        <v>89.453311633533403</v>
      </c>
      <c r="AN4017">
        <v>1.0000000214145199</v>
      </c>
    </row>
    <row r="4018" spans="1:40" x14ac:dyDescent="0.25">
      <c r="A4018" t="str">
        <f>"20190303154216075"</f>
        <v>20190303154216075</v>
      </c>
      <c r="B4018" t="str">
        <f>"1551598936073628"</f>
        <v>1551598936073628</v>
      </c>
      <c r="C4018" t="s">
        <v>40</v>
      </c>
      <c r="D4018">
        <v>5.8936159999999997</v>
      </c>
      <c r="E4018">
        <v>0.50678179999999995</v>
      </c>
      <c r="F4018" t="s">
        <v>51</v>
      </c>
      <c r="G4018">
        <v>-410.00409999999999</v>
      </c>
      <c r="H4018" s="1">
        <v>2.1765039999999999E-6</v>
      </c>
      <c r="I4018">
        <v>214.95930000000001</v>
      </c>
      <c r="J4018">
        <v>-424.39190000000002</v>
      </c>
      <c r="K4018">
        <v>1.1198129999999999</v>
      </c>
      <c r="L4018">
        <v>215.38650000000001</v>
      </c>
      <c r="M4018">
        <v>0.9999903</v>
      </c>
      <c r="N4018">
        <v>-4.1249629999999997E-3</v>
      </c>
      <c r="O4018">
        <v>-1.595174E-3</v>
      </c>
      <c r="P4018">
        <v>0.9974267</v>
      </c>
      <c r="Q4018">
        <v>-7.0815260000000005E-2</v>
      </c>
      <c r="R4018">
        <v>-1.1196970000000001E-2</v>
      </c>
      <c r="S4018">
        <v>2.9905400000000002</v>
      </c>
      <c r="T4018">
        <v>-0.22854530000000001</v>
      </c>
      <c r="U4018">
        <v>-8.7280269999999993E-2</v>
      </c>
      <c r="V4018">
        <v>9.6030969999999997E-3</v>
      </c>
      <c r="W4018">
        <v>-6.6700609999999994E-2</v>
      </c>
      <c r="X4018">
        <v>0.99772680000000002</v>
      </c>
      <c r="Y4018">
        <v>2.74982E-2</v>
      </c>
      <c r="Z4018">
        <v>-9.9067240000000009E-4</v>
      </c>
      <c r="AA4018">
        <v>0.99962139999999999</v>
      </c>
      <c r="AB4018">
        <v>27</v>
      </c>
      <c r="AC4018">
        <v>14.3878</v>
      </c>
      <c r="AD4018">
        <v>-1.119810823496</v>
      </c>
      <c r="AE4018">
        <v>-0.42719999999999902</v>
      </c>
      <c r="AF4018">
        <v>0.40181632030334002</v>
      </c>
      <c r="AG4018">
        <v>-1.119810823496</v>
      </c>
      <c r="AH4018">
        <v>14.301904264696001</v>
      </c>
      <c r="AI4018">
        <v>94.475253518876301</v>
      </c>
      <c r="AJ4018">
        <v>88.390681115383302</v>
      </c>
      <c r="AK4018">
        <v>14.3513030151345</v>
      </c>
      <c r="AL4018">
        <v>93.824502957380503</v>
      </c>
      <c r="AM4018">
        <v>89.448546497329005</v>
      </c>
      <c r="AN4018">
        <v>0.99999997914230099</v>
      </c>
    </row>
    <row r="4019" spans="1:40" x14ac:dyDescent="0.25">
      <c r="A4019" t="str">
        <f>"20190303154216097"</f>
        <v>20190303154216097</v>
      </c>
      <c r="B4019" t="str">
        <f>"1551598936093654"</f>
        <v>1551598936093654</v>
      </c>
      <c r="C4019" t="s">
        <v>40</v>
      </c>
      <c r="D4019">
        <v>5.8545989999999897</v>
      </c>
      <c r="E4019">
        <v>0.50689430000000002</v>
      </c>
      <c r="F4019" t="s">
        <v>42</v>
      </c>
      <c r="G4019">
        <v>-423.42349999999999</v>
      </c>
      <c r="H4019">
        <v>1.0460879999999999</v>
      </c>
      <c r="I4019">
        <v>215.35749999999999</v>
      </c>
      <c r="J4019">
        <v>-424.13049999999998</v>
      </c>
      <c r="K4019">
        <v>1.119807</v>
      </c>
      <c r="L4019">
        <v>215.3861</v>
      </c>
      <c r="M4019">
        <v>0.99999009999999999</v>
      </c>
      <c r="N4019">
        <v>-4.1759229999999998E-3</v>
      </c>
      <c r="O4019">
        <v>-1.594685E-3</v>
      </c>
      <c r="P4019">
        <v>0.9974442</v>
      </c>
      <c r="Q4019">
        <v>-7.0596430000000002E-2</v>
      </c>
      <c r="R4019">
        <v>-1.102728E-2</v>
      </c>
      <c r="S4019">
        <v>2.99057</v>
      </c>
      <c r="T4019">
        <v>-0.22781219999999999</v>
      </c>
      <c r="U4019">
        <v>-8.8272089999999998E-2</v>
      </c>
      <c r="V4019">
        <v>9.4341789999999991E-3</v>
      </c>
      <c r="W4019">
        <v>-6.6430870000000003E-2</v>
      </c>
      <c r="X4019">
        <v>0.99774640000000003</v>
      </c>
      <c r="Y4019">
        <v>2.7829059999999999E-2</v>
      </c>
      <c r="Z4019">
        <v>-1.001783E-3</v>
      </c>
      <c r="AA4019">
        <v>0.99961219999999995</v>
      </c>
      <c r="AB4019">
        <v>27</v>
      </c>
      <c r="AC4019">
        <v>0.70699999999999297</v>
      </c>
      <c r="AD4019">
        <v>-7.3719000000000007E-2</v>
      </c>
      <c r="AE4019">
        <v>-2.8600000000011502E-2</v>
      </c>
      <c r="AF4019">
        <v>2.7177513215412698E-2</v>
      </c>
      <c r="AG4019">
        <v>-7.3719000000000007E-2</v>
      </c>
      <c r="AH4019">
        <v>0.69945250023015204</v>
      </c>
      <c r="AI4019">
        <v>96.011990268233106</v>
      </c>
      <c r="AJ4019">
        <v>87.774868374854705</v>
      </c>
      <c r="AK4019">
        <v>0.70385148168046396</v>
      </c>
      <c r="AL4019">
        <v>93.8090136680526</v>
      </c>
      <c r="AM4019">
        <v>89.458256595506398</v>
      </c>
      <c r="AN4019">
        <v>0.99999997146765995</v>
      </c>
    </row>
    <row r="4020" spans="1:40" x14ac:dyDescent="0.25">
      <c r="A4020" t="str">
        <f>"20190303154216120"</f>
        <v>20190303154216120</v>
      </c>
      <c r="B4020" t="str">
        <f>"1551598936113174"</f>
        <v>1551598936113174</v>
      </c>
      <c r="C4020" t="s">
        <v>40</v>
      </c>
      <c r="D4020">
        <v>5.8554180000000002</v>
      </c>
      <c r="E4020">
        <v>0.50697760000000003</v>
      </c>
      <c r="F4020" t="s">
        <v>42</v>
      </c>
      <c r="G4020">
        <v>-423.1789</v>
      </c>
      <c r="H4020">
        <v>1.047418</v>
      </c>
      <c r="I4020">
        <v>215.35759999999999</v>
      </c>
      <c r="J4020">
        <v>-423.84989999999999</v>
      </c>
      <c r="K4020">
        <v>1.1198049999999999</v>
      </c>
      <c r="L4020">
        <v>215.38560000000001</v>
      </c>
      <c r="M4020">
        <v>0.99998969999999998</v>
      </c>
      <c r="N4020">
        <v>-4.2332749999999999E-3</v>
      </c>
      <c r="O4020">
        <v>-1.5939719999999999E-3</v>
      </c>
      <c r="P4020">
        <v>0.99745079999999997</v>
      </c>
      <c r="Q4020">
        <v>-7.0529869999999995E-2</v>
      </c>
      <c r="R4020">
        <v>-1.0833229999999999E-2</v>
      </c>
      <c r="S4020">
        <v>2.99057</v>
      </c>
      <c r="T4020">
        <v>-0.22754920000000001</v>
      </c>
      <c r="U4020">
        <v>-8.8623049999999995E-2</v>
      </c>
      <c r="V4020">
        <v>9.2407559999999993E-3</v>
      </c>
      <c r="W4020">
        <v>-6.6307060000000001E-2</v>
      </c>
      <c r="X4020">
        <v>0.99775650000000005</v>
      </c>
      <c r="Y4020">
        <v>2.7946729999999999E-2</v>
      </c>
      <c r="Z4020">
        <v>-1.006364E-3</v>
      </c>
      <c r="AA4020">
        <v>0.99960890000000002</v>
      </c>
      <c r="AB4020">
        <v>27</v>
      </c>
      <c r="AC4020">
        <v>0.67099999999999205</v>
      </c>
      <c r="AD4020">
        <v>-7.2386999999999896E-2</v>
      </c>
      <c r="AE4020">
        <v>-2.8000000000019998E-2</v>
      </c>
      <c r="AF4020">
        <v>2.6621123064641601E-2</v>
      </c>
      <c r="AG4020">
        <v>-7.2386999999999896E-2</v>
      </c>
      <c r="AH4020">
        <v>0.66333731841404797</v>
      </c>
      <c r="AI4020">
        <v>96.222816421133402</v>
      </c>
      <c r="AJ4020">
        <v>87.701833016393707</v>
      </c>
      <c r="AK4020">
        <v>0.66780607960916505</v>
      </c>
      <c r="AL4020">
        <v>93.801903996213795</v>
      </c>
      <c r="AM4020">
        <v>89.469368347015205</v>
      </c>
      <c r="AN4020">
        <v>1.0000000255347701</v>
      </c>
    </row>
    <row r="4021" spans="1:40" x14ac:dyDescent="0.25">
      <c r="A4021" t="str">
        <f>"20190303154216143"</f>
        <v>20190303154216143</v>
      </c>
      <c r="B4021" t="str">
        <f>"1551598936133670"</f>
        <v>1551598936133670</v>
      </c>
      <c r="C4021" t="s">
        <v>40</v>
      </c>
      <c r="D4021">
        <v>5.8440399999999997</v>
      </c>
      <c r="E4021">
        <v>0.5070673</v>
      </c>
      <c r="F4021" t="s">
        <v>42</v>
      </c>
      <c r="G4021">
        <v>-422.93200000000002</v>
      </c>
      <c r="H4021">
        <v>1.0499590000000001</v>
      </c>
      <c r="I4021">
        <v>215.358</v>
      </c>
      <c r="J4021">
        <v>-423.57639999999998</v>
      </c>
      <c r="K4021">
        <v>1.1198090000000001</v>
      </c>
      <c r="L4021">
        <v>215.3852</v>
      </c>
      <c r="M4021">
        <v>0.99998960000000003</v>
      </c>
      <c r="N4021">
        <v>-4.2913400000000003E-3</v>
      </c>
      <c r="O4021">
        <v>-1.5933810000000001E-3</v>
      </c>
      <c r="P4021">
        <v>0.99746029999999997</v>
      </c>
      <c r="Q4021">
        <v>-7.0433060000000006E-2</v>
      </c>
      <c r="R4021">
        <v>-1.0603670000000001E-2</v>
      </c>
      <c r="S4021">
        <v>2.990631</v>
      </c>
      <c r="T4021">
        <v>-0.22772419999999999</v>
      </c>
      <c r="U4021">
        <v>-8.8607790000000006E-2</v>
      </c>
      <c r="V4021">
        <v>9.0117359999999994E-3</v>
      </c>
      <c r="W4021">
        <v>-6.6152249999999996E-2</v>
      </c>
      <c r="X4021">
        <v>0.99776880000000001</v>
      </c>
      <c r="Y4021">
        <v>2.7941440000000001E-2</v>
      </c>
      <c r="Z4021">
        <v>-1.007801E-3</v>
      </c>
      <c r="AA4021">
        <v>0.99960910000000003</v>
      </c>
      <c r="AB4021">
        <v>27</v>
      </c>
      <c r="AC4021">
        <v>0.64440000000001796</v>
      </c>
      <c r="AD4021">
        <v>-6.9849999999999898E-2</v>
      </c>
      <c r="AE4021">
        <v>-2.71999999999934E-2</v>
      </c>
      <c r="AF4021">
        <v>2.5869763522626699E-2</v>
      </c>
      <c r="AG4021">
        <v>-6.9849999999999898E-2</v>
      </c>
      <c r="AH4021">
        <v>0.63697169307738499</v>
      </c>
      <c r="AI4021">
        <v>96.252908049377197</v>
      </c>
      <c r="AJ4021">
        <v>87.674285805107203</v>
      </c>
      <c r="AK4021">
        <v>0.64131209636696196</v>
      </c>
      <c r="AL4021">
        <v>93.793014787398306</v>
      </c>
      <c r="AM4021">
        <v>89.482525010223398</v>
      </c>
      <c r="AN4021">
        <v>0.99999995490961702</v>
      </c>
    </row>
    <row r="4022" spans="1:40" x14ac:dyDescent="0.25">
      <c r="A4022" t="str">
        <f>"20190303154216165"</f>
        <v>20190303154216165</v>
      </c>
      <c r="B4022" t="str">
        <f>"1551598936163926"</f>
        <v>1551598936163926</v>
      </c>
      <c r="C4022" t="s">
        <v>40</v>
      </c>
      <c r="D4022">
        <v>5.8811309999999999</v>
      </c>
      <c r="E4022">
        <v>0.50728739999999894</v>
      </c>
      <c r="F4022" t="s">
        <v>42</v>
      </c>
      <c r="G4022">
        <v>-422.68450000000001</v>
      </c>
      <c r="H4022">
        <v>1.0519969999999901</v>
      </c>
      <c r="I4022">
        <v>215.3586</v>
      </c>
      <c r="J4022">
        <v>-423.29140000000001</v>
      </c>
      <c r="K4022">
        <v>1.1198189999999999</v>
      </c>
      <c r="L4022">
        <v>215.38470000000001</v>
      </c>
      <c r="M4022">
        <v>0.99998929999999997</v>
      </c>
      <c r="N4022">
        <v>-4.355345E-3</v>
      </c>
      <c r="O4022">
        <v>-1.5926860000000001E-3</v>
      </c>
      <c r="P4022">
        <v>0.99747739999999996</v>
      </c>
      <c r="Q4022">
        <v>-7.0245730000000006E-2</v>
      </c>
      <c r="R4022">
        <v>-1.023749E-2</v>
      </c>
      <c r="S4022">
        <v>2.9906009999999998</v>
      </c>
      <c r="T4022">
        <v>-0.22742039999999999</v>
      </c>
      <c r="U4022">
        <v>-8.8699340000000002E-2</v>
      </c>
      <c r="V4022">
        <v>8.6460959999999903E-3</v>
      </c>
      <c r="W4022">
        <v>-6.5900970000000003E-2</v>
      </c>
      <c r="X4022">
        <v>0.99778869999999997</v>
      </c>
      <c r="Y4022">
        <v>2.7973049999999999E-2</v>
      </c>
      <c r="Z4022">
        <v>-1.008875E-3</v>
      </c>
      <c r="AA4022">
        <v>0.99960819999999995</v>
      </c>
      <c r="AB4022">
        <v>27</v>
      </c>
      <c r="AC4022">
        <v>0.606899999999996</v>
      </c>
      <c r="AD4022">
        <v>-6.7822000000000202E-2</v>
      </c>
      <c r="AE4022">
        <v>-2.6100000000013699E-2</v>
      </c>
      <c r="AF4022">
        <v>2.4823917849206699E-2</v>
      </c>
      <c r="AG4022">
        <v>-6.7822000000000202E-2</v>
      </c>
      <c r="AH4022">
        <v>0.59946821923564997</v>
      </c>
      <c r="AI4022">
        <v>96.449341447175499</v>
      </c>
      <c r="AJ4022">
        <v>87.628742386593302</v>
      </c>
      <c r="AK4022">
        <v>0.60380311067014603</v>
      </c>
      <c r="AL4022">
        <v>93.778585879834907</v>
      </c>
      <c r="AM4022">
        <v>89.503529743633294</v>
      </c>
      <c r="AN4022">
        <v>0.99999999133533601</v>
      </c>
    </row>
    <row r="4023" spans="1:40" x14ac:dyDescent="0.25">
      <c r="A4023" t="str">
        <f>"20190303154216189"</f>
        <v>20190303154216189</v>
      </c>
      <c r="B4023" t="str">
        <f>"1551598936183446"</f>
        <v>1551598936183446</v>
      </c>
      <c r="C4023" t="s">
        <v>40</v>
      </c>
      <c r="D4023">
        <v>5.911162</v>
      </c>
      <c r="E4023">
        <v>0.5073493</v>
      </c>
      <c r="F4023" t="s">
        <v>42</v>
      </c>
      <c r="G4023">
        <v>-422.42689999999999</v>
      </c>
      <c r="H4023">
        <v>1.05462099999999</v>
      </c>
      <c r="I4023">
        <v>215.35839999999999</v>
      </c>
      <c r="J4023">
        <v>-423.01229999999998</v>
      </c>
      <c r="K4023">
        <v>1.119828</v>
      </c>
      <c r="L4023">
        <v>215.3843</v>
      </c>
      <c r="M4023">
        <v>0.99998900000000002</v>
      </c>
      <c r="N4023">
        <v>-4.4237820000000002E-3</v>
      </c>
      <c r="O4023">
        <v>-1.5920029999999901E-3</v>
      </c>
      <c r="P4023">
        <v>0.99748570000000003</v>
      </c>
      <c r="Q4023">
        <v>-7.0182919999999996E-2</v>
      </c>
      <c r="R4023">
        <v>-9.834532E-3</v>
      </c>
      <c r="S4023">
        <v>2.9907840000000001</v>
      </c>
      <c r="T4023">
        <v>-0.2256821</v>
      </c>
      <c r="U4023">
        <v>-8.9401250000000002E-2</v>
      </c>
      <c r="V4023">
        <v>8.2438830000000005E-3</v>
      </c>
      <c r="W4023">
        <v>-6.5769839999999996E-2</v>
      </c>
      <c r="X4023">
        <v>0.99780080000000004</v>
      </c>
      <c r="Y4023">
        <v>2.8206729999999999E-2</v>
      </c>
      <c r="Z4023">
        <v>-1.012078E-3</v>
      </c>
      <c r="AA4023">
        <v>0.99960159999999998</v>
      </c>
      <c r="AB4023">
        <v>27</v>
      </c>
      <c r="AC4023">
        <v>0.58539999999999204</v>
      </c>
      <c r="AD4023">
        <v>-6.5207000000000195E-2</v>
      </c>
      <c r="AE4023">
        <v>-2.5900000000007101E-2</v>
      </c>
      <c r="AF4023">
        <v>2.46625970944097E-2</v>
      </c>
      <c r="AG4023">
        <v>-6.5207000000000195E-2</v>
      </c>
      <c r="AH4023">
        <v>0.57827952668700999</v>
      </c>
      <c r="AI4023">
        <v>96.427722670374493</v>
      </c>
      <c r="AJ4023">
        <v>87.557916427115799</v>
      </c>
      <c r="AK4023">
        <v>0.58246665786961005</v>
      </c>
      <c r="AL4023">
        <v>93.771056184062601</v>
      </c>
      <c r="AM4023">
        <v>89.526630009117994</v>
      </c>
      <c r="AN4023">
        <v>1.00000003497059</v>
      </c>
    </row>
    <row r="4024" spans="1:40" x14ac:dyDescent="0.25">
      <c r="A4024" t="str">
        <f>"20190303154216212"</f>
        <v>20190303154216212</v>
      </c>
      <c r="B4024" t="str">
        <f>"1551598936203471"</f>
        <v>1551598936203471</v>
      </c>
      <c r="C4024" t="s">
        <v>40</v>
      </c>
      <c r="D4024">
        <v>5.8718089999999998</v>
      </c>
      <c r="E4024">
        <v>0.5074341</v>
      </c>
      <c r="F4024" t="s">
        <v>51</v>
      </c>
      <c r="G4024">
        <v>-408.10270000000003</v>
      </c>
      <c r="H4024" s="1">
        <v>4.7416289999999998E-6</v>
      </c>
      <c r="I4024">
        <v>214.9425</v>
      </c>
      <c r="J4024">
        <v>-422.72050000000002</v>
      </c>
      <c r="K4024">
        <v>1.1198349999999999</v>
      </c>
      <c r="L4024">
        <v>215.38380000000001</v>
      </c>
      <c r="M4024">
        <v>0.99998880000000001</v>
      </c>
      <c r="N4024">
        <v>-4.5052470000000004E-3</v>
      </c>
      <c r="O4024">
        <v>-1.5915899999999999E-3</v>
      </c>
      <c r="P4024">
        <v>0.99747989999999997</v>
      </c>
      <c r="Q4024">
        <v>-7.0307049999999996E-2</v>
      </c>
      <c r="R4024">
        <v>-9.5589119999999993E-3</v>
      </c>
      <c r="S4024">
        <v>2.9908139999999999</v>
      </c>
      <c r="T4024">
        <v>-0.2246331</v>
      </c>
      <c r="U4024">
        <v>-8.8623049999999995E-2</v>
      </c>
      <c r="V4024">
        <v>7.9687309999999997E-3</v>
      </c>
      <c r="W4024">
        <v>-6.5812670000000004E-2</v>
      </c>
      <c r="X4024">
        <v>0.99780020000000003</v>
      </c>
      <c r="Y4024">
        <v>2.7948379999999998E-2</v>
      </c>
      <c r="Z4024">
        <v>-9.9874259999999993E-4</v>
      </c>
      <c r="AA4024">
        <v>0.99960890000000002</v>
      </c>
      <c r="AB4024">
        <v>28</v>
      </c>
      <c r="AC4024">
        <v>14.6177999999999</v>
      </c>
      <c r="AD4024">
        <v>-1.119830258371</v>
      </c>
      <c r="AE4024">
        <v>-0.44130000000001202</v>
      </c>
      <c r="AF4024">
        <v>0.41559688174826598</v>
      </c>
      <c r="AG4024">
        <v>-1.119830258371</v>
      </c>
      <c r="AH4024">
        <v>14.533270422431499</v>
      </c>
      <c r="AI4024">
        <v>94.404305032112205</v>
      </c>
      <c r="AJ4024">
        <v>88.362002557289699</v>
      </c>
      <c r="AK4024">
        <v>14.582273133747201</v>
      </c>
      <c r="AL4024">
        <v>93.773515533256599</v>
      </c>
      <c r="AM4024">
        <v>89.542428486363406</v>
      </c>
      <c r="AN4024">
        <v>1.0000000236631501</v>
      </c>
    </row>
    <row r="4025" spans="1:40" x14ac:dyDescent="0.25">
      <c r="A4025" t="str">
        <f>"20190303154216233"</f>
        <v>20190303154216233</v>
      </c>
      <c r="B4025" t="str">
        <f>"1551598936223967"</f>
        <v>1551598936223967</v>
      </c>
      <c r="C4025" t="s">
        <v>40</v>
      </c>
      <c r="D4025">
        <v>5.9636740000000001</v>
      </c>
      <c r="E4025">
        <v>0.50749949999999999</v>
      </c>
      <c r="F4025" t="s">
        <v>51</v>
      </c>
      <c r="G4025">
        <v>-407.82819999999998</v>
      </c>
      <c r="H4025" s="1">
        <v>4.8633240000000003E-6</v>
      </c>
      <c r="I4025">
        <v>214.94280000000001</v>
      </c>
      <c r="J4025">
        <v>-422.45530000000002</v>
      </c>
      <c r="K4025">
        <v>1.11985</v>
      </c>
      <c r="L4025">
        <v>215.38339999999999</v>
      </c>
      <c r="M4025">
        <v>0.9999884</v>
      </c>
      <c r="N4025">
        <v>-4.589554E-3</v>
      </c>
      <c r="O4025">
        <v>-1.59094799999999E-3</v>
      </c>
      <c r="P4025">
        <v>0.99746619999999997</v>
      </c>
      <c r="Q4025">
        <v>-7.0591119999999993E-2</v>
      </c>
      <c r="R4025">
        <v>-8.863213E-3</v>
      </c>
      <c r="S4025">
        <v>2.990875</v>
      </c>
      <c r="T4025">
        <v>-0.22489909999999999</v>
      </c>
      <c r="U4025">
        <v>-8.857727E-2</v>
      </c>
      <c r="V4025">
        <v>7.2735739999999997E-3</v>
      </c>
      <c r="W4025">
        <v>-6.6012660000000001E-2</v>
      </c>
      <c r="X4025">
        <v>0.99779229999999997</v>
      </c>
      <c r="Y4025">
        <v>2.7932889999999998E-2</v>
      </c>
      <c r="Z4025">
        <v>-1.0005630000000001E-3</v>
      </c>
      <c r="AA4025">
        <v>0.99960930000000003</v>
      </c>
      <c r="AB4025">
        <v>28</v>
      </c>
      <c r="AC4025">
        <v>14.6271</v>
      </c>
      <c r="AD4025">
        <v>-1.1198451366760001</v>
      </c>
      <c r="AE4025">
        <v>-0.440599999999989</v>
      </c>
      <c r="AF4025">
        <v>0.41489857499354599</v>
      </c>
      <c r="AG4025">
        <v>-1.1198451366760001</v>
      </c>
      <c r="AH4025">
        <v>14.542619995882299</v>
      </c>
      <c r="AI4025">
        <v>94.401551155567802</v>
      </c>
      <c r="AJ4025">
        <v>88.365804050953201</v>
      </c>
      <c r="AK4025">
        <v>14.5915725781118</v>
      </c>
      <c r="AL4025">
        <v>93.784999082881001</v>
      </c>
      <c r="AM4025">
        <v>89.582340221937201</v>
      </c>
      <c r="AN4025">
        <v>1.0000000250491401</v>
      </c>
    </row>
    <row r="4026" spans="1:40" x14ac:dyDescent="0.25">
      <c r="A4026" t="str">
        <f>"20190303154216256"</f>
        <v>20190303154216256</v>
      </c>
      <c r="B4026" t="str">
        <f>"1551598936243488"</f>
        <v>1551598936243488</v>
      </c>
      <c r="C4026" t="s">
        <v>40</v>
      </c>
      <c r="D4026">
        <v>5.8821029999999999</v>
      </c>
      <c r="E4026">
        <v>0.50760989999999995</v>
      </c>
      <c r="F4026" t="s">
        <v>51</v>
      </c>
      <c r="G4026">
        <v>-407.65100000000001</v>
      </c>
      <c r="H4026" s="1">
        <v>4.9398849999999997E-6</v>
      </c>
      <c r="I4026">
        <v>214.95259999999999</v>
      </c>
      <c r="J4026">
        <v>-422.17759999999998</v>
      </c>
      <c r="K4026">
        <v>1.1198650000000001</v>
      </c>
      <c r="L4026">
        <v>215.38290000000001</v>
      </c>
      <c r="M4026">
        <v>0.99998779999999998</v>
      </c>
      <c r="N4026">
        <v>-4.6872199999999998E-3</v>
      </c>
      <c r="O4026">
        <v>-1.5903410000000001E-3</v>
      </c>
      <c r="P4026">
        <v>0.99745649999999997</v>
      </c>
      <c r="Q4026">
        <v>-7.0745730000000007E-2</v>
      </c>
      <c r="R4026">
        <v>-8.7181280000000003E-3</v>
      </c>
      <c r="S4026">
        <v>2.9908450000000002</v>
      </c>
      <c r="T4026">
        <v>-0.22623670000000001</v>
      </c>
      <c r="U4026">
        <v>-8.7036130000000003E-2</v>
      </c>
      <c r="V4026">
        <v>7.1291599999999998E-3</v>
      </c>
      <c r="W4026">
        <v>-6.6069859999999994E-2</v>
      </c>
      <c r="X4026">
        <v>0.9977895</v>
      </c>
      <c r="Y4026">
        <v>2.7419679999999998E-2</v>
      </c>
      <c r="Z4026">
        <v>-9.8707140000000009E-4</v>
      </c>
      <c r="AA4026">
        <v>0.9996235</v>
      </c>
      <c r="AB4026">
        <v>28</v>
      </c>
      <c r="AC4026">
        <v>14.526599999999901</v>
      </c>
      <c r="AD4026">
        <v>-1.1198600601149999</v>
      </c>
      <c r="AE4026">
        <v>-0.430300000000016</v>
      </c>
      <c r="AF4026">
        <v>0.40479341154038301</v>
      </c>
      <c r="AG4026">
        <v>-1.1198600601149999</v>
      </c>
      <c r="AH4026">
        <v>14.4415164879217</v>
      </c>
      <c r="AI4026">
        <v>94.432364783786198</v>
      </c>
      <c r="AJ4026">
        <v>88.394428804000498</v>
      </c>
      <c r="AK4026">
        <v>14.490525964614999</v>
      </c>
      <c r="AL4026">
        <v>93.788283785114103</v>
      </c>
      <c r="AM4026">
        <v>89.590631261578295</v>
      </c>
      <c r="AN4026">
        <v>0.99999996881648701</v>
      </c>
    </row>
    <row r="4027" spans="1:40" x14ac:dyDescent="0.25">
      <c r="A4027" t="str">
        <f>"20190303154216278"</f>
        <v>20190303154216278</v>
      </c>
      <c r="B4027" t="str">
        <f>"1551598936273744"</f>
        <v>1551598936273744</v>
      </c>
      <c r="C4027" t="s">
        <v>40</v>
      </c>
      <c r="D4027">
        <v>5.9433299999999996</v>
      </c>
      <c r="E4027">
        <v>0.50767039999999997</v>
      </c>
      <c r="F4027" t="s">
        <v>51</v>
      </c>
      <c r="G4027">
        <v>-407.36880000000002</v>
      </c>
      <c r="H4027" s="1">
        <v>5.0653810000000004E-6</v>
      </c>
      <c r="I4027">
        <v>214.95089999999999</v>
      </c>
      <c r="J4027">
        <v>-421.89940000000001</v>
      </c>
      <c r="K4027">
        <v>1.119882</v>
      </c>
      <c r="L4027">
        <v>215.38249999999999</v>
      </c>
      <c r="M4027">
        <v>0.99998730000000002</v>
      </c>
      <c r="N4027">
        <v>-4.7913030000000002E-3</v>
      </c>
      <c r="O4027">
        <v>-1.589755E-3</v>
      </c>
      <c r="P4027">
        <v>0.99750499999999998</v>
      </c>
      <c r="Q4027">
        <v>-7.0011210000000004E-2</v>
      </c>
      <c r="R4027">
        <v>-9.0635960000000002E-3</v>
      </c>
      <c r="S4027">
        <v>2.9908450000000002</v>
      </c>
      <c r="T4027">
        <v>-0.22617039999999999</v>
      </c>
      <c r="U4027">
        <v>-8.7265010000000004E-2</v>
      </c>
      <c r="V4027">
        <v>7.4752250000000003E-3</v>
      </c>
      <c r="W4027">
        <v>-6.5231289999999997E-2</v>
      </c>
      <c r="X4027">
        <v>0.99784220000000001</v>
      </c>
      <c r="Y4027">
        <v>2.7496389999999999E-2</v>
      </c>
      <c r="Z4027">
        <v>-9.9151920000000002E-4</v>
      </c>
      <c r="AA4027">
        <v>0.99962139999999999</v>
      </c>
      <c r="AB4027">
        <v>28</v>
      </c>
      <c r="AC4027">
        <v>14.5305999999999</v>
      </c>
      <c r="AD4027">
        <v>-1.1198769346190001</v>
      </c>
      <c r="AE4027">
        <v>-0.43160000000000298</v>
      </c>
      <c r="AF4027">
        <v>0.40608912509293799</v>
      </c>
      <c r="AG4027">
        <v>-1.1198769346190001</v>
      </c>
      <c r="AH4027">
        <v>14.445539470702499</v>
      </c>
      <c r="AI4027">
        <v>94.431191684340604</v>
      </c>
      <c r="AJ4027">
        <v>88.3897405279655</v>
      </c>
      <c r="AK4027">
        <v>14.494572892149501</v>
      </c>
      <c r="AL4027">
        <v>93.740133162035505</v>
      </c>
      <c r="AM4027">
        <v>89.570783004061099</v>
      </c>
      <c r="AN4027">
        <v>1.00000002814235</v>
      </c>
    </row>
    <row r="4028" spans="1:40" x14ac:dyDescent="0.25">
      <c r="A4028" t="str">
        <f>"20190303154216300"</f>
        <v>20190303154216300</v>
      </c>
      <c r="B4028" t="str">
        <f>"1551598936293771"</f>
        <v>1551598936293771</v>
      </c>
      <c r="C4028" t="s">
        <v>40</v>
      </c>
      <c r="D4028">
        <v>5.8446509999999998</v>
      </c>
      <c r="E4028">
        <v>0.50795420000000002</v>
      </c>
      <c r="F4028" t="s">
        <v>42</v>
      </c>
      <c r="G4028">
        <v>-420.94130000000001</v>
      </c>
      <c r="H4028">
        <v>1.0479799999999999</v>
      </c>
      <c r="I4028">
        <v>215.3537</v>
      </c>
      <c r="J4028">
        <v>-421.61939999999998</v>
      </c>
      <c r="K4028">
        <v>1.1198969999999999</v>
      </c>
      <c r="L4028">
        <v>215.38210000000001</v>
      </c>
      <c r="M4028">
        <v>0.99998679999999995</v>
      </c>
      <c r="N4028">
        <v>-4.9028830000000002E-3</v>
      </c>
      <c r="O4028">
        <v>-1.5888339999999999E-3</v>
      </c>
      <c r="P4028">
        <v>0.99756599999999995</v>
      </c>
      <c r="Q4028">
        <v>-6.9111439999999996E-2</v>
      </c>
      <c r="R4028">
        <v>-9.2696419999999998E-3</v>
      </c>
      <c r="S4028">
        <v>2.990936</v>
      </c>
      <c r="T4028">
        <v>-0.2245653</v>
      </c>
      <c r="U4028">
        <v>-8.880615E-2</v>
      </c>
      <c r="V4028">
        <v>7.6819940000000001E-3</v>
      </c>
      <c r="W4028">
        <v>-6.4219869999999998E-2</v>
      </c>
      <c r="X4028">
        <v>0.99790619999999997</v>
      </c>
      <c r="Y4028">
        <v>2.8010460000000001E-2</v>
      </c>
      <c r="Z4028">
        <v>-1.0072950000000001E-3</v>
      </c>
      <c r="AA4028">
        <v>0.99960709999999997</v>
      </c>
      <c r="AB4028">
        <v>28</v>
      </c>
      <c r="AC4028">
        <v>0.67809999999997195</v>
      </c>
      <c r="AD4028">
        <v>-7.1916999999999995E-2</v>
      </c>
      <c r="AE4028">
        <v>-2.84000000000048E-2</v>
      </c>
      <c r="AF4028">
        <v>2.7019183106159701E-2</v>
      </c>
      <c r="AG4028">
        <v>-7.1916999999999995E-2</v>
      </c>
      <c r="AH4028">
        <v>0.67061439902212405</v>
      </c>
      <c r="AI4028">
        <v>96.116108086671403</v>
      </c>
      <c r="AJ4028">
        <v>87.692789915654998</v>
      </c>
      <c r="AK4028">
        <v>0.67500056542237696</v>
      </c>
      <c r="AL4028">
        <v>93.682061417547402</v>
      </c>
      <c r="AM4028">
        <v>89.558939366976901</v>
      </c>
      <c r="AN4028">
        <v>0.99999999436653597</v>
      </c>
    </row>
    <row r="4029" spans="1:40" x14ac:dyDescent="0.25">
      <c r="A4029" t="str">
        <f>"20190303154216321"</f>
        <v>20190303154216321</v>
      </c>
      <c r="B4029" t="str">
        <f>"1551598936313291"</f>
        <v>1551598936313291</v>
      </c>
      <c r="C4029" t="s">
        <v>40</v>
      </c>
      <c r="D4029">
        <v>5.9603599999999997</v>
      </c>
      <c r="E4029">
        <v>0.50812000000000002</v>
      </c>
      <c r="F4029" t="s">
        <v>42</v>
      </c>
      <c r="G4029">
        <v>-420.685</v>
      </c>
      <c r="H4029">
        <v>1.051407</v>
      </c>
      <c r="I4029">
        <v>215.35329999999999</v>
      </c>
      <c r="J4029">
        <v>-421.34899999999999</v>
      </c>
      <c r="K4029">
        <v>1.1199159999999999</v>
      </c>
      <c r="L4029">
        <v>215.3817</v>
      </c>
      <c r="M4029">
        <v>0.99998629999999999</v>
      </c>
      <c r="N4029">
        <v>-5.0171520000000004E-3</v>
      </c>
      <c r="O4029">
        <v>-1.588285E-3</v>
      </c>
      <c r="P4029">
        <v>0.9976178</v>
      </c>
      <c r="Q4029">
        <v>-6.8247440000000006E-2</v>
      </c>
      <c r="R4029">
        <v>-1.0061830000000001E-2</v>
      </c>
      <c r="S4029">
        <v>2.9912719999999999</v>
      </c>
      <c r="T4029">
        <v>-0.21933910000000001</v>
      </c>
      <c r="U4029">
        <v>-9.1857910000000001E-2</v>
      </c>
      <c r="V4029">
        <v>8.4749660000000004E-3</v>
      </c>
      <c r="W4029">
        <v>-6.3241629999999993E-2</v>
      </c>
      <c r="X4029">
        <v>0.99796220000000002</v>
      </c>
      <c r="Y4029">
        <v>2.9027069999999999E-2</v>
      </c>
      <c r="Z4029">
        <v>-1.027165E-3</v>
      </c>
      <c r="AA4029">
        <v>0.99957810000000002</v>
      </c>
      <c r="AB4029">
        <v>28</v>
      </c>
      <c r="AC4029">
        <v>0.66399999999998705</v>
      </c>
      <c r="AD4029">
        <v>-6.8508999999999903E-2</v>
      </c>
      <c r="AE4029">
        <v>-2.84000000000048E-2</v>
      </c>
      <c r="AF4029">
        <v>2.7057816422016701E-2</v>
      </c>
      <c r="AG4029">
        <v>-6.8508999999999903E-2</v>
      </c>
      <c r="AH4029">
        <v>0.65706239716348103</v>
      </c>
      <c r="AI4029">
        <v>95.947465658821599</v>
      </c>
      <c r="AJ4029">
        <v>87.6418932909896</v>
      </c>
      <c r="AK4029">
        <v>0.66117819252962995</v>
      </c>
      <c r="AL4029">
        <v>93.625898413869393</v>
      </c>
      <c r="AM4029">
        <v>89.513440378104207</v>
      </c>
      <c r="AN4029">
        <v>0.99999994072129705</v>
      </c>
    </row>
    <row r="4030" spans="1:40" x14ac:dyDescent="0.25">
      <c r="A4030" t="str">
        <f>"20190303154216343"</f>
        <v>20190303154216343</v>
      </c>
      <c r="B4030" t="str">
        <f>"1551598936333790"</f>
        <v>1551598936333790</v>
      </c>
      <c r="C4030" t="s">
        <v>40</v>
      </c>
      <c r="D4030">
        <v>5.9864280000000001</v>
      </c>
      <c r="E4030">
        <v>0.50814529999999902</v>
      </c>
      <c r="F4030" t="s">
        <v>42</v>
      </c>
      <c r="G4030">
        <v>-420.42910000000001</v>
      </c>
      <c r="H4030">
        <v>1.0535589999999999</v>
      </c>
      <c r="I4030">
        <v>215.3519</v>
      </c>
      <c r="J4030">
        <v>-421.0609</v>
      </c>
      <c r="K4030">
        <v>1.1199319999999999</v>
      </c>
      <c r="L4030">
        <v>215.38120000000001</v>
      </c>
      <c r="M4030">
        <v>0.99998549999999997</v>
      </c>
      <c r="N4030">
        <v>-5.1566260000000001E-3</v>
      </c>
      <c r="O4030">
        <v>-1.5874490000000001E-3</v>
      </c>
      <c r="P4030">
        <v>0.99761520000000004</v>
      </c>
      <c r="Q4030">
        <v>-6.8253229999999998E-2</v>
      </c>
      <c r="R4030">
        <v>-1.0282090000000001E-2</v>
      </c>
      <c r="S4030">
        <v>2.9914550000000002</v>
      </c>
      <c r="T4030">
        <v>-0.21592500000000001</v>
      </c>
      <c r="U4030">
        <v>-9.5474240000000002E-2</v>
      </c>
      <c r="V4030">
        <v>8.6958550000000006E-3</v>
      </c>
      <c r="W4030">
        <v>-6.3108230000000001E-2</v>
      </c>
      <c r="X4030">
        <v>0.99796879999999999</v>
      </c>
      <c r="Y4030">
        <v>3.0232060000000002E-2</v>
      </c>
      <c r="Z4030">
        <v>-1.0612359999999999E-3</v>
      </c>
      <c r="AA4030">
        <v>0.99954240000000005</v>
      </c>
      <c r="AB4030">
        <v>28</v>
      </c>
      <c r="AC4030">
        <v>0.63179999999999803</v>
      </c>
      <c r="AD4030">
        <v>-6.6373000000000001E-2</v>
      </c>
      <c r="AE4030">
        <v>-2.93000000000063E-2</v>
      </c>
      <c r="AF4030">
        <v>2.7988769856295101E-2</v>
      </c>
      <c r="AG4030">
        <v>-6.6373000000000001E-2</v>
      </c>
      <c r="AH4030">
        <v>0.62496323459862602</v>
      </c>
      <c r="AI4030">
        <v>96.056237102910302</v>
      </c>
      <c r="AJ4030">
        <v>87.435741072462207</v>
      </c>
      <c r="AK4030">
        <v>0.62910077965859001</v>
      </c>
      <c r="AL4030">
        <v>93.618239657287106</v>
      </c>
      <c r="AM4030">
        <v>89.500762767688897</v>
      </c>
      <c r="AN4030">
        <v>0.99999999618067603</v>
      </c>
    </row>
    <row r="4031" spans="1:40" x14ac:dyDescent="0.25">
      <c r="A4031" t="str">
        <f>"20190303154216365"</f>
        <v>20190303154216365</v>
      </c>
      <c r="B4031" t="str">
        <f>"1551598936364043"</f>
        <v>1551598936364043</v>
      </c>
      <c r="C4031" t="s">
        <v>40</v>
      </c>
      <c r="D4031">
        <v>5.9784160000000002</v>
      </c>
      <c r="E4031">
        <v>0.50823279999999904</v>
      </c>
      <c r="F4031" t="s">
        <v>42</v>
      </c>
      <c r="G4031">
        <v>-420.16320000000002</v>
      </c>
      <c r="H4031">
        <v>1.0548660000000001</v>
      </c>
      <c r="I4031">
        <v>215.35249999999999</v>
      </c>
      <c r="J4031">
        <v>-420.77589999999998</v>
      </c>
      <c r="K4031">
        <v>1.1199600000000001</v>
      </c>
      <c r="L4031">
        <v>215.38069999999999</v>
      </c>
      <c r="M4031">
        <v>0.9999846</v>
      </c>
      <c r="N4031">
        <v>-5.3273030000000002E-3</v>
      </c>
      <c r="O4031">
        <v>-1.5867069999999999E-3</v>
      </c>
      <c r="P4031">
        <v>0.99756630000000002</v>
      </c>
      <c r="Q4031">
        <v>-6.8942409999999996E-2</v>
      </c>
      <c r="R4031">
        <v>-1.041308E-2</v>
      </c>
      <c r="S4031">
        <v>2.9913940000000001</v>
      </c>
      <c r="T4031">
        <v>-0.2167647</v>
      </c>
      <c r="U4031">
        <v>-9.6069340000000003E-2</v>
      </c>
      <c r="V4031">
        <v>8.8278039999999999E-3</v>
      </c>
      <c r="W4031">
        <v>-6.3627349999999999E-2</v>
      </c>
      <c r="X4031">
        <v>0.99793469999999995</v>
      </c>
      <c r="Y4031">
        <v>3.0430720000000001E-2</v>
      </c>
      <c r="Z4031">
        <v>-1.075657E-3</v>
      </c>
      <c r="AA4031">
        <v>0.99953630000000004</v>
      </c>
      <c r="AB4031">
        <v>28</v>
      </c>
      <c r="AC4031">
        <v>0.61269999999996105</v>
      </c>
      <c r="AD4031">
        <v>-6.5093999999999902E-2</v>
      </c>
      <c r="AE4031">
        <v>-2.8199999999998199E-2</v>
      </c>
      <c r="AF4031">
        <v>2.6924515443796398E-2</v>
      </c>
      <c r="AG4031">
        <v>-6.5093999999999902E-2</v>
      </c>
      <c r="AH4031">
        <v>0.60591930032436103</v>
      </c>
      <c r="AI4031">
        <v>96.125778006789204</v>
      </c>
      <c r="AJ4031">
        <v>87.455689311417302</v>
      </c>
      <c r="AK4031">
        <v>0.610000292519148</v>
      </c>
      <c r="AL4031">
        <v>93.648042861840807</v>
      </c>
      <c r="AM4031">
        <v>89.493170526252499</v>
      </c>
      <c r="AN4031">
        <v>1.0000000176277799</v>
      </c>
    </row>
    <row r="4032" spans="1:40" x14ac:dyDescent="0.25">
      <c r="A4032" t="str">
        <f>"20190303154216390"</f>
        <v>20190303154216390</v>
      </c>
      <c r="B4032" t="str">
        <f>"1551598936383563"</f>
        <v>1551598936383563</v>
      </c>
      <c r="C4032" t="s">
        <v>40</v>
      </c>
      <c r="D4032">
        <v>5.9580659999999996</v>
      </c>
      <c r="E4032">
        <v>0.50833220000000001</v>
      </c>
      <c r="F4032" t="s">
        <v>51</v>
      </c>
      <c r="G4032">
        <v>-405.48250000000002</v>
      </c>
      <c r="H4032" s="1">
        <v>5.9158110000000003E-6</v>
      </c>
      <c r="I4032">
        <v>214.88339999999999</v>
      </c>
      <c r="J4032">
        <v>-420.47500000000002</v>
      </c>
      <c r="K4032">
        <v>1.120001</v>
      </c>
      <c r="L4032">
        <v>215.3802</v>
      </c>
      <c r="M4032">
        <v>0.99998330000000002</v>
      </c>
      <c r="N4032">
        <v>-5.5630569999999997E-3</v>
      </c>
      <c r="O4032">
        <v>-1.5862789999999999E-3</v>
      </c>
      <c r="P4032">
        <v>0.99754849999999995</v>
      </c>
      <c r="Q4032">
        <v>-6.9167699999999999E-2</v>
      </c>
      <c r="R4032">
        <v>-1.062946E-2</v>
      </c>
      <c r="S4032">
        <v>2.9911500000000002</v>
      </c>
      <c r="T4032">
        <v>-0.2190453</v>
      </c>
      <c r="U4032">
        <v>-9.7274780000000005E-2</v>
      </c>
      <c r="V4032">
        <v>9.0447740000000002E-3</v>
      </c>
      <c r="W4032">
        <v>-6.3617469999999995E-2</v>
      </c>
      <c r="X4032">
        <v>0.99793339999999997</v>
      </c>
      <c r="Y4032">
        <v>3.0833039999999999E-2</v>
      </c>
      <c r="Z4032">
        <v>-1.1059049999999999E-3</v>
      </c>
      <c r="AA4032">
        <v>0.99952390000000002</v>
      </c>
      <c r="AB4032">
        <v>28</v>
      </c>
      <c r="AC4032">
        <v>14.9925</v>
      </c>
      <c r="AD4032">
        <v>-1.1199950841890001</v>
      </c>
      <c r="AE4032">
        <v>-0.49680000000000701</v>
      </c>
      <c r="AF4032">
        <v>0.47039449605919098</v>
      </c>
      <c r="AG4032">
        <v>-1.1199950841890001</v>
      </c>
      <c r="AH4032">
        <v>14.9101522641205</v>
      </c>
      <c r="AI4032">
        <v>94.293649781992002</v>
      </c>
      <c r="AJ4032">
        <v>88.192997468396996</v>
      </c>
      <c r="AK4032">
        <v>14.959555491718</v>
      </c>
      <c r="AL4032">
        <v>93.647475582870101</v>
      </c>
      <c r="AM4032">
        <v>89.480713655586399</v>
      </c>
      <c r="AN4032">
        <v>1.00000003063073</v>
      </c>
    </row>
    <row r="4033" spans="1:40" x14ac:dyDescent="0.25">
      <c r="A4033" t="str">
        <f>"20190303154216413"</f>
        <v>20190303154216413</v>
      </c>
      <c r="B4033" t="str">
        <f>"1551598936403588"</f>
        <v>1551598936403588</v>
      </c>
      <c r="C4033" t="s">
        <v>40</v>
      </c>
      <c r="D4033">
        <v>5.9515840000000004</v>
      </c>
      <c r="E4033">
        <v>0.50841859999999905</v>
      </c>
      <c r="F4033" t="s">
        <v>51</v>
      </c>
      <c r="G4033">
        <v>-405.22370000000001</v>
      </c>
      <c r="H4033" s="1">
        <v>6.03200399999999E-6</v>
      </c>
      <c r="I4033">
        <v>214.8766</v>
      </c>
      <c r="J4033">
        <v>-420.18450000000001</v>
      </c>
      <c r="K4033">
        <v>1.120053</v>
      </c>
      <c r="L4033">
        <v>215.37979999999999</v>
      </c>
      <c r="M4033">
        <v>0.99998160000000003</v>
      </c>
      <c r="N4033">
        <v>-5.855458E-3</v>
      </c>
      <c r="O4033">
        <v>-1.585569E-3</v>
      </c>
      <c r="P4033">
        <v>0.99751970000000001</v>
      </c>
      <c r="Q4033">
        <v>-6.9534700000000005E-2</v>
      </c>
      <c r="R4033">
        <v>-1.0931160000000001E-2</v>
      </c>
      <c r="S4033">
        <v>2.9910890000000001</v>
      </c>
      <c r="T4033">
        <v>-0.21965270000000001</v>
      </c>
      <c r="U4033">
        <v>-9.8785399999999995E-2</v>
      </c>
      <c r="V4033">
        <v>9.3469460000000001E-3</v>
      </c>
      <c r="W4033">
        <v>-6.3692840000000001E-2</v>
      </c>
      <c r="X4033">
        <v>0.99792579999999997</v>
      </c>
      <c r="Y4033">
        <v>3.1336379999999997E-2</v>
      </c>
      <c r="Z4033">
        <v>-1.1336709999999999E-3</v>
      </c>
      <c r="AA4033">
        <v>0.99950830000000002</v>
      </c>
      <c r="AB4033">
        <v>29</v>
      </c>
      <c r="AC4033">
        <v>14.960800000000001</v>
      </c>
      <c r="AD4033">
        <v>-1.1200469679959999</v>
      </c>
      <c r="AE4033">
        <v>-0.50319999999999199</v>
      </c>
      <c r="AF4033">
        <v>0.476808168821651</v>
      </c>
      <c r="AG4033">
        <v>-1.1200469679959999</v>
      </c>
      <c r="AH4033">
        <v>14.878282975181699</v>
      </c>
      <c r="AI4033">
        <v>94.302942953876496</v>
      </c>
      <c r="AJ4033">
        <v>88.164455600499195</v>
      </c>
      <c r="AK4033">
        <v>14.9279990464213</v>
      </c>
      <c r="AL4033">
        <v>93.651802770001495</v>
      </c>
      <c r="AM4033">
        <v>89.463362008321496</v>
      </c>
      <c r="AN4033">
        <v>1.00000002278621</v>
      </c>
    </row>
    <row r="4034" spans="1:40" x14ac:dyDescent="0.25">
      <c r="A4034" t="str">
        <f>"20190303154216433"</f>
        <v>20190303154216433</v>
      </c>
      <c r="B4034" t="str">
        <f>"1551598936424085"</f>
        <v>1551598936424085</v>
      </c>
      <c r="C4034" t="s">
        <v>40</v>
      </c>
      <c r="D4034">
        <v>5.9936870000000004</v>
      </c>
      <c r="E4034">
        <v>0.50846720000000001</v>
      </c>
      <c r="F4034" t="s">
        <v>51</v>
      </c>
      <c r="G4034">
        <v>-405.00240000000002</v>
      </c>
      <c r="H4034" s="1">
        <v>6.1314460000000003E-6</v>
      </c>
      <c r="I4034">
        <v>214.87020000000001</v>
      </c>
      <c r="J4034">
        <v>-419.91390000000001</v>
      </c>
      <c r="K4034">
        <v>1.120109</v>
      </c>
      <c r="L4034">
        <v>215.3793</v>
      </c>
      <c r="M4034">
        <v>0.99997959999999997</v>
      </c>
      <c r="N4034">
        <v>-6.1890979999999996E-3</v>
      </c>
      <c r="O4034">
        <v>-1.585148E-3</v>
      </c>
      <c r="P4034">
        <v>0.99750810000000001</v>
      </c>
      <c r="Q4034">
        <v>-6.9721039999999998E-2</v>
      </c>
      <c r="R4034">
        <v>-1.0807010000000001E-2</v>
      </c>
      <c r="S4034">
        <v>2.9909669999999999</v>
      </c>
      <c r="T4034">
        <v>-0.2206553</v>
      </c>
      <c r="U4034">
        <v>-0.10038759999999999</v>
      </c>
      <c r="V4034">
        <v>9.2232879999999996E-3</v>
      </c>
      <c r="W4034">
        <v>-6.3546279999999997E-2</v>
      </c>
      <c r="X4034">
        <v>0.99793620000000005</v>
      </c>
      <c r="Y4034">
        <v>3.187019E-2</v>
      </c>
      <c r="Z4034">
        <v>-1.165513E-3</v>
      </c>
      <c r="AA4034">
        <v>0.99949129999999997</v>
      </c>
      <c r="AB4034">
        <v>29</v>
      </c>
      <c r="AC4034">
        <v>14.911499999999901</v>
      </c>
      <c r="AD4034">
        <v>-1.120102868554</v>
      </c>
      <c r="AE4034">
        <v>-0.50909999999998901</v>
      </c>
      <c r="AF4034">
        <v>0.48274126727431399</v>
      </c>
      <c r="AG4034">
        <v>-1.120102868554</v>
      </c>
      <c r="AH4034">
        <v>14.828714370148599</v>
      </c>
      <c r="AI4034">
        <v>94.317416560747503</v>
      </c>
      <c r="AJ4034">
        <v>88.135423492529</v>
      </c>
      <c r="AK4034">
        <v>14.8787915987396</v>
      </c>
      <c r="AL4034">
        <v>93.643388797358597</v>
      </c>
      <c r="AM4034">
        <v>89.470466719922996</v>
      </c>
      <c r="AN4034">
        <v>0.99999992900690204</v>
      </c>
    </row>
    <row r="4035" spans="1:40" x14ac:dyDescent="0.25">
      <c r="A4035" t="str">
        <f>"20190303154216455"</f>
        <v>20190303154216455</v>
      </c>
      <c r="B4035" t="str">
        <f>"1551598936443608"</f>
        <v>1551598936443608</v>
      </c>
      <c r="C4035" t="s">
        <v>40</v>
      </c>
      <c r="D4035">
        <v>6.00413</v>
      </c>
      <c r="E4035">
        <v>0.50850589999999996</v>
      </c>
      <c r="F4035" t="s">
        <v>51</v>
      </c>
      <c r="G4035">
        <v>-404.78390000000002</v>
      </c>
      <c r="H4035" s="1">
        <v>6.2280679999999997E-6</v>
      </c>
      <c r="I4035">
        <v>214.8715</v>
      </c>
      <c r="J4035">
        <v>-419.63560000000001</v>
      </c>
      <c r="K4035">
        <v>1.12018</v>
      </c>
      <c r="L4035">
        <v>215.37889999999999</v>
      </c>
      <c r="M4035">
        <v>0.99997709999999995</v>
      </c>
      <c r="N4035">
        <v>-6.5897769999999998E-3</v>
      </c>
      <c r="O4035">
        <v>-1.585003E-3</v>
      </c>
      <c r="P4035">
        <v>0.99750260000000002</v>
      </c>
      <c r="Q4035">
        <v>-6.9856080000000001E-2</v>
      </c>
      <c r="R4035">
        <v>-1.0442150000000001E-2</v>
      </c>
      <c r="S4035">
        <v>2.990936</v>
      </c>
      <c r="T4035">
        <v>-0.2214248</v>
      </c>
      <c r="U4035">
        <v>-0.10038759999999999</v>
      </c>
      <c r="V4035">
        <v>8.8587539999999999E-3</v>
      </c>
      <c r="W4035">
        <v>-6.3281480000000001E-2</v>
      </c>
      <c r="X4035">
        <v>0.99795639999999997</v>
      </c>
      <c r="Y4035">
        <v>3.1869550000000003E-2</v>
      </c>
      <c r="Z4035">
        <v>-1.1762159999999999E-3</v>
      </c>
      <c r="AA4035">
        <v>0.99949129999999997</v>
      </c>
      <c r="AB4035">
        <v>29</v>
      </c>
      <c r="AC4035">
        <v>14.8516999999999</v>
      </c>
      <c r="AD4035">
        <v>-1.120173771932</v>
      </c>
      <c r="AE4035">
        <v>-0.50739999999998897</v>
      </c>
      <c r="AF4035">
        <v>0.48112504471822398</v>
      </c>
      <c r="AG4035">
        <v>-1.120173771932</v>
      </c>
      <c r="AH4035">
        <v>14.7685685337082</v>
      </c>
      <c r="AI4035">
        <v>94.335202704966903</v>
      </c>
      <c r="AJ4035">
        <v>88.134098879280103</v>
      </c>
      <c r="AK4035">
        <v>14.818801811307599</v>
      </c>
      <c r="AL4035">
        <v>93.628186018846804</v>
      </c>
      <c r="AM4035">
        <v>89.491404750198996</v>
      </c>
      <c r="AN4035">
        <v>0.99999999976719101</v>
      </c>
    </row>
    <row r="4036" spans="1:40" x14ac:dyDescent="0.25">
      <c r="A4036" t="str">
        <f>"20190303154216478"</f>
        <v>20190303154216478</v>
      </c>
      <c r="B4036" t="str">
        <f>"1551598936473861"</f>
        <v>1551598936473861</v>
      </c>
      <c r="C4036" t="s">
        <v>40</v>
      </c>
      <c r="D4036">
        <v>5.9951949999999998</v>
      </c>
      <c r="E4036">
        <v>0.50855649999999997</v>
      </c>
      <c r="F4036" t="s">
        <v>51</v>
      </c>
      <c r="G4036">
        <v>-404.54910000000001</v>
      </c>
      <c r="H4036" s="1">
        <v>6.331106E-6</v>
      </c>
      <c r="I4036">
        <v>214.8768</v>
      </c>
      <c r="J4036">
        <v>-419.34780000000001</v>
      </c>
      <c r="K4036">
        <v>1.1202559999999999</v>
      </c>
      <c r="L4036">
        <v>215.3784</v>
      </c>
      <c r="M4036">
        <v>0.99997380000000002</v>
      </c>
      <c r="N4036">
        <v>-7.0615540000000003E-3</v>
      </c>
      <c r="O4036">
        <v>-1.5842359999999999E-3</v>
      </c>
      <c r="P4036">
        <v>0.99747070000000004</v>
      </c>
      <c r="Q4036">
        <v>-7.035073E-2</v>
      </c>
      <c r="R4036">
        <v>-1.0153219999999999E-2</v>
      </c>
      <c r="S4036">
        <v>2.9909059999999998</v>
      </c>
      <c r="T4036">
        <v>-0.22207450000000001</v>
      </c>
      <c r="U4036">
        <v>-9.9548339999999999E-2</v>
      </c>
      <c r="V4036">
        <v>8.5705569999999995E-3</v>
      </c>
      <c r="W4036">
        <v>-6.3305500000000001E-2</v>
      </c>
      <c r="X4036">
        <v>0.99795739999999999</v>
      </c>
      <c r="Y4036">
        <v>3.1590229999999997E-2</v>
      </c>
      <c r="Z4036">
        <v>-1.176325E-3</v>
      </c>
      <c r="AA4036">
        <v>0.99950019999999995</v>
      </c>
      <c r="AB4036">
        <v>29</v>
      </c>
      <c r="AC4036">
        <v>14.798699999999901</v>
      </c>
      <c r="AD4036">
        <v>-1.120249668894</v>
      </c>
      <c r="AE4036">
        <v>-0.50159999999999605</v>
      </c>
      <c r="AF4036">
        <v>0.475432873405088</v>
      </c>
      <c r="AG4036">
        <v>-1.120249668894</v>
      </c>
      <c r="AH4036">
        <v>14.715249072998899</v>
      </c>
      <c r="AI4036">
        <v>94.351182151967393</v>
      </c>
      <c r="AJ4036">
        <v>88.149482586905904</v>
      </c>
      <c r="AK4036">
        <v>14.7654851264077</v>
      </c>
      <c r="AL4036">
        <v>93.629565003988702</v>
      </c>
      <c r="AM4036">
        <v>89.507950267208201</v>
      </c>
      <c r="AN4036">
        <v>1.0000000064961501</v>
      </c>
    </row>
    <row r="4037" spans="1:40" x14ac:dyDescent="0.25">
      <c r="A4037" t="str">
        <f>"20190303154216498"</f>
        <v>20190303154216498</v>
      </c>
      <c r="B4037" t="str">
        <f>"1551598936493853"</f>
        <v>1551598936493853</v>
      </c>
      <c r="C4037" t="s">
        <v>40</v>
      </c>
      <c r="D4037">
        <v>6.0093370000000004</v>
      </c>
      <c r="E4037">
        <v>0.508602</v>
      </c>
      <c r="F4037" t="s">
        <v>42</v>
      </c>
      <c r="G4037">
        <v>-418.38260000000002</v>
      </c>
      <c r="H4037">
        <v>1.0479160000000001</v>
      </c>
      <c r="I4037">
        <v>215.3459</v>
      </c>
      <c r="J4037">
        <v>-419.0804</v>
      </c>
      <c r="K4037">
        <v>1.1203289999999999</v>
      </c>
      <c r="L4037">
        <v>215.37799999999999</v>
      </c>
      <c r="M4037">
        <v>0.99997040000000004</v>
      </c>
      <c r="N4037">
        <v>-7.5376009999999997E-3</v>
      </c>
      <c r="O4037">
        <v>-1.5840730000000001E-3</v>
      </c>
      <c r="P4037">
        <v>0.99746049999999997</v>
      </c>
      <c r="Q4037">
        <v>-7.0553199999999996E-2</v>
      </c>
      <c r="R4037">
        <v>-9.7265630000000006E-3</v>
      </c>
      <c r="S4037">
        <v>2.9907840000000001</v>
      </c>
      <c r="T4037">
        <v>-0.22429060000000001</v>
      </c>
      <c r="U4037">
        <v>-9.9243159999999997E-2</v>
      </c>
      <c r="V4037">
        <v>8.1441250000000003E-3</v>
      </c>
      <c r="W4037">
        <v>-6.3032959999999999E-2</v>
      </c>
      <c r="X4037">
        <v>0.99797820000000004</v>
      </c>
      <c r="Y4037">
        <v>3.1487809999999998E-2</v>
      </c>
      <c r="Z4037">
        <v>-1.1909329999999999E-3</v>
      </c>
      <c r="AA4037">
        <v>0.99950340000000004</v>
      </c>
      <c r="AB4037">
        <v>29</v>
      </c>
      <c r="AC4037">
        <v>0.697799999999972</v>
      </c>
      <c r="AD4037">
        <v>-7.2413000000000005E-2</v>
      </c>
      <c r="AE4037">
        <v>-3.2099999999985501E-2</v>
      </c>
      <c r="AF4037">
        <v>3.0665031085593E-2</v>
      </c>
      <c r="AG4037">
        <v>-7.2413000000000005E-2</v>
      </c>
      <c r="AH4037">
        <v>0.69043050171149301</v>
      </c>
      <c r="AI4037">
        <v>95.981491685186995</v>
      </c>
      <c r="AJ4037">
        <v>87.456915751532904</v>
      </c>
      <c r="AK4037">
        <v>0.694894426797383</v>
      </c>
      <c r="AL4037">
        <v>93.6139184438033</v>
      </c>
      <c r="AM4037">
        <v>89.532441056985306</v>
      </c>
      <c r="AN4037">
        <v>0.99999998424680803</v>
      </c>
    </row>
    <row r="4038" spans="1:40" x14ac:dyDescent="0.25">
      <c r="A4038" t="str">
        <f>"20190303154216522"</f>
        <v>20190303154216522</v>
      </c>
      <c r="B4038" t="str">
        <f>"1551598936513373"</f>
        <v>1551598936513373</v>
      </c>
      <c r="C4038" t="s">
        <v>40</v>
      </c>
      <c r="D4038">
        <v>6.0120019999999998</v>
      </c>
      <c r="E4038">
        <v>0.50860590000000006</v>
      </c>
      <c r="F4038" t="s">
        <v>42</v>
      </c>
      <c r="G4038">
        <v>-418.12490000000003</v>
      </c>
      <c r="H4038">
        <v>1.04841299999999</v>
      </c>
      <c r="I4038">
        <v>215.34620000000001</v>
      </c>
      <c r="J4038">
        <v>-418.77280000000002</v>
      </c>
      <c r="K4038">
        <v>1.120409</v>
      </c>
      <c r="L4038">
        <v>215.3775</v>
      </c>
      <c r="M4038">
        <v>0.99996600000000002</v>
      </c>
      <c r="N4038">
        <v>-8.0964750000000005E-3</v>
      </c>
      <c r="O4038">
        <v>-1.5841179999999901E-3</v>
      </c>
      <c r="P4038">
        <v>0.99740589999999996</v>
      </c>
      <c r="Q4038">
        <v>-7.1400519999999995E-2</v>
      </c>
      <c r="R4038">
        <v>-9.1373059999999996E-3</v>
      </c>
      <c r="S4038">
        <v>2.9907840000000001</v>
      </c>
      <c r="T4038">
        <v>-0.22522</v>
      </c>
      <c r="U4038">
        <v>-9.8388669999999998E-2</v>
      </c>
      <c r="V4038">
        <v>7.5549319999999899E-3</v>
      </c>
      <c r="W4038">
        <v>-6.3322890000000007E-2</v>
      </c>
      <c r="X4038">
        <v>0.99796450000000003</v>
      </c>
      <c r="Y4038">
        <v>3.1201940000000001E-2</v>
      </c>
      <c r="Z4038">
        <v>-1.1931120000000001E-3</v>
      </c>
      <c r="AA4038">
        <v>0.99951239999999997</v>
      </c>
      <c r="AB4038">
        <v>29</v>
      </c>
      <c r="AC4038">
        <v>0.64789999999999204</v>
      </c>
      <c r="AD4038">
        <v>-7.1996000000000102E-2</v>
      </c>
      <c r="AE4038">
        <v>-3.12999999999874E-2</v>
      </c>
      <c r="AF4038">
        <v>2.9905164379520802E-2</v>
      </c>
      <c r="AG4038">
        <v>-7.1996000000000102E-2</v>
      </c>
      <c r="AH4038">
        <v>0.64006359346363395</v>
      </c>
      <c r="AI4038">
        <v>96.410865521023993</v>
      </c>
      <c r="AJ4038">
        <v>87.324961829715903</v>
      </c>
      <c r="AK4038">
        <v>0.64479387911963504</v>
      </c>
      <c r="AL4038">
        <v>93.630563388570096</v>
      </c>
      <c r="AM4038">
        <v>89.566259672358498</v>
      </c>
      <c r="AN4038">
        <v>1.0000000043278601</v>
      </c>
    </row>
    <row r="4039" spans="1:40" x14ac:dyDescent="0.25">
      <c r="A4039" t="str">
        <f>"20190303154216544"</f>
        <v>20190303154216544</v>
      </c>
      <c r="B4039" t="str">
        <f>"1551598936533870"</f>
        <v>1551598936533870</v>
      </c>
      <c r="C4039" t="s">
        <v>40</v>
      </c>
      <c r="D4039">
        <v>6.0032170000000002</v>
      </c>
      <c r="E4039">
        <v>0.50861629999999902</v>
      </c>
      <c r="F4039" t="s">
        <v>42</v>
      </c>
      <c r="G4039">
        <v>-417.86520000000002</v>
      </c>
      <c r="H4039">
        <v>1.0511619999999999</v>
      </c>
      <c r="I4039">
        <v>215.34790000000001</v>
      </c>
      <c r="J4039">
        <v>-418.48610000000002</v>
      </c>
      <c r="K4039">
        <v>1.120474</v>
      </c>
      <c r="L4039">
        <v>215.37700000000001</v>
      </c>
      <c r="M4039">
        <v>0.99996189999999996</v>
      </c>
      <c r="N4039">
        <v>-8.6075619999999992E-3</v>
      </c>
      <c r="O4039">
        <v>-1.584114E-3</v>
      </c>
      <c r="P4039">
        <v>0.99740229999999996</v>
      </c>
      <c r="Q4039">
        <v>-7.1454519999999994E-2</v>
      </c>
      <c r="R4039">
        <v>-9.1315500000000004E-3</v>
      </c>
      <c r="S4039">
        <v>2.9905089999999999</v>
      </c>
      <c r="T4039">
        <v>-0.22832240000000001</v>
      </c>
      <c r="U4039">
        <v>-9.6435549999999995E-2</v>
      </c>
      <c r="V4039">
        <v>7.549063E-3</v>
      </c>
      <c r="W4039">
        <v>-6.2866839999999993E-2</v>
      </c>
      <c r="X4039">
        <v>0.99799340000000003</v>
      </c>
      <c r="Y4039">
        <v>3.0551809999999999E-2</v>
      </c>
      <c r="Z4039">
        <v>-1.188918E-3</v>
      </c>
      <c r="AA4039">
        <v>0.99953250000000005</v>
      </c>
      <c r="AB4039">
        <v>29</v>
      </c>
      <c r="AC4039">
        <v>0.620900000000006</v>
      </c>
      <c r="AD4039">
        <v>-6.9311999999999804E-2</v>
      </c>
      <c r="AE4039">
        <v>-2.9099999999999598E-2</v>
      </c>
      <c r="AF4039">
        <v>2.77710380051614E-2</v>
      </c>
      <c r="AG4039">
        <v>-6.9311999999999804E-2</v>
      </c>
      <c r="AH4039">
        <v>0.61331913855248099</v>
      </c>
      <c r="AI4039">
        <v>96.441170771032702</v>
      </c>
      <c r="AJ4039">
        <v>87.407422876982196</v>
      </c>
      <c r="AK4039">
        <v>0.61784767508718696</v>
      </c>
      <c r="AL4039">
        <v>93.604381399158598</v>
      </c>
      <c r="AM4039">
        <v>89.566609157928397</v>
      </c>
      <c r="AN4039">
        <v>1.00000002718366</v>
      </c>
    </row>
    <row r="4040" spans="1:40" x14ac:dyDescent="0.25">
      <c r="A4040" t="str">
        <f>"20190303154216567"</f>
        <v>20190303154216567</v>
      </c>
      <c r="B4040" t="str">
        <f>"1551598936564125"</f>
        <v>1551598936564125</v>
      </c>
      <c r="C4040" t="s">
        <v>40</v>
      </c>
      <c r="D4040">
        <v>5.9947790000000003</v>
      </c>
      <c r="E4040">
        <v>0.50863990000000003</v>
      </c>
      <c r="F4040" t="s">
        <v>42</v>
      </c>
      <c r="G4040">
        <v>-417.59980000000002</v>
      </c>
      <c r="H4040">
        <v>1.0526580000000001</v>
      </c>
      <c r="I4040">
        <v>215.34800000000001</v>
      </c>
      <c r="J4040">
        <v>-418.20650000000001</v>
      </c>
      <c r="K4040">
        <v>1.120528</v>
      </c>
      <c r="L4040">
        <v>215.3766</v>
      </c>
      <c r="M4040">
        <v>0.9999576</v>
      </c>
      <c r="N4040">
        <v>-9.0863890000000003E-3</v>
      </c>
      <c r="O4040">
        <v>-1.5836170000000001E-3</v>
      </c>
      <c r="P4040">
        <v>0.99739350000000004</v>
      </c>
      <c r="Q4040">
        <v>-7.1591929999999998E-2</v>
      </c>
      <c r="R4040">
        <v>-9.0035840000000002E-3</v>
      </c>
      <c r="S4040">
        <v>2.9906009999999998</v>
      </c>
      <c r="T4040">
        <v>-0.2289475</v>
      </c>
      <c r="U4040">
        <v>-9.6679689999999999E-2</v>
      </c>
      <c r="V4040">
        <v>7.4215139999999997E-3</v>
      </c>
      <c r="W4040">
        <v>-6.2526429999999994E-2</v>
      </c>
      <c r="X4040">
        <v>0.99801569999999995</v>
      </c>
      <c r="Y4040">
        <v>3.0631459999999999E-2</v>
      </c>
      <c r="Z4040">
        <v>-1.2032620000000001E-3</v>
      </c>
      <c r="AA4040">
        <v>0.99953000000000003</v>
      </c>
      <c r="AB4040">
        <v>29</v>
      </c>
      <c r="AC4040">
        <v>0.60669999999998903</v>
      </c>
      <c r="AD4040">
        <v>-6.7869999999999805E-2</v>
      </c>
      <c r="AE4040">
        <v>-2.8600000000011502E-2</v>
      </c>
      <c r="AF4040">
        <v>2.7298281842582501E-2</v>
      </c>
      <c r="AG4040">
        <v>-6.7869999999999805E-2</v>
      </c>
      <c r="AH4040">
        <v>0.59926179892966003</v>
      </c>
      <c r="AI4040">
        <v>96.454920691112804</v>
      </c>
      <c r="AJ4040">
        <v>87.391798012683495</v>
      </c>
      <c r="AK4040">
        <v>0.603710391452697</v>
      </c>
      <c r="AL4040">
        <v>93.584839046016597</v>
      </c>
      <c r="AM4040">
        <v>89.573940979007503</v>
      </c>
      <c r="AN4040">
        <v>0.99999998538254298</v>
      </c>
    </row>
    <row r="4041" spans="1:40" x14ac:dyDescent="0.25">
      <c r="A4041" t="str">
        <f>"20190303154216589"</f>
        <v>20190303154216589</v>
      </c>
      <c r="B4041" t="str">
        <f>"1551598936583644"</f>
        <v>1551598936583644</v>
      </c>
      <c r="C4041" t="s">
        <v>40</v>
      </c>
      <c r="D4041">
        <v>6.0322190000000004</v>
      </c>
      <c r="E4041">
        <v>0.5086714</v>
      </c>
      <c r="F4041" t="s">
        <v>51</v>
      </c>
      <c r="G4041">
        <v>-403.65600000000001</v>
      </c>
      <c r="H4041" s="1">
        <v>6.7207899999999901E-6</v>
      </c>
      <c r="I4041">
        <v>214.9075</v>
      </c>
      <c r="J4041">
        <v>-417.92020000000002</v>
      </c>
      <c r="K4041">
        <v>1.1205849999999999</v>
      </c>
      <c r="L4041">
        <v>215.37610000000001</v>
      </c>
      <c r="M4041">
        <v>0.99995319999999999</v>
      </c>
      <c r="N4041">
        <v>-9.5474070000000008E-3</v>
      </c>
      <c r="O4041">
        <v>-1.5831489999999901E-3</v>
      </c>
      <c r="P4041">
        <v>0.9973322</v>
      </c>
      <c r="Q4041">
        <v>-7.2432960000000005E-2</v>
      </c>
      <c r="R4041">
        <v>-9.051679E-3</v>
      </c>
      <c r="S4041">
        <v>2.9904169999999999</v>
      </c>
      <c r="T4041">
        <v>-0.2302902</v>
      </c>
      <c r="U4041">
        <v>-9.6405030000000003E-2</v>
      </c>
      <c r="V4041">
        <v>7.4704059999999997E-3</v>
      </c>
      <c r="W4041">
        <v>-6.2907900000000003E-2</v>
      </c>
      <c r="X4041">
        <v>0.99799139999999997</v>
      </c>
      <c r="Y4041">
        <v>3.054082E-2</v>
      </c>
      <c r="Z4041">
        <v>-1.2133859999999999E-3</v>
      </c>
      <c r="AA4041">
        <v>0.9995328</v>
      </c>
      <c r="AB4041">
        <v>29</v>
      </c>
      <c r="AC4041">
        <v>14.264200000000001</v>
      </c>
      <c r="AD4041">
        <v>-1.1205782792100001</v>
      </c>
      <c r="AE4041">
        <v>-0.46860000000000901</v>
      </c>
      <c r="AF4041">
        <v>0.44328326411387498</v>
      </c>
      <c r="AG4041">
        <v>-1.1205782792100001</v>
      </c>
      <c r="AH4041">
        <v>14.177522005219901</v>
      </c>
      <c r="AI4041">
        <v>94.517012252704802</v>
      </c>
      <c r="AJ4041">
        <v>88.209137778627905</v>
      </c>
      <c r="AK4041">
        <v>14.2286445573911</v>
      </c>
      <c r="AL4041">
        <v>93.606738645964995</v>
      </c>
      <c r="AM4041">
        <v>89.571123818282601</v>
      </c>
      <c r="AN4041">
        <v>1.0000000226610799</v>
      </c>
    </row>
    <row r="4042" spans="1:40" x14ac:dyDescent="0.25">
      <c r="A4042" t="str">
        <f>"20190303154216612"</f>
        <v>20190303154216612</v>
      </c>
      <c r="B4042" t="str">
        <f>"1551598936604140"</f>
        <v>1551598936604140</v>
      </c>
      <c r="C4042" t="s">
        <v>40</v>
      </c>
      <c r="D4042">
        <v>5.9582259999999998</v>
      </c>
      <c r="E4042">
        <v>0.50872070000000003</v>
      </c>
      <c r="F4042" t="s">
        <v>51</v>
      </c>
      <c r="G4042">
        <v>-403.53489999999999</v>
      </c>
      <c r="H4042" s="1">
        <v>6.7740550000000003E-6</v>
      </c>
      <c r="I4042">
        <v>214.90979999999999</v>
      </c>
      <c r="J4042">
        <v>-417.6121</v>
      </c>
      <c r="K4042">
        <v>1.1206290000000001</v>
      </c>
      <c r="L4042">
        <v>215.37569999999999</v>
      </c>
      <c r="M4042">
        <v>0.99994870000000002</v>
      </c>
      <c r="N4042">
        <v>-1.000729E-2</v>
      </c>
      <c r="O4042">
        <v>-1.5830200000000001E-3</v>
      </c>
      <c r="P4042">
        <v>0.99733729999999998</v>
      </c>
      <c r="Q4042">
        <v>-7.2384630000000005E-2</v>
      </c>
      <c r="R4042">
        <v>-8.8888490000000007E-3</v>
      </c>
      <c r="S4042">
        <v>2.9902950000000001</v>
      </c>
      <c r="T4042">
        <v>-0.2329357</v>
      </c>
      <c r="U4042">
        <v>-9.6939090000000006E-2</v>
      </c>
      <c r="V4042">
        <v>7.3073809999999999E-3</v>
      </c>
      <c r="W4042">
        <v>-6.2400520000000001E-2</v>
      </c>
      <c r="X4042">
        <v>0.99802449999999998</v>
      </c>
      <c r="Y4042">
        <v>3.071726E-2</v>
      </c>
      <c r="Z4042">
        <v>-1.241001E-3</v>
      </c>
      <c r="AA4042">
        <v>0.99952730000000001</v>
      </c>
      <c r="AB4042">
        <v>29</v>
      </c>
      <c r="AC4042">
        <v>14.077199999999999</v>
      </c>
      <c r="AD4042">
        <v>-1.1206222259450001</v>
      </c>
      <c r="AE4042">
        <v>-0.46590000000000398</v>
      </c>
      <c r="AF4042">
        <v>0.44082335650545801</v>
      </c>
      <c r="AG4042">
        <v>-1.1206222259450001</v>
      </c>
      <c r="AH4042">
        <v>13.9893658639304</v>
      </c>
      <c r="AI4042">
        <v>94.577653093303496</v>
      </c>
      <c r="AJ4042">
        <v>88.195131702239806</v>
      </c>
      <c r="AK4042">
        <v>14.041099553803599</v>
      </c>
      <c r="AL4042">
        <v>93.577610542574703</v>
      </c>
      <c r="AM4042">
        <v>89.580496662089004</v>
      </c>
      <c r="AN4042">
        <v>1.00000006265679</v>
      </c>
    </row>
    <row r="4043" spans="1:40" x14ac:dyDescent="0.25">
      <c r="A4043" t="str">
        <f>"20190303154216634"</f>
        <v>20190303154216634</v>
      </c>
      <c r="B4043" t="str">
        <f>"1551598936623660"</f>
        <v>1551598936623660</v>
      </c>
      <c r="C4043" t="s">
        <v>40</v>
      </c>
      <c r="D4043">
        <v>5.996448</v>
      </c>
      <c r="E4043">
        <v>0.50876129999999997</v>
      </c>
      <c r="F4043" t="s">
        <v>51</v>
      </c>
      <c r="G4043">
        <v>-403.21409999999997</v>
      </c>
      <c r="H4043" s="1">
        <v>6.9164049999999999E-6</v>
      </c>
      <c r="I4043">
        <v>214.9092</v>
      </c>
      <c r="J4043">
        <v>-417.3383</v>
      </c>
      <c r="K4043">
        <v>1.1206670000000001</v>
      </c>
      <c r="L4043">
        <v>215.37520000000001</v>
      </c>
      <c r="M4043">
        <v>0.99994479999999997</v>
      </c>
      <c r="N4043">
        <v>-1.038655E-2</v>
      </c>
      <c r="O4043">
        <v>-1.5826919999999999E-3</v>
      </c>
      <c r="P4043">
        <v>0.99732240000000005</v>
      </c>
      <c r="Q4043">
        <v>-7.2619169999999997E-2</v>
      </c>
      <c r="R4043">
        <v>-8.6166880000000008E-3</v>
      </c>
      <c r="S4043">
        <v>2.990265</v>
      </c>
      <c r="T4043">
        <v>-0.2327381</v>
      </c>
      <c r="U4043">
        <v>-9.6878049999999993E-2</v>
      </c>
      <c r="V4043">
        <v>7.0356730000000001E-3</v>
      </c>
      <c r="W4043">
        <v>-6.2256680000000002E-2</v>
      </c>
      <c r="X4043">
        <v>0.99803540000000002</v>
      </c>
      <c r="Y4043">
        <v>3.0697269999999999E-2</v>
      </c>
      <c r="Z4043">
        <v>-1.2456850000000001E-3</v>
      </c>
      <c r="AA4043">
        <v>0.99952790000000002</v>
      </c>
      <c r="AB4043">
        <v>29</v>
      </c>
      <c r="AC4043">
        <v>14.1242</v>
      </c>
      <c r="AD4043">
        <v>-1.120660083595</v>
      </c>
      <c r="AE4043">
        <v>-0.46600000000000802</v>
      </c>
      <c r="AF4043">
        <v>0.44087152790894302</v>
      </c>
      <c r="AG4043">
        <v>-1.120660083595</v>
      </c>
      <c r="AH4043">
        <v>14.036650298347199</v>
      </c>
      <c r="AI4043">
        <v>94.5624659755658</v>
      </c>
      <c r="AJ4043">
        <v>88.201011218747496</v>
      </c>
      <c r="AK4043">
        <v>14.088214873616</v>
      </c>
      <c r="AL4043">
        <v>93.569353189449203</v>
      </c>
      <c r="AM4043">
        <v>89.596098804270198</v>
      </c>
      <c r="AN4043">
        <v>1.00000002727617</v>
      </c>
    </row>
    <row r="4044" spans="1:40" x14ac:dyDescent="0.25">
      <c r="A4044" t="str">
        <f>"20190303154216656"</f>
        <v>20190303154216656</v>
      </c>
      <c r="B4044" t="str">
        <f>"1551598936644157"</f>
        <v>1551598936644157</v>
      </c>
      <c r="C4044" t="s">
        <v>40</v>
      </c>
      <c r="D4044">
        <v>5.99465</v>
      </c>
      <c r="E4044">
        <v>0.50876279999999996</v>
      </c>
      <c r="F4044" t="s">
        <v>51</v>
      </c>
      <c r="G4044">
        <v>-402.9973</v>
      </c>
      <c r="H4044" s="1">
        <v>7.0115039999999998E-6</v>
      </c>
      <c r="I4044">
        <v>214.91419999999999</v>
      </c>
      <c r="J4044">
        <v>-417.06139999999999</v>
      </c>
      <c r="K4044">
        <v>1.120698</v>
      </c>
      <c r="L4044">
        <v>215.37479999999999</v>
      </c>
      <c r="M4044">
        <v>0.99994099999999997</v>
      </c>
      <c r="N4044">
        <v>-1.0749409999999999E-2</v>
      </c>
      <c r="O4044">
        <v>-1.5827059999999999E-3</v>
      </c>
      <c r="P4044">
        <v>0.99731170000000002</v>
      </c>
      <c r="Q4044">
        <v>-7.2794289999999998E-2</v>
      </c>
      <c r="R4044">
        <v>-8.400154E-3</v>
      </c>
      <c r="S4044">
        <v>2.990265</v>
      </c>
      <c r="T4044">
        <v>-0.23367070000000001</v>
      </c>
      <c r="U4044">
        <v>-9.6130370000000007E-2</v>
      </c>
      <c r="V4044">
        <v>6.8192859999999999E-3</v>
      </c>
      <c r="W4044">
        <v>-6.2069699999999998E-2</v>
      </c>
      <c r="X4044">
        <v>0.99804850000000001</v>
      </c>
      <c r="Y4044">
        <v>3.0447209999999999E-2</v>
      </c>
      <c r="Z4044">
        <v>-1.245019E-3</v>
      </c>
      <c r="AA4044">
        <v>0.99953559999999997</v>
      </c>
      <c r="AB4044">
        <v>29</v>
      </c>
      <c r="AC4044">
        <v>14.0640999999999</v>
      </c>
      <c r="AD4044">
        <v>-1.1206909884959999</v>
      </c>
      <c r="AE4044">
        <v>-0.46059999999999901</v>
      </c>
      <c r="AF4044">
        <v>0.43557602228682102</v>
      </c>
      <c r="AG4044">
        <v>-1.1206909884959999</v>
      </c>
      <c r="AH4044">
        <v>13.9761631483498</v>
      </c>
      <c r="AI4044">
        <v>94.582288349210302</v>
      </c>
      <c r="AJ4044">
        <v>88.214918353229805</v>
      </c>
      <c r="AK4044">
        <v>14.027787106745601</v>
      </c>
      <c r="AL4044">
        <v>93.5586194362714</v>
      </c>
      <c r="AM4044">
        <v>89.608525811014303</v>
      </c>
      <c r="AN4044">
        <v>0.99999997933594398</v>
      </c>
    </row>
    <row r="4045" spans="1:40" x14ac:dyDescent="0.25">
      <c r="A4045" t="str">
        <f>"20190303154216678"</f>
        <v>20190303154216678</v>
      </c>
      <c r="B4045" t="str">
        <f>"1551598936673438"</f>
        <v>1551598936673438</v>
      </c>
      <c r="C4045" t="s">
        <v>40</v>
      </c>
      <c r="D4045">
        <v>5.9643660000000001</v>
      </c>
      <c r="E4045">
        <v>0.50876359999999998</v>
      </c>
      <c r="F4045" t="s">
        <v>42</v>
      </c>
      <c r="G4045">
        <v>-416.07799999999997</v>
      </c>
      <c r="H4045">
        <v>1.043553</v>
      </c>
      <c r="I4045">
        <v>215.34280000000001</v>
      </c>
      <c r="J4045">
        <v>-416.77690000000001</v>
      </c>
      <c r="K4045">
        <v>1.1207240000000001</v>
      </c>
      <c r="L4045">
        <v>215.37430000000001</v>
      </c>
      <c r="M4045">
        <v>0.99993730000000003</v>
      </c>
      <c r="N4045">
        <v>-1.109512E-2</v>
      </c>
      <c r="O4045">
        <v>-1.582689E-3</v>
      </c>
      <c r="P4045">
        <v>0.9973282</v>
      </c>
      <c r="Q4045">
        <v>-7.2564340000000005E-2</v>
      </c>
      <c r="R4045">
        <v>-8.4406989999999994E-3</v>
      </c>
      <c r="S4045">
        <v>2.990173</v>
      </c>
      <c r="T4045">
        <v>-0.23473469999999999</v>
      </c>
      <c r="U4045">
        <v>-9.5840449999999994E-2</v>
      </c>
      <c r="V4045">
        <v>6.8596669999999998E-3</v>
      </c>
      <c r="W4045">
        <v>-6.1494519999999997E-2</v>
      </c>
      <c r="X4045">
        <v>0.99808379999999997</v>
      </c>
      <c r="Y4045">
        <v>3.0350410000000001E-2</v>
      </c>
      <c r="Z4045">
        <v>-1.2513769999999999E-3</v>
      </c>
      <c r="AA4045">
        <v>0.9995385</v>
      </c>
      <c r="AB4045">
        <v>29</v>
      </c>
      <c r="AC4045">
        <v>0.69889999999997998</v>
      </c>
      <c r="AD4045">
        <v>-7.7170999999999795E-2</v>
      </c>
      <c r="AE4045">
        <v>-3.1499999999993998E-2</v>
      </c>
      <c r="AF4045">
        <v>3.0028384644257802E-2</v>
      </c>
      <c r="AG4045">
        <v>-7.7170999999999795E-2</v>
      </c>
      <c r="AH4045">
        <v>0.69054684073245998</v>
      </c>
      <c r="AI4045">
        <v>96.370573558567997</v>
      </c>
      <c r="AJ4045">
        <v>87.510065386817999</v>
      </c>
      <c r="AK4045">
        <v>0.69549407356995097</v>
      </c>
      <c r="AL4045">
        <v>93.5256010707363</v>
      </c>
      <c r="AM4045">
        <v>89.606221662181198</v>
      </c>
      <c r="AN4045">
        <v>0.99999995142190901</v>
      </c>
    </row>
    <row r="4046" spans="1:40" x14ac:dyDescent="0.25">
      <c r="A4046" t="str">
        <f>"20190303154216699"</f>
        <v>20190303154216699</v>
      </c>
      <c r="B4046" t="str">
        <f>"1551598936693933"</f>
        <v>1551598936693933</v>
      </c>
      <c r="C4046" t="s">
        <v>40</v>
      </c>
      <c r="D4046">
        <v>6.0033130000000003</v>
      </c>
      <c r="E4046">
        <v>0.50875909999999902</v>
      </c>
      <c r="F4046" t="s">
        <v>42</v>
      </c>
      <c r="G4046">
        <v>-415.82060000000001</v>
      </c>
      <c r="H4046">
        <v>1.0457809999999901</v>
      </c>
      <c r="I4046">
        <v>215.3432</v>
      </c>
      <c r="J4046">
        <v>-416.49950000000001</v>
      </c>
      <c r="K4046">
        <v>1.1207480000000001</v>
      </c>
      <c r="L4046">
        <v>215.37389999999999</v>
      </c>
      <c r="M4046">
        <v>0.99993390000000004</v>
      </c>
      <c r="N4046">
        <v>-1.140295E-2</v>
      </c>
      <c r="O4046">
        <v>-1.582516E-3</v>
      </c>
      <c r="P4046">
        <v>0.9973168</v>
      </c>
      <c r="Q4046">
        <v>-7.2740750000000007E-2</v>
      </c>
      <c r="R4046">
        <v>-8.2664580000000008E-3</v>
      </c>
      <c r="S4046">
        <v>2.9902039999999999</v>
      </c>
      <c r="T4046">
        <v>-0.23446130000000001</v>
      </c>
      <c r="U4046">
        <v>-9.5901490000000006E-2</v>
      </c>
      <c r="V4046">
        <v>6.6856709999999998E-3</v>
      </c>
      <c r="W4046">
        <v>-6.1363790000000001E-2</v>
      </c>
      <c r="X4046">
        <v>0.99809309999999996</v>
      </c>
      <c r="Y4046">
        <v>3.0370390000000001E-2</v>
      </c>
      <c r="Z4046">
        <v>-1.256205E-3</v>
      </c>
      <c r="AA4046">
        <v>0.99953789999999998</v>
      </c>
      <c r="AB4046">
        <v>29</v>
      </c>
      <c r="AC4046">
        <v>0.67889999999999795</v>
      </c>
      <c r="AD4046">
        <v>-7.4966999999999895E-2</v>
      </c>
      <c r="AE4046">
        <v>-3.0699999999995901E-2</v>
      </c>
      <c r="AF4046">
        <v>2.92693539969794E-2</v>
      </c>
      <c r="AG4046">
        <v>-7.4966999999999895E-2</v>
      </c>
      <c r="AH4046">
        <v>0.67078520313572099</v>
      </c>
      <c r="AI4046">
        <v>96.370905980706297</v>
      </c>
      <c r="AJ4046">
        <v>87.501514142661506</v>
      </c>
      <c r="AK4046">
        <v>0.67559568894290001</v>
      </c>
      <c r="AL4046">
        <v>93.518096362801899</v>
      </c>
      <c r="AM4046">
        <v>89.616213154400697</v>
      </c>
      <c r="AN4046">
        <v>1.0000000245937399</v>
      </c>
    </row>
    <row r="4047" spans="1:40" x14ac:dyDescent="0.25">
      <c r="A4047" t="str">
        <f>"20190303154216723"</f>
        <v>20190303154216723</v>
      </c>
      <c r="B4047" t="str">
        <f>"1551598936713456"</f>
        <v>1551598936713456</v>
      </c>
      <c r="C4047" t="s">
        <v>40</v>
      </c>
      <c r="D4047">
        <v>6.0103819999999999</v>
      </c>
      <c r="E4047">
        <v>0.50875509999999902</v>
      </c>
      <c r="F4047" t="s">
        <v>42</v>
      </c>
      <c r="G4047">
        <v>-415.56420000000003</v>
      </c>
      <c r="H4047">
        <v>1.047099</v>
      </c>
      <c r="I4047">
        <v>215.34379999999999</v>
      </c>
      <c r="J4047">
        <v>-416.19970000000001</v>
      </c>
      <c r="K4047">
        <v>1.120768</v>
      </c>
      <c r="L4047">
        <v>215.3734</v>
      </c>
      <c r="M4047">
        <v>0.99993030000000005</v>
      </c>
      <c r="N4047">
        <v>-1.1699630000000001E-2</v>
      </c>
      <c r="O4047">
        <v>-1.5820879999999999E-3</v>
      </c>
      <c r="P4047">
        <v>0.99729060000000003</v>
      </c>
      <c r="Q4047">
        <v>-7.3095830000000001E-2</v>
      </c>
      <c r="R4047">
        <v>-8.2726829999999994E-3</v>
      </c>
      <c r="S4047">
        <v>2.9900820000000001</v>
      </c>
      <c r="T4047">
        <v>-0.2355553</v>
      </c>
      <c r="U4047">
        <v>-9.5230099999999998E-2</v>
      </c>
      <c r="V4047">
        <v>6.6924910000000001E-3</v>
      </c>
      <c r="W4047">
        <v>-6.1423030000000003E-2</v>
      </c>
      <c r="X4047">
        <v>0.99808940000000002</v>
      </c>
      <c r="Y4047">
        <v>3.0147409999999999E-2</v>
      </c>
      <c r="Z4047">
        <v>-1.2561460000000001E-3</v>
      </c>
      <c r="AA4047">
        <v>0.99954469999999995</v>
      </c>
      <c r="AB4047">
        <v>29</v>
      </c>
      <c r="AC4047">
        <v>0.63549999999997897</v>
      </c>
      <c r="AD4047">
        <v>-7.3668999999999901E-2</v>
      </c>
      <c r="AE4047">
        <v>-2.96000000000162E-2</v>
      </c>
      <c r="AF4047">
        <v>2.82161263941593E-2</v>
      </c>
      <c r="AG4047">
        <v>-7.3668999999999901E-2</v>
      </c>
      <c r="AH4047">
        <v>0.627136743868136</v>
      </c>
      <c r="AI4047">
        <v>96.693053131417301</v>
      </c>
      <c r="AJ4047">
        <v>87.423886520298595</v>
      </c>
      <c r="AK4047">
        <v>0.63207892454915704</v>
      </c>
      <c r="AL4047">
        <v>93.521497016038495</v>
      </c>
      <c r="AM4047">
        <v>89.615820244071301</v>
      </c>
      <c r="AN4047">
        <v>1.0000000142212599</v>
      </c>
    </row>
    <row r="4048" spans="1:40" x14ac:dyDescent="0.25">
      <c r="A4048" t="str">
        <f>"20190303154216745"</f>
        <v>20190303154216745</v>
      </c>
      <c r="B4048" t="str">
        <f>"1551598936733953"</f>
        <v>1551598936733953</v>
      </c>
      <c r="C4048" t="s">
        <v>40</v>
      </c>
      <c r="D4048">
        <v>6.0032969999999999</v>
      </c>
      <c r="E4048">
        <v>0.50872489999999904</v>
      </c>
      <c r="F4048" t="s">
        <v>42</v>
      </c>
      <c r="G4048">
        <v>-415.3066</v>
      </c>
      <c r="H4048">
        <v>1.0499969999999901</v>
      </c>
      <c r="I4048">
        <v>215.34469999999999</v>
      </c>
      <c r="J4048">
        <v>-415.92160000000001</v>
      </c>
      <c r="K4048">
        <v>1.120781</v>
      </c>
      <c r="L4048">
        <v>215.37299999999999</v>
      </c>
      <c r="M4048">
        <v>0.99992749999999997</v>
      </c>
      <c r="N4048">
        <v>-1.1943560000000001E-2</v>
      </c>
      <c r="O4048">
        <v>-1.581982E-3</v>
      </c>
      <c r="P4048">
        <v>0.99727739999999998</v>
      </c>
      <c r="Q4048">
        <v>-7.3293090000000005E-2</v>
      </c>
      <c r="R4048">
        <v>-8.1231649999999999E-3</v>
      </c>
      <c r="S4048">
        <v>2.9899900000000001</v>
      </c>
      <c r="T4048">
        <v>-0.23705029999999999</v>
      </c>
      <c r="U4048">
        <v>-9.5108029999999996E-2</v>
      </c>
      <c r="V4048">
        <v>6.5429650000000004E-3</v>
      </c>
      <c r="W4048">
        <v>-6.137695E-2</v>
      </c>
      <c r="X4048">
        <v>0.99809320000000001</v>
      </c>
      <c r="Y4048">
        <v>3.0106330000000001E-2</v>
      </c>
      <c r="Z4048">
        <v>-1.2651019999999999E-3</v>
      </c>
      <c r="AA4048">
        <v>0.99954589999999999</v>
      </c>
      <c r="AB4048">
        <v>29</v>
      </c>
      <c r="AC4048">
        <v>0.61500000000000898</v>
      </c>
      <c r="AD4048">
        <v>-7.0784000000000097E-2</v>
      </c>
      <c r="AE4048">
        <v>-2.8300000000001501E-2</v>
      </c>
      <c r="AF4048">
        <v>2.6970451691768701E-2</v>
      </c>
      <c r="AG4048">
        <v>-7.0784000000000097E-2</v>
      </c>
      <c r="AH4048">
        <v>0.60701975909126105</v>
      </c>
      <c r="AI4048">
        <v>96.644671691768394</v>
      </c>
      <c r="AJ4048">
        <v>87.455968483825899</v>
      </c>
      <c r="AK4048">
        <v>0.61172769092764701</v>
      </c>
      <c r="AL4048">
        <v>93.518851927649294</v>
      </c>
      <c r="AM4048">
        <v>89.624404905240496</v>
      </c>
      <c r="AN4048">
        <v>0.99999998813426605</v>
      </c>
    </row>
    <row r="4049" spans="1:40" x14ac:dyDescent="0.25">
      <c r="A4049" t="str">
        <f>"20190303154216767"</f>
        <v>20190303154216767</v>
      </c>
      <c r="B4049" t="str">
        <f>"1551598936764205"</f>
        <v>1551598936764205</v>
      </c>
      <c r="C4049" t="s">
        <v>40</v>
      </c>
      <c r="D4049">
        <v>6.0295019999999999</v>
      </c>
      <c r="E4049">
        <v>0.50867269999999998</v>
      </c>
      <c r="F4049" t="s">
        <v>51</v>
      </c>
      <c r="G4049">
        <v>-401.84930000000003</v>
      </c>
      <c r="H4049" s="1">
        <v>7.517767E-6</v>
      </c>
      <c r="I4049">
        <v>214.928</v>
      </c>
      <c r="J4049">
        <v>-415.63819999999998</v>
      </c>
      <c r="K4049">
        <v>1.120798</v>
      </c>
      <c r="L4049">
        <v>215.3725</v>
      </c>
      <c r="M4049">
        <v>0.99992479999999995</v>
      </c>
      <c r="N4049">
        <v>-1.216266E-2</v>
      </c>
      <c r="O4049">
        <v>-1.581994E-3</v>
      </c>
      <c r="P4049">
        <v>0.99725459999999999</v>
      </c>
      <c r="Q4049">
        <v>-7.3562530000000001E-2</v>
      </c>
      <c r="R4049">
        <v>-8.4572290000000001E-3</v>
      </c>
      <c r="S4049">
        <v>2.9899290000000001</v>
      </c>
      <c r="T4049">
        <v>-0.23813010000000001</v>
      </c>
      <c r="U4049">
        <v>-9.4543459999999996E-2</v>
      </c>
      <c r="V4049">
        <v>6.8771020000000004E-3</v>
      </c>
      <c r="W4049">
        <v>-6.1427950000000002E-2</v>
      </c>
      <c r="X4049">
        <v>0.99808779999999997</v>
      </c>
      <c r="Y4049">
        <v>2.9917920000000001E-2</v>
      </c>
      <c r="Z4049">
        <v>-1.264984E-3</v>
      </c>
      <c r="AA4049">
        <v>0.99955150000000004</v>
      </c>
      <c r="AB4049">
        <v>28</v>
      </c>
      <c r="AC4049">
        <v>13.7888999999999</v>
      </c>
      <c r="AD4049">
        <v>-1.1207904822329999</v>
      </c>
      <c r="AE4049">
        <v>-0.444500000000005</v>
      </c>
      <c r="AF4049">
        <v>0.41991248532423697</v>
      </c>
      <c r="AG4049">
        <v>-1.1207904822329999</v>
      </c>
      <c r="AH4049">
        <v>13.699172572088299</v>
      </c>
      <c r="AI4049">
        <v>94.675020349200196</v>
      </c>
      <c r="AJ4049">
        <v>88.244296712699906</v>
      </c>
      <c r="AK4049">
        <v>13.75135727702</v>
      </c>
      <c r="AL4049">
        <v>93.521779593324496</v>
      </c>
      <c r="AM4049">
        <v>89.605222421885699</v>
      </c>
      <c r="AN4049">
        <v>0.99999997204098001</v>
      </c>
    </row>
    <row r="4050" spans="1:40" x14ac:dyDescent="0.25">
      <c r="A4050" t="str">
        <f>"20190303154216789"</f>
        <v>20190303154216789</v>
      </c>
      <c r="B4050" t="str">
        <f>"1551598936783725"</f>
        <v>1551598936783725</v>
      </c>
      <c r="C4050" t="s">
        <v>40</v>
      </c>
      <c r="D4050">
        <v>6.0205640000000002</v>
      </c>
      <c r="E4050">
        <v>0.50869520000000001</v>
      </c>
      <c r="F4050" t="s">
        <v>51</v>
      </c>
      <c r="G4050">
        <v>-401.66070000000002</v>
      </c>
      <c r="H4050" s="1">
        <v>7.6014639999999998E-6</v>
      </c>
      <c r="I4050">
        <v>214.92760000000001</v>
      </c>
      <c r="J4050">
        <v>-415.35840000000002</v>
      </c>
      <c r="K4050">
        <v>1.1208119999999999</v>
      </c>
      <c r="L4050">
        <v>215.37209999999999</v>
      </c>
      <c r="M4050">
        <v>0.99992250000000005</v>
      </c>
      <c r="N4050">
        <v>-1.235006E-2</v>
      </c>
      <c r="O4050">
        <v>-1.5818329999999999E-3</v>
      </c>
      <c r="P4050">
        <v>0.99725909999999995</v>
      </c>
      <c r="Q4050">
        <v>-7.3478130000000003E-2</v>
      </c>
      <c r="R4050">
        <v>-8.6990419999999902E-3</v>
      </c>
      <c r="S4050">
        <v>2.9897770000000001</v>
      </c>
      <c r="T4050">
        <v>-0.23973659999999999</v>
      </c>
      <c r="U4050">
        <v>-9.5169069999999995E-2</v>
      </c>
      <c r="V4050">
        <v>7.118943E-3</v>
      </c>
      <c r="W4050">
        <v>-6.1156420000000003E-2</v>
      </c>
      <c r="X4050">
        <v>0.99810279999999996</v>
      </c>
      <c r="Y4050">
        <v>3.0126279999999998E-2</v>
      </c>
      <c r="Z4050">
        <v>-1.2849350000000001E-3</v>
      </c>
      <c r="AA4050">
        <v>0.99954529999999997</v>
      </c>
      <c r="AB4050">
        <v>28</v>
      </c>
      <c r="AC4050">
        <v>13.6976999999999</v>
      </c>
      <c r="AD4050">
        <v>-1.1208043985359999</v>
      </c>
      <c r="AE4050">
        <v>-0.44449999999997603</v>
      </c>
      <c r="AF4050">
        <v>0.420021145129443</v>
      </c>
      <c r="AG4050">
        <v>-1.1208043985359999</v>
      </c>
      <c r="AH4050">
        <v>13.607377593037899</v>
      </c>
      <c r="AI4050">
        <v>94.706443953137693</v>
      </c>
      <c r="AJ4050">
        <v>88.232003184532005</v>
      </c>
      <c r="AK4050">
        <v>13.6599174676</v>
      </c>
      <c r="AL4050">
        <v>93.506192690187007</v>
      </c>
      <c r="AM4050">
        <v>89.591346230037402</v>
      </c>
      <c r="AN4050">
        <v>0.99999999321224597</v>
      </c>
    </row>
    <row r="4051" spans="1:40" x14ac:dyDescent="0.25">
      <c r="A4051" t="str">
        <f>"20190303154216814"</f>
        <v>20190303154216814</v>
      </c>
      <c r="B4051" t="str">
        <f>"1551598936804221"</f>
        <v>1551598936804221</v>
      </c>
      <c r="C4051" t="s">
        <v>40</v>
      </c>
      <c r="D4051">
        <v>6.0180559999999996</v>
      </c>
      <c r="E4051">
        <v>0.50874399999999997</v>
      </c>
      <c r="F4051" t="s">
        <v>51</v>
      </c>
      <c r="G4051">
        <v>-401.38630000000001</v>
      </c>
      <c r="H4051" s="1">
        <v>7.7240150000000003E-6</v>
      </c>
      <c r="I4051">
        <v>214.92349999999999</v>
      </c>
      <c r="J4051">
        <v>-415.04559999999998</v>
      </c>
      <c r="K4051">
        <v>1.120822</v>
      </c>
      <c r="L4051">
        <v>215.3716</v>
      </c>
      <c r="M4051">
        <v>0.99992040000000004</v>
      </c>
      <c r="N4051">
        <v>-1.252707E-2</v>
      </c>
      <c r="O4051">
        <v>-1.5818620000000001E-3</v>
      </c>
      <c r="P4051">
        <v>0.99723090000000003</v>
      </c>
      <c r="Q4051">
        <v>-7.3801749999999999E-2</v>
      </c>
      <c r="R4051">
        <v>-9.1697830000000008E-3</v>
      </c>
      <c r="S4051">
        <v>2.989716</v>
      </c>
      <c r="T4051">
        <v>-0.23982780000000001</v>
      </c>
      <c r="U4051">
        <v>-9.5993040000000002E-2</v>
      </c>
      <c r="V4051">
        <v>7.5897839999999996E-3</v>
      </c>
      <c r="W4051">
        <v>-6.1303699999999899E-2</v>
      </c>
      <c r="X4051">
        <v>0.99809029999999999</v>
      </c>
      <c r="Y4051">
        <v>3.0400759999999999E-2</v>
      </c>
      <c r="Z4051">
        <v>-1.3010249999999999E-3</v>
      </c>
      <c r="AA4051">
        <v>0.99953689999999995</v>
      </c>
      <c r="AB4051">
        <v>28</v>
      </c>
      <c r="AC4051">
        <v>13.659299999999901</v>
      </c>
      <c r="AD4051">
        <v>-1.1208142759849999</v>
      </c>
      <c r="AE4051">
        <v>-0.44810000000000999</v>
      </c>
      <c r="AF4051">
        <v>0.423641296361771</v>
      </c>
      <c r="AG4051">
        <v>-1.1208142759849999</v>
      </c>
      <c r="AH4051">
        <v>13.5687313616999</v>
      </c>
      <c r="AI4051">
        <v>94.719778010358795</v>
      </c>
      <c r="AJ4051">
        <v>88.211699003790997</v>
      </c>
      <c r="AK4051">
        <v>13.6215332233641</v>
      </c>
      <c r="AL4051">
        <v>93.5146470599868</v>
      </c>
      <c r="AM4051">
        <v>89.564313761127295</v>
      </c>
      <c r="AN4051">
        <v>0.99999999770447301</v>
      </c>
    </row>
    <row r="4052" spans="1:40" x14ac:dyDescent="0.25">
      <c r="A4052" t="str">
        <f>"20190303154216836"</f>
        <v>20190303154216836</v>
      </c>
      <c r="B4052" t="str">
        <f>"1551598936823743"</f>
        <v>1551598936823743</v>
      </c>
      <c r="C4052" t="s">
        <v>40</v>
      </c>
      <c r="D4052">
        <v>5.9923780000000004</v>
      </c>
      <c r="E4052">
        <v>0.50878939999999995</v>
      </c>
      <c r="F4052" t="s">
        <v>51</v>
      </c>
      <c r="G4052">
        <v>-401.15499999999997</v>
      </c>
      <c r="H4052" s="1">
        <v>7.8280610000000005E-6</v>
      </c>
      <c r="I4052">
        <v>214.91640000000001</v>
      </c>
      <c r="J4052">
        <v>-414.7688</v>
      </c>
      <c r="K4052">
        <v>1.1208309999999999</v>
      </c>
      <c r="L4052">
        <v>215.37119999999999</v>
      </c>
      <c r="M4052">
        <v>0.99991859999999999</v>
      </c>
      <c r="N4052">
        <v>-1.265764E-2</v>
      </c>
      <c r="O4052">
        <v>-1.58149299999999E-3</v>
      </c>
      <c r="P4052">
        <v>0.9972048</v>
      </c>
      <c r="Q4052">
        <v>-7.4080950000000007E-2</v>
      </c>
      <c r="R4052">
        <v>-9.740271E-3</v>
      </c>
      <c r="S4052">
        <v>2.989563</v>
      </c>
      <c r="T4052">
        <v>-0.24122450000000001</v>
      </c>
      <c r="U4052">
        <v>-9.7976679999999997E-2</v>
      </c>
      <c r="V4052">
        <v>8.1605400000000008E-3</v>
      </c>
      <c r="W4052">
        <v>-6.1452890000000003E-2</v>
      </c>
      <c r="X4052">
        <v>0.99807659999999998</v>
      </c>
      <c r="Y4052">
        <v>3.1061430000000001E-2</v>
      </c>
      <c r="Z4052">
        <v>-1.3404199999999999E-3</v>
      </c>
      <c r="AA4052">
        <v>0.99951659999999998</v>
      </c>
      <c r="AB4052">
        <v>28</v>
      </c>
      <c r="AC4052">
        <v>13.613799999999999</v>
      </c>
      <c r="AD4052">
        <v>-1.1208231719389901</v>
      </c>
      <c r="AE4052">
        <v>-0.454799999999977</v>
      </c>
      <c r="AF4052">
        <v>0.43035379647030197</v>
      </c>
      <c r="AG4052">
        <v>-1.1208231719389901</v>
      </c>
      <c r="AH4052">
        <v>13.522943034754499</v>
      </c>
      <c r="AI4052">
        <v>94.735634522850205</v>
      </c>
      <c r="AJ4052">
        <v>88.177235742705193</v>
      </c>
      <c r="AK4052">
        <v>13.576134843692</v>
      </c>
      <c r="AL4052">
        <v>93.523211241660704</v>
      </c>
      <c r="AM4052">
        <v>89.531544891581603</v>
      </c>
      <c r="AN4052">
        <v>0.99999997578500099</v>
      </c>
    </row>
    <row r="4053" spans="1:40" x14ac:dyDescent="0.25">
      <c r="A4053" t="str">
        <f>"20190303154216858"</f>
        <v>20190303154216858</v>
      </c>
      <c r="B4053" t="str">
        <f>"1551598936853997"</f>
        <v>1551598936853997</v>
      </c>
      <c r="C4053" t="s">
        <v>40</v>
      </c>
      <c r="D4053">
        <v>5.8957350000000002</v>
      </c>
      <c r="E4053">
        <v>0.50885959999999997</v>
      </c>
      <c r="F4053" t="s">
        <v>42</v>
      </c>
      <c r="G4053">
        <v>-413.79059999999998</v>
      </c>
      <c r="H4053">
        <v>1.0415810000000001</v>
      </c>
      <c r="I4053">
        <v>215.3382</v>
      </c>
      <c r="J4053">
        <v>-414.49160000000001</v>
      </c>
      <c r="K4053">
        <v>1.1208400000000001</v>
      </c>
      <c r="L4053">
        <v>215.3707</v>
      </c>
      <c r="M4053">
        <v>0.99991730000000001</v>
      </c>
      <c r="N4053">
        <v>-1.2764030000000001E-2</v>
      </c>
      <c r="O4053">
        <v>-1.581336E-3</v>
      </c>
      <c r="P4053">
        <v>0.9972162</v>
      </c>
      <c r="Q4053">
        <v>-7.3913439999999997E-2</v>
      </c>
      <c r="R4053">
        <v>-9.8352879999999993E-3</v>
      </c>
      <c r="S4053">
        <v>2.9894409999999998</v>
      </c>
      <c r="T4053">
        <v>-0.24229239999999999</v>
      </c>
      <c r="U4053">
        <v>-9.996033E-2</v>
      </c>
      <c r="V4053">
        <v>8.2558719999999992E-3</v>
      </c>
      <c r="W4053">
        <v>-6.1179070000000002E-2</v>
      </c>
      <c r="X4053">
        <v>0.99809270000000005</v>
      </c>
      <c r="Y4053">
        <v>3.1721850000000003E-2</v>
      </c>
      <c r="Z4053">
        <v>-1.3781869999999999E-3</v>
      </c>
      <c r="AA4053">
        <v>0.99949580000000005</v>
      </c>
      <c r="AB4053">
        <v>28</v>
      </c>
      <c r="AC4053">
        <v>0.70100000000002105</v>
      </c>
      <c r="AD4053">
        <v>-7.9259000000000093E-2</v>
      </c>
      <c r="AE4053">
        <v>-3.2499999999998801E-2</v>
      </c>
      <c r="AF4053">
        <v>3.0995955256180801E-2</v>
      </c>
      <c r="AG4053">
        <v>-7.9259000000000093E-2</v>
      </c>
      <c r="AH4053">
        <v>0.69222027189226298</v>
      </c>
      <c r="AI4053">
        <v>96.525420679091894</v>
      </c>
      <c r="AJ4053">
        <v>87.436145720294107</v>
      </c>
      <c r="AK4053">
        <v>0.69743217816633696</v>
      </c>
      <c r="AL4053">
        <v>93.507492717219606</v>
      </c>
      <c r="AM4053">
        <v>89.526080258821693</v>
      </c>
      <c r="AN4053">
        <v>1.00000003791091</v>
      </c>
    </row>
    <row r="4054" spans="1:40" x14ac:dyDescent="0.25">
      <c r="A4054" t="str">
        <f>"20190303154216880"</f>
        <v>20190303154216880</v>
      </c>
      <c r="B4054" t="str">
        <f>"1551598936873517"</f>
        <v>1551598936873517</v>
      </c>
      <c r="C4054" t="s">
        <v>40</v>
      </c>
      <c r="D4054">
        <v>5.9549370000000001</v>
      </c>
      <c r="E4054">
        <v>0.491006</v>
      </c>
      <c r="F4054" t="s">
        <v>42</v>
      </c>
      <c r="G4054">
        <v>-413.53539999999998</v>
      </c>
      <c r="H4054">
        <v>1.043782</v>
      </c>
      <c r="I4054">
        <v>215.3383</v>
      </c>
      <c r="J4054">
        <v>-414.20920000000001</v>
      </c>
      <c r="K4054">
        <v>1.120846</v>
      </c>
      <c r="L4054">
        <v>215.37029999999999</v>
      </c>
      <c r="M4054">
        <v>0.99991609999999997</v>
      </c>
      <c r="N4054">
        <v>-1.285213E-2</v>
      </c>
      <c r="O4054">
        <v>-1.5814239999999999E-3</v>
      </c>
      <c r="P4054">
        <v>0.99720600000000004</v>
      </c>
      <c r="Q4054">
        <v>-7.4040679999999998E-2</v>
      </c>
      <c r="R4054">
        <v>-9.9113310000000007E-3</v>
      </c>
      <c r="S4054">
        <v>2.9895019999999999</v>
      </c>
      <c r="T4054">
        <v>-0.24098459999999999</v>
      </c>
      <c r="U4054">
        <v>-0.1006775</v>
      </c>
      <c r="V4054">
        <v>8.3316729999999995E-3</v>
      </c>
      <c r="W4054">
        <v>-6.121849E-2</v>
      </c>
      <c r="X4054">
        <v>0.99808960000000002</v>
      </c>
      <c r="Y4054">
        <v>3.1960710000000003E-2</v>
      </c>
      <c r="Z4054">
        <v>-1.384623E-3</v>
      </c>
      <c r="AA4054">
        <v>0.99948820000000005</v>
      </c>
      <c r="AB4054">
        <v>28</v>
      </c>
      <c r="AC4054">
        <v>0.67380000000002804</v>
      </c>
      <c r="AD4054">
        <v>-7.7063999999999994E-2</v>
      </c>
      <c r="AE4054">
        <v>-3.1999999999982202E-2</v>
      </c>
      <c r="AF4054">
        <v>3.0535768791909501E-2</v>
      </c>
      <c r="AG4054">
        <v>-7.7063999999999994E-2</v>
      </c>
      <c r="AH4054">
        <v>0.66516827895935204</v>
      </c>
      <c r="AI4054">
        <v>96.601727912339399</v>
      </c>
      <c r="AJ4054">
        <v>87.371577620003507</v>
      </c>
      <c r="AK4054">
        <v>0.67031345846958701</v>
      </c>
      <c r="AL4054">
        <v>93.509755744311803</v>
      </c>
      <c r="AM4054">
        <v>89.521727697092601</v>
      </c>
      <c r="AN4054">
        <v>0.99999998496050901</v>
      </c>
    </row>
    <row r="4055" spans="1:40" x14ac:dyDescent="0.25">
      <c r="A4055" t="str">
        <f>"20190303154216901"</f>
        <v>20190303154216901</v>
      </c>
      <c r="B4055" t="str">
        <f>"1551598936894013"</f>
        <v>1551598936894013</v>
      </c>
      <c r="C4055" t="s">
        <v>40</v>
      </c>
      <c r="D4055">
        <v>5.9934349999999998</v>
      </c>
      <c r="E4055">
        <v>0.4903344</v>
      </c>
      <c r="F4055" t="s">
        <v>50</v>
      </c>
      <c r="G4055">
        <v>-399.93860000000001</v>
      </c>
      <c r="H4055" s="1">
        <v>3.7520170000000001E-6</v>
      </c>
      <c r="I4055">
        <v>215.56870000000001</v>
      </c>
      <c r="J4055">
        <v>-413.94060000000002</v>
      </c>
      <c r="K4055">
        <v>1.120852</v>
      </c>
      <c r="L4055">
        <v>215.3699</v>
      </c>
      <c r="M4055">
        <v>0.99991529999999995</v>
      </c>
      <c r="N4055">
        <v>-1.2920879999999999E-2</v>
      </c>
      <c r="O4055">
        <v>-1.5811530000000001E-3</v>
      </c>
      <c r="P4055">
        <v>0.99722370000000005</v>
      </c>
      <c r="Q4055">
        <v>-7.3856580000000005E-2</v>
      </c>
      <c r="R4055">
        <v>-9.5029190000000003E-3</v>
      </c>
      <c r="S4055">
        <v>2.9913639999999999</v>
      </c>
      <c r="T4055">
        <v>-0.23494770000000001</v>
      </c>
      <c r="U4055">
        <v>4.1595460000000001E-2</v>
      </c>
      <c r="V4055">
        <v>7.9234279999999997E-3</v>
      </c>
      <c r="W4055">
        <v>-6.096555E-2</v>
      </c>
      <c r="X4055">
        <v>0.99810840000000001</v>
      </c>
      <c r="Y4055">
        <v>-1.5426219999999999E-2</v>
      </c>
      <c r="Z4055">
        <v>8.0827690000000001E-4</v>
      </c>
      <c r="AA4055">
        <v>0.99988069999999896</v>
      </c>
      <c r="AB4055">
        <v>28</v>
      </c>
      <c r="AC4055">
        <v>14.002000000000001</v>
      </c>
      <c r="AD4055">
        <v>-1.120848247983</v>
      </c>
      <c r="AE4055">
        <v>0.198800000000005</v>
      </c>
      <c r="AF4055">
        <v>-0.219534439468134</v>
      </c>
      <c r="AG4055">
        <v>-1.120848247983</v>
      </c>
      <c r="AH4055">
        <v>13.9125364194065</v>
      </c>
      <c r="AI4055">
        <v>94.605452802455304</v>
      </c>
      <c r="AJ4055">
        <v>90.904030194433403</v>
      </c>
      <c r="AK4055">
        <v>13.959339733183301</v>
      </c>
      <c r="AL4055">
        <v>93.495236251483405</v>
      </c>
      <c r="AM4055">
        <v>89.5451701963255</v>
      </c>
      <c r="AN4055">
        <v>0.999999978574316</v>
      </c>
    </row>
    <row r="4056" spans="1:40" x14ac:dyDescent="0.25">
      <c r="A4056" t="str">
        <f>"20190303154216925"</f>
        <v>20190303154216925</v>
      </c>
      <c r="B4056" t="str">
        <f>"1551598936913533"</f>
        <v>1551598936913533</v>
      </c>
      <c r="C4056" t="s">
        <v>40</v>
      </c>
      <c r="D4056">
        <v>5.9263579999999996</v>
      </c>
      <c r="E4056">
        <v>0.48918790000000001</v>
      </c>
      <c r="F4056" t="s">
        <v>50</v>
      </c>
      <c r="G4056">
        <v>-398.34199999999998</v>
      </c>
      <c r="H4056" s="1">
        <v>2.9024139999999999E-6</v>
      </c>
      <c r="I4056">
        <v>215.62459999999999</v>
      </c>
      <c r="J4056">
        <v>-413.64030000000002</v>
      </c>
      <c r="K4056">
        <v>1.1208560000000001</v>
      </c>
      <c r="L4056">
        <v>215.36940000000001</v>
      </c>
      <c r="M4056">
        <v>0.99991450000000004</v>
      </c>
      <c r="N4056">
        <v>-1.2982809999999999E-2</v>
      </c>
      <c r="O4056">
        <v>-1.5810780000000001E-3</v>
      </c>
      <c r="P4056">
        <v>0.99725059999999999</v>
      </c>
      <c r="Q4056">
        <v>-7.3605149999999994E-2</v>
      </c>
      <c r="R4056">
        <v>-8.5871490000000005E-3</v>
      </c>
      <c r="S4056">
        <v>2.9928590000000002</v>
      </c>
      <c r="T4056">
        <v>-0.21505440000000001</v>
      </c>
      <c r="U4056">
        <v>4.8873899999999998E-2</v>
      </c>
      <c r="V4056">
        <v>7.0079089999999997E-3</v>
      </c>
      <c r="W4056">
        <v>-6.0651950000000003E-2</v>
      </c>
      <c r="X4056">
        <v>0.99813439999999998</v>
      </c>
      <c r="Y4056">
        <v>-1.7851889999999999E-2</v>
      </c>
      <c r="Z4056">
        <v>8.4953699999999895E-4</v>
      </c>
      <c r="AA4056">
        <v>0.99984030000000002</v>
      </c>
      <c r="AB4056">
        <v>28</v>
      </c>
      <c r="AC4056">
        <v>15.298299999999999</v>
      </c>
      <c r="AD4056">
        <v>-1.1208530975859901</v>
      </c>
      <c r="AE4056">
        <v>0.255199999999973</v>
      </c>
      <c r="AF4056">
        <v>-0.277898187084196</v>
      </c>
      <c r="AG4056">
        <v>-1.1208530975859901</v>
      </c>
      <c r="AH4056">
        <v>15.216219681085001</v>
      </c>
      <c r="AI4056">
        <v>94.212197659053999</v>
      </c>
      <c r="AJ4056">
        <v>91.046292945938404</v>
      </c>
      <c r="AK4056">
        <v>15.259976423697101</v>
      </c>
      <c r="AL4056">
        <v>93.477234819922302</v>
      </c>
      <c r="AM4056">
        <v>89.597732518320399</v>
      </c>
      <c r="AN4056">
        <v>1.00000002514535</v>
      </c>
    </row>
    <row r="4057" spans="1:40" x14ac:dyDescent="0.25">
      <c r="A4057" t="str">
        <f>"20190303154216947"</f>
        <v>20190303154216947</v>
      </c>
      <c r="B4057" t="str">
        <f>"1551598936943789"</f>
        <v>1551598936943789</v>
      </c>
      <c r="C4057" t="s">
        <v>40</v>
      </c>
      <c r="D4057">
        <v>5.9113129999999998</v>
      </c>
      <c r="E4057">
        <v>0.48899480000000001</v>
      </c>
      <c r="F4057" t="s">
        <v>50</v>
      </c>
      <c r="G4057">
        <v>-397.92970000000003</v>
      </c>
      <c r="H4057" s="1">
        <v>2.683023E-6</v>
      </c>
      <c r="I4057">
        <v>215.68809999999999</v>
      </c>
      <c r="J4057">
        <v>-413.36110000000002</v>
      </c>
      <c r="K4057">
        <v>1.120857</v>
      </c>
      <c r="L4057">
        <v>215.369</v>
      </c>
      <c r="M4057">
        <v>0.99991399999999997</v>
      </c>
      <c r="N4057">
        <v>-1.3026019999999999E-2</v>
      </c>
      <c r="O4057">
        <v>-1.580882E-3</v>
      </c>
      <c r="P4057">
        <v>0.99722699999999997</v>
      </c>
      <c r="Q4057">
        <v>-7.3997820000000006E-2</v>
      </c>
      <c r="R4057">
        <v>-7.9249799999999999E-3</v>
      </c>
      <c r="S4057">
        <v>2.9929809999999999</v>
      </c>
      <c r="T4057">
        <v>-0.21353159999999999</v>
      </c>
      <c r="U4057">
        <v>6.071472E-2</v>
      </c>
      <c r="V4057">
        <v>6.3460919999999898E-3</v>
      </c>
      <c r="W4057">
        <v>-6.100175E-2</v>
      </c>
      <c r="X4057">
        <v>0.99811749999999999</v>
      </c>
      <c r="Y4057">
        <v>-2.1794000000000001E-2</v>
      </c>
      <c r="Z4057">
        <v>1.010611E-3</v>
      </c>
      <c r="AA4057">
        <v>0.99976200000000004</v>
      </c>
      <c r="AB4057">
        <v>28</v>
      </c>
      <c r="AC4057">
        <v>15.431399999999901</v>
      </c>
      <c r="AD4057">
        <v>-1.120854316977</v>
      </c>
      <c r="AE4057">
        <v>0.31909999999996302</v>
      </c>
      <c r="AF4057">
        <v>-0.34169495033064401</v>
      </c>
      <c r="AG4057">
        <v>-1.120854316977</v>
      </c>
      <c r="AH4057">
        <v>15.3499277964209</v>
      </c>
      <c r="AI4057">
        <v>94.175304652219694</v>
      </c>
      <c r="AJ4057">
        <v>91.275214191290502</v>
      </c>
      <c r="AK4057">
        <v>15.3945884386139</v>
      </c>
      <c r="AL4057">
        <v>93.497314098457394</v>
      </c>
      <c r="AM4057">
        <v>89.635714844635004</v>
      </c>
      <c r="AN4057">
        <v>1.0000000150964901</v>
      </c>
    </row>
    <row r="4058" spans="1:40" x14ac:dyDescent="0.25">
      <c r="A4058" t="str">
        <f>"20190303154216969"</f>
        <v>20190303154216969</v>
      </c>
      <c r="B4058" t="str">
        <f>"1551598936964285"</f>
        <v>1551598936964285</v>
      </c>
      <c r="C4058" t="s">
        <v>40</v>
      </c>
      <c r="D4058">
        <v>5.7997069999999997</v>
      </c>
      <c r="E4058">
        <v>0.4892416</v>
      </c>
      <c r="F4058" t="s">
        <v>50</v>
      </c>
      <c r="G4058">
        <v>-397.5147</v>
      </c>
      <c r="H4058" s="1">
        <v>2.4621670000000001E-6</v>
      </c>
      <c r="I4058">
        <v>215.71019999999999</v>
      </c>
      <c r="J4058">
        <v>-413.09539999999998</v>
      </c>
      <c r="K4058">
        <v>1.120859</v>
      </c>
      <c r="L4058">
        <v>215.36859999999999</v>
      </c>
      <c r="M4058">
        <v>0.99991359999999996</v>
      </c>
      <c r="N4058">
        <v>-1.305452E-2</v>
      </c>
      <c r="O4058">
        <v>-1.5804720000000001E-3</v>
      </c>
      <c r="P4058">
        <v>0.99722089999999997</v>
      </c>
      <c r="Q4058">
        <v>-7.4131459999999996E-2</v>
      </c>
      <c r="R4058">
        <v>-7.4526929999999998E-3</v>
      </c>
      <c r="S4058">
        <v>2.9931640000000002</v>
      </c>
      <c r="T4058">
        <v>-0.2117137</v>
      </c>
      <c r="U4058">
        <v>6.4453129999999997E-2</v>
      </c>
      <c r="V4058">
        <v>5.8738509999999898E-3</v>
      </c>
      <c r="W4058">
        <v>-6.110699E-2</v>
      </c>
      <c r="X4058">
        <v>0.9981139</v>
      </c>
      <c r="Y4058">
        <v>-2.303786E-2</v>
      </c>
      <c r="Z4058">
        <v>1.0552999999999999E-3</v>
      </c>
      <c r="AA4058">
        <v>0.99973400000000001</v>
      </c>
      <c r="AB4058">
        <v>28</v>
      </c>
      <c r="AC4058">
        <v>15.580699999999901</v>
      </c>
      <c r="AD4058">
        <v>-1.120856537833</v>
      </c>
      <c r="AE4058">
        <v>0.34159999999999902</v>
      </c>
      <c r="AF4058">
        <v>-0.364341898496781</v>
      </c>
      <c r="AG4058">
        <v>-1.120856537833</v>
      </c>
      <c r="AH4058">
        <v>15.499963915220199</v>
      </c>
      <c r="AI4058">
        <v>94.134920299910306</v>
      </c>
      <c r="AJ4058">
        <v>91.346545690593899</v>
      </c>
      <c r="AK4058">
        <v>15.544707966717599</v>
      </c>
      <c r="AL4058">
        <v>93.503355362916196</v>
      </c>
      <c r="AM4058">
        <v>89.662821060101294</v>
      </c>
      <c r="AN4058">
        <v>0.99999996186281903</v>
      </c>
    </row>
    <row r="4059" spans="1:40" x14ac:dyDescent="0.25">
      <c r="A4059" t="str">
        <f>"20190303154216991"</f>
        <v>20190303154216991</v>
      </c>
      <c r="B4059" t="str">
        <f>"1551598936983804"</f>
        <v>1551598936983804</v>
      </c>
      <c r="C4059" t="s">
        <v>40</v>
      </c>
      <c r="D4059">
        <v>5.8779490000000001</v>
      </c>
      <c r="E4059">
        <v>0.4898788</v>
      </c>
      <c r="F4059" t="s">
        <v>50</v>
      </c>
      <c r="G4059">
        <v>-397.05520000000001</v>
      </c>
      <c r="H4059" s="1">
        <v>2.2176600000000001E-6</v>
      </c>
      <c r="I4059">
        <v>215.71109999999999</v>
      </c>
      <c r="J4059">
        <v>-412.8091</v>
      </c>
      <c r="K4059">
        <v>1.1208640000000001</v>
      </c>
      <c r="L4059">
        <v>215.3681</v>
      </c>
      <c r="M4059">
        <v>0.9999133</v>
      </c>
      <c r="N4059">
        <v>-1.307059E-2</v>
      </c>
      <c r="O4059">
        <v>-1.580339E-3</v>
      </c>
      <c r="P4059">
        <v>0.99720609999999998</v>
      </c>
      <c r="Q4059">
        <v>-7.4321609999999996E-2</v>
      </c>
      <c r="R4059">
        <v>-7.52435E-3</v>
      </c>
      <c r="S4059">
        <v>2.9932859999999999</v>
      </c>
      <c r="T4059">
        <v>-0.20916489999999999</v>
      </c>
      <c r="U4059">
        <v>6.3919069999999995E-2</v>
      </c>
      <c r="V4059">
        <v>5.9456939999999996E-3</v>
      </c>
      <c r="W4059">
        <v>-6.1281290000000002E-2</v>
      </c>
      <c r="X4059">
        <v>0.99810279999999996</v>
      </c>
      <c r="Y4059">
        <v>-2.2860640000000002E-2</v>
      </c>
      <c r="Z4059">
        <v>1.0369559999999999E-3</v>
      </c>
      <c r="AA4059">
        <v>0.99973809999999996</v>
      </c>
      <c r="AB4059">
        <v>28</v>
      </c>
      <c r="AC4059">
        <v>15.7538999999999</v>
      </c>
      <c r="AD4059">
        <v>-1.12086178233999</v>
      </c>
      <c r="AE4059">
        <v>0.34299999999998898</v>
      </c>
      <c r="AF4059">
        <v>-0.36604612943991699</v>
      </c>
      <c r="AG4059">
        <v>-1.12086178233999</v>
      </c>
      <c r="AH4059">
        <v>15.674032799195</v>
      </c>
      <c r="AI4059">
        <v>94.089189950212401</v>
      </c>
      <c r="AJ4059">
        <v>91.337823329249204</v>
      </c>
      <c r="AK4059">
        <v>15.7183213192195</v>
      </c>
      <c r="AL4059">
        <v>93.513360727788395</v>
      </c>
      <c r="AM4059">
        <v>89.658693329991607</v>
      </c>
      <c r="AN4059">
        <v>0.99999997357452197</v>
      </c>
    </row>
    <row r="4060" spans="1:40" x14ac:dyDescent="0.25">
      <c r="A4060" t="str">
        <f>"20190303154217016"</f>
        <v>20190303154217016</v>
      </c>
      <c r="B4060" t="str">
        <f>"1551598937004301"</f>
        <v>1551598937004301</v>
      </c>
      <c r="C4060" t="s">
        <v>40</v>
      </c>
      <c r="D4060">
        <v>5.9246749999999997</v>
      </c>
      <c r="E4060">
        <v>0.48992239999999998</v>
      </c>
      <c r="F4060" t="s">
        <v>50</v>
      </c>
      <c r="G4060">
        <v>-396.2</v>
      </c>
      <c r="H4060" s="1">
        <v>1.7625230000000001E-6</v>
      </c>
      <c r="I4060">
        <v>215.69460000000001</v>
      </c>
      <c r="J4060">
        <v>-412.50139999999999</v>
      </c>
      <c r="K4060">
        <v>1.120859</v>
      </c>
      <c r="L4060">
        <v>215.36760000000001</v>
      </c>
      <c r="M4060">
        <v>0.9999133</v>
      </c>
      <c r="N4060">
        <v>-1.3070150000000001E-2</v>
      </c>
      <c r="O4060">
        <v>-1.5803359999999999E-3</v>
      </c>
      <c r="P4060">
        <v>0.99717409999999995</v>
      </c>
      <c r="Q4060">
        <v>-7.4724020000000002E-2</v>
      </c>
      <c r="R4060">
        <v>-7.7646299999999998E-3</v>
      </c>
      <c r="S4060">
        <v>2.9937740000000002</v>
      </c>
      <c r="T4060">
        <v>-0.2020334</v>
      </c>
      <c r="U4060">
        <v>5.885315E-2</v>
      </c>
      <c r="V4060">
        <v>6.1862280000000002E-3</v>
      </c>
      <c r="W4060">
        <v>-6.1684530000000001E-2</v>
      </c>
      <c r="X4060">
        <v>0.99807650000000003</v>
      </c>
      <c r="Y4060">
        <v>-2.1175030000000001E-2</v>
      </c>
      <c r="Z4060">
        <v>9.3808219999999998E-4</v>
      </c>
      <c r="AA4060">
        <v>0.99977539999999998</v>
      </c>
      <c r="AB4060">
        <v>28</v>
      </c>
      <c r="AC4060">
        <v>16.301400000000001</v>
      </c>
      <c r="AD4060">
        <v>-1.1208572374770001</v>
      </c>
      <c r="AE4060">
        <v>0.32699999999999801</v>
      </c>
      <c r="AF4060">
        <v>-0.35110423123726398</v>
      </c>
      <c r="AG4060">
        <v>-1.1208572374770001</v>
      </c>
      <c r="AH4060">
        <v>16.224190417650298</v>
      </c>
      <c r="AI4060">
        <v>93.951109246805999</v>
      </c>
      <c r="AJ4060">
        <v>91.239732189654902</v>
      </c>
      <c r="AK4060">
        <v>16.266651463536501</v>
      </c>
      <c r="AL4060">
        <v>93.536508465114494</v>
      </c>
      <c r="AM4060">
        <v>89.644876703638204</v>
      </c>
      <c r="AN4060">
        <v>0.999999975255219</v>
      </c>
    </row>
    <row r="4061" spans="1:40" x14ac:dyDescent="0.25">
      <c r="A4061" t="str">
        <f>"20190303154217038"</f>
        <v>20190303154217038</v>
      </c>
      <c r="B4061" t="str">
        <f>"1551598937033581"</f>
        <v>1551598937033581</v>
      </c>
      <c r="C4061" t="s">
        <v>40</v>
      </c>
      <c r="D4061">
        <v>5.9006629999999998</v>
      </c>
      <c r="E4061">
        <v>0.4899695</v>
      </c>
      <c r="F4061" t="s">
        <v>50</v>
      </c>
      <c r="G4061">
        <v>-396.13490000000002</v>
      </c>
      <c r="H4061" s="1">
        <v>1.7279079999999901E-6</v>
      </c>
      <c r="I4061">
        <v>215.68350000000001</v>
      </c>
      <c r="J4061">
        <v>-412.23050000000001</v>
      </c>
      <c r="K4061">
        <v>1.1208560000000001</v>
      </c>
      <c r="L4061">
        <v>215.3672</v>
      </c>
      <c r="M4061">
        <v>0.99991359999999996</v>
      </c>
      <c r="N4061">
        <v>-1.305299E-2</v>
      </c>
      <c r="O4061">
        <v>-1.5798660000000001E-3</v>
      </c>
      <c r="P4061">
        <v>0.99715719999999997</v>
      </c>
      <c r="Q4061">
        <v>-7.4897539999999999E-2</v>
      </c>
      <c r="R4061">
        <v>-8.2624480000000004E-3</v>
      </c>
      <c r="S4061">
        <v>2.9936219999999998</v>
      </c>
      <c r="T4061">
        <v>-0.2050179</v>
      </c>
      <c r="U4061">
        <v>5.776978E-2</v>
      </c>
      <c r="V4061">
        <v>6.684466E-3</v>
      </c>
      <c r="W4061">
        <v>-6.1875390000000002E-2</v>
      </c>
      <c r="X4061">
        <v>0.99806150000000005</v>
      </c>
      <c r="Y4061">
        <v>-2.081324E-2</v>
      </c>
      <c r="Z4061">
        <v>9.3530109999999996E-4</v>
      </c>
      <c r="AA4061">
        <v>0.99978290000000003</v>
      </c>
      <c r="AB4061">
        <v>28</v>
      </c>
      <c r="AC4061">
        <v>16.095599999999902</v>
      </c>
      <c r="AD4061">
        <v>-1.1208542720919901</v>
      </c>
      <c r="AE4061">
        <v>0.31630000000001202</v>
      </c>
      <c r="AF4061">
        <v>-0.34008211964708301</v>
      </c>
      <c r="AG4061">
        <v>-1.1208542720919901</v>
      </c>
      <c r="AH4061">
        <v>16.017435909558401</v>
      </c>
      <c r="AI4061">
        <v>94.001970242282596</v>
      </c>
      <c r="AJ4061">
        <v>91.216320956378695</v>
      </c>
      <c r="AK4061">
        <v>16.060206202417898</v>
      </c>
      <c r="AL4061">
        <v>93.547464772303599</v>
      </c>
      <c r="AM4061">
        <v>89.616270175952394</v>
      </c>
      <c r="AN4061">
        <v>1.0000000018777999</v>
      </c>
    </row>
    <row r="4062" spans="1:40" x14ac:dyDescent="0.25">
      <c r="A4062" t="str">
        <f>"20190303154217057"</f>
        <v>20190303154217057</v>
      </c>
      <c r="B4062" t="str">
        <f>"1551598937054077"</f>
        <v>1551598937054077</v>
      </c>
      <c r="C4062" t="s">
        <v>40</v>
      </c>
      <c r="D4062">
        <v>5.9278420000000001</v>
      </c>
      <c r="E4062">
        <v>0.48993900000000001</v>
      </c>
      <c r="F4062" t="s">
        <v>50</v>
      </c>
      <c r="G4062">
        <v>-395.97899999999998</v>
      </c>
      <c r="H4062" s="1">
        <v>1.6449459999999999E-6</v>
      </c>
      <c r="I4062">
        <v>215.66929999999999</v>
      </c>
      <c r="J4062">
        <v>-411.9676</v>
      </c>
      <c r="K4062">
        <v>1.1208549999999999</v>
      </c>
      <c r="L4062">
        <v>215.36680000000001</v>
      </c>
      <c r="M4062">
        <v>0.99991399999999997</v>
      </c>
      <c r="N4062">
        <v>-1.302379E-2</v>
      </c>
      <c r="O4062">
        <v>-1.5797929999999999E-3</v>
      </c>
      <c r="P4062">
        <v>0.99718280000000004</v>
      </c>
      <c r="Q4062">
        <v>-7.4482510000000002E-2</v>
      </c>
      <c r="R4062">
        <v>-8.8680459999999992E-3</v>
      </c>
      <c r="S4062">
        <v>2.9935299999999998</v>
      </c>
      <c r="T4062">
        <v>-0.2064619</v>
      </c>
      <c r="U4062">
        <v>5.5648799999999998E-2</v>
      </c>
      <c r="V4062">
        <v>7.2901880000000004E-3</v>
      </c>
      <c r="W4062">
        <v>-6.1489210000000002E-2</v>
      </c>
      <c r="X4062">
        <v>0.99808110000000005</v>
      </c>
      <c r="Y4062">
        <v>-2.0106849999999999E-2</v>
      </c>
      <c r="Z4062">
        <v>9.1189669999999995E-4</v>
      </c>
      <c r="AA4062">
        <v>0.99979739999999995</v>
      </c>
      <c r="AB4062">
        <v>28</v>
      </c>
      <c r="AC4062">
        <v>15.9885999999999</v>
      </c>
      <c r="AD4062">
        <v>-1.1208533550540001</v>
      </c>
      <c r="AE4062">
        <v>0.30249999999998001</v>
      </c>
      <c r="AF4062">
        <v>-0.32615812087329299</v>
      </c>
      <c r="AG4062">
        <v>-1.1208533550540001</v>
      </c>
      <c r="AH4062">
        <v>15.909941161437001</v>
      </c>
      <c r="AI4062">
        <v>94.028978614275502</v>
      </c>
      <c r="AJ4062">
        <v>91.174414561047001</v>
      </c>
      <c r="AK4062">
        <v>15.952708833415601</v>
      </c>
      <c r="AL4062">
        <v>93.525296166598693</v>
      </c>
      <c r="AM4062">
        <v>89.581507378252894</v>
      </c>
      <c r="AN4062">
        <v>0.99999997598235402</v>
      </c>
    </row>
    <row r="4063" spans="1:40" x14ac:dyDescent="0.25">
      <c r="A4063" t="str">
        <f>"20190303154217081"</f>
        <v>20190303154217081</v>
      </c>
      <c r="B4063" t="str">
        <f>"1551598937073597"</f>
        <v>1551598937073597</v>
      </c>
      <c r="C4063" t="s">
        <v>40</v>
      </c>
      <c r="D4063">
        <v>5.8927160000000001</v>
      </c>
      <c r="E4063">
        <v>0.49004360000000002</v>
      </c>
      <c r="F4063" t="s">
        <v>50</v>
      </c>
      <c r="G4063">
        <v>-395.63549999999998</v>
      </c>
      <c r="H4063" s="1">
        <v>1.462156E-6</v>
      </c>
      <c r="I4063">
        <v>215.66220000000001</v>
      </c>
      <c r="J4063">
        <v>-411.68150000000003</v>
      </c>
      <c r="K4063">
        <v>1.1208499999999999</v>
      </c>
      <c r="L4063">
        <v>215.3663</v>
      </c>
      <c r="M4063">
        <v>0.99991450000000004</v>
      </c>
      <c r="N4063">
        <v>-1.29827E-2</v>
      </c>
      <c r="O4063">
        <v>-1.580003E-3</v>
      </c>
      <c r="P4063">
        <v>0.99717319999999998</v>
      </c>
      <c r="Q4063">
        <v>-7.4591820000000003E-2</v>
      </c>
      <c r="R4063">
        <v>-9.0370659999999998E-3</v>
      </c>
      <c r="S4063">
        <v>2.9936219999999998</v>
      </c>
      <c r="T4063">
        <v>-0.20544889999999999</v>
      </c>
      <c r="U4063">
        <v>5.4153439999999997E-2</v>
      </c>
      <c r="V4063">
        <v>7.4589900000000004E-3</v>
      </c>
      <c r="W4063">
        <v>-6.1639670000000001E-2</v>
      </c>
      <c r="X4063">
        <v>0.99807060000000003</v>
      </c>
      <c r="Y4063">
        <v>-1.96092E-2</v>
      </c>
      <c r="Z4063">
        <v>8.8732299999999997E-4</v>
      </c>
      <c r="AA4063">
        <v>0.99980729999999995</v>
      </c>
      <c r="AB4063">
        <v>28</v>
      </c>
      <c r="AC4063">
        <v>16.045999999999999</v>
      </c>
      <c r="AD4063">
        <v>-1.1208485378439901</v>
      </c>
      <c r="AE4063">
        <v>0.29590000000001698</v>
      </c>
      <c r="AF4063">
        <v>-0.319695126847586</v>
      </c>
      <c r="AG4063">
        <v>-1.1208485378439901</v>
      </c>
      <c r="AH4063">
        <v>15.9676275505559</v>
      </c>
      <c r="AI4063">
        <v>94.014492369274606</v>
      </c>
      <c r="AJ4063">
        <v>91.146991592602802</v>
      </c>
      <c r="AK4063">
        <v>16.0101104309805</v>
      </c>
      <c r="AL4063">
        <v>93.533933174237106</v>
      </c>
      <c r="AM4063">
        <v>89.571813166068097</v>
      </c>
      <c r="AN4063">
        <v>1.0000000040169399</v>
      </c>
    </row>
    <row r="4064" spans="1:40" x14ac:dyDescent="0.25">
      <c r="A4064" t="str">
        <f>"20190303154217104"</f>
        <v>20190303154217104</v>
      </c>
      <c r="B4064" t="str">
        <f>"1551598937094093"</f>
        <v>1551598937094093</v>
      </c>
      <c r="C4064" t="s">
        <v>40</v>
      </c>
      <c r="D4064">
        <v>5.791531</v>
      </c>
      <c r="E4064">
        <v>0.49056899999999998</v>
      </c>
      <c r="F4064" t="s">
        <v>50</v>
      </c>
      <c r="G4064">
        <v>-395.33300000000003</v>
      </c>
      <c r="H4064" s="1">
        <v>1.301187E-6</v>
      </c>
      <c r="I4064">
        <v>215.65520000000001</v>
      </c>
      <c r="J4064">
        <v>-411.38549999999998</v>
      </c>
      <c r="K4064">
        <v>1.1208480000000001</v>
      </c>
      <c r="L4064">
        <v>215.36590000000001</v>
      </c>
      <c r="M4064">
        <v>0.9999152</v>
      </c>
      <c r="N4064">
        <v>-1.2932859999999999E-2</v>
      </c>
      <c r="O4064">
        <v>-1.5796810000000001E-3</v>
      </c>
      <c r="P4064">
        <v>0.99714340000000001</v>
      </c>
      <c r="Q4064">
        <v>-7.4991139999999998E-2</v>
      </c>
      <c r="R4064">
        <v>-9.0492100000000002E-3</v>
      </c>
      <c r="S4064">
        <v>2.9936219999999998</v>
      </c>
      <c r="T4064">
        <v>-0.20524239999999999</v>
      </c>
      <c r="U4064">
        <v>5.2886959999999997E-2</v>
      </c>
      <c r="V4064">
        <v>7.4713280000000002E-3</v>
      </c>
      <c r="W4064">
        <v>-6.2089079999999998E-2</v>
      </c>
      <c r="X4064">
        <v>0.9980426</v>
      </c>
      <c r="Y4064">
        <v>-1.9187349999999999E-2</v>
      </c>
      <c r="Z4064">
        <v>8.6893889999999996E-4</v>
      </c>
      <c r="AA4064">
        <v>0.99981549999999997</v>
      </c>
      <c r="AB4064">
        <v>28</v>
      </c>
      <c r="AC4064">
        <v>16.052499999999899</v>
      </c>
      <c r="AD4064">
        <v>-1.1208466988129999</v>
      </c>
      <c r="AE4064">
        <v>0.289299999999997</v>
      </c>
      <c r="AF4064">
        <v>-0.31313344317511699</v>
      </c>
      <c r="AG4064">
        <v>-1.1208466988129999</v>
      </c>
      <c r="AH4064">
        <v>15.9741683243168</v>
      </c>
      <c r="AI4064">
        <v>94.012880593330095</v>
      </c>
      <c r="AJ4064">
        <v>91.122996006231006</v>
      </c>
      <c r="AK4064">
        <v>16.0165040982445</v>
      </c>
      <c r="AL4064">
        <v>93.559732068196894</v>
      </c>
      <c r="AM4064">
        <v>89.571092891638301</v>
      </c>
      <c r="AN4064">
        <v>0.99999995300604305</v>
      </c>
    </row>
    <row r="4065" spans="1:40" x14ac:dyDescent="0.25">
      <c r="A4065" t="str">
        <f>"20190303154217126"</f>
        <v>20190303154217126</v>
      </c>
      <c r="B4065" t="str">
        <f>"1551598937113617"</f>
        <v>1551598937113617</v>
      </c>
      <c r="C4065" t="s">
        <v>40</v>
      </c>
      <c r="D4065">
        <v>5.9286849999999998</v>
      </c>
      <c r="E4065">
        <v>0.4908322</v>
      </c>
      <c r="F4065" t="s">
        <v>50</v>
      </c>
      <c r="G4065">
        <v>-394.74090000000001</v>
      </c>
      <c r="H4065" s="1">
        <v>9.8606849999999899E-7</v>
      </c>
      <c r="I4065">
        <v>215.63720000000001</v>
      </c>
      <c r="J4065">
        <v>-411.11219999999997</v>
      </c>
      <c r="K4065">
        <v>1.1208499999999999</v>
      </c>
      <c r="L4065">
        <v>215.36539999999999</v>
      </c>
      <c r="M4065">
        <v>0.99991580000000002</v>
      </c>
      <c r="N4065">
        <v>-1.288243E-2</v>
      </c>
      <c r="O4065">
        <v>-1.5795939999999999E-3</v>
      </c>
      <c r="P4065">
        <v>0.99712000000000001</v>
      </c>
      <c r="Q4065">
        <v>-7.5241459999999996E-2</v>
      </c>
      <c r="R4065">
        <v>-9.5166550000000006E-3</v>
      </c>
      <c r="S4065">
        <v>2.9938660000000001</v>
      </c>
      <c r="T4065">
        <v>-0.20160700000000001</v>
      </c>
      <c r="U4065">
        <v>4.8812870000000001E-2</v>
      </c>
      <c r="V4065">
        <v>7.9390859999999997E-3</v>
      </c>
      <c r="W4065">
        <v>-6.2390029999999999E-2</v>
      </c>
      <c r="X4065">
        <v>0.99802029999999997</v>
      </c>
      <c r="Y4065">
        <v>-1.783117E-2</v>
      </c>
      <c r="Z4065">
        <v>8.0059140000000005E-4</v>
      </c>
      <c r="AA4065">
        <v>0.99984070000000003</v>
      </c>
      <c r="AB4065">
        <v>28</v>
      </c>
      <c r="AC4065">
        <v>16.371299999999898</v>
      </c>
      <c r="AD4065">
        <v>-1.1208490139314999</v>
      </c>
      <c r="AE4065">
        <v>0.27180000000001298</v>
      </c>
      <c r="AF4065">
        <v>-0.29627345708943698</v>
      </c>
      <c r="AG4065">
        <v>-1.1208490139314999</v>
      </c>
      <c r="AH4065">
        <v>16.2944931673014</v>
      </c>
      <c r="AI4065">
        <v>93.934356977336293</v>
      </c>
      <c r="AJ4065">
        <v>91.041661633570797</v>
      </c>
      <c r="AK4065">
        <v>16.335684499054199</v>
      </c>
      <c r="AL4065">
        <v>93.5770084460448</v>
      </c>
      <c r="AM4065">
        <v>89.544231187887604</v>
      </c>
      <c r="AN4065">
        <v>1.0000000320710001</v>
      </c>
    </row>
    <row r="4066" spans="1:40" x14ac:dyDescent="0.25">
      <c r="A4066" t="str">
        <f>"20190303154217147"</f>
        <v>20190303154217147</v>
      </c>
      <c r="B4066" t="str">
        <f>"1551598937143869"</f>
        <v>1551598937143869</v>
      </c>
      <c r="C4066" t="s">
        <v>40</v>
      </c>
      <c r="D4066">
        <v>5.981141</v>
      </c>
      <c r="E4066">
        <v>0.51945909999999995</v>
      </c>
      <c r="F4066" t="s">
        <v>50</v>
      </c>
      <c r="G4066">
        <v>-394.30810000000002</v>
      </c>
      <c r="H4066" s="1">
        <v>7.5575090000000001E-7</v>
      </c>
      <c r="I4066">
        <v>215.61930000000001</v>
      </c>
      <c r="J4066">
        <v>-410.83819999999997</v>
      </c>
      <c r="K4066">
        <v>1.1208480000000001</v>
      </c>
      <c r="L4066">
        <v>215.36500000000001</v>
      </c>
      <c r="M4066">
        <v>0.99991660000000004</v>
      </c>
      <c r="N4066">
        <v>-1.2824810000000001E-2</v>
      </c>
      <c r="O4066">
        <v>-1.5795799999999999E-3</v>
      </c>
      <c r="P4066">
        <v>0.99709859999999995</v>
      </c>
      <c r="Q4066">
        <v>-7.5537729999999997E-2</v>
      </c>
      <c r="R4066">
        <v>-9.4238529999999994E-3</v>
      </c>
      <c r="S4066">
        <v>2.9940190000000002</v>
      </c>
      <c r="T4066">
        <v>-0.19970289999999999</v>
      </c>
      <c r="U4066">
        <v>4.5227049999999998E-2</v>
      </c>
      <c r="V4066">
        <v>7.8461409999999992E-3</v>
      </c>
      <c r="W4066">
        <v>-6.2744049999999996E-2</v>
      </c>
      <c r="X4066">
        <v>0.99799879999999996</v>
      </c>
      <c r="Y4066">
        <v>-1.6637220000000001E-2</v>
      </c>
      <c r="Z4066">
        <v>7.4604239999999996E-4</v>
      </c>
      <c r="AA4066">
        <v>0.99986129999999995</v>
      </c>
      <c r="AB4066">
        <v>28</v>
      </c>
      <c r="AC4066">
        <v>16.530099999999901</v>
      </c>
      <c r="AD4066">
        <v>-1.1208472442491</v>
      </c>
      <c r="AE4066">
        <v>0.25430000000000003</v>
      </c>
      <c r="AF4066">
        <v>-0.27912939000704701</v>
      </c>
      <c r="AG4066">
        <v>-1.1208472442491</v>
      </c>
      <c r="AH4066">
        <v>16.454044573451799</v>
      </c>
      <c r="AI4066">
        <v>93.896401428423701</v>
      </c>
      <c r="AJ4066">
        <v>90.971882749652806</v>
      </c>
      <c r="AK4066">
        <v>16.494538325956398</v>
      </c>
      <c r="AL4066">
        <v>93.597332263207207</v>
      </c>
      <c r="AM4066">
        <v>89.5495570706059</v>
      </c>
      <c r="AN4066">
        <v>0.99999999127021699</v>
      </c>
    </row>
    <row r="4067" spans="1:40" x14ac:dyDescent="0.25">
      <c r="A4067" t="str">
        <f>"20190303154217169"</f>
        <v>20190303154217169</v>
      </c>
      <c r="B4067" t="str">
        <f>"1551598937163389"</f>
        <v>1551598937163389</v>
      </c>
      <c r="C4067" t="s">
        <v>40</v>
      </c>
      <c r="D4067">
        <v>6.0033260000000004</v>
      </c>
      <c r="E4067">
        <v>0.51912789999999998</v>
      </c>
      <c r="F4067" t="s">
        <v>50</v>
      </c>
      <c r="G4067">
        <v>-362.96190000000001</v>
      </c>
      <c r="H4067" s="1">
        <v>3.9413240000000001E-8</v>
      </c>
      <c r="I4067">
        <v>212.51320000000001</v>
      </c>
      <c r="J4067">
        <v>-410.56760000000003</v>
      </c>
      <c r="K4067">
        <v>1.120843</v>
      </c>
      <c r="L4067">
        <v>215.3646</v>
      </c>
      <c r="M4067">
        <v>0.99991730000000001</v>
      </c>
      <c r="N4067">
        <v>-1.2757370000000001E-2</v>
      </c>
      <c r="O4067">
        <v>-1.5792670000000001E-3</v>
      </c>
      <c r="P4067">
        <v>0.99708030000000003</v>
      </c>
      <c r="Q4067">
        <v>-7.5777250000000004E-2</v>
      </c>
      <c r="R4067">
        <v>-9.4110229999999993E-3</v>
      </c>
      <c r="S4067">
        <v>3.001709</v>
      </c>
      <c r="T4067">
        <v>-7.0274110000000001E-2</v>
      </c>
      <c r="U4067">
        <v>-0.1788025</v>
      </c>
      <c r="V4067">
        <v>7.8338769999999995E-3</v>
      </c>
      <c r="W4067">
        <v>-6.3051079999999995E-2</v>
      </c>
      <c r="X4067">
        <v>0.99797959999999997</v>
      </c>
      <c r="Y4067">
        <v>5.7860490000000001E-2</v>
      </c>
      <c r="Z4067">
        <v>-1.0292929999999999E-3</v>
      </c>
      <c r="AA4067">
        <v>0.99832419999999999</v>
      </c>
      <c r="AB4067">
        <v>28</v>
      </c>
      <c r="AC4067">
        <v>47.605699999999999</v>
      </c>
      <c r="AD4067">
        <v>-1.12084296058676</v>
      </c>
      <c r="AE4067">
        <v>-2.85139999999998</v>
      </c>
      <c r="AF4067">
        <v>2.77467560914865</v>
      </c>
      <c r="AG4067">
        <v>-1.12084296058676</v>
      </c>
      <c r="AH4067">
        <v>47.583861045952297</v>
      </c>
      <c r="AI4067">
        <v>91.347071349403393</v>
      </c>
      <c r="AJ4067">
        <v>86.662789018675795</v>
      </c>
      <c r="AK4067">
        <v>47.677866413240501</v>
      </c>
      <c r="AL4067">
        <v>93.614958492053603</v>
      </c>
      <c r="AM4067">
        <v>89.550252459498793</v>
      </c>
      <c r="AN4067">
        <v>1.0000000451670801</v>
      </c>
    </row>
    <row r="4068" spans="1:40" x14ac:dyDescent="0.25">
      <c r="A4068" t="str">
        <f>"20190303154217193"</f>
        <v>20190303154217193</v>
      </c>
      <c r="B4068" t="str">
        <f>"1551598937183886"</f>
        <v>1551598937183886</v>
      </c>
      <c r="C4068" t="s">
        <v>40</v>
      </c>
      <c r="D4068">
        <v>5.9636069999999997</v>
      </c>
      <c r="E4068">
        <v>0.51925329999999903</v>
      </c>
      <c r="F4068" t="s">
        <v>50</v>
      </c>
      <c r="G4068">
        <v>-364.4477</v>
      </c>
      <c r="H4068" s="1">
        <v>8.3006029999999999E-7</v>
      </c>
      <c r="I4068">
        <v>212.66059999999999</v>
      </c>
      <c r="J4068">
        <v>-410.2672</v>
      </c>
      <c r="K4068">
        <v>1.120827</v>
      </c>
      <c r="L4068">
        <v>215.36410000000001</v>
      </c>
      <c r="M4068">
        <v>0.99991850000000004</v>
      </c>
      <c r="N4068">
        <v>-1.2671079999999999E-2</v>
      </c>
      <c r="O4068">
        <v>-1.579195E-3</v>
      </c>
      <c r="P4068">
        <v>0.99708330000000001</v>
      </c>
      <c r="Q4068">
        <v>-7.5710799999999995E-2</v>
      </c>
      <c r="R4068">
        <v>-9.6327050000000001E-3</v>
      </c>
      <c r="S4068">
        <v>3.0015869999999998</v>
      </c>
      <c r="T4068">
        <v>-7.2946910000000004E-2</v>
      </c>
      <c r="U4068">
        <v>-0.17597960000000001</v>
      </c>
      <c r="V4068">
        <v>8.0554759999999902E-3</v>
      </c>
      <c r="W4068">
        <v>-6.3070730000000005E-2</v>
      </c>
      <c r="X4068">
        <v>0.99797650000000004</v>
      </c>
      <c r="Y4068">
        <v>5.6926249999999998E-2</v>
      </c>
      <c r="Z4068">
        <v>-1.033754E-3</v>
      </c>
      <c r="AA4068">
        <v>0.99837790000000004</v>
      </c>
      <c r="AB4068">
        <v>28</v>
      </c>
      <c r="AC4068">
        <v>45.819499999999998</v>
      </c>
      <c r="AD4068">
        <v>-1.1208261699397</v>
      </c>
      <c r="AE4068">
        <v>-2.70350000000002</v>
      </c>
      <c r="AF4068">
        <v>2.6295648799885298</v>
      </c>
      <c r="AG4068">
        <v>-1.1208261699397</v>
      </c>
      <c r="AH4068">
        <v>45.796404050611002</v>
      </c>
      <c r="AI4068">
        <v>91.399678780019798</v>
      </c>
      <c r="AJ4068">
        <v>86.713765498389193</v>
      </c>
      <c r="AK4068">
        <v>45.885525895734297</v>
      </c>
      <c r="AL4068">
        <v>93.616086939919498</v>
      </c>
      <c r="AM4068">
        <v>89.537529437501703</v>
      </c>
      <c r="AN4068">
        <v>0.99999995111428297</v>
      </c>
    </row>
    <row r="4069" spans="1:40" x14ac:dyDescent="0.25">
      <c r="A4069" t="str">
        <f>"20190303154217217"</f>
        <v>20190303154217217</v>
      </c>
      <c r="B4069" t="str">
        <f>"1551598937214141"</f>
        <v>1551598937214141</v>
      </c>
      <c r="C4069" t="s">
        <v>40</v>
      </c>
      <c r="D4069">
        <v>5.9239360000000003</v>
      </c>
      <c r="E4069">
        <v>0.51953450000000001</v>
      </c>
      <c r="F4069" t="s">
        <v>50</v>
      </c>
      <c r="G4069">
        <v>-365.92520000000002</v>
      </c>
      <c r="H4069" s="1">
        <v>1.6163059999999901E-6</v>
      </c>
      <c r="I4069">
        <v>212.7398</v>
      </c>
      <c r="J4069">
        <v>-409.97480000000002</v>
      </c>
      <c r="K4069">
        <v>1.1208209999999901</v>
      </c>
      <c r="L4069">
        <v>215.36369999999999</v>
      </c>
      <c r="M4069">
        <v>0.99991969999999997</v>
      </c>
      <c r="N4069">
        <v>-1.257786E-2</v>
      </c>
      <c r="O4069">
        <v>-1.5789630000000001E-3</v>
      </c>
      <c r="P4069">
        <v>0.99709890000000001</v>
      </c>
      <c r="Q4069">
        <v>-7.5555250000000004E-2</v>
      </c>
      <c r="R4069">
        <v>-9.2373209999999997E-3</v>
      </c>
      <c r="S4069">
        <v>3.001312</v>
      </c>
      <c r="T4069">
        <v>-7.5863719999999996E-2</v>
      </c>
      <c r="U4069">
        <v>-0.1776276</v>
      </c>
      <c r="V4069">
        <v>7.6603330000000001E-3</v>
      </c>
      <c r="W4069">
        <v>-6.3008030000000007E-2</v>
      </c>
      <c r="X4069">
        <v>0.99798359999999997</v>
      </c>
      <c r="Y4069">
        <v>5.7476220000000001E-2</v>
      </c>
      <c r="Z4069">
        <v>-1.0675120000000001E-3</v>
      </c>
      <c r="AA4069">
        <v>0.99834630000000002</v>
      </c>
      <c r="AB4069">
        <v>28</v>
      </c>
      <c r="AC4069">
        <v>44.049599999999998</v>
      </c>
      <c r="AD4069">
        <v>-1.1208193836939999</v>
      </c>
      <c r="AE4069">
        <v>-2.6238999999999901</v>
      </c>
      <c r="AF4069">
        <v>2.5526917162524598</v>
      </c>
      <c r="AG4069">
        <v>-1.1208193836939999</v>
      </c>
      <c r="AH4069">
        <v>44.025286295689902</v>
      </c>
      <c r="AI4069">
        <v>91.455907469499394</v>
      </c>
      <c r="AJ4069">
        <v>86.681568732409005</v>
      </c>
      <c r="AK4069">
        <v>44.113470782818197</v>
      </c>
      <c r="AL4069">
        <v>93.612487233276497</v>
      </c>
      <c r="AM4069">
        <v>89.560217090678606</v>
      </c>
      <c r="AN4069">
        <v>0.99999997920755501</v>
      </c>
    </row>
    <row r="4070" spans="1:40" x14ac:dyDescent="0.25">
      <c r="A4070" t="str">
        <f>"20190303154217241"</f>
        <v>20190303154217241</v>
      </c>
      <c r="B4070" t="str">
        <f>"1551598937233661"</f>
        <v>1551598937233661</v>
      </c>
      <c r="C4070" t="s">
        <v>40</v>
      </c>
      <c r="D4070">
        <v>5.953919</v>
      </c>
      <c r="E4070">
        <v>0.51976880000000003</v>
      </c>
      <c r="F4070" t="s">
        <v>50</v>
      </c>
      <c r="G4070">
        <v>-367.29950000000002</v>
      </c>
      <c r="H4070" s="1">
        <v>2.3476639999999998E-6</v>
      </c>
      <c r="I4070">
        <v>212.8185</v>
      </c>
      <c r="J4070">
        <v>-409.6678</v>
      </c>
      <c r="K4070">
        <v>1.1208049999999901</v>
      </c>
      <c r="L4070">
        <v>215.36320000000001</v>
      </c>
      <c r="M4070">
        <v>0.99992110000000001</v>
      </c>
      <c r="N4070">
        <v>-1.2472769999999999E-2</v>
      </c>
      <c r="O4070">
        <v>-1.57902E-3</v>
      </c>
      <c r="P4070">
        <v>0.99713390000000002</v>
      </c>
      <c r="Q4070">
        <v>-7.5172630000000004E-2</v>
      </c>
      <c r="R4070">
        <v>-8.5686549999999997E-3</v>
      </c>
      <c r="S4070">
        <v>3.001099</v>
      </c>
      <c r="T4070">
        <v>-7.8820470000000004E-2</v>
      </c>
      <c r="U4070">
        <v>-0.17898559999999999</v>
      </c>
      <c r="V4070">
        <v>6.991555E-3</v>
      </c>
      <c r="W4070">
        <v>-6.2729899999999894E-2</v>
      </c>
      <c r="X4070">
        <v>0.99800599999999995</v>
      </c>
      <c r="Y4070">
        <v>5.792858E-2</v>
      </c>
      <c r="Z4070">
        <v>-1.0998500000000001E-3</v>
      </c>
      <c r="AA4070">
        <v>0.99832010000000004</v>
      </c>
      <c r="AB4070">
        <v>28</v>
      </c>
      <c r="AC4070">
        <v>42.368299999999898</v>
      </c>
      <c r="AD4070">
        <v>-1.12080265233599</v>
      </c>
      <c r="AE4070">
        <v>-2.5447000000000002</v>
      </c>
      <c r="AF4070">
        <v>2.4760647076910498</v>
      </c>
      <c r="AG4070">
        <v>-1.12080265233599</v>
      </c>
      <c r="AH4070">
        <v>42.3427405198236</v>
      </c>
      <c r="AI4070">
        <v>91.513667520038496</v>
      </c>
      <c r="AJ4070">
        <v>86.653341763959702</v>
      </c>
      <c r="AK4070">
        <v>42.429880623815897</v>
      </c>
      <c r="AL4070">
        <v>93.596520079505893</v>
      </c>
      <c r="AM4070">
        <v>89.598619606814495</v>
      </c>
      <c r="AN4070">
        <v>0.99999994911566203</v>
      </c>
    </row>
    <row r="4071" spans="1:40" x14ac:dyDescent="0.25">
      <c r="A4071" t="str">
        <f>"20190303154217270"</f>
        <v>20190303154217270</v>
      </c>
      <c r="B4071" t="str">
        <f>"1551598937263918"</f>
        <v>1551598937263918</v>
      </c>
      <c r="C4071" t="s">
        <v>40</v>
      </c>
      <c r="D4071">
        <v>5.9260449999999896</v>
      </c>
      <c r="E4071">
        <v>0.5201249</v>
      </c>
      <c r="F4071" t="s">
        <v>50</v>
      </c>
      <c r="G4071">
        <v>-366.68299999999999</v>
      </c>
      <c r="H4071" s="1">
        <v>2.0195750000000001E-6</v>
      </c>
      <c r="I4071">
        <v>212.80359999999999</v>
      </c>
      <c r="J4071">
        <v>-409.2901</v>
      </c>
      <c r="K4071">
        <v>1.120795</v>
      </c>
      <c r="L4071">
        <v>215.36259999999999</v>
      </c>
      <c r="M4071">
        <v>0.99992259999999999</v>
      </c>
      <c r="N4071">
        <v>-1.234144E-2</v>
      </c>
      <c r="O4071">
        <v>-1.5786800000000001E-3</v>
      </c>
      <c r="P4071">
        <v>0.99711079999999996</v>
      </c>
      <c r="Q4071">
        <v>-7.56357E-2</v>
      </c>
      <c r="R4071">
        <v>-7.0380240000000004E-3</v>
      </c>
      <c r="S4071">
        <v>3.0011899999999998</v>
      </c>
      <c r="T4071">
        <v>-7.8254219999999999E-2</v>
      </c>
      <c r="U4071">
        <v>-0.17871090000000001</v>
      </c>
      <c r="V4071">
        <v>5.4612790000000003E-3</v>
      </c>
      <c r="W4071">
        <v>-6.3324240000000004E-2</v>
      </c>
      <c r="X4071">
        <v>0.99797809999999998</v>
      </c>
      <c r="Y4071">
        <v>5.7836579999999999E-2</v>
      </c>
      <c r="Z4071">
        <v>-1.0888899999999999E-3</v>
      </c>
      <c r="AA4071">
        <v>0.99832549999999998</v>
      </c>
      <c r="AB4071">
        <v>28</v>
      </c>
      <c r="AC4071">
        <v>42.607099999999903</v>
      </c>
      <c r="AD4071">
        <v>-1.1207929804250001</v>
      </c>
      <c r="AE4071">
        <v>-2.5589999999999899</v>
      </c>
      <c r="AF4071">
        <v>2.4900118924629502</v>
      </c>
      <c r="AG4071">
        <v>-1.1207929804250001</v>
      </c>
      <c r="AH4071">
        <v>42.5817277047761</v>
      </c>
      <c r="AI4071">
        <v>91.5051631531162</v>
      </c>
      <c r="AJ4071">
        <v>86.653379314464701</v>
      </c>
      <c r="AK4071">
        <v>42.669191115525898</v>
      </c>
      <c r="AL4071">
        <v>93.630640776422993</v>
      </c>
      <c r="AM4071">
        <v>89.686460941384496</v>
      </c>
      <c r="AN4071">
        <v>1.0000000365097499</v>
      </c>
    </row>
    <row r="4072" spans="1:40" x14ac:dyDescent="0.25">
      <c r="A4072" t="str">
        <f>"20190303154217296"</f>
        <v>20190303154217296</v>
      </c>
      <c r="B4072" t="str">
        <f>"1551598937283439"</f>
        <v>1551598937283439</v>
      </c>
      <c r="C4072" t="s">
        <v>40</v>
      </c>
      <c r="D4072">
        <v>5.9096710000000003</v>
      </c>
      <c r="E4072">
        <v>0.52029999999999998</v>
      </c>
      <c r="F4072" t="s">
        <v>50</v>
      </c>
      <c r="G4072">
        <v>-367.12979999999999</v>
      </c>
      <c r="H4072" s="1">
        <v>2.2573209999999999E-6</v>
      </c>
      <c r="I4072">
        <v>212.87649999999999</v>
      </c>
      <c r="J4072">
        <v>-408.98140000000001</v>
      </c>
      <c r="K4072">
        <v>1.1207750000000001</v>
      </c>
      <c r="L4072">
        <v>215.3621</v>
      </c>
      <c r="M4072">
        <v>0.99992400000000004</v>
      </c>
      <c r="N4072">
        <v>-1.2232639999999999E-2</v>
      </c>
      <c r="O4072">
        <v>-1.5784869999999999E-3</v>
      </c>
      <c r="P4072">
        <v>0.99710069999999995</v>
      </c>
      <c r="Q4072">
        <v>-7.5809639999999998E-2</v>
      </c>
      <c r="R4072">
        <v>-6.5947719999999996E-3</v>
      </c>
      <c r="S4072">
        <v>3.001404</v>
      </c>
      <c r="T4072">
        <v>-7.9789520000000003E-2</v>
      </c>
      <c r="U4072">
        <v>-0.1769867</v>
      </c>
      <c r="V4072">
        <v>5.0181649999999998E-3</v>
      </c>
      <c r="W4072">
        <v>-6.3606880000000005E-2</v>
      </c>
      <c r="X4072">
        <v>0.99796240000000003</v>
      </c>
      <c r="Y4072">
        <v>5.7260480000000002E-2</v>
      </c>
      <c r="Z4072">
        <v>-1.0883170000000001E-3</v>
      </c>
      <c r="AA4072">
        <v>0.99835870000000004</v>
      </c>
      <c r="AB4072">
        <v>28</v>
      </c>
      <c r="AC4072">
        <v>41.851599999999998</v>
      </c>
      <c r="AD4072">
        <v>-1.120772742679</v>
      </c>
      <c r="AE4072">
        <v>-2.4855999999999998</v>
      </c>
      <c r="AF4072">
        <v>2.41780192158329</v>
      </c>
      <c r="AG4072">
        <v>-1.120772742679</v>
      </c>
      <c r="AH4072">
        <v>41.825581779028099</v>
      </c>
      <c r="AI4072">
        <v>91.532393208024004</v>
      </c>
      <c r="AJ4072">
        <v>86.691597732318499</v>
      </c>
      <c r="AK4072">
        <v>41.910394758662399</v>
      </c>
      <c r="AL4072">
        <v>93.646867757713096</v>
      </c>
      <c r="AM4072">
        <v>89.711895706558195</v>
      </c>
      <c r="AN4072">
        <v>0.99999998448853</v>
      </c>
    </row>
    <row r="4073" spans="1:40" x14ac:dyDescent="0.25">
      <c r="A4073" t="str">
        <f>"20190303154217316"</f>
        <v>20190303154217316</v>
      </c>
      <c r="B4073" t="str">
        <f>"1551598937313693"</f>
        <v>1551598937313693</v>
      </c>
      <c r="C4073" t="s">
        <v>40</v>
      </c>
      <c r="D4073">
        <v>5.9431409999999998</v>
      </c>
      <c r="E4073">
        <v>0.52059029999999995</v>
      </c>
      <c r="F4073" t="s">
        <v>50</v>
      </c>
      <c r="G4073">
        <v>-366.50130000000001</v>
      </c>
      <c r="H4073" s="1">
        <v>1.9228940000000001E-6</v>
      </c>
      <c r="I4073">
        <v>212.85659999999999</v>
      </c>
      <c r="J4073">
        <v>-408.71690000000001</v>
      </c>
      <c r="K4073">
        <v>1.1207689999999999</v>
      </c>
      <c r="L4073">
        <v>215.36170000000001</v>
      </c>
      <c r="M4073">
        <v>0.99992510000000001</v>
      </c>
      <c r="N4073">
        <v>-1.2136879999999999E-2</v>
      </c>
      <c r="O4073">
        <v>-1.5782599999999999E-3</v>
      </c>
      <c r="P4073">
        <v>0.9970734</v>
      </c>
      <c r="Q4073">
        <v>-7.6182399999999997E-2</v>
      </c>
      <c r="R4073">
        <v>-6.3990549999999998E-3</v>
      </c>
      <c r="S4073">
        <v>3.0015559999999999</v>
      </c>
      <c r="T4073">
        <v>-7.9191570000000003E-2</v>
      </c>
      <c r="U4073">
        <v>-0.17703250000000001</v>
      </c>
      <c r="V4073">
        <v>4.8228740000000004E-3</v>
      </c>
      <c r="W4073">
        <v>-6.4075510000000002E-2</v>
      </c>
      <c r="X4073">
        <v>0.99793339999999997</v>
      </c>
      <c r="Y4073">
        <v>5.7273320000000003E-2</v>
      </c>
      <c r="Z4073">
        <v>-1.0802520000000001E-3</v>
      </c>
      <c r="AA4073">
        <v>0.99835799999999997</v>
      </c>
      <c r="AB4073">
        <v>28</v>
      </c>
      <c r="AC4073">
        <v>42.215600000000002</v>
      </c>
      <c r="AD4073">
        <v>-1.1207670771060001</v>
      </c>
      <c r="AE4073">
        <v>-2.5051000000000201</v>
      </c>
      <c r="AF4073">
        <v>2.4367533070898499</v>
      </c>
      <c r="AG4073">
        <v>-1.1207670771060001</v>
      </c>
      <c r="AH4073">
        <v>42.189869035883603</v>
      </c>
      <c r="AI4073">
        <v>91.5191647197056</v>
      </c>
      <c r="AJ4073">
        <v>86.694449458202598</v>
      </c>
      <c r="AK4073">
        <v>42.275039145880797</v>
      </c>
      <c r="AL4073">
        <v>93.673773104058597</v>
      </c>
      <c r="AM4073">
        <v>89.723099583620396</v>
      </c>
      <c r="AN4073">
        <v>1.0000000009654699</v>
      </c>
    </row>
    <row r="4074" spans="1:40" x14ac:dyDescent="0.25">
      <c r="A4074" t="str">
        <f>"20190303154217337"</f>
        <v>20190303154217337</v>
      </c>
      <c r="B4074" t="str">
        <f>"1551598937334189"</f>
        <v>1551598937334189</v>
      </c>
      <c r="C4074" t="s">
        <v>40</v>
      </c>
      <c r="D4074">
        <v>5.9159829999999998</v>
      </c>
      <c r="E4074">
        <v>0.52080689999999996</v>
      </c>
      <c r="F4074" t="s">
        <v>50</v>
      </c>
      <c r="G4074">
        <v>-365.97910000000002</v>
      </c>
      <c r="H4074" s="1">
        <v>1.6449919999999999E-6</v>
      </c>
      <c r="I4074">
        <v>212.81909999999999</v>
      </c>
      <c r="J4074">
        <v>-408.45350000000002</v>
      </c>
      <c r="K4074">
        <v>1.1207609999999999</v>
      </c>
      <c r="L4074">
        <v>215.3613</v>
      </c>
      <c r="M4074">
        <v>0.99992630000000005</v>
      </c>
      <c r="N4074">
        <v>-1.2039060000000001E-2</v>
      </c>
      <c r="O4074">
        <v>-1.578145E-3</v>
      </c>
      <c r="P4074">
        <v>0.99711609999999995</v>
      </c>
      <c r="Q4074">
        <v>-7.5621770000000005E-2</v>
      </c>
      <c r="R4074">
        <v>-6.3987599999999999E-3</v>
      </c>
      <c r="S4074">
        <v>3.0016479999999999</v>
      </c>
      <c r="T4074">
        <v>-7.8715919999999995E-2</v>
      </c>
      <c r="U4074">
        <v>-0.1785736</v>
      </c>
      <c r="V4074">
        <v>4.8225680000000002E-3</v>
      </c>
      <c r="W4074">
        <v>-6.3612039999999995E-2</v>
      </c>
      <c r="X4074">
        <v>0.99796309999999999</v>
      </c>
      <c r="Y4074">
        <v>5.7782550000000002E-2</v>
      </c>
      <c r="Z4074">
        <v>-1.0827230000000001E-3</v>
      </c>
      <c r="AA4074">
        <v>0.99832860000000001</v>
      </c>
      <c r="AB4074">
        <v>28</v>
      </c>
      <c r="AC4074">
        <v>42.474400000000003</v>
      </c>
      <c r="AD4074">
        <v>-1.1207593550079999</v>
      </c>
      <c r="AE4074">
        <v>-2.5421999999999998</v>
      </c>
      <c r="AF4074">
        <v>2.4734452059055698</v>
      </c>
      <c r="AG4074">
        <v>-1.1207593550079999</v>
      </c>
      <c r="AH4074">
        <v>42.448909454548797</v>
      </c>
      <c r="AI4074">
        <v>91.509843399239401</v>
      </c>
      <c r="AJ4074">
        <v>86.665216852513197</v>
      </c>
      <c r="AK4074">
        <v>42.535678513442498</v>
      </c>
      <c r="AL4074">
        <v>93.647163768719693</v>
      </c>
      <c r="AM4074">
        <v>89.7231253921031</v>
      </c>
      <c r="AN4074">
        <v>1.00000004887834</v>
      </c>
    </row>
    <row r="4075" spans="1:40" x14ac:dyDescent="0.25">
      <c r="A4075" t="str">
        <f>"20190303154217359"</f>
        <v>20190303154217359</v>
      </c>
      <c r="B4075" t="str">
        <f>"1551598937353709"</f>
        <v>1551598937353709</v>
      </c>
      <c r="C4075" t="s">
        <v>40</v>
      </c>
      <c r="D4075">
        <v>5.833736</v>
      </c>
      <c r="E4075">
        <v>0.52112950000000002</v>
      </c>
      <c r="F4075" t="s">
        <v>50</v>
      </c>
      <c r="G4075">
        <v>-363.8768</v>
      </c>
      <c r="H4075" s="1">
        <v>5.2626010000000005E-7</v>
      </c>
      <c r="I4075">
        <v>212.68389999999999</v>
      </c>
      <c r="J4075">
        <v>-408.178</v>
      </c>
      <c r="K4075">
        <v>1.1207579999999999</v>
      </c>
      <c r="L4075">
        <v>215.36080000000001</v>
      </c>
      <c r="M4075">
        <v>0.99992749999999997</v>
      </c>
      <c r="N4075">
        <v>-1.193837E-2</v>
      </c>
      <c r="O4075">
        <v>-1.5778980000000001E-3</v>
      </c>
      <c r="P4075">
        <v>0.99719659999999999</v>
      </c>
      <c r="Q4075">
        <v>-7.4520929999999999E-2</v>
      </c>
      <c r="R4075">
        <v>-6.7829939999999997E-3</v>
      </c>
      <c r="S4075">
        <v>3.0018009999999999</v>
      </c>
      <c r="T4075">
        <v>-7.5472239999999996E-2</v>
      </c>
      <c r="U4075">
        <v>-0.18029790000000001</v>
      </c>
      <c r="V4075">
        <v>5.2067399999999996E-3</v>
      </c>
      <c r="W4075">
        <v>-6.2610810000000003E-2</v>
      </c>
      <c r="X4075">
        <v>0.99802449999999998</v>
      </c>
      <c r="Y4075">
        <v>5.8352950000000001E-2</v>
      </c>
      <c r="Z4075">
        <v>-1.0607049999999999E-3</v>
      </c>
      <c r="AA4075">
        <v>0.99829540000000005</v>
      </c>
      <c r="AB4075">
        <v>28</v>
      </c>
      <c r="AC4075">
        <v>44.301200000000001</v>
      </c>
      <c r="AD4075">
        <v>-1.12075747373989</v>
      </c>
      <c r="AE4075">
        <v>-2.67690000000001</v>
      </c>
      <c r="AF4075">
        <v>2.60532752001903</v>
      </c>
      <c r="AG4075">
        <v>-1.12075747373989</v>
      </c>
      <c r="AH4075">
        <v>44.277133939467603</v>
      </c>
      <c r="AI4075">
        <v>91.447477546271898</v>
      </c>
      <c r="AJ4075">
        <v>86.632520285993493</v>
      </c>
      <c r="AK4075">
        <v>44.367875976826603</v>
      </c>
      <c r="AL4075">
        <v>93.589682875726496</v>
      </c>
      <c r="AM4075">
        <v>89.701087978789602</v>
      </c>
      <c r="AN4075">
        <v>1.0000000631352599</v>
      </c>
    </row>
    <row r="4076" spans="1:40" x14ac:dyDescent="0.25">
      <c r="A4076" t="str">
        <f>"20190303154217382"</f>
        <v>20190303154217382</v>
      </c>
      <c r="B4076" t="str">
        <f>"1551598937374206"</f>
        <v>1551598937374206</v>
      </c>
      <c r="C4076" t="s">
        <v>40</v>
      </c>
      <c r="D4076">
        <v>5.9075800000000003</v>
      </c>
      <c r="E4076">
        <v>0.52147239999999995</v>
      </c>
      <c r="F4076" t="s">
        <v>50</v>
      </c>
      <c r="G4076">
        <v>-360.69970000000001</v>
      </c>
      <c r="H4076" s="1">
        <v>-1.1644569999999999E-6</v>
      </c>
      <c r="I4076">
        <v>212.453</v>
      </c>
      <c r="J4076">
        <v>-407.88869999999997</v>
      </c>
      <c r="K4076">
        <v>1.1207530000000001</v>
      </c>
      <c r="L4076">
        <v>215.3604</v>
      </c>
      <c r="M4076">
        <v>0.9999287</v>
      </c>
      <c r="N4076">
        <v>-1.183798E-2</v>
      </c>
      <c r="O4076">
        <v>-1.577894E-3</v>
      </c>
      <c r="P4076">
        <v>0.99722829999999996</v>
      </c>
      <c r="Q4076">
        <v>-7.4066610000000005E-2</v>
      </c>
      <c r="R4076">
        <v>-7.057369E-3</v>
      </c>
      <c r="S4076">
        <v>3.0019230000000001</v>
      </c>
      <c r="T4076">
        <v>-7.0862530000000007E-2</v>
      </c>
      <c r="U4076">
        <v>-0.18385309999999999</v>
      </c>
      <c r="V4076">
        <v>5.4814470000000004E-3</v>
      </c>
      <c r="W4076">
        <v>-6.2256350000000002E-2</v>
      </c>
      <c r="X4076">
        <v>0.99804510000000002</v>
      </c>
      <c r="Y4076">
        <v>5.9530739999999999E-2</v>
      </c>
      <c r="Z4076">
        <v>-1.03611E-3</v>
      </c>
      <c r="AA4076">
        <v>0.9982259</v>
      </c>
      <c r="AB4076">
        <v>28</v>
      </c>
      <c r="AC4076">
        <v>47.188999999999901</v>
      </c>
      <c r="AD4076">
        <v>-1.120754164457</v>
      </c>
      <c r="AE4076">
        <v>-2.9073999999999902</v>
      </c>
      <c r="AF4076">
        <v>2.8313408661061099</v>
      </c>
      <c r="AG4076">
        <v>-1.120754164457</v>
      </c>
      <c r="AH4076">
        <v>47.167023870919898</v>
      </c>
      <c r="AI4076">
        <v>91.358726498466098</v>
      </c>
      <c r="AJ4076">
        <v>86.564772617379504</v>
      </c>
      <c r="AK4076">
        <v>47.265216828415802</v>
      </c>
      <c r="AL4076">
        <v>93.569334483730401</v>
      </c>
      <c r="AM4076">
        <v>89.685324219349695</v>
      </c>
      <c r="AN4076">
        <v>0.99999996050527196</v>
      </c>
    </row>
    <row r="4077" spans="1:40" x14ac:dyDescent="0.25">
      <c r="A4077" t="str">
        <f>"20190303154217404"</f>
        <v>20190303154217404</v>
      </c>
      <c r="B4077" t="str">
        <f>"1551598937393725"</f>
        <v>1551598937393725</v>
      </c>
      <c r="C4077" t="s">
        <v>40</v>
      </c>
      <c r="D4077">
        <v>5.8632920000000004</v>
      </c>
      <c r="E4077">
        <v>0.52166099999999904</v>
      </c>
      <c r="F4077" t="s">
        <v>50</v>
      </c>
      <c r="G4077">
        <v>-358.11439999999999</v>
      </c>
      <c r="H4077" s="1">
        <v>2.884652E-6</v>
      </c>
      <c r="I4077">
        <v>212.25129999999999</v>
      </c>
      <c r="J4077">
        <v>-407.59870000000001</v>
      </c>
      <c r="K4077">
        <v>1.120746</v>
      </c>
      <c r="L4077">
        <v>215.35990000000001</v>
      </c>
      <c r="M4077">
        <v>0.99992979999999998</v>
      </c>
      <c r="N4077">
        <v>-1.174035E-2</v>
      </c>
      <c r="O4077">
        <v>-1.5775559999999999E-3</v>
      </c>
      <c r="P4077">
        <v>0.99722239999999995</v>
      </c>
      <c r="Q4077">
        <v>-7.4131699999999995E-2</v>
      </c>
      <c r="R4077">
        <v>-7.1951109999999997E-3</v>
      </c>
      <c r="S4077">
        <v>3.0019840000000002</v>
      </c>
      <c r="T4077">
        <v>-6.759453E-2</v>
      </c>
      <c r="U4077">
        <v>-0.1875153</v>
      </c>
      <c r="V4077">
        <v>5.6195899999999998E-3</v>
      </c>
      <c r="W4077">
        <v>-6.2418950000000001E-2</v>
      </c>
      <c r="X4077">
        <v>0.99803419999999998</v>
      </c>
      <c r="Y4077">
        <v>6.0744329999999999E-2</v>
      </c>
      <c r="Z4077">
        <v>-1.0231559999999999E-3</v>
      </c>
      <c r="AA4077">
        <v>0.99815290000000001</v>
      </c>
      <c r="AB4077">
        <v>28</v>
      </c>
      <c r="AC4077">
        <v>49.484299999999998</v>
      </c>
      <c r="AD4077">
        <v>-1.1207431153479901</v>
      </c>
      <c r="AE4077">
        <v>-3.10860000000002</v>
      </c>
      <c r="AF4077">
        <v>3.0289788782065599</v>
      </c>
      <c r="AG4077">
        <v>-1.1207431153479901</v>
      </c>
      <c r="AH4077">
        <v>49.463869856101802</v>
      </c>
      <c r="AI4077">
        <v>91.295549005506999</v>
      </c>
      <c r="AJ4077">
        <v>86.495800549664693</v>
      </c>
      <c r="AK4077">
        <v>49.569196072930197</v>
      </c>
      <c r="AL4077">
        <v>93.578668845423493</v>
      </c>
      <c r="AM4077">
        <v>89.677390427149007</v>
      </c>
      <c r="AN4077">
        <v>0.99999998474025498</v>
      </c>
    </row>
    <row r="4078" spans="1:40" x14ac:dyDescent="0.25">
      <c r="A4078" t="str">
        <f>"20190303154217427"</f>
        <v>20190303154217427</v>
      </c>
      <c r="B4078" t="str">
        <f>"1551598937423982"</f>
        <v>1551598937423982</v>
      </c>
      <c r="C4078" t="s">
        <v>40</v>
      </c>
      <c r="D4078">
        <v>5.9186550000000002</v>
      </c>
      <c r="E4078">
        <v>0.52187070000000002</v>
      </c>
      <c r="F4078" t="s">
        <v>50</v>
      </c>
      <c r="G4078">
        <v>-356.88339999999999</v>
      </c>
      <c r="H4078" s="1">
        <v>2.2334500000000002E-6</v>
      </c>
      <c r="I4078">
        <v>212.1635</v>
      </c>
      <c r="J4078">
        <v>-407.31220000000002</v>
      </c>
      <c r="K4078">
        <v>1.1207370000000001</v>
      </c>
      <c r="L4078">
        <v>215.3595</v>
      </c>
      <c r="M4078">
        <v>0.99993100000000001</v>
      </c>
      <c r="N4078">
        <v>-1.1645590000000001E-2</v>
      </c>
      <c r="O4078">
        <v>-1.577359E-3</v>
      </c>
      <c r="P4078">
        <v>0.99725609999999998</v>
      </c>
      <c r="Q4078">
        <v>-7.3654940000000002E-2</v>
      </c>
      <c r="R4078">
        <v>-7.4523209999999996E-3</v>
      </c>
      <c r="S4078">
        <v>3.002014</v>
      </c>
      <c r="T4078">
        <v>-6.6340800000000005E-2</v>
      </c>
      <c r="U4078">
        <v>-0.18920899999999999</v>
      </c>
      <c r="V4078">
        <v>5.876689E-3</v>
      </c>
      <c r="W4078">
        <v>-6.203641E-2</v>
      </c>
      <c r="X4078">
        <v>0.99805659999999896</v>
      </c>
      <c r="Y4078">
        <v>6.1305400000000003E-2</v>
      </c>
      <c r="Z4078">
        <v>-1.017567E-3</v>
      </c>
      <c r="AA4078">
        <v>0.99811850000000002</v>
      </c>
      <c r="AB4078">
        <v>28</v>
      </c>
      <c r="AC4078">
        <v>50.428800000000003</v>
      </c>
      <c r="AD4078">
        <v>-1.12073476655</v>
      </c>
      <c r="AE4078">
        <v>-3.19599999999999</v>
      </c>
      <c r="AF4078">
        <v>3.11491397748317</v>
      </c>
      <c r="AG4078">
        <v>-1.12073476655</v>
      </c>
      <c r="AH4078">
        <v>50.408980906011699</v>
      </c>
      <c r="AI4078">
        <v>91.271214164389903</v>
      </c>
      <c r="AJ4078">
        <v>86.464027153213394</v>
      </c>
      <c r="AK4078">
        <v>50.517562208470899</v>
      </c>
      <c r="AL4078">
        <v>93.556708252600799</v>
      </c>
      <c r="AM4078">
        <v>89.662638786175293</v>
      </c>
      <c r="AN4078">
        <v>1.00000001422142</v>
      </c>
    </row>
    <row r="4079" spans="1:40" x14ac:dyDescent="0.25">
      <c r="A4079" t="str">
        <f>"20190303154217450"</f>
        <v>20190303154217450</v>
      </c>
      <c r="B4079" t="str">
        <f>"1551598937443501"</f>
        <v>1551598937443501</v>
      </c>
      <c r="C4079" t="s">
        <v>40</v>
      </c>
      <c r="D4079">
        <v>5.8790659999999999</v>
      </c>
      <c r="E4079">
        <v>0.52201160000000002</v>
      </c>
      <c r="F4079" t="s">
        <v>50</v>
      </c>
      <c r="G4079">
        <v>-353.73349999999999</v>
      </c>
      <c r="H4079" s="1">
        <v>5.6693369999999998E-7</v>
      </c>
      <c r="I4079">
        <v>211.94049999999999</v>
      </c>
      <c r="J4079">
        <v>-407.02429999999998</v>
      </c>
      <c r="K4079">
        <v>1.1207240000000001</v>
      </c>
      <c r="L4079">
        <v>215.35900000000001</v>
      </c>
      <c r="M4079">
        <v>0.99993220000000005</v>
      </c>
      <c r="N4079">
        <v>-1.155255E-2</v>
      </c>
      <c r="O4079">
        <v>-1.577057E-3</v>
      </c>
      <c r="P4079">
        <v>0.99724089999999999</v>
      </c>
      <c r="Q4079">
        <v>-7.3878109999999997E-2</v>
      </c>
      <c r="R4079">
        <v>-7.2786730000000003E-3</v>
      </c>
      <c r="S4079">
        <v>3.002167</v>
      </c>
      <c r="T4079">
        <v>-6.2798019999999996E-2</v>
      </c>
      <c r="U4079">
        <v>-0.1915741</v>
      </c>
      <c r="V4079">
        <v>5.7035180000000003E-3</v>
      </c>
      <c r="W4079">
        <v>-6.2352600000000001E-2</v>
      </c>
      <c r="X4079">
        <v>0.99803790000000003</v>
      </c>
      <c r="Y4079">
        <v>6.2087419999999997E-2</v>
      </c>
      <c r="Z4079">
        <v>-9.9294950000000009E-4</v>
      </c>
      <c r="AA4079">
        <v>0.99807020000000002</v>
      </c>
      <c r="AB4079">
        <v>28</v>
      </c>
      <c r="AC4079">
        <v>53.290799999999898</v>
      </c>
      <c r="AD4079">
        <v>-1.1207234330663001</v>
      </c>
      <c r="AE4079">
        <v>-3.4185000000000199</v>
      </c>
      <c r="AF4079">
        <v>3.33297947260125</v>
      </c>
      <c r="AG4079">
        <v>-1.1207234330663001</v>
      </c>
      <c r="AH4079">
        <v>53.272660637655697</v>
      </c>
      <c r="AI4079">
        <v>91.202830868693695</v>
      </c>
      <c r="AJ4079">
        <v>86.419982196045794</v>
      </c>
      <c r="AK4079">
        <v>53.388586276403998</v>
      </c>
      <c r="AL4079">
        <v>93.574859748518705</v>
      </c>
      <c r="AM4079">
        <v>89.672573604247305</v>
      </c>
      <c r="AN4079">
        <v>1.0000000133403699</v>
      </c>
    </row>
    <row r="4080" spans="1:40" x14ac:dyDescent="0.25">
      <c r="A4080" t="str">
        <f>"20190303154217470"</f>
        <v>20190303154217470</v>
      </c>
      <c r="B4080" t="str">
        <f>"1551598937463998"</f>
        <v>1551598937463998</v>
      </c>
      <c r="C4080" t="s">
        <v>40</v>
      </c>
      <c r="D4080">
        <v>5.8849099999999996</v>
      </c>
      <c r="E4080">
        <v>0.52211669999999999</v>
      </c>
      <c r="F4080" t="s">
        <v>50</v>
      </c>
      <c r="G4080">
        <v>-353.15089999999998</v>
      </c>
      <c r="H4080" s="1">
        <v>2.5829179999999998E-7</v>
      </c>
      <c r="I4080">
        <v>211.90960000000001</v>
      </c>
      <c r="J4080">
        <v>-406.76569999999998</v>
      </c>
      <c r="K4080">
        <v>1.1207129999999901</v>
      </c>
      <c r="L4080">
        <v>215.3586</v>
      </c>
      <c r="M4080">
        <v>0.99993299999999996</v>
      </c>
      <c r="N4080">
        <v>-1.1471759999999999E-2</v>
      </c>
      <c r="O4080">
        <v>-1.576353E-3</v>
      </c>
      <c r="P4080">
        <v>0.99722929999999999</v>
      </c>
      <c r="Q4080">
        <v>-7.4054270000000005E-2</v>
      </c>
      <c r="R4080">
        <v>-7.0642519999999896E-3</v>
      </c>
      <c r="S4080">
        <v>3.0022579999999999</v>
      </c>
      <c r="T4080">
        <v>-6.2455770000000001E-2</v>
      </c>
      <c r="U4080">
        <v>-0.19223019999999999</v>
      </c>
      <c r="V4080">
        <v>5.4897449999999999E-3</v>
      </c>
      <c r="W4080">
        <v>-6.2609520000000002E-2</v>
      </c>
      <c r="X4080">
        <v>0.99802299999999999</v>
      </c>
      <c r="Y4080">
        <v>6.2303610000000002E-2</v>
      </c>
      <c r="Z4080">
        <v>-9.9042899999999992E-4</v>
      </c>
      <c r="AA4080">
        <v>0.99805679999999997</v>
      </c>
      <c r="AB4080">
        <v>28</v>
      </c>
      <c r="AC4080">
        <v>53.614800000000002</v>
      </c>
      <c r="AD4080">
        <v>-1.1207127417081999</v>
      </c>
      <c r="AE4080">
        <v>-3.4489999999999799</v>
      </c>
      <c r="AF4080">
        <v>3.3630109359799598</v>
      </c>
      <c r="AG4080">
        <v>-1.1207127417081999</v>
      </c>
      <c r="AH4080">
        <v>53.596848620288803</v>
      </c>
      <c r="AI4080">
        <v>91.195532527575097</v>
      </c>
      <c r="AJ4080">
        <v>86.409601353928807</v>
      </c>
      <c r="AK4080">
        <v>53.713946248912897</v>
      </c>
      <c r="AL4080">
        <v>93.5896090497194</v>
      </c>
      <c r="AM4080">
        <v>89.684840883584698</v>
      </c>
      <c r="AN4080">
        <v>0.99999999891189695</v>
      </c>
    </row>
    <row r="4081" spans="1:40" x14ac:dyDescent="0.25">
      <c r="A4081" t="str">
        <f>"20190303154217494"</f>
        <v>20190303154217494</v>
      </c>
      <c r="B4081" t="str">
        <f>"1551598937483521"</f>
        <v>1551598937483521</v>
      </c>
      <c r="C4081" t="s">
        <v>40</v>
      </c>
      <c r="D4081">
        <v>5.8650229999999999</v>
      </c>
      <c r="E4081">
        <v>0.52219150000000003</v>
      </c>
      <c r="F4081" t="s">
        <v>50</v>
      </c>
      <c r="G4081">
        <v>-352.05939999999998</v>
      </c>
      <c r="H4081" s="1">
        <v>-3.20182599999999E-7</v>
      </c>
      <c r="I4081">
        <v>211.8552</v>
      </c>
      <c r="J4081">
        <v>-406.46859999999998</v>
      </c>
      <c r="K4081">
        <v>1.1207009999999999</v>
      </c>
      <c r="L4081">
        <v>215.35820000000001</v>
      </c>
      <c r="M4081">
        <v>0.99993399999999999</v>
      </c>
      <c r="N4081">
        <v>-1.138451E-2</v>
      </c>
      <c r="O4081">
        <v>-1.5760920000000001E-3</v>
      </c>
      <c r="P4081">
        <v>0.9971932</v>
      </c>
      <c r="Q4081">
        <v>-7.4579149999999997E-2</v>
      </c>
      <c r="R4081">
        <v>-6.6349310000000002E-3</v>
      </c>
      <c r="S4081">
        <v>3.0024109999999999</v>
      </c>
      <c r="T4081">
        <v>-6.150746E-2</v>
      </c>
      <c r="U4081">
        <v>-0.192276</v>
      </c>
      <c r="V4081">
        <v>5.0608349999999996E-3</v>
      </c>
      <c r="W4081">
        <v>-6.3221860000000005E-2</v>
      </c>
      <c r="X4081">
        <v>0.9979867</v>
      </c>
      <c r="Y4081">
        <v>6.231635E-2</v>
      </c>
      <c r="Z4081">
        <v>-9.784138999999999E-4</v>
      </c>
      <c r="AA4081">
        <v>0.99805600000000005</v>
      </c>
      <c r="AB4081">
        <v>28</v>
      </c>
      <c r="AC4081">
        <v>54.409199999999998</v>
      </c>
      <c r="AD4081">
        <v>-1.1207013201825999</v>
      </c>
      <c r="AE4081">
        <v>-3.5030000000000099</v>
      </c>
      <c r="AF4081">
        <v>3.4157929780755998</v>
      </c>
      <c r="AG4081">
        <v>-1.1207013201825999</v>
      </c>
      <c r="AH4081">
        <v>54.391672709743602</v>
      </c>
      <c r="AI4081">
        <v>91.178051259991605</v>
      </c>
      <c r="AJ4081">
        <v>86.406548362138807</v>
      </c>
      <c r="AK4081">
        <v>54.510344644681801</v>
      </c>
      <c r="AL4081">
        <v>93.624763064544297</v>
      </c>
      <c r="AM4081">
        <v>89.709453040983504</v>
      </c>
      <c r="AN4081">
        <v>1.0000000345048199</v>
      </c>
    </row>
    <row r="4082" spans="1:40" x14ac:dyDescent="0.25">
      <c r="A4082" t="str">
        <f>"20190303154217516"</f>
        <v>20190303154217516</v>
      </c>
      <c r="B4082" t="str">
        <f>"1551598937513774"</f>
        <v>1551598937513774</v>
      </c>
      <c r="C4082" t="s">
        <v>40</v>
      </c>
      <c r="D4082">
        <v>5.741314</v>
      </c>
      <c r="E4082">
        <v>0.52222360000000001</v>
      </c>
      <c r="F4082" t="s">
        <v>50</v>
      </c>
      <c r="G4082">
        <v>-352.57240000000002</v>
      </c>
      <c r="H4082" s="1">
        <v>-4.9823169999999997E-8</v>
      </c>
      <c r="I4082">
        <v>211.91489999999999</v>
      </c>
      <c r="J4082">
        <v>-406.18720000000002</v>
      </c>
      <c r="K4082">
        <v>1.120698</v>
      </c>
      <c r="L4082">
        <v>215.35769999999999</v>
      </c>
      <c r="M4082">
        <v>0.99993489999999996</v>
      </c>
      <c r="N4082">
        <v>-1.1306160000000001E-2</v>
      </c>
      <c r="O4082">
        <v>-1.57528799999999E-3</v>
      </c>
      <c r="P4082">
        <v>0.99716850000000001</v>
      </c>
      <c r="Q4082">
        <v>-7.4899110000000005E-2</v>
      </c>
      <c r="R4082">
        <v>-6.7263879999999998E-3</v>
      </c>
      <c r="S4082">
        <v>3.0025019999999998</v>
      </c>
      <c r="T4082">
        <v>-6.2433120000000002E-2</v>
      </c>
      <c r="U4082">
        <v>-0.19181819999999999</v>
      </c>
      <c r="V4082">
        <v>5.1528609999999999E-3</v>
      </c>
      <c r="W4082">
        <v>-6.3620280000000001E-2</v>
      </c>
      <c r="X4082">
        <v>0.99796090000000004</v>
      </c>
      <c r="Y4082">
        <v>6.216327E-2</v>
      </c>
      <c r="Z4082">
        <v>-9.8248939999999994E-4</v>
      </c>
      <c r="AA4082">
        <v>0.99806550000000005</v>
      </c>
      <c r="AB4082">
        <v>28</v>
      </c>
      <c r="AC4082">
        <v>53.614800000000002</v>
      </c>
      <c r="AD4082">
        <v>-1.12069804982316</v>
      </c>
      <c r="AE4082">
        <v>-3.4428000000000001</v>
      </c>
      <c r="AF4082">
        <v>3.3568709017752498</v>
      </c>
      <c r="AG4082">
        <v>-1.12069804982316</v>
      </c>
      <c r="AH4082">
        <v>53.596835531306702</v>
      </c>
      <c r="AI4082">
        <v>91.195525699848005</v>
      </c>
      <c r="AJ4082">
        <v>86.416138569049906</v>
      </c>
      <c r="AK4082">
        <v>53.713548806050802</v>
      </c>
      <c r="AL4082">
        <v>93.647636931502703</v>
      </c>
      <c r="AM4082">
        <v>89.704162193101197</v>
      </c>
      <c r="AN4082">
        <v>1.0000000249662799</v>
      </c>
    </row>
    <row r="4083" spans="1:40" x14ac:dyDescent="0.25">
      <c r="A4083" t="str">
        <f>"20190303154217538"</f>
        <v>20190303154217538</v>
      </c>
      <c r="B4083" t="str">
        <f>"1551598937533293"</f>
        <v>1551598937533293</v>
      </c>
      <c r="C4083" t="s">
        <v>40</v>
      </c>
      <c r="D4083">
        <v>5.7649970000000001</v>
      </c>
      <c r="E4083">
        <v>0.50041420000000003</v>
      </c>
      <c r="F4083" t="s">
        <v>50</v>
      </c>
      <c r="G4083">
        <v>-352.93799999999999</v>
      </c>
      <c r="H4083" s="1">
        <v>1.4333E-7</v>
      </c>
      <c r="I4083">
        <v>211.94800000000001</v>
      </c>
      <c r="J4083">
        <v>-405.90899999999999</v>
      </c>
      <c r="K4083">
        <v>1.120692</v>
      </c>
      <c r="L4083">
        <v>215.35730000000001</v>
      </c>
      <c r="M4083">
        <v>0.99993589999999999</v>
      </c>
      <c r="N4083">
        <v>-1.1232850000000001E-2</v>
      </c>
      <c r="O4083">
        <v>-1.57499299999999E-3</v>
      </c>
      <c r="P4083">
        <v>0.99717129999999998</v>
      </c>
      <c r="Q4083">
        <v>-7.4825450000000002E-2</v>
      </c>
      <c r="R4083">
        <v>-7.1285740000000004E-3</v>
      </c>
      <c r="S4083">
        <v>3.0025019999999998</v>
      </c>
      <c r="T4083">
        <v>-6.3191529999999996E-2</v>
      </c>
      <c r="U4083">
        <v>-0.19226070000000001</v>
      </c>
      <c r="V4083">
        <v>5.5554460000000003E-3</v>
      </c>
      <c r="W4083">
        <v>-6.3619759999999997E-2</v>
      </c>
      <c r="X4083">
        <v>0.99795869999999998</v>
      </c>
      <c r="Y4083">
        <v>6.2309650000000001E-2</v>
      </c>
      <c r="Z4083">
        <v>-9.8989999999999994E-4</v>
      </c>
      <c r="AA4083">
        <v>0.99805639999999995</v>
      </c>
      <c r="AB4083">
        <v>28</v>
      </c>
      <c r="AC4083">
        <v>52.970999999999897</v>
      </c>
      <c r="AD4083">
        <v>-1.1206918566699999</v>
      </c>
      <c r="AE4083">
        <v>-3.40930000000002</v>
      </c>
      <c r="AF4083">
        <v>3.3243796976583302</v>
      </c>
      <c r="AG4083">
        <v>-1.1206918566699999</v>
      </c>
      <c r="AH4083">
        <v>52.9527000746779</v>
      </c>
      <c r="AI4083">
        <v>91.210046311842802</v>
      </c>
      <c r="AJ4083">
        <v>86.407675607691701</v>
      </c>
      <c r="AK4083">
        <v>53.068784570692799</v>
      </c>
      <c r="AL4083">
        <v>93.647607344191101</v>
      </c>
      <c r="AM4083">
        <v>89.681048603349296</v>
      </c>
      <c r="AN4083">
        <v>0.99999995187420199</v>
      </c>
    </row>
    <row r="4084" spans="1:40" x14ac:dyDescent="0.25">
      <c r="A4084" t="str">
        <f>"20190303154217561"</f>
        <v>20190303154217561</v>
      </c>
      <c r="B4084" t="str">
        <f>"1551598937553790"</f>
        <v>1551598937553790</v>
      </c>
      <c r="C4084" t="s">
        <v>40</v>
      </c>
      <c r="D4084">
        <v>5.7901959999999999</v>
      </c>
      <c r="E4084">
        <v>0.49867270000000002</v>
      </c>
      <c r="F4084" t="s">
        <v>50</v>
      </c>
      <c r="G4084">
        <v>-351.61250000000001</v>
      </c>
      <c r="H4084" s="1">
        <v>-6.9562229999999996E-7</v>
      </c>
      <c r="I4084">
        <v>215.00370000000001</v>
      </c>
      <c r="J4084">
        <v>-405.6155</v>
      </c>
      <c r="K4084">
        <v>1.1206799999999999</v>
      </c>
      <c r="L4084">
        <v>215.35679999999999</v>
      </c>
      <c r="M4084">
        <v>0.99993659999999995</v>
      </c>
      <c r="N4084">
        <v>-1.116085E-2</v>
      </c>
      <c r="O4084">
        <v>-1.5745889999999999E-3</v>
      </c>
      <c r="P4084">
        <v>0.99718169999999995</v>
      </c>
      <c r="Q4084">
        <v>-7.4664309999999998E-2</v>
      </c>
      <c r="R4084">
        <v>-7.3692139999999998E-3</v>
      </c>
      <c r="S4084">
        <v>3.0036930000000002</v>
      </c>
      <c r="T4084">
        <v>-6.199694E-2</v>
      </c>
      <c r="U4084">
        <v>-1.9561769999999999E-2</v>
      </c>
      <c r="V4084">
        <v>5.7964899999999996E-3</v>
      </c>
      <c r="W4084">
        <v>-6.3530359999999994E-2</v>
      </c>
      <c r="X4084">
        <v>0.99796309999999999</v>
      </c>
      <c r="Y4084">
        <v>4.9362249999999998E-3</v>
      </c>
      <c r="Z4084" s="1">
        <v>-6.3565599999999993E-5</v>
      </c>
      <c r="AA4084">
        <v>0.99998779999999998</v>
      </c>
      <c r="AB4084">
        <v>28</v>
      </c>
      <c r="AC4084">
        <v>54.002999999999901</v>
      </c>
      <c r="AD4084">
        <v>-1.1206806956223001</v>
      </c>
      <c r="AE4084">
        <v>-0.35309999999998298</v>
      </c>
      <c r="AF4084">
        <v>0.26794635936826</v>
      </c>
      <c r="AG4084">
        <v>-1.1206806956223001</v>
      </c>
      <c r="AH4084">
        <v>53.980243279562899</v>
      </c>
      <c r="AI4084">
        <v>91.189328847061901</v>
      </c>
      <c r="AJ4084">
        <v>89.715598365097904</v>
      </c>
      <c r="AK4084">
        <v>53.992540086514197</v>
      </c>
      <c r="AL4084">
        <v>93.642474442603898</v>
      </c>
      <c r="AM4084">
        <v>89.667211464770006</v>
      </c>
      <c r="AN4084">
        <v>1.00000002744982</v>
      </c>
    </row>
    <row r="4085" spans="1:40" x14ac:dyDescent="0.25">
      <c r="A4085" t="str">
        <f>"20190303154217584"</f>
        <v>20190303154217584</v>
      </c>
      <c r="B4085" t="str">
        <f>"1551598937573313"</f>
        <v>1551598937573313</v>
      </c>
      <c r="C4085" t="s">
        <v>40</v>
      </c>
      <c r="D4085">
        <v>5.7902559999999896</v>
      </c>
      <c r="E4085">
        <v>0.49740279999999998</v>
      </c>
      <c r="F4085" t="s">
        <v>50</v>
      </c>
      <c r="G4085">
        <v>-354.52850000000001</v>
      </c>
      <c r="H4085" s="1">
        <v>8.4550819999999999E-7</v>
      </c>
      <c r="I4085">
        <v>215.24619999999999</v>
      </c>
      <c r="J4085">
        <v>-405.3297</v>
      </c>
      <c r="K4085">
        <v>1.1206719999999999</v>
      </c>
      <c r="L4085">
        <v>215.35640000000001</v>
      </c>
      <c r="M4085">
        <v>0.99993719999999997</v>
      </c>
      <c r="N4085">
        <v>-1.10937E-2</v>
      </c>
      <c r="O4085">
        <v>-1.574095E-3</v>
      </c>
      <c r="P4085">
        <v>0.99715620000000005</v>
      </c>
      <c r="Q4085">
        <v>-7.497703E-2</v>
      </c>
      <c r="R4085">
        <v>-7.6293309999999996E-3</v>
      </c>
      <c r="S4085">
        <v>3.003479</v>
      </c>
      <c r="T4085">
        <v>-6.5886260000000002E-2</v>
      </c>
      <c r="U4085">
        <v>-6.5002439999999996E-3</v>
      </c>
      <c r="V4085">
        <v>6.0570679999999997E-3</v>
      </c>
      <c r="W4085">
        <v>-6.3910369999999994E-2</v>
      </c>
      <c r="X4085">
        <v>0.99793730000000003</v>
      </c>
      <c r="Y4085">
        <v>5.8992099999999998E-4</v>
      </c>
      <c r="Z4085" s="1">
        <v>7.3215689999999997E-6</v>
      </c>
      <c r="AA4085">
        <v>0.99999979999999999</v>
      </c>
      <c r="AB4085">
        <v>28</v>
      </c>
      <c r="AC4085">
        <v>50.801200000000001</v>
      </c>
      <c r="AD4085">
        <v>-1.1206711544918</v>
      </c>
      <c r="AE4085">
        <v>-0.11020000000002</v>
      </c>
      <c r="AF4085">
        <v>3.0214322005936701E-2</v>
      </c>
      <c r="AG4085">
        <v>-1.1206711544918</v>
      </c>
      <c r="AH4085">
        <v>50.776600686004699</v>
      </c>
      <c r="AI4085">
        <v>91.264347995086695</v>
      </c>
      <c r="AJ4085">
        <v>89.965906482433198</v>
      </c>
      <c r="AK4085">
        <v>50.788975122242199</v>
      </c>
      <c r="AL4085">
        <v>93.664291705856698</v>
      </c>
      <c r="AM4085">
        <v>89.6522425096001</v>
      </c>
      <c r="AN4085">
        <v>1.00000003909879</v>
      </c>
    </row>
    <row r="4086" spans="1:40" x14ac:dyDescent="0.25">
      <c r="A4086" t="str">
        <f>"20190303154217606"</f>
        <v>20190303154217606</v>
      </c>
      <c r="B4086" t="str">
        <f>"1551598937603565"</f>
        <v>1551598937603565</v>
      </c>
      <c r="C4086" t="s">
        <v>40</v>
      </c>
      <c r="D4086">
        <v>5.6739360000000003</v>
      </c>
      <c r="E4086">
        <v>0.49673519999999999</v>
      </c>
      <c r="F4086" t="s">
        <v>50</v>
      </c>
      <c r="G4086">
        <v>-362.6397</v>
      </c>
      <c r="H4086" s="1">
        <v>-1.320658E-7</v>
      </c>
      <c r="I4086">
        <v>215.39279999999999</v>
      </c>
      <c r="J4086">
        <v>-405.04719999999998</v>
      </c>
      <c r="K4086">
        <v>1.120663</v>
      </c>
      <c r="L4086">
        <v>215.35589999999999</v>
      </c>
      <c r="M4086">
        <v>0.99993810000000005</v>
      </c>
      <c r="N4086">
        <v>-1.102972E-2</v>
      </c>
      <c r="O4086">
        <v>-1.5738600000000001E-3</v>
      </c>
      <c r="P4086">
        <v>0.99714700000000001</v>
      </c>
      <c r="Q4086">
        <v>-7.5103459999999997E-2</v>
      </c>
      <c r="R4086">
        <v>-7.6003160000000002E-3</v>
      </c>
      <c r="S4086">
        <v>3.0025940000000002</v>
      </c>
      <c r="T4086">
        <v>-7.8822370000000003E-2</v>
      </c>
      <c r="U4086">
        <v>2.5634770000000002E-3</v>
      </c>
      <c r="V4086">
        <v>6.0283630000000001E-3</v>
      </c>
      <c r="W4086">
        <v>-6.4100760000000007E-2</v>
      </c>
      <c r="X4086">
        <v>0.99792519999999996</v>
      </c>
      <c r="Y4086">
        <v>-2.4263380000000001E-3</v>
      </c>
      <c r="Z4086" s="1">
        <v>6.9177419999999994E-5</v>
      </c>
      <c r="AA4086">
        <v>0.99999709999999997</v>
      </c>
      <c r="AB4086">
        <v>28</v>
      </c>
      <c r="AC4086">
        <v>42.407499999999899</v>
      </c>
      <c r="AD4086">
        <v>-1.1206631320658</v>
      </c>
      <c r="AE4086">
        <v>3.6900000000002799E-2</v>
      </c>
      <c r="AF4086">
        <v>-0.103575140980421</v>
      </c>
      <c r="AG4086">
        <v>-1.1206631320658</v>
      </c>
      <c r="AH4086">
        <v>42.377795447411302</v>
      </c>
      <c r="AI4086">
        <v>91.514805434210402</v>
      </c>
      <c r="AJ4086">
        <v>90.140035756024403</v>
      </c>
      <c r="AK4086">
        <v>42.392737121446103</v>
      </c>
      <c r="AL4086">
        <v>93.675222892044403</v>
      </c>
      <c r="AM4086">
        <v>89.653886327479796</v>
      </c>
      <c r="AN4086">
        <v>0.99999997669403795</v>
      </c>
    </row>
    <row r="4087" spans="1:40" x14ac:dyDescent="0.25">
      <c r="A4087" t="str">
        <f>"20190303154217628"</f>
        <v>20190303154217628</v>
      </c>
      <c r="B4087" t="str">
        <f>"1551598937624061"</f>
        <v>1551598937624061</v>
      </c>
      <c r="C4087" t="s">
        <v>40</v>
      </c>
      <c r="D4087">
        <v>5.7399389999999997</v>
      </c>
      <c r="E4087">
        <v>0.49685570000000001</v>
      </c>
      <c r="F4087" t="s">
        <v>50</v>
      </c>
      <c r="G4087">
        <v>-361.80549999999999</v>
      </c>
      <c r="H4087" s="1">
        <v>-5.7600580000000005E-7</v>
      </c>
      <c r="I4087">
        <v>215.47110000000001</v>
      </c>
      <c r="J4087">
        <v>-404.75450000000001</v>
      </c>
      <c r="K4087">
        <v>1.12066</v>
      </c>
      <c r="L4087">
        <v>215.35550000000001</v>
      </c>
      <c r="M4087">
        <v>0.99993869999999896</v>
      </c>
      <c r="N4087">
        <v>-1.096479E-2</v>
      </c>
      <c r="O4087">
        <v>-1.5733829999999901E-3</v>
      </c>
      <c r="P4087">
        <v>0.99718110000000004</v>
      </c>
      <c r="Q4087">
        <v>-7.4675630000000007E-2</v>
      </c>
      <c r="R4087">
        <v>-7.3192049999999996E-3</v>
      </c>
      <c r="S4087">
        <v>3.0028079999999999</v>
      </c>
      <c r="T4087">
        <v>-7.7821489999999993E-2</v>
      </c>
      <c r="U4087">
        <v>7.9956049999999994E-3</v>
      </c>
      <c r="V4087">
        <v>5.7476100000000002E-3</v>
      </c>
      <c r="W4087">
        <v>-6.3737370000000002E-2</v>
      </c>
      <c r="X4087">
        <v>0.99795009999999995</v>
      </c>
      <c r="Y4087">
        <v>-4.2339700000000001E-3</v>
      </c>
      <c r="Z4087">
        <v>1.015922E-4</v>
      </c>
      <c r="AA4087">
        <v>0.99999110000000002</v>
      </c>
      <c r="AB4087">
        <v>28</v>
      </c>
      <c r="AC4087">
        <v>42.948999999999998</v>
      </c>
      <c r="AD4087">
        <v>-1.1206605760057999</v>
      </c>
      <c r="AE4087">
        <v>0.11559999999999999</v>
      </c>
      <c r="AF4087">
        <v>-0.18305451324705099</v>
      </c>
      <c r="AG4087">
        <v>-1.1206605760057999</v>
      </c>
      <c r="AH4087">
        <v>42.919544009104101</v>
      </c>
      <c r="AI4087">
        <v>91.495681120696602</v>
      </c>
      <c r="AJ4087">
        <v>90.244368566263205</v>
      </c>
      <c r="AK4087">
        <v>42.934562383129702</v>
      </c>
      <c r="AL4087">
        <v>93.654359631298306</v>
      </c>
      <c r="AM4087">
        <v>89.670013406330895</v>
      </c>
      <c r="AN4087">
        <v>0.999999944722617</v>
      </c>
    </row>
    <row r="4088" spans="1:40" x14ac:dyDescent="0.25">
      <c r="A4088" t="str">
        <f>"20190303154217652"</f>
        <v>20190303154217652</v>
      </c>
      <c r="B4088" t="str">
        <f>"1551598937643581"</f>
        <v>1551598937643581</v>
      </c>
      <c r="C4088" t="s">
        <v>40</v>
      </c>
      <c r="D4088">
        <v>5.736078</v>
      </c>
      <c r="E4088">
        <v>0.4968283</v>
      </c>
      <c r="F4088" t="s">
        <v>50</v>
      </c>
      <c r="G4088">
        <v>-361.15300000000002</v>
      </c>
      <c r="H4088" s="1">
        <v>-9.2324149999999999E-7</v>
      </c>
      <c r="I4088">
        <v>215.47200000000001</v>
      </c>
      <c r="J4088">
        <v>-404.4683</v>
      </c>
      <c r="K4088">
        <v>1.120652</v>
      </c>
      <c r="L4088">
        <v>215.35499999999999</v>
      </c>
      <c r="M4088">
        <v>0.99993940000000003</v>
      </c>
      <c r="N4088">
        <v>-1.090208E-2</v>
      </c>
      <c r="O4088">
        <v>-1.573159E-3</v>
      </c>
      <c r="P4088">
        <v>0.99721729999999997</v>
      </c>
      <c r="Q4088">
        <v>-7.4231850000000002E-2</v>
      </c>
      <c r="R4088">
        <v>-6.8885389999999999E-3</v>
      </c>
      <c r="S4088">
        <v>3.002777</v>
      </c>
      <c r="T4088">
        <v>-7.7178239999999995E-2</v>
      </c>
      <c r="U4088">
        <v>8.0261229999999996E-3</v>
      </c>
      <c r="V4088">
        <v>5.3173999999999999E-3</v>
      </c>
      <c r="W4088">
        <v>-6.3355800000000004E-2</v>
      </c>
      <c r="X4088">
        <v>0.9979768</v>
      </c>
      <c r="Y4088">
        <v>-4.2439660000000001E-3</v>
      </c>
      <c r="Z4088">
        <v>1.009484E-4</v>
      </c>
      <c r="AA4088">
        <v>0.99999099999999996</v>
      </c>
      <c r="AB4088">
        <v>29</v>
      </c>
      <c r="AC4088">
        <v>43.315299999999901</v>
      </c>
      <c r="AD4088">
        <v>-1.1206529232414999</v>
      </c>
      <c r="AE4088">
        <v>0.11700000000001801</v>
      </c>
      <c r="AF4088">
        <v>-0.18502190923158099</v>
      </c>
      <c r="AG4088">
        <v>-1.1206529232414999</v>
      </c>
      <c r="AH4088">
        <v>43.286088569419</v>
      </c>
      <c r="AI4088">
        <v>91.483011261806496</v>
      </c>
      <c r="AJ4088">
        <v>90.244903392889</v>
      </c>
      <c r="AK4088">
        <v>43.3009879762674</v>
      </c>
      <c r="AL4088">
        <v>93.632452937764995</v>
      </c>
      <c r="AM4088">
        <v>89.694720663907106</v>
      </c>
      <c r="AN4088">
        <v>0.99999996273731895</v>
      </c>
    </row>
    <row r="4089" spans="1:40" x14ac:dyDescent="0.25">
      <c r="A4089" t="str">
        <f>"20190303154217672"</f>
        <v>20190303154217672</v>
      </c>
      <c r="B4089" t="str">
        <f>"1551598937664078"</f>
        <v>1551598937664078</v>
      </c>
      <c r="C4089" t="s">
        <v>40</v>
      </c>
      <c r="D4089">
        <v>5.7285909999999998</v>
      </c>
      <c r="E4089">
        <v>0.4968283</v>
      </c>
      <c r="F4089" t="s">
        <v>50</v>
      </c>
      <c r="G4089">
        <v>-360.27519999999998</v>
      </c>
      <c r="H4089" s="1">
        <v>-1.3903550000000001E-6</v>
      </c>
      <c r="I4089">
        <v>215.4949</v>
      </c>
      <c r="J4089">
        <v>-404.197</v>
      </c>
      <c r="K4089">
        <v>1.12064599999999</v>
      </c>
      <c r="L4089">
        <v>215.3546</v>
      </c>
      <c r="M4089">
        <v>0.99994000000000005</v>
      </c>
      <c r="N4089">
        <v>-1.0843469999999999E-2</v>
      </c>
      <c r="O4089">
        <v>-1.5727219999999999E-3</v>
      </c>
      <c r="P4089">
        <v>0.99720989999999998</v>
      </c>
      <c r="Q4089">
        <v>-7.4387200000000001E-2</v>
      </c>
      <c r="R4089">
        <v>-6.2407720000000003E-3</v>
      </c>
      <c r="S4089">
        <v>3.0028079999999999</v>
      </c>
      <c r="T4089">
        <v>-7.6145409999999997E-2</v>
      </c>
      <c r="U4089">
        <v>9.5062259999999996E-3</v>
      </c>
      <c r="V4089">
        <v>4.6699920000000004E-3</v>
      </c>
      <c r="W4089">
        <v>-6.3569719999999996E-2</v>
      </c>
      <c r="X4089">
        <v>0.99796649999999998</v>
      </c>
      <c r="Y4089">
        <v>-4.736227E-3</v>
      </c>
      <c r="Z4089">
        <v>1.085483E-4</v>
      </c>
      <c r="AA4089">
        <v>0.99998880000000001</v>
      </c>
      <c r="AB4089">
        <v>29</v>
      </c>
      <c r="AC4089">
        <v>43.921799999999898</v>
      </c>
      <c r="AD4089">
        <v>-1.1206473903549901</v>
      </c>
      <c r="AE4089">
        <v>0.14029999999999601</v>
      </c>
      <c r="AF4089">
        <v>-0.209244451298464</v>
      </c>
      <c r="AG4089">
        <v>-1.1206473903549901</v>
      </c>
      <c r="AH4089">
        <v>43.892951204585003</v>
      </c>
      <c r="AI4089">
        <v>91.462505685914095</v>
      </c>
      <c r="AJ4089">
        <v>90.273135726803304</v>
      </c>
      <c r="AK4089">
        <v>43.907753293262303</v>
      </c>
      <c r="AL4089">
        <v>93.644734175133607</v>
      </c>
      <c r="AM4089">
        <v>89.731885911084902</v>
      </c>
      <c r="AN4089">
        <v>1.0000000266242</v>
      </c>
    </row>
    <row r="4090" spans="1:40" x14ac:dyDescent="0.25">
      <c r="A4090" t="str">
        <f>"20190303154217695"</f>
        <v>20190303154217695</v>
      </c>
      <c r="B4090" t="str">
        <f>"1551598937683601"</f>
        <v>1551598937683601</v>
      </c>
      <c r="C4090" t="s">
        <v>40</v>
      </c>
      <c r="D4090">
        <v>5.7776430000000003</v>
      </c>
      <c r="E4090">
        <v>0.4969983</v>
      </c>
      <c r="F4090" t="s">
        <v>50</v>
      </c>
      <c r="G4090">
        <v>-360.04140000000001</v>
      </c>
      <c r="H4090" s="1">
        <v>-1.5147639999999999E-6</v>
      </c>
      <c r="I4090">
        <v>215.52269999999999</v>
      </c>
      <c r="J4090">
        <v>-403.90690000000001</v>
      </c>
      <c r="K4090">
        <v>1.1206389999999999</v>
      </c>
      <c r="L4090">
        <v>215.35419999999999</v>
      </c>
      <c r="M4090">
        <v>0.99994079999999996</v>
      </c>
      <c r="N4090">
        <v>-1.078114E-2</v>
      </c>
      <c r="O4090">
        <v>-1.572504E-3</v>
      </c>
      <c r="P4090">
        <v>0.99722739999999999</v>
      </c>
      <c r="Q4090">
        <v>-7.4167979999999994E-2</v>
      </c>
      <c r="R4090">
        <v>-6.0775569999999999E-3</v>
      </c>
      <c r="S4090">
        <v>3.0028079999999999</v>
      </c>
      <c r="T4090">
        <v>-7.6209780000000005E-2</v>
      </c>
      <c r="U4090">
        <v>1.1428829999999999E-2</v>
      </c>
      <c r="V4090">
        <v>4.5069400000000001E-3</v>
      </c>
      <c r="W4090">
        <v>-6.3412490000000002E-2</v>
      </c>
      <c r="X4090">
        <v>0.99797720000000001</v>
      </c>
      <c r="Y4090">
        <v>-5.3759669999999997E-3</v>
      </c>
      <c r="Z4090">
        <v>1.201462E-4</v>
      </c>
      <c r="AA4090">
        <v>0.99998549999999997</v>
      </c>
      <c r="AB4090">
        <v>29</v>
      </c>
      <c r="AC4090">
        <v>43.865499999999997</v>
      </c>
      <c r="AD4090">
        <v>-1.120640514764</v>
      </c>
      <c r="AE4090">
        <v>0.16849999999999399</v>
      </c>
      <c r="AF4090">
        <v>-0.237327572596474</v>
      </c>
      <c r="AG4090">
        <v>-1.120640514764</v>
      </c>
      <c r="AH4090">
        <v>43.836570857213999</v>
      </c>
      <c r="AI4090">
        <v>91.464372067457006</v>
      </c>
      <c r="AJ4090">
        <v>90.310191585583695</v>
      </c>
      <c r="AK4090">
        <v>43.851534797080802</v>
      </c>
      <c r="AL4090">
        <v>93.635707538837096</v>
      </c>
      <c r="AM4090">
        <v>89.741249714901798</v>
      </c>
      <c r="AN4090">
        <v>0.99999997405800101</v>
      </c>
    </row>
    <row r="4091" spans="1:40" x14ac:dyDescent="0.25">
      <c r="A4091" t="str">
        <f>"20190303154217717"</f>
        <v>20190303154217717</v>
      </c>
      <c r="B4091" t="str">
        <f>"1551598937713853"</f>
        <v>1551598937713853</v>
      </c>
      <c r="C4091" t="s">
        <v>40</v>
      </c>
      <c r="D4091">
        <v>5.7632510000000003</v>
      </c>
      <c r="E4091">
        <v>0.49718479999999998</v>
      </c>
      <c r="F4091" t="s">
        <v>50</v>
      </c>
      <c r="G4091">
        <v>-359.3725</v>
      </c>
      <c r="H4091" s="1">
        <v>3.4117069999999999E-6</v>
      </c>
      <c r="I4091">
        <v>215.51050000000001</v>
      </c>
      <c r="J4091">
        <v>-403.62799999999999</v>
      </c>
      <c r="K4091">
        <v>1.1206309999999999</v>
      </c>
      <c r="L4091">
        <v>215.3537</v>
      </c>
      <c r="M4091">
        <v>0.99994130000000003</v>
      </c>
      <c r="N4091">
        <v>-1.0718419999999999E-2</v>
      </c>
      <c r="O4091">
        <v>-1.572047E-3</v>
      </c>
      <c r="P4091">
        <v>0.99720010000000003</v>
      </c>
      <c r="Q4091">
        <v>-7.4556360000000002E-2</v>
      </c>
      <c r="R4091">
        <v>-5.7684829999999996E-3</v>
      </c>
      <c r="S4091">
        <v>3.002777</v>
      </c>
      <c r="T4091">
        <v>-7.5559970000000004E-2</v>
      </c>
      <c r="U4091">
        <v>1.0543820000000001E-2</v>
      </c>
      <c r="V4091">
        <v>4.1982740000000001E-3</v>
      </c>
      <c r="W4091">
        <v>-6.3863729999999994E-2</v>
      </c>
      <c r="X4091">
        <v>0.9979498</v>
      </c>
      <c r="Y4091">
        <v>-5.0810029999999997E-3</v>
      </c>
      <c r="Z4091">
        <v>1.138573E-4</v>
      </c>
      <c r="AA4091">
        <v>0.99998710000000002</v>
      </c>
      <c r="AB4091">
        <v>29</v>
      </c>
      <c r="AC4091">
        <v>44.255499999999998</v>
      </c>
      <c r="AD4091">
        <v>-1.1206275882929999</v>
      </c>
      <c r="AE4091">
        <v>0.15680000000000399</v>
      </c>
      <c r="AF4091">
        <v>-0.226230474994458</v>
      </c>
      <c r="AG4091">
        <v>-1.1206275882929999</v>
      </c>
      <c r="AH4091">
        <v>44.226841255326697</v>
      </c>
      <c r="AI4091">
        <v>91.4514411245258</v>
      </c>
      <c r="AJ4091">
        <v>90.293078546762302</v>
      </c>
      <c r="AK4091">
        <v>44.241614729158798</v>
      </c>
      <c r="AL4091">
        <v>93.661614095032206</v>
      </c>
      <c r="AM4091">
        <v>89.758963865307507</v>
      </c>
      <c r="AN4091">
        <v>1.0000000024170601</v>
      </c>
    </row>
    <row r="4092" spans="1:40" x14ac:dyDescent="0.25">
      <c r="A4092" t="str">
        <f>"20190303154217740"</f>
        <v>20190303154217740</v>
      </c>
      <c r="B4092" t="str">
        <f>"1551598937733374"</f>
        <v>1551598937733374</v>
      </c>
      <c r="C4092" t="s">
        <v>40</v>
      </c>
      <c r="D4092">
        <v>5.7777000000000003</v>
      </c>
      <c r="E4092">
        <v>0.49729250000000003</v>
      </c>
      <c r="F4092" t="s">
        <v>50</v>
      </c>
      <c r="G4092">
        <v>-359.7226</v>
      </c>
      <c r="H4092" s="1">
        <v>3.5983560000000002E-6</v>
      </c>
      <c r="I4092">
        <v>215.50280000000001</v>
      </c>
      <c r="J4092">
        <v>-403.3331</v>
      </c>
      <c r="K4092">
        <v>1.1206160000000001</v>
      </c>
      <c r="L4092">
        <v>215.35329999999999</v>
      </c>
      <c r="M4092">
        <v>0.99994209999999994</v>
      </c>
      <c r="N4092">
        <v>-1.064818E-2</v>
      </c>
      <c r="O4092">
        <v>-1.5717909999999999E-3</v>
      </c>
      <c r="P4092">
        <v>0.99720560000000003</v>
      </c>
      <c r="Q4092">
        <v>-7.4462029999999998E-2</v>
      </c>
      <c r="R4092">
        <v>-6.0565740000000003E-3</v>
      </c>
      <c r="S4092">
        <v>3.002777</v>
      </c>
      <c r="T4092">
        <v>-7.6642039999999995E-2</v>
      </c>
      <c r="U4092">
        <v>1.019287E-2</v>
      </c>
      <c r="V4092">
        <v>4.4866539999999996E-3</v>
      </c>
      <c r="W4092">
        <v>-6.3839489999999999E-2</v>
      </c>
      <c r="X4092">
        <v>0.99795009999999995</v>
      </c>
      <c r="Y4092">
        <v>-4.9638649999999996E-3</v>
      </c>
      <c r="Z4092">
        <v>1.131484E-4</v>
      </c>
      <c r="AA4092">
        <v>0.99998770000000003</v>
      </c>
      <c r="AB4092">
        <v>29</v>
      </c>
      <c r="AC4092">
        <v>43.610500000000002</v>
      </c>
      <c r="AD4092">
        <v>-1.120612401644</v>
      </c>
      <c r="AE4092">
        <v>0.14950000000001701</v>
      </c>
      <c r="AF4092">
        <v>-0.21790641335629701</v>
      </c>
      <c r="AG4092">
        <v>-1.120612401644</v>
      </c>
      <c r="AH4092">
        <v>43.5814354772223</v>
      </c>
      <c r="AI4092">
        <v>91.472907298668304</v>
      </c>
      <c r="AJ4092">
        <v>90.286475505845004</v>
      </c>
      <c r="AK4092">
        <v>43.596384868644698</v>
      </c>
      <c r="AL4092">
        <v>93.660222391163302</v>
      </c>
      <c r="AM4092">
        <v>89.742407354493693</v>
      </c>
      <c r="AN4092">
        <v>1.0000000063187899</v>
      </c>
    </row>
    <row r="4093" spans="1:40" x14ac:dyDescent="0.25">
      <c r="A4093" t="str">
        <f>"20190303154217762"</f>
        <v>20190303154217762</v>
      </c>
      <c r="B4093" t="str">
        <f>"1551598937753870"</f>
        <v>1551598937753870</v>
      </c>
      <c r="C4093" t="s">
        <v>40</v>
      </c>
      <c r="D4093">
        <v>5.7526529999999996</v>
      </c>
      <c r="E4093">
        <v>0.49735360000000001</v>
      </c>
      <c r="F4093" t="s">
        <v>50</v>
      </c>
      <c r="G4093">
        <v>-359.09460000000001</v>
      </c>
      <c r="H4093" s="1">
        <v>3.2652909999999999E-6</v>
      </c>
      <c r="I4093">
        <v>215.47710000000001</v>
      </c>
      <c r="J4093">
        <v>-403.05090000000001</v>
      </c>
      <c r="K4093">
        <v>1.1205969999999901</v>
      </c>
      <c r="L4093">
        <v>215.3528</v>
      </c>
      <c r="M4093">
        <v>0.99994289999999997</v>
      </c>
      <c r="N4093">
        <v>-1.057989E-2</v>
      </c>
      <c r="O4093">
        <v>-1.5714279999999999E-3</v>
      </c>
      <c r="P4093">
        <v>0.99721280000000001</v>
      </c>
      <c r="Q4093">
        <v>-7.4339859999999994E-2</v>
      </c>
      <c r="R4093">
        <v>-6.3408839999999998E-3</v>
      </c>
      <c r="S4093">
        <v>3.0028079999999999</v>
      </c>
      <c r="T4093">
        <v>-7.6064709999999994E-2</v>
      </c>
      <c r="U4093">
        <v>8.4075929999999997E-3</v>
      </c>
      <c r="V4093">
        <v>4.7711890000000003E-3</v>
      </c>
      <c r="W4093">
        <v>-6.3785400000000006E-2</v>
      </c>
      <c r="X4093">
        <v>0.99795219999999996</v>
      </c>
      <c r="Y4093">
        <v>-4.3692480000000001E-3</v>
      </c>
      <c r="Z4093">
        <v>1.016245E-4</v>
      </c>
      <c r="AA4093">
        <v>0.9999905</v>
      </c>
      <c r="AB4093">
        <v>29</v>
      </c>
      <c r="AC4093">
        <v>43.956299999999999</v>
      </c>
      <c r="AD4093">
        <v>-1.12059373470899</v>
      </c>
      <c r="AE4093">
        <v>0.124300000000005</v>
      </c>
      <c r="AF4093">
        <v>-0.193252270326948</v>
      </c>
      <c r="AG4093">
        <v>-1.12059373470899</v>
      </c>
      <c r="AH4093">
        <v>43.927501628298899</v>
      </c>
      <c r="AI4093">
        <v>91.461288400243802</v>
      </c>
      <c r="AJ4093">
        <v>90.252062321504994</v>
      </c>
      <c r="AK4093">
        <v>43.942217468653801</v>
      </c>
      <c r="AL4093">
        <v>93.657117075453101</v>
      </c>
      <c r="AM4093">
        <v>89.7260721404093</v>
      </c>
      <c r="AN4093">
        <v>0.99999996749123599</v>
      </c>
    </row>
    <row r="4094" spans="1:40" x14ac:dyDescent="0.25">
      <c r="A4094" t="str">
        <f>"20190303154217784"</f>
        <v>20190303154217784</v>
      </c>
      <c r="B4094" t="str">
        <f>"1551598937773389"</f>
        <v>1551598937773389</v>
      </c>
      <c r="C4094" t="s">
        <v>40</v>
      </c>
      <c r="D4094">
        <v>5.7434949999999896</v>
      </c>
      <c r="E4094">
        <v>0.49746200000000002</v>
      </c>
      <c r="F4094" t="s">
        <v>50</v>
      </c>
      <c r="G4094">
        <v>-359.25259999999997</v>
      </c>
      <c r="H4094" s="1">
        <v>3.3503829999999999E-6</v>
      </c>
      <c r="I4094">
        <v>215.4539</v>
      </c>
      <c r="J4094">
        <v>-402.76499999999999</v>
      </c>
      <c r="K4094">
        <v>1.1205879999999999</v>
      </c>
      <c r="L4094">
        <v>215.35239999999999</v>
      </c>
      <c r="M4094">
        <v>0.99994360000000004</v>
      </c>
      <c r="N4094">
        <v>-1.0509020000000001E-2</v>
      </c>
      <c r="O4094">
        <v>-1.5710539999999999E-3</v>
      </c>
      <c r="P4094">
        <v>0.99718759999999995</v>
      </c>
      <c r="Q4094">
        <v>-7.4639419999999998E-2</v>
      </c>
      <c r="R4094">
        <v>-6.7929499999999999E-3</v>
      </c>
      <c r="S4094">
        <v>3.0027159999999999</v>
      </c>
      <c r="T4094">
        <v>-7.6825500000000005E-2</v>
      </c>
      <c r="U4094">
        <v>6.9274899999999997E-3</v>
      </c>
      <c r="V4094">
        <v>5.2236380000000001E-3</v>
      </c>
      <c r="W4094">
        <v>-6.4155959999999998E-2</v>
      </c>
      <c r="X4094">
        <v>0.99792619999999999</v>
      </c>
      <c r="Y4094">
        <v>-3.8762340000000001E-3</v>
      </c>
      <c r="Z4094" s="1">
        <v>9.3632450000000005E-5</v>
      </c>
      <c r="AA4094">
        <v>0.99999249999999995</v>
      </c>
      <c r="AB4094">
        <v>29</v>
      </c>
      <c r="AC4094">
        <v>43.5124</v>
      </c>
      <c r="AD4094">
        <v>-1.120584649617</v>
      </c>
      <c r="AE4094">
        <v>0.10150000000001499</v>
      </c>
      <c r="AF4094">
        <v>-0.16975139278606599</v>
      </c>
      <c r="AG4094">
        <v>-1.120584649617</v>
      </c>
      <c r="AH4094">
        <v>43.483347580515698</v>
      </c>
      <c r="AI4094">
        <v>91.476199009889299</v>
      </c>
      <c r="AJ4094">
        <v>90.2236715779013</v>
      </c>
      <c r="AK4094">
        <v>43.4981153879137</v>
      </c>
      <c r="AL4094">
        <v>93.678392104137501</v>
      </c>
      <c r="AM4094">
        <v>89.700088365632894</v>
      </c>
      <c r="AN4094">
        <v>0.99999998712195803</v>
      </c>
    </row>
    <row r="4095" spans="1:40" x14ac:dyDescent="0.25">
      <c r="A4095" t="str">
        <f>"20190303154217806"</f>
        <v>20190303154217806</v>
      </c>
      <c r="B4095" t="str">
        <f>"1551598937793886"</f>
        <v>1551598937793886</v>
      </c>
      <c r="C4095" t="s">
        <v>40</v>
      </c>
      <c r="D4095">
        <v>5.7745419999999896</v>
      </c>
      <c r="E4095">
        <v>0.49759389999999998</v>
      </c>
      <c r="F4095" t="s">
        <v>50</v>
      </c>
      <c r="G4095">
        <v>-359.81</v>
      </c>
      <c r="H4095" s="1">
        <v>3.648527E-6</v>
      </c>
      <c r="I4095">
        <v>215.41900000000001</v>
      </c>
      <c r="J4095">
        <v>-402.48180000000002</v>
      </c>
      <c r="K4095">
        <v>1.120573</v>
      </c>
      <c r="L4095">
        <v>215.3519</v>
      </c>
      <c r="M4095">
        <v>0.99994439999999996</v>
      </c>
      <c r="N4095">
        <v>-1.0435679999999999E-2</v>
      </c>
      <c r="O4095">
        <v>-1.5706699999999999E-3</v>
      </c>
      <c r="P4095">
        <v>0.99720750000000002</v>
      </c>
      <c r="Q4095">
        <v>-7.4385090000000001E-2</v>
      </c>
      <c r="R4095">
        <v>-6.6610539999999996E-3</v>
      </c>
      <c r="S4095">
        <v>3.0026250000000001</v>
      </c>
      <c r="T4095">
        <v>-7.8330759999999999E-2</v>
      </c>
      <c r="U4095">
        <v>4.653931E-3</v>
      </c>
      <c r="V4095">
        <v>5.0921550000000001E-3</v>
      </c>
      <c r="W4095">
        <v>-6.3974619999999996E-2</v>
      </c>
      <c r="X4095">
        <v>0.99793849999999995</v>
      </c>
      <c r="Y4095">
        <v>-3.119026E-3</v>
      </c>
      <c r="Z4095" s="1">
        <v>8.1533619999999996E-5</v>
      </c>
      <c r="AA4095">
        <v>0.99999510000000003</v>
      </c>
      <c r="AB4095">
        <v>29</v>
      </c>
      <c r="AC4095">
        <v>42.671799999999998</v>
      </c>
      <c r="AD4095">
        <v>-1.120569351473</v>
      </c>
      <c r="AE4095">
        <v>6.7100000000010596E-2</v>
      </c>
      <c r="AF4095">
        <v>-0.134034447780362</v>
      </c>
      <c r="AG4095">
        <v>-1.120569351473</v>
      </c>
      <c r="AH4095">
        <v>42.642236062531701</v>
      </c>
      <c r="AI4095">
        <v>91.505287031048994</v>
      </c>
      <c r="AJ4095">
        <v>90.180093343716607</v>
      </c>
      <c r="AK4095">
        <v>42.657167478834502</v>
      </c>
      <c r="AL4095">
        <v>93.667980777174293</v>
      </c>
      <c r="AM4095">
        <v>89.707640843636995</v>
      </c>
      <c r="AN4095">
        <v>0.99999996591446805</v>
      </c>
    </row>
    <row r="4096" spans="1:40" x14ac:dyDescent="0.25">
      <c r="A4096" t="str">
        <f>"20190303154217829"</f>
        <v>20190303154217829</v>
      </c>
      <c r="B4096" t="str">
        <f>"1551598937824141"</f>
        <v>1551598937824141</v>
      </c>
      <c r="C4096" t="s">
        <v>40</v>
      </c>
      <c r="D4096">
        <v>6.0878730000000001</v>
      </c>
      <c r="E4096">
        <v>0.51461840000000003</v>
      </c>
      <c r="F4096" t="s">
        <v>50</v>
      </c>
      <c r="G4096">
        <v>-359.20519999999999</v>
      </c>
      <c r="H4096" s="1">
        <v>3.3269860000000001E-6</v>
      </c>
      <c r="I4096">
        <v>215.41149999999999</v>
      </c>
      <c r="J4096">
        <v>-402.17869999999999</v>
      </c>
      <c r="K4096">
        <v>1.120557</v>
      </c>
      <c r="L4096">
        <v>215.35149999999999</v>
      </c>
      <c r="M4096">
        <v>0.99994530000000004</v>
      </c>
      <c r="N4096">
        <v>-1.03529E-2</v>
      </c>
      <c r="O4096">
        <v>-1.570477E-3</v>
      </c>
      <c r="P4096">
        <v>0.99714979999999998</v>
      </c>
      <c r="Q4096">
        <v>-7.5190149999999997E-2</v>
      </c>
      <c r="R4096">
        <v>-6.2360130000000003E-3</v>
      </c>
      <c r="S4096">
        <v>3.0026250000000001</v>
      </c>
      <c r="T4096">
        <v>-7.7747579999999997E-2</v>
      </c>
      <c r="U4096">
        <v>4.1351319999999997E-3</v>
      </c>
      <c r="V4096">
        <v>4.6675140000000002E-3</v>
      </c>
      <c r="W4096">
        <v>-6.4862820000000002E-2</v>
      </c>
      <c r="X4096">
        <v>0.99788330000000003</v>
      </c>
      <c r="Y4096">
        <v>-2.946157E-3</v>
      </c>
      <c r="Z4096" s="1">
        <v>7.7791020000000002E-5</v>
      </c>
      <c r="AA4096">
        <v>0.99999559999999998</v>
      </c>
      <c r="AB4096">
        <v>29</v>
      </c>
      <c r="AC4096">
        <v>42.973500000000001</v>
      </c>
      <c r="AD4096">
        <v>-1.120553673014</v>
      </c>
      <c r="AE4096">
        <v>6.0000000000002197E-2</v>
      </c>
      <c r="AF4096">
        <v>-0.127405801171494</v>
      </c>
      <c r="AG4096">
        <v>-1.120553673014</v>
      </c>
      <c r="AH4096">
        <v>42.944153826332602</v>
      </c>
      <c r="AI4096">
        <v>91.494688868957496</v>
      </c>
      <c r="AJ4096">
        <v>90.169983399955498</v>
      </c>
      <c r="AK4096">
        <v>42.958959724741803</v>
      </c>
      <c r="AL4096">
        <v>93.718976590044093</v>
      </c>
      <c r="AM4096">
        <v>89.732005833993</v>
      </c>
      <c r="AN4096">
        <v>1.00000002576209</v>
      </c>
    </row>
    <row r="4097" spans="1:40" x14ac:dyDescent="0.25">
      <c r="A4097" t="str">
        <f>"20190303154217852"</f>
        <v>20190303154217852</v>
      </c>
      <c r="B4097" t="str">
        <f>"1551598937843662"</f>
        <v>1551598937843662</v>
      </c>
      <c r="C4097" t="s">
        <v>40</v>
      </c>
      <c r="D4097">
        <v>5.8439990000000002</v>
      </c>
      <c r="E4097">
        <v>0.56124759999999996</v>
      </c>
      <c r="F4097" t="s">
        <v>50</v>
      </c>
      <c r="G4097">
        <v>-362.46260000000001</v>
      </c>
      <c r="H4097" s="1">
        <v>-2.263255E-7</v>
      </c>
      <c r="I4097">
        <v>213.62190000000001</v>
      </c>
      <c r="J4097">
        <v>-401.8852</v>
      </c>
      <c r="K4097">
        <v>1.120547</v>
      </c>
      <c r="L4097">
        <v>215.351</v>
      </c>
      <c r="M4097">
        <v>0.99994609999999995</v>
      </c>
      <c r="N4097">
        <v>-1.0270629999999999E-2</v>
      </c>
      <c r="O4097">
        <v>-1.5700519999999999E-3</v>
      </c>
      <c r="P4097">
        <v>0.99715350000000003</v>
      </c>
      <c r="Q4097">
        <v>-7.5120699999999999E-2</v>
      </c>
      <c r="R4097">
        <v>-6.5044289999999999E-3</v>
      </c>
      <c r="S4097">
        <v>3.0013730000000001</v>
      </c>
      <c r="T4097">
        <v>-8.4681149999999997E-2</v>
      </c>
      <c r="U4097">
        <v>-0.13070680000000001</v>
      </c>
      <c r="V4097">
        <v>4.9359570000000004E-3</v>
      </c>
      <c r="W4097">
        <v>-6.4875450000000001E-2</v>
      </c>
      <c r="X4097">
        <v>0.99788120000000002</v>
      </c>
      <c r="Y4097">
        <v>4.1916599999999998E-2</v>
      </c>
      <c r="Z4097">
        <v>-7.7819249999999999E-4</v>
      </c>
      <c r="AA4097">
        <v>0.99912080000000003</v>
      </c>
      <c r="AB4097">
        <v>29</v>
      </c>
      <c r="AC4097">
        <v>39.422599999999903</v>
      </c>
      <c r="AD4097">
        <v>-1.1205472263255001</v>
      </c>
      <c r="AE4097">
        <v>-1.7290999999999801</v>
      </c>
      <c r="AF4097">
        <v>1.6658557780824399</v>
      </c>
      <c r="AG4097">
        <v>-1.1205472263255001</v>
      </c>
      <c r="AH4097">
        <v>39.393500531994398</v>
      </c>
      <c r="AI4097">
        <v>91.627883709038201</v>
      </c>
      <c r="AJ4097">
        <v>87.578542873656104</v>
      </c>
      <c r="AK4097">
        <v>39.444626829570097</v>
      </c>
      <c r="AL4097">
        <v>93.719701715651397</v>
      </c>
      <c r="AM4097">
        <v>89.716592318335202</v>
      </c>
      <c r="AN4097">
        <v>1.0000000384988199</v>
      </c>
    </row>
    <row r="4098" spans="1:40" x14ac:dyDescent="0.25">
      <c r="A4098" t="str">
        <f>"20190303154217874"</f>
        <v>20190303154217874</v>
      </c>
      <c r="B4098" t="str">
        <f>"1551598937864158"</f>
        <v>1551598937864158</v>
      </c>
      <c r="C4098" t="s">
        <v>40</v>
      </c>
      <c r="D4098">
        <v>5.843585</v>
      </c>
      <c r="E4098">
        <v>0.56197489999999894</v>
      </c>
      <c r="F4098" t="s">
        <v>50</v>
      </c>
      <c r="G4098">
        <v>-344.18819999999999</v>
      </c>
      <c r="H4098">
        <v>8.000024E-2</v>
      </c>
      <c r="I4098">
        <v>205.6902</v>
      </c>
      <c r="J4098">
        <v>-401.59690000000001</v>
      </c>
      <c r="K4098">
        <v>1.1205339999999999</v>
      </c>
      <c r="L4098">
        <v>215.35050000000001</v>
      </c>
      <c r="M4098">
        <v>0.99994689999999997</v>
      </c>
      <c r="N4098">
        <v>-1.019251E-2</v>
      </c>
      <c r="O4098">
        <v>-1.5696519999999999E-3</v>
      </c>
      <c r="P4098">
        <v>0.99710290000000001</v>
      </c>
      <c r="Q4098">
        <v>-7.5728749999999997E-2</v>
      </c>
      <c r="R4098">
        <v>-7.1564380000000002E-3</v>
      </c>
      <c r="S4098">
        <v>3.0011899999999998</v>
      </c>
      <c r="T4098">
        <v>-5.4125550000000001E-2</v>
      </c>
      <c r="U4098">
        <v>-0.50251769999999996</v>
      </c>
      <c r="V4098">
        <v>5.588623E-3</v>
      </c>
      <c r="W4098">
        <v>-6.5561960000000002E-2</v>
      </c>
      <c r="X4098">
        <v>0.99783279999999996</v>
      </c>
      <c r="Y4098">
        <v>0.16355140000000001</v>
      </c>
      <c r="Z4098">
        <v>-2.2916550000000001E-3</v>
      </c>
      <c r="AA4098">
        <v>0.98653219999999997</v>
      </c>
      <c r="AB4098">
        <v>29</v>
      </c>
      <c r="AC4098">
        <v>57.408700000000003</v>
      </c>
      <c r="AD4098">
        <v>-1.04053376</v>
      </c>
      <c r="AE4098">
        <v>-9.6602999999999994</v>
      </c>
      <c r="AF4098">
        <v>9.5671153339853596</v>
      </c>
      <c r="AG4098">
        <v>-1.04053376</v>
      </c>
      <c r="AH4098">
        <v>57.405454028293903</v>
      </c>
      <c r="AI4098">
        <v>91.024307454868193</v>
      </c>
      <c r="AJ4098">
        <v>80.538124832685398</v>
      </c>
      <c r="AK4098">
        <v>58.206516460908702</v>
      </c>
      <c r="AL4098">
        <v>93.759120094808694</v>
      </c>
      <c r="AM4098">
        <v>89.6791033897277</v>
      </c>
      <c r="AN4098">
        <v>0.99999995003095699</v>
      </c>
    </row>
    <row r="4099" spans="1:40" x14ac:dyDescent="0.25">
      <c r="A4099" t="str">
        <f>"20190303154217896"</f>
        <v>20190303154217896</v>
      </c>
      <c r="B4099" t="str">
        <f>"1551598937893438"</f>
        <v>1551598937893438</v>
      </c>
      <c r="C4099" t="s">
        <v>40</v>
      </c>
      <c r="D4099">
        <v>5.8154640000000004</v>
      </c>
      <c r="E4099">
        <v>0.56299999999999994</v>
      </c>
      <c r="F4099" t="s">
        <v>50</v>
      </c>
      <c r="G4099">
        <v>-364.68279999999999</v>
      </c>
      <c r="H4099">
        <v>8.0000100000000005E-2</v>
      </c>
      <c r="I4099">
        <v>209.0515</v>
      </c>
      <c r="J4099">
        <v>-401.31670000000003</v>
      </c>
      <c r="K4099">
        <v>1.12052</v>
      </c>
      <c r="L4099">
        <v>215.3501</v>
      </c>
      <c r="M4099">
        <v>0.99994769999999999</v>
      </c>
      <c r="N4099">
        <v>-1.011949E-2</v>
      </c>
      <c r="O4099">
        <v>-1.569279E-3</v>
      </c>
      <c r="P4099">
        <v>0.99710359999999998</v>
      </c>
      <c r="Q4099">
        <v>-7.5686130000000004E-2</v>
      </c>
      <c r="R4099">
        <v>-7.50346E-3</v>
      </c>
      <c r="S4099">
        <v>2.9986570000000001</v>
      </c>
      <c r="T4099">
        <v>-8.4526180000000006E-2</v>
      </c>
      <c r="U4099">
        <v>-0.51168820000000004</v>
      </c>
      <c r="V4099">
        <v>5.9362159999999898E-3</v>
      </c>
      <c r="W4099">
        <v>-6.5592189999999995E-2</v>
      </c>
      <c r="X4099">
        <v>0.99782879999999996</v>
      </c>
      <c r="Y4099">
        <v>0.1665729</v>
      </c>
      <c r="Z4099">
        <v>-3.1513470000000001E-3</v>
      </c>
      <c r="AA4099">
        <v>0.98602409999999996</v>
      </c>
      <c r="AB4099">
        <v>29</v>
      </c>
      <c r="AC4099">
        <v>36.633899999999997</v>
      </c>
      <c r="AD4099">
        <v>-1.0405199000000001</v>
      </c>
      <c r="AE4099">
        <v>-6.2985999999999898</v>
      </c>
      <c r="AF4099">
        <v>6.2362139367245701</v>
      </c>
      <c r="AG4099">
        <v>-1.0405199000000001</v>
      </c>
      <c r="AH4099">
        <v>36.615048900983602</v>
      </c>
      <c r="AI4099">
        <v>91.6046871865653</v>
      </c>
      <c r="AJ4099">
        <v>80.334229020263507</v>
      </c>
      <c r="AK4099">
        <v>37.1568950794911</v>
      </c>
      <c r="AL4099">
        <v>93.760855904996504</v>
      </c>
      <c r="AM4099">
        <v>89.659143822434899</v>
      </c>
      <c r="AN4099">
        <v>0.99999994407941495</v>
      </c>
    </row>
    <row r="4100" spans="1:40" x14ac:dyDescent="0.25">
      <c r="A4100" t="str">
        <f>"20190303154217917"</f>
        <v>20190303154217917</v>
      </c>
      <c r="B4100" t="str">
        <f>"1551598937913938"</f>
        <v>1551598937913938</v>
      </c>
      <c r="C4100" t="s">
        <v>40</v>
      </c>
      <c r="D4100">
        <v>5.8476419999999996</v>
      </c>
      <c r="E4100">
        <v>0.56322190000000005</v>
      </c>
      <c r="F4100" t="s">
        <v>50</v>
      </c>
      <c r="G4100">
        <v>-366.41579999999999</v>
      </c>
      <c r="H4100">
        <v>8.0001050000000004E-2</v>
      </c>
      <c r="I4100">
        <v>209.28800000000001</v>
      </c>
      <c r="J4100">
        <v>-401.04070000000002</v>
      </c>
      <c r="K4100">
        <v>1.1205149999999999</v>
      </c>
      <c r="L4100">
        <v>215.34970000000001</v>
      </c>
      <c r="M4100">
        <v>0.99994830000000001</v>
      </c>
      <c r="N4100">
        <v>-1.0050730000000001E-2</v>
      </c>
      <c r="O4100">
        <v>-1.568931E-3</v>
      </c>
      <c r="P4100">
        <v>0.99709139999999996</v>
      </c>
      <c r="Q4100">
        <v>-7.5860899999999995E-2</v>
      </c>
      <c r="R4100">
        <v>-7.3422919999999899E-3</v>
      </c>
      <c r="S4100">
        <v>2.9980159999999998</v>
      </c>
      <c r="T4100">
        <v>-8.9381580000000002E-2</v>
      </c>
      <c r="U4100">
        <v>-0.52073670000000005</v>
      </c>
      <c r="V4100">
        <v>5.7754570000000003E-3</v>
      </c>
      <c r="W4100">
        <v>-6.5835679999999994E-2</v>
      </c>
      <c r="X4100">
        <v>0.99781379999999997</v>
      </c>
      <c r="Y4100">
        <v>0.16948729999999901</v>
      </c>
      <c r="Z4100">
        <v>-3.33476E-3</v>
      </c>
      <c r="AA4100">
        <v>0.98552669999999998</v>
      </c>
      <c r="AB4100">
        <v>29</v>
      </c>
      <c r="AC4100">
        <v>34.624899999999997</v>
      </c>
      <c r="AD4100">
        <v>-1.04051395</v>
      </c>
      <c r="AE4100">
        <v>-6.0617000000000196</v>
      </c>
      <c r="AF4100">
        <v>6.0021066132289196</v>
      </c>
      <c r="AG4100">
        <v>-1.04051395</v>
      </c>
      <c r="AH4100">
        <v>34.604047843543199</v>
      </c>
      <c r="AI4100">
        <v>91.696992931515197</v>
      </c>
      <c r="AJ4100">
        <v>80.159891151167102</v>
      </c>
      <c r="AK4100">
        <v>35.1361363874137</v>
      </c>
      <c r="AL4100">
        <v>93.774836727678505</v>
      </c>
      <c r="AM4100">
        <v>89.668369373590707</v>
      </c>
      <c r="AN4100">
        <v>1.0000000360675201</v>
      </c>
    </row>
    <row r="4101" spans="1:40" x14ac:dyDescent="0.25">
      <c r="A4101" t="str">
        <f>"20190303154217940"</f>
        <v>20190303154217940</v>
      </c>
      <c r="B4101" t="str">
        <f>"1551598937933458"</f>
        <v>1551598937933458</v>
      </c>
      <c r="C4101" t="s">
        <v>40</v>
      </c>
      <c r="D4101">
        <v>5.9826259999999998</v>
      </c>
      <c r="E4101">
        <v>0.56319430000000004</v>
      </c>
      <c r="F4101" t="s">
        <v>50</v>
      </c>
      <c r="G4101">
        <v>-367.44580000000002</v>
      </c>
      <c r="H4101">
        <v>8.0000740000000001E-2</v>
      </c>
      <c r="I4101">
        <v>209.4991</v>
      </c>
      <c r="J4101">
        <v>-400.74200000000002</v>
      </c>
      <c r="K4101">
        <v>1.1205000000000001</v>
      </c>
      <c r="L4101">
        <v>215.3492</v>
      </c>
      <c r="M4101">
        <v>0.99994899999999998</v>
      </c>
      <c r="N4101">
        <v>-9.9815870000000001E-3</v>
      </c>
      <c r="O4101">
        <v>-1.5683450000000001E-3</v>
      </c>
      <c r="P4101">
        <v>0.99714789999999998</v>
      </c>
      <c r="Q4101">
        <v>-7.5119229999999995E-2</v>
      </c>
      <c r="R4101">
        <v>-7.2840300000000004E-3</v>
      </c>
      <c r="S4101">
        <v>2.9978639999999999</v>
      </c>
      <c r="T4101">
        <v>-9.2851160000000002E-2</v>
      </c>
      <c r="U4101">
        <v>-0.52207950000000003</v>
      </c>
      <c r="V4101">
        <v>5.7176689999999999E-3</v>
      </c>
      <c r="W4101">
        <v>-6.5162510000000007E-2</v>
      </c>
      <c r="X4101">
        <v>0.99785829999999998</v>
      </c>
      <c r="Y4101">
        <v>0.16991800000000001</v>
      </c>
      <c r="Z4101">
        <v>-3.433101E-3</v>
      </c>
      <c r="AA4101">
        <v>0.9854522</v>
      </c>
      <c r="AB4101">
        <v>29</v>
      </c>
      <c r="AC4101">
        <v>33.296199999999899</v>
      </c>
      <c r="AD4101">
        <v>-1.04049926</v>
      </c>
      <c r="AE4101">
        <v>-5.8500999999999896</v>
      </c>
      <c r="AF4101">
        <v>5.7923831173145501</v>
      </c>
      <c r="AG4101">
        <v>-1.04049926</v>
      </c>
      <c r="AH4101">
        <v>33.273813994505801</v>
      </c>
      <c r="AI4101">
        <v>91.764581216042103</v>
      </c>
      <c r="AJ4101">
        <v>80.124778593762898</v>
      </c>
      <c r="AK4101">
        <v>33.790250644657597</v>
      </c>
      <c r="AL4101">
        <v>93.736184002864206</v>
      </c>
      <c r="AM4101">
        <v>89.671702167368394</v>
      </c>
      <c r="AN4101">
        <v>1.00000001566359</v>
      </c>
    </row>
    <row r="4102" spans="1:40" x14ac:dyDescent="0.25">
      <c r="A4102" t="str">
        <f>"20190303154217962"</f>
        <v>20190303154217962</v>
      </c>
      <c r="B4102" t="str">
        <f>"1551598937953954"</f>
        <v>1551598937953954</v>
      </c>
      <c r="C4102" t="s">
        <v>40</v>
      </c>
      <c r="D4102">
        <v>5.8768129999999896</v>
      </c>
      <c r="E4102">
        <v>0.56325959999999997</v>
      </c>
      <c r="F4102" t="s">
        <v>50</v>
      </c>
      <c r="G4102">
        <v>-367.83179999999999</v>
      </c>
      <c r="H4102">
        <v>3.6363010000000001E-2</v>
      </c>
      <c r="I4102">
        <v>209.6163</v>
      </c>
      <c r="J4102">
        <v>-400.45089999999999</v>
      </c>
      <c r="K4102">
        <v>1.120495</v>
      </c>
      <c r="L4102">
        <v>215.34870000000001</v>
      </c>
      <c r="M4102">
        <v>0.9999498</v>
      </c>
      <c r="N4102">
        <v>-9.9168520000000003E-3</v>
      </c>
      <c r="O4102">
        <v>-1.5682599999999999E-3</v>
      </c>
      <c r="P4102">
        <v>0.99712210000000001</v>
      </c>
      <c r="Q4102">
        <v>-7.5512480000000007E-2</v>
      </c>
      <c r="R4102">
        <v>-6.7663259999999996E-3</v>
      </c>
      <c r="S4102">
        <v>2.9973139999999998</v>
      </c>
      <c r="T4102">
        <v>-9.8738670000000001E-2</v>
      </c>
      <c r="U4102">
        <v>-0.52212519999999996</v>
      </c>
      <c r="V4102">
        <v>5.1998909999999999E-3</v>
      </c>
      <c r="W4102">
        <v>-6.562055E-2</v>
      </c>
      <c r="X4102">
        <v>0.99783109999999997</v>
      </c>
      <c r="Y4102">
        <v>0.1699514</v>
      </c>
      <c r="Z4102">
        <v>-3.5911179999999999E-3</v>
      </c>
      <c r="AA4102">
        <v>0.98544589999999999</v>
      </c>
      <c r="AB4102">
        <v>29</v>
      </c>
      <c r="AC4102">
        <v>32.619100000000003</v>
      </c>
      <c r="AD4102">
        <v>-1.0841319899999999</v>
      </c>
      <c r="AE4102">
        <v>-5.7324000000000099</v>
      </c>
      <c r="AF4102">
        <v>5.67515402806539</v>
      </c>
      <c r="AG4102">
        <v>-1.0841319899999999</v>
      </c>
      <c r="AH4102">
        <v>32.593125193695997</v>
      </c>
      <c r="AI4102">
        <v>91.876885247237595</v>
      </c>
      <c r="AJ4102">
        <v>80.122617181511501</v>
      </c>
      <c r="AK4102">
        <v>33.101276792684999</v>
      </c>
      <c r="AL4102">
        <v>93.762484111781802</v>
      </c>
      <c r="AM4102">
        <v>89.701423305667802</v>
      </c>
      <c r="AN4102">
        <v>0.99999999978796195</v>
      </c>
    </row>
    <row r="4103" spans="1:40" x14ac:dyDescent="0.25">
      <c r="A4103" t="str">
        <f>"20190303154217984"</f>
        <v>20190303154217984</v>
      </c>
      <c r="B4103" t="str">
        <f>"1551598937973474"</f>
        <v>1551598937973474</v>
      </c>
      <c r="C4103" t="s">
        <v>40</v>
      </c>
      <c r="D4103">
        <v>5.8915600000000001</v>
      </c>
      <c r="E4103">
        <v>0.56332490000000002</v>
      </c>
      <c r="F4103" t="s">
        <v>50</v>
      </c>
      <c r="G4103">
        <v>-368.38</v>
      </c>
      <c r="H4103" s="1">
        <v>2.9226420000000001E-6</v>
      </c>
      <c r="I4103">
        <v>209.77420000000001</v>
      </c>
      <c r="J4103">
        <v>-400.16550000000001</v>
      </c>
      <c r="K4103">
        <v>1.1204769999999999</v>
      </c>
      <c r="L4103">
        <v>215.34829999999999</v>
      </c>
      <c r="M4103">
        <v>0.99995020000000001</v>
      </c>
      <c r="N4103">
        <v>-9.8535470000000007E-3</v>
      </c>
      <c r="O4103">
        <v>-1.5677079999999999E-3</v>
      </c>
      <c r="P4103">
        <v>0.99717460000000002</v>
      </c>
      <c r="Q4103">
        <v>-7.4882530000000003E-2</v>
      </c>
      <c r="R4103">
        <v>-5.9350519999999997E-3</v>
      </c>
      <c r="S4103">
        <v>2.9972530000000002</v>
      </c>
      <c r="T4103">
        <v>-0.10471800000000001</v>
      </c>
      <c r="U4103">
        <v>-0.52098080000000002</v>
      </c>
      <c r="V4103">
        <v>4.3692480000000001E-3</v>
      </c>
      <c r="W4103">
        <v>-6.5053280000000005E-2</v>
      </c>
      <c r="X4103">
        <v>0.99787219999999999</v>
      </c>
      <c r="Y4103">
        <v>0.169577799999999</v>
      </c>
      <c r="Z4103">
        <v>-3.7424429999999998E-3</v>
      </c>
      <c r="AA4103">
        <v>0.98550970000000004</v>
      </c>
      <c r="AB4103">
        <v>29</v>
      </c>
      <c r="AC4103">
        <v>31.785499999999999</v>
      </c>
      <c r="AD4103">
        <v>-1.120474077358</v>
      </c>
      <c r="AE4103">
        <v>-5.5740999999999801</v>
      </c>
      <c r="AF4103">
        <v>5.5176085081079203</v>
      </c>
      <c r="AG4103">
        <v>-1.120474077358</v>
      </c>
      <c r="AH4103">
        <v>31.7559160855584</v>
      </c>
      <c r="AI4103">
        <v>91.990977894283901</v>
      </c>
      <c r="AJ4103">
        <v>80.1432290783235</v>
      </c>
      <c r="AK4103">
        <v>32.251165440024103</v>
      </c>
      <c r="AL4103">
        <v>93.729912435108403</v>
      </c>
      <c r="AM4103">
        <v>89.749128325007305</v>
      </c>
      <c r="AN4103">
        <v>0.99999997354984105</v>
      </c>
    </row>
    <row r="4104" spans="1:40" x14ac:dyDescent="0.25">
      <c r="A4104" t="str">
        <f>"20190303154218007"</f>
        <v>20190303154218007</v>
      </c>
      <c r="B4104" t="str">
        <f>"1551598938003259"</f>
        <v>1551598938003259</v>
      </c>
      <c r="C4104" t="s">
        <v>40</v>
      </c>
      <c r="D4104">
        <v>5.9633139999999996</v>
      </c>
      <c r="E4104">
        <v>0.56359110000000001</v>
      </c>
      <c r="F4104" t="s">
        <v>50</v>
      </c>
      <c r="G4104">
        <v>-368.91320000000002</v>
      </c>
      <c r="H4104" s="1">
        <v>3.2063550000000002E-6</v>
      </c>
      <c r="I4104">
        <v>209.9366</v>
      </c>
      <c r="J4104">
        <v>-399.87380000000002</v>
      </c>
      <c r="K4104">
        <v>1.1204719999999999</v>
      </c>
      <c r="L4104">
        <v>215.34780000000001</v>
      </c>
      <c r="M4104">
        <v>0.99995089999999998</v>
      </c>
      <c r="N4104">
        <v>-9.7897100000000001E-3</v>
      </c>
      <c r="O4104">
        <v>-1.5673929999999901E-3</v>
      </c>
      <c r="P4104">
        <v>0.99718370000000001</v>
      </c>
      <c r="Q4104">
        <v>-7.4807230000000002E-2</v>
      </c>
      <c r="R4104">
        <v>-5.3456140000000003E-3</v>
      </c>
      <c r="S4104">
        <v>2.9973450000000001</v>
      </c>
      <c r="T4104">
        <v>-0.1074624</v>
      </c>
      <c r="U4104">
        <v>-0.51902769999999998</v>
      </c>
      <c r="V4104">
        <v>3.7800939999999999E-3</v>
      </c>
      <c r="W4104">
        <v>-6.5041580000000002E-2</v>
      </c>
      <c r="X4104">
        <v>0.99787539999999997</v>
      </c>
      <c r="Y4104">
        <v>0.16894419999999999</v>
      </c>
      <c r="Z4104">
        <v>-3.7981099999999999E-3</v>
      </c>
      <c r="AA4104">
        <v>0.98561829999999995</v>
      </c>
      <c r="AB4104">
        <v>29</v>
      </c>
      <c r="AC4104">
        <v>30.960599999999999</v>
      </c>
      <c r="AD4104">
        <v>-1.120468793645</v>
      </c>
      <c r="AE4104">
        <v>-5.4112</v>
      </c>
      <c r="AF4104">
        <v>5.3558568178071102</v>
      </c>
      <c r="AG4104">
        <v>-1.120468793645</v>
      </c>
      <c r="AH4104">
        <v>30.9297351021143</v>
      </c>
      <c r="AI4104">
        <v>92.044308232596606</v>
      </c>
      <c r="AJ4104">
        <v>80.175963006016701</v>
      </c>
      <c r="AK4104">
        <v>31.410016970026401</v>
      </c>
      <c r="AL4104">
        <v>93.729240533990904</v>
      </c>
      <c r="AM4104">
        <v>89.782956472943098</v>
      </c>
      <c r="AN4104">
        <v>1.0000000050823501</v>
      </c>
    </row>
    <row r="4105" spans="1:40" x14ac:dyDescent="0.25">
      <c r="A4105" t="str">
        <f>"20190303154218029"</f>
        <v>20190303154218029</v>
      </c>
      <c r="B4105" t="str">
        <f>"1551598938023758"</f>
        <v>1551598938023758</v>
      </c>
      <c r="C4105" t="s">
        <v>40</v>
      </c>
      <c r="D4105">
        <v>5.9109360000000004</v>
      </c>
      <c r="E4105">
        <v>0.56376090000000001</v>
      </c>
      <c r="F4105" t="s">
        <v>50</v>
      </c>
      <c r="G4105">
        <v>-370.11160000000001</v>
      </c>
      <c r="H4105" s="1">
        <v>-1.4774090000000001E-6</v>
      </c>
      <c r="I4105">
        <v>210.1876</v>
      </c>
      <c r="J4105">
        <v>-399.58609999999999</v>
      </c>
      <c r="K4105">
        <v>1.1204670000000001</v>
      </c>
      <c r="L4105">
        <v>215.34739999999999</v>
      </c>
      <c r="M4105">
        <v>0.99995160000000005</v>
      </c>
      <c r="N4105">
        <v>-9.7258980000000002E-3</v>
      </c>
      <c r="O4105">
        <v>-1.567319E-3</v>
      </c>
      <c r="P4105">
        <v>0.99716879999999997</v>
      </c>
      <c r="Q4105">
        <v>-7.5003879999999995E-2</v>
      </c>
      <c r="R4105">
        <v>-5.3992249999999997E-3</v>
      </c>
      <c r="S4105">
        <v>2.9972530000000002</v>
      </c>
      <c r="T4105">
        <v>-0.11283899999999999</v>
      </c>
      <c r="U4105">
        <v>-0.51966859999999904</v>
      </c>
      <c r="V4105">
        <v>3.833773E-3</v>
      </c>
      <c r="W4105">
        <v>-6.5302040000000006E-2</v>
      </c>
      <c r="X4105">
        <v>0.99785820000000003</v>
      </c>
      <c r="Y4105">
        <v>0.16914179999999901</v>
      </c>
      <c r="Z4105">
        <v>-3.9447869999999999E-3</v>
      </c>
      <c r="AA4105">
        <v>0.98558380000000001</v>
      </c>
      <c r="AB4105">
        <v>29</v>
      </c>
      <c r="AC4105">
        <v>29.4744999999999</v>
      </c>
      <c r="AD4105">
        <v>-1.1204684774089999</v>
      </c>
      <c r="AE4105">
        <v>-5.15979999999999</v>
      </c>
      <c r="AF4105">
        <v>5.1064355103018704</v>
      </c>
      <c r="AG4105">
        <v>-1.1204684774089999</v>
      </c>
      <c r="AH4105">
        <v>29.4412699218468</v>
      </c>
      <c r="AI4105">
        <v>92.147465403541403</v>
      </c>
      <c r="AJ4105">
        <v>80.160235230080005</v>
      </c>
      <c r="AK4105">
        <v>29.9018311787218</v>
      </c>
      <c r="AL4105">
        <v>93.744195527425106</v>
      </c>
      <c r="AM4105">
        <v>89.779870595113707</v>
      </c>
      <c r="AN4105">
        <v>1.0000000207754001</v>
      </c>
    </row>
    <row r="4106" spans="1:40" x14ac:dyDescent="0.25">
      <c r="A4106" t="str">
        <f>"20190303154218054"</f>
        <v>20190303154218054</v>
      </c>
      <c r="B4106" t="str">
        <f>"1551598938043275"</f>
        <v>1551598938043275</v>
      </c>
      <c r="C4106" t="s">
        <v>40</v>
      </c>
      <c r="D4106">
        <v>5.906263</v>
      </c>
      <c r="E4106">
        <v>0.56376359999999903</v>
      </c>
      <c r="F4106" t="s">
        <v>50</v>
      </c>
      <c r="G4106">
        <v>-370.76929999999999</v>
      </c>
      <c r="H4106" s="1">
        <v>-1.1274260000000001E-6</v>
      </c>
      <c r="I4106">
        <v>210.33510000000001</v>
      </c>
      <c r="J4106">
        <v>-399.26229999999998</v>
      </c>
      <c r="K4106">
        <v>1.120458</v>
      </c>
      <c r="L4106">
        <v>215.34690000000001</v>
      </c>
      <c r="M4106">
        <v>0.99995230000000002</v>
      </c>
      <c r="N4106">
        <v>-9.6510269999999995E-3</v>
      </c>
      <c r="O4106">
        <v>-1.5669550000000001E-3</v>
      </c>
      <c r="P4106">
        <v>0.99719210000000003</v>
      </c>
      <c r="Q4106">
        <v>-7.4688669999999999E-2</v>
      </c>
      <c r="R4106">
        <v>-5.4594730000000003E-3</v>
      </c>
      <c r="S4106">
        <v>2.9969480000000002</v>
      </c>
      <c r="T4106">
        <v>-0.11652849999999999</v>
      </c>
      <c r="U4106">
        <v>-0.52127079999999903</v>
      </c>
      <c r="V4106">
        <v>3.8942740000000001E-3</v>
      </c>
      <c r="W4106">
        <v>-6.5061330000000001E-2</v>
      </c>
      <c r="X4106">
        <v>0.99787369999999997</v>
      </c>
      <c r="Y4106">
        <v>0.1696616</v>
      </c>
      <c r="Z4106">
        <v>-4.0523970000000001E-3</v>
      </c>
      <c r="AA4106">
        <v>0.98549410000000004</v>
      </c>
      <c r="AB4106">
        <v>29</v>
      </c>
      <c r="AC4106">
        <v>28.492999999999899</v>
      </c>
      <c r="AD4106">
        <v>-1.1204591274259901</v>
      </c>
      <c r="AE4106">
        <v>-5.0117999999999903</v>
      </c>
      <c r="AF4106">
        <v>4.9597051140186403</v>
      </c>
      <c r="AG4106">
        <v>-1.1204591274259901</v>
      </c>
      <c r="AH4106">
        <v>28.458132302527101</v>
      </c>
      <c r="AI4106">
        <v>92.221248787100194</v>
      </c>
      <c r="AJ4106">
        <v>80.113743882551205</v>
      </c>
      <c r="AK4106">
        <v>28.908811764276901</v>
      </c>
      <c r="AL4106">
        <v>93.730374428500795</v>
      </c>
      <c r="AM4106">
        <v>89.776400228065697</v>
      </c>
      <c r="AN4106">
        <v>1.0000000315915201</v>
      </c>
    </row>
    <row r="4107" spans="1:40" x14ac:dyDescent="0.25">
      <c r="A4107" t="str">
        <f>"20190303154218076"</f>
        <v>20190303154218076</v>
      </c>
      <c r="B4107" t="str">
        <f>"1551598938073532"</f>
        <v>1551598938073532</v>
      </c>
      <c r="C4107" t="s">
        <v>40</v>
      </c>
      <c r="D4107">
        <v>5.933808</v>
      </c>
      <c r="E4107">
        <v>0.56386040000000004</v>
      </c>
      <c r="F4107" t="s">
        <v>50</v>
      </c>
      <c r="G4107">
        <v>-370.9932</v>
      </c>
      <c r="H4107" s="1">
        <v>-1.0082459999999999E-6</v>
      </c>
      <c r="I4107">
        <v>210.42500000000001</v>
      </c>
      <c r="J4107">
        <v>-398.97449999999998</v>
      </c>
      <c r="K4107">
        <v>1.1204480000000001</v>
      </c>
      <c r="L4107">
        <v>215.34639999999999</v>
      </c>
      <c r="M4107">
        <v>0.99995290000000003</v>
      </c>
      <c r="N4107">
        <v>-9.5803550000000005E-3</v>
      </c>
      <c r="O4107">
        <v>-1.5662569999999999E-3</v>
      </c>
      <c r="P4107">
        <v>0.99722140000000004</v>
      </c>
      <c r="Q4107">
        <v>-7.4328839999999993E-2</v>
      </c>
      <c r="R4107">
        <v>-4.9820759999999898E-3</v>
      </c>
      <c r="S4107">
        <v>2.9966740000000001</v>
      </c>
      <c r="T4107">
        <v>-0.1187748</v>
      </c>
      <c r="U4107">
        <v>-0.52174379999999998</v>
      </c>
      <c r="V4107">
        <v>3.417589E-3</v>
      </c>
      <c r="W4107">
        <v>-6.4771770000000006E-2</v>
      </c>
      <c r="X4107">
        <v>0.99789419999999995</v>
      </c>
      <c r="Y4107">
        <v>0.1698231</v>
      </c>
      <c r="Z4107">
        <v>-4.1123699999999997E-3</v>
      </c>
      <c r="AA4107">
        <v>0.98546599999999995</v>
      </c>
      <c r="AB4107">
        <v>29</v>
      </c>
      <c r="AC4107">
        <v>27.981299999999901</v>
      </c>
      <c r="AD4107">
        <v>-1.1204490082459999</v>
      </c>
      <c r="AE4107">
        <v>-4.92139999999997</v>
      </c>
      <c r="AF4107">
        <v>4.8699916912115997</v>
      </c>
      <c r="AG4107">
        <v>-1.1204490082459999</v>
      </c>
      <c r="AH4107">
        <v>27.9455102321613</v>
      </c>
      <c r="AI4107">
        <v>92.261937305593193</v>
      </c>
      <c r="AJ4107">
        <v>80.114486598706407</v>
      </c>
      <c r="AK4107">
        <v>28.388796508277402</v>
      </c>
      <c r="AL4107">
        <v>93.713749104488201</v>
      </c>
      <c r="AM4107">
        <v>89.803774127323805</v>
      </c>
      <c r="AN4107">
        <v>0.99999994824857097</v>
      </c>
    </row>
    <row r="4108" spans="1:40" x14ac:dyDescent="0.25">
      <c r="A4108" t="str">
        <f>"20190303154218096"</f>
        <v>20190303154218096</v>
      </c>
      <c r="B4108" t="str">
        <f>"1551598938094028"</f>
        <v>1551598938094028</v>
      </c>
      <c r="C4108" t="s">
        <v>40</v>
      </c>
      <c r="D4108">
        <v>5.9448939999999997</v>
      </c>
      <c r="E4108">
        <v>0.56396999999999997</v>
      </c>
      <c r="F4108" t="s">
        <v>50</v>
      </c>
      <c r="G4108">
        <v>-371.04160000000002</v>
      </c>
      <c r="H4108" s="1">
        <v>-9.8251799999999998E-7</v>
      </c>
      <c r="I4108">
        <v>210.49039999999999</v>
      </c>
      <c r="J4108">
        <v>-398.70139999999998</v>
      </c>
      <c r="K4108">
        <v>1.1204419999999999</v>
      </c>
      <c r="L4108">
        <v>215.346</v>
      </c>
      <c r="M4108">
        <v>0.9999536</v>
      </c>
      <c r="N4108">
        <v>-9.5099620000000003E-3</v>
      </c>
      <c r="O4108">
        <v>-1.565681E-3</v>
      </c>
      <c r="P4108">
        <v>0.99722670000000002</v>
      </c>
      <c r="Q4108">
        <v>-7.4316569999999998E-2</v>
      </c>
      <c r="R4108">
        <v>-3.9890239999999999E-3</v>
      </c>
      <c r="S4108">
        <v>2.9967959999999998</v>
      </c>
      <c r="T4108">
        <v>-0.120208</v>
      </c>
      <c r="U4108">
        <v>-0.52098080000000002</v>
      </c>
      <c r="V4108">
        <v>2.4250970000000002E-3</v>
      </c>
      <c r="W4108">
        <v>-6.4829680000000001E-2</v>
      </c>
      <c r="X4108">
        <v>0.99789340000000004</v>
      </c>
      <c r="Y4108">
        <v>0.16957039999999901</v>
      </c>
      <c r="Z4108">
        <v>-4.1394600000000002E-3</v>
      </c>
      <c r="AA4108">
        <v>0.98550939999999998</v>
      </c>
      <c r="AB4108">
        <v>29</v>
      </c>
      <c r="AC4108">
        <v>27.659799999999901</v>
      </c>
      <c r="AD4108">
        <v>-1.120442982518</v>
      </c>
      <c r="AE4108">
        <v>-4.8555999999999804</v>
      </c>
      <c r="AF4108">
        <v>4.8046374446654001</v>
      </c>
      <c r="AG4108">
        <v>-1.120442982518</v>
      </c>
      <c r="AH4108">
        <v>27.623396676212</v>
      </c>
      <c r="AI4108">
        <v>92.288402282561194</v>
      </c>
      <c r="AJ4108">
        <v>80.133048595348995</v>
      </c>
      <c r="AK4108">
        <v>28.060505650880799</v>
      </c>
      <c r="AL4108">
        <v>93.717073887330201</v>
      </c>
      <c r="AM4108">
        <v>89.860759125703098</v>
      </c>
      <c r="AN4108">
        <v>1.00000000313396</v>
      </c>
    </row>
    <row r="4109" spans="1:40" x14ac:dyDescent="0.25">
      <c r="A4109" t="str">
        <f>"20190303154218118"</f>
        <v>20190303154218118</v>
      </c>
      <c r="B4109" t="str">
        <f>"1551598938114054"</f>
        <v>1551598938114054</v>
      </c>
      <c r="C4109" t="s">
        <v>40</v>
      </c>
      <c r="D4109">
        <v>5.9104650000000003</v>
      </c>
      <c r="E4109">
        <v>0.56419809999999904</v>
      </c>
      <c r="F4109" t="s">
        <v>50</v>
      </c>
      <c r="G4109">
        <v>-371.32029999999997</v>
      </c>
      <c r="H4109" s="1">
        <v>-8.3418200000000002E-7</v>
      </c>
      <c r="I4109">
        <v>210.60400000000001</v>
      </c>
      <c r="J4109">
        <v>-398.41</v>
      </c>
      <c r="K4109">
        <v>1.120428</v>
      </c>
      <c r="L4109">
        <v>215.34549999999999</v>
      </c>
      <c r="M4109">
        <v>0.99995449999999997</v>
      </c>
      <c r="N4109">
        <v>-9.4311240000000008E-3</v>
      </c>
      <c r="O4109">
        <v>-1.5653069999999999E-3</v>
      </c>
      <c r="P4109">
        <v>0.99723459999999997</v>
      </c>
      <c r="Q4109">
        <v>-7.4255650000000006E-2</v>
      </c>
      <c r="R4109">
        <v>-3.0885940000000001E-3</v>
      </c>
      <c r="S4109">
        <v>2.997131</v>
      </c>
      <c r="T4109">
        <v>-0.1226438</v>
      </c>
      <c r="U4109">
        <v>-0.51905820000000003</v>
      </c>
      <c r="V4109">
        <v>1.5250029999999901E-3</v>
      </c>
      <c r="W4109">
        <v>-6.4847340000000003E-2</v>
      </c>
      <c r="X4109">
        <v>0.99789399999999995</v>
      </c>
      <c r="Y4109">
        <v>0.16893329999999901</v>
      </c>
      <c r="Z4109">
        <v>-4.183488E-3</v>
      </c>
      <c r="AA4109">
        <v>0.98561860000000001</v>
      </c>
      <c r="AB4109">
        <v>29</v>
      </c>
      <c r="AC4109">
        <v>27.089700000000001</v>
      </c>
      <c r="AD4109">
        <v>-1.1204288341819999</v>
      </c>
      <c r="AE4109">
        <v>-4.7414999999999701</v>
      </c>
      <c r="AF4109">
        <v>4.6913020045743998</v>
      </c>
      <c r="AG4109">
        <v>-1.1204288341819999</v>
      </c>
      <c r="AH4109">
        <v>27.052187886122798</v>
      </c>
      <c r="AI4109">
        <v>92.336842976261593</v>
      </c>
      <c r="AJ4109">
        <v>80.161797110770195</v>
      </c>
      <c r="AK4109">
        <v>27.478801733275802</v>
      </c>
      <c r="AL4109">
        <v>93.7180879908273</v>
      </c>
      <c r="AM4109">
        <v>89.912439429815507</v>
      </c>
      <c r="AN4109">
        <v>0.99999996918761203</v>
      </c>
    </row>
    <row r="4110" spans="1:40" x14ac:dyDescent="0.25">
      <c r="A4110" t="str">
        <f>"20190303154218142"</f>
        <v>20190303154218142</v>
      </c>
      <c r="B4110" t="str">
        <f>"1551598938133574"</f>
        <v>1551598938133574</v>
      </c>
      <c r="C4110" t="s">
        <v>40</v>
      </c>
      <c r="D4110">
        <v>5.937951</v>
      </c>
      <c r="E4110">
        <v>0.56434410000000002</v>
      </c>
      <c r="F4110" t="s">
        <v>50</v>
      </c>
      <c r="G4110">
        <v>-371.22089999999997</v>
      </c>
      <c r="H4110" s="1">
        <v>-8.8710449999999996E-7</v>
      </c>
      <c r="I4110">
        <v>210.64500000000001</v>
      </c>
      <c r="J4110">
        <v>-398.10270000000003</v>
      </c>
      <c r="K4110">
        <v>1.120417</v>
      </c>
      <c r="L4110">
        <v>215.3451</v>
      </c>
      <c r="M4110">
        <v>0.99995509999999999</v>
      </c>
      <c r="N4110">
        <v>-9.3481229999999998E-3</v>
      </c>
      <c r="O4110">
        <v>-1.564677E-3</v>
      </c>
      <c r="P4110">
        <v>0.9972278</v>
      </c>
      <c r="Q4110">
        <v>-7.4362230000000001E-2</v>
      </c>
      <c r="R4110">
        <v>-2.6923429999999998E-3</v>
      </c>
      <c r="S4110">
        <v>2.9974980000000002</v>
      </c>
      <c r="T4110">
        <v>-0.12352299999999999</v>
      </c>
      <c r="U4110">
        <v>-0.51821899999999999</v>
      </c>
      <c r="V4110">
        <v>1.129498E-3</v>
      </c>
      <c r="W4110">
        <v>-6.5036769999999994E-2</v>
      </c>
      <c r="X4110">
        <v>0.99788220000000005</v>
      </c>
      <c r="Y4110">
        <v>0.16864419999999999</v>
      </c>
      <c r="Z4110">
        <v>-4.192805E-3</v>
      </c>
      <c r="AA4110">
        <v>0.98566810000000005</v>
      </c>
      <c r="AB4110">
        <v>30</v>
      </c>
      <c r="AC4110">
        <v>26.881799999999998</v>
      </c>
      <c r="AD4110">
        <v>-1.1204178871044901</v>
      </c>
      <c r="AE4110">
        <v>-4.7000999999999902</v>
      </c>
      <c r="AF4110">
        <v>4.6501925063772003</v>
      </c>
      <c r="AG4110">
        <v>-1.1204178871044901</v>
      </c>
      <c r="AH4110">
        <v>26.8438723423418</v>
      </c>
      <c r="AI4110">
        <v>92.355007666159693</v>
      </c>
      <c r="AJ4110">
        <v>80.172124948553503</v>
      </c>
      <c r="AK4110">
        <v>27.266703301280401</v>
      </c>
      <c r="AL4110">
        <v>93.728964483267106</v>
      </c>
      <c r="AM4110">
        <v>89.935147214038906</v>
      </c>
      <c r="AN4110">
        <v>0.99999997114730199</v>
      </c>
    </row>
    <row r="4111" spans="1:40" x14ac:dyDescent="0.25">
      <c r="A4111" t="str">
        <f>"20190303154218163"</f>
        <v>20190303154218163</v>
      </c>
      <c r="B4111" t="str">
        <f>"1551598938154069"</f>
        <v>1551598938154069</v>
      </c>
      <c r="C4111" t="s">
        <v>40</v>
      </c>
      <c r="D4111">
        <v>6.0767150000000001</v>
      </c>
      <c r="E4111">
        <v>0.56420490000000001</v>
      </c>
      <c r="F4111" t="s">
        <v>50</v>
      </c>
      <c r="G4111">
        <v>-371.23169999999999</v>
      </c>
      <c r="H4111" s="1">
        <v>-8.8135079999999998E-7</v>
      </c>
      <c r="I4111">
        <v>210.7</v>
      </c>
      <c r="J4111">
        <v>-397.8073</v>
      </c>
      <c r="K4111">
        <v>1.1204069999999999</v>
      </c>
      <c r="L4111">
        <v>215.34460000000001</v>
      </c>
      <c r="M4111">
        <v>0.99995590000000001</v>
      </c>
      <c r="N4111">
        <v>-9.2696510000000003E-3</v>
      </c>
      <c r="O4111">
        <v>-1.5640719999999999E-3</v>
      </c>
      <c r="P4111">
        <v>0.99727880000000002</v>
      </c>
      <c r="Q4111">
        <v>-7.3687660000000002E-2</v>
      </c>
      <c r="R4111">
        <v>-2.339945E-3</v>
      </c>
      <c r="S4111">
        <v>2.99762</v>
      </c>
      <c r="T4111">
        <v>-0.124989</v>
      </c>
      <c r="U4111">
        <v>-0.51818850000000005</v>
      </c>
      <c r="V4111">
        <v>7.7751440000000001E-4</v>
      </c>
      <c r="W4111">
        <v>-6.4440059999999993E-2</v>
      </c>
      <c r="X4111">
        <v>0.99792130000000001</v>
      </c>
      <c r="Y4111">
        <v>0.16862489999999999</v>
      </c>
      <c r="Z4111">
        <v>-4.2255440000000003E-3</v>
      </c>
      <c r="AA4111">
        <v>0.98567119999999997</v>
      </c>
      <c r="AB4111">
        <v>30</v>
      </c>
      <c r="AC4111">
        <v>26.575600000000001</v>
      </c>
      <c r="AD4111">
        <v>-1.1204078813507901</v>
      </c>
      <c r="AE4111">
        <v>-4.64460000000002</v>
      </c>
      <c r="AF4111">
        <v>4.5951011054474398</v>
      </c>
      <c r="AG4111">
        <v>-1.1204078813507901</v>
      </c>
      <c r="AH4111">
        <v>26.537063194950399</v>
      </c>
      <c r="AI4111">
        <v>92.382212016401098</v>
      </c>
      <c r="AJ4111">
        <v>80.176196885747501</v>
      </c>
      <c r="AK4111">
        <v>26.955259060203201</v>
      </c>
      <c r="AL4111">
        <v>93.694703453706495</v>
      </c>
      <c r="AM4111">
        <v>89.955358919970607</v>
      </c>
      <c r="AN4111">
        <v>1.0000000234275599</v>
      </c>
    </row>
    <row r="4112" spans="1:40" x14ac:dyDescent="0.25">
      <c r="A4112" t="str">
        <f>"20190303154218186"</f>
        <v>20190303154218186</v>
      </c>
      <c r="B4112" t="str">
        <f>"1551598938183350"</f>
        <v>1551598938183350</v>
      </c>
      <c r="C4112" t="s">
        <v>40</v>
      </c>
      <c r="D4112">
        <v>5.896077</v>
      </c>
      <c r="E4112">
        <v>0.50887159999999998</v>
      </c>
      <c r="F4112" t="s">
        <v>50</v>
      </c>
      <c r="G4112">
        <v>-370.9307</v>
      </c>
      <c r="H4112" s="1">
        <v>-1.041528E-6</v>
      </c>
      <c r="I4112">
        <v>210.71719999999999</v>
      </c>
      <c r="J4112">
        <v>-397.51459999999997</v>
      </c>
      <c r="K4112">
        <v>1.120393</v>
      </c>
      <c r="L4112">
        <v>215.3441</v>
      </c>
      <c r="M4112">
        <v>0.99995650000000003</v>
      </c>
      <c r="N4112">
        <v>-9.1941109999999996E-3</v>
      </c>
      <c r="O4112">
        <v>-1.5633649999999999E-3</v>
      </c>
      <c r="P4112">
        <v>0.9973282</v>
      </c>
      <c r="Q4112">
        <v>-7.3007429999999998E-2</v>
      </c>
      <c r="R4112">
        <v>-2.573129E-3</v>
      </c>
      <c r="S4112">
        <v>2.9977719999999999</v>
      </c>
      <c r="T4112">
        <v>-0.1249686</v>
      </c>
      <c r="U4112">
        <v>-0.51612849999999999</v>
      </c>
      <c r="V4112">
        <v>1.0113679999999999E-3</v>
      </c>
      <c r="W4112">
        <v>-6.383482E-2</v>
      </c>
      <c r="X4112">
        <v>0.99795999999999996</v>
      </c>
      <c r="Y4112">
        <v>0.16796050000000001</v>
      </c>
      <c r="Z4112">
        <v>-4.2016329999999998E-3</v>
      </c>
      <c r="AA4112">
        <v>0.98578480000000002</v>
      </c>
      <c r="AB4112">
        <v>30</v>
      </c>
      <c r="AC4112">
        <v>26.5838999999999</v>
      </c>
      <c r="AD4112">
        <v>-1.120394041528</v>
      </c>
      <c r="AE4112">
        <v>-4.6269</v>
      </c>
      <c r="AF4112">
        <v>4.5774406295428296</v>
      </c>
      <c r="AG4112">
        <v>-1.120394041528</v>
      </c>
      <c r="AH4112">
        <v>26.545336539762602</v>
      </c>
      <c r="AI4112">
        <v>92.381728115424394</v>
      </c>
      <c r="AJ4112">
        <v>80.216212758570506</v>
      </c>
      <c r="AK4112">
        <v>26.960399432028701</v>
      </c>
      <c r="AL4112">
        <v>93.659954170251297</v>
      </c>
      <c r="AM4112">
        <v>89.941934448177904</v>
      </c>
      <c r="AN4112">
        <v>1.0000000343548301</v>
      </c>
    </row>
    <row r="4113" spans="1:40" x14ac:dyDescent="0.25">
      <c r="A4113" t="str">
        <f>"20190303154218208"</f>
        <v>20190303154218208</v>
      </c>
      <c r="B4113" t="str">
        <f>"1551598938203847"</f>
        <v>1551598938203847</v>
      </c>
      <c r="C4113" t="s">
        <v>40</v>
      </c>
      <c r="D4113">
        <v>5.869777</v>
      </c>
      <c r="E4113">
        <v>0.50352609999999998</v>
      </c>
      <c r="F4113" t="s">
        <v>50</v>
      </c>
      <c r="G4113">
        <v>-382.38929999999999</v>
      </c>
      <c r="H4113" s="1">
        <v>-2.7980629999999999E-7</v>
      </c>
      <c r="I4113">
        <v>214.94739999999999</v>
      </c>
      <c r="J4113">
        <v>-397.2167</v>
      </c>
      <c r="K4113">
        <v>1.120384</v>
      </c>
      <c r="L4113">
        <v>215.34370000000001</v>
      </c>
      <c r="M4113">
        <v>0.99995730000000005</v>
      </c>
      <c r="N4113">
        <v>-9.1182559999999999E-3</v>
      </c>
      <c r="O4113">
        <v>-1.5630170000000001E-3</v>
      </c>
      <c r="P4113">
        <v>0.99732659999999995</v>
      </c>
      <c r="Q4113">
        <v>-7.3011259999999994E-2</v>
      </c>
      <c r="R4113">
        <v>-3.0670929999999999E-3</v>
      </c>
      <c r="S4113">
        <v>2.9915769999999999</v>
      </c>
      <c r="T4113">
        <v>-0.22159870000000001</v>
      </c>
      <c r="U4113">
        <v>-7.8475950000000003E-2</v>
      </c>
      <c r="V4113">
        <v>1.5055979999999999E-3</v>
      </c>
      <c r="W4113">
        <v>-6.3914369999999998E-2</v>
      </c>
      <c r="X4113">
        <v>0.99795420000000001</v>
      </c>
      <c r="Y4113">
        <v>2.4588369999999998E-2</v>
      </c>
      <c r="Z4113">
        <v>-9.2020809999999998E-4</v>
      </c>
      <c r="AA4113">
        <v>0.99969719999999995</v>
      </c>
      <c r="AB4113">
        <v>30</v>
      </c>
      <c r="AC4113">
        <v>14.827400000000001</v>
      </c>
      <c r="AD4113">
        <v>-1.1203842798063</v>
      </c>
      <c r="AE4113">
        <v>-0.39630000000002402</v>
      </c>
      <c r="AF4113">
        <v>0.37100629905053001</v>
      </c>
      <c r="AG4113">
        <v>-1.1203842798063</v>
      </c>
      <c r="AH4113">
        <v>14.743880096433999</v>
      </c>
      <c r="AI4113">
        <v>94.344172568894805</v>
      </c>
      <c r="AJ4113">
        <v>88.558547001957507</v>
      </c>
      <c r="AK4113">
        <v>14.7910414408991</v>
      </c>
      <c r="AL4113">
        <v>93.664521687611</v>
      </c>
      <c r="AM4113">
        <v>89.913558813025901</v>
      </c>
      <c r="AN4113">
        <v>0.99999994940773596</v>
      </c>
    </row>
    <row r="4114" spans="1:40" x14ac:dyDescent="0.25">
      <c r="A4114" t="str">
        <f>"20190303154218231"</f>
        <v>20190303154218231</v>
      </c>
      <c r="B4114" t="str">
        <f>"1551598938223367"</f>
        <v>1551598938223367</v>
      </c>
      <c r="C4114" t="s">
        <v>40</v>
      </c>
      <c r="D4114">
        <v>5.8174530000000004</v>
      </c>
      <c r="E4114">
        <v>0.50095290000000003</v>
      </c>
      <c r="F4114" t="s">
        <v>50</v>
      </c>
      <c r="G4114">
        <v>-381.77499999999998</v>
      </c>
      <c r="H4114" s="1">
        <v>-6.1561379999999996E-7</v>
      </c>
      <c r="I4114">
        <v>215.15090000000001</v>
      </c>
      <c r="J4114">
        <v>-396.91050000000001</v>
      </c>
      <c r="K4114">
        <v>1.1203730000000001</v>
      </c>
      <c r="L4114">
        <v>215.3432</v>
      </c>
      <c r="M4114">
        <v>0.99995789999999996</v>
      </c>
      <c r="N4114">
        <v>-9.0416070000000001E-3</v>
      </c>
      <c r="O4114">
        <v>-1.5623099999999999E-3</v>
      </c>
      <c r="P4114">
        <v>0.9973339</v>
      </c>
      <c r="Q4114">
        <v>-7.2884009999999999E-2</v>
      </c>
      <c r="R4114">
        <v>-3.610673E-3</v>
      </c>
      <c r="S4114">
        <v>2.992035</v>
      </c>
      <c r="T4114">
        <v>-0.21708920000000001</v>
      </c>
      <c r="U4114">
        <v>-3.7353520000000001E-2</v>
      </c>
      <c r="V4114">
        <v>2.0500269999999998E-3</v>
      </c>
      <c r="W4114">
        <v>-6.386356E-2</v>
      </c>
      <c r="X4114">
        <v>0.99795650000000002</v>
      </c>
      <c r="Y4114">
        <v>1.0892020000000001E-2</v>
      </c>
      <c r="Z4114">
        <v>-3.4482970000000002E-4</v>
      </c>
      <c r="AA4114">
        <v>0.99994059999999996</v>
      </c>
      <c r="AB4114">
        <v>30</v>
      </c>
      <c r="AC4114">
        <v>15.1355</v>
      </c>
      <c r="AD4114">
        <v>-1.1203736156138</v>
      </c>
      <c r="AE4114">
        <v>-0.19229999999998801</v>
      </c>
      <c r="AF4114">
        <v>0.16773352655384999</v>
      </c>
      <c r="AG4114">
        <v>-1.1203736156138</v>
      </c>
      <c r="AH4114">
        <v>15.053312317307</v>
      </c>
      <c r="AI4114">
        <v>94.2562446494602</v>
      </c>
      <c r="AJ4114">
        <v>89.361600606986698</v>
      </c>
      <c r="AK4114">
        <v>15.095879679464799</v>
      </c>
      <c r="AL4114">
        <v>93.661604466887894</v>
      </c>
      <c r="AM4114">
        <v>89.882301753863501</v>
      </c>
      <c r="AN4114">
        <v>0.99999996639941102</v>
      </c>
    </row>
    <row r="4115" spans="1:40" x14ac:dyDescent="0.25">
      <c r="A4115" t="str">
        <f>"20190303154218255"</f>
        <v>20190303154218255</v>
      </c>
      <c r="B4115" t="str">
        <f>"1551598938243861"</f>
        <v>1551598938243861</v>
      </c>
      <c r="C4115" t="s">
        <v>40</v>
      </c>
      <c r="D4115">
        <v>5.8088220000000002</v>
      </c>
      <c r="E4115">
        <v>0.4993553</v>
      </c>
      <c r="F4115" t="s">
        <v>50</v>
      </c>
      <c r="G4115">
        <v>-381.24380000000002</v>
      </c>
      <c r="H4115" s="1">
        <v>-9.024938E-7</v>
      </c>
      <c r="I4115">
        <v>215.24760000000001</v>
      </c>
      <c r="J4115">
        <v>-396.58839999999998</v>
      </c>
      <c r="K4115">
        <v>1.120357</v>
      </c>
      <c r="L4115">
        <v>215.34270000000001</v>
      </c>
      <c r="M4115">
        <v>0.99995869999999998</v>
      </c>
      <c r="N4115">
        <v>-8.9629589999999995E-3</v>
      </c>
      <c r="O4115">
        <v>-1.561836E-3</v>
      </c>
      <c r="P4115">
        <v>0.99734599999999995</v>
      </c>
      <c r="Q4115">
        <v>-7.2701329999999995E-2</v>
      </c>
      <c r="R4115">
        <v>-3.9694939999999996E-3</v>
      </c>
      <c r="S4115">
        <v>2.9923099999999998</v>
      </c>
      <c r="T4115">
        <v>-0.21398929999999999</v>
      </c>
      <c r="U4115">
        <v>-1.826477E-2</v>
      </c>
      <c r="V4115">
        <v>2.4092290000000001E-3</v>
      </c>
      <c r="W4115">
        <v>-6.3759270000000007E-2</v>
      </c>
      <c r="X4115">
        <v>0.99796240000000003</v>
      </c>
      <c r="Y4115">
        <v>4.5319369999999998E-3</v>
      </c>
      <c r="Z4115" s="1">
        <v>-8.4612929999999898E-5</v>
      </c>
      <c r="AA4115">
        <v>0.99998969999999998</v>
      </c>
      <c r="AB4115">
        <v>30</v>
      </c>
      <c r="AC4115">
        <v>15.3445999999999</v>
      </c>
      <c r="AD4115">
        <v>-1.1203579024938</v>
      </c>
      <c r="AE4115">
        <v>-9.51000000000021E-2</v>
      </c>
      <c r="AF4115">
        <v>7.0755994442763495E-2</v>
      </c>
      <c r="AG4115">
        <v>-1.1203579024938</v>
      </c>
      <c r="AH4115">
        <v>15.263365118899401</v>
      </c>
      <c r="AI4115">
        <v>94.198037558220094</v>
      </c>
      <c r="AJ4115">
        <v>89.734397311076293</v>
      </c>
      <c r="AK4115">
        <v>15.3045915657121</v>
      </c>
      <c r="AL4115">
        <v>93.655616762704298</v>
      </c>
      <c r="AM4115">
        <v>89.861679773292806</v>
      </c>
      <c r="AN4115">
        <v>1.00000000035453</v>
      </c>
    </row>
    <row r="4116" spans="1:40" x14ac:dyDescent="0.25">
      <c r="A4116" t="str">
        <f>"20190303154218278"</f>
        <v>20190303154218278</v>
      </c>
      <c r="B4116" t="str">
        <f>"1551598938274118"</f>
        <v>1551598938274118</v>
      </c>
      <c r="C4116" t="s">
        <v>40</v>
      </c>
      <c r="D4116">
        <v>5.8445710000000002</v>
      </c>
      <c r="E4116">
        <v>0.49778549999999999</v>
      </c>
      <c r="F4116" t="s">
        <v>50</v>
      </c>
      <c r="G4116">
        <v>-380.86320000000001</v>
      </c>
      <c r="H4116" s="1">
        <v>-1.10767E-6</v>
      </c>
      <c r="I4116">
        <v>215.30760000000001</v>
      </c>
      <c r="J4116">
        <v>-396.2937</v>
      </c>
      <c r="K4116">
        <v>1.1203479999999999</v>
      </c>
      <c r="L4116">
        <v>215.34219999999999</v>
      </c>
      <c r="M4116">
        <v>0.99995919999999905</v>
      </c>
      <c r="N4116">
        <v>-8.8912839999999993E-3</v>
      </c>
      <c r="O4116">
        <v>-1.561158E-3</v>
      </c>
      <c r="P4116">
        <v>0.997363</v>
      </c>
      <c r="Q4116">
        <v>-7.2458040000000001E-2</v>
      </c>
      <c r="R4116">
        <v>-4.1064159999999999E-3</v>
      </c>
      <c r="S4116">
        <v>2.992432</v>
      </c>
      <c r="T4116">
        <v>-0.21319779999999999</v>
      </c>
      <c r="U4116">
        <v>-6.6833500000000002E-3</v>
      </c>
      <c r="V4116">
        <v>2.5468420000000001E-3</v>
      </c>
      <c r="W4116">
        <v>-6.3587389999999994E-2</v>
      </c>
      <c r="X4116">
        <v>0.997973</v>
      </c>
      <c r="Y4116">
        <v>6.7330419999999996E-4</v>
      </c>
      <c r="Z4116" s="1">
        <v>7.0266959999999994E-5</v>
      </c>
      <c r="AA4116">
        <v>0.99999979999999999</v>
      </c>
      <c r="AB4116">
        <v>30</v>
      </c>
      <c r="AC4116">
        <v>15.430499999999901</v>
      </c>
      <c r="AD4116">
        <v>-1.1203491076699901</v>
      </c>
      <c r="AE4116">
        <v>-3.4599999999983297E-2</v>
      </c>
      <c r="AF4116">
        <v>1.0454443868700499E-2</v>
      </c>
      <c r="AG4116">
        <v>-1.1203491076699901</v>
      </c>
      <c r="AH4116">
        <v>15.3496177739635</v>
      </c>
      <c r="AI4116">
        <v>94.174542628019097</v>
      </c>
      <c r="AJ4116">
        <v>89.960976525472304</v>
      </c>
      <c r="AK4116">
        <v>15.390453444432</v>
      </c>
      <c r="AL4116">
        <v>93.645748830056306</v>
      </c>
      <c r="AM4116">
        <v>89.853780632442806</v>
      </c>
      <c r="AN4116">
        <v>0.99999997565009202</v>
      </c>
    </row>
    <row r="4117" spans="1:40" x14ac:dyDescent="0.25">
      <c r="A4117" t="str">
        <f>"20190303154218299"</f>
        <v>20190303154218299</v>
      </c>
      <c r="B4117" t="str">
        <f>"1551598938293638"</f>
        <v>1551598938293638</v>
      </c>
      <c r="C4117" t="s">
        <v>40</v>
      </c>
      <c r="D4117">
        <v>5.8127750000000002</v>
      </c>
      <c r="E4117">
        <v>0.49670199999999998</v>
      </c>
      <c r="F4117" t="s">
        <v>50</v>
      </c>
      <c r="G4117">
        <v>-380.91500000000002</v>
      </c>
      <c r="H4117" s="1">
        <v>-1.0827700000000001E-6</v>
      </c>
      <c r="I4117">
        <v>215.36959999999999</v>
      </c>
      <c r="J4117">
        <v>-396.00240000000002</v>
      </c>
      <c r="K4117">
        <v>1.1203350000000001</v>
      </c>
      <c r="L4117">
        <v>215.34180000000001</v>
      </c>
      <c r="M4117">
        <v>0.99995990000000001</v>
      </c>
      <c r="N4117">
        <v>-8.8191709999999902E-3</v>
      </c>
      <c r="O4117">
        <v>-1.5604799999999999E-3</v>
      </c>
      <c r="P4117">
        <v>0.99738559999999998</v>
      </c>
      <c r="Q4117">
        <v>-7.2155070000000002E-2</v>
      </c>
      <c r="R4117">
        <v>-3.9545639999999998E-3</v>
      </c>
      <c r="S4117">
        <v>2.9921259999999998</v>
      </c>
      <c r="T4117">
        <v>-0.21797920000000001</v>
      </c>
      <c r="U4117">
        <v>5.3253170000000004E-3</v>
      </c>
      <c r="V4117">
        <v>2.3956680000000001E-3</v>
      </c>
      <c r="W4117">
        <v>-6.3356209999999996E-2</v>
      </c>
      <c r="X4117">
        <v>0.99798810000000004</v>
      </c>
      <c r="Y4117">
        <v>-3.3272280000000002E-3</v>
      </c>
      <c r="Z4117">
        <v>2.355146E-4</v>
      </c>
      <c r="AA4117">
        <v>0.99999450000000001</v>
      </c>
      <c r="AB4117">
        <v>30</v>
      </c>
      <c r="AC4117">
        <v>15.087400000000001</v>
      </c>
      <c r="AD4117">
        <v>-1.12033608277</v>
      </c>
      <c r="AE4117">
        <v>2.7799999999984899E-2</v>
      </c>
      <c r="AF4117">
        <v>-5.1062906957543702E-2</v>
      </c>
      <c r="AG4117">
        <v>-1.12033608277</v>
      </c>
      <c r="AH4117">
        <v>15.0046029411478</v>
      </c>
      <c r="AI4117">
        <v>94.270107584072903</v>
      </c>
      <c r="AJ4117">
        <v>90.194985350517996</v>
      </c>
      <c r="AK4117">
        <v>15.046457050758701</v>
      </c>
      <c r="AL4117">
        <v>93.632476347493807</v>
      </c>
      <c r="AM4117">
        <v>89.862461885203004</v>
      </c>
      <c r="AN4117">
        <v>0.99999999815617002</v>
      </c>
    </row>
    <row r="4118" spans="1:40" x14ac:dyDescent="0.25">
      <c r="A4118" t="str">
        <f>"20190303154218320"</f>
        <v>20190303154218320</v>
      </c>
      <c r="B4118" t="str">
        <f>"1551598938313666"</f>
        <v>1551598938313666</v>
      </c>
      <c r="C4118" t="s">
        <v>40</v>
      </c>
      <c r="D4118">
        <v>5.8305709999999999</v>
      </c>
      <c r="E4118">
        <v>0.49596580000000001</v>
      </c>
      <c r="F4118" t="s">
        <v>50</v>
      </c>
      <c r="G4118">
        <v>-380.90690000000001</v>
      </c>
      <c r="H4118" s="1">
        <v>-1.089052E-6</v>
      </c>
      <c r="I4118">
        <v>215.4134</v>
      </c>
      <c r="J4118">
        <v>-395.71719999999999</v>
      </c>
      <c r="K4118">
        <v>1.1203299999999901</v>
      </c>
      <c r="L4118">
        <v>215.34129999999999</v>
      </c>
      <c r="M4118">
        <v>0.99996059999999998</v>
      </c>
      <c r="N4118">
        <v>-8.7498090000000008E-3</v>
      </c>
      <c r="O4118">
        <v>-1.560175E-3</v>
      </c>
      <c r="P4118">
        <v>0.9973843</v>
      </c>
      <c r="Q4118">
        <v>-7.2161600000000006E-2</v>
      </c>
      <c r="R4118">
        <v>-4.1614490000000002E-3</v>
      </c>
      <c r="S4118">
        <v>2.9918819999999999</v>
      </c>
      <c r="T4118">
        <v>-0.2220463</v>
      </c>
      <c r="U4118">
        <v>1.420593E-2</v>
      </c>
      <c r="V4118">
        <v>2.6028990000000001E-3</v>
      </c>
      <c r="W4118">
        <v>-6.3431989999999994E-2</v>
      </c>
      <c r="X4118">
        <v>0.9979827</v>
      </c>
      <c r="Y4118">
        <v>-6.2856479999999996E-3</v>
      </c>
      <c r="Z4118">
        <v>3.6246489999999999E-4</v>
      </c>
      <c r="AA4118">
        <v>0.99998019999999999</v>
      </c>
      <c r="AB4118">
        <v>30</v>
      </c>
      <c r="AC4118">
        <v>14.8102999999999</v>
      </c>
      <c r="AD4118">
        <v>-1.12033108905199</v>
      </c>
      <c r="AE4118">
        <v>7.2100000000006007E-2</v>
      </c>
      <c r="AF4118">
        <v>-9.4665768203011397E-2</v>
      </c>
      <c r="AG4118">
        <v>-1.12033108905199</v>
      </c>
      <c r="AH4118">
        <v>14.7259065012422</v>
      </c>
      <c r="AI4118">
        <v>94.350530696427995</v>
      </c>
      <c r="AJ4118">
        <v>90.368321927573504</v>
      </c>
      <c r="AK4118">
        <v>14.7687652036348</v>
      </c>
      <c r="AL4118">
        <v>93.636827217324594</v>
      </c>
      <c r="AM4118">
        <v>89.850563753223099</v>
      </c>
      <c r="AN4118">
        <v>0.99999993096892403</v>
      </c>
    </row>
    <row r="4119" spans="1:40" x14ac:dyDescent="0.25">
      <c r="A4119" t="str">
        <f>"20190303154218342"</f>
        <v>20190303154218342</v>
      </c>
      <c r="B4119" t="str">
        <f>"1551598938334162"</f>
        <v>1551598938334162</v>
      </c>
      <c r="C4119" t="s">
        <v>40</v>
      </c>
      <c r="D4119">
        <v>5.7811919999999999</v>
      </c>
      <c r="E4119">
        <v>0.49534119999999998</v>
      </c>
      <c r="F4119" t="s">
        <v>50</v>
      </c>
      <c r="G4119">
        <v>-380.87990000000002</v>
      </c>
      <c r="H4119" s="1">
        <v>-1.1044139999999999E-6</v>
      </c>
      <c r="I4119">
        <v>215.43700000000001</v>
      </c>
      <c r="J4119">
        <v>-395.4085</v>
      </c>
      <c r="K4119">
        <v>1.1203190000000001</v>
      </c>
      <c r="L4119">
        <v>215.3408</v>
      </c>
      <c r="M4119">
        <v>0.99996110000000005</v>
      </c>
      <c r="N4119">
        <v>-8.6758600000000005E-3</v>
      </c>
      <c r="O4119">
        <v>-1.559614E-3</v>
      </c>
      <c r="P4119">
        <v>0.99738899999999997</v>
      </c>
      <c r="Q4119">
        <v>-7.2100590000000006E-2</v>
      </c>
      <c r="R4119">
        <v>-4.1418330000000001E-3</v>
      </c>
      <c r="S4119">
        <v>2.9915769999999999</v>
      </c>
      <c r="T4119">
        <v>-0.22588800000000001</v>
      </c>
      <c r="U4119">
        <v>1.928711E-2</v>
      </c>
      <c r="V4119">
        <v>2.5836940000000001E-3</v>
      </c>
      <c r="W4119">
        <v>-6.3444710000000001E-2</v>
      </c>
      <c r="X4119">
        <v>0.99798200000000004</v>
      </c>
      <c r="Y4119">
        <v>-7.9778330000000001E-3</v>
      </c>
      <c r="Z4119">
        <v>4.3950780000000001E-4</v>
      </c>
      <c r="AA4119">
        <v>0.99996810000000003</v>
      </c>
      <c r="AB4119">
        <v>30</v>
      </c>
      <c r="AC4119">
        <v>14.5285999999999</v>
      </c>
      <c r="AD4119">
        <v>-1.1203201044140001</v>
      </c>
      <c r="AE4119">
        <v>9.6200000000010194E-2</v>
      </c>
      <c r="AF4119">
        <v>-0.118157193867271</v>
      </c>
      <c r="AG4119">
        <v>-1.1203201044140001</v>
      </c>
      <c r="AH4119">
        <v>14.442558264711799</v>
      </c>
      <c r="AI4119">
        <v>94.435446437627405</v>
      </c>
      <c r="AJ4119">
        <v>90.468736727185998</v>
      </c>
      <c r="AK4119">
        <v>14.4864270090458</v>
      </c>
      <c r="AL4119">
        <v>93.637557277393398</v>
      </c>
      <c r="AM4119">
        <v>89.851666231434706</v>
      </c>
      <c r="AN4119">
        <v>0.99999998951283398</v>
      </c>
    </row>
    <row r="4120" spans="1:40" x14ac:dyDescent="0.25">
      <c r="A4120" t="str">
        <f>"20190303154218365"</f>
        <v>20190303154218365</v>
      </c>
      <c r="B4120" t="str">
        <f>"1551598938353685"</f>
        <v>1551598938353685</v>
      </c>
      <c r="C4120" t="s">
        <v>40</v>
      </c>
      <c r="D4120">
        <v>5.8049589999999904</v>
      </c>
      <c r="E4120">
        <v>0.49496990000000002</v>
      </c>
      <c r="F4120" t="s">
        <v>50</v>
      </c>
      <c r="G4120">
        <v>-380.77789999999999</v>
      </c>
      <c r="H4120" s="1">
        <v>-1.159741E-6</v>
      </c>
      <c r="I4120">
        <v>215.4605</v>
      </c>
      <c r="J4120">
        <v>-395.10849999999999</v>
      </c>
      <c r="K4120">
        <v>1.120306</v>
      </c>
      <c r="L4120">
        <v>215.34039999999999</v>
      </c>
      <c r="M4120">
        <v>0.99996189999999996</v>
      </c>
      <c r="N4120">
        <v>-8.6031609999999998E-3</v>
      </c>
      <c r="O4120">
        <v>-1.5592990000000001E-3</v>
      </c>
      <c r="P4120">
        <v>0.99741780000000002</v>
      </c>
      <c r="Q4120">
        <v>-7.1684490000000003E-2</v>
      </c>
      <c r="R4120">
        <v>-4.3947650000000001E-3</v>
      </c>
      <c r="S4120">
        <v>2.991425</v>
      </c>
      <c r="T4120">
        <v>-0.2290642</v>
      </c>
      <c r="U4120">
        <v>2.445984E-2</v>
      </c>
      <c r="V4120">
        <v>2.8371400000000001E-3</v>
      </c>
      <c r="W4120">
        <v>-6.3100959999999998E-2</v>
      </c>
      <c r="X4120">
        <v>0.99800310000000003</v>
      </c>
      <c r="Y4120">
        <v>-9.7004819999999999E-3</v>
      </c>
      <c r="Z4120">
        <v>5.1847549999999997E-4</v>
      </c>
      <c r="AA4120">
        <v>0.99995279999999998</v>
      </c>
      <c r="AB4120">
        <v>30</v>
      </c>
      <c r="AC4120">
        <v>14.3306</v>
      </c>
      <c r="AD4120">
        <v>-1.1203071597409999</v>
      </c>
      <c r="AE4120">
        <v>0.12010000000000701</v>
      </c>
      <c r="AF4120">
        <v>-0.14158116063606799</v>
      </c>
      <c r="AG4120">
        <v>-1.1203071597409999</v>
      </c>
      <c r="AH4120">
        <v>14.2433536251677</v>
      </c>
      <c r="AI4120">
        <v>94.497103834307893</v>
      </c>
      <c r="AJ4120">
        <v>90.569510244489294</v>
      </c>
      <c r="AK4120">
        <v>14.288045907288801</v>
      </c>
      <c r="AL4120">
        <v>93.617822329009996</v>
      </c>
      <c r="AM4120">
        <v>89.837119033012101</v>
      </c>
      <c r="AN4120">
        <v>0.99999998406295498</v>
      </c>
    </row>
    <row r="4121" spans="1:40" x14ac:dyDescent="0.25">
      <c r="A4121" t="str">
        <f>"20190303154218386"</f>
        <v>20190303154218386</v>
      </c>
      <c r="B4121" t="str">
        <f>"1551598938383938"</f>
        <v>1551598938383938</v>
      </c>
      <c r="C4121" t="s">
        <v>40</v>
      </c>
      <c r="D4121">
        <v>5.8374249999999996</v>
      </c>
      <c r="E4121">
        <v>0.4944791</v>
      </c>
      <c r="F4121" t="s">
        <v>50</v>
      </c>
      <c r="G4121">
        <v>-380.52890000000002</v>
      </c>
      <c r="H4121" s="1">
        <v>-1.2926280000000001E-6</v>
      </c>
      <c r="I4121">
        <v>215.46979999999999</v>
      </c>
      <c r="J4121">
        <v>-394.8125</v>
      </c>
      <c r="K4121">
        <v>1.1202970000000001</v>
      </c>
      <c r="L4121">
        <v>215.3399</v>
      </c>
      <c r="M4121">
        <v>0.99996240000000003</v>
      </c>
      <c r="N4121">
        <v>-8.5299620000000003E-3</v>
      </c>
      <c r="O4121">
        <v>-1.5586269999999999E-3</v>
      </c>
      <c r="P4121">
        <v>0.99742229999999998</v>
      </c>
      <c r="Q4121">
        <v>-7.1635599999999994E-2</v>
      </c>
      <c r="R4121">
        <v>-4.1531449999999996E-3</v>
      </c>
      <c r="S4121">
        <v>2.9913940000000001</v>
      </c>
      <c r="T4121">
        <v>-0.22986200000000001</v>
      </c>
      <c r="U4121">
        <v>2.6550290000000001E-2</v>
      </c>
      <c r="V4121">
        <v>2.596012E-3</v>
      </c>
      <c r="W4121">
        <v>-6.3125089999999995E-2</v>
      </c>
      <c r="X4121">
        <v>0.99800219999999995</v>
      </c>
      <c r="Y4121">
        <v>-1.039613E-2</v>
      </c>
      <c r="Z4121">
        <v>5.4955339999999996E-4</v>
      </c>
      <c r="AA4121">
        <v>0.9999458</v>
      </c>
      <c r="AB4121">
        <v>30</v>
      </c>
      <c r="AC4121">
        <v>14.2835999999999</v>
      </c>
      <c r="AD4121">
        <v>-1.1202982926279901</v>
      </c>
      <c r="AE4121">
        <v>0.12989999999999199</v>
      </c>
      <c r="AF4121">
        <v>-0.15123319932378401</v>
      </c>
      <c r="AG4121">
        <v>-1.1202982926279901</v>
      </c>
      <c r="AH4121">
        <v>14.1960581425455</v>
      </c>
      <c r="AI4121">
        <v>94.511956037810293</v>
      </c>
      <c r="AJ4121">
        <v>90.610359311021796</v>
      </c>
      <c r="AK4121">
        <v>14.2409973854213</v>
      </c>
      <c r="AL4121">
        <v>93.619207747871599</v>
      </c>
      <c r="AM4121">
        <v>89.850962056303004</v>
      </c>
      <c r="AN4121">
        <v>0.99999995373532502</v>
      </c>
    </row>
    <row r="4122" spans="1:40" x14ac:dyDescent="0.25">
      <c r="A4122" t="str">
        <f>"20190303154218409"</f>
        <v>20190303154218409</v>
      </c>
      <c r="B4122" t="str">
        <f>"1551598938403458"</f>
        <v>1551598938403458</v>
      </c>
      <c r="C4122" t="s">
        <v>40</v>
      </c>
      <c r="D4122">
        <v>5.8255710000000001</v>
      </c>
      <c r="E4122">
        <v>0.49420199999999997</v>
      </c>
      <c r="F4122" t="s">
        <v>50</v>
      </c>
      <c r="G4122">
        <v>-380.37810000000002</v>
      </c>
      <c r="H4122" s="1">
        <v>-1.3737289999999901E-6</v>
      </c>
      <c r="I4122">
        <v>215.48949999999999</v>
      </c>
      <c r="J4122">
        <v>-394.50909999999999</v>
      </c>
      <c r="K4122">
        <v>1.120287</v>
      </c>
      <c r="L4122">
        <v>215.33940000000001</v>
      </c>
      <c r="M4122">
        <v>0.99996300000000005</v>
      </c>
      <c r="N4122">
        <v>-8.4548090000000006E-3</v>
      </c>
      <c r="O4122">
        <v>-1.558069E-3</v>
      </c>
      <c r="P4122">
        <v>0.99743320000000002</v>
      </c>
      <c r="Q4122">
        <v>-7.1504460000000006E-2</v>
      </c>
      <c r="R4122">
        <v>-3.7713360000000001E-3</v>
      </c>
      <c r="S4122">
        <v>2.991241</v>
      </c>
      <c r="T4122">
        <v>-0.23216059999999999</v>
      </c>
      <c r="U4122">
        <v>3.09906E-2</v>
      </c>
      <c r="V4122">
        <v>2.21485E-3</v>
      </c>
      <c r="W4122">
        <v>-6.3068840000000001E-2</v>
      </c>
      <c r="X4122">
        <v>0.99800670000000002</v>
      </c>
      <c r="Y4122">
        <v>-1.1874590000000001E-2</v>
      </c>
      <c r="Z4122">
        <v>6.1798129999999997E-4</v>
      </c>
      <c r="AA4122">
        <v>0.99992930000000002</v>
      </c>
      <c r="AB4122">
        <v>30</v>
      </c>
      <c r="AC4122">
        <v>14.130999999999901</v>
      </c>
      <c r="AD4122">
        <v>-1.1202883737289999</v>
      </c>
      <c r="AE4122">
        <v>0.15009999999998</v>
      </c>
      <c r="AF4122">
        <v>-0.17104277496341799</v>
      </c>
      <c r="AG4122">
        <v>-1.1202883737289999</v>
      </c>
      <c r="AH4122">
        <v>14.0425000718849</v>
      </c>
      <c r="AI4122">
        <v>94.560968894166706</v>
      </c>
      <c r="AJ4122">
        <v>90.697848991722594</v>
      </c>
      <c r="AK4122">
        <v>14.088154951591999</v>
      </c>
      <c r="AL4122">
        <v>93.615978335016607</v>
      </c>
      <c r="AM4122">
        <v>89.872845193406306</v>
      </c>
      <c r="AN4122">
        <v>0.99999997869217805</v>
      </c>
    </row>
    <row r="4123" spans="1:40" x14ac:dyDescent="0.25">
      <c r="A4123" t="str">
        <f>"20190303154218431"</f>
        <v>20190303154218431</v>
      </c>
      <c r="B4123" t="str">
        <f>"1551598938423954"</f>
        <v>1551598938423954</v>
      </c>
      <c r="C4123" t="s">
        <v>40</v>
      </c>
      <c r="D4123">
        <v>5.8045960000000001</v>
      </c>
      <c r="E4123">
        <v>0.49395739999999999</v>
      </c>
      <c r="F4123" t="s">
        <v>50</v>
      </c>
      <c r="G4123">
        <v>-380.12610000000001</v>
      </c>
      <c r="H4123" s="1">
        <v>-1.508528E-6</v>
      </c>
      <c r="I4123">
        <v>215.5051</v>
      </c>
      <c r="J4123">
        <v>-394.21289999999999</v>
      </c>
      <c r="K4123">
        <v>1.1202749999999999</v>
      </c>
      <c r="L4123">
        <v>215.3389</v>
      </c>
      <c r="M4123">
        <v>0.99996359999999995</v>
      </c>
      <c r="N4123">
        <v>-8.3847820000000003E-3</v>
      </c>
      <c r="O4123">
        <v>-1.556457E-3</v>
      </c>
      <c r="P4123">
        <v>0.99741069999999998</v>
      </c>
      <c r="Q4123">
        <v>-7.1870799999999999E-2</v>
      </c>
      <c r="R4123">
        <v>-2.5519470000000002E-3</v>
      </c>
      <c r="S4123">
        <v>2.9911799999999999</v>
      </c>
      <c r="T4123">
        <v>-0.23298260000000001</v>
      </c>
      <c r="U4123">
        <v>3.4454350000000002E-2</v>
      </c>
      <c r="V4123">
        <v>9.9716670000000009E-4</v>
      </c>
      <c r="W4123">
        <v>-6.3505229999999996E-2</v>
      </c>
      <c r="X4123">
        <v>0.99798100000000001</v>
      </c>
      <c r="Y4123">
        <v>-1.302681E-2</v>
      </c>
      <c r="Z4123">
        <v>6.6926460000000002E-4</v>
      </c>
      <c r="AA4123">
        <v>0.99991490000000005</v>
      </c>
      <c r="AB4123">
        <v>30</v>
      </c>
      <c r="AC4123">
        <v>14.086799999999901</v>
      </c>
      <c r="AD4123">
        <v>-1.120276508528</v>
      </c>
      <c r="AE4123">
        <v>0.16620000000000301</v>
      </c>
      <c r="AF4123">
        <v>-0.18694390769362401</v>
      </c>
      <c r="AG4123">
        <v>-1.120276508528</v>
      </c>
      <c r="AH4123">
        <v>13.998006263370099</v>
      </c>
      <c r="AI4123">
        <v>94.575288278611396</v>
      </c>
      <c r="AJ4123">
        <v>90.765141834007594</v>
      </c>
      <c r="AK4123">
        <v>14.0440075060338</v>
      </c>
      <c r="AL4123">
        <v>93.641031813890294</v>
      </c>
      <c r="AM4123">
        <v>89.942750989881006</v>
      </c>
      <c r="AN4123">
        <v>0.99999999246989002</v>
      </c>
    </row>
    <row r="4124" spans="1:40" x14ac:dyDescent="0.25">
      <c r="A4124" t="str">
        <f>"20190303154218456"</f>
        <v>20190303154218456</v>
      </c>
      <c r="B4124" t="str">
        <f>"1551598938443477"</f>
        <v>1551598938443477</v>
      </c>
      <c r="C4124" t="s">
        <v>40</v>
      </c>
      <c r="D4124">
        <v>5.8283149999999999</v>
      </c>
      <c r="E4124">
        <v>0.49379790000000001</v>
      </c>
      <c r="F4124" t="s">
        <v>50</v>
      </c>
      <c r="G4124">
        <v>-380.02249999999998</v>
      </c>
      <c r="H4124" s="1">
        <v>-1.564684E-6</v>
      </c>
      <c r="I4124">
        <v>215.52789999999999</v>
      </c>
      <c r="J4124">
        <v>-393.87400000000002</v>
      </c>
      <c r="K4124">
        <v>1.120263</v>
      </c>
      <c r="L4124">
        <v>215.33840000000001</v>
      </c>
      <c r="M4124">
        <v>0.99996419999999997</v>
      </c>
      <c r="N4124">
        <v>-8.3117620000000003E-3</v>
      </c>
      <c r="O4124">
        <v>-1.5517230000000001E-3</v>
      </c>
      <c r="P4124">
        <v>0.99738979999999999</v>
      </c>
      <c r="Q4124">
        <v>-7.2195490000000001E-2</v>
      </c>
      <c r="R4124">
        <v>-1.190691E-3</v>
      </c>
      <c r="S4124">
        <v>2.9909059999999998</v>
      </c>
      <c r="T4124">
        <v>-0.2361192</v>
      </c>
      <c r="U4124">
        <v>3.9825439999999997E-2</v>
      </c>
      <c r="V4124">
        <v>-3.5957749999999998E-4</v>
      </c>
      <c r="W4124">
        <v>-6.3902940000000005E-2</v>
      </c>
      <c r="X4124">
        <v>0.99795599999999995</v>
      </c>
      <c r="Y4124">
        <v>-1.481115E-2</v>
      </c>
      <c r="Z4124">
        <v>7.5479460000000003E-4</v>
      </c>
      <c r="AA4124">
        <v>0.99988999999999995</v>
      </c>
      <c r="AB4124">
        <v>30</v>
      </c>
      <c r="AC4124">
        <v>13.8515</v>
      </c>
      <c r="AD4124">
        <v>-1.1202645646839999</v>
      </c>
      <c r="AE4124">
        <v>0.18949999999998099</v>
      </c>
      <c r="AF4124">
        <v>-0.20962330628759901</v>
      </c>
      <c r="AG4124">
        <v>-1.1202645646839999</v>
      </c>
      <c r="AH4124">
        <v>13.761193426746701</v>
      </c>
      <c r="AI4124">
        <v>94.653506584531002</v>
      </c>
      <c r="AJ4124">
        <v>90.872715142611895</v>
      </c>
      <c r="AK4124">
        <v>13.808308337872599</v>
      </c>
      <c r="AL4124">
        <v>93.663865466034906</v>
      </c>
      <c r="AM4124">
        <v>90.020644469562001</v>
      </c>
      <c r="AN4124">
        <v>0.99999994648630897</v>
      </c>
    </row>
    <row r="4125" spans="1:40" x14ac:dyDescent="0.25">
      <c r="A4125" t="str">
        <f>"20190303154218478"</f>
        <v>20190303154218478</v>
      </c>
      <c r="B4125" t="str">
        <f>"1551598938473730"</f>
        <v>1551598938473730</v>
      </c>
      <c r="C4125" t="s">
        <v>40</v>
      </c>
      <c r="D4125">
        <v>5.8272490000000001</v>
      </c>
      <c r="E4125">
        <v>0.49353520000000001</v>
      </c>
      <c r="F4125" t="s">
        <v>50</v>
      </c>
      <c r="G4125">
        <v>-379.8415</v>
      </c>
      <c r="H4125" s="1">
        <v>3.7003840000000002E-6</v>
      </c>
      <c r="I4125">
        <v>215.5504</v>
      </c>
      <c r="J4125">
        <v>-393.57170000000002</v>
      </c>
      <c r="K4125">
        <v>1.1202570000000001</v>
      </c>
      <c r="L4125">
        <v>215.33799999999999</v>
      </c>
      <c r="M4125">
        <v>0.99996479999999999</v>
      </c>
      <c r="N4125">
        <v>-8.2559460000000001E-3</v>
      </c>
      <c r="O4125">
        <v>-1.5416780000000001E-3</v>
      </c>
      <c r="P4125">
        <v>0.99735620000000003</v>
      </c>
      <c r="Q4125">
        <v>-7.2667049999999997E-2</v>
      </c>
      <c r="R4125">
        <v>-4.1989209999999998E-4</v>
      </c>
      <c r="S4125">
        <v>2.9906619999999999</v>
      </c>
      <c r="T4125">
        <v>-0.2387551</v>
      </c>
      <c r="U4125">
        <v>4.5181270000000003E-2</v>
      </c>
      <c r="V4125">
        <v>-1.1194919999999999E-3</v>
      </c>
      <c r="W4125">
        <v>-6.4430429999999997E-2</v>
      </c>
      <c r="X4125">
        <v>0.99792159999999996</v>
      </c>
      <c r="Y4125">
        <v>-1.658509E-2</v>
      </c>
      <c r="Z4125">
        <v>8.3968819999999996E-4</v>
      </c>
      <c r="AA4125">
        <v>0.99986209999999998</v>
      </c>
      <c r="AB4125">
        <v>31</v>
      </c>
      <c r="AC4125">
        <v>13.7302</v>
      </c>
      <c r="AD4125">
        <v>-1.120253299616</v>
      </c>
      <c r="AE4125">
        <v>0.212400000000002</v>
      </c>
      <c r="AF4125">
        <v>-0.232023801267874</v>
      </c>
      <c r="AG4125">
        <v>-1.120253299616</v>
      </c>
      <c r="AH4125">
        <v>13.639082531342501</v>
      </c>
      <c r="AI4125">
        <v>94.694803061904494</v>
      </c>
      <c r="AJ4125">
        <v>90.974603851546405</v>
      </c>
      <c r="AK4125">
        <v>13.6869782931232</v>
      </c>
      <c r="AL4125">
        <v>93.694150534405097</v>
      </c>
      <c r="AM4125">
        <v>90.064275730569705</v>
      </c>
      <c r="AN4125">
        <v>1.00000002665944</v>
      </c>
    </row>
    <row r="4126" spans="1:40" x14ac:dyDescent="0.25">
      <c r="A4126" t="str">
        <f>"20190303154218499"</f>
        <v>20190303154218499</v>
      </c>
      <c r="B4126" t="str">
        <f>"1551598938494225"</f>
        <v>1551598938494225</v>
      </c>
      <c r="C4126" t="s">
        <v>40</v>
      </c>
      <c r="D4126">
        <v>5.8180319999999996</v>
      </c>
      <c r="E4126">
        <v>0.4933765</v>
      </c>
      <c r="F4126" t="s">
        <v>50</v>
      </c>
      <c r="G4126">
        <v>-379.73160000000001</v>
      </c>
      <c r="H4126" s="1">
        <v>3.6418949999999999E-6</v>
      </c>
      <c r="I4126">
        <v>215.56720000000001</v>
      </c>
      <c r="J4126">
        <v>-393.28</v>
      </c>
      <c r="K4126">
        <v>1.12026</v>
      </c>
      <c r="L4126">
        <v>215.33750000000001</v>
      </c>
      <c r="M4126">
        <v>0.99996529999999995</v>
      </c>
      <c r="N4126">
        <v>-8.2094890000000004E-3</v>
      </c>
      <c r="O4126">
        <v>-1.5231820000000001E-3</v>
      </c>
      <c r="P4126">
        <v>0.99735280000000004</v>
      </c>
      <c r="Q4126">
        <v>-7.271627E-2</v>
      </c>
      <c r="R4126">
        <v>1.647486E-4</v>
      </c>
      <c r="S4126">
        <v>2.990326</v>
      </c>
      <c r="T4126">
        <v>-0.24204529999999999</v>
      </c>
      <c r="U4126">
        <v>4.9530030000000003E-2</v>
      </c>
      <c r="V4126">
        <v>-1.6843100000000001E-3</v>
      </c>
      <c r="W4126">
        <v>-6.4526040000000007E-2</v>
      </c>
      <c r="X4126">
        <v>0.99791459999999998</v>
      </c>
      <c r="Y4126">
        <v>-1.801523E-2</v>
      </c>
      <c r="Z4126">
        <v>9.1254460000000004E-4</v>
      </c>
      <c r="AA4126">
        <v>0.99983730000000004</v>
      </c>
      <c r="AB4126">
        <v>31</v>
      </c>
      <c r="AC4126">
        <v>13.5483999999999</v>
      </c>
      <c r="AD4126">
        <v>-1.120256358105</v>
      </c>
      <c r="AE4126">
        <v>0.22970000000000801</v>
      </c>
      <c r="AF4126">
        <v>-0.248637683821754</v>
      </c>
      <c r="AG4126">
        <v>-1.120256358105</v>
      </c>
      <c r="AH4126">
        <v>13.4560631610179</v>
      </c>
      <c r="AI4126">
        <v>94.758256780582499</v>
      </c>
      <c r="AJ4126">
        <v>91.058576253840997</v>
      </c>
      <c r="AK4126">
        <v>13.504903953712301</v>
      </c>
      <c r="AL4126">
        <v>93.699640113568293</v>
      </c>
      <c r="AM4126">
        <v>90.096705432261203</v>
      </c>
      <c r="AN4126">
        <v>0.99999999781570803</v>
      </c>
    </row>
    <row r="4127" spans="1:40" x14ac:dyDescent="0.25">
      <c r="A4127" t="str">
        <f>"20190303154218523"</f>
        <v>20190303154218523</v>
      </c>
      <c r="B4127" t="str">
        <f>"1551598938513747"</f>
        <v>1551598938513747</v>
      </c>
      <c r="C4127" t="s">
        <v>40</v>
      </c>
      <c r="D4127">
        <v>5.8257440000000003</v>
      </c>
      <c r="E4127">
        <v>0.49338419999999999</v>
      </c>
      <c r="F4127" t="s">
        <v>50</v>
      </c>
      <c r="G4127">
        <v>-379.51369999999997</v>
      </c>
      <c r="H4127" s="1">
        <v>3.5259360000000001E-6</v>
      </c>
      <c r="I4127">
        <v>215.5796</v>
      </c>
      <c r="J4127">
        <v>-392.94409999999999</v>
      </c>
      <c r="K4127">
        <v>1.1202620000000001</v>
      </c>
      <c r="L4127">
        <v>215.33709999999999</v>
      </c>
      <c r="M4127">
        <v>0.99996560000000001</v>
      </c>
      <c r="N4127">
        <v>-8.1653650000000008E-3</v>
      </c>
      <c r="O4127">
        <v>-1.4902489999999999E-3</v>
      </c>
      <c r="P4127">
        <v>0.99738340000000003</v>
      </c>
      <c r="Q4127">
        <v>-7.2293490000000002E-2</v>
      </c>
      <c r="R4127">
        <v>4.693926E-4</v>
      </c>
      <c r="S4127">
        <v>2.9902340000000001</v>
      </c>
      <c r="T4127">
        <v>-0.2433362</v>
      </c>
      <c r="U4127">
        <v>5.2581790000000003E-2</v>
      </c>
      <c r="V4127">
        <v>-1.9551130000000001E-3</v>
      </c>
      <c r="W4127">
        <v>-6.4147129999999997E-2</v>
      </c>
      <c r="X4127">
        <v>0.99793849999999995</v>
      </c>
      <c r="Y4127">
        <v>-1.899874E-2</v>
      </c>
      <c r="Z4127">
        <v>9.5832239999999998E-4</v>
      </c>
      <c r="AA4127">
        <v>0.99981900000000001</v>
      </c>
      <c r="AB4127">
        <v>31</v>
      </c>
      <c r="AC4127">
        <v>13.430400000000001</v>
      </c>
      <c r="AD4127">
        <v>-1.120258474064</v>
      </c>
      <c r="AE4127">
        <v>0.24250000000000599</v>
      </c>
      <c r="AF4127">
        <v>-0.26070177333986999</v>
      </c>
      <c r="AG4127">
        <v>-1.120258474064</v>
      </c>
      <c r="AH4127">
        <v>13.3372588069132</v>
      </c>
      <c r="AI4127">
        <v>94.800356655744395</v>
      </c>
      <c r="AJ4127">
        <v>91.119811018399503</v>
      </c>
      <c r="AK4127">
        <v>13.3867627507893</v>
      </c>
      <c r="AL4127">
        <v>93.677885225985406</v>
      </c>
      <c r="AM4127">
        <v>90.112250985457095</v>
      </c>
      <c r="AN4127">
        <v>0.99999996326816398</v>
      </c>
    </row>
    <row r="4128" spans="1:40" x14ac:dyDescent="0.25">
      <c r="A4128" t="str">
        <f>"20190303154218544"</f>
        <v>20190303154218544</v>
      </c>
      <c r="B4128" t="str">
        <f>"1551598938533269"</f>
        <v>1551598938533269</v>
      </c>
      <c r="C4128" t="s">
        <v>40</v>
      </c>
      <c r="D4128">
        <v>5.8084530000000001</v>
      </c>
      <c r="E4128">
        <v>0.51773519999999995</v>
      </c>
      <c r="F4128" t="s">
        <v>50</v>
      </c>
      <c r="G4128">
        <v>-379.11329999999998</v>
      </c>
      <c r="H4128" s="1">
        <v>3.3128599999999998E-6</v>
      </c>
      <c r="I4128">
        <v>215.58410000000001</v>
      </c>
      <c r="J4128">
        <v>-392.65039999999999</v>
      </c>
      <c r="K4128">
        <v>1.1202669999999999</v>
      </c>
      <c r="L4128">
        <v>215.3366</v>
      </c>
      <c r="M4128">
        <v>0.99996600000000002</v>
      </c>
      <c r="N4128">
        <v>-8.1340430000000005E-3</v>
      </c>
      <c r="O4128">
        <v>-1.447465E-3</v>
      </c>
      <c r="P4128">
        <v>0.99734900000000004</v>
      </c>
      <c r="Q4128">
        <v>-7.2769829999999994E-2</v>
      </c>
      <c r="R4128">
        <v>1.0631700000000001E-4</v>
      </c>
      <c r="S4128">
        <v>2.9902950000000001</v>
      </c>
      <c r="T4128">
        <v>-0.24220630000000001</v>
      </c>
      <c r="U4128">
        <v>5.3405759999999997E-2</v>
      </c>
      <c r="V4128">
        <v>-1.5477310000000001E-3</v>
      </c>
      <c r="W4128">
        <v>-6.4654999999999893E-2</v>
      </c>
      <c r="X4128">
        <v>0.99790650000000003</v>
      </c>
      <c r="Y4128">
        <v>-1.923097E-2</v>
      </c>
      <c r="Z4128">
        <v>9.6114050000000004E-4</v>
      </c>
      <c r="AA4128">
        <v>0.9998146</v>
      </c>
      <c r="AB4128">
        <v>31</v>
      </c>
      <c r="AC4128">
        <v>13.537100000000001</v>
      </c>
      <c r="AD4128">
        <v>-1.12026368713999</v>
      </c>
      <c r="AE4128">
        <v>0.247500000000002</v>
      </c>
      <c r="AF4128">
        <v>-0.26527873652392497</v>
      </c>
      <c r="AG4128">
        <v>-1.12026368713999</v>
      </c>
      <c r="AH4128">
        <v>13.444683727648</v>
      </c>
      <c r="AI4128">
        <v>94.762183148198304</v>
      </c>
      <c r="AJ4128">
        <v>91.130363518322696</v>
      </c>
      <c r="AK4128">
        <v>13.493883209560501</v>
      </c>
      <c r="AL4128">
        <v>93.707044342852399</v>
      </c>
      <c r="AM4128">
        <v>90.088864420679997</v>
      </c>
      <c r="AN4128">
        <v>1.0000000236192399</v>
      </c>
    </row>
    <row r="4129" spans="1:40" x14ac:dyDescent="0.25">
      <c r="A4129" t="str">
        <f>"20190303154218566"</f>
        <v>20190303154218566</v>
      </c>
      <c r="B4129" t="str">
        <f>"1551598938563522"</f>
        <v>1551598938563522</v>
      </c>
      <c r="C4129" t="s">
        <v>40</v>
      </c>
      <c r="D4129">
        <v>5.8378569999999996</v>
      </c>
      <c r="E4129">
        <v>0.51900849999999998</v>
      </c>
      <c r="F4129" t="s">
        <v>50</v>
      </c>
      <c r="G4129">
        <v>-351.51940000000002</v>
      </c>
      <c r="H4129" s="1">
        <v>-6.7767619999999899E-7</v>
      </c>
      <c r="I4129">
        <v>213.45930000000001</v>
      </c>
      <c r="J4129">
        <v>-392.3519</v>
      </c>
      <c r="K4129">
        <v>1.1202749999999999</v>
      </c>
      <c r="L4129">
        <v>215.33619999999999</v>
      </c>
      <c r="M4129">
        <v>0.99996609999999997</v>
      </c>
      <c r="N4129">
        <v>-8.1087929999999996E-3</v>
      </c>
      <c r="O4129">
        <v>-1.383329E-3</v>
      </c>
      <c r="P4129">
        <v>0.99724919999999995</v>
      </c>
      <c r="Q4129">
        <v>-7.4119229999999994E-2</v>
      </c>
      <c r="R4129">
        <v>-6.0370770000000001E-4</v>
      </c>
      <c r="S4129">
        <v>3.002014</v>
      </c>
      <c r="T4129">
        <v>-8.1764580000000003E-2</v>
      </c>
      <c r="U4129">
        <v>-0.1370239</v>
      </c>
      <c r="V4129">
        <v>-7.7109179999999995E-4</v>
      </c>
      <c r="W4129">
        <v>-6.6030370000000005E-2</v>
      </c>
      <c r="X4129">
        <v>0.99781730000000002</v>
      </c>
      <c r="Y4129">
        <v>4.4193570000000001E-2</v>
      </c>
      <c r="Z4129">
        <v>-7.5429350000000002E-4</v>
      </c>
      <c r="AA4129">
        <v>0.99902270000000004</v>
      </c>
      <c r="AB4129">
        <v>31</v>
      </c>
      <c r="AC4129">
        <v>40.832499999999897</v>
      </c>
      <c r="AD4129">
        <v>-1.1202756776762</v>
      </c>
      <c r="AE4129">
        <v>-1.87689999999997</v>
      </c>
      <c r="AF4129">
        <v>1.81904520311248</v>
      </c>
      <c r="AG4129">
        <v>-1.1202756776762</v>
      </c>
      <c r="AH4129">
        <v>40.804407537364497</v>
      </c>
      <c r="AI4129">
        <v>91.571087880920899</v>
      </c>
      <c r="AJ4129">
        <v>87.447465636954007</v>
      </c>
      <c r="AK4129">
        <v>40.860293899093399</v>
      </c>
      <c r="AL4129">
        <v>93.786016164487904</v>
      </c>
      <c r="AM4129">
        <v>90.044276940239897</v>
      </c>
      <c r="AN4129">
        <v>0.99999998426209502</v>
      </c>
    </row>
    <row r="4130" spans="1:40" x14ac:dyDescent="0.25">
      <c r="A4130" t="str">
        <f>"20190303154218587"</f>
        <v>20190303154218587</v>
      </c>
      <c r="B4130" t="str">
        <f>"1551598938584018"</f>
        <v>1551598938584018</v>
      </c>
      <c r="C4130" t="s">
        <v>40</v>
      </c>
      <c r="D4130">
        <v>5.8367180000000003</v>
      </c>
      <c r="E4130">
        <v>0.51929550000000002</v>
      </c>
      <c r="F4130" t="s">
        <v>50</v>
      </c>
      <c r="G4130">
        <v>-347.8768</v>
      </c>
      <c r="H4130" s="1">
        <v>2.6548570000000001E-6</v>
      </c>
      <c r="I4130">
        <v>213.12690000000001</v>
      </c>
      <c r="J4130">
        <v>-392.04730000000001</v>
      </c>
      <c r="K4130">
        <v>1.120288</v>
      </c>
      <c r="L4130">
        <v>215.33590000000001</v>
      </c>
      <c r="M4130">
        <v>0.99996640000000003</v>
      </c>
      <c r="N4130">
        <v>-8.0892150000000003E-3</v>
      </c>
      <c r="O4130">
        <v>-1.289356E-3</v>
      </c>
      <c r="P4130">
        <v>0.99716439999999995</v>
      </c>
      <c r="Q4130">
        <v>-7.5228470000000006E-2</v>
      </c>
      <c r="R4130">
        <v>-1.9101210000000001E-3</v>
      </c>
      <c r="S4130">
        <v>3.0025940000000002</v>
      </c>
      <c r="T4130">
        <v>-7.5631619999999997E-2</v>
      </c>
      <c r="U4130">
        <v>-0.1491547</v>
      </c>
      <c r="V4130">
        <v>6.3274529999999998E-4</v>
      </c>
      <c r="W4130">
        <v>-6.7159640000000007E-2</v>
      </c>
      <c r="X4130">
        <v>0.99774209999999997</v>
      </c>
      <c r="Y4130">
        <v>4.8306229999999999E-2</v>
      </c>
      <c r="Z4130">
        <v>-7.8143069999999997E-4</v>
      </c>
      <c r="AA4130">
        <v>0.99883230000000001</v>
      </c>
      <c r="AB4130">
        <v>31</v>
      </c>
      <c r="AC4130">
        <v>44.170499999999997</v>
      </c>
      <c r="AD4130">
        <v>-1.1202853451429999</v>
      </c>
      <c r="AE4130">
        <v>-2.2090000000000001</v>
      </c>
      <c r="AF4130">
        <v>2.15066479355206</v>
      </c>
      <c r="AG4130">
        <v>-1.1202853451429999</v>
      </c>
      <c r="AH4130">
        <v>44.144985304819997</v>
      </c>
      <c r="AI4130">
        <v>91.451985055217804</v>
      </c>
      <c r="AJ4130">
        <v>87.210857262746899</v>
      </c>
      <c r="AK4130">
        <v>44.2115383793817</v>
      </c>
      <c r="AL4130">
        <v>93.850862243266704</v>
      </c>
      <c r="AM4130">
        <v>89.963664327348098</v>
      </c>
      <c r="AN4130">
        <v>1.0000000578619701</v>
      </c>
    </row>
    <row r="4131" spans="1:40" x14ac:dyDescent="0.25">
      <c r="A4131" t="str">
        <f>"20190303154218610"</f>
        <v>20190303154218610</v>
      </c>
      <c r="B4131" t="str">
        <f>"1551598938603538"</f>
        <v>1551598938603538</v>
      </c>
      <c r="C4131" t="s">
        <v>40</v>
      </c>
      <c r="D4131">
        <v>5.8077809999999896</v>
      </c>
      <c r="E4131">
        <v>0.51947730000000003</v>
      </c>
      <c r="F4131" t="s">
        <v>50</v>
      </c>
      <c r="G4131">
        <v>-349.8279</v>
      </c>
      <c r="H4131" s="1">
        <v>3.6931490000000001E-6</v>
      </c>
      <c r="I4131">
        <v>213.1465</v>
      </c>
      <c r="J4131">
        <v>-391.7396</v>
      </c>
      <c r="K4131">
        <v>1.1203110000000001</v>
      </c>
      <c r="L4131">
        <v>215.3356</v>
      </c>
      <c r="M4131">
        <v>0.99996669999999999</v>
      </c>
      <c r="N4131">
        <v>-8.0751909999999903E-3</v>
      </c>
      <c r="O4131">
        <v>-1.1589879999999999E-3</v>
      </c>
      <c r="P4131">
        <v>0.99713819999999997</v>
      </c>
      <c r="Q4131">
        <v>-7.5527709999999998E-2</v>
      </c>
      <c r="R4131">
        <v>-3.3346069999999998E-3</v>
      </c>
      <c r="S4131">
        <v>3.0022280000000001</v>
      </c>
      <c r="T4131">
        <v>-7.9663629999999999E-2</v>
      </c>
      <c r="U4131">
        <v>-0.1556854</v>
      </c>
      <c r="V4131">
        <v>2.1914650000000001E-3</v>
      </c>
      <c r="W4131">
        <v>-6.7472729999999995E-2</v>
      </c>
      <c r="X4131">
        <v>0.99771869999999996</v>
      </c>
      <c r="Y4131">
        <v>5.0606560000000002E-2</v>
      </c>
      <c r="Z4131">
        <v>-8.5399059999999999E-4</v>
      </c>
      <c r="AA4131">
        <v>0.99871829999999995</v>
      </c>
      <c r="AB4131">
        <v>31</v>
      </c>
      <c r="AC4131">
        <v>41.911700000000003</v>
      </c>
      <c r="AD4131">
        <v>-1.1203073068510001</v>
      </c>
      <c r="AE4131">
        <v>-2.1890999999999901</v>
      </c>
      <c r="AF4131">
        <v>2.1389976261152599</v>
      </c>
      <c r="AG4131">
        <v>-1.1203073068510001</v>
      </c>
      <c r="AH4131">
        <v>41.884364008033302</v>
      </c>
      <c r="AI4131">
        <v>91.530167636825794</v>
      </c>
      <c r="AJ4131">
        <v>87.076494729802704</v>
      </c>
      <c r="AK4131">
        <v>41.953907418305498</v>
      </c>
      <c r="AL4131">
        <v>93.868842031393001</v>
      </c>
      <c r="AM4131">
        <v>89.874151408080394</v>
      </c>
      <c r="AN4131">
        <v>0.99999998807109403</v>
      </c>
    </row>
    <row r="4132" spans="1:40" x14ac:dyDescent="0.25">
      <c r="A4132" t="str">
        <f>"20190303154218633"</f>
        <v>20190303154218633</v>
      </c>
      <c r="B4132" t="str">
        <f>"1551598938624034"</f>
        <v>1551598938624034</v>
      </c>
      <c r="C4132" t="s">
        <v>40</v>
      </c>
      <c r="D4132">
        <v>5.8340759999999996</v>
      </c>
      <c r="E4132">
        <v>0.51964069999999996</v>
      </c>
      <c r="F4132" t="s">
        <v>50</v>
      </c>
      <c r="G4132">
        <v>-348.55880000000002</v>
      </c>
      <c r="H4132" s="1">
        <v>3.0177949999999998E-6</v>
      </c>
      <c r="I4132">
        <v>213.01570000000001</v>
      </c>
      <c r="J4132">
        <v>-391.41680000000002</v>
      </c>
      <c r="K4132">
        <v>1.1203419999999999</v>
      </c>
      <c r="L4132">
        <v>215.33539999999999</v>
      </c>
      <c r="M4132">
        <v>0.99996689999999999</v>
      </c>
      <c r="N4132">
        <v>-8.0659389999999994E-3</v>
      </c>
      <c r="O4132">
        <v>-9.7802390000000005E-4</v>
      </c>
      <c r="P4132">
        <v>0.99710929999999998</v>
      </c>
      <c r="Q4132">
        <v>-7.5861979999999996E-2</v>
      </c>
      <c r="R4132">
        <v>-4.2287890000000002E-3</v>
      </c>
      <c r="S4132">
        <v>3.0022280000000001</v>
      </c>
      <c r="T4132">
        <v>-7.7891710000000003E-2</v>
      </c>
      <c r="U4132">
        <v>-0.16130069999999999</v>
      </c>
      <c r="V4132">
        <v>3.272109E-3</v>
      </c>
      <c r="W4132">
        <v>-6.7815979999999998E-2</v>
      </c>
      <c r="X4132">
        <v>0.99769249999999998</v>
      </c>
      <c r="Y4132">
        <v>5.2649920000000003E-2</v>
      </c>
      <c r="Z4132">
        <v>-8.7745409999999999E-4</v>
      </c>
      <c r="AA4132">
        <v>0.99861259999999996</v>
      </c>
      <c r="AB4132">
        <v>31</v>
      </c>
      <c r="AC4132">
        <v>42.857999999999997</v>
      </c>
      <c r="AD4132">
        <v>-1.1203389822050001</v>
      </c>
      <c r="AE4132">
        <v>-2.3196999999999801</v>
      </c>
      <c r="AF4132">
        <v>2.27623048509072</v>
      </c>
      <c r="AG4132">
        <v>-1.1203389822050001</v>
      </c>
      <c r="AH4132">
        <v>42.831065726240503</v>
      </c>
      <c r="AI4132">
        <v>91.496242648988499</v>
      </c>
      <c r="AJ4132">
        <v>86.957913045022593</v>
      </c>
      <c r="AK4132">
        <v>42.906136809340403</v>
      </c>
      <c r="AL4132">
        <v>93.888553837037705</v>
      </c>
      <c r="AM4132">
        <v>89.812089031818502</v>
      </c>
      <c r="AN4132">
        <v>1.0000000191984499</v>
      </c>
    </row>
    <row r="4133" spans="1:40" x14ac:dyDescent="0.25">
      <c r="A4133" t="str">
        <f>"20190303154218656"</f>
        <v>20190303154218656</v>
      </c>
      <c r="B4133" t="str">
        <f>"1551598938643554"</f>
        <v>1551598938643554</v>
      </c>
      <c r="C4133" t="s">
        <v>40</v>
      </c>
      <c r="D4133">
        <v>5.8141059999999998</v>
      </c>
      <c r="E4133">
        <v>0.51971409999999996</v>
      </c>
      <c r="F4133" t="s">
        <v>50</v>
      </c>
      <c r="G4133">
        <v>-349.75749999999999</v>
      </c>
      <c r="H4133" s="1">
        <v>3.6556709999999998E-6</v>
      </c>
      <c r="I4133">
        <v>213.04329999999999</v>
      </c>
      <c r="J4133">
        <v>-391.10160000000002</v>
      </c>
      <c r="K4133">
        <v>1.1203780000000001</v>
      </c>
      <c r="L4133">
        <v>215.33529999999999</v>
      </c>
      <c r="M4133">
        <v>0.9999673</v>
      </c>
      <c r="N4133">
        <v>-8.0616879999999991E-3</v>
      </c>
      <c r="O4133">
        <v>-7.4923289999999896E-4</v>
      </c>
      <c r="P4133">
        <v>0.99710010000000004</v>
      </c>
      <c r="Q4133">
        <v>-7.5977429999999999E-2</v>
      </c>
      <c r="R4133">
        <v>-4.3495419999999996E-3</v>
      </c>
      <c r="S4133">
        <v>3.001862</v>
      </c>
      <c r="T4133">
        <v>-8.0728649999999999E-2</v>
      </c>
      <c r="U4133">
        <v>-0.16516110000000001</v>
      </c>
      <c r="V4133">
        <v>3.6275360000000002E-3</v>
      </c>
      <c r="W4133">
        <v>-6.7935289999999995E-2</v>
      </c>
      <c r="X4133">
        <v>0.99768310000000004</v>
      </c>
      <c r="Y4133">
        <v>5.4163080000000002E-2</v>
      </c>
      <c r="Z4133">
        <v>-9.3206590000000002E-4</v>
      </c>
      <c r="AA4133">
        <v>0.99853159999999996</v>
      </c>
      <c r="AB4133">
        <v>31</v>
      </c>
      <c r="AC4133">
        <v>41.344099999999997</v>
      </c>
      <c r="AD4133">
        <v>-1.120374344329</v>
      </c>
      <c r="AE4133">
        <v>-2.2919999999999998</v>
      </c>
      <c r="AF4133">
        <v>2.2593679238247701</v>
      </c>
      <c r="AG4133">
        <v>-1.120374344329</v>
      </c>
      <c r="AH4133">
        <v>41.315558839493498</v>
      </c>
      <c r="AI4133">
        <v>91.551020861852095</v>
      </c>
      <c r="AJ4133">
        <v>86.869861187294703</v>
      </c>
      <c r="AK4133">
        <v>41.392455644794602</v>
      </c>
      <c r="AL4133">
        <v>93.895405808107796</v>
      </c>
      <c r="AM4133">
        <v>89.791675746605193</v>
      </c>
      <c r="AN4133">
        <v>0.99999996533521196</v>
      </c>
    </row>
    <row r="4134" spans="1:40" x14ac:dyDescent="0.25">
      <c r="A4134" t="str">
        <f>"20190303154218680"</f>
        <v>20190303154218680</v>
      </c>
      <c r="B4134" t="str">
        <f>"1551598938673810"</f>
        <v>1551598938673810</v>
      </c>
      <c r="C4134" t="s">
        <v>40</v>
      </c>
      <c r="D4134">
        <v>5.807607</v>
      </c>
      <c r="E4134">
        <v>0.51992389999999999</v>
      </c>
      <c r="F4134" t="s">
        <v>50</v>
      </c>
      <c r="G4134">
        <v>-349.15190000000001</v>
      </c>
      <c r="H4134" s="1">
        <v>3.3333700000000002E-6</v>
      </c>
      <c r="I4134">
        <v>213.01300000000001</v>
      </c>
      <c r="J4134">
        <v>-390.76429999999999</v>
      </c>
      <c r="K4134">
        <v>1.1204209999999999</v>
      </c>
      <c r="L4134">
        <v>215.33539999999999</v>
      </c>
      <c r="M4134">
        <v>0.99996750000000001</v>
      </c>
      <c r="N4134">
        <v>-8.0623959999999995E-3</v>
      </c>
      <c r="O4134">
        <v>-4.3156979999999998E-4</v>
      </c>
      <c r="P4134">
        <v>0.99709170000000003</v>
      </c>
      <c r="Q4134">
        <v>-7.6103560000000001E-2</v>
      </c>
      <c r="R4134">
        <v>-4.0591819999999997E-3</v>
      </c>
      <c r="S4134">
        <v>3.0018919999999998</v>
      </c>
      <c r="T4134">
        <v>-8.0173129999999995E-2</v>
      </c>
      <c r="U4134">
        <v>-0.16618350000000001</v>
      </c>
      <c r="V4134">
        <v>3.6620419999999999E-3</v>
      </c>
      <c r="W4134">
        <v>-6.8060350000000006E-2</v>
      </c>
      <c r="X4134">
        <v>0.99767450000000002</v>
      </c>
      <c r="Y4134">
        <v>5.4818699999999998E-2</v>
      </c>
      <c r="Z4134">
        <v>-9.4451599999999995E-4</v>
      </c>
      <c r="AA4134">
        <v>0.99849589999999999</v>
      </c>
      <c r="AB4134">
        <v>31</v>
      </c>
      <c r="AC4134">
        <v>41.612399999999901</v>
      </c>
      <c r="AD4134">
        <v>-1.1204176666300001</v>
      </c>
      <c r="AE4134">
        <v>-2.32239999999998</v>
      </c>
      <c r="AF4134">
        <v>2.30277630835903</v>
      </c>
      <c r="AG4134">
        <v>-1.1204176666300001</v>
      </c>
      <c r="AH4134">
        <v>41.583345757730498</v>
      </c>
      <c r="AI4134">
        <v>91.541038587569204</v>
      </c>
      <c r="AJ4134">
        <v>86.830347868903701</v>
      </c>
      <c r="AK4134">
        <v>41.662126192514499</v>
      </c>
      <c r="AL4134">
        <v>93.9025876479609</v>
      </c>
      <c r="AM4134">
        <v>89.789692320794302</v>
      </c>
      <c r="AN4134">
        <v>1.0000000148719901</v>
      </c>
    </row>
    <row r="4135" spans="1:40" x14ac:dyDescent="0.25">
      <c r="A4135" t="str">
        <f>"20190303154218700"</f>
        <v>20190303154218700</v>
      </c>
      <c r="B4135" t="str">
        <f>"1551598938694306"</f>
        <v>1551598938694306</v>
      </c>
      <c r="C4135" t="s">
        <v>40</v>
      </c>
      <c r="D4135">
        <v>5.8288880000000001</v>
      </c>
      <c r="E4135">
        <v>0.51990820000000004</v>
      </c>
      <c r="F4135" t="s">
        <v>50</v>
      </c>
      <c r="G4135">
        <v>-348.5</v>
      </c>
      <c r="H4135" s="1">
        <v>2.986466E-6</v>
      </c>
      <c r="I4135">
        <v>212.9847</v>
      </c>
      <c r="J4135">
        <v>-390.4769</v>
      </c>
      <c r="K4135">
        <v>1.1204609999999999</v>
      </c>
      <c r="L4135">
        <v>215.3355</v>
      </c>
      <c r="M4135">
        <v>0.99996750000000001</v>
      </c>
      <c r="N4135">
        <v>-8.0658640000000007E-3</v>
      </c>
      <c r="O4135">
        <v>-1.0800480000000001E-4</v>
      </c>
      <c r="P4135">
        <v>0.99708330000000001</v>
      </c>
      <c r="Q4135">
        <v>-7.6275239999999994E-2</v>
      </c>
      <c r="R4135">
        <v>-2.66979E-3</v>
      </c>
      <c r="S4135">
        <v>3.0019529999999999</v>
      </c>
      <c r="T4135">
        <v>-7.9581139999999995E-2</v>
      </c>
      <c r="U4135">
        <v>-0.16696169999999999</v>
      </c>
      <c r="V4135">
        <v>2.602694E-3</v>
      </c>
      <c r="W4135">
        <v>-6.822889E-2</v>
      </c>
      <c r="X4135">
        <v>0.99766630000000001</v>
      </c>
      <c r="Y4135">
        <v>5.5398719999999999E-2</v>
      </c>
      <c r="Z4135">
        <v>-9.5526509999999999E-4</v>
      </c>
      <c r="AA4135">
        <v>0.99846389999999996</v>
      </c>
      <c r="AB4135">
        <v>31</v>
      </c>
      <c r="AC4135">
        <v>41.976900000000001</v>
      </c>
      <c r="AD4135">
        <v>-1.1204580135340001</v>
      </c>
      <c r="AE4135">
        <v>-2.3507999999999898</v>
      </c>
      <c r="AF4135">
        <v>2.34460088225272</v>
      </c>
      <c r="AG4135">
        <v>-1.1204580135340001</v>
      </c>
      <c r="AH4135">
        <v>41.947360597499397</v>
      </c>
      <c r="AI4135">
        <v>91.527683221036298</v>
      </c>
      <c r="AJ4135">
        <v>86.800845130701603</v>
      </c>
      <c r="AK4135">
        <v>42.027772253044802</v>
      </c>
      <c r="AL4135">
        <v>93.912266833228699</v>
      </c>
      <c r="AM4135">
        <v>89.850528134239994</v>
      </c>
      <c r="AN4135">
        <v>1.00000000080118</v>
      </c>
    </row>
    <row r="4136" spans="1:40" x14ac:dyDescent="0.25">
      <c r="A4136" t="str">
        <f>"20190303154218722"</f>
        <v>20190303154218722</v>
      </c>
      <c r="B4136" t="str">
        <f>"1551598938713826"</f>
        <v>1551598938713826</v>
      </c>
      <c r="C4136" t="s">
        <v>40</v>
      </c>
      <c r="D4136">
        <v>5.8297040000000004</v>
      </c>
      <c r="E4136">
        <v>0.51991179999999904</v>
      </c>
      <c r="F4136" t="s">
        <v>50</v>
      </c>
      <c r="G4136">
        <v>-348.07409999999999</v>
      </c>
      <c r="H4136" s="1">
        <v>2.7598529999999998E-6</v>
      </c>
      <c r="I4136">
        <v>213.0384</v>
      </c>
      <c r="J4136">
        <v>-390.16210000000001</v>
      </c>
      <c r="K4136">
        <v>1.120501</v>
      </c>
      <c r="L4136">
        <v>215.33590000000001</v>
      </c>
      <c r="M4136">
        <v>0.99996750000000001</v>
      </c>
      <c r="N4136">
        <v>-8.0723219999999998E-3</v>
      </c>
      <c r="O4136">
        <v>2.978093E-4</v>
      </c>
      <c r="P4136">
        <v>0.99702259999999998</v>
      </c>
      <c r="Q4136">
        <v>-7.7108590000000005E-2</v>
      </c>
      <c r="R4136">
        <v>-7.8115499999999996E-4</v>
      </c>
      <c r="S4136">
        <v>3.0022280000000001</v>
      </c>
      <c r="T4136">
        <v>-7.9331280000000004E-2</v>
      </c>
      <c r="U4136">
        <v>-0.16264339999999999</v>
      </c>
      <c r="V4136">
        <v>1.12684E-3</v>
      </c>
      <c r="W4136">
        <v>-6.9057030000000005E-2</v>
      </c>
      <c r="X4136">
        <v>0.9976121</v>
      </c>
      <c r="Y4136">
        <v>5.4367539999999999E-2</v>
      </c>
      <c r="Z4136">
        <v>-9.4276709999999999E-4</v>
      </c>
      <c r="AA4136">
        <v>0.99852059999999998</v>
      </c>
      <c r="AB4136">
        <v>31</v>
      </c>
      <c r="AC4136">
        <v>42.088000000000001</v>
      </c>
      <c r="AD4136">
        <v>-1.1204982401470001</v>
      </c>
      <c r="AE4136">
        <v>-2.2975000000000101</v>
      </c>
      <c r="AF4136">
        <v>2.30840323501381</v>
      </c>
      <c r="AG4136">
        <v>-1.1204982401470001</v>
      </c>
      <c r="AH4136">
        <v>42.057593265958303</v>
      </c>
      <c r="AI4136">
        <v>91.523820448281995</v>
      </c>
      <c r="AJ4136">
        <v>86.858374982075404</v>
      </c>
      <c r="AK4136">
        <v>42.135797051039297</v>
      </c>
      <c r="AL4136">
        <v>93.959827857762505</v>
      </c>
      <c r="AM4136">
        <v>89.935282311903705</v>
      </c>
      <c r="AN4136">
        <v>1.0000000226136001</v>
      </c>
    </row>
    <row r="4137" spans="1:40" x14ac:dyDescent="0.25">
      <c r="A4137" t="str">
        <f>"20190303154218755"</f>
        <v>20190303154218755</v>
      </c>
      <c r="B4137" t="str">
        <f>"1551598938744082"</f>
        <v>1551598938744082</v>
      </c>
      <c r="C4137" t="s">
        <v>40</v>
      </c>
      <c r="D4137">
        <v>5.8089000000000004</v>
      </c>
      <c r="E4137">
        <v>0.51997570000000004</v>
      </c>
      <c r="F4137" t="s">
        <v>50</v>
      </c>
      <c r="G4137">
        <v>-349.2654</v>
      </c>
      <c r="H4137" s="1">
        <v>3.3938079999999998E-6</v>
      </c>
      <c r="I4137">
        <v>213.20060000000001</v>
      </c>
      <c r="J4137">
        <v>-389.69499999999999</v>
      </c>
      <c r="K4137">
        <v>1.1205510000000001</v>
      </c>
      <c r="L4137">
        <v>215.33680000000001</v>
      </c>
      <c r="M4137">
        <v>0.99996700000000005</v>
      </c>
      <c r="N4137">
        <v>-8.0860350000000001E-3</v>
      </c>
      <c r="O4137">
        <v>9.9336470000000007E-4</v>
      </c>
      <c r="P4137">
        <v>0.99697740000000001</v>
      </c>
      <c r="Q4137">
        <v>-7.7678209999999998E-2</v>
      </c>
      <c r="R4137">
        <v>1.59399E-3</v>
      </c>
      <c r="S4137">
        <v>3.002472</v>
      </c>
      <c r="T4137">
        <v>-8.2262399999999902E-2</v>
      </c>
      <c r="U4137">
        <v>-0.15676880000000001</v>
      </c>
      <c r="V4137">
        <v>-5.435282E-4</v>
      </c>
      <c r="W4137">
        <v>-6.9614560000000006E-2</v>
      </c>
      <c r="X4137">
        <v>0.99757379999999996</v>
      </c>
      <c r="Y4137">
        <v>5.3108290000000002E-2</v>
      </c>
      <c r="Z4137">
        <v>-9.6099170000000004E-4</v>
      </c>
      <c r="AA4137">
        <v>0.99858829999999998</v>
      </c>
      <c r="AB4137">
        <v>32</v>
      </c>
      <c r="AC4137">
        <v>40.429599999999901</v>
      </c>
      <c r="AD4137">
        <v>-1.1205476061919999</v>
      </c>
      <c r="AE4137">
        <v>-2.1362000000000001</v>
      </c>
      <c r="AF4137">
        <v>2.1746956869729499</v>
      </c>
      <c r="AG4137">
        <v>-1.1205476061919999</v>
      </c>
      <c r="AH4137">
        <v>40.396512646851598</v>
      </c>
      <c r="AI4137">
        <v>91.586608010978694</v>
      </c>
      <c r="AJ4137">
        <v>86.918527916459894</v>
      </c>
      <c r="AK4137">
        <v>40.470522140144404</v>
      </c>
      <c r="AL4137">
        <v>93.991849189011404</v>
      </c>
      <c r="AM4137">
        <v>90.031217608987603</v>
      </c>
      <c r="AN4137">
        <v>0.99999998441666804</v>
      </c>
    </row>
    <row r="4138" spans="1:40" x14ac:dyDescent="0.25">
      <c r="A4138" t="str">
        <f>"20190303154218778"</f>
        <v>20190303154218778</v>
      </c>
      <c r="B4138" t="str">
        <f>"1551598938774338"</f>
        <v>1551598938774338</v>
      </c>
      <c r="C4138" t="s">
        <v>40</v>
      </c>
      <c r="D4138">
        <v>5.8154719999999998</v>
      </c>
      <c r="E4138">
        <v>0.52011439999999998</v>
      </c>
      <c r="F4138" t="s">
        <v>50</v>
      </c>
      <c r="G4138">
        <v>-349.48110000000003</v>
      </c>
      <c r="H4138" s="1">
        <v>3.5085660000000001E-6</v>
      </c>
      <c r="I4138">
        <v>213.32249999999999</v>
      </c>
      <c r="J4138">
        <v>-389.38420000000002</v>
      </c>
      <c r="K4138">
        <v>1.120595</v>
      </c>
      <c r="L4138">
        <v>215.33760000000001</v>
      </c>
      <c r="M4138">
        <v>0.99996609999999997</v>
      </c>
      <c r="N4138">
        <v>-8.0979260000000001E-3</v>
      </c>
      <c r="O4138">
        <v>1.5267200000000001E-3</v>
      </c>
      <c r="P4138">
        <v>0.99693920000000003</v>
      </c>
      <c r="Q4138">
        <v>-7.8137719999999994E-2</v>
      </c>
      <c r="R4138">
        <v>2.5834410000000001E-3</v>
      </c>
      <c r="S4138">
        <v>3.002777</v>
      </c>
      <c r="T4138">
        <v>-8.3671449999999994E-2</v>
      </c>
      <c r="U4138">
        <v>-0.15040590000000001</v>
      </c>
      <c r="V4138">
        <v>-9.9349050000000004E-4</v>
      </c>
      <c r="W4138">
        <v>-7.0062990000000006E-2</v>
      </c>
      <c r="X4138">
        <v>0.99754209999999999</v>
      </c>
      <c r="Y4138">
        <v>5.1524960000000002E-2</v>
      </c>
      <c r="Z4138">
        <v>-9.5623690000000005E-4</v>
      </c>
      <c r="AA4138">
        <v>0.99867119999999998</v>
      </c>
      <c r="AB4138">
        <v>32</v>
      </c>
      <c r="AC4138">
        <v>39.903100000000002</v>
      </c>
      <c r="AD4138">
        <v>-1.1205914914340001</v>
      </c>
      <c r="AE4138">
        <v>-2.0151000000000101</v>
      </c>
      <c r="AF4138">
        <v>2.0743887123567402</v>
      </c>
      <c r="AG4138">
        <v>-1.1205914914340001</v>
      </c>
      <c r="AH4138">
        <v>39.868614708932903</v>
      </c>
      <c r="AI4138">
        <v>91.607821107513004</v>
      </c>
      <c r="AJ4138">
        <v>87.021550911260704</v>
      </c>
      <c r="AK4138">
        <v>39.9382680224114</v>
      </c>
      <c r="AL4138">
        <v>94.0176050597114</v>
      </c>
      <c r="AM4138">
        <v>90.057063049084206</v>
      </c>
      <c r="AN4138">
        <v>1.00000002543176</v>
      </c>
    </row>
    <row r="4139" spans="1:40" x14ac:dyDescent="0.25">
      <c r="A4139" t="str">
        <f>"20190303154218799"</f>
        <v>20190303154218799</v>
      </c>
      <c r="B4139" t="str">
        <f>"1551598938793858"</f>
        <v>1551598938793858</v>
      </c>
      <c r="C4139" t="s">
        <v>40</v>
      </c>
      <c r="D4139">
        <v>5.657438</v>
      </c>
      <c r="E4139">
        <v>0.51292789999999999</v>
      </c>
      <c r="F4139" t="s">
        <v>50</v>
      </c>
      <c r="G4139">
        <v>-349.65210000000002</v>
      </c>
      <c r="H4139" s="1">
        <v>3.599569E-6</v>
      </c>
      <c r="I4139">
        <v>213.37139999999999</v>
      </c>
      <c r="J4139">
        <v>-389.07709999999997</v>
      </c>
      <c r="K4139">
        <v>1.1206389999999999</v>
      </c>
      <c r="L4139">
        <v>215.33869999999999</v>
      </c>
      <c r="M4139">
        <v>0.99996499999999999</v>
      </c>
      <c r="N4139">
        <v>-8.1112649999999994E-3</v>
      </c>
      <c r="O4139">
        <v>2.1042420000000001E-3</v>
      </c>
      <c r="P4139">
        <v>0.99699070000000001</v>
      </c>
      <c r="Q4139">
        <v>-7.7462680000000006E-2</v>
      </c>
      <c r="R4139">
        <v>3.0818109999999998E-3</v>
      </c>
      <c r="S4139">
        <v>3.0029599999999999</v>
      </c>
      <c r="T4139">
        <v>-8.4694389999999994E-2</v>
      </c>
      <c r="U4139">
        <v>-0.1486053</v>
      </c>
      <c r="V4139">
        <v>-9.0981739999999997E-4</v>
      </c>
      <c r="W4139">
        <v>-6.9374249999999998E-2</v>
      </c>
      <c r="X4139">
        <v>0.99759030000000004</v>
      </c>
      <c r="Y4139">
        <v>5.1500690000000002E-2</v>
      </c>
      <c r="Z4139">
        <v>-9.7696219999999991E-4</v>
      </c>
      <c r="AA4139">
        <v>0.99867249999999996</v>
      </c>
      <c r="AB4139">
        <v>32</v>
      </c>
      <c r="AC4139">
        <v>39.424999999999898</v>
      </c>
      <c r="AD4139">
        <v>-1.120635400431</v>
      </c>
      <c r="AE4139">
        <v>-1.9672999999999901</v>
      </c>
      <c r="AF4139">
        <v>2.0486070412087201</v>
      </c>
      <c r="AG4139">
        <v>-1.120635400431</v>
      </c>
      <c r="AH4139">
        <v>39.389027522813599</v>
      </c>
      <c r="AI4139">
        <v>91.627452425620504</v>
      </c>
      <c r="AJ4139">
        <v>87.022752737065801</v>
      </c>
      <c r="AK4139">
        <v>39.458181708017896</v>
      </c>
      <c r="AL4139">
        <v>93.978046967279397</v>
      </c>
      <c r="AM4139">
        <v>90.052254600605593</v>
      </c>
      <c r="AN4139">
        <v>1.00000001049242</v>
      </c>
    </row>
    <row r="4140" spans="1:40" x14ac:dyDescent="0.25">
      <c r="A4140" t="str">
        <f>"20190303154218824"</f>
        <v>20190303154218824</v>
      </c>
      <c r="B4140" t="str">
        <f>"1551598938814354"</f>
        <v>1551598938814354</v>
      </c>
      <c r="C4140" t="s">
        <v>40</v>
      </c>
      <c r="D4140">
        <v>5.8442230000000004</v>
      </c>
      <c r="E4140">
        <v>0.51747670000000001</v>
      </c>
      <c r="F4140" t="s">
        <v>50</v>
      </c>
      <c r="G4140">
        <v>-371.63350000000003</v>
      </c>
      <c r="H4140" s="1">
        <v>-6.6754710000000003E-7</v>
      </c>
      <c r="I4140">
        <v>214.79859999999999</v>
      </c>
      <c r="J4140">
        <v>-388.7294</v>
      </c>
      <c r="K4140">
        <v>1.1206879999999999</v>
      </c>
      <c r="L4140">
        <v>215.34010000000001</v>
      </c>
      <c r="M4140">
        <v>0.99996309999999999</v>
      </c>
      <c r="N4140">
        <v>-8.1280899999999993E-3</v>
      </c>
      <c r="O4140">
        <v>2.8060400000000001E-3</v>
      </c>
      <c r="P4140">
        <v>0.99706209999999995</v>
      </c>
      <c r="Q4140">
        <v>-7.6530639999999997E-2</v>
      </c>
      <c r="R4140">
        <v>3.1848599999999999E-3</v>
      </c>
      <c r="S4140">
        <v>2.994415</v>
      </c>
      <c r="T4140">
        <v>-0.1923716</v>
      </c>
      <c r="U4140">
        <v>-9.27124E-2</v>
      </c>
      <c r="V4140">
        <v>-3.0666480000000001E-4</v>
      </c>
      <c r="W4140">
        <v>-6.8424289999999999E-2</v>
      </c>
      <c r="X4140">
        <v>0.99765630000000005</v>
      </c>
      <c r="Y4140">
        <v>3.3669060000000001E-2</v>
      </c>
      <c r="Z4140">
        <v>-1.374424E-3</v>
      </c>
      <c r="AA4140">
        <v>0.99943210000000005</v>
      </c>
      <c r="AB4140">
        <v>32</v>
      </c>
      <c r="AC4140">
        <v>17.095899999999901</v>
      </c>
      <c r="AD4140">
        <v>-1.1206886675470999</v>
      </c>
      <c r="AE4140">
        <v>-0.54150000000001297</v>
      </c>
      <c r="AF4140">
        <v>0.58695150586090705</v>
      </c>
      <c r="AG4140">
        <v>-1.1206886675470999</v>
      </c>
      <c r="AH4140">
        <v>17.0212427168894</v>
      </c>
      <c r="AI4140">
        <v>93.764719771137393</v>
      </c>
      <c r="AJ4140">
        <v>88.025025301120294</v>
      </c>
      <c r="AK4140">
        <v>17.068191432810401</v>
      </c>
      <c r="AL4140">
        <v>93.923488518618697</v>
      </c>
      <c r="AM4140">
        <v>90.017611875163595</v>
      </c>
      <c r="AN4140">
        <v>1.00000003521749</v>
      </c>
    </row>
    <row r="4141" spans="1:40" x14ac:dyDescent="0.25">
      <c r="A4141" t="str">
        <f>"20190303154218845"</f>
        <v>20190303154218845</v>
      </c>
      <c r="B4141" t="str">
        <f>"1551598938833878"</f>
        <v>1551598938833878</v>
      </c>
      <c r="C4141" t="s">
        <v>40</v>
      </c>
      <c r="D4141">
        <v>5.8361320000000001</v>
      </c>
      <c r="E4141">
        <v>0.51916689999999999</v>
      </c>
      <c r="F4141" t="s">
        <v>50</v>
      </c>
      <c r="G4141">
        <v>-364.44670000000002</v>
      </c>
      <c r="H4141" s="1">
        <v>8.2950580000000003E-7</v>
      </c>
      <c r="I4141">
        <v>214.30719999999999</v>
      </c>
      <c r="J4141">
        <v>-388.4221</v>
      </c>
      <c r="K4141">
        <v>1.120725</v>
      </c>
      <c r="L4141">
        <v>215.3416</v>
      </c>
      <c r="M4141">
        <v>0.99996090000000004</v>
      </c>
      <c r="N4141">
        <v>-8.1442230000000008E-3</v>
      </c>
      <c r="O4141">
        <v>3.4588729999999999E-3</v>
      </c>
      <c r="P4141">
        <v>0.99710109999999996</v>
      </c>
      <c r="Q4141">
        <v>-7.6013949999999997E-2</v>
      </c>
      <c r="R4141">
        <v>3.3717399999999998E-3</v>
      </c>
      <c r="S4141">
        <v>2.9986269999999999</v>
      </c>
      <c r="T4141">
        <v>-0.1383916</v>
      </c>
      <c r="U4141">
        <v>-0.1275482</v>
      </c>
      <c r="V4141">
        <v>1.6280290000000001E-4</v>
      </c>
      <c r="W4141">
        <v>-6.7890640000000002E-2</v>
      </c>
      <c r="X4141">
        <v>0.99769280000000005</v>
      </c>
      <c r="Y4141">
        <v>4.5892849999999999E-2</v>
      </c>
      <c r="Z4141">
        <v>-1.376394E-3</v>
      </c>
      <c r="AA4141">
        <v>0.99894539999999998</v>
      </c>
      <c r="AB4141">
        <v>32</v>
      </c>
      <c r="AC4141">
        <v>23.975399999999901</v>
      </c>
      <c r="AD4141">
        <v>-1.1207241704941999</v>
      </c>
      <c r="AE4141">
        <v>-1.0344</v>
      </c>
      <c r="AF4141">
        <v>1.1148928272229</v>
      </c>
      <c r="AG4141">
        <v>-1.1207241704941999</v>
      </c>
      <c r="AH4141">
        <v>23.919509851579601</v>
      </c>
      <c r="AI4141">
        <v>92.679668308561205</v>
      </c>
      <c r="AJ4141">
        <v>87.331364429447703</v>
      </c>
      <c r="AK4141">
        <v>23.971690808583698</v>
      </c>
      <c r="AL4141">
        <v>93.892841323398997</v>
      </c>
      <c r="AM4141">
        <v>89.990650509876602</v>
      </c>
      <c r="AN4141">
        <v>1.0000000443381101</v>
      </c>
    </row>
    <row r="4142" spans="1:40" x14ac:dyDescent="0.25">
      <c r="A4142" t="str">
        <f>"20190303154218868"</f>
        <v>20190303154218868</v>
      </c>
      <c r="B4142" t="str">
        <f>"1551598938864131"</f>
        <v>1551598938864131</v>
      </c>
      <c r="C4142" t="s">
        <v>40</v>
      </c>
      <c r="D4142">
        <v>5.9747159999999999</v>
      </c>
      <c r="E4142">
        <v>0.52019119999999996</v>
      </c>
      <c r="F4142" t="s">
        <v>50</v>
      </c>
      <c r="G4142">
        <v>-360.44589999999999</v>
      </c>
      <c r="H4142" s="1">
        <v>-1.2995020000000001E-6</v>
      </c>
      <c r="I4142">
        <v>214.0376</v>
      </c>
      <c r="J4142">
        <v>-388.10270000000003</v>
      </c>
      <c r="K4142">
        <v>1.120752</v>
      </c>
      <c r="L4142">
        <v>215.3434</v>
      </c>
      <c r="M4142">
        <v>0.99995820000000002</v>
      </c>
      <c r="N4142">
        <v>-8.1620740000000001E-3</v>
      </c>
      <c r="O4142">
        <v>4.1627319999999997E-3</v>
      </c>
      <c r="P4142">
        <v>0.99709990000000004</v>
      </c>
      <c r="Q4142">
        <v>-7.6033770000000001E-2</v>
      </c>
      <c r="R4142">
        <v>3.3123900000000001E-3</v>
      </c>
      <c r="S4142">
        <v>3</v>
      </c>
      <c r="T4142">
        <v>-0.12017990000000001</v>
      </c>
      <c r="U4142">
        <v>-0.1398315</v>
      </c>
      <c r="V4142">
        <v>9.2864759999999999E-4</v>
      </c>
      <c r="W4142">
        <v>-6.789162E-2</v>
      </c>
      <c r="X4142">
        <v>0.99769229999999998</v>
      </c>
      <c r="Y4142">
        <v>5.0666969999999999E-2</v>
      </c>
      <c r="Z4142">
        <v>-1.3535489999999999E-3</v>
      </c>
      <c r="AA4142">
        <v>0.99871469999999996</v>
      </c>
      <c r="AB4142">
        <v>32</v>
      </c>
      <c r="AC4142">
        <v>27.6568</v>
      </c>
      <c r="AD4142">
        <v>-1.120753299502</v>
      </c>
      <c r="AE4142">
        <v>-1.3058000000000001</v>
      </c>
      <c r="AF4142">
        <v>1.4185959629411</v>
      </c>
      <c r="AG4142">
        <v>-1.120753299502</v>
      </c>
      <c r="AH4142">
        <v>27.605891949627999</v>
      </c>
      <c r="AI4142">
        <v>92.321776490567103</v>
      </c>
      <c r="AJ4142">
        <v>87.058304412823105</v>
      </c>
      <c r="AK4142">
        <v>27.665027973941299</v>
      </c>
      <c r="AL4142">
        <v>93.892897659148204</v>
      </c>
      <c r="AM4142">
        <v>89.946669356104096</v>
      </c>
      <c r="AN4142">
        <v>1.00000002996593</v>
      </c>
    </row>
    <row r="4143" spans="1:40" x14ac:dyDescent="0.25">
      <c r="A4143" t="str">
        <f>"20190303154218890"</f>
        <v>20190303154218890</v>
      </c>
      <c r="B4143" t="str">
        <f>"1551598938883650"</f>
        <v>1551598938883650</v>
      </c>
      <c r="C4143" t="s">
        <v>40</v>
      </c>
      <c r="D4143">
        <v>5.8091049999999997</v>
      </c>
      <c r="E4143">
        <v>0.52063269999999995</v>
      </c>
      <c r="F4143" t="s">
        <v>50</v>
      </c>
      <c r="G4143">
        <v>-356.7373</v>
      </c>
      <c r="H4143" s="1">
        <v>2.0841539999999999E-6</v>
      </c>
      <c r="I4143">
        <v>213.7998</v>
      </c>
      <c r="J4143">
        <v>-387.77670000000001</v>
      </c>
      <c r="K4143">
        <v>1.120771</v>
      </c>
      <c r="L4143">
        <v>215.34549999999999</v>
      </c>
      <c r="M4143">
        <v>0.99995460000000003</v>
      </c>
      <c r="N4143">
        <v>-8.1810709999999998E-3</v>
      </c>
      <c r="O4143">
        <v>4.8999020000000003E-3</v>
      </c>
      <c r="P4143">
        <v>0.99709970000000003</v>
      </c>
      <c r="Q4143">
        <v>-7.6004130000000003E-2</v>
      </c>
      <c r="R4143">
        <v>4.0075190000000002E-3</v>
      </c>
      <c r="S4143">
        <v>3.001007</v>
      </c>
      <c r="T4143">
        <v>-0.1072321</v>
      </c>
      <c r="U4143">
        <v>-0.14768979999999901</v>
      </c>
      <c r="V4143">
        <v>9.7185339999999998E-4</v>
      </c>
      <c r="W4143">
        <v>-6.7842899999999998E-2</v>
      </c>
      <c r="X4143">
        <v>0.99769560000000002</v>
      </c>
      <c r="Y4143">
        <v>5.400336E-2</v>
      </c>
      <c r="Z4143">
        <v>-1.3199360000000001E-3</v>
      </c>
      <c r="AA4143">
        <v>0.99853990000000004</v>
      </c>
      <c r="AB4143">
        <v>32</v>
      </c>
      <c r="AC4143">
        <v>31.039400000000001</v>
      </c>
      <c r="AD4143">
        <v>-1.1207689158459999</v>
      </c>
      <c r="AE4143">
        <v>-1.5456999999999801</v>
      </c>
      <c r="AF4143">
        <v>1.6955713509882799</v>
      </c>
      <c r="AG4143">
        <v>-1.1207689158459999</v>
      </c>
      <c r="AH4143">
        <v>30.991147529856299</v>
      </c>
      <c r="AI4143">
        <v>92.068061111225802</v>
      </c>
      <c r="AJ4143">
        <v>86.868385647256005</v>
      </c>
      <c r="AK4143">
        <v>31.057725454165801</v>
      </c>
      <c r="AL4143">
        <v>93.890099652886704</v>
      </c>
      <c r="AM4143">
        <v>89.944188307021193</v>
      </c>
      <c r="AN4143">
        <v>1.0000000569193901</v>
      </c>
    </row>
    <row r="4144" spans="1:40" x14ac:dyDescent="0.25">
      <c r="A4144" t="str">
        <f>"20190303154218911"</f>
        <v>20190303154218911</v>
      </c>
      <c r="B4144" t="str">
        <f>"1551598938904147"</f>
        <v>1551598938904147</v>
      </c>
      <c r="C4144" t="s">
        <v>40</v>
      </c>
      <c r="D4144">
        <v>5.825062</v>
      </c>
      <c r="E4144">
        <v>0.52033019999999996</v>
      </c>
      <c r="F4144" t="s">
        <v>50</v>
      </c>
      <c r="G4144">
        <v>-354.79820000000001</v>
      </c>
      <c r="H4144" s="1">
        <v>1.0561660000000001E-6</v>
      </c>
      <c r="I4144">
        <v>213.71</v>
      </c>
      <c r="J4144">
        <v>-387.46789999999999</v>
      </c>
      <c r="K4144">
        <v>1.12079</v>
      </c>
      <c r="L4144">
        <v>215.3477</v>
      </c>
      <c r="M4144">
        <v>0.99995060000000002</v>
      </c>
      <c r="N4144">
        <v>-8.1996029999999998E-3</v>
      </c>
      <c r="O4144">
        <v>5.6086440000000003E-3</v>
      </c>
      <c r="P4144">
        <v>0.99717210000000001</v>
      </c>
      <c r="Q4144">
        <v>-7.4987120000000004E-2</v>
      </c>
      <c r="R4144">
        <v>5.0018770000000001E-3</v>
      </c>
      <c r="S4144">
        <v>3.0015559999999999</v>
      </c>
      <c r="T4144">
        <v>-0.1020074</v>
      </c>
      <c r="U4144">
        <v>-0.1488495</v>
      </c>
      <c r="V4144">
        <v>6.8553720000000002E-4</v>
      </c>
      <c r="W4144">
        <v>-6.6807169999999999E-2</v>
      </c>
      <c r="X4144">
        <v>0.99776569999999998</v>
      </c>
      <c r="Y4144">
        <v>5.5089810000000003E-2</v>
      </c>
      <c r="Z4144">
        <v>-1.3058379999999999E-3</v>
      </c>
      <c r="AA4144">
        <v>0.99848060000000005</v>
      </c>
      <c r="AB4144">
        <v>32</v>
      </c>
      <c r="AC4144">
        <v>32.669699999999899</v>
      </c>
      <c r="AD4144">
        <v>-1.120788943834</v>
      </c>
      <c r="AE4144">
        <v>-1.6376999999999899</v>
      </c>
      <c r="AF4144">
        <v>1.8187778844579601</v>
      </c>
      <c r="AG4144">
        <v>-1.120788943834</v>
      </c>
      <c r="AH4144">
        <v>32.621702714216198</v>
      </c>
      <c r="AI4144">
        <v>91.964697221653694</v>
      </c>
      <c r="AJ4144">
        <v>86.808856897224103</v>
      </c>
      <c r="AK4144">
        <v>32.691583149555697</v>
      </c>
      <c r="AL4144">
        <v>93.830621849426905</v>
      </c>
      <c r="AM4144">
        <v>89.960633661711796</v>
      </c>
      <c r="AN4144">
        <v>1.00000003001057</v>
      </c>
    </row>
    <row r="4145" spans="1:40" x14ac:dyDescent="0.25">
      <c r="A4145" t="str">
        <f>"20190303154218934"</f>
        <v>20190303154218934</v>
      </c>
      <c r="B4145" t="str">
        <f>"1551598938923670"</f>
        <v>1551598938923670</v>
      </c>
      <c r="C4145" t="s">
        <v>40</v>
      </c>
      <c r="D4145">
        <v>5.7916160000000003</v>
      </c>
      <c r="E4145">
        <v>0.52064390000000005</v>
      </c>
      <c r="F4145" t="s">
        <v>50</v>
      </c>
      <c r="G4145">
        <v>-355.76299999999998</v>
      </c>
      <c r="H4145" s="1">
        <v>1.56447E-6</v>
      </c>
      <c r="I4145">
        <v>213.82749999999999</v>
      </c>
      <c r="J4145">
        <v>-387.14760000000001</v>
      </c>
      <c r="K4145">
        <v>1.1208049999999901</v>
      </c>
      <c r="L4145">
        <v>215.3502</v>
      </c>
      <c r="M4145">
        <v>0.99994609999999995</v>
      </c>
      <c r="N4145">
        <v>-8.2195970000000004E-3</v>
      </c>
      <c r="O4145">
        <v>6.3492409999999899E-3</v>
      </c>
      <c r="P4145">
        <v>0.99723010000000001</v>
      </c>
      <c r="Q4145">
        <v>-7.418959E-2</v>
      </c>
      <c r="R4145">
        <v>5.3059099999999996E-3</v>
      </c>
      <c r="S4145">
        <v>3.0012509999999999</v>
      </c>
      <c r="T4145">
        <v>-0.1060963</v>
      </c>
      <c r="U4145">
        <v>-0.14390559999999999</v>
      </c>
      <c r="V4145">
        <v>1.1211789999999999E-3</v>
      </c>
      <c r="W4145">
        <v>-6.598859E-2</v>
      </c>
      <c r="X4145">
        <v>0.99781969999999998</v>
      </c>
      <c r="Y4145">
        <v>5.4190759999999998E-2</v>
      </c>
      <c r="Z4145">
        <v>-1.352036E-3</v>
      </c>
      <c r="AA4145">
        <v>0.99852969999999996</v>
      </c>
      <c r="AB4145">
        <v>32</v>
      </c>
      <c r="AC4145">
        <v>31.384599999999899</v>
      </c>
      <c r="AD4145">
        <v>-1.1208034355299901</v>
      </c>
      <c r="AE4145">
        <v>-1.5227000000000099</v>
      </c>
      <c r="AF4145">
        <v>1.7197562966656399</v>
      </c>
      <c r="AG4145">
        <v>-1.1208034355299901</v>
      </c>
      <c r="AH4145">
        <v>31.334430853040001</v>
      </c>
      <c r="AI4145">
        <v>92.045467578283706</v>
      </c>
      <c r="AJ4145">
        <v>86.858534959846494</v>
      </c>
      <c r="AK4145">
        <v>31.401597394797701</v>
      </c>
      <c r="AL4145">
        <v>93.783617235247902</v>
      </c>
      <c r="AM4145">
        <v>89.935620836365501</v>
      </c>
      <c r="AN4145">
        <v>0.99999995238031203</v>
      </c>
    </row>
    <row r="4146" spans="1:40" x14ac:dyDescent="0.25">
      <c r="A4146" t="str">
        <f>"20190303154218957"</f>
        <v>20190303154218957</v>
      </c>
      <c r="B4146" t="str">
        <f>"1551598938953923"</f>
        <v>1551598938953923</v>
      </c>
      <c r="C4146" t="s">
        <v>40</v>
      </c>
      <c r="D4146">
        <v>5.7825739999999897</v>
      </c>
      <c r="E4146">
        <v>0.52105279999999998</v>
      </c>
      <c r="F4146" t="s">
        <v>50</v>
      </c>
      <c r="G4146">
        <v>-354.4563</v>
      </c>
      <c r="H4146" s="1">
        <v>8.7181429999999995E-7</v>
      </c>
      <c r="I4146">
        <v>213.76589999999999</v>
      </c>
      <c r="J4146">
        <v>-386.81299999999999</v>
      </c>
      <c r="K4146">
        <v>1.120808</v>
      </c>
      <c r="L4146">
        <v>215.35310000000001</v>
      </c>
      <c r="M4146">
        <v>0.99994059999999996</v>
      </c>
      <c r="N4146">
        <v>-8.2411819999999997E-3</v>
      </c>
      <c r="O4146">
        <v>7.1254559999999996E-3</v>
      </c>
      <c r="P4146">
        <v>0.99725220000000003</v>
      </c>
      <c r="Q4146">
        <v>-7.3806289999999997E-2</v>
      </c>
      <c r="R4146">
        <v>6.3981380000000003E-3</v>
      </c>
      <c r="S4146">
        <v>3.0014949999999998</v>
      </c>
      <c r="T4146">
        <v>-0.1029048</v>
      </c>
      <c r="U4146">
        <v>-0.14546199999999901</v>
      </c>
      <c r="V4146">
        <v>8.0397170000000003E-4</v>
      </c>
      <c r="W4146">
        <v>-6.5583970000000005E-2</v>
      </c>
      <c r="X4146">
        <v>0.99784669999999998</v>
      </c>
      <c r="Y4146">
        <v>5.5479729999999998E-2</v>
      </c>
      <c r="Z4146">
        <v>-1.3644550000000001E-3</v>
      </c>
      <c r="AA4146">
        <v>0.99845890000000004</v>
      </c>
      <c r="AB4146">
        <v>32</v>
      </c>
      <c r="AC4146">
        <v>32.356699999999996</v>
      </c>
      <c r="AD4146">
        <v>-1.1208071281856999</v>
      </c>
      <c r="AE4146">
        <v>-1.5872000000000199</v>
      </c>
      <c r="AF4146">
        <v>1.8155505971085</v>
      </c>
      <c r="AG4146">
        <v>-1.1208071281856999</v>
      </c>
      <c r="AH4146">
        <v>32.305898862762398</v>
      </c>
      <c r="AI4146">
        <v>91.983870621871901</v>
      </c>
      <c r="AJ4146">
        <v>86.783433207274399</v>
      </c>
      <c r="AK4146">
        <v>32.376280421325198</v>
      </c>
      <c r="AL4146">
        <v>93.760383819397305</v>
      </c>
      <c r="AM4146">
        <v>89.953836420674406</v>
      </c>
      <c r="AN4146">
        <v>0.99999997009617203</v>
      </c>
    </row>
    <row r="4147" spans="1:40" x14ac:dyDescent="0.25">
      <c r="A4147" t="str">
        <f>"20190303154218979"</f>
        <v>20190303154218979</v>
      </c>
      <c r="B4147" t="str">
        <f>"1551598938974419"</f>
        <v>1551598938974419</v>
      </c>
      <c r="C4147" t="s">
        <v>40</v>
      </c>
      <c r="D4147">
        <v>5.8401909999999999</v>
      </c>
      <c r="E4147">
        <v>0.52073469999999999</v>
      </c>
      <c r="F4147" t="s">
        <v>50</v>
      </c>
      <c r="G4147">
        <v>-353.17270000000002</v>
      </c>
      <c r="H4147" s="1">
        <v>1.9059599999999999E-7</v>
      </c>
      <c r="I4147">
        <v>213.7236</v>
      </c>
      <c r="J4147">
        <v>-386.50560000000002</v>
      </c>
      <c r="K4147">
        <v>1.1208199999999999</v>
      </c>
      <c r="L4147">
        <v>215.35599999999999</v>
      </c>
      <c r="M4147">
        <v>0.99993509999999997</v>
      </c>
      <c r="N4147">
        <v>-8.261493E-3</v>
      </c>
      <c r="O4147">
        <v>7.838065E-3</v>
      </c>
      <c r="P4147">
        <v>0.99719429999999998</v>
      </c>
      <c r="Q4147">
        <v>-7.4533920000000004E-2</v>
      </c>
      <c r="R4147">
        <v>6.9452860000000002E-3</v>
      </c>
      <c r="S4147">
        <v>3.0018009999999999</v>
      </c>
      <c r="T4147">
        <v>-0.1000123</v>
      </c>
      <c r="U4147">
        <v>-0.145401</v>
      </c>
      <c r="V4147">
        <v>9.6931749999999998E-4</v>
      </c>
      <c r="W4147">
        <v>-6.6291530000000001E-2</v>
      </c>
      <c r="X4147">
        <v>0.99779980000000001</v>
      </c>
      <c r="Y4147">
        <v>5.6167599999999901E-2</v>
      </c>
      <c r="Z4147">
        <v>-1.363335E-3</v>
      </c>
      <c r="AA4147">
        <v>0.99842039999999999</v>
      </c>
      <c r="AB4147">
        <v>32</v>
      </c>
      <c r="AC4147">
        <v>33.332899999999903</v>
      </c>
      <c r="AD4147">
        <v>-1.1208198094040001</v>
      </c>
      <c r="AE4147">
        <v>-1.6323999999999901</v>
      </c>
      <c r="AF4147">
        <v>1.89149073626855</v>
      </c>
      <c r="AG4147">
        <v>-1.1208198094040001</v>
      </c>
      <c r="AH4147">
        <v>33.281541210726303</v>
      </c>
      <c r="AI4147">
        <v>91.925711274474494</v>
      </c>
      <c r="AJ4147">
        <v>86.747206560775894</v>
      </c>
      <c r="AK4147">
        <v>33.354084601616897</v>
      </c>
      <c r="AL4147">
        <v>93.801012428003901</v>
      </c>
      <c r="AM4147">
        <v>89.944339752035006</v>
      </c>
      <c r="AN4147">
        <v>0.99999997370309801</v>
      </c>
    </row>
    <row r="4148" spans="1:40" x14ac:dyDescent="0.25">
      <c r="A4148" t="str">
        <f>"20190303154219000"</f>
        <v>20190303154219000</v>
      </c>
      <c r="B4148" t="str">
        <f>"1551598938993938"</f>
        <v>1551598938993938</v>
      </c>
      <c r="C4148" t="s">
        <v>40</v>
      </c>
      <c r="D4148">
        <v>5.8252980000000001</v>
      </c>
      <c r="E4148">
        <v>0.49849749999999998</v>
      </c>
      <c r="F4148" t="s">
        <v>50</v>
      </c>
      <c r="G4148">
        <v>-354.50049999999999</v>
      </c>
      <c r="H4148" s="1">
        <v>8.9170799999999998E-7</v>
      </c>
      <c r="I4148">
        <v>213.84870000000001</v>
      </c>
      <c r="J4148">
        <v>-386.18720000000002</v>
      </c>
      <c r="K4148">
        <v>1.1208309999999999</v>
      </c>
      <c r="L4148">
        <v>215.35919999999999</v>
      </c>
      <c r="M4148">
        <v>0.99992879999999995</v>
      </c>
      <c r="N4148">
        <v>-8.2989610000000005E-3</v>
      </c>
      <c r="O4148">
        <v>8.5743360000000001E-3</v>
      </c>
      <c r="P4148">
        <v>0.99718890000000004</v>
      </c>
      <c r="Q4148">
        <v>-7.454334E-2</v>
      </c>
      <c r="R4148">
        <v>7.5907919999999999E-3</v>
      </c>
      <c r="S4148">
        <v>3.0015260000000001</v>
      </c>
      <c r="T4148">
        <v>-0.1051134</v>
      </c>
      <c r="U4148">
        <v>-0.14135739999999999</v>
      </c>
      <c r="V4148">
        <v>1.0591589999999901E-3</v>
      </c>
      <c r="W4148">
        <v>-6.6263379999999997E-2</v>
      </c>
      <c r="X4148">
        <v>0.99780159999999996</v>
      </c>
      <c r="Y4148">
        <v>5.5561340000000001E-2</v>
      </c>
      <c r="Z4148">
        <v>-1.431739E-3</v>
      </c>
      <c r="AA4148">
        <v>0.99845430000000002</v>
      </c>
      <c r="AB4148">
        <v>32</v>
      </c>
      <c r="AC4148">
        <v>31.686699999999998</v>
      </c>
      <c r="AD4148">
        <v>-1.12083010829199</v>
      </c>
      <c r="AE4148">
        <v>-1.51049999999997</v>
      </c>
      <c r="AF4148">
        <v>1.7799242533763799</v>
      </c>
      <c r="AG4148">
        <v>-1.12083010829199</v>
      </c>
      <c r="AH4148">
        <v>31.633093644220899</v>
      </c>
      <c r="AI4148">
        <v>92.026064495661103</v>
      </c>
      <c r="AJ4148">
        <v>86.779489057592301</v>
      </c>
      <c r="AK4148">
        <v>31.702949452432101</v>
      </c>
      <c r="AL4148">
        <v>93.799395915990104</v>
      </c>
      <c r="AM4148">
        <v>89.939180977720795</v>
      </c>
      <c r="AN4148">
        <v>0.99999999515468496</v>
      </c>
    </row>
    <row r="4149" spans="1:40" x14ac:dyDescent="0.25">
      <c r="A4149" t="str">
        <f>"20190303154219024"</f>
        <v>20190303154219024</v>
      </c>
      <c r="B4149" t="str">
        <f>"1551598939013458"</f>
        <v>1551598939013458</v>
      </c>
      <c r="C4149" t="s">
        <v>40</v>
      </c>
      <c r="D4149">
        <v>5.8409389999999997</v>
      </c>
      <c r="E4149">
        <v>0.49817660000000002</v>
      </c>
      <c r="F4149" t="s">
        <v>42</v>
      </c>
      <c r="G4149">
        <v>-385.23829999999998</v>
      </c>
      <c r="H4149">
        <v>1.041957</v>
      </c>
      <c r="I4149">
        <v>215.3699</v>
      </c>
      <c r="J4149">
        <v>-385.84840000000003</v>
      </c>
      <c r="K4149">
        <v>1.1208819999999999</v>
      </c>
      <c r="L4149">
        <v>215.3629</v>
      </c>
      <c r="M4149">
        <v>0.99992049999999999</v>
      </c>
      <c r="N4149">
        <v>-8.4483879999999994E-3</v>
      </c>
      <c r="O4149">
        <v>9.3561219999999997E-3</v>
      </c>
      <c r="P4149">
        <v>0.99720629999999999</v>
      </c>
      <c r="Q4149">
        <v>-7.4289399999999894E-2</v>
      </c>
      <c r="R4149">
        <v>7.8015569999999998E-3</v>
      </c>
      <c r="S4149">
        <v>2.989655</v>
      </c>
      <c r="T4149">
        <v>-0.2486391</v>
      </c>
      <c r="U4149">
        <v>3.4088130000000001E-2</v>
      </c>
      <c r="V4149">
        <v>1.6288940000000001E-3</v>
      </c>
      <c r="W4149">
        <v>-6.5859329999999994E-2</v>
      </c>
      <c r="X4149">
        <v>0.99782760000000004</v>
      </c>
      <c r="Y4149">
        <v>-2.0631619999999999E-3</v>
      </c>
      <c r="Z4149">
        <v>-6.0343409999999995E-4</v>
      </c>
      <c r="AA4149">
        <v>0.99999769999999999</v>
      </c>
      <c r="AB4149">
        <v>32</v>
      </c>
      <c r="AC4149">
        <v>0.61010000000004505</v>
      </c>
      <c r="AD4149">
        <v>-7.8924999999999898E-2</v>
      </c>
      <c r="AE4149">
        <v>7.0000000000049996E-3</v>
      </c>
      <c r="AF4149">
        <v>-1.27006774993708E-3</v>
      </c>
      <c r="AG4149">
        <v>-7.8924999999999898E-2</v>
      </c>
      <c r="AH4149">
        <v>0.60009744789636499</v>
      </c>
      <c r="AI4149">
        <v>97.492538304023498</v>
      </c>
      <c r="AJ4149">
        <v>90.121262660539998</v>
      </c>
      <c r="AK4149">
        <v>0.60526664840285005</v>
      </c>
      <c r="AL4149">
        <v>93.776194811149395</v>
      </c>
      <c r="AM4149">
        <v>89.906468142821893</v>
      </c>
      <c r="AN4149">
        <v>1.0000000119827299</v>
      </c>
    </row>
    <row r="4150" spans="1:40" x14ac:dyDescent="0.25">
      <c r="A4150" t="str">
        <f>"20190303154219045"</f>
        <v>20190303154219045</v>
      </c>
      <c r="B4150" t="str">
        <f>"1551598939033954"</f>
        <v>1551598939033954</v>
      </c>
      <c r="C4150" t="s">
        <v>40</v>
      </c>
      <c r="D4150">
        <v>5.8329389999999997</v>
      </c>
      <c r="E4150">
        <v>0.49885059999999898</v>
      </c>
      <c r="F4150" t="s">
        <v>50</v>
      </c>
      <c r="G4150">
        <v>-372.12279999999998</v>
      </c>
      <c r="H4150" s="1">
        <v>-4.0713330000000003E-7</v>
      </c>
      <c r="I4150">
        <v>215.53389999999999</v>
      </c>
      <c r="J4150">
        <v>-385.5351</v>
      </c>
      <c r="K4150">
        <v>1.1209629999999999</v>
      </c>
      <c r="L4150">
        <v>215.3665</v>
      </c>
      <c r="M4150">
        <v>0.99991110000000005</v>
      </c>
      <c r="N4150">
        <v>-8.7511240000000007E-3</v>
      </c>
      <c r="O4150">
        <v>1.007076E-2</v>
      </c>
      <c r="P4150">
        <v>0.99727239999999995</v>
      </c>
      <c r="Q4150">
        <v>-7.3425459999999998E-2</v>
      </c>
      <c r="R4150">
        <v>7.5432549999999996E-3</v>
      </c>
      <c r="S4150">
        <v>2.9899290000000001</v>
      </c>
      <c r="T4150">
        <v>-0.24416789999999999</v>
      </c>
      <c r="U4150">
        <v>3.7261959999999997E-2</v>
      </c>
      <c r="V4150">
        <v>2.600008E-3</v>
      </c>
      <c r="W4150">
        <v>-6.4691250000000006E-2</v>
      </c>
      <c r="X4150">
        <v>0.99790190000000001</v>
      </c>
      <c r="Y4150">
        <v>-2.4083630000000002E-3</v>
      </c>
      <c r="Z4150">
        <v>-6.2426270000000002E-4</v>
      </c>
      <c r="AA4150">
        <v>0.99999689999999997</v>
      </c>
      <c r="AB4150">
        <v>32</v>
      </c>
      <c r="AC4150">
        <v>13.4123</v>
      </c>
      <c r="AD4150">
        <v>-1.1209634071332999</v>
      </c>
      <c r="AE4150">
        <v>0.167399999999986</v>
      </c>
      <c r="AF4150">
        <v>-3.2090177657585602E-2</v>
      </c>
      <c r="AG4150">
        <v>-1.1209634071332999</v>
      </c>
      <c r="AH4150">
        <v>13.320275935630599</v>
      </c>
      <c r="AI4150">
        <v>94.810359109767703</v>
      </c>
      <c r="AJ4150">
        <v>90.138032289679401</v>
      </c>
      <c r="AK4150">
        <v>13.3673983908977</v>
      </c>
      <c r="AL4150">
        <v>93.709125908571906</v>
      </c>
      <c r="AM4150">
        <v>89.850717642677395</v>
      </c>
      <c r="AN4150">
        <v>0.99999995994588498</v>
      </c>
    </row>
    <row r="4151" spans="1:40" x14ac:dyDescent="0.25">
      <c r="A4151" t="str">
        <f>"20190303154219070"</f>
        <v>20190303154219070</v>
      </c>
      <c r="B4151" t="str">
        <f>"1551598939064212"</f>
        <v>1551598939064212</v>
      </c>
      <c r="C4151" t="s">
        <v>40</v>
      </c>
      <c r="D4151">
        <v>5.7864050000000002</v>
      </c>
      <c r="E4151">
        <v>0.49859959999999998</v>
      </c>
      <c r="F4151" t="s">
        <v>50</v>
      </c>
      <c r="G4151">
        <v>-371.01350000000002</v>
      </c>
      <c r="H4151" s="1">
        <v>-9.974833999999999E-7</v>
      </c>
      <c r="I4151">
        <v>215.52029999999999</v>
      </c>
      <c r="J4151">
        <v>-385.18869999999998</v>
      </c>
      <c r="K4151">
        <v>1.121057</v>
      </c>
      <c r="L4151">
        <v>215.3708</v>
      </c>
      <c r="M4151">
        <v>0.99989910000000004</v>
      </c>
      <c r="N4151">
        <v>-9.1864709999999999E-3</v>
      </c>
      <c r="O4151">
        <v>1.084797E-2</v>
      </c>
      <c r="P4151">
        <v>0.99727699999999997</v>
      </c>
      <c r="Q4151">
        <v>-7.3328699999999997E-2</v>
      </c>
      <c r="R4151">
        <v>7.835547E-3</v>
      </c>
      <c r="S4151">
        <v>2.9909669999999999</v>
      </c>
      <c r="T4151">
        <v>-0.23088</v>
      </c>
      <c r="U4151">
        <v>3.1661990000000001E-2</v>
      </c>
      <c r="V4151">
        <v>3.0824540000000001E-3</v>
      </c>
      <c r="W4151">
        <v>-6.4159270000000004E-2</v>
      </c>
      <c r="X4151">
        <v>0.99793489999999996</v>
      </c>
      <c r="Y4151">
        <v>2.3733409999999999E-4</v>
      </c>
      <c r="Z4151">
        <v>-7.4680190000000004E-4</v>
      </c>
      <c r="AA4151">
        <v>0.99999970000000005</v>
      </c>
      <c r="AB4151">
        <v>32</v>
      </c>
      <c r="AC4151">
        <v>14.175199999999901</v>
      </c>
      <c r="AD4151">
        <v>-1.1210579974833901</v>
      </c>
      <c r="AE4151">
        <v>0.149499999999989</v>
      </c>
      <c r="AF4151">
        <v>4.2607629124030702E-3</v>
      </c>
      <c r="AG4151">
        <v>-1.1210579974833901</v>
      </c>
      <c r="AH4151">
        <v>14.087883768022101</v>
      </c>
      <c r="AI4151">
        <v>94.549783577275605</v>
      </c>
      <c r="AJ4151">
        <v>89.982671370025201</v>
      </c>
      <c r="AK4151">
        <v>14.1324186977716</v>
      </c>
      <c r="AL4151">
        <v>93.678582137616502</v>
      </c>
      <c r="AM4151">
        <v>89.823023482724906</v>
      </c>
      <c r="AN4151">
        <v>0.99999998904380205</v>
      </c>
    </row>
    <row r="4152" spans="1:40" x14ac:dyDescent="0.25">
      <c r="A4152" t="str">
        <f>"20190303154219090"</f>
        <v>20190303154219090</v>
      </c>
      <c r="B4152" t="str">
        <f>"1551598939083731"</f>
        <v>1551598939083731</v>
      </c>
      <c r="C4152" t="s">
        <v>40</v>
      </c>
      <c r="D4152">
        <v>5.7764379999999997</v>
      </c>
      <c r="E4152">
        <v>0.49851069999999997</v>
      </c>
      <c r="F4152" t="s">
        <v>50</v>
      </c>
      <c r="G4152">
        <v>-370.9375</v>
      </c>
      <c r="H4152" s="1">
        <v>-1.0379109999999999E-6</v>
      </c>
      <c r="I4152">
        <v>215.5335</v>
      </c>
      <c r="J4152">
        <v>-384.88569999999999</v>
      </c>
      <c r="K4152">
        <v>1.121097</v>
      </c>
      <c r="L4152">
        <v>215.37479999999999</v>
      </c>
      <c r="M4152">
        <v>0.99988840000000001</v>
      </c>
      <c r="N4152">
        <v>-9.5162370000000003E-3</v>
      </c>
      <c r="O4152">
        <v>1.1525860000000001E-2</v>
      </c>
      <c r="P4152">
        <v>0.99724999999999997</v>
      </c>
      <c r="Q4152">
        <v>-7.3669890000000002E-2</v>
      </c>
      <c r="R4152">
        <v>8.0894509999999992E-3</v>
      </c>
      <c r="S4152">
        <v>2.990631</v>
      </c>
      <c r="T4152">
        <v>-0.23525460000000001</v>
      </c>
      <c r="U4152">
        <v>3.4133910000000003E-2</v>
      </c>
      <c r="V4152">
        <v>3.5033849999999999E-3</v>
      </c>
      <c r="W4152">
        <v>-6.4170959999999999E-2</v>
      </c>
      <c r="X4152">
        <v>0.99793279999999995</v>
      </c>
      <c r="Y4152" s="1">
        <v>8.5711730000000003E-5</v>
      </c>
      <c r="Z4152">
        <v>-7.9944879999999997E-4</v>
      </c>
      <c r="AA4152">
        <v>0.99999970000000005</v>
      </c>
      <c r="AB4152">
        <v>32</v>
      </c>
      <c r="AC4152">
        <v>13.9481999999999</v>
      </c>
      <c r="AD4152">
        <v>-1.121098037911</v>
      </c>
      <c r="AE4152">
        <v>0.15870000000001</v>
      </c>
      <c r="AF4152">
        <v>2.0694380528664602E-3</v>
      </c>
      <c r="AG4152">
        <v>-1.121098037911</v>
      </c>
      <c r="AH4152">
        <v>13.859577582962</v>
      </c>
      <c r="AI4152">
        <v>94.624573460144205</v>
      </c>
      <c r="AJ4152">
        <v>89.991444900481099</v>
      </c>
      <c r="AK4152">
        <v>13.904846488592501</v>
      </c>
      <c r="AL4152">
        <v>93.679253159078499</v>
      </c>
      <c r="AM4152">
        <v>89.798855844923196</v>
      </c>
      <c r="AN4152">
        <v>1.0000000295647999</v>
      </c>
    </row>
    <row r="4153" spans="1:40" x14ac:dyDescent="0.25">
      <c r="A4153" t="str">
        <f>"20190303154219113"</f>
        <v>20190303154219113</v>
      </c>
      <c r="B4153" t="str">
        <f>"1551598939104226"</f>
        <v>1551598939104226</v>
      </c>
      <c r="C4153" t="s">
        <v>40</v>
      </c>
      <c r="D4153">
        <v>5.7662890000000004</v>
      </c>
      <c r="E4153">
        <v>0.49841370000000002</v>
      </c>
      <c r="F4153" t="s">
        <v>50</v>
      </c>
      <c r="G4153">
        <v>-370.87700000000001</v>
      </c>
      <c r="H4153" s="1">
        <v>-1.0700830000000001E-6</v>
      </c>
      <c r="I4153">
        <v>215.5412</v>
      </c>
      <c r="J4153">
        <v>-384.54919999999998</v>
      </c>
      <c r="K4153">
        <v>1.1211279999999999</v>
      </c>
      <c r="L4153">
        <v>215.37950000000001</v>
      </c>
      <c r="M4153">
        <v>0.99987680000000001</v>
      </c>
      <c r="N4153">
        <v>-9.8254499999999995E-3</v>
      </c>
      <c r="O4153">
        <v>1.225242E-2</v>
      </c>
      <c r="P4153">
        <v>0.99718700000000005</v>
      </c>
      <c r="Q4153">
        <v>-7.4373389999999998E-2</v>
      </c>
      <c r="R4153">
        <v>9.3277870000000006E-3</v>
      </c>
      <c r="S4153">
        <v>2.990265</v>
      </c>
      <c r="T4153">
        <v>-0.2393082</v>
      </c>
      <c r="U4153">
        <v>3.5522459999999999E-2</v>
      </c>
      <c r="V4153">
        <v>2.9884099999999999E-3</v>
      </c>
      <c r="W4153">
        <v>-6.4567200000000005E-2</v>
      </c>
      <c r="X4153">
        <v>0.99790889999999999</v>
      </c>
      <c r="Y4153">
        <v>3.4313330000000002E-4</v>
      </c>
      <c r="Z4153">
        <v>-8.7409110000000005E-4</v>
      </c>
      <c r="AA4153">
        <v>0.99999959999999999</v>
      </c>
      <c r="AB4153">
        <v>32</v>
      </c>
      <c r="AC4153">
        <v>13.6722</v>
      </c>
      <c r="AD4153">
        <v>-1.1211290700829999</v>
      </c>
      <c r="AE4153">
        <v>0.16169999999999601</v>
      </c>
      <c r="AF4153">
        <v>5.79875318371192E-3</v>
      </c>
      <c r="AG4153">
        <v>-1.1211290700829999</v>
      </c>
      <c r="AH4153">
        <v>13.581841981252699</v>
      </c>
      <c r="AI4153">
        <v>94.7188483974289</v>
      </c>
      <c r="AJ4153">
        <v>89.975537628538405</v>
      </c>
      <c r="AK4153">
        <v>13.628037115485199</v>
      </c>
      <c r="AL4153">
        <v>93.702003278483005</v>
      </c>
      <c r="AM4153">
        <v>89.828418437183501</v>
      </c>
      <c r="AN4153">
        <v>1.00000001330468</v>
      </c>
    </row>
    <row r="4154" spans="1:40" x14ac:dyDescent="0.25">
      <c r="A4154" t="str">
        <f>"20190303154219134"</f>
        <v>20190303154219134</v>
      </c>
      <c r="B4154" t="str">
        <f>"1551598939123750"</f>
        <v>1551598939123750</v>
      </c>
      <c r="C4154" t="s">
        <v>40</v>
      </c>
      <c r="D4154">
        <v>5.7985930000000003</v>
      </c>
      <c r="E4154">
        <v>0.49850349999999999</v>
      </c>
      <c r="F4154" t="s">
        <v>50</v>
      </c>
      <c r="G4154">
        <v>-370.75599999999997</v>
      </c>
      <c r="H4154" s="1">
        <v>-1.13449E-6</v>
      </c>
      <c r="I4154">
        <v>215.56370000000001</v>
      </c>
      <c r="J4154">
        <v>-384.25420000000003</v>
      </c>
      <c r="K4154">
        <v>1.1211329999999999</v>
      </c>
      <c r="L4154">
        <v>215.38380000000001</v>
      </c>
      <c r="M4154">
        <v>0.9998667</v>
      </c>
      <c r="N4154">
        <v>-1.0071180000000001E-2</v>
      </c>
      <c r="O4154">
        <v>1.285092E-2</v>
      </c>
      <c r="P4154">
        <v>0.99713620000000003</v>
      </c>
      <c r="Q4154">
        <v>-7.480183E-2</v>
      </c>
      <c r="R4154">
        <v>1.115065E-2</v>
      </c>
      <c r="S4154">
        <v>2.98996</v>
      </c>
      <c r="T4154">
        <v>-0.2430272</v>
      </c>
      <c r="U4154">
        <v>3.9932250000000002E-2</v>
      </c>
      <c r="V4154">
        <v>1.7594920000000001E-3</v>
      </c>
      <c r="W4154">
        <v>-6.4752580000000004E-2</v>
      </c>
      <c r="X4154">
        <v>0.9978998</v>
      </c>
      <c r="Y4154">
        <v>-5.3327140000000001E-4</v>
      </c>
      <c r="Z4154">
        <v>-8.8916029999999897E-4</v>
      </c>
      <c r="AA4154">
        <v>0.99999950000000004</v>
      </c>
      <c r="AB4154">
        <v>32</v>
      </c>
      <c r="AC4154">
        <v>13.498200000000001</v>
      </c>
      <c r="AD4154">
        <v>-1.1211341344900001</v>
      </c>
      <c r="AE4154">
        <v>0.179900000000003</v>
      </c>
      <c r="AF4154">
        <v>-6.3681325542098398E-3</v>
      </c>
      <c r="AG4154">
        <v>-1.1211341344900001</v>
      </c>
      <c r="AH4154">
        <v>13.4069241438</v>
      </c>
      <c r="AI4154">
        <v>94.780152330442405</v>
      </c>
      <c r="AJ4154">
        <v>90.027214824771306</v>
      </c>
      <c r="AK4154">
        <v>13.4537205745563</v>
      </c>
      <c r="AL4154">
        <v>93.712647086922402</v>
      </c>
      <c r="AM4154">
        <v>89.898976469162704</v>
      </c>
      <c r="AN4154">
        <v>1.00000000163439</v>
      </c>
    </row>
    <row r="4155" spans="1:40" x14ac:dyDescent="0.25">
      <c r="A4155" t="str">
        <f>"20190303154219158"</f>
        <v>20190303154219158</v>
      </c>
      <c r="B4155" t="str">
        <f>"1551598939154002"</f>
        <v>1551598939154002</v>
      </c>
      <c r="C4155" t="s">
        <v>40</v>
      </c>
      <c r="D4155">
        <v>5.7851280000000003</v>
      </c>
      <c r="E4155">
        <v>0.49844959999999999</v>
      </c>
      <c r="F4155" t="s">
        <v>50</v>
      </c>
      <c r="G4155">
        <v>-370.6361</v>
      </c>
      <c r="H4155" s="1">
        <v>-1.198261E-6</v>
      </c>
      <c r="I4155">
        <v>215.58779999999999</v>
      </c>
      <c r="J4155">
        <v>-383.91640000000001</v>
      </c>
      <c r="K4155">
        <v>1.121119</v>
      </c>
      <c r="L4155">
        <v>215.3888</v>
      </c>
      <c r="M4155">
        <v>0.99985579999999996</v>
      </c>
      <c r="N4155">
        <v>-1.0329319999999999E-2</v>
      </c>
      <c r="O4155">
        <v>1.3487819999999999E-2</v>
      </c>
      <c r="P4155">
        <v>0.99706340000000004</v>
      </c>
      <c r="Q4155">
        <v>-7.5443730000000001E-2</v>
      </c>
      <c r="R4155">
        <v>1.3151960000000001E-2</v>
      </c>
      <c r="S4155">
        <v>2.9896850000000001</v>
      </c>
      <c r="T4155">
        <v>-0.24613180000000001</v>
      </c>
      <c r="U4155">
        <v>4.4799800000000001E-2</v>
      </c>
      <c r="V4155">
        <v>3.8802420000000001E-4</v>
      </c>
      <c r="W4155">
        <v>-6.5139359999999993E-2</v>
      </c>
      <c r="X4155">
        <v>0.99787610000000004</v>
      </c>
      <c r="Y4155">
        <v>-1.5238020000000001E-3</v>
      </c>
      <c r="Z4155">
        <v>-8.9880349999999995E-4</v>
      </c>
      <c r="AA4155">
        <v>0.99999850000000001</v>
      </c>
      <c r="AB4155">
        <v>32</v>
      </c>
      <c r="AC4155">
        <v>13.2803</v>
      </c>
      <c r="AD4155">
        <v>-1.121120198261</v>
      </c>
      <c r="AE4155">
        <v>0.198999999999983</v>
      </c>
      <c r="AF4155">
        <v>-1.9709631746525999E-2</v>
      </c>
      <c r="AG4155">
        <v>-1.121120198261</v>
      </c>
      <c r="AH4155">
        <v>13.1878115502087</v>
      </c>
      <c r="AI4155">
        <v>94.859131347507102</v>
      </c>
      <c r="AJ4155">
        <v>90.085630422434903</v>
      </c>
      <c r="AK4155">
        <v>13.2353946844192</v>
      </c>
      <c r="AL4155">
        <v>93.734854844373103</v>
      </c>
      <c r="AM4155">
        <v>89.977720532751107</v>
      </c>
      <c r="AN4155">
        <v>0.99999999886759905</v>
      </c>
    </row>
    <row r="4156" spans="1:40" x14ac:dyDescent="0.25">
      <c r="A4156" t="str">
        <f>"20190303154219179"</f>
        <v>20190303154219179</v>
      </c>
      <c r="B4156" t="str">
        <f>"1551598939173523"</f>
        <v>1551598939173523</v>
      </c>
      <c r="C4156" t="s">
        <v>40</v>
      </c>
      <c r="D4156">
        <v>5.7816869999999998</v>
      </c>
      <c r="E4156">
        <v>0.49827890000000002</v>
      </c>
      <c r="F4156" t="s">
        <v>42</v>
      </c>
      <c r="G4156">
        <v>-382.92880000000002</v>
      </c>
      <c r="H4156">
        <v>1.0383739999999999</v>
      </c>
      <c r="I4156">
        <v>215.40549999999999</v>
      </c>
      <c r="J4156">
        <v>-383.6069</v>
      </c>
      <c r="K4156">
        <v>1.1210800000000001</v>
      </c>
      <c r="L4156">
        <v>215.39359999999999</v>
      </c>
      <c r="M4156">
        <v>0.99984620000000002</v>
      </c>
      <c r="N4156">
        <v>-1.054038E-2</v>
      </c>
      <c r="O4156">
        <v>1.4026169999999999E-2</v>
      </c>
      <c r="P4156">
        <v>0.99703169999999997</v>
      </c>
      <c r="Q4156">
        <v>-7.5561749999999997E-2</v>
      </c>
      <c r="R4156">
        <v>1.478463E-2</v>
      </c>
      <c r="S4156">
        <v>2.989166</v>
      </c>
      <c r="T4156">
        <v>-0.25048089999999901</v>
      </c>
      <c r="U4156">
        <v>5.1010130000000001E-2</v>
      </c>
      <c r="V4156">
        <v>-7.1499379999999998E-4</v>
      </c>
      <c r="W4156">
        <v>-6.504828E-2</v>
      </c>
      <c r="X4156">
        <v>0.99788189999999999</v>
      </c>
      <c r="Y4156">
        <v>-3.061411E-3</v>
      </c>
      <c r="Z4156">
        <v>-8.8131720000000002E-4</v>
      </c>
      <c r="AA4156">
        <v>0.99999490000000002</v>
      </c>
      <c r="AB4156">
        <v>32</v>
      </c>
      <c r="AC4156">
        <v>0.67809999999997195</v>
      </c>
      <c r="AD4156">
        <v>-8.2705999999999905E-2</v>
      </c>
      <c r="AE4156">
        <v>1.18999999999971E-2</v>
      </c>
      <c r="AF4156">
        <v>-2.3521759789996398E-3</v>
      </c>
      <c r="AG4156">
        <v>-8.2705999999999905E-2</v>
      </c>
      <c r="AH4156">
        <v>0.66826219116470997</v>
      </c>
      <c r="AI4156">
        <v>97.055166718358905</v>
      </c>
      <c r="AJ4156">
        <v>90.201671142686493</v>
      </c>
      <c r="AK4156">
        <v>0.67336481294176298</v>
      </c>
      <c r="AL4156">
        <v>93.729625106874707</v>
      </c>
      <c r="AM4156">
        <v>90.041053074624799</v>
      </c>
      <c r="AN4156">
        <v>1.0000000381473499</v>
      </c>
    </row>
    <row r="4157" spans="1:40" x14ac:dyDescent="0.25">
      <c r="A4157" t="str">
        <f>"20190303154219203"</f>
        <v>20190303154219203</v>
      </c>
      <c r="B4157" t="str">
        <f>"1551598939194018"</f>
        <v>1551598939194018</v>
      </c>
      <c r="C4157" t="s">
        <v>40</v>
      </c>
      <c r="D4157">
        <v>5.7865199999999897</v>
      </c>
      <c r="E4157">
        <v>0.49814160000000002</v>
      </c>
      <c r="F4157" t="s">
        <v>42</v>
      </c>
      <c r="G4157">
        <v>-382.6397</v>
      </c>
      <c r="H4157">
        <v>1.038546</v>
      </c>
      <c r="I4157">
        <v>215.41200000000001</v>
      </c>
      <c r="J4157">
        <v>-383.26369999999997</v>
      </c>
      <c r="K4157">
        <v>1.121043</v>
      </c>
      <c r="L4157">
        <v>215.3991</v>
      </c>
      <c r="M4157">
        <v>0.99983599999999995</v>
      </c>
      <c r="N4157">
        <v>-1.074599E-2</v>
      </c>
      <c r="O4157">
        <v>1.4577659999999999E-2</v>
      </c>
      <c r="P4157">
        <v>0.99696719999999905</v>
      </c>
      <c r="Q4157">
        <v>-7.6132950000000005E-2</v>
      </c>
      <c r="R4157">
        <v>1.6137249999999999E-2</v>
      </c>
      <c r="S4157">
        <v>2.9887389999999998</v>
      </c>
      <c r="T4157">
        <v>-0.25508330000000001</v>
      </c>
      <c r="U4157">
        <v>5.7205199999999998E-2</v>
      </c>
      <c r="V4157">
        <v>-1.5248149999999999E-3</v>
      </c>
      <c r="W4157">
        <v>-6.5415570000000006E-2</v>
      </c>
      <c r="X4157">
        <v>0.99785690000000005</v>
      </c>
      <c r="Y4157">
        <v>-4.580598E-3</v>
      </c>
      <c r="Z4157">
        <v>-8.655612E-4</v>
      </c>
      <c r="AA4157">
        <v>0.99998920000000002</v>
      </c>
      <c r="AB4157">
        <v>32</v>
      </c>
      <c r="AC4157">
        <v>0.62399999999996603</v>
      </c>
      <c r="AD4157">
        <v>-8.2497000000000001E-2</v>
      </c>
      <c r="AE4157">
        <v>1.29000000000019E-2</v>
      </c>
      <c r="AF4157">
        <v>-3.7363654328309102E-3</v>
      </c>
      <c r="AG4157">
        <v>-8.2497000000000001E-2</v>
      </c>
      <c r="AH4157">
        <v>0.61340485885885299</v>
      </c>
      <c r="AI4157">
        <v>97.659624157658897</v>
      </c>
      <c r="AJ4157">
        <v>90.348995152827797</v>
      </c>
      <c r="AK4157">
        <v>0.61893879851508404</v>
      </c>
      <c r="AL4157">
        <v>93.750714493468195</v>
      </c>
      <c r="AM4157">
        <v>90.087553030937698</v>
      </c>
      <c r="AN4157">
        <v>0.99999995736840797</v>
      </c>
    </row>
    <row r="4158" spans="1:40" x14ac:dyDescent="0.25">
      <c r="A4158" t="str">
        <f>"20190303154219225"</f>
        <v>20190303154219225</v>
      </c>
      <c r="B4158" t="str">
        <f>"1551598939213539"</f>
        <v>1551598939213539</v>
      </c>
      <c r="C4158" t="s">
        <v>40</v>
      </c>
      <c r="D4158">
        <v>5.7659250000000002</v>
      </c>
      <c r="E4158">
        <v>0.49803809999999898</v>
      </c>
      <c r="F4158" t="s">
        <v>42</v>
      </c>
      <c r="G4158">
        <v>-382.34589999999997</v>
      </c>
      <c r="H4158">
        <v>1.04118</v>
      </c>
      <c r="I4158">
        <v>215.4179</v>
      </c>
      <c r="J4158">
        <v>-382.9434</v>
      </c>
      <c r="K4158">
        <v>1.1210059999999999</v>
      </c>
      <c r="L4158">
        <v>215.40440000000001</v>
      </c>
      <c r="M4158">
        <v>0.99982729999999997</v>
      </c>
      <c r="N4158">
        <v>-1.091456E-2</v>
      </c>
      <c r="O4158">
        <v>1.50438E-2</v>
      </c>
      <c r="P4158">
        <v>0.99693909999999997</v>
      </c>
      <c r="Q4158">
        <v>-7.6436089999999998E-2</v>
      </c>
      <c r="R4158">
        <v>1.642478E-2</v>
      </c>
      <c r="S4158">
        <v>2.988251</v>
      </c>
      <c r="T4158">
        <v>-0.26017760000000001</v>
      </c>
      <c r="U4158">
        <v>6.231689E-2</v>
      </c>
      <c r="V4158">
        <v>-1.3535089999999999E-3</v>
      </c>
      <c r="W4158">
        <v>-6.5550430000000007E-2</v>
      </c>
      <c r="X4158">
        <v>0.99784830000000002</v>
      </c>
      <c r="Y4158">
        <v>-5.8243670000000004E-3</v>
      </c>
      <c r="Z4158">
        <v>-8.5828469999999998E-4</v>
      </c>
      <c r="AA4158">
        <v>0.9999827</v>
      </c>
      <c r="AB4158">
        <v>32</v>
      </c>
      <c r="AC4158">
        <v>0.59750000000002501</v>
      </c>
      <c r="AD4158">
        <v>-7.9825999999999897E-2</v>
      </c>
      <c r="AE4158">
        <v>1.3499999999993399E-2</v>
      </c>
      <c r="AF4158">
        <v>-4.4302317983386996E-3</v>
      </c>
      <c r="AG4158">
        <v>-7.9825999999999897E-2</v>
      </c>
      <c r="AH4158">
        <v>0.587160620568561</v>
      </c>
      <c r="AI4158">
        <v>97.741825090929296</v>
      </c>
      <c r="AJ4158">
        <v>90.432298690835907</v>
      </c>
      <c r="AK4158">
        <v>0.59257861214884</v>
      </c>
      <c r="AL4158">
        <v>93.758458011511905</v>
      </c>
      <c r="AM4158">
        <v>90.077717530481806</v>
      </c>
      <c r="AN4158">
        <v>0.99999996033634297</v>
      </c>
    </row>
    <row r="4159" spans="1:40" x14ac:dyDescent="0.25">
      <c r="A4159" t="str">
        <f>"20190303154219261"</f>
        <v>20190303154219261</v>
      </c>
      <c r="B4159" t="str">
        <f>"1551598939253555"</f>
        <v>1551598939253555</v>
      </c>
      <c r="C4159" t="s">
        <v>40</v>
      </c>
      <c r="D4159">
        <v>5.7739419999999999</v>
      </c>
      <c r="E4159">
        <v>0.49803890000000001</v>
      </c>
      <c r="F4159" t="s">
        <v>50</v>
      </c>
      <c r="G4159">
        <v>-370.21929999999998</v>
      </c>
      <c r="H4159" s="1">
        <v>-1.4201129999999999E-6</v>
      </c>
      <c r="I4159">
        <v>215.67599999999999</v>
      </c>
      <c r="J4159">
        <v>-382.44470000000001</v>
      </c>
      <c r="K4159">
        <v>1.1209469999999999</v>
      </c>
      <c r="L4159">
        <v>215.4127</v>
      </c>
      <c r="M4159">
        <v>0.99981520000000002</v>
      </c>
      <c r="N4159">
        <v>-1.113754E-2</v>
      </c>
      <c r="O4159">
        <v>1.567327E-2</v>
      </c>
      <c r="P4159">
        <v>0.9969055</v>
      </c>
      <c r="Q4159">
        <v>-7.7029680000000003E-2</v>
      </c>
      <c r="R4159">
        <v>1.5689999999999999E-2</v>
      </c>
      <c r="S4159">
        <v>2.9879760000000002</v>
      </c>
      <c r="T4159">
        <v>-0.26324389999999998</v>
      </c>
      <c r="U4159">
        <v>6.3797000000000006E-2</v>
      </c>
      <c r="V4159" s="1">
        <v>-2.0166630000000001E-6</v>
      </c>
      <c r="W4159">
        <v>-6.5920489999999998E-2</v>
      </c>
      <c r="X4159">
        <v>0.99782490000000001</v>
      </c>
      <c r="Y4159">
        <v>-5.6945379999999999E-3</v>
      </c>
      <c r="Z4159">
        <v>-9.2152230000000003E-4</v>
      </c>
      <c r="AA4159">
        <v>0.99998339999999997</v>
      </c>
      <c r="AB4159">
        <v>32</v>
      </c>
      <c r="AC4159">
        <v>12.2254</v>
      </c>
      <c r="AD4159">
        <v>-1.120948420113</v>
      </c>
      <c r="AE4159">
        <v>0.26329999999998599</v>
      </c>
      <c r="AF4159">
        <v>-7.1046767265423402E-2</v>
      </c>
      <c r="AG4159">
        <v>-1.120948420113</v>
      </c>
      <c r="AH4159">
        <v>12.126127118547901</v>
      </c>
      <c r="AI4159">
        <v>95.281365595254002</v>
      </c>
      <c r="AJ4159">
        <v>90.335691131597599</v>
      </c>
      <c r="AK4159">
        <v>12.178034812681201</v>
      </c>
      <c r="AL4159">
        <v>93.779706618313099</v>
      </c>
      <c r="AM4159">
        <v>90.0001157981511</v>
      </c>
      <c r="AN4159">
        <v>1.00000002103295</v>
      </c>
    </row>
    <row r="4160" spans="1:40" x14ac:dyDescent="0.25">
      <c r="A4160" t="str">
        <f>"20190303154219282"</f>
        <v>20190303154219282</v>
      </c>
      <c r="B4160" t="str">
        <f>"1551598939274050"</f>
        <v>1551598939274050</v>
      </c>
      <c r="C4160" t="s">
        <v>40</v>
      </c>
      <c r="D4160">
        <v>5.7369909999999997</v>
      </c>
      <c r="E4160">
        <v>0.49805460000000001</v>
      </c>
      <c r="F4160" t="s">
        <v>42</v>
      </c>
      <c r="G4160">
        <v>-381.48829999999998</v>
      </c>
      <c r="H4160">
        <v>1.0349630000000001</v>
      </c>
      <c r="I4160">
        <v>215.43219999999999</v>
      </c>
      <c r="J4160">
        <v>-382.11689999999999</v>
      </c>
      <c r="K4160">
        <v>1.120914</v>
      </c>
      <c r="L4160">
        <v>215.41829999999999</v>
      </c>
      <c r="M4160">
        <v>0.99980829999999998</v>
      </c>
      <c r="N4160">
        <v>-1.1259740000000001E-2</v>
      </c>
      <c r="O4160">
        <v>1.6031380000000001E-2</v>
      </c>
      <c r="P4160">
        <v>0.99682550000000003</v>
      </c>
      <c r="Q4160">
        <v>-7.8088790000000005E-2</v>
      </c>
      <c r="R4160">
        <v>1.554375E-2</v>
      </c>
      <c r="S4160">
        <v>2.9875790000000002</v>
      </c>
      <c r="T4160">
        <v>-0.2686615</v>
      </c>
      <c r="U4160">
        <v>6.141663E-2</v>
      </c>
      <c r="V4160">
        <v>4.9486189999999996E-4</v>
      </c>
      <c r="W4160">
        <v>-6.6858109999999998E-2</v>
      </c>
      <c r="X4160">
        <v>0.99776240000000005</v>
      </c>
      <c r="Y4160">
        <v>-4.5501439999999999E-3</v>
      </c>
      <c r="Z4160">
        <v>-1.0284560000000001E-3</v>
      </c>
      <c r="AA4160">
        <v>0.99998909999999996</v>
      </c>
      <c r="AB4160">
        <v>32</v>
      </c>
      <c r="AC4160">
        <v>0.62860000000000504</v>
      </c>
      <c r="AD4160">
        <v>-8.5951000000000097E-2</v>
      </c>
      <c r="AE4160">
        <v>1.39000000000066E-2</v>
      </c>
      <c r="AF4160">
        <v>-3.7501716149510502E-3</v>
      </c>
      <c r="AG4160">
        <v>-8.5951000000000097E-2</v>
      </c>
      <c r="AH4160">
        <v>0.61720825496793497</v>
      </c>
      <c r="AI4160">
        <v>97.927748409566703</v>
      </c>
      <c r="AJ4160">
        <v>90.348126195872297</v>
      </c>
      <c r="AK4160">
        <v>0.62317547142735397</v>
      </c>
      <c r="AL4160">
        <v>93.833547039181397</v>
      </c>
      <c r="AM4160">
        <v>89.971582917950201</v>
      </c>
      <c r="AN4160">
        <v>1.0000000293074101</v>
      </c>
    </row>
    <row r="4161" spans="1:40" x14ac:dyDescent="0.25">
      <c r="A4161" t="str">
        <f>"20190303154219306"</f>
        <v>20190303154219306</v>
      </c>
      <c r="B4161" t="str">
        <f>"1551598939293570"</f>
        <v>1551598939293570</v>
      </c>
      <c r="C4161" t="s">
        <v>40</v>
      </c>
      <c r="D4161">
        <v>5.9077859999999998</v>
      </c>
      <c r="E4161">
        <v>0.49885439999999998</v>
      </c>
      <c r="F4161" t="s">
        <v>42</v>
      </c>
      <c r="G4161">
        <v>-381.19799999999998</v>
      </c>
      <c r="H4161">
        <v>1.0371140000000001</v>
      </c>
      <c r="I4161">
        <v>215.4366</v>
      </c>
      <c r="J4161">
        <v>-381.7894</v>
      </c>
      <c r="K4161">
        <v>1.1208849999999999</v>
      </c>
      <c r="L4161">
        <v>215.4239</v>
      </c>
      <c r="M4161">
        <v>0.99980159999999996</v>
      </c>
      <c r="N4161">
        <v>-1.136618E-2</v>
      </c>
      <c r="O4161">
        <v>1.636162E-2</v>
      </c>
      <c r="P4161">
        <v>0.99677579999999999</v>
      </c>
      <c r="Q4161">
        <v>-7.8833600000000004E-2</v>
      </c>
      <c r="R4161">
        <v>1.4949550000000001E-2</v>
      </c>
      <c r="S4161">
        <v>2.9872130000000001</v>
      </c>
      <c r="T4161">
        <v>-0.27255309999999999</v>
      </c>
      <c r="U4161">
        <v>6.0882569999999997E-2</v>
      </c>
      <c r="V4161">
        <v>1.412894E-3</v>
      </c>
      <c r="W4161">
        <v>-6.749666E-2</v>
      </c>
      <c r="X4161">
        <v>0.99771849999999995</v>
      </c>
      <c r="Y4161">
        <v>-4.0479640000000002E-3</v>
      </c>
      <c r="Z4161">
        <v>-1.0965129999999999E-3</v>
      </c>
      <c r="AA4161">
        <v>0.99999119999999997</v>
      </c>
      <c r="AB4161">
        <v>32</v>
      </c>
      <c r="AC4161">
        <v>0.59139999999996395</v>
      </c>
      <c r="AD4161">
        <v>-8.3771000000000206E-2</v>
      </c>
      <c r="AE4161">
        <v>1.26999999999952E-2</v>
      </c>
      <c r="AF4161">
        <v>-2.9620098644585701E-3</v>
      </c>
      <c r="AG4161">
        <v>-8.3771000000000206E-2</v>
      </c>
      <c r="AH4161">
        <v>0.57989871224387701</v>
      </c>
      <c r="AI4161">
        <v>98.219863498145898</v>
      </c>
      <c r="AJ4161">
        <v>90.292653155888502</v>
      </c>
      <c r="AK4161">
        <v>0.58592565262629004</v>
      </c>
      <c r="AL4161">
        <v>93.870216204766507</v>
      </c>
      <c r="AM4161">
        <v>89.918862074838799</v>
      </c>
      <c r="AN4161">
        <v>1.00000000031143</v>
      </c>
    </row>
    <row r="4162" spans="1:40" x14ac:dyDescent="0.25">
      <c r="A4162" t="str">
        <f>"20190303154219326"</f>
        <v>20190303154219326</v>
      </c>
      <c r="B4162" t="str">
        <f>"1551598939323826"</f>
        <v>1551598939323826</v>
      </c>
      <c r="C4162" t="s">
        <v>40</v>
      </c>
      <c r="D4162">
        <v>5.8517570000000001</v>
      </c>
      <c r="E4162">
        <v>0.53134999999999999</v>
      </c>
      <c r="F4162" t="s">
        <v>42</v>
      </c>
      <c r="G4162">
        <v>-380.90820000000002</v>
      </c>
      <c r="H4162">
        <v>1.0390239999999999</v>
      </c>
      <c r="I4162">
        <v>215.43940000000001</v>
      </c>
      <c r="J4162">
        <v>-381.47649999999999</v>
      </c>
      <c r="K4162">
        <v>1.120865</v>
      </c>
      <c r="L4162">
        <v>215.42939999999999</v>
      </c>
      <c r="M4162">
        <v>0.99979560000000001</v>
      </c>
      <c r="N4162">
        <v>-1.1464500000000001E-2</v>
      </c>
      <c r="O4162">
        <v>1.6655030000000001E-2</v>
      </c>
      <c r="P4162">
        <v>0.99670669999999995</v>
      </c>
      <c r="Q4162">
        <v>-7.9847169999999995E-2</v>
      </c>
      <c r="R4162">
        <v>1.414644E-2</v>
      </c>
      <c r="S4162">
        <v>2.9869690000000002</v>
      </c>
      <c r="T4162">
        <v>-0.27753749999999999</v>
      </c>
      <c r="U4162">
        <v>5.282593E-2</v>
      </c>
      <c r="V4162">
        <v>2.504212E-3</v>
      </c>
      <c r="W4162">
        <v>-6.8412360000000005E-2</v>
      </c>
      <c r="X4162">
        <v>0.99765400000000004</v>
      </c>
      <c r="Y4162">
        <v>-1.0766110000000001E-3</v>
      </c>
      <c r="Z4162">
        <v>-1.297285E-3</v>
      </c>
      <c r="AA4162">
        <v>0.99999859999999896</v>
      </c>
      <c r="AB4162">
        <v>32</v>
      </c>
      <c r="AC4162">
        <v>0.56829999999996506</v>
      </c>
      <c r="AD4162">
        <v>-8.1840999999999997E-2</v>
      </c>
      <c r="AE4162">
        <v>1.0000000000019301E-2</v>
      </c>
      <c r="AF4162">
        <v>-5.2211274478222301E-4</v>
      </c>
      <c r="AG4162">
        <v>-8.1840999999999997E-2</v>
      </c>
      <c r="AH4162">
        <v>0.556842967109903</v>
      </c>
      <c r="AI4162">
        <v>98.361081152304607</v>
      </c>
      <c r="AJ4162">
        <v>90.053722233567399</v>
      </c>
      <c r="AK4162">
        <v>0.56282529429875305</v>
      </c>
      <c r="AL4162">
        <v>93.922803462204399</v>
      </c>
      <c r="AM4162">
        <v>89.856182125998998</v>
      </c>
      <c r="AN4162">
        <v>1.0000000128972499</v>
      </c>
    </row>
    <row r="4163" spans="1:40" x14ac:dyDescent="0.25">
      <c r="A4163" t="str">
        <f>"20190303154219347"</f>
        <v>20190303154219347</v>
      </c>
      <c r="B4163" t="str">
        <f>"1551598939344324"</f>
        <v>1551598939344324</v>
      </c>
      <c r="C4163" t="s">
        <v>40</v>
      </c>
      <c r="D4163">
        <v>5.7980609999999997</v>
      </c>
      <c r="E4163">
        <v>0.53180130000000003</v>
      </c>
      <c r="F4163" t="s">
        <v>42</v>
      </c>
      <c r="G4163">
        <v>-380.68430000000001</v>
      </c>
      <c r="H4163">
        <v>0.91174049999999995</v>
      </c>
      <c r="I4163">
        <v>215.3689</v>
      </c>
      <c r="J4163">
        <v>-381.18079999999998</v>
      </c>
      <c r="K4163">
        <v>1.120706</v>
      </c>
      <c r="L4163">
        <v>215.43469999999999</v>
      </c>
      <c r="M4163">
        <v>0.99979629999999997</v>
      </c>
      <c r="N4163">
        <v>-1.10183E-2</v>
      </c>
      <c r="O4163">
        <v>1.6916440000000001E-2</v>
      </c>
      <c r="P4163">
        <v>0.99674589999999996</v>
      </c>
      <c r="Q4163">
        <v>-7.9486119999999993E-2</v>
      </c>
      <c r="R4163">
        <v>1.34006E-2</v>
      </c>
      <c r="S4163">
        <v>2.9506839999999999</v>
      </c>
      <c r="T4163">
        <v>-0.77895669999999995</v>
      </c>
      <c r="U4163">
        <v>-0.2240143</v>
      </c>
      <c r="V4163">
        <v>3.5077189999999999E-3</v>
      </c>
      <c r="W4163">
        <v>-6.8495680000000003E-2</v>
      </c>
      <c r="X4163">
        <v>0.99764529999999996</v>
      </c>
      <c r="Y4163">
        <v>8.8870619999999997E-2</v>
      </c>
      <c r="Z4163">
        <v>-1.6218139999999999E-2</v>
      </c>
      <c r="AA4163">
        <v>0.99591110000000005</v>
      </c>
      <c r="AB4163">
        <v>32</v>
      </c>
      <c r="AC4163">
        <v>0.49649999999996902</v>
      </c>
      <c r="AD4163">
        <v>-0.208965499999999</v>
      </c>
      <c r="AE4163">
        <v>-6.5799999999995806E-2</v>
      </c>
      <c r="AF4163">
        <v>6.3189985980616994E-2</v>
      </c>
      <c r="AG4163">
        <v>-0.208965499999999</v>
      </c>
      <c r="AH4163">
        <v>0.42187562693595798</v>
      </c>
      <c r="AI4163">
        <v>116.09840121864499</v>
      </c>
      <c r="AJ4163">
        <v>81.481369271510204</v>
      </c>
      <c r="AK4163">
        <v>0.47501431464860999</v>
      </c>
      <c r="AL4163">
        <v>93.927588411563505</v>
      </c>
      <c r="AM4163">
        <v>89.798548977029697</v>
      </c>
      <c r="AN4163">
        <v>1.00000005344166</v>
      </c>
    </row>
    <row r="4164" spans="1:40" x14ac:dyDescent="0.25">
      <c r="A4164" t="str">
        <f>"20190303154219369"</f>
        <v>20190303154219369</v>
      </c>
      <c r="B4164" t="str">
        <f>"1551598939363843"</f>
        <v>1551598939363843</v>
      </c>
      <c r="C4164" t="s">
        <v>40</v>
      </c>
      <c r="D4164">
        <v>5.84992</v>
      </c>
      <c r="E4164">
        <v>0.53236519999999898</v>
      </c>
      <c r="F4164" t="s">
        <v>42</v>
      </c>
      <c r="G4164">
        <v>-380.39699999999999</v>
      </c>
      <c r="H4164">
        <v>0.90122899999999995</v>
      </c>
      <c r="I4164">
        <v>215.37270000000001</v>
      </c>
      <c r="J4164">
        <v>-380.85309999999998</v>
      </c>
      <c r="K4164">
        <v>1.1203809999999901</v>
      </c>
      <c r="L4164">
        <v>215.44049999999999</v>
      </c>
      <c r="M4164">
        <v>0.99980329999999995</v>
      </c>
      <c r="N4164">
        <v>-9.8827159999999997E-3</v>
      </c>
      <c r="O4164">
        <v>1.71954E-2</v>
      </c>
      <c r="P4164">
        <v>0.99682329999999997</v>
      </c>
      <c r="Q4164">
        <v>-7.8518699999999997E-2</v>
      </c>
      <c r="R4164">
        <v>1.3352640000000001E-2</v>
      </c>
      <c r="S4164">
        <v>2.9471129999999999</v>
      </c>
      <c r="T4164">
        <v>-0.8252642</v>
      </c>
      <c r="U4164">
        <v>-0.23168949999999999</v>
      </c>
      <c r="V4164">
        <v>3.8306799999999999E-3</v>
      </c>
      <c r="W4164">
        <v>-6.8660540000000006E-2</v>
      </c>
      <c r="X4164">
        <v>0.99763270000000004</v>
      </c>
      <c r="Y4164">
        <v>9.1274019999999997E-2</v>
      </c>
      <c r="Z4164">
        <v>-1.7531990000000001E-2</v>
      </c>
      <c r="AA4164">
        <v>0.99567150000000004</v>
      </c>
      <c r="AB4164">
        <v>32</v>
      </c>
      <c r="AC4164">
        <v>0.45609999999999201</v>
      </c>
      <c r="AD4164">
        <v>-0.21915199999999899</v>
      </c>
      <c r="AE4164">
        <v>-6.7799999999976907E-2</v>
      </c>
      <c r="AF4164">
        <v>6.1697031392456997E-2</v>
      </c>
      <c r="AG4164">
        <v>-0.21915199999999899</v>
      </c>
      <c r="AH4164">
        <v>0.37105305234568797</v>
      </c>
      <c r="AI4164">
        <v>120.226045020464</v>
      </c>
      <c r="AJ4164">
        <v>80.559485700256303</v>
      </c>
      <c r="AK4164">
        <v>0.435332620465884</v>
      </c>
      <c r="AL4164">
        <v>93.937056796799894</v>
      </c>
      <c r="AM4164">
        <v>89.779998472376505</v>
      </c>
      <c r="AN4164">
        <v>0.99999997398582097</v>
      </c>
    </row>
    <row r="4165" spans="1:40" x14ac:dyDescent="0.25">
      <c r="A4165" t="str">
        <f>"20190303154219392"</f>
        <v>20190303154219392</v>
      </c>
      <c r="B4165" t="str">
        <f>"1551598939384339"</f>
        <v>1551598939384339</v>
      </c>
      <c r="C4165" t="s">
        <v>40</v>
      </c>
      <c r="D4165">
        <v>5.8212519999999897</v>
      </c>
      <c r="E4165">
        <v>0.53317209999999904</v>
      </c>
      <c r="F4165" t="s">
        <v>42</v>
      </c>
      <c r="G4165">
        <v>-380.10160000000002</v>
      </c>
      <c r="H4165">
        <v>0.90414950000000005</v>
      </c>
      <c r="I4165">
        <v>215.37970000000001</v>
      </c>
      <c r="J4165">
        <v>-380.53070000000002</v>
      </c>
      <c r="K4165">
        <v>1.1200760000000001</v>
      </c>
      <c r="L4165">
        <v>215.44640000000001</v>
      </c>
      <c r="M4165">
        <v>0.99981019999999998</v>
      </c>
      <c r="N4165">
        <v>-8.6444460000000001E-3</v>
      </c>
      <c r="O4165">
        <v>1.7466329999999999E-2</v>
      </c>
      <c r="P4165">
        <v>0.99693529999999997</v>
      </c>
      <c r="Q4165">
        <v>-7.7087610000000001E-2</v>
      </c>
      <c r="R4165">
        <v>1.3326589999999999E-2</v>
      </c>
      <c r="S4165">
        <v>2.9459840000000002</v>
      </c>
      <c r="T4165">
        <v>-0.84760259999999998</v>
      </c>
      <c r="U4165">
        <v>-0.23742679999999999</v>
      </c>
      <c r="V4165">
        <v>4.1243180000000001E-3</v>
      </c>
      <c r="W4165">
        <v>-6.8463969999999999E-2</v>
      </c>
      <c r="X4165">
        <v>0.99764509999999995</v>
      </c>
      <c r="Y4165">
        <v>9.3192579999999997E-2</v>
      </c>
      <c r="Z4165">
        <v>-1.8302269999999999E-2</v>
      </c>
      <c r="AA4165">
        <v>0.99547989999999997</v>
      </c>
      <c r="AB4165">
        <v>33</v>
      </c>
      <c r="AC4165">
        <v>0.42910000000000498</v>
      </c>
      <c r="AD4165">
        <v>-0.21592649999999999</v>
      </c>
      <c r="AE4165">
        <v>-6.6699999999997303E-2</v>
      </c>
      <c r="AF4165">
        <v>5.94790530854927E-2</v>
      </c>
      <c r="AG4165">
        <v>-0.21592649999999999</v>
      </c>
      <c r="AH4165">
        <v>0.34305188952580201</v>
      </c>
      <c r="AI4165">
        <v>121.80617434579899</v>
      </c>
      <c r="AJ4165">
        <v>80.163724070318295</v>
      </c>
      <c r="AK4165">
        <v>0.40969087134743398</v>
      </c>
      <c r="AL4165">
        <v>93.925767358460405</v>
      </c>
      <c r="AM4165">
        <v>89.763137544006497</v>
      </c>
      <c r="AN4165">
        <v>1.00000003537056</v>
      </c>
    </row>
    <row r="4166" spans="1:40" x14ac:dyDescent="0.25">
      <c r="A4166" t="str">
        <f>"20190303154219415"</f>
        <v>20190303154219415</v>
      </c>
      <c r="B4166" t="str">
        <f>"1551598939403862"</f>
        <v>1551598939403862</v>
      </c>
      <c r="C4166" t="s">
        <v>40</v>
      </c>
      <c r="D4166">
        <v>5.8561610000000002</v>
      </c>
      <c r="E4166">
        <v>0.53317150000000002</v>
      </c>
      <c r="F4166" t="s">
        <v>42</v>
      </c>
      <c r="G4166">
        <v>-379.8032</v>
      </c>
      <c r="H4166">
        <v>0.90867949999999997</v>
      </c>
      <c r="I4166">
        <v>215.3861</v>
      </c>
      <c r="J4166">
        <v>-380.17930000000001</v>
      </c>
      <c r="K4166">
        <v>1.1197999999999999</v>
      </c>
      <c r="L4166">
        <v>215.4528</v>
      </c>
      <c r="M4166">
        <v>0.99981560000000003</v>
      </c>
      <c r="N4166">
        <v>-7.3125669999999999E-3</v>
      </c>
      <c r="O4166">
        <v>1.7755759999999999E-2</v>
      </c>
      <c r="P4166">
        <v>0.99699139999999997</v>
      </c>
      <c r="Q4166">
        <v>-7.6251189999999996E-2</v>
      </c>
      <c r="R4166">
        <v>1.392993E-2</v>
      </c>
      <c r="S4166">
        <v>2.946259</v>
      </c>
      <c r="T4166">
        <v>-0.85616680000000001</v>
      </c>
      <c r="U4166">
        <v>-0.2438507</v>
      </c>
      <c r="V4166">
        <v>3.8069610000000002E-3</v>
      </c>
      <c r="W4166">
        <v>-6.8956169999999997E-2</v>
      </c>
      <c r="X4166">
        <v>0.99761239999999995</v>
      </c>
      <c r="Y4166">
        <v>9.544656E-2</v>
      </c>
      <c r="Z4166">
        <v>-1.8842769999999998E-2</v>
      </c>
      <c r="AA4166">
        <v>0.99525620000000004</v>
      </c>
      <c r="AB4166">
        <v>33</v>
      </c>
      <c r="AC4166">
        <v>0.37610000000000798</v>
      </c>
      <c r="AD4166">
        <v>-0.21112049999999999</v>
      </c>
      <c r="AE4166">
        <v>-6.6699999999997303E-2</v>
      </c>
      <c r="AF4166">
        <v>5.6199035871881999E-2</v>
      </c>
      <c r="AG4166">
        <v>-0.21112049999999999</v>
      </c>
      <c r="AH4166">
        <v>0.28713717022003499</v>
      </c>
      <c r="AI4166">
        <v>125.81306200135801</v>
      </c>
      <c r="AJ4166">
        <v>78.925949107074501</v>
      </c>
      <c r="AK4166">
        <v>0.36080181772705699</v>
      </c>
      <c r="AL4166">
        <v>93.954035391615704</v>
      </c>
      <c r="AM4166">
        <v>89.781356226844693</v>
      </c>
      <c r="AN4166">
        <v>0.99999997348344105</v>
      </c>
    </row>
    <row r="4167" spans="1:40" x14ac:dyDescent="0.25">
      <c r="A4167" t="str">
        <f>"20190303154219437"</f>
        <v>20190303154219437</v>
      </c>
      <c r="B4167" t="str">
        <f>"1551598939434115"</f>
        <v>1551598939434115</v>
      </c>
      <c r="C4167" t="s">
        <v>40</v>
      </c>
      <c r="D4167">
        <v>5.8338099999999997</v>
      </c>
      <c r="E4167">
        <v>0.53384940000000003</v>
      </c>
      <c r="F4167" t="s">
        <v>42</v>
      </c>
      <c r="G4167">
        <v>-379.49930000000001</v>
      </c>
      <c r="H4167">
        <v>0.92055609999999999</v>
      </c>
      <c r="I4167">
        <v>215.3964</v>
      </c>
      <c r="J4167">
        <v>-379.86020000000002</v>
      </c>
      <c r="K4167">
        <v>1.1196060000000001</v>
      </c>
      <c r="L4167">
        <v>215.45859999999999</v>
      </c>
      <c r="M4167">
        <v>0.99981889999999995</v>
      </c>
      <c r="N4167">
        <v>-6.1419250000000003E-3</v>
      </c>
      <c r="O4167">
        <v>1.8008400000000001E-2</v>
      </c>
      <c r="P4167">
        <v>0.99706039999999996</v>
      </c>
      <c r="Q4167">
        <v>-7.5015440000000003E-2</v>
      </c>
      <c r="R4167">
        <v>1.5597949999999999E-2</v>
      </c>
      <c r="S4167">
        <v>2.9464109999999999</v>
      </c>
      <c r="T4167">
        <v>-0.86343179999999997</v>
      </c>
      <c r="U4167">
        <v>-0.2430725</v>
      </c>
      <c r="V4167">
        <v>2.390742E-3</v>
      </c>
      <c r="W4167">
        <v>-6.8888399999999905E-2</v>
      </c>
      <c r="X4167">
        <v>0.99762150000000005</v>
      </c>
      <c r="Y4167">
        <v>9.5359070000000004E-2</v>
      </c>
      <c r="Z4167">
        <v>-1.901506E-2</v>
      </c>
      <c r="AA4167">
        <v>0.99526130000000002</v>
      </c>
      <c r="AB4167">
        <v>33</v>
      </c>
      <c r="AC4167">
        <v>0.36090000000001499</v>
      </c>
      <c r="AD4167">
        <v>-0.199049899999999</v>
      </c>
      <c r="AE4167">
        <v>-6.2199999999989999E-2</v>
      </c>
      <c r="AF4167">
        <v>5.3024761225668002E-2</v>
      </c>
      <c r="AG4167">
        <v>-0.199049899999999</v>
      </c>
      <c r="AH4167">
        <v>0.277687304613145</v>
      </c>
      <c r="AI4167">
        <v>125.14905429761301</v>
      </c>
      <c r="AJ4167">
        <v>79.189433842834802</v>
      </c>
      <c r="AK4167">
        <v>0.34574951501970702</v>
      </c>
      <c r="AL4167">
        <v>93.950143126653899</v>
      </c>
      <c r="AM4167">
        <v>89.862694253998797</v>
      </c>
      <c r="AN4167">
        <v>0.99999999228206005</v>
      </c>
    </row>
    <row r="4168" spans="1:40" x14ac:dyDescent="0.25">
      <c r="A4168" t="str">
        <f>"20190303154219458"</f>
        <v>20190303154219458</v>
      </c>
      <c r="B4168" t="str">
        <f>"1551598939453635"</f>
        <v>1551598939453635</v>
      </c>
      <c r="C4168" t="s">
        <v>40</v>
      </c>
      <c r="D4168">
        <v>5.8338199999999896</v>
      </c>
      <c r="E4168">
        <v>0.53420029999999996</v>
      </c>
      <c r="F4168" t="s">
        <v>42</v>
      </c>
      <c r="G4168">
        <v>-378.9246</v>
      </c>
      <c r="H4168">
        <v>0.84402880000000002</v>
      </c>
      <c r="I4168">
        <v>215.38079999999999</v>
      </c>
      <c r="J4168">
        <v>-379.52440000000001</v>
      </c>
      <c r="K4168">
        <v>1.119459</v>
      </c>
      <c r="L4168">
        <v>215.4648</v>
      </c>
      <c r="M4168">
        <v>0.99982070000000001</v>
      </c>
      <c r="N4168">
        <v>-5.0091830000000004E-3</v>
      </c>
      <c r="O4168">
        <v>1.8261949999999999E-2</v>
      </c>
      <c r="P4168">
        <v>0.99714950000000002</v>
      </c>
      <c r="Q4168">
        <v>-7.3583770000000007E-2</v>
      </c>
      <c r="R4168">
        <v>1.6691290000000001E-2</v>
      </c>
      <c r="S4168">
        <v>2.9473569999999998</v>
      </c>
      <c r="T4168">
        <v>-0.86813619999999903</v>
      </c>
      <c r="U4168">
        <v>-0.24436949999999999</v>
      </c>
      <c r="V4168">
        <v>1.551881E-3</v>
      </c>
      <c r="W4168">
        <v>-6.8586579999999994E-2</v>
      </c>
      <c r="X4168">
        <v>0.99764390000000003</v>
      </c>
      <c r="Y4168">
        <v>9.5947089999999999E-2</v>
      </c>
      <c r="Z4168">
        <v>-1.9230089999999998E-2</v>
      </c>
      <c r="AA4168">
        <v>0.99520059999999999</v>
      </c>
      <c r="AB4168">
        <v>34</v>
      </c>
      <c r="AC4168">
        <v>0.59980000000001599</v>
      </c>
      <c r="AD4168">
        <v>-0.27543020000000001</v>
      </c>
      <c r="AE4168">
        <v>-8.40000000000031E-2</v>
      </c>
      <c r="AF4168">
        <v>7.8669818967728303E-2</v>
      </c>
      <c r="AG4168">
        <v>-0.27543020000000001</v>
      </c>
      <c r="AH4168">
        <v>0.49565812334631298</v>
      </c>
      <c r="AI4168">
        <v>118.758689835875</v>
      </c>
      <c r="AJ4168">
        <v>80.981362398573793</v>
      </c>
      <c r="AK4168">
        <v>0.57247507432869404</v>
      </c>
      <c r="AL4168">
        <v>93.932809324455604</v>
      </c>
      <c r="AM4168">
        <v>89.910873849988803</v>
      </c>
      <c r="AN4168">
        <v>0.99999993924897002</v>
      </c>
    </row>
    <row r="4169" spans="1:40" x14ac:dyDescent="0.25">
      <c r="A4169" t="str">
        <f>"20190303154219482"</f>
        <v>20190303154219482</v>
      </c>
      <c r="B4169" t="str">
        <f>"1551598939474131"</f>
        <v>1551598939474131</v>
      </c>
      <c r="C4169" t="s">
        <v>40</v>
      </c>
      <c r="D4169">
        <v>5.8254020000000004</v>
      </c>
      <c r="E4169">
        <v>0.53455730000000001</v>
      </c>
      <c r="F4169" t="s">
        <v>42</v>
      </c>
      <c r="G4169">
        <v>-378.61559999999997</v>
      </c>
      <c r="H4169">
        <v>0.85204049999999998</v>
      </c>
      <c r="I4169">
        <v>215.3895</v>
      </c>
      <c r="J4169">
        <v>-379.15100000000001</v>
      </c>
      <c r="K4169">
        <v>1.119389</v>
      </c>
      <c r="L4169">
        <v>215.47190000000001</v>
      </c>
      <c r="M4169">
        <v>0.99982020000000005</v>
      </c>
      <c r="N4169">
        <v>-4.0037349999999996E-3</v>
      </c>
      <c r="O4169">
        <v>1.8532659999999999E-2</v>
      </c>
      <c r="P4169">
        <v>0.99718450000000003</v>
      </c>
      <c r="Q4169">
        <v>-7.283307E-2</v>
      </c>
      <c r="R4169">
        <v>1.7852179999999999E-2</v>
      </c>
      <c r="S4169">
        <v>2.9486690000000002</v>
      </c>
      <c r="T4169">
        <v>-0.86761759999999999</v>
      </c>
      <c r="U4169">
        <v>-0.24414060000000001</v>
      </c>
      <c r="V4169">
        <v>6.6370619999999998E-4</v>
      </c>
      <c r="W4169">
        <v>-6.8839070000000002E-2</v>
      </c>
      <c r="X4169">
        <v>0.99762759999999995</v>
      </c>
      <c r="Y4169">
        <v>9.6104469999999997E-2</v>
      </c>
      <c r="Z4169">
        <v>-1.927949E-2</v>
      </c>
      <c r="AA4169">
        <v>0.99518450000000003</v>
      </c>
      <c r="AB4169">
        <v>34</v>
      </c>
      <c r="AC4169">
        <v>0.53540000000003796</v>
      </c>
      <c r="AD4169">
        <v>-0.26734849999999899</v>
      </c>
      <c r="AE4169">
        <v>-8.2400000000006898E-2</v>
      </c>
      <c r="AF4169">
        <v>7.4228212382598205E-2</v>
      </c>
      <c r="AG4169">
        <v>-0.26734849999999899</v>
      </c>
      <c r="AH4169">
        <v>0.42923116502316599</v>
      </c>
      <c r="AI4169">
        <v>121.539300750465</v>
      </c>
      <c r="AJ4169">
        <v>80.188708584625701</v>
      </c>
      <c r="AK4169">
        <v>0.51110120425695604</v>
      </c>
      <c r="AL4169">
        <v>93.947309798998305</v>
      </c>
      <c r="AM4169">
        <v>89.961882010395101</v>
      </c>
      <c r="AN4169">
        <v>1.00000004317307</v>
      </c>
    </row>
    <row r="4170" spans="1:40" x14ac:dyDescent="0.25">
      <c r="A4170" t="str">
        <f>"20190303154219514"</f>
        <v>20190303154219514</v>
      </c>
      <c r="B4170" t="str">
        <f>"1551598939504387"</f>
        <v>1551598939504387</v>
      </c>
      <c r="C4170" t="s">
        <v>40</v>
      </c>
      <c r="D4170">
        <v>5.8855849999999998</v>
      </c>
      <c r="E4170">
        <v>0.5349988</v>
      </c>
      <c r="F4170" t="s">
        <v>42</v>
      </c>
      <c r="G4170">
        <v>-378.30130000000003</v>
      </c>
      <c r="H4170">
        <v>0.86974979999999902</v>
      </c>
      <c r="I4170">
        <v>215.4016</v>
      </c>
      <c r="J4170">
        <v>-378.65910000000002</v>
      </c>
      <c r="K4170">
        <v>1.119497</v>
      </c>
      <c r="L4170">
        <v>215.4813</v>
      </c>
      <c r="M4170">
        <v>0.99981620000000004</v>
      </c>
      <c r="N4170">
        <v>-3.3858460000000001E-3</v>
      </c>
      <c r="O4170">
        <v>1.8876250000000001E-2</v>
      </c>
      <c r="P4170">
        <v>0.99725399999999997</v>
      </c>
      <c r="Q4170">
        <v>-7.1661799999999998E-2</v>
      </c>
      <c r="R4170">
        <v>1.8689109999999998E-2</v>
      </c>
      <c r="S4170">
        <v>2.9495239999999998</v>
      </c>
      <c r="T4170">
        <v>-0.86657519999999999</v>
      </c>
      <c r="U4170">
        <v>-0.24343870000000001</v>
      </c>
      <c r="V4170">
        <v>1.7503669999999999E-4</v>
      </c>
      <c r="W4170">
        <v>-6.8284150000000002E-2</v>
      </c>
      <c r="X4170">
        <v>0.99766589999999999</v>
      </c>
      <c r="Y4170">
        <v>9.6189360000000002E-2</v>
      </c>
      <c r="Z4170">
        <v>-1.9343019999999999E-2</v>
      </c>
      <c r="AA4170">
        <v>0.99517509999999998</v>
      </c>
      <c r="AB4170">
        <v>34</v>
      </c>
      <c r="AC4170">
        <v>0.35779999999999701</v>
      </c>
      <c r="AD4170">
        <v>-0.2497472</v>
      </c>
      <c r="AE4170">
        <v>-7.9700000000002505E-2</v>
      </c>
      <c r="AF4170">
        <v>5.9036161983940898E-2</v>
      </c>
      <c r="AG4170">
        <v>-0.2497472</v>
      </c>
      <c r="AH4170">
        <v>0.24329728034914699</v>
      </c>
      <c r="AI4170">
        <v>134.930089219292</v>
      </c>
      <c r="AJ4170">
        <v>76.360771696586497</v>
      </c>
      <c r="AK4170">
        <v>0.35362762753343502</v>
      </c>
      <c r="AL4170">
        <v>93.915440395067506</v>
      </c>
      <c r="AM4170">
        <v>89.989947672796006</v>
      </c>
      <c r="AN4170">
        <v>1.0000000019009301</v>
      </c>
    </row>
    <row r="4171" spans="1:40" x14ac:dyDescent="0.25">
      <c r="A4171" t="str">
        <f>"20190303154219537"</f>
        <v>20190303154219537</v>
      </c>
      <c r="B4171" t="str">
        <f>"1551598939533667"</f>
        <v>1551598939533667</v>
      </c>
      <c r="C4171" t="s">
        <v>40</v>
      </c>
      <c r="D4171">
        <v>5.8682949999999998</v>
      </c>
      <c r="E4171">
        <v>0.53522190000000003</v>
      </c>
      <c r="F4171" t="s">
        <v>42</v>
      </c>
      <c r="G4171">
        <v>-377.97399999999999</v>
      </c>
      <c r="H4171">
        <v>0.91826459999999999</v>
      </c>
      <c r="I4171">
        <v>215.42449999999999</v>
      </c>
      <c r="J4171">
        <v>-378.31599999999997</v>
      </c>
      <c r="K4171">
        <v>1.1196809999999999</v>
      </c>
      <c r="L4171">
        <v>215.4881</v>
      </c>
      <c r="M4171">
        <v>0.99981120000000001</v>
      </c>
      <c r="N4171">
        <v>-3.5077440000000001E-3</v>
      </c>
      <c r="O4171">
        <v>1.911794E-2</v>
      </c>
      <c r="P4171">
        <v>0.99729979999999996</v>
      </c>
      <c r="Q4171">
        <v>-7.0989849999999993E-2</v>
      </c>
      <c r="R4171">
        <v>1.8810380000000002E-2</v>
      </c>
      <c r="S4171">
        <v>2.9505919999999999</v>
      </c>
      <c r="T4171">
        <v>-0.8666623</v>
      </c>
      <c r="U4171">
        <v>-0.2442474</v>
      </c>
      <c r="V4171">
        <v>2.9796070000000002E-4</v>
      </c>
      <c r="W4171">
        <v>-6.7490359999999999E-2</v>
      </c>
      <c r="X4171">
        <v>0.99771989999999999</v>
      </c>
      <c r="Y4171">
        <v>9.6643489999999999E-2</v>
      </c>
      <c r="Z4171">
        <v>-1.9476380000000001E-2</v>
      </c>
      <c r="AA4171">
        <v>0.99512849999999997</v>
      </c>
      <c r="AB4171">
        <v>34</v>
      </c>
      <c r="AC4171">
        <v>0.34199999999998398</v>
      </c>
      <c r="AD4171">
        <v>-0.201416399999999</v>
      </c>
      <c r="AE4171">
        <v>-6.3600000000008095E-2</v>
      </c>
      <c r="AF4171">
        <v>5.25194648253079E-2</v>
      </c>
      <c r="AG4171">
        <v>-0.201416399999999</v>
      </c>
      <c r="AH4171">
        <v>0.255173882646344</v>
      </c>
      <c r="AI4171">
        <v>127.70849167043799</v>
      </c>
      <c r="AJ4171">
        <v>78.369884599276205</v>
      </c>
      <c r="AK4171">
        <v>0.32930315935214899</v>
      </c>
      <c r="AL4171">
        <v>93.869854347179398</v>
      </c>
      <c r="AM4171">
        <v>89.982889095363106</v>
      </c>
      <c r="AN4171">
        <v>1.0000000181647499</v>
      </c>
    </row>
    <row r="4172" spans="1:40" x14ac:dyDescent="0.25">
      <c r="A4172" t="str">
        <f>"20190303154219559"</f>
        <v>20190303154219559</v>
      </c>
      <c r="B4172" t="str">
        <f>"1551598939554163"</f>
        <v>1551598939554163</v>
      </c>
      <c r="C4172" t="s">
        <v>40</v>
      </c>
      <c r="D4172">
        <v>5.8512579999999996</v>
      </c>
      <c r="E4172">
        <v>0.5355491</v>
      </c>
      <c r="F4172" t="s">
        <v>42</v>
      </c>
      <c r="G4172">
        <v>-377.38350000000003</v>
      </c>
      <c r="H4172">
        <v>0.84739339999999996</v>
      </c>
      <c r="I4172">
        <v>215.41059999999999</v>
      </c>
      <c r="J4172">
        <v>-377.9769</v>
      </c>
      <c r="K4172">
        <v>1.1198669999999999</v>
      </c>
      <c r="L4172">
        <v>215.4948</v>
      </c>
      <c r="M4172">
        <v>0.9998051</v>
      </c>
      <c r="N4172">
        <v>-3.8361269999999999E-3</v>
      </c>
      <c r="O4172">
        <v>1.9370720000000001E-2</v>
      </c>
      <c r="P4172">
        <v>0.99735940000000001</v>
      </c>
      <c r="Q4172">
        <v>-7.0311689999999996E-2</v>
      </c>
      <c r="R4172">
        <v>1.818117E-2</v>
      </c>
      <c r="S4172">
        <v>2.9514770000000001</v>
      </c>
      <c r="T4172">
        <v>-0.86176280000000005</v>
      </c>
      <c r="U4172">
        <v>-0.2451324</v>
      </c>
      <c r="V4172">
        <v>1.181531E-3</v>
      </c>
      <c r="W4172">
        <v>-6.6483860000000006E-2</v>
      </c>
      <c r="X4172">
        <v>0.99778679999999997</v>
      </c>
      <c r="Y4172">
        <v>9.7187620000000002E-2</v>
      </c>
      <c r="Z4172">
        <v>-1.9525549999999999E-2</v>
      </c>
      <c r="AA4172">
        <v>0.99507449999999997</v>
      </c>
      <c r="AB4172">
        <v>35</v>
      </c>
      <c r="AC4172">
        <v>0.59339999999997395</v>
      </c>
      <c r="AD4172">
        <v>-0.27247359999999898</v>
      </c>
      <c r="AE4172">
        <v>-8.4200000000009795E-2</v>
      </c>
      <c r="AF4172">
        <v>7.9291063981137805E-2</v>
      </c>
      <c r="AG4172">
        <v>-0.27247359999999898</v>
      </c>
      <c r="AH4172">
        <v>0.49031895040353701</v>
      </c>
      <c r="AI4172">
        <v>118.748297831313</v>
      </c>
      <c r="AJ4172">
        <v>80.814037770058604</v>
      </c>
      <c r="AK4172">
        <v>0.56651708592861305</v>
      </c>
      <c r="AL4172">
        <v>93.812056393447307</v>
      </c>
      <c r="AM4172">
        <v>89.932153133292502</v>
      </c>
      <c r="AN4172">
        <v>0.99999999895512104</v>
      </c>
    </row>
    <row r="4173" spans="1:40" x14ac:dyDescent="0.25">
      <c r="A4173" t="str">
        <f>"20190303154219592"</f>
        <v>20190303154219592</v>
      </c>
      <c r="B4173" t="str">
        <f>"1551598939584419"</f>
        <v>1551598939584419</v>
      </c>
      <c r="C4173" t="s">
        <v>40</v>
      </c>
      <c r="D4173">
        <v>5.7280449999999998</v>
      </c>
      <c r="E4173">
        <v>0.53592910000000005</v>
      </c>
      <c r="F4173" t="s">
        <v>42</v>
      </c>
      <c r="G4173">
        <v>-377.06959999999998</v>
      </c>
      <c r="H4173">
        <v>0.85742770000000001</v>
      </c>
      <c r="I4173">
        <v>215.4179</v>
      </c>
      <c r="J4173">
        <v>-377.45190000000002</v>
      </c>
      <c r="K4173">
        <v>1.1200760000000001</v>
      </c>
      <c r="L4173">
        <v>215.50540000000001</v>
      </c>
      <c r="M4173">
        <v>0.99979430000000002</v>
      </c>
      <c r="N4173">
        <v>-4.4469929999999998E-3</v>
      </c>
      <c r="O4173">
        <v>1.978661E-2</v>
      </c>
      <c r="P4173">
        <v>0.99738199999999999</v>
      </c>
      <c r="Q4173">
        <v>-7.0041690000000004E-2</v>
      </c>
      <c r="R4173">
        <v>1.798626E-2</v>
      </c>
      <c r="S4173">
        <v>2.9522400000000002</v>
      </c>
      <c r="T4173">
        <v>-0.85398689999999999</v>
      </c>
      <c r="U4173">
        <v>-0.24923709999999999</v>
      </c>
      <c r="V4173">
        <v>1.791529E-3</v>
      </c>
      <c r="W4173">
        <v>-6.5603869999999995E-2</v>
      </c>
      <c r="X4173">
        <v>0.99784419999999996</v>
      </c>
      <c r="Y4173">
        <v>9.8947759999999996E-2</v>
      </c>
      <c r="Z4173">
        <v>-1.9739179999999999E-2</v>
      </c>
      <c r="AA4173">
        <v>0.99489680000000003</v>
      </c>
      <c r="AB4173">
        <v>35</v>
      </c>
      <c r="AC4173">
        <v>0.38230000000004299</v>
      </c>
      <c r="AD4173">
        <v>-0.2626483</v>
      </c>
      <c r="AE4173">
        <v>-8.7500000000005601E-2</v>
      </c>
      <c r="AF4173">
        <v>6.56176254847044E-2</v>
      </c>
      <c r="AG4173">
        <v>-0.2626483</v>
      </c>
      <c r="AH4173">
        <v>0.26268061293012401</v>
      </c>
      <c r="AI4173">
        <v>134.12957340179099</v>
      </c>
      <c r="AJ4173">
        <v>75.974540408004103</v>
      </c>
      <c r="AK4173">
        <v>0.37721466922229602</v>
      </c>
      <c r="AL4173">
        <v>93.761526118528906</v>
      </c>
      <c r="AM4173">
        <v>89.897131295363906</v>
      </c>
      <c r="AN4173">
        <v>1.0000000624043801</v>
      </c>
    </row>
    <row r="4174" spans="1:40" x14ac:dyDescent="0.25">
      <c r="A4174" t="str">
        <f>"20190303154219615"</f>
        <v>20190303154219615</v>
      </c>
      <c r="B4174" t="str">
        <f>"1551598939603939"</f>
        <v>1551598939603939</v>
      </c>
      <c r="C4174" t="s">
        <v>40</v>
      </c>
      <c r="D4174">
        <v>5.6565219999999998</v>
      </c>
      <c r="E4174">
        <v>0.53598829999999997</v>
      </c>
      <c r="F4174" t="s">
        <v>42</v>
      </c>
      <c r="G4174">
        <v>-376.73669999999998</v>
      </c>
      <c r="H4174">
        <v>0.91528699999999996</v>
      </c>
      <c r="I4174">
        <v>215.44399999999999</v>
      </c>
      <c r="J4174">
        <v>-377.09820000000002</v>
      </c>
      <c r="K4174">
        <v>1.1201749999999999</v>
      </c>
      <c r="L4174">
        <v>215.5127</v>
      </c>
      <c r="M4174">
        <v>0.99978679999999998</v>
      </c>
      <c r="N4174">
        <v>-4.872164E-3</v>
      </c>
      <c r="O4174">
        <v>2.0073239999999999E-2</v>
      </c>
      <c r="P4174">
        <v>0.99737909999999996</v>
      </c>
      <c r="Q4174">
        <v>-7.028471E-2</v>
      </c>
      <c r="R4174">
        <v>1.7187629999999999E-2</v>
      </c>
      <c r="S4174">
        <v>2.9530940000000001</v>
      </c>
      <c r="T4174">
        <v>-0.84558559999999905</v>
      </c>
      <c r="U4174">
        <v>-0.2536774</v>
      </c>
      <c r="V4174">
        <v>2.875261E-3</v>
      </c>
      <c r="W4174">
        <v>-6.5422099999999997E-2</v>
      </c>
      <c r="X4174">
        <v>0.99785349999999995</v>
      </c>
      <c r="Y4174">
        <v>0.10070419999999999</v>
      </c>
      <c r="Z4174">
        <v>-1.988987E-2</v>
      </c>
      <c r="AA4174">
        <v>0.99471759999999998</v>
      </c>
      <c r="AB4174">
        <v>35</v>
      </c>
      <c r="AC4174">
        <v>0.36150000000003402</v>
      </c>
      <c r="AD4174">
        <v>-0.20488799999999899</v>
      </c>
      <c r="AE4174">
        <v>-6.8699999999978403E-2</v>
      </c>
      <c r="AF4174">
        <v>5.79700731988122E-2</v>
      </c>
      <c r="AG4174">
        <v>-0.20488799999999899</v>
      </c>
      <c r="AH4174">
        <v>0.27483892870105397</v>
      </c>
      <c r="AI4174">
        <v>126.108306019154</v>
      </c>
      <c r="AJ4174">
        <v>78.089535690911504</v>
      </c>
      <c r="AK4174">
        <v>0.34767234382420797</v>
      </c>
      <c r="AL4174">
        <v>93.751089417398205</v>
      </c>
      <c r="AM4174">
        <v>89.834905760846297</v>
      </c>
      <c r="AN4174">
        <v>0.999999962878238</v>
      </c>
    </row>
    <row r="4175" spans="1:40" x14ac:dyDescent="0.25">
      <c r="A4175" t="str">
        <f>"20190303154219638"</f>
        <v>20190303154219638</v>
      </c>
      <c r="B4175" t="str">
        <f>"1551598939634196"</f>
        <v>1551598939634196</v>
      </c>
      <c r="C4175" t="s">
        <v>40</v>
      </c>
      <c r="D4175">
        <v>5.6252839999999997</v>
      </c>
      <c r="E4175">
        <v>0.53590269999999995</v>
      </c>
      <c r="F4175" t="s">
        <v>42</v>
      </c>
      <c r="G4175">
        <v>-376.42059999999998</v>
      </c>
      <c r="H4175">
        <v>0.92672429999999995</v>
      </c>
      <c r="I4175">
        <v>215.45339999999999</v>
      </c>
      <c r="J4175">
        <v>-376.75560000000002</v>
      </c>
      <c r="K4175">
        <v>1.1202369999999999</v>
      </c>
      <c r="L4175">
        <v>215.51990000000001</v>
      </c>
      <c r="M4175">
        <v>0.99977910000000003</v>
      </c>
      <c r="N4175">
        <v>-5.2731519999999997E-3</v>
      </c>
      <c r="O4175">
        <v>2.03406E-2</v>
      </c>
      <c r="P4175">
        <v>0.997359</v>
      </c>
      <c r="Q4175">
        <v>-7.0613910000000002E-2</v>
      </c>
      <c r="R4175">
        <v>1.699005E-2</v>
      </c>
      <c r="S4175">
        <v>2.9528500000000002</v>
      </c>
      <c r="T4175">
        <v>-0.84307169999999898</v>
      </c>
      <c r="U4175">
        <v>-0.25656129999999999</v>
      </c>
      <c r="V4175">
        <v>3.337525E-3</v>
      </c>
      <c r="W4175">
        <v>-6.5351110000000004E-2</v>
      </c>
      <c r="X4175">
        <v>0.99785670000000004</v>
      </c>
      <c r="Y4175">
        <v>0.10190680000000001</v>
      </c>
      <c r="Z4175">
        <v>-2.009157E-2</v>
      </c>
      <c r="AA4175">
        <v>0.99459109999999995</v>
      </c>
      <c r="AB4175">
        <v>35</v>
      </c>
      <c r="AC4175">
        <v>0.33500000000003599</v>
      </c>
      <c r="AD4175">
        <v>-0.19351270000000001</v>
      </c>
      <c r="AE4175">
        <v>-6.6500000000019099E-2</v>
      </c>
      <c r="AF4175">
        <v>5.5487374326251997E-2</v>
      </c>
      <c r="AG4175">
        <v>-0.19351270000000001</v>
      </c>
      <c r="AH4175">
        <v>0.25251375104705098</v>
      </c>
      <c r="AI4175">
        <v>126.814398998209</v>
      </c>
      <c r="AJ4175">
        <v>77.606790847854597</v>
      </c>
      <c r="AK4175">
        <v>0.32293839697187399</v>
      </c>
      <c r="AL4175">
        <v>93.747013314520302</v>
      </c>
      <c r="AM4175">
        <v>89.808363882866502</v>
      </c>
      <c r="AN4175">
        <v>0.99999995019312204</v>
      </c>
    </row>
    <row r="4176" spans="1:40" x14ac:dyDescent="0.25">
      <c r="A4176" t="str">
        <f>"20190303154219659"</f>
        <v>20190303154219659</v>
      </c>
      <c r="B4176" t="str">
        <f>"1551598939653715"</f>
        <v>1551598939653715</v>
      </c>
      <c r="C4176" t="s">
        <v>40</v>
      </c>
      <c r="D4176">
        <v>5.586093</v>
      </c>
      <c r="E4176">
        <v>0.53570779999999996</v>
      </c>
      <c r="F4176" t="s">
        <v>42</v>
      </c>
      <c r="G4176">
        <v>-375.8254</v>
      </c>
      <c r="H4176">
        <v>0.85579559999999999</v>
      </c>
      <c r="I4176">
        <v>215.43889999999999</v>
      </c>
      <c r="J4176">
        <v>-376.40989999999999</v>
      </c>
      <c r="K4176">
        <v>1.120268</v>
      </c>
      <c r="L4176">
        <v>215.52709999999999</v>
      </c>
      <c r="M4176">
        <v>0.99977210000000005</v>
      </c>
      <c r="N4176">
        <v>-5.6542270000000004E-3</v>
      </c>
      <c r="O4176">
        <v>2.058888E-2</v>
      </c>
      <c r="P4176">
        <v>0.99730560000000001</v>
      </c>
      <c r="Q4176">
        <v>-7.1251789999999995E-2</v>
      </c>
      <c r="R4176">
        <v>1.7462910000000002E-2</v>
      </c>
      <c r="S4176">
        <v>2.9528810000000001</v>
      </c>
      <c r="T4176">
        <v>-0.83945020000000004</v>
      </c>
      <c r="U4176">
        <v>-0.25631710000000002</v>
      </c>
      <c r="V4176">
        <v>3.1092390000000002E-3</v>
      </c>
      <c r="W4176">
        <v>-6.5609189999999998E-2</v>
      </c>
      <c r="X4176">
        <v>0.99784050000000002</v>
      </c>
      <c r="Y4176">
        <v>0.1020919</v>
      </c>
      <c r="Z4176">
        <v>-2.0115330000000001E-2</v>
      </c>
      <c r="AA4176">
        <v>0.9945716</v>
      </c>
      <c r="AB4176">
        <v>35</v>
      </c>
      <c r="AC4176">
        <v>0.58449999999999103</v>
      </c>
      <c r="AD4176">
        <v>-0.2644724</v>
      </c>
      <c r="AE4176">
        <v>-8.82000000000005E-2</v>
      </c>
      <c r="AF4176">
        <v>8.3500781973581198E-2</v>
      </c>
      <c r="AG4176">
        <v>-0.2644724</v>
      </c>
      <c r="AH4176">
        <v>0.48539528856998199</v>
      </c>
      <c r="AI4176">
        <v>118.234572756319</v>
      </c>
      <c r="AJ4176">
        <v>80.239152126668998</v>
      </c>
      <c r="AK4176">
        <v>0.55904080094202102</v>
      </c>
      <c r="AL4176">
        <v>93.761832019995794</v>
      </c>
      <c r="AM4176">
        <v>89.821468766155604</v>
      </c>
      <c r="AN4176">
        <v>0.999999948309931</v>
      </c>
    </row>
    <row r="4177" spans="1:40" x14ac:dyDescent="0.25">
      <c r="A4177" t="str">
        <f>"20190303154219683"</f>
        <v>20190303154219683</v>
      </c>
      <c r="B4177" t="str">
        <f>"1551598939674211"</f>
        <v>1551598939674211</v>
      </c>
      <c r="C4177" t="s">
        <v>40</v>
      </c>
      <c r="D4177">
        <v>5.4602300000000001</v>
      </c>
      <c r="E4177">
        <v>0.53560269999999899</v>
      </c>
      <c r="F4177" t="s">
        <v>42</v>
      </c>
      <c r="G4177">
        <v>-375.5095</v>
      </c>
      <c r="H4177">
        <v>0.86443950000000003</v>
      </c>
      <c r="I4177">
        <v>215.44970000000001</v>
      </c>
      <c r="J4177">
        <v>-376.04079999999999</v>
      </c>
      <c r="K4177">
        <v>1.1202890000000001</v>
      </c>
      <c r="L4177">
        <v>215.535</v>
      </c>
      <c r="M4177">
        <v>0.99976489999999996</v>
      </c>
      <c r="N4177">
        <v>-6.0289970000000003E-3</v>
      </c>
      <c r="O4177">
        <v>2.082999E-2</v>
      </c>
      <c r="P4177">
        <v>0.99727759999999999</v>
      </c>
      <c r="Q4177">
        <v>-7.1470770000000003E-2</v>
      </c>
      <c r="R4177">
        <v>1.8154739999999999E-2</v>
      </c>
      <c r="S4177">
        <v>2.9526059999999998</v>
      </c>
      <c r="T4177">
        <v>-0.83894709999999995</v>
      </c>
      <c r="U4177">
        <v>-0.25329590000000002</v>
      </c>
      <c r="V4177">
        <v>2.6549690000000001E-3</v>
      </c>
      <c r="W4177">
        <v>-6.5454609999999996E-2</v>
      </c>
      <c r="X4177">
        <v>0.99785199999999996</v>
      </c>
      <c r="Y4177">
        <v>0.1013511</v>
      </c>
      <c r="Z4177">
        <v>-2.0078740000000001E-2</v>
      </c>
      <c r="AA4177">
        <v>0.99464810000000003</v>
      </c>
      <c r="AB4177">
        <v>35</v>
      </c>
      <c r="AC4177">
        <v>0.531299999999987</v>
      </c>
      <c r="AD4177">
        <v>-0.25584949999999901</v>
      </c>
      <c r="AE4177">
        <v>-8.5299999999989495E-2</v>
      </c>
      <c r="AF4177">
        <v>7.8583533455243298E-2</v>
      </c>
      <c r="AG4177">
        <v>-0.25584949999999901</v>
      </c>
      <c r="AH4177">
        <v>0.43179365396161301</v>
      </c>
      <c r="AI4177">
        <v>120.24012193847101</v>
      </c>
      <c r="AJ4177">
        <v>79.685443753289704</v>
      </c>
      <c r="AK4177">
        <v>0.50801584422346702</v>
      </c>
      <c r="AL4177">
        <v>93.752956023527503</v>
      </c>
      <c r="AM4177">
        <v>89.847554387345596</v>
      </c>
      <c r="AN4177">
        <v>0.99999998436732096</v>
      </c>
    </row>
    <row r="4178" spans="1:40" x14ac:dyDescent="0.25">
      <c r="A4178" t="str">
        <f>"20190303154219707"</f>
        <v>20190303154219707</v>
      </c>
      <c r="B4178" t="str">
        <f>"1551598939703491"</f>
        <v>1551598939703491</v>
      </c>
      <c r="C4178" t="s">
        <v>40</v>
      </c>
      <c r="D4178">
        <v>5.5141119999999999</v>
      </c>
      <c r="E4178">
        <v>0.53522289999999995</v>
      </c>
      <c r="F4178" t="s">
        <v>42</v>
      </c>
      <c r="G4178">
        <v>-375.1909</v>
      </c>
      <c r="H4178">
        <v>0.87910509999999997</v>
      </c>
      <c r="I4178">
        <v>215.46250000000001</v>
      </c>
      <c r="J4178">
        <v>-375.6721</v>
      </c>
      <c r="K4178">
        <v>1.1202920000000001</v>
      </c>
      <c r="L4178">
        <v>215.5429</v>
      </c>
      <c r="M4178">
        <v>0.99975840000000005</v>
      </c>
      <c r="N4178">
        <v>-6.3665240000000001E-3</v>
      </c>
      <c r="O4178">
        <v>2.1040050000000001E-2</v>
      </c>
      <c r="P4178">
        <v>0.99724659999999998</v>
      </c>
      <c r="Q4178">
        <v>-7.1659490000000006E-2</v>
      </c>
      <c r="R4178">
        <v>1.909253E-2</v>
      </c>
      <c r="S4178">
        <v>2.9526979999999998</v>
      </c>
      <c r="T4178">
        <v>-0.83791849999999901</v>
      </c>
      <c r="U4178">
        <v>-0.25042720000000002</v>
      </c>
      <c r="V4178">
        <v>1.923314E-3</v>
      </c>
      <c r="W4178">
        <v>-6.5307030000000002E-2</v>
      </c>
      <c r="X4178">
        <v>0.99786339999999996</v>
      </c>
      <c r="Y4178">
        <v>0.1006276</v>
      </c>
      <c r="Z4178">
        <v>-2.002021E-2</v>
      </c>
      <c r="AA4178">
        <v>0.99472269999999896</v>
      </c>
      <c r="AB4178">
        <v>35</v>
      </c>
      <c r="AC4178">
        <v>0.48120000000000102</v>
      </c>
      <c r="AD4178">
        <v>-0.24118690000000001</v>
      </c>
      <c r="AE4178">
        <v>-8.0399999999997293E-2</v>
      </c>
      <c r="AF4178">
        <v>7.2731432523687398E-2</v>
      </c>
      <c r="AG4178">
        <v>-0.24118690000000001</v>
      </c>
      <c r="AH4178">
        <v>0.385247859339725</v>
      </c>
      <c r="AI4178">
        <v>121.599375853564</v>
      </c>
      <c r="AJ4178">
        <v>79.308889842561399</v>
      </c>
      <c r="AK4178">
        <v>0.46030087457487801</v>
      </c>
      <c r="AL4178">
        <v>93.744481987193396</v>
      </c>
      <c r="AM4178">
        <v>89.889566409172403</v>
      </c>
      <c r="AN4178">
        <v>1.00000003618186</v>
      </c>
    </row>
    <row r="4179" spans="1:40" x14ac:dyDescent="0.25">
      <c r="A4179" t="str">
        <f>"20190303154219727"</f>
        <v>20190303154219727</v>
      </c>
      <c r="B4179" t="str">
        <f>"1551598939723946"</f>
        <v>1551598939723946</v>
      </c>
      <c r="C4179" t="s">
        <v>40</v>
      </c>
      <c r="D4179">
        <v>5.3589320000000003</v>
      </c>
      <c r="E4179">
        <v>0.53497969999999995</v>
      </c>
      <c r="F4179" t="s">
        <v>42</v>
      </c>
      <c r="G4179">
        <v>-374.87169999999998</v>
      </c>
      <c r="H4179">
        <v>0.89366979999999996</v>
      </c>
      <c r="I4179">
        <v>215.47669999999999</v>
      </c>
      <c r="J4179">
        <v>-375.33859999999999</v>
      </c>
      <c r="K4179">
        <v>1.1202859999999999</v>
      </c>
      <c r="L4179">
        <v>215.55</v>
      </c>
      <c r="M4179">
        <v>0.99975329999999996</v>
      </c>
      <c r="N4179">
        <v>-6.6370650000000002E-3</v>
      </c>
      <c r="O4179">
        <v>2.1197669999999998E-2</v>
      </c>
      <c r="P4179">
        <v>0.99725589999999997</v>
      </c>
      <c r="Q4179">
        <v>-7.1196780000000001E-2</v>
      </c>
      <c r="R4179">
        <v>2.028748E-2</v>
      </c>
      <c r="S4179">
        <v>2.9529109999999998</v>
      </c>
      <c r="T4179">
        <v>-0.83609549999999999</v>
      </c>
      <c r="U4179">
        <v>-0.2442474</v>
      </c>
      <c r="V4179">
        <v>8.8275099999999998E-4</v>
      </c>
      <c r="W4179">
        <v>-6.4574660000000006E-2</v>
      </c>
      <c r="X4179">
        <v>0.99791249999999998</v>
      </c>
      <c r="Y4179">
        <v>9.8796190000000006E-2</v>
      </c>
      <c r="Z4179">
        <v>-1.9769800000000001E-2</v>
      </c>
      <c r="AA4179">
        <v>0.99491130000000005</v>
      </c>
      <c r="AB4179">
        <v>35</v>
      </c>
      <c r="AC4179">
        <v>0.46690000000000897</v>
      </c>
      <c r="AD4179">
        <v>-0.22661619999999999</v>
      </c>
      <c r="AE4179">
        <v>-7.3300000000017407E-2</v>
      </c>
      <c r="AF4179">
        <v>6.7631666667792897E-2</v>
      </c>
      <c r="AG4179">
        <v>-0.22661619999999999</v>
      </c>
      <c r="AH4179">
        <v>0.37827226193093499</v>
      </c>
      <c r="AI4179">
        <v>120.52915681890001</v>
      </c>
      <c r="AJ4179">
        <v>79.863138426587398</v>
      </c>
      <c r="AK4179">
        <v>0.446115286204193</v>
      </c>
      <c r="AL4179">
        <v>93.702431604387996</v>
      </c>
      <c r="AM4179">
        <v>89.949316304316895</v>
      </c>
      <c r="AN4179">
        <v>1.00000001180984</v>
      </c>
    </row>
    <row r="4180" spans="1:40" x14ac:dyDescent="0.25">
      <c r="A4180" t="str">
        <f>"20190303154219761"</f>
        <v>20190303154219761</v>
      </c>
      <c r="B4180" t="str">
        <f>"1551598939754202"</f>
        <v>1551598939754202</v>
      </c>
      <c r="C4180" t="s">
        <v>40</v>
      </c>
      <c r="D4180">
        <v>5.506392</v>
      </c>
      <c r="E4180">
        <v>0.53480059999999996</v>
      </c>
      <c r="F4180" t="s">
        <v>42</v>
      </c>
      <c r="G4180">
        <v>-374.55540000000002</v>
      </c>
      <c r="H4180">
        <v>0.89943189999999995</v>
      </c>
      <c r="I4180">
        <v>215.4864</v>
      </c>
      <c r="J4180">
        <v>-374.82279999999997</v>
      </c>
      <c r="K4180">
        <v>1.1202449999999999</v>
      </c>
      <c r="L4180">
        <v>215.56120000000001</v>
      </c>
      <c r="M4180">
        <v>0.99974719999999995</v>
      </c>
      <c r="N4180">
        <v>-6.9972799999999998E-3</v>
      </c>
      <c r="O4180">
        <v>2.1374799999999999E-2</v>
      </c>
      <c r="P4180">
        <v>0.9972432</v>
      </c>
      <c r="Q4180">
        <v>-7.1317640000000002E-2</v>
      </c>
      <c r="R4180">
        <v>2.0498280000000001E-2</v>
      </c>
      <c r="S4180">
        <v>2.9536739999999999</v>
      </c>
      <c r="T4180">
        <v>-0.83287840000000002</v>
      </c>
      <c r="U4180">
        <v>-0.2388306</v>
      </c>
      <c r="V4180">
        <v>8.4208509999999896E-4</v>
      </c>
      <c r="W4180">
        <v>-6.4336169999999998E-2</v>
      </c>
      <c r="X4180">
        <v>0.99792789999999998</v>
      </c>
      <c r="Y4180">
        <v>9.7228590000000004E-2</v>
      </c>
      <c r="Z4180">
        <v>-1.953007E-2</v>
      </c>
      <c r="AA4180">
        <v>0.99507049999999997</v>
      </c>
      <c r="AB4180">
        <v>35</v>
      </c>
      <c r="AC4180">
        <v>0.26739999999995201</v>
      </c>
      <c r="AD4180">
        <v>-0.22081310000000001</v>
      </c>
      <c r="AE4180">
        <v>-7.48000000000104E-2</v>
      </c>
      <c r="AF4180">
        <v>4.9312383109701499E-2</v>
      </c>
      <c r="AG4180">
        <v>-0.22081310000000001</v>
      </c>
      <c r="AH4180">
        <v>0.162788703848017</v>
      </c>
      <c r="AI4180">
        <v>142.39271353741</v>
      </c>
      <c r="AJ4180">
        <v>73.147251494502399</v>
      </c>
      <c r="AK4180">
        <v>0.27872979453242003</v>
      </c>
      <c r="AL4180">
        <v>93.688738805111797</v>
      </c>
      <c r="AM4180">
        <v>89.951651907147607</v>
      </c>
      <c r="AN4180">
        <v>0.99999997273799601</v>
      </c>
    </row>
    <row r="4181" spans="1:40" x14ac:dyDescent="0.25">
      <c r="A4181" t="str">
        <f>"20190303154219782"</f>
        <v>20190303154219782</v>
      </c>
      <c r="B4181" t="str">
        <f>"1551598939773725"</f>
        <v>1551598939773725</v>
      </c>
      <c r="C4181" t="s">
        <v>40</v>
      </c>
      <c r="D4181">
        <v>5.159897</v>
      </c>
      <c r="E4181">
        <v>0.51802760000000003</v>
      </c>
      <c r="F4181" t="s">
        <v>42</v>
      </c>
      <c r="G4181">
        <v>-373.93639999999999</v>
      </c>
      <c r="H4181">
        <v>0.8709266</v>
      </c>
      <c r="I4181">
        <v>215.4896</v>
      </c>
      <c r="J4181">
        <v>-374.47800000000001</v>
      </c>
      <c r="K4181">
        <v>1.12022</v>
      </c>
      <c r="L4181">
        <v>215.5686</v>
      </c>
      <c r="M4181">
        <v>0.99974399999999997</v>
      </c>
      <c r="N4181">
        <v>-7.2023919999999898E-3</v>
      </c>
      <c r="O4181">
        <v>2.1448519999999999E-2</v>
      </c>
      <c r="P4181">
        <v>0.99725050000000004</v>
      </c>
      <c r="Q4181">
        <v>-7.1263279999999998E-2</v>
      </c>
      <c r="R4181">
        <v>2.0330819999999999E-2</v>
      </c>
      <c r="S4181">
        <v>2.953735</v>
      </c>
      <c r="T4181">
        <v>-0.83088680000000004</v>
      </c>
      <c r="U4181">
        <v>-0.23698430000000001</v>
      </c>
      <c r="V4181">
        <v>1.078601E-3</v>
      </c>
      <c r="W4181">
        <v>-6.4077129999999996E-2</v>
      </c>
      <c r="X4181">
        <v>0.99794439999999995</v>
      </c>
      <c r="Y4181">
        <v>9.6719730000000004E-2</v>
      </c>
      <c r="Z4181">
        <v>-1.9439290000000001E-2</v>
      </c>
      <c r="AA4181">
        <v>0.99512179999999995</v>
      </c>
      <c r="AB4181">
        <v>35</v>
      </c>
      <c r="AC4181">
        <v>0.54160000000001596</v>
      </c>
      <c r="AD4181">
        <v>-0.249293399999999</v>
      </c>
      <c r="AE4181">
        <v>-7.9000000000007703E-2</v>
      </c>
      <c r="AF4181">
        <v>7.5032817091356799E-2</v>
      </c>
      <c r="AG4181">
        <v>-0.249293399999999</v>
      </c>
      <c r="AH4181">
        <v>0.44704071654534899</v>
      </c>
      <c r="AI4181">
        <v>118.809025155005</v>
      </c>
      <c r="AJ4181">
        <v>80.472092777953407</v>
      </c>
      <c r="AK4181">
        <v>0.517322457635085</v>
      </c>
      <c r="AL4181">
        <v>93.673865993818694</v>
      </c>
      <c r="AM4181">
        <v>89.938073442754501</v>
      </c>
      <c r="AN4181">
        <v>1.0000000337302499</v>
      </c>
    </row>
    <row r="4182" spans="1:40" x14ac:dyDescent="0.25">
      <c r="A4182" t="str">
        <f>"20190303154219805"</f>
        <v>20190303154219805</v>
      </c>
      <c r="B4182" t="str">
        <f>"1551598939794217"</f>
        <v>1551598939794217</v>
      </c>
      <c r="C4182" t="s">
        <v>40</v>
      </c>
      <c r="D4182">
        <v>5.2023999999999999</v>
      </c>
      <c r="E4182">
        <v>0.51859250000000001</v>
      </c>
      <c r="F4182" t="s">
        <v>42</v>
      </c>
      <c r="G4182">
        <v>-373.61290000000002</v>
      </c>
      <c r="H4182">
        <v>0.89259929999999998</v>
      </c>
      <c r="I4182">
        <v>215.5385</v>
      </c>
      <c r="J4182">
        <v>-374.1207</v>
      </c>
      <c r="K4182">
        <v>1.1201859999999999</v>
      </c>
      <c r="L4182">
        <v>215.5763</v>
      </c>
      <c r="M4182">
        <v>0.99974169999999996</v>
      </c>
      <c r="N4182">
        <v>-7.3896409999999997E-3</v>
      </c>
      <c r="O4182">
        <v>2.1496660000000001E-2</v>
      </c>
      <c r="P4182">
        <v>0.99723700000000004</v>
      </c>
      <c r="Q4182">
        <v>-7.1432490000000001E-2</v>
      </c>
      <c r="R4182">
        <v>2.0405090000000001E-2</v>
      </c>
      <c r="S4182">
        <v>2.9548030000000001</v>
      </c>
      <c r="T4182">
        <v>-0.77744419999999903</v>
      </c>
      <c r="U4182">
        <v>-0.1024017</v>
      </c>
      <c r="V4182">
        <v>1.047767E-3</v>
      </c>
      <c r="W4182">
        <v>-6.4059619999999998E-2</v>
      </c>
      <c r="X4182">
        <v>0.99794550000000004</v>
      </c>
      <c r="Y4182">
        <v>5.3547629999999999E-2</v>
      </c>
      <c r="Z4182">
        <v>-1.2529739999999999E-2</v>
      </c>
      <c r="AA4182">
        <v>0.99848669999999995</v>
      </c>
      <c r="AB4182">
        <v>35</v>
      </c>
      <c r="AC4182">
        <v>0.50779999999997405</v>
      </c>
      <c r="AD4182">
        <v>-0.2275867</v>
      </c>
      <c r="AE4182">
        <v>-3.7800000000004198E-2</v>
      </c>
      <c r="AF4182">
        <v>4.0597757717133802E-2</v>
      </c>
      <c r="AG4182">
        <v>-0.2275867</v>
      </c>
      <c r="AH4182">
        <v>0.42247620868288599</v>
      </c>
      <c r="AI4182">
        <v>118.20140883658701</v>
      </c>
      <c r="AJ4182">
        <v>84.511028782658897</v>
      </c>
      <c r="AK4182">
        <v>0.48159114490573302</v>
      </c>
      <c r="AL4182">
        <v>93.672860888545003</v>
      </c>
      <c r="AM4182">
        <v>89.939843804141304</v>
      </c>
      <c r="AN4182">
        <v>0.99999997685024</v>
      </c>
    </row>
    <row r="4183" spans="1:40" x14ac:dyDescent="0.25">
      <c r="A4183" t="str">
        <f>"20190303154219827"</f>
        <v>20190303154219827</v>
      </c>
      <c r="B4183" t="str">
        <f>"1551598939824005"</f>
        <v>1551598939824005</v>
      </c>
      <c r="C4183" t="s">
        <v>40</v>
      </c>
      <c r="D4183">
        <v>5.1660640000000004</v>
      </c>
      <c r="E4183">
        <v>0.51938660000000003</v>
      </c>
      <c r="F4183" t="s">
        <v>42</v>
      </c>
      <c r="G4183">
        <v>-373.2183</v>
      </c>
      <c r="H4183">
        <v>1.0526310000000001</v>
      </c>
      <c r="I4183">
        <v>215.54949999999999</v>
      </c>
      <c r="J4183">
        <v>-373.76909999999998</v>
      </c>
      <c r="K4183">
        <v>1.1201540000000001</v>
      </c>
      <c r="L4183">
        <v>215.5839</v>
      </c>
      <c r="M4183">
        <v>0.99973990000000001</v>
      </c>
      <c r="N4183">
        <v>-7.5515209999999899E-3</v>
      </c>
      <c r="O4183">
        <v>2.1523219999999999E-2</v>
      </c>
      <c r="P4183">
        <v>0.99723289999999998</v>
      </c>
      <c r="Q4183">
        <v>-7.1529060000000005E-2</v>
      </c>
      <c r="R4183">
        <v>2.0268089999999999E-2</v>
      </c>
      <c r="S4183">
        <v>2.9940799999999999</v>
      </c>
      <c r="T4183">
        <v>-0.22424659999999999</v>
      </c>
      <c r="U4183">
        <v>-8.7570190000000006E-2</v>
      </c>
      <c r="V4183">
        <v>1.2078550000000001E-3</v>
      </c>
      <c r="W4183">
        <v>-6.3994700000000002E-2</v>
      </c>
      <c r="X4183">
        <v>0.99794950000000004</v>
      </c>
      <c r="Y4183">
        <v>5.0538689999999997E-2</v>
      </c>
      <c r="Z4183">
        <v>-3.5278610000000002E-3</v>
      </c>
      <c r="AA4183">
        <v>0.99871589999999999</v>
      </c>
      <c r="AB4183">
        <v>35</v>
      </c>
      <c r="AC4183">
        <v>0.55079999999998097</v>
      </c>
      <c r="AD4183">
        <v>-6.7523000000000194E-2</v>
      </c>
      <c r="AE4183">
        <v>-3.4400000000005003E-2</v>
      </c>
      <c r="AF4183">
        <v>4.5565240994671699E-2</v>
      </c>
      <c r="AG4183">
        <v>-6.7523000000000194E-2</v>
      </c>
      <c r="AH4183">
        <v>0.54182086331003598</v>
      </c>
      <c r="AI4183">
        <v>97.078978508455293</v>
      </c>
      <c r="AJ4183">
        <v>85.192936101031293</v>
      </c>
      <c r="AK4183">
        <v>0.547910024213772</v>
      </c>
      <c r="AL4183">
        <v>93.669133540967096</v>
      </c>
      <c r="AM4183">
        <v>89.930652843685294</v>
      </c>
      <c r="AN4183">
        <v>0.99999999254602001</v>
      </c>
    </row>
    <row r="4184" spans="1:40" x14ac:dyDescent="0.25">
      <c r="A4184" t="str">
        <f>"20190303154219850"</f>
        <v>20190303154219850</v>
      </c>
      <c r="B4184" t="str">
        <f>"1551598939843525"</f>
        <v>1551598939843525</v>
      </c>
      <c r="C4184" t="s">
        <v>40</v>
      </c>
      <c r="D4184">
        <v>5.1874750000000001</v>
      </c>
      <c r="E4184">
        <v>0.51972510000000005</v>
      </c>
      <c r="F4184" t="s">
        <v>50</v>
      </c>
      <c r="G4184">
        <v>-347.30599999999998</v>
      </c>
      <c r="H4184" s="1">
        <v>2.3511039999999999E-6</v>
      </c>
      <c r="I4184">
        <v>214.7833</v>
      </c>
      <c r="J4184">
        <v>-373.41300000000001</v>
      </c>
      <c r="K4184">
        <v>1.1201299999999901</v>
      </c>
      <c r="L4184">
        <v>215.5916</v>
      </c>
      <c r="M4184">
        <v>0.99973860000000003</v>
      </c>
      <c r="N4184">
        <v>-7.6953719999999998E-3</v>
      </c>
      <c r="O4184">
        <v>2.1534870000000001E-2</v>
      </c>
      <c r="P4184">
        <v>0.99719939999999996</v>
      </c>
      <c r="Q4184">
        <v>-7.1933140000000007E-2</v>
      </c>
      <c r="R4184">
        <v>2.0480399999999999E-2</v>
      </c>
      <c r="S4184">
        <v>3.0010379999999999</v>
      </c>
      <c r="T4184">
        <v>-0.12703030000000001</v>
      </c>
      <c r="U4184">
        <v>-9.0789789999999995E-2</v>
      </c>
      <c r="V4184">
        <v>1.0043160000000001E-3</v>
      </c>
      <c r="W4184">
        <v>-6.4255499999999993E-2</v>
      </c>
      <c r="X4184">
        <v>0.99793299999999996</v>
      </c>
      <c r="Y4184">
        <v>5.1690029999999998E-2</v>
      </c>
      <c r="Z4184">
        <v>-2.03762E-3</v>
      </c>
      <c r="AA4184">
        <v>0.99866109999999997</v>
      </c>
      <c r="AB4184">
        <v>35</v>
      </c>
      <c r="AC4184">
        <v>26.106999999999999</v>
      </c>
      <c r="AD4184">
        <v>-1.1201276488959999</v>
      </c>
      <c r="AE4184">
        <v>-0.80830000000000202</v>
      </c>
      <c r="AF4184">
        <v>1.367824410304</v>
      </c>
      <c r="AG4184">
        <v>-1.1201276488959999</v>
      </c>
      <c r="AH4184">
        <v>26.0356560875687</v>
      </c>
      <c r="AI4184">
        <v>92.460118909964393</v>
      </c>
      <c r="AJ4184">
        <v>86.992640346932603</v>
      </c>
      <c r="AK4184">
        <v>26.095612992941899</v>
      </c>
      <c r="AL4184">
        <v>93.684106977474997</v>
      </c>
      <c r="AM4184">
        <v>89.942337763486805</v>
      </c>
      <c r="AN4184">
        <v>1.0000000252099299</v>
      </c>
    </row>
    <row r="4185" spans="1:40" x14ac:dyDescent="0.25">
      <c r="A4185" t="str">
        <f>"20190303154219872"</f>
        <v>20190303154219872</v>
      </c>
      <c r="B4185" t="str">
        <f>"1551598939864020"</f>
        <v>1551598939864020</v>
      </c>
      <c r="C4185" t="s">
        <v>40</v>
      </c>
      <c r="D4185">
        <v>5.145448</v>
      </c>
      <c r="E4185">
        <v>0.51978239999999998</v>
      </c>
      <c r="F4185" t="s">
        <v>50</v>
      </c>
      <c r="G4185">
        <v>-340.73399999999998</v>
      </c>
      <c r="H4185" s="1">
        <v>-1.1461670000000001E-6</v>
      </c>
      <c r="I4185">
        <v>214.59010000000001</v>
      </c>
      <c r="J4185">
        <v>-373.05840000000001</v>
      </c>
      <c r="K4185">
        <v>1.1201139999999901</v>
      </c>
      <c r="L4185">
        <v>215.5993</v>
      </c>
      <c r="M4185">
        <v>0.99973749999999995</v>
      </c>
      <c r="N4185">
        <v>-7.8207869999999992E-3</v>
      </c>
      <c r="O4185">
        <v>2.153708E-2</v>
      </c>
      <c r="P4185">
        <v>0.99714230000000004</v>
      </c>
      <c r="Q4185">
        <v>-7.2787039999999997E-2</v>
      </c>
      <c r="R4185">
        <v>2.024401E-2</v>
      </c>
      <c r="S4185">
        <v>3.0028990000000002</v>
      </c>
      <c r="T4185">
        <v>-0.1029298</v>
      </c>
      <c r="U4185">
        <v>-9.2025759999999998E-2</v>
      </c>
      <c r="V4185">
        <v>1.2400359999999999E-3</v>
      </c>
      <c r="W4185">
        <v>-6.4984689999999998E-2</v>
      </c>
      <c r="X4185">
        <v>0.99788549999999998</v>
      </c>
      <c r="Y4185">
        <v>5.2106699999999999E-2</v>
      </c>
      <c r="Z4185">
        <v>-1.6659299999999999E-3</v>
      </c>
      <c r="AA4185">
        <v>0.99864010000000003</v>
      </c>
      <c r="AB4185">
        <v>35</v>
      </c>
      <c r="AC4185">
        <v>32.324399999999898</v>
      </c>
      <c r="AD4185">
        <v>-1.12011514616699</v>
      </c>
      <c r="AE4185">
        <v>-1.0091999999999901</v>
      </c>
      <c r="AF4185">
        <v>1.7031172725127699</v>
      </c>
      <c r="AG4185">
        <v>-1.12011514616699</v>
      </c>
      <c r="AH4185">
        <v>32.2564707272265</v>
      </c>
      <c r="AI4185">
        <v>91.986048974490501</v>
      </c>
      <c r="AJ4185">
        <v>86.977632610516807</v>
      </c>
      <c r="AK4185">
        <v>32.320816359755298</v>
      </c>
      <c r="AL4185">
        <v>93.725974050612393</v>
      </c>
      <c r="AM4185">
        <v>89.928800656314905</v>
      </c>
      <c r="AN4185">
        <v>1.0000000093669601</v>
      </c>
    </row>
    <row r="4186" spans="1:40" x14ac:dyDescent="0.25">
      <c r="A4186" t="str">
        <f>"20190303154219897"</f>
        <v>20190303154219897</v>
      </c>
      <c r="B4186" t="str">
        <f>"1551598939894277"</f>
        <v>1551598939894277</v>
      </c>
      <c r="C4186" t="s">
        <v>40</v>
      </c>
      <c r="D4186">
        <v>5.1548210000000001</v>
      </c>
      <c r="E4186">
        <v>0.51998540000000004</v>
      </c>
      <c r="F4186" t="s">
        <v>50</v>
      </c>
      <c r="G4186">
        <v>-335.5489</v>
      </c>
      <c r="H4186" s="1">
        <v>1.423677E-6</v>
      </c>
      <c r="I4186">
        <v>214.44200000000001</v>
      </c>
      <c r="J4186">
        <v>-372.67410000000001</v>
      </c>
      <c r="K4186">
        <v>1.12009</v>
      </c>
      <c r="L4186">
        <v>215.60749999999999</v>
      </c>
      <c r="M4186">
        <v>0.99973670000000003</v>
      </c>
      <c r="N4186">
        <v>-7.9396699999999994E-3</v>
      </c>
      <c r="O4186">
        <v>2.1534560000000001E-2</v>
      </c>
      <c r="P4186">
        <v>0.99708649999999999</v>
      </c>
      <c r="Q4186">
        <v>-7.3625590000000005E-2</v>
      </c>
      <c r="R4186">
        <v>1.994195E-2</v>
      </c>
      <c r="S4186">
        <v>3.0039370000000001</v>
      </c>
      <c r="T4186">
        <v>-8.97038E-2</v>
      </c>
      <c r="U4186">
        <v>-9.2681879999999994E-2</v>
      </c>
      <c r="V4186">
        <v>1.5373609999999999E-3</v>
      </c>
      <c r="W4186">
        <v>-6.5705109999999997E-2</v>
      </c>
      <c r="X4186">
        <v>0.99783790000000006</v>
      </c>
      <c r="Y4186">
        <v>5.2321970000000002E-2</v>
      </c>
      <c r="Z4186">
        <v>-1.4605620000000001E-3</v>
      </c>
      <c r="AA4186">
        <v>0.99862919999999999</v>
      </c>
      <c r="AB4186">
        <v>35</v>
      </c>
      <c r="AC4186">
        <v>37.1252</v>
      </c>
      <c r="AD4186">
        <v>-1.120088576323</v>
      </c>
      <c r="AE4186">
        <v>-1.16549999999998</v>
      </c>
      <c r="AF4186">
        <v>1.9629446201801499</v>
      </c>
      <c r="AG4186">
        <v>-1.120088576323</v>
      </c>
      <c r="AH4186">
        <v>37.057791831103899</v>
      </c>
      <c r="AI4186">
        <v>91.728841631482993</v>
      </c>
      <c r="AJ4186">
        <v>86.967886501857194</v>
      </c>
      <c r="AK4186">
        <v>37.126643874691098</v>
      </c>
      <c r="AL4186">
        <v>93.767339521404807</v>
      </c>
      <c r="AM4186">
        <v>89.911724913243006</v>
      </c>
      <c r="AN4186">
        <v>0.99999999981768295</v>
      </c>
    </row>
    <row r="4187" spans="1:40" x14ac:dyDescent="0.25">
      <c r="A4187" t="str">
        <f>"20190303154219919"</f>
        <v>20190303154219919</v>
      </c>
      <c r="B4187" t="str">
        <f>"1551598939914303"</f>
        <v>1551598939914303</v>
      </c>
      <c r="C4187" t="s">
        <v>40</v>
      </c>
      <c r="D4187">
        <v>5.1774829999999996</v>
      </c>
      <c r="E4187">
        <v>0.52015730000000004</v>
      </c>
      <c r="F4187" t="s">
        <v>50</v>
      </c>
      <c r="G4187">
        <v>-328.34300000000002</v>
      </c>
      <c r="H4187" s="1">
        <v>2.902924E-6</v>
      </c>
      <c r="I4187">
        <v>214.21129999999999</v>
      </c>
      <c r="J4187">
        <v>-372.32240000000002</v>
      </c>
      <c r="K4187">
        <v>1.120077</v>
      </c>
      <c r="L4187">
        <v>215.61510000000001</v>
      </c>
      <c r="M4187">
        <v>0.99973599999999996</v>
      </c>
      <c r="N4187">
        <v>-8.0332100000000007E-3</v>
      </c>
      <c r="O4187">
        <v>2.1531080000000001E-2</v>
      </c>
      <c r="P4187">
        <v>0.99707979999999996</v>
      </c>
      <c r="Q4187">
        <v>-7.3856480000000002E-2</v>
      </c>
      <c r="R4187">
        <v>1.9422439999999999E-2</v>
      </c>
      <c r="S4187">
        <v>3.005096</v>
      </c>
      <c r="T4187">
        <v>-7.5927850000000005E-2</v>
      </c>
      <c r="U4187">
        <v>-9.4650269999999995E-2</v>
      </c>
      <c r="V4187">
        <v>2.05207E-3</v>
      </c>
      <c r="W4187">
        <v>-6.5842810000000002E-2</v>
      </c>
      <c r="X4187">
        <v>0.99782789999999999</v>
      </c>
      <c r="Y4187">
        <v>5.296932E-2</v>
      </c>
      <c r="Z4187">
        <v>-1.252661E-3</v>
      </c>
      <c r="AA4187">
        <v>0.99859540000000002</v>
      </c>
      <c r="AB4187">
        <v>36</v>
      </c>
      <c r="AC4187">
        <v>43.979399999999998</v>
      </c>
      <c r="AD4187">
        <v>-1.1200740970759999</v>
      </c>
      <c r="AE4187">
        <v>-1.4038000000000099</v>
      </c>
      <c r="AF4187">
        <v>2.3489069811004102</v>
      </c>
      <c r="AG4187">
        <v>-1.1200740970759999</v>
      </c>
      <c r="AH4187">
        <v>43.910525155977297</v>
      </c>
      <c r="AI4187">
        <v>91.459104432232493</v>
      </c>
      <c r="AJ4187">
        <v>86.9379936464249</v>
      </c>
      <c r="AK4187">
        <v>43.987568123988403</v>
      </c>
      <c r="AL4187">
        <v>93.775246262478802</v>
      </c>
      <c r="AM4187">
        <v>89.882169275372107</v>
      </c>
      <c r="AN4187">
        <v>1.00000000231919</v>
      </c>
    </row>
    <row r="4188" spans="1:40" x14ac:dyDescent="0.25">
      <c r="A4188" t="str">
        <f>"20190303154219938"</f>
        <v>20190303154219938</v>
      </c>
      <c r="B4188" t="str">
        <f>"1551598939933823"</f>
        <v>1551598939933823</v>
      </c>
      <c r="C4188" t="s">
        <v>40</v>
      </c>
      <c r="D4188">
        <v>5.1772489999999998</v>
      </c>
      <c r="E4188">
        <v>0.52011279999999904</v>
      </c>
      <c r="F4188" t="s">
        <v>50</v>
      </c>
      <c r="G4188">
        <v>-325.10989999999998</v>
      </c>
      <c r="H4188" s="1">
        <v>1.182427E-6</v>
      </c>
      <c r="I4188">
        <v>214.0856</v>
      </c>
      <c r="J4188">
        <v>-372.00130000000001</v>
      </c>
      <c r="K4188">
        <v>1.1200650000000001</v>
      </c>
      <c r="L4188">
        <v>215.62209999999999</v>
      </c>
      <c r="M4188">
        <v>0.99973540000000005</v>
      </c>
      <c r="N4188">
        <v>-8.1092100000000004E-3</v>
      </c>
      <c r="O4188">
        <v>2.1529240000000002E-2</v>
      </c>
      <c r="P4188">
        <v>0.99708669999999999</v>
      </c>
      <c r="Q4188">
        <v>-7.3885870000000006E-2</v>
      </c>
      <c r="R4188">
        <v>1.8955719999999999E-2</v>
      </c>
      <c r="S4188">
        <v>3.0054020000000001</v>
      </c>
      <c r="T4188">
        <v>-7.1300509999999998E-2</v>
      </c>
      <c r="U4188">
        <v>-9.7366330000000001E-2</v>
      </c>
      <c r="V4188">
        <v>2.5162740000000002E-3</v>
      </c>
      <c r="W4188">
        <v>-6.5796399999999894E-2</v>
      </c>
      <c r="X4188">
        <v>0.99782990000000005</v>
      </c>
      <c r="Y4188">
        <v>5.3868329999999999E-2</v>
      </c>
      <c r="Z4188">
        <v>-1.1932990000000001E-3</v>
      </c>
      <c r="AA4188">
        <v>0.99854730000000003</v>
      </c>
      <c r="AB4188">
        <v>36</v>
      </c>
      <c r="AC4188">
        <v>46.891399999999997</v>
      </c>
      <c r="AD4188">
        <v>-1.12006381757299</v>
      </c>
      <c r="AE4188">
        <v>-1.53649999999998</v>
      </c>
      <c r="AF4188">
        <v>2.5442630846635401</v>
      </c>
      <c r="AG4188">
        <v>-1.12006381757299</v>
      </c>
      <c r="AH4188">
        <v>46.8207647213111</v>
      </c>
      <c r="AI4188">
        <v>91.368371591652604</v>
      </c>
      <c r="AJ4188">
        <v>86.889578694875397</v>
      </c>
      <c r="AK4188">
        <v>46.903217658149998</v>
      </c>
      <c r="AL4188">
        <v>93.772581381797295</v>
      </c>
      <c r="AM4188">
        <v>89.855514878143495</v>
      </c>
      <c r="AN4188">
        <v>1.0000000036109</v>
      </c>
    </row>
    <row r="4189" spans="1:40" x14ac:dyDescent="0.25">
      <c r="A4189" t="str">
        <f>"20190303154219963"</f>
        <v>20190303154219963</v>
      </c>
      <c r="B4189" t="str">
        <f>"1551598939953343"</f>
        <v>1551598939953343</v>
      </c>
      <c r="C4189" t="s">
        <v>40</v>
      </c>
      <c r="D4189">
        <v>5.2003199999999996</v>
      </c>
      <c r="E4189">
        <v>0.52024510000000002</v>
      </c>
      <c r="F4189" t="s">
        <v>50</v>
      </c>
      <c r="G4189">
        <v>-321.98860000000002</v>
      </c>
      <c r="H4189" s="1">
        <v>-4.7853280000000003E-7</v>
      </c>
      <c r="I4189">
        <v>213.9862</v>
      </c>
      <c r="J4189">
        <v>-371.61779999999999</v>
      </c>
      <c r="K4189">
        <v>1.120058</v>
      </c>
      <c r="L4189">
        <v>215.63030000000001</v>
      </c>
      <c r="M4189">
        <v>0.99973460000000003</v>
      </c>
      <c r="N4189">
        <v>-8.1887880000000007E-3</v>
      </c>
      <c r="O4189">
        <v>2.1528680000000001E-2</v>
      </c>
      <c r="P4189">
        <v>0.99706320000000004</v>
      </c>
      <c r="Q4189">
        <v>-7.4224280000000004E-2</v>
      </c>
      <c r="R4189">
        <v>1.88585E-2</v>
      </c>
      <c r="S4189">
        <v>3.005646</v>
      </c>
      <c r="T4189">
        <v>-6.7313429999999994E-2</v>
      </c>
      <c r="U4189">
        <v>-9.8312380000000005E-2</v>
      </c>
      <c r="V4189">
        <v>2.6117340000000001E-3</v>
      </c>
      <c r="W4189">
        <v>-6.6055660000000002E-2</v>
      </c>
      <c r="X4189">
        <v>0.99781249999999999</v>
      </c>
      <c r="Y4189">
        <v>5.4181359999999998E-2</v>
      </c>
      <c r="Z4189">
        <v>-1.1341610000000001E-3</v>
      </c>
      <c r="AA4189">
        <v>0.99853040000000004</v>
      </c>
      <c r="AB4189">
        <v>36</v>
      </c>
      <c r="AC4189">
        <v>49.629199999999898</v>
      </c>
      <c r="AD4189">
        <v>-1.1200584785328001</v>
      </c>
      <c r="AE4189">
        <v>-1.6440999999999999</v>
      </c>
      <c r="AF4189">
        <v>2.7108267987436498</v>
      </c>
      <c r="AG4189">
        <v>-1.1200584785328001</v>
      </c>
      <c r="AH4189">
        <v>49.557086547448201</v>
      </c>
      <c r="AI4189">
        <v>91.292811098641494</v>
      </c>
      <c r="AJ4189">
        <v>86.868978640614799</v>
      </c>
      <c r="AK4189">
        <v>49.643810691760798</v>
      </c>
      <c r="AL4189">
        <v>93.787468367958596</v>
      </c>
      <c r="AM4189">
        <v>89.850030949024401</v>
      </c>
      <c r="AN4189">
        <v>0.99999997826438602</v>
      </c>
    </row>
    <row r="4190" spans="1:40" x14ac:dyDescent="0.25">
      <c r="A4190" t="str">
        <f>"20190303154219984"</f>
        <v>20190303154219984</v>
      </c>
      <c r="B4190" t="str">
        <f>"1551598939973842"</f>
        <v>1551598939973842</v>
      </c>
      <c r="C4190" t="s">
        <v>40</v>
      </c>
      <c r="D4190">
        <v>5.1807089999999896</v>
      </c>
      <c r="E4190">
        <v>0.52032309999999904</v>
      </c>
      <c r="F4190" t="s">
        <v>51</v>
      </c>
      <c r="G4190">
        <v>-318.76949999999999</v>
      </c>
      <c r="H4190" s="1">
        <v>4.7945469999999998E-6</v>
      </c>
      <c r="I4190">
        <v>213.8826</v>
      </c>
      <c r="J4190">
        <v>-371.26819999999998</v>
      </c>
      <c r="K4190">
        <v>1.120055</v>
      </c>
      <c r="L4190">
        <v>215.6378</v>
      </c>
      <c r="M4190">
        <v>0.99973420000000002</v>
      </c>
      <c r="N4190">
        <v>-8.2525519999999998E-3</v>
      </c>
      <c r="O4190">
        <v>2.1529090000000001E-2</v>
      </c>
      <c r="P4190">
        <v>0.99703489999999995</v>
      </c>
      <c r="Q4190">
        <v>-7.4500620000000004E-2</v>
      </c>
      <c r="R4190">
        <v>1.9261339999999998E-2</v>
      </c>
      <c r="S4190">
        <v>3.005951</v>
      </c>
      <c r="T4190">
        <v>-6.3707349999999996E-2</v>
      </c>
      <c r="U4190">
        <v>-9.9411009999999994E-2</v>
      </c>
      <c r="V4190">
        <v>2.2082500000000001E-3</v>
      </c>
      <c r="W4190">
        <v>-6.6268530000000006E-2</v>
      </c>
      <c r="X4190">
        <v>0.9977994</v>
      </c>
      <c r="Y4190">
        <v>5.4544919999999997E-2</v>
      </c>
      <c r="Z4190">
        <v>-1.0814640000000001E-3</v>
      </c>
      <c r="AA4190">
        <v>0.99851069999999997</v>
      </c>
      <c r="AB4190">
        <v>36</v>
      </c>
      <c r="AC4190">
        <v>52.4986999999999</v>
      </c>
      <c r="AD4190">
        <v>-1.1200502054529999</v>
      </c>
      <c r="AE4190">
        <v>-1.7552000000000001</v>
      </c>
      <c r="AF4190">
        <v>2.8837696865862399</v>
      </c>
      <c r="AG4190">
        <v>-1.1200502054529999</v>
      </c>
      <c r="AH4190">
        <v>52.424906164111398</v>
      </c>
      <c r="AI4190">
        <v>91.222082523787293</v>
      </c>
      <c r="AJ4190">
        <v>86.851468220580202</v>
      </c>
      <c r="AK4190">
        <v>52.516106352088798</v>
      </c>
      <c r="AL4190">
        <v>93.799691550275597</v>
      </c>
      <c r="AM4190">
        <v>89.873197760447596</v>
      </c>
      <c r="AN4190">
        <v>1.0000000185383899</v>
      </c>
    </row>
    <row r="4191" spans="1:40" x14ac:dyDescent="0.25">
      <c r="A4191" t="str">
        <f>"20190303154220006"</f>
        <v>20190303154220006</v>
      </c>
      <c r="B4191" t="str">
        <f>"1551598940004095"</f>
        <v>1551598940004095</v>
      </c>
      <c r="C4191" t="s">
        <v>40</v>
      </c>
      <c r="D4191">
        <v>5.1876089999999904</v>
      </c>
      <c r="E4191">
        <v>0.52030279999999995</v>
      </c>
      <c r="F4191" t="s">
        <v>51</v>
      </c>
      <c r="G4191">
        <v>-315.80290000000002</v>
      </c>
      <c r="H4191" s="1">
        <v>3.4790090000000001E-6</v>
      </c>
      <c r="I4191">
        <v>213.81639999999999</v>
      </c>
      <c r="J4191">
        <v>-370.92129999999997</v>
      </c>
      <c r="K4191">
        <v>1.1200479999999999</v>
      </c>
      <c r="L4191">
        <v>215.64529999999999</v>
      </c>
      <c r="M4191">
        <v>0.9997336</v>
      </c>
      <c r="N4191">
        <v>-8.3088499999999996E-3</v>
      </c>
      <c r="O4191">
        <v>2.1530319999999999E-2</v>
      </c>
      <c r="P4191">
        <v>0.9970232</v>
      </c>
      <c r="Q4191">
        <v>-7.4452669999999999E-2</v>
      </c>
      <c r="R4191">
        <v>2.003334E-2</v>
      </c>
      <c r="S4191">
        <v>3.006256</v>
      </c>
      <c r="T4191">
        <v>-6.0707570000000002E-2</v>
      </c>
      <c r="U4191">
        <v>-9.8724370000000006E-2</v>
      </c>
      <c r="V4191">
        <v>1.436905E-3</v>
      </c>
      <c r="W4191">
        <v>-6.616437E-2</v>
      </c>
      <c r="X4191">
        <v>0.99780769999999996</v>
      </c>
      <c r="Y4191">
        <v>5.4316660000000003E-2</v>
      </c>
      <c r="Z4191">
        <v>-1.0297749999999999E-3</v>
      </c>
      <c r="AA4191">
        <v>0.99852320000000006</v>
      </c>
      <c r="AB4191">
        <v>36</v>
      </c>
      <c r="AC4191">
        <v>55.118399999999902</v>
      </c>
      <c r="AD4191">
        <v>-1.1200445209909999</v>
      </c>
      <c r="AE4191">
        <v>-1.8289</v>
      </c>
      <c r="AF4191">
        <v>3.0139906600859199</v>
      </c>
      <c r="AG4191">
        <v>-1.1200445209909999</v>
      </c>
      <c r="AH4191">
        <v>55.043540094324399</v>
      </c>
      <c r="AI4191">
        <v>91.163969813952804</v>
      </c>
      <c r="AJ4191">
        <v>86.865814510866599</v>
      </c>
      <c r="AK4191">
        <v>55.137373400839401</v>
      </c>
      <c r="AL4191">
        <v>93.793710575701795</v>
      </c>
      <c r="AM4191">
        <v>89.917490579446394</v>
      </c>
      <c r="AN4191">
        <v>0.99999999736638201</v>
      </c>
    </row>
    <row r="4192" spans="1:40" x14ac:dyDescent="0.25">
      <c r="A4192" t="str">
        <f>"20190303154220029"</f>
        <v>20190303154220029</v>
      </c>
      <c r="B4192" t="str">
        <f>"1551598940024121"</f>
        <v>1551598940024121</v>
      </c>
      <c r="C4192" t="s">
        <v>40</v>
      </c>
      <c r="D4192">
        <v>5.1698430000000002</v>
      </c>
      <c r="E4192">
        <v>0.52011479999999999</v>
      </c>
      <c r="F4192" t="s">
        <v>51</v>
      </c>
      <c r="G4192">
        <v>-310.32150000000001</v>
      </c>
      <c r="H4192" s="1">
        <v>1.0482359999999999E-6</v>
      </c>
      <c r="I4192">
        <v>213.70910000000001</v>
      </c>
      <c r="J4192">
        <v>-370.5616</v>
      </c>
      <c r="K4192">
        <v>1.120042</v>
      </c>
      <c r="L4192">
        <v>215.65309999999999</v>
      </c>
      <c r="M4192">
        <v>0.99973319999999999</v>
      </c>
      <c r="N4192">
        <v>-8.3606679999999999E-3</v>
      </c>
      <c r="O4192">
        <v>2.1531089999999999E-2</v>
      </c>
      <c r="P4192">
        <v>0.99692020000000003</v>
      </c>
      <c r="Q4192">
        <v>-7.5680860000000003E-2</v>
      </c>
      <c r="R4192">
        <v>2.0552879999999999E-2</v>
      </c>
      <c r="S4192">
        <v>3.0067750000000002</v>
      </c>
      <c r="T4192">
        <v>-5.5573339999999999E-2</v>
      </c>
      <c r="U4192">
        <v>-9.6069340000000003E-2</v>
      </c>
      <c r="V4192">
        <v>9.1568210000000005E-4</v>
      </c>
      <c r="W4192">
        <v>-6.734155E-2</v>
      </c>
      <c r="X4192">
        <v>0.99772950000000005</v>
      </c>
      <c r="Y4192">
        <v>5.3433769999999998E-2</v>
      </c>
      <c r="Z4192">
        <v>-9.3496240000000004E-4</v>
      </c>
      <c r="AA4192">
        <v>0.99857099999999999</v>
      </c>
      <c r="AB4192">
        <v>36</v>
      </c>
      <c r="AC4192">
        <v>60.240099999999899</v>
      </c>
      <c r="AD4192">
        <v>-1.120040951764</v>
      </c>
      <c r="AE4192">
        <v>-1.94399999999998</v>
      </c>
      <c r="AF4192">
        <v>3.23951095760486</v>
      </c>
      <c r="AG4192">
        <v>-1.120040951764</v>
      </c>
      <c r="AH4192">
        <v>60.163499469123202</v>
      </c>
      <c r="AI4192">
        <v>91.064988115930007</v>
      </c>
      <c r="AJ4192">
        <v>86.917878135675593</v>
      </c>
      <c r="AK4192">
        <v>60.261061983251302</v>
      </c>
      <c r="AL4192">
        <v>93.861309026849</v>
      </c>
      <c r="AM4192">
        <v>89.947415902831906</v>
      </c>
      <c r="AN4192">
        <v>0.99999993900017803</v>
      </c>
    </row>
    <row r="4193" spans="1:40" x14ac:dyDescent="0.25">
      <c r="A4193" t="str">
        <f>"20190303154220050"</f>
        <v>20190303154220050</v>
      </c>
      <c r="B4193" t="str">
        <f>"1551598940043641"</f>
        <v>1551598940043641</v>
      </c>
      <c r="C4193" t="s">
        <v>40</v>
      </c>
      <c r="D4193">
        <v>5.24099</v>
      </c>
      <c r="E4193">
        <v>0.51994039999999997</v>
      </c>
      <c r="F4193" t="s">
        <v>51</v>
      </c>
      <c r="G4193">
        <v>-311.71910000000003</v>
      </c>
      <c r="H4193" s="1">
        <v>1.667979E-6</v>
      </c>
      <c r="I4193">
        <v>213.834</v>
      </c>
      <c r="J4193">
        <v>-370.19830000000002</v>
      </c>
      <c r="K4193">
        <v>1.1200429999999999</v>
      </c>
      <c r="L4193">
        <v>215.6609</v>
      </c>
      <c r="M4193">
        <v>0.99973290000000004</v>
      </c>
      <c r="N4193">
        <v>-8.4068919999999991E-3</v>
      </c>
      <c r="O4193">
        <v>2.1532180000000001E-2</v>
      </c>
      <c r="P4193">
        <v>0.99688319999999997</v>
      </c>
      <c r="Q4193">
        <v>-7.6177369999999994E-2</v>
      </c>
      <c r="R4193">
        <v>2.052143E-2</v>
      </c>
      <c r="S4193">
        <v>3.0068359999999998</v>
      </c>
      <c r="T4193">
        <v>-5.7233689999999997E-2</v>
      </c>
      <c r="U4193">
        <v>-9.2956540000000004E-2</v>
      </c>
      <c r="V4193">
        <v>9.4717040000000003E-4</v>
      </c>
      <c r="W4193">
        <v>-6.7792259999999993E-2</v>
      </c>
      <c r="X4193">
        <v>0.997699</v>
      </c>
      <c r="Y4193">
        <v>5.2400919999999997E-2</v>
      </c>
      <c r="Z4193">
        <v>-9.4766390000000005E-4</v>
      </c>
      <c r="AA4193">
        <v>0.99862569999999995</v>
      </c>
      <c r="AB4193">
        <v>36</v>
      </c>
      <c r="AC4193">
        <v>58.479199999999899</v>
      </c>
      <c r="AD4193">
        <v>-1.1200413320209901</v>
      </c>
      <c r="AE4193">
        <v>-1.82689999999999</v>
      </c>
      <c r="AF4193">
        <v>3.0845750467592601</v>
      </c>
      <c r="AG4193">
        <v>-1.1200413320209901</v>
      </c>
      <c r="AH4193">
        <v>58.404898650697298</v>
      </c>
      <c r="AI4193">
        <v>91.097108255436893</v>
      </c>
      <c r="AJ4193">
        <v>86.976810320730195</v>
      </c>
      <c r="AK4193">
        <v>58.497019430076499</v>
      </c>
      <c r="AL4193">
        <v>93.887191755596902</v>
      </c>
      <c r="AM4193">
        <v>89.945605989285298</v>
      </c>
      <c r="AN4193">
        <v>0.99999999112433702</v>
      </c>
    </row>
    <row r="4194" spans="1:40" x14ac:dyDescent="0.25">
      <c r="A4194" t="str">
        <f>"20190303154220073"</f>
        <v>20190303154220073</v>
      </c>
      <c r="B4194" t="str">
        <f>"1551598940064136"</f>
        <v>1551598940064136</v>
      </c>
      <c r="C4194" t="s">
        <v>40</v>
      </c>
      <c r="D4194">
        <v>5.2616860000000001</v>
      </c>
      <c r="E4194">
        <v>0.5198644</v>
      </c>
      <c r="F4194" t="s">
        <v>51</v>
      </c>
      <c r="G4194">
        <v>-310.94060000000002</v>
      </c>
      <c r="H4194" s="1">
        <v>1.3227639999999999E-6</v>
      </c>
      <c r="I4194">
        <v>213.85239999999999</v>
      </c>
      <c r="J4194">
        <v>-369.83089999999999</v>
      </c>
      <c r="K4194">
        <v>1.1200429999999999</v>
      </c>
      <c r="L4194">
        <v>215.6688</v>
      </c>
      <c r="M4194">
        <v>0.99973239999999997</v>
      </c>
      <c r="N4194">
        <v>-8.4482700000000008E-3</v>
      </c>
      <c r="O4194">
        <v>2.1533010000000002E-2</v>
      </c>
      <c r="P4194">
        <v>0.99689249999999996</v>
      </c>
      <c r="Q4194">
        <v>-7.613114E-2</v>
      </c>
      <c r="R4194">
        <v>2.0241769999999999E-2</v>
      </c>
      <c r="S4194">
        <v>3.0068969999999999</v>
      </c>
      <c r="T4194">
        <v>-5.6833979999999999E-2</v>
      </c>
      <c r="U4194">
        <v>-9.1766360000000005E-2</v>
      </c>
      <c r="V4194">
        <v>1.227445E-3</v>
      </c>
      <c r="W4194">
        <v>-6.7704710000000001E-2</v>
      </c>
      <c r="X4194">
        <v>0.99770460000000005</v>
      </c>
      <c r="Y4194">
        <v>5.2006499999999997E-2</v>
      </c>
      <c r="Z4194">
        <v>-9.3611499999999995E-4</v>
      </c>
      <c r="AA4194">
        <v>0.99864629999999999</v>
      </c>
      <c r="AB4194">
        <v>36</v>
      </c>
      <c r="AC4194">
        <v>58.890299999999897</v>
      </c>
      <c r="AD4194">
        <v>-1.120041677236</v>
      </c>
      <c r="AE4194">
        <v>-1.81640000000001</v>
      </c>
      <c r="AF4194">
        <v>3.0829954015719099</v>
      </c>
      <c r="AG4194">
        <v>-1.120041677236</v>
      </c>
      <c r="AH4194">
        <v>58.816275426870902</v>
      </c>
      <c r="AI4194">
        <v>91.089459623814307</v>
      </c>
      <c r="AJ4194">
        <v>86.999451093839397</v>
      </c>
      <c r="AK4194">
        <v>58.907670205962098</v>
      </c>
      <c r="AL4194">
        <v>93.8821641119482</v>
      </c>
      <c r="AM4194">
        <v>89.929510816525394</v>
      </c>
      <c r="AN4194">
        <v>0.99999995161928501</v>
      </c>
    </row>
    <row r="4195" spans="1:40" x14ac:dyDescent="0.25">
      <c r="A4195" t="str">
        <f>"20190303154220097"</f>
        <v>20190303154220097</v>
      </c>
      <c r="B4195" t="str">
        <f>"1551598940093417"</f>
        <v>1551598940093417</v>
      </c>
      <c r="C4195" t="s">
        <v>40</v>
      </c>
      <c r="D4195">
        <v>5.3360300000000001</v>
      </c>
      <c r="E4195">
        <v>0.51966029999999996</v>
      </c>
      <c r="F4195" t="s">
        <v>51</v>
      </c>
      <c r="G4195">
        <v>-308.12720000000002</v>
      </c>
      <c r="H4195" s="1">
        <v>1.211632E-6</v>
      </c>
      <c r="I4195">
        <v>213.7748</v>
      </c>
      <c r="J4195">
        <v>-369.46129999999999</v>
      </c>
      <c r="K4195">
        <v>1.1200509999999999</v>
      </c>
      <c r="L4195">
        <v>215.67679999999999</v>
      </c>
      <c r="M4195">
        <v>0.99973210000000001</v>
      </c>
      <c r="N4195">
        <v>-8.485233E-3</v>
      </c>
      <c r="O4195">
        <v>2.1533670000000001E-2</v>
      </c>
      <c r="P4195">
        <v>0.99689360000000005</v>
      </c>
      <c r="Q4195">
        <v>-7.6296550000000005E-2</v>
      </c>
      <c r="R4195">
        <v>1.954699E-2</v>
      </c>
      <c r="S4195">
        <v>3.00705</v>
      </c>
      <c r="T4195">
        <v>-5.458379E-2</v>
      </c>
      <c r="U4195">
        <v>-9.2300419999999994E-2</v>
      </c>
      <c r="V4195">
        <v>1.9228139999999999E-3</v>
      </c>
      <c r="W4195">
        <v>-6.7833389999999993E-2</v>
      </c>
      <c r="X4195">
        <v>0.99769479999999999</v>
      </c>
      <c r="Y4195">
        <v>5.2183819999999999E-2</v>
      </c>
      <c r="Z4195">
        <v>-9.0304450000000004E-4</v>
      </c>
      <c r="AA4195">
        <v>0.99863710000000006</v>
      </c>
      <c r="AB4195">
        <v>36</v>
      </c>
      <c r="AC4195">
        <v>61.3340999999999</v>
      </c>
      <c r="AD4195">
        <v>-1.1200497883679901</v>
      </c>
      <c r="AE4195">
        <v>-1.9019999999999799</v>
      </c>
      <c r="AF4195">
        <v>3.22128157430814</v>
      </c>
      <c r="AG4195">
        <v>-1.1200497883679901</v>
      </c>
      <c r="AH4195">
        <v>61.258509629892799</v>
      </c>
      <c r="AI4195">
        <v>91.046033648495097</v>
      </c>
      <c r="AJ4195">
        <v>86.989871253092105</v>
      </c>
      <c r="AK4195">
        <v>61.353371289482297</v>
      </c>
      <c r="AL4195">
        <v>93.889553772697198</v>
      </c>
      <c r="AM4195">
        <v>89.889576461070106</v>
      </c>
      <c r="AN4195">
        <v>0.99999998997980499</v>
      </c>
    </row>
    <row r="4196" spans="1:40" x14ac:dyDescent="0.25">
      <c r="A4196" t="str">
        <f>"20190303154220120"</f>
        <v>20190303154220120</v>
      </c>
      <c r="B4196" t="str">
        <f>"1551598940113443"</f>
        <v>1551598940113443</v>
      </c>
      <c r="C4196" t="s">
        <v>40</v>
      </c>
      <c r="D4196">
        <v>5.2618039999999997</v>
      </c>
      <c r="E4196">
        <v>0.51967240000000003</v>
      </c>
      <c r="F4196" t="s">
        <v>51</v>
      </c>
      <c r="G4196">
        <v>-308.89409999999998</v>
      </c>
      <c r="H4196" s="1">
        <v>1.075588E-6</v>
      </c>
      <c r="I4196">
        <v>213.81270000000001</v>
      </c>
      <c r="J4196">
        <v>-369.08870000000002</v>
      </c>
      <c r="K4196">
        <v>1.1200509999999999</v>
      </c>
      <c r="L4196">
        <v>215.6848</v>
      </c>
      <c r="M4196">
        <v>0.99973190000000001</v>
      </c>
      <c r="N4196">
        <v>-8.5182460000000002E-3</v>
      </c>
      <c r="O4196">
        <v>2.1534359999999999E-2</v>
      </c>
      <c r="P4196">
        <v>0.99686059999999999</v>
      </c>
      <c r="Q4196">
        <v>-7.6914170000000004E-2</v>
      </c>
      <c r="R4196">
        <v>1.879923E-2</v>
      </c>
      <c r="S4196">
        <v>3.0068969999999999</v>
      </c>
      <c r="T4196">
        <v>-5.560565E-2</v>
      </c>
      <c r="U4196">
        <v>-9.2544559999999998E-2</v>
      </c>
      <c r="V4196">
        <v>2.6701799999999999E-3</v>
      </c>
      <c r="W4196">
        <v>-6.8418499999999993E-2</v>
      </c>
      <c r="X4196">
        <v>0.99765309999999996</v>
      </c>
      <c r="Y4196">
        <v>5.2266559999999997E-2</v>
      </c>
      <c r="Z4196">
        <v>-9.2054180000000004E-4</v>
      </c>
      <c r="AA4196">
        <v>0.99863270000000004</v>
      </c>
      <c r="AB4196">
        <v>36</v>
      </c>
      <c r="AC4196">
        <v>60.194600000000001</v>
      </c>
      <c r="AD4196">
        <v>-1.1200499244119999</v>
      </c>
      <c r="AE4196">
        <v>-1.8720999999999799</v>
      </c>
      <c r="AF4196">
        <v>3.1668695649024001</v>
      </c>
      <c r="AG4196">
        <v>-1.1200499244119999</v>
      </c>
      <c r="AH4196">
        <v>60.119529624217598</v>
      </c>
      <c r="AI4196">
        <v>91.065841527088594</v>
      </c>
      <c r="AJ4196">
        <v>86.984661827163706</v>
      </c>
      <c r="AK4196">
        <v>60.213299335873202</v>
      </c>
      <c r="AL4196">
        <v>93.923156274787601</v>
      </c>
      <c r="AM4196">
        <v>89.846650424651699</v>
      </c>
      <c r="AN4196">
        <v>0.99999996447154504</v>
      </c>
    </row>
    <row r="4197" spans="1:40" x14ac:dyDescent="0.25">
      <c r="A4197" t="str">
        <f>"20190303154220139"</f>
        <v>20190303154220139</v>
      </c>
      <c r="B4197" t="str">
        <f>"1551598940133939"</f>
        <v>1551598940133939</v>
      </c>
      <c r="C4197" t="s">
        <v>40</v>
      </c>
      <c r="D4197">
        <v>5.2525440000000003</v>
      </c>
      <c r="E4197">
        <v>0.519675</v>
      </c>
      <c r="F4197" t="s">
        <v>51</v>
      </c>
      <c r="G4197">
        <v>-309.47879999999998</v>
      </c>
      <c r="H4197" s="1">
        <v>9.7188110000000001E-7</v>
      </c>
      <c r="I4197">
        <v>213.80420000000001</v>
      </c>
      <c r="J4197">
        <v>-368.76170000000002</v>
      </c>
      <c r="K4197">
        <v>1.1200509999999999</v>
      </c>
      <c r="L4197">
        <v>215.6918</v>
      </c>
      <c r="M4197">
        <v>0.99973160000000005</v>
      </c>
      <c r="N4197">
        <v>-8.5445899999999995E-3</v>
      </c>
      <c r="O4197">
        <v>2.1535080000000002E-2</v>
      </c>
      <c r="P4197">
        <v>0.99686229999999998</v>
      </c>
      <c r="Q4197">
        <v>-7.7048169999999999E-2</v>
      </c>
      <c r="R4197">
        <v>1.8148689999999999E-2</v>
      </c>
      <c r="S4197">
        <v>3.006866</v>
      </c>
      <c r="T4197">
        <v>-5.6498050000000001E-2</v>
      </c>
      <c r="U4197">
        <v>-9.4863890000000006E-2</v>
      </c>
      <c r="V4197">
        <v>3.321259E-3</v>
      </c>
      <c r="W4197">
        <v>-6.8526340000000005E-2</v>
      </c>
      <c r="X4197">
        <v>0.99764379999999997</v>
      </c>
      <c r="Y4197">
        <v>5.30365E-2</v>
      </c>
      <c r="Z4197">
        <v>-9.4533819999999995E-4</v>
      </c>
      <c r="AA4197">
        <v>0.99859209999999998</v>
      </c>
      <c r="AB4197">
        <v>36</v>
      </c>
      <c r="AC4197">
        <v>59.282899999999998</v>
      </c>
      <c r="AD4197">
        <v>-1.1200500281188901</v>
      </c>
      <c r="AE4197">
        <v>-1.88759999999999</v>
      </c>
      <c r="AF4197">
        <v>3.16274297552929</v>
      </c>
      <c r="AG4197">
        <v>-1.1200500281188901</v>
      </c>
      <c r="AH4197">
        <v>59.2073867041277</v>
      </c>
      <c r="AI4197">
        <v>91.082215538179</v>
      </c>
      <c r="AJ4197">
        <v>86.942277529001899</v>
      </c>
      <c r="AK4197">
        <v>59.302378498057401</v>
      </c>
      <c r="AL4197">
        <v>93.929349365613703</v>
      </c>
      <c r="AM4197">
        <v>89.809257151330698</v>
      </c>
      <c r="AN4197">
        <v>1.0000000208567901</v>
      </c>
    </row>
    <row r="4198" spans="1:40" x14ac:dyDescent="0.25">
      <c r="A4198" t="str">
        <f>"20190303154220163"</f>
        <v>20190303154220163</v>
      </c>
      <c r="B4198" t="str">
        <f>"1551598940153462"</f>
        <v>1551598940153462</v>
      </c>
      <c r="C4198" t="s">
        <v>40</v>
      </c>
      <c r="D4198">
        <v>5.285882</v>
      </c>
      <c r="E4198">
        <v>0.51962039999999998</v>
      </c>
      <c r="F4198" t="s">
        <v>51</v>
      </c>
      <c r="G4198">
        <v>-308.61259999999999</v>
      </c>
      <c r="H4198" s="1">
        <v>1.1255179999999999E-6</v>
      </c>
      <c r="I4198">
        <v>213.7499</v>
      </c>
      <c r="J4198">
        <v>-368.37130000000002</v>
      </c>
      <c r="K4198">
        <v>1.1200490000000001</v>
      </c>
      <c r="L4198">
        <v>215.7002</v>
      </c>
      <c r="M4198">
        <v>0.99973129999999999</v>
      </c>
      <c r="N4198">
        <v>-8.573064E-3</v>
      </c>
      <c r="O4198">
        <v>2.153542E-2</v>
      </c>
      <c r="P4198">
        <v>0.99680489999999999</v>
      </c>
      <c r="Q4198">
        <v>-7.790656E-2</v>
      </c>
      <c r="R4198">
        <v>1.762157E-2</v>
      </c>
      <c r="S4198">
        <v>3.0069270000000001</v>
      </c>
      <c r="T4198">
        <v>-5.5992720000000003E-2</v>
      </c>
      <c r="U4198">
        <v>-9.7076419999999997E-2</v>
      </c>
      <c r="V4198">
        <v>3.847526E-3</v>
      </c>
      <c r="W4198">
        <v>-6.9356899999999999E-2</v>
      </c>
      <c r="X4198">
        <v>0.99758449999999999</v>
      </c>
      <c r="Y4198">
        <v>5.3770270000000002E-2</v>
      </c>
      <c r="Z4198">
        <v>-9.4736509999999996E-4</v>
      </c>
      <c r="AA4198">
        <v>0.99855289999999997</v>
      </c>
      <c r="AB4198">
        <v>36</v>
      </c>
      <c r="AC4198">
        <v>59.758699999999997</v>
      </c>
      <c r="AD4198">
        <v>-1.1200478744819999</v>
      </c>
      <c r="AE4198">
        <v>-1.9502999999999899</v>
      </c>
      <c r="AF4198">
        <v>3.2356882307077801</v>
      </c>
      <c r="AG4198">
        <v>-1.1200478744819999</v>
      </c>
      <c r="AH4198">
        <v>59.681894432483404</v>
      </c>
      <c r="AI4198">
        <v>91.0735652828631</v>
      </c>
      <c r="AJ4198">
        <v>86.896714507628801</v>
      </c>
      <c r="AK4198">
        <v>59.780036037272197</v>
      </c>
      <c r="AL4198">
        <v>93.977050491890694</v>
      </c>
      <c r="AM4198">
        <v>89.779020315261604</v>
      </c>
      <c r="AN4198">
        <v>1.0000000088370899</v>
      </c>
    </row>
    <row r="4199" spans="1:40" x14ac:dyDescent="0.25">
      <c r="A4199" t="str">
        <f>"20190303154220184"</f>
        <v>20190303154220184</v>
      </c>
      <c r="B4199" t="str">
        <f>"1551598940173955"</f>
        <v>1551598940173955</v>
      </c>
      <c r="C4199" t="s">
        <v>40</v>
      </c>
      <c r="D4199">
        <v>5.329313</v>
      </c>
      <c r="E4199">
        <v>0.51955260000000003</v>
      </c>
      <c r="F4199" t="s">
        <v>51</v>
      </c>
      <c r="G4199">
        <v>-310.03129999999999</v>
      </c>
      <c r="H4199" s="1">
        <v>9.1950329999999995E-7</v>
      </c>
      <c r="I4199">
        <v>213.79839999999999</v>
      </c>
      <c r="J4199">
        <v>-368.01949999999999</v>
      </c>
      <c r="K4199">
        <v>1.120045</v>
      </c>
      <c r="L4199">
        <v>215.70779999999999</v>
      </c>
      <c r="M4199">
        <v>0.99973120000000004</v>
      </c>
      <c r="N4199">
        <v>-8.5966180000000003E-3</v>
      </c>
      <c r="O4199">
        <v>2.1535970000000002E-2</v>
      </c>
      <c r="P4199">
        <v>0.99675069999999999</v>
      </c>
      <c r="Q4199">
        <v>-7.8631709999999994E-2</v>
      </c>
      <c r="R4199">
        <v>1.7468620000000001E-2</v>
      </c>
      <c r="S4199">
        <v>3.0068359999999998</v>
      </c>
      <c r="T4199">
        <v>-5.7727100000000003E-2</v>
      </c>
      <c r="U4199">
        <v>-9.8022460000000006E-2</v>
      </c>
      <c r="V4199">
        <v>3.9996670000000002E-3</v>
      </c>
      <c r="W4199">
        <v>-7.005902E-2</v>
      </c>
      <c r="X4199">
        <v>0.99753480000000005</v>
      </c>
      <c r="Y4199">
        <v>5.4084710000000001E-2</v>
      </c>
      <c r="Z4199">
        <v>-9.7980969999999991E-4</v>
      </c>
      <c r="AA4199">
        <v>0.99853590000000003</v>
      </c>
      <c r="AB4199">
        <v>36</v>
      </c>
      <c r="AC4199">
        <v>57.988199999999999</v>
      </c>
      <c r="AD4199">
        <v>-1.1200440804967</v>
      </c>
      <c r="AE4199">
        <v>-1.9094</v>
      </c>
      <c r="AF4199">
        <v>3.1566589231211402</v>
      </c>
      <c r="AG4199">
        <v>-1.1200440804967</v>
      </c>
      <c r="AH4199">
        <v>57.912045866045702</v>
      </c>
      <c r="AI4199">
        <v>91.1063451834642</v>
      </c>
      <c r="AJ4199">
        <v>86.880019889178797</v>
      </c>
      <c r="AK4199">
        <v>58.008827351448403</v>
      </c>
      <c r="AL4199">
        <v>94.017377256534701</v>
      </c>
      <c r="AM4199">
        <v>89.770270861209497</v>
      </c>
      <c r="AN4199">
        <v>0.99999997041525501</v>
      </c>
    </row>
    <row r="4200" spans="1:40" x14ac:dyDescent="0.25">
      <c r="A4200" t="str">
        <f>"20190303154220207"</f>
        <v>20190303154220207</v>
      </c>
      <c r="B4200" t="str">
        <f>"1551598940204211"</f>
        <v>1551598940204211</v>
      </c>
      <c r="C4200" t="s">
        <v>40</v>
      </c>
      <c r="D4200">
        <v>5.3297499999999998</v>
      </c>
      <c r="E4200">
        <v>0.51949040000000002</v>
      </c>
      <c r="F4200" t="s">
        <v>51</v>
      </c>
      <c r="G4200">
        <v>-310.37819999999999</v>
      </c>
      <c r="H4200" s="1">
        <v>1.073347E-6</v>
      </c>
      <c r="I4200">
        <v>213.8355</v>
      </c>
      <c r="J4200">
        <v>-367.65289999999999</v>
      </c>
      <c r="K4200">
        <v>1.120047</v>
      </c>
      <c r="L4200">
        <v>215.7157</v>
      </c>
      <c r="M4200">
        <v>0.99973100000000004</v>
      </c>
      <c r="N4200">
        <v>-8.6190680000000006E-3</v>
      </c>
      <c r="O4200">
        <v>2.1537069999999998E-2</v>
      </c>
      <c r="P4200">
        <v>0.99669560000000001</v>
      </c>
      <c r="Q4200">
        <v>-7.9080540000000005E-2</v>
      </c>
      <c r="R4200">
        <v>1.85588E-2</v>
      </c>
      <c r="S4200">
        <v>3.0068969999999999</v>
      </c>
      <c r="T4200">
        <v>-5.8427809999999997E-2</v>
      </c>
      <c r="U4200">
        <v>-9.7671510000000003E-2</v>
      </c>
      <c r="V4200">
        <v>2.9095060000000001E-3</v>
      </c>
      <c r="W4200">
        <v>-7.048567E-2</v>
      </c>
      <c r="X4200">
        <v>0.99750850000000002</v>
      </c>
      <c r="Y4200">
        <v>5.39684E-2</v>
      </c>
      <c r="Z4200">
        <v>-9.8961170000000007E-4</v>
      </c>
      <c r="AA4200">
        <v>0.99854209999999999</v>
      </c>
      <c r="AB4200">
        <v>36</v>
      </c>
      <c r="AC4200">
        <v>57.274700000000003</v>
      </c>
      <c r="AD4200">
        <v>-1.1200459266530001</v>
      </c>
      <c r="AE4200">
        <v>-1.8802000000000001</v>
      </c>
      <c r="AF4200">
        <v>3.1121498910449401</v>
      </c>
      <c r="AG4200">
        <v>-1.1200459266530001</v>
      </c>
      <c r="AH4200">
        <v>57.199067880584003</v>
      </c>
      <c r="AI4200">
        <v>91.120139969795602</v>
      </c>
      <c r="AJ4200">
        <v>86.885658873886598</v>
      </c>
      <c r="AK4200">
        <v>57.2946188243695</v>
      </c>
      <c r="AL4200">
        <v>94.0418831616809</v>
      </c>
      <c r="AM4200">
        <v>89.832881683187097</v>
      </c>
      <c r="AN4200">
        <v>0.99999995123637997</v>
      </c>
    </row>
    <row r="4201" spans="1:40" x14ac:dyDescent="0.25">
      <c r="A4201" t="str">
        <f>"20190303154220230"</f>
        <v>20190303154220230</v>
      </c>
      <c r="B4201" t="str">
        <f>"1551598940223731"</f>
        <v>1551598940223731</v>
      </c>
      <c r="C4201" t="s">
        <v>40</v>
      </c>
      <c r="D4201">
        <v>5.3244339999999903</v>
      </c>
      <c r="E4201">
        <v>0.51943950000000005</v>
      </c>
      <c r="F4201" t="s">
        <v>51</v>
      </c>
      <c r="G4201">
        <v>-310.27269999999999</v>
      </c>
      <c r="H4201" s="1">
        <v>1.0265850000000001E-6</v>
      </c>
      <c r="I4201">
        <v>213.9256</v>
      </c>
      <c r="J4201">
        <v>-367.28469999999999</v>
      </c>
      <c r="K4201">
        <v>1.1200479999999999</v>
      </c>
      <c r="L4201">
        <v>215.7236</v>
      </c>
      <c r="M4201">
        <v>0.99973080000000003</v>
      </c>
      <c r="N4201">
        <v>-8.639786E-3</v>
      </c>
      <c r="O4201">
        <v>2.153679E-2</v>
      </c>
      <c r="P4201">
        <v>0.99666849999999996</v>
      </c>
      <c r="Q4201">
        <v>-7.9282920000000007E-2</v>
      </c>
      <c r="R4201">
        <v>1.9136190000000001E-2</v>
      </c>
      <c r="S4201">
        <v>3.00705</v>
      </c>
      <c r="T4201">
        <v>-5.8696869999999998E-2</v>
      </c>
      <c r="U4201">
        <v>-9.3811039999999998E-2</v>
      </c>
      <c r="V4201">
        <v>2.331446E-3</v>
      </c>
      <c r="W4201">
        <v>-7.0667489999999999E-2</v>
      </c>
      <c r="X4201">
        <v>0.99749719999999997</v>
      </c>
      <c r="Y4201">
        <v>5.2686009999999998E-2</v>
      </c>
      <c r="Z4201">
        <v>-9.7596840000000005E-4</v>
      </c>
      <c r="AA4201">
        <v>0.99861069999999996</v>
      </c>
      <c r="AB4201">
        <v>36</v>
      </c>
      <c r="AC4201">
        <v>57.012</v>
      </c>
      <c r="AD4201">
        <v>-1.120046973415</v>
      </c>
      <c r="AE4201">
        <v>-1.798</v>
      </c>
      <c r="AF4201">
        <v>3.02431804289622</v>
      </c>
      <c r="AG4201">
        <v>-1.120046973415</v>
      </c>
      <c r="AH4201">
        <v>56.938096985232299</v>
      </c>
      <c r="AI4201">
        <v>91.125351762646304</v>
      </c>
      <c r="AJ4201">
        <v>86.959540528906899</v>
      </c>
      <c r="AK4201">
        <v>57.029359922297601</v>
      </c>
      <c r="AL4201">
        <v>94.052326537942406</v>
      </c>
      <c r="AM4201">
        <v>89.866083059969696</v>
      </c>
      <c r="AN4201">
        <v>0.99999999689559504</v>
      </c>
    </row>
    <row r="4202" spans="1:40" x14ac:dyDescent="0.25">
      <c r="A4202" t="str">
        <f>"20190303154220253"</f>
        <v>20190303154220253</v>
      </c>
      <c r="B4202" t="str">
        <f>"1551598940244228"</f>
        <v>1551598940244228</v>
      </c>
      <c r="C4202" t="s">
        <v>40</v>
      </c>
      <c r="D4202">
        <v>5.3721870000000003</v>
      </c>
      <c r="E4202">
        <v>0.51939279999999999</v>
      </c>
      <c r="F4202" t="s">
        <v>51</v>
      </c>
      <c r="G4202">
        <v>-310.2921</v>
      </c>
      <c r="H4202" s="1">
        <v>1.0351860000000001E-6</v>
      </c>
      <c r="I4202">
        <v>213.99279999999999</v>
      </c>
      <c r="J4202">
        <v>-366.90710000000001</v>
      </c>
      <c r="K4202">
        <v>1.1200460000000001</v>
      </c>
      <c r="L4202">
        <v>215.73179999999999</v>
      </c>
      <c r="M4202">
        <v>0.99973080000000003</v>
      </c>
      <c r="N4202">
        <v>-8.6596179999999991E-3</v>
      </c>
      <c r="O4202">
        <v>2.1529690000000001E-2</v>
      </c>
      <c r="P4202">
        <v>0.99666319999999997</v>
      </c>
      <c r="Q4202">
        <v>-7.906879E-2</v>
      </c>
      <c r="R4202">
        <v>2.0275390000000001E-2</v>
      </c>
      <c r="S4202">
        <v>3.0070800000000002</v>
      </c>
      <c r="T4202">
        <v>-5.909669E-2</v>
      </c>
      <c r="U4202">
        <v>-9.1323849999999998E-2</v>
      </c>
      <c r="V4202">
        <v>1.1845409999999999E-3</v>
      </c>
      <c r="W4202">
        <v>-7.0433399999999993E-2</v>
      </c>
      <c r="X4202">
        <v>0.99751579999999995</v>
      </c>
      <c r="Y4202">
        <v>5.1853450000000002E-2</v>
      </c>
      <c r="Z4202">
        <v>-9.7056110000000003E-4</v>
      </c>
      <c r="AA4202">
        <v>0.99865420000000005</v>
      </c>
      <c r="AB4202">
        <v>37</v>
      </c>
      <c r="AC4202">
        <v>56.615000000000002</v>
      </c>
      <c r="AD4202">
        <v>-1.1200449648139901</v>
      </c>
      <c r="AE4202">
        <v>-1.7390000000000001</v>
      </c>
      <c r="AF4202">
        <v>2.9563898689332002</v>
      </c>
      <c r="AG4202">
        <v>-1.1200449648139901</v>
      </c>
      <c r="AH4202">
        <v>56.5423255122396</v>
      </c>
      <c r="AI4202">
        <v>91.133274047943303</v>
      </c>
      <c r="AJ4202">
        <v>87.006940346023299</v>
      </c>
      <c r="AK4202">
        <v>56.6306393758043</v>
      </c>
      <c r="AL4202">
        <v>94.038880574713303</v>
      </c>
      <c r="AM4202">
        <v>89.9319618114734</v>
      </c>
      <c r="AN4202">
        <v>1.0000000191112901</v>
      </c>
    </row>
    <row r="4203" spans="1:40" x14ac:dyDescent="0.25">
      <c r="A4203" t="str">
        <f>"20190303154220277"</f>
        <v>20190303154220277</v>
      </c>
      <c r="B4203" t="str">
        <f>"1551598940273507"</f>
        <v>1551598940273507</v>
      </c>
      <c r="C4203" t="s">
        <v>40</v>
      </c>
      <c r="D4203">
        <v>5.4287830000000001</v>
      </c>
      <c r="E4203">
        <v>0.51922570000000001</v>
      </c>
      <c r="F4203" t="s">
        <v>51</v>
      </c>
      <c r="G4203">
        <v>-308.67970000000003</v>
      </c>
      <c r="H4203" s="1">
        <v>1.1136180000000001E-6</v>
      </c>
      <c r="I4203">
        <v>214.03479999999999</v>
      </c>
      <c r="J4203">
        <v>-366.5274</v>
      </c>
      <c r="K4203">
        <v>1.120039</v>
      </c>
      <c r="L4203">
        <v>215.74</v>
      </c>
      <c r="M4203">
        <v>0.99973109999999998</v>
      </c>
      <c r="N4203">
        <v>-8.6780809999999903E-3</v>
      </c>
      <c r="O4203">
        <v>2.1503270000000001E-2</v>
      </c>
      <c r="P4203">
        <v>0.9966971</v>
      </c>
      <c r="Q4203">
        <v>-7.8379619999999997E-2</v>
      </c>
      <c r="R4203">
        <v>2.1243339999999999E-2</v>
      </c>
      <c r="S4203">
        <v>3.0072329999999998</v>
      </c>
      <c r="T4203">
        <v>-5.7846309999999998E-2</v>
      </c>
      <c r="U4203">
        <v>-8.7646479999999999E-2</v>
      </c>
      <c r="V4203">
        <v>1.8958549999999999E-4</v>
      </c>
      <c r="W4203">
        <v>-6.9725330000000002E-2</v>
      </c>
      <c r="X4203">
        <v>0.99756619999999996</v>
      </c>
      <c r="Y4203">
        <v>5.06063E-2</v>
      </c>
      <c r="Z4203">
        <v>-9.3319490000000002E-4</v>
      </c>
      <c r="AA4203">
        <v>0.99871829999999995</v>
      </c>
      <c r="AB4203">
        <v>37</v>
      </c>
      <c r="AC4203">
        <v>57.847699999999897</v>
      </c>
      <c r="AD4203">
        <v>-1.120037886382</v>
      </c>
      <c r="AE4203">
        <v>-1.70520000000001</v>
      </c>
      <c r="AF4203">
        <v>2.9476631984466501</v>
      </c>
      <c r="AG4203">
        <v>-1.120037886382</v>
      </c>
      <c r="AH4203">
        <v>57.7760142549064</v>
      </c>
      <c r="AI4203">
        <v>91.109146801238495</v>
      </c>
      <c r="AJ4203">
        <v>87.079370101442905</v>
      </c>
      <c r="AK4203">
        <v>57.861999847754703</v>
      </c>
      <c r="AL4203">
        <v>93.998211277627604</v>
      </c>
      <c r="AM4203">
        <v>89.989111049596403</v>
      </c>
      <c r="AN4203">
        <v>0.99999999048435495</v>
      </c>
    </row>
    <row r="4204" spans="1:40" x14ac:dyDescent="0.25">
      <c r="A4204" t="str">
        <f>"20190303154220299"</f>
        <v>20190303154220299</v>
      </c>
      <c r="B4204" t="str">
        <f>"1551598940294004"</f>
        <v>1551598940294004</v>
      </c>
      <c r="C4204" t="s">
        <v>40</v>
      </c>
      <c r="D4204">
        <v>5.4648089999999998</v>
      </c>
      <c r="E4204">
        <v>0.50874410000000003</v>
      </c>
      <c r="F4204" t="s">
        <v>51</v>
      </c>
      <c r="G4204">
        <v>-305.65910000000002</v>
      </c>
      <c r="H4204" s="1">
        <v>1.649422E-6</v>
      </c>
      <c r="I4204">
        <v>214.0581</v>
      </c>
      <c r="J4204">
        <v>-366.17129999999997</v>
      </c>
      <c r="K4204">
        <v>1.12002</v>
      </c>
      <c r="L4204">
        <v>215.74760000000001</v>
      </c>
      <c r="M4204">
        <v>0.99973219999999996</v>
      </c>
      <c r="N4204">
        <v>-8.6942389999999994E-3</v>
      </c>
      <c r="O4204">
        <v>2.1447310000000001E-2</v>
      </c>
      <c r="P4204">
        <v>0.99666699999999997</v>
      </c>
      <c r="Q4204">
        <v>-7.8439499999999995E-2</v>
      </c>
      <c r="R4204">
        <v>2.241077E-2</v>
      </c>
      <c r="S4204">
        <v>3.0073850000000002</v>
      </c>
      <c r="T4204">
        <v>-5.5338859999999997E-2</v>
      </c>
      <c r="U4204">
        <v>-8.3099370000000006E-2</v>
      </c>
      <c r="V4204">
        <v>-1.037273E-3</v>
      </c>
      <c r="W4204">
        <v>-6.9768999999999998E-2</v>
      </c>
      <c r="X4204">
        <v>0.99756259999999997</v>
      </c>
      <c r="Y4204">
        <v>4.9041580000000001E-2</v>
      </c>
      <c r="Z4204">
        <v>-8.7246839999999997E-4</v>
      </c>
      <c r="AA4204">
        <v>0.99879629999999997</v>
      </c>
      <c r="AB4204">
        <v>37</v>
      </c>
      <c r="AC4204">
        <v>60.512199999999901</v>
      </c>
      <c r="AD4204">
        <v>-1.1200183505779999</v>
      </c>
      <c r="AE4204">
        <v>-1.6895</v>
      </c>
      <c r="AF4204">
        <v>2.9859621466181401</v>
      </c>
      <c r="AG4204">
        <v>-1.1200183505779999</v>
      </c>
      <c r="AH4204">
        <v>60.441353348449503</v>
      </c>
      <c r="AI4204">
        <v>91.060314451239606</v>
      </c>
      <c r="AJ4204">
        <v>87.171736900844294</v>
      </c>
      <c r="AK4204">
        <v>60.525429413088801</v>
      </c>
      <c r="AL4204">
        <v>94.000719594287105</v>
      </c>
      <c r="AM4204">
        <v>90.059576555580406</v>
      </c>
      <c r="AN4204">
        <v>0.99999996510751699</v>
      </c>
    </row>
    <row r="4205" spans="1:40" x14ac:dyDescent="0.25">
      <c r="A4205" t="str">
        <f>"20190303154220321"</f>
        <v>20190303154220321</v>
      </c>
      <c r="B4205" t="str">
        <f>"1551598940314029"</f>
        <v>1551598940314029</v>
      </c>
      <c r="C4205" t="s">
        <v>40</v>
      </c>
      <c r="D4205">
        <v>5.4887790000000001</v>
      </c>
      <c r="E4205">
        <v>0.50993290000000002</v>
      </c>
      <c r="F4205" t="s">
        <v>50</v>
      </c>
      <c r="G4205">
        <v>-337.5102</v>
      </c>
      <c r="H4205" s="1">
        <v>2.4095680000000002E-6</v>
      </c>
      <c r="I4205">
        <v>215.76419999999999</v>
      </c>
      <c r="J4205">
        <v>-365.79149999999998</v>
      </c>
      <c r="K4205">
        <v>1.119996</v>
      </c>
      <c r="L4205">
        <v>215.75569999999999</v>
      </c>
      <c r="M4205">
        <v>0.99973409999999996</v>
      </c>
      <c r="N4205">
        <v>-8.7104460000000002E-3</v>
      </c>
      <c r="O4205">
        <v>2.1356239999999999E-2</v>
      </c>
      <c r="P4205">
        <v>0.9966256</v>
      </c>
      <c r="Q4205">
        <v>-7.8842300000000004E-2</v>
      </c>
      <c r="R4205">
        <v>2.2835149999999999E-2</v>
      </c>
      <c r="S4205">
        <v>3.0007929999999998</v>
      </c>
      <c r="T4205">
        <v>-0.1172647</v>
      </c>
      <c r="U4205">
        <v>1.739502E-3</v>
      </c>
      <c r="V4205">
        <v>-1.558095E-3</v>
      </c>
      <c r="W4205">
        <v>-7.0155690000000007E-2</v>
      </c>
      <c r="X4205">
        <v>0.99753480000000005</v>
      </c>
      <c r="Y4205">
        <v>2.0748289999999999E-2</v>
      </c>
      <c r="Z4205">
        <v>-1.1438609999999999E-3</v>
      </c>
      <c r="AA4205">
        <v>0.99978409999999995</v>
      </c>
      <c r="AB4205">
        <v>37</v>
      </c>
      <c r="AC4205">
        <v>28.281299999999899</v>
      </c>
      <c r="AD4205">
        <v>-1.119993590432</v>
      </c>
      <c r="AE4205">
        <v>8.4999999999979502E-3</v>
      </c>
      <c r="AF4205">
        <v>0.59457453503713897</v>
      </c>
      <c r="AG4205">
        <v>-1.119993590432</v>
      </c>
      <c r="AH4205">
        <v>28.230756299857699</v>
      </c>
      <c r="AI4205">
        <v>92.2713902797164</v>
      </c>
      <c r="AJ4205">
        <v>88.793458616428893</v>
      </c>
      <c r="AK4205">
        <v>28.259219836759002</v>
      </c>
      <c r="AL4205">
        <v>94.022929732227396</v>
      </c>
      <c r="AM4205">
        <v>90.089492812663906</v>
      </c>
      <c r="AN4205">
        <v>0.99999996285522097</v>
      </c>
    </row>
    <row r="4206" spans="1:40" x14ac:dyDescent="0.25">
      <c r="A4206" t="str">
        <f>"20190303154220343"</f>
        <v>20190303154220343</v>
      </c>
      <c r="B4206" t="str">
        <f>"1551598940333549"</f>
        <v>1551598940333549</v>
      </c>
      <c r="C4206" t="s">
        <v>40</v>
      </c>
      <c r="D4206">
        <v>5.4629190000000003</v>
      </c>
      <c r="E4206">
        <v>0.51036139999999997</v>
      </c>
      <c r="F4206" t="s">
        <v>50</v>
      </c>
      <c r="G4206">
        <v>-335.94139999999999</v>
      </c>
      <c r="H4206" s="1">
        <v>1.5778979999999999E-6</v>
      </c>
      <c r="I4206">
        <v>215.6919</v>
      </c>
      <c r="J4206">
        <v>-365.44</v>
      </c>
      <c r="K4206">
        <v>1.1199619999999999</v>
      </c>
      <c r="L4206">
        <v>215.76310000000001</v>
      </c>
      <c r="M4206">
        <v>0.99973639999999997</v>
      </c>
      <c r="N4206">
        <v>-8.7246319999999995E-3</v>
      </c>
      <c r="O4206">
        <v>2.123713E-2</v>
      </c>
      <c r="P4206">
        <v>0.99659580000000003</v>
      </c>
      <c r="Q4206">
        <v>-7.9254430000000001E-2</v>
      </c>
      <c r="R4206">
        <v>2.2704519999999999E-2</v>
      </c>
      <c r="S4206">
        <v>3.001404</v>
      </c>
      <c r="T4206">
        <v>-0.1126144</v>
      </c>
      <c r="U4206">
        <v>-6.4086909999999898E-3</v>
      </c>
      <c r="V4206">
        <v>-1.551867E-3</v>
      </c>
      <c r="W4206">
        <v>-7.0553840000000007E-2</v>
      </c>
      <c r="X4206">
        <v>0.99750669999999997</v>
      </c>
      <c r="Y4206">
        <v>2.3343590000000001E-2</v>
      </c>
      <c r="Z4206">
        <v>-1.150915E-3</v>
      </c>
      <c r="AA4206">
        <v>0.99972680000000003</v>
      </c>
      <c r="AB4206">
        <v>37</v>
      </c>
      <c r="AC4206">
        <v>29.4986</v>
      </c>
      <c r="AD4206">
        <v>-1.1199604221019901</v>
      </c>
      <c r="AE4206">
        <v>-7.1200000000004496E-2</v>
      </c>
      <c r="AF4206">
        <v>0.69666917207754497</v>
      </c>
      <c r="AG4206">
        <v>-1.1199604221019901</v>
      </c>
      <c r="AH4206">
        <v>29.447986594182598</v>
      </c>
      <c r="AI4206">
        <v>92.177404214320006</v>
      </c>
      <c r="AJ4206">
        <v>88.644771219090501</v>
      </c>
      <c r="AK4206">
        <v>29.477509625705501</v>
      </c>
      <c r="AL4206">
        <v>94.045798830981994</v>
      </c>
      <c r="AM4206">
        <v>90.089137604519706</v>
      </c>
      <c r="AN4206">
        <v>0.99999993458740799</v>
      </c>
    </row>
    <row r="4207" spans="1:40" x14ac:dyDescent="0.25">
      <c r="A4207" t="str">
        <f>"20190303154220363"</f>
        <v>20190303154220363</v>
      </c>
      <c r="B4207" t="str">
        <f>"1551598940354049"</f>
        <v>1551598940354049</v>
      </c>
      <c r="C4207" t="s">
        <v>40</v>
      </c>
      <c r="D4207">
        <v>5.5064760000000001</v>
      </c>
      <c r="E4207">
        <v>0.50927879999999903</v>
      </c>
      <c r="F4207" t="s">
        <v>50</v>
      </c>
      <c r="G4207">
        <v>-335.18799999999999</v>
      </c>
      <c r="H4207" s="1">
        <v>1.178168E-6</v>
      </c>
      <c r="I4207">
        <v>215.66480000000001</v>
      </c>
      <c r="J4207">
        <v>-365.09019999999998</v>
      </c>
      <c r="K4207">
        <v>1.119931</v>
      </c>
      <c r="L4207">
        <v>215.77029999999999</v>
      </c>
      <c r="M4207">
        <v>0.99973979999999996</v>
      </c>
      <c r="N4207">
        <v>-8.7380089999999997E-3</v>
      </c>
      <c r="O4207">
        <v>2.1076069999999999E-2</v>
      </c>
      <c r="P4207">
        <v>0.99655910000000003</v>
      </c>
      <c r="Q4207">
        <v>-7.9689830000000003E-2</v>
      </c>
      <c r="R4207">
        <v>2.2798220000000001E-2</v>
      </c>
      <c r="S4207">
        <v>3.0016479999999999</v>
      </c>
      <c r="T4207">
        <v>-0.111124</v>
      </c>
      <c r="U4207">
        <v>-9.7503659999999999E-3</v>
      </c>
      <c r="V4207">
        <v>-1.8129439999999999E-3</v>
      </c>
      <c r="W4207">
        <v>-7.0975960000000005E-2</v>
      </c>
      <c r="X4207">
        <v>0.99747640000000004</v>
      </c>
      <c r="Y4207">
        <v>2.4295359999999998E-2</v>
      </c>
      <c r="Z4207">
        <v>-1.1515830000000001E-3</v>
      </c>
      <c r="AA4207">
        <v>0.99970420000000004</v>
      </c>
      <c r="AB4207">
        <v>37</v>
      </c>
      <c r="AC4207">
        <v>29.902199999999901</v>
      </c>
      <c r="AD4207">
        <v>-1.119929821832</v>
      </c>
      <c r="AE4207">
        <v>-0.105499999999977</v>
      </c>
      <c r="AF4207">
        <v>0.73469085256373801</v>
      </c>
      <c r="AG4207">
        <v>-1.119929821832</v>
      </c>
      <c r="AH4207">
        <v>29.851460718310399</v>
      </c>
      <c r="AI4207">
        <v>92.147894034947697</v>
      </c>
      <c r="AJ4207">
        <v>88.590146416448206</v>
      </c>
      <c r="AK4207">
        <v>29.8814946157568</v>
      </c>
      <c r="AL4207">
        <v>94.070044959853305</v>
      </c>
      <c r="AM4207">
        <v>90.104136724752493</v>
      </c>
      <c r="AN4207">
        <v>1.0000000211104101</v>
      </c>
    </row>
    <row r="4208" spans="1:40" x14ac:dyDescent="0.25">
      <c r="A4208" t="str">
        <f>"20190303154220386"</f>
        <v>20190303154220386</v>
      </c>
      <c r="B4208" t="str">
        <f>"1551598940373565"</f>
        <v>1551598940373565</v>
      </c>
      <c r="C4208" t="s">
        <v>40</v>
      </c>
      <c r="D4208">
        <v>5.4890429999999997</v>
      </c>
      <c r="E4208">
        <v>0.50982039999999995</v>
      </c>
      <c r="F4208" t="s">
        <v>50</v>
      </c>
      <c r="G4208">
        <v>-335.1592</v>
      </c>
      <c r="H4208" s="1">
        <v>1.1587809999999999E-6</v>
      </c>
      <c r="I4208">
        <v>215.7585</v>
      </c>
      <c r="J4208">
        <v>-364.72399999999999</v>
      </c>
      <c r="K4208">
        <v>1.119893</v>
      </c>
      <c r="L4208">
        <v>215.77789999999999</v>
      </c>
      <c r="M4208">
        <v>0.99974419999999997</v>
      </c>
      <c r="N4208">
        <v>-8.7513609999999992E-3</v>
      </c>
      <c r="O4208">
        <v>2.0858740000000001E-2</v>
      </c>
      <c r="P4208">
        <v>0.99655590000000005</v>
      </c>
      <c r="Q4208">
        <v>-7.9712519999999995E-2</v>
      </c>
      <c r="R4208">
        <v>2.2856330000000001E-2</v>
      </c>
      <c r="S4208">
        <v>3.0013730000000001</v>
      </c>
      <c r="T4208">
        <v>-0.1123025</v>
      </c>
      <c r="U4208">
        <v>-1.190186E-3</v>
      </c>
      <c r="V4208">
        <v>-2.0945170000000002E-3</v>
      </c>
      <c r="W4208">
        <v>-7.0985060000000003E-2</v>
      </c>
      <c r="X4208">
        <v>0.99747520000000001</v>
      </c>
      <c r="Y4208">
        <v>2.1229089999999999E-2</v>
      </c>
      <c r="Z4208">
        <v>-1.087611E-3</v>
      </c>
      <c r="AA4208">
        <v>0.99977400000000005</v>
      </c>
      <c r="AB4208">
        <v>37</v>
      </c>
      <c r="AC4208">
        <v>29.564799999999899</v>
      </c>
      <c r="AD4208">
        <v>-1.119891841219</v>
      </c>
      <c r="AE4208">
        <v>-1.93999999999903E-2</v>
      </c>
      <c r="AF4208">
        <v>0.63519243199223796</v>
      </c>
      <c r="AG4208">
        <v>-1.119891841219</v>
      </c>
      <c r="AH4208">
        <v>29.515612457181501</v>
      </c>
      <c r="AI4208">
        <v>92.172391967043197</v>
      </c>
      <c r="AJ4208">
        <v>88.767153189468701</v>
      </c>
      <c r="AK4208">
        <v>29.543679626685201</v>
      </c>
      <c r="AL4208">
        <v>94.070567673660193</v>
      </c>
      <c r="AM4208">
        <v>90.120310567960999</v>
      </c>
      <c r="AN4208">
        <v>1.00000002017985</v>
      </c>
    </row>
    <row r="4209" spans="1:40" x14ac:dyDescent="0.25">
      <c r="A4209" t="str">
        <f>"20190303154220407"</f>
        <v>20190303154220407</v>
      </c>
      <c r="B4209" t="str">
        <f>"1551598940403821"</f>
        <v>1551598940403821</v>
      </c>
      <c r="C4209" t="s">
        <v>40</v>
      </c>
      <c r="D4209">
        <v>5.4913559999999997</v>
      </c>
      <c r="E4209">
        <v>0.50994969999999995</v>
      </c>
      <c r="F4209" t="s">
        <v>50</v>
      </c>
      <c r="G4209">
        <v>-334.30889999999999</v>
      </c>
      <c r="H4209" s="1">
        <v>7.0778990000000002E-7</v>
      </c>
      <c r="I4209">
        <v>215.7236</v>
      </c>
      <c r="J4209">
        <v>-364.35629999999998</v>
      </c>
      <c r="K4209">
        <v>1.119853</v>
      </c>
      <c r="L4209">
        <v>215.78530000000001</v>
      </c>
      <c r="M4209">
        <v>0.99974969999999996</v>
      </c>
      <c r="N4209">
        <v>-8.7643410000000001E-3</v>
      </c>
      <c r="O4209">
        <v>2.0594959999999999E-2</v>
      </c>
      <c r="P4209">
        <v>0.99652450000000004</v>
      </c>
      <c r="Q4209">
        <v>-8.009753E-2</v>
      </c>
      <c r="R4209">
        <v>2.288954E-2</v>
      </c>
      <c r="S4209">
        <v>3.0016780000000001</v>
      </c>
      <c r="T4209">
        <v>-0.1105227</v>
      </c>
      <c r="U4209">
        <v>-5.3558349999999998E-3</v>
      </c>
      <c r="V4209">
        <v>-2.3988590000000001E-3</v>
      </c>
      <c r="W4209">
        <v>-7.1357030000000002E-2</v>
      </c>
      <c r="X4209">
        <v>0.997448</v>
      </c>
      <c r="Y4209">
        <v>2.2352759999999999E-2</v>
      </c>
      <c r="Z4209">
        <v>-1.0869269999999999E-3</v>
      </c>
      <c r="AA4209">
        <v>0.99974949999999996</v>
      </c>
      <c r="AB4209">
        <v>37</v>
      </c>
      <c r="AC4209">
        <v>30.0473999999999</v>
      </c>
      <c r="AD4209">
        <v>-1.1198522922101</v>
      </c>
      <c r="AE4209">
        <v>-6.1700000000001802E-2</v>
      </c>
      <c r="AF4209">
        <v>0.67959158886579896</v>
      </c>
      <c r="AG4209">
        <v>-1.1198522922101</v>
      </c>
      <c r="AH4209">
        <v>29.9980880507051</v>
      </c>
      <c r="AI4209">
        <v>92.137356004919198</v>
      </c>
      <c r="AJ4209">
        <v>88.702214936789403</v>
      </c>
      <c r="AK4209">
        <v>30.026674817266699</v>
      </c>
      <c r="AL4209">
        <v>94.0919340593979</v>
      </c>
      <c r="AM4209">
        <v>90.137795886456701</v>
      </c>
      <c r="AN4209">
        <v>1.0000000464794601</v>
      </c>
    </row>
    <row r="4210" spans="1:40" x14ac:dyDescent="0.25">
      <c r="A4210" t="str">
        <f>"20190303154220430"</f>
        <v>20190303154220430</v>
      </c>
      <c r="B4210" t="str">
        <f>"1551598940423342"</f>
        <v>1551598940423342</v>
      </c>
      <c r="C4210" t="s">
        <v>40</v>
      </c>
      <c r="D4210">
        <v>5.4952040000000002</v>
      </c>
      <c r="E4210">
        <v>0.50970859999999996</v>
      </c>
      <c r="F4210" t="s">
        <v>50</v>
      </c>
      <c r="G4210">
        <v>-333.5847</v>
      </c>
      <c r="H4210" s="1">
        <v>3.2247520000000002E-7</v>
      </c>
      <c r="I4210">
        <v>215.7218</v>
      </c>
      <c r="J4210">
        <v>-363.98160000000001</v>
      </c>
      <c r="K4210">
        <v>1.119818</v>
      </c>
      <c r="L4210">
        <v>215.7928</v>
      </c>
      <c r="M4210">
        <v>0.99975570000000002</v>
      </c>
      <c r="N4210">
        <v>-8.7770880000000006E-3</v>
      </c>
      <c r="O4210">
        <v>2.028812E-2</v>
      </c>
      <c r="P4210">
        <v>0.99650439999999996</v>
      </c>
      <c r="Q4210">
        <v>-8.0636840000000001E-2</v>
      </c>
      <c r="R4210">
        <v>2.184032E-2</v>
      </c>
      <c r="S4210">
        <v>3.00177</v>
      </c>
      <c r="T4210">
        <v>-0.10924150000000001</v>
      </c>
      <c r="U4210">
        <v>-6.1950679999999998E-3</v>
      </c>
      <c r="V4210">
        <v>-1.6625349999999999E-3</v>
      </c>
      <c r="W4210">
        <v>-7.1884219999999999E-2</v>
      </c>
      <c r="X4210">
        <v>0.99741159999999995</v>
      </c>
      <c r="Y4210">
        <v>2.2326160000000001E-2</v>
      </c>
      <c r="Z4210">
        <v>-1.064153E-3</v>
      </c>
      <c r="AA4210">
        <v>0.99975020000000003</v>
      </c>
      <c r="AB4210">
        <v>37</v>
      </c>
      <c r="AC4210">
        <v>30.396899999999999</v>
      </c>
      <c r="AD4210">
        <v>-1.1198176775248001</v>
      </c>
      <c r="AE4210">
        <v>-7.0999999999997898E-2</v>
      </c>
      <c r="AF4210">
        <v>0.68677299699235395</v>
      </c>
      <c r="AG4210">
        <v>-1.1198176775248001</v>
      </c>
      <c r="AH4210">
        <v>30.348015200475</v>
      </c>
      <c r="AI4210">
        <v>92.112669658939794</v>
      </c>
      <c r="AJ4210">
        <v>88.703622660790302</v>
      </c>
      <c r="AK4210">
        <v>30.376432894409302</v>
      </c>
      <c r="AL4210">
        <v>94.122217771867</v>
      </c>
      <c r="AM4210">
        <v>90.095503351448201</v>
      </c>
      <c r="AN4210">
        <v>1.00000000246109</v>
      </c>
    </row>
    <row r="4211" spans="1:40" x14ac:dyDescent="0.25">
      <c r="A4211" t="str">
        <f>"20190303154220464"</f>
        <v>20190303154220464</v>
      </c>
      <c r="B4211" t="str">
        <f>"1551598940453601"</f>
        <v>1551598940453601</v>
      </c>
      <c r="C4211" t="s">
        <v>40</v>
      </c>
      <c r="D4211">
        <v>5.5063329999999997</v>
      </c>
      <c r="E4211">
        <v>0.50906070000000003</v>
      </c>
      <c r="F4211" t="s">
        <v>50</v>
      </c>
      <c r="G4211">
        <v>-333.84469999999999</v>
      </c>
      <c r="H4211" s="1">
        <v>4.6113959999999999E-7</v>
      </c>
      <c r="I4211">
        <v>215.71539999999999</v>
      </c>
      <c r="J4211">
        <v>-363.4205</v>
      </c>
      <c r="K4211">
        <v>1.119774</v>
      </c>
      <c r="L4211">
        <v>215.80359999999999</v>
      </c>
      <c r="M4211">
        <v>0.99976580000000004</v>
      </c>
      <c r="N4211">
        <v>-8.7954499999999998E-3</v>
      </c>
      <c r="O4211">
        <v>1.9776559999999999E-2</v>
      </c>
      <c r="P4211">
        <v>0.99652209999999997</v>
      </c>
      <c r="Q4211">
        <v>-8.1418320000000002E-2</v>
      </c>
      <c r="R4211">
        <v>1.7747760000000001E-2</v>
      </c>
      <c r="S4211">
        <v>3.0016780000000001</v>
      </c>
      <c r="T4211">
        <v>-0.11153540000000001</v>
      </c>
      <c r="U4211">
        <v>-7.7056879999999996E-3</v>
      </c>
      <c r="V4211">
        <v>1.9118410000000001E-3</v>
      </c>
      <c r="W4211">
        <v>-7.2650329999999999E-2</v>
      </c>
      <c r="X4211">
        <v>0.99735560000000001</v>
      </c>
      <c r="Y4211">
        <v>2.2316880000000001E-2</v>
      </c>
      <c r="Z4211">
        <v>-1.0733229999999999E-3</v>
      </c>
      <c r="AA4211">
        <v>0.99975040000000004</v>
      </c>
      <c r="AB4211">
        <v>37</v>
      </c>
      <c r="AC4211">
        <v>29.575800000000001</v>
      </c>
      <c r="AD4211">
        <v>-1.11977353886039</v>
      </c>
      <c r="AE4211">
        <v>-8.82000000000005E-2</v>
      </c>
      <c r="AF4211">
        <v>0.67214942572912295</v>
      </c>
      <c r="AG4211">
        <v>-1.11977353886039</v>
      </c>
      <c r="AH4211">
        <v>29.5259468328351</v>
      </c>
      <c r="AI4211">
        <v>92.171343418670403</v>
      </c>
      <c r="AJ4211">
        <v>88.695903810118494</v>
      </c>
      <c r="AK4211">
        <v>29.554817103210802</v>
      </c>
      <c r="AL4211">
        <v>94.166227895678801</v>
      </c>
      <c r="AM4211">
        <v>89.890169277407097</v>
      </c>
      <c r="AN4211">
        <v>0.99999995921823803</v>
      </c>
    </row>
    <row r="4212" spans="1:40" x14ac:dyDescent="0.25">
      <c r="A4212" t="str">
        <f>"20190303154220485"</f>
        <v>20190303154220485</v>
      </c>
      <c r="B4212" t="str">
        <f>"1551598940474093"</f>
        <v>1551598940474093</v>
      </c>
      <c r="C4212" t="s">
        <v>40</v>
      </c>
      <c r="D4212">
        <v>5.5291169999999896</v>
      </c>
      <c r="E4212">
        <v>0.50879319999999995</v>
      </c>
      <c r="F4212" t="s">
        <v>50</v>
      </c>
      <c r="G4212">
        <v>-333.52980000000002</v>
      </c>
      <c r="H4212" s="1">
        <v>2.9626360000000002E-7</v>
      </c>
      <c r="I4212">
        <v>215.65360000000001</v>
      </c>
      <c r="J4212">
        <v>-363.05680000000001</v>
      </c>
      <c r="K4212">
        <v>1.119758</v>
      </c>
      <c r="L4212">
        <v>215.81049999999999</v>
      </c>
      <c r="M4212">
        <v>0.99977269999999896</v>
      </c>
      <c r="N4212">
        <v>-8.8068269999999997E-3</v>
      </c>
      <c r="O4212">
        <v>1.9424090000000001E-2</v>
      </c>
      <c r="P4212">
        <v>0.996502</v>
      </c>
      <c r="Q4212">
        <v>-8.2124150000000007E-2</v>
      </c>
      <c r="R4212">
        <v>1.54918E-2</v>
      </c>
      <c r="S4212">
        <v>3.0015559999999999</v>
      </c>
      <c r="T4212">
        <v>-0.1124454</v>
      </c>
      <c r="U4212">
        <v>-1.506042E-2</v>
      </c>
      <c r="V4212">
        <v>3.811404E-3</v>
      </c>
      <c r="W4212">
        <v>-7.3346930000000005E-2</v>
      </c>
      <c r="X4212">
        <v>0.99729920000000005</v>
      </c>
      <c r="Y4212">
        <v>2.4412E-2</v>
      </c>
      <c r="Z4212">
        <v>-1.121007E-3</v>
      </c>
      <c r="AA4212">
        <v>0.99970139999999996</v>
      </c>
      <c r="AB4212">
        <v>37</v>
      </c>
      <c r="AC4212">
        <v>29.526999999999902</v>
      </c>
      <c r="AD4212">
        <v>-1.1197577037363999</v>
      </c>
      <c r="AE4212">
        <v>-0.156899999999978</v>
      </c>
      <c r="AF4212">
        <v>0.72937871734408299</v>
      </c>
      <c r="AG4212">
        <v>-1.1197577037363999</v>
      </c>
      <c r="AH4212">
        <v>29.4759908727418</v>
      </c>
      <c r="AI4212">
        <v>92.174887007498199</v>
      </c>
      <c r="AJ4212">
        <v>88.5825142917694</v>
      </c>
      <c r="AK4212">
        <v>29.506268631569601</v>
      </c>
      <c r="AL4212">
        <v>94.2062467495806</v>
      </c>
      <c r="AM4212">
        <v>89.781032312016194</v>
      </c>
      <c r="AN4212">
        <v>0.999999996630758</v>
      </c>
    </row>
    <row r="4213" spans="1:40" x14ac:dyDescent="0.25">
      <c r="A4213" t="str">
        <f>"20190303154220510"</f>
        <v>20190303154220510</v>
      </c>
      <c r="B4213" t="str">
        <f>"1551598940503374"</f>
        <v>1551598940503374</v>
      </c>
      <c r="C4213" t="s">
        <v>40</v>
      </c>
      <c r="D4213">
        <v>5.5295489999999896</v>
      </c>
      <c r="E4213">
        <v>0.50862669999999999</v>
      </c>
      <c r="F4213" t="s">
        <v>50</v>
      </c>
      <c r="G4213">
        <v>-333.27120000000002</v>
      </c>
      <c r="H4213" s="1">
        <v>1.6024540000000001E-7</v>
      </c>
      <c r="I4213">
        <v>215.6174</v>
      </c>
      <c r="J4213">
        <v>-362.65719999999999</v>
      </c>
      <c r="K4213">
        <v>1.1197410000000001</v>
      </c>
      <c r="L4213">
        <v>215.81790000000001</v>
      </c>
      <c r="M4213">
        <v>0.99978009999999995</v>
      </c>
      <c r="N4213">
        <v>-8.8188609999999903E-3</v>
      </c>
      <c r="O4213">
        <v>1.902682E-2</v>
      </c>
      <c r="P4213">
        <v>0.99656639999999996</v>
      </c>
      <c r="Q4213">
        <v>-8.1579280000000004E-2</v>
      </c>
      <c r="R4213">
        <v>1.4160789999999999E-2</v>
      </c>
      <c r="S4213">
        <v>3.0015260000000001</v>
      </c>
      <c r="T4213">
        <v>-0.1128395</v>
      </c>
      <c r="U4213">
        <v>-1.945496E-2</v>
      </c>
      <c r="V4213">
        <v>4.7449570000000002E-3</v>
      </c>
      <c r="W4213">
        <v>-7.2790590000000002E-2</v>
      </c>
      <c r="X4213">
        <v>0.997336</v>
      </c>
      <c r="Y4213">
        <v>2.5477449999999999E-2</v>
      </c>
      <c r="Z4213">
        <v>-1.1383770000000001E-3</v>
      </c>
      <c r="AA4213">
        <v>0.99967470000000003</v>
      </c>
      <c r="AB4213">
        <v>37</v>
      </c>
      <c r="AC4213">
        <v>29.3859999999999</v>
      </c>
      <c r="AD4213">
        <v>-1.11974083975459</v>
      </c>
      <c r="AE4213">
        <v>-0.20050000000000501</v>
      </c>
      <c r="AF4213">
        <v>0.758506297855566</v>
      </c>
      <c r="AG4213">
        <v>-1.11974083975459</v>
      </c>
      <c r="AH4213">
        <v>29.334274765585398</v>
      </c>
      <c r="AI4213">
        <v>92.1852895955208</v>
      </c>
      <c r="AJ4213">
        <v>88.518813633746404</v>
      </c>
      <c r="AK4213">
        <v>29.365435930272898</v>
      </c>
      <c r="AL4213">
        <v>94.174285194809002</v>
      </c>
      <c r="AM4213">
        <v>89.727409861004901</v>
      </c>
      <c r="AN4213">
        <v>1.0000000407527301</v>
      </c>
    </row>
    <row r="4214" spans="1:40" x14ac:dyDescent="0.25">
      <c r="A4214" t="str">
        <f>"20190303154220531"</f>
        <v>20190303154220531</v>
      </c>
      <c r="B4214" t="str">
        <f>"1551598940523870"</f>
        <v>1551598940523870</v>
      </c>
      <c r="C4214" t="s">
        <v>40</v>
      </c>
      <c r="D4214">
        <v>5.5433089999999998</v>
      </c>
      <c r="E4214">
        <v>0.50827999999999995</v>
      </c>
      <c r="F4214" t="s">
        <v>50</v>
      </c>
      <c r="G4214">
        <v>-332.44380000000001</v>
      </c>
      <c r="H4214" s="1">
        <v>-2.7908269999999998E-7</v>
      </c>
      <c r="I4214">
        <v>215.5949</v>
      </c>
      <c r="J4214">
        <v>-362.28789999999998</v>
      </c>
      <c r="K4214">
        <v>1.1197170000000001</v>
      </c>
      <c r="L4214">
        <v>215.8246</v>
      </c>
      <c r="M4214">
        <v>0.99978710000000004</v>
      </c>
      <c r="N4214">
        <v>-8.8298809999999995E-3</v>
      </c>
      <c r="O4214">
        <v>1.8655709999999999E-2</v>
      </c>
      <c r="P4214">
        <v>0.9965851</v>
      </c>
      <c r="Q4214">
        <v>-8.1289239999999999E-2</v>
      </c>
      <c r="R4214">
        <v>1.451595E-2</v>
      </c>
      <c r="S4214">
        <v>3.0015559999999999</v>
      </c>
      <c r="T4214">
        <v>-0.1112411</v>
      </c>
      <c r="U4214">
        <v>-2.215576E-2</v>
      </c>
      <c r="V4214">
        <v>4.0184690000000002E-3</v>
      </c>
      <c r="W4214">
        <v>-7.2488869999999997E-2</v>
      </c>
      <c r="X4214">
        <v>0.9973611</v>
      </c>
      <c r="Y4214">
        <v>2.6006330000000001E-2</v>
      </c>
      <c r="Z4214">
        <v>-1.1230560000000001E-3</v>
      </c>
      <c r="AA4214">
        <v>0.99966109999999997</v>
      </c>
      <c r="AB4214">
        <v>37</v>
      </c>
      <c r="AC4214">
        <v>29.844099999999901</v>
      </c>
      <c r="AD4214">
        <v>-1.1197172790826999</v>
      </c>
      <c r="AE4214">
        <v>-0.22970000000000801</v>
      </c>
      <c r="AF4214">
        <v>0.78533910308551902</v>
      </c>
      <c r="AG4214">
        <v>-1.1197172790826999</v>
      </c>
      <c r="AH4214">
        <v>29.792684676732001</v>
      </c>
      <c r="AI4214">
        <v>92.151623707947394</v>
      </c>
      <c r="AJ4214">
        <v>88.490025358245006</v>
      </c>
      <c r="AK4214">
        <v>29.8240604971739</v>
      </c>
      <c r="AL4214">
        <v>94.156952400775694</v>
      </c>
      <c r="AM4214">
        <v>89.769150743968197</v>
      </c>
      <c r="AN4214">
        <v>0.999999974080095</v>
      </c>
    </row>
    <row r="4215" spans="1:40" x14ac:dyDescent="0.25">
      <c r="A4215" t="str">
        <f>"20190303154220554"</f>
        <v>20190303154220554</v>
      </c>
      <c r="B4215" t="str">
        <f>"1551598940543390"</f>
        <v>1551598940543390</v>
      </c>
      <c r="C4215" t="s">
        <v>40</v>
      </c>
      <c r="D4215">
        <v>5.4958530000000003</v>
      </c>
      <c r="E4215">
        <v>0.50797499999999995</v>
      </c>
      <c r="F4215" t="s">
        <v>50</v>
      </c>
      <c r="G4215">
        <v>-331.86689999999999</v>
      </c>
      <c r="H4215" s="1">
        <v>-5.8806699999999997E-7</v>
      </c>
      <c r="I4215">
        <v>215.6405</v>
      </c>
      <c r="J4215">
        <v>-361.92180000000002</v>
      </c>
      <c r="K4215">
        <v>1.1197010000000001</v>
      </c>
      <c r="L4215">
        <v>215.8312</v>
      </c>
      <c r="M4215">
        <v>0.99979390000000001</v>
      </c>
      <c r="N4215">
        <v>-8.8405849999999998E-3</v>
      </c>
      <c r="O4215">
        <v>1.828695E-2</v>
      </c>
      <c r="P4215">
        <v>0.99655879999999997</v>
      </c>
      <c r="Q4215">
        <v>-8.1399840000000001E-2</v>
      </c>
      <c r="R4215">
        <v>1.566027E-2</v>
      </c>
      <c r="S4215">
        <v>3.0014949999999998</v>
      </c>
      <c r="T4215">
        <v>-0.1104772</v>
      </c>
      <c r="U4215">
        <v>-1.817322E-2</v>
      </c>
      <c r="V4215">
        <v>2.5042979999999999E-3</v>
      </c>
      <c r="W4215">
        <v>-7.258763E-2</v>
      </c>
      <c r="X4215">
        <v>0.99735890000000005</v>
      </c>
      <c r="Y4215">
        <v>2.4313359999999999E-2</v>
      </c>
      <c r="Z4215">
        <v>-1.0660310000000001E-3</v>
      </c>
      <c r="AA4215">
        <v>0.99970380000000003</v>
      </c>
      <c r="AB4215">
        <v>37</v>
      </c>
      <c r="AC4215">
        <v>30.0549</v>
      </c>
      <c r="AD4215">
        <v>-1.119701588067</v>
      </c>
      <c r="AE4215">
        <v>-0.19069999999999199</v>
      </c>
      <c r="AF4215">
        <v>0.73927589110465997</v>
      </c>
      <c r="AG4215">
        <v>-1.119701588067</v>
      </c>
      <c r="AH4215">
        <v>30.0047429394684</v>
      </c>
      <c r="AI4215">
        <v>92.136494992518394</v>
      </c>
      <c r="AJ4215">
        <v>88.588595793977603</v>
      </c>
      <c r="AK4215">
        <v>30.034727555832202</v>
      </c>
      <c r="AL4215">
        <v>94.162625747233193</v>
      </c>
      <c r="AM4215">
        <v>89.856134632682199</v>
      </c>
      <c r="AN4215">
        <v>1.00000000547334</v>
      </c>
    </row>
    <row r="4216" spans="1:40" x14ac:dyDescent="0.25">
      <c r="A4216" t="str">
        <f>"20190303154220576"</f>
        <v>20190303154220576</v>
      </c>
      <c r="B4216" t="str">
        <f>"1551598940573645"</f>
        <v>1551598940573645</v>
      </c>
      <c r="C4216" t="s">
        <v>40</v>
      </c>
      <c r="D4216">
        <v>5.5366730000000004</v>
      </c>
      <c r="E4216">
        <v>0.50779149999999995</v>
      </c>
      <c r="F4216" t="s">
        <v>50</v>
      </c>
      <c r="G4216">
        <v>-331.5</v>
      </c>
      <c r="H4216" s="1">
        <v>-7.8625950000000004E-7</v>
      </c>
      <c r="I4216">
        <v>215.7071</v>
      </c>
      <c r="J4216">
        <v>-361.54379999999998</v>
      </c>
      <c r="K4216">
        <v>1.1196889999999999</v>
      </c>
      <c r="L4216">
        <v>215.83779999999999</v>
      </c>
      <c r="M4216">
        <v>0.99980040000000003</v>
      </c>
      <c r="N4216">
        <v>-8.8514419999999993E-3</v>
      </c>
      <c r="O4216">
        <v>1.790777E-2</v>
      </c>
      <c r="P4216">
        <v>0.99652180000000001</v>
      </c>
      <c r="Q4216">
        <v>-8.1625329999999996E-2</v>
      </c>
      <c r="R4216">
        <v>1.6784730000000001E-2</v>
      </c>
      <c r="S4216">
        <v>3.0015559999999999</v>
      </c>
      <c r="T4216">
        <v>-0.11047510000000001</v>
      </c>
      <c r="U4216">
        <v>-1.223755E-2</v>
      </c>
      <c r="V4216">
        <v>9.996076E-4</v>
      </c>
      <c r="W4216">
        <v>-7.2801160000000004E-2</v>
      </c>
      <c r="X4216">
        <v>0.99734599999999995</v>
      </c>
      <c r="Y4216">
        <v>2.1959269999999999E-2</v>
      </c>
      <c r="Z4216">
        <v>-1.001596E-3</v>
      </c>
      <c r="AA4216">
        <v>0.99975840000000005</v>
      </c>
      <c r="AB4216">
        <v>37</v>
      </c>
      <c r="AC4216">
        <v>30.043799999999901</v>
      </c>
      <c r="AD4216">
        <v>-1.1196897862595001</v>
      </c>
      <c r="AE4216">
        <v>-0.13069999999998999</v>
      </c>
      <c r="AF4216">
        <v>0.66779010332126898</v>
      </c>
      <c r="AG4216">
        <v>-1.1196897862595001</v>
      </c>
      <c r="AH4216">
        <v>29.9949805985522</v>
      </c>
      <c r="AI4216">
        <v>92.137286069887693</v>
      </c>
      <c r="AJ4216">
        <v>88.724612115806096</v>
      </c>
      <c r="AK4216">
        <v>30.023299451377301</v>
      </c>
      <c r="AL4216">
        <v>94.174892484291107</v>
      </c>
      <c r="AM4216">
        <v>89.942574314759895</v>
      </c>
      <c r="AN4216">
        <v>1.00000002591434</v>
      </c>
    </row>
    <row r="4217" spans="1:40" x14ac:dyDescent="0.25">
      <c r="A4217" t="str">
        <f>"20190303154220599"</f>
        <v>20190303154220599</v>
      </c>
      <c r="B4217" t="str">
        <f>"1551598940594141"</f>
        <v>1551598940594141</v>
      </c>
      <c r="C4217" t="s">
        <v>40</v>
      </c>
      <c r="D4217">
        <v>5.5405340000000001</v>
      </c>
      <c r="E4217">
        <v>0.50769949999999997</v>
      </c>
      <c r="F4217" t="s">
        <v>50</v>
      </c>
      <c r="G4217">
        <v>-330.81490000000002</v>
      </c>
      <c r="H4217" s="1">
        <v>-1.1531339999999999E-6</v>
      </c>
      <c r="I4217">
        <v>215.76</v>
      </c>
      <c r="J4217">
        <v>-361.17439999999999</v>
      </c>
      <c r="K4217">
        <v>1.1196839999999999</v>
      </c>
      <c r="L4217">
        <v>215.8441</v>
      </c>
      <c r="M4217">
        <v>0.99980690000000005</v>
      </c>
      <c r="N4217">
        <v>-8.86202E-3</v>
      </c>
      <c r="O4217">
        <v>1.75382E-2</v>
      </c>
      <c r="P4217">
        <v>0.9965273</v>
      </c>
      <c r="Q4217">
        <v>-8.1417900000000001E-2</v>
      </c>
      <c r="R4217">
        <v>1.7447099999999899E-2</v>
      </c>
      <c r="S4217">
        <v>3.0016479999999999</v>
      </c>
      <c r="T4217">
        <v>-0.1093732</v>
      </c>
      <c r="U4217">
        <v>-7.59887699999999E-3</v>
      </c>
      <c r="V4217" s="1">
        <v>-3.1959960000000003E-5</v>
      </c>
      <c r="W4217">
        <v>-7.258212E-2</v>
      </c>
      <c r="X4217">
        <v>0.99736239999999998</v>
      </c>
      <c r="Y4217">
        <v>2.00468E-2</v>
      </c>
      <c r="Z4217">
        <v>-9.3739959999999999E-4</v>
      </c>
      <c r="AA4217">
        <v>0.99979859999999998</v>
      </c>
      <c r="AB4217">
        <v>38</v>
      </c>
      <c r="AC4217">
        <v>30.359499999999901</v>
      </c>
      <c r="AD4217">
        <v>-1.119685153134</v>
      </c>
      <c r="AE4217">
        <v>-8.4100000000006503E-2</v>
      </c>
      <c r="AF4217">
        <v>0.61572146889095303</v>
      </c>
      <c r="AG4217">
        <v>-1.119685153134</v>
      </c>
      <c r="AH4217">
        <v>30.312124916810099</v>
      </c>
      <c r="AI4217">
        <v>92.115023831098299</v>
      </c>
      <c r="AJ4217">
        <v>88.836327350433905</v>
      </c>
      <c r="AK4217">
        <v>30.339046206855301</v>
      </c>
      <c r="AL4217">
        <v>94.162309397778998</v>
      </c>
      <c r="AM4217">
        <v>90.001836013489907</v>
      </c>
      <c r="AN4217">
        <v>0.999999961049445</v>
      </c>
    </row>
    <row r="4218" spans="1:40" x14ac:dyDescent="0.25">
      <c r="A4218" t="str">
        <f>"20190303154220619"</f>
        <v>20190303154220619</v>
      </c>
      <c r="B4218" t="str">
        <f>"1551598940613661"</f>
        <v>1551598940613661</v>
      </c>
      <c r="C4218" t="s">
        <v>40</v>
      </c>
      <c r="D4218">
        <v>5.5909149999999999</v>
      </c>
      <c r="E4218">
        <v>0.507498</v>
      </c>
      <c r="F4218" t="s">
        <v>50</v>
      </c>
      <c r="G4218">
        <v>-330.02100000000002</v>
      </c>
      <c r="H4218" s="1">
        <v>-1.5769309999999999E-6</v>
      </c>
      <c r="I4218">
        <v>215.79040000000001</v>
      </c>
      <c r="J4218">
        <v>-360.81790000000001</v>
      </c>
      <c r="K4218">
        <v>1.1196759999999999</v>
      </c>
      <c r="L4218">
        <v>215.85</v>
      </c>
      <c r="M4218">
        <v>0.99981299999999995</v>
      </c>
      <c r="N4218">
        <v>-8.8728239999999996E-3</v>
      </c>
      <c r="O4218">
        <v>1.7182780000000002E-2</v>
      </c>
      <c r="P4218">
        <v>0.99649670000000001</v>
      </c>
      <c r="Q4218">
        <v>-8.1773499999999999E-2</v>
      </c>
      <c r="R4218">
        <v>1.753625E-2</v>
      </c>
      <c r="S4218">
        <v>3.001709</v>
      </c>
      <c r="T4218">
        <v>-0.1078846</v>
      </c>
      <c r="U4218">
        <v>-5.172729E-3</v>
      </c>
      <c r="V4218">
        <v>-4.7777079999999998E-4</v>
      </c>
      <c r="W4218">
        <v>-7.2926759999999993E-2</v>
      </c>
      <c r="X4218">
        <v>0.99733720000000003</v>
      </c>
      <c r="Y4218">
        <v>1.8884939999999999E-2</v>
      </c>
      <c r="Z4218">
        <v>-8.8799609999999998E-4</v>
      </c>
      <c r="AA4218">
        <v>0.99982119999999997</v>
      </c>
      <c r="AB4218">
        <v>38</v>
      </c>
      <c r="AC4218">
        <v>30.796900000000001</v>
      </c>
      <c r="AD4218">
        <v>-1.1196775769309999</v>
      </c>
      <c r="AE4218">
        <v>-5.9599999999989002E-2</v>
      </c>
      <c r="AF4218">
        <v>0.58801114516375996</v>
      </c>
      <c r="AG4218">
        <v>-1.1196775769309999</v>
      </c>
      <c r="AH4218">
        <v>30.75068213146</v>
      </c>
      <c r="AI4218">
        <v>92.084921589099494</v>
      </c>
      <c r="AJ4218">
        <v>88.904529941764494</v>
      </c>
      <c r="AK4218">
        <v>30.776677639622001</v>
      </c>
      <c r="AL4218">
        <v>94.182108057131103</v>
      </c>
      <c r="AM4218">
        <v>90.027447335084403</v>
      </c>
      <c r="AN4218">
        <v>1.0000000155464299</v>
      </c>
    </row>
    <row r="4219" spans="1:40" x14ac:dyDescent="0.25">
      <c r="A4219" t="str">
        <f>"20190303154220642"</f>
        <v>20190303154220642</v>
      </c>
      <c r="B4219" t="str">
        <f>"1551598940634157"</f>
        <v>1551598940634157</v>
      </c>
      <c r="C4219" t="s">
        <v>40</v>
      </c>
      <c r="D4219">
        <v>5.5792140000000003</v>
      </c>
      <c r="E4219">
        <v>0.50723300000000004</v>
      </c>
      <c r="F4219" t="s">
        <v>50</v>
      </c>
      <c r="G4219">
        <v>-329.86329999999998</v>
      </c>
      <c r="H4219" s="1">
        <v>3.7119489999999999E-6</v>
      </c>
      <c r="I4219">
        <v>215.81729999999999</v>
      </c>
      <c r="J4219">
        <v>-360.42610000000002</v>
      </c>
      <c r="K4219">
        <v>1.119672</v>
      </c>
      <c r="L4219">
        <v>215.85640000000001</v>
      </c>
      <c r="M4219">
        <v>0.99981960000000003</v>
      </c>
      <c r="N4219">
        <v>-8.8886690000000001E-3</v>
      </c>
      <c r="O4219">
        <v>1.6792049999999999E-2</v>
      </c>
      <c r="P4219">
        <v>0.99652470000000004</v>
      </c>
      <c r="Q4219">
        <v>-8.1542630000000005E-2</v>
      </c>
      <c r="R4219">
        <v>1.7014359999999999E-2</v>
      </c>
      <c r="S4219">
        <v>3.001709</v>
      </c>
      <c r="T4219">
        <v>-0.1085759</v>
      </c>
      <c r="U4219">
        <v>-3.1738280000000001E-3</v>
      </c>
      <c r="V4219">
        <v>-3.4556959999999999E-4</v>
      </c>
      <c r="W4219">
        <v>-7.2680069999999999E-2</v>
      </c>
      <c r="X4219">
        <v>0.9973552</v>
      </c>
      <c r="Y4219">
        <v>1.782912E-2</v>
      </c>
      <c r="Z4219">
        <v>-8.5956170000000003E-4</v>
      </c>
      <c r="AA4219">
        <v>0.99984070000000003</v>
      </c>
      <c r="AB4219">
        <v>38</v>
      </c>
      <c r="AC4219">
        <v>30.562799999999999</v>
      </c>
      <c r="AD4219">
        <v>-1.119668288051</v>
      </c>
      <c r="AE4219">
        <v>-3.9100000000019002E-2</v>
      </c>
      <c r="AF4219">
        <v>0.55158647673320804</v>
      </c>
      <c r="AG4219">
        <v>-1.119668288051</v>
      </c>
      <c r="AH4219">
        <v>30.5168764705702</v>
      </c>
      <c r="AI4219">
        <v>92.100904446894404</v>
      </c>
      <c r="AJ4219">
        <v>88.964502928563903</v>
      </c>
      <c r="AK4219">
        <v>30.542391102148901</v>
      </c>
      <c r="AL4219">
        <v>94.167936412778602</v>
      </c>
      <c r="AM4219">
        <v>90.019852183871606</v>
      </c>
      <c r="AN4219">
        <v>0.99999995348029502</v>
      </c>
    </row>
    <row r="4220" spans="1:40" x14ac:dyDescent="0.25">
      <c r="A4220" t="str">
        <f>"20190303154220664"</f>
        <v>20190303154220664</v>
      </c>
      <c r="B4220" t="str">
        <f>"1551598940653681"</f>
        <v>1551598940653681</v>
      </c>
      <c r="C4220" t="s">
        <v>40</v>
      </c>
      <c r="D4220">
        <v>5.5765909999999996</v>
      </c>
      <c r="E4220">
        <v>0.50699380000000005</v>
      </c>
      <c r="F4220" t="s">
        <v>50</v>
      </c>
      <c r="G4220">
        <v>-329.42950000000002</v>
      </c>
      <c r="H4220" s="1">
        <v>3.4811360000000002E-6</v>
      </c>
      <c r="I4220">
        <v>215.82679999999999</v>
      </c>
      <c r="J4220">
        <v>-360.05520000000001</v>
      </c>
      <c r="K4220">
        <v>1.1196759999999999</v>
      </c>
      <c r="L4220">
        <v>215.8623</v>
      </c>
      <c r="M4220">
        <v>0.99982550000000003</v>
      </c>
      <c r="N4220">
        <v>-8.9078300000000003E-3</v>
      </c>
      <c r="O4220">
        <v>1.6421760000000001E-2</v>
      </c>
      <c r="P4220">
        <v>0.99656049999999996</v>
      </c>
      <c r="Q4220">
        <v>-8.1271570000000001E-2</v>
      </c>
      <c r="R4220">
        <v>1.6195399999999999E-2</v>
      </c>
      <c r="S4220">
        <v>3.0016479999999999</v>
      </c>
      <c r="T4220">
        <v>-0.1084266</v>
      </c>
      <c r="U4220">
        <v>-2.8686520000000002E-3</v>
      </c>
      <c r="V4220">
        <v>1.042967E-4</v>
      </c>
      <c r="W4220">
        <v>-7.2390120000000002E-2</v>
      </c>
      <c r="X4220">
        <v>0.99737640000000005</v>
      </c>
      <c r="Y4220">
        <v>1.735778E-2</v>
      </c>
      <c r="Z4220">
        <v>-8.3746890000000005E-4</v>
      </c>
      <c r="AA4220">
        <v>0.99984899999999999</v>
      </c>
      <c r="AB4220">
        <v>38</v>
      </c>
      <c r="AC4220">
        <v>30.625699999999899</v>
      </c>
      <c r="AD4220">
        <v>-1.119672518864</v>
      </c>
      <c r="AE4220">
        <v>-3.5500000000013097E-2</v>
      </c>
      <c r="AF4220">
        <v>0.53772431344600502</v>
      </c>
      <c r="AG4220">
        <v>-1.119672518864</v>
      </c>
      <c r="AH4220">
        <v>30.580112790893899</v>
      </c>
      <c r="AI4220">
        <v>92.096590122932497</v>
      </c>
      <c r="AJ4220">
        <v>88.992608069370903</v>
      </c>
      <c r="AK4220">
        <v>30.605328168320099</v>
      </c>
      <c r="AL4220">
        <v>94.151279381785798</v>
      </c>
      <c r="AM4220">
        <v>89.994008520047799</v>
      </c>
      <c r="AN4220">
        <v>1.0000000118141801</v>
      </c>
    </row>
    <row r="4221" spans="1:40" x14ac:dyDescent="0.25">
      <c r="A4221" t="str">
        <f>"20190303154220686"</f>
        <v>20190303154220686</v>
      </c>
      <c r="B4221" t="str">
        <f>"1551598940683934"</f>
        <v>1551598940683934</v>
      </c>
      <c r="C4221" t="s">
        <v>40</v>
      </c>
      <c r="D4221">
        <v>5.628374</v>
      </c>
      <c r="E4221">
        <v>0.5070112</v>
      </c>
      <c r="F4221" t="s">
        <v>50</v>
      </c>
      <c r="G4221">
        <v>-328.94880000000001</v>
      </c>
      <c r="H4221" s="1">
        <v>3.225336E-6</v>
      </c>
      <c r="I4221">
        <v>215.82669999999999</v>
      </c>
      <c r="J4221">
        <v>-359.68029999999999</v>
      </c>
      <c r="K4221">
        <v>1.1196790000000001</v>
      </c>
      <c r="L4221">
        <v>215.8681</v>
      </c>
      <c r="M4221">
        <v>0.99983129999999998</v>
      </c>
      <c r="N4221">
        <v>-8.9320979999999994E-3</v>
      </c>
      <c r="O4221">
        <v>1.6045549999999999E-2</v>
      </c>
      <c r="P4221">
        <v>0.9965965</v>
      </c>
      <c r="Q4221">
        <v>-8.1108180000000002E-2</v>
      </c>
      <c r="R4221">
        <v>1.473121E-2</v>
      </c>
      <c r="S4221">
        <v>3.0015869999999998</v>
      </c>
      <c r="T4221">
        <v>-0.1080421</v>
      </c>
      <c r="U4221">
        <v>-3.433228E-3</v>
      </c>
      <c r="V4221">
        <v>1.193139E-3</v>
      </c>
      <c r="W4221">
        <v>-7.2203459999999997E-2</v>
      </c>
      <c r="X4221">
        <v>0.99738919999999998</v>
      </c>
      <c r="Y4221">
        <v>1.7170080000000001E-2</v>
      </c>
      <c r="Z4221">
        <v>-8.1969619999999895E-4</v>
      </c>
      <c r="AA4221">
        <v>0.99985219999999997</v>
      </c>
      <c r="AB4221">
        <v>38</v>
      </c>
      <c r="AC4221">
        <v>30.731499999999901</v>
      </c>
      <c r="AD4221">
        <v>-1.119675774664</v>
      </c>
      <c r="AE4221">
        <v>-4.1400000000009998E-2</v>
      </c>
      <c r="AF4221">
        <v>0.53380959082535895</v>
      </c>
      <c r="AG4221">
        <v>-1.119675774664</v>
      </c>
      <c r="AH4221">
        <v>30.686144912227501</v>
      </c>
      <c r="AI4221">
        <v>92.089364994822901</v>
      </c>
      <c r="AJ4221">
        <v>89.003395437301293</v>
      </c>
      <c r="AK4221">
        <v>30.711205057663399</v>
      </c>
      <c r="AL4221">
        <v>94.140556583170394</v>
      </c>
      <c r="AM4221">
        <v>89.9314592573662</v>
      </c>
      <c r="AN4221">
        <v>0.99999998974664195</v>
      </c>
    </row>
    <row r="4222" spans="1:40" x14ac:dyDescent="0.25">
      <c r="A4222" t="str">
        <f>"20190303154220729"</f>
        <v>20190303154220729</v>
      </c>
      <c r="B4222" t="str">
        <f>"1551598940723950"</f>
        <v>1551598940723950</v>
      </c>
      <c r="C4222" t="s">
        <v>40</v>
      </c>
      <c r="D4222">
        <v>5.6032849999999996</v>
      </c>
      <c r="E4222">
        <v>0.50670820000000005</v>
      </c>
      <c r="F4222" t="s">
        <v>50</v>
      </c>
      <c r="G4222">
        <v>-328.56049999999999</v>
      </c>
      <c r="H4222" s="1">
        <v>3.0186799999999999E-6</v>
      </c>
      <c r="I4222">
        <v>215.78299999999999</v>
      </c>
      <c r="J4222">
        <v>-358.96420000000001</v>
      </c>
      <c r="K4222">
        <v>1.119669</v>
      </c>
      <c r="L4222">
        <v>215.87880000000001</v>
      </c>
      <c r="M4222">
        <v>0.99984249999999997</v>
      </c>
      <c r="N4222">
        <v>-8.9826899999999998E-3</v>
      </c>
      <c r="O4222">
        <v>1.530484E-2</v>
      </c>
      <c r="P4222">
        <v>0.99661339999999998</v>
      </c>
      <c r="Q4222">
        <v>-8.1165609999999999E-2</v>
      </c>
      <c r="R4222">
        <v>1.3191670000000001E-2</v>
      </c>
      <c r="S4222">
        <v>3.0015869999999998</v>
      </c>
      <c r="T4222">
        <v>-0.1079956</v>
      </c>
      <c r="U4222">
        <v>-8.2092290000000002E-3</v>
      </c>
      <c r="V4222">
        <v>1.9917699999999999E-3</v>
      </c>
      <c r="W4222">
        <v>-7.2211319999999996E-2</v>
      </c>
      <c r="X4222">
        <v>0.99738729999999998</v>
      </c>
      <c r="Y4222">
        <v>1.801989E-2</v>
      </c>
      <c r="Z4222">
        <v>-8.1805309999999896E-4</v>
      </c>
      <c r="AA4222">
        <v>0.99983730000000004</v>
      </c>
      <c r="AB4222">
        <v>38</v>
      </c>
      <c r="AC4222">
        <v>30.403700000000001</v>
      </c>
      <c r="AD4222">
        <v>-1.1196659813200001</v>
      </c>
      <c r="AE4222">
        <v>-9.5800000000025406E-2</v>
      </c>
      <c r="AF4222">
        <v>0.56037135921046399</v>
      </c>
      <c r="AG4222">
        <v>-1.1196659813200001</v>
      </c>
      <c r="AH4222">
        <v>30.357501919697999</v>
      </c>
      <c r="AI4222">
        <v>92.111904918956</v>
      </c>
      <c r="AJ4222">
        <v>88.942493094535394</v>
      </c>
      <c r="AK4222">
        <v>30.383311056802398</v>
      </c>
      <c r="AL4222">
        <v>94.141008337714496</v>
      </c>
      <c r="AM4222">
        <v>89.885581194928804</v>
      </c>
      <c r="AN4222">
        <v>0.99999993404258003</v>
      </c>
    </row>
    <row r="4223" spans="1:40" x14ac:dyDescent="0.25">
      <c r="A4223" t="str">
        <f>"20190303154220755"</f>
        <v>20190303154220755</v>
      </c>
      <c r="B4223" t="str">
        <f>"1551598940743471"</f>
        <v>1551598940743471</v>
      </c>
      <c r="C4223" t="s">
        <v>40</v>
      </c>
      <c r="D4223">
        <v>5.6225290000000001</v>
      </c>
      <c r="E4223">
        <v>0.50666560000000005</v>
      </c>
      <c r="F4223" t="s">
        <v>50</v>
      </c>
      <c r="G4223">
        <v>-328.11630000000002</v>
      </c>
      <c r="H4223" s="1">
        <v>2.782291E-6</v>
      </c>
      <c r="I4223">
        <v>215.7722</v>
      </c>
      <c r="J4223">
        <v>-358.51780000000002</v>
      </c>
      <c r="K4223">
        <v>1.1196539999999999</v>
      </c>
      <c r="L4223">
        <v>215.8853</v>
      </c>
      <c r="M4223">
        <v>0.99984960000000001</v>
      </c>
      <c r="N4223">
        <v>-9.0128680000000003E-3</v>
      </c>
      <c r="O4223">
        <v>1.482317E-2</v>
      </c>
      <c r="P4223">
        <v>0.99664529999999996</v>
      </c>
      <c r="Q4223">
        <v>-8.0844899999999997E-2</v>
      </c>
      <c r="R4223">
        <v>1.2748300000000001E-2</v>
      </c>
      <c r="S4223">
        <v>3.0014949999999998</v>
      </c>
      <c r="T4223">
        <v>-0.1089432</v>
      </c>
      <c r="U4223">
        <v>-1.037598E-2</v>
      </c>
      <c r="V4223">
        <v>1.953457E-3</v>
      </c>
      <c r="W4223">
        <v>-7.1860279999999999E-2</v>
      </c>
      <c r="X4223">
        <v>0.99741279999999999</v>
      </c>
      <c r="Y4223">
        <v>1.8259689999999999E-2</v>
      </c>
      <c r="Z4223">
        <v>-8.1785630000000005E-4</v>
      </c>
      <c r="AA4223">
        <v>0.99983290000000002</v>
      </c>
      <c r="AB4223">
        <v>38</v>
      </c>
      <c r="AC4223">
        <v>30.401499999999999</v>
      </c>
      <c r="AD4223">
        <v>-1.1196512177089999</v>
      </c>
      <c r="AE4223">
        <v>-0.113100000000002</v>
      </c>
      <c r="AF4223">
        <v>0.56298883345789297</v>
      </c>
      <c r="AG4223">
        <v>-1.1196512177089999</v>
      </c>
      <c r="AH4223">
        <v>30.355310763295901</v>
      </c>
      <c r="AI4223">
        <v>92.112025984603207</v>
      </c>
      <c r="AJ4223">
        <v>88.937477974250598</v>
      </c>
      <c r="AK4223">
        <v>30.381169609022301</v>
      </c>
      <c r="AL4223">
        <v>94.1208425450601</v>
      </c>
      <c r="AM4223">
        <v>89.887784978844294</v>
      </c>
      <c r="AN4223">
        <v>1.00000000471988</v>
      </c>
    </row>
    <row r="4224" spans="1:40" x14ac:dyDescent="0.25">
      <c r="A4224" t="str">
        <f>"20190303154220787"</f>
        <v>20190303154220787</v>
      </c>
      <c r="B4224" t="str">
        <f>"1551598940783486"</f>
        <v>1551598940783486</v>
      </c>
      <c r="C4224" t="s">
        <v>40</v>
      </c>
      <c r="D4224">
        <v>5.6698639999999996</v>
      </c>
      <c r="E4224">
        <v>0.50683109999999998</v>
      </c>
      <c r="F4224" t="s">
        <v>50</v>
      </c>
      <c r="G4224">
        <v>-327.19619999999998</v>
      </c>
      <c r="H4224" s="1">
        <v>2.2926919999999999E-6</v>
      </c>
      <c r="I4224">
        <v>215.76759999999999</v>
      </c>
      <c r="J4224">
        <v>-357.97019999999998</v>
      </c>
      <c r="K4224">
        <v>1.11964</v>
      </c>
      <c r="L4224">
        <v>215.89279999999999</v>
      </c>
      <c r="M4224">
        <v>0.99985809999999997</v>
      </c>
      <c r="N4224">
        <v>-9.0549340000000006E-3</v>
      </c>
      <c r="O4224">
        <v>1.4208699999999999E-2</v>
      </c>
      <c r="P4224">
        <v>0.99668310000000004</v>
      </c>
      <c r="Q4224">
        <v>-8.0384170000000005E-2</v>
      </c>
      <c r="R4224">
        <v>1.269463E-2</v>
      </c>
      <c r="S4224">
        <v>3.0014949999999998</v>
      </c>
      <c r="T4224">
        <v>-0.1072946</v>
      </c>
      <c r="U4224">
        <v>-1.127625E-2</v>
      </c>
      <c r="V4224">
        <v>1.392805E-3</v>
      </c>
      <c r="W4224">
        <v>-7.135677E-2</v>
      </c>
      <c r="X4224">
        <v>0.9974499</v>
      </c>
      <c r="Y4224">
        <v>1.7946230000000001E-2</v>
      </c>
      <c r="Z4224">
        <v>-7.8105699999999896E-4</v>
      </c>
      <c r="AA4224">
        <v>0.99983869999999997</v>
      </c>
      <c r="AB4224">
        <v>38</v>
      </c>
      <c r="AC4224">
        <v>30.774000000000001</v>
      </c>
      <c r="AD4224">
        <v>-1.1196377073079999</v>
      </c>
      <c r="AE4224">
        <v>-0.125200000000006</v>
      </c>
      <c r="AF4224">
        <v>0.56172026659265695</v>
      </c>
      <c r="AG4224">
        <v>-1.1196377073079999</v>
      </c>
      <c r="AH4224">
        <v>30.7284398145277</v>
      </c>
      <c r="AI4224">
        <v>92.086387968760306</v>
      </c>
      <c r="AJ4224">
        <v>88.952741612463399</v>
      </c>
      <c r="AK4224">
        <v>30.753961235726699</v>
      </c>
      <c r="AL4224">
        <v>94.091919250297906</v>
      </c>
      <c r="AM4224">
        <v>89.919994180842593</v>
      </c>
      <c r="AN4224">
        <v>1.0000000157703</v>
      </c>
    </row>
    <row r="4225" spans="1:40" x14ac:dyDescent="0.25">
      <c r="A4225" t="str">
        <f>"20190303154220809"</f>
        <v>20190303154220809</v>
      </c>
      <c r="B4225" t="str">
        <f>"1551598940803981"</f>
        <v>1551598940803981</v>
      </c>
      <c r="C4225" t="s">
        <v>40</v>
      </c>
      <c r="D4225">
        <v>5.670363</v>
      </c>
      <c r="E4225">
        <v>0.50700140000000005</v>
      </c>
      <c r="F4225" t="s">
        <v>50</v>
      </c>
      <c r="G4225">
        <v>-326.01440000000002</v>
      </c>
      <c r="H4225" s="1">
        <v>1.663789E-6</v>
      </c>
      <c r="I4225">
        <v>215.75729999999999</v>
      </c>
      <c r="J4225">
        <v>-357.58749999999998</v>
      </c>
      <c r="K4225">
        <v>1.119629</v>
      </c>
      <c r="L4225">
        <v>215.89779999999999</v>
      </c>
      <c r="M4225">
        <v>0.99986399999999998</v>
      </c>
      <c r="N4225">
        <v>-9.0857669999999998E-3</v>
      </c>
      <c r="O4225">
        <v>1.376747E-2</v>
      </c>
      <c r="P4225">
        <v>0.99664929999999996</v>
      </c>
      <c r="Q4225">
        <v>-8.0896819999999994E-2</v>
      </c>
      <c r="R4225">
        <v>1.208073E-2</v>
      </c>
      <c r="S4225">
        <v>3.0016479999999999</v>
      </c>
      <c r="T4225">
        <v>-0.10516929999999999</v>
      </c>
      <c r="U4225">
        <v>-1.272583E-2</v>
      </c>
      <c r="V4225">
        <v>1.5637959999999999E-3</v>
      </c>
      <c r="W4225">
        <v>-7.1839269999999997E-2</v>
      </c>
      <c r="X4225">
        <v>0.99741500000000005</v>
      </c>
      <c r="Y4225">
        <v>1.7988549999999999E-2</v>
      </c>
      <c r="Z4225">
        <v>-7.5394119999999904E-4</v>
      </c>
      <c r="AA4225">
        <v>0.99983789999999995</v>
      </c>
      <c r="AB4225">
        <v>38</v>
      </c>
      <c r="AC4225">
        <v>31.573099999999901</v>
      </c>
      <c r="AD4225">
        <v>-1.1196273362109901</v>
      </c>
      <c r="AE4225">
        <v>-0.14050000000000201</v>
      </c>
      <c r="AF4225">
        <v>0.57446392658957801</v>
      </c>
      <c r="AG4225">
        <v>-1.1196273362109901</v>
      </c>
      <c r="AH4225">
        <v>31.5285262171856</v>
      </c>
      <c r="AI4225">
        <v>92.033470981752899</v>
      </c>
      <c r="AJ4225">
        <v>88.956160633094498</v>
      </c>
      <c r="AK4225">
        <v>31.5536295789042</v>
      </c>
      <c r="AL4225">
        <v>94.119635643605093</v>
      </c>
      <c r="AM4225">
        <v>89.910168949330298</v>
      </c>
      <c r="AN4225">
        <v>1.00000000419853</v>
      </c>
    </row>
    <row r="4226" spans="1:40" x14ac:dyDescent="0.25">
      <c r="A4226" t="str">
        <f>"20190303154220832"</f>
        <v>20190303154220832</v>
      </c>
      <c r="B4226" t="str">
        <f>"1551598940824477"</f>
        <v>1551598940824477</v>
      </c>
      <c r="C4226" t="s">
        <v>40</v>
      </c>
      <c r="D4226">
        <v>5.6774800000000001</v>
      </c>
      <c r="E4226">
        <v>0.50709369999999998</v>
      </c>
      <c r="F4226" t="s">
        <v>50</v>
      </c>
      <c r="G4226">
        <v>-326.07389999999998</v>
      </c>
      <c r="H4226" s="1">
        <v>1.6954690000000001E-6</v>
      </c>
      <c r="I4226">
        <v>215.72669999999999</v>
      </c>
      <c r="J4226">
        <v>-357.19819999999999</v>
      </c>
      <c r="K4226">
        <v>1.119618</v>
      </c>
      <c r="L4226">
        <v>215.90280000000001</v>
      </c>
      <c r="M4226">
        <v>0.99986980000000003</v>
      </c>
      <c r="N4226">
        <v>-9.1161249999999992E-3</v>
      </c>
      <c r="O4226">
        <v>1.331129E-2</v>
      </c>
      <c r="P4226">
        <v>0.99658990000000003</v>
      </c>
      <c r="Q4226">
        <v>-8.1778649999999994E-2</v>
      </c>
      <c r="R4226">
        <v>1.0981060000000001E-2</v>
      </c>
      <c r="S4226">
        <v>3.001617</v>
      </c>
      <c r="T4226">
        <v>-0.106643</v>
      </c>
      <c r="U4226">
        <v>-1.6296390000000001E-2</v>
      </c>
      <c r="V4226">
        <v>2.2054409999999998E-3</v>
      </c>
      <c r="W4226">
        <v>-7.2692199999999998E-2</v>
      </c>
      <c r="X4226">
        <v>0.99735200000000002</v>
      </c>
      <c r="Y4226">
        <v>1.8720810000000001E-2</v>
      </c>
      <c r="Z4226">
        <v>-7.6927009999999999E-4</v>
      </c>
      <c r="AA4226">
        <v>0.9998245</v>
      </c>
      <c r="AB4226">
        <v>38</v>
      </c>
      <c r="AC4226">
        <v>31.124300000000002</v>
      </c>
      <c r="AD4226">
        <v>-1.1196163045309999</v>
      </c>
      <c r="AE4226">
        <v>-0.17610000000001899</v>
      </c>
      <c r="AF4226">
        <v>0.58964323171081101</v>
      </c>
      <c r="AG4226">
        <v>-1.1196163045309999</v>
      </c>
      <c r="AH4226">
        <v>31.078982592474201</v>
      </c>
      <c r="AI4226">
        <v>92.062809883013799</v>
      </c>
      <c r="AJ4226">
        <v>88.913091320855301</v>
      </c>
      <c r="AK4226">
        <v>31.104732417967998</v>
      </c>
      <c r="AL4226">
        <v>94.168632993159804</v>
      </c>
      <c r="AM4226">
        <v>89.873302249053495</v>
      </c>
      <c r="AN4226">
        <v>1.00000001590742</v>
      </c>
    </row>
    <row r="4227" spans="1:40" x14ac:dyDescent="0.25">
      <c r="A4227" t="str">
        <f>"20190303154220854"</f>
        <v>20190303154220854</v>
      </c>
      <c r="B4227" t="str">
        <f>"1551598940844001"</f>
        <v>1551598940844001</v>
      </c>
      <c r="C4227" t="s">
        <v>40</v>
      </c>
      <c r="D4227">
        <v>5.7001359999999996</v>
      </c>
      <c r="E4227">
        <v>0.5071696</v>
      </c>
      <c r="F4227" t="s">
        <v>50</v>
      </c>
      <c r="G4227">
        <v>-326.48790000000002</v>
      </c>
      <c r="H4227" s="1">
        <v>1.9157269999999998E-6</v>
      </c>
      <c r="I4227">
        <v>215.6942</v>
      </c>
      <c r="J4227">
        <v>-356.81439999999998</v>
      </c>
      <c r="K4227">
        <v>1.1196159999999999</v>
      </c>
      <c r="L4227">
        <v>215.9075</v>
      </c>
      <c r="M4227">
        <v>0.99987550000000003</v>
      </c>
      <c r="N4227">
        <v>-9.1475879999999999E-3</v>
      </c>
      <c r="O4227">
        <v>1.285568E-2</v>
      </c>
      <c r="P4227">
        <v>0.99659379999999997</v>
      </c>
      <c r="Q4227">
        <v>-8.1802979999999997E-2</v>
      </c>
      <c r="R4227">
        <v>1.0453809999999999E-2</v>
      </c>
      <c r="S4227">
        <v>3.0014949999999998</v>
      </c>
      <c r="T4227">
        <v>-0.1094263</v>
      </c>
      <c r="U4227">
        <v>-2.0385739999999999E-2</v>
      </c>
      <c r="V4227">
        <v>2.2772280000000001E-3</v>
      </c>
      <c r="W4227">
        <v>-7.2685269999999996E-2</v>
      </c>
      <c r="X4227">
        <v>0.99735229999999997</v>
      </c>
      <c r="Y4227">
        <v>1.9625960000000001E-2</v>
      </c>
      <c r="Z4227">
        <v>-7.983822E-4</v>
      </c>
      <c r="AA4227">
        <v>0.99980709999999995</v>
      </c>
      <c r="AB4227">
        <v>38</v>
      </c>
      <c r="AC4227">
        <v>30.3264999999999</v>
      </c>
      <c r="AD4227">
        <v>-1.119614084273</v>
      </c>
      <c r="AE4227">
        <v>-0.21330000000000299</v>
      </c>
      <c r="AF4227">
        <v>0.60234552225756099</v>
      </c>
      <c r="AG4227">
        <v>-1.119614084273</v>
      </c>
      <c r="AH4227">
        <v>30.279982228001501</v>
      </c>
      <c r="AI4227">
        <v>92.117150514863795</v>
      </c>
      <c r="AJ4227">
        <v>88.860392162943498</v>
      </c>
      <c r="AK4227">
        <v>30.3066606466957</v>
      </c>
      <c r="AL4227">
        <v>94.168235062451899</v>
      </c>
      <c r="AM4227">
        <v>89.869178296724201</v>
      </c>
      <c r="AN4227">
        <v>0.99999997227881299</v>
      </c>
    </row>
    <row r="4228" spans="1:40" x14ac:dyDescent="0.25">
      <c r="A4228" t="str">
        <f>"20190303154220877"</f>
        <v>20190303154220877</v>
      </c>
      <c r="B4228" t="str">
        <f>"1551598940874254"</f>
        <v>1551598940874254</v>
      </c>
      <c r="C4228" t="s">
        <v>40</v>
      </c>
      <c r="D4228">
        <v>5.8323239999999998</v>
      </c>
      <c r="E4228">
        <v>0.50728030000000002</v>
      </c>
      <c r="F4228" t="s">
        <v>50</v>
      </c>
      <c r="G4228">
        <v>-326.2389</v>
      </c>
      <c r="H4228" s="1">
        <v>1.783235E-6</v>
      </c>
      <c r="I4228">
        <v>215.68119999999999</v>
      </c>
      <c r="J4228">
        <v>-356.43520000000001</v>
      </c>
      <c r="K4228">
        <v>1.119618</v>
      </c>
      <c r="L4228">
        <v>215.91200000000001</v>
      </c>
      <c r="M4228">
        <v>0.99988100000000002</v>
      </c>
      <c r="N4228">
        <v>-9.1811059999999996E-3</v>
      </c>
      <c r="O4228">
        <v>1.240234E-2</v>
      </c>
      <c r="P4228">
        <v>0.99666750000000004</v>
      </c>
      <c r="Q4228">
        <v>-8.0944169999999996E-2</v>
      </c>
      <c r="R4228">
        <v>1.0109379999999999E-2</v>
      </c>
      <c r="S4228">
        <v>3.0014340000000002</v>
      </c>
      <c r="T4228">
        <v>-0.1099067</v>
      </c>
      <c r="U4228">
        <v>-2.2216799999999998E-2</v>
      </c>
      <c r="V4228">
        <v>2.1708420000000001E-3</v>
      </c>
      <c r="W4228">
        <v>-7.1792320000000007E-2</v>
      </c>
      <c r="X4228">
        <v>0.9974172</v>
      </c>
      <c r="Y4228">
        <v>1.9782560000000001E-2</v>
      </c>
      <c r="Z4228">
        <v>-7.9307460000000005E-4</v>
      </c>
      <c r="AA4228">
        <v>0.99980400000000003</v>
      </c>
      <c r="AB4228">
        <v>38</v>
      </c>
      <c r="AC4228">
        <v>30.196300000000001</v>
      </c>
      <c r="AD4228">
        <v>-1.1196162167649999</v>
      </c>
      <c r="AE4228">
        <v>-0.23080000000001599</v>
      </c>
      <c r="AF4228">
        <v>0.60447182536559496</v>
      </c>
      <c r="AG4228">
        <v>-1.1196162167649999</v>
      </c>
      <c r="AH4228">
        <v>30.1496682475093</v>
      </c>
      <c r="AI4228">
        <v>92.126290366689702</v>
      </c>
      <c r="AJ4228">
        <v>88.851428653686796</v>
      </c>
      <c r="AK4228">
        <v>30.1765044711175</v>
      </c>
      <c r="AL4228">
        <v>94.116938823869603</v>
      </c>
      <c r="AM4228">
        <v>89.8752980315614</v>
      </c>
      <c r="AN4228">
        <v>0.99999996031090499</v>
      </c>
    </row>
    <row r="4229" spans="1:40" x14ac:dyDescent="0.25">
      <c r="A4229" t="str">
        <f>"20190303154220898"</f>
        <v>20190303154220898</v>
      </c>
      <c r="B4229" t="str">
        <f>"1551598940893774"</f>
        <v>1551598940893774</v>
      </c>
      <c r="C4229" t="s">
        <v>40</v>
      </c>
      <c r="D4229">
        <v>5.8343550000000004</v>
      </c>
      <c r="E4229">
        <v>0.50745509999999905</v>
      </c>
      <c r="F4229" t="s">
        <v>50</v>
      </c>
      <c r="G4229">
        <v>-325.38729999999998</v>
      </c>
      <c r="H4229" s="1">
        <v>1.3300810000000001E-6</v>
      </c>
      <c r="I4229">
        <v>215.66159999999999</v>
      </c>
      <c r="J4229">
        <v>-356.07089999999999</v>
      </c>
      <c r="K4229">
        <v>1.1196219999999999</v>
      </c>
      <c r="L4229">
        <v>215.9161</v>
      </c>
      <c r="M4229">
        <v>0.99988600000000005</v>
      </c>
      <c r="N4229">
        <v>-9.2167889999999995E-3</v>
      </c>
      <c r="O4229">
        <v>1.196527E-2</v>
      </c>
      <c r="P4229">
        <v>0.99673990000000001</v>
      </c>
      <c r="Q4229">
        <v>-8.0053230000000003E-2</v>
      </c>
      <c r="R4229">
        <v>1.0067950000000001E-2</v>
      </c>
      <c r="S4229">
        <v>3.0014949999999998</v>
      </c>
      <c r="T4229">
        <v>-0.10823679999999999</v>
      </c>
      <c r="U4229">
        <v>-2.420044E-2</v>
      </c>
      <c r="V4229">
        <v>1.7777839999999999E-3</v>
      </c>
      <c r="W4229">
        <v>-7.0864750000000004E-2</v>
      </c>
      <c r="X4229">
        <v>0.99748429999999999</v>
      </c>
      <c r="Y4229">
        <v>2.000671E-2</v>
      </c>
      <c r="Z4229">
        <v>-7.7392070000000001E-4</v>
      </c>
      <c r="AA4229">
        <v>0.99979949999999995</v>
      </c>
      <c r="AB4229">
        <v>38</v>
      </c>
      <c r="AC4229">
        <v>30.683599999999998</v>
      </c>
      <c r="AD4229">
        <v>-1.1196206699190001</v>
      </c>
      <c r="AE4229">
        <v>-0.254500000000007</v>
      </c>
      <c r="AF4229">
        <v>0.62080838275834105</v>
      </c>
      <c r="AG4229">
        <v>-1.1196206699190001</v>
      </c>
      <c r="AH4229">
        <v>30.6375680044025</v>
      </c>
      <c r="AI4229">
        <v>92.092459082940394</v>
      </c>
      <c r="AJ4229">
        <v>88.839175705961594</v>
      </c>
      <c r="AK4229">
        <v>30.664303786601799</v>
      </c>
      <c r="AL4229">
        <v>94.063657296643996</v>
      </c>
      <c r="AM4229">
        <v>89.897883693773807</v>
      </c>
      <c r="AN4229">
        <v>0.99999995102749994</v>
      </c>
    </row>
    <row r="4230" spans="1:40" x14ac:dyDescent="0.25">
      <c r="A4230" t="str">
        <f>"20190303154220924"</f>
        <v>20190303154220924</v>
      </c>
      <c r="B4230" t="str">
        <f>"1551598940914270"</f>
        <v>1551598940914270</v>
      </c>
      <c r="C4230" t="s">
        <v>40</v>
      </c>
      <c r="D4230">
        <v>5.8059609999999999</v>
      </c>
      <c r="E4230">
        <v>0.50758490000000001</v>
      </c>
      <c r="F4230" t="s">
        <v>50</v>
      </c>
      <c r="G4230">
        <v>-324.53309999999999</v>
      </c>
      <c r="H4230" s="1">
        <v>8.7550680000000002E-7</v>
      </c>
      <c r="I4230">
        <v>215.64340000000001</v>
      </c>
      <c r="J4230">
        <v>-355.63929999999999</v>
      </c>
      <c r="K4230">
        <v>1.119621</v>
      </c>
      <c r="L4230">
        <v>215.92080000000001</v>
      </c>
      <c r="M4230">
        <v>0.99989159999999999</v>
      </c>
      <c r="N4230">
        <v>-9.2622429999999999E-3</v>
      </c>
      <c r="O4230">
        <v>1.144744E-2</v>
      </c>
      <c r="P4230">
        <v>0.99673250000000002</v>
      </c>
      <c r="Q4230">
        <v>-8.0163349999999994E-2</v>
      </c>
      <c r="R4230">
        <v>9.9057659999999999E-3</v>
      </c>
      <c r="S4230">
        <v>3.0015260000000001</v>
      </c>
      <c r="T4230">
        <v>-0.1065571</v>
      </c>
      <c r="U4230">
        <v>-2.5955200000000001E-2</v>
      </c>
      <c r="V4230">
        <v>1.422995E-3</v>
      </c>
      <c r="W4230">
        <v>-7.0929199999999998E-2</v>
      </c>
      <c r="X4230">
        <v>0.99748029999999999</v>
      </c>
      <c r="Y4230">
        <v>2.0074060000000001E-2</v>
      </c>
      <c r="Z4230">
        <v>-7.4946469999999995E-4</v>
      </c>
      <c r="AA4230">
        <v>0.99979819999999997</v>
      </c>
      <c r="AB4230">
        <v>38</v>
      </c>
      <c r="AC4230">
        <v>31.106200000000001</v>
      </c>
      <c r="AD4230">
        <v>-1.11962012449319</v>
      </c>
      <c r="AE4230">
        <v>-0.27739999999999998</v>
      </c>
      <c r="AF4230">
        <v>0.63266387751811803</v>
      </c>
      <c r="AG4230">
        <v>-1.11962012449319</v>
      </c>
      <c r="AH4230">
        <v>31.060749031781</v>
      </c>
      <c r="AI4230">
        <v>92.063970187195494</v>
      </c>
      <c r="AJ4230">
        <v>88.833126713884994</v>
      </c>
      <c r="AK4230">
        <v>31.087359862496701</v>
      </c>
      <c r="AL4230">
        <v>94.067359278260099</v>
      </c>
      <c r="AM4230">
        <v>89.918262493546607</v>
      </c>
      <c r="AN4230">
        <v>0.99999996260774904</v>
      </c>
    </row>
    <row r="4231" spans="1:40" x14ac:dyDescent="0.25">
      <c r="A4231" t="str">
        <f>"20190303154220946"</f>
        <v>20190303154220946</v>
      </c>
      <c r="B4231" t="str">
        <f>"1551598940933791"</f>
        <v>1551598940933791</v>
      </c>
      <c r="C4231" t="s">
        <v>40</v>
      </c>
      <c r="D4231">
        <v>5.744516</v>
      </c>
      <c r="E4231">
        <v>0.50770159999999998</v>
      </c>
      <c r="F4231" t="s">
        <v>50</v>
      </c>
      <c r="G4231">
        <v>-324.50670000000002</v>
      </c>
      <c r="H4231" s="1">
        <v>8.6146539999999999E-7</v>
      </c>
      <c r="I4231">
        <v>215.63749999999999</v>
      </c>
      <c r="J4231">
        <v>-355.25069999999999</v>
      </c>
      <c r="K4231">
        <v>1.119623</v>
      </c>
      <c r="L4231">
        <v>215.92490000000001</v>
      </c>
      <c r="M4231">
        <v>0.99989649999999997</v>
      </c>
      <c r="N4231">
        <v>-9.309622E-3</v>
      </c>
      <c r="O4231">
        <v>1.098229E-2</v>
      </c>
      <c r="P4231">
        <v>0.99668829999999997</v>
      </c>
      <c r="Q4231">
        <v>-8.0659549999999997E-2</v>
      </c>
      <c r="R4231">
        <v>1.033353E-2</v>
      </c>
      <c r="S4231">
        <v>3.001465</v>
      </c>
      <c r="T4231">
        <v>-0.1079417</v>
      </c>
      <c r="U4231">
        <v>-2.7313230000000001E-2</v>
      </c>
      <c r="V4231">
        <v>5.2997250000000004E-4</v>
      </c>
      <c r="W4231">
        <v>-7.1377430000000006E-2</v>
      </c>
      <c r="X4231">
        <v>0.99744920000000004</v>
      </c>
      <c r="Y4231">
        <v>2.006113E-2</v>
      </c>
      <c r="Z4231">
        <v>-7.4663089999999995E-4</v>
      </c>
      <c r="AA4231">
        <v>0.99979850000000003</v>
      </c>
      <c r="AB4231">
        <v>38</v>
      </c>
      <c r="AC4231">
        <v>30.7439999999999</v>
      </c>
      <c r="AD4231">
        <v>-1.1196221385345999</v>
      </c>
      <c r="AE4231">
        <v>-0.28740000000001897</v>
      </c>
      <c r="AF4231">
        <v>0.62420899457266898</v>
      </c>
      <c r="AG4231">
        <v>-1.1196221385345999</v>
      </c>
      <c r="AH4231">
        <v>30.698279572737999</v>
      </c>
      <c r="AI4231">
        <v>92.088324266564896</v>
      </c>
      <c r="AJ4231">
        <v>88.835126476415994</v>
      </c>
      <c r="AK4231">
        <v>30.7250314780634</v>
      </c>
      <c r="AL4231">
        <v>94.093106225659</v>
      </c>
      <c r="AM4231">
        <v>89.969557161757606</v>
      </c>
      <c r="AN4231">
        <v>0.99999996248244705</v>
      </c>
    </row>
    <row r="4232" spans="1:40" x14ac:dyDescent="0.25">
      <c r="A4232" t="str">
        <f>"20190303154220966"</f>
        <v>20190303154220966</v>
      </c>
      <c r="B4232" t="str">
        <f>"1551598940954286"</f>
        <v>1551598940954286</v>
      </c>
      <c r="C4232" t="s">
        <v>40</v>
      </c>
      <c r="D4232">
        <v>5.8225429999999996</v>
      </c>
      <c r="E4232">
        <v>0.50784110000000005</v>
      </c>
      <c r="F4232" t="s">
        <v>50</v>
      </c>
      <c r="G4232">
        <v>-324.91759999999999</v>
      </c>
      <c r="H4232" s="1">
        <v>1.0800940000000001E-6</v>
      </c>
      <c r="I4232">
        <v>215.6499</v>
      </c>
      <c r="J4232">
        <v>-354.8877</v>
      </c>
      <c r="K4232">
        <v>1.1196219999999999</v>
      </c>
      <c r="L4232">
        <v>215.92850000000001</v>
      </c>
      <c r="M4232">
        <v>0.99990029999999996</v>
      </c>
      <c r="N4232">
        <v>-9.3733140000000006E-3</v>
      </c>
      <c r="O4232">
        <v>1.0551349999999999E-2</v>
      </c>
      <c r="P4232">
        <v>0.99663360000000001</v>
      </c>
      <c r="Q4232">
        <v>-8.1297869999999994E-2</v>
      </c>
      <c r="R4232">
        <v>1.059565E-2</v>
      </c>
      <c r="S4232">
        <v>3.0012819999999998</v>
      </c>
      <c r="T4232">
        <v>-0.1107798</v>
      </c>
      <c r="U4232">
        <v>-2.7206419999999999E-2</v>
      </c>
      <c r="V4232">
        <v>-1.6390799999999999E-4</v>
      </c>
      <c r="W4232">
        <v>-7.1951870000000001E-2</v>
      </c>
      <c r="X4232">
        <v>0.99740810000000002</v>
      </c>
      <c r="Y4232">
        <v>1.9594710000000001E-2</v>
      </c>
      <c r="Z4232">
        <v>-7.4381610000000004E-4</v>
      </c>
      <c r="AA4232">
        <v>0.99980769999999997</v>
      </c>
      <c r="AB4232">
        <v>38</v>
      </c>
      <c r="AC4232">
        <v>29.970099999999999</v>
      </c>
      <c r="AD4232">
        <v>-1.1196209199060001</v>
      </c>
      <c r="AE4232">
        <v>-0.27860000000001101</v>
      </c>
      <c r="AF4232">
        <v>0.59399451257672398</v>
      </c>
      <c r="AG4232">
        <v>-1.1196209199060001</v>
      </c>
      <c r="AH4232">
        <v>29.923733368398</v>
      </c>
      <c r="AI4232">
        <v>92.142347189808305</v>
      </c>
      <c r="AJ4232">
        <v>88.862812030726602</v>
      </c>
      <c r="AK4232">
        <v>29.950562585504802</v>
      </c>
      <c r="AL4232">
        <v>94.126103870545506</v>
      </c>
      <c r="AM4232">
        <v>90.009415640943601</v>
      </c>
      <c r="AN4232">
        <v>1.00000000820396</v>
      </c>
    </row>
    <row r="4233" spans="1:40" x14ac:dyDescent="0.25">
      <c r="A4233" t="str">
        <f>"20190303154220988"</f>
        <v>20190303154220988</v>
      </c>
      <c r="B4233" t="str">
        <f>"1551598940984542"</f>
        <v>1551598940984542</v>
      </c>
      <c r="C4233" t="s">
        <v>40</v>
      </c>
      <c r="D4233">
        <v>5.8349229999999999</v>
      </c>
      <c r="E4233">
        <v>0.50806109999999904</v>
      </c>
      <c r="F4233" t="s">
        <v>50</v>
      </c>
      <c r="G4233">
        <v>-325.32130000000001</v>
      </c>
      <c r="H4233" s="1">
        <v>1.2949530000000001E-6</v>
      </c>
      <c r="I4233">
        <v>215.6567</v>
      </c>
      <c r="J4233">
        <v>-354.52080000000001</v>
      </c>
      <c r="K4233">
        <v>1.1196429999999999</v>
      </c>
      <c r="L4233">
        <v>215.93199999999999</v>
      </c>
      <c r="M4233">
        <v>0.99990389999999996</v>
      </c>
      <c r="N4233">
        <v>-9.4713980000000007E-3</v>
      </c>
      <c r="O4233">
        <v>1.0123E-2</v>
      </c>
      <c r="P4233">
        <v>0.99661259999999996</v>
      </c>
      <c r="Q4233">
        <v>-8.1576199999999904E-2</v>
      </c>
      <c r="R4233">
        <v>1.04241E-2</v>
      </c>
      <c r="S4233">
        <v>3.00116</v>
      </c>
      <c r="T4233">
        <v>-0.1136481</v>
      </c>
      <c r="U4233">
        <v>-2.758789E-2</v>
      </c>
      <c r="V4233">
        <v>-4.1930050000000001E-4</v>
      </c>
      <c r="W4233">
        <v>-7.2132269999999998E-2</v>
      </c>
      <c r="X4233">
        <v>0.99739500000000003</v>
      </c>
      <c r="Y4233">
        <v>1.9293210000000002E-2</v>
      </c>
      <c r="Z4233">
        <v>-7.4391039999999902E-4</v>
      </c>
      <c r="AA4233">
        <v>0.99981359999999997</v>
      </c>
      <c r="AB4233">
        <v>38</v>
      </c>
      <c r="AC4233">
        <v>29.1995</v>
      </c>
      <c r="AD4233">
        <v>-1.119641705047</v>
      </c>
      <c r="AE4233">
        <v>-0.27530000000001498</v>
      </c>
      <c r="AF4233">
        <v>0.57004762230964401</v>
      </c>
      <c r="AG4233">
        <v>-1.119641705047</v>
      </c>
      <c r="AH4233">
        <v>29.152357694597299</v>
      </c>
      <c r="AI4233">
        <v>92.199032676637799</v>
      </c>
      <c r="AJ4233">
        <v>88.879776333747103</v>
      </c>
      <c r="AK4233">
        <v>29.179419305276301</v>
      </c>
      <c r="AL4233">
        <v>94.136466936286496</v>
      </c>
      <c r="AM4233">
        <v>90.024086893941103</v>
      </c>
      <c r="AN4233">
        <v>1.00000001310663</v>
      </c>
    </row>
    <row r="4234" spans="1:40" x14ac:dyDescent="0.25">
      <c r="A4234" t="str">
        <f>"20190303154221011"</f>
        <v>20190303154221011</v>
      </c>
      <c r="B4234" t="str">
        <f>"1551598941004062"</f>
        <v>1551598941004062</v>
      </c>
      <c r="C4234" t="s">
        <v>40</v>
      </c>
      <c r="D4234">
        <v>5.8136060000000001</v>
      </c>
      <c r="E4234">
        <v>0.50817999999999997</v>
      </c>
      <c r="F4234" t="s">
        <v>50</v>
      </c>
      <c r="G4234">
        <v>-325.47399999999999</v>
      </c>
      <c r="H4234" s="1">
        <v>1.3761789999999999E-6</v>
      </c>
      <c r="I4234">
        <v>215.643</v>
      </c>
      <c r="J4234">
        <v>-354.12580000000003</v>
      </c>
      <c r="K4234">
        <v>1.1196790000000001</v>
      </c>
      <c r="L4234">
        <v>215.93559999999999</v>
      </c>
      <c r="M4234">
        <v>0.99990710000000005</v>
      </c>
      <c r="N4234">
        <v>-9.6122810000000003E-3</v>
      </c>
      <c r="O4234">
        <v>9.6740720000000006E-3</v>
      </c>
      <c r="P4234">
        <v>0.99664750000000002</v>
      </c>
      <c r="Q4234">
        <v>-8.1171499999999994E-2</v>
      </c>
      <c r="R4234">
        <v>1.02626E-2</v>
      </c>
      <c r="S4234">
        <v>3.0010379999999999</v>
      </c>
      <c r="T4234">
        <v>-0.11567810000000001</v>
      </c>
      <c r="U4234">
        <v>-2.9861450000000001E-2</v>
      </c>
      <c r="V4234">
        <v>-7.0420960000000001E-4</v>
      </c>
      <c r="W4234">
        <v>-7.1586410000000003E-2</v>
      </c>
      <c r="X4234">
        <v>0.99743409999999999</v>
      </c>
      <c r="Y4234">
        <v>1.9601219999999999E-2</v>
      </c>
      <c r="Z4234">
        <v>-7.5166519999999995E-4</v>
      </c>
      <c r="AA4234">
        <v>0.99980760000000002</v>
      </c>
      <c r="AB4234">
        <v>39</v>
      </c>
      <c r="AC4234">
        <v>28.651800000000001</v>
      </c>
      <c r="AD4234">
        <v>-1.119677623821</v>
      </c>
      <c r="AE4234">
        <v>-0.29259999999999298</v>
      </c>
      <c r="AF4234">
        <v>0.56890994086889801</v>
      </c>
      <c r="AG4234">
        <v>-1.119677623821</v>
      </c>
      <c r="AH4234">
        <v>28.6039503376096</v>
      </c>
      <c r="AI4234">
        <v>92.241207930632001</v>
      </c>
      <c r="AJ4234">
        <v>88.860582505689706</v>
      </c>
      <c r="AK4234">
        <v>28.631509066385998</v>
      </c>
      <c r="AL4234">
        <v>94.105110670568294</v>
      </c>
      <c r="AM4234">
        <v>90.0404520271249</v>
      </c>
      <c r="AN4234">
        <v>0.99999994692532801</v>
      </c>
    </row>
    <row r="4235" spans="1:40" x14ac:dyDescent="0.25">
      <c r="A4235" t="str">
        <f>"20190303154221034"</f>
        <v>20190303154221034</v>
      </c>
      <c r="B4235" t="str">
        <f>"1551598941023585"</f>
        <v>1551598941023585</v>
      </c>
      <c r="C4235" t="s">
        <v>40</v>
      </c>
      <c r="D4235">
        <v>5.7923609999999996</v>
      </c>
      <c r="E4235">
        <v>0.50830509999999995</v>
      </c>
      <c r="F4235" t="s">
        <v>50</v>
      </c>
      <c r="G4235">
        <v>-324.99029999999999</v>
      </c>
      <c r="H4235" s="1">
        <v>1.118801E-6</v>
      </c>
      <c r="I4235">
        <v>215.631</v>
      </c>
      <c r="J4235">
        <v>-353.73110000000003</v>
      </c>
      <c r="K4235">
        <v>1.1197189999999999</v>
      </c>
      <c r="L4235">
        <v>215.93899999999999</v>
      </c>
      <c r="M4235">
        <v>0.99990959999999995</v>
      </c>
      <c r="N4235">
        <v>-9.7763180000000009E-3</v>
      </c>
      <c r="O4235">
        <v>9.2407300000000008E-3</v>
      </c>
      <c r="P4235">
        <v>0.99669580000000002</v>
      </c>
      <c r="Q4235">
        <v>-8.0566540000000006E-2</v>
      </c>
      <c r="R4235">
        <v>1.03327E-2</v>
      </c>
      <c r="S4235">
        <v>3.0010379999999999</v>
      </c>
      <c r="T4235">
        <v>-0.1153299</v>
      </c>
      <c r="U4235">
        <v>-3.1372070000000002E-2</v>
      </c>
      <c r="V4235">
        <v>-1.2027190000000001E-3</v>
      </c>
      <c r="W4235">
        <v>-7.0816809999999994E-2</v>
      </c>
      <c r="X4235">
        <v>0.99748859999999995</v>
      </c>
      <c r="Y4235">
        <v>1.9671379999999999E-2</v>
      </c>
      <c r="Z4235">
        <v>-7.3870809999999996E-4</v>
      </c>
      <c r="AA4235">
        <v>0.99980619999999998</v>
      </c>
      <c r="AB4235">
        <v>39</v>
      </c>
      <c r="AC4235">
        <v>28.7408</v>
      </c>
      <c r="AD4235">
        <v>-1.1197178811990001</v>
      </c>
      <c r="AE4235">
        <v>-0.30800000000004901</v>
      </c>
      <c r="AF4235">
        <v>0.57271631152180202</v>
      </c>
      <c r="AG4235">
        <v>-1.1197178811990001</v>
      </c>
      <c r="AH4235">
        <v>28.6931804648449</v>
      </c>
      <c r="AI4235">
        <v>92.234322392595402</v>
      </c>
      <c r="AJ4235">
        <v>88.856527221280501</v>
      </c>
      <c r="AK4235">
        <v>28.720730793193901</v>
      </c>
      <c r="AL4235">
        <v>94.060903471779696</v>
      </c>
      <c r="AM4235">
        <v>90.069084187273404</v>
      </c>
      <c r="AN4235">
        <v>0.99999998712076399</v>
      </c>
    </row>
    <row r="4236" spans="1:40" x14ac:dyDescent="0.25">
      <c r="A4236" t="str">
        <f>"20190303154221055"</f>
        <v>20190303154221055</v>
      </c>
      <c r="B4236" t="str">
        <f>"1551598941044078"</f>
        <v>1551598941044078</v>
      </c>
      <c r="C4236" t="s">
        <v>40</v>
      </c>
      <c r="D4236">
        <v>5.793031</v>
      </c>
      <c r="E4236">
        <v>0.50852730000000002</v>
      </c>
      <c r="F4236" t="s">
        <v>50</v>
      </c>
      <c r="G4236">
        <v>-324.3578</v>
      </c>
      <c r="H4236" s="1">
        <v>7.8224630000000003E-7</v>
      </c>
      <c r="I4236">
        <v>215.62389999999999</v>
      </c>
      <c r="J4236">
        <v>-353.35950000000003</v>
      </c>
      <c r="K4236">
        <v>1.1197569999999999</v>
      </c>
      <c r="L4236">
        <v>215.94210000000001</v>
      </c>
      <c r="M4236">
        <v>0.99991140000000001</v>
      </c>
      <c r="N4236">
        <v>-9.9406059999999994E-3</v>
      </c>
      <c r="O4236">
        <v>8.8513440000000006E-3</v>
      </c>
      <c r="P4236">
        <v>0.99671790000000005</v>
      </c>
      <c r="Q4236">
        <v>-8.0357880000000007E-2</v>
      </c>
      <c r="R4236">
        <v>9.8080939999999998E-3</v>
      </c>
      <c r="S4236">
        <v>3.0010680000000001</v>
      </c>
      <c r="T4236">
        <v>-0.1144018</v>
      </c>
      <c r="U4236">
        <v>-3.2196040000000002E-2</v>
      </c>
      <c r="V4236">
        <v>-1.0643359999999999E-3</v>
      </c>
      <c r="W4236">
        <v>-7.0444309999999996E-2</v>
      </c>
      <c r="X4236">
        <v>0.99751509999999999</v>
      </c>
      <c r="Y4236">
        <v>1.955701E-2</v>
      </c>
      <c r="Z4236">
        <v>-7.1918939999999999E-4</v>
      </c>
      <c r="AA4236">
        <v>0.99980849999999999</v>
      </c>
      <c r="AB4236">
        <v>39</v>
      </c>
      <c r="AC4236">
        <v>29.0017</v>
      </c>
      <c r="AD4236">
        <v>-1.1197562177536999</v>
      </c>
      <c r="AE4236">
        <v>-0.31820000000001802</v>
      </c>
      <c r="AF4236">
        <v>0.57404859436783695</v>
      </c>
      <c r="AG4236">
        <v>-1.1197562177536999</v>
      </c>
      <c r="AH4236">
        <v>28.954588756476198</v>
      </c>
      <c r="AI4236">
        <v>92.214252250395703</v>
      </c>
      <c r="AJ4236">
        <v>88.864212728850504</v>
      </c>
      <c r="AK4236">
        <v>28.981918429126601</v>
      </c>
      <c r="AL4236">
        <v>94.039507490946093</v>
      </c>
      <c r="AM4236">
        <v>90.061133849143701</v>
      </c>
      <c r="AN4236">
        <v>0.999999954175252</v>
      </c>
    </row>
    <row r="4237" spans="1:40" x14ac:dyDescent="0.25">
      <c r="A4237" t="str">
        <f>"20190303154221078"</f>
        <v>20190303154221078</v>
      </c>
      <c r="B4237" t="str">
        <f>"1551598941074334"</f>
        <v>1551598941074334</v>
      </c>
      <c r="C4237" t="s">
        <v>40</v>
      </c>
      <c r="D4237">
        <v>5.7731810000000001</v>
      </c>
      <c r="E4237">
        <v>0.50877550000000005</v>
      </c>
      <c r="F4237" t="s">
        <v>50</v>
      </c>
      <c r="G4237">
        <v>-323.7054</v>
      </c>
      <c r="H4237" s="1">
        <v>4.350388E-7</v>
      </c>
      <c r="I4237">
        <v>215.59010000000001</v>
      </c>
      <c r="J4237">
        <v>-352.96800000000002</v>
      </c>
      <c r="K4237">
        <v>1.1197950000000001</v>
      </c>
      <c r="L4237">
        <v>215.9452</v>
      </c>
      <c r="M4237">
        <v>0.99991319999999995</v>
      </c>
      <c r="N4237">
        <v>-1.0116389999999999E-2</v>
      </c>
      <c r="O4237">
        <v>8.4631269999999904E-3</v>
      </c>
      <c r="P4237">
        <v>0.99674379999999996</v>
      </c>
      <c r="Q4237">
        <v>-8.0186199999999999E-2</v>
      </c>
      <c r="R4237">
        <v>8.4867850000000002E-3</v>
      </c>
      <c r="S4237">
        <v>3.0011290000000002</v>
      </c>
      <c r="T4237">
        <v>-0.1133243</v>
      </c>
      <c r="U4237">
        <v>-3.5629269999999998E-2</v>
      </c>
      <c r="V4237">
        <v>-1.26828E-4</v>
      </c>
      <c r="W4237">
        <v>-7.0098179999999996E-2</v>
      </c>
      <c r="X4237">
        <v>0.99754010000000004</v>
      </c>
      <c r="Y4237">
        <v>2.0312070000000002E-2</v>
      </c>
      <c r="Z4237">
        <v>-7.1999789999999998E-4</v>
      </c>
      <c r="AA4237">
        <v>0.99979340000000005</v>
      </c>
      <c r="AB4237">
        <v>39</v>
      </c>
      <c r="AC4237">
        <v>29.262599999999999</v>
      </c>
      <c r="AD4237">
        <v>-1.1197945649612</v>
      </c>
      <c r="AE4237">
        <v>-0.35509999999999298</v>
      </c>
      <c r="AF4237">
        <v>0.601871775659097</v>
      </c>
      <c r="AG4237">
        <v>-1.1197945649612</v>
      </c>
      <c r="AH4237">
        <v>29.215770100288001</v>
      </c>
      <c r="AI4237">
        <v>92.194517598423502</v>
      </c>
      <c r="AJ4237">
        <v>88.819821101308506</v>
      </c>
      <c r="AK4237">
        <v>29.2434165592007</v>
      </c>
      <c r="AL4237">
        <v>94.019626325657597</v>
      </c>
      <c r="AM4237">
        <v>90.007284628542607</v>
      </c>
      <c r="AN4237">
        <v>1.0000000110163301</v>
      </c>
    </row>
    <row r="4238" spans="1:40" x14ac:dyDescent="0.25">
      <c r="A4238" t="str">
        <f>"20190303154221100"</f>
        <v>20190303154221100</v>
      </c>
      <c r="B4238" t="str">
        <f>"1551598941093854"</f>
        <v>1551598941093854</v>
      </c>
      <c r="C4238" t="s">
        <v>40</v>
      </c>
      <c r="D4238">
        <v>5.7802410000000002</v>
      </c>
      <c r="E4238">
        <v>0.5088992</v>
      </c>
      <c r="F4238" t="s">
        <v>50</v>
      </c>
      <c r="G4238">
        <v>-323.12790000000001</v>
      </c>
      <c r="H4238" s="1">
        <v>1.2772089999999999E-7</v>
      </c>
      <c r="I4238">
        <v>215.53219999999999</v>
      </c>
      <c r="J4238">
        <v>-352.589</v>
      </c>
      <c r="K4238">
        <v>1.1198330000000001</v>
      </c>
      <c r="L4238">
        <v>215.94810000000001</v>
      </c>
      <c r="M4238">
        <v>0.99991430000000003</v>
      </c>
      <c r="N4238">
        <v>-1.028841E-2</v>
      </c>
      <c r="O4238">
        <v>8.10665E-3</v>
      </c>
      <c r="P4238">
        <v>0.99670840000000005</v>
      </c>
      <c r="Q4238">
        <v>-8.0741809999999997E-2</v>
      </c>
      <c r="R4238">
        <v>7.2921660000000001E-3</v>
      </c>
      <c r="S4238">
        <v>3.001099</v>
      </c>
      <c r="T4238">
        <v>-0.112620899999999</v>
      </c>
      <c r="U4238">
        <v>-4.1534420000000002E-2</v>
      </c>
      <c r="V4238">
        <v>7.143373E-4</v>
      </c>
      <c r="W4238">
        <v>-7.0483509999999999E-2</v>
      </c>
      <c r="X4238">
        <v>0.99751270000000003</v>
      </c>
      <c r="Y4238">
        <v>2.1921599999999999E-2</v>
      </c>
      <c r="Z4238">
        <v>-7.4469919999999999E-4</v>
      </c>
      <c r="AA4238">
        <v>0.99975939999999996</v>
      </c>
      <c r="AB4238">
        <v>39</v>
      </c>
      <c r="AC4238">
        <v>29.461099999999899</v>
      </c>
      <c r="AD4238">
        <v>-1.1198328722791</v>
      </c>
      <c r="AE4238">
        <v>-0.41590000000002098</v>
      </c>
      <c r="AF4238">
        <v>0.65378537625650701</v>
      </c>
      <c r="AG4238">
        <v>-1.1198328722791</v>
      </c>
      <c r="AH4238">
        <v>29.414270742375798</v>
      </c>
      <c r="AI4238">
        <v>92.179721057688695</v>
      </c>
      <c r="AJ4238">
        <v>88.726707309419396</v>
      </c>
      <c r="AK4238">
        <v>29.442839270115101</v>
      </c>
      <c r="AL4238">
        <v>94.041758852022397</v>
      </c>
      <c r="AM4238">
        <v>89.958969439243802</v>
      </c>
      <c r="AN4238">
        <v>1.0000000110604901</v>
      </c>
    </row>
    <row r="4239" spans="1:40" x14ac:dyDescent="0.25">
      <c r="A4239" t="str">
        <f>"20190303154221124"</f>
        <v>20190303154221124</v>
      </c>
      <c r="B4239" t="str">
        <f>"1551598941114351"</f>
        <v>1551598941114351</v>
      </c>
      <c r="C4239" t="s">
        <v>40</v>
      </c>
      <c r="D4239">
        <v>5.7992819999999998</v>
      </c>
      <c r="E4239">
        <v>0.5089899</v>
      </c>
      <c r="F4239" t="s">
        <v>50</v>
      </c>
      <c r="G4239">
        <v>-323.38690000000003</v>
      </c>
      <c r="H4239" s="1">
        <v>2.6552810000000001E-7</v>
      </c>
      <c r="I4239">
        <v>215.50139999999999</v>
      </c>
      <c r="J4239">
        <v>-352.19040000000001</v>
      </c>
      <c r="K4239">
        <v>1.1198699999999999</v>
      </c>
      <c r="L4239">
        <v>215.95089999999999</v>
      </c>
      <c r="M4239">
        <v>0.9999152</v>
      </c>
      <c r="N4239">
        <v>-1.0466639999999999E-2</v>
      </c>
      <c r="O4239">
        <v>7.7487119999999996E-3</v>
      </c>
      <c r="P4239">
        <v>0.99669680000000005</v>
      </c>
      <c r="Q4239">
        <v>-8.0995150000000002E-2</v>
      </c>
      <c r="R4239">
        <v>5.9523140000000002E-3</v>
      </c>
      <c r="S4239">
        <v>3.0009160000000001</v>
      </c>
      <c r="T4239">
        <v>-0.1150781</v>
      </c>
      <c r="U4239">
        <v>-4.5898439999999999E-2</v>
      </c>
      <c r="V4239">
        <v>1.699952E-3</v>
      </c>
      <c r="W4239">
        <v>-7.0560250000000005E-2</v>
      </c>
      <c r="X4239">
        <v>0.99750609999999995</v>
      </c>
      <c r="Y4239">
        <v>2.3016249999999999E-2</v>
      </c>
      <c r="Z4239">
        <v>-7.7758229999999996E-4</v>
      </c>
      <c r="AA4239">
        <v>0.99973480000000003</v>
      </c>
      <c r="AB4239">
        <v>39</v>
      </c>
      <c r="AC4239">
        <v>28.8034999999999</v>
      </c>
      <c r="AD4239">
        <v>-1.1198697344719</v>
      </c>
      <c r="AE4239">
        <v>-0.44950000000000001</v>
      </c>
      <c r="AF4239">
        <v>0.67167368360925594</v>
      </c>
      <c r="AG4239">
        <v>-1.1198697344719</v>
      </c>
      <c r="AH4239">
        <v>28.755694652151298</v>
      </c>
      <c r="AI4239">
        <v>92.2296081341091</v>
      </c>
      <c r="AJ4239">
        <v>88.661932144055399</v>
      </c>
      <c r="AK4239">
        <v>28.785330095157899</v>
      </c>
      <c r="AL4239">
        <v>94.046166631399601</v>
      </c>
      <c r="AM4239">
        <v>89.902356506209003</v>
      </c>
      <c r="AN4239">
        <v>1.0000000291270299</v>
      </c>
    </row>
    <row r="4240" spans="1:40" x14ac:dyDescent="0.25">
      <c r="A4240" t="str">
        <f>"20190303154221146"</f>
        <v>20190303154221146</v>
      </c>
      <c r="B4240" t="str">
        <f>"1551598941143630"</f>
        <v>1551598941143630</v>
      </c>
      <c r="C4240" t="s">
        <v>40</v>
      </c>
      <c r="D4240">
        <v>5.7934960000000002</v>
      </c>
      <c r="E4240">
        <v>0.5092795</v>
      </c>
      <c r="F4240" t="s">
        <v>50</v>
      </c>
      <c r="G4240">
        <v>-323.42189999999999</v>
      </c>
      <c r="H4240" s="1">
        <v>2.8419579999999998E-7</v>
      </c>
      <c r="I4240">
        <v>215.46250000000001</v>
      </c>
      <c r="J4240">
        <v>-351.78730000000002</v>
      </c>
      <c r="K4240">
        <v>1.11991</v>
      </c>
      <c r="L4240">
        <v>215.9537</v>
      </c>
      <c r="M4240">
        <v>0.99991600000000003</v>
      </c>
      <c r="N4240">
        <v>-1.064907E-2</v>
      </c>
      <c r="O4240">
        <v>7.4052889999999998E-3</v>
      </c>
      <c r="P4240">
        <v>0.99670210000000004</v>
      </c>
      <c r="Q4240">
        <v>-8.1008700000000003E-2</v>
      </c>
      <c r="R4240">
        <v>4.7493209999999999E-3</v>
      </c>
      <c r="S4240">
        <v>3.0007630000000001</v>
      </c>
      <c r="T4240">
        <v>-0.11681080000000001</v>
      </c>
      <c r="U4240">
        <v>-5.0949099999999997E-2</v>
      </c>
      <c r="V4240">
        <v>2.563591E-3</v>
      </c>
      <c r="W4240">
        <v>-7.0392579999999996E-2</v>
      </c>
      <c r="X4240">
        <v>0.99751610000000002</v>
      </c>
      <c r="Y4240">
        <v>2.4354000000000001E-2</v>
      </c>
      <c r="Z4240">
        <v>-8.1285509999999995E-4</v>
      </c>
      <c r="AA4240">
        <v>0.99970300000000001</v>
      </c>
      <c r="AB4240">
        <v>39</v>
      </c>
      <c r="AC4240">
        <v>28.365400000000001</v>
      </c>
      <c r="AD4240">
        <v>-1.1199097158042</v>
      </c>
      <c r="AE4240">
        <v>-0.49119999999999198</v>
      </c>
      <c r="AF4240">
        <v>0.70016132114350504</v>
      </c>
      <c r="AG4240">
        <v>-1.1199097158042</v>
      </c>
      <c r="AH4240">
        <v>28.316857600461699</v>
      </c>
      <c r="AI4240">
        <v>92.264131930461105</v>
      </c>
      <c r="AJ4240">
        <v>88.583595789217</v>
      </c>
      <c r="AK4240">
        <v>28.347642724078501</v>
      </c>
      <c r="AL4240">
        <v>94.036535903366399</v>
      </c>
      <c r="AM4240">
        <v>89.852751628446796</v>
      </c>
      <c r="AN4240">
        <v>1.00000002853854</v>
      </c>
    </row>
    <row r="4241" spans="1:40" x14ac:dyDescent="0.25">
      <c r="A4241" t="str">
        <f>"20190303154221168"</f>
        <v>20190303154221168</v>
      </c>
      <c r="B4241" t="str">
        <f>"1551598941164126"</f>
        <v>1551598941164126</v>
      </c>
      <c r="C4241" t="s">
        <v>40</v>
      </c>
      <c r="D4241">
        <v>5.8166000000000002</v>
      </c>
      <c r="E4241">
        <v>0.50934079999999904</v>
      </c>
      <c r="F4241" t="s">
        <v>50</v>
      </c>
      <c r="G4241">
        <v>-322.7407</v>
      </c>
      <c r="H4241" s="1">
        <v>-7.830569E-8</v>
      </c>
      <c r="I4241">
        <v>215.40260000000001</v>
      </c>
      <c r="J4241">
        <v>-351.42320000000001</v>
      </c>
      <c r="K4241">
        <v>1.1199429999999999</v>
      </c>
      <c r="L4241">
        <v>215.95609999999999</v>
      </c>
      <c r="M4241">
        <v>0.99991629999999998</v>
      </c>
      <c r="N4241">
        <v>-1.082383E-2</v>
      </c>
      <c r="O4241">
        <v>7.1084679999999997E-3</v>
      </c>
      <c r="P4241">
        <v>0.99673129999999999</v>
      </c>
      <c r="Q4241">
        <v>-8.0665570000000006E-2</v>
      </c>
      <c r="R4241">
        <v>4.483501E-3</v>
      </c>
      <c r="S4241">
        <v>3.0007630000000001</v>
      </c>
      <c r="T4241">
        <v>-0.1156964</v>
      </c>
      <c r="U4241">
        <v>-5.6930540000000002E-2</v>
      </c>
      <c r="V4241">
        <v>2.536665E-3</v>
      </c>
      <c r="W4241">
        <v>-6.9874729999999996E-2</v>
      </c>
      <c r="X4241">
        <v>0.99755260000000001</v>
      </c>
      <c r="Y4241">
        <v>2.604822E-2</v>
      </c>
      <c r="Z4241">
        <v>-8.4000969999999998E-4</v>
      </c>
      <c r="AA4241">
        <v>0.99966029999999995</v>
      </c>
      <c r="AB4241">
        <v>39</v>
      </c>
      <c r="AC4241">
        <v>28.682500000000001</v>
      </c>
      <c r="AD4241">
        <v>-1.1199430783056901</v>
      </c>
      <c r="AE4241">
        <v>-0.553499999999985</v>
      </c>
      <c r="AF4241">
        <v>0.75623403139679302</v>
      </c>
      <c r="AG4241">
        <v>-1.1199430783056901</v>
      </c>
      <c r="AH4241">
        <v>28.634200820759801</v>
      </c>
      <c r="AI4241">
        <v>92.239035375974595</v>
      </c>
      <c r="AJ4241">
        <v>88.487160551266996</v>
      </c>
      <c r="AK4241">
        <v>28.666070868755099</v>
      </c>
      <c r="AL4241">
        <v>94.006791952477101</v>
      </c>
      <c r="AM4241">
        <v>89.8543035372074</v>
      </c>
      <c r="AN4241">
        <v>1.0000000511643199</v>
      </c>
    </row>
    <row r="4242" spans="1:40" x14ac:dyDescent="0.25">
      <c r="A4242" t="str">
        <f>"20190303154221189"</f>
        <v>20190303154221189</v>
      </c>
      <c r="B4242" t="str">
        <f>"1551598941183646"</f>
        <v>1551598941183646</v>
      </c>
      <c r="C4242" t="s">
        <v>40</v>
      </c>
      <c r="D4242">
        <v>5.8421010000000004</v>
      </c>
      <c r="E4242">
        <v>0.50941069999999999</v>
      </c>
      <c r="F4242" t="s">
        <v>50</v>
      </c>
      <c r="G4242">
        <v>-322.41739999999999</v>
      </c>
      <c r="H4242" s="1">
        <v>-2.5037150000000003E-7</v>
      </c>
      <c r="I4242">
        <v>215.39420000000001</v>
      </c>
      <c r="J4242">
        <v>-351.05130000000003</v>
      </c>
      <c r="K4242">
        <v>1.1199779999999999</v>
      </c>
      <c r="L4242">
        <v>215.95849999999999</v>
      </c>
      <c r="M4242">
        <v>0.99991609999999997</v>
      </c>
      <c r="N4242">
        <v>-1.101631E-2</v>
      </c>
      <c r="O4242">
        <v>6.8222480000000004E-3</v>
      </c>
      <c r="P4242">
        <v>0.99673929999999999</v>
      </c>
      <c r="Q4242">
        <v>-8.0569799999999997E-2</v>
      </c>
      <c r="R4242">
        <v>4.42707E-3</v>
      </c>
      <c r="S4242">
        <v>3.0007320000000002</v>
      </c>
      <c r="T4242">
        <v>-0.11586109999999999</v>
      </c>
      <c r="U4242">
        <v>-5.8135989999999999E-2</v>
      </c>
      <c r="V4242">
        <v>2.3103820000000001E-3</v>
      </c>
      <c r="W4242">
        <v>-6.958657E-2</v>
      </c>
      <c r="X4242">
        <v>0.9975733</v>
      </c>
      <c r="Y4242">
        <v>2.6163579999999999E-2</v>
      </c>
      <c r="Z4242">
        <v>-8.3722739999999999E-4</v>
      </c>
      <c r="AA4242">
        <v>0.99965729999999997</v>
      </c>
      <c r="AB4242">
        <v>39</v>
      </c>
      <c r="AC4242">
        <v>28.633900000000001</v>
      </c>
      <c r="AD4242">
        <v>-1.1199782503714999</v>
      </c>
      <c r="AE4242">
        <v>-0.56429999999997404</v>
      </c>
      <c r="AF4242">
        <v>0.75848633243458796</v>
      </c>
      <c r="AG4242">
        <v>-1.1199782503714999</v>
      </c>
      <c r="AH4242">
        <v>28.585667784842101</v>
      </c>
      <c r="AI4242">
        <v>92.242895990923699</v>
      </c>
      <c r="AJ4242">
        <v>88.480081993331197</v>
      </c>
      <c r="AK4242">
        <v>28.6176528650264</v>
      </c>
      <c r="AL4242">
        <v>93.990241284560597</v>
      </c>
      <c r="AM4242">
        <v>89.867303083409595</v>
      </c>
      <c r="AN4242">
        <v>1.00000005873111</v>
      </c>
    </row>
    <row r="4243" spans="1:40" x14ac:dyDescent="0.25">
      <c r="A4243" t="str">
        <f>"20190303154221212"</f>
        <v>20190303154221212</v>
      </c>
      <c r="B4243" t="str">
        <f>"1551598941204143"</f>
        <v>1551598941204143</v>
      </c>
      <c r="C4243" t="s">
        <v>40</v>
      </c>
      <c r="D4243">
        <v>5.8147779999999996</v>
      </c>
      <c r="E4243">
        <v>0.50945289999999999</v>
      </c>
      <c r="F4243" t="s">
        <v>50</v>
      </c>
      <c r="G4243">
        <v>-322.42320000000001</v>
      </c>
      <c r="H4243" s="1">
        <v>-2.4729199999999999E-7</v>
      </c>
      <c r="I4243">
        <v>215.3974</v>
      </c>
      <c r="J4243">
        <v>-350.64640000000003</v>
      </c>
      <c r="K4243">
        <v>1.120026</v>
      </c>
      <c r="L4243">
        <v>215.96090000000001</v>
      </c>
      <c r="M4243">
        <v>0.99991549999999996</v>
      </c>
      <c r="N4243">
        <v>-1.1247969999999999E-2</v>
      </c>
      <c r="O4243">
        <v>6.5356279999999999E-3</v>
      </c>
      <c r="P4243">
        <v>0.99669379999999996</v>
      </c>
      <c r="Q4243">
        <v>-8.1131049999999996E-2</v>
      </c>
      <c r="R4243">
        <v>4.406727E-3</v>
      </c>
      <c r="S4243">
        <v>3.00061</v>
      </c>
      <c r="T4243">
        <v>-0.1173887</v>
      </c>
      <c r="U4243">
        <v>-5.8807369999999998E-2</v>
      </c>
      <c r="V4243">
        <v>2.0469770000000002E-3</v>
      </c>
      <c r="W4243">
        <v>-6.9916839999999994E-2</v>
      </c>
      <c r="X4243">
        <v>0.99755070000000001</v>
      </c>
      <c r="Y4243">
        <v>2.610084E-2</v>
      </c>
      <c r="Z4243">
        <v>-8.3926879999999995E-4</v>
      </c>
      <c r="AA4243">
        <v>0.99965890000000002</v>
      </c>
      <c r="AB4243">
        <v>39</v>
      </c>
      <c r="AC4243">
        <v>28.223199999999999</v>
      </c>
      <c r="AD4243">
        <v>-1.120026247292</v>
      </c>
      <c r="AE4243">
        <v>-0.563500000000004</v>
      </c>
      <c r="AF4243">
        <v>0.74678033616263895</v>
      </c>
      <c r="AG4243">
        <v>-1.120026247292</v>
      </c>
      <c r="AH4243">
        <v>28.174560583531399</v>
      </c>
      <c r="AI4243">
        <v>92.275688022757706</v>
      </c>
      <c r="AJ4243">
        <v>88.481703179472206</v>
      </c>
      <c r="AK4243">
        <v>28.2067013977207</v>
      </c>
      <c r="AL4243">
        <v>94.009210891327299</v>
      </c>
      <c r="AM4243">
        <v>89.882429055239498</v>
      </c>
      <c r="AN4243">
        <v>0.99999997685045605</v>
      </c>
    </row>
    <row r="4244" spans="1:40" x14ac:dyDescent="0.25">
      <c r="A4244" t="str">
        <f>"20190303154221235"</f>
        <v>20190303154221235</v>
      </c>
      <c r="B4244" t="str">
        <f>"1551598941223662"</f>
        <v>1551598941223662</v>
      </c>
      <c r="C4244" t="s">
        <v>40</v>
      </c>
      <c r="D4244">
        <v>5.7796839999999996</v>
      </c>
      <c r="E4244">
        <v>0.50951080000000004</v>
      </c>
      <c r="F4244" t="s">
        <v>50</v>
      </c>
      <c r="G4244">
        <v>-322.83080000000001</v>
      </c>
      <c r="H4244" s="1">
        <v>-3.0363679999999997E-8</v>
      </c>
      <c r="I4244">
        <v>215.41120000000001</v>
      </c>
      <c r="J4244">
        <v>-350.26240000000001</v>
      </c>
      <c r="K4244">
        <v>1.1200779999999999</v>
      </c>
      <c r="L4244">
        <v>215.9632</v>
      </c>
      <c r="M4244">
        <v>0.99991419999999998</v>
      </c>
      <c r="N4244">
        <v>-1.150142E-2</v>
      </c>
      <c r="O4244">
        <v>6.2787590000000001E-3</v>
      </c>
      <c r="P4244">
        <v>0.99665420000000005</v>
      </c>
      <c r="Q4244">
        <v>-8.1610420000000003E-2</v>
      </c>
      <c r="R4244">
        <v>4.5265959999999999E-3</v>
      </c>
      <c r="S4244">
        <v>3.0003660000000001</v>
      </c>
      <c r="T4244">
        <v>-0.1208134</v>
      </c>
      <c r="U4244">
        <v>-5.9295649999999998E-2</v>
      </c>
      <c r="V4244">
        <v>1.6735630000000001E-3</v>
      </c>
      <c r="W4244">
        <v>-7.014339E-2</v>
      </c>
      <c r="X4244">
        <v>0.99753550000000002</v>
      </c>
      <c r="Y4244">
        <v>2.600682E-2</v>
      </c>
      <c r="Z4244">
        <v>-8.5349899999999997E-4</v>
      </c>
      <c r="AA4244">
        <v>0.99966140000000003</v>
      </c>
      <c r="AB4244">
        <v>39</v>
      </c>
      <c r="AC4244">
        <v>27.4316</v>
      </c>
      <c r="AD4244">
        <v>-1.1200780303636799</v>
      </c>
      <c r="AE4244">
        <v>-0.55199999999999205</v>
      </c>
      <c r="AF4244">
        <v>0.72303193731926396</v>
      </c>
      <c r="AG4244">
        <v>-1.1200780303636799</v>
      </c>
      <c r="AH4244">
        <v>27.381959687302501</v>
      </c>
      <c r="AI4244">
        <v>92.3416023476872</v>
      </c>
      <c r="AJ4244">
        <v>88.487432792689006</v>
      </c>
      <c r="AK4244">
        <v>27.414395238515599</v>
      </c>
      <c r="AL4244">
        <v>94.022223165011596</v>
      </c>
      <c r="AM4244">
        <v>89.903875093482895</v>
      </c>
      <c r="AN4244">
        <v>0.99999998486702801</v>
      </c>
    </row>
    <row r="4245" spans="1:40" x14ac:dyDescent="0.25">
      <c r="A4245" t="str">
        <f>"20190303154221258"</f>
        <v>20190303154221258</v>
      </c>
      <c r="B4245" t="str">
        <f>"1551598941253918"</f>
        <v>1551598941253918</v>
      </c>
      <c r="C4245" t="s">
        <v>40</v>
      </c>
      <c r="D4245">
        <v>5.7071779999999999</v>
      </c>
      <c r="E4245">
        <v>0.50966670000000003</v>
      </c>
      <c r="F4245" t="s">
        <v>50</v>
      </c>
      <c r="G4245">
        <v>-323.0822</v>
      </c>
      <c r="H4245" s="1">
        <v>1.033826E-7</v>
      </c>
      <c r="I4245">
        <v>215.4263</v>
      </c>
      <c r="J4245">
        <v>-349.86279999999999</v>
      </c>
      <c r="K4245">
        <v>1.1201479999999999</v>
      </c>
      <c r="L4245">
        <v>215.96539999999999</v>
      </c>
      <c r="M4245">
        <v>0.99991220000000003</v>
      </c>
      <c r="N4245">
        <v>-1.1811159999999999E-2</v>
      </c>
      <c r="O4245">
        <v>6.0120909999999998E-3</v>
      </c>
      <c r="P4245">
        <v>0.99661880000000003</v>
      </c>
      <c r="Q4245">
        <v>-8.2011440000000005E-2</v>
      </c>
      <c r="R4245">
        <v>5.0179020000000003E-3</v>
      </c>
      <c r="S4245">
        <v>3.0002439999999999</v>
      </c>
      <c r="T4245">
        <v>-0.12363780000000001</v>
      </c>
      <c r="U4245">
        <v>-5.9265140000000001E-2</v>
      </c>
      <c r="V4245">
        <v>9.2002450000000003E-4</v>
      </c>
      <c r="W4245">
        <v>-7.023509E-2</v>
      </c>
      <c r="X4245">
        <v>0.99753000000000003</v>
      </c>
      <c r="Y4245">
        <v>2.572988E-2</v>
      </c>
      <c r="Z4245">
        <v>-8.5857479999999905E-4</v>
      </c>
      <c r="AA4245">
        <v>0.99966849999999996</v>
      </c>
      <c r="AB4245">
        <v>39</v>
      </c>
      <c r="AC4245">
        <v>26.7806</v>
      </c>
      <c r="AD4245">
        <v>-1.1201478966174001</v>
      </c>
      <c r="AE4245">
        <v>-0.53909999999999003</v>
      </c>
      <c r="AF4245">
        <v>0.69888669076450805</v>
      </c>
      <c r="AG4245">
        <v>-1.1201478966174001</v>
      </c>
      <c r="AH4245">
        <v>26.730129579919701</v>
      </c>
      <c r="AI4245">
        <v>92.398803573865706</v>
      </c>
      <c r="AJ4245">
        <v>88.502284224266504</v>
      </c>
      <c r="AK4245">
        <v>26.762716627355299</v>
      </c>
      <c r="AL4245">
        <v>94.027490288114905</v>
      </c>
      <c r="AM4245">
        <v>89.947155969292197</v>
      </c>
      <c r="AN4245">
        <v>0.99999995760619298</v>
      </c>
    </row>
    <row r="4246" spans="1:40" x14ac:dyDescent="0.25">
      <c r="A4246" t="str">
        <f>"20190303154221279"</f>
        <v>20190303154221279</v>
      </c>
      <c r="B4246" t="str">
        <f>"1551598941274415"</f>
        <v>1551598941274415</v>
      </c>
      <c r="C4246" t="s">
        <v>40</v>
      </c>
      <c r="D4246">
        <v>5.7553219999999996</v>
      </c>
      <c r="E4246">
        <v>0.49545990000000001</v>
      </c>
      <c r="F4246" t="s">
        <v>50</v>
      </c>
      <c r="G4246">
        <v>-322.95549999999997</v>
      </c>
      <c r="H4246" s="1">
        <v>3.5990550000000003E-8</v>
      </c>
      <c r="I4246">
        <v>215.43549999999999</v>
      </c>
      <c r="J4246">
        <v>-349.50150000000002</v>
      </c>
      <c r="K4246">
        <v>1.1202160000000001</v>
      </c>
      <c r="L4246">
        <v>215.96729999999999</v>
      </c>
      <c r="M4246">
        <v>0.99990999999999997</v>
      </c>
      <c r="N4246">
        <v>-1.211365E-2</v>
      </c>
      <c r="O4246">
        <v>5.7692139999999999E-3</v>
      </c>
      <c r="P4246">
        <v>0.9966237</v>
      </c>
      <c r="Q4246">
        <v>-8.1930989999999995E-2</v>
      </c>
      <c r="R4246">
        <v>5.3593950000000003E-3</v>
      </c>
      <c r="S4246">
        <v>3.0001829999999998</v>
      </c>
      <c r="T4246">
        <v>-0.12489740000000001</v>
      </c>
      <c r="U4246">
        <v>-5.9082030000000001E-2</v>
      </c>
      <c r="V4246">
        <v>3.3966509999999999E-4</v>
      </c>
      <c r="W4246">
        <v>-6.9852339999999999E-2</v>
      </c>
      <c r="X4246">
        <v>0.99755729999999998</v>
      </c>
      <c r="Y4246">
        <v>2.5426239999999999E-2</v>
      </c>
      <c r="Z4246">
        <v>-8.532619E-4</v>
      </c>
      <c r="AA4246">
        <v>0.99967629999999996</v>
      </c>
      <c r="AB4246">
        <v>39</v>
      </c>
      <c r="AC4246">
        <v>26.545999999999999</v>
      </c>
      <c r="AD4246">
        <v>-1.12021596400944</v>
      </c>
      <c r="AE4246">
        <v>-0.53180000000000305</v>
      </c>
      <c r="AF4246">
        <v>0.68373485959364899</v>
      </c>
      <c r="AG4246">
        <v>-1.12021596400944</v>
      </c>
      <c r="AH4246">
        <v>26.495326977614798</v>
      </c>
      <c r="AI4246">
        <v>92.420204926559606</v>
      </c>
      <c r="AJ4246">
        <v>88.521760869843106</v>
      </c>
      <c r="AK4246">
        <v>26.527810479098498</v>
      </c>
      <c r="AL4246">
        <v>94.005506099751599</v>
      </c>
      <c r="AM4246">
        <v>89.980490969364993</v>
      </c>
      <c r="AN4246">
        <v>1.0000000157795701</v>
      </c>
    </row>
    <row r="4247" spans="1:40" x14ac:dyDescent="0.25">
      <c r="A4247" t="str">
        <f>"20190303154221302"</f>
        <v>20190303154221302</v>
      </c>
      <c r="B4247" t="str">
        <f>"1551598941293935"</f>
        <v>1551598941293935</v>
      </c>
      <c r="C4247" t="s">
        <v>40</v>
      </c>
      <c r="D4247">
        <v>5.7768959999999998</v>
      </c>
      <c r="E4247">
        <v>0.49601089999999998</v>
      </c>
      <c r="F4247" t="s">
        <v>50</v>
      </c>
      <c r="G4247">
        <v>-334.43090000000001</v>
      </c>
      <c r="H4247" s="1">
        <v>7.5038609999999897E-7</v>
      </c>
      <c r="I4247">
        <v>216.23419999999999</v>
      </c>
      <c r="J4247">
        <v>-349.10149999999999</v>
      </c>
      <c r="K4247">
        <v>1.1202780000000001</v>
      </c>
      <c r="L4247">
        <v>215.96940000000001</v>
      </c>
      <c r="M4247">
        <v>0.9999074</v>
      </c>
      <c r="N4247">
        <v>-1.244324E-2</v>
      </c>
      <c r="O4247">
        <v>5.5028680000000002E-3</v>
      </c>
      <c r="P4247">
        <v>0.99667539999999999</v>
      </c>
      <c r="Q4247">
        <v>-8.1277810000000006E-2</v>
      </c>
      <c r="R4247">
        <v>5.6624609999999997E-3</v>
      </c>
      <c r="S4247">
        <v>2.9916079999999998</v>
      </c>
      <c r="T4247">
        <v>-0.22236980000000001</v>
      </c>
      <c r="U4247">
        <v>5.2978520000000001E-2</v>
      </c>
      <c r="V4247">
        <v>-2.257855E-4</v>
      </c>
      <c r="W4247">
        <v>-6.8869319999999998E-2</v>
      </c>
      <c r="X4247">
        <v>0.9976256</v>
      </c>
      <c r="Y4247">
        <v>-1.2174870000000001E-2</v>
      </c>
      <c r="Z4247">
        <v>1.876665E-4</v>
      </c>
      <c r="AA4247">
        <v>0.99992590000000003</v>
      </c>
      <c r="AB4247">
        <v>38</v>
      </c>
      <c r="AC4247">
        <v>14.670599999999901</v>
      </c>
      <c r="AD4247">
        <v>-1.1202772496139</v>
      </c>
      <c r="AE4247">
        <v>0.264799999999979</v>
      </c>
      <c r="AF4247">
        <v>-0.18299264841850199</v>
      </c>
      <c r="AG4247">
        <v>-1.1202772496139</v>
      </c>
      <c r="AH4247">
        <v>14.5868047584656</v>
      </c>
      <c r="AI4247">
        <v>94.391392354949701</v>
      </c>
      <c r="AJ4247">
        <v>90.718742496209501</v>
      </c>
      <c r="AK4247">
        <v>14.6309049784</v>
      </c>
      <c r="AL4247">
        <v>93.9490475432967</v>
      </c>
      <c r="AM4247">
        <v>90.012967345669907</v>
      </c>
      <c r="AN4247">
        <v>0.99999993599585502</v>
      </c>
    </row>
    <row r="4248" spans="1:40" x14ac:dyDescent="0.25">
      <c r="A4248" t="str">
        <f>"20190303154221324"</f>
        <v>20190303154221324</v>
      </c>
      <c r="B4248" t="str">
        <f>"1551598941314430"</f>
        <v>1551598941314430</v>
      </c>
      <c r="C4248" t="s">
        <v>40</v>
      </c>
      <c r="D4248">
        <v>5.7841009999999997</v>
      </c>
      <c r="E4248">
        <v>0.4956023</v>
      </c>
      <c r="F4248" t="s">
        <v>50</v>
      </c>
      <c r="G4248">
        <v>-333.66789999999997</v>
      </c>
      <c r="H4248" s="1">
        <v>3.447786E-7</v>
      </c>
      <c r="I4248">
        <v>216.22460000000001</v>
      </c>
      <c r="J4248">
        <v>-348.73070000000001</v>
      </c>
      <c r="K4248">
        <v>1.1203209999999999</v>
      </c>
      <c r="L4248">
        <v>215.97120000000001</v>
      </c>
      <c r="M4248">
        <v>0.9999053</v>
      </c>
      <c r="N4248">
        <v>-1.2728349999999999E-2</v>
      </c>
      <c r="O4248">
        <v>5.2616440000000002E-3</v>
      </c>
      <c r="P4248">
        <v>0.9966952</v>
      </c>
      <c r="Q4248">
        <v>-8.103718E-2</v>
      </c>
      <c r="R4248">
        <v>5.6445829999999999E-3</v>
      </c>
      <c r="S4248">
        <v>2.9920040000000001</v>
      </c>
      <c r="T4248">
        <v>-0.21718029999999999</v>
      </c>
      <c r="U4248">
        <v>4.948425E-2</v>
      </c>
      <c r="V4248">
        <v>-4.4652880000000002E-4</v>
      </c>
      <c r="W4248">
        <v>-6.8343860000000006E-2</v>
      </c>
      <c r="X4248">
        <v>0.99766169999999998</v>
      </c>
      <c r="Y4248">
        <v>-1.12496E-2</v>
      </c>
      <c r="Z4248">
        <v>1.6494090000000001E-4</v>
      </c>
      <c r="AA4248">
        <v>0.99993670000000001</v>
      </c>
      <c r="AB4248">
        <v>38</v>
      </c>
      <c r="AC4248">
        <v>15.062799999999999</v>
      </c>
      <c r="AD4248">
        <v>-1.1203206552214</v>
      </c>
      <c r="AE4248">
        <v>0.25339999999999901</v>
      </c>
      <c r="AF4248">
        <v>-0.17317726574877701</v>
      </c>
      <c r="AG4248">
        <v>-1.1203206552214</v>
      </c>
      <c r="AH4248">
        <v>14.981074708568601</v>
      </c>
      <c r="AI4248">
        <v>94.276470395282004</v>
      </c>
      <c r="AJ4248">
        <v>90.662294574873002</v>
      </c>
      <c r="AK4248">
        <v>15.023904557724</v>
      </c>
      <c r="AL4248">
        <v>93.918869642104497</v>
      </c>
      <c r="AM4248">
        <v>90.025644177743402</v>
      </c>
      <c r="AN4248">
        <v>0.99999997511727901</v>
      </c>
    </row>
    <row r="4249" spans="1:40" x14ac:dyDescent="0.25">
      <c r="A4249" t="str">
        <f>"20190303154221347"</f>
        <v>20190303154221347</v>
      </c>
      <c r="B4249" t="str">
        <f>"1551598941333950"</f>
        <v>1551598941333950</v>
      </c>
      <c r="C4249" t="s">
        <v>40</v>
      </c>
      <c r="D4249">
        <v>5.7726989999999896</v>
      </c>
      <c r="E4249">
        <v>0.4957684</v>
      </c>
      <c r="F4249" t="s">
        <v>50</v>
      </c>
      <c r="G4249">
        <v>-333.392</v>
      </c>
      <c r="H4249" s="1">
        <v>1.9724240000000001E-7</v>
      </c>
      <c r="I4249">
        <v>216.2414</v>
      </c>
      <c r="J4249">
        <v>-348.33069999999998</v>
      </c>
      <c r="K4249">
        <v>1.1203479999999999</v>
      </c>
      <c r="L4249">
        <v>215.97300000000001</v>
      </c>
      <c r="M4249">
        <v>0.99990299999999999</v>
      </c>
      <c r="N4249">
        <v>-1.300834E-2</v>
      </c>
      <c r="O4249">
        <v>5.0077209999999997E-3</v>
      </c>
      <c r="P4249">
        <v>0.99662410000000001</v>
      </c>
      <c r="Q4249">
        <v>-8.1920820000000005E-2</v>
      </c>
      <c r="R4249">
        <v>5.4502109999999999E-3</v>
      </c>
      <c r="S4249">
        <v>2.9918819999999999</v>
      </c>
      <c r="T4249">
        <v>-0.21852360000000001</v>
      </c>
      <c r="U4249">
        <v>5.2703859999999998E-2</v>
      </c>
      <c r="V4249">
        <v>-5.0597290000000002E-4</v>
      </c>
      <c r="W4249">
        <v>-6.8948930000000005E-2</v>
      </c>
      <c r="X4249">
        <v>0.99761999999999995</v>
      </c>
      <c r="Y4249">
        <v>-1.257484E-2</v>
      </c>
      <c r="Z4249">
        <v>2.4033769999999999E-4</v>
      </c>
      <c r="AA4249">
        <v>0.9999209</v>
      </c>
      <c r="AB4249">
        <v>38</v>
      </c>
      <c r="AC4249">
        <v>14.9386999999999</v>
      </c>
      <c r="AD4249">
        <v>-1.1203478027575999</v>
      </c>
      <c r="AE4249">
        <v>0.26840000000001402</v>
      </c>
      <c r="AF4249">
        <v>-0.19249912098633601</v>
      </c>
      <c r="AG4249">
        <v>-1.1203478027575999</v>
      </c>
      <c r="AH4249">
        <v>14.856325136774499</v>
      </c>
      <c r="AI4249">
        <v>94.312275820627406</v>
      </c>
      <c r="AJ4249">
        <v>90.742361916410403</v>
      </c>
      <c r="AK4249">
        <v>14.8997527388974</v>
      </c>
      <c r="AL4249">
        <v>93.953619722290696</v>
      </c>
      <c r="AM4249">
        <v>90.029059270295505</v>
      </c>
      <c r="AN4249">
        <v>0.99999993767835804</v>
      </c>
    </row>
    <row r="4250" spans="1:40" x14ac:dyDescent="0.25">
      <c r="A4250" t="str">
        <f>"20190303154221370"</f>
        <v>20190303154221370</v>
      </c>
      <c r="B4250" t="str">
        <f>"1551598941364206"</f>
        <v>1551598941364206</v>
      </c>
      <c r="C4250" t="s">
        <v>40</v>
      </c>
      <c r="D4250">
        <v>5.7934269999999897</v>
      </c>
      <c r="E4250">
        <v>0.49564819999999998</v>
      </c>
      <c r="F4250" t="s">
        <v>50</v>
      </c>
      <c r="G4250">
        <v>-333.53500000000003</v>
      </c>
      <c r="H4250" s="1">
        <v>2.741094E-7</v>
      </c>
      <c r="I4250">
        <v>216.22329999999999</v>
      </c>
      <c r="J4250">
        <v>-347.94909999999999</v>
      </c>
      <c r="K4250">
        <v>1.1203700000000001</v>
      </c>
      <c r="L4250">
        <v>215.97470000000001</v>
      </c>
      <c r="M4250">
        <v>0.99990089999999998</v>
      </c>
      <c r="N4250">
        <v>-1.3248909999999999E-2</v>
      </c>
      <c r="O4250">
        <v>4.7686100000000004E-3</v>
      </c>
      <c r="P4250">
        <v>0.99662740000000005</v>
      </c>
      <c r="Q4250">
        <v>-8.1923570000000001E-2</v>
      </c>
      <c r="R4250">
        <v>4.7333269999999998E-3</v>
      </c>
      <c r="S4250">
        <v>2.9912719999999999</v>
      </c>
      <c r="T4250">
        <v>-0.2265025</v>
      </c>
      <c r="U4250">
        <v>5.059814E-2</v>
      </c>
      <c r="V4250" s="1">
        <v>-2.674758E-5</v>
      </c>
      <c r="W4250">
        <v>-6.8712029999999993E-2</v>
      </c>
      <c r="X4250">
        <v>0.99763659999999998</v>
      </c>
      <c r="Y4250">
        <v>-1.211284E-2</v>
      </c>
      <c r="Z4250">
        <v>2.408612E-4</v>
      </c>
      <c r="AA4250">
        <v>0.9999266</v>
      </c>
      <c r="AB4250">
        <v>38</v>
      </c>
      <c r="AC4250">
        <v>14.4140999999999</v>
      </c>
      <c r="AD4250">
        <v>-1.1203697258906</v>
      </c>
      <c r="AE4250">
        <v>0.248599999999981</v>
      </c>
      <c r="AF4250">
        <v>-0.178776158777639</v>
      </c>
      <c r="AG4250">
        <v>-1.1203697258906</v>
      </c>
      <c r="AH4250">
        <v>14.328580711249799</v>
      </c>
      <c r="AI4250">
        <v>94.470585664920506</v>
      </c>
      <c r="AJ4250">
        <v>90.714836179967804</v>
      </c>
      <c r="AK4250">
        <v>14.3734273726359</v>
      </c>
      <c r="AL4250">
        <v>93.940013582364102</v>
      </c>
      <c r="AM4250">
        <v>90.001536153992106</v>
      </c>
      <c r="AN4250">
        <v>1.00000006472085</v>
      </c>
    </row>
    <row r="4251" spans="1:40" x14ac:dyDescent="0.25">
      <c r="A4251" t="str">
        <f>"20190303154221391"</f>
        <v>20190303154221391</v>
      </c>
      <c r="B4251" t="str">
        <f>"1551598941383727"</f>
        <v>1551598941383727</v>
      </c>
      <c r="C4251" t="s">
        <v>40</v>
      </c>
      <c r="D4251">
        <v>5.8079460000000003</v>
      </c>
      <c r="E4251">
        <v>0.49564950000000002</v>
      </c>
      <c r="F4251" t="s">
        <v>50</v>
      </c>
      <c r="G4251">
        <v>-333.3329</v>
      </c>
      <c r="H4251" s="1">
        <v>1.6689640000000001E-7</v>
      </c>
      <c r="I4251">
        <v>216.21619999999999</v>
      </c>
      <c r="J4251">
        <v>-347.577</v>
      </c>
      <c r="K4251">
        <v>1.1203909999999999</v>
      </c>
      <c r="L4251">
        <v>215.97620000000001</v>
      </c>
      <c r="M4251">
        <v>0.99989910000000004</v>
      </c>
      <c r="N4251">
        <v>-1.345884E-2</v>
      </c>
      <c r="O4251">
        <v>4.5350579999999998E-3</v>
      </c>
      <c r="P4251">
        <v>0.99664889999999995</v>
      </c>
      <c r="Q4251">
        <v>-8.1688490000000002E-2</v>
      </c>
      <c r="R4251">
        <v>4.2605389999999998E-3</v>
      </c>
      <c r="S4251">
        <v>2.9910580000000002</v>
      </c>
      <c r="T4251">
        <v>-0.2292728</v>
      </c>
      <c r="U4251">
        <v>4.9423219999999997E-2</v>
      </c>
      <c r="V4251">
        <v>2.136595E-4</v>
      </c>
      <c r="W4251">
        <v>-6.8267389999999997E-2</v>
      </c>
      <c r="X4251">
        <v>0.99766699999999997</v>
      </c>
      <c r="Y4251">
        <v>-1.195419E-2</v>
      </c>
      <c r="Z4251">
        <v>2.5192539999999999E-4</v>
      </c>
      <c r="AA4251">
        <v>0.9999285</v>
      </c>
      <c r="AB4251">
        <v>38</v>
      </c>
      <c r="AC4251">
        <v>14.2441</v>
      </c>
      <c r="AD4251">
        <v>-1.1203908331036001</v>
      </c>
      <c r="AE4251">
        <v>0.23999999999998001</v>
      </c>
      <c r="AF4251">
        <v>-0.17431570005344199</v>
      </c>
      <c r="AG4251">
        <v>-1.1203908331036001</v>
      </c>
      <c r="AH4251">
        <v>14.157476786659901</v>
      </c>
      <c r="AI4251">
        <v>94.524487168365596</v>
      </c>
      <c r="AJ4251">
        <v>90.705425790591605</v>
      </c>
      <c r="AK4251">
        <v>14.2028099525059</v>
      </c>
      <c r="AL4251">
        <v>93.914478026067997</v>
      </c>
      <c r="AM4251">
        <v>89.987729585707697</v>
      </c>
      <c r="AN4251">
        <v>0.99999996253839596</v>
      </c>
    </row>
    <row r="4252" spans="1:40" x14ac:dyDescent="0.25">
      <c r="A4252" t="str">
        <f>"20190303154221413"</f>
        <v>20190303154221413</v>
      </c>
      <c r="B4252" t="str">
        <f>"1551598941404222"</f>
        <v>1551598941404222</v>
      </c>
      <c r="C4252" t="s">
        <v>40</v>
      </c>
      <c r="D4252">
        <v>5.8364529999999997</v>
      </c>
      <c r="E4252">
        <v>0.49558530000000001</v>
      </c>
      <c r="F4252" t="s">
        <v>50</v>
      </c>
      <c r="G4252">
        <v>-333.01530000000002</v>
      </c>
      <c r="H4252" s="1">
        <v>-1.8275510000000001E-9</v>
      </c>
      <c r="I4252">
        <v>216.20910000000001</v>
      </c>
      <c r="J4252">
        <v>-347.19130000000001</v>
      </c>
      <c r="K4252">
        <v>1.1204080000000001</v>
      </c>
      <c r="L4252">
        <v>215.9777</v>
      </c>
      <c r="M4252">
        <v>0.99989760000000005</v>
      </c>
      <c r="N4252">
        <v>-1.365222E-2</v>
      </c>
      <c r="O4252">
        <v>4.2906510000000004E-3</v>
      </c>
      <c r="P4252">
        <v>0.99668380000000001</v>
      </c>
      <c r="Q4252">
        <v>-8.1280889999999995E-2</v>
      </c>
      <c r="R4252">
        <v>3.8402279999999998E-3</v>
      </c>
      <c r="S4252">
        <v>2.9909970000000001</v>
      </c>
      <c r="T4252">
        <v>-0.23012959999999999</v>
      </c>
      <c r="U4252">
        <v>4.7836299999999998E-2</v>
      </c>
      <c r="V4252">
        <v>3.9137589999999999E-4</v>
      </c>
      <c r="W4252">
        <v>-6.7666550000000006E-2</v>
      </c>
      <c r="X4252">
        <v>0.99770789999999998</v>
      </c>
      <c r="Y4252">
        <v>-1.1668700000000001E-2</v>
      </c>
      <c r="Z4252">
        <v>2.5689849999999999E-4</v>
      </c>
      <c r="AA4252">
        <v>0.99993189999999998</v>
      </c>
      <c r="AB4252">
        <v>38</v>
      </c>
      <c r="AC4252">
        <v>14.175999999999901</v>
      </c>
      <c r="AD4252">
        <v>-1.12040800182755</v>
      </c>
      <c r="AE4252">
        <v>0.23140000000000699</v>
      </c>
      <c r="AF4252">
        <v>-0.169509353782759</v>
      </c>
      <c r="AG4252">
        <v>-1.12040800182755</v>
      </c>
      <c r="AH4252">
        <v>14.088878031542899</v>
      </c>
      <c r="AI4252">
        <v>94.546509635625696</v>
      </c>
      <c r="AJ4252">
        <v>90.689316917164106</v>
      </c>
      <c r="AK4252">
        <v>14.1343741177058</v>
      </c>
      <c r="AL4252">
        <v>93.879972551728002</v>
      </c>
      <c r="AM4252">
        <v>89.977524297318894</v>
      </c>
      <c r="AN4252">
        <v>0.99999998444320304</v>
      </c>
    </row>
    <row r="4253" spans="1:40" x14ac:dyDescent="0.25">
      <c r="A4253" t="str">
        <f>"20190303154221435"</f>
        <v>20190303154221435</v>
      </c>
      <c r="B4253" t="str">
        <f>"1551598941423742"</f>
        <v>1551598941423742</v>
      </c>
      <c r="C4253" t="s">
        <v>40</v>
      </c>
      <c r="D4253">
        <v>5.8552850000000003</v>
      </c>
      <c r="E4253">
        <v>0.49557699999999999</v>
      </c>
      <c r="F4253" t="s">
        <v>50</v>
      </c>
      <c r="G4253">
        <v>-332.70049999999998</v>
      </c>
      <c r="H4253" s="1">
        <v>-1.6919239999999999E-7</v>
      </c>
      <c r="I4253">
        <v>216.20590000000001</v>
      </c>
      <c r="J4253">
        <v>-346.81939999999997</v>
      </c>
      <c r="K4253">
        <v>1.12042</v>
      </c>
      <c r="L4253">
        <v>215.97909999999999</v>
      </c>
      <c r="M4253">
        <v>0.99989649999999997</v>
      </c>
      <c r="N4253">
        <v>-1.381664E-2</v>
      </c>
      <c r="O4253">
        <v>4.0523479999999999E-3</v>
      </c>
      <c r="P4253">
        <v>0.996726</v>
      </c>
      <c r="Q4253">
        <v>-8.078697E-2</v>
      </c>
      <c r="R4253">
        <v>3.3406410000000001E-3</v>
      </c>
      <c r="S4253">
        <v>2.990936</v>
      </c>
      <c r="T4253">
        <v>-0.2312554</v>
      </c>
      <c r="U4253">
        <v>4.7088619999999998E-2</v>
      </c>
      <c r="V4253">
        <v>6.5431389999999999E-4</v>
      </c>
      <c r="W4253">
        <v>-6.7008230000000002E-2</v>
      </c>
      <c r="X4253">
        <v>0.99775219999999998</v>
      </c>
      <c r="Y4253">
        <v>-1.16566E-2</v>
      </c>
      <c r="Z4253">
        <v>2.7370340000000001E-4</v>
      </c>
      <c r="AA4253">
        <v>0.99993209999999999</v>
      </c>
      <c r="AB4253">
        <v>38</v>
      </c>
      <c r="AC4253">
        <v>14.118899999999901</v>
      </c>
      <c r="AD4253">
        <v>-1.1204201691923901</v>
      </c>
      <c r="AE4253">
        <v>0.22680000000002501</v>
      </c>
      <c r="AF4253">
        <v>-0.16851704621298799</v>
      </c>
      <c r="AG4253">
        <v>-1.1204201691923901</v>
      </c>
      <c r="AH4253">
        <v>14.0313651241418</v>
      </c>
      <c r="AI4253">
        <v>94.565117168494695</v>
      </c>
      <c r="AJ4253">
        <v>90.688090663234803</v>
      </c>
      <c r="AK4253">
        <v>14.077036143925399</v>
      </c>
      <c r="AL4253">
        <v>93.8421677576207</v>
      </c>
      <c r="AM4253">
        <v>89.962426121864198</v>
      </c>
      <c r="AN4253">
        <v>0.99999999180962595</v>
      </c>
    </row>
    <row r="4254" spans="1:40" x14ac:dyDescent="0.25">
      <c r="A4254" t="str">
        <f>"20190303154221457"</f>
        <v>20190303154221457</v>
      </c>
      <c r="B4254" t="str">
        <f>"1551598941453998"</f>
        <v>1551598941453998</v>
      </c>
      <c r="C4254" t="s">
        <v>40</v>
      </c>
      <c r="D4254">
        <v>5.8258239999999999</v>
      </c>
      <c r="E4254">
        <v>0.49579980000000001</v>
      </c>
      <c r="F4254" t="s">
        <v>50</v>
      </c>
      <c r="G4254">
        <v>-332.32769999999999</v>
      </c>
      <c r="H4254" s="1">
        <v>-3.6732770000000002E-7</v>
      </c>
      <c r="I4254">
        <v>216.19980000000001</v>
      </c>
      <c r="J4254">
        <v>-346.44420000000002</v>
      </c>
      <c r="K4254">
        <v>1.120431</v>
      </c>
      <c r="L4254">
        <v>215.9804</v>
      </c>
      <c r="M4254">
        <v>0.99989539999999999</v>
      </c>
      <c r="N4254">
        <v>-1.3960820000000001E-2</v>
      </c>
      <c r="O4254">
        <v>3.811254E-3</v>
      </c>
      <c r="P4254">
        <v>0.99668630000000003</v>
      </c>
      <c r="Q4254">
        <v>-8.1299720000000006E-2</v>
      </c>
      <c r="R4254">
        <v>2.665607E-3</v>
      </c>
      <c r="S4254">
        <v>2.9909669999999999</v>
      </c>
      <c r="T4254">
        <v>-0.23124529999999999</v>
      </c>
      <c r="U4254">
        <v>4.5547490000000003E-2</v>
      </c>
      <c r="V4254">
        <v>1.088943E-3</v>
      </c>
      <c r="W4254">
        <v>-6.7377930000000003E-2</v>
      </c>
      <c r="X4254">
        <v>0.99772689999999997</v>
      </c>
      <c r="Y4254">
        <v>-1.138281E-2</v>
      </c>
      <c r="Z4254">
        <v>2.7788889999999999E-4</v>
      </c>
      <c r="AA4254">
        <v>0.99993520000000002</v>
      </c>
      <c r="AB4254">
        <v>38</v>
      </c>
      <c r="AC4254">
        <v>14.1165</v>
      </c>
      <c r="AD4254">
        <v>-1.1204313673277</v>
      </c>
      <c r="AE4254">
        <v>0.21940000000000701</v>
      </c>
      <c r="AF4254">
        <v>-0.16455521179823199</v>
      </c>
      <c r="AG4254">
        <v>-1.1204313673277</v>
      </c>
      <c r="AH4254">
        <v>14.028878039497</v>
      </c>
      <c r="AI4254">
        <v>94.565983630894195</v>
      </c>
      <c r="AJ4254">
        <v>90.672034266557205</v>
      </c>
      <c r="AK4254">
        <v>14.074511142974099</v>
      </c>
      <c r="AL4254">
        <v>93.8633980759205</v>
      </c>
      <c r="AM4254">
        <v>89.9374660408008</v>
      </c>
      <c r="AN4254">
        <v>0.99999996911577504</v>
      </c>
    </row>
    <row r="4255" spans="1:40" x14ac:dyDescent="0.25">
      <c r="A4255" t="str">
        <f>"20190303154221480"</f>
        <v>20190303154221480</v>
      </c>
      <c r="B4255" t="str">
        <f>"1551598941474494"</f>
        <v>1551598941474494</v>
      </c>
      <c r="C4255" t="s">
        <v>40</v>
      </c>
      <c r="D4255">
        <v>5.7731320000000004</v>
      </c>
      <c r="E4255">
        <v>0.49621110000000002</v>
      </c>
      <c r="F4255" t="s">
        <v>50</v>
      </c>
      <c r="G4255">
        <v>-331.92750000000001</v>
      </c>
      <c r="H4255" s="1">
        <v>-5.7957869999999995E-7</v>
      </c>
      <c r="I4255">
        <v>216.1841</v>
      </c>
      <c r="J4255">
        <v>-346.06369999999998</v>
      </c>
      <c r="K4255">
        <v>1.1204320000000001</v>
      </c>
      <c r="L4255">
        <v>215.98159999999999</v>
      </c>
      <c r="M4255">
        <v>0.99989439999999996</v>
      </c>
      <c r="N4255">
        <v>-1.4088430000000001E-2</v>
      </c>
      <c r="O4255">
        <v>3.5661529999999999E-3</v>
      </c>
      <c r="P4255">
        <v>0.99662850000000003</v>
      </c>
      <c r="Q4255">
        <v>-8.2013349999999999E-2</v>
      </c>
      <c r="R4255">
        <v>2.410396E-3</v>
      </c>
      <c r="S4255">
        <v>2.9910580000000002</v>
      </c>
      <c r="T4255">
        <v>-0.23085800000000001</v>
      </c>
      <c r="U4255">
        <v>4.196167E-2</v>
      </c>
      <c r="V4255">
        <v>1.0992930000000001E-3</v>
      </c>
      <c r="W4255">
        <v>-6.7964990000000003E-2</v>
      </c>
      <c r="X4255">
        <v>0.99768710000000005</v>
      </c>
      <c r="Y4255">
        <v>-1.04318E-2</v>
      </c>
      <c r="Z4255">
        <v>2.5093970000000001E-4</v>
      </c>
      <c r="AA4255">
        <v>0.99994559999999999</v>
      </c>
      <c r="AB4255">
        <v>38</v>
      </c>
      <c r="AC4255">
        <v>14.136199999999899</v>
      </c>
      <c r="AD4255">
        <v>-1.12043257957869</v>
      </c>
      <c r="AE4255">
        <v>0.202500000000014</v>
      </c>
      <c r="AF4255">
        <v>-0.15113261849168499</v>
      </c>
      <c r="AG4255">
        <v>-1.12043257957869</v>
      </c>
      <c r="AH4255">
        <v>14.0485954821539</v>
      </c>
      <c r="AI4255">
        <v>94.559656759388005</v>
      </c>
      <c r="AJ4255">
        <v>90.616355362464603</v>
      </c>
      <c r="AK4255">
        <v>14.0940145187576</v>
      </c>
      <c r="AL4255">
        <v>93.897111303961594</v>
      </c>
      <c r="AM4255">
        <v>89.936869160822795</v>
      </c>
      <c r="AN4255">
        <v>0.99999999890860503</v>
      </c>
    </row>
    <row r="4256" spans="1:40" x14ac:dyDescent="0.25">
      <c r="A4256" t="str">
        <f>"20190303154221502"</f>
        <v>20190303154221502</v>
      </c>
      <c r="B4256" t="str">
        <f>"1551598941494017"</f>
        <v>1551598941494017</v>
      </c>
      <c r="C4256" t="s">
        <v>40</v>
      </c>
      <c r="D4256">
        <v>5.7659890000000003</v>
      </c>
      <c r="E4256">
        <v>0.49653599999999998</v>
      </c>
      <c r="F4256" t="s">
        <v>50</v>
      </c>
      <c r="G4256">
        <v>-331.4083</v>
      </c>
      <c r="H4256" s="1">
        <v>-8.551653E-7</v>
      </c>
      <c r="I4256">
        <v>216.16730000000001</v>
      </c>
      <c r="J4256">
        <v>-345.68689999999998</v>
      </c>
      <c r="K4256">
        <v>1.1204350000000001</v>
      </c>
      <c r="L4256">
        <v>215.9828</v>
      </c>
      <c r="M4256">
        <v>0.99989360000000005</v>
      </c>
      <c r="N4256">
        <v>-1.4198560000000001E-2</v>
      </c>
      <c r="O4256">
        <v>3.3243840000000001E-3</v>
      </c>
      <c r="P4256">
        <v>0.99660439999999995</v>
      </c>
      <c r="Q4256">
        <v>-8.2312990000000003E-2</v>
      </c>
      <c r="R4256">
        <v>2.0689409999999999E-3</v>
      </c>
      <c r="S4256">
        <v>2.991241</v>
      </c>
      <c r="T4256">
        <v>-0.2286859</v>
      </c>
      <c r="U4256">
        <v>3.7887570000000002E-2</v>
      </c>
      <c r="V4256">
        <v>1.199971E-3</v>
      </c>
      <c r="W4256">
        <v>-6.8155110000000005E-2</v>
      </c>
      <c r="X4256">
        <v>0.99767399999999995</v>
      </c>
      <c r="Y4256">
        <v>-9.3148199999999997E-3</v>
      </c>
      <c r="Z4256">
        <v>2.1515649999999999E-4</v>
      </c>
      <c r="AA4256">
        <v>0.99995659999999997</v>
      </c>
      <c r="AB4256">
        <v>38</v>
      </c>
      <c r="AC4256">
        <v>14.2785999999999</v>
      </c>
      <c r="AD4256">
        <v>-1.1204358551653</v>
      </c>
      <c r="AE4256">
        <v>0.18450000000001399</v>
      </c>
      <c r="AF4256">
        <v>-0.13618820654501801</v>
      </c>
      <c r="AG4256">
        <v>-1.1204358551653</v>
      </c>
      <c r="AH4256">
        <v>14.1917636353791</v>
      </c>
      <c r="AI4256">
        <v>94.513915742928504</v>
      </c>
      <c r="AJ4256">
        <v>90.549809744950394</v>
      </c>
      <c r="AK4256">
        <v>14.2365753893136</v>
      </c>
      <c r="AL4256">
        <v>93.908029750822905</v>
      </c>
      <c r="AM4256">
        <v>89.931086466436795</v>
      </c>
      <c r="AN4256">
        <v>0.99999998461275597</v>
      </c>
    </row>
    <row r="4257" spans="1:40" x14ac:dyDescent="0.25">
      <c r="A4257" t="str">
        <f>"20190303154221525"</f>
        <v>20190303154221525</v>
      </c>
      <c r="B4257" t="str">
        <f>"1551598941513534"</f>
        <v>1551598941513534</v>
      </c>
      <c r="C4257" t="s">
        <v>40</v>
      </c>
      <c r="D4257">
        <v>5.7486249999999997</v>
      </c>
      <c r="E4257">
        <v>0.49677369999999998</v>
      </c>
      <c r="F4257" t="s">
        <v>50</v>
      </c>
      <c r="G4257">
        <v>-330.86099999999999</v>
      </c>
      <c r="H4257" s="1">
        <v>-1.1457610000000001E-6</v>
      </c>
      <c r="I4257">
        <v>216.15219999999999</v>
      </c>
      <c r="J4257">
        <v>-345.29759999999999</v>
      </c>
      <c r="K4257">
        <v>1.1204449999999999</v>
      </c>
      <c r="L4257">
        <v>215.9838</v>
      </c>
      <c r="M4257">
        <v>0.99989320000000004</v>
      </c>
      <c r="N4257">
        <v>-1.4296939999999999E-2</v>
      </c>
      <c r="O4257">
        <v>3.0747690000000002E-3</v>
      </c>
      <c r="P4257">
        <v>0.99655229999999995</v>
      </c>
      <c r="Q4257">
        <v>-8.2937289999999997E-2</v>
      </c>
      <c r="R4257">
        <v>2.2477019999999999E-3</v>
      </c>
      <c r="S4257">
        <v>2.9914550000000002</v>
      </c>
      <c r="T4257">
        <v>-0.22607269999999999</v>
      </c>
      <c r="U4257">
        <v>3.4194950000000002E-2</v>
      </c>
      <c r="V4257">
        <v>7.7203289999999995E-4</v>
      </c>
      <c r="W4257">
        <v>-6.8681660000000005E-2</v>
      </c>
      <c r="X4257">
        <v>0.99763829999999998</v>
      </c>
      <c r="Y4257">
        <v>-8.3326879999999996E-3</v>
      </c>
      <c r="Z4257">
        <v>1.8595649999999999E-4</v>
      </c>
      <c r="AA4257">
        <v>0.99996529999999995</v>
      </c>
      <c r="AB4257">
        <v>38</v>
      </c>
      <c r="AC4257">
        <v>14.4366</v>
      </c>
      <c r="AD4257">
        <v>-1.120446145761</v>
      </c>
      <c r="AE4257">
        <v>0.168399999999991</v>
      </c>
      <c r="AF4257">
        <v>-0.123263082613926</v>
      </c>
      <c r="AG4257">
        <v>-1.120446145761</v>
      </c>
      <c r="AH4257">
        <v>14.350619749423799</v>
      </c>
      <c r="AI4257">
        <v>94.464232984111007</v>
      </c>
      <c r="AJ4257">
        <v>90.492123744536599</v>
      </c>
      <c r="AK4257">
        <v>14.3948213099586</v>
      </c>
      <c r="AL4257">
        <v>93.938269754712607</v>
      </c>
      <c r="AM4257">
        <v>89.955661066756093</v>
      </c>
      <c r="AN4257">
        <v>0.99999997204102098</v>
      </c>
    </row>
    <row r="4258" spans="1:40" x14ac:dyDescent="0.25">
      <c r="A4258" t="str">
        <f>"20190303154221547"</f>
        <v>20190303154221547</v>
      </c>
      <c r="B4258" t="str">
        <f>"1551598941543791"</f>
        <v>1551598941543791</v>
      </c>
      <c r="C4258" t="s">
        <v>40</v>
      </c>
      <c r="D4258">
        <v>5.7310600000000003</v>
      </c>
      <c r="E4258">
        <v>0.49725550000000002</v>
      </c>
      <c r="F4258" t="s">
        <v>50</v>
      </c>
      <c r="G4258">
        <v>-330.3159</v>
      </c>
      <c r="H4258" s="1">
        <v>-1.43568099999999E-6</v>
      </c>
      <c r="I4258">
        <v>216.14869999999999</v>
      </c>
      <c r="J4258">
        <v>-344.92180000000002</v>
      </c>
      <c r="K4258">
        <v>1.1204540000000001</v>
      </c>
      <c r="L4258">
        <v>215.9847</v>
      </c>
      <c r="M4258">
        <v>0.99989260000000002</v>
      </c>
      <c r="N4258">
        <v>-1.437889E-2</v>
      </c>
      <c r="O4258">
        <v>2.8340930000000002E-3</v>
      </c>
      <c r="P4258">
        <v>0.99655769999999999</v>
      </c>
      <c r="Q4258">
        <v>-8.2870589999999994E-2</v>
      </c>
      <c r="R4258">
        <v>2.3410900000000001E-3</v>
      </c>
      <c r="S4258">
        <v>2.9916990000000001</v>
      </c>
      <c r="T4258">
        <v>-0.2237421</v>
      </c>
      <c r="U4258">
        <v>3.2943729999999997E-2</v>
      </c>
      <c r="V4258">
        <v>4.3891770000000001E-4</v>
      </c>
      <c r="W4258">
        <v>-6.8532899999999994E-2</v>
      </c>
      <c r="X4258">
        <v>0.9976488</v>
      </c>
      <c r="Y4258">
        <v>-8.154784E-3</v>
      </c>
      <c r="Z4258">
        <v>1.92289E-4</v>
      </c>
      <c r="AA4258">
        <v>0.99996669999999999</v>
      </c>
      <c r="AB4258">
        <v>38</v>
      </c>
      <c r="AC4258">
        <v>14.6059</v>
      </c>
      <c r="AD4258">
        <v>-1.1204554356809999</v>
      </c>
      <c r="AE4258">
        <v>0.16399999999998699</v>
      </c>
      <c r="AF4258">
        <v>-0.12188341189016</v>
      </c>
      <c r="AG4258">
        <v>-1.1204554356809999</v>
      </c>
      <c r="AH4258">
        <v>14.5208643966749</v>
      </c>
      <c r="AI4258">
        <v>94.412145315413994</v>
      </c>
      <c r="AJ4258">
        <v>90.480910840271704</v>
      </c>
      <c r="AK4258">
        <v>14.564538399004</v>
      </c>
      <c r="AL4258">
        <v>93.929726037900906</v>
      </c>
      <c r="AM4258">
        <v>89.974792602225307</v>
      </c>
      <c r="AN4258">
        <v>1.00000003958629</v>
      </c>
    </row>
    <row r="4259" spans="1:40" x14ac:dyDescent="0.25">
      <c r="A4259" t="str">
        <f>"20190303154221570"</f>
        <v>20190303154221570</v>
      </c>
      <c r="B4259" t="str">
        <f>"1551598941564286"</f>
        <v>1551598941564286</v>
      </c>
      <c r="C4259" t="s">
        <v>40</v>
      </c>
      <c r="D4259">
        <v>5.7200680000000004</v>
      </c>
      <c r="E4259">
        <v>0.49749110000000002</v>
      </c>
      <c r="F4259" t="s">
        <v>50</v>
      </c>
      <c r="G4259">
        <v>-329.72449999999998</v>
      </c>
      <c r="H4259" s="1">
        <v>3.6381270000000001E-6</v>
      </c>
      <c r="I4259">
        <v>216.13489999999999</v>
      </c>
      <c r="J4259">
        <v>-344.54950000000002</v>
      </c>
      <c r="K4259">
        <v>1.1204639999999999</v>
      </c>
      <c r="L4259">
        <v>215.9855</v>
      </c>
      <c r="M4259">
        <v>0.99989220000000001</v>
      </c>
      <c r="N4259">
        <v>-1.4449109999999999E-2</v>
      </c>
      <c r="O4259">
        <v>2.5952309999999999E-3</v>
      </c>
      <c r="P4259">
        <v>0.99653400000000003</v>
      </c>
      <c r="Q4259">
        <v>-8.317136E-2</v>
      </c>
      <c r="R4259">
        <v>1.6392900000000001E-3</v>
      </c>
      <c r="S4259">
        <v>2.991943</v>
      </c>
      <c r="T4259">
        <v>-0.2205868</v>
      </c>
      <c r="U4259">
        <v>2.9571529999999999E-2</v>
      </c>
      <c r="V4259">
        <v>9.0257650000000005E-4</v>
      </c>
      <c r="W4259">
        <v>-6.8764249999999999E-2</v>
      </c>
      <c r="X4259">
        <v>0.99763250000000003</v>
      </c>
      <c r="Y4259">
        <v>-7.268778E-3</v>
      </c>
      <c r="Z4259">
        <v>1.6657099999999999E-4</v>
      </c>
      <c r="AA4259">
        <v>0.99997360000000002</v>
      </c>
      <c r="AB4259">
        <v>38</v>
      </c>
      <c r="AC4259">
        <v>14.824999999999999</v>
      </c>
      <c r="AD4259">
        <v>-1.12046036187299</v>
      </c>
      <c r="AE4259">
        <v>0.14939999999998499</v>
      </c>
      <c r="AF4259">
        <v>-0.11029123693144401</v>
      </c>
      <c r="AG4259">
        <v>-1.12046036187299</v>
      </c>
      <c r="AH4259">
        <v>14.7411419960729</v>
      </c>
      <c r="AI4259">
        <v>94.346519345045095</v>
      </c>
      <c r="AJ4259">
        <v>90.4286712987345</v>
      </c>
      <c r="AK4259">
        <v>14.784074638876</v>
      </c>
      <c r="AL4259">
        <v>93.943013031951295</v>
      </c>
      <c r="AM4259">
        <v>89.948163466979807</v>
      </c>
      <c r="AN4259">
        <v>0.99999997088932502</v>
      </c>
    </row>
    <row r="4260" spans="1:40" x14ac:dyDescent="0.25">
      <c r="A4260" t="str">
        <f>"20190303154221592"</f>
        <v>20190303154221592</v>
      </c>
      <c r="B4260" t="str">
        <f>"1551598941583806"</f>
        <v>1551598941583806</v>
      </c>
      <c r="C4260" t="s">
        <v>40</v>
      </c>
      <c r="D4260">
        <v>5.7243870000000001</v>
      </c>
      <c r="E4260">
        <v>0.49760779999999899</v>
      </c>
      <c r="F4260" t="s">
        <v>50</v>
      </c>
      <c r="G4260">
        <v>-329.25439999999998</v>
      </c>
      <c r="H4260" s="1">
        <v>3.3879230000000002E-6</v>
      </c>
      <c r="I4260">
        <v>216.11609999999999</v>
      </c>
      <c r="J4260">
        <v>-344.16789999999997</v>
      </c>
      <c r="K4260">
        <v>1.1204769999999999</v>
      </c>
      <c r="L4260">
        <v>215.9863</v>
      </c>
      <c r="M4260">
        <v>0.99989209999999995</v>
      </c>
      <c r="N4260">
        <v>-1.4511019999999999E-2</v>
      </c>
      <c r="O4260">
        <v>2.3501120000000001E-3</v>
      </c>
      <c r="P4260">
        <v>0.99657739999999995</v>
      </c>
      <c r="Q4260">
        <v>-8.2657019999999998E-2</v>
      </c>
      <c r="R4260">
        <v>1.1199070000000001E-3</v>
      </c>
      <c r="S4260">
        <v>2.9920650000000002</v>
      </c>
      <c r="T4260">
        <v>-0.2191871</v>
      </c>
      <c r="U4260">
        <v>2.554321E-2</v>
      </c>
      <c r="V4260">
        <v>1.1784160000000001E-3</v>
      </c>
      <c r="W4260">
        <v>-6.8187739999999997E-2</v>
      </c>
      <c r="X4260">
        <v>0.9976718</v>
      </c>
      <c r="Y4260">
        <v>-6.1706039999999997E-3</v>
      </c>
      <c r="Z4260">
        <v>1.3269780000000001E-4</v>
      </c>
      <c r="AA4260">
        <v>0.99998089999999995</v>
      </c>
      <c r="AB4260">
        <v>38</v>
      </c>
      <c r="AC4260">
        <v>14.913500000000001</v>
      </c>
      <c r="AD4260">
        <v>-1.120473612077</v>
      </c>
      <c r="AE4260">
        <v>0.12979999999998801</v>
      </c>
      <c r="AF4260">
        <v>-9.4215777367992998E-2</v>
      </c>
      <c r="AG4260">
        <v>-1.120473612077</v>
      </c>
      <c r="AH4260">
        <v>14.8300583691663</v>
      </c>
      <c r="AI4260">
        <v>94.320642464883406</v>
      </c>
      <c r="AJ4260">
        <v>90.363996799543401</v>
      </c>
      <c r="AK4260">
        <v>14.872624817460601</v>
      </c>
      <c r="AL4260">
        <v>93.909903656233396</v>
      </c>
      <c r="AM4260">
        <v>89.932324205303502</v>
      </c>
      <c r="AN4260">
        <v>0.99999998853290795</v>
      </c>
    </row>
    <row r="4261" spans="1:40" x14ac:dyDescent="0.25">
      <c r="A4261" t="str">
        <f>"20190303154221614"</f>
        <v>20190303154221614</v>
      </c>
      <c r="B4261" t="str">
        <f>"1551598941604302"</f>
        <v>1551598941604302</v>
      </c>
      <c r="C4261" t="s">
        <v>40</v>
      </c>
      <c r="D4261">
        <v>5.747153</v>
      </c>
      <c r="E4261">
        <v>0.49776219999999999</v>
      </c>
      <c r="F4261" t="s">
        <v>50</v>
      </c>
      <c r="G4261">
        <v>-328.63959999999997</v>
      </c>
      <c r="H4261" s="1">
        <v>3.0607900000000001E-6</v>
      </c>
      <c r="I4261">
        <v>216.10740000000001</v>
      </c>
      <c r="J4261">
        <v>-343.7894</v>
      </c>
      <c r="K4261">
        <v>1.1204860000000001</v>
      </c>
      <c r="L4261">
        <v>215.98689999999999</v>
      </c>
      <c r="M4261">
        <v>0.99989170000000005</v>
      </c>
      <c r="N4261">
        <v>-1.4563349999999999E-2</v>
      </c>
      <c r="O4261">
        <v>2.107266E-3</v>
      </c>
      <c r="P4261">
        <v>0.99660349999999998</v>
      </c>
      <c r="Q4261">
        <v>-8.2348050000000006E-2</v>
      </c>
      <c r="R4261">
        <v>4.427845E-4</v>
      </c>
      <c r="S4261">
        <v>2.9924010000000001</v>
      </c>
      <c r="T4261">
        <v>-0.21592259999999999</v>
      </c>
      <c r="U4261">
        <v>2.3345950000000001E-2</v>
      </c>
      <c r="V4261">
        <v>1.6139429999999901E-3</v>
      </c>
      <c r="W4261">
        <v>-6.7826510000000007E-2</v>
      </c>
      <c r="X4261">
        <v>0.99769580000000002</v>
      </c>
      <c r="Y4261">
        <v>-5.6797979999999998E-3</v>
      </c>
      <c r="Z4261">
        <v>1.2487969999999999E-4</v>
      </c>
      <c r="AA4261">
        <v>0.99998379999999998</v>
      </c>
      <c r="AB4261">
        <v>38</v>
      </c>
      <c r="AC4261">
        <v>15.149800000000001</v>
      </c>
      <c r="AD4261">
        <v>-1.12048293921</v>
      </c>
      <c r="AE4261">
        <v>0.12050000000002099</v>
      </c>
      <c r="AF4261">
        <v>-8.8089855616744997E-2</v>
      </c>
      <c r="AG4261">
        <v>-1.12048293921</v>
      </c>
      <c r="AH4261">
        <v>15.067603950423599</v>
      </c>
      <c r="AI4261">
        <v>94.2528264243346</v>
      </c>
      <c r="AJ4261">
        <v>90.334964965864401</v>
      </c>
      <c r="AK4261">
        <v>15.1094649358123</v>
      </c>
      <c r="AL4261">
        <v>93.889158726873902</v>
      </c>
      <c r="AM4261">
        <v>89.907314392209798</v>
      </c>
      <c r="AN4261">
        <v>0.99999997480421299</v>
      </c>
    </row>
    <row r="4262" spans="1:40" x14ac:dyDescent="0.25">
      <c r="A4262" t="str">
        <f>"20190303154221635"</f>
        <v>20190303154221635</v>
      </c>
      <c r="B4262" t="str">
        <f>"1551598941623826"</f>
        <v>1551598941623826</v>
      </c>
      <c r="C4262" t="s">
        <v>40</v>
      </c>
      <c r="D4262">
        <v>5.813472</v>
      </c>
      <c r="E4262">
        <v>0.51488519999999904</v>
      </c>
      <c r="F4262" t="s">
        <v>50</v>
      </c>
      <c r="G4262">
        <v>-328.08339999999998</v>
      </c>
      <c r="H4262" s="1">
        <v>2.764808E-6</v>
      </c>
      <c r="I4262">
        <v>216.0917</v>
      </c>
      <c r="J4262">
        <v>-343.43079999999998</v>
      </c>
      <c r="K4262">
        <v>1.120493</v>
      </c>
      <c r="L4262">
        <v>215.98740000000001</v>
      </c>
      <c r="M4262">
        <v>0.9998918</v>
      </c>
      <c r="N4262">
        <v>-1.460581E-2</v>
      </c>
      <c r="O4262">
        <v>1.876593E-3</v>
      </c>
      <c r="P4262">
        <v>0.99663000000000002</v>
      </c>
      <c r="Q4262">
        <v>-8.2028149999999994E-2</v>
      </c>
      <c r="R4262">
        <v>-3.9908009999999999E-4</v>
      </c>
      <c r="S4262">
        <v>2.9925540000000002</v>
      </c>
      <c r="T4262">
        <v>-0.21349290000000001</v>
      </c>
      <c r="U4262">
        <v>1.9958500000000001E-2</v>
      </c>
      <c r="V4262">
        <v>2.2262359999999999E-3</v>
      </c>
      <c r="W4262">
        <v>-6.746431E-2</v>
      </c>
      <c r="X4262">
        <v>0.99771920000000003</v>
      </c>
      <c r="Y4262">
        <v>-4.7808470000000004E-3</v>
      </c>
      <c r="Z4262" s="1">
        <v>9.8963110000000002E-5</v>
      </c>
      <c r="AA4262">
        <v>0.99998860000000001</v>
      </c>
      <c r="AB4262">
        <v>38</v>
      </c>
      <c r="AC4262">
        <v>15.347399999999899</v>
      </c>
      <c r="AD4262">
        <v>-1.1204902351920001</v>
      </c>
      <c r="AE4262">
        <v>0.10429999999999399</v>
      </c>
      <c r="AF4262">
        <v>-7.5095667814949599E-2</v>
      </c>
      <c r="AG4262">
        <v>-1.1204902351920001</v>
      </c>
      <c r="AH4262">
        <v>15.266200012339599</v>
      </c>
      <c r="AI4262">
        <v>94.197749110298005</v>
      </c>
      <c r="AJ4262">
        <v>90.281840282334201</v>
      </c>
      <c r="AK4262">
        <v>15.307449184735001</v>
      </c>
      <c r="AL4262">
        <v>93.868358469787907</v>
      </c>
      <c r="AM4262">
        <v>89.872154695116905</v>
      </c>
      <c r="AN4262">
        <v>0.99999999564957198</v>
      </c>
    </row>
    <row r="4263" spans="1:40" x14ac:dyDescent="0.25">
      <c r="A4263" t="str">
        <f>"20190303154221657"</f>
        <v>20190303154221657</v>
      </c>
      <c r="B4263" t="str">
        <f>"1551598941654079"</f>
        <v>1551598941654079</v>
      </c>
      <c r="C4263" t="s">
        <v>40</v>
      </c>
      <c r="D4263">
        <v>5.7488419999999998</v>
      </c>
      <c r="E4263">
        <v>0.51959319999999998</v>
      </c>
      <c r="F4263" t="s">
        <v>50</v>
      </c>
      <c r="G4263">
        <v>-321.4563</v>
      </c>
      <c r="H4263" s="1">
        <v>-7.6182269999999897E-7</v>
      </c>
      <c r="I4263">
        <v>215.12280000000001</v>
      </c>
      <c r="J4263">
        <v>-343.06319999999999</v>
      </c>
      <c r="K4263">
        <v>1.1205020000000001</v>
      </c>
      <c r="L4263">
        <v>215.9879</v>
      </c>
      <c r="M4263">
        <v>0.99989159999999999</v>
      </c>
      <c r="N4263">
        <v>-1.464271E-2</v>
      </c>
      <c r="O4263">
        <v>1.640362E-3</v>
      </c>
      <c r="P4263">
        <v>0.99663040000000003</v>
      </c>
      <c r="Q4263">
        <v>-8.2016569999999997E-2</v>
      </c>
      <c r="R4263">
        <v>-1.2722689999999999E-3</v>
      </c>
      <c r="S4263">
        <v>2.9975589999999999</v>
      </c>
      <c r="T4263">
        <v>-0.1528476</v>
      </c>
      <c r="U4263">
        <v>-0.1179504</v>
      </c>
      <c r="V4263">
        <v>2.8640739999999999E-3</v>
      </c>
      <c r="W4263">
        <v>-6.7416309999999993E-2</v>
      </c>
      <c r="X4263">
        <v>0.99772079999999996</v>
      </c>
      <c r="Y4263">
        <v>4.0888229999999998E-2</v>
      </c>
      <c r="Z4263">
        <v>-1.4006779999999901E-3</v>
      </c>
      <c r="AA4263">
        <v>0.99916269999999996</v>
      </c>
      <c r="AB4263">
        <v>38</v>
      </c>
      <c r="AC4263">
        <v>21.6069</v>
      </c>
      <c r="AD4263">
        <v>-1.1205027618226999</v>
      </c>
      <c r="AE4263">
        <v>-0.86509999999998399</v>
      </c>
      <c r="AF4263">
        <v>0.89813427217455399</v>
      </c>
      <c r="AG4263">
        <v>-1.1205027618226999</v>
      </c>
      <c r="AH4263">
        <v>21.547596264434599</v>
      </c>
      <c r="AI4263">
        <v>92.974195242712199</v>
      </c>
      <c r="AJ4263">
        <v>87.613212496943504</v>
      </c>
      <c r="AK4263">
        <v>21.5953947957703</v>
      </c>
      <c r="AL4263">
        <v>93.865602064036807</v>
      </c>
      <c r="AM4263">
        <v>89.835526229717701</v>
      </c>
      <c r="AN4263">
        <v>0.99999997826326603</v>
      </c>
    </row>
    <row r="4264" spans="1:40" x14ac:dyDescent="0.25">
      <c r="A4264" t="str">
        <f>"20190303154221680"</f>
        <v>20190303154221680</v>
      </c>
      <c r="B4264" t="str">
        <f>"1551598941673598"</f>
        <v>1551598941673598</v>
      </c>
      <c r="C4264" t="s">
        <v>40</v>
      </c>
      <c r="D4264">
        <v>5.7433059999999996</v>
      </c>
      <c r="E4264">
        <v>0.52067739999999996</v>
      </c>
      <c r="F4264" t="s">
        <v>51</v>
      </c>
      <c r="G4264">
        <v>-318.9126</v>
      </c>
      <c r="H4264" s="1">
        <v>4.8580309999999997E-6</v>
      </c>
      <c r="I4264">
        <v>214.7192</v>
      </c>
      <c r="J4264">
        <v>-342.68459999999999</v>
      </c>
      <c r="K4264">
        <v>1.120506</v>
      </c>
      <c r="L4264">
        <v>215.98830000000001</v>
      </c>
      <c r="M4264">
        <v>0.99989130000000004</v>
      </c>
      <c r="N4264">
        <v>-1.467504E-2</v>
      </c>
      <c r="O4264">
        <v>1.39707E-3</v>
      </c>
      <c r="P4264">
        <v>0.99661789999999995</v>
      </c>
      <c r="Q4264">
        <v>-8.2157599999999997E-2</v>
      </c>
      <c r="R4264">
        <v>-1.7059219999999999E-3</v>
      </c>
      <c r="S4264">
        <v>2.9985050000000002</v>
      </c>
      <c r="T4264">
        <v>-0.1391194</v>
      </c>
      <c r="U4264">
        <v>-0.1575165</v>
      </c>
      <c r="V4264">
        <v>3.0550550000000001E-3</v>
      </c>
      <c r="W4264">
        <v>-6.7525360000000006E-2</v>
      </c>
      <c r="X4264">
        <v>0.99771290000000001</v>
      </c>
      <c r="Y4264">
        <v>5.377788E-2</v>
      </c>
      <c r="Z4264">
        <v>-1.685445E-3</v>
      </c>
      <c r="AA4264">
        <v>0.99855150000000004</v>
      </c>
      <c r="AB4264">
        <v>38</v>
      </c>
      <c r="AC4264">
        <v>23.771999999999899</v>
      </c>
      <c r="AD4264">
        <v>-1.1205011419689901</v>
      </c>
      <c r="AE4264">
        <v>-1.2690999999999999</v>
      </c>
      <c r="AF4264">
        <v>1.29943468659709</v>
      </c>
      <c r="AG4264">
        <v>-1.1205011419689901</v>
      </c>
      <c r="AH4264">
        <v>23.717658878093999</v>
      </c>
      <c r="AI4264">
        <v>92.7007877665352</v>
      </c>
      <c r="AJ4264">
        <v>86.864034364146704</v>
      </c>
      <c r="AK4264">
        <v>23.7796424693795</v>
      </c>
      <c r="AL4264">
        <v>93.871864280537196</v>
      </c>
      <c r="AM4264">
        <v>89.824557534930193</v>
      </c>
      <c r="AN4264">
        <v>1.00000001921529</v>
      </c>
    </row>
    <row r="4265" spans="1:40" x14ac:dyDescent="0.25">
      <c r="A4265" t="str">
        <f>"20190303154221703"</f>
        <v>20190303154221703</v>
      </c>
      <c r="B4265" t="str">
        <f>"1551598941694094"</f>
        <v>1551598941694094</v>
      </c>
      <c r="C4265" t="s">
        <v>40</v>
      </c>
      <c r="D4265">
        <v>5.7497959999999999</v>
      </c>
      <c r="E4265">
        <v>0.52126600000000001</v>
      </c>
      <c r="F4265" t="s">
        <v>51</v>
      </c>
      <c r="G4265">
        <v>-318.23829999999998</v>
      </c>
      <c r="H4265" s="1">
        <v>4.5589620000000001E-6</v>
      </c>
      <c r="I4265">
        <v>214.624</v>
      </c>
      <c r="J4265">
        <v>-342.28840000000002</v>
      </c>
      <c r="K4265">
        <v>1.1205130000000001</v>
      </c>
      <c r="L4265">
        <v>215.98859999999999</v>
      </c>
      <c r="M4265">
        <v>0.99989130000000004</v>
      </c>
      <c r="N4265">
        <v>-1.4703569999999999E-2</v>
      </c>
      <c r="O4265">
        <v>1.1421249999999999E-3</v>
      </c>
      <c r="P4265">
        <v>0.99659200000000003</v>
      </c>
      <c r="Q4265">
        <v>-8.2462270000000004E-2</v>
      </c>
      <c r="R4265">
        <v>-2.1794010000000001E-3</v>
      </c>
      <c r="S4265">
        <v>2.998596</v>
      </c>
      <c r="T4265">
        <v>-0.13744089999999901</v>
      </c>
      <c r="U4265">
        <v>-0.16734309999999999</v>
      </c>
      <c r="V4265">
        <v>3.2744029999999999E-3</v>
      </c>
      <c r="W4265">
        <v>-6.7802039999999994E-2</v>
      </c>
      <c r="X4265">
        <v>0.99769339999999995</v>
      </c>
      <c r="Y4265">
        <v>5.6781779999999997E-2</v>
      </c>
      <c r="Z4265">
        <v>-1.753197E-3</v>
      </c>
      <c r="AA4265">
        <v>0.99838510000000003</v>
      </c>
      <c r="AB4265">
        <v>38</v>
      </c>
      <c r="AC4265">
        <v>24.0501</v>
      </c>
      <c r="AD4265">
        <v>-1.120508441038</v>
      </c>
      <c r="AE4265">
        <v>-1.3645999999999601</v>
      </c>
      <c r="AF4265">
        <v>1.3890647546824699</v>
      </c>
      <c r="AG4265">
        <v>-1.120508441038</v>
      </c>
      <c r="AH4265">
        <v>23.996603726195598</v>
      </c>
      <c r="AI4265">
        <v>92.668992161960205</v>
      </c>
      <c r="AJ4265">
        <v>86.687079815255302</v>
      </c>
      <c r="AK4265">
        <v>24.062876603831199</v>
      </c>
      <c r="AL4265">
        <v>93.887753446354907</v>
      </c>
      <c r="AM4265">
        <v>89.811957462355593</v>
      </c>
      <c r="AN4265">
        <v>0.99999997937336305</v>
      </c>
    </row>
    <row r="4266" spans="1:40" x14ac:dyDescent="0.25">
      <c r="A4266" t="str">
        <f>"20190303154221727"</f>
        <v>20190303154221727</v>
      </c>
      <c r="B4266" t="str">
        <f>"1551598941724232"</f>
        <v>1551598941724232</v>
      </c>
      <c r="C4266" t="s">
        <v>40</v>
      </c>
      <c r="D4266">
        <v>5.7272210000000001</v>
      </c>
      <c r="E4266">
        <v>0.52159960000000005</v>
      </c>
      <c r="F4266" t="s">
        <v>51</v>
      </c>
      <c r="G4266">
        <v>-318.05590000000001</v>
      </c>
      <c r="H4266" s="1">
        <v>4.4781000000000004E-6</v>
      </c>
      <c r="I4266">
        <v>214.58609999999999</v>
      </c>
      <c r="J4266">
        <v>-341.9033</v>
      </c>
      <c r="K4266">
        <v>1.120517</v>
      </c>
      <c r="L4266">
        <v>215.9888</v>
      </c>
      <c r="M4266">
        <v>0.99989130000000004</v>
      </c>
      <c r="N4266">
        <v>-1.4726879999999999E-2</v>
      </c>
      <c r="O4266">
        <v>8.9413310000000001E-4</v>
      </c>
      <c r="P4266">
        <v>0.99658639999999998</v>
      </c>
      <c r="Q4266">
        <v>-8.251841E-2</v>
      </c>
      <c r="R4266">
        <v>-2.577359E-3</v>
      </c>
      <c r="S4266">
        <v>2.9984739999999999</v>
      </c>
      <c r="T4266">
        <v>-0.13864899999999999</v>
      </c>
      <c r="U4266">
        <v>-0.1735382</v>
      </c>
      <c r="V4266">
        <v>3.4252369999999998E-3</v>
      </c>
      <c r="W4266">
        <v>-6.7835090000000001E-2</v>
      </c>
      <c r="X4266">
        <v>0.99769070000000004</v>
      </c>
      <c r="Y4266">
        <v>5.8588750000000002E-2</v>
      </c>
      <c r="Z4266">
        <v>-1.8129520000000001E-3</v>
      </c>
      <c r="AA4266">
        <v>0.99828059999999996</v>
      </c>
      <c r="AB4266">
        <v>38</v>
      </c>
      <c r="AC4266">
        <v>23.8474</v>
      </c>
      <c r="AD4266">
        <v>-1.1205125219000001</v>
      </c>
      <c r="AE4266">
        <v>-1.40270000000001</v>
      </c>
      <c r="AF4266">
        <v>1.4208983154275401</v>
      </c>
      <c r="AG4266">
        <v>-1.1205125219000001</v>
      </c>
      <c r="AH4266">
        <v>23.793786338589399</v>
      </c>
      <c r="AI4266">
        <v>92.691430610959401</v>
      </c>
      <c r="AJ4266">
        <v>86.582514991171095</v>
      </c>
      <c r="AK4266">
        <v>23.862497117044601</v>
      </c>
      <c r="AL4266">
        <v>93.889651235631206</v>
      </c>
      <c r="AM4266">
        <v>89.803294896013796</v>
      </c>
      <c r="AN4266">
        <v>1.0000000322751501</v>
      </c>
    </row>
    <row r="4267" spans="1:40" x14ac:dyDescent="0.25">
      <c r="A4267" t="str">
        <f>"20190303154221748"</f>
        <v>20190303154221748</v>
      </c>
      <c r="B4267" t="str">
        <f>"1551598941743751"</f>
        <v>1551598941743751</v>
      </c>
      <c r="C4267" t="s">
        <v>40</v>
      </c>
      <c r="D4267">
        <v>5.741314</v>
      </c>
      <c r="E4267">
        <v>0.52190219999999998</v>
      </c>
      <c r="F4267" t="s">
        <v>51</v>
      </c>
      <c r="G4267">
        <v>-318.14940000000001</v>
      </c>
      <c r="H4267" s="1">
        <v>4.519544E-6</v>
      </c>
      <c r="I4267">
        <v>214.58359999999999</v>
      </c>
      <c r="J4267">
        <v>-341.54050000000001</v>
      </c>
      <c r="K4267">
        <v>1.1205290000000001</v>
      </c>
      <c r="L4267">
        <v>215.9889</v>
      </c>
      <c r="M4267">
        <v>0.99989110000000003</v>
      </c>
      <c r="N4267">
        <v>-1.4745309999999999E-2</v>
      </c>
      <c r="O4267">
        <v>6.5975619999999904E-4</v>
      </c>
      <c r="P4267">
        <v>0.9965659</v>
      </c>
      <c r="Q4267">
        <v>-8.2766199999999998E-2</v>
      </c>
      <c r="R4267">
        <v>-2.46284E-3</v>
      </c>
      <c r="S4267">
        <v>2.9980769999999999</v>
      </c>
      <c r="T4267">
        <v>-0.1414243</v>
      </c>
      <c r="U4267">
        <v>-0.17735290000000001</v>
      </c>
      <c r="V4267">
        <v>3.0768639999999999E-3</v>
      </c>
      <c r="W4267">
        <v>-6.8064540000000007E-2</v>
      </c>
      <c r="X4267">
        <v>0.99767620000000001</v>
      </c>
      <c r="Y4267">
        <v>5.9623830000000003E-2</v>
      </c>
      <c r="Z4267">
        <v>-1.8659460000000001E-3</v>
      </c>
      <c r="AA4267">
        <v>0.99821919999999997</v>
      </c>
      <c r="AB4267">
        <v>38</v>
      </c>
      <c r="AC4267">
        <v>23.391099999999899</v>
      </c>
      <c r="AD4267">
        <v>-1.1205244804559999</v>
      </c>
      <c r="AE4267">
        <v>-1.40530000000001</v>
      </c>
      <c r="AF4267">
        <v>1.4174926569326101</v>
      </c>
      <c r="AG4267">
        <v>-1.1205244804559999</v>
      </c>
      <c r="AH4267">
        <v>23.336807369221798</v>
      </c>
      <c r="AI4267">
        <v>92.743915114546397</v>
      </c>
      <c r="AJ4267">
        <v>86.524088089066694</v>
      </c>
      <c r="AK4267">
        <v>23.406653727774099</v>
      </c>
      <c r="AL4267">
        <v>93.902828238138795</v>
      </c>
      <c r="AM4267">
        <v>89.823298618908296</v>
      </c>
      <c r="AN4267">
        <v>1.00000002437196</v>
      </c>
    </row>
    <row r="4268" spans="1:40" x14ac:dyDescent="0.25">
      <c r="A4268" t="str">
        <f>"20190303154221772"</f>
        <v>20190303154221772</v>
      </c>
      <c r="B4268" t="str">
        <f>"1551598941764247"</f>
        <v>1551598941764247</v>
      </c>
      <c r="C4268" t="s">
        <v>40</v>
      </c>
      <c r="D4268">
        <v>5.738054</v>
      </c>
      <c r="E4268">
        <v>0.52205389999999996</v>
      </c>
      <c r="F4268" t="s">
        <v>51</v>
      </c>
      <c r="G4268">
        <v>-317.74549999999999</v>
      </c>
      <c r="H4268" s="1">
        <v>4.3404269999999997E-6</v>
      </c>
      <c r="I4268">
        <v>214.56460000000001</v>
      </c>
      <c r="J4268">
        <v>-341.16419999999999</v>
      </c>
      <c r="K4268">
        <v>1.1205320000000001</v>
      </c>
      <c r="L4268">
        <v>215.9889</v>
      </c>
      <c r="M4268">
        <v>0.99989099999999997</v>
      </c>
      <c r="N4268">
        <v>-1.4761349999999999E-2</v>
      </c>
      <c r="O4268">
        <v>4.1219379999999999E-4</v>
      </c>
      <c r="P4268">
        <v>0.99657010000000001</v>
      </c>
      <c r="Q4268">
        <v>-8.2714999999999997E-2</v>
      </c>
      <c r="R4268">
        <v>-2.5657779999999999E-3</v>
      </c>
      <c r="S4268">
        <v>2.9981990000000001</v>
      </c>
      <c r="T4268">
        <v>-0.14118699999999901</v>
      </c>
      <c r="U4268">
        <v>-0.1794586</v>
      </c>
      <c r="V4268">
        <v>2.9328990000000001E-3</v>
      </c>
      <c r="W4268">
        <v>-6.7997189999999999E-2</v>
      </c>
      <c r="X4268">
        <v>0.99768120000000005</v>
      </c>
      <c r="Y4268">
        <v>6.0072609999999999E-2</v>
      </c>
      <c r="Z4268">
        <v>-1.8698059999999999E-3</v>
      </c>
      <c r="AA4268">
        <v>0.99819230000000003</v>
      </c>
      <c r="AB4268">
        <v>37</v>
      </c>
      <c r="AC4268">
        <v>23.418700000000001</v>
      </c>
      <c r="AD4268">
        <v>-1.1205276595729901</v>
      </c>
      <c r="AE4268">
        <v>-1.4242999999999799</v>
      </c>
      <c r="AF4268">
        <v>1.4306906368458401</v>
      </c>
      <c r="AG4268">
        <v>-1.1205276595729901</v>
      </c>
      <c r="AH4268">
        <v>23.364816834772</v>
      </c>
      <c r="AI4268">
        <v>92.740556711912703</v>
      </c>
      <c r="AJ4268">
        <v>86.496000149090605</v>
      </c>
      <c r="AK4268">
        <v>23.4353818756314</v>
      </c>
      <c r="AL4268">
        <v>93.898960508409701</v>
      </c>
      <c r="AM4268">
        <v>89.831567187624998</v>
      </c>
      <c r="AN4268">
        <v>0.99999999828894004</v>
      </c>
    </row>
    <row r="4269" spans="1:40" x14ac:dyDescent="0.25">
      <c r="A4269" t="str">
        <f>"20190303154221793"</f>
        <v>20190303154221793</v>
      </c>
      <c r="B4269" t="str">
        <f>"1551598941783771"</f>
        <v>1551598941783771</v>
      </c>
      <c r="C4269" t="s">
        <v>40</v>
      </c>
      <c r="D4269">
        <v>5.7420260000000001</v>
      </c>
      <c r="E4269">
        <v>0.52221450000000003</v>
      </c>
      <c r="F4269" t="s">
        <v>51</v>
      </c>
      <c r="G4269">
        <v>-317.29520000000002</v>
      </c>
      <c r="H4269" s="1">
        <v>4.1407449999999998E-6</v>
      </c>
      <c r="I4269">
        <v>214.5498</v>
      </c>
      <c r="J4269">
        <v>-340.78410000000002</v>
      </c>
      <c r="K4269">
        <v>1.1205309999999999</v>
      </c>
      <c r="L4269">
        <v>215.9888</v>
      </c>
      <c r="M4269">
        <v>0.99989090000000003</v>
      </c>
      <c r="N4269">
        <v>-1.477505E-2</v>
      </c>
      <c r="O4269">
        <v>1.5171109999999999E-4</v>
      </c>
      <c r="P4269">
        <v>0.99659399999999998</v>
      </c>
      <c r="Q4269">
        <v>-8.2429409999999995E-2</v>
      </c>
      <c r="R4269">
        <v>-2.4914830000000001E-3</v>
      </c>
      <c r="S4269">
        <v>2.9981689999999999</v>
      </c>
      <c r="T4269">
        <v>-0.1407486</v>
      </c>
      <c r="U4269">
        <v>-0.18077090000000001</v>
      </c>
      <c r="V4269">
        <v>2.5983170000000002E-3</v>
      </c>
      <c r="W4269">
        <v>-6.769741E-2</v>
      </c>
      <c r="X4269">
        <v>0.99770250000000005</v>
      </c>
      <c r="Y4269">
        <v>6.0248820000000002E-2</v>
      </c>
      <c r="Z4269">
        <v>-1.8628399999999999E-3</v>
      </c>
      <c r="AA4269">
        <v>0.9981816</v>
      </c>
      <c r="AB4269">
        <v>37</v>
      </c>
      <c r="AC4269">
        <v>23.488900000000001</v>
      </c>
      <c r="AD4269">
        <v>-1.120526859255</v>
      </c>
      <c r="AE4269">
        <v>-1.4389999999999901</v>
      </c>
      <c r="AF4269">
        <v>1.43930069828067</v>
      </c>
      <c r="AG4269">
        <v>-1.120526859255</v>
      </c>
      <c r="AH4269">
        <v>23.4355480218825</v>
      </c>
      <c r="AI4269">
        <v>92.732265567977805</v>
      </c>
      <c r="AJ4269">
        <v>86.485577942215102</v>
      </c>
      <c r="AK4269">
        <v>23.5064263134222</v>
      </c>
      <c r="AL4269">
        <v>93.881744762916</v>
      </c>
      <c r="AM4269">
        <v>89.850784916978498</v>
      </c>
      <c r="AN4269">
        <v>0.999999984539095</v>
      </c>
    </row>
    <row r="4270" spans="1:40" x14ac:dyDescent="0.25">
      <c r="A4270" t="str">
        <f>"20190303154221816"</f>
        <v>20190303154221816</v>
      </c>
      <c r="B4270" t="str">
        <f>"1551598941804267"</f>
        <v>1551598941804267</v>
      </c>
      <c r="C4270" t="s">
        <v>40</v>
      </c>
      <c r="D4270">
        <v>5.7042260000000002</v>
      </c>
      <c r="E4270">
        <v>0.52232239999999996</v>
      </c>
      <c r="F4270" t="s">
        <v>51</v>
      </c>
      <c r="G4270">
        <v>-316.60239999999999</v>
      </c>
      <c r="H4270" s="1">
        <v>3.8335349999999997E-6</v>
      </c>
      <c r="I4270">
        <v>214.5223</v>
      </c>
      <c r="J4270">
        <v>-340.40910000000002</v>
      </c>
      <c r="K4270">
        <v>1.1205309999999999</v>
      </c>
      <c r="L4270">
        <v>215.98859999999999</v>
      </c>
      <c r="M4270">
        <v>0.99989079999999997</v>
      </c>
      <c r="N4270">
        <v>-1.478608E-2</v>
      </c>
      <c r="O4270">
        <v>-1.216649E-4</v>
      </c>
      <c r="P4270">
        <v>0.99666370000000004</v>
      </c>
      <c r="Q4270">
        <v>-8.1607189999999996E-2</v>
      </c>
      <c r="R4270">
        <v>-1.4214469999999999E-3</v>
      </c>
      <c r="S4270">
        <v>2.9983219999999999</v>
      </c>
      <c r="T4270">
        <v>-0.13893529999999901</v>
      </c>
      <c r="U4270">
        <v>-0.181839</v>
      </c>
      <c r="V4270">
        <v>1.254694E-3</v>
      </c>
      <c r="W4270">
        <v>-6.6862399999999905E-2</v>
      </c>
      <c r="X4270">
        <v>0.99776140000000002</v>
      </c>
      <c r="Y4270">
        <v>6.0329140000000003E-2</v>
      </c>
      <c r="Z4270">
        <v>-1.838658E-3</v>
      </c>
      <c r="AA4270">
        <v>0.99817690000000003</v>
      </c>
      <c r="AB4270">
        <v>37</v>
      </c>
      <c r="AC4270">
        <v>23.806699999999999</v>
      </c>
      <c r="AD4270">
        <v>-1.1205271664649901</v>
      </c>
      <c r="AE4270">
        <v>-1.46629999999998</v>
      </c>
      <c r="AF4270">
        <v>1.4601806170967899</v>
      </c>
      <c r="AG4270">
        <v>-1.1205271664649901</v>
      </c>
      <c r="AH4270">
        <v>23.754452207619298</v>
      </c>
      <c r="AI4270">
        <v>92.695631058451994</v>
      </c>
      <c r="AJ4270">
        <v>86.482467758574401</v>
      </c>
      <c r="AK4270">
        <v>23.825652315296701</v>
      </c>
      <c r="AL4270">
        <v>93.833793566880402</v>
      </c>
      <c r="AM4270">
        <v>89.927950076153195</v>
      </c>
      <c r="AN4270">
        <v>0.99999998306037596</v>
      </c>
    </row>
    <row r="4271" spans="1:40" x14ac:dyDescent="0.25">
      <c r="A4271" t="str">
        <f>"20190303154221836"</f>
        <v>20190303154221836</v>
      </c>
      <c r="B4271" t="str">
        <f>"1551598941834052"</f>
        <v>1551598941834052</v>
      </c>
      <c r="C4271" t="s">
        <v>40</v>
      </c>
      <c r="D4271">
        <v>5.6837849999999897</v>
      </c>
      <c r="E4271">
        <v>0.52250189999999996</v>
      </c>
      <c r="F4271" t="s">
        <v>51</v>
      </c>
      <c r="G4271">
        <v>-315.66019999999997</v>
      </c>
      <c r="H4271" s="1">
        <v>3.415685E-6</v>
      </c>
      <c r="I4271">
        <v>214.50810000000001</v>
      </c>
      <c r="J4271">
        <v>-340.0609</v>
      </c>
      <c r="K4271">
        <v>1.120522</v>
      </c>
      <c r="L4271">
        <v>215.98840000000001</v>
      </c>
      <c r="M4271">
        <v>0.99989059999999996</v>
      </c>
      <c r="N4271">
        <v>-1.4794119999999999E-2</v>
      </c>
      <c r="O4271">
        <v>-3.9869690000000001E-4</v>
      </c>
      <c r="P4271">
        <v>0.99672499999999997</v>
      </c>
      <c r="Q4271">
        <v>-8.0867309999999998E-2</v>
      </c>
      <c r="R4271">
        <v>-1.6428969999999999E-4</v>
      </c>
      <c r="S4271">
        <v>2.9986269999999999</v>
      </c>
      <c r="T4271">
        <v>-0.135765</v>
      </c>
      <c r="U4271">
        <v>-0.17938229999999999</v>
      </c>
      <c r="V4271">
        <v>-2.8054399999999998E-4</v>
      </c>
      <c r="W4271">
        <v>-6.6112599999999994E-2</v>
      </c>
      <c r="X4271">
        <v>0.99781220000000004</v>
      </c>
      <c r="Y4271">
        <v>5.9236589999999999E-2</v>
      </c>
      <c r="Z4271">
        <v>-1.765862E-3</v>
      </c>
      <c r="AA4271">
        <v>0.99824239999999997</v>
      </c>
      <c r="AB4271">
        <v>37</v>
      </c>
      <c r="AC4271">
        <v>24.400700000000001</v>
      </c>
      <c r="AD4271">
        <v>-1.1205185843150001</v>
      </c>
      <c r="AE4271">
        <v>-1.48029999999999</v>
      </c>
      <c r="AF4271">
        <v>1.4674870592912701</v>
      </c>
      <c r="AG4271">
        <v>-1.1205185843150001</v>
      </c>
      <c r="AH4271">
        <v>24.3501272774763</v>
      </c>
      <c r="AI4271">
        <v>92.629953382063803</v>
      </c>
      <c r="AJ4271">
        <v>86.5511785056582</v>
      </c>
      <c r="AK4271">
        <v>24.4200282267707</v>
      </c>
      <c r="AL4271">
        <v>93.790737586562599</v>
      </c>
      <c r="AM4271">
        <v>90.016109230518694</v>
      </c>
      <c r="AN4271">
        <v>1.0000000705262599</v>
      </c>
    </row>
    <row r="4272" spans="1:40" x14ac:dyDescent="0.25">
      <c r="A4272" t="str">
        <f>"20190303154221871"</f>
        <v>20190303154221871</v>
      </c>
      <c r="B4272" t="str">
        <f>"1551598941864309"</f>
        <v>1551598941864309</v>
      </c>
      <c r="C4272" t="s">
        <v>40</v>
      </c>
      <c r="D4272">
        <v>5.6820409999999999</v>
      </c>
      <c r="E4272">
        <v>0.5227714</v>
      </c>
      <c r="F4272" t="s">
        <v>51</v>
      </c>
      <c r="G4272">
        <v>-314.73509999999999</v>
      </c>
      <c r="H4272" s="1">
        <v>3.00546E-6</v>
      </c>
      <c r="I4272">
        <v>214.4948</v>
      </c>
      <c r="J4272">
        <v>-339.49829999999997</v>
      </c>
      <c r="K4272">
        <v>1.1204989999999999</v>
      </c>
      <c r="L4272">
        <v>215.98759999999999</v>
      </c>
      <c r="M4272">
        <v>0.9998901</v>
      </c>
      <c r="N4272">
        <v>-1.4803770000000001E-2</v>
      </c>
      <c r="O4272">
        <v>-8.9166949999999897E-4</v>
      </c>
      <c r="P4272">
        <v>0.99667939999999999</v>
      </c>
      <c r="Q4272">
        <v>-8.1426440000000003E-2</v>
      </c>
      <c r="R4272" s="1">
        <v>-9.4101529999999996E-5</v>
      </c>
      <c r="S4272">
        <v>2.9990540000000001</v>
      </c>
      <c r="T4272">
        <v>-0.13269029999999901</v>
      </c>
      <c r="U4272">
        <v>-0.17686459999999901</v>
      </c>
      <c r="V4272">
        <v>-8.4765929999999995E-4</v>
      </c>
      <c r="W4272">
        <v>-6.6662269999999996E-2</v>
      </c>
      <c r="X4272">
        <v>0.99777530000000003</v>
      </c>
      <c r="Y4272">
        <v>5.7905909999999998E-2</v>
      </c>
      <c r="Z4272">
        <v>-1.682336E-3</v>
      </c>
      <c r="AA4272">
        <v>0.9983206</v>
      </c>
      <c r="AB4272">
        <v>37</v>
      </c>
      <c r="AC4272">
        <v>24.763199999999902</v>
      </c>
      <c r="AD4272">
        <v>-1.1204959945399999</v>
      </c>
      <c r="AE4272">
        <v>-1.4927999999999799</v>
      </c>
      <c r="AF4272">
        <v>1.46772223417337</v>
      </c>
      <c r="AG4272">
        <v>-1.1204959945399999</v>
      </c>
      <c r="AH4272">
        <v>24.714104432189998</v>
      </c>
      <c r="AI4272">
        <v>92.591357197054904</v>
      </c>
      <c r="AJ4272">
        <v>86.601307836892303</v>
      </c>
      <c r="AK4272">
        <v>24.782991702287699</v>
      </c>
      <c r="AL4272">
        <v>93.822301015919905</v>
      </c>
      <c r="AM4272">
        <v>90.048675577227399</v>
      </c>
      <c r="AN4272">
        <v>1.0000000630289601</v>
      </c>
    </row>
    <row r="4273" spans="1:40" x14ac:dyDescent="0.25">
      <c r="A4273" t="str">
        <f>"20190303154221893"</f>
        <v>20190303154221893</v>
      </c>
      <c r="B4273" t="str">
        <f>"1551598941883831"</f>
        <v>1551598941883831</v>
      </c>
      <c r="C4273" t="s">
        <v>40</v>
      </c>
      <c r="D4273">
        <v>5.6765470000000002</v>
      </c>
      <c r="E4273">
        <v>0.52306390000000003</v>
      </c>
      <c r="F4273" t="s">
        <v>51</v>
      </c>
      <c r="G4273">
        <v>-314.4982</v>
      </c>
      <c r="H4273" s="1">
        <v>2.9004190000000001E-6</v>
      </c>
      <c r="I4273">
        <v>214.49719999999999</v>
      </c>
      <c r="J4273">
        <v>-339.12360000000001</v>
      </c>
      <c r="K4273">
        <v>1.1204780000000001</v>
      </c>
      <c r="L4273">
        <v>215.98689999999999</v>
      </c>
      <c r="M4273">
        <v>0.99988960000000005</v>
      </c>
      <c r="N4273">
        <v>-1.4808440000000001E-2</v>
      </c>
      <c r="O4273">
        <v>-1.2592059999999999E-3</v>
      </c>
      <c r="P4273">
        <v>0.99669110000000005</v>
      </c>
      <c r="Q4273">
        <v>-8.128022E-2</v>
      </c>
      <c r="R4273">
        <v>-4.37479E-4</v>
      </c>
      <c r="S4273">
        <v>2.998993</v>
      </c>
      <c r="T4273">
        <v>-0.13441420000000001</v>
      </c>
      <c r="U4273">
        <v>-0.17878720000000001</v>
      </c>
      <c r="V4273">
        <v>-8.7478729999999904E-4</v>
      </c>
      <c r="W4273">
        <v>-6.6511139999999996E-2</v>
      </c>
      <c r="X4273">
        <v>0.99778529999999999</v>
      </c>
      <c r="Y4273">
        <v>5.8175989999999997E-2</v>
      </c>
      <c r="Z4273">
        <v>-1.695617E-3</v>
      </c>
      <c r="AA4273">
        <v>0.99830490000000005</v>
      </c>
      <c r="AB4273">
        <v>37</v>
      </c>
      <c r="AC4273">
        <v>24.625399999999999</v>
      </c>
      <c r="AD4273">
        <v>-1.120475099581</v>
      </c>
      <c r="AE4273">
        <v>-1.48969999999999</v>
      </c>
      <c r="AF4273">
        <v>1.45568422232021</v>
      </c>
      <c r="AG4273">
        <v>-1.120475099581</v>
      </c>
      <c r="AH4273">
        <v>24.576560656404101</v>
      </c>
      <c r="AI4273">
        <v>92.605815591810895</v>
      </c>
      <c r="AJ4273">
        <v>86.610297382287101</v>
      </c>
      <c r="AK4273">
        <v>24.645117461716499</v>
      </c>
      <c r="AL4273">
        <v>93.813622882004196</v>
      </c>
      <c r="AM4273">
        <v>90.050232858130499</v>
      </c>
      <c r="AN4273">
        <v>1.0000000009465</v>
      </c>
    </row>
    <row r="4274" spans="1:40" x14ac:dyDescent="0.25">
      <c r="A4274" t="str">
        <f>"20190303154221916"</f>
        <v>20190303154221916</v>
      </c>
      <c r="B4274" t="str">
        <f>"1551598941904324"</f>
        <v>1551598941904324</v>
      </c>
      <c r="C4274" t="s">
        <v>40</v>
      </c>
      <c r="D4274">
        <v>5.6715359999999997</v>
      </c>
      <c r="E4274">
        <v>0.5233141</v>
      </c>
      <c r="F4274" t="s">
        <v>51</v>
      </c>
      <c r="G4274">
        <v>-314.18680000000001</v>
      </c>
      <c r="H4274" s="1">
        <v>2.7623229999999998E-6</v>
      </c>
      <c r="I4274">
        <v>214.47130000000001</v>
      </c>
      <c r="J4274">
        <v>-338.7534</v>
      </c>
      <c r="K4274">
        <v>1.1204540000000001</v>
      </c>
      <c r="L4274">
        <v>215.98609999999999</v>
      </c>
      <c r="M4274">
        <v>0.99988900000000003</v>
      </c>
      <c r="N4274">
        <v>-1.481183E-2</v>
      </c>
      <c r="O4274">
        <v>-1.6660589999999999E-3</v>
      </c>
      <c r="P4274">
        <v>0.99673750000000005</v>
      </c>
      <c r="Q4274">
        <v>-8.0708210000000002E-2</v>
      </c>
      <c r="R4274">
        <v>-8.2941449999999995E-4</v>
      </c>
      <c r="S4274">
        <v>2.9988709999999998</v>
      </c>
      <c r="T4274">
        <v>-0.13474700000000001</v>
      </c>
      <c r="U4274">
        <v>-0.18226619999999999</v>
      </c>
      <c r="V4274">
        <v>-8.9290119999999897E-4</v>
      </c>
      <c r="W4274">
        <v>-6.5935069999999998E-2</v>
      </c>
      <c r="X4274">
        <v>0.99782349999999997</v>
      </c>
      <c r="Y4274">
        <v>5.8924999999999998E-2</v>
      </c>
      <c r="Z4274">
        <v>-1.7089479999999901E-3</v>
      </c>
      <c r="AA4274">
        <v>0.99826099999999995</v>
      </c>
      <c r="AB4274">
        <v>37</v>
      </c>
      <c r="AC4274">
        <v>24.566599999999902</v>
      </c>
      <c r="AD4274">
        <v>-1.1204512376769999</v>
      </c>
      <c r="AE4274">
        <v>-1.5147999999999699</v>
      </c>
      <c r="AF4274">
        <v>1.4708160675831099</v>
      </c>
      <c r="AG4274">
        <v>-1.1204512376769999</v>
      </c>
      <c r="AH4274">
        <v>24.518281259313799</v>
      </c>
      <c r="AI4274">
        <v>92.611828011351193</v>
      </c>
      <c r="AJ4274">
        <v>86.567023492916903</v>
      </c>
      <c r="AK4274">
        <v>24.5879000077577</v>
      </c>
      <c r="AL4274">
        <v>93.780543952596105</v>
      </c>
      <c r="AM4274">
        <v>90.051271048062901</v>
      </c>
      <c r="AN4274">
        <v>0.99999998394035305</v>
      </c>
    </row>
    <row r="4275" spans="1:40" x14ac:dyDescent="0.25">
      <c r="A4275" t="str">
        <f>"20190303154221937"</f>
        <v>20190303154221937</v>
      </c>
      <c r="B4275" t="str">
        <f>"1551598941933604"</f>
        <v>1551598941933604</v>
      </c>
      <c r="C4275" t="s">
        <v>40</v>
      </c>
      <c r="D4275">
        <v>5.6160170000000003</v>
      </c>
      <c r="E4275">
        <v>0.52422879999999905</v>
      </c>
      <c r="F4275" t="s">
        <v>51</v>
      </c>
      <c r="G4275">
        <v>-313.64859999999999</v>
      </c>
      <c r="H4275" s="1">
        <v>2.5236299999999998E-6</v>
      </c>
      <c r="I4275">
        <v>214.43530000000001</v>
      </c>
      <c r="J4275">
        <v>-338.40019999999998</v>
      </c>
      <c r="K4275">
        <v>1.1204209999999999</v>
      </c>
      <c r="L4275">
        <v>215.98509999999999</v>
      </c>
      <c r="M4275">
        <v>0.9998882</v>
      </c>
      <c r="N4275">
        <v>-1.4814310000000001E-2</v>
      </c>
      <c r="O4275">
        <v>-2.1029379999999999E-3</v>
      </c>
      <c r="P4275">
        <v>0.99677769999999999</v>
      </c>
      <c r="Q4275">
        <v>-8.0199259999999994E-2</v>
      </c>
      <c r="R4275">
        <v>-1.7155849999999999E-3</v>
      </c>
      <c r="S4275">
        <v>2.9988100000000002</v>
      </c>
      <c r="T4275">
        <v>-0.13383970000000001</v>
      </c>
      <c r="U4275">
        <v>-0.18524170000000001</v>
      </c>
      <c r="V4275">
        <v>-4.475681E-4</v>
      </c>
      <c r="W4275">
        <v>-6.5423439999999999E-2</v>
      </c>
      <c r="X4275">
        <v>0.99785749999999995</v>
      </c>
      <c r="Y4275">
        <v>5.9477210000000003E-2</v>
      </c>
      <c r="Z4275">
        <v>-1.70403E-3</v>
      </c>
      <c r="AA4275">
        <v>0.99822820000000001</v>
      </c>
      <c r="AB4275">
        <v>37</v>
      </c>
      <c r="AC4275">
        <v>24.7516</v>
      </c>
      <c r="AD4275">
        <v>-1.12041847636999</v>
      </c>
      <c r="AE4275">
        <v>-1.5497999999999701</v>
      </c>
      <c r="AF4275">
        <v>1.49468904531599</v>
      </c>
      <c r="AG4275">
        <v>-1.12041847636999</v>
      </c>
      <c r="AH4275">
        <v>24.704381755184599</v>
      </c>
      <c r="AI4275">
        <v>92.592024170026903</v>
      </c>
      <c r="AJ4275">
        <v>86.537654484429893</v>
      </c>
      <c r="AK4275">
        <v>24.774904859762302</v>
      </c>
      <c r="AL4275">
        <v>93.751166186967296</v>
      </c>
      <c r="AM4275">
        <v>90.025698821179404</v>
      </c>
      <c r="AN4275">
        <v>1.0000000085624401</v>
      </c>
    </row>
    <row r="4276" spans="1:40" x14ac:dyDescent="0.25">
      <c r="A4276" t="str">
        <f>"20190303154221960"</f>
        <v>20190303154221960</v>
      </c>
      <c r="B4276" t="str">
        <f>"1551598941954101"</f>
        <v>1551598941954101</v>
      </c>
      <c r="C4276" t="s">
        <v>40</v>
      </c>
      <c r="D4276">
        <v>5.6133699999999997</v>
      </c>
      <c r="E4276">
        <v>0.52474829999999995</v>
      </c>
      <c r="F4276" t="s">
        <v>51</v>
      </c>
      <c r="G4276">
        <v>-312.1148</v>
      </c>
      <c r="H4276" s="1">
        <v>1.8434739999999999E-6</v>
      </c>
      <c r="I4276">
        <v>214.27529999999999</v>
      </c>
      <c r="J4276">
        <v>-338.01389999999998</v>
      </c>
      <c r="K4276">
        <v>1.120382</v>
      </c>
      <c r="L4276">
        <v>215.9837</v>
      </c>
      <c r="M4276">
        <v>0.99988679999999996</v>
      </c>
      <c r="N4276">
        <v>-1.481612E-2</v>
      </c>
      <c r="O4276">
        <v>-2.6342660000000001E-3</v>
      </c>
      <c r="P4276">
        <v>0.99675029999999998</v>
      </c>
      <c r="Q4276">
        <v>-8.0508330000000003E-2</v>
      </c>
      <c r="R4276">
        <v>-2.697812E-3</v>
      </c>
      <c r="S4276">
        <v>2.9991150000000002</v>
      </c>
      <c r="T4276">
        <v>-0.12783749999999999</v>
      </c>
      <c r="U4276">
        <v>-0.1950836</v>
      </c>
      <c r="V4276" s="1">
        <v>-2.289016E-6</v>
      </c>
      <c r="W4276">
        <v>-6.5731510000000007E-2</v>
      </c>
      <c r="X4276">
        <v>0.99783739999999999</v>
      </c>
      <c r="Y4276">
        <v>6.2205789999999997E-2</v>
      </c>
      <c r="Z4276">
        <v>-1.712248E-3</v>
      </c>
      <c r="AA4276">
        <v>0.99806189999999995</v>
      </c>
      <c r="AB4276">
        <v>37</v>
      </c>
      <c r="AC4276">
        <v>25.899099999999901</v>
      </c>
      <c r="AD4276">
        <v>-1.1203801565260001</v>
      </c>
      <c r="AE4276">
        <v>-1.7084000000000099</v>
      </c>
      <c r="AF4276">
        <v>1.6371110848789201</v>
      </c>
      <c r="AG4276">
        <v>-1.1203801565260001</v>
      </c>
      <c r="AH4276">
        <v>25.8553355132719</v>
      </c>
      <c r="AI4276">
        <v>92.476272857043796</v>
      </c>
      <c r="AJ4276">
        <v>86.376975917626993</v>
      </c>
      <c r="AK4276">
        <v>25.931327750487998</v>
      </c>
      <c r="AL4276">
        <v>93.768855202028902</v>
      </c>
      <c r="AM4276">
        <v>90.000131435197801</v>
      </c>
      <c r="AN4276">
        <v>1.0000000541254299</v>
      </c>
    </row>
    <row r="4277" spans="1:40" x14ac:dyDescent="0.25">
      <c r="A4277" t="str">
        <f>"20190303154221984"</f>
        <v>20190303154221984</v>
      </c>
      <c r="B4277" t="str">
        <f>"1551598941973620"</f>
        <v>1551598941973620</v>
      </c>
      <c r="C4277" t="s">
        <v>40</v>
      </c>
      <c r="D4277">
        <v>5.6185479999999997</v>
      </c>
      <c r="E4277">
        <v>0.52523989999999998</v>
      </c>
      <c r="F4277" t="s">
        <v>51</v>
      </c>
      <c r="G4277">
        <v>-311.34359999999998</v>
      </c>
      <c r="H4277" s="1">
        <v>1.501463E-6</v>
      </c>
      <c r="I4277">
        <v>214.18620000000001</v>
      </c>
      <c r="J4277">
        <v>-337.6216</v>
      </c>
      <c r="K4277">
        <v>1.120341</v>
      </c>
      <c r="L4277">
        <v>215.9821</v>
      </c>
      <c r="M4277">
        <v>0.99988500000000002</v>
      </c>
      <c r="N4277">
        <v>-1.481706E-2</v>
      </c>
      <c r="O4277">
        <v>-3.2202910000000001E-3</v>
      </c>
      <c r="P4277">
        <v>0.99674059999999998</v>
      </c>
      <c r="Q4277">
        <v>-8.0574309999999996E-2</v>
      </c>
      <c r="R4277">
        <v>-3.9779079999999996E-3</v>
      </c>
      <c r="S4277">
        <v>2.9990839999999999</v>
      </c>
      <c r="T4277">
        <v>-0.12598679999999901</v>
      </c>
      <c r="U4277">
        <v>-0.20213320000000001</v>
      </c>
      <c r="V4277">
        <v>6.8654139999999996E-4</v>
      </c>
      <c r="W4277">
        <v>-6.5797499999999995E-2</v>
      </c>
      <c r="X4277">
        <v>0.99783279999999996</v>
      </c>
      <c r="Y4277">
        <v>6.3957180000000002E-2</v>
      </c>
      <c r="Z4277">
        <v>-1.7285200000000001E-3</v>
      </c>
      <c r="AA4277">
        <v>0.99795109999999998</v>
      </c>
      <c r="AB4277">
        <v>37</v>
      </c>
      <c r="AC4277">
        <v>26.277999999999999</v>
      </c>
      <c r="AD4277">
        <v>-1.1203394985369901</v>
      </c>
      <c r="AE4277">
        <v>-1.7958999999999801</v>
      </c>
      <c r="AF4277">
        <v>1.7081681363172301</v>
      </c>
      <c r="AG4277">
        <v>-1.1203394985369901</v>
      </c>
      <c r="AH4277">
        <v>26.236180694329398</v>
      </c>
      <c r="AI4277">
        <v>92.440003667667398</v>
      </c>
      <c r="AJ4277">
        <v>86.274881381467694</v>
      </c>
      <c r="AK4277">
        <v>26.315588087660402</v>
      </c>
      <c r="AL4277">
        <v>93.772644408241106</v>
      </c>
      <c r="AM4277">
        <v>89.960578647570998</v>
      </c>
      <c r="AN4277">
        <v>1.0000000395505899</v>
      </c>
    </row>
    <row r="4278" spans="1:40" x14ac:dyDescent="0.25">
      <c r="A4278" t="str">
        <f>"20190303154222004"</f>
        <v>20190303154222004</v>
      </c>
      <c r="B4278" t="str">
        <f>"1551598941994116"</f>
        <v>1551598941994116</v>
      </c>
      <c r="C4278" t="s">
        <v>40</v>
      </c>
      <c r="D4278">
        <v>5.6259300000000003</v>
      </c>
      <c r="E4278">
        <v>0.52566400000000002</v>
      </c>
      <c r="F4278" t="s">
        <v>51</v>
      </c>
      <c r="G4278">
        <v>-310.49209999999999</v>
      </c>
      <c r="H4278" s="1">
        <v>1.1238750000000001E-6</v>
      </c>
      <c r="I4278">
        <v>214.084</v>
      </c>
      <c r="J4278">
        <v>-337.28500000000003</v>
      </c>
      <c r="K4278">
        <v>1.120309</v>
      </c>
      <c r="L4278">
        <v>215.98050000000001</v>
      </c>
      <c r="M4278">
        <v>0.99988319999999997</v>
      </c>
      <c r="N4278">
        <v>-1.481728E-2</v>
      </c>
      <c r="O4278">
        <v>-3.76013E-3</v>
      </c>
      <c r="P4278">
        <v>0.99676849999999995</v>
      </c>
      <c r="Q4278">
        <v>-8.0170660000000005E-2</v>
      </c>
      <c r="R4278">
        <v>-5.0341250000000004E-3</v>
      </c>
      <c r="S4278">
        <v>2.9989620000000001</v>
      </c>
      <c r="T4278">
        <v>-0.1238452</v>
      </c>
      <c r="U4278">
        <v>-0.2098236</v>
      </c>
      <c r="V4278">
        <v>1.1995980000000001E-3</v>
      </c>
      <c r="W4278">
        <v>-6.5393939999999998E-2</v>
      </c>
      <c r="X4278">
        <v>0.99785880000000005</v>
      </c>
      <c r="Y4278">
        <v>6.5968089999999993E-2</v>
      </c>
      <c r="Z4278">
        <v>-1.7501280000000001E-3</v>
      </c>
      <c r="AA4278">
        <v>0.99782020000000005</v>
      </c>
      <c r="AB4278">
        <v>37</v>
      </c>
      <c r="AC4278">
        <v>26.792899999999999</v>
      </c>
      <c r="AD4278">
        <v>-1.120307876125</v>
      </c>
      <c r="AE4278">
        <v>-1.8965000000000001</v>
      </c>
      <c r="AF4278">
        <v>1.79261220826223</v>
      </c>
      <c r="AG4278">
        <v>-1.120307876125</v>
      </c>
      <c r="AH4278">
        <v>26.7533007270154</v>
      </c>
      <c r="AI4278">
        <v>92.392529916977594</v>
      </c>
      <c r="AJ4278">
        <v>86.166610753166694</v>
      </c>
      <c r="AK4278">
        <v>26.836684744145298</v>
      </c>
      <c r="AL4278">
        <v>93.749472382944006</v>
      </c>
      <c r="AM4278">
        <v>89.931120646125905</v>
      </c>
      <c r="AN4278">
        <v>0.99999999558076202</v>
      </c>
    </row>
    <row r="4279" spans="1:40" x14ac:dyDescent="0.25">
      <c r="A4279" t="str">
        <f>"20190303154222027"</f>
        <v>20190303154222027</v>
      </c>
      <c r="B4279" t="str">
        <f>"1551598942023903"</f>
        <v>1551598942023903</v>
      </c>
      <c r="C4279" t="s">
        <v>40</v>
      </c>
      <c r="D4279">
        <v>5.5726199999999997</v>
      </c>
      <c r="E4279">
        <v>0.52615579999999995</v>
      </c>
      <c r="F4279" t="s">
        <v>51</v>
      </c>
      <c r="G4279">
        <v>-309.40730000000002</v>
      </c>
      <c r="H4279" s="1">
        <v>9.8455920000000009E-7</v>
      </c>
      <c r="I4279">
        <v>213.97020000000001</v>
      </c>
      <c r="J4279">
        <v>-336.90699999999998</v>
      </c>
      <c r="K4279">
        <v>1.120277</v>
      </c>
      <c r="L4279">
        <v>215.9785</v>
      </c>
      <c r="M4279">
        <v>0.99988069999999896</v>
      </c>
      <c r="N4279">
        <v>-1.481698E-2</v>
      </c>
      <c r="O4279">
        <v>-4.4068070000000004E-3</v>
      </c>
      <c r="P4279">
        <v>0.99677380000000004</v>
      </c>
      <c r="Q4279">
        <v>-8.0088439999999997E-2</v>
      </c>
      <c r="R4279">
        <v>-5.3196800000000002E-3</v>
      </c>
      <c r="S4279">
        <v>2.9989319999999999</v>
      </c>
      <c r="T4279">
        <v>-0.1205167</v>
      </c>
      <c r="U4279">
        <v>-0.21626280000000001</v>
      </c>
      <c r="V4279">
        <v>8.3460429999999996E-4</v>
      </c>
      <c r="W4279">
        <v>-6.5311510000000003E-2</v>
      </c>
      <c r="X4279">
        <v>0.99786459999999999</v>
      </c>
      <c r="Y4279">
        <v>6.7457119999999995E-2</v>
      </c>
      <c r="Z4279">
        <v>-1.7422519999999999E-3</v>
      </c>
      <c r="AA4279">
        <v>0.99772070000000002</v>
      </c>
      <c r="AB4279">
        <v>37</v>
      </c>
      <c r="AC4279">
        <v>27.499699999999901</v>
      </c>
      <c r="AD4279">
        <v>-1.1202760154408</v>
      </c>
      <c r="AE4279">
        <v>-2.00829999999999</v>
      </c>
      <c r="AF4279">
        <v>1.88397135705121</v>
      </c>
      <c r="AG4279">
        <v>-1.1202760154408</v>
      </c>
      <c r="AH4279">
        <v>27.462949327354501</v>
      </c>
      <c r="AI4279">
        <v>92.330458651226195</v>
      </c>
      <c r="AJ4279">
        <v>86.0756306880061</v>
      </c>
      <c r="AK4279">
        <v>27.550280437443799</v>
      </c>
      <c r="AL4279">
        <v>93.744739263693702</v>
      </c>
      <c r="AM4279">
        <v>89.952078375359903</v>
      </c>
      <c r="AN4279">
        <v>1.0000000249179799</v>
      </c>
    </row>
    <row r="4280" spans="1:40" x14ac:dyDescent="0.25">
      <c r="A4280" t="str">
        <f>"20190303154222048"</f>
        <v>20190303154222048</v>
      </c>
      <c r="B4280" t="str">
        <f>"1551598942044399"</f>
        <v>1551598942044399</v>
      </c>
      <c r="C4280" t="s">
        <v>40</v>
      </c>
      <c r="D4280">
        <v>5.6371890000000002</v>
      </c>
      <c r="E4280">
        <v>0.52649840000000003</v>
      </c>
      <c r="F4280" t="s">
        <v>51</v>
      </c>
      <c r="G4280">
        <v>-308.49160000000001</v>
      </c>
      <c r="H4280" s="1">
        <v>1.1469810000000001E-6</v>
      </c>
      <c r="I4280">
        <v>213.88460000000001</v>
      </c>
      <c r="J4280">
        <v>-336.5607</v>
      </c>
      <c r="K4280">
        <v>1.120252</v>
      </c>
      <c r="L4280">
        <v>215.97640000000001</v>
      </c>
      <c r="M4280">
        <v>0.99987769999999998</v>
      </c>
      <c r="N4280">
        <v>-1.481615E-2</v>
      </c>
      <c r="O4280">
        <v>-5.0327619999999997E-3</v>
      </c>
      <c r="P4280">
        <v>0.99681010000000003</v>
      </c>
      <c r="Q4280">
        <v>-7.9632240000000007E-2</v>
      </c>
      <c r="R4280">
        <v>-5.340198E-3</v>
      </c>
      <c r="S4280">
        <v>2.998993</v>
      </c>
      <c r="T4280">
        <v>-0.1182356</v>
      </c>
      <c r="U4280">
        <v>-0.22099299999999999</v>
      </c>
      <c r="V4280">
        <v>2.2668380000000001E-4</v>
      </c>
      <c r="W4280">
        <v>-6.4854830000000002E-2</v>
      </c>
      <c r="X4280">
        <v>0.99789470000000002</v>
      </c>
      <c r="Y4280">
        <v>6.8397899999999998E-2</v>
      </c>
      <c r="Z4280">
        <v>-1.7300239999999999E-3</v>
      </c>
      <c r="AA4280">
        <v>0.9976566</v>
      </c>
      <c r="AB4280">
        <v>37</v>
      </c>
      <c r="AC4280">
        <v>28.069099999999899</v>
      </c>
      <c r="AD4280">
        <v>-1.1202508530190001</v>
      </c>
      <c r="AE4280">
        <v>-2.0918000000000001</v>
      </c>
      <c r="AF4280">
        <v>1.94740812590025</v>
      </c>
      <c r="AG4280">
        <v>-1.1202508530190001</v>
      </c>
      <c r="AH4280">
        <v>28.034864559733201</v>
      </c>
      <c r="AI4280">
        <v>92.282781303597901</v>
      </c>
      <c r="AJ4280">
        <v>86.026400592724002</v>
      </c>
      <c r="AK4280">
        <v>28.124739843509602</v>
      </c>
      <c r="AL4280">
        <v>93.718517865982193</v>
      </c>
      <c r="AM4280">
        <v>89.986984573822696</v>
      </c>
      <c r="AN4280">
        <v>1.0000000163239799</v>
      </c>
    </row>
    <row r="4281" spans="1:40" x14ac:dyDescent="0.25">
      <c r="A4281" t="str">
        <f>"20190303154222071"</f>
        <v>20190303154222071</v>
      </c>
      <c r="B4281" t="str">
        <f>"1551598942063922"</f>
        <v>1551598942063922</v>
      </c>
      <c r="C4281" t="s">
        <v>40</v>
      </c>
      <c r="D4281">
        <v>5.6484059999999996</v>
      </c>
      <c r="E4281">
        <v>0.52667810000000004</v>
      </c>
      <c r="F4281" t="s">
        <v>51</v>
      </c>
      <c r="G4281">
        <v>-307.46289999999999</v>
      </c>
      <c r="H4281" s="1">
        <v>1.3294689999999999E-6</v>
      </c>
      <c r="I4281">
        <v>213.80539999999999</v>
      </c>
      <c r="J4281">
        <v>-336.17939999999999</v>
      </c>
      <c r="K4281">
        <v>1.1202259999999999</v>
      </c>
      <c r="L4281">
        <v>215.97380000000001</v>
      </c>
      <c r="M4281">
        <v>0.99987369999999998</v>
      </c>
      <c r="N4281">
        <v>-1.4814900000000001E-2</v>
      </c>
      <c r="O4281">
        <v>-5.7522989999999998E-3</v>
      </c>
      <c r="P4281">
        <v>0.99682009999999999</v>
      </c>
      <c r="Q4281">
        <v>-7.9509280000000002E-2</v>
      </c>
      <c r="R4281">
        <v>-5.2910930000000002E-3</v>
      </c>
      <c r="S4281">
        <v>2.9991460000000001</v>
      </c>
      <c r="T4281">
        <v>-0.1154655</v>
      </c>
      <c r="U4281">
        <v>-0.2237701</v>
      </c>
      <c r="V4281">
        <v>-5.446591E-4</v>
      </c>
      <c r="W4281">
        <v>-6.4731780000000003E-2</v>
      </c>
      <c r="X4281">
        <v>0.99790259999999997</v>
      </c>
      <c r="Y4281">
        <v>6.85978E-2</v>
      </c>
      <c r="Z4281">
        <v>-1.6913309999999999E-3</v>
      </c>
      <c r="AA4281">
        <v>0.9976429</v>
      </c>
      <c r="AB4281">
        <v>37</v>
      </c>
      <c r="AC4281">
        <v>28.7165</v>
      </c>
      <c r="AD4281">
        <v>-1.1202246705309999</v>
      </c>
      <c r="AE4281">
        <v>-2.1684000000000201</v>
      </c>
      <c r="AF4281">
        <v>2.00013361637154</v>
      </c>
      <c r="AG4281">
        <v>-1.1202246705309999</v>
      </c>
      <c r="AH4281">
        <v>28.685094992857699</v>
      </c>
      <c r="AI4281">
        <v>92.230995613199994</v>
      </c>
      <c r="AJ4281">
        <v>86.011376934318605</v>
      </c>
      <c r="AK4281">
        <v>28.7765549109874</v>
      </c>
      <c r="AL4281">
        <v>93.711452651134096</v>
      </c>
      <c r="AM4281">
        <v>90.031272255032206</v>
      </c>
      <c r="AN4281">
        <v>1.0000000495411301</v>
      </c>
    </row>
    <row r="4282" spans="1:40" x14ac:dyDescent="0.25">
      <c r="A4282" t="str">
        <f>"20190303154222095"</f>
        <v>20190303154222095</v>
      </c>
      <c r="B4282" t="str">
        <f>"1551598942084418"</f>
        <v>1551598942084418</v>
      </c>
      <c r="C4282" t="s">
        <v>40</v>
      </c>
      <c r="D4282">
        <v>5.6442170000000003</v>
      </c>
      <c r="E4282">
        <v>0.52694810000000003</v>
      </c>
      <c r="F4282" t="s">
        <v>51</v>
      </c>
      <c r="G4282">
        <v>-307.07389999999998</v>
      </c>
      <c r="H4282" s="1">
        <v>1.3984579999999999E-6</v>
      </c>
      <c r="I4282">
        <v>213.7911</v>
      </c>
      <c r="J4282">
        <v>-335.80079999999998</v>
      </c>
      <c r="K4282">
        <v>1.1202019999999999</v>
      </c>
      <c r="L4282">
        <v>215.9709</v>
      </c>
      <c r="M4282">
        <v>0.99986920000000001</v>
      </c>
      <c r="N4282">
        <v>-1.4813369999999999E-2</v>
      </c>
      <c r="O4282">
        <v>-6.48915E-3</v>
      </c>
      <c r="P4282">
        <v>0.99681819999999999</v>
      </c>
      <c r="Q4282">
        <v>-7.9538730000000002E-2</v>
      </c>
      <c r="R4282">
        <v>-5.2050320000000001E-3</v>
      </c>
      <c r="S4282">
        <v>2.9991759999999998</v>
      </c>
      <c r="T4282">
        <v>-0.11543390000000001</v>
      </c>
      <c r="U4282">
        <v>-0.22491459999999999</v>
      </c>
      <c r="V4282">
        <v>-1.36975799999999E-3</v>
      </c>
      <c r="W4282">
        <v>-6.4761429999999995E-2</v>
      </c>
      <c r="X4282">
        <v>0.9978998</v>
      </c>
      <c r="Y4282">
        <v>6.8240980000000007E-2</v>
      </c>
      <c r="Z4282">
        <v>-1.6640400000000001E-3</v>
      </c>
      <c r="AA4282">
        <v>0.99766750000000004</v>
      </c>
      <c r="AB4282">
        <v>37</v>
      </c>
      <c r="AC4282">
        <v>28.726900000000001</v>
      </c>
      <c r="AD4282">
        <v>-1.1202006015420001</v>
      </c>
      <c r="AE4282">
        <v>-2.1798000000000002</v>
      </c>
      <c r="AF4282">
        <v>1.99031133673785</v>
      </c>
      <c r="AG4282">
        <v>-1.1202006015420001</v>
      </c>
      <c r="AH4282">
        <v>28.697054793038902</v>
      </c>
      <c r="AI4282">
        <v>92.230076146614195</v>
      </c>
      <c r="AJ4282">
        <v>86.032550432855402</v>
      </c>
      <c r="AK4282">
        <v>28.7877950249671</v>
      </c>
      <c r="AL4282">
        <v>93.713155357531704</v>
      </c>
      <c r="AM4282">
        <v>90.078646476393999</v>
      </c>
      <c r="AN4282">
        <v>0.99999996494633103</v>
      </c>
    </row>
    <row r="4283" spans="1:40" x14ac:dyDescent="0.25">
      <c r="A4283" t="str">
        <f>"20190303154222116"</f>
        <v>20190303154222116</v>
      </c>
      <c r="B4283" t="str">
        <f>"1551598942103935"</f>
        <v>1551598942103935</v>
      </c>
      <c r="C4283" t="s">
        <v>40</v>
      </c>
      <c r="D4283">
        <v>5.6134440000000003</v>
      </c>
      <c r="E4283">
        <v>0.52718900000000002</v>
      </c>
      <c r="F4283" t="s">
        <v>51</v>
      </c>
      <c r="G4283">
        <v>-306.41570000000002</v>
      </c>
      <c r="H4283" s="1">
        <v>1.515226E-6</v>
      </c>
      <c r="I4283">
        <v>213.74850000000001</v>
      </c>
      <c r="J4283">
        <v>-335.44690000000003</v>
      </c>
      <c r="K4283">
        <v>1.120188</v>
      </c>
      <c r="L4283">
        <v>215.96789999999999</v>
      </c>
      <c r="M4283">
        <v>0.99986450000000004</v>
      </c>
      <c r="N4283">
        <v>-1.4811609999999999E-2</v>
      </c>
      <c r="O4283">
        <v>-7.1922449999999999E-3</v>
      </c>
      <c r="P4283">
        <v>0.99680150000000001</v>
      </c>
      <c r="Q4283">
        <v>-7.9717969999999999E-2</v>
      </c>
      <c r="R4283">
        <v>-5.6498149999999999E-3</v>
      </c>
      <c r="S4283">
        <v>2.999298</v>
      </c>
      <c r="T4283">
        <v>-0.11433740000000001</v>
      </c>
      <c r="U4283">
        <v>-0.22683719999999999</v>
      </c>
      <c r="V4283">
        <v>-1.6290689999999999E-3</v>
      </c>
      <c r="W4283">
        <v>-6.4942120000000006E-2</v>
      </c>
      <c r="X4283">
        <v>0.99788770000000004</v>
      </c>
      <c r="Y4283">
        <v>6.8173689999999995E-2</v>
      </c>
      <c r="Z4283">
        <v>-1.6356980000000001E-3</v>
      </c>
      <c r="AA4283">
        <v>0.99767209999999995</v>
      </c>
      <c r="AB4283">
        <v>37</v>
      </c>
      <c r="AC4283">
        <v>29.031199999999998</v>
      </c>
      <c r="AD4283">
        <v>-1.120186484774</v>
      </c>
      <c r="AE4283">
        <v>-2.2193999999999701</v>
      </c>
      <c r="AF4283">
        <v>2.0075486170314001</v>
      </c>
      <c r="AG4283">
        <v>-1.120186484774</v>
      </c>
      <c r="AH4283">
        <v>29.0034822734968</v>
      </c>
      <c r="AI4283">
        <v>92.206531632014702</v>
      </c>
      <c r="AJ4283">
        <v>86.040444651911002</v>
      </c>
      <c r="AK4283">
        <v>29.094450556755</v>
      </c>
      <c r="AL4283">
        <v>93.723529851138494</v>
      </c>
      <c r="AM4283">
        <v>90.093536271983595</v>
      </c>
      <c r="AN4283">
        <v>0.99999999731359501</v>
      </c>
    </row>
    <row r="4284" spans="1:40" x14ac:dyDescent="0.25">
      <c r="A4284" t="str">
        <f>"20190303154222138"</f>
        <v>20190303154222138</v>
      </c>
      <c r="B4284" t="str">
        <f>"1551598942134191"</f>
        <v>1551598942134191</v>
      </c>
      <c r="C4284" t="s">
        <v>40</v>
      </c>
      <c r="D4284">
        <v>5.6440419999999998</v>
      </c>
      <c r="E4284">
        <v>0.52752410000000005</v>
      </c>
      <c r="F4284" t="s">
        <v>51</v>
      </c>
      <c r="G4284">
        <v>-305.97120000000001</v>
      </c>
      <c r="H4284" s="1">
        <v>1.5940670000000001E-6</v>
      </c>
      <c r="I4284">
        <v>213.7056</v>
      </c>
      <c r="J4284">
        <v>-335.09219999999999</v>
      </c>
      <c r="K4284">
        <v>1.1201779999999999</v>
      </c>
      <c r="L4284">
        <v>215.96469999999999</v>
      </c>
      <c r="M4284">
        <v>0.99985900000000005</v>
      </c>
      <c r="N4284">
        <v>-1.480954E-2</v>
      </c>
      <c r="O4284">
        <v>-7.9064340000000004E-3</v>
      </c>
      <c r="P4284">
        <v>0.99683319999999997</v>
      </c>
      <c r="Q4284">
        <v>-7.9252810000000007E-2</v>
      </c>
      <c r="R4284">
        <v>-6.5331080000000001E-3</v>
      </c>
      <c r="S4284">
        <v>2.9992070000000002</v>
      </c>
      <c r="T4284">
        <v>-0.1139811</v>
      </c>
      <c r="U4284">
        <v>-0.23019410000000001</v>
      </c>
      <c r="V4284">
        <v>-1.4601929999999901E-3</v>
      </c>
      <c r="W4284">
        <v>-6.4478779999999999E-2</v>
      </c>
      <c r="X4284">
        <v>0.99791799999999997</v>
      </c>
      <c r="Y4284">
        <v>6.8573709999999996E-2</v>
      </c>
      <c r="Z4284">
        <v>-1.626457E-3</v>
      </c>
      <c r="AA4284">
        <v>0.99764470000000005</v>
      </c>
      <c r="AB4284">
        <v>37</v>
      </c>
      <c r="AC4284">
        <v>29.120999999999899</v>
      </c>
      <c r="AD4284">
        <v>-1.1201764059329999</v>
      </c>
      <c r="AE4284">
        <v>-2.2590999999999801</v>
      </c>
      <c r="AF4284">
        <v>2.0257813139871299</v>
      </c>
      <c r="AG4284">
        <v>-1.1201764059329999</v>
      </c>
      <c r="AH4284">
        <v>29.095159723714801</v>
      </c>
      <c r="AI4284">
        <v>92.199504000996001</v>
      </c>
      <c r="AJ4284">
        <v>86.017148370367394</v>
      </c>
      <c r="AK4284">
        <v>29.1871016796972</v>
      </c>
      <c r="AL4284">
        <v>93.696926693415705</v>
      </c>
      <c r="AM4284">
        <v>90.083837385902697</v>
      </c>
      <c r="AN4284">
        <v>0.99999998997894202</v>
      </c>
    </row>
    <row r="4285" spans="1:40" x14ac:dyDescent="0.25">
      <c r="A4285" t="str">
        <f>"20190303154222162"</f>
        <v>20190303154222162</v>
      </c>
      <c r="B4285" t="str">
        <f>"1551598942153712"</f>
        <v>1551598942153712</v>
      </c>
      <c r="C4285" t="s">
        <v>40</v>
      </c>
      <c r="D4285">
        <v>5.643745</v>
      </c>
      <c r="E4285">
        <v>0.52770909999999904</v>
      </c>
      <c r="F4285" t="s">
        <v>51</v>
      </c>
      <c r="G4285">
        <v>-304.99329999999998</v>
      </c>
      <c r="H4285" s="1">
        <v>1.767524E-6</v>
      </c>
      <c r="I4285">
        <v>213.60329999999999</v>
      </c>
      <c r="J4285">
        <v>-334.70060000000001</v>
      </c>
      <c r="K4285">
        <v>1.1201669999999999</v>
      </c>
      <c r="L4285">
        <v>215.96080000000001</v>
      </c>
      <c r="M4285">
        <v>0.99985250000000003</v>
      </c>
      <c r="N4285">
        <v>-1.4806980000000001E-2</v>
      </c>
      <c r="O4285">
        <v>-8.7013739999999996E-3</v>
      </c>
      <c r="P4285">
        <v>0.99687919999999997</v>
      </c>
      <c r="Q4285">
        <v>-7.8632240000000006E-2</v>
      </c>
      <c r="R4285">
        <v>-7.0061489999999997E-3</v>
      </c>
      <c r="S4285">
        <v>2.9991150000000002</v>
      </c>
      <c r="T4285">
        <v>-0.1116167</v>
      </c>
      <c r="U4285">
        <v>-0.23529050000000001</v>
      </c>
      <c r="V4285">
        <v>-1.780507E-3</v>
      </c>
      <c r="W4285">
        <v>-6.3859509999999994E-2</v>
      </c>
      <c r="X4285">
        <v>0.99795730000000005</v>
      </c>
      <c r="Y4285">
        <v>6.9469600000000006E-2</v>
      </c>
      <c r="Z4285">
        <v>-1.6111039999999999E-3</v>
      </c>
      <c r="AA4285">
        <v>0.99758279999999999</v>
      </c>
      <c r="AB4285">
        <v>37</v>
      </c>
      <c r="AC4285">
        <v>29.7073</v>
      </c>
      <c r="AD4285">
        <v>-1.1201652324760001</v>
      </c>
      <c r="AE4285">
        <v>-2.3575000000000101</v>
      </c>
      <c r="AF4285">
        <v>2.0959267247233999</v>
      </c>
      <c r="AG4285">
        <v>-1.1201652324760001</v>
      </c>
      <c r="AH4285">
        <v>29.684749266250002</v>
      </c>
      <c r="AI4285">
        <v>92.155690985075594</v>
      </c>
      <c r="AJ4285">
        <v>85.9612663704374</v>
      </c>
      <c r="AK4285">
        <v>29.779724948084802</v>
      </c>
      <c r="AL4285">
        <v>93.661371858094896</v>
      </c>
      <c r="AM4285">
        <v>90.102224241707006</v>
      </c>
      <c r="AN4285">
        <v>0.99999998992295303</v>
      </c>
    </row>
    <row r="4286" spans="1:40" x14ac:dyDescent="0.25">
      <c r="A4286" t="str">
        <f>"20190303154222184"</f>
        <v>20190303154222184</v>
      </c>
      <c r="B4286" t="str">
        <f>"1551598942174208"</f>
        <v>1551598942174208</v>
      </c>
      <c r="C4286" t="s">
        <v>40</v>
      </c>
      <c r="D4286">
        <v>5.6073719999999998</v>
      </c>
      <c r="E4286">
        <v>0.52782659999999904</v>
      </c>
      <c r="F4286" t="s">
        <v>51</v>
      </c>
      <c r="G4286">
        <v>-303.86329999999998</v>
      </c>
      <c r="H4286" s="1">
        <v>1.967984E-6</v>
      </c>
      <c r="I4286">
        <v>213.51159999999999</v>
      </c>
      <c r="J4286">
        <v>-334.32690000000002</v>
      </c>
      <c r="K4286">
        <v>1.120163</v>
      </c>
      <c r="L4286">
        <v>215.95679999999999</v>
      </c>
      <c r="M4286">
        <v>0.99984580000000001</v>
      </c>
      <c r="N4286">
        <v>-1.480442E-2</v>
      </c>
      <c r="O4286">
        <v>-9.4629780000000004E-3</v>
      </c>
      <c r="P4286">
        <v>0.99691079999999999</v>
      </c>
      <c r="Q4286">
        <v>-7.8204510000000005E-2</v>
      </c>
      <c r="R4286">
        <v>-7.3174619999999899E-3</v>
      </c>
      <c r="S4286">
        <v>2.9991460000000001</v>
      </c>
      <c r="T4286">
        <v>-0.1089437</v>
      </c>
      <c r="U4286">
        <v>-0.238205</v>
      </c>
      <c r="V4286">
        <v>-2.2293069999999998E-3</v>
      </c>
      <c r="W4286">
        <v>-6.3433059999999999E-2</v>
      </c>
      <c r="X4286">
        <v>0.99798359999999997</v>
      </c>
      <c r="Y4286">
        <v>6.9674890000000003E-2</v>
      </c>
      <c r="Z4286">
        <v>-1.5767050000000001E-3</v>
      </c>
      <c r="AA4286">
        <v>0.99756849999999997</v>
      </c>
      <c r="AB4286">
        <v>37</v>
      </c>
      <c r="AC4286">
        <v>30.4636</v>
      </c>
      <c r="AD4286">
        <v>-1.120161032016</v>
      </c>
      <c r="AE4286">
        <v>-2.4451999999999998</v>
      </c>
      <c r="AF4286">
        <v>2.1538890072645902</v>
      </c>
      <c r="AG4286">
        <v>-1.120161032016</v>
      </c>
      <c r="AH4286">
        <v>30.444477604491802</v>
      </c>
      <c r="AI4286">
        <v>92.101916714163806</v>
      </c>
      <c r="AJ4286">
        <v>85.953175206907602</v>
      </c>
      <c r="AK4286">
        <v>30.541123345477398</v>
      </c>
      <c r="AL4286">
        <v>93.636888416560396</v>
      </c>
      <c r="AM4286">
        <v>90.127987744373698</v>
      </c>
      <c r="AN4286">
        <v>0.99999999438981102</v>
      </c>
    </row>
    <row r="4287" spans="1:40" x14ac:dyDescent="0.25">
      <c r="A4287" t="str">
        <f>"20190303154222206"</f>
        <v>20190303154222206</v>
      </c>
      <c r="B4287" t="str">
        <f>"1551598942193729"</f>
        <v>1551598942193729</v>
      </c>
      <c r="C4287" t="s">
        <v>40</v>
      </c>
      <c r="D4287">
        <v>5.6619140000000003</v>
      </c>
      <c r="E4287">
        <v>0.52796759999999998</v>
      </c>
      <c r="F4287" t="s">
        <v>51</v>
      </c>
      <c r="G4287">
        <v>-303.10739999999998</v>
      </c>
      <c r="H4287" s="1">
        <v>2.1020529999999999E-6</v>
      </c>
      <c r="I4287">
        <v>213.45920000000001</v>
      </c>
      <c r="J4287">
        <v>-333.98230000000001</v>
      </c>
      <c r="K4287">
        <v>1.120158</v>
      </c>
      <c r="L4287">
        <v>215.9529</v>
      </c>
      <c r="M4287">
        <v>0.99983880000000003</v>
      </c>
      <c r="N4287">
        <v>-1.48018E-2</v>
      </c>
      <c r="O4287">
        <v>-1.0166120000000001E-2</v>
      </c>
      <c r="P4287">
        <v>0.99687890000000001</v>
      </c>
      <c r="Q4287">
        <v>-7.8598749999999995E-2</v>
      </c>
      <c r="R4287">
        <v>-7.4099439999999999E-3</v>
      </c>
      <c r="S4287">
        <v>2.9990839999999999</v>
      </c>
      <c r="T4287">
        <v>-0.1076077</v>
      </c>
      <c r="U4287">
        <v>-0.23992920000000001</v>
      </c>
      <c r="V4287">
        <v>-2.838831E-3</v>
      </c>
      <c r="W4287">
        <v>-6.3829269999999994E-2</v>
      </c>
      <c r="X4287">
        <v>0.99795679999999998</v>
      </c>
      <c r="Y4287">
        <v>6.9546410000000003E-2</v>
      </c>
      <c r="Z4287">
        <v>-1.5472800000000001E-3</v>
      </c>
      <c r="AA4287">
        <v>0.99757750000000001</v>
      </c>
      <c r="AB4287">
        <v>37</v>
      </c>
      <c r="AC4287">
        <v>30.8749</v>
      </c>
      <c r="AD4287">
        <v>-1.1201558979470001</v>
      </c>
      <c r="AE4287">
        <v>-2.4936999999999898</v>
      </c>
      <c r="AF4287">
        <v>2.17681208144672</v>
      </c>
      <c r="AG4287">
        <v>-1.1201558979470001</v>
      </c>
      <c r="AH4287">
        <v>30.858303493296201</v>
      </c>
      <c r="AI4287">
        <v>92.073774191300799</v>
      </c>
      <c r="AJ4287">
        <v>85.964914927098704</v>
      </c>
      <c r="AK4287">
        <v>30.955260531257299</v>
      </c>
      <c r="AL4287">
        <v>93.659635637656706</v>
      </c>
      <c r="AM4287">
        <v>90.162985608519193</v>
      </c>
      <c r="AN4287">
        <v>1.0000000046682</v>
      </c>
    </row>
    <row r="4288" spans="1:40" x14ac:dyDescent="0.25">
      <c r="A4288" t="str">
        <f>"20190303154222228"</f>
        <v>20190303154222228</v>
      </c>
      <c r="B4288" t="str">
        <f>"1551598942223984"</f>
        <v>1551598942223984</v>
      </c>
      <c r="C4288" t="s">
        <v>40</v>
      </c>
      <c r="D4288">
        <v>5.672523</v>
      </c>
      <c r="E4288">
        <v>0.52814090000000002</v>
      </c>
      <c r="F4288" t="s">
        <v>51</v>
      </c>
      <c r="G4288">
        <v>-303.07249999999999</v>
      </c>
      <c r="H4288" s="1">
        <v>2.1082509999999999E-6</v>
      </c>
      <c r="I4288">
        <v>213.46289999999999</v>
      </c>
      <c r="J4288">
        <v>-333.62020000000001</v>
      </c>
      <c r="K4288">
        <v>1.120153</v>
      </c>
      <c r="L4288">
        <v>215.9485</v>
      </c>
      <c r="M4288">
        <v>0.99983109999999997</v>
      </c>
      <c r="N4288">
        <v>-1.479887E-2</v>
      </c>
      <c r="O4288">
        <v>-1.090416E-2</v>
      </c>
      <c r="P4288">
        <v>0.99681019999999998</v>
      </c>
      <c r="Q4288">
        <v>-7.9379539999999998E-2</v>
      </c>
      <c r="R4288">
        <v>-8.2883560000000002E-3</v>
      </c>
      <c r="S4288">
        <v>2.9990230000000002</v>
      </c>
      <c r="T4288">
        <v>-0.10868319999999999</v>
      </c>
      <c r="U4288">
        <v>-0.24159240000000001</v>
      </c>
      <c r="V4288">
        <v>-2.6978390000000001E-3</v>
      </c>
      <c r="W4288">
        <v>-6.461401E-2</v>
      </c>
      <c r="X4288">
        <v>0.99790670000000004</v>
      </c>
      <c r="Y4288">
        <v>6.9360669999999999E-2</v>
      </c>
      <c r="Z4288">
        <v>-1.5354429999999901E-3</v>
      </c>
      <c r="AA4288">
        <v>0.99759050000000005</v>
      </c>
      <c r="AB4288">
        <v>37</v>
      </c>
      <c r="AC4288">
        <v>30.547699999999999</v>
      </c>
      <c r="AD4288">
        <v>-1.120150891749</v>
      </c>
      <c r="AE4288">
        <v>-2.4855999999999998</v>
      </c>
      <c r="AF4288">
        <v>2.14944756896793</v>
      </c>
      <c r="AG4288">
        <v>-1.120150891749</v>
      </c>
      <c r="AH4288">
        <v>30.532205962294501</v>
      </c>
      <c r="AI4288">
        <v>92.095914986530104</v>
      </c>
      <c r="AJ4288">
        <v>85.9730579798414</v>
      </c>
      <c r="AK4288">
        <v>30.6282625004423</v>
      </c>
      <c r="AL4288">
        <v>93.704690898795306</v>
      </c>
      <c r="AM4288">
        <v>90.154898661284406</v>
      </c>
      <c r="AN4288">
        <v>1.0000000152642099</v>
      </c>
    </row>
    <row r="4289" spans="1:40" x14ac:dyDescent="0.25">
      <c r="A4289" t="str">
        <f>"20190303154222251"</f>
        <v>20190303154222251</v>
      </c>
      <c r="B4289" t="str">
        <f>"1551598942244479"</f>
        <v>1551598942244479</v>
      </c>
      <c r="C4289" t="s">
        <v>40</v>
      </c>
      <c r="D4289">
        <v>5.6549779999999998</v>
      </c>
      <c r="E4289">
        <v>0.52821589999999996</v>
      </c>
      <c r="F4289" t="s">
        <v>51</v>
      </c>
      <c r="G4289">
        <v>-303.28620000000001</v>
      </c>
      <c r="H4289" s="1">
        <v>2.0703420000000002E-6</v>
      </c>
      <c r="I4289">
        <v>213.46420000000001</v>
      </c>
      <c r="J4289">
        <v>-333.25240000000002</v>
      </c>
      <c r="K4289">
        <v>1.120144</v>
      </c>
      <c r="L4289">
        <v>215.94370000000001</v>
      </c>
      <c r="M4289">
        <v>0.99982269999999895</v>
      </c>
      <c r="N4289">
        <v>-1.479577E-2</v>
      </c>
      <c r="O4289">
        <v>-1.165326E-2</v>
      </c>
      <c r="P4289">
        <v>0.99682009999999999</v>
      </c>
      <c r="Q4289">
        <v>-7.9147629999999997E-2</v>
      </c>
      <c r="R4289">
        <v>-9.2430499999999992E-3</v>
      </c>
      <c r="S4289">
        <v>2.9987180000000002</v>
      </c>
      <c r="T4289">
        <v>-0.1107342</v>
      </c>
      <c r="U4289">
        <v>-0.24559020000000001</v>
      </c>
      <c r="V4289">
        <v>-2.4904110000000001E-3</v>
      </c>
      <c r="W4289">
        <v>-6.4385289999999998E-2</v>
      </c>
      <c r="X4289">
        <v>0.99792199999999998</v>
      </c>
      <c r="Y4289">
        <v>6.9940310000000006E-2</v>
      </c>
      <c r="Z4289">
        <v>-1.550034E-3</v>
      </c>
      <c r="AA4289">
        <v>0.99755000000000005</v>
      </c>
      <c r="AB4289">
        <v>36</v>
      </c>
      <c r="AC4289">
        <v>29.966200000000001</v>
      </c>
      <c r="AD4289">
        <v>-1.120141929658</v>
      </c>
      <c r="AE4289">
        <v>-2.4794999999999998</v>
      </c>
      <c r="AF4289">
        <v>2.12713748615732</v>
      </c>
      <c r="AG4289">
        <v>-1.120141929658</v>
      </c>
      <c r="AH4289">
        <v>29.951496241001699</v>
      </c>
      <c r="AI4289">
        <v>92.136403797418296</v>
      </c>
      <c r="AJ4289">
        <v>85.937708319625898</v>
      </c>
      <c r="AK4289">
        <v>30.047821200585101</v>
      </c>
      <c r="AL4289">
        <v>93.691558946504401</v>
      </c>
      <c r="AM4289">
        <v>90.142986870045306</v>
      </c>
      <c r="AN4289">
        <v>0.99999999289966601</v>
      </c>
    </row>
    <row r="4290" spans="1:40" x14ac:dyDescent="0.25">
      <c r="A4290" t="str">
        <f>"20190303154222273"</f>
        <v>20190303154222273</v>
      </c>
      <c r="B4290" t="str">
        <f>"1551598942264000"</f>
        <v>1551598942264000</v>
      </c>
      <c r="C4290" t="s">
        <v>40</v>
      </c>
      <c r="D4290">
        <v>5.601191</v>
      </c>
      <c r="E4290">
        <v>0.52817899999999995</v>
      </c>
      <c r="F4290" t="s">
        <v>51</v>
      </c>
      <c r="G4290">
        <v>-302.59879999999998</v>
      </c>
      <c r="H4290" s="1">
        <v>2.1922739999999999E-6</v>
      </c>
      <c r="I4290">
        <v>213.3965</v>
      </c>
      <c r="J4290">
        <v>-332.88389999999998</v>
      </c>
      <c r="K4290">
        <v>1.1201460000000001</v>
      </c>
      <c r="L4290">
        <v>215.93870000000001</v>
      </c>
      <c r="M4290">
        <v>0.99981370000000003</v>
      </c>
      <c r="N4290">
        <v>-1.4792410000000001E-2</v>
      </c>
      <c r="O4290">
        <v>-1.2403539999999999E-2</v>
      </c>
      <c r="P4290">
        <v>0.99678359999999999</v>
      </c>
      <c r="Q4290">
        <v>-7.9542539999999995E-2</v>
      </c>
      <c r="R4290">
        <v>-9.762237E-3</v>
      </c>
      <c r="S4290">
        <v>2.9985659999999998</v>
      </c>
      <c r="T4290">
        <v>-0.1095732</v>
      </c>
      <c r="U4290">
        <v>-0.24917600000000001</v>
      </c>
      <c r="V4290">
        <v>-2.719698E-3</v>
      </c>
      <c r="W4290">
        <v>-6.4783590000000002E-2</v>
      </c>
      <c r="X4290">
        <v>0.99789570000000005</v>
      </c>
      <c r="Y4290">
        <v>7.0381570000000004E-2</v>
      </c>
      <c r="Z4290">
        <v>-1.5359340000000001E-3</v>
      </c>
      <c r="AA4290">
        <v>0.99751900000000004</v>
      </c>
      <c r="AB4290">
        <v>36</v>
      </c>
      <c r="AC4290">
        <v>30.2851</v>
      </c>
      <c r="AD4290">
        <v>-1.120143807726</v>
      </c>
      <c r="AE4290">
        <v>-2.5421999999999998</v>
      </c>
      <c r="AF4290">
        <v>2.1633820357157498</v>
      </c>
      <c r="AG4290">
        <v>-1.120143807726</v>
      </c>
      <c r="AH4290">
        <v>30.273181214759301</v>
      </c>
      <c r="AI4290">
        <v>92.113660212730096</v>
      </c>
      <c r="AJ4290">
        <v>85.912477706708799</v>
      </c>
      <c r="AK4290">
        <v>30.371046159856</v>
      </c>
      <c r="AL4290">
        <v>93.714427316178103</v>
      </c>
      <c r="AM4290">
        <v>90.1561554289936</v>
      </c>
      <c r="AN4290">
        <v>1.0000000691844899</v>
      </c>
    </row>
    <row r="4291" spans="1:40" x14ac:dyDescent="0.25">
      <c r="A4291" t="str">
        <f>"20190303154222296"</f>
        <v>20190303154222296</v>
      </c>
      <c r="B4291" t="str">
        <f>"1551598942283519"</f>
        <v>1551598942283519</v>
      </c>
      <c r="C4291" t="s">
        <v>40</v>
      </c>
      <c r="D4291">
        <v>5.5361390000000004</v>
      </c>
      <c r="E4291">
        <v>0.52776149999999999</v>
      </c>
      <c r="F4291" t="s">
        <v>51</v>
      </c>
      <c r="G4291">
        <v>-302.70010000000002</v>
      </c>
      <c r="H4291" s="1">
        <v>2.1743040000000002E-6</v>
      </c>
      <c r="I4291">
        <v>213.41820000000001</v>
      </c>
      <c r="J4291">
        <v>-332.52109999999999</v>
      </c>
      <c r="K4291">
        <v>1.1201490000000001</v>
      </c>
      <c r="L4291">
        <v>215.93350000000001</v>
      </c>
      <c r="M4291">
        <v>0.99980429999999998</v>
      </c>
      <c r="N4291">
        <v>-1.478907E-2</v>
      </c>
      <c r="O4291">
        <v>-1.314211E-2</v>
      </c>
      <c r="P4291">
        <v>0.99679269999999998</v>
      </c>
      <c r="Q4291">
        <v>-7.9279089999999997E-2</v>
      </c>
      <c r="R4291">
        <v>-1.0935780000000001E-2</v>
      </c>
      <c r="S4291">
        <v>2.998383</v>
      </c>
      <c r="T4291">
        <v>-0.1112723</v>
      </c>
      <c r="U4291">
        <v>-0.25038149999999998</v>
      </c>
      <c r="V4291">
        <v>-2.2829209999999998E-3</v>
      </c>
      <c r="W4291">
        <v>-6.4523949999999997E-2</v>
      </c>
      <c r="X4291">
        <v>0.99791350000000001</v>
      </c>
      <c r="Y4291">
        <v>7.0046890000000001E-2</v>
      </c>
      <c r="Z4291">
        <v>-1.523586E-3</v>
      </c>
      <c r="AA4291">
        <v>0.99754259999999995</v>
      </c>
      <c r="AB4291">
        <v>36</v>
      </c>
      <c r="AC4291">
        <v>29.820999999999898</v>
      </c>
      <c r="AD4291">
        <v>-1.1201468256960001</v>
      </c>
      <c r="AE4291">
        <v>-2.5152999999999901</v>
      </c>
      <c r="AF4291">
        <v>2.1201587493824499</v>
      </c>
      <c r="AG4291">
        <v>-1.1201468256960001</v>
      </c>
      <c r="AH4291">
        <v>29.809721699451199</v>
      </c>
      <c r="AI4291">
        <v>92.146548669897598</v>
      </c>
      <c r="AJ4291">
        <v>85.931799019817802</v>
      </c>
      <c r="AK4291">
        <v>29.9060079220285</v>
      </c>
      <c r="AL4291">
        <v>93.699520282584203</v>
      </c>
      <c r="AM4291">
        <v>90.131074998060299</v>
      </c>
      <c r="AN4291">
        <v>0.99999995266707098</v>
      </c>
    </row>
    <row r="4292" spans="1:40" x14ac:dyDescent="0.25">
      <c r="A4292" t="str">
        <f>"20190303154222318"</f>
        <v>20190303154222318</v>
      </c>
      <c r="B4292" t="str">
        <f>"1551598942313775"</f>
        <v>1551598942313775</v>
      </c>
      <c r="C4292" t="s">
        <v>40</v>
      </c>
      <c r="D4292">
        <v>5.5880879999999999</v>
      </c>
      <c r="E4292">
        <v>0.50381409999999904</v>
      </c>
      <c r="F4292" t="s">
        <v>51</v>
      </c>
      <c r="G4292">
        <v>-302.6918</v>
      </c>
      <c r="H4292" s="1">
        <v>2.1757850000000002E-6</v>
      </c>
      <c r="I4292">
        <v>213.4393</v>
      </c>
      <c r="J4292">
        <v>-332.15429999999998</v>
      </c>
      <c r="K4292">
        <v>1.1201509999999999</v>
      </c>
      <c r="L4292">
        <v>215.92789999999999</v>
      </c>
      <c r="M4292">
        <v>0.99979419999999997</v>
      </c>
      <c r="N4292">
        <v>-1.4785649999999999E-2</v>
      </c>
      <c r="O4292">
        <v>-1.388901E-2</v>
      </c>
      <c r="P4292">
        <v>0.99676699999999996</v>
      </c>
      <c r="Q4292">
        <v>-7.9464300000000002E-2</v>
      </c>
      <c r="R4292">
        <v>-1.1874819999999999E-2</v>
      </c>
      <c r="S4292">
        <v>2.997925</v>
      </c>
      <c r="T4292">
        <v>-0.11257780000000001</v>
      </c>
      <c r="U4292">
        <v>-0.25067139999999999</v>
      </c>
      <c r="V4292">
        <v>-2.0882750000000001E-3</v>
      </c>
      <c r="W4292">
        <v>-6.4713119999999999E-2</v>
      </c>
      <c r="X4292">
        <v>0.9979017</v>
      </c>
      <c r="Y4292">
        <v>6.9409680000000001E-2</v>
      </c>
      <c r="Z4292">
        <v>-1.499436E-3</v>
      </c>
      <c r="AA4292">
        <v>0.99758709999999995</v>
      </c>
      <c r="AB4292">
        <v>36</v>
      </c>
      <c r="AC4292">
        <v>29.462499999999899</v>
      </c>
      <c r="AD4292">
        <v>-1.1201488242149999</v>
      </c>
      <c r="AE4292">
        <v>-2.4885999999999902</v>
      </c>
      <c r="AF4292">
        <v>2.0761304564096101</v>
      </c>
      <c r="AG4292">
        <v>-1.1201488242149999</v>
      </c>
      <c r="AH4292">
        <v>29.451954841306399</v>
      </c>
      <c r="AI4292">
        <v>92.1726993381249</v>
      </c>
      <c r="AJ4292">
        <v>85.967769652129903</v>
      </c>
      <c r="AK4292">
        <v>29.546280561769098</v>
      </c>
      <c r="AL4292">
        <v>93.710381539459604</v>
      </c>
      <c r="AM4292">
        <v>90.119900757063505</v>
      </c>
      <c r="AN4292">
        <v>0.99999997582774902</v>
      </c>
    </row>
    <row r="4293" spans="1:40" x14ac:dyDescent="0.25">
      <c r="A4293" t="str">
        <f>"20190303154222339"</f>
        <v>20190303154222339</v>
      </c>
      <c r="B4293" t="str">
        <f>"1551598942334272"</f>
        <v>1551598942334272</v>
      </c>
      <c r="C4293" t="s">
        <v>40</v>
      </c>
      <c r="D4293">
        <v>5.6359879999999896</v>
      </c>
      <c r="E4293">
        <v>0.50324789999999997</v>
      </c>
      <c r="F4293" t="s">
        <v>51</v>
      </c>
      <c r="G4293">
        <v>-314.7946</v>
      </c>
      <c r="H4293" s="1">
        <v>3.0318619999999999E-6</v>
      </c>
      <c r="I4293">
        <v>215.5515</v>
      </c>
      <c r="J4293">
        <v>-331.81450000000001</v>
      </c>
      <c r="K4293">
        <v>1.12015</v>
      </c>
      <c r="L4293">
        <v>215.92250000000001</v>
      </c>
      <c r="M4293">
        <v>0.99978449999999996</v>
      </c>
      <c r="N4293">
        <v>-1.478253E-2</v>
      </c>
      <c r="O4293">
        <v>-1.458108E-2</v>
      </c>
      <c r="P4293">
        <v>0.99672530000000004</v>
      </c>
      <c r="Q4293">
        <v>-7.9793210000000003E-2</v>
      </c>
      <c r="R4293">
        <v>-1.311321E-2</v>
      </c>
      <c r="S4293">
        <v>2.9935610000000001</v>
      </c>
      <c r="T4293">
        <v>-0.19316230000000001</v>
      </c>
      <c r="U4293">
        <v>-6.4895629999999996E-2</v>
      </c>
      <c r="V4293">
        <v>-1.540554E-3</v>
      </c>
      <c r="W4293">
        <v>-6.5046450000000006E-2</v>
      </c>
      <c r="X4293">
        <v>0.99788109999999997</v>
      </c>
      <c r="Y4293">
        <v>7.0916470000000004E-3</v>
      </c>
      <c r="Z4293">
        <v>4.4330949999999997E-4</v>
      </c>
      <c r="AA4293">
        <v>0.99997469999999999</v>
      </c>
      <c r="AB4293">
        <v>36</v>
      </c>
      <c r="AC4293">
        <v>17.0199</v>
      </c>
      <c r="AD4293">
        <v>-1.1201469681380001</v>
      </c>
      <c r="AE4293">
        <v>-0.37100000000000899</v>
      </c>
      <c r="AF4293">
        <v>0.12223571958912299</v>
      </c>
      <c r="AG4293">
        <v>-1.1201469681380001</v>
      </c>
      <c r="AH4293">
        <v>16.950116228500299</v>
      </c>
      <c r="AI4293">
        <v>93.780791028603105</v>
      </c>
      <c r="AJ4293">
        <v>89.586818795888604</v>
      </c>
      <c r="AK4293">
        <v>16.9875281003753</v>
      </c>
      <c r="AL4293">
        <v>93.729519981895294</v>
      </c>
      <c r="AM4293">
        <v>90.088454598635806</v>
      </c>
      <c r="AN4293">
        <v>1.0000000518507099</v>
      </c>
    </row>
    <row r="4294" spans="1:40" x14ac:dyDescent="0.25">
      <c r="A4294" t="str">
        <f>"20190303154222363"</f>
        <v>20190303154222363</v>
      </c>
      <c r="B4294" t="str">
        <f>"1551598942353791"</f>
        <v>1551598942353791</v>
      </c>
      <c r="C4294" t="s">
        <v>40</v>
      </c>
      <c r="D4294">
        <v>5.5570789999999999</v>
      </c>
      <c r="E4294">
        <v>0.50344560000000005</v>
      </c>
      <c r="F4294" t="s">
        <v>51</v>
      </c>
      <c r="G4294">
        <v>-315.27929999999998</v>
      </c>
      <c r="H4294" s="1">
        <v>3.2468029999999999E-6</v>
      </c>
      <c r="I4294">
        <v>215.56739999999999</v>
      </c>
      <c r="J4294">
        <v>-331.42250000000001</v>
      </c>
      <c r="K4294">
        <v>1.1201460000000001</v>
      </c>
      <c r="L4294">
        <v>215.91589999999999</v>
      </c>
      <c r="M4294">
        <v>0.99977249999999995</v>
      </c>
      <c r="N4294">
        <v>-1.4778579999999999E-2</v>
      </c>
      <c r="O4294">
        <v>-1.5378370000000001E-2</v>
      </c>
      <c r="P4294">
        <v>0.99671600000000005</v>
      </c>
      <c r="Q4294">
        <v>-7.9747860000000004E-2</v>
      </c>
      <c r="R4294">
        <v>-1.4062150000000001E-2</v>
      </c>
      <c r="S4294">
        <v>2.9927670000000002</v>
      </c>
      <c r="T4294">
        <v>-0.20274</v>
      </c>
      <c r="U4294">
        <v>-6.4270019999999997E-2</v>
      </c>
      <c r="V4294">
        <v>-1.385914E-3</v>
      </c>
      <c r="W4294">
        <v>-6.5005279999999999E-2</v>
      </c>
      <c r="X4294">
        <v>0.99788399999999999</v>
      </c>
      <c r="Y4294">
        <v>6.0956359999999998E-3</v>
      </c>
      <c r="Z4294">
        <v>5.6200429999999995E-4</v>
      </c>
      <c r="AA4294">
        <v>0.99998129999999996</v>
      </c>
      <c r="AB4294">
        <v>36</v>
      </c>
      <c r="AC4294">
        <v>16.1432</v>
      </c>
      <c r="AD4294">
        <v>-1.1201427531970001</v>
      </c>
      <c r="AE4294">
        <v>-0.34850000000000098</v>
      </c>
      <c r="AF4294">
        <v>9.9695776404008896E-2</v>
      </c>
      <c r="AG4294">
        <v>-1.1201427531970001</v>
      </c>
      <c r="AH4294">
        <v>16.069317935447302</v>
      </c>
      <c r="AI4294">
        <v>93.987386074366697</v>
      </c>
      <c r="AJ4294">
        <v>89.644535383566904</v>
      </c>
      <c r="AK4294">
        <v>16.108619988871201</v>
      </c>
      <c r="AL4294">
        <v>93.727156147400606</v>
      </c>
      <c r="AM4294">
        <v>90.079575353359402</v>
      </c>
      <c r="AN4294">
        <v>1.00000004232074</v>
      </c>
    </row>
    <row r="4295" spans="1:40" x14ac:dyDescent="0.25">
      <c r="A4295" t="str">
        <f>"20190303154222386"</f>
        <v>20190303154222386</v>
      </c>
      <c r="B4295" t="str">
        <f>"1551598942374287"</f>
        <v>1551598942374287</v>
      </c>
      <c r="C4295" t="s">
        <v>40</v>
      </c>
      <c r="D4295">
        <v>5.5475019999999997</v>
      </c>
      <c r="E4295">
        <v>0.50371250000000001</v>
      </c>
      <c r="F4295" t="s">
        <v>51</v>
      </c>
      <c r="G4295">
        <v>-314.59519999999998</v>
      </c>
      <c r="H4295" s="1">
        <v>2.9434500000000002E-6</v>
      </c>
      <c r="I4295">
        <v>215.53100000000001</v>
      </c>
      <c r="J4295">
        <v>-331.06659999999999</v>
      </c>
      <c r="K4295">
        <v>1.120147</v>
      </c>
      <c r="L4295">
        <v>215.90969999999999</v>
      </c>
      <c r="M4295">
        <v>0.99976129999999996</v>
      </c>
      <c r="N4295">
        <v>-1.4775180000000001E-2</v>
      </c>
      <c r="O4295">
        <v>-1.6095740000000001E-2</v>
      </c>
      <c r="P4295">
        <v>0.99672450000000001</v>
      </c>
      <c r="Q4295">
        <v>-7.9544569999999995E-2</v>
      </c>
      <c r="R4295">
        <v>-1.459563E-2</v>
      </c>
      <c r="S4295">
        <v>2.9930110000000001</v>
      </c>
      <c r="T4295">
        <v>-0.19923660000000001</v>
      </c>
      <c r="U4295">
        <v>-6.8466189999999996E-2</v>
      </c>
      <c r="V4295">
        <v>-1.5667490000000001E-3</v>
      </c>
      <c r="W4295">
        <v>-6.4804860000000006E-2</v>
      </c>
      <c r="X4295">
        <v>0.99789669999999997</v>
      </c>
      <c r="Y4295">
        <v>6.7763440000000001E-3</v>
      </c>
      <c r="Z4295">
        <v>5.5702780000000003E-4</v>
      </c>
      <c r="AA4295">
        <v>0.99997689999999995</v>
      </c>
      <c r="AB4295">
        <v>36</v>
      </c>
      <c r="AC4295">
        <v>16.471399999999999</v>
      </c>
      <c r="AD4295">
        <v>-1.12014405655</v>
      </c>
      <c r="AE4295">
        <v>-0.37870000000000897</v>
      </c>
      <c r="AF4295">
        <v>0.11298039209373401</v>
      </c>
      <c r="AG4295">
        <v>-1.12014405655</v>
      </c>
      <c r="AH4295">
        <v>16.399558351638401</v>
      </c>
      <c r="AI4295">
        <v>93.907329794348001</v>
      </c>
      <c r="AJ4295">
        <v>89.6052822223688</v>
      </c>
      <c r="AK4295">
        <v>16.4381568737256</v>
      </c>
      <c r="AL4295">
        <v>93.715648916922504</v>
      </c>
      <c r="AM4295">
        <v>90.089957238555002</v>
      </c>
      <c r="AN4295">
        <v>0.99999997422646802</v>
      </c>
    </row>
    <row r="4296" spans="1:40" x14ac:dyDescent="0.25">
      <c r="A4296" t="str">
        <f>"20190303154222406"</f>
        <v>20190303154222406</v>
      </c>
      <c r="B4296" t="str">
        <f>"1551598942393807"</f>
        <v>1551598942393807</v>
      </c>
      <c r="C4296" t="s">
        <v>40</v>
      </c>
      <c r="D4296">
        <v>5.5349360000000001</v>
      </c>
      <c r="E4296">
        <v>0.50402669999999905</v>
      </c>
      <c r="F4296" t="s">
        <v>51</v>
      </c>
      <c r="G4296">
        <v>-313.6506</v>
      </c>
      <c r="H4296" s="1">
        <v>2.5245370000000001E-6</v>
      </c>
      <c r="I4296">
        <v>215.4897</v>
      </c>
      <c r="J4296">
        <v>-330.72019999999998</v>
      </c>
      <c r="K4296">
        <v>1.120155</v>
      </c>
      <c r="L4296">
        <v>215.90350000000001</v>
      </c>
      <c r="M4296">
        <v>0.99975000000000003</v>
      </c>
      <c r="N4296">
        <v>-1.4771889999999999E-2</v>
      </c>
      <c r="O4296">
        <v>-1.6782020000000002E-2</v>
      </c>
      <c r="P4296">
        <v>0.99676849999999995</v>
      </c>
      <c r="Q4296">
        <v>-7.8929899999999997E-2</v>
      </c>
      <c r="R4296">
        <v>-1.4919969999999999E-2</v>
      </c>
      <c r="S4296">
        <v>2.993439</v>
      </c>
      <c r="T4296">
        <v>-0.19252939999999999</v>
      </c>
      <c r="U4296">
        <v>-7.2189329999999996E-2</v>
      </c>
      <c r="V4296">
        <v>-1.925129E-3</v>
      </c>
      <c r="W4296">
        <v>-6.419221E-2</v>
      </c>
      <c r="X4296">
        <v>0.99793569999999998</v>
      </c>
      <c r="Y4296">
        <v>7.3284149999999996E-3</v>
      </c>
      <c r="Z4296">
        <v>5.4070430000000003E-4</v>
      </c>
      <c r="AA4296">
        <v>0.999973</v>
      </c>
      <c r="AB4296">
        <v>36</v>
      </c>
      <c r="AC4296">
        <v>17.069599999999902</v>
      </c>
      <c r="AD4296">
        <v>-1.1201524754629999</v>
      </c>
      <c r="AE4296">
        <v>-0.41380000000000899</v>
      </c>
      <c r="AF4296">
        <v>0.12670276754183299</v>
      </c>
      <c r="AG4296">
        <v>-1.1201524754629999</v>
      </c>
      <c r="AH4296">
        <v>17.000971910123098</v>
      </c>
      <c r="AI4296">
        <v>93.769525887306699</v>
      </c>
      <c r="AJ4296">
        <v>89.573000915969104</v>
      </c>
      <c r="AK4296">
        <v>17.038305110790301</v>
      </c>
      <c r="AL4296">
        <v>93.680473305358404</v>
      </c>
      <c r="AM4296">
        <v>90.110529796549301</v>
      </c>
      <c r="AN4296">
        <v>1.00000000364042</v>
      </c>
    </row>
    <row r="4297" spans="1:40" x14ac:dyDescent="0.25">
      <c r="A4297" t="str">
        <f>"20190303154222428"</f>
        <v>20190303154222428</v>
      </c>
      <c r="B4297" t="str">
        <f>"1551598942424064"</f>
        <v>1551598942424064</v>
      </c>
      <c r="C4297" t="s">
        <v>40</v>
      </c>
      <c r="D4297">
        <v>5.5523030000000002</v>
      </c>
      <c r="E4297">
        <v>0.50441270000000005</v>
      </c>
      <c r="F4297" t="s">
        <v>51</v>
      </c>
      <c r="G4297">
        <v>-312.69209999999998</v>
      </c>
      <c r="H4297" s="1">
        <v>2.0994729999999999E-6</v>
      </c>
      <c r="I4297">
        <v>215.44880000000001</v>
      </c>
      <c r="J4297">
        <v>-330.37290000000002</v>
      </c>
      <c r="K4297">
        <v>1.1201749999999999</v>
      </c>
      <c r="L4297">
        <v>215.89699999999999</v>
      </c>
      <c r="M4297">
        <v>0.99973860000000003</v>
      </c>
      <c r="N4297">
        <v>-1.476835E-2</v>
      </c>
      <c r="O4297">
        <v>-1.7452209999999999E-2</v>
      </c>
      <c r="P4297">
        <v>0.99679209999999996</v>
      </c>
      <c r="Q4297">
        <v>-7.8697409999999995E-2</v>
      </c>
      <c r="R4297">
        <v>-1.4572069999999999E-2</v>
      </c>
      <c r="S4297">
        <v>2.9938959999999999</v>
      </c>
      <c r="T4297">
        <v>-0.18602160000000001</v>
      </c>
      <c r="U4297">
        <v>-7.5500490000000003E-2</v>
      </c>
      <c r="V4297">
        <v>-2.9387369999999999E-3</v>
      </c>
      <c r="W4297">
        <v>-6.396135E-2</v>
      </c>
      <c r="X4297">
        <v>0.9979481</v>
      </c>
      <c r="Y4297">
        <v>7.7587309999999996E-3</v>
      </c>
      <c r="Z4297">
        <v>5.2736259999999996E-4</v>
      </c>
      <c r="AA4297">
        <v>0.99996980000000002</v>
      </c>
      <c r="AB4297">
        <v>36</v>
      </c>
      <c r="AC4297">
        <v>17.680800000000001</v>
      </c>
      <c r="AD4297">
        <v>-1.120172900527</v>
      </c>
      <c r="AE4297">
        <v>-0.44820000000001398</v>
      </c>
      <c r="AF4297">
        <v>0.13897156662249599</v>
      </c>
      <c r="AG4297">
        <v>-1.120172900527</v>
      </c>
      <c r="AH4297">
        <v>17.6152690536255</v>
      </c>
      <c r="AI4297">
        <v>93.638484720412094</v>
      </c>
      <c r="AJ4297">
        <v>89.547987656317702</v>
      </c>
      <c r="AK4297">
        <v>17.6513966658455</v>
      </c>
      <c r="AL4297">
        <v>93.667218591614102</v>
      </c>
      <c r="AM4297">
        <v>90.168722943101301</v>
      </c>
      <c r="AN4297">
        <v>1.00000005038129</v>
      </c>
    </row>
    <row r="4298" spans="1:40" x14ac:dyDescent="0.25">
      <c r="A4298" t="str">
        <f>"20190303154222450"</f>
        <v>20190303154222450</v>
      </c>
      <c r="B4298" t="str">
        <f>"1551598942443587"</f>
        <v>1551598942443587</v>
      </c>
      <c r="C4298" t="s">
        <v>40</v>
      </c>
      <c r="D4298">
        <v>5.5597089999999998</v>
      </c>
      <c r="E4298">
        <v>0.50432670000000002</v>
      </c>
      <c r="F4298" t="s">
        <v>51</v>
      </c>
      <c r="G4298">
        <v>-312.11130000000003</v>
      </c>
      <c r="H4298" s="1">
        <v>1.8419290000000001E-6</v>
      </c>
      <c r="I4298">
        <v>215.42490000000001</v>
      </c>
      <c r="J4298">
        <v>-330.02370000000002</v>
      </c>
      <c r="K4298">
        <v>1.1201970000000001</v>
      </c>
      <c r="L4298">
        <v>215.89019999999999</v>
      </c>
      <c r="M4298">
        <v>0.99972720000000004</v>
      </c>
      <c r="N4298">
        <v>-1.4764660000000001E-2</v>
      </c>
      <c r="O4298">
        <v>-1.810227E-2</v>
      </c>
      <c r="P4298">
        <v>0.99675769999999997</v>
      </c>
      <c r="Q4298">
        <v>-7.9190410000000003E-2</v>
      </c>
      <c r="R4298">
        <v>-1.4261050000000001E-2</v>
      </c>
      <c r="S4298">
        <v>2.9940190000000002</v>
      </c>
      <c r="T4298">
        <v>-0.18365409999999999</v>
      </c>
      <c r="U4298">
        <v>-7.7392580000000002E-2</v>
      </c>
      <c r="V4298">
        <v>-3.8950870000000002E-3</v>
      </c>
      <c r="W4298">
        <v>-6.4457130000000001E-2</v>
      </c>
      <c r="X4298">
        <v>0.99791289999999999</v>
      </c>
      <c r="Y4298">
        <v>7.7395519999999898E-3</v>
      </c>
      <c r="Z4298">
        <v>5.4765529999999997E-4</v>
      </c>
      <c r="AA4298">
        <v>0.99996989999999997</v>
      </c>
      <c r="AB4298">
        <v>36</v>
      </c>
      <c r="AC4298">
        <v>17.912399999999899</v>
      </c>
      <c r="AD4298">
        <v>-1.1201951580709999</v>
      </c>
      <c r="AE4298">
        <v>-0.465299999999985</v>
      </c>
      <c r="AF4298">
        <v>0.14038465179380899</v>
      </c>
      <c r="AG4298">
        <v>-1.1201951580709999</v>
      </c>
      <c r="AH4298">
        <v>17.8481324548206</v>
      </c>
      <c r="AI4298">
        <v>93.591210534487004</v>
      </c>
      <c r="AJ4298">
        <v>89.549348806655502</v>
      </c>
      <c r="AK4298">
        <v>17.8838020892495</v>
      </c>
      <c r="AL4298">
        <v>93.695683525672706</v>
      </c>
      <c r="AM4298">
        <v>90.223637666761604</v>
      </c>
      <c r="AN4298">
        <v>1.0000000246484899</v>
      </c>
    </row>
    <row r="4299" spans="1:40" x14ac:dyDescent="0.25">
      <c r="A4299" t="str">
        <f>"20190303154222474"</f>
        <v>20190303154222474</v>
      </c>
      <c r="B4299" t="str">
        <f>"1551598942464080"</f>
        <v>1551598942464080</v>
      </c>
      <c r="C4299" t="s">
        <v>40</v>
      </c>
      <c r="D4299">
        <v>5.5370949999999999</v>
      </c>
      <c r="E4299">
        <v>0.50443830000000001</v>
      </c>
      <c r="F4299" t="s">
        <v>51</v>
      </c>
      <c r="G4299">
        <v>-312.07330000000002</v>
      </c>
      <c r="H4299" s="1">
        <v>1.825073E-6</v>
      </c>
      <c r="I4299">
        <v>215.43530000000001</v>
      </c>
      <c r="J4299">
        <v>-329.63369999999998</v>
      </c>
      <c r="K4299">
        <v>1.1202240000000001</v>
      </c>
      <c r="L4299">
        <v>215.88239999999999</v>
      </c>
      <c r="M4299">
        <v>0.99971449999999995</v>
      </c>
      <c r="N4299">
        <v>-1.4760219999999999E-2</v>
      </c>
      <c r="O4299">
        <v>-1.879484E-2</v>
      </c>
      <c r="P4299">
        <v>0.99671299999999996</v>
      </c>
      <c r="Q4299">
        <v>-7.9701949999999994E-2</v>
      </c>
      <c r="R4299">
        <v>-1.453573E-2</v>
      </c>
      <c r="S4299">
        <v>2.9938660000000001</v>
      </c>
      <c r="T4299">
        <v>-0.18683250000000001</v>
      </c>
      <c r="U4299">
        <v>-7.5866699999999995E-2</v>
      </c>
      <c r="V4299">
        <v>-4.3070219999999998E-3</v>
      </c>
      <c r="W4299">
        <v>-6.4973260000000005E-2</v>
      </c>
      <c r="X4299">
        <v>0.99787769999999998</v>
      </c>
      <c r="Y4299">
        <v>6.5428029999999998E-3</v>
      </c>
      <c r="Z4299">
        <v>6.4195989999999998E-4</v>
      </c>
      <c r="AA4299">
        <v>0.99997840000000005</v>
      </c>
      <c r="AB4299">
        <v>36</v>
      </c>
      <c r="AC4299">
        <v>17.560399999999898</v>
      </c>
      <c r="AD4299">
        <v>-1.1202221749269901</v>
      </c>
      <c r="AE4299">
        <v>-0.44709999999997702</v>
      </c>
      <c r="AF4299">
        <v>0.116466520842596</v>
      </c>
      <c r="AG4299">
        <v>-1.1202221749269901</v>
      </c>
      <c r="AH4299">
        <v>17.494553853032698</v>
      </c>
      <c r="AI4299">
        <v>93.663716153134601</v>
      </c>
      <c r="AJ4299">
        <v>89.618570351937294</v>
      </c>
      <c r="AK4299">
        <v>17.530769426592101</v>
      </c>
      <c r="AL4299">
        <v>93.725317846811706</v>
      </c>
      <c r="AM4299">
        <v>90.247297489929295</v>
      </c>
      <c r="AN4299">
        <v>0.99999998955541203</v>
      </c>
    </row>
    <row r="4300" spans="1:40" x14ac:dyDescent="0.25">
      <c r="A4300" t="str">
        <f>"20190303154222497"</f>
        <v>20190303154222497</v>
      </c>
      <c r="B4300" t="str">
        <f>"1551598942483599"</f>
        <v>1551598942483599</v>
      </c>
      <c r="C4300" t="s">
        <v>40</v>
      </c>
      <c r="D4300">
        <v>5.4747379999999897</v>
      </c>
      <c r="E4300">
        <v>0.5041873</v>
      </c>
      <c r="F4300" t="s">
        <v>51</v>
      </c>
      <c r="G4300">
        <v>-311.69709999999998</v>
      </c>
      <c r="H4300" s="1">
        <v>1.6582409999999999E-6</v>
      </c>
      <c r="I4300">
        <v>215.4177</v>
      </c>
      <c r="J4300">
        <v>-329.28280000000001</v>
      </c>
      <c r="K4300">
        <v>1.1202510000000001</v>
      </c>
      <c r="L4300">
        <v>215.87530000000001</v>
      </c>
      <c r="M4300">
        <v>0.99970329999999996</v>
      </c>
      <c r="N4300">
        <v>-1.4756119999999999E-2</v>
      </c>
      <c r="O4300">
        <v>-1.9379629999999998E-2</v>
      </c>
      <c r="P4300">
        <v>0.99669509999999994</v>
      </c>
      <c r="Q4300">
        <v>-7.9975660000000004E-2</v>
      </c>
      <c r="R4300">
        <v>-1.424605E-2</v>
      </c>
      <c r="S4300">
        <v>2.9938349999999998</v>
      </c>
      <c r="T4300">
        <v>-0.1869789</v>
      </c>
      <c r="U4300">
        <v>-7.7575679999999994E-2</v>
      </c>
      <c r="V4300">
        <v>-5.1748310000000004E-3</v>
      </c>
      <c r="W4300">
        <v>-6.52504E-2</v>
      </c>
      <c r="X4300">
        <v>0.99785550000000001</v>
      </c>
      <c r="Y4300">
        <v>6.5292930000000002E-3</v>
      </c>
      <c r="Z4300">
        <v>6.7117809999999996E-4</v>
      </c>
      <c r="AA4300">
        <v>0.99997849999999999</v>
      </c>
      <c r="AB4300">
        <v>36</v>
      </c>
      <c r="AC4300">
        <v>17.585699999999999</v>
      </c>
      <c r="AD4300">
        <v>-1.120249341759</v>
      </c>
      <c r="AE4300">
        <v>-0.457600000000013</v>
      </c>
      <c r="AF4300">
        <v>0.116201349859896</v>
      </c>
      <c r="AG4300">
        <v>-1.120249341759</v>
      </c>
      <c r="AH4300">
        <v>17.520217111824</v>
      </c>
      <c r="AI4300">
        <v>93.658453283017494</v>
      </c>
      <c r="AJ4300">
        <v>89.619996187437096</v>
      </c>
      <c r="AK4300">
        <v>17.5563797232479</v>
      </c>
      <c r="AL4300">
        <v>93.741230541580705</v>
      </c>
      <c r="AM4300">
        <v>90.297130514426897</v>
      </c>
      <c r="AN4300">
        <v>0.99999999622814395</v>
      </c>
    </row>
    <row r="4301" spans="1:40" x14ac:dyDescent="0.25">
      <c r="A4301" t="str">
        <f>"20190303154222518"</f>
        <v>20190303154222518</v>
      </c>
      <c r="B4301" t="str">
        <f>"1551598942513855"</f>
        <v>1551598942513855</v>
      </c>
      <c r="C4301" t="s">
        <v>40</v>
      </c>
      <c r="D4301">
        <v>5.5174820000000002</v>
      </c>
      <c r="E4301">
        <v>0.50413069999999904</v>
      </c>
      <c r="F4301" t="s">
        <v>51</v>
      </c>
      <c r="G4301">
        <v>-310.95069999999998</v>
      </c>
      <c r="H4301" s="1">
        <v>1.3272589999999999E-6</v>
      </c>
      <c r="I4301">
        <v>215.4188</v>
      </c>
      <c r="J4301">
        <v>-328.93299999999999</v>
      </c>
      <c r="K4301">
        <v>1.1202859999999999</v>
      </c>
      <c r="L4301">
        <v>215.86789999999999</v>
      </c>
      <c r="M4301">
        <v>0.99969280000000005</v>
      </c>
      <c r="N4301">
        <v>-1.475216E-2</v>
      </c>
      <c r="O4301">
        <v>-1.9918910000000001E-2</v>
      </c>
      <c r="P4301">
        <v>0.99671779999999999</v>
      </c>
      <c r="Q4301">
        <v>-7.9642980000000002E-2</v>
      </c>
      <c r="R4301">
        <v>-1.452604E-2</v>
      </c>
      <c r="S4301">
        <v>2.9942319999999998</v>
      </c>
      <c r="T4301">
        <v>-0.1829741</v>
      </c>
      <c r="U4301">
        <v>-7.455444E-2</v>
      </c>
      <c r="V4301">
        <v>-5.4271299999999996E-3</v>
      </c>
      <c r="W4301">
        <v>-6.4921409999999999E-2</v>
      </c>
      <c r="X4301">
        <v>0.99787559999999997</v>
      </c>
      <c r="Y4301">
        <v>4.9816160000000003E-3</v>
      </c>
      <c r="Z4301">
        <v>7.3328140000000004E-4</v>
      </c>
      <c r="AA4301">
        <v>0.99998730000000002</v>
      </c>
      <c r="AB4301">
        <v>36</v>
      </c>
      <c r="AC4301">
        <v>17.982299999999999</v>
      </c>
      <c r="AD4301">
        <v>-1.1202846727410001</v>
      </c>
      <c r="AE4301">
        <v>-0.44909999999998701</v>
      </c>
      <c r="AF4301">
        <v>9.0433325162230002E-2</v>
      </c>
      <c r="AG4301">
        <v>-1.1202846727410001</v>
      </c>
      <c r="AH4301">
        <v>17.9181773434834</v>
      </c>
      <c r="AI4301">
        <v>93.577558509275406</v>
      </c>
      <c r="AJ4301">
        <v>89.710829747585706</v>
      </c>
      <c r="AK4301">
        <v>17.953392304709499</v>
      </c>
      <c r="AL4301">
        <v>93.722340817630197</v>
      </c>
      <c r="AM4301">
        <v>90.311610563495407</v>
      </c>
      <c r="AN4301">
        <v>0.99999997814589203</v>
      </c>
    </row>
    <row r="4302" spans="1:40" x14ac:dyDescent="0.25">
      <c r="A4302" t="str">
        <f>"20190303154222547"</f>
        <v>20190303154222547</v>
      </c>
      <c r="B4302" t="str">
        <f>"1551598942544112"</f>
        <v>1551598942544112</v>
      </c>
      <c r="C4302" t="s">
        <v>40</v>
      </c>
      <c r="D4302">
        <v>5.5178659999999997</v>
      </c>
      <c r="E4302">
        <v>0.50403439999999999</v>
      </c>
      <c r="F4302" t="s">
        <v>51</v>
      </c>
      <c r="G4302">
        <v>-310.9436</v>
      </c>
      <c r="H4302" s="1">
        <v>1.3241139999999999E-6</v>
      </c>
      <c r="I4302">
        <v>215.417</v>
      </c>
      <c r="J4302">
        <v>-328.57499999999999</v>
      </c>
      <c r="K4302">
        <v>1.1203240000000001</v>
      </c>
      <c r="L4302">
        <v>215.86019999999999</v>
      </c>
      <c r="M4302">
        <v>0.99968250000000003</v>
      </c>
      <c r="N4302">
        <v>-1.47482E-2</v>
      </c>
      <c r="O4302">
        <v>-2.0432430000000001E-2</v>
      </c>
      <c r="P4302">
        <v>0.99676220000000004</v>
      </c>
      <c r="Q4302">
        <v>-7.887653E-2</v>
      </c>
      <c r="R4302">
        <v>-1.561971E-2</v>
      </c>
      <c r="S4302">
        <v>2.9939580000000001</v>
      </c>
      <c r="T4302">
        <v>-0.18644810000000001</v>
      </c>
      <c r="U4302">
        <v>-7.5042719999999993E-2</v>
      </c>
      <c r="V4302">
        <v>-4.8402009999999997E-3</v>
      </c>
      <c r="W4302">
        <v>-6.4159300000000002E-2</v>
      </c>
      <c r="X4302">
        <v>0.99792789999999998</v>
      </c>
      <c r="Y4302">
        <v>4.6353100000000001E-3</v>
      </c>
      <c r="Z4302">
        <v>7.9132539999999998E-4</v>
      </c>
      <c r="AA4302">
        <v>0.99998900000000002</v>
      </c>
      <c r="AB4302">
        <v>36</v>
      </c>
      <c r="AC4302">
        <v>17.6313999999999</v>
      </c>
      <c r="AD4302">
        <v>-1.1203226758860001</v>
      </c>
      <c r="AE4302">
        <v>-0.44319999999998999</v>
      </c>
      <c r="AF4302">
        <v>8.2483125484558606E-2</v>
      </c>
      <c r="AG4302">
        <v>-1.1203226758860001</v>
      </c>
      <c r="AH4302">
        <v>17.565897491748199</v>
      </c>
      <c r="AI4302">
        <v>93.649243304748197</v>
      </c>
      <c r="AJ4302">
        <v>89.730961640878505</v>
      </c>
      <c r="AK4302">
        <v>17.601780621706901</v>
      </c>
      <c r="AL4302">
        <v>93.678583935860999</v>
      </c>
      <c r="AM4302">
        <v>90.277896744500595</v>
      </c>
      <c r="AN4302">
        <v>0.99999996846030903</v>
      </c>
    </row>
    <row r="4303" spans="1:40" x14ac:dyDescent="0.25">
      <c r="A4303" t="str">
        <f>"20190303154222565"</f>
        <v>20190303154222565</v>
      </c>
      <c r="B4303" t="str">
        <f>"1551598942553872"</f>
        <v>1551598942553872</v>
      </c>
      <c r="C4303" t="s">
        <v>40</v>
      </c>
      <c r="D4303">
        <v>5.4899909999999998</v>
      </c>
      <c r="E4303">
        <v>0.50396099999999999</v>
      </c>
      <c r="F4303" t="s">
        <v>51</v>
      </c>
      <c r="G4303">
        <v>-310.2106</v>
      </c>
      <c r="H4303" s="1">
        <v>9.9903600000000003E-7</v>
      </c>
      <c r="I4303">
        <v>215.3844</v>
      </c>
      <c r="J4303">
        <v>-328.18279999999999</v>
      </c>
      <c r="K4303">
        <v>1.120368</v>
      </c>
      <c r="L4303">
        <v>215.85169999999999</v>
      </c>
      <c r="M4303">
        <v>0.99967189999999995</v>
      </c>
      <c r="N4303">
        <v>-1.47441E-2</v>
      </c>
      <c r="O4303">
        <v>-2.0945620000000002E-2</v>
      </c>
      <c r="P4303">
        <v>0.99676229999999999</v>
      </c>
      <c r="Q4303">
        <v>-7.8667089999999995E-2</v>
      </c>
      <c r="R4303">
        <v>-1.6639319999999999E-2</v>
      </c>
      <c r="S4303">
        <v>2.9940799999999999</v>
      </c>
      <c r="T4303">
        <v>-0.18265439999999999</v>
      </c>
      <c r="U4303">
        <v>-7.7575679999999994E-2</v>
      </c>
      <c r="V4303">
        <v>-4.3258639999999996E-3</v>
      </c>
      <c r="W4303">
        <v>-6.3954819999999996E-2</v>
      </c>
      <c r="X4303">
        <v>0.99794340000000004</v>
      </c>
      <c r="Y4303">
        <v>4.9653579999999996E-3</v>
      </c>
      <c r="Z4303">
        <v>7.7967929999999905E-4</v>
      </c>
      <c r="AA4303">
        <v>0.99998739999999997</v>
      </c>
      <c r="AB4303">
        <v>36</v>
      </c>
      <c r="AC4303">
        <v>17.972199999999901</v>
      </c>
      <c r="AD4303">
        <v>-1.1203670009639899</v>
      </c>
      <c r="AE4303">
        <v>-0.467299999999994</v>
      </c>
      <c r="AF4303">
        <v>9.0366727200290306E-2</v>
      </c>
      <c r="AG4303">
        <v>-1.1203670009639899</v>
      </c>
      <c r="AH4303">
        <v>17.908497430102301</v>
      </c>
      <c r="AI4303">
        <v>93.579749612953606</v>
      </c>
      <c r="AJ4303">
        <v>89.710886513347006</v>
      </c>
      <c r="AK4303">
        <v>17.943736193062399</v>
      </c>
      <c r="AL4303">
        <v>93.666843937900197</v>
      </c>
      <c r="AM4303">
        <v>90.248362980855404</v>
      </c>
      <c r="AN4303">
        <v>0.99999998085206898</v>
      </c>
    </row>
    <row r="4304" spans="1:40" x14ac:dyDescent="0.25">
      <c r="A4304" t="str">
        <f>"20190303154222587"</f>
        <v>20190303154222587</v>
      </c>
      <c r="B4304" t="str">
        <f>"1551598942574367"</f>
        <v>1551598942574367</v>
      </c>
      <c r="C4304" t="s">
        <v>40</v>
      </c>
      <c r="D4304">
        <v>5.5242380000000004</v>
      </c>
      <c r="E4304">
        <v>0.50397930000000002</v>
      </c>
      <c r="F4304" t="s">
        <v>51</v>
      </c>
      <c r="G4304">
        <v>-309.75490000000002</v>
      </c>
      <c r="H4304" s="1">
        <v>9.2290419999999997E-7</v>
      </c>
      <c r="I4304">
        <v>215.35900000000001</v>
      </c>
      <c r="J4304">
        <v>-327.83800000000002</v>
      </c>
      <c r="K4304">
        <v>1.120409</v>
      </c>
      <c r="L4304">
        <v>215.84399999999999</v>
      </c>
      <c r="M4304">
        <v>0.99966350000000004</v>
      </c>
      <c r="N4304">
        <v>-1.474029E-2</v>
      </c>
      <c r="O4304">
        <v>-2.1349880000000002E-2</v>
      </c>
      <c r="P4304">
        <v>0.99672680000000002</v>
      </c>
      <c r="Q4304">
        <v>-7.8978090000000001E-2</v>
      </c>
      <c r="R4304">
        <v>-1.7281540000000001E-2</v>
      </c>
      <c r="S4304">
        <v>2.994049</v>
      </c>
      <c r="T4304">
        <v>-0.1820301</v>
      </c>
      <c r="U4304">
        <v>-8.0047610000000005E-2</v>
      </c>
      <c r="V4304">
        <v>-4.0807150000000004E-3</v>
      </c>
      <c r="W4304">
        <v>-6.4270620000000001E-2</v>
      </c>
      <c r="X4304">
        <v>0.99792409999999998</v>
      </c>
      <c r="Y4304">
        <v>5.3855939999999996E-3</v>
      </c>
      <c r="Z4304">
        <v>7.7865360000000002E-4</v>
      </c>
      <c r="AA4304">
        <v>0.99998520000000002</v>
      </c>
      <c r="AB4304">
        <v>36</v>
      </c>
      <c r="AC4304">
        <v>18.083100000000002</v>
      </c>
      <c r="AD4304">
        <v>-1.1204080770958</v>
      </c>
      <c r="AE4304">
        <v>-0.48500000000001298</v>
      </c>
      <c r="AF4304">
        <v>9.8398035028341393E-2</v>
      </c>
      <c r="AG4304">
        <v>-1.1204080770958</v>
      </c>
      <c r="AH4304">
        <v>18.0202051336931</v>
      </c>
      <c r="AI4304">
        <v>93.557738198793501</v>
      </c>
      <c r="AJ4304">
        <v>89.6871436231704</v>
      </c>
      <c r="AK4304">
        <v>18.055270407637199</v>
      </c>
      <c r="AL4304">
        <v>93.684975409169496</v>
      </c>
      <c r="AM4304">
        <v>90.234292812145299</v>
      </c>
      <c r="AN4304">
        <v>0.99999993709544999</v>
      </c>
    </row>
    <row r="4305" spans="1:40" x14ac:dyDescent="0.25">
      <c r="A4305" t="str">
        <f>"20190303154222609"</f>
        <v>20190303154222609</v>
      </c>
      <c r="B4305" t="str">
        <f>"1551598942603648"</f>
        <v>1551598942603648</v>
      </c>
      <c r="C4305" t="s">
        <v>40</v>
      </c>
      <c r="D4305">
        <v>5.4745439999999999</v>
      </c>
      <c r="E4305">
        <v>0.50386699999999995</v>
      </c>
      <c r="F4305" t="s">
        <v>51</v>
      </c>
      <c r="G4305">
        <v>-309.4273</v>
      </c>
      <c r="H4305" s="1">
        <v>9.8101679999999997E-7</v>
      </c>
      <c r="I4305">
        <v>215.33949999999999</v>
      </c>
      <c r="J4305">
        <v>-327.47809999999998</v>
      </c>
      <c r="K4305">
        <v>1.1204540000000001</v>
      </c>
      <c r="L4305">
        <v>215.83590000000001</v>
      </c>
      <c r="M4305">
        <v>0.99965559999999998</v>
      </c>
      <c r="N4305">
        <v>-1.4736239999999999E-2</v>
      </c>
      <c r="O4305">
        <v>-2.1718850000000001E-2</v>
      </c>
      <c r="P4305">
        <v>0.99671540000000003</v>
      </c>
      <c r="Q4305">
        <v>-7.9077540000000002E-2</v>
      </c>
      <c r="R4305">
        <v>-1.7485279999999999E-2</v>
      </c>
      <c r="S4305">
        <v>2.9939879999999999</v>
      </c>
      <c r="T4305">
        <v>-0.18220349999999999</v>
      </c>
      <c r="U4305">
        <v>-8.2046510000000003E-2</v>
      </c>
      <c r="V4305">
        <v>-4.2377170000000002E-3</v>
      </c>
      <c r="W4305">
        <v>-6.4374500000000001E-2</v>
      </c>
      <c r="X4305">
        <v>0.99791680000000005</v>
      </c>
      <c r="Y4305">
        <v>5.6839369999999896E-3</v>
      </c>
      <c r="Z4305">
        <v>7.8555960000000001E-4</v>
      </c>
      <c r="AA4305">
        <v>0.99998350000000003</v>
      </c>
      <c r="AB4305">
        <v>36</v>
      </c>
      <c r="AC4305">
        <v>18.050799999999899</v>
      </c>
      <c r="AD4305">
        <v>-1.1204530189831901</v>
      </c>
      <c r="AE4305">
        <v>-0.49640000000002199</v>
      </c>
      <c r="AF4305">
        <v>0.10379809931261599</v>
      </c>
      <c r="AG4305">
        <v>-1.1204530189831901</v>
      </c>
      <c r="AH4305">
        <v>17.988068705720998</v>
      </c>
      <c r="AI4305">
        <v>93.564214282593696</v>
      </c>
      <c r="AJ4305">
        <v>89.669384907178895</v>
      </c>
      <c r="AK4305">
        <v>18.02322958781</v>
      </c>
      <c r="AL4305">
        <v>93.690939461252199</v>
      </c>
      <c r="AM4305">
        <v>90.243308700055593</v>
      </c>
      <c r="AN4305">
        <v>0.99999998710893101</v>
      </c>
    </row>
    <row r="4306" spans="1:40" x14ac:dyDescent="0.25">
      <c r="A4306" t="str">
        <f>"20190303154222629"</f>
        <v>20190303154222629</v>
      </c>
      <c r="B4306" t="str">
        <f>"1551598942624143"</f>
        <v>1551598942624143</v>
      </c>
      <c r="C4306" t="s">
        <v>40</v>
      </c>
      <c r="D4306">
        <v>5.477023</v>
      </c>
      <c r="E4306">
        <v>0.50375340000000002</v>
      </c>
      <c r="F4306" t="s">
        <v>51</v>
      </c>
      <c r="G4306">
        <v>-309.10680000000002</v>
      </c>
      <c r="H4306" s="1">
        <v>1.037861E-6</v>
      </c>
      <c r="I4306">
        <v>215.33340000000001</v>
      </c>
      <c r="J4306">
        <v>-327.14569999999998</v>
      </c>
      <c r="K4306">
        <v>1.1204970000000001</v>
      </c>
      <c r="L4306">
        <v>215.82839999999999</v>
      </c>
      <c r="M4306">
        <v>0.99964929999999996</v>
      </c>
      <c r="N4306">
        <v>-1.4732469999999999E-2</v>
      </c>
      <c r="O4306">
        <v>-2.200686E-2</v>
      </c>
      <c r="P4306">
        <v>0.99672660000000002</v>
      </c>
      <c r="Q4306">
        <v>-7.8868740000000007E-2</v>
      </c>
      <c r="R4306">
        <v>-1.776933E-2</v>
      </c>
      <c r="S4306">
        <v>2.9939879999999999</v>
      </c>
      <c r="T4306">
        <v>-0.18260190000000001</v>
      </c>
      <c r="U4306">
        <v>-8.1893919999999995E-2</v>
      </c>
      <c r="V4306">
        <v>-4.2330140000000002E-3</v>
      </c>
      <c r="W4306">
        <v>-6.4169710000000005E-2</v>
      </c>
      <c r="X4306">
        <v>0.99792999999999998</v>
      </c>
      <c r="Y4306">
        <v>5.3460829999999997E-3</v>
      </c>
      <c r="Z4306">
        <v>8.1424049999999999E-4</v>
      </c>
      <c r="AA4306">
        <v>0.99998540000000002</v>
      </c>
      <c r="AB4306">
        <v>36</v>
      </c>
      <c r="AC4306">
        <v>18.038899999999899</v>
      </c>
      <c r="AD4306">
        <v>-1.1204959621389901</v>
      </c>
      <c r="AE4306">
        <v>-0.49499999999997601</v>
      </c>
      <c r="AF4306">
        <v>9.7481639237790393E-2</v>
      </c>
      <c r="AG4306">
        <v>-1.1204959621389901</v>
      </c>
      <c r="AH4306">
        <v>17.976119171793499</v>
      </c>
      <c r="AI4306">
        <v>93.566720723549906</v>
      </c>
      <c r="AJ4306">
        <v>89.689297133229502</v>
      </c>
      <c r="AK4306">
        <v>18.0112707588798</v>
      </c>
      <c r="AL4306">
        <v>93.679181583280098</v>
      </c>
      <c r="AM4306">
        <v>90.243035465626704</v>
      </c>
      <c r="AN4306">
        <v>0.99999997749450298</v>
      </c>
    </row>
    <row r="4307" spans="1:40" x14ac:dyDescent="0.25">
      <c r="A4307" t="str">
        <f>"20190303154222653"</f>
        <v>20190303154222653</v>
      </c>
      <c r="B4307" t="str">
        <f>"1551598942643663"</f>
        <v>1551598942643663</v>
      </c>
      <c r="C4307" t="s">
        <v>40</v>
      </c>
      <c r="D4307">
        <v>5.4963439999999997</v>
      </c>
      <c r="E4307">
        <v>0.50375769999999997</v>
      </c>
      <c r="F4307" t="s">
        <v>51</v>
      </c>
      <c r="G4307">
        <v>-308.7688</v>
      </c>
      <c r="H4307" s="1">
        <v>1.0978169999999999E-6</v>
      </c>
      <c r="I4307">
        <v>215.32660000000001</v>
      </c>
      <c r="J4307">
        <v>-326.77949999999998</v>
      </c>
      <c r="K4307">
        <v>1.1205579999999999</v>
      </c>
      <c r="L4307">
        <v>215.82</v>
      </c>
      <c r="M4307">
        <v>0.99964370000000002</v>
      </c>
      <c r="N4307">
        <v>-1.472833E-2</v>
      </c>
      <c r="O4307">
        <v>-2.2265730000000001E-2</v>
      </c>
      <c r="P4307">
        <v>0.99674459999999998</v>
      </c>
      <c r="Q4307">
        <v>-7.866281E-2</v>
      </c>
      <c r="R4307">
        <v>-1.76870999999999E-2</v>
      </c>
      <c r="S4307">
        <v>2.9939580000000001</v>
      </c>
      <c r="T4307">
        <v>-0.18255099999999999</v>
      </c>
      <c r="U4307">
        <v>-8.1741330000000001E-2</v>
      </c>
      <c r="V4307">
        <v>-4.5652169999999999E-3</v>
      </c>
      <c r="W4307">
        <v>-6.3968040000000004E-2</v>
      </c>
      <c r="X4307">
        <v>0.99794150000000004</v>
      </c>
      <c r="Y4307">
        <v>5.0374640000000002E-3</v>
      </c>
      <c r="Z4307">
        <v>8.3765259999999905E-4</v>
      </c>
      <c r="AA4307">
        <v>0.99998690000000001</v>
      </c>
      <c r="AB4307">
        <v>36</v>
      </c>
      <c r="AC4307">
        <v>18.0106999999999</v>
      </c>
      <c r="AD4307">
        <v>-1.120556902183</v>
      </c>
      <c r="AE4307">
        <v>-0.49339999999997902</v>
      </c>
      <c r="AF4307">
        <v>9.1857510296684694E-2</v>
      </c>
      <c r="AG4307">
        <v>-1.120556902183</v>
      </c>
      <c r="AH4307">
        <v>17.947799872747701</v>
      </c>
      <c r="AI4307">
        <v>93.5725334919548</v>
      </c>
      <c r="AJ4307">
        <v>89.706760620206495</v>
      </c>
      <c r="AK4307">
        <v>17.982981005534899</v>
      </c>
      <c r="AL4307">
        <v>93.667602892577804</v>
      </c>
      <c r="AM4307">
        <v>90.262105385988505</v>
      </c>
      <c r="AN4307">
        <v>0.999999994384974</v>
      </c>
    </row>
    <row r="4308" spans="1:40" x14ac:dyDescent="0.25">
      <c r="A4308" t="str">
        <f>"20190303154222674"</f>
        <v>20190303154222674</v>
      </c>
      <c r="B4308" t="str">
        <f>"1551598942664159"</f>
        <v>1551598942664159</v>
      </c>
      <c r="C4308" t="s">
        <v>40</v>
      </c>
      <c r="D4308">
        <v>5.536346</v>
      </c>
      <c r="E4308">
        <v>0.50368859999999904</v>
      </c>
      <c r="F4308" t="s">
        <v>51</v>
      </c>
      <c r="G4308">
        <v>-308.35680000000002</v>
      </c>
      <c r="H4308" s="1">
        <v>1.170913E-6</v>
      </c>
      <c r="I4308">
        <v>215.31739999999999</v>
      </c>
      <c r="J4308">
        <v>-326.43209999999999</v>
      </c>
      <c r="K4308">
        <v>1.1206119999999999</v>
      </c>
      <c r="L4308">
        <v>215.81200000000001</v>
      </c>
      <c r="M4308">
        <v>0.99963950000000001</v>
      </c>
      <c r="N4308">
        <v>-1.472439E-2</v>
      </c>
      <c r="O4308">
        <v>-2.245217E-2</v>
      </c>
      <c r="P4308">
        <v>0.99673529999999999</v>
      </c>
      <c r="Q4308">
        <v>-7.8825309999999996E-2</v>
      </c>
      <c r="R4308">
        <v>-1.747261E-2</v>
      </c>
      <c r="S4308">
        <v>2.9939879999999999</v>
      </c>
      <c r="T4308">
        <v>-0.18210789999999999</v>
      </c>
      <c r="U4308">
        <v>-8.1680299999999997E-2</v>
      </c>
      <c r="V4308">
        <v>-4.9567919999999998E-3</v>
      </c>
      <c r="W4308">
        <v>-6.4135040000000004E-2</v>
      </c>
      <c r="X4308">
        <v>0.99792890000000001</v>
      </c>
      <c r="Y4308">
        <v>4.8308869999999999E-3</v>
      </c>
      <c r="Z4308">
        <v>8.5120189999999998E-4</v>
      </c>
      <c r="AA4308">
        <v>0.99998799999999999</v>
      </c>
      <c r="AB4308">
        <v>36</v>
      </c>
      <c r="AC4308">
        <v>18.075299999999899</v>
      </c>
      <c r="AD4308">
        <v>-1.120610829087</v>
      </c>
      <c r="AE4308">
        <v>-0.49460000000001902</v>
      </c>
      <c r="AF4308">
        <v>8.8262599276161896E-2</v>
      </c>
      <c r="AG4308">
        <v>-1.120610829087</v>
      </c>
      <c r="AH4308">
        <v>18.012666853017699</v>
      </c>
      <c r="AI4308">
        <v>93.559876019246403</v>
      </c>
      <c r="AJ4308">
        <v>89.719251236072495</v>
      </c>
      <c r="AK4308">
        <v>18.047706947823102</v>
      </c>
      <c r="AL4308">
        <v>93.677191024256302</v>
      </c>
      <c r="AM4308">
        <v>90.284590340982803</v>
      </c>
      <c r="AN4308">
        <v>0.99999998129897105</v>
      </c>
    </row>
    <row r="4309" spans="1:40" x14ac:dyDescent="0.25">
      <c r="A4309" t="str">
        <f>"20190303154222696"</f>
        <v>20190303154222696</v>
      </c>
      <c r="B4309" t="str">
        <f>"1551598942694416"</f>
        <v>1551598942694416</v>
      </c>
      <c r="C4309" t="s">
        <v>40</v>
      </c>
      <c r="D4309">
        <v>5.5001470000000001</v>
      </c>
      <c r="E4309">
        <v>0.50358059999999905</v>
      </c>
      <c r="F4309" t="s">
        <v>51</v>
      </c>
      <c r="G4309">
        <v>-308.0718</v>
      </c>
      <c r="H4309" s="1">
        <v>1.2214559999999999E-6</v>
      </c>
      <c r="I4309">
        <v>215.31829999999999</v>
      </c>
      <c r="J4309">
        <v>-326.08949999999999</v>
      </c>
      <c r="K4309">
        <v>1.120668</v>
      </c>
      <c r="L4309">
        <v>215.80420000000001</v>
      </c>
      <c r="M4309">
        <v>0.99963670000000004</v>
      </c>
      <c r="N4309">
        <v>-1.4720550000000001E-2</v>
      </c>
      <c r="O4309">
        <v>-2.2580369999999999E-2</v>
      </c>
      <c r="P4309">
        <v>0.99669260000000004</v>
      </c>
      <c r="Q4309">
        <v>-7.940345E-2</v>
      </c>
      <c r="R4309">
        <v>-1.729733E-2</v>
      </c>
      <c r="S4309">
        <v>2.9939580000000001</v>
      </c>
      <c r="T4309">
        <v>-0.1827346</v>
      </c>
      <c r="U4309">
        <v>-8.0520629999999996E-2</v>
      </c>
      <c r="V4309">
        <v>-5.2506690000000003E-3</v>
      </c>
      <c r="W4309">
        <v>-6.4718070000000003E-2</v>
      </c>
      <c r="X4309">
        <v>0.99788980000000005</v>
      </c>
      <c r="Y4309">
        <v>4.317347E-3</v>
      </c>
      <c r="Z4309">
        <v>8.8086570000000001E-4</v>
      </c>
      <c r="AA4309">
        <v>0.9999903</v>
      </c>
      <c r="AB4309">
        <v>36</v>
      </c>
      <c r="AC4309">
        <v>18.017699999999898</v>
      </c>
      <c r="AD4309">
        <v>-1.1206667785439901</v>
      </c>
      <c r="AE4309">
        <v>-0.48590000000001499</v>
      </c>
      <c r="AF4309">
        <v>7.85819022205375E-2</v>
      </c>
      <c r="AG4309">
        <v>-1.1206667785439901</v>
      </c>
      <c r="AH4309">
        <v>17.954669010939</v>
      </c>
      <c r="AI4309">
        <v>93.571532044051494</v>
      </c>
      <c r="AJ4309">
        <v>89.749236112762603</v>
      </c>
      <c r="AK4309">
        <v>17.9897806667081</v>
      </c>
      <c r="AL4309">
        <v>93.710665564675793</v>
      </c>
      <c r="AM4309">
        <v>90.301474568613102</v>
      </c>
      <c r="AN4309">
        <v>1.00000002552675</v>
      </c>
    </row>
    <row r="4310" spans="1:40" x14ac:dyDescent="0.25">
      <c r="A4310" t="str">
        <f>"20190303154222718"</f>
        <v>20190303154222718</v>
      </c>
      <c r="B4310" t="str">
        <f>"1551598942713936"</f>
        <v>1551598942713936</v>
      </c>
      <c r="C4310" t="s">
        <v>40</v>
      </c>
      <c r="D4310">
        <v>5.5447119999999996</v>
      </c>
      <c r="E4310">
        <v>0.50360859999999996</v>
      </c>
      <c r="F4310" t="s">
        <v>51</v>
      </c>
      <c r="G4310">
        <v>-307.96350000000001</v>
      </c>
      <c r="H4310" s="1">
        <v>1.2406659999999999E-6</v>
      </c>
      <c r="I4310">
        <v>215.3253</v>
      </c>
      <c r="J4310">
        <v>-325.7337</v>
      </c>
      <c r="K4310">
        <v>1.1207180000000001</v>
      </c>
      <c r="L4310">
        <v>215.7961</v>
      </c>
      <c r="M4310">
        <v>0.99963489999999999</v>
      </c>
      <c r="N4310">
        <v>-1.4716740000000001E-2</v>
      </c>
      <c r="O4310">
        <v>-2.2661669999999998E-2</v>
      </c>
      <c r="P4310">
        <v>0.9966412</v>
      </c>
      <c r="Q4310">
        <v>-8.0006670000000002E-2</v>
      </c>
      <c r="R4310">
        <v>-1.748516E-2</v>
      </c>
      <c r="S4310">
        <v>2.9938349999999998</v>
      </c>
      <c r="T4310">
        <v>-0.1850985</v>
      </c>
      <c r="U4310">
        <v>-7.9101560000000001E-2</v>
      </c>
      <c r="V4310">
        <v>-5.1357879999999996E-3</v>
      </c>
      <c r="W4310">
        <v>-6.5326430000000005E-2</v>
      </c>
      <c r="X4310">
        <v>0.99785069999999998</v>
      </c>
      <c r="Y4310">
        <v>3.7654540000000001E-3</v>
      </c>
      <c r="Z4310">
        <v>9.2203089999999999E-4</v>
      </c>
      <c r="AA4310">
        <v>0.99999249999999995</v>
      </c>
      <c r="AB4310">
        <v>35</v>
      </c>
      <c r="AC4310">
        <v>17.7701999999999</v>
      </c>
      <c r="AD4310">
        <v>-1.1207167593339999</v>
      </c>
      <c r="AE4310">
        <v>-0.470799999999997</v>
      </c>
      <c r="AF4310">
        <v>6.7664114037479003E-2</v>
      </c>
      <c r="AG4310">
        <v>-1.1207167593339999</v>
      </c>
      <c r="AH4310">
        <v>17.705930301288799</v>
      </c>
      <c r="AI4310">
        <v>93.621742792492199</v>
      </c>
      <c r="AJ4310">
        <v>89.781042327620298</v>
      </c>
      <c r="AK4310">
        <v>17.741492392723799</v>
      </c>
      <c r="AL4310">
        <v>93.7455961554504</v>
      </c>
      <c r="AM4310">
        <v>90.294890186078902</v>
      </c>
      <c r="AN4310">
        <v>0.99999996913270695</v>
      </c>
    </row>
    <row r="4311" spans="1:40" x14ac:dyDescent="0.25">
      <c r="A4311" t="str">
        <f>"20190303154222743"</f>
        <v>20190303154222743</v>
      </c>
      <c r="B4311" t="str">
        <f>"1551598942734431"</f>
        <v>1551598942734431</v>
      </c>
      <c r="C4311" t="s">
        <v>40</v>
      </c>
      <c r="D4311">
        <v>5.5091749999999999</v>
      </c>
      <c r="E4311">
        <v>0.51515140000000004</v>
      </c>
      <c r="F4311" t="s">
        <v>51</v>
      </c>
      <c r="G4311">
        <v>-307.82589999999999</v>
      </c>
      <c r="H4311" s="1">
        <v>1.265072E-6</v>
      </c>
      <c r="I4311">
        <v>215.31819999999999</v>
      </c>
      <c r="J4311">
        <v>-325.3621</v>
      </c>
      <c r="K4311">
        <v>1.120762</v>
      </c>
      <c r="L4311">
        <v>215.7876</v>
      </c>
      <c r="M4311">
        <v>0.99963400000000002</v>
      </c>
      <c r="N4311">
        <v>-1.4712599999999999E-2</v>
      </c>
      <c r="O4311">
        <v>-2.2707459999999999E-2</v>
      </c>
      <c r="P4311">
        <v>0.99664019999999998</v>
      </c>
      <c r="Q4311">
        <v>-8.0087130000000006E-2</v>
      </c>
      <c r="R4311">
        <v>-1.717024E-2</v>
      </c>
      <c r="S4311">
        <v>2.9936829999999999</v>
      </c>
      <c r="T4311">
        <v>-0.18735289999999999</v>
      </c>
      <c r="U4311">
        <v>-7.9879759999999994E-2</v>
      </c>
      <c r="V4311">
        <v>-5.4892869999999998E-3</v>
      </c>
      <c r="W4311">
        <v>-6.5411549999999999E-2</v>
      </c>
      <c r="X4311">
        <v>0.99784329999999999</v>
      </c>
      <c r="Y4311">
        <v>3.9809110000000002E-3</v>
      </c>
      <c r="Z4311">
        <v>9.3166250000000005E-4</v>
      </c>
      <c r="AA4311">
        <v>0.99999170000000004</v>
      </c>
      <c r="AB4311">
        <v>35</v>
      </c>
      <c r="AC4311">
        <v>17.536200000000001</v>
      </c>
      <c r="AD4311">
        <v>-1.120760734928</v>
      </c>
      <c r="AE4311">
        <v>-0.46940000000000698</v>
      </c>
      <c r="AF4311">
        <v>7.0744560128093603E-2</v>
      </c>
      <c r="AG4311">
        <v>-1.120760734928</v>
      </c>
      <c r="AH4311">
        <v>17.471025462039101</v>
      </c>
      <c r="AI4311">
        <v>93.670446671430895</v>
      </c>
      <c r="AJ4311">
        <v>89.767996299112298</v>
      </c>
      <c r="AK4311">
        <v>17.5070797140175</v>
      </c>
      <c r="AL4311">
        <v>93.750483407591304</v>
      </c>
      <c r="AM4311">
        <v>90.315189574381606</v>
      </c>
      <c r="AN4311">
        <v>1.00000002725003</v>
      </c>
    </row>
    <row r="4312" spans="1:40" x14ac:dyDescent="0.25">
      <c r="A4312" t="str">
        <f>"20190303154222764"</f>
        <v>20190303154222764</v>
      </c>
      <c r="B4312" t="str">
        <f>"1551598942753952"</f>
        <v>1551598942753952</v>
      </c>
      <c r="C4312" t="s">
        <v>40</v>
      </c>
      <c r="D4312">
        <v>5.5141140000000002</v>
      </c>
      <c r="E4312">
        <v>0.51534029999999997</v>
      </c>
      <c r="F4312" t="s">
        <v>51</v>
      </c>
      <c r="G4312">
        <v>-303.61680000000001</v>
      </c>
      <c r="H4312" s="1">
        <v>2.0117050000000001E-6</v>
      </c>
      <c r="I4312">
        <v>214.55160000000001</v>
      </c>
      <c r="J4312">
        <v>-325.01760000000002</v>
      </c>
      <c r="K4312">
        <v>1.120789</v>
      </c>
      <c r="L4312">
        <v>215.77969999999999</v>
      </c>
      <c r="M4312">
        <v>0.99963349999999995</v>
      </c>
      <c r="N4312">
        <v>-1.470872E-2</v>
      </c>
      <c r="O4312">
        <v>-2.2725470000000001E-2</v>
      </c>
      <c r="P4312">
        <v>0.99664470000000005</v>
      </c>
      <c r="Q4312">
        <v>-7.9978670000000002E-2</v>
      </c>
      <c r="R4312">
        <v>-1.7401710000000001E-2</v>
      </c>
      <c r="S4312">
        <v>2.9947810000000001</v>
      </c>
      <c r="T4312">
        <v>-0.15435209999999999</v>
      </c>
      <c r="U4312">
        <v>-0.1702118</v>
      </c>
      <c r="V4312">
        <v>-5.2709260000000004E-3</v>
      </c>
      <c r="W4312">
        <v>-6.5307309999999993E-2</v>
      </c>
      <c r="X4312">
        <v>0.9978513</v>
      </c>
      <c r="Y4312">
        <v>3.3996079999999998E-2</v>
      </c>
      <c r="Z4312">
        <v>-2.8987909999999997E-4</v>
      </c>
      <c r="AA4312">
        <v>0.99942200000000003</v>
      </c>
      <c r="AB4312">
        <v>35</v>
      </c>
      <c r="AC4312">
        <v>21.4008</v>
      </c>
      <c r="AD4312">
        <v>-1.1207869882949999</v>
      </c>
      <c r="AE4312">
        <v>-1.22809999999998</v>
      </c>
      <c r="AF4312">
        <v>0.73936565371014695</v>
      </c>
      <c r="AG4312">
        <v>-1.1207869882949999</v>
      </c>
      <c r="AH4312">
        <v>21.364778173662401</v>
      </c>
      <c r="AI4312">
        <v>93.001165704506803</v>
      </c>
      <c r="AJ4312">
        <v>88.017969961544694</v>
      </c>
      <c r="AK4312">
        <v>21.4069281180841</v>
      </c>
      <c r="AL4312">
        <v>93.744498116927005</v>
      </c>
      <c r="AM4312">
        <v>90.302649307677697</v>
      </c>
      <c r="AN4312">
        <v>1.0000000221560099</v>
      </c>
    </row>
    <row r="4313" spans="1:40" x14ac:dyDescent="0.25">
      <c r="A4313" t="str">
        <f>"20190303154222787"</f>
        <v>20190303154222787</v>
      </c>
      <c r="B4313" t="str">
        <f>"1551598942784208"</f>
        <v>1551598942784208</v>
      </c>
      <c r="C4313" t="s">
        <v>40</v>
      </c>
      <c r="D4313">
        <v>5.525048</v>
      </c>
      <c r="E4313">
        <v>0.51560499999999998</v>
      </c>
      <c r="F4313" t="s">
        <v>51</v>
      </c>
      <c r="G4313">
        <v>-302.96039999999999</v>
      </c>
      <c r="H4313" s="1">
        <v>2.12813E-6</v>
      </c>
      <c r="I4313">
        <v>214.51140000000001</v>
      </c>
      <c r="J4313">
        <v>-324.65839999999997</v>
      </c>
      <c r="K4313">
        <v>1.1208119999999999</v>
      </c>
      <c r="L4313">
        <v>215.7715</v>
      </c>
      <c r="M4313">
        <v>0.99963349999999995</v>
      </c>
      <c r="N4313">
        <v>-1.470467E-2</v>
      </c>
      <c r="O4313">
        <v>-2.2729070000000001E-2</v>
      </c>
      <c r="P4313">
        <v>0.99660579999999999</v>
      </c>
      <c r="Q4313">
        <v>-8.0401609999999998E-2</v>
      </c>
      <c r="R4313">
        <v>-1.768285E-2</v>
      </c>
      <c r="S4313">
        <v>2.9948730000000001</v>
      </c>
      <c r="T4313">
        <v>-0.1521776</v>
      </c>
      <c r="U4313">
        <v>-0.17221069999999999</v>
      </c>
      <c r="V4313">
        <v>-4.9891060000000001E-3</v>
      </c>
      <c r="W4313">
        <v>-6.5735070000000007E-2</v>
      </c>
      <c r="X4313">
        <v>0.99782470000000001</v>
      </c>
      <c r="Y4313">
        <v>3.4655369999999998E-2</v>
      </c>
      <c r="Z4313">
        <v>-3.1532890000000001E-4</v>
      </c>
      <c r="AA4313">
        <v>0.99939920000000004</v>
      </c>
      <c r="AB4313">
        <v>35</v>
      </c>
      <c r="AC4313">
        <v>21.697999999999901</v>
      </c>
      <c r="AD4313">
        <v>-1.1208098718699999</v>
      </c>
      <c r="AE4313">
        <v>-1.26009999999999</v>
      </c>
      <c r="AF4313">
        <v>0.76451265705168503</v>
      </c>
      <c r="AG4313">
        <v>-1.1208098718699999</v>
      </c>
      <c r="AH4313">
        <v>21.663428474986102</v>
      </c>
      <c r="AI4313">
        <v>92.9598557663615</v>
      </c>
      <c r="AJ4313">
        <v>87.978843571602795</v>
      </c>
      <c r="AK4313">
        <v>21.705870810969898</v>
      </c>
      <c r="AL4313">
        <v>93.7690595901351</v>
      </c>
      <c r="AM4313">
        <v>90.286475505440094</v>
      </c>
      <c r="AN4313">
        <v>1.00000006126833</v>
      </c>
    </row>
    <row r="4314" spans="1:40" x14ac:dyDescent="0.25">
      <c r="A4314" t="str">
        <f>"20190303154222809"</f>
        <v>20190303154222809</v>
      </c>
      <c r="B4314" t="str">
        <f>"1551598942803728"</f>
        <v>1551598942803728</v>
      </c>
      <c r="C4314" t="s">
        <v>40</v>
      </c>
      <c r="D4314">
        <v>5.4920660000000003</v>
      </c>
      <c r="E4314">
        <v>0.51563499999999995</v>
      </c>
      <c r="F4314" t="s">
        <v>51</v>
      </c>
      <c r="G4314">
        <v>-303.25119999999998</v>
      </c>
      <c r="H4314" s="1">
        <v>2.076548E-6</v>
      </c>
      <c r="I4314">
        <v>214.51900000000001</v>
      </c>
      <c r="J4314">
        <v>-324.30630000000002</v>
      </c>
      <c r="K4314">
        <v>1.1208309999999999</v>
      </c>
      <c r="L4314">
        <v>215.76349999999999</v>
      </c>
      <c r="M4314">
        <v>0.99963369999999996</v>
      </c>
      <c r="N4314">
        <v>-1.4700690000000001E-2</v>
      </c>
      <c r="O4314">
        <v>-2.2724930000000001E-2</v>
      </c>
      <c r="P4314">
        <v>0.99659909999999996</v>
      </c>
      <c r="Q4314">
        <v>-8.0571489999999996E-2</v>
      </c>
      <c r="R4314">
        <v>-1.7284910000000001E-2</v>
      </c>
      <c r="S4314">
        <v>2.9944459999999999</v>
      </c>
      <c r="T4314">
        <v>-0.1567789</v>
      </c>
      <c r="U4314">
        <v>-0.17520139999999901</v>
      </c>
      <c r="V4314">
        <v>-5.3801489999999999E-3</v>
      </c>
      <c r="W4314">
        <v>-6.5909270000000006E-2</v>
      </c>
      <c r="X4314">
        <v>0.99781109999999995</v>
      </c>
      <c r="Y4314">
        <v>3.5658870000000002E-2</v>
      </c>
      <c r="Z4314">
        <v>-3.4064650000000001E-4</v>
      </c>
      <c r="AA4314">
        <v>0.99936400000000003</v>
      </c>
      <c r="AB4314">
        <v>35</v>
      </c>
      <c r="AC4314">
        <v>21.055099999999999</v>
      </c>
      <c r="AD4314">
        <v>-1.1208289234519999</v>
      </c>
      <c r="AE4314">
        <v>-1.24449999999998</v>
      </c>
      <c r="AF4314">
        <v>0.76349514290457798</v>
      </c>
      <c r="AG4314">
        <v>-1.1208289234519999</v>
      </c>
      <c r="AH4314">
        <v>21.018591274965001</v>
      </c>
      <c r="AI4314">
        <v>93.050432463377305</v>
      </c>
      <c r="AJ4314">
        <v>87.9196596164944</v>
      </c>
      <c r="AK4314">
        <v>21.062297156125201</v>
      </c>
      <c r="AL4314">
        <v>93.779062496537506</v>
      </c>
      <c r="AM4314">
        <v>90.308933067133793</v>
      </c>
      <c r="AN4314">
        <v>0.99999998457920203</v>
      </c>
    </row>
    <row r="4315" spans="1:40" x14ac:dyDescent="0.25">
      <c r="A4315" t="str">
        <f>"20190303154222833"</f>
        <v>20190303154222833</v>
      </c>
      <c r="B4315" t="str">
        <f>"1551598942824224"</f>
        <v>1551598942824224</v>
      </c>
      <c r="C4315" t="s">
        <v>40</v>
      </c>
      <c r="D4315">
        <v>5.4686149999999998</v>
      </c>
      <c r="E4315">
        <v>0.51549330000000004</v>
      </c>
      <c r="F4315" t="s">
        <v>51</v>
      </c>
      <c r="G4315">
        <v>-303.05290000000002</v>
      </c>
      <c r="H4315" s="1">
        <v>2.1117200000000002E-6</v>
      </c>
      <c r="I4315">
        <v>214.5264</v>
      </c>
      <c r="J4315">
        <v>-323.93669999999997</v>
      </c>
      <c r="K4315">
        <v>1.1208499999999999</v>
      </c>
      <c r="L4315">
        <v>215.7551</v>
      </c>
      <c r="M4315">
        <v>0.99963389999999996</v>
      </c>
      <c r="N4315">
        <v>-1.4696509999999999E-2</v>
      </c>
      <c r="O4315">
        <v>-2.2718470000000001E-2</v>
      </c>
      <c r="P4315">
        <v>0.9966547</v>
      </c>
      <c r="Q4315">
        <v>-8.0011959999999993E-2</v>
      </c>
      <c r="R4315">
        <v>-1.6662440000000001E-2</v>
      </c>
      <c r="S4315">
        <v>2.994415</v>
      </c>
      <c r="T4315">
        <v>-0.15791520000000001</v>
      </c>
      <c r="U4315">
        <v>-0.17428589999999999</v>
      </c>
      <c r="V4315">
        <v>-5.9946180000000002E-3</v>
      </c>
      <c r="W4315">
        <v>-6.5353460000000002E-2</v>
      </c>
      <c r="X4315">
        <v>0.99784419999999996</v>
      </c>
      <c r="Y4315">
        <v>3.5361459999999997E-2</v>
      </c>
      <c r="Z4315">
        <v>-3.2884699999999897E-4</v>
      </c>
      <c r="AA4315">
        <v>0.99937450000000005</v>
      </c>
      <c r="AB4315">
        <v>35</v>
      </c>
      <c r="AC4315">
        <v>20.883799999999901</v>
      </c>
      <c r="AD4315">
        <v>-1.1208478882799999</v>
      </c>
      <c r="AE4315">
        <v>-1.2286999999999999</v>
      </c>
      <c r="AF4315">
        <v>0.75172568113415505</v>
      </c>
      <c r="AG4315">
        <v>-1.1208478882799999</v>
      </c>
      <c r="AH4315">
        <v>20.846483934172799</v>
      </c>
      <c r="AI4315">
        <v>93.075649809422899</v>
      </c>
      <c r="AJ4315">
        <v>87.934804983156894</v>
      </c>
      <c r="AK4315">
        <v>20.890124075889599</v>
      </c>
      <c r="AL4315">
        <v>93.747147952991597</v>
      </c>
      <c r="AM4315">
        <v>90.344204214727498</v>
      </c>
      <c r="AN4315">
        <v>1.00000002882628</v>
      </c>
    </row>
    <row r="4316" spans="1:40" x14ac:dyDescent="0.25">
      <c r="A4316" t="str">
        <f>"20190303154222853"</f>
        <v>20190303154222853</v>
      </c>
      <c r="B4316" t="str">
        <f>"1551598942843747"</f>
        <v>1551598942843747</v>
      </c>
      <c r="C4316" t="s">
        <v>40</v>
      </c>
      <c r="D4316">
        <v>5.4960420000000001</v>
      </c>
      <c r="E4316">
        <v>0.51553199999999999</v>
      </c>
      <c r="F4316" t="s">
        <v>51</v>
      </c>
      <c r="G4316">
        <v>-302.51830000000001</v>
      </c>
      <c r="H4316" s="1">
        <v>2.2065570000000001E-6</v>
      </c>
      <c r="I4316">
        <v>214.53020000000001</v>
      </c>
      <c r="J4316">
        <v>-323.61770000000001</v>
      </c>
      <c r="K4316">
        <v>1.120862</v>
      </c>
      <c r="L4316">
        <v>215.74780000000001</v>
      </c>
      <c r="M4316">
        <v>0.99963409999999997</v>
      </c>
      <c r="N4316">
        <v>-1.469293E-2</v>
      </c>
      <c r="O4316">
        <v>-2.271364E-2</v>
      </c>
      <c r="P4316">
        <v>0.99666659999999996</v>
      </c>
      <c r="Q4316">
        <v>-7.9890210000000003E-2</v>
      </c>
      <c r="R4316">
        <v>-1.653017E-2</v>
      </c>
      <c r="S4316">
        <v>2.9946290000000002</v>
      </c>
      <c r="T4316">
        <v>-0.15671189999999999</v>
      </c>
      <c r="U4316">
        <v>-0.1712494</v>
      </c>
      <c r="V4316">
        <v>-6.1212300000000001E-3</v>
      </c>
      <c r="W4316">
        <v>-6.5235260000000003E-2</v>
      </c>
      <c r="X4316">
        <v>0.99785109999999999</v>
      </c>
      <c r="Y4316">
        <v>3.4354410000000002E-2</v>
      </c>
      <c r="Z4316">
        <v>-2.9718719999999999E-4</v>
      </c>
      <c r="AA4316">
        <v>0.99940969999999996</v>
      </c>
      <c r="AB4316">
        <v>35</v>
      </c>
      <c r="AC4316">
        <v>21.099399999999999</v>
      </c>
      <c r="AD4316">
        <v>-1.120859793443</v>
      </c>
      <c r="AE4316">
        <v>-1.2176</v>
      </c>
      <c r="AF4316">
        <v>0.735920022980179</v>
      </c>
      <c r="AG4316">
        <v>-1.120859793443</v>
      </c>
      <c r="AH4316">
        <v>21.062373079978698</v>
      </c>
      <c r="AI4316">
        <v>93.044336964349995</v>
      </c>
      <c r="AJ4316">
        <v>87.998897593337404</v>
      </c>
      <c r="AK4316">
        <v>21.105010417362799</v>
      </c>
      <c r="AL4316">
        <v>93.740361355097207</v>
      </c>
      <c r="AM4316">
        <v>90.351471522358096</v>
      </c>
      <c r="AN4316">
        <v>0.99999996318759399</v>
      </c>
    </row>
    <row r="4317" spans="1:40" x14ac:dyDescent="0.25">
      <c r="A4317" t="str">
        <f>"20190303154222876"</f>
        <v>20190303154222876</v>
      </c>
      <c r="B4317" t="str">
        <f>"1551598942864239"</f>
        <v>1551598942864239</v>
      </c>
      <c r="C4317" t="s">
        <v>40</v>
      </c>
      <c r="D4317">
        <v>5.5426019999999996</v>
      </c>
      <c r="E4317">
        <v>0.51564650000000001</v>
      </c>
      <c r="F4317" t="s">
        <v>51</v>
      </c>
      <c r="G4317">
        <v>-302.24149999999997</v>
      </c>
      <c r="H4317" s="1">
        <v>2.2556539999999999E-6</v>
      </c>
      <c r="I4317">
        <v>214.52500000000001</v>
      </c>
      <c r="J4317">
        <v>-323.25850000000003</v>
      </c>
      <c r="K4317">
        <v>1.1208720000000001</v>
      </c>
      <c r="L4317">
        <v>215.7396</v>
      </c>
      <c r="M4317">
        <v>0.99963420000000003</v>
      </c>
      <c r="N4317">
        <v>-1.468887E-2</v>
      </c>
      <c r="O4317">
        <v>-2.2710270000000001E-2</v>
      </c>
      <c r="P4317">
        <v>0.99665709999999996</v>
      </c>
      <c r="Q4317">
        <v>-8.0036179999999998E-2</v>
      </c>
      <c r="R4317">
        <v>-1.6400540000000002E-2</v>
      </c>
      <c r="S4317">
        <v>2.9945979999999999</v>
      </c>
      <c r="T4317">
        <v>-0.1570213</v>
      </c>
      <c r="U4317">
        <v>-0.17129520000000001</v>
      </c>
      <c r="V4317">
        <v>-6.2463070000000004E-3</v>
      </c>
      <c r="W4317">
        <v>-6.5385529999999997E-2</v>
      </c>
      <c r="X4317">
        <v>0.99784050000000002</v>
      </c>
      <c r="Y4317">
        <v>3.4373460000000002E-2</v>
      </c>
      <c r="Z4317">
        <v>-2.9721830000000002E-4</v>
      </c>
      <c r="AA4317">
        <v>0.99940899999999999</v>
      </c>
      <c r="AB4317">
        <v>35</v>
      </c>
      <c r="AC4317">
        <v>21.016999999999999</v>
      </c>
      <c r="AD4317">
        <v>-1.1208697443459901</v>
      </c>
      <c r="AE4317">
        <v>-1.2145999999999899</v>
      </c>
      <c r="AF4317">
        <v>0.73485029513586597</v>
      </c>
      <c r="AG4317">
        <v>-1.1208697443459901</v>
      </c>
      <c r="AH4317">
        <v>20.979692167632201</v>
      </c>
      <c r="AI4317">
        <v>93.056329826679899</v>
      </c>
      <c r="AJ4317">
        <v>87.993935557482899</v>
      </c>
      <c r="AK4317">
        <v>21.0224603076962</v>
      </c>
      <c r="AL4317">
        <v>93.7489895742426</v>
      </c>
      <c r="AM4317">
        <v>90.358656873621499</v>
      </c>
      <c r="AN4317">
        <v>0.99999997366238402</v>
      </c>
    </row>
    <row r="4318" spans="1:40" x14ac:dyDescent="0.25">
      <c r="A4318" t="str">
        <f>"20190303154222909"</f>
        <v>20190303154222909</v>
      </c>
      <c r="B4318" t="str">
        <f>"1551598942904256"</f>
        <v>1551598942904256</v>
      </c>
      <c r="C4318" t="s">
        <v>40</v>
      </c>
      <c r="D4318">
        <v>5.5190939999999999</v>
      </c>
      <c r="E4318">
        <v>0.51579179999999902</v>
      </c>
      <c r="F4318" t="s">
        <v>51</v>
      </c>
      <c r="G4318">
        <v>-301.89859999999999</v>
      </c>
      <c r="H4318" s="1">
        <v>2.3164750000000001E-6</v>
      </c>
      <c r="I4318">
        <v>214.5146</v>
      </c>
      <c r="J4318">
        <v>-322.74799999999999</v>
      </c>
      <c r="K4318">
        <v>1.1208739999999999</v>
      </c>
      <c r="L4318">
        <v>215.72800000000001</v>
      </c>
      <c r="M4318">
        <v>0.99963429999999998</v>
      </c>
      <c r="N4318">
        <v>-1.4683089999999999E-2</v>
      </c>
      <c r="O4318">
        <v>-2.270902E-2</v>
      </c>
      <c r="P4318">
        <v>0.99665979999999998</v>
      </c>
      <c r="Q4318">
        <v>-7.9914020000000002E-2</v>
      </c>
      <c r="R4318">
        <v>-1.6824209999999999E-2</v>
      </c>
      <c r="S4318">
        <v>2.9946290000000002</v>
      </c>
      <c r="T4318">
        <v>-0.1571447</v>
      </c>
      <c r="U4318">
        <v>-0.17173769999999999</v>
      </c>
      <c r="V4318">
        <v>-5.8205030000000003E-3</v>
      </c>
      <c r="W4318">
        <v>-6.5269140000000003E-2</v>
      </c>
      <c r="X4318">
        <v>0.99785069999999998</v>
      </c>
      <c r="Y4318">
        <v>3.4521019999999999E-2</v>
      </c>
      <c r="Z4318">
        <v>-3.017634E-4</v>
      </c>
      <c r="AA4318">
        <v>0.99940399999999996</v>
      </c>
      <c r="AB4318">
        <v>35</v>
      </c>
      <c r="AC4318">
        <v>20.849399999999999</v>
      </c>
      <c r="AD4318">
        <v>-1.1208716835250001</v>
      </c>
      <c r="AE4318">
        <v>-1.2133999999999701</v>
      </c>
      <c r="AF4318">
        <v>0.73744238968020304</v>
      </c>
      <c r="AG4318">
        <v>-1.1208716835250001</v>
      </c>
      <c r="AH4318">
        <v>20.8116339319998</v>
      </c>
      <c r="AI4318">
        <v>93.080924201015193</v>
      </c>
      <c r="AJ4318">
        <v>87.970622282539495</v>
      </c>
      <c r="AK4318">
        <v>20.854838324201602</v>
      </c>
      <c r="AL4318">
        <v>93.742306622076697</v>
      </c>
      <c r="AM4318">
        <v>90.334204780691906</v>
      </c>
      <c r="AN4318">
        <v>0.99999997919100103</v>
      </c>
    </row>
    <row r="4319" spans="1:40" x14ac:dyDescent="0.25">
      <c r="A4319" t="str">
        <f>"20190303154222931"</f>
        <v>20190303154222931</v>
      </c>
      <c r="B4319" t="str">
        <f>"1551598942923779"</f>
        <v>1551598942923779</v>
      </c>
      <c r="C4319" t="s">
        <v>40</v>
      </c>
      <c r="D4319">
        <v>5.519908</v>
      </c>
      <c r="E4319">
        <v>0.51589549999999995</v>
      </c>
      <c r="F4319" t="s">
        <v>51</v>
      </c>
      <c r="G4319">
        <v>-301.33819999999997</v>
      </c>
      <c r="H4319" s="1">
        <v>2.4158889999999999E-6</v>
      </c>
      <c r="I4319">
        <v>214.4813</v>
      </c>
      <c r="J4319">
        <v>-322.39359999999999</v>
      </c>
      <c r="K4319">
        <v>1.1208720000000001</v>
      </c>
      <c r="L4319">
        <v>215.7199</v>
      </c>
      <c r="M4319">
        <v>0.99963429999999998</v>
      </c>
      <c r="N4319">
        <v>-1.4679090000000001E-2</v>
      </c>
      <c r="O4319">
        <v>-2.2708929999999999E-2</v>
      </c>
      <c r="P4319">
        <v>0.99665919999999997</v>
      </c>
      <c r="Q4319">
        <v>-7.9852560000000003E-2</v>
      </c>
      <c r="R4319">
        <v>-1.7154590000000001E-2</v>
      </c>
      <c r="S4319">
        <v>2.9945369999999998</v>
      </c>
      <c r="T4319">
        <v>-0.1567731</v>
      </c>
      <c r="U4319">
        <v>-0.17437739999999999</v>
      </c>
      <c r="V4319">
        <v>-5.4893590000000001E-3</v>
      </c>
      <c r="W4319">
        <v>-6.5211640000000001E-2</v>
      </c>
      <c r="X4319">
        <v>0.99785639999999998</v>
      </c>
      <c r="Y4319">
        <v>3.5399529999999998E-2</v>
      </c>
      <c r="Z4319">
        <v>-3.31701E-4</v>
      </c>
      <c r="AA4319">
        <v>0.99937319999999996</v>
      </c>
      <c r="AB4319">
        <v>35</v>
      </c>
      <c r="AC4319">
        <v>21.055399999999999</v>
      </c>
      <c r="AD4319">
        <v>-1.1208695841109999</v>
      </c>
      <c r="AE4319">
        <v>-1.2385999999999899</v>
      </c>
      <c r="AF4319">
        <v>0.75794284917000498</v>
      </c>
      <c r="AG4319">
        <v>-1.1208695841109999</v>
      </c>
      <c r="AH4319">
        <v>21.018739943213401</v>
      </c>
      <c r="AI4319">
        <v>93.050550479772994</v>
      </c>
      <c r="AJ4319">
        <v>87.934789726296898</v>
      </c>
      <c r="AK4319">
        <v>21.062247144776101</v>
      </c>
      <c r="AL4319">
        <v>93.7390048419431</v>
      </c>
      <c r="AM4319">
        <v>90.315189570644705</v>
      </c>
      <c r="AN4319">
        <v>1.0000000430373299</v>
      </c>
    </row>
    <row r="4320" spans="1:40" x14ac:dyDescent="0.25">
      <c r="A4320" t="str">
        <f>"20190303154222955"</f>
        <v>20190303154222955</v>
      </c>
      <c r="B4320" t="str">
        <f>"1551598942944272"</f>
        <v>1551598942944272</v>
      </c>
      <c r="C4320" t="s">
        <v>40</v>
      </c>
      <c r="D4320">
        <v>5.4741080000000002</v>
      </c>
      <c r="E4320">
        <v>0.51592299999999902</v>
      </c>
      <c r="F4320" t="s">
        <v>51</v>
      </c>
      <c r="G4320">
        <v>-300.99450000000002</v>
      </c>
      <c r="H4320" s="1">
        <v>2.476847E-6</v>
      </c>
      <c r="I4320">
        <v>214.46209999999999</v>
      </c>
      <c r="J4320">
        <v>-322.0326</v>
      </c>
      <c r="K4320">
        <v>1.1208750000000001</v>
      </c>
      <c r="L4320">
        <v>215.71170000000001</v>
      </c>
      <c r="M4320">
        <v>0.99963440000000003</v>
      </c>
      <c r="N4320">
        <v>-1.467503E-2</v>
      </c>
      <c r="O4320">
        <v>-2.2709099999999999E-2</v>
      </c>
      <c r="P4320">
        <v>0.99663729999999995</v>
      </c>
      <c r="Q4320">
        <v>-8.006038E-2</v>
      </c>
      <c r="R4320">
        <v>-1.7445470000000001E-2</v>
      </c>
      <c r="S4320">
        <v>2.9944459999999999</v>
      </c>
      <c r="T4320">
        <v>-0.1568475</v>
      </c>
      <c r="U4320">
        <v>-0.1760101</v>
      </c>
      <c r="V4320">
        <v>-5.1976119999999999E-3</v>
      </c>
      <c r="W4320">
        <v>-6.5423759999999997E-2</v>
      </c>
      <c r="X4320">
        <v>0.99784399999999995</v>
      </c>
      <c r="Y4320">
        <v>3.5943199999999897E-2</v>
      </c>
      <c r="Z4320">
        <v>-3.4961680000000002E-4</v>
      </c>
      <c r="AA4320">
        <v>0.99935379999999996</v>
      </c>
      <c r="AB4320">
        <v>35</v>
      </c>
      <c r="AC4320">
        <v>21.038099999999901</v>
      </c>
      <c r="AD4320">
        <v>-1.1208725231529999</v>
      </c>
      <c r="AE4320">
        <v>-1.24960000000001</v>
      </c>
      <c r="AF4320">
        <v>0.76929389048751295</v>
      </c>
      <c r="AG4320">
        <v>-1.1208725231529999</v>
      </c>
      <c r="AH4320">
        <v>21.001648728773901</v>
      </c>
      <c r="AI4320">
        <v>93.052973297266007</v>
      </c>
      <c r="AJ4320">
        <v>87.902183980657995</v>
      </c>
      <c r="AK4320">
        <v>21.045603285007299</v>
      </c>
      <c r="AL4320">
        <v>93.751184721096806</v>
      </c>
      <c r="AM4320">
        <v>90.298441978778499</v>
      </c>
      <c r="AN4320">
        <v>0.99999996593951901</v>
      </c>
    </row>
    <row r="4321" spans="1:40" x14ac:dyDescent="0.25">
      <c r="A4321" t="str">
        <f>"20190303154222977"</f>
        <v>20190303154222977</v>
      </c>
      <c r="B4321" t="str">
        <f>"1551598942974528"</f>
        <v>1551598942974528</v>
      </c>
      <c r="C4321" t="s">
        <v>40</v>
      </c>
      <c r="D4321">
        <v>5.5197770000000004</v>
      </c>
      <c r="E4321">
        <v>0.51605579999999995</v>
      </c>
      <c r="F4321" t="s">
        <v>51</v>
      </c>
      <c r="G4321">
        <v>-300.73500000000001</v>
      </c>
      <c r="H4321" s="1">
        <v>2.5228900000000002E-6</v>
      </c>
      <c r="I4321">
        <v>214.45269999999999</v>
      </c>
      <c r="J4321">
        <v>-321.68009999999998</v>
      </c>
      <c r="K4321">
        <v>1.1208769999999999</v>
      </c>
      <c r="L4321">
        <v>215.7037</v>
      </c>
      <c r="M4321">
        <v>0.99963449999999998</v>
      </c>
      <c r="N4321">
        <v>-1.4671089999999999E-2</v>
      </c>
      <c r="O4321">
        <v>-2.2709279999999998E-2</v>
      </c>
      <c r="P4321">
        <v>0.99659500000000001</v>
      </c>
      <c r="Q4321">
        <v>-8.0549560000000006E-2</v>
      </c>
      <c r="R4321">
        <v>-1.761358E-2</v>
      </c>
      <c r="S4321">
        <v>2.994354</v>
      </c>
      <c r="T4321">
        <v>-0.15758989999999901</v>
      </c>
      <c r="U4321">
        <v>-0.17701720000000001</v>
      </c>
      <c r="V4321">
        <v>-5.0290109999999999E-3</v>
      </c>
      <c r="W4321">
        <v>-6.5917390000000006E-2</v>
      </c>
      <c r="X4321">
        <v>0.99781240000000004</v>
      </c>
      <c r="Y4321">
        <v>3.6278850000000001E-2</v>
      </c>
      <c r="Z4321">
        <v>-3.5956109999999998E-4</v>
      </c>
      <c r="AA4321">
        <v>0.9993417</v>
      </c>
      <c r="AB4321">
        <v>35</v>
      </c>
      <c r="AC4321">
        <v>20.945099999999901</v>
      </c>
      <c r="AD4321">
        <v>-1.1208744771100001</v>
      </c>
      <c r="AE4321">
        <v>-1.2509999999999999</v>
      </c>
      <c r="AF4321">
        <v>0.77277276132190797</v>
      </c>
      <c r="AG4321">
        <v>-1.1208744771100001</v>
      </c>
      <c r="AH4321">
        <v>20.908444059305499</v>
      </c>
      <c r="AI4321">
        <v>93.066525037647594</v>
      </c>
      <c r="AJ4321">
        <v>87.883320582390496</v>
      </c>
      <c r="AK4321">
        <v>20.952722265022899</v>
      </c>
      <c r="AL4321">
        <v>93.779528733875296</v>
      </c>
      <c r="AM4321">
        <v>90.288770379761004</v>
      </c>
      <c r="AN4321">
        <v>0.99999998942490498</v>
      </c>
    </row>
    <row r="4322" spans="1:40" x14ac:dyDescent="0.25">
      <c r="A4322" t="str">
        <f>"20190303154222999"</f>
        <v>20190303154222999</v>
      </c>
      <c r="B4322" t="str">
        <f>"1551598942994048"</f>
        <v>1551598942994048</v>
      </c>
      <c r="C4322" t="s">
        <v>40</v>
      </c>
      <c r="D4322">
        <v>5.4762240000000002</v>
      </c>
      <c r="E4322">
        <v>0.51606609999999997</v>
      </c>
      <c r="F4322" t="s">
        <v>51</v>
      </c>
      <c r="G4322">
        <v>-300.56130000000002</v>
      </c>
      <c r="H4322" s="1">
        <v>2.553694E-6</v>
      </c>
      <c r="I4322">
        <v>214.44370000000001</v>
      </c>
      <c r="J4322">
        <v>-321.33449999999999</v>
      </c>
      <c r="K4322">
        <v>1.120876</v>
      </c>
      <c r="L4322">
        <v>215.69589999999999</v>
      </c>
      <c r="M4322">
        <v>0.99963460000000004</v>
      </c>
      <c r="N4322">
        <v>-1.466725E-2</v>
      </c>
      <c r="O4322">
        <v>-2.2709469999999999E-2</v>
      </c>
      <c r="P4322">
        <v>0.99652819999999998</v>
      </c>
      <c r="Q4322">
        <v>-8.132172E-2</v>
      </c>
      <c r="R4322">
        <v>-1.7842170000000001E-2</v>
      </c>
      <c r="S4322">
        <v>2.9942319999999998</v>
      </c>
      <c r="T4322">
        <v>-0.1589177</v>
      </c>
      <c r="U4322">
        <v>-0.1786499</v>
      </c>
      <c r="V4322">
        <v>-4.7984789999999996E-3</v>
      </c>
      <c r="W4322">
        <v>-6.6694240000000002E-2</v>
      </c>
      <c r="X4322">
        <v>0.99776189999999998</v>
      </c>
      <c r="Y4322">
        <v>3.6822519999999997E-2</v>
      </c>
      <c r="Z4322">
        <v>-3.757729E-4</v>
      </c>
      <c r="AA4322">
        <v>0.99932180000000004</v>
      </c>
      <c r="AB4322">
        <v>35</v>
      </c>
      <c r="AC4322">
        <v>20.7731999999999</v>
      </c>
      <c r="AD4322">
        <v>-1.1208734463059999</v>
      </c>
      <c r="AE4322">
        <v>-1.25219999999998</v>
      </c>
      <c r="AF4322">
        <v>0.77782155172010603</v>
      </c>
      <c r="AG4322">
        <v>-1.1208734463059999</v>
      </c>
      <c r="AH4322">
        <v>20.736128222778898</v>
      </c>
      <c r="AI4322">
        <v>93.091892395136398</v>
      </c>
      <c r="AJ4322">
        <v>87.851816531597194</v>
      </c>
      <c r="AK4322">
        <v>20.780961895939299</v>
      </c>
      <c r="AL4322">
        <v>93.824137172840395</v>
      </c>
      <c r="AM4322">
        <v>90.275547177327496</v>
      </c>
      <c r="AN4322">
        <v>0.99999997807075003</v>
      </c>
    </row>
    <row r="4323" spans="1:40" x14ac:dyDescent="0.25">
      <c r="A4323" t="str">
        <f>"20190303154223021"</f>
        <v>20190303154223021</v>
      </c>
      <c r="B4323" t="str">
        <f>"1551598943014544"</f>
        <v>1551598943014544</v>
      </c>
      <c r="C4323" t="s">
        <v>40</v>
      </c>
      <c r="D4323">
        <v>5.5021570000000004</v>
      </c>
      <c r="E4323">
        <v>0.51612029999999998</v>
      </c>
      <c r="F4323" t="s">
        <v>51</v>
      </c>
      <c r="G4323">
        <v>-300.44900000000001</v>
      </c>
      <c r="H4323" s="1">
        <v>2.5736109999999999E-6</v>
      </c>
      <c r="I4323">
        <v>214.44370000000001</v>
      </c>
      <c r="J4323">
        <v>-321.0018</v>
      </c>
      <c r="K4323">
        <v>1.120871</v>
      </c>
      <c r="L4323">
        <v>215.6883</v>
      </c>
      <c r="M4323">
        <v>0.99963469999999999</v>
      </c>
      <c r="N4323">
        <v>-1.466365E-2</v>
      </c>
      <c r="O4323">
        <v>-2.2709549999999998E-2</v>
      </c>
      <c r="P4323">
        <v>0.99657209999999996</v>
      </c>
      <c r="Q4323">
        <v>-8.078602E-2</v>
      </c>
      <c r="R4323">
        <v>-1.783061E-2</v>
      </c>
      <c r="S4323">
        <v>2.99411</v>
      </c>
      <c r="T4323">
        <v>-0.16068689999999999</v>
      </c>
      <c r="U4323">
        <v>-0.17950439999999901</v>
      </c>
      <c r="V4323">
        <v>-4.8114960000000002E-3</v>
      </c>
      <c r="W4323">
        <v>-6.6161570000000003E-2</v>
      </c>
      <c r="X4323">
        <v>0.9977973</v>
      </c>
      <c r="Y4323">
        <v>3.7107719999999997E-2</v>
      </c>
      <c r="Z4323">
        <v>-3.8282250000000001E-4</v>
      </c>
      <c r="AA4323">
        <v>0.99931119999999996</v>
      </c>
      <c r="AB4323">
        <v>35</v>
      </c>
      <c r="AC4323">
        <v>20.552799999999898</v>
      </c>
      <c r="AD4323">
        <v>-1.1208684263890001</v>
      </c>
      <c r="AE4323">
        <v>-1.2445999999999899</v>
      </c>
      <c r="AF4323">
        <v>0.77518687067074898</v>
      </c>
      <c r="AG4323">
        <v>-1.1208684263890001</v>
      </c>
      <c r="AH4323">
        <v>20.5149734372857</v>
      </c>
      <c r="AI4323">
        <v>93.125111460884796</v>
      </c>
      <c r="AJ4323">
        <v>87.836028619292705</v>
      </c>
      <c r="AK4323">
        <v>20.5601895868271</v>
      </c>
      <c r="AL4323">
        <v>93.793549869316905</v>
      </c>
      <c r="AM4323">
        <v>90.276284849845894</v>
      </c>
      <c r="AN4323">
        <v>0.99999997786295602</v>
      </c>
    </row>
    <row r="4324" spans="1:40" x14ac:dyDescent="0.25">
      <c r="A4324" t="str">
        <f>"20190303154223044"</f>
        <v>20190303154223044</v>
      </c>
      <c r="B4324" t="str">
        <f>"1551598943034275"</f>
        <v>1551598943034275</v>
      </c>
      <c r="C4324" t="s">
        <v>40</v>
      </c>
      <c r="D4324">
        <v>5.4864850000000001</v>
      </c>
      <c r="E4324">
        <v>0.51618030000000004</v>
      </c>
      <c r="F4324" t="s">
        <v>51</v>
      </c>
      <c r="G4324">
        <v>-299.91180000000003</v>
      </c>
      <c r="H4324" s="1">
        <v>2.6526039999999999E-6</v>
      </c>
      <c r="I4324">
        <v>214.42189999999999</v>
      </c>
      <c r="J4324">
        <v>-320.63959999999997</v>
      </c>
      <c r="K4324">
        <v>1.120879</v>
      </c>
      <c r="L4324">
        <v>215.68010000000001</v>
      </c>
      <c r="M4324">
        <v>0.99963469999999999</v>
      </c>
      <c r="N4324">
        <v>-1.4659989999999999E-2</v>
      </c>
      <c r="O4324">
        <v>-2.2709509999999999E-2</v>
      </c>
      <c r="P4324">
        <v>0.99653519999999896</v>
      </c>
      <c r="Q4324">
        <v>-8.1354659999999995E-2</v>
      </c>
      <c r="R4324">
        <v>-1.7298979999999999E-2</v>
      </c>
      <c r="S4324">
        <v>2.9942319999999998</v>
      </c>
      <c r="T4324">
        <v>-0.1591341</v>
      </c>
      <c r="U4324">
        <v>-0.17979429999999999</v>
      </c>
      <c r="V4324">
        <v>-5.3422679999999998E-3</v>
      </c>
      <c r="W4324">
        <v>-6.6734489999999994E-2</v>
      </c>
      <c r="X4324">
        <v>0.99775650000000005</v>
      </c>
      <c r="Y4324">
        <v>3.7202289999999999E-2</v>
      </c>
      <c r="Z4324">
        <v>-3.8803170000000002E-4</v>
      </c>
      <c r="AA4324">
        <v>0.99930770000000002</v>
      </c>
      <c r="AB4324">
        <v>35</v>
      </c>
      <c r="AC4324">
        <v>20.727799999999899</v>
      </c>
      <c r="AD4324">
        <v>-1.120876347396</v>
      </c>
      <c r="AE4324">
        <v>-1.25820000000001</v>
      </c>
      <c r="AF4324">
        <v>0.78482016005080102</v>
      </c>
      <c r="AG4324">
        <v>-1.120876347396</v>
      </c>
      <c r="AH4324">
        <v>20.690747412436</v>
      </c>
      <c r="AI4324">
        <v>93.0986196293657</v>
      </c>
      <c r="AJ4324">
        <v>87.827756772038498</v>
      </c>
      <c r="AK4324">
        <v>20.7359430688599</v>
      </c>
      <c r="AL4324">
        <v>93.8264482682292</v>
      </c>
      <c r="AM4324">
        <v>90.306774733569995</v>
      </c>
      <c r="AN4324">
        <v>1.00000003263759</v>
      </c>
    </row>
    <row r="4325" spans="1:40" x14ac:dyDescent="0.25">
      <c r="A4325" t="str">
        <f>"20190303154223065"</f>
        <v>20190303154223065</v>
      </c>
      <c r="B4325" t="str">
        <f>"1551598943053799"</f>
        <v>1551598943053799</v>
      </c>
      <c r="C4325" t="s">
        <v>40</v>
      </c>
      <c r="D4325">
        <v>5.5156689999999999</v>
      </c>
      <c r="E4325">
        <v>0.51615719999999998</v>
      </c>
      <c r="F4325" t="s">
        <v>51</v>
      </c>
      <c r="G4325">
        <v>-299.62529999999998</v>
      </c>
      <c r="H4325" s="1">
        <v>2.6017719999999999E-6</v>
      </c>
      <c r="I4325">
        <v>214.4265</v>
      </c>
      <c r="J4325">
        <v>-320.30200000000002</v>
      </c>
      <c r="K4325">
        <v>1.1208819999999999</v>
      </c>
      <c r="L4325">
        <v>215.67240000000001</v>
      </c>
      <c r="M4325">
        <v>0.99963480000000005</v>
      </c>
      <c r="N4325">
        <v>-1.4656249999999999E-2</v>
      </c>
      <c r="O4325">
        <v>-2.2709710000000001E-2</v>
      </c>
      <c r="P4325">
        <v>0.99653979999999998</v>
      </c>
      <c r="Q4325">
        <v>-8.1411849999999994E-2</v>
      </c>
      <c r="R4325">
        <v>-1.675343E-2</v>
      </c>
      <c r="S4325">
        <v>2.9942630000000001</v>
      </c>
      <c r="T4325">
        <v>-0.15970960000000001</v>
      </c>
      <c r="U4325">
        <v>-0.17861939999999901</v>
      </c>
      <c r="V4325">
        <v>-5.8874729999999998E-3</v>
      </c>
      <c r="W4325">
        <v>-6.6795519999999997E-2</v>
      </c>
      <c r="X4325">
        <v>0.99774929999999995</v>
      </c>
      <c r="Y4325">
        <v>3.6811200000000002E-2</v>
      </c>
      <c r="Z4325">
        <v>-3.7379699999999999E-4</v>
      </c>
      <c r="AA4325">
        <v>0.99932220000000005</v>
      </c>
      <c r="AB4325">
        <v>35</v>
      </c>
      <c r="AC4325">
        <v>20.6767</v>
      </c>
      <c r="AD4325">
        <v>-1.1208793982280001</v>
      </c>
      <c r="AE4325">
        <v>-1.2459</v>
      </c>
      <c r="AF4325">
        <v>0.773700927428703</v>
      </c>
      <c r="AG4325">
        <v>-1.1208793982280001</v>
      </c>
      <c r="AH4325">
        <v>20.639230330010299</v>
      </c>
      <c r="AI4325">
        <v>93.106399169870002</v>
      </c>
      <c r="AJ4325">
        <v>87.853163638213402</v>
      </c>
      <c r="AK4325">
        <v>20.6841198112391</v>
      </c>
      <c r="AL4325">
        <v>93.829953032930604</v>
      </c>
      <c r="AM4325">
        <v>90.338084366340297</v>
      </c>
      <c r="AN4325">
        <v>0.99999998474044205</v>
      </c>
    </row>
    <row r="4326" spans="1:40" x14ac:dyDescent="0.25">
      <c r="A4326" t="str">
        <f>"20190303154223087"</f>
        <v>20190303154223087</v>
      </c>
      <c r="B4326" t="str">
        <f>"1551598943084052"</f>
        <v>1551598943084052</v>
      </c>
      <c r="C4326" t="s">
        <v>40</v>
      </c>
      <c r="D4326">
        <v>5.4680080000000002</v>
      </c>
      <c r="E4326">
        <v>0.51617199999999996</v>
      </c>
      <c r="F4326" t="s">
        <v>51</v>
      </c>
      <c r="G4326">
        <v>-299.26979999999998</v>
      </c>
      <c r="H4326" s="1">
        <v>2.5387229999999999E-6</v>
      </c>
      <c r="I4326">
        <v>214.42910000000001</v>
      </c>
      <c r="J4326">
        <v>-319.96600000000001</v>
      </c>
      <c r="K4326">
        <v>1.120886</v>
      </c>
      <c r="L4326">
        <v>215.66480000000001</v>
      </c>
      <c r="M4326">
        <v>0.99963469999999999</v>
      </c>
      <c r="N4326">
        <v>-1.465227E-2</v>
      </c>
      <c r="O4326">
        <v>-2.2709679999999999E-2</v>
      </c>
      <c r="P4326">
        <v>0.9965212</v>
      </c>
      <c r="Q4326">
        <v>-8.1688510000000006E-2</v>
      </c>
      <c r="R4326">
        <v>-1.6507609999999999E-2</v>
      </c>
      <c r="S4326">
        <v>2.994415</v>
      </c>
      <c r="T4326">
        <v>-0.15958310000000001</v>
      </c>
      <c r="U4326">
        <v>-0.17701720000000001</v>
      </c>
      <c r="V4326">
        <v>-6.1328509999999999E-3</v>
      </c>
      <c r="W4326">
        <v>-6.7076469999999999E-2</v>
      </c>
      <c r="X4326">
        <v>0.99772899999999998</v>
      </c>
      <c r="Y4326">
        <v>3.6276429999999998E-2</v>
      </c>
      <c r="Z4326">
        <v>-3.5566960000000001E-4</v>
      </c>
      <c r="AA4326">
        <v>0.9993417</v>
      </c>
      <c r="AB4326">
        <v>35</v>
      </c>
      <c r="AC4326">
        <v>20.696200000000001</v>
      </c>
      <c r="AD4326">
        <v>-1.120883461277</v>
      </c>
      <c r="AE4326">
        <v>-1.2357</v>
      </c>
      <c r="AF4326">
        <v>0.76309634290892303</v>
      </c>
      <c r="AG4326">
        <v>-1.120883461277</v>
      </c>
      <c r="AH4326">
        <v>20.658546584313399</v>
      </c>
      <c r="AI4326">
        <v>93.103574639538905</v>
      </c>
      <c r="AJ4326">
        <v>87.884539929362603</v>
      </c>
      <c r="AK4326">
        <v>20.703000814823199</v>
      </c>
      <c r="AL4326">
        <v>93.846086363997301</v>
      </c>
      <c r="AM4326">
        <v>90.352181858272004</v>
      </c>
      <c r="AN4326">
        <v>1.00000001106502</v>
      </c>
    </row>
    <row r="4327" spans="1:40" x14ac:dyDescent="0.25">
      <c r="A4327" t="str">
        <f>"20190303154223110"</f>
        <v>20190303154223110</v>
      </c>
      <c r="B4327" t="str">
        <f>"1551598943104548"</f>
        <v>1551598943104548</v>
      </c>
      <c r="C4327" t="s">
        <v>40</v>
      </c>
      <c r="D4327">
        <v>5.4707739999999996</v>
      </c>
      <c r="E4327">
        <v>0.51618710000000001</v>
      </c>
      <c r="F4327" t="s">
        <v>51</v>
      </c>
      <c r="G4327">
        <v>-299.00110000000001</v>
      </c>
      <c r="H4327" s="1">
        <v>2.4910610000000002E-6</v>
      </c>
      <c r="I4327">
        <v>214.4289</v>
      </c>
      <c r="J4327">
        <v>-319.6155</v>
      </c>
      <c r="K4327">
        <v>1.120886</v>
      </c>
      <c r="L4327">
        <v>215.6568</v>
      </c>
      <c r="M4327">
        <v>0.99963480000000005</v>
      </c>
      <c r="N4327">
        <v>-1.4648090000000001E-2</v>
      </c>
      <c r="O4327">
        <v>-2.270964E-2</v>
      </c>
      <c r="P4327">
        <v>0.99648729999999996</v>
      </c>
      <c r="Q4327">
        <v>-8.2101809999999997E-2</v>
      </c>
      <c r="R4327">
        <v>-1.650428E-2</v>
      </c>
      <c r="S4327">
        <v>2.994415</v>
      </c>
      <c r="T4327">
        <v>-0.16009570000000001</v>
      </c>
      <c r="U4327">
        <v>-0.1765137</v>
      </c>
      <c r="V4327">
        <v>-6.1350569999999898E-3</v>
      </c>
      <c r="W4327">
        <v>-6.7494399999999996E-2</v>
      </c>
      <c r="X4327">
        <v>0.99770080000000005</v>
      </c>
      <c r="Y4327">
        <v>3.6109080000000002E-2</v>
      </c>
      <c r="Z4327">
        <v>-3.4902519999999902E-4</v>
      </c>
      <c r="AA4327">
        <v>0.99934780000000001</v>
      </c>
      <c r="AB4327">
        <v>35</v>
      </c>
      <c r="AC4327">
        <v>20.6143999999999</v>
      </c>
      <c r="AD4327">
        <v>-1.1208835089389999</v>
      </c>
      <c r="AE4327">
        <v>-1.2279</v>
      </c>
      <c r="AF4327">
        <v>0.75715680308674005</v>
      </c>
      <c r="AG4327">
        <v>-1.1208835089389999</v>
      </c>
      <c r="AH4327">
        <v>20.5763514820576</v>
      </c>
      <c r="AI4327">
        <v>93.115964207066995</v>
      </c>
      <c r="AJ4327">
        <v>87.892613530090998</v>
      </c>
      <c r="AK4327">
        <v>20.620763966891399</v>
      </c>
      <c r="AL4327">
        <v>93.870086384190998</v>
      </c>
      <c r="AM4327">
        <v>90.352318493413904</v>
      </c>
      <c r="AN4327">
        <v>1.00000000963819</v>
      </c>
    </row>
    <row r="4328" spans="1:40" x14ac:dyDescent="0.25">
      <c r="A4328" t="str">
        <f>"20190303154223132"</f>
        <v>20190303154223132</v>
      </c>
      <c r="B4328" t="str">
        <f>"1551598943124067"</f>
        <v>1551598943124067</v>
      </c>
      <c r="C4328" t="s">
        <v>40</v>
      </c>
      <c r="D4328">
        <v>5.4847669999999997</v>
      </c>
      <c r="E4328">
        <v>0.51620580000000005</v>
      </c>
      <c r="F4328" t="s">
        <v>51</v>
      </c>
      <c r="G4328">
        <v>-298.87049999999999</v>
      </c>
      <c r="H4328" s="1">
        <v>2.4678879999999998E-6</v>
      </c>
      <c r="I4328">
        <v>214.43389999999999</v>
      </c>
      <c r="J4328">
        <v>-319.26029999999997</v>
      </c>
      <c r="K4328">
        <v>1.1208849999999999</v>
      </c>
      <c r="L4328">
        <v>215.64869999999999</v>
      </c>
      <c r="M4328">
        <v>0.99963500000000005</v>
      </c>
      <c r="N4328">
        <v>-1.4643929999999999E-2</v>
      </c>
      <c r="O4328">
        <v>-2.2709730000000001E-2</v>
      </c>
      <c r="P4328">
        <v>0.99650890000000003</v>
      </c>
      <c r="Q4328">
        <v>-8.1764500000000004E-2</v>
      </c>
      <c r="R4328">
        <v>-1.6877679999999999E-2</v>
      </c>
      <c r="S4328">
        <v>2.9943240000000002</v>
      </c>
      <c r="T4328">
        <v>-0.16178799999999999</v>
      </c>
      <c r="U4328">
        <v>-0.1765137</v>
      </c>
      <c r="V4328">
        <v>-5.7622050000000003E-3</v>
      </c>
      <c r="W4328">
        <v>-6.7160839999999999E-2</v>
      </c>
      <c r="X4328">
        <v>0.99772550000000004</v>
      </c>
      <c r="Y4328">
        <v>3.6110059999999999E-2</v>
      </c>
      <c r="Z4328">
        <v>-3.462583E-4</v>
      </c>
      <c r="AA4328">
        <v>0.99934769999999995</v>
      </c>
      <c r="AB4328">
        <v>35</v>
      </c>
      <c r="AC4328">
        <v>20.389799999999902</v>
      </c>
      <c r="AD4328">
        <v>-1.120882532112</v>
      </c>
      <c r="AE4328">
        <v>-1.2147999999999901</v>
      </c>
      <c r="AF4328">
        <v>0.74913432359502197</v>
      </c>
      <c r="AG4328">
        <v>-1.120882532112</v>
      </c>
      <c r="AH4328">
        <v>20.350848389432102</v>
      </c>
      <c r="AI4328">
        <v>93.150418018379796</v>
      </c>
      <c r="AJ4328">
        <v>87.891839065307593</v>
      </c>
      <c r="AK4328">
        <v>20.395455622643802</v>
      </c>
      <c r="AL4328">
        <v>93.850931464131605</v>
      </c>
      <c r="AM4328">
        <v>90.330898986337004</v>
      </c>
      <c r="AN4328">
        <v>0.99999997739310797</v>
      </c>
    </row>
    <row r="4329" spans="1:40" x14ac:dyDescent="0.25">
      <c r="A4329" t="str">
        <f>"20190303154223154"</f>
        <v>20190303154223154</v>
      </c>
      <c r="B4329" t="str">
        <f>"1551598943144563"</f>
        <v>1551598943144563</v>
      </c>
      <c r="C4329" t="s">
        <v>40</v>
      </c>
      <c r="D4329">
        <v>5.4943549999999997</v>
      </c>
      <c r="E4329">
        <v>0.51612309999999995</v>
      </c>
      <c r="F4329" t="s">
        <v>51</v>
      </c>
      <c r="G4329">
        <v>-298.44540000000001</v>
      </c>
      <c r="H4329" s="1">
        <v>2.3924799999999998E-6</v>
      </c>
      <c r="I4329">
        <v>214.41249999999999</v>
      </c>
      <c r="J4329">
        <v>-318.93079999999998</v>
      </c>
      <c r="K4329">
        <v>1.120884</v>
      </c>
      <c r="L4329">
        <v>215.6412</v>
      </c>
      <c r="M4329">
        <v>0.99963489999999999</v>
      </c>
      <c r="N4329">
        <v>-1.464009E-2</v>
      </c>
      <c r="O4329">
        <v>-2.270958E-2</v>
      </c>
      <c r="P4329">
        <v>0.99649390000000004</v>
      </c>
      <c r="Q4329">
        <v>-8.1830639999999996E-2</v>
      </c>
      <c r="R4329">
        <v>-1.7430859999999999E-2</v>
      </c>
      <c r="S4329">
        <v>2.9942630000000001</v>
      </c>
      <c r="T4329">
        <v>-0.1612411</v>
      </c>
      <c r="U4329">
        <v>-0.17782590000000001</v>
      </c>
      <c r="V4329">
        <v>-5.2088789999999996E-3</v>
      </c>
      <c r="W4329">
        <v>-6.7230880000000007E-2</v>
      </c>
      <c r="X4329">
        <v>0.9977239</v>
      </c>
      <c r="Y4329">
        <v>3.6547280000000001E-2</v>
      </c>
      <c r="Z4329">
        <v>-3.619133E-4</v>
      </c>
      <c r="AA4329">
        <v>0.99933179999999999</v>
      </c>
      <c r="AB4329">
        <v>35</v>
      </c>
      <c r="AC4329">
        <v>20.485399999999899</v>
      </c>
      <c r="AD4329">
        <v>-1.1208816075200001</v>
      </c>
      <c r="AE4329">
        <v>-1.2286999999999999</v>
      </c>
      <c r="AF4329">
        <v>0.76084865557402104</v>
      </c>
      <c r="AG4329">
        <v>-1.1208816075200001</v>
      </c>
      <c r="AH4329">
        <v>20.4470260484519</v>
      </c>
      <c r="AI4329">
        <v>93.135580068003506</v>
      </c>
      <c r="AJ4329">
        <v>87.868965734139607</v>
      </c>
      <c r="AK4329">
        <v>20.4918554670102</v>
      </c>
      <c r="AL4329">
        <v>93.8549532627503</v>
      </c>
      <c r="AM4329">
        <v>90.299124909421096</v>
      </c>
      <c r="AN4329">
        <v>1.0000000521386001</v>
      </c>
    </row>
    <row r="4330" spans="1:40" x14ac:dyDescent="0.25">
      <c r="A4330" t="str">
        <f>"20190303154223178"</f>
        <v>20190303154223178</v>
      </c>
      <c r="B4330" t="str">
        <f>"1551598943173844"</f>
        <v>1551598943173844</v>
      </c>
      <c r="C4330" t="s">
        <v>40</v>
      </c>
      <c r="D4330">
        <v>5.4857909999999999</v>
      </c>
      <c r="E4330">
        <v>0.5022122</v>
      </c>
      <c r="F4330" t="s">
        <v>51</v>
      </c>
      <c r="G4330">
        <v>-298.18169999999998</v>
      </c>
      <c r="H4330" s="1">
        <v>2.3457109999999999E-6</v>
      </c>
      <c r="I4330">
        <v>214.40100000000001</v>
      </c>
      <c r="J4330">
        <v>-318.57049999999998</v>
      </c>
      <c r="K4330">
        <v>1.120879</v>
      </c>
      <c r="L4330">
        <v>215.63300000000001</v>
      </c>
      <c r="M4330">
        <v>0.99963500000000005</v>
      </c>
      <c r="N4330">
        <v>-1.463592E-2</v>
      </c>
      <c r="O4330">
        <v>-2.270931E-2</v>
      </c>
      <c r="P4330">
        <v>0.99648199999999998</v>
      </c>
      <c r="Q4330">
        <v>-8.1807809999999995E-2</v>
      </c>
      <c r="R4330">
        <v>-1.8202019999999999E-2</v>
      </c>
      <c r="S4330">
        <v>2.9941710000000001</v>
      </c>
      <c r="T4330">
        <v>-0.1617478</v>
      </c>
      <c r="U4330">
        <v>-0.1789703</v>
      </c>
      <c r="V4330">
        <v>-4.4376900000000002E-3</v>
      </c>
      <c r="W4330">
        <v>-6.7212160000000007E-2</v>
      </c>
      <c r="X4330">
        <v>0.99772879999999997</v>
      </c>
      <c r="Y4330">
        <v>3.6929040000000003E-2</v>
      </c>
      <c r="Z4330">
        <v>-3.7409539999999999E-4</v>
      </c>
      <c r="AA4330">
        <v>0.99931780000000003</v>
      </c>
      <c r="AB4330">
        <v>35</v>
      </c>
      <c r="AC4330">
        <v>20.3888</v>
      </c>
      <c r="AD4330">
        <v>-1.1208766542890001</v>
      </c>
      <c r="AE4330">
        <v>-1.23199999999999</v>
      </c>
      <c r="AF4330">
        <v>0.76630948219286499</v>
      </c>
      <c r="AG4330">
        <v>-1.1208766542890001</v>
      </c>
      <c r="AH4330">
        <v>20.350241635503199</v>
      </c>
      <c r="AI4330">
        <v>93.150396480374496</v>
      </c>
      <c r="AJ4330">
        <v>87.843486832051497</v>
      </c>
      <c r="AK4330">
        <v>20.395487964743499</v>
      </c>
      <c r="AL4330">
        <v>93.853878598479099</v>
      </c>
      <c r="AM4330">
        <v>90.254838019247899</v>
      </c>
      <c r="AN4330">
        <v>0.99999996294691995</v>
      </c>
    </row>
    <row r="4331" spans="1:40" x14ac:dyDescent="0.25">
      <c r="A4331" t="str">
        <f>"20190303154223201"</f>
        <v>20190303154223201</v>
      </c>
      <c r="B4331" t="str">
        <f>"1551598943194339"</f>
        <v>1551598943194339</v>
      </c>
      <c r="C4331" t="s">
        <v>40</v>
      </c>
      <c r="D4331">
        <v>5.4155930000000003</v>
      </c>
      <c r="E4331">
        <v>0.50129009999999996</v>
      </c>
      <c r="F4331" t="s">
        <v>51</v>
      </c>
      <c r="G4331">
        <v>-297.38810000000001</v>
      </c>
      <c r="H4331" s="1">
        <v>2.2049339999999999E-6</v>
      </c>
      <c r="I4331">
        <v>215.13730000000001</v>
      </c>
      <c r="J4331">
        <v>-318.21609999999998</v>
      </c>
      <c r="K4331">
        <v>1.120878</v>
      </c>
      <c r="L4331">
        <v>215.625</v>
      </c>
      <c r="M4331">
        <v>0.9996351</v>
      </c>
      <c r="N4331">
        <v>-1.4632050000000001E-2</v>
      </c>
      <c r="O4331">
        <v>-2.2709279999999998E-2</v>
      </c>
      <c r="P4331">
        <v>0.99646939999999995</v>
      </c>
      <c r="Q4331">
        <v>-8.1923570000000001E-2</v>
      </c>
      <c r="R4331">
        <v>-1.837743E-2</v>
      </c>
      <c r="S4331">
        <v>2.9963069999999998</v>
      </c>
      <c r="T4331">
        <v>-0.158551</v>
      </c>
      <c r="U4331">
        <v>-7.012939E-2</v>
      </c>
      <c r="V4331">
        <v>-4.2616269999999996E-3</v>
      </c>
      <c r="W4331">
        <v>-6.7331879999999997E-2</v>
      </c>
      <c r="X4331">
        <v>0.99772159999999999</v>
      </c>
      <c r="Y4331">
        <v>7.0269590000000002E-4</v>
      </c>
      <c r="Z4331">
        <v>8.4465679999999902E-4</v>
      </c>
      <c r="AA4331">
        <v>0.99999939999999998</v>
      </c>
      <c r="AB4331">
        <v>35</v>
      </c>
      <c r="AC4331">
        <v>20.8279999999999</v>
      </c>
      <c r="AD4331">
        <v>-1.120875795066</v>
      </c>
      <c r="AE4331">
        <v>-0.48769999999998898</v>
      </c>
      <c r="AF4331">
        <v>1.44927593159696E-2</v>
      </c>
      <c r="AG4331">
        <v>-1.120875795066</v>
      </c>
      <c r="AH4331">
        <v>20.773573790549602</v>
      </c>
      <c r="AI4331">
        <v>93.088501895720299</v>
      </c>
      <c r="AJ4331">
        <v>89.960027397502401</v>
      </c>
      <c r="AK4331">
        <v>20.803796303065599</v>
      </c>
      <c r="AL4331">
        <v>93.860753220089094</v>
      </c>
      <c r="AM4331">
        <v>90.244729347380201</v>
      </c>
      <c r="AN4331">
        <v>1.00000006731778</v>
      </c>
    </row>
    <row r="4332" spans="1:40" x14ac:dyDescent="0.25">
      <c r="A4332" t="str">
        <f>"20190303154223224"</f>
        <v>20190303154223224</v>
      </c>
      <c r="B4332" t="str">
        <f>"1551598943213863"</f>
        <v>1551598943213863</v>
      </c>
      <c r="C4332" t="s">
        <v>40</v>
      </c>
      <c r="D4332">
        <v>5.5013670000000001</v>
      </c>
      <c r="E4332">
        <v>0.50161560000000005</v>
      </c>
      <c r="F4332" t="s">
        <v>51</v>
      </c>
      <c r="G4332">
        <v>-296.41719999999998</v>
      </c>
      <c r="H4332" s="1">
        <v>2.0327110000000001E-6</v>
      </c>
      <c r="I4332">
        <v>215.16550000000001</v>
      </c>
      <c r="J4332">
        <v>-317.8492</v>
      </c>
      <c r="K4332">
        <v>1.120873</v>
      </c>
      <c r="L4332">
        <v>215.61670000000001</v>
      </c>
      <c r="M4332">
        <v>0.99963519999999995</v>
      </c>
      <c r="N4332">
        <v>-1.4627970000000001E-2</v>
      </c>
      <c r="O4332">
        <v>-2.270925E-2</v>
      </c>
      <c r="P4332">
        <v>0.99641040000000003</v>
      </c>
      <c r="Q4332">
        <v>-8.2707749999999997E-2</v>
      </c>
      <c r="R4332">
        <v>-1.805257E-2</v>
      </c>
      <c r="S4332">
        <v>2.9967959999999998</v>
      </c>
      <c r="T4332">
        <v>-0.1540917</v>
      </c>
      <c r="U4332">
        <v>-6.3171389999999994E-2</v>
      </c>
      <c r="V4332">
        <v>-4.5848909999999998E-3</v>
      </c>
      <c r="W4332">
        <v>-6.8121029999999999E-2</v>
      </c>
      <c r="X4332">
        <v>0.99766650000000001</v>
      </c>
      <c r="Y4332">
        <v>-1.6190179999999901E-3</v>
      </c>
      <c r="Z4332">
        <v>8.8802749999999995E-4</v>
      </c>
      <c r="AA4332">
        <v>0.99999830000000001</v>
      </c>
      <c r="AB4332">
        <v>34</v>
      </c>
      <c r="AC4332">
        <v>21.431999999999999</v>
      </c>
      <c r="AD4332">
        <v>-1.120870967289</v>
      </c>
      <c r="AE4332">
        <v>-0.45119999999999999</v>
      </c>
      <c r="AF4332">
        <v>-3.557579357007E-2</v>
      </c>
      <c r="AG4332">
        <v>-1.120870967289</v>
      </c>
      <c r="AH4332">
        <v>21.378271758796501</v>
      </c>
      <c r="AI4332">
        <v>93.0012873768475</v>
      </c>
      <c r="AJ4332">
        <v>90.095346385611805</v>
      </c>
      <c r="AK4332">
        <v>21.407665000073099</v>
      </c>
      <c r="AL4332">
        <v>93.906072616792798</v>
      </c>
      <c r="AM4332">
        <v>90.263307482517604</v>
      </c>
      <c r="AN4332">
        <v>0.99999997058799595</v>
      </c>
    </row>
    <row r="4333" spans="1:40" x14ac:dyDescent="0.25">
      <c r="A4333" t="str">
        <f>"20190303154223246"</f>
        <v>20190303154223246</v>
      </c>
      <c r="B4333" t="str">
        <f>"1551598943234355"</f>
        <v>1551598943234355</v>
      </c>
      <c r="C4333" t="s">
        <v>40</v>
      </c>
      <c r="D4333">
        <v>5.4733390000000002</v>
      </c>
      <c r="E4333">
        <v>0.50184669999999998</v>
      </c>
      <c r="F4333" t="s">
        <v>51</v>
      </c>
      <c r="G4333">
        <v>-296.58730000000003</v>
      </c>
      <c r="H4333" s="1">
        <v>2.0628840000000002E-6</v>
      </c>
      <c r="I4333">
        <v>215.1566</v>
      </c>
      <c r="J4333">
        <v>-317.52499999999998</v>
      </c>
      <c r="K4333">
        <v>1.1208769999999999</v>
      </c>
      <c r="L4333">
        <v>215.60929999999999</v>
      </c>
      <c r="M4333">
        <v>0.99963519999999995</v>
      </c>
      <c r="N4333">
        <v>-1.46243E-2</v>
      </c>
      <c r="O4333">
        <v>-2.2709219999999999E-2</v>
      </c>
      <c r="P4333">
        <v>0.99641190000000002</v>
      </c>
      <c r="Q4333">
        <v>-8.2753080000000007E-2</v>
      </c>
      <c r="R4333">
        <v>-1.775854E-2</v>
      </c>
      <c r="S4333">
        <v>2.996521</v>
      </c>
      <c r="T4333">
        <v>-0.1579682</v>
      </c>
      <c r="U4333">
        <v>-6.4834589999999998E-2</v>
      </c>
      <c r="V4333">
        <v>-4.8793480000000004E-3</v>
      </c>
      <c r="W4333">
        <v>-6.8170090000000003E-2</v>
      </c>
      <c r="X4333">
        <v>0.99766180000000004</v>
      </c>
      <c r="Y4333">
        <v>-1.062023E-3</v>
      </c>
      <c r="Z4333">
        <v>8.9982940000000002E-4</v>
      </c>
      <c r="AA4333">
        <v>0.99999899999999997</v>
      </c>
      <c r="AB4333">
        <v>34</v>
      </c>
      <c r="AC4333">
        <v>20.9376999999999</v>
      </c>
      <c r="AD4333">
        <v>-1.1208749371160001</v>
      </c>
      <c r="AE4333">
        <v>-0.452699999999993</v>
      </c>
      <c r="AF4333">
        <v>-2.28808901804466E-2</v>
      </c>
      <c r="AG4333">
        <v>-1.1208749371160001</v>
      </c>
      <c r="AH4333">
        <v>20.882761535650701</v>
      </c>
      <c r="AI4333">
        <v>93.072380912175205</v>
      </c>
      <c r="AJ4333">
        <v>90.062777995715905</v>
      </c>
      <c r="AK4333">
        <v>20.912833703605099</v>
      </c>
      <c r="AL4333">
        <v>93.908889910990695</v>
      </c>
      <c r="AM4333">
        <v>90.280219026283504</v>
      </c>
      <c r="AN4333">
        <v>1.0000000181933699</v>
      </c>
    </row>
    <row r="4334" spans="1:40" x14ac:dyDescent="0.25">
      <c r="A4334" t="str">
        <f>"20190303154223266"</f>
        <v>20190303154223266</v>
      </c>
      <c r="B4334" t="str">
        <f>"1551598943253876"</f>
        <v>1551598943253876</v>
      </c>
      <c r="C4334" t="s">
        <v>40</v>
      </c>
      <c r="D4334">
        <v>5.4706429999999999</v>
      </c>
      <c r="E4334">
        <v>0.50193449999999995</v>
      </c>
      <c r="F4334" t="s">
        <v>51</v>
      </c>
      <c r="G4334">
        <v>-296.53550000000001</v>
      </c>
      <c r="H4334" s="1">
        <v>2.053702E-6</v>
      </c>
      <c r="I4334">
        <v>215.1472</v>
      </c>
      <c r="J4334">
        <v>-317.19799999999998</v>
      </c>
      <c r="K4334">
        <v>1.1208800000000001</v>
      </c>
      <c r="L4334">
        <v>215.6018</v>
      </c>
      <c r="M4334">
        <v>0.9996353</v>
      </c>
      <c r="N4334">
        <v>-1.4620609999999999E-2</v>
      </c>
      <c r="O4334">
        <v>-2.2709429999999999E-2</v>
      </c>
      <c r="P4334">
        <v>0.99643720000000002</v>
      </c>
      <c r="Q4334">
        <v>-8.2401379999999996E-2</v>
      </c>
      <c r="R4334">
        <v>-1.797967E-2</v>
      </c>
      <c r="S4334">
        <v>2.9962770000000001</v>
      </c>
      <c r="T4334">
        <v>-0.1600068</v>
      </c>
      <c r="U4334">
        <v>-6.5963750000000002E-2</v>
      </c>
      <c r="V4334">
        <v>-4.6582469999999999E-3</v>
      </c>
      <c r="W4334">
        <v>-6.7821649999999997E-2</v>
      </c>
      <c r="X4334">
        <v>0.99768659999999998</v>
      </c>
      <c r="Y4334">
        <v>-6.8384239999999996E-4</v>
      </c>
      <c r="Z4334">
        <v>9.0293700000000003E-4</v>
      </c>
      <c r="AA4334">
        <v>0.99999930000000004</v>
      </c>
      <c r="AB4334">
        <v>34</v>
      </c>
      <c r="AC4334">
        <v>20.662499999999898</v>
      </c>
      <c r="AD4334">
        <v>-1.1208779462980001</v>
      </c>
      <c r="AE4334">
        <v>-0.454599999999999</v>
      </c>
      <c r="AF4334">
        <v>-1.47575638792513E-2</v>
      </c>
      <c r="AG4334">
        <v>-1.1208779462980001</v>
      </c>
      <c r="AH4334">
        <v>20.606883744566399</v>
      </c>
      <c r="AI4334">
        <v>93.113441900613196</v>
      </c>
      <c r="AJ4334">
        <v>90.041032210018003</v>
      </c>
      <c r="AK4334">
        <v>20.637350673433399</v>
      </c>
      <c r="AL4334">
        <v>93.888879475407094</v>
      </c>
      <c r="AM4334">
        <v>90.267514822385706</v>
      </c>
      <c r="AN4334">
        <v>1.00000001364669</v>
      </c>
    </row>
    <row r="4335" spans="1:40" x14ac:dyDescent="0.25">
      <c r="A4335" t="str">
        <f>"20190303154223289"</f>
        <v>20190303154223289</v>
      </c>
      <c r="B4335" t="str">
        <f>"1551598943284132"</f>
        <v>1551598943284132</v>
      </c>
      <c r="C4335" t="s">
        <v>40</v>
      </c>
      <c r="D4335">
        <v>5.4533490000000002</v>
      </c>
      <c r="E4335">
        <v>0.50210159999999904</v>
      </c>
      <c r="F4335" t="s">
        <v>51</v>
      </c>
      <c r="G4335">
        <v>-296.10469999999998</v>
      </c>
      <c r="H4335" s="1">
        <v>1.9772829999999999E-6</v>
      </c>
      <c r="I4335">
        <v>215.12739999999999</v>
      </c>
      <c r="J4335">
        <v>-316.84449999999998</v>
      </c>
      <c r="K4335">
        <v>1.120892</v>
      </c>
      <c r="L4335">
        <v>215.59379999999999</v>
      </c>
      <c r="M4335">
        <v>0.9996353</v>
      </c>
      <c r="N4335">
        <v>-1.461666E-2</v>
      </c>
      <c r="O4335">
        <v>-2.2709400000000001E-2</v>
      </c>
      <c r="P4335">
        <v>0.996479</v>
      </c>
      <c r="Q4335">
        <v>-8.1921289999999994E-2</v>
      </c>
      <c r="R4335">
        <v>-1.7852929999999999E-2</v>
      </c>
      <c r="S4335">
        <v>2.9963380000000002</v>
      </c>
      <c r="T4335">
        <v>-0.15922239999999999</v>
      </c>
      <c r="U4335">
        <v>-6.7398070000000004E-2</v>
      </c>
      <c r="V4335">
        <v>-4.7858989999999997E-3</v>
      </c>
      <c r="W4335">
        <v>-6.7344989999999993E-2</v>
      </c>
      <c r="X4335">
        <v>0.99771829999999995</v>
      </c>
      <c r="Y4335">
        <v>-2.068978E-4</v>
      </c>
      <c r="Z4335">
        <v>8.8081919999999998E-4</v>
      </c>
      <c r="AA4335">
        <v>0.99999959999999999</v>
      </c>
      <c r="AB4335">
        <v>34</v>
      </c>
      <c r="AC4335">
        <v>20.739799999999999</v>
      </c>
      <c r="AD4335">
        <v>-1.120890022717</v>
      </c>
      <c r="AE4335">
        <v>-0.46639999999999299</v>
      </c>
      <c r="AF4335">
        <v>-4.7451652183012E-3</v>
      </c>
      <c r="AG4335">
        <v>-1.120890022717</v>
      </c>
      <c r="AH4335">
        <v>20.684655732389501</v>
      </c>
      <c r="AI4335">
        <v>93.101792674756496</v>
      </c>
      <c r="AJ4335">
        <v>90.013143942971496</v>
      </c>
      <c r="AK4335">
        <v>20.715004217404701</v>
      </c>
      <c r="AL4335">
        <v>93.861506223455905</v>
      </c>
      <c r="AM4335">
        <v>90.274836805866499</v>
      </c>
      <c r="AN4335">
        <v>1.00000002933111</v>
      </c>
    </row>
    <row r="4336" spans="1:40" x14ac:dyDescent="0.25">
      <c r="A4336" t="str">
        <f>"20190303154223312"</f>
        <v>20190303154223312</v>
      </c>
      <c r="B4336" t="str">
        <f>"1551598943304628"</f>
        <v>1551598943304628</v>
      </c>
      <c r="C4336" t="s">
        <v>40</v>
      </c>
      <c r="D4336">
        <v>5.4731170000000002</v>
      </c>
      <c r="E4336">
        <v>0.5021217</v>
      </c>
      <c r="F4336" t="s">
        <v>51</v>
      </c>
      <c r="G4336">
        <v>-295.59300000000002</v>
      </c>
      <c r="H4336" s="1">
        <v>1.886519E-6</v>
      </c>
      <c r="I4336">
        <v>215.10939999999999</v>
      </c>
      <c r="J4336">
        <v>-316.51389999999998</v>
      </c>
      <c r="K4336">
        <v>1.120892</v>
      </c>
      <c r="L4336">
        <v>215.58629999999999</v>
      </c>
      <c r="M4336">
        <v>0.9996353</v>
      </c>
      <c r="N4336">
        <v>-1.4613019999999999E-2</v>
      </c>
      <c r="O4336">
        <v>-2.2709139999999999E-2</v>
      </c>
      <c r="P4336">
        <v>0.99651840000000003</v>
      </c>
      <c r="Q4336">
        <v>-8.1431749999999997E-2</v>
      </c>
      <c r="R4336">
        <v>-1.7894839999999999E-2</v>
      </c>
      <c r="S4336">
        <v>2.996429</v>
      </c>
      <c r="T4336">
        <v>-0.15804389999999999</v>
      </c>
      <c r="U4336">
        <v>-6.8298339999999999E-2</v>
      </c>
      <c r="V4336">
        <v>-4.7451400000000001E-3</v>
      </c>
      <c r="W4336">
        <v>-6.6858539999999994E-2</v>
      </c>
      <c r="X4336">
        <v>0.99775119999999895</v>
      </c>
      <c r="Y4336" s="1">
        <v>9.2093630000000004E-5</v>
      </c>
      <c r="Z4336">
        <v>8.6183029999999995E-4</v>
      </c>
      <c r="AA4336">
        <v>0.99999959999999999</v>
      </c>
      <c r="AB4336">
        <v>34</v>
      </c>
      <c r="AC4336">
        <v>20.9208999999999</v>
      </c>
      <c r="AD4336">
        <v>-1.1208901134810001</v>
      </c>
      <c r="AE4336">
        <v>-0.47689999999999999</v>
      </c>
      <c r="AF4336">
        <v>1.6259367592844E-3</v>
      </c>
      <c r="AG4336">
        <v>-1.1208901134810001</v>
      </c>
      <c r="AH4336">
        <v>20.866467628244799</v>
      </c>
      <c r="AI4336">
        <v>93.074818811722395</v>
      </c>
      <c r="AJ4336">
        <v>89.995535453554794</v>
      </c>
      <c r="AK4336">
        <v>20.8965515951976</v>
      </c>
      <c r="AL4336">
        <v>93.833571771522998</v>
      </c>
      <c r="AM4336">
        <v>90.272487214710495</v>
      </c>
      <c r="AN4336">
        <v>1.0000000189129901</v>
      </c>
    </row>
    <row r="4337" spans="1:40" x14ac:dyDescent="0.25">
      <c r="A4337" t="str">
        <f>"20190303154223333"</f>
        <v>20190303154223333</v>
      </c>
      <c r="B4337" t="str">
        <f>"1551598943324147"</f>
        <v>1551598943324147</v>
      </c>
      <c r="C4337" t="s">
        <v>40</v>
      </c>
      <c r="D4337">
        <v>5.4729159999999997</v>
      </c>
      <c r="E4337">
        <v>0.50201569999999995</v>
      </c>
      <c r="F4337" t="s">
        <v>51</v>
      </c>
      <c r="G4337">
        <v>-295.10500000000002</v>
      </c>
      <c r="H4337" s="1">
        <v>1.7999539999999999E-6</v>
      </c>
      <c r="I4337">
        <v>215.09479999999999</v>
      </c>
      <c r="J4337">
        <v>-316.1628</v>
      </c>
      <c r="K4337">
        <v>1.120892</v>
      </c>
      <c r="L4337">
        <v>215.57830000000001</v>
      </c>
      <c r="M4337">
        <v>0.99963559999999996</v>
      </c>
      <c r="N4337">
        <v>-1.45959E-2</v>
      </c>
      <c r="O4337">
        <v>-2.2709259999999998E-2</v>
      </c>
      <c r="P4337">
        <v>0.99657079999999998</v>
      </c>
      <c r="Q4337">
        <v>-8.0688120000000002E-2</v>
      </c>
      <c r="R4337">
        <v>-1.8338179999999999E-2</v>
      </c>
      <c r="S4337">
        <v>2.9963989999999998</v>
      </c>
      <c r="T4337">
        <v>-0.15688070000000001</v>
      </c>
      <c r="U4337">
        <v>-6.8786620000000007E-2</v>
      </c>
      <c r="V4337">
        <v>-4.3028880000000004E-3</v>
      </c>
      <c r="W4337">
        <v>-6.6131179999999998E-2</v>
      </c>
      <c r="X4337">
        <v>0.99780170000000001</v>
      </c>
      <c r="Y4337">
        <v>2.5448750000000003E-4</v>
      </c>
      <c r="Z4337">
        <v>8.480203E-4</v>
      </c>
      <c r="AA4337">
        <v>0.99999959999999999</v>
      </c>
      <c r="AB4337">
        <v>34</v>
      </c>
      <c r="AC4337">
        <v>21.057799999999901</v>
      </c>
      <c r="AD4337">
        <v>-1.1208902000459999</v>
      </c>
      <c r="AE4337">
        <v>-0.48350000000002002</v>
      </c>
      <c r="AF4337">
        <v>5.1028517386824098E-3</v>
      </c>
      <c r="AG4337">
        <v>-1.1208902000459999</v>
      </c>
      <c r="AH4337">
        <v>21.003869429221599</v>
      </c>
      <c r="AI4337">
        <v>93.054742529797295</v>
      </c>
      <c r="AJ4337">
        <v>89.986080095225205</v>
      </c>
      <c r="AK4337">
        <v>21.033757436070399</v>
      </c>
      <c r="AL4337">
        <v>93.791804592183894</v>
      </c>
      <c r="AM4337">
        <v>90.247078947539705</v>
      </c>
      <c r="AN4337">
        <v>1.0000000401681099</v>
      </c>
    </row>
    <row r="4338" spans="1:40" x14ac:dyDescent="0.25">
      <c r="A4338" t="str">
        <f>"20190303154223357"</f>
        <v>20190303154223357</v>
      </c>
      <c r="B4338" t="str">
        <f>"1551598943354403"</f>
        <v>1551598943354403</v>
      </c>
      <c r="C4338" t="s">
        <v>40</v>
      </c>
      <c r="D4338">
        <v>5.4945760000000003</v>
      </c>
      <c r="E4338">
        <v>0.50215980000000005</v>
      </c>
      <c r="F4338" t="s">
        <v>51</v>
      </c>
      <c r="G4338">
        <v>-294.51949999999999</v>
      </c>
      <c r="H4338" s="1">
        <v>1.696093E-6</v>
      </c>
      <c r="I4338">
        <v>215.07759999999999</v>
      </c>
      <c r="J4338">
        <v>-315.82600000000002</v>
      </c>
      <c r="K4338">
        <v>1.1208830000000001</v>
      </c>
      <c r="L4338">
        <v>215.57060000000001</v>
      </c>
      <c r="M4338">
        <v>0.99963639999999998</v>
      </c>
      <c r="N4338">
        <v>-1.454127E-2</v>
      </c>
      <c r="O4338">
        <v>-2.2709340000000001E-2</v>
      </c>
      <c r="P4338">
        <v>0.99658119999999994</v>
      </c>
      <c r="Q4338">
        <v>-8.0578730000000001E-2</v>
      </c>
      <c r="R4338">
        <v>-1.8245859999999999E-2</v>
      </c>
      <c r="S4338">
        <v>2.9964900000000001</v>
      </c>
      <c r="T4338">
        <v>-0.15518570000000001</v>
      </c>
      <c r="U4338">
        <v>-6.9320679999999996E-2</v>
      </c>
      <c r="V4338">
        <v>-4.3952059999999996E-3</v>
      </c>
      <c r="W4338">
        <v>-6.6076170000000004E-2</v>
      </c>
      <c r="X4338">
        <v>0.99780489999999999</v>
      </c>
      <c r="Y4338">
        <v>4.3111970000000001E-4</v>
      </c>
      <c r="Z4338">
        <v>8.3062789999999902E-4</v>
      </c>
      <c r="AA4338">
        <v>0.99999959999999999</v>
      </c>
      <c r="AB4338">
        <v>34</v>
      </c>
      <c r="AC4338">
        <v>21.3064999999999</v>
      </c>
      <c r="AD4338">
        <v>-1.120881303907</v>
      </c>
      <c r="AE4338">
        <v>-0.49300000000002298</v>
      </c>
      <c r="AF4338">
        <v>8.9404101814337094E-3</v>
      </c>
      <c r="AG4338">
        <v>-1.120881303907</v>
      </c>
      <c r="AH4338">
        <v>21.253412640193101</v>
      </c>
      <c r="AI4338">
        <v>93.018918453608507</v>
      </c>
      <c r="AJ4338">
        <v>89.975898094627397</v>
      </c>
      <c r="AK4338">
        <v>21.2829510097331</v>
      </c>
      <c r="AL4338">
        <v>93.788646001502002</v>
      </c>
      <c r="AM4338">
        <v>90.252379122596295</v>
      </c>
      <c r="AN4338">
        <v>0.99999999827082997</v>
      </c>
    </row>
    <row r="4339" spans="1:40" x14ac:dyDescent="0.25">
      <c r="A4339" t="str">
        <f>"20190303154223377"</f>
        <v>20190303154223377</v>
      </c>
      <c r="B4339" t="str">
        <f>"1551598943373924"</f>
        <v>1551598943373924</v>
      </c>
      <c r="C4339" t="s">
        <v>40</v>
      </c>
      <c r="D4339">
        <v>5.4768499999999998</v>
      </c>
      <c r="E4339">
        <v>0.50198609999999999</v>
      </c>
      <c r="F4339" t="s">
        <v>51</v>
      </c>
      <c r="G4339">
        <v>-294.18619999999999</v>
      </c>
      <c r="H4339" s="1">
        <v>1.636962E-6</v>
      </c>
      <c r="I4339">
        <v>215.06379999999999</v>
      </c>
      <c r="J4339">
        <v>-315.50400000000002</v>
      </c>
      <c r="K4339">
        <v>1.1208640000000001</v>
      </c>
      <c r="L4339">
        <v>215.5633</v>
      </c>
      <c r="M4339">
        <v>0.99963789999999997</v>
      </c>
      <c r="N4339">
        <v>-1.4447049999999999E-2</v>
      </c>
      <c r="O4339">
        <v>-2.2709389999999999E-2</v>
      </c>
      <c r="P4339">
        <v>0.99656820000000002</v>
      </c>
      <c r="Q4339">
        <v>-8.0738889999999994E-2</v>
      </c>
      <c r="R4339">
        <v>-1.8255170000000001E-2</v>
      </c>
      <c r="S4339">
        <v>2.9964599999999999</v>
      </c>
      <c r="T4339">
        <v>-0.15520780000000001</v>
      </c>
      <c r="U4339">
        <v>-7.0190429999999998E-2</v>
      </c>
      <c r="V4339">
        <v>-4.3860920000000003E-3</v>
      </c>
      <c r="W4339">
        <v>-6.6330539999999993E-2</v>
      </c>
      <c r="X4339">
        <v>0.99778809999999996</v>
      </c>
      <c r="Y4339">
        <v>7.2103390000000003E-4</v>
      </c>
      <c r="Z4339">
        <v>8.2336349999999998E-4</v>
      </c>
      <c r="AA4339">
        <v>0.99999939999999998</v>
      </c>
      <c r="AB4339">
        <v>34</v>
      </c>
      <c r="AC4339">
        <v>21.317799999999998</v>
      </c>
      <c r="AD4339">
        <v>-1.1208623630379999</v>
      </c>
      <c r="AE4339">
        <v>-0.49950000000001099</v>
      </c>
      <c r="AF4339">
        <v>1.51645813531753E-2</v>
      </c>
      <c r="AG4339">
        <v>-1.1208623630379999</v>
      </c>
      <c r="AH4339">
        <v>21.2648907303155</v>
      </c>
      <c r="AI4339">
        <v>93.017240560443696</v>
      </c>
      <c r="AJ4339">
        <v>89.959140802868404</v>
      </c>
      <c r="AK4339">
        <v>21.294415703974099</v>
      </c>
      <c r="AL4339">
        <v>93.803252231671806</v>
      </c>
      <c r="AM4339">
        <v>90.251860030708102</v>
      </c>
      <c r="AN4339">
        <v>1.00000003542066</v>
      </c>
    </row>
    <row r="4340" spans="1:40" x14ac:dyDescent="0.25">
      <c r="A4340" t="str">
        <f>"20190303154223402"</f>
        <v>20190303154223402</v>
      </c>
      <c r="B4340" t="str">
        <f>"1551598943394419"</f>
        <v>1551598943394419</v>
      </c>
      <c r="C4340" t="s">
        <v>40</v>
      </c>
      <c r="D4340">
        <v>5.465732</v>
      </c>
      <c r="E4340">
        <v>0.50197230000000004</v>
      </c>
      <c r="F4340" t="s">
        <v>51</v>
      </c>
      <c r="G4340">
        <v>-294.31479999999999</v>
      </c>
      <c r="H4340" s="1">
        <v>1.659777E-6</v>
      </c>
      <c r="I4340">
        <v>215.07749999999999</v>
      </c>
      <c r="J4340">
        <v>-315.13549999999998</v>
      </c>
      <c r="K4340">
        <v>1.1208370000000001</v>
      </c>
      <c r="L4340">
        <v>215.5549</v>
      </c>
      <c r="M4340">
        <v>0.99963970000000002</v>
      </c>
      <c r="N4340">
        <v>-1.431635E-2</v>
      </c>
      <c r="O4340">
        <v>-2.2709300000000002E-2</v>
      </c>
      <c r="P4340">
        <v>0.9965811</v>
      </c>
      <c r="Q4340">
        <v>-8.0512089999999994E-2</v>
      </c>
      <c r="R4340">
        <v>-1.8554890000000001E-2</v>
      </c>
      <c r="S4340">
        <v>2.996216</v>
      </c>
      <c r="T4340">
        <v>-0.1584933</v>
      </c>
      <c r="U4340">
        <v>-6.8695069999999997E-2</v>
      </c>
      <c r="V4340">
        <v>-4.0863749999999997E-3</v>
      </c>
      <c r="W4340">
        <v>-6.6233929999999996E-2</v>
      </c>
      <c r="X4340">
        <v>0.99779580000000001</v>
      </c>
      <c r="Y4340">
        <v>2.2615060000000001E-4</v>
      </c>
      <c r="Z4340">
        <v>8.6755860000000003E-4</v>
      </c>
      <c r="AA4340">
        <v>0.99999959999999999</v>
      </c>
      <c r="AB4340">
        <v>34</v>
      </c>
      <c r="AC4340">
        <v>20.820699999999899</v>
      </c>
      <c r="AD4340">
        <v>-1.120835340223</v>
      </c>
      <c r="AE4340">
        <v>-0.47740000000001698</v>
      </c>
      <c r="AF4340">
        <v>4.3921995167870397E-3</v>
      </c>
      <c r="AG4340">
        <v>-1.120835340223</v>
      </c>
      <c r="AH4340">
        <v>20.766024424192501</v>
      </c>
      <c r="AI4340">
        <v>93.089511913798205</v>
      </c>
      <c r="AJ4340">
        <v>89.987881431409306</v>
      </c>
      <c r="AK4340">
        <v>20.796251141431</v>
      </c>
      <c r="AL4340">
        <v>93.797704649811394</v>
      </c>
      <c r="AM4340">
        <v>90.234647943037899</v>
      </c>
      <c r="AN4340">
        <v>1.00000004522076</v>
      </c>
    </row>
    <row r="4341" spans="1:40" x14ac:dyDescent="0.25">
      <c r="A4341" t="str">
        <f>"20190303154223424"</f>
        <v>20190303154223424</v>
      </c>
      <c r="B4341" t="str">
        <f>"1551598943413940"</f>
        <v>1551598943413940</v>
      </c>
      <c r="C4341" t="s">
        <v>40</v>
      </c>
      <c r="D4341">
        <v>5.4625490000000001</v>
      </c>
      <c r="E4341">
        <v>0.50195710000000004</v>
      </c>
      <c r="F4341" t="s">
        <v>51</v>
      </c>
      <c r="G4341">
        <v>-293.92230000000001</v>
      </c>
      <c r="H4341" s="1">
        <v>1.590153E-6</v>
      </c>
      <c r="I4341">
        <v>215.06120000000001</v>
      </c>
      <c r="J4341">
        <v>-314.78769999999997</v>
      </c>
      <c r="K4341">
        <v>1.1208070000000001</v>
      </c>
      <c r="L4341">
        <v>215.547</v>
      </c>
      <c r="M4341">
        <v>0.99964169999999997</v>
      </c>
      <c r="N4341">
        <v>-1.417567E-2</v>
      </c>
      <c r="O4341">
        <v>-2.2709150000000001E-2</v>
      </c>
      <c r="P4341">
        <v>0.99656330000000004</v>
      </c>
      <c r="Q4341">
        <v>-8.0678269999999996E-2</v>
      </c>
      <c r="R4341">
        <v>-1.8789960000000001E-2</v>
      </c>
      <c r="S4341">
        <v>2.996216</v>
      </c>
      <c r="T4341">
        <v>-0.1583097</v>
      </c>
      <c r="U4341">
        <v>-6.9732669999999997E-2</v>
      </c>
      <c r="V4341">
        <v>-3.850783E-3</v>
      </c>
      <c r="W4341">
        <v>-6.6540639999999998E-2</v>
      </c>
      <c r="X4341">
        <v>0.99777629999999995</v>
      </c>
      <c r="Y4341">
        <v>5.7192019999999905E-4</v>
      </c>
      <c r="Z4341">
        <v>8.5779599999999997E-4</v>
      </c>
      <c r="AA4341">
        <v>0.99999950000000004</v>
      </c>
      <c r="AB4341">
        <v>34</v>
      </c>
      <c r="AC4341">
        <v>20.865399999999902</v>
      </c>
      <c r="AD4341">
        <v>-1.1208054098469999</v>
      </c>
      <c r="AE4341">
        <v>-0.48579999999998302</v>
      </c>
      <c r="AF4341">
        <v>1.1757715779447399E-2</v>
      </c>
      <c r="AG4341">
        <v>-1.1208054098469999</v>
      </c>
      <c r="AH4341">
        <v>20.8110354734327</v>
      </c>
      <c r="AI4341">
        <v>93.082760094330695</v>
      </c>
      <c r="AJ4341">
        <v>89.967629317625295</v>
      </c>
      <c r="AK4341">
        <v>20.841198153827399</v>
      </c>
      <c r="AL4341">
        <v>93.815316806198297</v>
      </c>
      <c r="AM4341">
        <v>90.221124232262</v>
      </c>
      <c r="AN4341">
        <v>1.0000000150715</v>
      </c>
    </row>
    <row r="4342" spans="1:40" x14ac:dyDescent="0.25">
      <c r="A4342" t="str">
        <f>"20190303154223445"</f>
        <v>20190303154223445</v>
      </c>
      <c r="B4342" t="str">
        <f>"1551598943434439"</f>
        <v>1551598943434439</v>
      </c>
      <c r="C4342" t="s">
        <v>40</v>
      </c>
      <c r="D4342">
        <v>5.4717479999999998</v>
      </c>
      <c r="E4342">
        <v>0.50193920000000003</v>
      </c>
      <c r="F4342" t="s">
        <v>51</v>
      </c>
      <c r="G4342">
        <v>-293.74529999999999</v>
      </c>
      <c r="H4342" s="1">
        <v>1.5587589999999999E-6</v>
      </c>
      <c r="I4342">
        <v>215.05420000000001</v>
      </c>
      <c r="J4342">
        <v>-314.47370000000001</v>
      </c>
      <c r="K4342">
        <v>1.1207819999999999</v>
      </c>
      <c r="L4342">
        <v>215.53989999999999</v>
      </c>
      <c r="M4342">
        <v>0.99964359999999997</v>
      </c>
      <c r="N4342">
        <v>-1.4032340000000001E-2</v>
      </c>
      <c r="O4342">
        <v>-2.2709E-2</v>
      </c>
      <c r="P4342">
        <v>0.99653829999999999</v>
      </c>
      <c r="Q4342">
        <v>-8.0790070000000005E-2</v>
      </c>
      <c r="R4342">
        <v>-1.960607E-2</v>
      </c>
      <c r="S4342">
        <v>2.9960939999999998</v>
      </c>
      <c r="T4342">
        <v>-0.15958449999999999</v>
      </c>
      <c r="U4342">
        <v>-7.0175169999999995E-2</v>
      </c>
      <c r="V4342">
        <v>-3.0338209999999999E-3</v>
      </c>
      <c r="W4342">
        <v>-6.6795610000000005E-2</v>
      </c>
      <c r="X4342">
        <v>0.99776209999999999</v>
      </c>
      <c r="Y4342">
        <v>7.2090289999999905E-4</v>
      </c>
      <c r="Z4342">
        <v>8.6564170000000002E-4</v>
      </c>
      <c r="AA4342">
        <v>0.99999930000000004</v>
      </c>
      <c r="AB4342">
        <v>34</v>
      </c>
      <c r="AC4342">
        <v>20.728400000000001</v>
      </c>
      <c r="AD4342">
        <v>-1.1207804412409901</v>
      </c>
      <c r="AE4342">
        <v>-0.48569999999997998</v>
      </c>
      <c r="AF4342">
        <v>1.47639798541948E-2</v>
      </c>
      <c r="AG4342">
        <v>-1.1207804412409901</v>
      </c>
      <c r="AH4342">
        <v>20.6736770775778</v>
      </c>
      <c r="AI4342">
        <v>93.1031331312399</v>
      </c>
      <c r="AJ4342">
        <v>89.959082576965699</v>
      </c>
      <c r="AK4342">
        <v>20.704040443366001</v>
      </c>
      <c r="AL4342">
        <v>93.829958016404106</v>
      </c>
      <c r="AM4342">
        <v>90.174214477986794</v>
      </c>
      <c r="AN4342">
        <v>1.0000000328907701</v>
      </c>
    </row>
    <row r="4343" spans="1:40" x14ac:dyDescent="0.25">
      <c r="A4343" t="str">
        <f>"20190303154223466"</f>
        <v>20190303154223466</v>
      </c>
      <c r="B4343" t="str">
        <f>"1551598943453955"</f>
        <v>1551598943453955</v>
      </c>
      <c r="C4343" t="s">
        <v>40</v>
      </c>
      <c r="D4343">
        <v>5.4780730000000002</v>
      </c>
      <c r="E4343">
        <v>0.50197539999999996</v>
      </c>
      <c r="F4343" t="s">
        <v>51</v>
      </c>
      <c r="G4343">
        <v>-293.50259999999997</v>
      </c>
      <c r="H4343" s="1">
        <v>1.51571E-6</v>
      </c>
      <c r="I4343">
        <v>215.0317</v>
      </c>
      <c r="J4343">
        <v>-314.13819999999998</v>
      </c>
      <c r="K4343">
        <v>1.1207549999999999</v>
      </c>
      <c r="L4343">
        <v>215.53229999999999</v>
      </c>
      <c r="M4343">
        <v>0.99964609999999998</v>
      </c>
      <c r="N4343">
        <v>-1.3861399999999999E-2</v>
      </c>
      <c r="O4343">
        <v>-2.2709259999999998E-2</v>
      </c>
      <c r="P4343">
        <v>0.9965231</v>
      </c>
      <c r="Q4343">
        <v>-8.0889370000000002E-2</v>
      </c>
      <c r="R4343">
        <v>-1.9972920000000002E-2</v>
      </c>
      <c r="S4343">
        <v>2.9960019999999998</v>
      </c>
      <c r="T4343">
        <v>-0.16011819999999999</v>
      </c>
      <c r="U4343">
        <v>-7.2601319999999997E-2</v>
      </c>
      <c r="V4343">
        <v>-2.6674289999999998E-3</v>
      </c>
      <c r="W4343">
        <v>-6.7065540000000007E-2</v>
      </c>
      <c r="X4343">
        <v>0.99774499999999999</v>
      </c>
      <c r="Y4343">
        <v>1.52960799999999E-3</v>
      </c>
      <c r="Z4343">
        <v>8.4638929999999904E-4</v>
      </c>
      <c r="AA4343">
        <v>0.99999850000000001</v>
      </c>
      <c r="AB4343">
        <v>34</v>
      </c>
      <c r="AC4343">
        <v>20.6356</v>
      </c>
      <c r="AD4343">
        <v>-1.12075348429</v>
      </c>
      <c r="AE4343">
        <v>-0.50059999999999105</v>
      </c>
      <c r="AF4343">
        <v>3.1713193881168403E-2</v>
      </c>
      <c r="AG4343">
        <v>-1.12075348429</v>
      </c>
      <c r="AH4343">
        <v>20.5809735111165</v>
      </c>
      <c r="AI4343">
        <v>93.117005451611305</v>
      </c>
      <c r="AJ4343">
        <v>89.911713081735897</v>
      </c>
      <c r="AK4343">
        <v>20.611491085423499</v>
      </c>
      <c r="AL4343">
        <v>93.845458775701701</v>
      </c>
      <c r="AM4343">
        <v>90.153177474941401</v>
      </c>
      <c r="AN4343">
        <v>0.99999999342898005</v>
      </c>
    </row>
    <row r="4344" spans="1:40" x14ac:dyDescent="0.25">
      <c r="A4344" t="str">
        <f>"20190303154223490"</f>
        <v>20190303154223490</v>
      </c>
      <c r="B4344" t="str">
        <f>"1551598943484212"</f>
        <v>1551598943484212</v>
      </c>
      <c r="C4344" t="s">
        <v>40</v>
      </c>
      <c r="D4344">
        <v>5.4634919999999996</v>
      </c>
      <c r="E4344">
        <v>0.50176469999999995</v>
      </c>
      <c r="F4344" t="s">
        <v>51</v>
      </c>
      <c r="G4344">
        <v>-293.27999999999997</v>
      </c>
      <c r="H4344" s="1">
        <v>1.476234E-6</v>
      </c>
      <c r="I4344">
        <v>215.01660000000001</v>
      </c>
      <c r="J4344">
        <v>-313.79770000000002</v>
      </c>
      <c r="K4344">
        <v>1.120722</v>
      </c>
      <c r="L4344">
        <v>215.52459999999999</v>
      </c>
      <c r="M4344">
        <v>0.99964869999999995</v>
      </c>
      <c r="N4344">
        <v>-1.367438E-2</v>
      </c>
      <c r="O4344">
        <v>-2.2708949999999999E-2</v>
      </c>
      <c r="P4344">
        <v>0.99647719999999995</v>
      </c>
      <c r="Q4344">
        <v>-8.1374210000000002E-2</v>
      </c>
      <c r="R4344">
        <v>-2.028454E-2</v>
      </c>
      <c r="S4344">
        <v>2.995911</v>
      </c>
      <c r="T4344">
        <v>-0.160976799999999</v>
      </c>
      <c r="U4344">
        <v>-7.4066160000000006E-2</v>
      </c>
      <c r="V4344">
        <v>-2.3542699999999999E-3</v>
      </c>
      <c r="W4344">
        <v>-6.7737510000000001E-2</v>
      </c>
      <c r="X4344">
        <v>0.99770040000000004</v>
      </c>
      <c r="Y4344">
        <v>2.0188910000000001E-3</v>
      </c>
      <c r="Z4344">
        <v>8.4058780000000001E-4</v>
      </c>
      <c r="AA4344">
        <v>0.99999760000000004</v>
      </c>
      <c r="AB4344">
        <v>34</v>
      </c>
      <c r="AC4344">
        <v>20.517700000000001</v>
      </c>
      <c r="AD4344">
        <v>-1.1207205237660001</v>
      </c>
      <c r="AE4344">
        <v>-0.50799999999998102</v>
      </c>
      <c r="AF4344">
        <v>4.1765494240287103E-2</v>
      </c>
      <c r="AG4344">
        <v>-1.1207205237660001</v>
      </c>
      <c r="AH4344">
        <v>20.462929770886898</v>
      </c>
      <c r="AI4344">
        <v>93.134855826730799</v>
      </c>
      <c r="AJ4344">
        <v>89.883057643595606</v>
      </c>
      <c r="AK4344">
        <v>20.493639346322801</v>
      </c>
      <c r="AL4344">
        <v>93.884047547702906</v>
      </c>
      <c r="AM4344">
        <v>90.135200391292003</v>
      </c>
      <c r="AN4344">
        <v>1.00000000050419</v>
      </c>
    </row>
    <row r="4345" spans="1:40" x14ac:dyDescent="0.25">
      <c r="A4345" t="str">
        <f>"20190303154223512"</f>
        <v>20190303154223512</v>
      </c>
      <c r="B4345" t="str">
        <f>"1551598943504707"</f>
        <v>1551598943504707</v>
      </c>
      <c r="C4345" t="s">
        <v>40</v>
      </c>
      <c r="D4345">
        <v>5.48773</v>
      </c>
      <c r="E4345">
        <v>0.50165919999999997</v>
      </c>
      <c r="F4345" t="s">
        <v>51</v>
      </c>
      <c r="G4345">
        <v>-293.34010000000001</v>
      </c>
      <c r="H4345" s="1">
        <v>1.486887E-6</v>
      </c>
      <c r="I4345">
        <v>215.02330000000001</v>
      </c>
      <c r="J4345">
        <v>-313.45209999999997</v>
      </c>
      <c r="K4345">
        <v>1.1207039999999999</v>
      </c>
      <c r="L4345">
        <v>215.51669999999999</v>
      </c>
      <c r="M4345">
        <v>0.99965139999999997</v>
      </c>
      <c r="N4345">
        <v>-1.3478560000000001E-2</v>
      </c>
      <c r="O4345">
        <v>-2.2708840000000001E-2</v>
      </c>
      <c r="P4345">
        <v>0.99650870000000003</v>
      </c>
      <c r="Q4345">
        <v>-8.1033240000000006E-2</v>
      </c>
      <c r="R4345">
        <v>-2.010263E-2</v>
      </c>
      <c r="S4345">
        <v>2.9957280000000002</v>
      </c>
      <c r="T4345">
        <v>-0.16411400000000001</v>
      </c>
      <c r="U4345">
        <v>-7.3394780000000007E-2</v>
      </c>
      <c r="V4345">
        <v>-2.5365040000000002E-3</v>
      </c>
      <c r="W4345">
        <v>-6.7591589999999993E-2</v>
      </c>
      <c r="X4345">
        <v>0.99770990000000004</v>
      </c>
      <c r="Y4345">
        <v>1.798036E-3</v>
      </c>
      <c r="Z4345">
        <v>8.7551039999999897E-4</v>
      </c>
      <c r="AA4345">
        <v>0.99999800000000005</v>
      </c>
      <c r="AB4345">
        <v>34</v>
      </c>
      <c r="AC4345">
        <v>20.111999999999899</v>
      </c>
      <c r="AD4345">
        <v>-1.120702513113</v>
      </c>
      <c r="AE4345">
        <v>-0.49339999999997902</v>
      </c>
      <c r="AF4345">
        <v>3.6398171579981299E-2</v>
      </c>
      <c r="AG4345">
        <v>-1.120702513113</v>
      </c>
      <c r="AH4345">
        <v>20.055781183679901</v>
      </c>
      <c r="AI4345">
        <v>93.198315222316197</v>
      </c>
      <c r="AJ4345">
        <v>89.896017048409902</v>
      </c>
      <c r="AK4345">
        <v>20.087101777943001</v>
      </c>
      <c r="AL4345">
        <v>93.875667547176107</v>
      </c>
      <c r="AM4345">
        <v>90.145664246498299</v>
      </c>
      <c r="AN4345">
        <v>1.0000000507246301</v>
      </c>
    </row>
    <row r="4346" spans="1:40" x14ac:dyDescent="0.25">
      <c r="A4346" t="str">
        <f>"20190303154223534"</f>
        <v>20190303154223534</v>
      </c>
      <c r="B4346" t="str">
        <f>"1551598943524227"</f>
        <v>1551598943524227</v>
      </c>
      <c r="C4346" t="s">
        <v>40</v>
      </c>
      <c r="D4346">
        <v>5.4888849999999998</v>
      </c>
      <c r="E4346">
        <v>0.50156179999999995</v>
      </c>
      <c r="F4346" t="s">
        <v>51</v>
      </c>
      <c r="G4346">
        <v>-293.04719999999998</v>
      </c>
      <c r="H4346" s="1">
        <v>1.4349349999999999E-6</v>
      </c>
      <c r="I4346">
        <v>215.02590000000001</v>
      </c>
      <c r="J4346">
        <v>-313.11</v>
      </c>
      <c r="K4346">
        <v>1.120681</v>
      </c>
      <c r="L4346">
        <v>215.50890000000001</v>
      </c>
      <c r="M4346">
        <v>0.99965389999999998</v>
      </c>
      <c r="N4346">
        <v>-1.328173E-2</v>
      </c>
      <c r="O4346">
        <v>-2.2708619999999999E-2</v>
      </c>
      <c r="P4346">
        <v>0.99657059999999997</v>
      </c>
      <c r="Q4346">
        <v>-8.0329659999999997E-2</v>
      </c>
      <c r="R4346">
        <v>-1.985978E-2</v>
      </c>
      <c r="S4346">
        <v>2.9956670000000001</v>
      </c>
      <c r="T4346">
        <v>-0.16453139999999999</v>
      </c>
      <c r="U4346">
        <v>-7.2052000000000005E-2</v>
      </c>
      <c r="V4346">
        <v>-2.7811329999999999E-3</v>
      </c>
      <c r="W4346">
        <v>-6.7083699999999996E-2</v>
      </c>
      <c r="X4346">
        <v>0.99774350000000001</v>
      </c>
      <c r="Y4346">
        <v>1.351985E-3</v>
      </c>
      <c r="Z4346">
        <v>8.9841390000000001E-4</v>
      </c>
      <c r="AA4346">
        <v>0.99999870000000002</v>
      </c>
      <c r="AB4346">
        <v>34</v>
      </c>
      <c r="AC4346">
        <v>20.062799999999999</v>
      </c>
      <c r="AD4346">
        <v>-1.1206795650650001</v>
      </c>
      <c r="AE4346">
        <v>-0.48300000000000398</v>
      </c>
      <c r="AF4346">
        <v>2.71520644449793E-2</v>
      </c>
      <c r="AG4346">
        <v>-1.1206795650650001</v>
      </c>
      <c r="AH4346">
        <v>20.006207808524199</v>
      </c>
      <c r="AI4346">
        <v>93.206160619734803</v>
      </c>
      <c r="AJ4346">
        <v>89.922239249062798</v>
      </c>
      <c r="AK4346">
        <v>20.037589944901399</v>
      </c>
      <c r="AL4346">
        <v>93.846501495309795</v>
      </c>
      <c r="AM4346">
        <v>90.159707149655006</v>
      </c>
      <c r="AN4346">
        <v>1.0000000246493499</v>
      </c>
    </row>
    <row r="4347" spans="1:40" x14ac:dyDescent="0.25">
      <c r="A4347" t="str">
        <f>"20190303154223556"</f>
        <v>20190303154223556</v>
      </c>
      <c r="B4347" t="str">
        <f>"1551598943543879"</f>
        <v>1551598943543879</v>
      </c>
      <c r="C4347" t="s">
        <v>40</v>
      </c>
      <c r="D4347">
        <v>5.4552239999999896</v>
      </c>
      <c r="E4347">
        <v>0.50137419999999999</v>
      </c>
      <c r="F4347" t="s">
        <v>51</v>
      </c>
      <c r="G4347">
        <v>-292.55900000000003</v>
      </c>
      <c r="H4347" s="1">
        <v>1.3483240000000001E-6</v>
      </c>
      <c r="I4347">
        <v>215.02539999999999</v>
      </c>
      <c r="J4347">
        <v>-312.77749999999997</v>
      </c>
      <c r="K4347">
        <v>1.120657</v>
      </c>
      <c r="L4347">
        <v>215.50139999999999</v>
      </c>
      <c r="M4347">
        <v>0.9996564</v>
      </c>
      <c r="N4347">
        <v>-1.3090279999999999E-2</v>
      </c>
      <c r="O4347">
        <v>-2.270834E-2</v>
      </c>
      <c r="P4347">
        <v>0.9966102</v>
      </c>
      <c r="Q4347">
        <v>-7.9876669999999997E-2</v>
      </c>
      <c r="R4347">
        <v>-1.969951E-2</v>
      </c>
      <c r="S4347">
        <v>2.9957579999999999</v>
      </c>
      <c r="T4347">
        <v>-0.16336349999999999</v>
      </c>
      <c r="U4347">
        <v>-7.0480349999999997E-2</v>
      </c>
      <c r="V4347">
        <v>-2.9415159999999999E-3</v>
      </c>
      <c r="W4347">
        <v>-6.6821309999999995E-2</v>
      </c>
      <c r="X4347">
        <v>0.9977606</v>
      </c>
      <c r="Y4347">
        <v>8.2807780000000004E-4</v>
      </c>
      <c r="Z4347">
        <v>9.1198379999999995E-4</v>
      </c>
      <c r="AA4347">
        <v>0.99999919999999998</v>
      </c>
      <c r="AB4347">
        <v>34</v>
      </c>
      <c r="AC4347">
        <v>20.218499999999899</v>
      </c>
      <c r="AD4347">
        <v>-1.120655651676</v>
      </c>
      <c r="AE4347">
        <v>-0.47599999999999898</v>
      </c>
      <c r="AF4347">
        <v>1.6658157777829901E-2</v>
      </c>
      <c r="AG4347">
        <v>-1.120655651676</v>
      </c>
      <c r="AH4347">
        <v>20.162187970280002</v>
      </c>
      <c r="AI4347">
        <v>93.181342133204893</v>
      </c>
      <c r="AJ4347">
        <v>89.952661788523798</v>
      </c>
      <c r="AK4347">
        <v>20.193314991173601</v>
      </c>
      <c r="AL4347">
        <v>93.831434027827299</v>
      </c>
      <c r="AM4347">
        <v>90.168914230427802</v>
      </c>
      <c r="AN4347">
        <v>0.99999997744942604</v>
      </c>
    </row>
    <row r="4348" spans="1:40" x14ac:dyDescent="0.25">
      <c r="A4348" t="str">
        <f>"20190303154223579"</f>
        <v>20190303154223579</v>
      </c>
      <c r="B4348" t="str">
        <f>"1551598943574135"</f>
        <v>1551598943574135</v>
      </c>
      <c r="C4348" t="s">
        <v>40</v>
      </c>
      <c r="D4348">
        <v>5.6363909999999997</v>
      </c>
      <c r="E4348">
        <v>0.50118320000000005</v>
      </c>
      <c r="F4348" t="s">
        <v>51</v>
      </c>
      <c r="G4348">
        <v>-292.06529999999998</v>
      </c>
      <c r="H4348" s="1">
        <v>1.260761E-6</v>
      </c>
      <c r="I4348">
        <v>215.02760000000001</v>
      </c>
      <c r="J4348">
        <v>-312.43669999999997</v>
      </c>
      <c r="K4348">
        <v>1.120636</v>
      </c>
      <c r="L4348">
        <v>215.49359999999999</v>
      </c>
      <c r="M4348">
        <v>0.99965910000000002</v>
      </c>
      <c r="N4348">
        <v>-1.288916E-2</v>
      </c>
      <c r="O4348">
        <v>-2.270813E-2</v>
      </c>
      <c r="P4348">
        <v>0.99667220000000001</v>
      </c>
      <c r="Q4348">
        <v>-7.9267149999999995E-2</v>
      </c>
      <c r="R4348">
        <v>-1.9012660000000001E-2</v>
      </c>
      <c r="S4348">
        <v>2.9958499999999999</v>
      </c>
      <c r="T4348">
        <v>-0.16209399999999999</v>
      </c>
      <c r="U4348">
        <v>-6.852722E-2</v>
      </c>
      <c r="V4348">
        <v>-3.6295770000000002E-3</v>
      </c>
      <c r="W4348">
        <v>-6.6411899999999996E-2</v>
      </c>
      <c r="X4348">
        <v>0.9977857</v>
      </c>
      <c r="Y4348">
        <v>1.7702789999999999E-4</v>
      </c>
      <c r="Z4348">
        <v>9.2896880000000002E-4</v>
      </c>
      <c r="AA4348">
        <v>0.99999950000000004</v>
      </c>
      <c r="AB4348">
        <v>34</v>
      </c>
      <c r="AC4348">
        <v>20.371399999999898</v>
      </c>
      <c r="AD4348">
        <v>-1.1206347392389999</v>
      </c>
      <c r="AE4348">
        <v>-0.46599999999997899</v>
      </c>
      <c r="AF4348">
        <v>3.2352254389043599E-3</v>
      </c>
      <c r="AG4348">
        <v>-1.1206347392389999</v>
      </c>
      <c r="AH4348">
        <v>20.3152845938002</v>
      </c>
      <c r="AI4348">
        <v>93.157358365261203</v>
      </c>
      <c r="AJ4348">
        <v>89.990875601028307</v>
      </c>
      <c r="AK4348">
        <v>20.346169684060101</v>
      </c>
      <c r="AL4348">
        <v>93.807924219510298</v>
      </c>
      <c r="AM4348">
        <v>90.208420030733905</v>
      </c>
      <c r="AN4348">
        <v>1.0000000087076399</v>
      </c>
    </row>
    <row r="4349" spans="1:40" x14ac:dyDescent="0.25">
      <c r="A4349" t="str">
        <f>"20190303154223602"</f>
        <v>20190303154223602</v>
      </c>
      <c r="B4349" t="str">
        <f>"1551598943594630"</f>
        <v>1551598943594630</v>
      </c>
      <c r="C4349" t="s">
        <v>40</v>
      </c>
      <c r="D4349">
        <v>5.5488819999999999</v>
      </c>
      <c r="E4349">
        <v>0.5009034</v>
      </c>
      <c r="F4349" t="s">
        <v>51</v>
      </c>
      <c r="G4349">
        <v>-291.7448</v>
      </c>
      <c r="H4349" s="1">
        <v>1.2038969999999999E-6</v>
      </c>
      <c r="I4349">
        <v>215.0462</v>
      </c>
      <c r="J4349">
        <v>-312.07159999999999</v>
      </c>
      <c r="K4349">
        <v>1.1206149999999999</v>
      </c>
      <c r="L4349">
        <v>215.4853</v>
      </c>
      <c r="M4349">
        <v>0.99966189999999999</v>
      </c>
      <c r="N4349">
        <v>-1.2678419999999999E-2</v>
      </c>
      <c r="O4349">
        <v>-2.2707999999999999E-2</v>
      </c>
      <c r="P4349">
        <v>0.9966642</v>
      </c>
      <c r="Q4349">
        <v>-7.9425979999999993E-2</v>
      </c>
      <c r="R4349">
        <v>-1.8763080000000001E-2</v>
      </c>
      <c r="S4349">
        <v>2.9958800000000001</v>
      </c>
      <c r="T4349">
        <v>-0.16225100000000001</v>
      </c>
      <c r="U4349">
        <v>-6.4788819999999997E-2</v>
      </c>
      <c r="V4349">
        <v>-3.8783149999999998E-3</v>
      </c>
      <c r="W4349">
        <v>-6.6781209999999994E-2</v>
      </c>
      <c r="X4349">
        <v>0.99776010000000004</v>
      </c>
      <c r="Y4349">
        <v>-1.067744E-3</v>
      </c>
      <c r="Z4349">
        <v>9.7653279999999996E-4</v>
      </c>
      <c r="AA4349">
        <v>0.99999890000000002</v>
      </c>
      <c r="AB4349">
        <v>34</v>
      </c>
      <c r="AC4349">
        <v>20.326799999999899</v>
      </c>
      <c r="AD4349">
        <v>-1.1206137961029901</v>
      </c>
      <c r="AE4349">
        <v>-0.43909999999999599</v>
      </c>
      <c r="AF4349">
        <v>-2.2562706674567199E-2</v>
      </c>
      <c r="AG4349">
        <v>-1.1206137961029901</v>
      </c>
      <c r="AH4349">
        <v>20.269951799011299</v>
      </c>
      <c r="AI4349">
        <v>93.164344379823902</v>
      </c>
      <c r="AJ4349">
        <v>90.063776537100395</v>
      </c>
      <c r="AK4349">
        <v>20.3009169815058</v>
      </c>
      <c r="AL4349">
        <v>93.829131259063303</v>
      </c>
      <c r="AM4349">
        <v>90.222708807465906</v>
      </c>
      <c r="AN4349">
        <v>0.99999999424415598</v>
      </c>
    </row>
    <row r="4350" spans="1:40" x14ac:dyDescent="0.25">
      <c r="A4350" t="str">
        <f>"20190303154223624"</f>
        <v>20190303154223624</v>
      </c>
      <c r="B4350" t="str">
        <f>"1551598943614150"</f>
        <v>1551598943614150</v>
      </c>
      <c r="C4350" t="s">
        <v>40</v>
      </c>
      <c r="D4350">
        <v>5.4951169999999996</v>
      </c>
      <c r="E4350">
        <v>0.50075449999999999</v>
      </c>
      <c r="F4350" t="s">
        <v>51</v>
      </c>
      <c r="G4350">
        <v>-291.798</v>
      </c>
      <c r="H4350" s="1">
        <v>1.213341E-6</v>
      </c>
      <c r="I4350">
        <v>215.06710000000001</v>
      </c>
      <c r="J4350">
        <v>-311.72770000000003</v>
      </c>
      <c r="K4350">
        <v>1.120592</v>
      </c>
      <c r="L4350">
        <v>215.47749999999999</v>
      </c>
      <c r="M4350">
        <v>0.99966429999999995</v>
      </c>
      <c r="N4350">
        <v>-1.248639E-2</v>
      </c>
      <c r="O4350">
        <v>-2.2707890000000001E-2</v>
      </c>
      <c r="P4350">
        <v>0.99666790000000005</v>
      </c>
      <c r="Q4350">
        <v>-7.9428209999999999E-2</v>
      </c>
      <c r="R4350">
        <v>-1.8566740000000002E-2</v>
      </c>
      <c r="S4350">
        <v>2.9956969999999998</v>
      </c>
      <c r="T4350">
        <v>-0.1655856</v>
      </c>
      <c r="U4350">
        <v>-6.1798100000000002E-2</v>
      </c>
      <c r="V4350">
        <v>-4.0747550000000002E-3</v>
      </c>
      <c r="W4350">
        <v>-6.6975019999999996E-2</v>
      </c>
      <c r="X4350">
        <v>0.99774629999999997</v>
      </c>
      <c r="Y4350">
        <v>-2.0609729999999998E-3</v>
      </c>
      <c r="Z4350">
        <v>1.0403260000000001E-3</v>
      </c>
      <c r="AA4350">
        <v>0.99999729999999998</v>
      </c>
      <c r="AB4350">
        <v>34</v>
      </c>
      <c r="AC4350">
        <v>19.9297</v>
      </c>
      <c r="AD4350">
        <v>-1.1205907866589999</v>
      </c>
      <c r="AE4350">
        <v>-0.410399999999981</v>
      </c>
      <c r="AF4350">
        <v>-4.2169237354752802E-2</v>
      </c>
      <c r="AG4350">
        <v>-1.1205907866589999</v>
      </c>
      <c r="AH4350">
        <v>19.8710845065253</v>
      </c>
      <c r="AI4350">
        <v>93.227657096908402</v>
      </c>
      <c r="AJ4350">
        <v>90.121589523608804</v>
      </c>
      <c r="AK4350">
        <v>19.9027008574514</v>
      </c>
      <c r="AL4350">
        <v>93.840260771978606</v>
      </c>
      <c r="AM4350">
        <v>90.233992314569207</v>
      </c>
      <c r="AN4350">
        <v>0.99999996804799896</v>
      </c>
    </row>
    <row r="4351" spans="1:40" x14ac:dyDescent="0.25">
      <c r="A4351" t="str">
        <f>"20190303154223646"</f>
        <v>20190303154223646</v>
      </c>
      <c r="B4351" t="str">
        <f>"1551598943634177"</f>
        <v>1551598943634177</v>
      </c>
      <c r="C4351" t="s">
        <v>40</v>
      </c>
      <c r="D4351">
        <v>5.5479089999999998</v>
      </c>
      <c r="E4351">
        <v>0.50064579999999903</v>
      </c>
      <c r="F4351" t="s">
        <v>51</v>
      </c>
      <c r="G4351">
        <v>-291.60930000000002</v>
      </c>
      <c r="H4351" s="1">
        <v>1.1798760000000001E-6</v>
      </c>
      <c r="I4351">
        <v>215.0719</v>
      </c>
      <c r="J4351">
        <v>-311.399</v>
      </c>
      <c r="K4351">
        <v>1.1205670000000001</v>
      </c>
      <c r="L4351">
        <v>215.47</v>
      </c>
      <c r="M4351">
        <v>0.99966650000000001</v>
      </c>
      <c r="N4351">
        <v>-1.2307780000000001E-2</v>
      </c>
      <c r="O4351">
        <v>-2.2707640000000001E-2</v>
      </c>
      <c r="P4351">
        <v>0.99667640000000002</v>
      </c>
      <c r="Q4351">
        <v>-7.9406959999999999E-2</v>
      </c>
      <c r="R4351">
        <v>-1.818465E-2</v>
      </c>
      <c r="S4351">
        <v>2.9956360000000002</v>
      </c>
      <c r="T4351">
        <v>-0.16685630000000001</v>
      </c>
      <c r="U4351">
        <v>-6.0394290000000003E-2</v>
      </c>
      <c r="V4351">
        <v>-4.4567440000000003E-3</v>
      </c>
      <c r="W4351">
        <v>-6.7131990000000002E-2</v>
      </c>
      <c r="X4351">
        <v>0.99773409999999996</v>
      </c>
      <c r="Y4351">
        <v>-2.527156E-3</v>
      </c>
      <c r="Z4351">
        <v>1.0701090000000001E-3</v>
      </c>
      <c r="AA4351">
        <v>0.9999962</v>
      </c>
      <c r="AB4351">
        <v>34</v>
      </c>
      <c r="AC4351">
        <v>19.7896999999999</v>
      </c>
      <c r="AD4351">
        <v>-1.1205658201240001</v>
      </c>
      <c r="AE4351">
        <v>-0.39809999999999901</v>
      </c>
      <c r="AF4351">
        <v>-5.1249785285850002E-2</v>
      </c>
      <c r="AG4351">
        <v>-1.1205658201240001</v>
      </c>
      <c r="AH4351">
        <v>19.7304021575532</v>
      </c>
      <c r="AI4351">
        <v>93.250545956833193</v>
      </c>
      <c r="AJ4351">
        <v>90.148825643310801</v>
      </c>
      <c r="AK4351">
        <v>19.762263625316301</v>
      </c>
      <c r="AL4351">
        <v>93.849274845621807</v>
      </c>
      <c r="AM4351">
        <v>90.255930836933302</v>
      </c>
      <c r="AN4351">
        <v>0.99999995047562396</v>
      </c>
    </row>
    <row r="4352" spans="1:40" x14ac:dyDescent="0.25">
      <c r="A4352" t="str">
        <f>"20190303154223668"</f>
        <v>20190303154223668</v>
      </c>
      <c r="B4352" t="str">
        <f>"1551598943664432"</f>
        <v>1551598943664432</v>
      </c>
      <c r="C4352" t="s">
        <v>40</v>
      </c>
      <c r="D4352">
        <v>5.5999650000000001</v>
      </c>
      <c r="E4352">
        <v>0.50056400000000001</v>
      </c>
      <c r="F4352" t="s">
        <v>51</v>
      </c>
      <c r="G4352">
        <v>-291.40600000000001</v>
      </c>
      <c r="H4352" s="1">
        <v>1.143816E-6</v>
      </c>
      <c r="I4352">
        <v>215.08029999999999</v>
      </c>
      <c r="J4352">
        <v>-311.07060000000001</v>
      </c>
      <c r="K4352">
        <v>1.120549</v>
      </c>
      <c r="L4352">
        <v>215.46260000000001</v>
      </c>
      <c r="M4352">
        <v>0.99966849999999996</v>
      </c>
      <c r="N4352">
        <v>-1.2137459999999999E-2</v>
      </c>
      <c r="O4352">
        <v>-2.270757E-2</v>
      </c>
      <c r="P4352">
        <v>0.99664660000000005</v>
      </c>
      <c r="Q4352">
        <v>-7.9762050000000001E-2</v>
      </c>
      <c r="R4352">
        <v>-1.826668E-2</v>
      </c>
      <c r="S4352">
        <v>2.9955750000000001</v>
      </c>
      <c r="T4352">
        <v>-0.1678962</v>
      </c>
      <c r="U4352">
        <v>-5.8395389999999998E-2</v>
      </c>
      <c r="V4352">
        <v>-4.3742829999999996E-3</v>
      </c>
      <c r="W4352">
        <v>-6.7657339999999996E-2</v>
      </c>
      <c r="X4352">
        <v>0.997699</v>
      </c>
      <c r="Y4352">
        <v>-3.1918250000000001E-3</v>
      </c>
      <c r="Z4352">
        <v>1.1047450000000001E-3</v>
      </c>
      <c r="AA4352">
        <v>0.9999943</v>
      </c>
      <c r="AB4352">
        <v>34</v>
      </c>
      <c r="AC4352">
        <v>19.6646</v>
      </c>
      <c r="AD4352">
        <v>-1.1205478561839901</v>
      </c>
      <c r="AE4352">
        <v>-0.38230000000001402</v>
      </c>
      <c r="AF4352">
        <v>-6.4158504916895398E-2</v>
      </c>
      <c r="AG4352">
        <v>-1.1205478561839901</v>
      </c>
      <c r="AH4352">
        <v>19.6045772491962</v>
      </c>
      <c r="AI4352">
        <v>93.271304448862395</v>
      </c>
      <c r="AJ4352">
        <v>90.187507151084205</v>
      </c>
      <c r="AK4352">
        <v>19.636679783798801</v>
      </c>
      <c r="AL4352">
        <v>93.879443692662704</v>
      </c>
      <c r="AM4352">
        <v>90.251204369652498</v>
      </c>
      <c r="AN4352">
        <v>0.99999997230431903</v>
      </c>
    </row>
    <row r="4353" spans="1:40" x14ac:dyDescent="0.25">
      <c r="A4353" t="str">
        <f>"20190303154223690"</f>
        <v>20190303154223690</v>
      </c>
      <c r="B4353" t="str">
        <f>"1551598943683952"</f>
        <v>1551598943683952</v>
      </c>
      <c r="C4353" t="s">
        <v>40</v>
      </c>
      <c r="D4353">
        <v>5.5913069999999996</v>
      </c>
      <c r="E4353">
        <v>0.50052200000000002</v>
      </c>
      <c r="F4353" t="s">
        <v>51</v>
      </c>
      <c r="G4353">
        <v>-291.34589999999997</v>
      </c>
      <c r="H4353" s="1">
        <v>1.1331410000000001E-6</v>
      </c>
      <c r="I4353">
        <v>215.08070000000001</v>
      </c>
      <c r="J4353">
        <v>-310.71710000000002</v>
      </c>
      <c r="K4353">
        <v>1.1205339999999999</v>
      </c>
      <c r="L4353">
        <v>215.4546</v>
      </c>
      <c r="M4353">
        <v>0.99967059999999996</v>
      </c>
      <c r="N4353">
        <v>-1.196267E-2</v>
      </c>
      <c r="O4353">
        <v>-2.2707249999999998E-2</v>
      </c>
      <c r="P4353">
        <v>0.99664280000000005</v>
      </c>
      <c r="Q4353">
        <v>-7.9717049999999998E-2</v>
      </c>
      <c r="R4353">
        <v>-1.8673260000000001E-2</v>
      </c>
      <c r="S4353">
        <v>2.995422</v>
      </c>
      <c r="T4353">
        <v>-0.17016719999999999</v>
      </c>
      <c r="U4353">
        <v>-5.799866E-2</v>
      </c>
      <c r="V4353">
        <v>-3.9670130000000001E-3</v>
      </c>
      <c r="W4353">
        <v>-6.7786669999999993E-2</v>
      </c>
      <c r="X4353">
        <v>0.99769189999999996</v>
      </c>
      <c r="Y4353">
        <v>-3.3215319999999999E-3</v>
      </c>
      <c r="Z4353">
        <v>1.131333E-3</v>
      </c>
      <c r="AA4353">
        <v>0.99999389999999999</v>
      </c>
      <c r="AB4353">
        <v>34</v>
      </c>
      <c r="AC4353">
        <v>19.371200000000002</v>
      </c>
      <c r="AD4353">
        <v>-1.120532866859</v>
      </c>
      <c r="AE4353">
        <v>-0.37389999999999102</v>
      </c>
      <c r="AF4353">
        <v>-6.5874233899980497E-2</v>
      </c>
      <c r="AG4353">
        <v>-1.120532866859</v>
      </c>
      <c r="AH4353">
        <v>19.310106336372801</v>
      </c>
      <c r="AI4353">
        <v>93.321033761301393</v>
      </c>
      <c r="AJ4353">
        <v>90.195457284087993</v>
      </c>
      <c r="AK4353">
        <v>19.342702501006102</v>
      </c>
      <c r="AL4353">
        <v>93.886870899366301</v>
      </c>
      <c r="AM4353">
        <v>90.227817730447001</v>
      </c>
      <c r="AN4353">
        <v>0.99999994857371899</v>
      </c>
    </row>
    <row r="4354" spans="1:40" x14ac:dyDescent="0.25">
      <c r="A4354" t="str">
        <f>"20190303154223713"</f>
        <v>20190303154223713</v>
      </c>
      <c r="B4354" t="str">
        <f>"1551598943704452"</f>
        <v>1551598943704452</v>
      </c>
      <c r="C4354" t="s">
        <v>40</v>
      </c>
      <c r="D4354">
        <v>5.6265499999999999</v>
      </c>
      <c r="E4354">
        <v>0.50047390000000003</v>
      </c>
      <c r="F4354" t="s">
        <v>51</v>
      </c>
      <c r="G4354">
        <v>-291.08229999999998</v>
      </c>
      <c r="H4354" s="1">
        <v>1.0863850000000001E-6</v>
      </c>
      <c r="I4354">
        <v>215.06880000000001</v>
      </c>
      <c r="J4354">
        <v>-310.37119999999999</v>
      </c>
      <c r="K4354">
        <v>1.1205179999999999</v>
      </c>
      <c r="L4354">
        <v>215.44669999999999</v>
      </c>
      <c r="M4354">
        <v>0.99967249999999996</v>
      </c>
      <c r="N4354">
        <v>-1.179874E-2</v>
      </c>
      <c r="O4354">
        <v>-2.2706779999999999E-2</v>
      </c>
      <c r="P4354">
        <v>0.99661120000000003</v>
      </c>
      <c r="Q4354">
        <v>-7.9996570000000003E-2</v>
      </c>
      <c r="R4354">
        <v>-1.915611E-2</v>
      </c>
      <c r="S4354">
        <v>2.9953609999999999</v>
      </c>
      <c r="T4354">
        <v>-0.17094139999999999</v>
      </c>
      <c r="U4354">
        <v>-5.885315E-2</v>
      </c>
      <c r="V4354">
        <v>-3.483084E-3</v>
      </c>
      <c r="W4354">
        <v>-6.8230020000000002E-2</v>
      </c>
      <c r="X4354">
        <v>0.99766359999999998</v>
      </c>
      <c r="Y4354">
        <v>-3.0355489999999998E-3</v>
      </c>
      <c r="Z4354">
        <v>1.131225E-3</v>
      </c>
      <c r="AA4354">
        <v>0.99999479999999996</v>
      </c>
      <c r="AB4354">
        <v>34</v>
      </c>
      <c r="AC4354">
        <v>19.288900000000002</v>
      </c>
      <c r="AD4354">
        <v>-1.1205169136149999</v>
      </c>
      <c r="AE4354">
        <v>-0.37789999999998197</v>
      </c>
      <c r="AF4354">
        <v>-6.0014318650143901E-2</v>
      </c>
      <c r="AG4354">
        <v>-1.1205169136149999</v>
      </c>
      <c r="AH4354">
        <v>19.227646835130201</v>
      </c>
      <c r="AI4354">
        <v>93.335200007010002</v>
      </c>
      <c r="AJ4354">
        <v>90.178833948435894</v>
      </c>
      <c r="AK4354">
        <v>19.260362475525501</v>
      </c>
      <c r="AL4354">
        <v>93.912331484441296</v>
      </c>
      <c r="AM4354">
        <v>90.200032558143306</v>
      </c>
      <c r="AN4354">
        <v>1.0000000631341499</v>
      </c>
    </row>
    <row r="4355" spans="1:40" x14ac:dyDescent="0.25">
      <c r="A4355" t="str">
        <f>"20190303154223736"</f>
        <v>20190303154223736</v>
      </c>
      <c r="B4355" t="str">
        <f>"1551598943723968"</f>
        <v>1551598943723968</v>
      </c>
      <c r="C4355" t="s">
        <v>40</v>
      </c>
      <c r="D4355">
        <v>5.6197900000000001</v>
      </c>
      <c r="E4355">
        <v>0.50040050000000003</v>
      </c>
      <c r="F4355" t="s">
        <v>51</v>
      </c>
      <c r="G4355">
        <v>-290.89819999999997</v>
      </c>
      <c r="H4355" s="1">
        <v>1.053732E-6</v>
      </c>
      <c r="I4355">
        <v>215.05799999999999</v>
      </c>
      <c r="J4355">
        <v>-310.02460000000002</v>
      </c>
      <c r="K4355">
        <v>1.120503</v>
      </c>
      <c r="L4355">
        <v>215.43879999999999</v>
      </c>
      <c r="M4355">
        <v>0.99967450000000002</v>
      </c>
      <c r="N4355">
        <v>-1.164017E-2</v>
      </c>
      <c r="O4355">
        <v>-2.27067E-2</v>
      </c>
      <c r="P4355">
        <v>0.9966102</v>
      </c>
      <c r="Q4355">
        <v>-7.9985630000000002E-2</v>
      </c>
      <c r="R4355">
        <v>-1.925079E-2</v>
      </c>
      <c r="S4355">
        <v>2.9951780000000001</v>
      </c>
      <c r="T4355">
        <v>-0.17234829999999901</v>
      </c>
      <c r="U4355">
        <v>-5.9799190000000002E-2</v>
      </c>
      <c r="V4355">
        <v>-3.3883810000000002E-3</v>
      </c>
      <c r="W4355">
        <v>-6.8377289999999993E-2</v>
      </c>
      <c r="X4355">
        <v>0.99765380000000004</v>
      </c>
      <c r="Y4355">
        <v>-2.7183979999999999E-3</v>
      </c>
      <c r="Z4355">
        <v>1.1350469999999999E-3</v>
      </c>
      <c r="AA4355">
        <v>0.99999559999999998</v>
      </c>
      <c r="AB4355">
        <v>34</v>
      </c>
      <c r="AC4355">
        <v>19.1264</v>
      </c>
      <c r="AD4355">
        <v>-1.1205019462679999</v>
      </c>
      <c r="AE4355">
        <v>-0.38079999999999298</v>
      </c>
      <c r="AF4355">
        <v>-5.3441661175406802E-2</v>
      </c>
      <c r="AG4355">
        <v>-1.1205019462679999</v>
      </c>
      <c r="AH4355">
        <v>19.064709376473601</v>
      </c>
      <c r="AI4355">
        <v>93.363597618385896</v>
      </c>
      <c r="AJ4355">
        <v>90.160609509170598</v>
      </c>
      <c r="AK4355">
        <v>19.097683739975899</v>
      </c>
      <c r="AL4355">
        <v>93.920789355894698</v>
      </c>
      <c r="AM4355">
        <v>90.194595744743395</v>
      </c>
      <c r="AN4355">
        <v>1.00000001978399</v>
      </c>
    </row>
    <row r="4356" spans="1:40" x14ac:dyDescent="0.25">
      <c r="A4356" t="str">
        <f>"20190303154223758"</f>
        <v>20190303154223758</v>
      </c>
      <c r="B4356" t="str">
        <f>"1551598943754225"</f>
        <v>1551598943754225</v>
      </c>
      <c r="C4356" t="s">
        <v>40</v>
      </c>
      <c r="D4356">
        <v>5.6736149999999999</v>
      </c>
      <c r="E4356">
        <v>0.50030339999999995</v>
      </c>
      <c r="F4356" t="s">
        <v>51</v>
      </c>
      <c r="G4356">
        <v>-290.64819999999997</v>
      </c>
      <c r="H4356" s="1">
        <v>1.009384E-6</v>
      </c>
      <c r="I4356">
        <v>215.05350000000001</v>
      </c>
      <c r="J4356">
        <v>-309.68979999999999</v>
      </c>
      <c r="K4356">
        <v>1.1204860000000001</v>
      </c>
      <c r="L4356">
        <v>215.43119999999999</v>
      </c>
      <c r="M4356">
        <v>0.99967629999999996</v>
      </c>
      <c r="N4356">
        <v>-1.1488460000000001E-2</v>
      </c>
      <c r="O4356">
        <v>-2.270643E-2</v>
      </c>
      <c r="P4356">
        <v>0.99660400000000005</v>
      </c>
      <c r="Q4356">
        <v>-8.0014769999999999E-2</v>
      </c>
      <c r="R4356">
        <v>-1.946235E-2</v>
      </c>
      <c r="S4356">
        <v>2.9951780000000001</v>
      </c>
      <c r="T4356">
        <v>-0.1732051</v>
      </c>
      <c r="U4356">
        <v>-5.9570310000000001E-2</v>
      </c>
      <c r="V4356">
        <v>-3.1761710000000002E-3</v>
      </c>
      <c r="W4356">
        <v>-6.8557789999999993E-2</v>
      </c>
      <c r="X4356">
        <v>0.99764209999999998</v>
      </c>
      <c r="Y4356">
        <v>-2.7938300000000002E-3</v>
      </c>
      <c r="Z4356">
        <v>1.147754E-3</v>
      </c>
      <c r="AA4356">
        <v>0.99999539999999998</v>
      </c>
      <c r="AB4356">
        <v>34</v>
      </c>
      <c r="AC4356">
        <v>19.041599999999999</v>
      </c>
      <c r="AD4356">
        <v>-1.1204849906159999</v>
      </c>
      <c r="AE4356">
        <v>-0.377699999999976</v>
      </c>
      <c r="AF4356">
        <v>-5.4603630128888303E-2</v>
      </c>
      <c r="AG4356">
        <v>-1.1204849906159999</v>
      </c>
      <c r="AH4356">
        <v>18.979573489968299</v>
      </c>
      <c r="AI4356">
        <v>93.378598979704094</v>
      </c>
      <c r="AJ4356">
        <v>90.164837683130202</v>
      </c>
      <c r="AK4356">
        <v>19.012697810456199</v>
      </c>
      <c r="AL4356">
        <v>93.931155611659406</v>
      </c>
      <c r="AM4356">
        <v>90.182410684626902</v>
      </c>
      <c r="AN4356">
        <v>1.0000000091621499</v>
      </c>
    </row>
    <row r="4357" spans="1:40" x14ac:dyDescent="0.25">
      <c r="A4357" t="str">
        <f>"20190303154223780"</f>
        <v>20190303154223780</v>
      </c>
      <c r="B4357" t="str">
        <f>"1551598943773745"</f>
        <v>1551598943773745</v>
      </c>
      <c r="C4357" t="s">
        <v>40</v>
      </c>
      <c r="D4357">
        <v>5.6667259999999997</v>
      </c>
      <c r="E4357">
        <v>0.50042429999999904</v>
      </c>
      <c r="F4357" t="s">
        <v>51</v>
      </c>
      <c r="G4357">
        <v>-290.50209999999998</v>
      </c>
      <c r="H4357" s="1">
        <v>9.8346640000000007E-7</v>
      </c>
      <c r="I4357">
        <v>215.0497</v>
      </c>
      <c r="J4357">
        <v>-309.351</v>
      </c>
      <c r="K4357">
        <v>1.1204689999999999</v>
      </c>
      <c r="L4357">
        <v>215.42359999999999</v>
      </c>
      <c r="M4357">
        <v>0.99967799999999996</v>
      </c>
      <c r="N4357">
        <v>-1.1339170000000001E-2</v>
      </c>
      <c r="O4357">
        <v>-2.2706069999999998E-2</v>
      </c>
      <c r="P4357">
        <v>0.99659019999999998</v>
      </c>
      <c r="Q4357">
        <v>-8.0188010000000004E-2</v>
      </c>
      <c r="R4357">
        <v>-1.9448549999999998E-2</v>
      </c>
      <c r="S4357">
        <v>2.9950559999999999</v>
      </c>
      <c r="T4357">
        <v>-0.17489869999999999</v>
      </c>
      <c r="U4357">
        <v>-5.9555049999999998E-2</v>
      </c>
      <c r="V4357">
        <v>-3.1894200000000001E-3</v>
      </c>
      <c r="W4357">
        <v>-6.8880129999999998E-2</v>
      </c>
      <c r="X4357">
        <v>0.9976199</v>
      </c>
      <c r="Y4357">
        <v>-2.79686E-3</v>
      </c>
      <c r="Z4357">
        <v>1.164675E-3</v>
      </c>
      <c r="AA4357">
        <v>0.99999539999999998</v>
      </c>
      <c r="AB4357">
        <v>34</v>
      </c>
      <c r="AC4357">
        <v>18.8489</v>
      </c>
      <c r="AD4357">
        <v>-1.1204680165336001</v>
      </c>
      <c r="AE4357">
        <v>-0.37389999999999102</v>
      </c>
      <c r="AF4357">
        <v>-5.4017511647205897E-2</v>
      </c>
      <c r="AG4357">
        <v>-1.1204680165336001</v>
      </c>
      <c r="AH4357">
        <v>18.786172010567601</v>
      </c>
      <c r="AI4357">
        <v>93.413247878973905</v>
      </c>
      <c r="AJ4357">
        <v>90.164747075981595</v>
      </c>
      <c r="AK4357">
        <v>18.819634036778599</v>
      </c>
      <c r="AL4357">
        <v>93.949667915064197</v>
      </c>
      <c r="AM4357">
        <v>90.183175658888103</v>
      </c>
      <c r="AN4357">
        <v>1.00000005479238</v>
      </c>
    </row>
    <row r="4358" spans="1:40" x14ac:dyDescent="0.25">
      <c r="A4358" t="str">
        <f>"20190303154223804"</f>
        <v>20190303154223804</v>
      </c>
      <c r="B4358" t="str">
        <f>"1551598943794241"</f>
        <v>1551598943794241</v>
      </c>
      <c r="C4358" t="s">
        <v>40</v>
      </c>
      <c r="D4358">
        <v>5.6821070000000002</v>
      </c>
      <c r="E4358">
        <v>0.51236470000000001</v>
      </c>
      <c r="F4358" t="s">
        <v>51</v>
      </c>
      <c r="G4358">
        <v>-290.25810000000001</v>
      </c>
      <c r="H4358" s="1">
        <v>9.4020190000000002E-7</v>
      </c>
      <c r="I4358">
        <v>215.0385</v>
      </c>
      <c r="J4358">
        <v>-308.98250000000002</v>
      </c>
      <c r="K4358">
        <v>1.1204480000000001</v>
      </c>
      <c r="L4358">
        <v>215.4152</v>
      </c>
      <c r="M4358">
        <v>0.99967980000000001</v>
      </c>
      <c r="N4358">
        <v>-1.1170630000000001E-2</v>
      </c>
      <c r="O4358">
        <v>-2.27055E-2</v>
      </c>
      <c r="P4358">
        <v>0.99662689999999998</v>
      </c>
      <c r="Q4358">
        <v>-7.9719529999999997E-2</v>
      </c>
      <c r="R4358">
        <v>-1.948722E-2</v>
      </c>
      <c r="S4358">
        <v>2.9949650000000001</v>
      </c>
      <c r="T4358">
        <v>-0.17576</v>
      </c>
      <c r="U4358">
        <v>-6.0394290000000003E-2</v>
      </c>
      <c r="V4358">
        <v>-3.1509530000000002E-3</v>
      </c>
      <c r="W4358">
        <v>-6.8579409999999993E-2</v>
      </c>
      <c r="X4358">
        <v>0.99764070000000005</v>
      </c>
      <c r="Y4358">
        <v>-2.5155860000000002E-3</v>
      </c>
      <c r="Z4358">
        <v>1.165372E-3</v>
      </c>
      <c r="AA4358">
        <v>0.9999962</v>
      </c>
      <c r="AB4358">
        <v>34</v>
      </c>
      <c r="AC4358">
        <v>18.724399999999999</v>
      </c>
      <c r="AD4358">
        <v>-1.1204470597981</v>
      </c>
      <c r="AE4358">
        <v>-0.37669999999999898</v>
      </c>
      <c r="AF4358">
        <v>-4.8397287779718003E-2</v>
      </c>
      <c r="AG4358">
        <v>-1.1204470597981</v>
      </c>
      <c r="AH4358">
        <v>18.661332450824499</v>
      </c>
      <c r="AI4358">
        <v>93.435965642478294</v>
      </c>
      <c r="AJ4358">
        <v>90.148593575513104</v>
      </c>
      <c r="AK4358">
        <v>18.695001277118799</v>
      </c>
      <c r="AL4358">
        <v>93.932397245221594</v>
      </c>
      <c r="AM4358">
        <v>90.180962653220902</v>
      </c>
      <c r="AN4358">
        <v>1.0000000151386199</v>
      </c>
    </row>
    <row r="4359" spans="1:40" x14ac:dyDescent="0.25">
      <c r="A4359" t="str">
        <f>"20190303154223827"</f>
        <v>20190303154223827</v>
      </c>
      <c r="B4359" t="str">
        <f>"1551598943813760"</f>
        <v>1551598943813760</v>
      </c>
      <c r="C4359" t="s">
        <v>40</v>
      </c>
      <c r="D4359">
        <v>5.7131089999999896</v>
      </c>
      <c r="E4359">
        <v>0.5128279</v>
      </c>
      <c r="F4359" t="s">
        <v>51</v>
      </c>
      <c r="G4359">
        <v>-284.98970000000003</v>
      </c>
      <c r="H4359" s="1">
        <v>4.9308819999999996E-6</v>
      </c>
      <c r="I4359">
        <v>214.17449999999999</v>
      </c>
      <c r="J4359">
        <v>-308.62909999999999</v>
      </c>
      <c r="K4359">
        <v>1.1204270000000001</v>
      </c>
      <c r="L4359">
        <v>215.40719999999999</v>
      </c>
      <c r="M4359">
        <v>0.99968179999999995</v>
      </c>
      <c r="N4359">
        <v>-1.099432E-2</v>
      </c>
      <c r="O4359">
        <v>-2.2705019999999999E-2</v>
      </c>
      <c r="P4359">
        <v>0.99663780000000002</v>
      </c>
      <c r="Q4359">
        <v>-7.9480599999999998E-2</v>
      </c>
      <c r="R4359">
        <v>-1.9896210000000001E-2</v>
      </c>
      <c r="S4359">
        <v>2.9959720000000001</v>
      </c>
      <c r="T4359">
        <v>-0.13990910000000001</v>
      </c>
      <c r="U4359">
        <v>-0.15492249999999999</v>
      </c>
      <c r="V4359">
        <v>-2.7418529999999998E-3</v>
      </c>
      <c r="W4359">
        <v>-6.8516209999999994E-2</v>
      </c>
      <c r="X4359">
        <v>0.99764620000000004</v>
      </c>
      <c r="Y4359">
        <v>2.8927419999999999E-2</v>
      </c>
      <c r="Z4359" s="1">
        <v>-2.44804E-5</v>
      </c>
      <c r="AA4359">
        <v>0.99958150000000001</v>
      </c>
      <c r="AB4359">
        <v>34</v>
      </c>
      <c r="AC4359">
        <v>23.639399999999899</v>
      </c>
      <c r="AD4359">
        <v>-1.120422069118</v>
      </c>
      <c r="AE4359">
        <v>-1.2326999999999899</v>
      </c>
      <c r="AF4359">
        <v>0.69406179074881402</v>
      </c>
      <c r="AG4359">
        <v>-1.120422069118</v>
      </c>
      <c r="AH4359">
        <v>23.608404873476001</v>
      </c>
      <c r="AI4359">
        <v>92.715967607898804</v>
      </c>
      <c r="AJ4359">
        <v>88.316050546243005</v>
      </c>
      <c r="AK4359">
        <v>23.645165426621801</v>
      </c>
      <c r="AL4359">
        <v>93.928767813446598</v>
      </c>
      <c r="AM4359">
        <v>90.1574668548989</v>
      </c>
      <c r="AN4359">
        <v>0.99999996458253804</v>
      </c>
    </row>
    <row r="4360" spans="1:40" x14ac:dyDescent="0.25">
      <c r="A4360" t="str">
        <f>"20190303154223847"</f>
        <v>20190303154223847</v>
      </c>
      <c r="B4360" t="str">
        <f>"1551598943844523"</f>
        <v>1551598943844523</v>
      </c>
      <c r="C4360" t="s">
        <v>40</v>
      </c>
      <c r="D4360">
        <v>5.6881360000000001</v>
      </c>
      <c r="E4360">
        <v>0.51294680000000004</v>
      </c>
      <c r="F4360" t="s">
        <v>51</v>
      </c>
      <c r="G4360">
        <v>-284.32799999999997</v>
      </c>
      <c r="H4360" s="1">
        <v>5.232145E-6</v>
      </c>
      <c r="I4360">
        <v>214.1087</v>
      </c>
      <c r="J4360">
        <v>-308.30509999999998</v>
      </c>
      <c r="K4360">
        <v>1.120406</v>
      </c>
      <c r="L4360">
        <v>215.3998</v>
      </c>
      <c r="M4360">
        <v>0.99968389999999996</v>
      </c>
      <c r="N4360">
        <v>-1.0820069999999999E-2</v>
      </c>
      <c r="O4360">
        <v>-2.2704800000000001E-2</v>
      </c>
      <c r="P4360">
        <v>0.99663040000000003</v>
      </c>
      <c r="Q4360">
        <v>-7.9485899999999998E-2</v>
      </c>
      <c r="R4360">
        <v>-2.0258020000000002E-2</v>
      </c>
      <c r="S4360">
        <v>2.995911</v>
      </c>
      <c r="T4360">
        <v>-0.1381289</v>
      </c>
      <c r="U4360">
        <v>-0.16008</v>
      </c>
      <c r="V4360">
        <v>-2.3793289999999999E-3</v>
      </c>
      <c r="W4360">
        <v>-6.8695350000000002E-2</v>
      </c>
      <c r="X4360">
        <v>0.99763480000000004</v>
      </c>
      <c r="Y4360">
        <v>3.0643159999999999E-2</v>
      </c>
      <c r="Z4360" s="1">
        <v>-7.170453E-5</v>
      </c>
      <c r="AA4360">
        <v>0.99953040000000004</v>
      </c>
      <c r="AB4360">
        <v>35</v>
      </c>
      <c r="AC4360">
        <v>23.9771</v>
      </c>
      <c r="AD4360">
        <v>-1.1204007678550001</v>
      </c>
      <c r="AE4360">
        <v>-1.2910999999999999</v>
      </c>
      <c r="AF4360">
        <v>0.74471873998450799</v>
      </c>
      <c r="AG4360">
        <v>-1.1204007678550001</v>
      </c>
      <c r="AH4360">
        <v>23.948094646159198</v>
      </c>
      <c r="AI4360">
        <v>92.677311613819796</v>
      </c>
      <c r="AJ4360">
        <v>88.218835564987302</v>
      </c>
      <c r="AK4360">
        <v>23.985852935922299</v>
      </c>
      <c r="AL4360">
        <v>93.939056065081004</v>
      </c>
      <c r="AM4360">
        <v>90.136648452216207</v>
      </c>
      <c r="AN4360">
        <v>0.99999995324457502</v>
      </c>
    </row>
    <row r="4361" spans="1:40" x14ac:dyDescent="0.25">
      <c r="A4361" t="str">
        <f>"20190303154223868"</f>
        <v>20190303154223868</v>
      </c>
      <c r="B4361" t="str">
        <f>"1551598943864043"</f>
        <v>1551598943864043</v>
      </c>
      <c r="C4361" t="s">
        <v>40</v>
      </c>
      <c r="D4361">
        <v>5.6946019999999997</v>
      </c>
      <c r="E4361">
        <v>0.51334009999999997</v>
      </c>
      <c r="F4361" t="s">
        <v>51</v>
      </c>
      <c r="G4361">
        <v>-284.85599999999999</v>
      </c>
      <c r="H4361" s="1">
        <v>4.9953630000000001E-6</v>
      </c>
      <c r="I4361">
        <v>214.13059999999999</v>
      </c>
      <c r="J4361">
        <v>-307.97410000000002</v>
      </c>
      <c r="K4361">
        <v>1.120379</v>
      </c>
      <c r="L4361">
        <v>215.39230000000001</v>
      </c>
      <c r="M4361">
        <v>0.99968559999999995</v>
      </c>
      <c r="N4361">
        <v>-1.06392E-2</v>
      </c>
      <c r="O4361">
        <v>-2.2704209999999999E-2</v>
      </c>
      <c r="P4361">
        <v>0.99660720000000003</v>
      </c>
      <c r="Q4361">
        <v>-7.9764699999999994E-2</v>
      </c>
      <c r="R4361">
        <v>-2.0297699999999998E-2</v>
      </c>
      <c r="S4361">
        <v>2.995422</v>
      </c>
      <c r="T4361">
        <v>-0.14312159999999999</v>
      </c>
      <c r="U4361">
        <v>-0.16212460000000001</v>
      </c>
      <c r="V4361">
        <v>-2.3383430000000001E-3</v>
      </c>
      <c r="W4361">
        <v>-6.9154809999999997E-2</v>
      </c>
      <c r="X4361">
        <v>0.99760320000000002</v>
      </c>
      <c r="Y4361">
        <v>3.1330789999999997E-2</v>
      </c>
      <c r="Z4361" s="1">
        <v>-7.2598630000000002E-5</v>
      </c>
      <c r="AA4361">
        <v>0.99950910000000004</v>
      </c>
      <c r="AB4361">
        <v>35</v>
      </c>
      <c r="AC4361">
        <v>23.118099999999998</v>
      </c>
      <c r="AD4361">
        <v>-1.1203740046369901</v>
      </c>
      <c r="AE4361">
        <v>-1.26170000000001</v>
      </c>
      <c r="AF4361">
        <v>0.73474626606681603</v>
      </c>
      <c r="AG4361">
        <v>-1.1203740046369901</v>
      </c>
      <c r="AH4361">
        <v>23.086725564716001</v>
      </c>
      <c r="AI4361">
        <v>92.776919237136099</v>
      </c>
      <c r="AJ4361">
        <v>88.177149224978706</v>
      </c>
      <c r="AK4361">
        <v>23.1255699883544</v>
      </c>
      <c r="AL4361">
        <v>93.965443753840006</v>
      </c>
      <c r="AM4361">
        <v>90.134298827019606</v>
      </c>
      <c r="AN4361">
        <v>1.00000000012218</v>
      </c>
    </row>
    <row r="4362" spans="1:40" x14ac:dyDescent="0.25">
      <c r="A4362" t="str">
        <f>"20190303154223892"</f>
        <v>20190303154223892</v>
      </c>
      <c r="B4362" t="str">
        <f>"1551598943884539"</f>
        <v>1551598943884539</v>
      </c>
      <c r="C4362" t="s">
        <v>40</v>
      </c>
      <c r="D4362">
        <v>5.7273259999999997</v>
      </c>
      <c r="E4362">
        <v>0.51362659999999905</v>
      </c>
      <c r="F4362" t="s">
        <v>51</v>
      </c>
      <c r="G4362">
        <v>-284.61959999999999</v>
      </c>
      <c r="H4362" s="1">
        <v>5.1035130000000001E-6</v>
      </c>
      <c r="I4362">
        <v>214.10300000000001</v>
      </c>
      <c r="J4362">
        <v>-307.61410000000001</v>
      </c>
      <c r="K4362">
        <v>1.120352</v>
      </c>
      <c r="L4362">
        <v>215.38409999999999</v>
      </c>
      <c r="M4362">
        <v>0.99968769999999996</v>
      </c>
      <c r="N4362">
        <v>-1.044894E-2</v>
      </c>
      <c r="O4362">
        <v>-2.270382E-2</v>
      </c>
      <c r="P4362">
        <v>0.9966161</v>
      </c>
      <c r="Q4362">
        <v>-7.9716319999999993E-2</v>
      </c>
      <c r="R4362">
        <v>-2.0051200000000002E-2</v>
      </c>
      <c r="S4362">
        <v>2.9952999999999999</v>
      </c>
      <c r="T4362">
        <v>-0.14369189999999901</v>
      </c>
      <c r="U4362">
        <v>-0.16535949999999999</v>
      </c>
      <c r="V4362">
        <v>-2.5852029999999999E-3</v>
      </c>
      <c r="W4362">
        <v>-6.929623E-2</v>
      </c>
      <c r="X4362">
        <v>0.99759279999999995</v>
      </c>
      <c r="Y4362">
        <v>3.2408289999999999E-2</v>
      </c>
      <c r="Z4362" s="1">
        <v>-9.5421619999999996E-5</v>
      </c>
      <c r="AA4362">
        <v>0.99947470000000005</v>
      </c>
      <c r="AB4362">
        <v>35</v>
      </c>
      <c r="AC4362">
        <v>22.994499999999999</v>
      </c>
      <c r="AD4362">
        <v>-1.120346896487</v>
      </c>
      <c r="AE4362">
        <v>-1.2810999999999999</v>
      </c>
      <c r="AF4362">
        <v>0.75688709497309103</v>
      </c>
      <c r="AG4362">
        <v>-1.120346896487</v>
      </c>
      <c r="AH4362">
        <v>22.963316359763599</v>
      </c>
      <c r="AI4362">
        <v>92.791649545597195</v>
      </c>
      <c r="AJ4362">
        <v>88.112174168966902</v>
      </c>
      <c r="AK4362">
        <v>23.0030857382568</v>
      </c>
      <c r="AL4362">
        <v>93.973565918162393</v>
      </c>
      <c r="AM4362">
        <v>90.148478306492606</v>
      </c>
      <c r="AN4362">
        <v>1.0000000226893</v>
      </c>
    </row>
    <row r="4363" spans="1:40" x14ac:dyDescent="0.25">
      <c r="A4363" t="str">
        <f>"20190303154223914"</f>
        <v>20190303154223914</v>
      </c>
      <c r="B4363" t="str">
        <f>"1551598943904059"</f>
        <v>1551598943904059</v>
      </c>
      <c r="C4363" t="s">
        <v>40</v>
      </c>
      <c r="D4363">
        <v>5.7717989999999997</v>
      </c>
      <c r="E4363">
        <v>0.51395119999999905</v>
      </c>
      <c r="F4363" t="s">
        <v>51</v>
      </c>
      <c r="G4363">
        <v>-283.988</v>
      </c>
      <c r="H4363" s="1">
        <v>5.3877860000000004E-6</v>
      </c>
      <c r="I4363">
        <v>214.06790000000001</v>
      </c>
      <c r="J4363">
        <v>-307.26639999999998</v>
      </c>
      <c r="K4363">
        <v>1.1203270000000001</v>
      </c>
      <c r="L4363">
        <v>215.37620000000001</v>
      </c>
      <c r="M4363">
        <v>0.99968950000000001</v>
      </c>
      <c r="N4363">
        <v>-1.027628E-2</v>
      </c>
      <c r="O4363">
        <v>-2.2703649999999999E-2</v>
      </c>
      <c r="P4363">
        <v>0.9966758</v>
      </c>
      <c r="Q4363">
        <v>-7.9080049999999999E-2</v>
      </c>
      <c r="R4363">
        <v>-1.9595109999999999E-2</v>
      </c>
      <c r="S4363">
        <v>2.9954830000000001</v>
      </c>
      <c r="T4363">
        <v>-0.14204539999999999</v>
      </c>
      <c r="U4363">
        <v>-0.16687009999999999</v>
      </c>
      <c r="V4363">
        <v>-3.0419620000000001E-3</v>
      </c>
      <c r="W4363">
        <v>-6.8831729999999994E-2</v>
      </c>
      <c r="X4363">
        <v>0.99762360000000005</v>
      </c>
      <c r="Y4363">
        <v>3.2907690000000003E-2</v>
      </c>
      <c r="Z4363">
        <v>-1.066885E-4</v>
      </c>
      <c r="AA4363">
        <v>0.99945839999999997</v>
      </c>
      <c r="AB4363">
        <v>35</v>
      </c>
      <c r="AC4363">
        <v>23.278399999999898</v>
      </c>
      <c r="AD4363">
        <v>-1.1203216122139901</v>
      </c>
      <c r="AE4363">
        <v>-1.3083</v>
      </c>
      <c r="AF4363">
        <v>0.77763472336709105</v>
      </c>
      <c r="AG4363">
        <v>-1.1203216122139901</v>
      </c>
      <c r="AH4363">
        <v>23.248425019797001</v>
      </c>
      <c r="AI4363">
        <v>92.757360408981398</v>
      </c>
      <c r="AJ4363">
        <v>88.084232278312896</v>
      </c>
      <c r="AK4363">
        <v>23.288389858015101</v>
      </c>
      <c r="AL4363">
        <v>93.946888600870807</v>
      </c>
      <c r="AM4363">
        <v>90.174706215724598</v>
      </c>
      <c r="AN4363">
        <v>0.99999995393228003</v>
      </c>
    </row>
    <row r="4364" spans="1:40" x14ac:dyDescent="0.25">
      <c r="A4364" t="str">
        <f>"20190303154223936"</f>
        <v>20190303154223936</v>
      </c>
      <c r="B4364" t="str">
        <f>"1551598943924555"</f>
        <v>1551598943924555</v>
      </c>
      <c r="C4364" t="s">
        <v>40</v>
      </c>
      <c r="D4364">
        <v>5.7512249999999998</v>
      </c>
      <c r="E4364">
        <v>0.51421090000000003</v>
      </c>
      <c r="F4364" t="s">
        <v>51</v>
      </c>
      <c r="G4364">
        <v>-283.0924</v>
      </c>
      <c r="H4364" s="1">
        <v>5.7908060000000003E-6</v>
      </c>
      <c r="I4364">
        <v>214.01859999999999</v>
      </c>
      <c r="J4364">
        <v>-306.92590000000001</v>
      </c>
      <c r="K4364">
        <v>1.120309</v>
      </c>
      <c r="L4364">
        <v>215.36850000000001</v>
      </c>
      <c r="M4364">
        <v>0.999691</v>
      </c>
      <c r="N4364">
        <v>-1.012128E-2</v>
      </c>
      <c r="O4364">
        <v>-2.270324E-2</v>
      </c>
      <c r="P4364">
        <v>0.99673860000000003</v>
      </c>
      <c r="Q4364">
        <v>-7.8565170000000004E-2</v>
      </c>
      <c r="R4364">
        <v>-1.8428469999999999E-2</v>
      </c>
      <c r="S4364">
        <v>2.9956969999999998</v>
      </c>
      <c r="T4364">
        <v>-0.13883280000000001</v>
      </c>
      <c r="U4364">
        <v>-0.16824339999999999</v>
      </c>
      <c r="V4364">
        <v>-4.2089670000000001E-3</v>
      </c>
      <c r="W4364">
        <v>-6.8471089999999998E-2</v>
      </c>
      <c r="X4364">
        <v>0.99764419999999998</v>
      </c>
      <c r="Y4364">
        <v>3.3361519999999999E-2</v>
      </c>
      <c r="Z4364">
        <v>-1.201421E-4</v>
      </c>
      <c r="AA4364">
        <v>0.99944339999999998</v>
      </c>
      <c r="AB4364">
        <v>35</v>
      </c>
      <c r="AC4364">
        <v>23.833500000000001</v>
      </c>
      <c r="AD4364">
        <v>-1.1203032091939999</v>
      </c>
      <c r="AE4364">
        <v>-1.3499000000000101</v>
      </c>
      <c r="AF4364">
        <v>0.80665002993594803</v>
      </c>
      <c r="AG4364">
        <v>-1.1203032091939999</v>
      </c>
      <c r="AH4364">
        <v>23.805574512326501</v>
      </c>
      <c r="AI4364">
        <v>92.6928392390125</v>
      </c>
      <c r="AJ4364">
        <v>88.059279537010497</v>
      </c>
      <c r="AK4364">
        <v>23.845568590688998</v>
      </c>
      <c r="AL4364">
        <v>93.926176490809397</v>
      </c>
      <c r="AM4364">
        <v>90.241724067992195</v>
      </c>
      <c r="AN4364">
        <v>0.99999997768131699</v>
      </c>
    </row>
    <row r="4365" spans="1:40" x14ac:dyDescent="0.25">
      <c r="A4365" t="str">
        <f>"20190303154223957"</f>
        <v>20190303154223957</v>
      </c>
      <c r="B4365" t="str">
        <f>"1551598943954342"</f>
        <v>1551598943954342</v>
      </c>
      <c r="C4365" t="s">
        <v>40</v>
      </c>
      <c r="D4365">
        <v>5.7780849999999999</v>
      </c>
      <c r="E4365">
        <v>0.51446919999999996</v>
      </c>
      <c r="F4365" t="s">
        <v>51</v>
      </c>
      <c r="G4365">
        <v>-282.43360000000001</v>
      </c>
      <c r="H4365" s="1">
        <v>6.0842769999999999E-6</v>
      </c>
      <c r="I4365">
        <v>214.0076</v>
      </c>
      <c r="J4365">
        <v>-306.59870000000001</v>
      </c>
      <c r="K4365">
        <v>1.1202859999999999</v>
      </c>
      <c r="L4365">
        <v>215.36099999999999</v>
      </c>
      <c r="M4365">
        <v>0.99969249999999998</v>
      </c>
      <c r="N4365">
        <v>-9.9833749999999992E-3</v>
      </c>
      <c r="O4365">
        <v>-2.270291E-2</v>
      </c>
      <c r="P4365">
        <v>0.9967992</v>
      </c>
      <c r="Q4365">
        <v>-7.8082620000000005E-2</v>
      </c>
      <c r="R4365">
        <v>-1.7171180000000001E-2</v>
      </c>
      <c r="S4365">
        <v>2.9959410000000002</v>
      </c>
      <c r="T4365">
        <v>-0.13703750000000001</v>
      </c>
      <c r="U4365">
        <v>-0.1664581</v>
      </c>
      <c r="V4365">
        <v>-5.4673569999999999E-3</v>
      </c>
      <c r="W4365">
        <v>-6.8125779999999997E-2</v>
      </c>
      <c r="X4365">
        <v>0.99766180000000004</v>
      </c>
      <c r="Y4365">
        <v>3.276511E-2</v>
      </c>
      <c r="Z4365">
        <v>-1.0173140000000001E-4</v>
      </c>
      <c r="AA4365">
        <v>0.99946310000000005</v>
      </c>
      <c r="AB4365">
        <v>35</v>
      </c>
      <c r="AC4365">
        <v>24.165099999999899</v>
      </c>
      <c r="AD4365">
        <v>-1.1202799157229999</v>
      </c>
      <c r="AE4365">
        <v>-1.3533999999999899</v>
      </c>
      <c r="AF4365">
        <v>0.80268601773680504</v>
      </c>
      <c r="AG4365">
        <v>-1.1202799157229999</v>
      </c>
      <c r="AH4365">
        <v>24.137883796200001</v>
      </c>
      <c r="AI4365">
        <v>92.655820978033006</v>
      </c>
      <c r="AJ4365">
        <v>88.095376547059601</v>
      </c>
      <c r="AK4365">
        <v>24.177195165930598</v>
      </c>
      <c r="AL4365">
        <v>93.906345131802198</v>
      </c>
      <c r="AM4365">
        <v>90.313987510911204</v>
      </c>
      <c r="AN4365">
        <v>1.0000000405362</v>
      </c>
    </row>
    <row r="4366" spans="1:40" x14ac:dyDescent="0.25">
      <c r="A4366" t="str">
        <f>"20190303154223980"</f>
        <v>20190303154223980</v>
      </c>
      <c r="B4366" t="str">
        <f>"1551598943973865"</f>
        <v>1551598943973865</v>
      </c>
      <c r="C4366" t="s">
        <v>40</v>
      </c>
      <c r="D4366">
        <v>5.770016</v>
      </c>
      <c r="E4366">
        <v>0.51469730000000002</v>
      </c>
      <c r="F4366" t="s">
        <v>51</v>
      </c>
      <c r="G4366">
        <v>-281.8689</v>
      </c>
      <c r="H4366" s="1">
        <v>6.3354980000000001E-6</v>
      </c>
      <c r="I4366">
        <v>214.001</v>
      </c>
      <c r="J4366">
        <v>-306.2276</v>
      </c>
      <c r="K4366">
        <v>1.1202700000000001</v>
      </c>
      <c r="L4366">
        <v>215.3526</v>
      </c>
      <c r="M4366">
        <v>0.99969390000000002</v>
      </c>
      <c r="N4366">
        <v>-9.8405390000000006E-3</v>
      </c>
      <c r="O4366">
        <v>-2.2702340000000001E-2</v>
      </c>
      <c r="P4366">
        <v>0.99677369999999998</v>
      </c>
      <c r="Q4366">
        <v>-7.8566940000000002E-2</v>
      </c>
      <c r="R4366">
        <v>-1.642037E-2</v>
      </c>
      <c r="S4366">
        <v>2.9961549999999999</v>
      </c>
      <c r="T4366">
        <v>-0.13572819999999999</v>
      </c>
      <c r="U4366">
        <v>-0.1647797</v>
      </c>
      <c r="V4366">
        <v>-6.2163490000000004E-3</v>
      </c>
      <c r="W4366">
        <v>-6.8752969999999997E-2</v>
      </c>
      <c r="X4366">
        <v>0.99761429999999995</v>
      </c>
      <c r="Y4366">
        <v>3.220485E-2</v>
      </c>
      <c r="Z4366" s="1">
        <v>-8.3501969999999999E-5</v>
      </c>
      <c r="AA4366">
        <v>0.99948130000000002</v>
      </c>
      <c r="AB4366">
        <v>35</v>
      </c>
      <c r="AC4366">
        <v>24.358699999999999</v>
      </c>
      <c r="AD4366">
        <v>-1.1202636645020001</v>
      </c>
      <c r="AE4366">
        <v>-1.3516000000000099</v>
      </c>
      <c r="AF4366">
        <v>0.79654577695385398</v>
      </c>
      <c r="AG4366">
        <v>-1.1202636645020001</v>
      </c>
      <c r="AH4366">
        <v>24.331800967724199</v>
      </c>
      <c r="AI4366">
        <v>92.634691522963195</v>
      </c>
      <c r="AJ4366">
        <v>88.124988031695096</v>
      </c>
      <c r="AK4366">
        <v>24.370597329276301</v>
      </c>
      <c r="AL4366">
        <v>93.9423652740752</v>
      </c>
      <c r="AM4366">
        <v>90.357017689087201</v>
      </c>
      <c r="AN4366">
        <v>0.99999995272159903</v>
      </c>
    </row>
    <row r="4367" spans="1:40" x14ac:dyDescent="0.25">
      <c r="A4367" t="str">
        <f>"20190303154224005"</f>
        <v>20190303154224005</v>
      </c>
      <c r="B4367" t="str">
        <f>"1551598943994361"</f>
        <v>1551598943994361</v>
      </c>
      <c r="C4367" t="s">
        <v>40</v>
      </c>
      <c r="D4367">
        <v>5.7940110000000002</v>
      </c>
      <c r="E4367">
        <v>0.51477669999999998</v>
      </c>
      <c r="F4367" t="s">
        <v>51</v>
      </c>
      <c r="G4367">
        <v>-281.637</v>
      </c>
      <c r="H4367" s="1">
        <v>6.4381269999999898E-6</v>
      </c>
      <c r="I4367">
        <v>214.0027</v>
      </c>
      <c r="J4367">
        <v>-305.85250000000002</v>
      </c>
      <c r="K4367">
        <v>1.1202559999999999</v>
      </c>
      <c r="L4367">
        <v>215.3441</v>
      </c>
      <c r="M4367">
        <v>0.99969509999999995</v>
      </c>
      <c r="N4367">
        <v>-9.7120680000000008E-3</v>
      </c>
      <c r="O4367">
        <v>-2.270196E-2</v>
      </c>
      <c r="P4367">
        <v>0.99678880000000003</v>
      </c>
      <c r="Q4367">
        <v>-7.8394519999999995E-2</v>
      </c>
      <c r="R4367">
        <v>-1.6325039999999999E-2</v>
      </c>
      <c r="S4367">
        <v>2.9962460000000002</v>
      </c>
      <c r="T4367">
        <v>-0.13649849999999999</v>
      </c>
      <c r="U4367">
        <v>-0.1644745</v>
      </c>
      <c r="V4367">
        <v>-6.3119830000000002E-3</v>
      </c>
      <c r="W4367">
        <v>-6.8708610000000003E-2</v>
      </c>
      <c r="X4367">
        <v>0.99761679999999997</v>
      </c>
      <c r="Y4367">
        <v>3.2102199999999997E-2</v>
      </c>
      <c r="Z4367" s="1">
        <v>-7.4011330000000003E-5</v>
      </c>
      <c r="AA4367">
        <v>0.99948459999999995</v>
      </c>
      <c r="AB4367">
        <v>35</v>
      </c>
      <c r="AC4367">
        <v>24.215499999999999</v>
      </c>
      <c r="AD4367">
        <v>-1.120249561873</v>
      </c>
      <c r="AE4367">
        <v>-1.3413999999999899</v>
      </c>
      <c r="AF4367">
        <v>0.78960431981387202</v>
      </c>
      <c r="AG4367">
        <v>-1.120249561873</v>
      </c>
      <c r="AH4367">
        <v>24.1881047418096</v>
      </c>
      <c r="AI4367">
        <v>92.650296073032095</v>
      </c>
      <c r="AJ4367">
        <v>88.130281996988799</v>
      </c>
      <c r="AK4367">
        <v>24.226903332111899</v>
      </c>
      <c r="AL4367">
        <v>93.939817434118098</v>
      </c>
      <c r="AM4367">
        <v>90.362509092220407</v>
      </c>
      <c r="AN4367">
        <v>0.99999999692988195</v>
      </c>
    </row>
    <row r="4368" spans="1:40" x14ac:dyDescent="0.25">
      <c r="A4368" t="str">
        <f>"20190303154224027"</f>
        <v>20190303154224027</v>
      </c>
      <c r="B4368" t="str">
        <f>"1551598944013877"</f>
        <v>1551598944013877</v>
      </c>
      <c r="C4368" t="s">
        <v>40</v>
      </c>
      <c r="D4368">
        <v>5.7591939999999999</v>
      </c>
      <c r="E4368">
        <v>0.51484209999999997</v>
      </c>
      <c r="F4368" t="s">
        <v>51</v>
      </c>
      <c r="G4368">
        <v>-281.2491</v>
      </c>
      <c r="H4368" s="1">
        <v>6.6115330000000004E-6</v>
      </c>
      <c r="I4368">
        <v>213.99100000000001</v>
      </c>
      <c r="J4368">
        <v>-305.50869999999998</v>
      </c>
      <c r="K4368">
        <v>1.120247</v>
      </c>
      <c r="L4368">
        <v>215.33629999999999</v>
      </c>
      <c r="M4368">
        <v>0.99969609999999998</v>
      </c>
      <c r="N4368">
        <v>-9.6084940000000004E-3</v>
      </c>
      <c r="O4368">
        <v>-2.2701590000000001E-2</v>
      </c>
      <c r="P4368">
        <v>0.99676180000000003</v>
      </c>
      <c r="Q4368">
        <v>-7.8543360000000007E-2</v>
      </c>
      <c r="R4368">
        <v>-1.7241820000000001E-2</v>
      </c>
      <c r="S4368">
        <v>2.9962770000000001</v>
      </c>
      <c r="T4368">
        <v>-0.1364272</v>
      </c>
      <c r="U4368">
        <v>-0.1647797</v>
      </c>
      <c r="V4368">
        <v>-5.3942590000000002E-3</v>
      </c>
      <c r="W4368">
        <v>-6.8960839999999995E-2</v>
      </c>
      <c r="X4368">
        <v>0.99760479999999996</v>
      </c>
      <c r="Y4368">
        <v>3.2203589999999997E-2</v>
      </c>
      <c r="Z4368" s="1">
        <v>-7.2964929999999999E-5</v>
      </c>
      <c r="AA4368">
        <v>0.99948130000000002</v>
      </c>
      <c r="AB4368">
        <v>35</v>
      </c>
      <c r="AC4368">
        <v>24.259599999999899</v>
      </c>
      <c r="AD4368">
        <v>-1.120240388467</v>
      </c>
      <c r="AE4368">
        <v>-1.3452999999999999</v>
      </c>
      <c r="AF4368">
        <v>0.79251162315988899</v>
      </c>
      <c r="AG4368">
        <v>-1.120240388467</v>
      </c>
      <c r="AH4368">
        <v>24.2323761346052</v>
      </c>
      <c r="AI4368">
        <v>92.645434159156494</v>
      </c>
      <c r="AJ4368">
        <v>88.126828664354903</v>
      </c>
      <c r="AK4368">
        <v>24.271198287883902</v>
      </c>
      <c r="AL4368">
        <v>93.954303432063696</v>
      </c>
      <c r="AM4368">
        <v>90.309807312657</v>
      </c>
      <c r="AN4368">
        <v>1.00000001623335</v>
      </c>
    </row>
    <row r="4369" spans="1:40" x14ac:dyDescent="0.25">
      <c r="A4369" t="str">
        <f>"20190303154224048"</f>
        <v>20190303154224048</v>
      </c>
      <c r="B4369" t="str">
        <f>"1551598944044134"</f>
        <v>1551598944044134</v>
      </c>
      <c r="C4369" t="s">
        <v>40</v>
      </c>
      <c r="D4369">
        <v>5.7436259999999999</v>
      </c>
      <c r="E4369">
        <v>0.51503989999999999</v>
      </c>
      <c r="F4369" t="s">
        <v>51</v>
      </c>
      <c r="G4369">
        <v>-281.17829999999998</v>
      </c>
      <c r="H4369" s="1">
        <v>6.6451750000000003E-6</v>
      </c>
      <c r="I4369">
        <v>213.97219999999999</v>
      </c>
      <c r="J4369">
        <v>-305.18189999999998</v>
      </c>
      <c r="K4369">
        <v>1.120233</v>
      </c>
      <c r="L4369">
        <v>215.3288</v>
      </c>
      <c r="M4369">
        <v>0.99969710000000001</v>
      </c>
      <c r="N4369">
        <v>-9.5219069999999996E-3</v>
      </c>
      <c r="O4369">
        <v>-2.269711E-2</v>
      </c>
      <c r="P4369">
        <v>0.99672349999999998</v>
      </c>
      <c r="Q4369">
        <v>-7.8637380000000007E-2</v>
      </c>
      <c r="R4369">
        <v>-1.8932109999999999E-2</v>
      </c>
      <c r="S4369">
        <v>2.9959720000000001</v>
      </c>
      <c r="T4369">
        <v>-0.13794279999999901</v>
      </c>
      <c r="U4369">
        <v>-0.167968799999999</v>
      </c>
      <c r="V4369">
        <v>-3.6988289999999998E-3</v>
      </c>
      <c r="W4369">
        <v>-6.9141339999999996E-2</v>
      </c>
      <c r="X4369">
        <v>0.99760000000000004</v>
      </c>
      <c r="Y4369">
        <v>3.3272650000000001E-2</v>
      </c>
      <c r="Z4369" s="1">
        <v>-9.6095379999999993E-5</v>
      </c>
      <c r="AA4369">
        <v>0.99944630000000001</v>
      </c>
      <c r="AB4369">
        <v>35</v>
      </c>
      <c r="AC4369">
        <v>24.003599999999999</v>
      </c>
      <c r="AD4369">
        <v>-1.120226354825</v>
      </c>
      <c r="AE4369">
        <v>-1.35660000000001</v>
      </c>
      <c r="AF4369">
        <v>0.80965565448897803</v>
      </c>
      <c r="AG4369">
        <v>-1.120226354825</v>
      </c>
      <c r="AH4369">
        <v>23.976154194248199</v>
      </c>
      <c r="AI4369">
        <v>92.673536068979104</v>
      </c>
      <c r="AJ4369">
        <v>88.065902069066397</v>
      </c>
      <c r="AK4369">
        <v>24.015961761113299</v>
      </c>
      <c r="AL4369">
        <v>93.964670195474497</v>
      </c>
      <c r="AM4369">
        <v>90.212436166509505</v>
      </c>
      <c r="AN4369">
        <v>0.99999998311648297</v>
      </c>
    </row>
    <row r="4370" spans="1:40" x14ac:dyDescent="0.25">
      <c r="A4370" t="str">
        <f>"20190303154224070"</f>
        <v>20190303154224070</v>
      </c>
      <c r="B4370" t="str">
        <f>"1551598944064630"</f>
        <v>1551598944064630</v>
      </c>
      <c r="C4370" t="s">
        <v>40</v>
      </c>
      <c r="D4370">
        <v>5.7557739999999997</v>
      </c>
      <c r="E4370">
        <v>0.51520589999999999</v>
      </c>
      <c r="F4370" t="s">
        <v>51</v>
      </c>
      <c r="G4370">
        <v>-281.11020000000002</v>
      </c>
      <c r="H4370" s="1">
        <v>6.681272E-6</v>
      </c>
      <c r="I4370">
        <v>213.92250000000001</v>
      </c>
      <c r="J4370">
        <v>-304.82400000000001</v>
      </c>
      <c r="K4370">
        <v>1.120231</v>
      </c>
      <c r="L4370">
        <v>215.32069999999999</v>
      </c>
      <c r="M4370">
        <v>0.99969839999999999</v>
      </c>
      <c r="N4370">
        <v>-9.4390600000000009E-3</v>
      </c>
      <c r="O4370">
        <v>-2.2676479999999999E-2</v>
      </c>
      <c r="P4370">
        <v>0.99665049999999999</v>
      </c>
      <c r="Q4370">
        <v>-7.9212820000000003E-2</v>
      </c>
      <c r="R4370">
        <v>-2.0334319999999999E-2</v>
      </c>
      <c r="S4370">
        <v>2.9955440000000002</v>
      </c>
      <c r="T4370">
        <v>-0.13940420000000001</v>
      </c>
      <c r="U4370">
        <v>-0.17500309999999999</v>
      </c>
      <c r="V4370">
        <v>-2.2735469999999999E-3</v>
      </c>
      <c r="W4370">
        <v>-6.9799910000000007E-2</v>
      </c>
      <c r="X4370">
        <v>0.99755839999999996</v>
      </c>
      <c r="Y4370">
        <v>3.5637080000000002E-2</v>
      </c>
      <c r="Z4370">
        <v>-1.5675239999999999E-4</v>
      </c>
      <c r="AA4370">
        <v>0.99936480000000005</v>
      </c>
      <c r="AB4370">
        <v>35</v>
      </c>
      <c r="AC4370">
        <v>23.7137999999999</v>
      </c>
      <c r="AD4370">
        <v>-1.1202243187280001</v>
      </c>
      <c r="AE4370">
        <v>-1.3981999999999699</v>
      </c>
      <c r="AF4370">
        <v>0.85816261356160495</v>
      </c>
      <c r="AG4370">
        <v>-1.1202243187280001</v>
      </c>
      <c r="AH4370">
        <v>23.686734111180701</v>
      </c>
      <c r="AI4370">
        <v>92.705917511342605</v>
      </c>
      <c r="AJ4370">
        <v>87.925100199613297</v>
      </c>
      <c r="AK4370">
        <v>23.728731918274899</v>
      </c>
      <c r="AL4370">
        <v>94.002494879589506</v>
      </c>
      <c r="AM4370">
        <v>90.130583254151901</v>
      </c>
      <c r="AN4370">
        <v>0.99999997893126402</v>
      </c>
    </row>
    <row r="4371" spans="1:40" x14ac:dyDescent="0.25">
      <c r="A4371" t="str">
        <f>"20190303154224092"</f>
        <v>20190303154224092</v>
      </c>
      <c r="B4371" t="str">
        <f>"1551598944084150"</f>
        <v>1551598944084150</v>
      </c>
      <c r="C4371" t="s">
        <v>40</v>
      </c>
      <c r="D4371">
        <v>5.7911950000000001</v>
      </c>
      <c r="E4371">
        <v>0.51529659999999999</v>
      </c>
      <c r="F4371" t="s">
        <v>51</v>
      </c>
      <c r="G4371">
        <v>-281.04140000000001</v>
      </c>
      <c r="H4371" s="1">
        <v>6.7160230000000002E-6</v>
      </c>
      <c r="I4371">
        <v>213.8871</v>
      </c>
      <c r="J4371">
        <v>-304.46420000000001</v>
      </c>
      <c r="K4371">
        <v>1.1202449999999999</v>
      </c>
      <c r="L4371">
        <v>215.3126</v>
      </c>
      <c r="M4371">
        <v>0.99970020000000004</v>
      </c>
      <c r="N4371">
        <v>-9.367373E-3</v>
      </c>
      <c r="O4371">
        <v>-2.2624310000000002E-2</v>
      </c>
      <c r="P4371">
        <v>0.99657810000000002</v>
      </c>
      <c r="Q4371">
        <v>-7.9572009999999999E-2</v>
      </c>
      <c r="R4371">
        <v>-2.2379360000000001E-2</v>
      </c>
      <c r="S4371">
        <v>2.9952390000000002</v>
      </c>
      <c r="T4371">
        <v>-0.14108409999999999</v>
      </c>
      <c r="U4371">
        <v>-0.1805573</v>
      </c>
      <c r="V4371">
        <v>-1.715388E-4</v>
      </c>
      <c r="W4371">
        <v>-7.0230840000000003E-2</v>
      </c>
      <c r="X4371">
        <v>0.99753080000000005</v>
      </c>
      <c r="Y4371">
        <v>3.7538769999999999E-2</v>
      </c>
      <c r="Z4371">
        <v>-2.0673490000000001E-4</v>
      </c>
      <c r="AA4371">
        <v>0.99929520000000005</v>
      </c>
      <c r="AB4371">
        <v>35</v>
      </c>
      <c r="AC4371">
        <v>23.422799999999899</v>
      </c>
      <c r="AD4371">
        <v>-1.120238283977</v>
      </c>
      <c r="AE4371">
        <v>-1.42549999999999</v>
      </c>
      <c r="AF4371">
        <v>0.89315171835326601</v>
      </c>
      <c r="AG4371">
        <v>-1.120238283977</v>
      </c>
      <c r="AH4371">
        <v>23.395738422306099</v>
      </c>
      <c r="AI4371">
        <v>92.739359030082298</v>
      </c>
      <c r="AJ4371">
        <v>87.813747761289306</v>
      </c>
      <c r="AK4371">
        <v>23.4395654850907</v>
      </c>
      <c r="AL4371">
        <v>94.027245811057895</v>
      </c>
      <c r="AM4371">
        <v>90.009852777644397</v>
      </c>
      <c r="AN4371">
        <v>1.00000004863065</v>
      </c>
    </row>
    <row r="4372" spans="1:40" x14ac:dyDescent="0.25">
      <c r="A4372" t="str">
        <f>"20190303154224115"</f>
        <v>20190303154224115</v>
      </c>
      <c r="B4372" t="str">
        <f>"1551598944103673"</f>
        <v>1551598944103673</v>
      </c>
      <c r="C4372" t="s">
        <v>40</v>
      </c>
      <c r="D4372">
        <v>5.7618039999999997</v>
      </c>
      <c r="E4372">
        <v>0.51537820000000001</v>
      </c>
      <c r="F4372" t="s">
        <v>51</v>
      </c>
      <c r="G4372">
        <v>-280.8655</v>
      </c>
      <c r="H4372" s="1">
        <v>6.8001520000000001E-6</v>
      </c>
      <c r="I4372">
        <v>213.83580000000001</v>
      </c>
      <c r="J4372">
        <v>-304.12220000000002</v>
      </c>
      <c r="K4372">
        <v>1.1202730000000001</v>
      </c>
      <c r="L4372">
        <v>215.3049</v>
      </c>
      <c r="M4372">
        <v>0.99970289999999995</v>
      </c>
      <c r="N4372">
        <v>-9.3088519999999994E-3</v>
      </c>
      <c r="O4372">
        <v>-2.2532150000000001E-2</v>
      </c>
      <c r="P4372">
        <v>0.99655640000000001</v>
      </c>
      <c r="Q4372">
        <v>-7.9393539999999999E-2</v>
      </c>
      <c r="R4372">
        <v>-2.3925849999999999E-2</v>
      </c>
      <c r="S4372">
        <v>2.99472</v>
      </c>
      <c r="T4372">
        <v>-0.14216029999999999</v>
      </c>
      <c r="U4372">
        <v>-0.1874084</v>
      </c>
      <c r="V4372">
        <v>1.4718299999999999E-3</v>
      </c>
      <c r="W4372">
        <v>-7.0110469999999994E-2</v>
      </c>
      <c r="X4372">
        <v>0.99753809999999998</v>
      </c>
      <c r="Y4372">
        <v>3.9915190000000003E-2</v>
      </c>
      <c r="Z4372">
        <v>-2.7382509999999998E-4</v>
      </c>
      <c r="AA4372">
        <v>0.99920299999999995</v>
      </c>
      <c r="AB4372">
        <v>35</v>
      </c>
      <c r="AC4372">
        <v>23.256699999999999</v>
      </c>
      <c r="AD4372">
        <v>-1.1202661998479999</v>
      </c>
      <c r="AE4372">
        <v>-1.4690999999999901</v>
      </c>
      <c r="AF4372">
        <v>0.94250268711103602</v>
      </c>
      <c r="AG4372">
        <v>-1.1202661998479999</v>
      </c>
      <c r="AH4372">
        <v>23.2302113670812</v>
      </c>
      <c r="AI4372">
        <v>92.758657438546606</v>
      </c>
      <c r="AJ4372">
        <v>87.676653743458999</v>
      </c>
      <c r="AK4372">
        <v>23.276297554228901</v>
      </c>
      <c r="AL4372">
        <v>94.020332462696103</v>
      </c>
      <c r="AM4372">
        <v>89.915462290647397</v>
      </c>
      <c r="AN4372">
        <v>0.99999995261938801</v>
      </c>
    </row>
    <row r="4373" spans="1:40" x14ac:dyDescent="0.25">
      <c r="A4373" t="str">
        <f>"20190303154224148"</f>
        <v>20190303154224148</v>
      </c>
      <c r="B4373" t="str">
        <f>"1551598944143686"</f>
        <v>1551598944143686</v>
      </c>
      <c r="C4373" t="s">
        <v>40</v>
      </c>
      <c r="D4373">
        <v>5.7237600000000004</v>
      </c>
      <c r="E4373">
        <v>0.51616470000000003</v>
      </c>
      <c r="F4373" t="s">
        <v>51</v>
      </c>
      <c r="G4373">
        <v>-280.42079999999999</v>
      </c>
      <c r="H4373" s="1">
        <v>7.0041340000000001E-6</v>
      </c>
      <c r="I4373">
        <v>213.77889999999999</v>
      </c>
      <c r="J4373">
        <v>-303.60070000000002</v>
      </c>
      <c r="K4373">
        <v>1.120336</v>
      </c>
      <c r="L4373">
        <v>215.29339999999999</v>
      </c>
      <c r="M4373">
        <v>0.99970910000000002</v>
      </c>
      <c r="N4373">
        <v>-9.2366029999999995E-3</v>
      </c>
      <c r="O4373">
        <v>-2.2281470000000001E-2</v>
      </c>
      <c r="P4373">
        <v>0.99667380000000005</v>
      </c>
      <c r="Q4373">
        <v>-7.7952279999999999E-2</v>
      </c>
      <c r="R4373">
        <v>-2.3767070000000001E-2</v>
      </c>
      <c r="S4373">
        <v>2.9944760000000001</v>
      </c>
      <c r="T4373">
        <v>-0.14153650000000001</v>
      </c>
      <c r="U4373">
        <v>-0.19279479999999999</v>
      </c>
      <c r="V4373">
        <v>1.571472E-3</v>
      </c>
      <c r="W4373">
        <v>-6.8740049999999997E-2</v>
      </c>
      <c r="X4373">
        <v>0.9976334</v>
      </c>
      <c r="Y4373">
        <v>4.1958349999999998E-2</v>
      </c>
      <c r="Z4373">
        <v>-3.3846119999999998E-4</v>
      </c>
      <c r="AA4373">
        <v>0.99911930000000004</v>
      </c>
      <c r="AB4373">
        <v>35</v>
      </c>
      <c r="AC4373">
        <v>23.1799</v>
      </c>
      <c r="AD4373">
        <v>-1.1203289958660001</v>
      </c>
      <c r="AE4373">
        <v>-1.51449999999999</v>
      </c>
      <c r="AF4373">
        <v>0.99530458788277698</v>
      </c>
      <c r="AG4373">
        <v>-1.1203289958660001</v>
      </c>
      <c r="AH4373">
        <v>23.154034213256001</v>
      </c>
      <c r="AI4373">
        <v>92.767596065713207</v>
      </c>
      <c r="AJ4373">
        <v>87.538585906685299</v>
      </c>
      <c r="AK4373">
        <v>23.202479794846699</v>
      </c>
      <c r="AL4373">
        <v>93.941622942528895</v>
      </c>
      <c r="AM4373">
        <v>89.909747770319797</v>
      </c>
      <c r="AN4373">
        <v>1.0000000323969001</v>
      </c>
    </row>
    <row r="4374" spans="1:40" x14ac:dyDescent="0.25">
      <c r="A4374" t="str">
        <f>"20190303154224171"</f>
        <v>20190303154224171</v>
      </c>
      <c r="B4374" t="str">
        <f>"1551598944164182"</f>
        <v>1551598944164182</v>
      </c>
      <c r="C4374" t="s">
        <v>40</v>
      </c>
      <c r="D4374">
        <v>5.7127270000000001</v>
      </c>
      <c r="E4374">
        <v>0.51583500000000004</v>
      </c>
      <c r="F4374" t="s">
        <v>50</v>
      </c>
      <c r="G4374">
        <v>-268.4871</v>
      </c>
      <c r="H4374" s="1">
        <v>3.0515130000000001E-6</v>
      </c>
      <c r="I4374">
        <v>212.97190000000001</v>
      </c>
      <c r="J4374">
        <v>-303.22649999999999</v>
      </c>
      <c r="K4374">
        <v>1.120382</v>
      </c>
      <c r="L4374">
        <v>215.28530000000001</v>
      </c>
      <c r="M4374">
        <v>0.99971509999999997</v>
      </c>
      <c r="N4374">
        <v>-9.1943000000000007E-3</v>
      </c>
      <c r="O4374">
        <v>-2.202921E-2</v>
      </c>
      <c r="P4374">
        <v>0.99673270000000003</v>
      </c>
      <c r="Q4374">
        <v>-7.7487769999999997E-2</v>
      </c>
      <c r="R4374">
        <v>-2.2798300000000001E-2</v>
      </c>
      <c r="S4374">
        <v>2.997833</v>
      </c>
      <c r="T4374">
        <v>-9.5648769999999994E-2</v>
      </c>
      <c r="U4374">
        <v>-0.19819639999999999</v>
      </c>
      <c r="V4374">
        <v>8.6176449999999995E-4</v>
      </c>
      <c r="W4374">
        <v>-6.8317520000000007E-2</v>
      </c>
      <c r="X4374">
        <v>0.99766330000000003</v>
      </c>
      <c r="Y4374">
        <v>4.3947989999999999E-2</v>
      </c>
      <c r="Z4374">
        <v>-4.0307629999999998E-4</v>
      </c>
      <c r="AA4374">
        <v>0.99903370000000002</v>
      </c>
      <c r="AB4374">
        <v>35</v>
      </c>
      <c r="AC4374">
        <v>34.739399999999897</v>
      </c>
      <c r="AD4374">
        <v>-1.1203789484869999</v>
      </c>
      <c r="AE4374">
        <v>-2.3134000000000001</v>
      </c>
      <c r="AF4374">
        <v>1.5459238529001</v>
      </c>
      <c r="AG4374">
        <v>-1.1203789484869999</v>
      </c>
      <c r="AH4374">
        <v>34.745952966631798</v>
      </c>
      <c r="AI4374">
        <v>91.845031405754497</v>
      </c>
      <c r="AJ4374">
        <v>87.452464887082897</v>
      </c>
      <c r="AK4374">
        <v>34.798367448869897</v>
      </c>
      <c r="AL4374">
        <v>93.917356668615696</v>
      </c>
      <c r="AM4374">
        <v>89.950508897636894</v>
      </c>
      <c r="AN4374">
        <v>1.00000004317194</v>
      </c>
    </row>
    <row r="4375" spans="1:40" x14ac:dyDescent="0.25">
      <c r="A4375" t="str">
        <f>"20190303154224193"</f>
        <v>20190303154224193</v>
      </c>
      <c r="B4375" t="str">
        <f>"1551598944183705"</f>
        <v>1551598944183705</v>
      </c>
      <c r="C4375" t="s">
        <v>40</v>
      </c>
      <c r="D4375">
        <v>5.7227249999999996</v>
      </c>
      <c r="E4375">
        <v>0.51590919999999996</v>
      </c>
      <c r="F4375" t="s">
        <v>50</v>
      </c>
      <c r="G4375">
        <v>-267.39359999999999</v>
      </c>
      <c r="H4375" s="1">
        <v>2.4690730000000001E-6</v>
      </c>
      <c r="I4375">
        <v>212.98390000000001</v>
      </c>
      <c r="J4375">
        <v>-302.8784</v>
      </c>
      <c r="K4375">
        <v>1.120425</v>
      </c>
      <c r="L4375">
        <v>215.27780000000001</v>
      </c>
      <c r="M4375">
        <v>0.99972179999999999</v>
      </c>
      <c r="N4375">
        <v>-9.161509E-3</v>
      </c>
      <c r="O4375">
        <v>-2.1738670000000002E-2</v>
      </c>
      <c r="P4375">
        <v>0.9967625</v>
      </c>
      <c r="Q4375">
        <v>-7.7545059999999999E-2</v>
      </c>
      <c r="R4375">
        <v>-2.1254269999999999E-2</v>
      </c>
      <c r="S4375">
        <v>2.998138</v>
      </c>
      <c r="T4375">
        <v>-9.3742130000000007E-2</v>
      </c>
      <c r="U4375">
        <v>-0.19255069999999999</v>
      </c>
      <c r="V4375">
        <v>-3.8515890000000001E-4</v>
      </c>
      <c r="W4375">
        <v>-6.8408079999999996E-2</v>
      </c>
      <c r="X4375">
        <v>0.99765740000000003</v>
      </c>
      <c r="Y4375">
        <v>4.235995E-2</v>
      </c>
      <c r="Z4375">
        <v>-3.7598790000000003E-4</v>
      </c>
      <c r="AA4375">
        <v>0.99910239999999995</v>
      </c>
      <c r="AB4375">
        <v>35</v>
      </c>
      <c r="AC4375">
        <v>35.4848</v>
      </c>
      <c r="AD4375">
        <v>-1.1204225309269999</v>
      </c>
      <c r="AE4375">
        <v>-2.2938999999999998</v>
      </c>
      <c r="AF4375">
        <v>1.52042371646898</v>
      </c>
      <c r="AG4375">
        <v>-1.1204225309269999</v>
      </c>
      <c r="AH4375">
        <v>35.491046204785</v>
      </c>
      <c r="AI4375">
        <v>91.806523291792701</v>
      </c>
      <c r="AJ4375">
        <v>87.546969208517197</v>
      </c>
      <c r="AK4375">
        <v>35.541263281369098</v>
      </c>
      <c r="AL4375">
        <v>93.922557511652002</v>
      </c>
      <c r="AM4375">
        <v>90.022119796149894</v>
      </c>
      <c r="AN4375">
        <v>1.0000000507657101</v>
      </c>
    </row>
    <row r="4376" spans="1:40" x14ac:dyDescent="0.25">
      <c r="A4376" t="str">
        <f>"20190303154224216"</f>
        <v>20190303154224216</v>
      </c>
      <c r="B4376" t="str">
        <f>"1551598944204198"</f>
        <v>1551598944204198</v>
      </c>
      <c r="C4376" t="s">
        <v>40</v>
      </c>
      <c r="D4376">
        <v>5.7224769999999996</v>
      </c>
      <c r="E4376">
        <v>0.51364549999999998</v>
      </c>
      <c r="F4376" t="s">
        <v>50</v>
      </c>
      <c r="G4376">
        <v>-267.10750000000002</v>
      </c>
      <c r="H4376" s="1">
        <v>2.3147750000000002E-6</v>
      </c>
      <c r="I4376">
        <v>213.03020000000001</v>
      </c>
      <c r="J4376">
        <v>-302.51679999999999</v>
      </c>
      <c r="K4376">
        <v>1.120463</v>
      </c>
      <c r="L4376">
        <v>215.27029999999999</v>
      </c>
      <c r="M4376">
        <v>0.9997298</v>
      </c>
      <c r="N4376">
        <v>-9.1329789999999994E-3</v>
      </c>
      <c r="O4376">
        <v>-2.1380940000000001E-2</v>
      </c>
      <c r="P4376">
        <v>0.99680780000000002</v>
      </c>
      <c r="Q4376">
        <v>-7.7377230000000005E-2</v>
      </c>
      <c r="R4376">
        <v>-1.967257E-2</v>
      </c>
      <c r="S4376">
        <v>2.9984130000000002</v>
      </c>
      <c r="T4376">
        <v>-9.3916890000000003E-2</v>
      </c>
      <c r="U4376">
        <v>-0.18840029999999999</v>
      </c>
      <c r="V4376">
        <v>-1.603017E-3</v>
      </c>
      <c r="W4376">
        <v>-6.8269430000000006E-2</v>
      </c>
      <c r="X4376">
        <v>0.99766560000000004</v>
      </c>
      <c r="Y4376">
        <v>4.1334719999999998E-2</v>
      </c>
      <c r="Z4376">
        <v>-3.619246E-4</v>
      </c>
      <c r="AA4376">
        <v>0.99914530000000001</v>
      </c>
      <c r="AB4376">
        <v>36</v>
      </c>
      <c r="AC4376">
        <v>35.409299999999902</v>
      </c>
      <c r="AD4376">
        <v>-1.1204606852249901</v>
      </c>
      <c r="AE4376">
        <v>-2.24009999999998</v>
      </c>
      <c r="AF4376">
        <v>1.48099527528158</v>
      </c>
      <c r="AG4376">
        <v>-1.1204606852249901</v>
      </c>
      <c r="AH4376">
        <v>35.413784241771097</v>
      </c>
      <c r="AI4376">
        <v>91.810601534308503</v>
      </c>
      <c r="AJ4376">
        <v>87.605300727775301</v>
      </c>
      <c r="AK4376">
        <v>35.462443422235502</v>
      </c>
      <c r="AL4376">
        <v>93.914595164985201</v>
      </c>
      <c r="AM4376">
        <v>90.092060936598401</v>
      </c>
      <c r="AN4376">
        <v>0.99999996707969296</v>
      </c>
    </row>
    <row r="4377" spans="1:40" x14ac:dyDescent="0.25">
      <c r="A4377" t="str">
        <f>"20190303154224240"</f>
        <v>20190303154224240</v>
      </c>
      <c r="B4377" t="str">
        <f>"1551598944234454"</f>
        <v>1551598944234454</v>
      </c>
      <c r="C4377" t="s">
        <v>40</v>
      </c>
      <c r="D4377">
        <v>5.7387489999999897</v>
      </c>
      <c r="E4377">
        <v>0.51470609999999895</v>
      </c>
      <c r="F4377" t="s">
        <v>50</v>
      </c>
      <c r="G4377">
        <v>-267.69529999999997</v>
      </c>
      <c r="H4377" s="1">
        <v>2.61376E-6</v>
      </c>
      <c r="I4377">
        <v>213.34610000000001</v>
      </c>
      <c r="J4377">
        <v>-302.14490000000001</v>
      </c>
      <c r="K4377">
        <v>1.120495</v>
      </c>
      <c r="L4377">
        <v>215.2627</v>
      </c>
      <c r="M4377">
        <v>0.99973880000000004</v>
      </c>
      <c r="N4377">
        <v>-9.1093830000000004E-3</v>
      </c>
      <c r="O4377">
        <v>-2.0960349999999999E-2</v>
      </c>
      <c r="P4377">
        <v>0.99681560000000002</v>
      </c>
      <c r="Q4377">
        <v>-7.7543360000000006E-2</v>
      </c>
      <c r="R4377">
        <v>-1.8596370000000001E-2</v>
      </c>
      <c r="S4377">
        <v>2.99884</v>
      </c>
      <c r="T4377">
        <v>-9.6494319999999995E-2</v>
      </c>
      <c r="U4377">
        <v>-0.16571040000000001</v>
      </c>
      <c r="V4377">
        <v>-2.253302E-3</v>
      </c>
      <c r="W4377">
        <v>-6.8459870000000006E-2</v>
      </c>
      <c r="X4377">
        <v>0.99765130000000002</v>
      </c>
      <c r="Y4377">
        <v>3.4215490000000001E-2</v>
      </c>
      <c r="Z4377">
        <v>-2.2310670000000001E-4</v>
      </c>
      <c r="AA4377">
        <v>0.99941440000000004</v>
      </c>
      <c r="AB4377">
        <v>36</v>
      </c>
      <c r="AC4377">
        <v>34.449599999999997</v>
      </c>
      <c r="AD4377">
        <v>-1.12049238624</v>
      </c>
      <c r="AE4377">
        <v>-1.9165999999999801</v>
      </c>
      <c r="AF4377">
        <v>1.1928152635992499</v>
      </c>
      <c r="AG4377">
        <v>-1.12049238624</v>
      </c>
      <c r="AH4377">
        <v>34.445877080611901</v>
      </c>
      <c r="AI4377">
        <v>91.862006238012</v>
      </c>
      <c r="AJ4377">
        <v>88.0167152668065</v>
      </c>
      <c r="AK4377">
        <v>34.4847322636166</v>
      </c>
      <c r="AL4377">
        <v>93.925532135458795</v>
      </c>
      <c r="AM4377">
        <v>90.129408416582905</v>
      </c>
      <c r="AN4377">
        <v>0.99999997378100403</v>
      </c>
    </row>
    <row r="4378" spans="1:40" x14ac:dyDescent="0.25">
      <c r="A4378" t="str">
        <f>"20190303154224260"</f>
        <v>20190303154224260</v>
      </c>
      <c r="B4378" t="str">
        <f>"1551598944253974"</f>
        <v>1551598944253974</v>
      </c>
      <c r="C4378" t="s">
        <v>40</v>
      </c>
      <c r="D4378">
        <v>5.7332260000000002</v>
      </c>
      <c r="E4378">
        <v>0.51544000000000001</v>
      </c>
      <c r="F4378" t="s">
        <v>50</v>
      </c>
      <c r="G4378">
        <v>-267.11320000000001</v>
      </c>
      <c r="H4378" s="1">
        <v>2.3074339999999998E-6</v>
      </c>
      <c r="I4378">
        <v>213.268</v>
      </c>
      <c r="J4378">
        <v>-301.80290000000002</v>
      </c>
      <c r="K4378">
        <v>1.1205179999999999</v>
      </c>
      <c r="L4378">
        <v>215.2559</v>
      </c>
      <c r="M4378">
        <v>0.99974770000000002</v>
      </c>
      <c r="N4378">
        <v>-9.0915500000000003E-3</v>
      </c>
      <c r="O4378">
        <v>-2.0546080000000001E-2</v>
      </c>
      <c r="P4378">
        <v>0.99680500000000005</v>
      </c>
      <c r="Q4378">
        <v>-7.7896419999999994E-2</v>
      </c>
      <c r="R4378">
        <v>-1.7668079999999999E-2</v>
      </c>
      <c r="S4378">
        <v>2.9989319999999999</v>
      </c>
      <c r="T4378">
        <v>-9.5921160000000005E-2</v>
      </c>
      <c r="U4378">
        <v>-0.1707611</v>
      </c>
      <c r="V4378">
        <v>-2.7627239999999998E-3</v>
      </c>
      <c r="W4378">
        <v>-6.8831519999999993E-2</v>
      </c>
      <c r="X4378">
        <v>0.99762450000000003</v>
      </c>
      <c r="Y4378">
        <v>3.630444E-2</v>
      </c>
      <c r="Z4378">
        <v>-2.7551870000000001E-4</v>
      </c>
      <c r="AA4378">
        <v>0.99934069999999997</v>
      </c>
      <c r="AB4378">
        <v>36</v>
      </c>
      <c r="AC4378">
        <v>34.689700000000002</v>
      </c>
      <c r="AD4378">
        <v>-1.120515692566</v>
      </c>
      <c r="AE4378">
        <v>-1.98789999999999</v>
      </c>
      <c r="AF4378">
        <v>1.2733893608139699</v>
      </c>
      <c r="AG4378">
        <v>-1.120515692566</v>
      </c>
      <c r="AH4378">
        <v>34.687149103202898</v>
      </c>
      <c r="AI4378">
        <v>91.848965163174597</v>
      </c>
      <c r="AJ4378">
        <v>87.897576219785606</v>
      </c>
      <c r="AK4378">
        <v>34.728596124654203</v>
      </c>
      <c r="AL4378">
        <v>93.946876251721505</v>
      </c>
      <c r="AM4378">
        <v>90.158668938574806</v>
      </c>
      <c r="AN4378">
        <v>1.0000000268948299</v>
      </c>
    </row>
    <row r="4379" spans="1:40" x14ac:dyDescent="0.25">
      <c r="A4379" t="str">
        <f>"20190303154224283"</f>
        <v>20190303154224283</v>
      </c>
      <c r="B4379" t="str">
        <f>"1551598944274470"</f>
        <v>1551598944274470</v>
      </c>
      <c r="C4379" t="s">
        <v>40</v>
      </c>
      <c r="D4379">
        <v>5.7433370000000004</v>
      </c>
      <c r="E4379">
        <v>0.51597579999999998</v>
      </c>
      <c r="F4379" t="s">
        <v>50</v>
      </c>
      <c r="G4379">
        <v>-268.28530000000001</v>
      </c>
      <c r="H4379" s="1">
        <v>2.9292829999999998E-6</v>
      </c>
      <c r="I4379">
        <v>213.31110000000001</v>
      </c>
      <c r="J4379">
        <v>-301.44150000000002</v>
      </c>
      <c r="K4379">
        <v>1.120536</v>
      </c>
      <c r="L4379">
        <v>215.24889999999999</v>
      </c>
      <c r="M4379">
        <v>0.99975709999999995</v>
      </c>
      <c r="N4379">
        <v>-9.0763100000000006E-3</v>
      </c>
      <c r="O4379">
        <v>-2.008979E-2</v>
      </c>
      <c r="P4379">
        <v>0.9968361</v>
      </c>
      <c r="Q4379">
        <v>-7.7699939999999995E-2</v>
      </c>
      <c r="R4379">
        <v>-1.6755059999999999E-2</v>
      </c>
      <c r="S4379">
        <v>2.998688</v>
      </c>
      <c r="T4379">
        <v>-0.1002482</v>
      </c>
      <c r="U4379">
        <v>-0.17399600000000001</v>
      </c>
      <c r="V4379">
        <v>-3.2170620000000001E-3</v>
      </c>
      <c r="W4379">
        <v>-6.8650669999999997E-2</v>
      </c>
      <c r="X4379">
        <v>0.99763550000000001</v>
      </c>
      <c r="Y4379">
        <v>3.7837170000000003E-2</v>
      </c>
      <c r="Z4379">
        <v>-3.1513100000000002E-4</v>
      </c>
      <c r="AA4379">
        <v>0.9992839</v>
      </c>
      <c r="AB4379">
        <v>36</v>
      </c>
      <c r="AC4379">
        <v>33.156199999999998</v>
      </c>
      <c r="AD4379">
        <v>-1.120533070717</v>
      </c>
      <c r="AE4379">
        <v>-1.93779999999998</v>
      </c>
      <c r="AF4379">
        <v>1.2698350326211401</v>
      </c>
      <c r="AG4379">
        <v>-1.120533070717</v>
      </c>
      <c r="AH4379">
        <v>33.150705552075003</v>
      </c>
      <c r="AI4379">
        <v>91.934510462047001</v>
      </c>
      <c r="AJ4379">
        <v>87.806362371885101</v>
      </c>
      <c r="AK4379">
        <v>33.193935499922503</v>
      </c>
      <c r="AL4379">
        <v>93.9364901335165</v>
      </c>
      <c r="AM4379">
        <v>90.184760301865197</v>
      </c>
      <c r="AN4379">
        <v>0.99999992741980204</v>
      </c>
    </row>
    <row r="4380" spans="1:40" x14ac:dyDescent="0.25">
      <c r="A4380" t="str">
        <f>"20190303154224305"</f>
        <v>20190303154224305</v>
      </c>
      <c r="B4380" t="str">
        <f>"1551598944293990"</f>
        <v>1551598944293990</v>
      </c>
      <c r="C4380" t="s">
        <v>40</v>
      </c>
      <c r="D4380">
        <v>5.7613799999999999</v>
      </c>
      <c r="E4380">
        <v>0.51620379999999999</v>
      </c>
      <c r="F4380" t="s">
        <v>50</v>
      </c>
      <c r="G4380">
        <v>-268.06299999999999</v>
      </c>
      <c r="H4380" s="1">
        <v>2.811664E-6</v>
      </c>
      <c r="I4380">
        <v>213.29640000000001</v>
      </c>
      <c r="J4380">
        <v>-301.08920000000001</v>
      </c>
      <c r="K4380">
        <v>1.1205480000000001</v>
      </c>
      <c r="L4380">
        <v>215.2422</v>
      </c>
      <c r="M4380">
        <v>0.99976620000000005</v>
      </c>
      <c r="N4380">
        <v>-9.0662610000000008E-3</v>
      </c>
      <c r="O4380">
        <v>-1.9633600000000001E-2</v>
      </c>
      <c r="P4380">
        <v>0.99683049999999995</v>
      </c>
      <c r="Q4380">
        <v>-7.7942730000000002E-2</v>
      </c>
      <c r="R4380">
        <v>-1.5939829999999999E-2</v>
      </c>
      <c r="S4380">
        <v>2.9987180000000002</v>
      </c>
      <c r="T4380">
        <v>-0.10066849999999999</v>
      </c>
      <c r="U4380">
        <v>-0.17541499999999999</v>
      </c>
      <c r="V4380">
        <v>-3.5733050000000001E-3</v>
      </c>
      <c r="W4380">
        <v>-6.8904149999999997E-2</v>
      </c>
      <c r="X4380">
        <v>0.99761690000000003</v>
      </c>
      <c r="Y4380">
        <v>3.8762919999999999E-2</v>
      </c>
      <c r="Z4380">
        <v>-3.4545760000000001E-4</v>
      </c>
      <c r="AA4380">
        <v>0.99924840000000004</v>
      </c>
      <c r="AB4380">
        <v>36</v>
      </c>
      <c r="AC4380">
        <v>33.026200000000003</v>
      </c>
      <c r="AD4380">
        <v>-1.12054518833599</v>
      </c>
      <c r="AE4380">
        <v>-1.94579999999999</v>
      </c>
      <c r="AF4380">
        <v>1.2954889159299401</v>
      </c>
      <c r="AG4380">
        <v>-1.12054518833599</v>
      </c>
      <c r="AH4380">
        <v>33.020157544023398</v>
      </c>
      <c r="AI4380">
        <v>91.942104112743394</v>
      </c>
      <c r="AJ4380">
        <v>87.753251232078895</v>
      </c>
      <c r="AK4380">
        <v>33.064553789254802</v>
      </c>
      <c r="AL4380">
        <v>93.951047595538498</v>
      </c>
      <c r="AM4380">
        <v>90.205223487957596</v>
      </c>
      <c r="AN4380">
        <v>1.00000001478072</v>
      </c>
    </row>
    <row r="4381" spans="1:40" x14ac:dyDescent="0.25">
      <c r="A4381" t="str">
        <f>"20190303154224327"</f>
        <v>20190303154224327</v>
      </c>
      <c r="B4381" t="str">
        <f>"1551598944324246"</f>
        <v>1551598944324246</v>
      </c>
      <c r="C4381" t="s">
        <v>40</v>
      </c>
      <c r="D4381">
        <v>5.7629109999999999</v>
      </c>
      <c r="E4381">
        <v>0.51658420000000005</v>
      </c>
      <c r="F4381" t="s">
        <v>50</v>
      </c>
      <c r="G4381">
        <v>-268.9862</v>
      </c>
      <c r="H4381" s="1">
        <v>3.299663E-6</v>
      </c>
      <c r="I4381">
        <v>213.37129999999999</v>
      </c>
      <c r="J4381">
        <v>-300.73759999999999</v>
      </c>
      <c r="K4381">
        <v>1.120565</v>
      </c>
      <c r="L4381">
        <v>215.23570000000001</v>
      </c>
      <c r="M4381">
        <v>0.99977530000000003</v>
      </c>
      <c r="N4381">
        <v>-9.0630559999999999E-3</v>
      </c>
      <c r="O4381">
        <v>-1.9173180000000001E-2</v>
      </c>
      <c r="P4381">
        <v>0.99684220000000001</v>
      </c>
      <c r="Q4381">
        <v>-7.7932860000000007E-2</v>
      </c>
      <c r="R4381">
        <v>-1.5246020000000001E-2</v>
      </c>
      <c r="S4381">
        <v>2.998596</v>
      </c>
      <c r="T4381">
        <v>-0.1046653</v>
      </c>
      <c r="U4381">
        <v>-0.17475889999999999</v>
      </c>
      <c r="V4381">
        <v>-3.8064010000000001E-3</v>
      </c>
      <c r="W4381">
        <v>-6.8897819999999999E-2</v>
      </c>
      <c r="X4381">
        <v>0.99761650000000002</v>
      </c>
      <c r="Y4381">
        <v>3.900588E-2</v>
      </c>
      <c r="Z4381">
        <v>-3.6221529999999998E-4</v>
      </c>
      <c r="AA4381">
        <v>0.99923890000000004</v>
      </c>
      <c r="AB4381">
        <v>36</v>
      </c>
      <c r="AC4381">
        <v>31.751399999999901</v>
      </c>
      <c r="AD4381">
        <v>-1.1205617003370001</v>
      </c>
      <c r="AE4381">
        <v>-1.86440000000001</v>
      </c>
      <c r="AF4381">
        <v>1.2537009378633299</v>
      </c>
      <c r="AG4381">
        <v>-1.1205617003370001</v>
      </c>
      <c r="AH4381">
        <v>31.741911948919199</v>
      </c>
      <c r="AI4381">
        <v>92.020257862983001</v>
      </c>
      <c r="AJ4381">
        <v>87.738181138119899</v>
      </c>
      <c r="AK4381">
        <v>31.786418463532499</v>
      </c>
      <c r="AL4381">
        <v>93.950683950764599</v>
      </c>
      <c r="AM4381">
        <v>90.218610712755606</v>
      </c>
      <c r="AN4381">
        <v>1.00000003968078</v>
      </c>
    </row>
    <row r="4382" spans="1:40" x14ac:dyDescent="0.25">
      <c r="A4382" t="str">
        <f>"20190303154224349"</f>
        <v>20190303154224349</v>
      </c>
      <c r="B4382" t="str">
        <f>"1551598944343767"</f>
        <v>1551598944343767</v>
      </c>
      <c r="C4382" t="s">
        <v>40</v>
      </c>
      <c r="D4382">
        <v>5.8277049999999999</v>
      </c>
      <c r="E4382">
        <v>0.51665879999999997</v>
      </c>
      <c r="F4382" t="s">
        <v>50</v>
      </c>
      <c r="G4382">
        <v>-269.73869999999999</v>
      </c>
      <c r="H4382" s="1">
        <v>3.6981400000000001E-6</v>
      </c>
      <c r="I4382">
        <v>213.4161</v>
      </c>
      <c r="J4382">
        <v>-300.37990000000002</v>
      </c>
      <c r="K4382">
        <v>1.120571</v>
      </c>
      <c r="L4382">
        <v>215.22929999999999</v>
      </c>
      <c r="M4382">
        <v>0.99978409999999995</v>
      </c>
      <c r="N4382">
        <v>-9.0671680000000004E-3</v>
      </c>
      <c r="O4382">
        <v>-1.8703049999999999E-2</v>
      </c>
      <c r="P4382">
        <v>0.99684490000000003</v>
      </c>
      <c r="Q4382">
        <v>-7.7939910000000001E-2</v>
      </c>
      <c r="R4382">
        <v>-1.50311E-2</v>
      </c>
      <c r="S4382">
        <v>2.9984130000000002</v>
      </c>
      <c r="T4382">
        <v>-0.1083879</v>
      </c>
      <c r="U4382">
        <v>-0.1760101</v>
      </c>
      <c r="V4382">
        <v>-3.549997E-3</v>
      </c>
      <c r="W4382">
        <v>-6.8900619999999996E-2</v>
      </c>
      <c r="X4382">
        <v>0.99761719999999998</v>
      </c>
      <c r="Y4382">
        <v>3.9892629999999998E-2</v>
      </c>
      <c r="Z4382">
        <v>-3.9553130000000001E-4</v>
      </c>
      <c r="AA4382">
        <v>0.99920390000000003</v>
      </c>
      <c r="AB4382">
        <v>36</v>
      </c>
      <c r="AC4382">
        <v>30.641200000000001</v>
      </c>
      <c r="AD4382">
        <v>-1.12056730186</v>
      </c>
      <c r="AE4382">
        <v>-1.8131999999999899</v>
      </c>
      <c r="AF4382">
        <v>1.2381253326606101</v>
      </c>
      <c r="AG4382">
        <v>-1.12056730186</v>
      </c>
      <c r="AH4382">
        <v>30.628933163541099</v>
      </c>
      <c r="AI4382">
        <v>92.093537916887598</v>
      </c>
      <c r="AJ4382">
        <v>87.685170618476207</v>
      </c>
      <c r="AK4382">
        <v>30.674422116056899</v>
      </c>
      <c r="AL4382">
        <v>93.950844966284194</v>
      </c>
      <c r="AM4382">
        <v>90.203884803566595</v>
      </c>
      <c r="AN4382">
        <v>0.99999998782546196</v>
      </c>
    </row>
    <row r="4383" spans="1:40" x14ac:dyDescent="0.25">
      <c r="A4383" t="str">
        <f>"20190303154224372"</f>
        <v>20190303154224372</v>
      </c>
      <c r="B4383" t="str">
        <f>"1551598944364266"</f>
        <v>1551598944364266</v>
      </c>
      <c r="C4383" t="s">
        <v>40</v>
      </c>
      <c r="D4383">
        <v>5.7903140000000004</v>
      </c>
      <c r="E4383">
        <v>0.5018338</v>
      </c>
      <c r="F4383" t="s">
        <v>50</v>
      </c>
      <c r="G4383">
        <v>-269.78609999999998</v>
      </c>
      <c r="H4383" s="1">
        <v>3.72258E-6</v>
      </c>
      <c r="I4383">
        <v>213.4341</v>
      </c>
      <c r="J4383">
        <v>-300.02179999999998</v>
      </c>
      <c r="K4383">
        <v>1.120581</v>
      </c>
      <c r="L4383">
        <v>215.22300000000001</v>
      </c>
      <c r="M4383">
        <v>0.99979260000000003</v>
      </c>
      <c r="N4383">
        <v>-9.077903E-3</v>
      </c>
      <c r="O4383">
        <v>-1.8232600000000002E-2</v>
      </c>
      <c r="P4383">
        <v>0.99685849999999998</v>
      </c>
      <c r="Q4383">
        <v>-7.7682660000000001E-2</v>
      </c>
      <c r="R4383">
        <v>-1.54489E-2</v>
      </c>
      <c r="S4383">
        <v>2.998291</v>
      </c>
      <c r="T4383">
        <v>-0.10981929999999999</v>
      </c>
      <c r="U4383">
        <v>-0.1759338</v>
      </c>
      <c r="V4383">
        <v>-2.6619109999999999E-3</v>
      </c>
      <c r="W4383">
        <v>-6.8631689999999995E-2</v>
      </c>
      <c r="X4383">
        <v>0.99763849999999998</v>
      </c>
      <c r="Y4383">
        <v>4.0338739999999998E-2</v>
      </c>
      <c r="Z4383">
        <v>-4.1966639999999999E-4</v>
      </c>
      <c r="AA4383">
        <v>0.99918600000000002</v>
      </c>
      <c r="AB4383">
        <v>36</v>
      </c>
      <c r="AC4383">
        <v>30.235700000000001</v>
      </c>
      <c r="AD4383">
        <v>-1.12057727742</v>
      </c>
      <c r="AE4383">
        <v>-1.78889999999998</v>
      </c>
      <c r="AF4383">
        <v>1.2356132397919799</v>
      </c>
      <c r="AG4383">
        <v>-1.12057727742</v>
      </c>
      <c r="AH4383">
        <v>30.2219247827007</v>
      </c>
      <c r="AI4383">
        <v>92.121685853602401</v>
      </c>
      <c r="AJ4383">
        <v>87.658785216092198</v>
      </c>
      <c r="AK4383">
        <v>30.267923137939899</v>
      </c>
      <c r="AL4383">
        <v>93.935399859007106</v>
      </c>
      <c r="AM4383">
        <v>90.152876922654599</v>
      </c>
      <c r="AN4383">
        <v>0.99999998566233805</v>
      </c>
    </row>
    <row r="4384" spans="1:40" x14ac:dyDescent="0.25">
      <c r="A4384" t="str">
        <f>"20190303154224394"</f>
        <v>20190303154224394</v>
      </c>
      <c r="B4384" t="str">
        <f>"1551598944383785"</f>
        <v>1551598944383785</v>
      </c>
      <c r="C4384" t="s">
        <v>40</v>
      </c>
      <c r="D4384">
        <v>5.7084130000000002</v>
      </c>
      <c r="E4384">
        <v>0.5017682</v>
      </c>
      <c r="F4384" t="s">
        <v>50</v>
      </c>
      <c r="G4384">
        <v>-266.49669999999998</v>
      </c>
      <c r="H4384" s="1">
        <v>1.9227050000000002E-6</v>
      </c>
      <c r="I4384">
        <v>214.56460000000001</v>
      </c>
      <c r="J4384">
        <v>-299.6524</v>
      </c>
      <c r="K4384">
        <v>1.1205940000000001</v>
      </c>
      <c r="L4384">
        <v>215.2167</v>
      </c>
      <c r="M4384">
        <v>0.99980119999999895</v>
      </c>
      <c r="N4384">
        <v>-9.0960360000000001E-3</v>
      </c>
      <c r="O4384">
        <v>-1.7749549999999999E-2</v>
      </c>
      <c r="P4384">
        <v>0.99689939999999999</v>
      </c>
      <c r="Q4384">
        <v>-7.7103329999999998E-2</v>
      </c>
      <c r="R4384">
        <v>-1.5718599999999999E-2</v>
      </c>
      <c r="S4384">
        <v>3.000702</v>
      </c>
      <c r="T4384">
        <v>-0.10029879999999999</v>
      </c>
      <c r="U4384">
        <v>-5.892944E-2</v>
      </c>
      <c r="V4384">
        <v>-1.9103659999999999E-3</v>
      </c>
      <c r="W4384">
        <v>-6.8033189999999993E-2</v>
      </c>
      <c r="X4384">
        <v>0.99768120000000005</v>
      </c>
      <c r="Y4384">
        <v>1.8887140000000001E-3</v>
      </c>
      <c r="Z4384">
        <v>3.9144240000000001E-4</v>
      </c>
      <c r="AA4384">
        <v>0.99999819999999995</v>
      </c>
      <c r="AB4384">
        <v>36</v>
      </c>
      <c r="AC4384">
        <v>33.155700000000003</v>
      </c>
      <c r="AD4384">
        <v>-1.120592077295</v>
      </c>
      <c r="AE4384">
        <v>-0.65209999999999002</v>
      </c>
      <c r="AF4384">
        <v>6.3401830734256495E-2</v>
      </c>
      <c r="AG4384">
        <v>-1.120592077295</v>
      </c>
      <c r="AH4384">
        <v>33.124228276770801</v>
      </c>
      <c r="AI4384">
        <v>91.937572757453907</v>
      </c>
      <c r="AJ4384">
        <v>89.890332452490895</v>
      </c>
      <c r="AK4384">
        <v>33.143238304780297</v>
      </c>
      <c r="AL4384">
        <v>93.901028052105502</v>
      </c>
      <c r="AM4384">
        <v>90.109710171298005</v>
      </c>
      <c r="AN4384">
        <v>0.99999997063663404</v>
      </c>
    </row>
    <row r="4385" spans="1:40" x14ac:dyDescent="0.25">
      <c r="A4385" t="str">
        <f>"20190303154224417"</f>
        <v>20190303154224417</v>
      </c>
      <c r="B4385" t="str">
        <f>"1551598944414038"</f>
        <v>1551598944414038</v>
      </c>
      <c r="C4385" t="s">
        <v>40</v>
      </c>
      <c r="D4385">
        <v>5.6886489999999998</v>
      </c>
      <c r="E4385">
        <v>0.50137299999999996</v>
      </c>
      <c r="F4385" t="s">
        <v>50</v>
      </c>
      <c r="G4385">
        <v>-254.52340000000001</v>
      </c>
      <c r="H4385" s="1">
        <v>8.8260879999999997E-7</v>
      </c>
      <c r="I4385">
        <v>214.33529999999999</v>
      </c>
      <c r="J4385">
        <v>-299.28910000000002</v>
      </c>
      <c r="K4385">
        <v>1.120614</v>
      </c>
      <c r="L4385">
        <v>215.2106</v>
      </c>
      <c r="M4385">
        <v>0.99980919999999895</v>
      </c>
      <c r="N4385">
        <v>-9.1195470000000004E-3</v>
      </c>
      <c r="O4385">
        <v>-1.727561E-2</v>
      </c>
      <c r="P4385">
        <v>0.99693719999999997</v>
      </c>
      <c r="Q4385">
        <v>-7.6485949999999997E-2</v>
      </c>
      <c r="R4385">
        <v>-1.6323150000000002E-2</v>
      </c>
      <c r="S4385">
        <v>3.0026549999999999</v>
      </c>
      <c r="T4385">
        <v>-7.45585E-2</v>
      </c>
      <c r="U4385">
        <v>-5.8639530000000002E-2</v>
      </c>
      <c r="V4385">
        <v>-8.3334509999999904E-4</v>
      </c>
      <c r="W4385">
        <v>-6.7390839999999994E-2</v>
      </c>
      <c r="X4385">
        <v>0.99772629999999995</v>
      </c>
      <c r="Y4385">
        <v>2.2507400000000002E-3</v>
      </c>
      <c r="Z4385">
        <v>2.3309280000000001E-4</v>
      </c>
      <c r="AA4385">
        <v>0.99999740000000004</v>
      </c>
      <c r="AB4385">
        <v>36</v>
      </c>
      <c r="AC4385">
        <v>44.765700000000002</v>
      </c>
      <c r="AD4385">
        <v>-1.1206131173912</v>
      </c>
      <c r="AE4385">
        <v>-0.87530000000000996</v>
      </c>
      <c r="AF4385">
        <v>0.101718731154437</v>
      </c>
      <c r="AG4385">
        <v>-1.1206131173912</v>
      </c>
      <c r="AH4385">
        <v>44.746111677533499</v>
      </c>
      <c r="AI4385">
        <v>91.434601034303896</v>
      </c>
      <c r="AJ4385">
        <v>89.869753063784898</v>
      </c>
      <c r="AK4385">
        <v>44.760257268222198</v>
      </c>
      <c r="AL4385">
        <v>93.864139350344502</v>
      </c>
      <c r="AM4385">
        <v>90.047855956091894</v>
      </c>
      <c r="AN4385">
        <v>0.99999999474582502</v>
      </c>
    </row>
    <row r="4386" spans="1:40" x14ac:dyDescent="0.25">
      <c r="A4386" t="str">
        <f>"20190303154224439"</f>
        <v>20190303154224439</v>
      </c>
      <c r="B4386" t="str">
        <f>"1551598944434535"</f>
        <v>1551598944434535</v>
      </c>
      <c r="C4386" t="s">
        <v>40</v>
      </c>
      <c r="D4386">
        <v>5.6903949999999996</v>
      </c>
      <c r="E4386">
        <v>0.50139250000000002</v>
      </c>
      <c r="F4386" t="s">
        <v>50</v>
      </c>
      <c r="G4386">
        <v>-254.22839999999999</v>
      </c>
      <c r="H4386" s="1">
        <v>7.2505049999999996E-7</v>
      </c>
      <c r="I4386">
        <v>214.34870000000001</v>
      </c>
      <c r="J4386">
        <v>-298.93169999999998</v>
      </c>
      <c r="K4386">
        <v>1.1206229999999999</v>
      </c>
      <c r="L4386">
        <v>215.20490000000001</v>
      </c>
      <c r="M4386">
        <v>0.99981690000000001</v>
      </c>
      <c r="N4386">
        <v>-9.1485739999999996E-3</v>
      </c>
      <c r="O4386">
        <v>-1.6810640000000002E-2</v>
      </c>
      <c r="P4386">
        <v>0.99695900000000004</v>
      </c>
      <c r="Q4386">
        <v>-7.6218220000000003E-2</v>
      </c>
      <c r="R4386">
        <v>-1.624287E-2</v>
      </c>
      <c r="S4386">
        <v>3.0025940000000002</v>
      </c>
      <c r="T4386">
        <v>-7.4671390000000004E-2</v>
      </c>
      <c r="U4386">
        <v>-5.7434079999999998E-2</v>
      </c>
      <c r="V4386">
        <v>-4.4942119999999999E-4</v>
      </c>
      <c r="W4386">
        <v>-6.7093570000000005E-2</v>
      </c>
      <c r="X4386">
        <v>0.99774660000000004</v>
      </c>
      <c r="Y4386">
        <v>2.3147829999999999E-3</v>
      </c>
      <c r="Z4386">
        <v>2.2478170000000001E-4</v>
      </c>
      <c r="AA4386">
        <v>0.99999729999999998</v>
      </c>
      <c r="AB4386">
        <v>36</v>
      </c>
      <c r="AC4386">
        <v>44.703299999999899</v>
      </c>
      <c r="AD4386">
        <v>-1.1206222749494901</v>
      </c>
      <c r="AE4386">
        <v>-0.85620000000000096</v>
      </c>
      <c r="AF4386">
        <v>0.104490877127496</v>
      </c>
      <c r="AG4386">
        <v>-1.1206222749494901</v>
      </c>
      <c r="AH4386">
        <v>44.683307476195303</v>
      </c>
      <c r="AI4386">
        <v>91.436628098814595</v>
      </c>
      <c r="AJ4386">
        <v>89.866015394066096</v>
      </c>
      <c r="AK4386">
        <v>44.697479566959103</v>
      </c>
      <c r="AL4386">
        <v>93.847068324696806</v>
      </c>
      <c r="AM4386">
        <v>90.025808092197096</v>
      </c>
      <c r="AN4386">
        <v>1.0000000134631599</v>
      </c>
    </row>
    <row r="4387" spans="1:40" x14ac:dyDescent="0.25">
      <c r="A4387" t="str">
        <f>"20190303154224460"</f>
        <v>20190303154224460</v>
      </c>
      <c r="B4387" t="str">
        <f>"1551598944454054"</f>
        <v>1551598944454054</v>
      </c>
      <c r="C4387" t="s">
        <v>40</v>
      </c>
      <c r="D4387">
        <v>5.6859549999999999</v>
      </c>
      <c r="E4387">
        <v>0.50102729999999995</v>
      </c>
      <c r="F4387" t="s">
        <v>50</v>
      </c>
      <c r="G4387">
        <v>-254.67760000000001</v>
      </c>
      <c r="H4387" s="1">
        <v>9.6355840000000005E-7</v>
      </c>
      <c r="I4387">
        <v>214.36060000000001</v>
      </c>
      <c r="J4387">
        <v>-298.59190000000001</v>
      </c>
      <c r="K4387">
        <v>1.1206320000000001</v>
      </c>
      <c r="L4387">
        <v>215.1996</v>
      </c>
      <c r="M4387">
        <v>0.99982400000000005</v>
      </c>
      <c r="N4387">
        <v>-9.1800949999999992E-3</v>
      </c>
      <c r="O4387">
        <v>-1.63687E-2</v>
      </c>
      <c r="P4387">
        <v>0.99696609999999997</v>
      </c>
      <c r="Q4387">
        <v>-7.6147060000000003E-2</v>
      </c>
      <c r="R4387">
        <v>-1.6145429999999999E-2</v>
      </c>
      <c r="S4387">
        <v>3.0024109999999999</v>
      </c>
      <c r="T4387">
        <v>-7.6028349999999995E-2</v>
      </c>
      <c r="U4387">
        <v>-5.7281489999999997E-2</v>
      </c>
      <c r="V4387">
        <v>-1.0592140000000001E-4</v>
      </c>
      <c r="W4387">
        <v>-6.6990549999999996E-2</v>
      </c>
      <c r="X4387">
        <v>0.99775360000000002</v>
      </c>
      <c r="Y4387">
        <v>2.7070100000000001E-3</v>
      </c>
      <c r="Z4387">
        <v>2.1741499999999999E-4</v>
      </c>
      <c r="AA4387">
        <v>0.99999629999999995</v>
      </c>
      <c r="AB4387">
        <v>36</v>
      </c>
      <c r="AC4387">
        <v>43.914299999999997</v>
      </c>
      <c r="AD4387">
        <v>-1.1206310364415999</v>
      </c>
      <c r="AE4387">
        <v>-0.83899999999999797</v>
      </c>
      <c r="AF4387">
        <v>0.119959288547416</v>
      </c>
      <c r="AG4387">
        <v>-1.1206310364415999</v>
      </c>
      <c r="AH4387">
        <v>43.893576953235701</v>
      </c>
      <c r="AI4387">
        <v>91.462474663466807</v>
      </c>
      <c r="AJ4387">
        <v>89.843413448793498</v>
      </c>
      <c r="AK4387">
        <v>43.908043703863299</v>
      </c>
      <c r="AL4387">
        <v>93.841152472118793</v>
      </c>
      <c r="AM4387">
        <v>90.006082512914304</v>
      </c>
      <c r="AN4387">
        <v>0.999999995660802</v>
      </c>
    </row>
    <row r="4388" spans="1:40" x14ac:dyDescent="0.25">
      <c r="A4388" t="str">
        <f>"20190303154224483"</f>
        <v>20190303154224483</v>
      </c>
      <c r="B4388" t="str">
        <f>"1551598944473574"</f>
        <v>1551598944473574</v>
      </c>
      <c r="C4388" t="s">
        <v>40</v>
      </c>
      <c r="D4388">
        <v>5.6844700000000001</v>
      </c>
      <c r="E4388">
        <v>0.50113459999999999</v>
      </c>
      <c r="F4388" t="s">
        <v>50</v>
      </c>
      <c r="G4388">
        <v>-253.69470000000001</v>
      </c>
      <c r="H4388" s="1">
        <v>4.3920309999999998E-7</v>
      </c>
      <c r="I4388">
        <v>214.3905</v>
      </c>
      <c r="J4388">
        <v>-298.21559999999999</v>
      </c>
      <c r="K4388">
        <v>1.120641</v>
      </c>
      <c r="L4388">
        <v>215.19390000000001</v>
      </c>
      <c r="M4388">
        <v>0.99983140000000004</v>
      </c>
      <c r="N4388">
        <v>-9.2210460000000001E-3</v>
      </c>
      <c r="O4388">
        <v>-1.5879250000000001E-2</v>
      </c>
      <c r="P4388">
        <v>0.99695999999999996</v>
      </c>
      <c r="Q4388">
        <v>-7.6448020000000005E-2</v>
      </c>
      <c r="R4388">
        <v>-1.5057879999999999E-2</v>
      </c>
      <c r="S4388">
        <v>3.0025019999999998</v>
      </c>
      <c r="T4388">
        <v>-7.4942229999999999E-2</v>
      </c>
      <c r="U4388">
        <v>-5.4107669999999997E-2</v>
      </c>
      <c r="V4388">
        <v>-7.044226E-4</v>
      </c>
      <c r="W4388">
        <v>-6.7251480000000002E-2</v>
      </c>
      <c r="X4388">
        <v>0.99773579999999995</v>
      </c>
      <c r="Y4388">
        <v>2.1393720000000001E-3</v>
      </c>
      <c r="Z4388">
        <v>2.132546E-4</v>
      </c>
      <c r="AA4388">
        <v>0.99999769999999999</v>
      </c>
      <c r="AB4388">
        <v>36</v>
      </c>
      <c r="AC4388">
        <v>44.520899999999898</v>
      </c>
      <c r="AD4388">
        <v>-1.1206405607968899</v>
      </c>
      <c r="AE4388">
        <v>-0.80340000000001</v>
      </c>
      <c r="AF4388">
        <v>9.6249177541951905E-2</v>
      </c>
      <c r="AG4388">
        <v>-1.1206405607968899</v>
      </c>
      <c r="AH4388">
        <v>44.499858855695798</v>
      </c>
      <c r="AI4388">
        <v>91.442572133444799</v>
      </c>
      <c r="AJ4388">
        <v>89.876074594458203</v>
      </c>
      <c r="AK4388">
        <v>44.514071228629803</v>
      </c>
      <c r="AL4388">
        <v>93.856136464632598</v>
      </c>
      <c r="AM4388">
        <v>90.040452026746493</v>
      </c>
      <c r="AN4388">
        <v>0.99999999218751401</v>
      </c>
    </row>
    <row r="4389" spans="1:40" x14ac:dyDescent="0.25">
      <c r="A4389" t="str">
        <f>"20190303154224505"</f>
        <v>20190303154224505</v>
      </c>
      <c r="B4389" t="str">
        <f>"1551598944494071"</f>
        <v>1551598944494071</v>
      </c>
      <c r="C4389" t="s">
        <v>40</v>
      </c>
      <c r="D4389">
        <v>5.6845739999999996</v>
      </c>
      <c r="E4389">
        <v>0.50134279999999998</v>
      </c>
      <c r="F4389" t="s">
        <v>50</v>
      </c>
      <c r="G4389">
        <v>-254.83920000000001</v>
      </c>
      <c r="H4389" s="1">
        <v>1.0457359999999999E-6</v>
      </c>
      <c r="I4389">
        <v>214.44900000000001</v>
      </c>
      <c r="J4389">
        <v>-297.85140000000001</v>
      </c>
      <c r="K4389">
        <v>1.1206480000000001</v>
      </c>
      <c r="L4389">
        <v>215.1885</v>
      </c>
      <c r="M4389">
        <v>0.99983840000000002</v>
      </c>
      <c r="N4389">
        <v>-9.268554E-3</v>
      </c>
      <c r="O4389">
        <v>-1.540568E-2</v>
      </c>
      <c r="P4389">
        <v>0.9970483</v>
      </c>
      <c r="Q4389">
        <v>-7.5656169999999995E-2</v>
      </c>
      <c r="R4389">
        <v>-1.307258E-2</v>
      </c>
      <c r="S4389">
        <v>3.00238</v>
      </c>
      <c r="T4389">
        <v>-7.7567339999999999E-2</v>
      </c>
      <c r="U4389">
        <v>-5.155945E-2</v>
      </c>
      <c r="V4389">
        <v>-2.2188820000000001E-3</v>
      </c>
      <c r="W4389">
        <v>-6.6413369999999999E-2</v>
      </c>
      <c r="X4389">
        <v>0.9977897</v>
      </c>
      <c r="Y4389">
        <v>1.7655279999999999E-3</v>
      </c>
      <c r="Z4389">
        <v>2.2412929999999999E-4</v>
      </c>
      <c r="AA4389">
        <v>0.99999839999999995</v>
      </c>
      <c r="AB4389">
        <v>36</v>
      </c>
      <c r="AC4389">
        <v>43.0122</v>
      </c>
      <c r="AD4389">
        <v>-1.1206469542640001</v>
      </c>
      <c r="AE4389">
        <v>-0.73949999999999205</v>
      </c>
      <c r="AF4389">
        <v>7.6699551944659203E-2</v>
      </c>
      <c r="AG4389">
        <v>-1.1206469542640001</v>
      </c>
      <c r="AH4389">
        <v>42.989314736280399</v>
      </c>
      <c r="AI4389">
        <v>91.493247819891707</v>
      </c>
      <c r="AJ4389">
        <v>89.897775622128094</v>
      </c>
      <c r="AK4389">
        <v>43.003987186217302</v>
      </c>
      <c r="AL4389">
        <v>93.808008769551407</v>
      </c>
      <c r="AM4389">
        <v>90.127413987406001</v>
      </c>
      <c r="AN4389">
        <v>0.99999997228908799</v>
      </c>
    </row>
    <row r="4390" spans="1:40" x14ac:dyDescent="0.25">
      <c r="A4390" t="str">
        <f>"20190303154224527"</f>
        <v>20190303154224527</v>
      </c>
      <c r="B4390" t="str">
        <f>"1551598944524327"</f>
        <v>1551598944524327</v>
      </c>
      <c r="C4390" t="s">
        <v>40</v>
      </c>
      <c r="D4390">
        <v>5.6855250000000002</v>
      </c>
      <c r="E4390">
        <v>0.50166909999999998</v>
      </c>
      <c r="F4390" t="s">
        <v>50</v>
      </c>
      <c r="G4390">
        <v>-253.84889999999999</v>
      </c>
      <c r="H4390" s="1">
        <v>5.1663110000000001E-7</v>
      </c>
      <c r="I4390">
        <v>214.49709999999999</v>
      </c>
      <c r="J4390">
        <v>-297.50099999999998</v>
      </c>
      <c r="K4390">
        <v>1.1206529999999999</v>
      </c>
      <c r="L4390">
        <v>215.18360000000001</v>
      </c>
      <c r="M4390">
        <v>0.99984470000000003</v>
      </c>
      <c r="N4390">
        <v>-9.3242129999999996E-3</v>
      </c>
      <c r="O4390">
        <v>-1.4952429999999999E-2</v>
      </c>
      <c r="P4390">
        <v>0.99704619999999999</v>
      </c>
      <c r="Q4390">
        <v>-7.600345E-2</v>
      </c>
      <c r="R4390">
        <v>-1.107257E-2</v>
      </c>
      <c r="S4390">
        <v>3.0024410000000001</v>
      </c>
      <c r="T4390">
        <v>-7.6465729999999996E-2</v>
      </c>
      <c r="U4390">
        <v>-4.7180180000000002E-2</v>
      </c>
      <c r="V4390">
        <v>-3.7660520000000002E-3</v>
      </c>
      <c r="W4390">
        <v>-6.6707039999999995E-2</v>
      </c>
      <c r="X4390">
        <v>0.99776549999999997</v>
      </c>
      <c r="Y4390">
        <v>7.6061710000000003E-4</v>
      </c>
      <c r="Z4390">
        <v>2.2806089999999999E-4</v>
      </c>
      <c r="AA4390">
        <v>0.99999970000000005</v>
      </c>
      <c r="AB4390">
        <v>36</v>
      </c>
      <c r="AC4390">
        <v>43.652099999999898</v>
      </c>
      <c r="AD4390">
        <v>-1.1206524833689</v>
      </c>
      <c r="AE4390">
        <v>-0.68650000000002298</v>
      </c>
      <c r="AF4390">
        <v>3.36676986128795E-2</v>
      </c>
      <c r="AG4390">
        <v>-1.1206524833689</v>
      </c>
      <c r="AH4390">
        <v>43.628737541663199</v>
      </c>
      <c r="AI4390">
        <v>91.471381630158902</v>
      </c>
      <c r="AJ4390">
        <v>89.955785641248795</v>
      </c>
      <c r="AK4390">
        <v>43.643140755240601</v>
      </c>
      <c r="AL4390">
        <v>93.824872101509001</v>
      </c>
      <c r="AM4390">
        <v>90.216261095738304</v>
      </c>
      <c r="AN4390">
        <v>1.0000000026617299</v>
      </c>
    </row>
    <row r="4391" spans="1:40" x14ac:dyDescent="0.25">
      <c r="A4391" t="str">
        <f>"20190303154224550"</f>
        <v>20190303154224550</v>
      </c>
      <c r="B4391" t="str">
        <f>"1551598944543849"</f>
        <v>1551598944543849</v>
      </c>
      <c r="C4391" t="s">
        <v>40</v>
      </c>
      <c r="D4391">
        <v>5.6591089999999999</v>
      </c>
      <c r="E4391">
        <v>0.50178069999999997</v>
      </c>
      <c r="F4391" t="s">
        <v>50</v>
      </c>
      <c r="G4391">
        <v>-254.6952</v>
      </c>
      <c r="H4391" s="1">
        <v>9.6408180000000006E-7</v>
      </c>
      <c r="I4391">
        <v>214.56309999999999</v>
      </c>
      <c r="J4391">
        <v>-297.1293</v>
      </c>
      <c r="K4391">
        <v>1.1206640000000001</v>
      </c>
      <c r="L4391">
        <v>215.17850000000001</v>
      </c>
      <c r="M4391">
        <v>0.99985100000000005</v>
      </c>
      <c r="N4391">
        <v>-9.3981949999999998E-3</v>
      </c>
      <c r="O4391">
        <v>-1.4475790000000001E-2</v>
      </c>
      <c r="P4391">
        <v>0.99705829999999995</v>
      </c>
      <c r="Q4391">
        <v>-7.6015040000000006E-2</v>
      </c>
      <c r="R4391">
        <v>-9.8372890000000008E-3</v>
      </c>
      <c r="S4391">
        <v>3.00238</v>
      </c>
      <c r="T4391">
        <v>-7.8602080000000005E-2</v>
      </c>
      <c r="U4391">
        <v>-4.3518069999999999E-2</v>
      </c>
      <c r="V4391">
        <v>-4.5263530000000003E-3</v>
      </c>
      <c r="W4391">
        <v>-6.6645670000000004E-2</v>
      </c>
      <c r="X4391">
        <v>0.99776640000000005</v>
      </c>
      <c r="Y4391" s="1">
        <v>1.8602049999999999E-5</v>
      </c>
      <c r="Z4391">
        <v>2.4250509999999999E-4</v>
      </c>
      <c r="AA4391">
        <v>1</v>
      </c>
      <c r="AB4391">
        <v>36</v>
      </c>
      <c r="AC4391">
        <v>42.434100000000001</v>
      </c>
      <c r="AD4391">
        <v>-1.1206630359181999</v>
      </c>
      <c r="AE4391">
        <v>-0.61540000000002204</v>
      </c>
      <c r="AF4391">
        <v>1.0405054400489601E-3</v>
      </c>
      <c r="AG4391">
        <v>-1.1206630359181999</v>
      </c>
      <c r="AH4391">
        <v>42.408989759352899</v>
      </c>
      <c r="AI4391">
        <v>91.513696112795003</v>
      </c>
      <c r="AJ4391">
        <v>89.998594246866006</v>
      </c>
      <c r="AK4391">
        <v>42.4237940209456</v>
      </c>
      <c r="AL4391">
        <v>93.821348176343307</v>
      </c>
      <c r="AM4391">
        <v>90.259919701099705</v>
      </c>
      <c r="AN4391">
        <v>0.99999996108509404</v>
      </c>
    </row>
    <row r="4392" spans="1:40" x14ac:dyDescent="0.25">
      <c r="A4392" t="str">
        <f>"20190303154224573"</f>
        <v>20190303154224573</v>
      </c>
      <c r="B4392" t="str">
        <f>"1551598944564346"</f>
        <v>1551598944564346</v>
      </c>
      <c r="C4392" t="s">
        <v>40</v>
      </c>
      <c r="D4392">
        <v>5.6622839999999997</v>
      </c>
      <c r="E4392">
        <v>0.50198710000000002</v>
      </c>
      <c r="F4392" t="s">
        <v>50</v>
      </c>
      <c r="G4392">
        <v>-255.018</v>
      </c>
      <c r="H4392" s="1">
        <v>1.1339109999999999E-6</v>
      </c>
      <c r="I4392">
        <v>214.60749999999999</v>
      </c>
      <c r="J4392">
        <v>-296.76</v>
      </c>
      <c r="K4392">
        <v>1.120676</v>
      </c>
      <c r="L4392">
        <v>215.17349999999999</v>
      </c>
      <c r="M4392">
        <v>0.99985690000000005</v>
      </c>
      <c r="N4392">
        <v>-9.4885990000000003E-3</v>
      </c>
      <c r="O4392">
        <v>-1.400817E-2</v>
      </c>
      <c r="P4392">
        <v>0.99699839999999995</v>
      </c>
      <c r="Q4392">
        <v>-7.6879499999999906E-2</v>
      </c>
      <c r="R4392">
        <v>-9.1675330000000003E-3</v>
      </c>
      <c r="S4392">
        <v>3.002319</v>
      </c>
      <c r="T4392">
        <v>-7.9897399999999993E-2</v>
      </c>
      <c r="U4392">
        <v>-4.0710450000000002E-2</v>
      </c>
      <c r="V4392">
        <v>-4.728309E-3</v>
      </c>
      <c r="W4392">
        <v>-6.7420729999999998E-2</v>
      </c>
      <c r="X4392">
        <v>0.99771339999999997</v>
      </c>
      <c r="Y4392">
        <v>-4.4815730000000002E-4</v>
      </c>
      <c r="Z4392">
        <v>2.4786550000000001E-4</v>
      </c>
      <c r="AA4392">
        <v>0.99999990000000005</v>
      </c>
      <c r="AB4392">
        <v>36</v>
      </c>
      <c r="AC4392">
        <v>41.741999999999898</v>
      </c>
      <c r="AD4392">
        <v>-1.120674866089</v>
      </c>
      <c r="AE4392">
        <v>-0.56600000000000195</v>
      </c>
      <c r="AF4392">
        <v>-1.8797326225561999E-2</v>
      </c>
      <c r="AG4392">
        <v>-1.120674866089</v>
      </c>
      <c r="AH4392">
        <v>41.715769860035103</v>
      </c>
      <c r="AI4392">
        <v>91.538854336776396</v>
      </c>
      <c r="AJ4392">
        <v>90.025817751645803</v>
      </c>
      <c r="AK4392">
        <v>41.730824584596597</v>
      </c>
      <c r="AL4392">
        <v>93.865855920346803</v>
      </c>
      <c r="AM4392">
        <v>90.271531004572196</v>
      </c>
      <c r="AN4392">
        <v>0.99999997013964503</v>
      </c>
    </row>
    <row r="4393" spans="1:40" x14ac:dyDescent="0.25">
      <c r="A4393" t="str">
        <f>"20190303154224595"</f>
        <v>20190303154224595</v>
      </c>
      <c r="B4393" t="str">
        <f>"1551598944583862"</f>
        <v>1551598944583862</v>
      </c>
      <c r="C4393" t="s">
        <v>40</v>
      </c>
      <c r="D4393">
        <v>5.6474799999999998</v>
      </c>
      <c r="E4393">
        <v>0.50231910000000002</v>
      </c>
      <c r="F4393" t="s">
        <v>50</v>
      </c>
      <c r="G4393">
        <v>-257.02190000000002</v>
      </c>
      <c r="H4393" s="1">
        <v>2.199028E-6</v>
      </c>
      <c r="I4393">
        <v>214.63589999999999</v>
      </c>
      <c r="J4393">
        <v>-296.39449999999999</v>
      </c>
      <c r="K4393">
        <v>1.1206940000000001</v>
      </c>
      <c r="L4393">
        <v>215.16890000000001</v>
      </c>
      <c r="M4393">
        <v>0.99986220000000003</v>
      </c>
      <c r="N4393">
        <v>-9.5949120000000006E-3</v>
      </c>
      <c r="O4393">
        <v>-1.3550889999999999E-2</v>
      </c>
      <c r="P4393">
        <v>0.99697159999999996</v>
      </c>
      <c r="Q4393">
        <v>-7.7172870000000005E-2</v>
      </c>
      <c r="R4393">
        <v>-9.5995579999999994E-3</v>
      </c>
      <c r="S4393">
        <v>3.0021360000000001</v>
      </c>
      <c r="T4393">
        <v>-8.4664580000000003E-2</v>
      </c>
      <c r="U4393">
        <v>-4.0618899999999999E-2</v>
      </c>
      <c r="V4393">
        <v>-3.840039E-3</v>
      </c>
      <c r="W4393">
        <v>-6.7607210000000001E-2</v>
      </c>
      <c r="X4393">
        <v>0.99770460000000005</v>
      </c>
      <c r="Y4393" s="1">
        <v>-2.0401659999999999E-5</v>
      </c>
      <c r="Z4393">
        <v>2.5242370000000001E-4</v>
      </c>
      <c r="AA4393">
        <v>0.99999990000000005</v>
      </c>
      <c r="AB4393">
        <v>36</v>
      </c>
      <c r="AC4393">
        <v>39.372599999999899</v>
      </c>
      <c r="AD4393">
        <v>-1.1206918009719999</v>
      </c>
      <c r="AE4393">
        <v>-0.53300000000001502</v>
      </c>
      <c r="AF4393">
        <v>-6.0675544005006599E-4</v>
      </c>
      <c r="AG4393">
        <v>-1.1206918009719999</v>
      </c>
      <c r="AH4393">
        <v>39.344337177918597</v>
      </c>
      <c r="AI4393">
        <v>91.631583031978806</v>
      </c>
      <c r="AJ4393">
        <v>90.0008835966851</v>
      </c>
      <c r="AK4393">
        <v>39.360294948725503</v>
      </c>
      <c r="AL4393">
        <v>93.876564853849104</v>
      </c>
      <c r="AM4393">
        <v>90.220523130231896</v>
      </c>
      <c r="AN4393">
        <v>0.99999997480233205</v>
      </c>
    </row>
    <row r="4394" spans="1:40" x14ac:dyDescent="0.25">
      <c r="A4394" t="str">
        <f>"20190303154224618"</f>
        <v>20190303154224618</v>
      </c>
      <c r="B4394" t="str">
        <f>"1551598944614119"</f>
        <v>1551598944614119</v>
      </c>
      <c r="C4394" t="s">
        <v>40</v>
      </c>
      <c r="D4394">
        <v>5.6155099999999996</v>
      </c>
      <c r="E4394">
        <v>0.50267709999999999</v>
      </c>
      <c r="F4394" t="s">
        <v>50</v>
      </c>
      <c r="G4394">
        <v>-256.91199999999998</v>
      </c>
      <c r="H4394" s="1">
        <v>2.1428640000000001E-6</v>
      </c>
      <c r="I4394">
        <v>214.58369999999999</v>
      </c>
      <c r="J4394">
        <v>-296.0247</v>
      </c>
      <c r="K4394">
        <v>1.1207049999999901</v>
      </c>
      <c r="L4394">
        <v>215.1643</v>
      </c>
      <c r="M4394">
        <v>0.99986699999999995</v>
      </c>
      <c r="N4394">
        <v>-9.7301969999999995E-3</v>
      </c>
      <c r="O4394">
        <v>-1.309661E-2</v>
      </c>
      <c r="P4394">
        <v>0.99703759999999997</v>
      </c>
      <c r="Q4394">
        <v>-7.6138209999999998E-2</v>
      </c>
      <c r="R4394">
        <v>-1.0911290000000001E-2</v>
      </c>
      <c r="S4394">
        <v>3.0021059999999999</v>
      </c>
      <c r="T4394">
        <v>-8.5213419999999998E-2</v>
      </c>
      <c r="U4394">
        <v>-4.449463E-2</v>
      </c>
      <c r="V4394">
        <v>-2.078047E-3</v>
      </c>
      <c r="W4394">
        <v>-6.6434899999999894E-2</v>
      </c>
      <c r="X4394">
        <v>0.99778860000000003</v>
      </c>
      <c r="Y4394">
        <v>1.7237979999999999E-3</v>
      </c>
      <c r="Z4394">
        <v>2.113638E-4</v>
      </c>
      <c r="AA4394">
        <v>0.99999850000000001</v>
      </c>
      <c r="AB4394">
        <v>36</v>
      </c>
      <c r="AC4394">
        <v>39.112699999999897</v>
      </c>
      <c r="AD4394">
        <v>-1.12070285713599</v>
      </c>
      <c r="AE4394">
        <v>-0.580600000000004</v>
      </c>
      <c r="AF4394">
        <v>6.8226225661075293E-2</v>
      </c>
      <c r="AG4394">
        <v>-1.12070285713599</v>
      </c>
      <c r="AH4394">
        <v>39.084867691513701</v>
      </c>
      <c r="AI4394">
        <v>91.642422268172695</v>
      </c>
      <c r="AJ4394">
        <v>89.899985057058004</v>
      </c>
      <c r="AK4394">
        <v>39.100991191720397</v>
      </c>
      <c r="AL4394">
        <v>93.809244963822096</v>
      </c>
      <c r="AM4394">
        <v>90.119327030381797</v>
      </c>
      <c r="AN4394">
        <v>1.0000000022536499</v>
      </c>
    </row>
    <row r="4395" spans="1:40" x14ac:dyDescent="0.25">
      <c r="A4395" t="str">
        <f>"20190303154224640"</f>
        <v>20190303154224640</v>
      </c>
      <c r="B4395" t="str">
        <f>"1551598944634615"</f>
        <v>1551598944634615</v>
      </c>
      <c r="C4395" t="s">
        <v>40</v>
      </c>
      <c r="D4395">
        <v>5.6092329999999997</v>
      </c>
      <c r="E4395">
        <v>0.50288980000000005</v>
      </c>
      <c r="F4395" t="s">
        <v>50</v>
      </c>
      <c r="G4395">
        <v>-254.80609999999999</v>
      </c>
      <c r="H4395" s="1">
        <v>1.027435E-6</v>
      </c>
      <c r="I4395">
        <v>214.4639</v>
      </c>
      <c r="J4395">
        <v>-295.65949999999998</v>
      </c>
      <c r="K4395">
        <v>1.1207309999999999</v>
      </c>
      <c r="L4395">
        <v>215.15989999999999</v>
      </c>
      <c r="M4395">
        <v>0.99987099999999995</v>
      </c>
      <c r="N4395">
        <v>-9.9070389999999994E-3</v>
      </c>
      <c r="O4395">
        <v>-1.2654429999999999E-2</v>
      </c>
      <c r="P4395">
        <v>0.99710200000000004</v>
      </c>
      <c r="Q4395">
        <v>-7.4904460000000006E-2</v>
      </c>
      <c r="R4395">
        <v>-1.332935E-2</v>
      </c>
      <c r="S4395">
        <v>3.0021360000000001</v>
      </c>
      <c r="T4395">
        <v>-8.1625939999999994E-2</v>
      </c>
      <c r="U4395">
        <v>-5.1010130000000001E-2</v>
      </c>
      <c r="V4395">
        <v>7.7786420000000003E-4</v>
      </c>
      <c r="W4395">
        <v>-6.502078E-2</v>
      </c>
      <c r="X4395">
        <v>0.99788359999999998</v>
      </c>
      <c r="Y4395">
        <v>4.333946E-3</v>
      </c>
      <c r="Z4395">
        <v>1.3822810000000001E-4</v>
      </c>
      <c r="AA4395">
        <v>0.99999059999999995</v>
      </c>
      <c r="AB4395">
        <v>36</v>
      </c>
      <c r="AC4395">
        <v>40.853399999999901</v>
      </c>
      <c r="AD4395">
        <v>-1.120729972565</v>
      </c>
      <c r="AE4395">
        <v>-0.69599999999999795</v>
      </c>
      <c r="AF4395">
        <v>0.178807954260706</v>
      </c>
      <c r="AG4395">
        <v>-1.120729972565</v>
      </c>
      <c r="AH4395">
        <v>40.828219358971097</v>
      </c>
      <c r="AI4395">
        <v>91.5723527072915</v>
      </c>
      <c r="AJ4395">
        <v>89.749073660714103</v>
      </c>
      <c r="AK4395">
        <v>40.843989814661498</v>
      </c>
      <c r="AL4395">
        <v>93.728046298776903</v>
      </c>
      <c r="AM4395">
        <v>89.955337148874705</v>
      </c>
      <c r="AN4395">
        <v>0.99999999302674003</v>
      </c>
    </row>
    <row r="4396" spans="1:40" x14ac:dyDescent="0.25">
      <c r="A4396" t="str">
        <f>"20190303154224661"</f>
        <v>20190303154224661</v>
      </c>
      <c r="B4396" t="str">
        <f>"1551598944654134"</f>
        <v>1551598944654134</v>
      </c>
      <c r="C4396" t="s">
        <v>40</v>
      </c>
      <c r="D4396">
        <v>5.5821160000000001</v>
      </c>
      <c r="E4396">
        <v>0.50300100000000003</v>
      </c>
      <c r="F4396" t="s">
        <v>50</v>
      </c>
      <c r="G4396">
        <v>-252.29320000000001</v>
      </c>
      <c r="H4396" s="1">
        <v>-3.0250929999999998E-7</v>
      </c>
      <c r="I4396">
        <v>214.29759999999999</v>
      </c>
      <c r="J4396">
        <v>-295.30849999999998</v>
      </c>
      <c r="K4396">
        <v>1.120762</v>
      </c>
      <c r="L4396">
        <v>215.1559</v>
      </c>
      <c r="M4396">
        <v>0.99987409999999999</v>
      </c>
      <c r="N4396">
        <v>-1.010171E-2</v>
      </c>
      <c r="O4396">
        <v>-1.2235330000000001E-2</v>
      </c>
      <c r="P4396">
        <v>0.99703330000000001</v>
      </c>
      <c r="Q4396">
        <v>-7.5198769999999998E-2</v>
      </c>
      <c r="R4396">
        <v>-1.6431189999999998E-2</v>
      </c>
      <c r="S4396">
        <v>3.0021059999999999</v>
      </c>
      <c r="T4396">
        <v>-7.7584509999999995E-2</v>
      </c>
      <c r="U4396">
        <v>-5.9692380000000003E-2</v>
      </c>
      <c r="V4396">
        <v>4.2984499999999997E-3</v>
      </c>
      <c r="W4396">
        <v>-6.5117469999999997E-2</v>
      </c>
      <c r="X4396">
        <v>0.99786839999999999</v>
      </c>
      <c r="Y4396">
        <v>7.6425169999999997E-3</v>
      </c>
      <c r="Z4396" s="1">
        <v>5.5177399999999998E-5</v>
      </c>
      <c r="AA4396">
        <v>0.99997080000000005</v>
      </c>
      <c r="AB4396">
        <v>37</v>
      </c>
      <c r="AC4396">
        <v>43.015299999999897</v>
      </c>
      <c r="AD4396">
        <v>-1.1207623025093001</v>
      </c>
      <c r="AE4396">
        <v>-0.85830000000001405</v>
      </c>
      <c r="AF4396">
        <v>0.33167741697075598</v>
      </c>
      <c r="AG4396">
        <v>-1.1207623025093001</v>
      </c>
      <c r="AH4396">
        <v>42.993406955413498</v>
      </c>
      <c r="AI4396">
        <v>91.493217330862706</v>
      </c>
      <c r="AJ4396">
        <v>89.557994108680106</v>
      </c>
      <c r="AK4396">
        <v>43.009291550564399</v>
      </c>
      <c r="AL4396">
        <v>93.733597770211404</v>
      </c>
      <c r="AM4396">
        <v>89.753192384740004</v>
      </c>
      <c r="AN4396">
        <v>1.0000000526450801</v>
      </c>
    </row>
    <row r="4397" spans="1:40" x14ac:dyDescent="0.25">
      <c r="A4397" t="str">
        <f>"20190303154224684"</f>
        <v>20190303154224684</v>
      </c>
      <c r="B4397" t="str">
        <f>"1551598944673658"</f>
        <v>1551598944673658</v>
      </c>
      <c r="C4397" t="s">
        <v>40</v>
      </c>
      <c r="D4397">
        <v>5.5531899999999998</v>
      </c>
      <c r="E4397">
        <v>0.50305290000000003</v>
      </c>
      <c r="F4397" t="s">
        <v>50</v>
      </c>
      <c r="G4397">
        <v>-252.34309999999999</v>
      </c>
      <c r="H4397" s="1">
        <v>-2.6993599999999999E-7</v>
      </c>
      <c r="I4397">
        <v>214.15889999999999</v>
      </c>
      <c r="J4397">
        <v>-294.94389999999999</v>
      </c>
      <c r="K4397">
        <v>1.120792</v>
      </c>
      <c r="L4397">
        <v>215.15180000000001</v>
      </c>
      <c r="M4397">
        <v>0.99987689999999996</v>
      </c>
      <c r="N4397">
        <v>-1.033275E-2</v>
      </c>
      <c r="O4397">
        <v>-1.180902E-2</v>
      </c>
      <c r="P4397">
        <v>0.99690109999999998</v>
      </c>
      <c r="Q4397">
        <v>-7.6637250000000004E-2</v>
      </c>
      <c r="R4397">
        <v>-1.7749069999999999E-2</v>
      </c>
      <c r="S4397">
        <v>3.0018919999999998</v>
      </c>
      <c r="T4397">
        <v>-7.8305009999999994E-2</v>
      </c>
      <c r="U4397">
        <v>-6.9656369999999995E-2</v>
      </c>
      <c r="V4397">
        <v>6.0441770000000004E-3</v>
      </c>
      <c r="W4397">
        <v>-6.63247E-2</v>
      </c>
      <c r="X4397">
        <v>0.99777979999999999</v>
      </c>
      <c r="Y4397">
        <v>1.1385889999999999E-2</v>
      </c>
      <c r="Z4397" s="1">
        <v>-2.137275E-5</v>
      </c>
      <c r="AA4397">
        <v>0.99993520000000002</v>
      </c>
      <c r="AB4397">
        <v>37</v>
      </c>
      <c r="AC4397">
        <v>42.6007999999999</v>
      </c>
      <c r="AD4397">
        <v>-1.120792269936</v>
      </c>
      <c r="AE4397">
        <v>-0.99290000000001999</v>
      </c>
      <c r="AF4397">
        <v>0.48939165056297301</v>
      </c>
      <c r="AG4397">
        <v>-1.120792269936</v>
      </c>
      <c r="AH4397">
        <v>42.580098178506297</v>
      </c>
      <c r="AI4397">
        <v>91.507690371805893</v>
      </c>
      <c r="AJ4397">
        <v>89.341503596419997</v>
      </c>
      <c r="AK4397">
        <v>42.597657686676001</v>
      </c>
      <c r="AL4397">
        <v>93.802916968982103</v>
      </c>
      <c r="AM4397">
        <v>89.652927833430795</v>
      </c>
      <c r="AN4397">
        <v>1.0000000135968601</v>
      </c>
    </row>
    <row r="4398" spans="1:40" x14ac:dyDescent="0.25">
      <c r="A4398" t="str">
        <f>"20190303154224706"</f>
        <v>20190303154224706</v>
      </c>
      <c r="B4398" t="str">
        <f>"1551598944703910"</f>
        <v>1551598944703910</v>
      </c>
      <c r="C4398" t="s">
        <v>40</v>
      </c>
      <c r="D4398">
        <v>5.5528839999999997</v>
      </c>
      <c r="E4398">
        <v>0.50314859999999995</v>
      </c>
      <c r="F4398" t="s">
        <v>50</v>
      </c>
      <c r="G4398">
        <v>-254.37430000000001</v>
      </c>
      <c r="H4398" s="1">
        <v>8.1119299999999998E-7</v>
      </c>
      <c r="I4398">
        <v>214.15369999999999</v>
      </c>
      <c r="J4398">
        <v>-294.57440000000003</v>
      </c>
      <c r="K4398">
        <v>1.1208279999999999</v>
      </c>
      <c r="L4398">
        <v>215.14789999999999</v>
      </c>
      <c r="M4398">
        <v>0.99987890000000001</v>
      </c>
      <c r="N4398">
        <v>-1.06091E-2</v>
      </c>
      <c r="O4398">
        <v>-1.1392630000000001E-2</v>
      </c>
      <c r="P4398">
        <v>0.99677249999999995</v>
      </c>
      <c r="Q4398">
        <v>-7.8117119999999998E-2</v>
      </c>
      <c r="R4398">
        <v>-1.85016E-2</v>
      </c>
      <c r="S4398">
        <v>3.0016780000000001</v>
      </c>
      <c r="T4398">
        <v>-8.2925440000000003E-2</v>
      </c>
      <c r="U4398">
        <v>-7.3852539999999994E-2</v>
      </c>
      <c r="V4398">
        <v>7.2141449999999999E-3</v>
      </c>
      <c r="W4398">
        <v>-6.7528859999999996E-2</v>
      </c>
      <c r="X4398">
        <v>0.9976912</v>
      </c>
      <c r="Y4398">
        <v>1.3199560000000001E-2</v>
      </c>
      <c r="Z4398" s="1">
        <v>-5.8543869999999998E-5</v>
      </c>
      <c r="AA4398">
        <v>0.99991289999999999</v>
      </c>
      <c r="AB4398">
        <v>37</v>
      </c>
      <c r="AC4398">
        <v>40.200099999999999</v>
      </c>
      <c r="AD4398">
        <v>-1.1208271888070001</v>
      </c>
      <c r="AE4398">
        <v>-0.99420000000000597</v>
      </c>
      <c r="AF4398">
        <v>0.53570868161944196</v>
      </c>
      <c r="AG4398">
        <v>-1.1208271888070001</v>
      </c>
      <c r="AH4398">
        <v>40.177604552200798</v>
      </c>
      <c r="AI4398">
        <v>91.597813350914606</v>
      </c>
      <c r="AJ4398">
        <v>89.236091148357502</v>
      </c>
      <c r="AK4398">
        <v>40.196805158267999</v>
      </c>
      <c r="AL4398">
        <v>93.872065501505006</v>
      </c>
      <c r="AM4398">
        <v>89.585710631017406</v>
      </c>
      <c r="AN4398">
        <v>0.99999996068920904</v>
      </c>
    </row>
    <row r="4399" spans="1:40" x14ac:dyDescent="0.25">
      <c r="A4399" t="str">
        <f>"20190303154224728"</f>
        <v>20190303154224728</v>
      </c>
      <c r="B4399" t="str">
        <f>"1551598944724406"</f>
        <v>1551598944724406</v>
      </c>
      <c r="C4399" t="s">
        <v>40</v>
      </c>
      <c r="D4399">
        <v>5.5528950000000004</v>
      </c>
      <c r="E4399">
        <v>0.50313739999999996</v>
      </c>
      <c r="F4399" t="s">
        <v>50</v>
      </c>
      <c r="G4399">
        <v>-256.29230000000001</v>
      </c>
      <c r="H4399" s="1">
        <v>1.8313609999999999E-6</v>
      </c>
      <c r="I4399">
        <v>214.16560000000001</v>
      </c>
      <c r="J4399">
        <v>-294.22300000000001</v>
      </c>
      <c r="K4399">
        <v>1.1208670000000001</v>
      </c>
      <c r="L4399">
        <v>215.14429999999999</v>
      </c>
      <c r="M4399">
        <v>0.99987969999999904</v>
      </c>
      <c r="N4399">
        <v>-1.0924079999999999E-2</v>
      </c>
      <c r="O4399">
        <v>-1.100696E-2</v>
      </c>
      <c r="P4399">
        <v>0.99666399999999999</v>
      </c>
      <c r="Q4399">
        <v>-7.935992E-2</v>
      </c>
      <c r="R4399">
        <v>-1.9039339999999998E-2</v>
      </c>
      <c r="S4399">
        <v>3.001404</v>
      </c>
      <c r="T4399">
        <v>-8.7875369999999994E-2</v>
      </c>
      <c r="U4399">
        <v>-7.7011109999999994E-2</v>
      </c>
      <c r="V4399">
        <v>8.1372069999999901E-3</v>
      </c>
      <c r="W4399">
        <v>-6.8457680000000007E-2</v>
      </c>
      <c r="X4399">
        <v>0.99762079999999997</v>
      </c>
      <c r="Y4399">
        <v>1.4637610000000001E-2</v>
      </c>
      <c r="Z4399" s="1">
        <v>-9.2279950000000001E-5</v>
      </c>
      <c r="AA4399">
        <v>0.99989280000000003</v>
      </c>
      <c r="AB4399">
        <v>36</v>
      </c>
      <c r="AC4399">
        <v>37.930700000000002</v>
      </c>
      <c r="AD4399">
        <v>-1.1208651686390001</v>
      </c>
      <c r="AE4399">
        <v>-0.97869999999997404</v>
      </c>
      <c r="AF4399">
        <v>0.56062484865255002</v>
      </c>
      <c r="AG4399">
        <v>-1.1208651686390001</v>
      </c>
      <c r="AH4399">
        <v>37.906096655878301</v>
      </c>
      <c r="AI4399">
        <v>91.693530202661805</v>
      </c>
      <c r="AJ4399">
        <v>89.152666753195703</v>
      </c>
      <c r="AK4399">
        <v>37.9268084952054</v>
      </c>
      <c r="AL4399">
        <v>93.925406399743594</v>
      </c>
      <c r="AM4399">
        <v>89.532670851379706</v>
      </c>
      <c r="AN4399">
        <v>0.99999996434069005</v>
      </c>
    </row>
    <row r="4400" spans="1:40" x14ac:dyDescent="0.25">
      <c r="A4400" t="str">
        <f>"20190303154224751"</f>
        <v>20190303154224751</v>
      </c>
      <c r="B4400" t="str">
        <f>"1551598944743930"</f>
        <v>1551598944743930</v>
      </c>
      <c r="C4400" t="s">
        <v>40</v>
      </c>
      <c r="D4400">
        <v>5.7027659999999996</v>
      </c>
      <c r="E4400">
        <v>0.51437549999999999</v>
      </c>
      <c r="F4400" t="s">
        <v>50</v>
      </c>
      <c r="G4400">
        <v>-257.79000000000002</v>
      </c>
      <c r="H4400" s="1">
        <v>2.6273260000000001E-6</v>
      </c>
      <c r="I4400">
        <v>214.18979999999999</v>
      </c>
      <c r="J4400">
        <v>-293.84460000000001</v>
      </c>
      <c r="K4400">
        <v>1.120919</v>
      </c>
      <c r="L4400">
        <v>215.14060000000001</v>
      </c>
      <c r="M4400">
        <v>0.99987999999999999</v>
      </c>
      <c r="N4400">
        <v>-1.131018E-2</v>
      </c>
      <c r="O4400">
        <v>-1.059153E-2</v>
      </c>
      <c r="P4400">
        <v>0.99666770000000005</v>
      </c>
      <c r="Q4400">
        <v>-7.9645889999999997E-2</v>
      </c>
      <c r="R4400">
        <v>-1.7614479999999998E-2</v>
      </c>
      <c r="S4400">
        <v>3.0011899999999998</v>
      </c>
      <c r="T4400">
        <v>-9.233189E-2</v>
      </c>
      <c r="U4400">
        <v>-7.8628539999999997E-2</v>
      </c>
      <c r="V4400">
        <v>7.1231920000000004E-3</v>
      </c>
      <c r="W4400">
        <v>-6.8359899999999904E-2</v>
      </c>
      <c r="X4400">
        <v>0.9976353</v>
      </c>
      <c r="Y4400">
        <v>1.559201E-2</v>
      </c>
      <c r="Z4400">
        <v>-1.220304E-4</v>
      </c>
      <c r="AA4400">
        <v>0.99987839999999995</v>
      </c>
      <c r="AB4400">
        <v>36</v>
      </c>
      <c r="AC4400">
        <v>36.054599999999901</v>
      </c>
      <c r="AD4400">
        <v>-1.1209163726739999</v>
      </c>
      <c r="AE4400">
        <v>-0.95080000000001497</v>
      </c>
      <c r="AF4400">
        <v>0.56829996897957702</v>
      </c>
      <c r="AG4400">
        <v>-1.1209163726739999</v>
      </c>
      <c r="AH4400">
        <v>36.027849866219498</v>
      </c>
      <c r="AI4400">
        <v>91.781818406073796</v>
      </c>
      <c r="AJ4400">
        <v>89.096296624400594</v>
      </c>
      <c r="AK4400">
        <v>36.049762611591902</v>
      </c>
      <c r="AL4400">
        <v>93.919790708211295</v>
      </c>
      <c r="AM4400">
        <v>89.590910723677695</v>
      </c>
      <c r="AN4400">
        <v>1.0000000037991801</v>
      </c>
    </row>
    <row r="4401" spans="1:40" x14ac:dyDescent="0.25">
      <c r="A4401" t="str">
        <f>"20190303154224773"</f>
        <v>20190303154224773</v>
      </c>
      <c r="B4401" t="str">
        <f>"1551598944764422"</f>
        <v>1551598944764422</v>
      </c>
      <c r="C4401" t="s">
        <v>40</v>
      </c>
      <c r="D4401">
        <v>5.5984829999999999</v>
      </c>
      <c r="E4401">
        <v>0.52161539999999995</v>
      </c>
      <c r="F4401" t="s">
        <v>50</v>
      </c>
      <c r="G4401">
        <v>-277.45429999999999</v>
      </c>
      <c r="H4401" s="1">
        <v>2.447028E-6</v>
      </c>
      <c r="I4401">
        <v>214.227</v>
      </c>
      <c r="J4401">
        <v>-293.49380000000002</v>
      </c>
      <c r="K4401">
        <v>1.1209579999999999</v>
      </c>
      <c r="L4401">
        <v>215.13730000000001</v>
      </c>
      <c r="M4401">
        <v>0.99987979999999999</v>
      </c>
      <c r="N4401">
        <v>-1.16758E-2</v>
      </c>
      <c r="O4401">
        <v>-1.020504E-2</v>
      </c>
      <c r="P4401">
        <v>0.99675320000000001</v>
      </c>
      <c r="Q4401">
        <v>-7.9102069999999997E-2</v>
      </c>
      <c r="R4401">
        <v>-1.5048829999999999E-2</v>
      </c>
      <c r="S4401">
        <v>2.990723</v>
      </c>
      <c r="T4401">
        <v>-0.2045323</v>
      </c>
      <c r="U4401">
        <v>-0.1667023</v>
      </c>
      <c r="V4401">
        <v>4.9383370000000001E-3</v>
      </c>
      <c r="W4401">
        <v>-6.7452999999999999E-2</v>
      </c>
      <c r="X4401">
        <v>0.99771019999999999</v>
      </c>
      <c r="Y4401">
        <v>4.535322E-2</v>
      </c>
      <c r="Z4401">
        <v>-1.2356239999999901E-3</v>
      </c>
      <c r="AA4401">
        <v>0.99897029999999998</v>
      </c>
      <c r="AB4401">
        <v>36</v>
      </c>
      <c r="AC4401">
        <v>16.0395</v>
      </c>
      <c r="AD4401">
        <v>-1.1209555529719999</v>
      </c>
      <c r="AE4401">
        <v>-0.91030000000000599</v>
      </c>
      <c r="AF4401">
        <v>0.74294066653410995</v>
      </c>
      <c r="AG4401">
        <v>-1.1209555529719999</v>
      </c>
      <c r="AH4401">
        <v>15.9702034096736</v>
      </c>
      <c r="AI4401">
        <v>94.010707454134703</v>
      </c>
      <c r="AJ4401">
        <v>87.336496226525995</v>
      </c>
      <c r="AK4401">
        <v>16.026724529113299</v>
      </c>
      <c r="AL4401">
        <v>93.867709079086893</v>
      </c>
      <c r="AM4401">
        <v>89.716407071618207</v>
      </c>
      <c r="AN4401">
        <v>0.99999996878268205</v>
      </c>
    </row>
    <row r="4402" spans="1:40" x14ac:dyDescent="0.25">
      <c r="A4402" t="str">
        <f>"20190303154224795"</f>
        <v>20190303154224795</v>
      </c>
      <c r="B4402" t="str">
        <f>"1551598944783943"</f>
        <v>1551598944783943</v>
      </c>
      <c r="C4402" t="s">
        <v>40</v>
      </c>
      <c r="D4402">
        <v>5.6350610000000003</v>
      </c>
      <c r="E4402">
        <v>0.54533730000000002</v>
      </c>
      <c r="F4402" t="s">
        <v>42</v>
      </c>
      <c r="G4402">
        <v>-292.72089999999997</v>
      </c>
      <c r="H4402">
        <v>1.0493330000000001</v>
      </c>
      <c r="I4402">
        <v>215.0804</v>
      </c>
      <c r="J4402">
        <v>-293.13209999999998</v>
      </c>
      <c r="K4402">
        <v>1.1209990000000001</v>
      </c>
      <c r="L4402">
        <v>215.13399999999999</v>
      </c>
      <c r="M4402">
        <v>0.99987959999999998</v>
      </c>
      <c r="N4402">
        <v>-1.2032950000000001E-2</v>
      </c>
      <c r="O4402">
        <v>-9.8114989999999996E-3</v>
      </c>
      <c r="P4402">
        <v>0.99683759999999999</v>
      </c>
      <c r="Q4402">
        <v>-7.85328E-2</v>
      </c>
      <c r="R4402">
        <v>-1.2145349999999999E-2</v>
      </c>
      <c r="S4402">
        <v>2.9845579999999998</v>
      </c>
      <c r="T4402">
        <v>-0.27675460000000002</v>
      </c>
      <c r="U4402">
        <v>-0.2185211</v>
      </c>
      <c r="V4402">
        <v>2.4237149999999999E-3</v>
      </c>
      <c r="W4402">
        <v>-6.6529210000000005E-2</v>
      </c>
      <c r="X4402">
        <v>0.99778149999999999</v>
      </c>
      <c r="Y4402">
        <v>6.2960150000000006E-2</v>
      </c>
      <c r="Z4402">
        <v>-2.5003619999999999E-3</v>
      </c>
      <c r="AA4402">
        <v>0.99801289999999998</v>
      </c>
      <c r="AB4402">
        <v>36</v>
      </c>
      <c r="AC4402">
        <v>0.411200000000007</v>
      </c>
      <c r="AD4402">
        <v>-7.1665999999999994E-2</v>
      </c>
      <c r="AE4402">
        <v>-5.3600000000017099E-2</v>
      </c>
      <c r="AF4402">
        <v>4.8125245481467099E-2</v>
      </c>
      <c r="AG4402">
        <v>-7.1665999999999994E-2</v>
      </c>
      <c r="AH4402">
        <v>0.39976601566050302</v>
      </c>
      <c r="AI4402">
        <v>100.092096214987</v>
      </c>
      <c r="AJ4402">
        <v>83.135564674244904</v>
      </c>
      <c r="AK4402">
        <v>0.40898034437577202</v>
      </c>
      <c r="AL4402">
        <v>93.814660648672302</v>
      </c>
      <c r="AM4402">
        <v>89.860822868423696</v>
      </c>
      <c r="AN4402">
        <v>0.99999996595993701</v>
      </c>
    </row>
    <row r="4403" spans="1:40" x14ac:dyDescent="0.25">
      <c r="A4403" t="str">
        <f>"20190303154224819"</f>
        <v>20190303154224819</v>
      </c>
      <c r="B4403" t="str">
        <f>"1551598944814198"</f>
        <v>1551598944814198</v>
      </c>
      <c r="C4403" t="s">
        <v>40</v>
      </c>
      <c r="D4403">
        <v>5.6231260000000001</v>
      </c>
      <c r="E4403">
        <v>0.54772180000000004</v>
      </c>
      <c r="F4403" t="s">
        <v>42</v>
      </c>
      <c r="G4403">
        <v>-292.4538</v>
      </c>
      <c r="H4403">
        <v>0.93732190000000004</v>
      </c>
      <c r="I4403">
        <v>215.03909999999999</v>
      </c>
      <c r="J4403">
        <v>-292.75810000000001</v>
      </c>
      <c r="K4403">
        <v>1.1210340000000001</v>
      </c>
      <c r="L4403">
        <v>215.13069999999999</v>
      </c>
      <c r="M4403">
        <v>0.99987930000000003</v>
      </c>
      <c r="N4403">
        <v>-1.236839E-2</v>
      </c>
      <c r="O4403">
        <v>-9.4161490000000004E-3</v>
      </c>
      <c r="P4403">
        <v>0.99690919999999905</v>
      </c>
      <c r="Q4403">
        <v>-7.7944050000000001E-2</v>
      </c>
      <c r="R4403">
        <v>-9.8515670000000003E-3</v>
      </c>
      <c r="S4403">
        <v>2.9417420000000001</v>
      </c>
      <c r="T4403">
        <v>-0.79666159999999997</v>
      </c>
      <c r="U4403">
        <v>-0.4103851</v>
      </c>
      <c r="V4403">
        <v>5.2151360000000002E-4</v>
      </c>
      <c r="W4403">
        <v>-6.5606869999999998E-2</v>
      </c>
      <c r="X4403">
        <v>0.99784539999999999</v>
      </c>
      <c r="Y4403">
        <v>0.1245252</v>
      </c>
      <c r="Z4403">
        <v>-1.4896309999999999E-2</v>
      </c>
      <c r="AA4403">
        <v>0.9921046</v>
      </c>
      <c r="AB4403">
        <v>36</v>
      </c>
      <c r="AC4403">
        <v>0.30430000000001101</v>
      </c>
      <c r="AD4403">
        <v>-0.18371209999999999</v>
      </c>
      <c r="AE4403">
        <v>-9.1599999999999598E-2</v>
      </c>
      <c r="AF4403">
        <v>6.6504760987957795E-2</v>
      </c>
      <c r="AG4403">
        <v>-0.18371209999999999</v>
      </c>
      <c r="AH4403">
        <v>0.22871384303110601</v>
      </c>
      <c r="AI4403">
        <v>127.64280547452</v>
      </c>
      <c r="AJ4403">
        <v>73.786776008997705</v>
      </c>
      <c r="AK4403">
        <v>0.300803990855396</v>
      </c>
      <c r="AL4403">
        <v>93.761698657875698</v>
      </c>
      <c r="AM4403">
        <v>89.970054954887701</v>
      </c>
      <c r="AN4403">
        <v>0.99999998783439503</v>
      </c>
    </row>
    <row r="4404" spans="1:40" x14ac:dyDescent="0.25">
      <c r="A4404" t="str">
        <f>"20190303154224841"</f>
        <v>20190303154224841</v>
      </c>
      <c r="B4404" t="str">
        <f>"1551598944833718"</f>
        <v>1551598944833718</v>
      </c>
      <c r="C4404" t="s">
        <v>40</v>
      </c>
      <c r="D4404">
        <v>5.6131859999999998</v>
      </c>
      <c r="E4404">
        <v>0.54876879999999995</v>
      </c>
      <c r="F4404" t="s">
        <v>42</v>
      </c>
      <c r="G4404">
        <v>-291.83870000000002</v>
      </c>
      <c r="H4404">
        <v>0.86066129999999996</v>
      </c>
      <c r="I4404">
        <v>214.99799999999999</v>
      </c>
      <c r="J4404">
        <v>-292.39359999999999</v>
      </c>
      <c r="K4404">
        <v>1.1210629999999999</v>
      </c>
      <c r="L4404">
        <v>215.1277</v>
      </c>
      <c r="M4404">
        <v>0.99987890000000001</v>
      </c>
      <c r="N4404">
        <v>-1.266461E-2</v>
      </c>
      <c r="O4404">
        <v>-9.0395300000000005E-3</v>
      </c>
      <c r="P4404">
        <v>0.99692460000000005</v>
      </c>
      <c r="Q4404">
        <v>-7.7902199999999894E-2</v>
      </c>
      <c r="R4404">
        <v>-8.5254470000000002E-3</v>
      </c>
      <c r="S4404">
        <v>2.9400019999999998</v>
      </c>
      <c r="T4404">
        <v>-0.83272060000000003</v>
      </c>
      <c r="U4404">
        <v>-0.42364499999999999</v>
      </c>
      <c r="V4404">
        <v>-4.29491E-4</v>
      </c>
      <c r="W4404">
        <v>-6.5270250000000002E-2</v>
      </c>
      <c r="X4404">
        <v>0.99786750000000002</v>
      </c>
      <c r="Y4404">
        <v>0.12878999999999999</v>
      </c>
      <c r="Z4404">
        <v>-1.6249940000000001E-2</v>
      </c>
      <c r="AA4404">
        <v>0.99153880000000005</v>
      </c>
      <c r="AB4404">
        <v>36</v>
      </c>
      <c r="AC4404">
        <v>0.55489999999997497</v>
      </c>
      <c r="AD4404">
        <v>-0.26040169999999901</v>
      </c>
      <c r="AE4404">
        <v>-0.129700000000013</v>
      </c>
      <c r="AF4404">
        <v>0.103141086091342</v>
      </c>
      <c r="AG4404">
        <v>-0.26040169999999901</v>
      </c>
      <c r="AH4404">
        <v>0.45999666646774601</v>
      </c>
      <c r="AI4404">
        <v>118.915361553273</v>
      </c>
      <c r="AJ4404">
        <v>77.362085732438501</v>
      </c>
      <c r="AK4404">
        <v>0.53855738985221502</v>
      </c>
      <c r="AL4404">
        <v>93.742370395325196</v>
      </c>
      <c r="AM4404">
        <v>90.024660608867705</v>
      </c>
      <c r="AN4404">
        <v>0.99999996877691499</v>
      </c>
    </row>
    <row r="4405" spans="1:40" x14ac:dyDescent="0.25">
      <c r="A4405" t="str">
        <f>"20190303154224864"</f>
        <v>20190303154224864</v>
      </c>
      <c r="B4405" t="str">
        <f>"1551598944854215"</f>
        <v>1551598944854215</v>
      </c>
      <c r="C4405" t="s">
        <v>40</v>
      </c>
      <c r="D4405">
        <v>5.6080370000000004</v>
      </c>
      <c r="E4405">
        <v>0.54930489999999998</v>
      </c>
      <c r="F4405" t="s">
        <v>42</v>
      </c>
      <c r="G4405">
        <v>-291.51249999999999</v>
      </c>
      <c r="H4405">
        <v>0.86789309999999997</v>
      </c>
      <c r="I4405">
        <v>214.99870000000001</v>
      </c>
      <c r="J4405">
        <v>-292.01580000000001</v>
      </c>
      <c r="K4405">
        <v>1.121086</v>
      </c>
      <c r="L4405">
        <v>215.12469999999999</v>
      </c>
      <c r="M4405">
        <v>0.99987890000000001</v>
      </c>
      <c r="N4405">
        <v>-1.294008E-2</v>
      </c>
      <c r="O4405">
        <v>-8.6536389999999994E-3</v>
      </c>
      <c r="P4405">
        <v>0.99697789999999997</v>
      </c>
      <c r="Q4405">
        <v>-7.7302889999999999E-2</v>
      </c>
      <c r="R4405">
        <v>-7.7257180000000003E-3</v>
      </c>
      <c r="S4405">
        <v>2.939575</v>
      </c>
      <c r="T4405">
        <v>-0.84465619999999997</v>
      </c>
      <c r="U4405">
        <v>-0.42955019999999999</v>
      </c>
      <c r="V4405">
        <v>-8.463581E-4</v>
      </c>
      <c r="W4405">
        <v>-6.4395839999999996E-2</v>
      </c>
      <c r="X4405">
        <v>0.99792409999999998</v>
      </c>
      <c r="Y4405">
        <v>0.1309014</v>
      </c>
      <c r="Z4405">
        <v>-1.6895179999999999E-2</v>
      </c>
      <c r="AA4405">
        <v>0.9912514</v>
      </c>
      <c r="AB4405">
        <v>36</v>
      </c>
      <c r="AC4405">
        <v>0.50330000000002395</v>
      </c>
      <c r="AD4405">
        <v>-0.253192899999999</v>
      </c>
      <c r="AE4405">
        <v>-0.12599999999997599</v>
      </c>
      <c r="AF4405">
        <v>9.8243038631842305E-2</v>
      </c>
      <c r="AG4405">
        <v>-0.253192899999999</v>
      </c>
      <c r="AH4405">
        <v>0.407359305414914</v>
      </c>
      <c r="AI4405">
        <v>121.14135456429101</v>
      </c>
      <c r="AJ4405">
        <v>76.440872576198004</v>
      </c>
      <c r="AK4405">
        <v>0.489591608341226</v>
      </c>
      <c r="AL4405">
        <v>93.692164555519199</v>
      </c>
      <c r="AM4405">
        <v>90.048593610936607</v>
      </c>
      <c r="AN4405">
        <v>1.0000000249460701</v>
      </c>
    </row>
    <row r="4406" spans="1:40" x14ac:dyDescent="0.25">
      <c r="A4406" t="str">
        <f>"20190303154224884"</f>
        <v>20190303154224884</v>
      </c>
      <c r="B4406" t="str">
        <f>"1551598944873735"</f>
        <v>1551598944873735</v>
      </c>
      <c r="C4406" t="s">
        <v>40</v>
      </c>
      <c r="D4406">
        <v>5.6356320000000002</v>
      </c>
      <c r="E4406">
        <v>0.54994619999999905</v>
      </c>
      <c r="F4406" t="s">
        <v>42</v>
      </c>
      <c r="G4406">
        <v>-291.18430000000001</v>
      </c>
      <c r="H4406">
        <v>0.88046480000000005</v>
      </c>
      <c r="I4406">
        <v>215.00219999999999</v>
      </c>
      <c r="J4406">
        <v>-291.69560000000001</v>
      </c>
      <c r="K4406">
        <v>1.1211</v>
      </c>
      <c r="L4406">
        <v>215.12219999999999</v>
      </c>
      <c r="M4406">
        <v>0.99987890000000001</v>
      </c>
      <c r="N4406">
        <v>-1.314914E-2</v>
      </c>
      <c r="O4406">
        <v>-8.3261569999999903E-3</v>
      </c>
      <c r="P4406">
        <v>0.99701240000000002</v>
      </c>
      <c r="Q4406">
        <v>-7.6866429999999999E-2</v>
      </c>
      <c r="R4406">
        <v>-7.6251899999999996E-3</v>
      </c>
      <c r="S4406">
        <v>2.9397890000000002</v>
      </c>
      <c r="T4406">
        <v>-0.85065210000000002</v>
      </c>
      <c r="U4406">
        <v>-0.4323883</v>
      </c>
      <c r="V4406">
        <v>-6.2130780000000004E-4</v>
      </c>
      <c r="W4406">
        <v>-6.3750130000000002E-2</v>
      </c>
      <c r="X4406">
        <v>0.99796569999999996</v>
      </c>
      <c r="Y4406">
        <v>0.13202050000000001</v>
      </c>
      <c r="Z4406">
        <v>-1.727126E-2</v>
      </c>
      <c r="AA4406">
        <v>0.99109650000000005</v>
      </c>
      <c r="AB4406">
        <v>36</v>
      </c>
      <c r="AC4406">
        <v>0.51130000000000497</v>
      </c>
      <c r="AD4406">
        <v>-0.24063519999999899</v>
      </c>
      <c r="AE4406">
        <v>-0.12000000000000401</v>
      </c>
      <c r="AF4406">
        <v>9.5656800642652903E-2</v>
      </c>
      <c r="AG4406">
        <v>-0.24063519999999899</v>
      </c>
      <c r="AH4406">
        <v>0.42339662824297802</v>
      </c>
      <c r="AI4406">
        <v>119.002770886275</v>
      </c>
      <c r="AJ4406">
        <v>77.269063567244004</v>
      </c>
      <c r="AK4406">
        <v>0.49630658649241199</v>
      </c>
      <c r="AL4406">
        <v>93.655092006664603</v>
      </c>
      <c r="AM4406">
        <v>90.035670875381001</v>
      </c>
      <c r="AN4406">
        <v>1.00000000173744</v>
      </c>
    </row>
    <row r="4407" spans="1:40" x14ac:dyDescent="0.25">
      <c r="A4407" t="str">
        <f>"20190303154224906"</f>
        <v>20190303154224906</v>
      </c>
      <c r="B4407" t="str">
        <f>"1551598944903991"</f>
        <v>1551598944903991</v>
      </c>
      <c r="C4407" t="s">
        <v>40</v>
      </c>
      <c r="D4407">
        <v>5.6312980000000001</v>
      </c>
      <c r="E4407">
        <v>0.54994100000000001</v>
      </c>
      <c r="F4407" t="s">
        <v>42</v>
      </c>
      <c r="G4407">
        <v>-290.8621</v>
      </c>
      <c r="H4407">
        <v>0.87918399999999997</v>
      </c>
      <c r="I4407">
        <v>214.99780000000001</v>
      </c>
      <c r="J4407">
        <v>-291.33420000000001</v>
      </c>
      <c r="K4407">
        <v>1.121113</v>
      </c>
      <c r="L4407">
        <v>215.11959999999999</v>
      </c>
      <c r="M4407">
        <v>0.99987919999999997</v>
      </c>
      <c r="N4407">
        <v>-1.335888E-2</v>
      </c>
      <c r="O4407">
        <v>-7.9540159999999995E-3</v>
      </c>
      <c r="P4407">
        <v>0.997</v>
      </c>
      <c r="Q4407">
        <v>-7.7063610000000005E-2</v>
      </c>
      <c r="R4407">
        <v>-7.2473909999999997E-3</v>
      </c>
      <c r="S4407">
        <v>2.93988</v>
      </c>
      <c r="T4407">
        <v>-0.85337359999999896</v>
      </c>
      <c r="U4407">
        <v>-0.43774410000000002</v>
      </c>
      <c r="V4407">
        <v>-6.2844650000000001E-4</v>
      </c>
      <c r="W4407">
        <v>-6.3738169999999997E-2</v>
      </c>
      <c r="X4407">
        <v>0.99796649999999998</v>
      </c>
      <c r="Y4407">
        <v>0.1340181</v>
      </c>
      <c r="Z4407">
        <v>-1.77315999999999E-2</v>
      </c>
      <c r="AA4407">
        <v>0.99082020000000004</v>
      </c>
      <c r="AB4407">
        <v>36</v>
      </c>
      <c r="AC4407">
        <v>0.47210000000001101</v>
      </c>
      <c r="AD4407">
        <v>-0.24192900000000001</v>
      </c>
      <c r="AE4407">
        <v>-0.12179999999997899</v>
      </c>
      <c r="AF4407">
        <v>9.4719075078695703E-2</v>
      </c>
      <c r="AG4407">
        <v>-0.24192900000000001</v>
      </c>
      <c r="AH4407">
        <v>0.37959131623265402</v>
      </c>
      <c r="AI4407">
        <v>121.73180814564</v>
      </c>
      <c r="AJ4407">
        <v>75.9891534630829</v>
      </c>
      <c r="AK4407">
        <v>0.45999012118088201</v>
      </c>
      <c r="AL4407">
        <v>93.654405204641705</v>
      </c>
      <c r="AM4407">
        <v>90.036080697438294</v>
      </c>
      <c r="AN4407">
        <v>1.0000000421910999</v>
      </c>
    </row>
    <row r="4408" spans="1:40" x14ac:dyDescent="0.25">
      <c r="A4408" t="str">
        <f>"20190303154224930"</f>
        <v>20190303154224930</v>
      </c>
      <c r="B4408" t="str">
        <f>"1551598944924487"</f>
        <v>1551598944924487</v>
      </c>
      <c r="C4408" t="s">
        <v>40</v>
      </c>
      <c r="D4408">
        <v>5.6628959999999999</v>
      </c>
      <c r="E4408">
        <v>0.55013599999999996</v>
      </c>
      <c r="F4408" t="s">
        <v>42</v>
      </c>
      <c r="G4408">
        <v>-290.5367</v>
      </c>
      <c r="H4408">
        <v>0.88718220000000003</v>
      </c>
      <c r="I4408">
        <v>215.0009</v>
      </c>
      <c r="J4408">
        <v>-290.96559999999999</v>
      </c>
      <c r="K4408">
        <v>1.1211169999999999</v>
      </c>
      <c r="L4408">
        <v>215.11709999999999</v>
      </c>
      <c r="M4408">
        <v>0.99987969999999904</v>
      </c>
      <c r="N4408">
        <v>-1.354675E-2</v>
      </c>
      <c r="O4408">
        <v>-7.5721119999999998E-3</v>
      </c>
      <c r="P4408">
        <v>0.99703589999999997</v>
      </c>
      <c r="Q4408">
        <v>-7.6685760000000006E-2</v>
      </c>
      <c r="R4408">
        <v>-6.2489569999999899E-3</v>
      </c>
      <c r="S4408">
        <v>2.939209</v>
      </c>
      <c r="T4408">
        <v>-0.86216689999999996</v>
      </c>
      <c r="U4408">
        <v>-0.43661499999999998</v>
      </c>
      <c r="V4408">
        <v>-1.2471190000000001E-3</v>
      </c>
      <c r="W4408">
        <v>-6.3173000000000007E-2</v>
      </c>
      <c r="X4408">
        <v>0.99800180000000005</v>
      </c>
      <c r="Y4408">
        <v>0.13393279999999999</v>
      </c>
      <c r="Z4408">
        <v>-1.800705E-2</v>
      </c>
      <c r="AA4408">
        <v>0.99082680000000001</v>
      </c>
      <c r="AB4408">
        <v>36</v>
      </c>
      <c r="AC4408">
        <v>0.42889999999999801</v>
      </c>
      <c r="AD4408">
        <v>-0.233934799999999</v>
      </c>
      <c r="AE4408">
        <v>-0.116199999999992</v>
      </c>
      <c r="AF4408">
        <v>8.8438042135724398E-2</v>
      </c>
      <c r="AG4408">
        <v>-0.233934799999999</v>
      </c>
      <c r="AH4408">
        <v>0.33650509827951902</v>
      </c>
      <c r="AI4408">
        <v>123.915189904359</v>
      </c>
      <c r="AJ4408">
        <v>75.274899541260297</v>
      </c>
      <c r="AK4408">
        <v>0.41926418773363999</v>
      </c>
      <c r="AL4408">
        <v>93.621958154220295</v>
      </c>
      <c r="AM4408">
        <v>90.071597684550696</v>
      </c>
      <c r="AN4408">
        <v>0.99999998801902001</v>
      </c>
    </row>
    <row r="4409" spans="1:40" x14ac:dyDescent="0.25">
      <c r="A4409" t="str">
        <f>"20190303154224952"</f>
        <v>20190303154224952</v>
      </c>
      <c r="B4409" t="str">
        <f>"1551598944944006"</f>
        <v>1551598944944006</v>
      </c>
      <c r="C4409" t="s">
        <v>40</v>
      </c>
      <c r="D4409">
        <v>5.7156750000000001</v>
      </c>
      <c r="E4409">
        <v>0.57240239999999998</v>
      </c>
      <c r="F4409" t="s">
        <v>42</v>
      </c>
      <c r="G4409">
        <v>-290.2097</v>
      </c>
      <c r="H4409">
        <v>0.89952189999999999</v>
      </c>
      <c r="I4409">
        <v>215.0051</v>
      </c>
      <c r="J4409">
        <v>-290.60950000000003</v>
      </c>
      <c r="K4409">
        <v>1.121122</v>
      </c>
      <c r="L4409">
        <v>215.1147</v>
      </c>
      <c r="M4409">
        <v>0.99988030000000006</v>
      </c>
      <c r="N4409">
        <v>-1.370527E-2</v>
      </c>
      <c r="O4409">
        <v>-7.2015959999999898E-3</v>
      </c>
      <c r="P4409">
        <v>0.9969403</v>
      </c>
      <c r="Q4409">
        <v>-7.7954109999999993E-2</v>
      </c>
      <c r="R4409">
        <v>-5.7740539999999998E-3</v>
      </c>
      <c r="S4409">
        <v>2.9399109999999999</v>
      </c>
      <c r="T4409">
        <v>-0.86184939999999999</v>
      </c>
      <c r="U4409">
        <v>-0.43467709999999998</v>
      </c>
      <c r="V4409">
        <v>-1.3512419999999999E-3</v>
      </c>
      <c r="W4409">
        <v>-6.4284430000000004E-2</v>
      </c>
      <c r="X4409">
        <v>0.99793069999999895</v>
      </c>
      <c r="Y4409">
        <v>0.13362779999999999</v>
      </c>
      <c r="Z4409">
        <v>-1.8065129999999999E-2</v>
      </c>
      <c r="AA4409">
        <v>0.99086700000000005</v>
      </c>
      <c r="AB4409">
        <v>36</v>
      </c>
      <c r="AC4409">
        <v>0.39980000000002702</v>
      </c>
      <c r="AD4409">
        <v>-0.221600099999999</v>
      </c>
      <c r="AE4409">
        <v>-0.1096</v>
      </c>
      <c r="AF4409">
        <v>8.3000402428290002E-2</v>
      </c>
      <c r="AG4409">
        <v>-0.221600099999999</v>
      </c>
      <c r="AH4409">
        <v>0.31155301795168</v>
      </c>
      <c r="AI4409">
        <v>124.500881076258</v>
      </c>
      <c r="AJ4409">
        <v>75.082388343829706</v>
      </c>
      <c r="AK4409">
        <v>0.39123005267753602</v>
      </c>
      <c r="AL4409">
        <v>93.685768079174096</v>
      </c>
      <c r="AM4409">
        <v>90.077580954655204</v>
      </c>
      <c r="AN4409">
        <v>0.99999999789892802</v>
      </c>
    </row>
    <row r="4410" spans="1:40" x14ac:dyDescent="0.25">
      <c r="A4410" t="str">
        <f>"20190303154224977"</f>
        <v>20190303154224977</v>
      </c>
      <c r="B4410" t="str">
        <f>"1551598944974263"</f>
        <v>1551598944974263</v>
      </c>
      <c r="C4410" t="s">
        <v>40</v>
      </c>
      <c r="D4410">
        <v>5.6861610000000002</v>
      </c>
      <c r="E4410">
        <v>0.57269859999999995</v>
      </c>
      <c r="F4410" t="s">
        <v>42</v>
      </c>
      <c r="G4410">
        <v>-289.8777</v>
      </c>
      <c r="H4410">
        <v>0.91932029999999998</v>
      </c>
      <c r="I4410">
        <v>214.9632</v>
      </c>
      <c r="J4410">
        <v>-290.22070000000002</v>
      </c>
      <c r="K4410">
        <v>1.121124</v>
      </c>
      <c r="L4410">
        <v>215.11240000000001</v>
      </c>
      <c r="M4410">
        <v>0.99988100000000002</v>
      </c>
      <c r="N4410">
        <v>-1.385554E-2</v>
      </c>
      <c r="O4410">
        <v>-6.7970629999999999E-3</v>
      </c>
      <c r="P4410">
        <v>0.99692959999999997</v>
      </c>
      <c r="Q4410">
        <v>-7.8062939999999997E-2</v>
      </c>
      <c r="R4410">
        <v>-6.1500039999999997E-3</v>
      </c>
      <c r="S4410">
        <v>2.9422299999999999</v>
      </c>
      <c r="T4410">
        <v>-0.81135690000000005</v>
      </c>
      <c r="U4410">
        <v>-0.60900880000000002</v>
      </c>
      <c r="V4410">
        <v>-5.7227560000000001E-4</v>
      </c>
      <c r="W4410">
        <v>-6.4242690000000005E-2</v>
      </c>
      <c r="X4410">
        <v>0.99793419999999999</v>
      </c>
      <c r="Y4410">
        <v>0.1891148</v>
      </c>
      <c r="Z4410">
        <v>-2.496174E-2</v>
      </c>
      <c r="AA4410">
        <v>0.98163769999999995</v>
      </c>
      <c r="AB4410">
        <v>36</v>
      </c>
      <c r="AC4410">
        <v>0.34300000000001701</v>
      </c>
      <c r="AD4410">
        <v>-0.201803699999999</v>
      </c>
      <c r="AE4410">
        <v>-0.14920000000000699</v>
      </c>
      <c r="AF4410">
        <v>0.113753656210498</v>
      </c>
      <c r="AG4410">
        <v>-0.201803699999999</v>
      </c>
      <c r="AH4410">
        <v>0.26644871561447497</v>
      </c>
      <c r="AI4410">
        <v>124.85949711602601</v>
      </c>
      <c r="AJ4410">
        <v>66.881145471476898</v>
      </c>
      <c r="AK4410">
        <v>0.35307158719946502</v>
      </c>
      <c r="AL4410">
        <v>93.683371373891006</v>
      </c>
      <c r="AM4410">
        <v>90.032856848682002</v>
      </c>
      <c r="AN4410">
        <v>1.0000000591237099</v>
      </c>
    </row>
    <row r="4411" spans="1:40" x14ac:dyDescent="0.25">
      <c r="A4411" t="str">
        <f>"20190303154224997"</f>
        <v>20190303154224997</v>
      </c>
      <c r="B4411" t="str">
        <f>"1551598944993783"</f>
        <v>1551598944993783</v>
      </c>
      <c r="C4411" t="s">
        <v>40</v>
      </c>
      <c r="D4411">
        <v>5.57376</v>
      </c>
      <c r="E4411">
        <v>0.57312149999999995</v>
      </c>
      <c r="F4411" t="s">
        <v>42</v>
      </c>
      <c r="G4411">
        <v>-289.26130000000001</v>
      </c>
      <c r="H4411">
        <v>0.85560099999999994</v>
      </c>
      <c r="I4411">
        <v>214.91249999999999</v>
      </c>
      <c r="J4411">
        <v>-289.88099999999997</v>
      </c>
      <c r="K4411">
        <v>1.121122</v>
      </c>
      <c r="L4411">
        <v>215.1104</v>
      </c>
      <c r="M4411">
        <v>0.99988160000000004</v>
      </c>
      <c r="N4411">
        <v>-1.3968070000000001E-2</v>
      </c>
      <c r="O4411">
        <v>-6.4440180000000001E-3</v>
      </c>
      <c r="P4411">
        <v>0.99690190000000001</v>
      </c>
      <c r="Q4411">
        <v>-7.8378569999999995E-2</v>
      </c>
      <c r="R4411">
        <v>-6.5638429999999998E-3</v>
      </c>
      <c r="S4411">
        <v>2.941681</v>
      </c>
      <c r="T4411">
        <v>-0.81411859999999903</v>
      </c>
      <c r="U4411">
        <v>-0.61248780000000003</v>
      </c>
      <c r="V4411">
        <v>1.9375990000000001E-4</v>
      </c>
      <c r="W4411">
        <v>-6.4445710000000003E-2</v>
      </c>
      <c r="X4411">
        <v>0.99792119999999995</v>
      </c>
      <c r="Y4411">
        <v>0.19049720000000001</v>
      </c>
      <c r="Z4411">
        <v>-2.5338429999999999E-2</v>
      </c>
      <c r="AA4411">
        <v>0.98136069999999997</v>
      </c>
      <c r="AB4411">
        <v>36</v>
      </c>
      <c r="AC4411">
        <v>0.61969999999996594</v>
      </c>
      <c r="AD4411">
        <v>-0.26552099999999901</v>
      </c>
      <c r="AE4411">
        <v>-0.19790000000000399</v>
      </c>
      <c r="AF4411">
        <v>0.16621216533299199</v>
      </c>
      <c r="AG4411">
        <v>-0.26552099999999901</v>
      </c>
      <c r="AH4411">
        <v>0.53228667234515903</v>
      </c>
      <c r="AI4411">
        <v>115.46175698890001</v>
      </c>
      <c r="AJ4411">
        <v>72.658471539093995</v>
      </c>
      <c r="AK4411">
        <v>0.61762204211148797</v>
      </c>
      <c r="AL4411">
        <v>93.695027920121504</v>
      </c>
      <c r="AM4411">
        <v>89.988875249499202</v>
      </c>
      <c r="AN4411">
        <v>1.00000000424487</v>
      </c>
    </row>
    <row r="4412" spans="1:40" x14ac:dyDescent="0.25">
      <c r="A4412" t="str">
        <f>"20190303154225019"</f>
        <v>20190303154225019</v>
      </c>
      <c r="B4412" t="str">
        <f>"1551598945014279"</f>
        <v>1551598945014279</v>
      </c>
      <c r="C4412" t="s">
        <v>40</v>
      </c>
      <c r="D4412">
        <v>5.5642490000000002</v>
      </c>
      <c r="E4412">
        <v>0.57405309999999998</v>
      </c>
      <c r="F4412" t="s">
        <v>42</v>
      </c>
      <c r="G4412">
        <v>-288.93869999999998</v>
      </c>
      <c r="H4412">
        <v>0.86071869999999995</v>
      </c>
      <c r="I4412">
        <v>214.9126</v>
      </c>
      <c r="J4412">
        <v>-289.52929999999998</v>
      </c>
      <c r="K4412">
        <v>1.121127</v>
      </c>
      <c r="L4412">
        <v>215.10849999999999</v>
      </c>
      <c r="M4412">
        <v>0.99988259999999995</v>
      </c>
      <c r="N4412">
        <v>-1.406892E-2</v>
      </c>
      <c r="O4412">
        <v>-6.0793389999999996E-3</v>
      </c>
      <c r="P4412">
        <v>0.99685029999999997</v>
      </c>
      <c r="Q4412">
        <v>-7.8947660000000003E-2</v>
      </c>
      <c r="R4412">
        <v>-7.5522069999999896E-3</v>
      </c>
      <c r="S4412">
        <v>2.9413149999999999</v>
      </c>
      <c r="T4412">
        <v>-0.81287690000000001</v>
      </c>
      <c r="U4412">
        <v>-0.61671450000000005</v>
      </c>
      <c r="V4412">
        <v>1.5462539999999999E-3</v>
      </c>
      <c r="W4412">
        <v>-6.4913559999999995E-2</v>
      </c>
      <c r="X4412">
        <v>0.99788969999999999</v>
      </c>
      <c r="Y4412">
        <v>0.19217300000000001</v>
      </c>
      <c r="Z4412">
        <v>-2.564346E-2</v>
      </c>
      <c r="AA4412">
        <v>0.98102599999999995</v>
      </c>
      <c r="AB4412">
        <v>36</v>
      </c>
      <c r="AC4412">
        <v>0.59059999999999402</v>
      </c>
      <c r="AD4412">
        <v>-0.26040829999999998</v>
      </c>
      <c r="AE4412">
        <v>-0.195899999999994</v>
      </c>
      <c r="AF4412">
        <v>0.16364450005877501</v>
      </c>
      <c r="AG4412">
        <v>-0.26040829999999998</v>
      </c>
      <c r="AH4412">
        <v>0.50358170947728098</v>
      </c>
      <c r="AI4412">
        <v>116.187822666602</v>
      </c>
      <c r="AJ4412">
        <v>71.997850816706503</v>
      </c>
      <c r="AK4412">
        <v>0.5900733371611</v>
      </c>
      <c r="AL4412">
        <v>93.721889986464404</v>
      </c>
      <c r="AM4412">
        <v>89.911218887868998</v>
      </c>
      <c r="AN4412">
        <v>1.00000000726969</v>
      </c>
    </row>
    <row r="4413" spans="1:40" x14ac:dyDescent="0.25">
      <c r="A4413" t="str">
        <f>"20190303154225043"</f>
        <v>20190303154225043</v>
      </c>
      <c r="B4413" t="str">
        <f>"1551598945033800"</f>
        <v>1551598945033800</v>
      </c>
      <c r="C4413" t="s">
        <v>40</v>
      </c>
      <c r="D4413">
        <v>5.562481</v>
      </c>
      <c r="E4413">
        <v>0.57484489999999999</v>
      </c>
      <c r="F4413" t="s">
        <v>42</v>
      </c>
      <c r="G4413">
        <v>-288.61520000000002</v>
      </c>
      <c r="H4413">
        <v>0.86904169999999903</v>
      </c>
      <c r="I4413">
        <v>214.9135</v>
      </c>
      <c r="J4413">
        <v>-289.15010000000001</v>
      </c>
      <c r="K4413">
        <v>1.1211340000000001</v>
      </c>
      <c r="L4413">
        <v>215.10659999999999</v>
      </c>
      <c r="M4413">
        <v>0.99988350000000004</v>
      </c>
      <c r="N4413">
        <v>-1.4162579999999999E-2</v>
      </c>
      <c r="O4413">
        <v>-5.6852939999999996E-3</v>
      </c>
      <c r="P4413">
        <v>0.99686620000000004</v>
      </c>
      <c r="Q4413">
        <v>-7.8733919999999999E-2</v>
      </c>
      <c r="R4413">
        <v>-7.6564040000000003E-3</v>
      </c>
      <c r="S4413">
        <v>2.9405209999999999</v>
      </c>
      <c r="T4413">
        <v>-0.81091239999999998</v>
      </c>
      <c r="U4413">
        <v>-0.62704469999999901</v>
      </c>
      <c r="V4413">
        <v>2.0426950000000002E-3</v>
      </c>
      <c r="W4413">
        <v>-6.4605750000000003E-2</v>
      </c>
      <c r="X4413">
        <v>0.99790880000000004</v>
      </c>
      <c r="Y4413">
        <v>0.19579289999999999</v>
      </c>
      <c r="Z4413">
        <v>-2.6206489999999999E-2</v>
      </c>
      <c r="AA4413">
        <v>0.98029509999999997</v>
      </c>
      <c r="AB4413">
        <v>36</v>
      </c>
      <c r="AC4413">
        <v>0.53489999999999305</v>
      </c>
      <c r="AD4413">
        <v>-0.25209229999999999</v>
      </c>
      <c r="AE4413">
        <v>-0.19309999999998601</v>
      </c>
      <c r="AF4413">
        <v>0.15884233990194599</v>
      </c>
      <c r="AG4413">
        <v>-0.25209229999999999</v>
      </c>
      <c r="AH4413">
        <v>0.44796277549298003</v>
      </c>
      <c r="AI4413">
        <v>117.941286444802</v>
      </c>
      <c r="AJ4413">
        <v>70.476091186889704</v>
      </c>
      <c r="AK4413">
        <v>0.53800749520075497</v>
      </c>
      <c r="AL4413">
        <v>93.704216611140694</v>
      </c>
      <c r="AM4413">
        <v>89.882717099131796</v>
      </c>
      <c r="AN4413">
        <v>1.00000002432668</v>
      </c>
    </row>
    <row r="4414" spans="1:40" x14ac:dyDescent="0.25">
      <c r="A4414" t="str">
        <f>"20190303154225066"</f>
        <v>20190303154225066</v>
      </c>
      <c r="B4414" t="str">
        <f>"1551598945054295"</f>
        <v>1551598945054295</v>
      </c>
      <c r="C4414" t="s">
        <v>40</v>
      </c>
      <c r="D4414">
        <v>5.5260550000000004</v>
      </c>
      <c r="E4414">
        <v>0.57501950000000002</v>
      </c>
      <c r="F4414" t="s">
        <v>42</v>
      </c>
      <c r="G4414">
        <v>-288.28910000000002</v>
      </c>
      <c r="H4414">
        <v>0.88498290000000002</v>
      </c>
      <c r="I4414">
        <v>214.92070000000001</v>
      </c>
      <c r="J4414">
        <v>-288.79500000000002</v>
      </c>
      <c r="K4414">
        <v>1.1211409999999999</v>
      </c>
      <c r="L4414">
        <v>215.10489999999999</v>
      </c>
      <c r="M4414">
        <v>0.99988449999999995</v>
      </c>
      <c r="N4414">
        <v>-1.4237909999999999E-2</v>
      </c>
      <c r="O4414">
        <v>-5.3162819999999899E-3</v>
      </c>
      <c r="P4414">
        <v>0.99687029999999999</v>
      </c>
      <c r="Q4414">
        <v>-7.8712760000000007E-2</v>
      </c>
      <c r="R4414">
        <v>-7.3626500000000001E-3</v>
      </c>
      <c r="S4414">
        <v>2.9407960000000002</v>
      </c>
      <c r="T4414">
        <v>-0.80667609999999901</v>
      </c>
      <c r="U4414">
        <v>-0.633606</v>
      </c>
      <c r="V4414">
        <v>2.1165189999999999E-3</v>
      </c>
      <c r="W4414">
        <v>-6.450931E-2</v>
      </c>
      <c r="X4414">
        <v>0.99791490000000005</v>
      </c>
      <c r="Y4414">
        <v>0.19819919999999999</v>
      </c>
      <c r="Z4414">
        <v>-2.6513789999999999E-2</v>
      </c>
      <c r="AA4414">
        <v>0.97980310000000004</v>
      </c>
      <c r="AB4414">
        <v>36</v>
      </c>
      <c r="AC4414">
        <v>0.50589999999999602</v>
      </c>
      <c r="AD4414">
        <v>-0.23615809999999901</v>
      </c>
      <c r="AE4414">
        <v>-0.18419999999997499</v>
      </c>
      <c r="AF4414">
        <v>0.152220089243777</v>
      </c>
      <c r="AG4414">
        <v>-0.23615809999999901</v>
      </c>
      <c r="AH4414">
        <v>0.42508482069654002</v>
      </c>
      <c r="AI4414">
        <v>117.611006293183</v>
      </c>
      <c r="AJ4414">
        <v>70.297886817249406</v>
      </c>
      <c r="AK4414">
        <v>0.50954755278737496</v>
      </c>
      <c r="AL4414">
        <v>93.698679400683602</v>
      </c>
      <c r="AM4414">
        <v>89.878479192841596</v>
      </c>
      <c r="AN4414">
        <v>1.00000003918568</v>
      </c>
    </row>
    <row r="4415" spans="1:40" x14ac:dyDescent="0.25">
      <c r="A4415" t="str">
        <f>"20190303154225086"</f>
        <v>20190303154225086</v>
      </c>
      <c r="B4415" t="str">
        <f>"1551598945073815"</f>
        <v>1551598945073815</v>
      </c>
      <c r="C4415" t="s">
        <v>40</v>
      </c>
      <c r="D4415">
        <v>5.5190640000000002</v>
      </c>
      <c r="E4415">
        <v>0.57457950000000002</v>
      </c>
      <c r="F4415" t="s">
        <v>42</v>
      </c>
      <c r="G4415">
        <v>-287.9658</v>
      </c>
      <c r="H4415">
        <v>0.89496369999999903</v>
      </c>
      <c r="I4415">
        <v>214.92599999999999</v>
      </c>
      <c r="J4415">
        <v>-288.45760000000001</v>
      </c>
      <c r="K4415">
        <v>1.1211450000000001</v>
      </c>
      <c r="L4415">
        <v>215.1035</v>
      </c>
      <c r="M4415">
        <v>0.99988540000000004</v>
      </c>
      <c r="N4415">
        <v>-1.4299869999999999E-2</v>
      </c>
      <c r="O4415">
        <v>-4.9651809999999999E-3</v>
      </c>
      <c r="P4415">
        <v>0.99687720000000002</v>
      </c>
      <c r="Q4415">
        <v>-7.8710879999999997E-2</v>
      </c>
      <c r="R4415">
        <v>-6.3687079999999998E-3</v>
      </c>
      <c r="S4415">
        <v>2.9414060000000002</v>
      </c>
      <c r="T4415">
        <v>-0.80238769999999904</v>
      </c>
      <c r="U4415">
        <v>-0.63400269999999903</v>
      </c>
      <c r="V4415">
        <v>1.4723780000000001E-3</v>
      </c>
      <c r="W4415">
        <v>-6.4446119999999996E-2</v>
      </c>
      <c r="X4415">
        <v>0.99792009999999998</v>
      </c>
      <c r="Y4415">
        <v>0.19867299999999999</v>
      </c>
      <c r="Z4415">
        <v>-2.6541120000000001E-2</v>
      </c>
      <c r="AA4415">
        <v>0.97970639999999998</v>
      </c>
      <c r="AB4415">
        <v>36</v>
      </c>
      <c r="AC4415">
        <v>0.49180000000001201</v>
      </c>
      <c r="AD4415">
        <v>-0.2261813</v>
      </c>
      <c r="AE4415">
        <v>-0.17750000000000901</v>
      </c>
      <c r="AF4415">
        <v>0.147460533500335</v>
      </c>
      <c r="AG4415">
        <v>-0.2261813</v>
      </c>
      <c r="AH4415">
        <v>0.41501176654542299</v>
      </c>
      <c r="AI4415">
        <v>117.18256077516099</v>
      </c>
      <c r="AJ4415">
        <v>70.439034109356399</v>
      </c>
      <c r="AK4415">
        <v>0.49511347768066899</v>
      </c>
      <c r="AL4415">
        <v>93.695051482945004</v>
      </c>
      <c r="AM4415">
        <v>89.915463187852794</v>
      </c>
      <c r="AN4415">
        <v>0.99999999813201901</v>
      </c>
    </row>
    <row r="4416" spans="1:40" x14ac:dyDescent="0.25">
      <c r="A4416" t="str">
        <f>"20190303154225107"</f>
        <v>20190303154225107</v>
      </c>
      <c r="B4416" t="str">
        <f>"1551598945104071"</f>
        <v>1551598945104071</v>
      </c>
      <c r="C4416" t="s">
        <v>40</v>
      </c>
      <c r="D4416">
        <v>5.4030269999999998</v>
      </c>
      <c r="E4416">
        <v>0.57448730000000003</v>
      </c>
      <c r="F4416" t="s">
        <v>42</v>
      </c>
      <c r="G4416">
        <v>-287.6454</v>
      </c>
      <c r="H4416">
        <v>0.89909779999999995</v>
      </c>
      <c r="I4416">
        <v>214.9298</v>
      </c>
      <c r="J4416">
        <v>-288.11200000000002</v>
      </c>
      <c r="K4416">
        <v>1.1211530000000001</v>
      </c>
      <c r="L4416">
        <v>215.10220000000001</v>
      </c>
      <c r="M4416">
        <v>0.99988650000000001</v>
      </c>
      <c r="N4416">
        <v>-1.435458E-2</v>
      </c>
      <c r="O4416">
        <v>-4.6058089999999998E-3</v>
      </c>
      <c r="P4416">
        <v>0.99690619999999996</v>
      </c>
      <c r="Q4416">
        <v>-7.8441979999999994E-2</v>
      </c>
      <c r="R4416">
        <v>-5.0072789999999999E-3</v>
      </c>
      <c r="S4416">
        <v>2.9418950000000001</v>
      </c>
      <c r="T4416">
        <v>-0.80432760000000003</v>
      </c>
      <c r="U4416">
        <v>-0.62762450000000003</v>
      </c>
      <c r="V4416">
        <v>4.6892240000000001E-4</v>
      </c>
      <c r="W4416">
        <v>-6.4123189999999997E-2</v>
      </c>
      <c r="X4416">
        <v>0.99794190000000005</v>
      </c>
      <c r="Y4416">
        <v>0.1969755</v>
      </c>
      <c r="Z4416">
        <v>-2.6459010000000002E-2</v>
      </c>
      <c r="AA4416">
        <v>0.98005129999999996</v>
      </c>
      <c r="AB4416">
        <v>36</v>
      </c>
      <c r="AC4416">
        <v>0.46660000000002799</v>
      </c>
      <c r="AD4416">
        <v>-0.22205520000000001</v>
      </c>
      <c r="AE4416">
        <v>-0.17240000000000999</v>
      </c>
      <c r="AF4416">
        <v>0.141959623110779</v>
      </c>
      <c r="AG4416">
        <v>-0.22205520000000001</v>
      </c>
      <c r="AH4416">
        <v>0.38972585950792699</v>
      </c>
      <c r="AI4416">
        <v>118.16291688443999</v>
      </c>
      <c r="AJ4416">
        <v>69.985590124804403</v>
      </c>
      <c r="AK4416">
        <v>0.47047560192850302</v>
      </c>
      <c r="AL4416">
        <v>93.676510527885995</v>
      </c>
      <c r="AM4416">
        <v>89.9730773179663</v>
      </c>
      <c r="AN4416">
        <v>1.0000000195798</v>
      </c>
    </row>
    <row r="4417" spans="1:40" x14ac:dyDescent="0.25">
      <c r="A4417" t="str">
        <f>"20190303154225131"</f>
        <v>20190303154225131</v>
      </c>
      <c r="B4417" t="str">
        <f>"1551598945124569"</f>
        <v>1551598945124569</v>
      </c>
      <c r="C4417" t="s">
        <v>40</v>
      </c>
      <c r="D4417">
        <v>5.326473</v>
      </c>
      <c r="E4417">
        <v>0.57442649999999995</v>
      </c>
      <c r="F4417" t="s">
        <v>42</v>
      </c>
      <c r="G4417">
        <v>-287.32330000000002</v>
      </c>
      <c r="H4417">
        <v>0.90784200000000004</v>
      </c>
      <c r="I4417">
        <v>214.93510000000001</v>
      </c>
      <c r="J4417">
        <v>-287.74700000000001</v>
      </c>
      <c r="K4417">
        <v>1.121159</v>
      </c>
      <c r="L4417">
        <v>215.1009</v>
      </c>
      <c r="M4417">
        <v>0.99988739999999998</v>
      </c>
      <c r="N4417">
        <v>-1.4404129999999999E-2</v>
      </c>
      <c r="O4417">
        <v>-4.2257839999999998E-3</v>
      </c>
      <c r="P4417">
        <v>0.99690889999999999</v>
      </c>
      <c r="Q4417">
        <v>-7.8467759999999998E-2</v>
      </c>
      <c r="R4417">
        <v>-3.9528480000000001E-3</v>
      </c>
      <c r="S4417">
        <v>2.9435419999999999</v>
      </c>
      <c r="T4417">
        <v>-0.79623060000000001</v>
      </c>
      <c r="U4417">
        <v>-0.62278750000000005</v>
      </c>
      <c r="V4417">
        <v>-2.0682320000000001E-4</v>
      </c>
      <c r="W4417">
        <v>-6.4100110000000002E-2</v>
      </c>
      <c r="X4417">
        <v>0.99794349999999998</v>
      </c>
      <c r="Y4417">
        <v>0.1958636</v>
      </c>
      <c r="Z4417">
        <v>-2.615201E-2</v>
      </c>
      <c r="AA4417">
        <v>0.9802824</v>
      </c>
      <c r="AB4417">
        <v>36</v>
      </c>
      <c r="AC4417">
        <v>0.42369999999999602</v>
      </c>
      <c r="AD4417">
        <v>-0.21331700000000001</v>
      </c>
      <c r="AE4417">
        <v>-0.16579999999999001</v>
      </c>
      <c r="AF4417">
        <v>0.13445309611301201</v>
      </c>
      <c r="AG4417">
        <v>-0.21331700000000001</v>
      </c>
      <c r="AH4417">
        <v>0.34791916222619201</v>
      </c>
      <c r="AI4417">
        <v>119.765363788073</v>
      </c>
      <c r="AJ4417">
        <v>68.871013271653197</v>
      </c>
      <c r="AK4417">
        <v>0.42968537441661903</v>
      </c>
      <c r="AL4417">
        <v>93.675185310486896</v>
      </c>
      <c r="AM4417">
        <v>90.011874516238294</v>
      </c>
      <c r="AN4417">
        <v>1.0000000480350399</v>
      </c>
    </row>
    <row r="4418" spans="1:40" x14ac:dyDescent="0.25">
      <c r="A4418" t="str">
        <f>"20190303154225152"</f>
        <v>20190303154225152</v>
      </c>
      <c r="B4418" t="str">
        <f>"1551598945144086"</f>
        <v>1551598945144086</v>
      </c>
      <c r="C4418" t="s">
        <v>40</v>
      </c>
      <c r="D4418">
        <v>5.2817270000000001</v>
      </c>
      <c r="E4418">
        <v>0.57444740000000005</v>
      </c>
      <c r="F4418" t="s">
        <v>42</v>
      </c>
      <c r="G4418">
        <v>-287.00040000000001</v>
      </c>
      <c r="H4418">
        <v>0.91996619999999996</v>
      </c>
      <c r="I4418">
        <v>214.94390000000001</v>
      </c>
      <c r="J4418">
        <v>-287.4024</v>
      </c>
      <c r="K4418">
        <v>1.121162</v>
      </c>
      <c r="L4418">
        <v>215.09979999999999</v>
      </c>
      <c r="M4418">
        <v>0.9998882</v>
      </c>
      <c r="N4418">
        <v>-1.4444129999999999E-2</v>
      </c>
      <c r="O4418">
        <v>-3.866913E-3</v>
      </c>
      <c r="P4418">
        <v>0.99691269999999998</v>
      </c>
      <c r="Q4418">
        <v>-7.8460189999999999E-2</v>
      </c>
      <c r="R4418">
        <v>-3.056043E-3</v>
      </c>
      <c r="S4418">
        <v>2.9444270000000001</v>
      </c>
      <c r="T4418">
        <v>-0.79352089999999997</v>
      </c>
      <c r="U4418">
        <v>-0.6187897</v>
      </c>
      <c r="V4418">
        <v>-7.4644649999999996E-4</v>
      </c>
      <c r="W4418">
        <v>-6.4053059999999995E-2</v>
      </c>
      <c r="X4418">
        <v>0.99794620000000001</v>
      </c>
      <c r="Y4418">
        <v>0.19494890000000001</v>
      </c>
      <c r="Z4418">
        <v>-2.6033400000000002E-2</v>
      </c>
      <c r="AA4418">
        <v>0.98046789999999995</v>
      </c>
      <c r="AB4418">
        <v>36</v>
      </c>
      <c r="AC4418">
        <v>0.40199999999998598</v>
      </c>
      <c r="AD4418">
        <v>-0.20119579999999901</v>
      </c>
      <c r="AE4418">
        <v>-0.155899999999974</v>
      </c>
      <c r="AF4418">
        <v>0.126746428935754</v>
      </c>
      <c r="AG4418">
        <v>-0.20119579999999901</v>
      </c>
      <c r="AH4418">
        <v>0.33061242098428201</v>
      </c>
      <c r="AI4418">
        <v>119.606496358451</v>
      </c>
      <c r="AJ4418">
        <v>69.024743645112295</v>
      </c>
      <c r="AK4418">
        <v>0.40724560168858098</v>
      </c>
      <c r="AL4418">
        <v>93.672484225171701</v>
      </c>
      <c r="AM4418">
        <v>90.042856244260804</v>
      </c>
      <c r="AN4418">
        <v>0.99999998488608999</v>
      </c>
    </row>
    <row r="4419" spans="1:40" x14ac:dyDescent="0.25">
      <c r="A4419" t="str">
        <f>"20190303154225175"</f>
        <v>20190303154225175</v>
      </c>
      <c r="B4419" t="str">
        <f>"1551598945164583"</f>
        <v>1551598945164583</v>
      </c>
      <c r="C4419" t="s">
        <v>40</v>
      </c>
      <c r="D4419">
        <v>5.2935449999999999</v>
      </c>
      <c r="E4419">
        <v>0.57411190000000001</v>
      </c>
      <c r="F4419" t="s">
        <v>42</v>
      </c>
      <c r="G4419">
        <v>-286.67959999999999</v>
      </c>
      <c r="H4419">
        <v>0.92761709999999997</v>
      </c>
      <c r="I4419">
        <v>214.94829999999999</v>
      </c>
      <c r="J4419">
        <v>-287.03960000000001</v>
      </c>
      <c r="K4419">
        <v>1.1211679999999999</v>
      </c>
      <c r="L4419">
        <v>215.09880000000001</v>
      </c>
      <c r="M4419">
        <v>0.99988909999999998</v>
      </c>
      <c r="N4419">
        <v>-1.448001E-2</v>
      </c>
      <c r="O4419">
        <v>-3.4912189999999998E-3</v>
      </c>
      <c r="P4419">
        <v>0.99690699999999999</v>
      </c>
      <c r="Q4419">
        <v>-7.8547110000000003E-2</v>
      </c>
      <c r="R4419">
        <v>-2.6353560000000002E-3</v>
      </c>
      <c r="S4419">
        <v>2.9452820000000002</v>
      </c>
      <c r="T4419">
        <v>-0.78861689999999995</v>
      </c>
      <c r="U4419">
        <v>-0.61633300000000002</v>
      </c>
      <c r="V4419">
        <v>-7.9260229999999999E-4</v>
      </c>
      <c r="W4419">
        <v>-6.410428E-2</v>
      </c>
      <c r="X4419">
        <v>0.99794289999999997</v>
      </c>
      <c r="Y4419">
        <v>0.1945617</v>
      </c>
      <c r="Z4419">
        <v>-2.5924639999999999E-2</v>
      </c>
      <c r="AA4419">
        <v>0.98054759999999996</v>
      </c>
      <c r="AB4419">
        <v>36</v>
      </c>
      <c r="AC4419">
        <v>0.36000000000001298</v>
      </c>
      <c r="AD4419">
        <v>-0.1935509</v>
      </c>
      <c r="AE4419">
        <v>-0.15050000000002201</v>
      </c>
      <c r="AF4419">
        <v>0.119771679212994</v>
      </c>
      <c r="AG4419">
        <v>-0.1935509</v>
      </c>
      <c r="AH4419">
        <v>0.289331738502072</v>
      </c>
      <c r="AI4419">
        <v>121.719897960681</v>
      </c>
      <c r="AJ4419">
        <v>67.512416332708199</v>
      </c>
      <c r="AK4419">
        <v>0.36813049444041201</v>
      </c>
      <c r="AL4419">
        <v>93.675424868849007</v>
      </c>
      <c r="AM4419">
        <v>90.0455063682234</v>
      </c>
      <c r="AN4419">
        <v>1.00000000929656</v>
      </c>
    </row>
    <row r="4420" spans="1:40" x14ac:dyDescent="0.25">
      <c r="A4420" t="str">
        <f>"20190303154225197"</f>
        <v>20190303154225197</v>
      </c>
      <c r="B4420" t="str">
        <f>"1551598945193863"</f>
        <v>1551598945193863</v>
      </c>
      <c r="C4420" t="s">
        <v>40</v>
      </c>
      <c r="D4420">
        <v>5.2050609999999997</v>
      </c>
      <c r="E4420">
        <v>0.57369289999999995</v>
      </c>
      <c r="F4420" t="s">
        <v>42</v>
      </c>
      <c r="G4420">
        <v>-286.3571</v>
      </c>
      <c r="H4420">
        <v>0.93947789999999998</v>
      </c>
      <c r="I4420">
        <v>214.95660000000001</v>
      </c>
      <c r="J4420">
        <v>-286.69709999999998</v>
      </c>
      <c r="K4420">
        <v>1.1211709999999999</v>
      </c>
      <c r="L4420">
        <v>215.09790000000001</v>
      </c>
      <c r="M4420">
        <v>0.9998899</v>
      </c>
      <c r="N4420">
        <v>-1.4508419999999999E-2</v>
      </c>
      <c r="O4420">
        <v>-3.140285E-3</v>
      </c>
      <c r="P4420">
        <v>0.99688849999999996</v>
      </c>
      <c r="Q4420">
        <v>-7.8776029999999997E-2</v>
      </c>
      <c r="R4420">
        <v>-2.8232209999999999E-3</v>
      </c>
      <c r="S4420">
        <v>2.9458920000000002</v>
      </c>
      <c r="T4420">
        <v>-0.78429819999999995</v>
      </c>
      <c r="U4420">
        <v>-0.61242680000000005</v>
      </c>
      <c r="V4420">
        <v>-2.5535709999999998E-4</v>
      </c>
      <c r="W4420">
        <v>-6.4304630000000002E-2</v>
      </c>
      <c r="X4420">
        <v>0.99793030000000005</v>
      </c>
      <c r="Y4420">
        <v>0.19370950000000001</v>
      </c>
      <c r="Z4420">
        <v>-2.5765280000000002E-2</v>
      </c>
      <c r="AA4420">
        <v>0.9807205</v>
      </c>
      <c r="AB4420">
        <v>36</v>
      </c>
      <c r="AC4420">
        <v>0.33999999999997499</v>
      </c>
      <c r="AD4420">
        <v>-0.181693099999999</v>
      </c>
      <c r="AE4420">
        <v>-0.14130000000000101</v>
      </c>
      <c r="AF4420">
        <v>0.112770177903265</v>
      </c>
      <c r="AG4420">
        <v>-0.181693099999999</v>
      </c>
      <c r="AH4420">
        <v>0.27377384507171798</v>
      </c>
      <c r="AI4420">
        <v>121.535012323039</v>
      </c>
      <c r="AJ4420">
        <v>67.6127485979178</v>
      </c>
      <c r="AK4420">
        <v>0.34739259326775601</v>
      </c>
      <c r="AL4420">
        <v>93.686927782450795</v>
      </c>
      <c r="AM4420">
        <v>90.014661228123202</v>
      </c>
      <c r="AN4420">
        <v>1.00000001715238</v>
      </c>
    </row>
    <row r="4421" spans="1:40" x14ac:dyDescent="0.25">
      <c r="A4421" t="str">
        <f>"20190303154225220"</f>
        <v>20190303154225220</v>
      </c>
      <c r="B4421" t="str">
        <f>"1551598945214359"</f>
        <v>1551598945214359</v>
      </c>
      <c r="C4421" t="s">
        <v>40</v>
      </c>
      <c r="D4421">
        <v>5.1724690000000004</v>
      </c>
      <c r="E4421">
        <v>0.57340249999999904</v>
      </c>
      <c r="F4421" t="s">
        <v>42</v>
      </c>
      <c r="G4421">
        <v>-285.75099999999998</v>
      </c>
      <c r="H4421">
        <v>0.87043919999999997</v>
      </c>
      <c r="I4421">
        <v>214.90190000000001</v>
      </c>
      <c r="J4421">
        <v>-286.3399</v>
      </c>
      <c r="K4421">
        <v>1.121176</v>
      </c>
      <c r="L4421">
        <v>215.09719999999999</v>
      </c>
      <c r="M4421">
        <v>0.99989050000000002</v>
      </c>
      <c r="N4421">
        <v>-1.453336E-2</v>
      </c>
      <c r="O4421">
        <v>-2.7793470000000002E-3</v>
      </c>
      <c r="P4421">
        <v>0.99689280000000002</v>
      </c>
      <c r="Q4421">
        <v>-7.8730869999999994E-2</v>
      </c>
      <c r="R4421">
        <v>-2.5303999999999999E-3</v>
      </c>
      <c r="S4421">
        <v>2.9459529999999998</v>
      </c>
      <c r="T4421">
        <v>-0.78075609999999995</v>
      </c>
      <c r="U4421">
        <v>-0.60957340000000004</v>
      </c>
      <c r="V4421">
        <v>-1.8873889999999999E-4</v>
      </c>
      <c r="W4421">
        <v>-6.4234479999999997E-2</v>
      </c>
      <c r="X4421">
        <v>0.99793480000000001</v>
      </c>
      <c r="Y4421">
        <v>0.19321140000000001</v>
      </c>
      <c r="Z4421">
        <v>-2.5683210000000001E-2</v>
      </c>
      <c r="AA4421">
        <v>0.98082100000000005</v>
      </c>
      <c r="AB4421">
        <v>35</v>
      </c>
      <c r="AC4421">
        <v>0.58890000000002296</v>
      </c>
      <c r="AD4421">
        <v>-0.25073679999999998</v>
      </c>
      <c r="AE4421">
        <v>-0.19529999999997399</v>
      </c>
      <c r="AF4421">
        <v>0.16647393241493999</v>
      </c>
      <c r="AG4421">
        <v>-0.25073679999999998</v>
      </c>
      <c r="AH4421">
        <v>0.50668862790243197</v>
      </c>
      <c r="AI4421">
        <v>115.179598782119</v>
      </c>
      <c r="AJ4421">
        <v>71.811921216307297</v>
      </c>
      <c r="AK4421">
        <v>0.58933511578182995</v>
      </c>
      <c r="AL4421">
        <v>93.682900277019996</v>
      </c>
      <c r="AM4421">
        <v>90.010836321442</v>
      </c>
      <c r="AN4421">
        <v>0.99999998454714101</v>
      </c>
    </row>
    <row r="4422" spans="1:40" x14ac:dyDescent="0.25">
      <c r="A4422" t="str">
        <f>"20190303154225244"</f>
        <v>20190303154225244</v>
      </c>
      <c r="B4422" t="str">
        <f>"1551598945233878"</f>
        <v>1551598945233878</v>
      </c>
      <c r="C4422" t="s">
        <v>40</v>
      </c>
      <c r="D4422">
        <v>5.1118629999999996</v>
      </c>
      <c r="E4422">
        <v>0.57312969999999996</v>
      </c>
      <c r="F4422" t="s">
        <v>42</v>
      </c>
      <c r="G4422">
        <v>-285.43049999999999</v>
      </c>
      <c r="H4422">
        <v>0.88106930000000006</v>
      </c>
      <c r="I4422">
        <v>214.90989999999999</v>
      </c>
      <c r="J4422">
        <v>-285.96530000000001</v>
      </c>
      <c r="K4422">
        <v>1.1211739999999999</v>
      </c>
      <c r="L4422">
        <v>215.0966</v>
      </c>
      <c r="M4422">
        <v>0.99989119999999998</v>
      </c>
      <c r="N4422">
        <v>-1.4555149999999999E-2</v>
      </c>
      <c r="O4422">
        <v>-2.4075640000000001E-3</v>
      </c>
      <c r="P4422">
        <v>0.99691350000000001</v>
      </c>
      <c r="Q4422">
        <v>-7.8475799999999998E-2</v>
      </c>
      <c r="R4422">
        <v>-2.2949060000000002E-3</v>
      </c>
      <c r="S4422">
        <v>2.9463499999999998</v>
      </c>
      <c r="T4422">
        <v>-0.77791569999999899</v>
      </c>
      <c r="U4422">
        <v>-0.60653690000000005</v>
      </c>
      <c r="V4422" s="1">
        <v>-5.4728470000000001E-5</v>
      </c>
      <c r="W4422">
        <v>-6.395729E-2</v>
      </c>
      <c r="X4422">
        <v>0.99795259999999997</v>
      </c>
      <c r="Y4422">
        <v>0.1926351</v>
      </c>
      <c r="Z4422">
        <v>-2.5611120000000001E-2</v>
      </c>
      <c r="AA4422">
        <v>0.98093620000000004</v>
      </c>
      <c r="AB4422">
        <v>35</v>
      </c>
      <c r="AC4422">
        <v>0.53480000000001804</v>
      </c>
      <c r="AD4422">
        <v>-0.24010469999999901</v>
      </c>
      <c r="AE4422">
        <v>-0.186700000000001</v>
      </c>
      <c r="AF4422">
        <v>0.15717259356886101</v>
      </c>
      <c r="AG4422">
        <v>-0.24010469999999901</v>
      </c>
      <c r="AH4422">
        <v>0.453726969574199</v>
      </c>
      <c r="AI4422">
        <v>116.566526213248</v>
      </c>
      <c r="AJ4422">
        <v>70.893737319500801</v>
      </c>
      <c r="AK4422">
        <v>0.53686278884854599</v>
      </c>
      <c r="AL4422">
        <v>93.666985807407102</v>
      </c>
      <c r="AM4422">
        <v>90.003142143571793</v>
      </c>
      <c r="AN4422">
        <v>0.99999996489305398</v>
      </c>
    </row>
    <row r="4423" spans="1:40" x14ac:dyDescent="0.25">
      <c r="A4423" t="str">
        <f>"20190303154225266"</f>
        <v>20190303154225266</v>
      </c>
      <c r="B4423" t="str">
        <f>"1551598945254375"</f>
        <v>1551598945254375</v>
      </c>
      <c r="C4423" t="s">
        <v>40</v>
      </c>
      <c r="D4423">
        <v>5.1256180000000002</v>
      </c>
      <c r="E4423">
        <v>0.57288629999999996</v>
      </c>
      <c r="F4423" t="s">
        <v>42</v>
      </c>
      <c r="G4423">
        <v>-285.10890000000001</v>
      </c>
      <c r="H4423">
        <v>0.89548209999999995</v>
      </c>
      <c r="I4423">
        <v>214.92080000000001</v>
      </c>
      <c r="J4423">
        <v>-285.61110000000002</v>
      </c>
      <c r="K4423">
        <v>1.1211739999999999</v>
      </c>
      <c r="L4423">
        <v>215.096</v>
      </c>
      <c r="M4423">
        <v>0.99989189999999994</v>
      </c>
      <c r="N4423">
        <v>-1.4572450000000001E-2</v>
      </c>
      <c r="O4423">
        <v>-2.0655830000000002E-3</v>
      </c>
      <c r="P4423">
        <v>0.9968958</v>
      </c>
      <c r="Q4423">
        <v>-7.8711829999999997E-2</v>
      </c>
      <c r="R4423">
        <v>-1.8757629999999999E-3</v>
      </c>
      <c r="S4423">
        <v>2.9467469999999998</v>
      </c>
      <c r="T4423">
        <v>-0.77662730000000002</v>
      </c>
      <c r="U4423">
        <v>-0.60377499999999995</v>
      </c>
      <c r="V4423">
        <v>-1.3401640000000001E-4</v>
      </c>
      <c r="W4423">
        <v>-6.4176349999999993E-2</v>
      </c>
      <c r="X4423">
        <v>0.99793860000000001</v>
      </c>
      <c r="Y4423">
        <v>0.1920915</v>
      </c>
      <c r="Z4423">
        <v>-2.5582110000000002E-2</v>
      </c>
      <c r="AA4423">
        <v>0.98104349999999996</v>
      </c>
      <c r="AB4423">
        <v>35</v>
      </c>
      <c r="AC4423">
        <v>0.50220000000001597</v>
      </c>
      <c r="AD4423">
        <v>-0.225691899999999</v>
      </c>
      <c r="AE4423">
        <v>-0.175199999999961</v>
      </c>
      <c r="AF4423">
        <v>0.14758850037468901</v>
      </c>
      <c r="AG4423">
        <v>-0.225691899999999</v>
      </c>
      <c r="AH4423">
        <v>0.425880079296936</v>
      </c>
      <c r="AI4423">
        <v>116.59836019492801</v>
      </c>
      <c r="AJ4423">
        <v>70.886270207916894</v>
      </c>
      <c r="AK4423">
        <v>0.50407642387878404</v>
      </c>
      <c r="AL4423">
        <v>93.679562598908703</v>
      </c>
      <c r="AM4423">
        <v>90.007694435368407</v>
      </c>
      <c r="AN4423">
        <v>1.00000003561483</v>
      </c>
    </row>
    <row r="4424" spans="1:40" x14ac:dyDescent="0.25">
      <c r="A4424" t="str">
        <f>"20190303154225294"</f>
        <v>20190303154225294</v>
      </c>
      <c r="B4424" t="str">
        <f>"1551598945284632"</f>
        <v>1551598945284632</v>
      </c>
      <c r="C4424" t="s">
        <v>40</v>
      </c>
      <c r="D4424">
        <v>5.0897709999999998</v>
      </c>
      <c r="E4424">
        <v>0.57239589999999996</v>
      </c>
      <c r="F4424" t="s">
        <v>42</v>
      </c>
      <c r="G4424">
        <v>-284.78949999999998</v>
      </c>
      <c r="H4424">
        <v>0.90522849999999999</v>
      </c>
      <c r="I4424">
        <v>214.92859999999999</v>
      </c>
      <c r="J4424">
        <v>-285.16640000000001</v>
      </c>
      <c r="K4424">
        <v>1.1211629999999999</v>
      </c>
      <c r="L4424">
        <v>215.09559999999999</v>
      </c>
      <c r="M4424">
        <v>0.99989229999999996</v>
      </c>
      <c r="N4424">
        <v>-1.4590229999999999E-2</v>
      </c>
      <c r="O4424">
        <v>-1.657443E-3</v>
      </c>
      <c r="P4424">
        <v>0.99685950000000001</v>
      </c>
      <c r="Q4424">
        <v>-7.9178719999999994E-2</v>
      </c>
      <c r="R4424">
        <v>-1.486259E-3</v>
      </c>
      <c r="S4424">
        <v>2.9470209999999999</v>
      </c>
      <c r="T4424">
        <v>-0.77449230000000002</v>
      </c>
      <c r="U4424">
        <v>-0.60055539999999996</v>
      </c>
      <c r="V4424">
        <v>-1.187856E-4</v>
      </c>
      <c r="W4424">
        <v>-6.4625970000000005E-2</v>
      </c>
      <c r="X4424">
        <v>0.9979095</v>
      </c>
      <c r="Y4424">
        <v>0.1914873</v>
      </c>
      <c r="Z4424">
        <v>-2.5536619999999999E-2</v>
      </c>
      <c r="AA4424">
        <v>0.9811628</v>
      </c>
      <c r="AB4424">
        <v>35</v>
      </c>
      <c r="AC4424">
        <v>0.37690000000003399</v>
      </c>
      <c r="AD4424">
        <v>-0.215934499999999</v>
      </c>
      <c r="AE4424">
        <v>-0.16700000000000101</v>
      </c>
      <c r="AF4424">
        <v>0.13055438214899301</v>
      </c>
      <c r="AG4424">
        <v>-0.215934499999999</v>
      </c>
      <c r="AH4424">
        <v>0.295970039392215</v>
      </c>
      <c r="AI4424">
        <v>123.724101496161</v>
      </c>
      <c r="AJ4424">
        <v>66.197400429667795</v>
      </c>
      <c r="AK4424">
        <v>0.38893498069263999</v>
      </c>
      <c r="AL4424">
        <v>93.705377833146002</v>
      </c>
      <c r="AM4424">
        <v>90.006820171082396</v>
      </c>
      <c r="AN4424">
        <v>0.99999995014935295</v>
      </c>
    </row>
    <row r="4425" spans="1:40" x14ac:dyDescent="0.25">
      <c r="A4425" t="str">
        <f>"20190303154225310"</f>
        <v>20190303154225310</v>
      </c>
      <c r="B4425" t="str">
        <f>"1551598945304151"</f>
        <v>1551598945304151</v>
      </c>
      <c r="C4425" t="s">
        <v>40</v>
      </c>
      <c r="D4425">
        <v>5.0673079999999997</v>
      </c>
      <c r="E4425">
        <v>0.57214039999999999</v>
      </c>
      <c r="F4425" t="s">
        <v>42</v>
      </c>
      <c r="G4425">
        <v>-284.46170000000001</v>
      </c>
      <c r="H4425">
        <v>0.93647930000000001</v>
      </c>
      <c r="I4425">
        <v>214.9528</v>
      </c>
      <c r="J4425">
        <v>-284.91379999999998</v>
      </c>
      <c r="K4425">
        <v>1.1211500000000001</v>
      </c>
      <c r="L4425">
        <v>215.09540000000001</v>
      </c>
      <c r="M4425">
        <v>0.99989249999999996</v>
      </c>
      <c r="N4425">
        <v>-1.4598359999999999E-2</v>
      </c>
      <c r="O4425">
        <v>-1.442657E-3</v>
      </c>
      <c r="P4425">
        <v>0.99677680000000002</v>
      </c>
      <c r="Q4425">
        <v>-8.0221239999999999E-2</v>
      </c>
      <c r="R4425">
        <v>-9.8322519999999997E-4</v>
      </c>
      <c r="S4425">
        <v>2.947235</v>
      </c>
      <c r="T4425">
        <v>-0.77241579999999999</v>
      </c>
      <c r="U4425">
        <v>-0.59625240000000002</v>
      </c>
      <c r="V4425">
        <v>-4.08069E-4</v>
      </c>
      <c r="W4425">
        <v>-6.5661670000000005E-2</v>
      </c>
      <c r="X4425">
        <v>0.9978418</v>
      </c>
      <c r="Y4425">
        <v>0.19037229999999999</v>
      </c>
      <c r="Z4425">
        <v>-2.5377360000000002E-2</v>
      </c>
      <c r="AA4425">
        <v>0.98138389999999998</v>
      </c>
      <c r="AB4425">
        <v>35</v>
      </c>
      <c r="AC4425">
        <v>0.45209999999997302</v>
      </c>
      <c r="AD4425">
        <v>-0.18467069999999999</v>
      </c>
      <c r="AE4425">
        <v>-0.14260000000001499</v>
      </c>
      <c r="AF4425">
        <v>0.123244818005878</v>
      </c>
      <c r="AG4425">
        <v>-0.18467069999999999</v>
      </c>
      <c r="AH4425">
        <v>0.39271039545345399</v>
      </c>
      <c r="AI4425">
        <v>114.164367334554</v>
      </c>
      <c r="AJ4425">
        <v>72.576509601032697</v>
      </c>
      <c r="AK4425">
        <v>0.45112526785916202</v>
      </c>
      <c r="AL4425">
        <v>93.764845433238605</v>
      </c>
      <c r="AM4425">
        <v>90.023431199361099</v>
      </c>
      <c r="AN4425">
        <v>0.999999939627367</v>
      </c>
    </row>
    <row r="4426" spans="1:40" x14ac:dyDescent="0.25">
      <c r="A4426" t="str">
        <f>"20190303154225332"</f>
        <v>20190303154225332</v>
      </c>
      <c r="B4426" t="str">
        <f>"1551598945324647"</f>
        <v>1551598945324647</v>
      </c>
      <c r="C4426" t="s">
        <v>40</v>
      </c>
      <c r="D4426">
        <v>5.0823390000000002</v>
      </c>
      <c r="E4426">
        <v>0.57198669999999996</v>
      </c>
      <c r="F4426" t="s">
        <v>42</v>
      </c>
      <c r="G4426">
        <v>-284.15300000000002</v>
      </c>
      <c r="H4426">
        <v>0.92131609999999997</v>
      </c>
      <c r="I4426">
        <v>214.9425</v>
      </c>
      <c r="J4426">
        <v>-284.56009999999998</v>
      </c>
      <c r="K4426">
        <v>1.121138</v>
      </c>
      <c r="L4426">
        <v>215.0951</v>
      </c>
      <c r="M4426">
        <v>0.99989260000000002</v>
      </c>
      <c r="N4426">
        <v>-1.460815E-2</v>
      </c>
      <c r="O4426">
        <v>-1.1618659999999999E-3</v>
      </c>
      <c r="P4426">
        <v>0.99678469999999997</v>
      </c>
      <c r="Q4426">
        <v>-8.0126329999999996E-2</v>
      </c>
      <c r="R4426" s="1">
        <v>3.7218210000000003E-5</v>
      </c>
      <c r="S4426">
        <v>2.9468380000000001</v>
      </c>
      <c r="T4426">
        <v>-0.77400530000000001</v>
      </c>
      <c r="U4426">
        <v>-0.59202580000000005</v>
      </c>
      <c r="V4426">
        <v>-1.152241E-3</v>
      </c>
      <c r="W4426">
        <v>-6.5557379999999998E-2</v>
      </c>
      <c r="X4426">
        <v>0.99784819999999996</v>
      </c>
      <c r="Y4426">
        <v>0.18931899999999999</v>
      </c>
      <c r="Z4426">
        <v>-2.535739E-2</v>
      </c>
      <c r="AA4426">
        <v>0.98158820000000002</v>
      </c>
      <c r="AB4426">
        <v>35</v>
      </c>
      <c r="AC4426">
        <v>0.407099999999957</v>
      </c>
      <c r="AD4426">
        <v>-0.1998219</v>
      </c>
      <c r="AE4426">
        <v>-0.15260000000000601</v>
      </c>
      <c r="AF4426">
        <v>0.125595518748228</v>
      </c>
      <c r="AG4426">
        <v>-0.1998219</v>
      </c>
      <c r="AH4426">
        <v>0.33624683241020098</v>
      </c>
      <c r="AI4426">
        <v>119.104852811051</v>
      </c>
      <c r="AJ4426">
        <v>69.518244159771896</v>
      </c>
      <c r="AK4426">
        <v>0.41081012445549597</v>
      </c>
      <c r="AL4426">
        <v>93.758856685400602</v>
      </c>
      <c r="AM4426">
        <v>90.066160881924802</v>
      </c>
      <c r="AN4426">
        <v>1.00000006398751</v>
      </c>
    </row>
    <row r="4427" spans="1:40" x14ac:dyDescent="0.25">
      <c r="A4427" t="str">
        <f>"20190303154225353"</f>
        <v>20190303154225353</v>
      </c>
      <c r="B4427" t="str">
        <f>"1551598945344167"</f>
        <v>1551598945344167</v>
      </c>
      <c r="C4427" t="s">
        <v>40</v>
      </c>
      <c r="D4427">
        <v>5.0562809999999896</v>
      </c>
      <c r="E4427">
        <v>0.57182149999999998</v>
      </c>
      <c r="F4427" t="s">
        <v>42</v>
      </c>
      <c r="G4427">
        <v>-283.83479999999997</v>
      </c>
      <c r="H4427">
        <v>0.93085249999999997</v>
      </c>
      <c r="I4427">
        <v>214.95050000000001</v>
      </c>
      <c r="J4427">
        <v>-284.22089999999997</v>
      </c>
      <c r="K4427">
        <v>1.1211260000000001</v>
      </c>
      <c r="L4427">
        <v>215.095</v>
      </c>
      <c r="M4427">
        <v>0.99989280000000003</v>
      </c>
      <c r="N4427">
        <v>-1.461573E-2</v>
      </c>
      <c r="O4427">
        <v>-9.1912269999999999E-4</v>
      </c>
      <c r="P4427">
        <v>0.9968418</v>
      </c>
      <c r="Q4427">
        <v>-7.9407199999999997E-2</v>
      </c>
      <c r="R4427">
        <v>9.8117769999999998E-4</v>
      </c>
      <c r="S4427">
        <v>2.9476010000000001</v>
      </c>
      <c r="T4427">
        <v>-0.77333960000000002</v>
      </c>
      <c r="U4427">
        <v>-0.58648679999999997</v>
      </c>
      <c r="V4427">
        <v>-1.8584319999999999E-3</v>
      </c>
      <c r="W4427">
        <v>-6.4830299999999993E-2</v>
      </c>
      <c r="X4427">
        <v>0.99789459999999996</v>
      </c>
      <c r="Y4427">
        <v>0.1877907</v>
      </c>
      <c r="Z4427">
        <v>-2.5187999999999999E-2</v>
      </c>
      <c r="AA4427">
        <v>0.98188600000000004</v>
      </c>
      <c r="AB4427">
        <v>35</v>
      </c>
      <c r="AC4427">
        <v>0.386099999999998</v>
      </c>
      <c r="AD4427">
        <v>-0.19027350000000001</v>
      </c>
      <c r="AE4427">
        <v>-0.144499999999993</v>
      </c>
      <c r="AF4427">
        <v>0.118831235320644</v>
      </c>
      <c r="AG4427">
        <v>-0.19027350000000001</v>
      </c>
      <c r="AH4427">
        <v>0.31840504890010601</v>
      </c>
      <c r="AI4427">
        <v>119.242883526715</v>
      </c>
      <c r="AJ4427">
        <v>69.534035394906795</v>
      </c>
      <c r="AK4427">
        <v>0.38949536897780801</v>
      </c>
      <c r="AL4427">
        <v>93.717109396248205</v>
      </c>
      <c r="AM4427">
        <v>90.1067048433856</v>
      </c>
      <c r="AN4427">
        <v>1.00000002713837</v>
      </c>
    </row>
    <row r="4428" spans="1:40" x14ac:dyDescent="0.25">
      <c r="A4428" t="str">
        <f>"20190303154225377"</f>
        <v>20190303154225377</v>
      </c>
      <c r="B4428" t="str">
        <f>"1551598945374423"</f>
        <v>1551598945374423</v>
      </c>
      <c r="C4428" t="s">
        <v>40</v>
      </c>
      <c r="D4428">
        <v>5.0430250000000001</v>
      </c>
      <c r="E4428">
        <v>0.57154349999999998</v>
      </c>
      <c r="F4428" t="s">
        <v>42</v>
      </c>
      <c r="G4428">
        <v>-283.51769999999999</v>
      </c>
      <c r="H4428">
        <v>0.9377337</v>
      </c>
      <c r="I4428">
        <v>214.95599999999999</v>
      </c>
      <c r="J4428">
        <v>-283.86270000000002</v>
      </c>
      <c r="K4428">
        <v>1.1211070000000001</v>
      </c>
      <c r="L4428">
        <v>215.0949</v>
      </c>
      <c r="M4428">
        <v>0.99989289999999997</v>
      </c>
      <c r="N4428">
        <v>-1.4622100000000001E-2</v>
      </c>
      <c r="O4428">
        <v>-6.9083879999999999E-4</v>
      </c>
      <c r="P4428">
        <v>0.99685559999999995</v>
      </c>
      <c r="Q4428">
        <v>-7.9221659999999999E-2</v>
      </c>
      <c r="R4428">
        <v>1.77827E-3</v>
      </c>
      <c r="S4428">
        <v>2.9488530000000002</v>
      </c>
      <c r="T4428">
        <v>-0.76909479999999997</v>
      </c>
      <c r="U4428">
        <v>-0.58251949999999997</v>
      </c>
      <c r="V4428">
        <v>-2.4318410000000001E-3</v>
      </c>
      <c r="W4428">
        <v>-6.4638429999999997E-2</v>
      </c>
      <c r="X4428">
        <v>0.99790579999999995</v>
      </c>
      <c r="Y4428">
        <v>0.18676290000000001</v>
      </c>
      <c r="Z4428">
        <v>-2.497168E-2</v>
      </c>
      <c r="AA4428">
        <v>0.98208759999999995</v>
      </c>
      <c r="AB4428">
        <v>35</v>
      </c>
      <c r="AC4428">
        <v>0.34500000000002701</v>
      </c>
      <c r="AD4428">
        <v>-0.18337329999999999</v>
      </c>
      <c r="AE4428">
        <v>-0.13890000000000599</v>
      </c>
      <c r="AF4428">
        <v>0.111544614126523</v>
      </c>
      <c r="AG4428">
        <v>-0.18337329999999999</v>
      </c>
      <c r="AH4428">
        <v>0.27760812527448098</v>
      </c>
      <c r="AI4428">
        <v>121.504979211894</v>
      </c>
      <c r="AJ4428">
        <v>68.109441836728706</v>
      </c>
      <c r="AK4428">
        <v>0.35090488641786799</v>
      </c>
      <c r="AL4428">
        <v>93.706093000841193</v>
      </c>
      <c r="AM4428">
        <v>90.1396263554401</v>
      </c>
      <c r="AN4428">
        <v>1.00000001307857</v>
      </c>
    </row>
    <row r="4429" spans="1:40" x14ac:dyDescent="0.25">
      <c r="A4429" t="str">
        <f>"20190303154225398"</f>
        <v>20190303154225398</v>
      </c>
      <c r="B4429" t="str">
        <f>"1551598945393943"</f>
        <v>1551598945393943</v>
      </c>
      <c r="C4429" t="s">
        <v>40</v>
      </c>
      <c r="D4429">
        <v>5.0302709999999999</v>
      </c>
      <c r="E4429">
        <v>0.57139119999999999</v>
      </c>
      <c r="F4429" t="s">
        <v>42</v>
      </c>
      <c r="G4429">
        <v>-282.91539999999998</v>
      </c>
      <c r="H4429">
        <v>0.87505759999999899</v>
      </c>
      <c r="I4429">
        <v>214.9091</v>
      </c>
      <c r="J4429">
        <v>-283.52780000000001</v>
      </c>
      <c r="K4429">
        <v>1.1210880000000001</v>
      </c>
      <c r="L4429">
        <v>215.0949</v>
      </c>
      <c r="M4429">
        <v>0.99989300000000003</v>
      </c>
      <c r="N4429">
        <v>-1.4626709999999999E-2</v>
      </c>
      <c r="O4429">
        <v>-5.0134490000000001E-4</v>
      </c>
      <c r="P4429">
        <v>0.99678979999999995</v>
      </c>
      <c r="Q4429">
        <v>-8.0039139999999995E-2</v>
      </c>
      <c r="R4429">
        <v>2.0090059999999998E-3</v>
      </c>
      <c r="S4429">
        <v>2.9495849999999999</v>
      </c>
      <c r="T4429">
        <v>-0.76610919999999905</v>
      </c>
      <c r="U4429">
        <v>-0.57792659999999996</v>
      </c>
      <c r="V4429">
        <v>-2.4769140000000002E-3</v>
      </c>
      <c r="W4429">
        <v>-6.5452079999999996E-2</v>
      </c>
      <c r="X4429">
        <v>0.99785259999999998</v>
      </c>
      <c r="Y4429">
        <v>0.1855147</v>
      </c>
      <c r="Z4429">
        <v>-2.4758829999999999E-2</v>
      </c>
      <c r="AA4429">
        <v>0.98232949999999997</v>
      </c>
      <c r="AB4429">
        <v>35</v>
      </c>
      <c r="AC4429">
        <v>0.61240000000003603</v>
      </c>
      <c r="AD4429">
        <v>-0.24603040000000001</v>
      </c>
      <c r="AE4429">
        <v>-0.18579999999999999</v>
      </c>
      <c r="AF4429">
        <v>0.16160781074835301</v>
      </c>
      <c r="AG4429">
        <v>-0.24603040000000001</v>
      </c>
      <c r="AH4429">
        <v>0.53362503596662803</v>
      </c>
      <c r="AI4429">
        <v>113.810089631805</v>
      </c>
      <c r="AJ4429">
        <v>73.151115723173803</v>
      </c>
      <c r="AK4429">
        <v>0.60942901246118997</v>
      </c>
      <c r="AL4429">
        <v>93.752810843001598</v>
      </c>
      <c r="AM4429">
        <v>90.142221834109407</v>
      </c>
      <c r="AN4429">
        <v>0.99999996060302399</v>
      </c>
    </row>
    <row r="4430" spans="1:40" x14ac:dyDescent="0.25">
      <c r="A4430" t="str">
        <f>"20190303154225421"</f>
        <v>20190303154225421</v>
      </c>
      <c r="B4430" t="str">
        <f>"1551598945414443"</f>
        <v>1551598945414443</v>
      </c>
      <c r="C4430" t="s">
        <v>40</v>
      </c>
      <c r="D4430">
        <v>5.0216719999999997</v>
      </c>
      <c r="E4430">
        <v>0.57126949999999999</v>
      </c>
      <c r="F4430" t="s">
        <v>42</v>
      </c>
      <c r="G4430">
        <v>-282.60059999999999</v>
      </c>
      <c r="H4430">
        <v>0.87975249999999905</v>
      </c>
      <c r="I4430">
        <v>214.91370000000001</v>
      </c>
      <c r="J4430">
        <v>-283.17399999999998</v>
      </c>
      <c r="K4430">
        <v>1.1210659999999999</v>
      </c>
      <c r="L4430">
        <v>215.0949</v>
      </c>
      <c r="M4430">
        <v>0.99989300000000003</v>
      </c>
      <c r="N4430">
        <v>-1.46304E-2</v>
      </c>
      <c r="O4430">
        <v>-3.2014480000000002E-4</v>
      </c>
      <c r="P4430">
        <v>0.99674490000000004</v>
      </c>
      <c r="Q4430">
        <v>-8.0601259999999994E-2</v>
      </c>
      <c r="R4430">
        <v>1.844378E-3</v>
      </c>
      <c r="S4430">
        <v>2.9491879999999999</v>
      </c>
      <c r="T4430">
        <v>-0.76763840000000005</v>
      </c>
      <c r="U4430">
        <v>-0.57554629999999996</v>
      </c>
      <c r="V4430">
        <v>-2.1337740000000002E-3</v>
      </c>
      <c r="W4430">
        <v>-6.6010830000000006E-2</v>
      </c>
      <c r="X4430">
        <v>0.99781660000000005</v>
      </c>
      <c r="Y4430">
        <v>0.1849413</v>
      </c>
      <c r="Z4430">
        <v>-2.4775390000000001E-2</v>
      </c>
      <c r="AA4430">
        <v>0.98243729999999996</v>
      </c>
      <c r="AB4430">
        <v>35</v>
      </c>
      <c r="AC4430">
        <v>0.57340000000004898</v>
      </c>
      <c r="AD4430">
        <v>-0.24131349999999999</v>
      </c>
      <c r="AE4430">
        <v>-0.18119999999998901</v>
      </c>
      <c r="AF4430">
        <v>0.155910043745252</v>
      </c>
      <c r="AG4430">
        <v>-0.24131349999999999</v>
      </c>
      <c r="AH4430">
        <v>0.49392132327821697</v>
      </c>
      <c r="AI4430">
        <v>114.981110465885</v>
      </c>
      <c r="AJ4430">
        <v>72.481299972562695</v>
      </c>
      <c r="AK4430">
        <v>0.57140040305533701</v>
      </c>
      <c r="AL4430">
        <v>93.784894192298594</v>
      </c>
      <c r="AM4430">
        <v>90.122523576254807</v>
      </c>
      <c r="AN4430">
        <v>0.99999997495216497</v>
      </c>
    </row>
    <row r="4431" spans="1:40" x14ac:dyDescent="0.25">
      <c r="A4431" t="str">
        <f>"20190303154225444"</f>
        <v>20190303154225444</v>
      </c>
      <c r="B4431" t="str">
        <f>"1551598945433959"</f>
        <v>1551598945433959</v>
      </c>
      <c r="C4431" t="s">
        <v>40</v>
      </c>
      <c r="D4431">
        <v>5.0018419999999999</v>
      </c>
      <c r="E4431">
        <v>0.57113029999999998</v>
      </c>
      <c r="F4431" t="s">
        <v>42</v>
      </c>
      <c r="G4431">
        <v>-282.28429999999997</v>
      </c>
      <c r="H4431">
        <v>0.88873349999999995</v>
      </c>
      <c r="I4431">
        <v>214.9213</v>
      </c>
      <c r="J4431">
        <v>-282.8141</v>
      </c>
      <c r="K4431">
        <v>1.121046</v>
      </c>
      <c r="L4431">
        <v>215.095</v>
      </c>
      <c r="M4431">
        <v>0.99989300000000003</v>
      </c>
      <c r="N4431">
        <v>-1.463309E-2</v>
      </c>
      <c r="O4431">
        <v>-1.516326E-4</v>
      </c>
      <c r="P4431">
        <v>0.99669030000000003</v>
      </c>
      <c r="Q4431">
        <v>-8.1280740000000004E-2</v>
      </c>
      <c r="R4431">
        <v>1.434011E-3</v>
      </c>
      <c r="S4431">
        <v>2.9485779999999999</v>
      </c>
      <c r="T4431">
        <v>-0.7700593</v>
      </c>
      <c r="U4431">
        <v>-0.57518009999999997</v>
      </c>
      <c r="V4431">
        <v>-1.557515E-3</v>
      </c>
      <c r="W4431">
        <v>-6.6688029999999995E-2</v>
      </c>
      <c r="X4431">
        <v>0.99777260000000001</v>
      </c>
      <c r="Y4431">
        <v>0.18498049999999999</v>
      </c>
      <c r="Z4431">
        <v>-2.4897849999999999E-2</v>
      </c>
      <c r="AA4431">
        <v>0.98242680000000004</v>
      </c>
      <c r="AB4431">
        <v>35</v>
      </c>
      <c r="AC4431">
        <v>0.52980000000002203</v>
      </c>
      <c r="AD4431">
        <v>-0.23231250000000001</v>
      </c>
      <c r="AE4431">
        <v>-0.173699999999996</v>
      </c>
      <c r="AF4431">
        <v>0.147936113638311</v>
      </c>
      <c r="AG4431">
        <v>-0.23231250000000001</v>
      </c>
      <c r="AH4431">
        <v>0.45144917028374598</v>
      </c>
      <c r="AI4431">
        <v>116.058954376689</v>
      </c>
      <c r="AJ4431">
        <v>71.856463193235697</v>
      </c>
      <c r="AK4431">
        <v>0.52882940985211802</v>
      </c>
      <c r="AL4431">
        <v>93.823780716946303</v>
      </c>
      <c r="AM4431">
        <v>90.089438178143595</v>
      </c>
      <c r="AN4431">
        <v>0.999999940254506</v>
      </c>
    </row>
    <row r="4432" spans="1:40" x14ac:dyDescent="0.25">
      <c r="A4432" t="str">
        <f>"20190303154225467"</f>
        <v>20190303154225467</v>
      </c>
      <c r="B4432" t="str">
        <f>"1551598945464215"</f>
        <v>1551598945464215</v>
      </c>
      <c r="C4432" t="s">
        <v>40</v>
      </c>
      <c r="D4432">
        <v>5.0126299999999997</v>
      </c>
      <c r="E4432">
        <v>0.57097739999999997</v>
      </c>
      <c r="F4432" t="s">
        <v>42</v>
      </c>
      <c r="G4432">
        <v>-281.96780000000001</v>
      </c>
      <c r="H4432">
        <v>0.8993411</v>
      </c>
      <c r="I4432">
        <v>214.92939999999999</v>
      </c>
      <c r="J4432">
        <v>-282.46159999999998</v>
      </c>
      <c r="K4432">
        <v>1.1210340000000001</v>
      </c>
      <c r="L4432">
        <v>215.0951</v>
      </c>
      <c r="M4432">
        <v>0.99989300000000003</v>
      </c>
      <c r="N4432">
        <v>-1.463483E-2</v>
      </c>
      <c r="O4432" s="1">
        <v>2.5210250000000001E-6</v>
      </c>
      <c r="P4432">
        <v>0.99665550000000003</v>
      </c>
      <c r="Q4432">
        <v>-8.1716899999999995E-2</v>
      </c>
      <c r="R4432">
        <v>6.6809659999999996E-4</v>
      </c>
      <c r="S4432">
        <v>2.947845</v>
      </c>
      <c r="T4432">
        <v>-0.77220669999999902</v>
      </c>
      <c r="U4432">
        <v>-0.57577509999999998</v>
      </c>
      <c r="V4432">
        <v>-6.3972520000000002E-4</v>
      </c>
      <c r="W4432">
        <v>-6.7122500000000002E-2</v>
      </c>
      <c r="X4432">
        <v>0.99774459999999998</v>
      </c>
      <c r="Y4432">
        <v>0.18531600000000001</v>
      </c>
      <c r="Z4432">
        <v>-2.5049289999999998E-2</v>
      </c>
      <c r="AA4432">
        <v>0.9823596</v>
      </c>
      <c r="AB4432">
        <v>35</v>
      </c>
      <c r="AC4432">
        <v>0.49379999999996399</v>
      </c>
      <c r="AD4432">
        <v>-0.2216929</v>
      </c>
      <c r="AE4432">
        <v>-0.165700000000015</v>
      </c>
      <c r="AF4432">
        <v>0.14028689562226601</v>
      </c>
      <c r="AG4432">
        <v>-0.2216929</v>
      </c>
      <c r="AH4432">
        <v>0.41806330690506599</v>
      </c>
      <c r="AI4432">
        <v>116.690303129725</v>
      </c>
      <c r="AJ4432">
        <v>71.450113554145005</v>
      </c>
      <c r="AK4432">
        <v>0.493563657063749</v>
      </c>
      <c r="AL4432">
        <v>93.848729445543995</v>
      </c>
      <c r="AM4432">
        <v>90.036736404271593</v>
      </c>
      <c r="AN4432">
        <v>1.00000006304186</v>
      </c>
    </row>
    <row r="4433" spans="1:40" x14ac:dyDescent="0.25">
      <c r="A4433" t="str">
        <f>"20190303154225488"</f>
        <v>20190303154225488</v>
      </c>
      <c r="B4433" t="str">
        <f>"1551598945484711"</f>
        <v>1551598945484711</v>
      </c>
      <c r="C4433" t="s">
        <v>40</v>
      </c>
      <c r="D4433">
        <v>5.019927</v>
      </c>
      <c r="E4433">
        <v>0.57089540000000005</v>
      </c>
      <c r="F4433" t="s">
        <v>42</v>
      </c>
      <c r="G4433">
        <v>-281.65210000000002</v>
      </c>
      <c r="H4433">
        <v>0.90858839999999996</v>
      </c>
      <c r="I4433">
        <v>214.9366</v>
      </c>
      <c r="J4433">
        <v>-282.13099999999997</v>
      </c>
      <c r="K4433">
        <v>1.1210310000000001</v>
      </c>
      <c r="L4433">
        <v>215.09520000000001</v>
      </c>
      <c r="M4433">
        <v>0.99989289999999997</v>
      </c>
      <c r="N4433">
        <v>-1.4635769999999999E-2</v>
      </c>
      <c r="O4433">
        <v>1.421269E-4</v>
      </c>
      <c r="P4433">
        <v>0.9966005</v>
      </c>
      <c r="Q4433">
        <v>-8.2385630000000001E-2</v>
      </c>
      <c r="R4433">
        <v>1.5439299999999901E-4</v>
      </c>
      <c r="S4433">
        <v>2.9470519999999998</v>
      </c>
      <c r="T4433">
        <v>-0.773397</v>
      </c>
      <c r="U4433">
        <v>-0.57675169999999998</v>
      </c>
      <c r="V4433" s="1">
        <v>1.192471E-5</v>
      </c>
      <c r="W4433">
        <v>-6.7790779999999995E-2</v>
      </c>
      <c r="X4433">
        <v>0.99769960000000002</v>
      </c>
      <c r="Y4433">
        <v>0.18577469999999999</v>
      </c>
      <c r="Z4433">
        <v>-2.5185969999999998E-2</v>
      </c>
      <c r="AA4433">
        <v>0.98226950000000002</v>
      </c>
      <c r="AB4433">
        <v>35</v>
      </c>
      <c r="AC4433">
        <v>0.47889999999995297</v>
      </c>
      <c r="AD4433">
        <v>-0.21244259999999901</v>
      </c>
      <c r="AE4433">
        <v>-0.15860000000000599</v>
      </c>
      <c r="AF4433">
        <v>0.13476872677869201</v>
      </c>
      <c r="AG4433">
        <v>-0.21244259999999901</v>
      </c>
      <c r="AH4433">
        <v>0.406746639732461</v>
      </c>
      <c r="AI4433">
        <v>116.371810617276</v>
      </c>
      <c r="AJ4433">
        <v>71.668244520314701</v>
      </c>
      <c r="AK4433">
        <v>0.47826488157291902</v>
      </c>
      <c r="AL4433">
        <v>93.887106568466606</v>
      </c>
      <c r="AM4433">
        <v>89.999315189106099</v>
      </c>
      <c r="AN4433">
        <v>1.0000000409176799</v>
      </c>
    </row>
    <row r="4434" spans="1:40" x14ac:dyDescent="0.25">
      <c r="A4434" t="str">
        <f>"20190303154225511"</f>
        <v>20190303154225511</v>
      </c>
      <c r="B4434" t="str">
        <f>"1551598945504231"</f>
        <v>1551598945504231</v>
      </c>
      <c r="C4434" t="s">
        <v>40</v>
      </c>
      <c r="D4434">
        <v>5.0043179999999996</v>
      </c>
      <c r="E4434">
        <v>0.57082129999999998</v>
      </c>
      <c r="F4434" t="s">
        <v>42</v>
      </c>
      <c r="G4434">
        <v>-281.33879999999999</v>
      </c>
      <c r="H4434">
        <v>0.9127731</v>
      </c>
      <c r="I4434">
        <v>214.94</v>
      </c>
      <c r="J4434">
        <v>-281.77159999999998</v>
      </c>
      <c r="K4434">
        <v>1.121027</v>
      </c>
      <c r="L4434">
        <v>215.09540000000001</v>
      </c>
      <c r="M4434">
        <v>0.99989289999999997</v>
      </c>
      <c r="N4434">
        <v>-1.4636140000000001E-2</v>
      </c>
      <c r="O4434">
        <v>2.91353E-4</v>
      </c>
      <c r="P4434">
        <v>0.99664059999999999</v>
      </c>
      <c r="Q4434">
        <v>-8.1898699999999894E-2</v>
      </c>
      <c r="R4434">
        <v>-6.8730069999999998E-4</v>
      </c>
      <c r="S4434">
        <v>2.9462890000000002</v>
      </c>
      <c r="T4434">
        <v>-0.77448300000000003</v>
      </c>
      <c r="U4434">
        <v>-0.57708740000000003</v>
      </c>
      <c r="V4434">
        <v>1.000688E-3</v>
      </c>
      <c r="W4434">
        <v>-6.7302609999999999E-2</v>
      </c>
      <c r="X4434">
        <v>0.99773210000000001</v>
      </c>
      <c r="Y4434">
        <v>0.18604290000000001</v>
      </c>
      <c r="Z4434">
        <v>-2.5296530000000001E-2</v>
      </c>
      <c r="AA4434">
        <v>0.98221590000000003</v>
      </c>
      <c r="AB4434">
        <v>35</v>
      </c>
      <c r="AC4434">
        <v>0.43279999999998597</v>
      </c>
      <c r="AD4434">
        <v>-0.20825389999999899</v>
      </c>
      <c r="AE4434">
        <v>-0.155400000000014</v>
      </c>
      <c r="AF4434">
        <v>0.12905750033070801</v>
      </c>
      <c r="AG4434">
        <v>-0.20825389999999899</v>
      </c>
      <c r="AH4434">
        <v>0.35910524533278598</v>
      </c>
      <c r="AI4434">
        <v>118.623515545383</v>
      </c>
      <c r="AJ4434">
        <v>70.232258657004394</v>
      </c>
      <c r="AK4434">
        <v>0.43472071779746302</v>
      </c>
      <c r="AL4434">
        <v>93.859072647025798</v>
      </c>
      <c r="AM4434">
        <v>89.942534494195101</v>
      </c>
      <c r="AN4434">
        <v>0.99999999302984699</v>
      </c>
    </row>
    <row r="4435" spans="1:40" x14ac:dyDescent="0.25">
      <c r="A4435" t="str">
        <f>"20190303154225532"</f>
        <v>20190303154225532</v>
      </c>
      <c r="B4435" t="str">
        <f>"1551598945524727"</f>
        <v>1551598945524727</v>
      </c>
      <c r="C4435" t="s">
        <v>40</v>
      </c>
      <c r="D4435">
        <v>4.927403</v>
      </c>
      <c r="E4435">
        <v>0.57080359999999997</v>
      </c>
      <c r="F4435" t="s">
        <v>42</v>
      </c>
      <c r="G4435">
        <v>-281.02260000000001</v>
      </c>
      <c r="H4435">
        <v>0.92500519999999997</v>
      </c>
      <c r="I4435">
        <v>214.94820000000001</v>
      </c>
      <c r="J4435">
        <v>-281.43200000000002</v>
      </c>
      <c r="K4435">
        <v>1.1210279999999999</v>
      </c>
      <c r="L4435">
        <v>215.09569999999999</v>
      </c>
      <c r="M4435">
        <v>0.99989300000000003</v>
      </c>
      <c r="N4435">
        <v>-1.463595E-2</v>
      </c>
      <c r="O4435">
        <v>4.3143940000000001E-4</v>
      </c>
      <c r="P4435">
        <v>0.99666299999999997</v>
      </c>
      <c r="Q4435">
        <v>-8.1627379999999999E-2</v>
      </c>
      <c r="R4435" s="1">
        <v>9.6234260000000005E-5</v>
      </c>
      <c r="S4435">
        <v>2.9463499999999998</v>
      </c>
      <c r="T4435">
        <v>-0.77105119999999905</v>
      </c>
      <c r="U4435">
        <v>-0.57916259999999997</v>
      </c>
      <c r="V4435">
        <v>3.5611030000000002E-4</v>
      </c>
      <c r="W4435">
        <v>-6.7031439999999998E-2</v>
      </c>
      <c r="X4435">
        <v>0.99775080000000005</v>
      </c>
      <c r="Y4435">
        <v>0.18686620000000001</v>
      </c>
      <c r="Z4435">
        <v>-2.5336750000000002E-2</v>
      </c>
      <c r="AA4435">
        <v>0.9820586</v>
      </c>
      <c r="AB4435">
        <v>35</v>
      </c>
      <c r="AC4435">
        <v>0.40940000000000498</v>
      </c>
      <c r="AD4435">
        <v>-0.1960228</v>
      </c>
      <c r="AE4435">
        <v>-0.14749999999997901</v>
      </c>
      <c r="AF4435">
        <v>0.12276563563729199</v>
      </c>
      <c r="AG4435">
        <v>-0.1960228</v>
      </c>
      <c r="AH4435">
        <v>0.34028695703473</v>
      </c>
      <c r="AI4435">
        <v>118.451772045867</v>
      </c>
      <c r="AJ4435">
        <v>70.162030944375701</v>
      </c>
      <c r="AK4435">
        <v>0.41145054689625099</v>
      </c>
      <c r="AL4435">
        <v>93.843500558475696</v>
      </c>
      <c r="AM4435">
        <v>89.979550388368693</v>
      </c>
      <c r="AN4435">
        <v>0.99999999983182897</v>
      </c>
    </row>
    <row r="4436" spans="1:40" x14ac:dyDescent="0.25">
      <c r="A4436" t="str">
        <f>"20190303154225554"</f>
        <v>20190303154225554</v>
      </c>
      <c r="B4436" t="str">
        <f>"1551598945544246"</f>
        <v>1551598945544246</v>
      </c>
      <c r="C4436" t="s">
        <v>40</v>
      </c>
      <c r="D4436">
        <v>5.0677830000000004</v>
      </c>
      <c r="E4436">
        <v>0.57070310000000002</v>
      </c>
      <c r="F4436" t="s">
        <v>42</v>
      </c>
      <c r="G4436">
        <v>-280.70859999999999</v>
      </c>
      <c r="H4436">
        <v>0.93245409999999995</v>
      </c>
      <c r="I4436">
        <v>214.9538</v>
      </c>
      <c r="J4436">
        <v>-281.08760000000001</v>
      </c>
      <c r="K4436">
        <v>1.121032</v>
      </c>
      <c r="L4436">
        <v>215.096</v>
      </c>
      <c r="M4436">
        <v>0.99989280000000003</v>
      </c>
      <c r="N4436">
        <v>-1.4635260000000001E-2</v>
      </c>
      <c r="O4436">
        <v>5.7411750000000003E-4</v>
      </c>
      <c r="P4436">
        <v>0.99671109999999896</v>
      </c>
      <c r="Q4436">
        <v>-8.1032660000000006E-2</v>
      </c>
      <c r="R4436">
        <v>1.060514E-3</v>
      </c>
      <c r="S4436">
        <v>2.947174</v>
      </c>
      <c r="T4436">
        <v>-0.76833079999999998</v>
      </c>
      <c r="U4436">
        <v>-0.57676700000000003</v>
      </c>
      <c r="V4436">
        <v>-4.6704510000000001E-4</v>
      </c>
      <c r="W4436">
        <v>-6.6437010000000005E-2</v>
      </c>
      <c r="X4436">
        <v>0.99779050000000002</v>
      </c>
      <c r="Y4436">
        <v>0.1862481</v>
      </c>
      <c r="Z4436">
        <v>-2.5201080000000001E-2</v>
      </c>
      <c r="AA4436">
        <v>0.98217949999999998</v>
      </c>
      <c r="AB4436">
        <v>35</v>
      </c>
      <c r="AC4436">
        <v>0.37900000000001899</v>
      </c>
      <c r="AD4436">
        <v>-0.18857789999999999</v>
      </c>
      <c r="AE4436">
        <v>-0.14219999999997401</v>
      </c>
      <c r="AF4436">
        <v>0.117021377011339</v>
      </c>
      <c r="AG4436">
        <v>-0.18857789999999999</v>
      </c>
      <c r="AH4436">
        <v>0.31134875871970003</v>
      </c>
      <c r="AI4436">
        <v>119.551382972198</v>
      </c>
      <c r="AJ4436">
        <v>69.4011170416167</v>
      </c>
      <c r="AK4436">
        <v>0.38235281691434903</v>
      </c>
      <c r="AL4436">
        <v>93.809366179369206</v>
      </c>
      <c r="AM4436">
        <v>90.026818967626895</v>
      </c>
      <c r="AN4436">
        <v>0.99999998815955704</v>
      </c>
    </row>
    <row r="4437" spans="1:40" x14ac:dyDescent="0.25">
      <c r="A4437" t="str">
        <f>"20190303154225577"</f>
        <v>20190303154225577</v>
      </c>
      <c r="B4437" t="str">
        <f>"1551598945574503"</f>
        <v>1551598945574503</v>
      </c>
      <c r="C4437" t="s">
        <v>40</v>
      </c>
      <c r="D4437">
        <v>5.111084</v>
      </c>
      <c r="E4437">
        <v>0.5339663</v>
      </c>
      <c r="F4437" t="s">
        <v>42</v>
      </c>
      <c r="G4437">
        <v>-280.39429999999999</v>
      </c>
      <c r="H4437">
        <v>0.94081090000000001</v>
      </c>
      <c r="I4437">
        <v>214.96129999999999</v>
      </c>
      <c r="J4437">
        <v>-280.74990000000003</v>
      </c>
      <c r="K4437">
        <v>1.121035</v>
      </c>
      <c r="L4437">
        <v>215.09630000000001</v>
      </c>
      <c r="M4437">
        <v>0.99989269999999997</v>
      </c>
      <c r="N4437">
        <v>-1.4634039999999999E-2</v>
      </c>
      <c r="O4437">
        <v>7.1431849999999998E-4</v>
      </c>
      <c r="P4437">
        <v>0.99675139999999995</v>
      </c>
      <c r="Q4437">
        <v>-8.0517499999999895E-2</v>
      </c>
      <c r="R4437">
        <v>1.939135E-3</v>
      </c>
      <c r="S4437">
        <v>2.9481809999999999</v>
      </c>
      <c r="T4437">
        <v>-0.76644979999999996</v>
      </c>
      <c r="U4437">
        <v>-0.57241819999999999</v>
      </c>
      <c r="V4437">
        <v>-1.206454E-3</v>
      </c>
      <c r="W4437">
        <v>-6.5922739999999994E-2</v>
      </c>
      <c r="X4437">
        <v>0.99782400000000004</v>
      </c>
      <c r="Y4437">
        <v>0.18499689999999999</v>
      </c>
      <c r="Z4437">
        <v>-2.5005220000000002E-2</v>
      </c>
      <c r="AA4437">
        <v>0.98242090000000004</v>
      </c>
      <c r="AB4437">
        <v>35</v>
      </c>
      <c r="AC4437">
        <v>0.355600000000038</v>
      </c>
      <c r="AD4437">
        <v>-0.1802241</v>
      </c>
      <c r="AE4437">
        <v>-0.13500000000001899</v>
      </c>
      <c r="AF4437">
        <v>0.110455965662247</v>
      </c>
      <c r="AG4437">
        <v>-0.1802241</v>
      </c>
      <c r="AH4437">
        <v>0.29032396341744499</v>
      </c>
      <c r="AI4437">
        <v>120.12215296280399</v>
      </c>
      <c r="AJ4437">
        <v>69.170300906324101</v>
      </c>
      <c r="AK4437">
        <v>0.35912289025569399</v>
      </c>
      <c r="AL4437">
        <v>93.779835897948004</v>
      </c>
      <c r="AM4437">
        <v>90.069275432032597</v>
      </c>
      <c r="AN4437">
        <v>0.99999999907818005</v>
      </c>
    </row>
    <row r="4438" spans="1:40" x14ac:dyDescent="0.25">
      <c r="A4438" t="str">
        <f>"20190303154225600"</f>
        <v>20190303154225600</v>
      </c>
      <c r="B4438" t="str">
        <f>"1551598945594024"</f>
        <v>1551598945594024</v>
      </c>
      <c r="C4438" t="s">
        <v>40</v>
      </c>
      <c r="D4438">
        <v>4.990348</v>
      </c>
      <c r="E4438">
        <v>0.53364990000000001</v>
      </c>
      <c r="F4438" t="s">
        <v>42</v>
      </c>
      <c r="G4438">
        <v>-279.81020000000001</v>
      </c>
      <c r="H4438">
        <v>0.86309389999999997</v>
      </c>
      <c r="I4438">
        <v>215.0077</v>
      </c>
      <c r="J4438">
        <v>-280.38549999999998</v>
      </c>
      <c r="K4438">
        <v>1.1210329999999999</v>
      </c>
      <c r="L4438">
        <v>215.0967</v>
      </c>
      <c r="M4438">
        <v>0.99989249999999996</v>
      </c>
      <c r="N4438">
        <v>-1.4632559999999999E-2</v>
      </c>
      <c r="O4438">
        <v>8.6561899999999998E-4</v>
      </c>
      <c r="P4438">
        <v>0.99675999999999998</v>
      </c>
      <c r="Q4438">
        <v>-8.0391560000000001E-2</v>
      </c>
      <c r="R4438">
        <v>2.5904560000000001E-3</v>
      </c>
      <c r="S4438">
        <v>2.9450379999999998</v>
      </c>
      <c r="T4438">
        <v>-0.80845480000000003</v>
      </c>
      <c r="U4438">
        <v>-0.27713009999999999</v>
      </c>
      <c r="V4438">
        <v>-1.707009E-3</v>
      </c>
      <c r="W4438">
        <v>-6.5798319999999993E-2</v>
      </c>
      <c r="X4438">
        <v>0.99783149999999998</v>
      </c>
      <c r="Y4438">
        <v>9.0996939999999998E-2</v>
      </c>
      <c r="Z4438">
        <v>-1.3137869999999999E-2</v>
      </c>
      <c r="AA4438">
        <v>0.99576450000000005</v>
      </c>
      <c r="AB4438">
        <v>35</v>
      </c>
      <c r="AC4438">
        <v>0.57529999999996995</v>
      </c>
      <c r="AD4438">
        <v>-0.25793909999999898</v>
      </c>
      <c r="AE4438">
        <v>-8.8999999999998594E-2</v>
      </c>
      <c r="AF4438">
        <v>7.48108230118186E-2</v>
      </c>
      <c r="AG4438">
        <v>-0.25793909999999898</v>
      </c>
      <c r="AH4438">
        <v>0.48082505975338602</v>
      </c>
      <c r="AI4438">
        <v>117.92687520688099</v>
      </c>
      <c r="AJ4438">
        <v>81.156345584786905</v>
      </c>
      <c r="AK4438">
        <v>0.55074674455266903</v>
      </c>
      <c r="AL4438">
        <v>93.772691575769798</v>
      </c>
      <c r="AM4438">
        <v>90.098016865453602</v>
      </c>
      <c r="AN4438">
        <v>1.0000000175933901</v>
      </c>
    </row>
    <row r="4439" spans="1:40" x14ac:dyDescent="0.25">
      <c r="A4439" t="str">
        <f>"20190303154225622"</f>
        <v>20190303154225622</v>
      </c>
      <c r="B4439" t="str">
        <f>"1551598945614523"</f>
        <v>1551598945614523</v>
      </c>
      <c r="C4439" t="s">
        <v>40</v>
      </c>
      <c r="D4439">
        <v>4.9718309999999999</v>
      </c>
      <c r="E4439">
        <v>0.53398140000000005</v>
      </c>
      <c r="F4439" t="s">
        <v>42</v>
      </c>
      <c r="G4439">
        <v>-279.49380000000002</v>
      </c>
      <c r="H4439">
        <v>0.880246999999999</v>
      </c>
      <c r="I4439">
        <v>215.01400000000001</v>
      </c>
      <c r="J4439">
        <v>-280.05079999999998</v>
      </c>
      <c r="K4439">
        <v>1.1210310000000001</v>
      </c>
      <c r="L4439">
        <v>215.09710000000001</v>
      </c>
      <c r="M4439">
        <v>0.99989249999999996</v>
      </c>
      <c r="N4439">
        <v>-1.4631099999999999E-2</v>
      </c>
      <c r="O4439">
        <v>1.0049530000000001E-3</v>
      </c>
      <c r="P4439">
        <v>0.99675559999999996</v>
      </c>
      <c r="Q4439">
        <v>-8.045447E-2</v>
      </c>
      <c r="R4439">
        <v>2.3851440000000001E-3</v>
      </c>
      <c r="S4439">
        <v>2.9462890000000002</v>
      </c>
      <c r="T4439">
        <v>-0.79559089999999999</v>
      </c>
      <c r="U4439">
        <v>-0.27259830000000002</v>
      </c>
      <c r="V4439">
        <v>-1.3634729999999901E-3</v>
      </c>
      <c r="W4439">
        <v>-6.5862619999999997E-2</v>
      </c>
      <c r="X4439">
        <v>0.99782780000000004</v>
      </c>
      <c r="Y4439">
        <v>8.9730599999999994E-2</v>
      </c>
      <c r="Z4439">
        <v>-1.2799430000000001E-2</v>
      </c>
      <c r="AA4439">
        <v>0.99588379999999999</v>
      </c>
      <c r="AB4439">
        <v>35</v>
      </c>
      <c r="AC4439">
        <v>0.55699999999995897</v>
      </c>
      <c r="AD4439">
        <v>-0.240784</v>
      </c>
      <c r="AE4439">
        <v>-8.31000000000017E-2</v>
      </c>
      <c r="AF4439">
        <v>7.0730079208008195E-2</v>
      </c>
      <c r="AG4439">
        <v>-0.240784</v>
      </c>
      <c r="AH4439">
        <v>0.47084427353833502</v>
      </c>
      <c r="AI4439">
        <v>116.82634614907499</v>
      </c>
      <c r="AJ4439">
        <v>81.456924650081604</v>
      </c>
      <c r="AK4439">
        <v>0.53354850640275797</v>
      </c>
      <c r="AL4439">
        <v>93.776383652082998</v>
      </c>
      <c r="AM4439">
        <v>90.078291264042093</v>
      </c>
      <c r="AN4439">
        <v>1.00000003111236</v>
      </c>
    </row>
    <row r="4440" spans="1:40" x14ac:dyDescent="0.25">
      <c r="A4440" t="str">
        <f>"20190303154225645"</f>
        <v>20190303154225645</v>
      </c>
      <c r="B4440" t="str">
        <f>"1551598945634039"</f>
        <v>1551598945634039</v>
      </c>
      <c r="C4440" t="s">
        <v>40</v>
      </c>
      <c r="D4440">
        <v>4.9765329999999999</v>
      </c>
      <c r="E4440">
        <v>0.53418699999999997</v>
      </c>
      <c r="F4440" t="s">
        <v>42</v>
      </c>
      <c r="G4440">
        <v>-279.18119999999999</v>
      </c>
      <c r="H4440">
        <v>0.88881749999999904</v>
      </c>
      <c r="I4440">
        <v>215.01570000000001</v>
      </c>
      <c r="J4440">
        <v>-279.69310000000002</v>
      </c>
      <c r="K4440">
        <v>1.1210249999999999</v>
      </c>
      <c r="L4440">
        <v>215.0976</v>
      </c>
      <c r="M4440">
        <v>0.99989240000000001</v>
      </c>
      <c r="N4440">
        <v>-1.46293E-2</v>
      </c>
      <c r="O4440">
        <v>1.154363E-3</v>
      </c>
      <c r="P4440">
        <v>0.99678650000000002</v>
      </c>
      <c r="Q4440">
        <v>-8.0081869999999999E-2</v>
      </c>
      <c r="R4440">
        <v>1.7977519999999999E-3</v>
      </c>
      <c r="S4440">
        <v>2.9468990000000002</v>
      </c>
      <c r="T4440">
        <v>-0.78688309999999995</v>
      </c>
      <c r="U4440">
        <v>-0.27572629999999998</v>
      </c>
      <c r="V4440">
        <v>-6.2742329999999999E-4</v>
      </c>
      <c r="W4440">
        <v>-6.5491199999999902E-2</v>
      </c>
      <c r="X4440">
        <v>0.99785290000000004</v>
      </c>
      <c r="Y4440">
        <v>9.0932310000000002E-2</v>
      </c>
      <c r="Z4440">
        <v>-1.287105E-2</v>
      </c>
      <c r="AA4440">
        <v>0.99577389999999999</v>
      </c>
      <c r="AB4440">
        <v>35</v>
      </c>
      <c r="AC4440">
        <v>0.511900000000025</v>
      </c>
      <c r="AD4440">
        <v>-0.23220749999999901</v>
      </c>
      <c r="AE4440">
        <v>-8.18999999999903E-2</v>
      </c>
      <c r="AF4440">
        <v>6.8706119852369296E-2</v>
      </c>
      <c r="AG4440">
        <v>-0.23220749999999901</v>
      </c>
      <c r="AH4440">
        <v>0.42627891631597598</v>
      </c>
      <c r="AI4440">
        <v>118.270956619773</v>
      </c>
      <c r="AJ4440">
        <v>80.844012399143793</v>
      </c>
      <c r="AK4440">
        <v>0.49025969491376797</v>
      </c>
      <c r="AL4440">
        <v>93.755057111465803</v>
      </c>
      <c r="AM4440">
        <v>90.036026053860894</v>
      </c>
      <c r="AN4440">
        <v>0.99999995048792201</v>
      </c>
    </row>
    <row r="4441" spans="1:40" x14ac:dyDescent="0.25">
      <c r="A4441" t="str">
        <f>"20190303154225667"</f>
        <v>20190303154225667</v>
      </c>
      <c r="B4441" t="str">
        <f>"1551598945664801"</f>
        <v>1551598945664801</v>
      </c>
      <c r="C4441" t="s">
        <v>40</v>
      </c>
      <c r="D4441">
        <v>5.0158399999999999</v>
      </c>
      <c r="E4441">
        <v>0.53444340000000001</v>
      </c>
      <c r="F4441" t="s">
        <v>42</v>
      </c>
      <c r="G4441">
        <v>-278.86689999999999</v>
      </c>
      <c r="H4441">
        <v>0.90220180000000005</v>
      </c>
      <c r="I4441">
        <v>215.01929999999999</v>
      </c>
      <c r="J4441">
        <v>-279.34960000000001</v>
      </c>
      <c r="K4441">
        <v>1.121022</v>
      </c>
      <c r="L4441">
        <v>215.09819999999999</v>
      </c>
      <c r="M4441">
        <v>0.99989229999999996</v>
      </c>
      <c r="N4441">
        <v>-1.4627340000000001E-2</v>
      </c>
      <c r="O4441">
        <v>1.298235E-3</v>
      </c>
      <c r="P4441">
        <v>0.99678409999999995</v>
      </c>
      <c r="Q4441">
        <v>-8.0122460000000006E-2</v>
      </c>
      <c r="R4441">
        <v>1.510829E-3</v>
      </c>
      <c r="S4441">
        <v>2.9474490000000002</v>
      </c>
      <c r="T4441">
        <v>-0.78076230000000002</v>
      </c>
      <c r="U4441">
        <v>-0.27867130000000001</v>
      </c>
      <c r="V4441">
        <v>-1.9728749999999999E-4</v>
      </c>
      <c r="W4441">
        <v>-6.5533640000000004E-2</v>
      </c>
      <c r="X4441">
        <v>0.99785040000000003</v>
      </c>
      <c r="Y4441">
        <v>9.2051369999999993E-2</v>
      </c>
      <c r="Z4441">
        <v>-1.296535E-2</v>
      </c>
      <c r="AA4441">
        <v>0.99566980000000005</v>
      </c>
      <c r="AB4441">
        <v>35</v>
      </c>
      <c r="AC4441">
        <v>0.482700000000022</v>
      </c>
      <c r="AD4441">
        <v>-0.21882019999999899</v>
      </c>
      <c r="AE4441">
        <v>-7.8900000000004397E-2</v>
      </c>
      <c r="AF4441">
        <v>6.6263587092172699E-2</v>
      </c>
      <c r="AG4441">
        <v>-0.21882019999999899</v>
      </c>
      <c r="AH4441">
        <v>0.40211193300975401</v>
      </c>
      <c r="AI4441">
        <v>118.232944104685</v>
      </c>
      <c r="AJ4441">
        <v>80.642389327474305</v>
      </c>
      <c r="AK4441">
        <v>0.46256583268892898</v>
      </c>
      <c r="AL4441">
        <v>93.757493571755603</v>
      </c>
      <c r="AM4441">
        <v>90.011328091819493</v>
      </c>
      <c r="AN4441">
        <v>1.0000000588370801</v>
      </c>
    </row>
    <row r="4442" spans="1:40" x14ac:dyDescent="0.25">
      <c r="A4442" t="str">
        <f>"20190303154225690"</f>
        <v>20190303154225690</v>
      </c>
      <c r="B4442" t="str">
        <f>"1551598945684321"</f>
        <v>1551598945684321</v>
      </c>
      <c r="C4442" t="s">
        <v>40</v>
      </c>
      <c r="D4442">
        <v>5.0349640000000004</v>
      </c>
      <c r="E4442">
        <v>0.53462900000000002</v>
      </c>
      <c r="F4442" t="s">
        <v>42</v>
      </c>
      <c r="G4442">
        <v>-278.5548</v>
      </c>
      <c r="H4442">
        <v>0.91042239999999997</v>
      </c>
      <c r="I4442">
        <v>215.0223</v>
      </c>
      <c r="J4442">
        <v>-279.00650000000002</v>
      </c>
      <c r="K4442">
        <v>1.121016</v>
      </c>
      <c r="L4442">
        <v>215.09880000000001</v>
      </c>
      <c r="M4442">
        <v>0.99989209999999995</v>
      </c>
      <c r="N4442">
        <v>-1.462517E-2</v>
      </c>
      <c r="O4442">
        <v>1.4417589999999999E-3</v>
      </c>
      <c r="P4442">
        <v>0.99677470000000001</v>
      </c>
      <c r="Q4442">
        <v>-8.0249440000000005E-2</v>
      </c>
      <c r="R4442">
        <v>7.3943749999999997E-4</v>
      </c>
      <c r="S4442">
        <v>2.947327</v>
      </c>
      <c r="T4442">
        <v>-0.78091599999999906</v>
      </c>
      <c r="U4442">
        <v>-0.28137210000000001</v>
      </c>
      <c r="V4442">
        <v>7.173902E-4</v>
      </c>
      <c r="W4442">
        <v>-6.5662639999999994E-2</v>
      </c>
      <c r="X4442">
        <v>0.9978416</v>
      </c>
      <c r="Y4442">
        <v>9.3060240000000002E-2</v>
      </c>
      <c r="Z4442">
        <v>-1.314149E-2</v>
      </c>
      <c r="AA4442">
        <v>0.99557379999999995</v>
      </c>
      <c r="AB4442">
        <v>35</v>
      </c>
      <c r="AC4442">
        <v>0.45170000000001598</v>
      </c>
      <c r="AD4442">
        <v>-0.21059359999999999</v>
      </c>
      <c r="AE4442">
        <v>-7.6500000000009893E-2</v>
      </c>
      <c r="AF4442">
        <v>6.3692684795906895E-2</v>
      </c>
      <c r="AG4442">
        <v>-0.21059359999999999</v>
      </c>
      <c r="AH4442">
        <v>0.37281232110214702</v>
      </c>
      <c r="AI4442">
        <v>119.109531916611</v>
      </c>
      <c r="AJ4442">
        <v>80.304971356971606</v>
      </c>
      <c r="AK4442">
        <v>0.43289196021991599</v>
      </c>
      <c r="AL4442">
        <v>93.764900986365504</v>
      </c>
      <c r="AM4442">
        <v>89.958807666825805</v>
      </c>
      <c r="AN4442">
        <v>0.99999997781551397</v>
      </c>
    </row>
    <row r="4443" spans="1:40" x14ac:dyDescent="0.25">
      <c r="A4443" t="str">
        <f>"20190303154225710"</f>
        <v>20190303154225710</v>
      </c>
      <c r="B4443" t="str">
        <f>"1551598945704817"</f>
        <v>1551598945704817</v>
      </c>
      <c r="C4443" t="s">
        <v>40</v>
      </c>
      <c r="D4443">
        <v>5.0389759999999999</v>
      </c>
      <c r="E4443">
        <v>0.53373159999999997</v>
      </c>
      <c r="F4443" t="s">
        <v>42</v>
      </c>
      <c r="G4443">
        <v>-278.24279999999999</v>
      </c>
      <c r="H4443">
        <v>0.91878470000000001</v>
      </c>
      <c r="I4443">
        <v>215.0247</v>
      </c>
      <c r="J4443">
        <v>-278.67720000000003</v>
      </c>
      <c r="K4443">
        <v>1.1210249999999999</v>
      </c>
      <c r="L4443">
        <v>215.0993</v>
      </c>
      <c r="M4443">
        <v>0.99989189999999994</v>
      </c>
      <c r="N4443">
        <v>-1.4622929999999999E-2</v>
      </c>
      <c r="O4443">
        <v>1.5797420000000001E-3</v>
      </c>
      <c r="P4443">
        <v>0.99675570000000002</v>
      </c>
      <c r="Q4443">
        <v>-8.0487550000000005E-2</v>
      </c>
      <c r="R4443">
        <v>1.691482E-4</v>
      </c>
      <c r="S4443">
        <v>2.9470519999999998</v>
      </c>
      <c r="T4443">
        <v>-0.780443</v>
      </c>
      <c r="U4443">
        <v>-0.28498839999999998</v>
      </c>
      <c r="V4443">
        <v>1.4251699999999999E-3</v>
      </c>
      <c r="W4443">
        <v>-6.5903050000000005E-2</v>
      </c>
      <c r="X4443">
        <v>0.99782499999999996</v>
      </c>
      <c r="Y4443">
        <v>9.4369120000000001E-2</v>
      </c>
      <c r="Z4443">
        <v>-1.334815E-2</v>
      </c>
      <c r="AA4443">
        <v>0.99544779999999999</v>
      </c>
      <c r="AB4443">
        <v>35</v>
      </c>
      <c r="AC4443">
        <v>0.43440000000003898</v>
      </c>
      <c r="AD4443">
        <v>-0.20224029999999901</v>
      </c>
      <c r="AE4443">
        <v>-7.4600000000003705E-2</v>
      </c>
      <c r="AF4443">
        <v>6.2192302490426503E-2</v>
      </c>
      <c r="AG4443">
        <v>-0.20224029999999901</v>
      </c>
      <c r="AH4443">
        <v>0.35875054372790599</v>
      </c>
      <c r="AI4443">
        <v>119.05000320651899</v>
      </c>
      <c r="AJ4443">
        <v>80.165059979201004</v>
      </c>
      <c r="AK4443">
        <v>0.416498468254348</v>
      </c>
      <c r="AL4443">
        <v>93.778705331606204</v>
      </c>
      <c r="AM4443">
        <v>89.918165840138997</v>
      </c>
      <c r="AN4443">
        <v>0.99999998686691505</v>
      </c>
    </row>
    <row r="4444" spans="1:40" x14ac:dyDescent="0.25">
      <c r="A4444" t="str">
        <f>"20190303154225755"</f>
        <v>20190303154225755</v>
      </c>
      <c r="B4444" t="str">
        <f>"1551598945743858"</f>
        <v>1551598945743858</v>
      </c>
      <c r="C4444" t="s">
        <v>40</v>
      </c>
      <c r="D4444">
        <v>4.9989369999999997</v>
      </c>
      <c r="E4444">
        <v>0.53343079999999998</v>
      </c>
      <c r="F4444" t="s">
        <v>42</v>
      </c>
      <c r="G4444">
        <v>-277.93329999999997</v>
      </c>
      <c r="H4444">
        <v>0.92257400000000001</v>
      </c>
      <c r="I4444">
        <v>215.02889999999999</v>
      </c>
      <c r="J4444">
        <v>-277.98860000000002</v>
      </c>
      <c r="K4444">
        <v>1.1210310000000001</v>
      </c>
      <c r="L4444">
        <v>215.10079999999999</v>
      </c>
      <c r="M4444">
        <v>0.99989139999999999</v>
      </c>
      <c r="N4444">
        <v>-1.4617440000000001E-2</v>
      </c>
      <c r="O4444">
        <v>1.8685889999999999E-3</v>
      </c>
      <c r="P4444">
        <v>0.99677629999999995</v>
      </c>
      <c r="Q4444">
        <v>-8.0230720000000005E-2</v>
      </c>
      <c r="R4444" s="1">
        <v>5.4302860000000002E-5</v>
      </c>
      <c r="S4444">
        <v>2.9463810000000001</v>
      </c>
      <c r="T4444">
        <v>-0.78603780000000001</v>
      </c>
      <c r="U4444">
        <v>-0.27931209999999901</v>
      </c>
      <c r="V4444">
        <v>1.8278400000000001E-3</v>
      </c>
      <c r="W4444">
        <v>-6.5651329999999994E-2</v>
      </c>
      <c r="X4444">
        <v>0.99784090000000003</v>
      </c>
      <c r="Y4444">
        <v>9.2777369999999998E-2</v>
      </c>
      <c r="Z4444">
        <v>-1.3291020000000001E-2</v>
      </c>
      <c r="AA4444">
        <v>0.99559819999999999</v>
      </c>
      <c r="AB4444">
        <v>34</v>
      </c>
      <c r="AC4444">
        <v>5.5300000000045202E-2</v>
      </c>
      <c r="AD4444">
        <v>-0.198456999999999</v>
      </c>
      <c r="AE4444">
        <v>-7.1899999999999395E-2</v>
      </c>
      <c r="AF4444">
        <v>1.24424498158765E-2</v>
      </c>
      <c r="AG4444">
        <v>-0.198456999999999</v>
      </c>
      <c r="AH4444">
        <v>9.5328298778896807E-3</v>
      </c>
      <c r="AI4444">
        <v>175.48405343369501</v>
      </c>
      <c r="AJ4444">
        <v>37.457666962646002</v>
      </c>
      <c r="AK4444">
        <v>0.19907503673715901</v>
      </c>
      <c r="AL4444">
        <v>93.764251674959695</v>
      </c>
      <c r="AM4444">
        <v>89.895045993315506</v>
      </c>
      <c r="AN4444">
        <v>0.99999994992132102</v>
      </c>
    </row>
    <row r="4445" spans="1:40" x14ac:dyDescent="0.25">
      <c r="A4445" t="str">
        <f>"20190303154225869"</f>
        <v>20190303154225869</v>
      </c>
      <c r="B4445" t="str">
        <f>"1551598945864412"</f>
        <v>1551598945864412</v>
      </c>
      <c r="C4445" t="s">
        <v>40</v>
      </c>
      <c r="D4445">
        <v>4.9814429999999996</v>
      </c>
      <c r="E4445">
        <v>0.54985600000000001</v>
      </c>
      <c r="F4445" t="s">
        <v>42</v>
      </c>
      <c r="G4445">
        <v>-276.15050000000002</v>
      </c>
      <c r="H4445">
        <v>0.78513659999999996</v>
      </c>
      <c r="I4445">
        <v>214.9898</v>
      </c>
      <c r="J4445">
        <v>-276.26510000000002</v>
      </c>
      <c r="K4445">
        <v>1.121019</v>
      </c>
      <c r="L4445">
        <v>215.1053</v>
      </c>
      <c r="M4445">
        <v>0.99989099999999997</v>
      </c>
      <c r="N4445">
        <v>-1.453377E-2</v>
      </c>
      <c r="O4445">
        <v>2.5920700000000001E-3</v>
      </c>
      <c r="P4445">
        <v>0.99682029999999999</v>
      </c>
      <c r="Q4445">
        <v>-7.9673399999999894E-2</v>
      </c>
      <c r="R4445">
        <v>1.1219929999999999E-3</v>
      </c>
      <c r="S4445">
        <v>2.9114990000000001</v>
      </c>
      <c r="T4445">
        <v>-1.2259439999999999</v>
      </c>
      <c r="U4445">
        <v>-0.4145355</v>
      </c>
      <c r="V4445">
        <v>1.48108299999999E-3</v>
      </c>
      <c r="W4445">
        <v>-6.5177009999999994E-2</v>
      </c>
      <c r="X4445">
        <v>0.9978726</v>
      </c>
      <c r="Y4445">
        <v>0.1319005</v>
      </c>
      <c r="Z4445">
        <v>-2.8528310000000001E-2</v>
      </c>
      <c r="AA4445">
        <v>0.99085239999999997</v>
      </c>
      <c r="AB4445">
        <v>34</v>
      </c>
      <c r="AC4445">
        <v>0.114599999999995</v>
      </c>
      <c r="AD4445">
        <v>-0.33588240000000003</v>
      </c>
      <c r="AE4445">
        <v>-0.11549999999999699</v>
      </c>
      <c r="AF4445">
        <v>2.2008217684826699E-2</v>
      </c>
      <c r="AG4445">
        <v>-0.33588240000000003</v>
      </c>
      <c r="AH4445">
        <v>2.1723795107808801E-2</v>
      </c>
      <c r="AI4445">
        <v>174.739749409994</v>
      </c>
      <c r="AJ4445">
        <v>44.627367174390997</v>
      </c>
      <c r="AK4445">
        <v>0.33730293735647898</v>
      </c>
      <c r="AL4445">
        <v>93.737016691105396</v>
      </c>
      <c r="AM4445">
        <v>89.914959341809606</v>
      </c>
      <c r="AN4445">
        <v>0.99999998103507604</v>
      </c>
    </row>
    <row r="4446" spans="1:40" x14ac:dyDescent="0.25">
      <c r="A4446" t="str">
        <f>"20190303154225915"</f>
        <v>20190303154225915</v>
      </c>
      <c r="B4446" t="str">
        <f>"1551598945904429"</f>
        <v>1551598945904429</v>
      </c>
      <c r="C4446" t="s">
        <v>40</v>
      </c>
      <c r="D4446">
        <v>5.1559229999999996</v>
      </c>
      <c r="E4446">
        <v>0.53123549999999997</v>
      </c>
      <c r="F4446" t="s">
        <v>42</v>
      </c>
      <c r="G4446">
        <v>-275.52940000000001</v>
      </c>
      <c r="H4446">
        <v>0.81161640000000002</v>
      </c>
      <c r="I4446">
        <v>215.00069999999999</v>
      </c>
      <c r="J4446">
        <v>-275.56240000000003</v>
      </c>
      <c r="K4446">
        <v>1.120957</v>
      </c>
      <c r="L4446">
        <v>215.10749999999999</v>
      </c>
      <c r="M4446">
        <v>0.99989459999999997</v>
      </c>
      <c r="N4446">
        <v>-1.422966E-2</v>
      </c>
      <c r="O4446">
        <v>2.8899659999999999E-3</v>
      </c>
      <c r="P4446">
        <v>0.99682630000000005</v>
      </c>
      <c r="Q4446">
        <v>-7.9561010000000001E-2</v>
      </c>
      <c r="R4446">
        <v>2.6659499999999998E-3</v>
      </c>
      <c r="S4446">
        <v>2.9121700000000001</v>
      </c>
      <c r="T4446">
        <v>-1.2246170000000001</v>
      </c>
      <c r="U4446">
        <v>-0.41403200000000001</v>
      </c>
      <c r="V4446">
        <v>2.3544080000000001E-4</v>
      </c>
      <c r="W4446">
        <v>-6.5368350000000006E-2</v>
      </c>
      <c r="X4446">
        <v>0.99786109999999995</v>
      </c>
      <c r="Y4446">
        <v>0.1320006</v>
      </c>
      <c r="Z4446">
        <v>-2.8611339999999999E-2</v>
      </c>
      <c r="AA4446">
        <v>0.99083659999999996</v>
      </c>
      <c r="AB4446">
        <v>34</v>
      </c>
      <c r="AC4446">
        <v>3.3000000000015399E-2</v>
      </c>
      <c r="AD4446">
        <v>-0.30934060000000002</v>
      </c>
      <c r="AE4446">
        <v>-0.106799999999992</v>
      </c>
      <c r="AF4446">
        <v>1.23460279613137E-2</v>
      </c>
      <c r="AG4446">
        <v>-0.30934060000000002</v>
      </c>
      <c r="AH4446">
        <v>3.7757286020314602E-3</v>
      </c>
      <c r="AI4446">
        <v>177.61011952937599</v>
      </c>
      <c r="AJ4446">
        <v>17.004961504058699</v>
      </c>
      <c r="AK4446">
        <v>0.309609895418828</v>
      </c>
      <c r="AL4446">
        <v>93.748003302166893</v>
      </c>
      <c r="AM4446">
        <v>89.986481320982605</v>
      </c>
      <c r="AN4446">
        <v>0.99999992575364804</v>
      </c>
    </row>
    <row r="4447" spans="1:40" x14ac:dyDescent="0.25">
      <c r="A4447" t="str">
        <f>"20190303154225934"</f>
        <v>20190303154225934</v>
      </c>
      <c r="B4447" t="str">
        <f>"1551598945923948"</f>
        <v>1551598945923948</v>
      </c>
      <c r="C4447" t="s">
        <v>40</v>
      </c>
      <c r="D4447">
        <v>5.1406460000000003</v>
      </c>
      <c r="E4447">
        <v>0.52738399999999996</v>
      </c>
      <c r="F4447" t="s">
        <v>56</v>
      </c>
      <c r="G4447">
        <v>-168.41079999999999</v>
      </c>
      <c r="H4447">
        <v>1.292416</v>
      </c>
      <c r="I4447">
        <v>206.6917</v>
      </c>
      <c r="J4447">
        <v>-275.2525</v>
      </c>
      <c r="K4447">
        <v>1.1209180000000001</v>
      </c>
      <c r="L4447">
        <v>215.1086</v>
      </c>
      <c r="M4447">
        <v>0.99989689999999998</v>
      </c>
      <c r="N4447">
        <v>-1.404352E-2</v>
      </c>
      <c r="O4447">
        <v>3.0193329999999999E-3</v>
      </c>
      <c r="P4447">
        <v>0.99684019999999995</v>
      </c>
      <c r="Q4447">
        <v>-7.9382389999999997E-2</v>
      </c>
      <c r="R4447">
        <v>2.852271E-3</v>
      </c>
      <c r="S4447">
        <v>3.010529</v>
      </c>
      <c r="T4447">
        <v>4.8182009999999898E-3</v>
      </c>
      <c r="U4447">
        <v>-0.2364502</v>
      </c>
      <c r="V4447">
        <v>1.7785969999999999E-4</v>
      </c>
      <c r="W4447">
        <v>-6.5375310000000006E-2</v>
      </c>
      <c r="X4447">
        <v>0.99786070000000004</v>
      </c>
      <c r="Y4447">
        <v>8.131041E-2</v>
      </c>
      <c r="Z4447">
        <v>-4.5971640000000002E-4</v>
      </c>
      <c r="AA4447">
        <v>0.99668869999999998</v>
      </c>
      <c r="AB4447">
        <v>34</v>
      </c>
      <c r="AC4447">
        <v>106.8417</v>
      </c>
      <c r="AD4447">
        <v>0.17149799999999901</v>
      </c>
      <c r="AE4447">
        <v>-8.4168999999999894</v>
      </c>
      <c r="AF4447">
        <v>8.7394617101268892</v>
      </c>
      <c r="AG4447">
        <v>0.17149799999999901</v>
      </c>
      <c r="AH4447">
        <v>106.81552345335901</v>
      </c>
      <c r="AI4447">
        <v>89.908315027591698</v>
      </c>
      <c r="AJ4447">
        <v>85.322576924040504</v>
      </c>
      <c r="AK4447">
        <v>107.172588161161</v>
      </c>
      <c r="AL4447">
        <v>93.748402770691598</v>
      </c>
      <c r="AM4447">
        <v>89.989787542442002</v>
      </c>
      <c r="AN4447">
        <v>0.99999996969807903</v>
      </c>
    </row>
    <row r="4448" spans="1:40" x14ac:dyDescent="0.25">
      <c r="A4448" t="str">
        <f>"20190303154225958"</f>
        <v>20190303154225958</v>
      </c>
      <c r="B4448" t="str">
        <f>"1551598945954710"</f>
        <v>1551598945954710</v>
      </c>
      <c r="C4448" t="s">
        <v>40</v>
      </c>
      <c r="D4448">
        <v>5.1729430000000001</v>
      </c>
      <c r="E4448">
        <v>0.52631169999999905</v>
      </c>
      <c r="F4448" t="s">
        <v>56</v>
      </c>
      <c r="G4448">
        <v>-168.4102</v>
      </c>
      <c r="H4448">
        <v>0.43968960000000001</v>
      </c>
      <c r="I4448">
        <v>207.8056</v>
      </c>
      <c r="J4448">
        <v>-274.90350000000001</v>
      </c>
      <c r="K4448">
        <v>1.120876</v>
      </c>
      <c r="L4448">
        <v>215.10980000000001</v>
      </c>
      <c r="M4448">
        <v>0.9998996</v>
      </c>
      <c r="N4448">
        <v>-1.3824120000000001E-2</v>
      </c>
      <c r="O4448">
        <v>3.170188E-3</v>
      </c>
      <c r="P4448">
        <v>0.99684569999999995</v>
      </c>
      <c r="Q4448">
        <v>-7.9307610000000001E-2</v>
      </c>
      <c r="R4448">
        <v>3.0485870000000002E-3</v>
      </c>
      <c r="S4448">
        <v>3.008575</v>
      </c>
      <c r="T4448">
        <v>-1.9181730000000001E-2</v>
      </c>
      <c r="U4448">
        <v>-0.20564270000000001</v>
      </c>
      <c r="V4448">
        <v>1.313214E-4</v>
      </c>
      <c r="W4448">
        <v>-6.5519419999999995E-2</v>
      </c>
      <c r="X4448">
        <v>0.9978513</v>
      </c>
      <c r="Y4448">
        <v>7.1351159999999997E-2</v>
      </c>
      <c r="Z4448">
        <v>-6.9739979999999997E-4</v>
      </c>
      <c r="AA4448">
        <v>0.99745099999999998</v>
      </c>
      <c r="AB4448">
        <v>34</v>
      </c>
      <c r="AC4448">
        <v>106.4933</v>
      </c>
      <c r="AD4448">
        <v>-0.68118639999999997</v>
      </c>
      <c r="AE4448">
        <v>-7.3041999999999998</v>
      </c>
      <c r="AF4448">
        <v>7.64148808156179</v>
      </c>
      <c r="AG4448">
        <v>-0.68118639999999997</v>
      </c>
      <c r="AH4448">
        <v>106.465271188743</v>
      </c>
      <c r="AI4448">
        <v>90.365644430001296</v>
      </c>
      <c r="AJ4448">
        <v>85.894665956316501</v>
      </c>
      <c r="AK4448">
        <v>106.741324351465</v>
      </c>
      <c r="AL4448">
        <v>93.756677238655996</v>
      </c>
      <c r="AM4448">
        <v>89.992459636083694</v>
      </c>
      <c r="AN4448">
        <v>1.00000001427706</v>
      </c>
    </row>
    <row r="4449" spans="1:40" x14ac:dyDescent="0.25">
      <c r="A4449" t="str">
        <f>"20190303154225979"</f>
        <v>20190303154225979</v>
      </c>
      <c r="B4449" t="str">
        <f>"1551598945974230"</f>
        <v>1551598945974230</v>
      </c>
      <c r="C4449" t="s">
        <v>40</v>
      </c>
      <c r="D4449">
        <v>5.1554510000000002</v>
      </c>
      <c r="E4449">
        <v>0.52465640000000002</v>
      </c>
      <c r="F4449" t="s">
        <v>56</v>
      </c>
      <c r="G4449">
        <v>-169.39269999999999</v>
      </c>
      <c r="H4449">
        <v>0.47143550000000001</v>
      </c>
      <c r="I4449">
        <v>208.21799999999999</v>
      </c>
      <c r="J4449">
        <v>-274.57619999999997</v>
      </c>
      <c r="K4449">
        <v>1.1208389999999999</v>
      </c>
      <c r="L4449">
        <v>215.11099999999999</v>
      </c>
      <c r="M4449">
        <v>0.99990179999999995</v>
      </c>
      <c r="N4449">
        <v>-1.3618689999999999E-2</v>
      </c>
      <c r="O4449">
        <v>3.3150850000000002E-3</v>
      </c>
      <c r="P4449">
        <v>0.99684170000000005</v>
      </c>
      <c r="Q4449">
        <v>-7.9376829999999995E-2</v>
      </c>
      <c r="R4449">
        <v>2.4851029999999998E-3</v>
      </c>
      <c r="S4449">
        <v>3.0086360000000001</v>
      </c>
      <c r="T4449">
        <v>-1.851773E-2</v>
      </c>
      <c r="U4449">
        <v>-0.1965179</v>
      </c>
      <c r="V4449">
        <v>8.3864550000000001E-4</v>
      </c>
      <c r="W4449">
        <v>-6.5793519999999994E-2</v>
      </c>
      <c r="X4449">
        <v>0.99783290000000002</v>
      </c>
      <c r="Y4449">
        <v>6.8482769999999998E-2</v>
      </c>
      <c r="Z4449">
        <v>-6.5266149999999997E-4</v>
      </c>
      <c r="AA4449">
        <v>0.99765210000000004</v>
      </c>
      <c r="AB4449">
        <v>34</v>
      </c>
      <c r="AC4449">
        <v>105.183499999999</v>
      </c>
      <c r="AD4449">
        <v>-0.64940350000000002</v>
      </c>
      <c r="AE4449">
        <v>-6.8929999999999998</v>
      </c>
      <c r="AF4449">
        <v>7.2414118377765</v>
      </c>
      <c r="AG4449">
        <v>-0.64940350000000002</v>
      </c>
      <c r="AH4449">
        <v>105.1560776848</v>
      </c>
      <c r="AI4449">
        <v>90.352996230039494</v>
      </c>
      <c r="AJ4449">
        <v>86.060633315836995</v>
      </c>
      <c r="AK4449">
        <v>105.407117617179</v>
      </c>
      <c r="AL4449">
        <v>93.772416049966694</v>
      </c>
      <c r="AM4449">
        <v>89.951844806536698</v>
      </c>
      <c r="AN4449">
        <v>0.99999999346133694</v>
      </c>
    </row>
    <row r="4450" spans="1:40" x14ac:dyDescent="0.25">
      <c r="A4450" t="str">
        <f>"20190303154226001"</f>
        <v>20190303154226001</v>
      </c>
      <c r="B4450" t="str">
        <f>"1551598945994726"</f>
        <v>1551598945994726</v>
      </c>
      <c r="C4450" t="s">
        <v>40</v>
      </c>
      <c r="D4450">
        <v>5.1734749999999998</v>
      </c>
      <c r="E4450">
        <v>0.52356610000000003</v>
      </c>
      <c r="F4450" t="s">
        <v>56</v>
      </c>
      <c r="G4450">
        <v>-169.39250000000001</v>
      </c>
      <c r="H4450">
        <v>0.1462879</v>
      </c>
      <c r="I4450">
        <v>208.63759999999999</v>
      </c>
      <c r="J4450">
        <v>-274.23689999999999</v>
      </c>
      <c r="K4450">
        <v>1.120811</v>
      </c>
      <c r="L4450">
        <v>215.1122</v>
      </c>
      <c r="M4450">
        <v>0.99990400000000002</v>
      </c>
      <c r="N4450">
        <v>-1.341381E-2</v>
      </c>
      <c r="O4450">
        <v>3.4648750000000001E-3</v>
      </c>
      <c r="P4450">
        <v>0.99683469999999996</v>
      </c>
      <c r="Q4450">
        <v>-7.945953E-2</v>
      </c>
      <c r="R4450">
        <v>2.6319310000000001E-3</v>
      </c>
      <c r="S4450">
        <v>3.0077210000000001</v>
      </c>
      <c r="T4450">
        <v>-2.7866129999999999E-2</v>
      </c>
      <c r="U4450">
        <v>-0.1851044</v>
      </c>
      <c r="V4450">
        <v>8.407016E-4</v>
      </c>
      <c r="W4450">
        <v>-6.6080749999999994E-2</v>
      </c>
      <c r="X4450">
        <v>0.99781390000000003</v>
      </c>
      <c r="Y4450">
        <v>6.4878279999999997E-2</v>
      </c>
      <c r="Z4450">
        <v>-7.214767E-4</v>
      </c>
      <c r="AA4450">
        <v>0.99789289999999997</v>
      </c>
      <c r="AB4450">
        <v>34</v>
      </c>
      <c r="AC4450">
        <v>104.844399999999</v>
      </c>
      <c r="AD4450">
        <v>-0.97452309999999998</v>
      </c>
      <c r="AE4450">
        <v>-6.4745999999999997</v>
      </c>
      <c r="AF4450">
        <v>6.8372780951907899</v>
      </c>
      <c r="AG4450">
        <v>-0.97452309999999998</v>
      </c>
      <c r="AH4450">
        <v>104.812313872991</v>
      </c>
      <c r="AI4450">
        <v>90.531579114642099</v>
      </c>
      <c r="AJ4450">
        <v>86.267681763311998</v>
      </c>
      <c r="AK4450">
        <v>105.03960779836299</v>
      </c>
      <c r="AL4450">
        <v>93.788909076725304</v>
      </c>
      <c r="AM4450">
        <v>89.951725825715599</v>
      </c>
      <c r="AN4450">
        <v>0.99999997566647603</v>
      </c>
    </row>
    <row r="4451" spans="1:40" x14ac:dyDescent="0.25">
      <c r="A4451" t="str">
        <f>"20190303154226024"</f>
        <v>20190303154226024</v>
      </c>
      <c r="B4451" t="str">
        <f>"1551598946014246"</f>
        <v>1551598946014246</v>
      </c>
      <c r="C4451" t="s">
        <v>40</v>
      </c>
      <c r="D4451">
        <v>5.1756529999999996</v>
      </c>
      <c r="E4451">
        <v>0.52266840000000003</v>
      </c>
      <c r="F4451" t="s">
        <v>46</v>
      </c>
      <c r="G4451">
        <v>-179.94319999999999</v>
      </c>
      <c r="H4451">
        <v>6.4529509999999998E-2</v>
      </c>
      <c r="I4451">
        <v>209.59049999999999</v>
      </c>
      <c r="J4451">
        <v>-273.88290000000001</v>
      </c>
      <c r="K4451">
        <v>1.1207849999999999</v>
      </c>
      <c r="L4451">
        <v>215.11359999999999</v>
      </c>
      <c r="M4451">
        <v>0.99990619999999997</v>
      </c>
      <c r="N4451">
        <v>-1.320701E-2</v>
      </c>
      <c r="O4451">
        <v>3.6181450000000001E-3</v>
      </c>
      <c r="P4451">
        <v>0.99687570000000003</v>
      </c>
      <c r="Q4451">
        <v>-7.8947589999999998E-2</v>
      </c>
      <c r="R4451">
        <v>2.4782379999999998E-3</v>
      </c>
      <c r="S4451">
        <v>3.007263</v>
      </c>
      <c r="T4451">
        <v>-3.3687469999999997E-2</v>
      </c>
      <c r="U4451">
        <v>-0.1761017</v>
      </c>
      <c r="V4451">
        <v>1.147302E-3</v>
      </c>
      <c r="W4451">
        <v>-6.5774600000000003E-2</v>
      </c>
      <c r="X4451">
        <v>0.99783379999999999</v>
      </c>
      <c r="Y4451">
        <v>6.2062050000000001E-2</v>
      </c>
      <c r="Z4451">
        <v>-7.5027660000000001E-4</v>
      </c>
      <c r="AA4451">
        <v>0.99807199999999996</v>
      </c>
      <c r="AB4451">
        <v>34</v>
      </c>
      <c r="AC4451">
        <v>93.939700000000002</v>
      </c>
      <c r="AD4451">
        <v>-1.0562554900000001</v>
      </c>
      <c r="AE4451">
        <v>-5.5231000000000003</v>
      </c>
      <c r="AF4451">
        <v>5.8622423649244899</v>
      </c>
      <c r="AG4451">
        <v>-1.0562554900000001</v>
      </c>
      <c r="AH4451">
        <v>93.907268379292205</v>
      </c>
      <c r="AI4451">
        <v>90.643175637226406</v>
      </c>
      <c r="AJ4451">
        <v>86.427896796212394</v>
      </c>
      <c r="AK4451">
        <v>94.095996809990197</v>
      </c>
      <c r="AL4451">
        <v>93.771329812000602</v>
      </c>
      <c r="AM4451">
        <v>89.934121761099902</v>
      </c>
      <c r="AN4451">
        <v>0.99999995336473801</v>
      </c>
    </row>
    <row r="4452" spans="1:40" x14ac:dyDescent="0.25">
      <c r="A4452" t="str">
        <f>"20190303154226046"</f>
        <v>20190303154226046</v>
      </c>
      <c r="B4452" t="str">
        <f>"1551598946033766"</f>
        <v>1551598946033766</v>
      </c>
      <c r="C4452" t="s">
        <v>40</v>
      </c>
      <c r="D4452">
        <v>5.2016580000000001</v>
      </c>
      <c r="E4452">
        <v>0.52208580000000004</v>
      </c>
      <c r="F4452" t="s">
        <v>46</v>
      </c>
      <c r="G4452">
        <v>-179.95769999999999</v>
      </c>
      <c r="H4452">
        <v>1.6448739999999999E-3</v>
      </c>
      <c r="I4452">
        <v>209.8254</v>
      </c>
      <c r="J4452">
        <v>-273.55149999999998</v>
      </c>
      <c r="K4452">
        <v>1.12076</v>
      </c>
      <c r="L4452">
        <v>215.11500000000001</v>
      </c>
      <c r="M4452">
        <v>0.99990829999999997</v>
      </c>
      <c r="N4452">
        <v>-1.301589E-2</v>
      </c>
      <c r="O4452">
        <v>3.7587359999999999E-3</v>
      </c>
      <c r="P4452">
        <v>0.99682179999999998</v>
      </c>
      <c r="Q4452">
        <v>-7.963626E-2</v>
      </c>
      <c r="R4452">
        <v>2.2269740000000001E-3</v>
      </c>
      <c r="S4452">
        <v>3.0069270000000001</v>
      </c>
      <c r="T4452">
        <v>-3.5828230000000003E-2</v>
      </c>
      <c r="U4452">
        <v>-0.16929629999999901</v>
      </c>
      <c r="V4452">
        <v>1.538789E-3</v>
      </c>
      <c r="W4452">
        <v>-6.6654539999999998E-2</v>
      </c>
      <c r="X4452">
        <v>0.99777490000000002</v>
      </c>
      <c r="Y4452">
        <v>5.9956870000000002E-2</v>
      </c>
      <c r="Z4452">
        <v>-7.4331959999999998E-4</v>
      </c>
      <c r="AA4452">
        <v>0.99820070000000005</v>
      </c>
      <c r="AB4452">
        <v>34</v>
      </c>
      <c r="AC4452">
        <v>93.593800000000002</v>
      </c>
      <c r="AD4452">
        <v>-1.1191151259999901</v>
      </c>
      <c r="AE4452">
        <v>-5.2896000000000001</v>
      </c>
      <c r="AF4452">
        <v>5.6405829039042299</v>
      </c>
      <c r="AG4452">
        <v>-1.1191151259999901</v>
      </c>
      <c r="AH4452">
        <v>93.559920848349293</v>
      </c>
      <c r="AI4452">
        <v>90.684067696748102</v>
      </c>
      <c r="AJ4452">
        <v>86.549902058751798</v>
      </c>
      <c r="AK4452">
        <v>93.736478402543199</v>
      </c>
      <c r="AL4452">
        <v>93.821857475667102</v>
      </c>
      <c r="AM4452">
        <v>89.911637338880894</v>
      </c>
      <c r="AN4452">
        <v>0.999999973322103</v>
      </c>
    </row>
    <row r="4453" spans="1:40" x14ac:dyDescent="0.25">
      <c r="A4453" t="str">
        <f>"20190303154226069"</f>
        <v>20190303154226069</v>
      </c>
      <c r="B4453" t="str">
        <f>"1551598946064022"</f>
        <v>1551598946064022</v>
      </c>
      <c r="C4453" t="s">
        <v>40</v>
      </c>
      <c r="D4453">
        <v>5.2886949999999997</v>
      </c>
      <c r="E4453">
        <v>0.52145900000000001</v>
      </c>
      <c r="F4453" t="s">
        <v>46</v>
      </c>
      <c r="G4453">
        <v>-194.60040000000001</v>
      </c>
      <c r="H4453" s="1">
        <v>3.4847019999999999E-6</v>
      </c>
      <c r="I4453">
        <v>210.7714</v>
      </c>
      <c r="J4453">
        <v>-273.20310000000001</v>
      </c>
      <c r="K4453">
        <v>1.1207389999999999</v>
      </c>
      <c r="L4453">
        <v>215.1164</v>
      </c>
      <c r="M4453">
        <v>0.99991039999999998</v>
      </c>
      <c r="N4453">
        <v>-1.28140999999999E-2</v>
      </c>
      <c r="O4453">
        <v>3.9055190000000001E-3</v>
      </c>
      <c r="P4453">
        <v>0.99685840000000003</v>
      </c>
      <c r="Q4453">
        <v>-7.9170509999999999E-2</v>
      </c>
      <c r="R4453">
        <v>2.355743E-3</v>
      </c>
      <c r="S4453">
        <v>3.0065309999999998</v>
      </c>
      <c r="T4453">
        <v>-4.2679429999999997E-2</v>
      </c>
      <c r="U4453">
        <v>-0.16540529999999901</v>
      </c>
      <c r="V4453">
        <v>1.5566289999999999E-3</v>
      </c>
      <c r="W4453">
        <v>-6.6389710000000005E-2</v>
      </c>
      <c r="X4453">
        <v>0.99779249999999997</v>
      </c>
      <c r="Y4453">
        <v>5.8820530000000003E-2</v>
      </c>
      <c r="Z4453">
        <v>-7.9975070000000003E-4</v>
      </c>
      <c r="AA4453">
        <v>0.99826820000000005</v>
      </c>
      <c r="AB4453">
        <v>34</v>
      </c>
      <c r="AC4453">
        <v>78.602699999999999</v>
      </c>
      <c r="AD4453">
        <v>-1.1207355152980001</v>
      </c>
      <c r="AE4453">
        <v>-4.34499999999999</v>
      </c>
      <c r="AF4453">
        <v>4.6510337003040103</v>
      </c>
      <c r="AG4453">
        <v>-1.1207355152980001</v>
      </c>
      <c r="AH4453">
        <v>78.569205323276705</v>
      </c>
      <c r="AI4453">
        <v>90.815801406847896</v>
      </c>
      <c r="AJ4453">
        <v>86.612235321501402</v>
      </c>
      <c r="AK4453">
        <v>78.714726625376997</v>
      </c>
      <c r="AL4453">
        <v>93.806650257400406</v>
      </c>
      <c r="AM4453">
        <v>89.910614481857195</v>
      </c>
      <c r="AN4453">
        <v>0.99999994487198696</v>
      </c>
    </row>
    <row r="4454" spans="1:40" x14ac:dyDescent="0.25">
      <c r="A4454" t="str">
        <f>"20190303154226092"</f>
        <v>20190303154226092</v>
      </c>
      <c r="B4454" t="str">
        <f>"1551598946084518"</f>
        <v>1551598946084518</v>
      </c>
      <c r="C4454" t="s">
        <v>40</v>
      </c>
      <c r="D4454">
        <v>5.2695660000000002</v>
      </c>
      <c r="E4454">
        <v>0.52113029999999905</v>
      </c>
      <c r="F4454" t="s">
        <v>46</v>
      </c>
      <c r="G4454">
        <v>-199.7448</v>
      </c>
      <c r="H4454" s="1">
        <v>2.535367E-6</v>
      </c>
      <c r="I4454">
        <v>211.19239999999999</v>
      </c>
      <c r="J4454">
        <v>-272.84719999999999</v>
      </c>
      <c r="K4454">
        <v>1.120725</v>
      </c>
      <c r="L4454">
        <v>215.11799999999999</v>
      </c>
      <c r="M4454">
        <v>0.99991240000000003</v>
      </c>
      <c r="N4454">
        <v>-1.260579E-2</v>
      </c>
      <c r="O4454">
        <v>4.0562480000000001E-3</v>
      </c>
      <c r="P4454">
        <v>0.99686350000000001</v>
      </c>
      <c r="Q4454">
        <v>-7.9108979999999995E-2</v>
      </c>
      <c r="R4454">
        <v>2.3174070000000001E-3</v>
      </c>
      <c r="S4454">
        <v>3.0061339999999999</v>
      </c>
      <c r="T4454">
        <v>-4.5863870000000001E-2</v>
      </c>
      <c r="U4454">
        <v>-0.16058349999999999</v>
      </c>
      <c r="V4454">
        <v>1.7452990000000001E-3</v>
      </c>
      <c r="W4454">
        <v>-6.6535919999999998E-2</v>
      </c>
      <c r="X4454">
        <v>0.99778250000000002</v>
      </c>
      <c r="Y4454">
        <v>5.7380720000000003E-2</v>
      </c>
      <c r="Z4454">
        <v>-8.1010299999999995E-4</v>
      </c>
      <c r="AA4454">
        <v>0.99835209999999996</v>
      </c>
      <c r="AB4454">
        <v>34</v>
      </c>
      <c r="AC4454">
        <v>73.102399999999903</v>
      </c>
      <c r="AD4454">
        <v>-1.1207224646330001</v>
      </c>
      <c r="AE4454">
        <v>-3.9256000000000002</v>
      </c>
      <c r="AF4454">
        <v>4.2211234420709998</v>
      </c>
      <c r="AG4454">
        <v>-1.1207224646330001</v>
      </c>
      <c r="AH4454">
        <v>73.068749702761394</v>
      </c>
      <c r="AI4454">
        <v>90.877266649668002</v>
      </c>
      <c r="AJ4454">
        <v>86.6937431780553</v>
      </c>
      <c r="AK4454">
        <v>73.199153581723394</v>
      </c>
      <c r="AL4454">
        <v>93.815045842289706</v>
      </c>
      <c r="AM4454">
        <v>89.899779596552406</v>
      </c>
      <c r="AN4454">
        <v>0.99999999601254697</v>
      </c>
    </row>
    <row r="4455" spans="1:40" x14ac:dyDescent="0.25">
      <c r="A4455" t="str">
        <f>"20190303154226113"</f>
        <v>20190303154226113</v>
      </c>
      <c r="B4455" t="str">
        <f>"1551598946104038"</f>
        <v>1551598946104038</v>
      </c>
      <c r="C4455" t="s">
        <v>40</v>
      </c>
      <c r="D4455">
        <v>5.2665839999999999</v>
      </c>
      <c r="E4455">
        <v>0.52064299999999997</v>
      </c>
      <c r="F4455" t="s">
        <v>46</v>
      </c>
      <c r="G4455">
        <v>-201.7423</v>
      </c>
      <c r="H4455" s="1">
        <v>3.272776E-6</v>
      </c>
      <c r="I4455">
        <v>211.3776</v>
      </c>
      <c r="J4455">
        <v>-272.5154</v>
      </c>
      <c r="K4455">
        <v>1.1207039999999999</v>
      </c>
      <c r="L4455">
        <v>215.11949999999999</v>
      </c>
      <c r="M4455">
        <v>0.99991419999999998</v>
      </c>
      <c r="N4455">
        <v>-1.2415259999999999E-2</v>
      </c>
      <c r="O4455">
        <v>4.1977239999999999E-3</v>
      </c>
      <c r="P4455">
        <v>0.99688699999999997</v>
      </c>
      <c r="Q4455">
        <v>-7.881001E-2</v>
      </c>
      <c r="R4455">
        <v>2.3111849999999999E-3</v>
      </c>
      <c r="S4455">
        <v>3.0060120000000001</v>
      </c>
      <c r="T4455">
        <v>-4.7379369999999997E-2</v>
      </c>
      <c r="U4455">
        <v>-0.15812679999999901</v>
      </c>
      <c r="V4455">
        <v>1.8927690000000001E-3</v>
      </c>
      <c r="W4455">
        <v>-6.6426799999999994E-2</v>
      </c>
      <c r="X4455">
        <v>0.9977895</v>
      </c>
      <c r="Y4455">
        <v>5.6710089999999998E-2</v>
      </c>
      <c r="Z4455">
        <v>-8.129484E-4</v>
      </c>
      <c r="AA4455">
        <v>0.99839040000000001</v>
      </c>
      <c r="AB4455">
        <v>34</v>
      </c>
      <c r="AC4455">
        <v>70.773099999999999</v>
      </c>
      <c r="AD4455">
        <v>-1.1207007272239999</v>
      </c>
      <c r="AE4455">
        <v>-3.7418999999999798</v>
      </c>
      <c r="AF4455">
        <v>4.0379661395093196</v>
      </c>
      <c r="AG4455">
        <v>-1.1207007272239999</v>
      </c>
      <c r="AH4455">
        <v>70.739079229914196</v>
      </c>
      <c r="AI4455">
        <v>90.906171220002307</v>
      </c>
      <c r="AJ4455">
        <v>86.732956903939893</v>
      </c>
      <c r="AK4455">
        <v>70.863096679159497</v>
      </c>
      <c r="AL4455">
        <v>93.808779870822804</v>
      </c>
      <c r="AM4455">
        <v>89.891312200407199</v>
      </c>
      <c r="AN4455">
        <v>0.99999999432148801</v>
      </c>
    </row>
    <row r="4456" spans="1:40" x14ac:dyDescent="0.25">
      <c r="A4456" t="str">
        <f>"20190303154226135"</f>
        <v>20190303154226135</v>
      </c>
      <c r="B4456" t="str">
        <f>"1551598946124534"</f>
        <v>1551598946124534</v>
      </c>
      <c r="C4456" t="s">
        <v>40</v>
      </c>
      <c r="D4456">
        <v>5.3347810000000004</v>
      </c>
      <c r="E4456">
        <v>0.52027950000000001</v>
      </c>
      <c r="F4456" t="s">
        <v>46</v>
      </c>
      <c r="G4456">
        <v>-204.09979999999999</v>
      </c>
      <c r="H4456" s="1">
        <v>4.2975940000000004E-6</v>
      </c>
      <c r="I4456">
        <v>211.61340000000001</v>
      </c>
      <c r="J4456">
        <v>-272.18900000000002</v>
      </c>
      <c r="K4456">
        <v>1.1206849999999999</v>
      </c>
      <c r="L4456">
        <v>215.12100000000001</v>
      </c>
      <c r="M4456">
        <v>0.99991580000000002</v>
      </c>
      <c r="N4456">
        <v>-1.2237929999999999E-2</v>
      </c>
      <c r="O4456">
        <v>4.3374349999999997E-3</v>
      </c>
      <c r="P4456">
        <v>0.99687969999999904</v>
      </c>
      <c r="Q4456">
        <v>-7.8890769999999999E-2</v>
      </c>
      <c r="R4456">
        <v>2.7439690000000002E-3</v>
      </c>
      <c r="S4456">
        <v>3.005798</v>
      </c>
      <c r="T4456">
        <v>-4.9237250000000003E-2</v>
      </c>
      <c r="U4456">
        <v>-0.15403749999999999</v>
      </c>
      <c r="V4456">
        <v>1.599222E-3</v>
      </c>
      <c r="W4456">
        <v>-6.6684649999999998E-2</v>
      </c>
      <c r="X4456">
        <v>0.99777280000000002</v>
      </c>
      <c r="Y4456">
        <v>5.5498190000000003E-2</v>
      </c>
      <c r="Z4456">
        <v>-8.1204409999999997E-4</v>
      </c>
      <c r="AA4456">
        <v>0.99845839999999997</v>
      </c>
      <c r="AB4456">
        <v>34</v>
      </c>
      <c r="AC4456">
        <v>68.089200000000005</v>
      </c>
      <c r="AD4456">
        <v>-1.1206807024059999</v>
      </c>
      <c r="AE4456">
        <v>-3.5075999999999601</v>
      </c>
      <c r="AF4456">
        <v>3.8018943663671001</v>
      </c>
      <c r="AG4456">
        <v>-1.1206807024059999</v>
      </c>
      <c r="AH4456">
        <v>68.054957062449802</v>
      </c>
      <c r="AI4456">
        <v>90.941952475338795</v>
      </c>
      <c r="AJ4456">
        <v>86.802491359708995</v>
      </c>
      <c r="AK4456">
        <v>68.170283164892695</v>
      </c>
      <c r="AL4456">
        <v>93.823586472040802</v>
      </c>
      <c r="AM4456">
        <v>89.908166876625899</v>
      </c>
      <c r="AN4456">
        <v>0.999999980238233</v>
      </c>
    </row>
    <row r="4457" spans="1:40" x14ac:dyDescent="0.25">
      <c r="A4457" t="str">
        <f>"20190303154226157"</f>
        <v>20190303154226157</v>
      </c>
      <c r="B4457" t="str">
        <f>"1551598946153816"</f>
        <v>1551598946153816</v>
      </c>
      <c r="C4457" t="s">
        <v>40</v>
      </c>
      <c r="D4457">
        <v>5.3438270000000001</v>
      </c>
      <c r="E4457">
        <v>0.5198895</v>
      </c>
      <c r="F4457" t="s">
        <v>46</v>
      </c>
      <c r="G4457">
        <v>-208.0307</v>
      </c>
      <c r="H4457" s="1">
        <v>6.01394599999999E-6</v>
      </c>
      <c r="I4457">
        <v>211.9205</v>
      </c>
      <c r="J4457">
        <v>-271.84789999999998</v>
      </c>
      <c r="K4457">
        <v>1.120671</v>
      </c>
      <c r="L4457">
        <v>215.12260000000001</v>
      </c>
      <c r="M4457">
        <v>0.9999171</v>
      </c>
      <c r="N4457">
        <v>-1.2069069999999999E-2</v>
      </c>
      <c r="O4457">
        <v>4.4833989999999999E-3</v>
      </c>
      <c r="P4457">
        <v>0.99687230000000004</v>
      </c>
      <c r="Q4457">
        <v>-7.8972249999999994E-2</v>
      </c>
      <c r="R4457">
        <v>2.9995109999999998E-3</v>
      </c>
      <c r="S4457">
        <v>3.005646</v>
      </c>
      <c r="T4457">
        <v>-5.250084E-2</v>
      </c>
      <c r="U4457">
        <v>-0.14993290000000001</v>
      </c>
      <c r="V4457">
        <v>1.489425E-3</v>
      </c>
      <c r="W4457">
        <v>-6.69347E-2</v>
      </c>
      <c r="X4457">
        <v>0.99775619999999998</v>
      </c>
      <c r="Y4457">
        <v>5.4285399999999998E-2</v>
      </c>
      <c r="Z4457">
        <v>-8.2581149999999895E-4</v>
      </c>
      <c r="AA4457">
        <v>0.99852510000000005</v>
      </c>
      <c r="AB4457">
        <v>34</v>
      </c>
      <c r="AC4457">
        <v>63.8171999999999</v>
      </c>
      <c r="AD4457">
        <v>-1.1206649860539999</v>
      </c>
      <c r="AE4457">
        <v>-3.2021000000000002</v>
      </c>
      <c r="AF4457">
        <v>3.48713399130214</v>
      </c>
      <c r="AG4457">
        <v>-1.1206649860539999</v>
      </c>
      <c r="AH4457">
        <v>63.7825817540256</v>
      </c>
      <c r="AI4457">
        <v>91.005087089702997</v>
      </c>
      <c r="AJ4457">
        <v>86.870629217065897</v>
      </c>
      <c r="AK4457">
        <v>63.887664918145298</v>
      </c>
      <c r="AL4457">
        <v>93.837945466162296</v>
      </c>
      <c r="AM4457">
        <v>89.914470385638097</v>
      </c>
      <c r="AN4457">
        <v>0.99999995354467897</v>
      </c>
    </row>
    <row r="4458" spans="1:40" x14ac:dyDescent="0.25">
      <c r="A4458" t="str">
        <f>"20190303154226180"</f>
        <v>20190303154226180</v>
      </c>
      <c r="B4458" t="str">
        <f>"1551598946174310"</f>
        <v>1551598946174310</v>
      </c>
      <c r="C4458" t="s">
        <v>40</v>
      </c>
      <c r="D4458">
        <v>5.3238180000000002</v>
      </c>
      <c r="E4458">
        <v>0.51970349999999998</v>
      </c>
      <c r="F4458" t="s">
        <v>50</v>
      </c>
      <c r="G4458">
        <v>-213.28790000000001</v>
      </c>
      <c r="H4458" s="1">
        <v>3.152733E-7</v>
      </c>
      <c r="I4458">
        <v>212.27359999999999</v>
      </c>
      <c r="J4458">
        <v>-271.49810000000002</v>
      </c>
      <c r="K4458">
        <v>1.1206579999999999</v>
      </c>
      <c r="L4458">
        <v>215.12430000000001</v>
      </c>
      <c r="M4458">
        <v>0.99991830000000004</v>
      </c>
      <c r="N4458">
        <v>-1.1909060000000001E-2</v>
      </c>
      <c r="O4458">
        <v>4.6328790000000003E-3</v>
      </c>
      <c r="P4458">
        <v>0.9968764</v>
      </c>
      <c r="Q4458">
        <v>-7.8884599999999999E-2</v>
      </c>
      <c r="R4458">
        <v>3.824741E-3</v>
      </c>
      <c r="S4458">
        <v>3.0053100000000001</v>
      </c>
      <c r="T4458">
        <v>-5.7513000000000002E-2</v>
      </c>
      <c r="U4458">
        <v>-0.1462097</v>
      </c>
      <c r="V4458">
        <v>8.1331589999999998E-4</v>
      </c>
      <c r="W4458">
        <v>-6.7006830000000003E-2</v>
      </c>
      <c r="X4458">
        <v>0.99775219999999998</v>
      </c>
      <c r="Y4458">
        <v>5.3204300000000003E-2</v>
      </c>
      <c r="Z4458">
        <v>-8.5925599999999997E-4</v>
      </c>
      <c r="AA4458">
        <v>0.99858329999999995</v>
      </c>
      <c r="AB4458">
        <v>34</v>
      </c>
      <c r="AC4458">
        <v>58.2102</v>
      </c>
      <c r="AD4458">
        <v>-1.12065768472669</v>
      </c>
      <c r="AE4458">
        <v>-2.85070000000001</v>
      </c>
      <c r="AF4458">
        <v>3.11921602731333</v>
      </c>
      <c r="AG4458">
        <v>-1.12065768472669</v>
      </c>
      <c r="AH4458">
        <v>58.174857206539599</v>
      </c>
      <c r="AI4458">
        <v>91.102004441604606</v>
      </c>
      <c r="AJ4458">
        <v>86.930857199379105</v>
      </c>
      <c r="AK4458">
        <v>58.269197637110601</v>
      </c>
      <c r="AL4458">
        <v>93.842087274848197</v>
      </c>
      <c r="AM4458">
        <v>89.953295459373905</v>
      </c>
      <c r="AN4458">
        <v>1.00000001467712</v>
      </c>
    </row>
    <row r="4459" spans="1:40" x14ac:dyDescent="0.25">
      <c r="A4459" t="str">
        <f>"20190303154226202"</f>
        <v>20190303154226202</v>
      </c>
      <c r="B4459" t="str">
        <f>"1551598946193834"</f>
        <v>1551598946193834</v>
      </c>
      <c r="C4459" t="s">
        <v>40</v>
      </c>
      <c r="D4459">
        <v>5.3669669999999998</v>
      </c>
      <c r="E4459">
        <v>0.51954699999999998</v>
      </c>
      <c r="F4459" t="s">
        <v>50</v>
      </c>
      <c r="G4459">
        <v>-215.06809999999999</v>
      </c>
      <c r="H4459" s="1">
        <v>1.254699E-6</v>
      </c>
      <c r="I4459">
        <v>212.45480000000001</v>
      </c>
      <c r="J4459">
        <v>-271.15559999999999</v>
      </c>
      <c r="K4459">
        <v>1.1206449999999999</v>
      </c>
      <c r="L4459">
        <v>215.12610000000001</v>
      </c>
      <c r="M4459">
        <v>0.99991940000000001</v>
      </c>
      <c r="N4459">
        <v>-1.176556E-2</v>
      </c>
      <c r="O4459">
        <v>4.7788550000000003E-3</v>
      </c>
      <c r="P4459">
        <v>0.99692170000000002</v>
      </c>
      <c r="Q4459">
        <v>-7.8265009999999996E-2</v>
      </c>
      <c r="R4459">
        <v>4.6873050000000001E-3</v>
      </c>
      <c r="S4459">
        <v>3.0052189999999999</v>
      </c>
      <c r="T4459">
        <v>-5.9681419999999999E-2</v>
      </c>
      <c r="U4459">
        <v>-0.14216609999999999</v>
      </c>
      <c r="V4459" s="1">
        <v>9.6415689999999998E-5</v>
      </c>
      <c r="W4459">
        <v>-6.6530110000000003E-2</v>
      </c>
      <c r="X4459">
        <v>0.99778440000000002</v>
      </c>
      <c r="Y4459">
        <v>5.2010420000000002E-2</v>
      </c>
      <c r="Z4459">
        <v>-8.6095200000000001E-4</v>
      </c>
      <c r="AA4459">
        <v>0.99864620000000004</v>
      </c>
      <c r="AB4459">
        <v>34</v>
      </c>
      <c r="AC4459">
        <v>56.087499999999999</v>
      </c>
      <c r="AD4459">
        <v>-1.1206437453010001</v>
      </c>
      <c r="AE4459">
        <v>-2.6713</v>
      </c>
      <c r="AF4459">
        <v>2.9381517774022798</v>
      </c>
      <c r="AG4459">
        <v>-1.1206437453010001</v>
      </c>
      <c r="AH4459">
        <v>56.051766957916598</v>
      </c>
      <c r="AI4459">
        <v>91.1437928076204</v>
      </c>
      <c r="AJ4459">
        <v>86.999385156589199</v>
      </c>
      <c r="AK4459">
        <v>56.139906994717499</v>
      </c>
      <c r="AL4459">
        <v>93.8147122495389</v>
      </c>
      <c r="AM4459">
        <v>89.994463521279101</v>
      </c>
      <c r="AN4459">
        <v>0.99999998685797797</v>
      </c>
    </row>
    <row r="4460" spans="1:40" x14ac:dyDescent="0.25">
      <c r="A4460" t="str">
        <f>"20190303154226225"</f>
        <v>20190303154226225</v>
      </c>
      <c r="B4460" t="str">
        <f>"1551598946214326"</f>
        <v>1551598946214326</v>
      </c>
      <c r="C4460" t="s">
        <v>40</v>
      </c>
      <c r="D4460">
        <v>5.3820040000000002</v>
      </c>
      <c r="E4460">
        <v>0.51940450000000005</v>
      </c>
      <c r="F4460" t="s">
        <v>50</v>
      </c>
      <c r="G4460">
        <v>-214.88079999999999</v>
      </c>
      <c r="H4460" s="1">
        <v>1.1513079999999999E-6</v>
      </c>
      <c r="I4460">
        <v>212.5393</v>
      </c>
      <c r="J4460">
        <v>-270.80579999999998</v>
      </c>
      <c r="K4460">
        <v>1.12064599999999</v>
      </c>
      <c r="L4460">
        <v>215.12790000000001</v>
      </c>
      <c r="M4460">
        <v>0.99992020000000004</v>
      </c>
      <c r="N4460">
        <v>-1.163221E-2</v>
      </c>
      <c r="O4460">
        <v>4.9282759999999997E-3</v>
      </c>
      <c r="P4460">
        <v>0.99692670000000005</v>
      </c>
      <c r="Q4460">
        <v>-7.8192609999999996E-2</v>
      </c>
      <c r="R4460">
        <v>4.8205829999999998E-3</v>
      </c>
      <c r="S4460">
        <v>3.0052189999999999</v>
      </c>
      <c r="T4460">
        <v>-5.9845210000000003E-2</v>
      </c>
      <c r="U4460">
        <v>-0.13813780000000001</v>
      </c>
      <c r="V4460">
        <v>1.122155E-4</v>
      </c>
      <c r="W4460">
        <v>-6.6590670000000005E-2</v>
      </c>
      <c r="X4460">
        <v>0.99778040000000001</v>
      </c>
      <c r="Y4460">
        <v>5.082424E-2</v>
      </c>
      <c r="Z4460">
        <v>-8.4233229999999999E-4</v>
      </c>
      <c r="AA4460">
        <v>0.99870720000000002</v>
      </c>
      <c r="AB4460">
        <v>34</v>
      </c>
      <c r="AC4460">
        <v>55.924999999999898</v>
      </c>
      <c r="AD4460">
        <v>-1.12064484869199</v>
      </c>
      <c r="AE4460">
        <v>-2.5886000000000098</v>
      </c>
      <c r="AF4460">
        <v>2.8630538828073901</v>
      </c>
      <c r="AG4460">
        <v>-1.12064484869199</v>
      </c>
      <c r="AH4460">
        <v>55.889169044003403</v>
      </c>
      <c r="AI4460">
        <v>91.147191282822902</v>
      </c>
      <c r="AJ4460">
        <v>87.067452638378597</v>
      </c>
      <c r="AK4460">
        <v>55.973673622891198</v>
      </c>
      <c r="AL4460">
        <v>93.818189635432603</v>
      </c>
      <c r="AM4460">
        <v>89.993556222873394</v>
      </c>
      <c r="AN4460">
        <v>1.00000002827376</v>
      </c>
    </row>
    <row r="4461" spans="1:40" x14ac:dyDescent="0.25">
      <c r="A4461" t="str">
        <f>"20190303154226246"</f>
        <v>20190303154226246</v>
      </c>
      <c r="B4461" t="str">
        <f>"1551598946244583"</f>
        <v>1551598946244583</v>
      </c>
      <c r="C4461" t="s">
        <v>40</v>
      </c>
      <c r="D4461">
        <v>5.4310609999999997</v>
      </c>
      <c r="E4461">
        <v>0.51917049999999998</v>
      </c>
      <c r="F4461" t="s">
        <v>50</v>
      </c>
      <c r="G4461">
        <v>-216.0881</v>
      </c>
      <c r="H4461" s="1">
        <v>1.7893970000000001E-6</v>
      </c>
      <c r="I4461">
        <v>212.6395</v>
      </c>
      <c r="J4461">
        <v>-270.47449999999998</v>
      </c>
      <c r="K4461">
        <v>1.120644</v>
      </c>
      <c r="L4461">
        <v>215.12970000000001</v>
      </c>
      <c r="M4461">
        <v>0.99992080000000005</v>
      </c>
      <c r="N4461">
        <v>-1.1515559999999999E-2</v>
      </c>
      <c r="O4461">
        <v>5.0695469999999998E-3</v>
      </c>
      <c r="P4461">
        <v>0.99691030000000003</v>
      </c>
      <c r="Q4461">
        <v>-7.8406719999999999E-2</v>
      </c>
      <c r="R4461">
        <v>4.7564749999999996E-3</v>
      </c>
      <c r="S4461">
        <v>3.0050659999999998</v>
      </c>
      <c r="T4461">
        <v>-6.1545130000000003E-2</v>
      </c>
      <c r="U4461">
        <v>-0.13665769999999999</v>
      </c>
      <c r="V4461">
        <v>3.1730389999999999E-4</v>
      </c>
      <c r="W4461">
        <v>-6.6921300000000003E-2</v>
      </c>
      <c r="X4461">
        <v>0.99775820000000004</v>
      </c>
      <c r="Y4461">
        <v>5.0476170000000001E-2</v>
      </c>
      <c r="Z4461">
        <v>-8.5282309999999998E-4</v>
      </c>
      <c r="AA4461">
        <v>0.99872490000000003</v>
      </c>
      <c r="AB4461">
        <v>34</v>
      </c>
      <c r="AC4461">
        <v>54.386399999999902</v>
      </c>
      <c r="AD4461">
        <v>-1.1206422106029901</v>
      </c>
      <c r="AE4461">
        <v>-2.49020000000001</v>
      </c>
      <c r="AF4461">
        <v>2.7647293253640002</v>
      </c>
      <c r="AG4461">
        <v>-1.1206422106029901</v>
      </c>
      <c r="AH4461">
        <v>54.350048667603197</v>
      </c>
      <c r="AI4461">
        <v>91.179687890171607</v>
      </c>
      <c r="AJ4461">
        <v>87.087934541308599</v>
      </c>
      <c r="AK4461">
        <v>54.4318597640899</v>
      </c>
      <c r="AL4461">
        <v>93.837175824288295</v>
      </c>
      <c r="AM4461">
        <v>89.981778978433695</v>
      </c>
      <c r="AN4461">
        <v>0.99999999337134704</v>
      </c>
    </row>
    <row r="4462" spans="1:40" x14ac:dyDescent="0.25">
      <c r="A4462" t="str">
        <f>"20190303154226270"</f>
        <v>20190303154226270</v>
      </c>
      <c r="B4462" t="str">
        <f>"1551598946264103"</f>
        <v>1551598946264103</v>
      </c>
      <c r="C4462" t="s">
        <v>40</v>
      </c>
      <c r="D4462">
        <v>5.4513230000000004</v>
      </c>
      <c r="E4462">
        <v>0.51902619999999999</v>
      </c>
      <c r="F4462" t="s">
        <v>50</v>
      </c>
      <c r="G4462">
        <v>-218.71029999999999</v>
      </c>
      <c r="H4462" s="1">
        <v>3.177726E-6</v>
      </c>
      <c r="I4462">
        <v>212.80090000000001</v>
      </c>
      <c r="J4462">
        <v>-270.10410000000002</v>
      </c>
      <c r="K4462">
        <v>1.120635</v>
      </c>
      <c r="L4462">
        <v>215.1317</v>
      </c>
      <c r="M4462">
        <v>0.99992150000000002</v>
      </c>
      <c r="N4462">
        <v>-1.1394079999999999E-2</v>
      </c>
      <c r="O4462">
        <v>5.2276459999999999E-3</v>
      </c>
      <c r="P4462">
        <v>0.99696359999999995</v>
      </c>
      <c r="Q4462">
        <v>-7.7697249999999995E-2</v>
      </c>
      <c r="R4462">
        <v>5.1730530000000004E-3</v>
      </c>
      <c r="S4462">
        <v>3.0048219999999999</v>
      </c>
      <c r="T4462">
        <v>-6.5051199999999906E-2</v>
      </c>
      <c r="U4462">
        <v>-0.13517760000000001</v>
      </c>
      <c r="V4462" s="1">
        <v>5.8653010000000003E-5</v>
      </c>
      <c r="W4462">
        <v>-6.6332559999999999E-2</v>
      </c>
      <c r="X4462">
        <v>0.9977975</v>
      </c>
      <c r="Y4462">
        <v>5.0145349999999998E-2</v>
      </c>
      <c r="Z4462">
        <v>-8.8191810000000002E-4</v>
      </c>
      <c r="AA4462">
        <v>0.99874160000000001</v>
      </c>
      <c r="AB4462">
        <v>34</v>
      </c>
      <c r="AC4462">
        <v>51.393799999999999</v>
      </c>
      <c r="AD4462">
        <v>-1.1206318222739999</v>
      </c>
      <c r="AE4462">
        <v>-2.33079999999998</v>
      </c>
      <c r="AF4462">
        <v>2.5982213728838901</v>
      </c>
      <c r="AG4462">
        <v>-1.1206318222739999</v>
      </c>
      <c r="AH4462">
        <v>51.356544936741003</v>
      </c>
      <c r="AI4462">
        <v>91.2484350735742</v>
      </c>
      <c r="AJ4462">
        <v>87.103771219553906</v>
      </c>
      <c r="AK4462">
        <v>51.434436691997597</v>
      </c>
      <c r="AL4462">
        <v>93.803368620502297</v>
      </c>
      <c r="AM4462">
        <v>89.996632012081704</v>
      </c>
      <c r="AN4462">
        <v>0.99999993148128696</v>
      </c>
    </row>
    <row r="4463" spans="1:40" x14ac:dyDescent="0.25">
      <c r="A4463" t="str">
        <f>"20190303154226293"</f>
        <v>20190303154226293</v>
      </c>
      <c r="B4463" t="str">
        <f>"1551598946284599"</f>
        <v>1551598946284599</v>
      </c>
      <c r="C4463" t="s">
        <v>40</v>
      </c>
      <c r="D4463">
        <v>5.4626279999999996</v>
      </c>
      <c r="E4463">
        <v>0.5189667</v>
      </c>
      <c r="F4463" t="s">
        <v>50</v>
      </c>
      <c r="G4463">
        <v>-218.23939999999999</v>
      </c>
      <c r="H4463" s="1">
        <v>2.9253350000000001E-6</v>
      </c>
      <c r="I4463">
        <v>212.8432</v>
      </c>
      <c r="J4463">
        <v>-269.76170000000002</v>
      </c>
      <c r="K4463">
        <v>1.1206240000000001</v>
      </c>
      <c r="L4463">
        <v>215.1336</v>
      </c>
      <c r="M4463">
        <v>0.99992199999999998</v>
      </c>
      <c r="N4463">
        <v>-1.128991E-2</v>
      </c>
      <c r="O4463">
        <v>5.3737790000000004E-3</v>
      </c>
      <c r="P4463">
        <v>0.99697170000000002</v>
      </c>
      <c r="Q4463">
        <v>-7.7548539999999999E-2</v>
      </c>
      <c r="R4463">
        <v>5.8477729999999997E-3</v>
      </c>
      <c r="S4463">
        <v>3.0047299999999999</v>
      </c>
      <c r="T4463">
        <v>-6.4922809999999997E-2</v>
      </c>
      <c r="U4463">
        <v>-0.1325836</v>
      </c>
      <c r="V4463">
        <v>-4.7038039999999998E-4</v>
      </c>
      <c r="W4463">
        <v>-6.6287840000000001E-2</v>
      </c>
      <c r="X4463">
        <v>0.99780040000000003</v>
      </c>
      <c r="Y4463">
        <v>4.9432509999999999E-2</v>
      </c>
      <c r="Z4463">
        <v>-8.6836390000000002E-4</v>
      </c>
      <c r="AA4463">
        <v>0.99877709999999997</v>
      </c>
      <c r="AB4463">
        <v>34</v>
      </c>
      <c r="AC4463">
        <v>51.522300000000001</v>
      </c>
      <c r="AD4463">
        <v>-1.120621074665</v>
      </c>
      <c r="AE4463">
        <v>-2.2904</v>
      </c>
      <c r="AF4463">
        <v>2.5660424496523602</v>
      </c>
      <c r="AG4463">
        <v>-1.120621074665</v>
      </c>
      <c r="AH4463">
        <v>51.484939060032801</v>
      </c>
      <c r="AI4463">
        <v>91.245357587366698</v>
      </c>
      <c r="AJ4463">
        <v>87.146702580338399</v>
      </c>
      <c r="AK4463">
        <v>51.561025159142197</v>
      </c>
      <c r="AL4463">
        <v>93.800800559876194</v>
      </c>
      <c r="AM4463">
        <v>90.027010221372095</v>
      </c>
      <c r="AN4463">
        <v>0.99999996861487195</v>
      </c>
    </row>
    <row r="4464" spans="1:40" x14ac:dyDescent="0.25">
      <c r="A4464" t="str">
        <f>"20190303154226315"</f>
        <v>20190303154226315</v>
      </c>
      <c r="B4464" t="str">
        <f>"1551598946304119"</f>
        <v>1551598946304119</v>
      </c>
      <c r="C4464" t="s">
        <v>40</v>
      </c>
      <c r="D4464">
        <v>5.461195</v>
      </c>
      <c r="E4464">
        <v>0.5188931</v>
      </c>
      <c r="F4464" t="s">
        <v>50</v>
      </c>
      <c r="G4464">
        <v>-218.5309</v>
      </c>
      <c r="H4464" s="1">
        <v>3.0772450000000001E-6</v>
      </c>
      <c r="I4464">
        <v>212.91630000000001</v>
      </c>
      <c r="J4464">
        <v>-269.41800000000001</v>
      </c>
      <c r="K4464">
        <v>1.1206160000000001</v>
      </c>
      <c r="L4464">
        <v>215.13560000000001</v>
      </c>
      <c r="M4464">
        <v>0.99992199999999998</v>
      </c>
      <c r="N4464">
        <v>-1.119559E-2</v>
      </c>
      <c r="O4464">
        <v>5.520746E-3</v>
      </c>
      <c r="P4464">
        <v>0.99698770000000003</v>
      </c>
      <c r="Q4464">
        <v>-7.7324889999999993E-2</v>
      </c>
      <c r="R4464">
        <v>6.0424669999999897E-3</v>
      </c>
      <c r="S4464">
        <v>3.004791</v>
      </c>
      <c r="T4464">
        <v>-6.5726759999999995E-2</v>
      </c>
      <c r="U4464">
        <v>-0.13005069999999999</v>
      </c>
      <c r="V4464">
        <v>-5.1843929999999998E-4</v>
      </c>
      <c r="W4464">
        <v>-6.6158129999999996E-2</v>
      </c>
      <c r="X4464">
        <v>0.99780899999999995</v>
      </c>
      <c r="Y4464">
        <v>4.8737969999999999E-2</v>
      </c>
      <c r="Z4464">
        <v>-8.6466149999999905E-4</v>
      </c>
      <c r="AA4464">
        <v>0.99881120000000001</v>
      </c>
      <c r="AB4464">
        <v>34</v>
      </c>
      <c r="AC4464">
        <v>50.887099999999997</v>
      </c>
      <c r="AD4464">
        <v>-1.1206129227549999</v>
      </c>
      <c r="AE4464">
        <v>-2.2193000000000001</v>
      </c>
      <c r="AF4464">
        <v>2.4990089704987999</v>
      </c>
      <c r="AG4464">
        <v>-1.1206129227549999</v>
      </c>
      <c r="AH4464">
        <v>50.849458883382098</v>
      </c>
      <c r="AI4464">
        <v>91.260950290715598</v>
      </c>
      <c r="AJ4464">
        <v>87.186448731811495</v>
      </c>
      <c r="AK4464">
        <v>50.923160623531999</v>
      </c>
      <c r="AL4464">
        <v>93.793352316826798</v>
      </c>
      <c r="AM4464">
        <v>90.029769606358201</v>
      </c>
      <c r="AN4464">
        <v>0.99999998371270205</v>
      </c>
    </row>
    <row r="4465" spans="1:40" x14ac:dyDescent="0.25">
      <c r="A4465" t="str">
        <f>"20190303154226338"</f>
        <v>20190303154226338</v>
      </c>
      <c r="B4465" t="str">
        <f>"1551598946334375"</f>
        <v>1551598946334375</v>
      </c>
      <c r="C4465" t="s">
        <v>40</v>
      </c>
      <c r="D4465">
        <v>5.4593210000000001</v>
      </c>
      <c r="E4465">
        <v>0.51888219999999996</v>
      </c>
      <c r="F4465" t="s">
        <v>50</v>
      </c>
      <c r="G4465">
        <v>-218.81020000000001</v>
      </c>
      <c r="H4465" s="1">
        <v>3.2238719999999998E-6</v>
      </c>
      <c r="I4465">
        <v>212.9624</v>
      </c>
      <c r="J4465">
        <v>-269.08420000000001</v>
      </c>
      <c r="K4465">
        <v>1.1206100000000001</v>
      </c>
      <c r="L4465">
        <v>215.13759999999999</v>
      </c>
      <c r="M4465">
        <v>0.99992219999999998</v>
      </c>
      <c r="N4465">
        <v>-1.11147E-2</v>
      </c>
      <c r="O4465">
        <v>5.663108E-3</v>
      </c>
      <c r="P4465">
        <v>0.99699769999999999</v>
      </c>
      <c r="Q4465">
        <v>-7.7204869999999995E-2</v>
      </c>
      <c r="R4465">
        <v>5.9231229999999998E-3</v>
      </c>
      <c r="S4465">
        <v>3.0046689999999998</v>
      </c>
      <c r="T4465">
        <v>-6.6532610000000006E-2</v>
      </c>
      <c r="U4465">
        <v>-0.12902830000000001</v>
      </c>
      <c r="V4465">
        <v>-2.5722990000000002E-4</v>
      </c>
      <c r="W4465">
        <v>-6.6118670000000004E-2</v>
      </c>
      <c r="X4465">
        <v>0.99781169999999997</v>
      </c>
      <c r="Y4465">
        <v>4.8542429999999998E-2</v>
      </c>
      <c r="Z4465">
        <v>-8.6949289999999904E-4</v>
      </c>
      <c r="AA4465">
        <v>0.99882070000000001</v>
      </c>
      <c r="AB4465">
        <v>34</v>
      </c>
      <c r="AC4465">
        <v>50.273999999999901</v>
      </c>
      <c r="AD4465">
        <v>-1.1206067761280001</v>
      </c>
      <c r="AE4465">
        <v>-2.1751999999999798</v>
      </c>
      <c r="AF4465">
        <v>2.4586705005010301</v>
      </c>
      <c r="AG4465">
        <v>-1.1206067761280001</v>
      </c>
      <c r="AH4465">
        <v>50.2359618035971</v>
      </c>
      <c r="AI4465">
        <v>91.276350003542504</v>
      </c>
      <c r="AJ4465">
        <v>87.198040610023696</v>
      </c>
      <c r="AK4465">
        <v>50.308574602240498</v>
      </c>
      <c r="AL4465">
        <v>93.7910865288449</v>
      </c>
      <c r="AM4465">
        <v>90.014770509614195</v>
      </c>
      <c r="AN4465">
        <v>0.99999996667333901</v>
      </c>
    </row>
    <row r="4466" spans="1:40" x14ac:dyDescent="0.25">
      <c r="A4466" t="str">
        <f>"20190303154226370"</f>
        <v>20190303154226370</v>
      </c>
      <c r="B4466" t="str">
        <f>"1551598946364630"</f>
        <v>1551598946364630</v>
      </c>
      <c r="C4466" t="s">
        <v>40</v>
      </c>
      <c r="D4466">
        <v>5.4910730000000001</v>
      </c>
      <c r="E4466">
        <v>0.51892129999999903</v>
      </c>
      <c r="F4466" t="s">
        <v>50</v>
      </c>
      <c r="G4466">
        <v>-219.23060000000001</v>
      </c>
      <c r="H4466" s="1">
        <v>3.4463279999999999E-6</v>
      </c>
      <c r="I4466">
        <v>212.99039999999999</v>
      </c>
      <c r="J4466">
        <v>-268.57139999999998</v>
      </c>
      <c r="K4466">
        <v>1.1205959999999999</v>
      </c>
      <c r="L4466">
        <v>215.14070000000001</v>
      </c>
      <c r="M4466">
        <v>0.99992210000000004</v>
      </c>
      <c r="N4466">
        <v>-1.1009420000000001E-2</v>
      </c>
      <c r="O4466">
        <v>5.882366E-3</v>
      </c>
      <c r="P4466">
        <v>0.99695460000000002</v>
      </c>
      <c r="Q4466">
        <v>-7.7792189999999997E-2</v>
      </c>
      <c r="R4466">
        <v>5.5105639999999999E-3</v>
      </c>
      <c r="S4466">
        <v>3.0046080000000002</v>
      </c>
      <c r="T4466">
        <v>-6.7537310000000003E-2</v>
      </c>
      <c r="U4466">
        <v>-0.12940979999999999</v>
      </c>
      <c r="V4466">
        <v>3.7396789999999999E-4</v>
      </c>
      <c r="W4466">
        <v>-6.6811289999999995E-2</v>
      </c>
      <c r="X4466">
        <v>0.99776549999999997</v>
      </c>
      <c r="Y4466">
        <v>4.8888300000000003E-2</v>
      </c>
      <c r="Z4466">
        <v>-8.8585050000000005E-4</v>
      </c>
      <c r="AA4466">
        <v>0.99880389999999997</v>
      </c>
      <c r="AB4466">
        <v>35</v>
      </c>
      <c r="AC4466">
        <v>49.340799999999902</v>
      </c>
      <c r="AD4466">
        <v>-1.1205925536719901</v>
      </c>
      <c r="AE4466">
        <v>-2.1503000000000099</v>
      </c>
      <c r="AF4466">
        <v>2.4392652328903499</v>
      </c>
      <c r="AG4466">
        <v>-1.1205925536719901</v>
      </c>
      <c r="AH4466">
        <v>49.301914796666999</v>
      </c>
      <c r="AI4466">
        <v>91.300472245591806</v>
      </c>
      <c r="AJ4466">
        <v>87.167539386773996</v>
      </c>
      <c r="AK4466">
        <v>49.3749384320178</v>
      </c>
      <c r="AL4466">
        <v>93.830858779434706</v>
      </c>
      <c r="AM4466">
        <v>89.978525233293695</v>
      </c>
      <c r="AN4466">
        <v>0.99999994065685005</v>
      </c>
    </row>
    <row r="4467" spans="1:40" x14ac:dyDescent="0.25">
      <c r="A4467" t="str">
        <f>"20190303154226393"</f>
        <v>20190303154226393</v>
      </c>
      <c r="B4467" t="str">
        <f>"1551598946384150"</f>
        <v>1551598946384150</v>
      </c>
      <c r="C4467" t="s">
        <v>40</v>
      </c>
      <c r="D4467">
        <v>5.4726900000000001</v>
      </c>
      <c r="E4467">
        <v>0.51893639999999996</v>
      </c>
      <c r="F4467" t="s">
        <v>50</v>
      </c>
      <c r="G4467">
        <v>-221.17689999999999</v>
      </c>
      <c r="H4467" s="1">
        <v>-8.4325140000000003E-7</v>
      </c>
      <c r="I4467">
        <v>213.07830000000001</v>
      </c>
      <c r="J4467">
        <v>-268.21730000000002</v>
      </c>
      <c r="K4467">
        <v>1.120587</v>
      </c>
      <c r="L4467">
        <v>215.1429</v>
      </c>
      <c r="M4467">
        <v>0.99992190000000003</v>
      </c>
      <c r="N4467">
        <v>-1.0951020000000001E-2</v>
      </c>
      <c r="O4467">
        <v>6.0331229999999996E-3</v>
      </c>
      <c r="P4467">
        <v>0.99694769999999999</v>
      </c>
      <c r="Q4467">
        <v>-7.78943E-2</v>
      </c>
      <c r="R4467">
        <v>5.2873979999999996E-3</v>
      </c>
      <c r="S4467">
        <v>3.0043639999999998</v>
      </c>
      <c r="T4467">
        <v>-7.1035269999999998E-2</v>
      </c>
      <c r="U4467">
        <v>-0.1307373</v>
      </c>
      <c r="V4467">
        <v>7.4770659999999999E-4</v>
      </c>
      <c r="W4467">
        <v>-6.6971669999999997E-2</v>
      </c>
      <c r="X4467">
        <v>0.99775460000000005</v>
      </c>
      <c r="Y4467">
        <v>4.9480950000000003E-2</v>
      </c>
      <c r="Z4467">
        <v>-9.3226249999999995E-4</v>
      </c>
      <c r="AA4467">
        <v>0.99877459999999996</v>
      </c>
      <c r="AB4467">
        <v>35</v>
      </c>
      <c r="AC4467">
        <v>47.040399999999998</v>
      </c>
      <c r="AD4467">
        <v>-1.12058784325139</v>
      </c>
      <c r="AE4467">
        <v>-2.06459999999998</v>
      </c>
      <c r="AF4467">
        <v>2.3470505993914399</v>
      </c>
      <c r="AG4467">
        <v>-1.12058784325139</v>
      </c>
      <c r="AH4467">
        <v>47.000466557620499</v>
      </c>
      <c r="AI4467">
        <v>91.364091437239694</v>
      </c>
      <c r="AJ4467">
        <v>87.141209643998096</v>
      </c>
      <c r="AK4467">
        <v>47.072372154636</v>
      </c>
      <c r="AL4467">
        <v>93.840068265790805</v>
      </c>
      <c r="AM4467">
        <v>89.957063165156399</v>
      </c>
      <c r="AN4467">
        <v>1.00000000273445</v>
      </c>
    </row>
    <row r="4468" spans="1:40" x14ac:dyDescent="0.25">
      <c r="A4468" t="str">
        <f>"20190303154226415"</f>
        <v>20190303154226415</v>
      </c>
      <c r="B4468" t="str">
        <f>"1551598946404647"</f>
        <v>1551598946404647</v>
      </c>
      <c r="C4468" t="s">
        <v>40</v>
      </c>
      <c r="D4468">
        <v>5.5278519999999904</v>
      </c>
      <c r="E4468">
        <v>0.51895429999999998</v>
      </c>
      <c r="F4468" t="s">
        <v>50</v>
      </c>
      <c r="G4468">
        <v>-221.9083</v>
      </c>
      <c r="H4468" s="1">
        <v>-4.5565729999999999E-7</v>
      </c>
      <c r="I4468">
        <v>213.1147</v>
      </c>
      <c r="J4468">
        <v>-267.87810000000002</v>
      </c>
      <c r="K4468">
        <v>1.1205830000000001</v>
      </c>
      <c r="L4468">
        <v>215.14510000000001</v>
      </c>
      <c r="M4468">
        <v>0.99992139999999996</v>
      </c>
      <c r="N4468">
        <v>-1.0910980000000001E-2</v>
      </c>
      <c r="O4468">
        <v>6.1778789999999998E-3</v>
      </c>
      <c r="P4468">
        <v>0.99700869999999997</v>
      </c>
      <c r="Q4468">
        <v>-7.7091370000000006E-2</v>
      </c>
      <c r="R4468">
        <v>5.5417909999999999E-3</v>
      </c>
      <c r="S4468">
        <v>3.004181</v>
      </c>
      <c r="T4468">
        <v>-7.2695259999999998E-2</v>
      </c>
      <c r="U4468">
        <v>-0.13157650000000001</v>
      </c>
      <c r="V4468">
        <v>6.3778789999999999E-4</v>
      </c>
      <c r="W4468">
        <v>-6.6208080000000002E-2</v>
      </c>
      <c r="X4468">
        <v>0.99780570000000002</v>
      </c>
      <c r="Y4468">
        <v>4.9905650000000003E-2</v>
      </c>
      <c r="Z4468">
        <v>-9.5792200000000005E-4</v>
      </c>
      <c r="AA4468">
        <v>0.99875349999999996</v>
      </c>
      <c r="AB4468">
        <v>35</v>
      </c>
      <c r="AC4468">
        <v>45.969799999999999</v>
      </c>
      <c r="AD4468">
        <v>-1.12058345565729</v>
      </c>
      <c r="AE4468">
        <v>-2.03040000000001</v>
      </c>
      <c r="AF4468">
        <v>2.31300227067887</v>
      </c>
      <c r="AG4468">
        <v>-1.12058345565729</v>
      </c>
      <c r="AH4468">
        <v>45.929139709862604</v>
      </c>
      <c r="AI4468">
        <v>91.395862283603606</v>
      </c>
      <c r="AJ4468">
        <v>87.117006668810106</v>
      </c>
      <c r="AK4468">
        <v>46.000995220466002</v>
      </c>
      <c r="AL4468">
        <v>93.796220217585898</v>
      </c>
      <c r="AM4468">
        <v>89.963377088427293</v>
      </c>
      <c r="AN4468">
        <v>1.00000006579158</v>
      </c>
    </row>
    <row r="4469" spans="1:40" x14ac:dyDescent="0.25">
      <c r="A4469" t="str">
        <f>"20190303154226437"</f>
        <v>20190303154226437</v>
      </c>
      <c r="B4469" t="str">
        <f>"1551598946433927"</f>
        <v>1551598946433927</v>
      </c>
      <c r="C4469" t="s">
        <v>40</v>
      </c>
      <c r="D4469">
        <v>5.5133590000000003</v>
      </c>
      <c r="E4469">
        <v>0.51890829999999999</v>
      </c>
      <c r="F4469" t="s">
        <v>50</v>
      </c>
      <c r="G4469">
        <v>-220.6738</v>
      </c>
      <c r="H4469" s="1">
        <v>-1.111375E-6</v>
      </c>
      <c r="I4469">
        <v>213.0873</v>
      </c>
      <c r="J4469">
        <v>-267.53699999999998</v>
      </c>
      <c r="K4469">
        <v>1.1205830000000001</v>
      </c>
      <c r="L4469">
        <v>215.1474</v>
      </c>
      <c r="M4469">
        <v>0.99992080000000005</v>
      </c>
      <c r="N4469">
        <v>-1.088828E-2</v>
      </c>
      <c r="O4469">
        <v>6.323375E-3</v>
      </c>
      <c r="P4469">
        <v>0.99701949999999995</v>
      </c>
      <c r="Q4469">
        <v>-7.6865699999999995E-2</v>
      </c>
      <c r="R4469">
        <v>6.6153050000000001E-3</v>
      </c>
      <c r="S4469">
        <v>3.0042110000000002</v>
      </c>
      <c r="T4469">
        <v>-7.1317080000000005E-2</v>
      </c>
      <c r="U4469">
        <v>-0.1309662</v>
      </c>
      <c r="V4469">
        <v>-2.9006190000000002E-4</v>
      </c>
      <c r="W4469">
        <v>-6.6005170000000002E-2</v>
      </c>
      <c r="X4469">
        <v>0.99781920000000002</v>
      </c>
      <c r="Y4469">
        <v>4.9848719999999999E-2</v>
      </c>
      <c r="Z4469">
        <v>-9.4410239999999997E-4</v>
      </c>
      <c r="AA4469">
        <v>0.99875630000000004</v>
      </c>
      <c r="AB4469">
        <v>35</v>
      </c>
      <c r="AC4469">
        <v>46.863199999999999</v>
      </c>
      <c r="AD4469">
        <v>-1.1205841113749999</v>
      </c>
      <c r="AE4469">
        <v>-2.0600999999999998</v>
      </c>
      <c r="AF4469">
        <v>2.35506597089489</v>
      </c>
      <c r="AG4469">
        <v>-1.1205841113749999</v>
      </c>
      <c r="AH4469">
        <v>46.822515109511002</v>
      </c>
      <c r="AI4469">
        <v>91.369244510913205</v>
      </c>
      <c r="AJ4469">
        <v>87.120579202553898</v>
      </c>
      <c r="AK4469">
        <v>46.895095326252601</v>
      </c>
      <c r="AL4469">
        <v>93.784569241326395</v>
      </c>
      <c r="AM4469">
        <v>90.016655644829598</v>
      </c>
      <c r="AN4469">
        <v>0.99999996124563595</v>
      </c>
    </row>
    <row r="4470" spans="1:40" x14ac:dyDescent="0.25">
      <c r="A4470" t="str">
        <f>"20190303154226459"</f>
        <v>20190303154226459</v>
      </c>
      <c r="B4470" t="str">
        <f>"1551598946454424"</f>
        <v>1551598946454424</v>
      </c>
      <c r="C4470" t="s">
        <v>40</v>
      </c>
      <c r="D4470">
        <v>5.5639589999999997</v>
      </c>
      <c r="E4470">
        <v>0.51909859999999997</v>
      </c>
      <c r="F4470" t="s">
        <v>50</v>
      </c>
      <c r="G4470">
        <v>-221.19450000000001</v>
      </c>
      <c r="H4470" s="1">
        <v>-8.3830130000000004E-7</v>
      </c>
      <c r="I4470">
        <v>213.17939999999999</v>
      </c>
      <c r="J4470">
        <v>-267.1893</v>
      </c>
      <c r="K4470">
        <v>1.120592</v>
      </c>
      <c r="L4470">
        <v>215.1497</v>
      </c>
      <c r="M4470">
        <v>0.99992009999999998</v>
      </c>
      <c r="N4470">
        <v>-1.0881180000000001E-2</v>
      </c>
      <c r="O4470">
        <v>6.4712950000000002E-3</v>
      </c>
      <c r="P4470">
        <v>0.99695730000000005</v>
      </c>
      <c r="Q4470">
        <v>-7.7599840000000003E-2</v>
      </c>
      <c r="R4470">
        <v>7.4242350000000004E-3</v>
      </c>
      <c r="S4470">
        <v>3.0042110000000002</v>
      </c>
      <c r="T4470">
        <v>-7.2643280000000005E-2</v>
      </c>
      <c r="U4470">
        <v>-0.12757869999999999</v>
      </c>
      <c r="V4470">
        <v>-9.5232460000000004E-4</v>
      </c>
      <c r="W4470">
        <v>-6.6747150000000005E-2</v>
      </c>
      <c r="X4470">
        <v>0.99776949999999998</v>
      </c>
      <c r="Y4470">
        <v>4.887209E-2</v>
      </c>
      <c r="Z4470">
        <v>-9.4261219999999997E-4</v>
      </c>
      <c r="AA4470">
        <v>0.99880460000000004</v>
      </c>
      <c r="AB4470">
        <v>35</v>
      </c>
      <c r="AC4470">
        <v>45.994799999999998</v>
      </c>
      <c r="AD4470">
        <v>-1.1205928383013</v>
      </c>
      <c r="AE4470">
        <v>-1.9702999999999999</v>
      </c>
      <c r="AF4470">
        <v>2.26657927978881</v>
      </c>
      <c r="AG4470">
        <v>-1.1205928383013</v>
      </c>
      <c r="AH4470">
        <v>45.953858392330197</v>
      </c>
      <c r="AI4470">
        <v>91.395195342977004</v>
      </c>
      <c r="AJ4470">
        <v>87.176292165212899</v>
      </c>
      <c r="AK4470">
        <v>46.023365925181501</v>
      </c>
      <c r="AL4470">
        <v>93.827175255980194</v>
      </c>
      <c r="AM4470">
        <v>90.054686141175395</v>
      </c>
      <c r="AN4470">
        <v>1.00000003204275</v>
      </c>
    </row>
    <row r="4471" spans="1:40" x14ac:dyDescent="0.25">
      <c r="A4471" t="str">
        <f>"20190303154226482"</f>
        <v>20190303154226482</v>
      </c>
      <c r="B4471" t="str">
        <f>"1551598946473944"</f>
        <v>1551598946473944</v>
      </c>
      <c r="C4471" t="s">
        <v>40</v>
      </c>
      <c r="D4471">
        <v>5.538106</v>
      </c>
      <c r="E4471">
        <v>0.51912119999999995</v>
      </c>
      <c r="F4471" t="s">
        <v>50</v>
      </c>
      <c r="G4471">
        <v>-222.03659999999999</v>
      </c>
      <c r="H4471" s="1">
        <v>-3.93154E-7</v>
      </c>
      <c r="I4471">
        <v>213.2467</v>
      </c>
      <c r="J4471">
        <v>-266.83339999999998</v>
      </c>
      <c r="K4471">
        <v>1.1205940000000001</v>
      </c>
      <c r="L4471">
        <v>215.15219999999999</v>
      </c>
      <c r="M4471">
        <v>0.9999188</v>
      </c>
      <c r="N4471">
        <v>-1.0885799999999999E-2</v>
      </c>
      <c r="O4471">
        <v>6.6229649999999998E-3</v>
      </c>
      <c r="P4471">
        <v>0.99690060000000003</v>
      </c>
      <c r="Q4471">
        <v>-7.8313869999999994E-2</v>
      </c>
      <c r="R4471">
        <v>7.4912269999999996E-3</v>
      </c>
      <c r="S4471">
        <v>3.0043030000000002</v>
      </c>
      <c r="T4471">
        <v>-7.4560280000000007E-2</v>
      </c>
      <c r="U4471">
        <v>-0.12661739999999999</v>
      </c>
      <c r="V4471">
        <v>-8.6807099999999999E-4</v>
      </c>
      <c r="W4471">
        <v>-6.7457130000000004E-2</v>
      </c>
      <c r="X4471">
        <v>0.99772179999999999</v>
      </c>
      <c r="Y4471">
        <v>4.8702349999999998E-2</v>
      </c>
      <c r="Z4471">
        <v>-9.6146480000000004E-4</v>
      </c>
      <c r="AA4471">
        <v>0.9988129</v>
      </c>
      <c r="AB4471">
        <v>35</v>
      </c>
      <c r="AC4471">
        <v>44.796799999999898</v>
      </c>
      <c r="AD4471">
        <v>-1.1205943931539999</v>
      </c>
      <c r="AE4471">
        <v>-1.90549999999998</v>
      </c>
      <c r="AF4471">
        <v>2.2007887638996002</v>
      </c>
      <c r="AG4471">
        <v>-1.1205943931539999</v>
      </c>
      <c r="AH4471">
        <v>44.755241445406597</v>
      </c>
      <c r="AI4471">
        <v>91.432558011688997</v>
      </c>
      <c r="AJ4471">
        <v>87.1848119984992</v>
      </c>
      <c r="AK4471">
        <v>44.823329191548403</v>
      </c>
      <c r="AL4471">
        <v>93.8679461141883</v>
      </c>
      <c r="AM4471">
        <v>90.049850361160296</v>
      </c>
      <c r="AN4471">
        <v>1.00000000406516</v>
      </c>
    </row>
    <row r="4472" spans="1:40" x14ac:dyDescent="0.25">
      <c r="A4472" t="str">
        <f>"20190303154226505"</f>
        <v>20190303154226505</v>
      </c>
      <c r="B4472" t="str">
        <f>"1551598946494439"</f>
        <v>1551598946494439</v>
      </c>
      <c r="C4472" t="s">
        <v>40</v>
      </c>
      <c r="D4472">
        <v>5.8440260000000004</v>
      </c>
      <c r="E4472">
        <v>0.51926170000000005</v>
      </c>
      <c r="F4472" t="s">
        <v>50</v>
      </c>
      <c r="G4472">
        <v>-223.5153</v>
      </c>
      <c r="H4472" s="1">
        <v>3.9024459999999999E-7</v>
      </c>
      <c r="I4472">
        <v>213.32669999999999</v>
      </c>
      <c r="J4472">
        <v>-266.47949999999997</v>
      </c>
      <c r="K4472">
        <v>1.1206</v>
      </c>
      <c r="L4472">
        <v>215.15469999999999</v>
      </c>
      <c r="M4472">
        <v>0.99991759999999996</v>
      </c>
      <c r="N4472">
        <v>-1.090815E-2</v>
      </c>
      <c r="O4472">
        <v>6.7734090000000002E-3</v>
      </c>
      <c r="P4472">
        <v>0.99685539999999995</v>
      </c>
      <c r="Q4472">
        <v>-7.8883350000000005E-2</v>
      </c>
      <c r="R4472">
        <v>7.5479279999999998E-3</v>
      </c>
      <c r="S4472">
        <v>3.0042110000000002</v>
      </c>
      <c r="T4472">
        <v>-7.771575E-2</v>
      </c>
      <c r="U4472">
        <v>-0.1266022</v>
      </c>
      <c r="V4472">
        <v>-7.74795E-4</v>
      </c>
      <c r="W4472">
        <v>-6.8004729999999999E-2</v>
      </c>
      <c r="X4472">
        <v>0.99768469999999998</v>
      </c>
      <c r="Y4472">
        <v>4.8847069999999999E-2</v>
      </c>
      <c r="Z4472">
        <v>-9.9930380000000005E-4</v>
      </c>
      <c r="AA4472">
        <v>0.99880579999999997</v>
      </c>
      <c r="AB4472">
        <v>35</v>
      </c>
      <c r="AC4472">
        <v>42.964199999999899</v>
      </c>
      <c r="AD4472">
        <v>-1.1205996097554001</v>
      </c>
      <c r="AE4472">
        <v>-1.8280000000000001</v>
      </c>
      <c r="AF4472">
        <v>2.1175515402095302</v>
      </c>
      <c r="AG4472">
        <v>-1.1205996097554001</v>
      </c>
      <c r="AH4472">
        <v>42.921685777342397</v>
      </c>
      <c r="AI4472">
        <v>91.493722884228404</v>
      </c>
      <c r="AJ4472">
        <v>87.175589159554306</v>
      </c>
      <c r="AK4472">
        <v>42.988497042578103</v>
      </c>
      <c r="AL4472">
        <v>93.899393505971005</v>
      </c>
      <c r="AM4472">
        <v>90.044495494982996</v>
      </c>
      <c r="AN4472">
        <v>1.00000000211187</v>
      </c>
    </row>
    <row r="4473" spans="1:40" x14ac:dyDescent="0.25">
      <c r="A4473" t="str">
        <f>"20190303154226526"</f>
        <v>20190303154226526</v>
      </c>
      <c r="B4473" t="str">
        <f>"1551598946513959"</f>
        <v>1551598946513959</v>
      </c>
      <c r="C4473" t="s">
        <v>40</v>
      </c>
      <c r="D4473">
        <v>5.7272470000000002</v>
      </c>
      <c r="E4473">
        <v>0.53818159999999904</v>
      </c>
      <c r="F4473" t="s">
        <v>50</v>
      </c>
      <c r="G4473">
        <v>-223.78489999999999</v>
      </c>
      <c r="H4473" s="1">
        <v>5.3311480000000004E-7</v>
      </c>
      <c r="I4473">
        <v>213.34030000000001</v>
      </c>
      <c r="J4473">
        <v>-266.14710000000002</v>
      </c>
      <c r="K4473">
        <v>1.1206119999999999</v>
      </c>
      <c r="L4473">
        <v>215.15710000000001</v>
      </c>
      <c r="M4473">
        <v>0.99991609999999997</v>
      </c>
      <c r="N4473">
        <v>-1.0953869999999999E-2</v>
      </c>
      <c r="O4473">
        <v>6.9151450000000001E-3</v>
      </c>
      <c r="P4473">
        <v>0.99686110000000006</v>
      </c>
      <c r="Q4473">
        <v>-7.8825489999999998E-2</v>
      </c>
      <c r="R4473">
        <v>7.38827199999999E-3</v>
      </c>
      <c r="S4473">
        <v>3.0042110000000002</v>
      </c>
      <c r="T4473">
        <v>-7.8851099999999993E-2</v>
      </c>
      <c r="U4473">
        <v>-0.12767029999999999</v>
      </c>
      <c r="V4473">
        <v>-4.7365910000000001E-4</v>
      </c>
      <c r="W4473">
        <v>-6.7901100000000006E-2</v>
      </c>
      <c r="X4473">
        <v>0.99769189999999996</v>
      </c>
      <c r="Y4473">
        <v>4.9342230000000001E-2</v>
      </c>
      <c r="Z4473">
        <v>-1.023263E-3</v>
      </c>
      <c r="AA4473">
        <v>0.99878140000000004</v>
      </c>
      <c r="AB4473">
        <v>35</v>
      </c>
      <c r="AC4473">
        <v>42.362200000000001</v>
      </c>
      <c r="AD4473">
        <v>-1.1206114668852001</v>
      </c>
      <c r="AE4473">
        <v>-1.8168</v>
      </c>
      <c r="AF4473">
        <v>2.10824231627711</v>
      </c>
      <c r="AG4473">
        <v>-1.1206114668852001</v>
      </c>
      <c r="AH4473">
        <v>42.319063721273203</v>
      </c>
      <c r="AI4473">
        <v>91.514963489858999</v>
      </c>
      <c r="AJ4473">
        <v>87.148008580577894</v>
      </c>
      <c r="AK4473">
        <v>42.386361131489402</v>
      </c>
      <c r="AL4473">
        <v>93.893442369696501</v>
      </c>
      <c r="AM4473">
        <v>90.027201448983405</v>
      </c>
      <c r="AN4473">
        <v>0.99999995552987997</v>
      </c>
    </row>
    <row r="4474" spans="1:40" x14ac:dyDescent="0.25">
      <c r="A4474" t="str">
        <f>"20190303154226549"</f>
        <v>20190303154226549</v>
      </c>
      <c r="B4474" t="str">
        <f>"1551598946544215"</f>
        <v>1551598946544215</v>
      </c>
      <c r="C4474" t="s">
        <v>40</v>
      </c>
      <c r="D4474">
        <v>5.7281599999999999</v>
      </c>
      <c r="E4474">
        <v>0.54342889999999999</v>
      </c>
      <c r="F4474" t="s">
        <v>50</v>
      </c>
      <c r="G4474">
        <v>-247.65860000000001</v>
      </c>
      <c r="H4474" s="1">
        <v>2.5909769999999998E-6</v>
      </c>
      <c r="I4474">
        <v>213.4213</v>
      </c>
      <c r="J4474">
        <v>-265.80610000000001</v>
      </c>
      <c r="K4474">
        <v>1.1206240000000001</v>
      </c>
      <c r="L4474">
        <v>215.15950000000001</v>
      </c>
      <c r="M4474">
        <v>0.99991419999999998</v>
      </c>
      <c r="N4474">
        <v>-1.1040599999999999E-2</v>
      </c>
      <c r="O4474">
        <v>7.0650330000000001E-3</v>
      </c>
      <c r="P4474">
        <v>0.99685860000000004</v>
      </c>
      <c r="Q4474">
        <v>-7.886058E-2</v>
      </c>
      <c r="R4474">
        <v>7.3728639999999998E-3</v>
      </c>
      <c r="S4474">
        <v>2.9971619999999999</v>
      </c>
      <c r="T4474">
        <v>-0.1816615</v>
      </c>
      <c r="U4474">
        <v>-0.28138730000000001</v>
      </c>
      <c r="V4474">
        <v>-3.0810400000000002E-4</v>
      </c>
      <c r="W4474">
        <v>-6.7849640000000003E-2</v>
      </c>
      <c r="X4474">
        <v>0.99769549999999996</v>
      </c>
      <c r="Y4474">
        <v>0.1002812</v>
      </c>
      <c r="Z4474">
        <v>-3.9342129999999998E-3</v>
      </c>
      <c r="AA4474">
        <v>0.99495140000000004</v>
      </c>
      <c r="AB4474">
        <v>35</v>
      </c>
      <c r="AC4474">
        <v>18.147500000000001</v>
      </c>
      <c r="AD4474">
        <v>-1.120621409023</v>
      </c>
      <c r="AE4474">
        <v>-1.7382</v>
      </c>
      <c r="AF4474">
        <v>1.8593515622718699</v>
      </c>
      <c r="AG4474">
        <v>-1.120621409023</v>
      </c>
      <c r="AH4474">
        <v>18.066501769445502</v>
      </c>
      <c r="AI4474">
        <v>93.530769296696306</v>
      </c>
      <c r="AJ4474">
        <v>84.123973689118898</v>
      </c>
      <c r="AK4474">
        <v>18.196468524410399</v>
      </c>
      <c r="AL4474">
        <v>93.890486980420206</v>
      </c>
      <c r="AM4474">
        <v>90.017693833729695</v>
      </c>
      <c r="AN4474">
        <v>0.99999998964822701</v>
      </c>
    </row>
    <row r="4475" spans="1:40" x14ac:dyDescent="0.25">
      <c r="A4475" t="str">
        <f>"20190303154226571"</f>
        <v>20190303154226571</v>
      </c>
      <c r="B4475" t="str">
        <f>"1551598946564710"</f>
        <v>1551598946564710</v>
      </c>
      <c r="C4475" t="s">
        <v>40</v>
      </c>
      <c r="D4475">
        <v>5.7400349999999998</v>
      </c>
      <c r="E4475">
        <v>0.54472310000000002</v>
      </c>
      <c r="F4475" t="s">
        <v>50</v>
      </c>
      <c r="G4475">
        <v>-246.91030000000001</v>
      </c>
      <c r="H4475" s="1">
        <v>2.2057750000000001E-6</v>
      </c>
      <c r="I4475">
        <v>213.12360000000001</v>
      </c>
      <c r="J4475">
        <v>-265.45650000000001</v>
      </c>
      <c r="K4475">
        <v>1.1206560000000001</v>
      </c>
      <c r="L4475">
        <v>215.16220000000001</v>
      </c>
      <c r="M4475">
        <v>0.99991149999999995</v>
      </c>
      <c r="N4475">
        <v>-1.1185230000000001E-2</v>
      </c>
      <c r="O4475">
        <v>7.2156850000000003E-3</v>
      </c>
      <c r="P4475">
        <v>0.99680599999999997</v>
      </c>
      <c r="Q4475">
        <v>-7.9536880000000004E-2</v>
      </c>
      <c r="R4475">
        <v>7.2077499999999997E-3</v>
      </c>
      <c r="S4475">
        <v>2.9977719999999999</v>
      </c>
      <c r="T4475">
        <v>-0.177784</v>
      </c>
      <c r="U4475">
        <v>-0.32299800000000001</v>
      </c>
      <c r="V4475" s="1">
        <v>7.51158199999999E-6</v>
      </c>
      <c r="W4475">
        <v>-6.8382109999999996E-2</v>
      </c>
      <c r="X4475">
        <v>0.99765919999999997</v>
      </c>
      <c r="Y4475">
        <v>0.11405369999999999</v>
      </c>
      <c r="Z4475">
        <v>-4.3556289999999998E-3</v>
      </c>
      <c r="AA4475">
        <v>0.99346509999999999</v>
      </c>
      <c r="AB4475">
        <v>35</v>
      </c>
      <c r="AC4475">
        <v>18.546199999999999</v>
      </c>
      <c r="AD4475">
        <v>-1.1206537942250001</v>
      </c>
      <c r="AE4475">
        <v>-2.0386000000000002</v>
      </c>
      <c r="AF4475">
        <v>2.1645699378621202</v>
      </c>
      <c r="AG4475">
        <v>-1.1206537942250001</v>
      </c>
      <c r="AH4475">
        <v>18.464394341079799</v>
      </c>
      <c r="AI4475">
        <v>93.449609648507007</v>
      </c>
      <c r="AJ4475">
        <v>83.313767524337905</v>
      </c>
      <c r="AK4475">
        <v>18.624582849699198</v>
      </c>
      <c r="AL4475">
        <v>93.921066262144606</v>
      </c>
      <c r="AM4475">
        <v>89.999568608252105</v>
      </c>
      <c r="AN4475">
        <v>0.99999999618455704</v>
      </c>
    </row>
    <row r="4476" spans="1:40" x14ac:dyDescent="0.25">
      <c r="A4476" t="str">
        <f>"20190303154226593"</f>
        <v>20190303154226593</v>
      </c>
      <c r="B4476" t="str">
        <f>"1551598946584231"</f>
        <v>1551598946584231</v>
      </c>
      <c r="C4476" t="s">
        <v>40</v>
      </c>
      <c r="D4476">
        <v>5.7358279999999997</v>
      </c>
      <c r="E4476">
        <v>0.54559029999999997</v>
      </c>
      <c r="F4476" t="s">
        <v>50</v>
      </c>
      <c r="G4476">
        <v>-246.7998</v>
      </c>
      <c r="H4476" s="1">
        <v>2.1486859999999999E-6</v>
      </c>
      <c r="I4476">
        <v>213.0839</v>
      </c>
      <c r="J4476">
        <v>-265.1053</v>
      </c>
      <c r="K4476">
        <v>1.1206879999999999</v>
      </c>
      <c r="L4476">
        <v>215.16489999999999</v>
      </c>
      <c r="M4476">
        <v>0.99990809999999997</v>
      </c>
      <c r="N4476">
        <v>-1.13916E-2</v>
      </c>
      <c r="O4476">
        <v>7.35950699999999E-3</v>
      </c>
      <c r="P4476">
        <v>0.99674439999999997</v>
      </c>
      <c r="Q4476">
        <v>-8.0312649999999999E-2</v>
      </c>
      <c r="R4476">
        <v>7.1264469999999898E-3</v>
      </c>
      <c r="S4476">
        <v>2.9976500000000001</v>
      </c>
      <c r="T4476">
        <v>-0.18005959999999999</v>
      </c>
      <c r="U4476">
        <v>-0.33392329999999998</v>
      </c>
      <c r="V4476">
        <v>2.3192730000000001E-4</v>
      </c>
      <c r="W4476">
        <v>-6.8952579999999999E-2</v>
      </c>
      <c r="X4476">
        <v>0.9976199</v>
      </c>
      <c r="Y4476">
        <v>0.11776349999999999</v>
      </c>
      <c r="Z4476">
        <v>-4.5531879999999997E-3</v>
      </c>
      <c r="AA4476">
        <v>0.99303129999999995</v>
      </c>
      <c r="AB4476">
        <v>35</v>
      </c>
      <c r="AC4476">
        <v>18.305499999999899</v>
      </c>
      <c r="AD4476">
        <v>-1.1206858513139999</v>
      </c>
      <c r="AE4476">
        <v>-2.08099999999998</v>
      </c>
      <c r="AF4476">
        <v>2.2075035679867798</v>
      </c>
      <c r="AG4476">
        <v>-1.1206858513139999</v>
      </c>
      <c r="AH4476">
        <v>18.222261631461201</v>
      </c>
      <c r="AI4476">
        <v>93.493830676421098</v>
      </c>
      <c r="AJ4476">
        <v>83.092663133186406</v>
      </c>
      <c r="AK4476">
        <v>18.389666330453998</v>
      </c>
      <c r="AL4476">
        <v>93.953829149630806</v>
      </c>
      <c r="AM4476">
        <v>89.986679841486193</v>
      </c>
      <c r="AN4476">
        <v>0.99999998847746896</v>
      </c>
    </row>
    <row r="4477" spans="1:40" x14ac:dyDescent="0.25">
      <c r="A4477" t="str">
        <f>"20190303154226616"</f>
        <v>20190303154226616</v>
      </c>
      <c r="B4477" t="str">
        <f>"1551598946604728"</f>
        <v>1551598946604728</v>
      </c>
      <c r="C4477" t="s">
        <v>40</v>
      </c>
      <c r="D4477">
        <v>5.7164039999999998</v>
      </c>
      <c r="E4477">
        <v>0.54626070000000004</v>
      </c>
      <c r="F4477" t="s">
        <v>50</v>
      </c>
      <c r="G4477">
        <v>-246.86060000000001</v>
      </c>
      <c r="H4477" s="1">
        <v>2.180855E-6</v>
      </c>
      <c r="I4477">
        <v>213.08920000000001</v>
      </c>
      <c r="J4477">
        <v>-264.75700000000001</v>
      </c>
      <c r="K4477">
        <v>1.1207260000000001</v>
      </c>
      <c r="L4477">
        <v>215.16759999999999</v>
      </c>
      <c r="M4477">
        <v>0.99990409999999996</v>
      </c>
      <c r="N4477">
        <v>-1.165133E-2</v>
      </c>
      <c r="O4477">
        <v>7.5038959999999899E-3</v>
      </c>
      <c r="P4477">
        <v>0.99670979999999998</v>
      </c>
      <c r="Q4477">
        <v>-8.0745170000000005E-2</v>
      </c>
      <c r="R4477">
        <v>7.0845619999999896E-3</v>
      </c>
      <c r="S4477">
        <v>2.9974059999999998</v>
      </c>
      <c r="T4477">
        <v>-0.18411710000000001</v>
      </c>
      <c r="U4477">
        <v>-0.34101870000000001</v>
      </c>
      <c r="V4477">
        <v>4.1688869999999999E-4</v>
      </c>
      <c r="W4477">
        <v>-6.9126279999999998E-2</v>
      </c>
      <c r="X4477">
        <v>0.99760780000000004</v>
      </c>
      <c r="Y4477">
        <v>0.1202193</v>
      </c>
      <c r="Z4477">
        <v>-4.7523569999999996E-3</v>
      </c>
      <c r="AA4477">
        <v>0.99273599999999995</v>
      </c>
      <c r="AB4477">
        <v>35</v>
      </c>
      <c r="AC4477">
        <v>17.8964</v>
      </c>
      <c r="AD4477">
        <v>-1.120723819145</v>
      </c>
      <c r="AE4477">
        <v>-2.0783999999999798</v>
      </c>
      <c r="AF4477">
        <v>2.2041146205412199</v>
      </c>
      <c r="AG4477">
        <v>-1.120723819145</v>
      </c>
      <c r="AH4477">
        <v>17.8113789450565</v>
      </c>
      <c r="AI4477">
        <v>93.573222581794795</v>
      </c>
      <c r="AJ4477">
        <v>82.945650244859493</v>
      </c>
      <c r="AK4477">
        <v>17.9821957242069</v>
      </c>
      <c r="AL4477">
        <v>93.963805305603998</v>
      </c>
      <c r="AM4477">
        <v>89.9760567613381</v>
      </c>
      <c r="AN4477">
        <v>0.99999996950183301</v>
      </c>
    </row>
    <row r="4478" spans="1:40" x14ac:dyDescent="0.25">
      <c r="A4478" t="str">
        <f>"20190303154226637"</f>
        <v>20190303154226637</v>
      </c>
      <c r="B4478" t="str">
        <f>"1551598946634007"</f>
        <v>1551598946634007</v>
      </c>
      <c r="C4478" t="s">
        <v>40</v>
      </c>
      <c r="D4478">
        <v>5.7178599999999999</v>
      </c>
      <c r="E4478">
        <v>0.54700530000000003</v>
      </c>
      <c r="F4478" t="s">
        <v>50</v>
      </c>
      <c r="G4478">
        <v>-246.41</v>
      </c>
      <c r="H4478" s="1">
        <v>1.9429020000000001E-6</v>
      </c>
      <c r="I4478">
        <v>213.04689999999999</v>
      </c>
      <c r="J4478">
        <v>-264.43239999999997</v>
      </c>
      <c r="K4478">
        <v>1.1207670000000001</v>
      </c>
      <c r="L4478">
        <v>215.17019999999999</v>
      </c>
      <c r="M4478">
        <v>0.99989969999999995</v>
      </c>
      <c r="N4478">
        <v>-1.192237E-2</v>
      </c>
      <c r="O4478">
        <v>7.6433389999999999E-3</v>
      </c>
      <c r="P4478">
        <v>0.99668239999999997</v>
      </c>
      <c r="Q4478">
        <v>-8.1059829999999999E-2</v>
      </c>
      <c r="R4478">
        <v>7.322495E-3</v>
      </c>
      <c r="S4478">
        <v>2.997528</v>
      </c>
      <c r="T4478">
        <v>-0.18310419999999999</v>
      </c>
      <c r="U4478">
        <v>-0.34648129999999999</v>
      </c>
      <c r="V4478">
        <v>3.1690690000000003E-4</v>
      </c>
      <c r="W4478">
        <v>-6.9170839999999997E-2</v>
      </c>
      <c r="X4478">
        <v>0.99760479999999996</v>
      </c>
      <c r="Y4478">
        <v>0.1221363</v>
      </c>
      <c r="Z4478">
        <v>-4.8200780000000002E-3</v>
      </c>
      <c r="AA4478">
        <v>0.99250159999999998</v>
      </c>
      <c r="AB4478">
        <v>35</v>
      </c>
      <c r="AC4478">
        <v>18.022399999999902</v>
      </c>
      <c r="AD4478">
        <v>-1.1207650570979999</v>
      </c>
      <c r="AE4478">
        <v>-2.1233</v>
      </c>
      <c r="AF4478">
        <v>2.2524076677740399</v>
      </c>
      <c r="AG4478">
        <v>-1.1207650570979999</v>
      </c>
      <c r="AH4478">
        <v>17.937224886742801</v>
      </c>
      <c r="AI4478">
        <v>93.547555259974899</v>
      </c>
      <c r="AJ4478">
        <v>82.842734350932204</v>
      </c>
      <c r="AK4478">
        <v>18.112799100432898</v>
      </c>
      <c r="AL4478">
        <v>93.966364325829105</v>
      </c>
      <c r="AM4478">
        <v>89.981798977653398</v>
      </c>
      <c r="AN4478">
        <v>1.00000002125966</v>
      </c>
    </row>
    <row r="4479" spans="1:40" x14ac:dyDescent="0.25">
      <c r="A4479" t="str">
        <f>"20190303154226660"</f>
        <v>20190303154226660</v>
      </c>
      <c r="B4479" t="str">
        <f>"1551598946654506"</f>
        <v>1551598946654506</v>
      </c>
      <c r="C4479" t="s">
        <v>40</v>
      </c>
      <c r="D4479">
        <v>5.7581610000000003</v>
      </c>
      <c r="E4479">
        <v>0.54746810000000001</v>
      </c>
      <c r="F4479" t="s">
        <v>50</v>
      </c>
      <c r="G4479">
        <v>-246.22470000000001</v>
      </c>
      <c r="H4479" s="1">
        <v>1.844865E-6</v>
      </c>
      <c r="I4479">
        <v>213.0334</v>
      </c>
      <c r="J4479">
        <v>-264.07049999999998</v>
      </c>
      <c r="K4479">
        <v>1.120811</v>
      </c>
      <c r="L4479">
        <v>215.17310000000001</v>
      </c>
      <c r="M4479">
        <v>0.99989490000000003</v>
      </c>
      <c r="N4479">
        <v>-1.22229E-2</v>
      </c>
      <c r="O4479">
        <v>7.7996849999999998E-3</v>
      </c>
      <c r="P4479">
        <v>0.99667450000000002</v>
      </c>
      <c r="Q4479">
        <v>-8.112606E-2</v>
      </c>
      <c r="R4479">
        <v>7.6504009999999898E-3</v>
      </c>
      <c r="S4479">
        <v>2.9975589999999999</v>
      </c>
      <c r="T4479">
        <v>-0.18451290000000001</v>
      </c>
      <c r="U4479">
        <v>-0.35177609999999998</v>
      </c>
      <c r="V4479">
        <v>1.4415310000000001E-4</v>
      </c>
      <c r="W4479">
        <v>-6.8937349999999994E-2</v>
      </c>
      <c r="X4479">
        <v>0.99762099999999998</v>
      </c>
      <c r="Y4479">
        <v>0.12401040000000001</v>
      </c>
      <c r="Z4479">
        <v>-4.9445690000000002E-3</v>
      </c>
      <c r="AA4479">
        <v>0.99226859999999995</v>
      </c>
      <c r="AB4479">
        <v>35</v>
      </c>
      <c r="AC4479">
        <v>17.845799999999901</v>
      </c>
      <c r="AD4479">
        <v>-1.1208091551349999</v>
      </c>
      <c r="AE4479">
        <v>-2.1396999999999999</v>
      </c>
      <c r="AF4479">
        <v>2.2700097768633598</v>
      </c>
      <c r="AG4479">
        <v>-1.1208091551349999</v>
      </c>
      <c r="AH4479">
        <v>17.759507372288802</v>
      </c>
      <c r="AI4479">
        <v>93.582102353216698</v>
      </c>
      <c r="AJ4479">
        <v>82.715984102577494</v>
      </c>
      <c r="AK4479">
        <v>17.9390428857191</v>
      </c>
      <c r="AL4479">
        <v>93.952954331403504</v>
      </c>
      <c r="AM4479">
        <v>89.991720939939796</v>
      </c>
      <c r="AN4479">
        <v>1.00000001932306</v>
      </c>
    </row>
    <row r="4480" spans="1:40" x14ac:dyDescent="0.25">
      <c r="A4480" t="str">
        <f>"20190303154226683"</f>
        <v>20190303154226683</v>
      </c>
      <c r="B4480" t="str">
        <f>"1551598946674023"</f>
        <v>1551598946674023</v>
      </c>
      <c r="C4480" t="s">
        <v>40</v>
      </c>
      <c r="D4480">
        <v>5.7431020000000004</v>
      </c>
      <c r="E4480">
        <v>0.54789299999999996</v>
      </c>
      <c r="F4480" t="s">
        <v>50</v>
      </c>
      <c r="G4480">
        <v>-245.7826</v>
      </c>
      <c r="H4480" s="1">
        <v>1.6105690000000001E-6</v>
      </c>
      <c r="I4480">
        <v>213.01150000000001</v>
      </c>
      <c r="J4480">
        <v>-263.71390000000002</v>
      </c>
      <c r="K4480">
        <v>1.120843</v>
      </c>
      <c r="L4480">
        <v>215.17599999999999</v>
      </c>
      <c r="M4480">
        <v>0.99989019999999995</v>
      </c>
      <c r="N4480">
        <v>-1.250282E-2</v>
      </c>
      <c r="O4480">
        <v>7.95143699999999E-3</v>
      </c>
      <c r="P4480">
        <v>0.99670539999999996</v>
      </c>
      <c r="Q4480">
        <v>-8.0744759999999999E-2</v>
      </c>
      <c r="R4480">
        <v>7.65346E-3</v>
      </c>
      <c r="S4480">
        <v>2.9977719999999999</v>
      </c>
      <c r="T4480">
        <v>-0.18372459999999999</v>
      </c>
      <c r="U4480">
        <v>-0.35433959999999998</v>
      </c>
      <c r="V4480">
        <v>2.9232200000000002E-4</v>
      </c>
      <c r="W4480">
        <v>-6.8276370000000003E-2</v>
      </c>
      <c r="X4480">
        <v>0.99766639999999995</v>
      </c>
      <c r="Y4480">
        <v>0.12498869999999999</v>
      </c>
      <c r="Z4480">
        <v>-4.984479E-3</v>
      </c>
      <c r="AA4480">
        <v>0.99214570000000002</v>
      </c>
      <c r="AB4480">
        <v>35</v>
      </c>
      <c r="AC4480">
        <v>17.9313</v>
      </c>
      <c r="AD4480">
        <v>-1.1208413894310001</v>
      </c>
      <c r="AE4480">
        <v>-2.1644999999999701</v>
      </c>
      <c r="AF4480">
        <v>2.2981718746001301</v>
      </c>
      <c r="AG4480">
        <v>-1.1208413894310001</v>
      </c>
      <c r="AH4480">
        <v>17.844799105708301</v>
      </c>
      <c r="AI4480">
        <v>93.564693599909504</v>
      </c>
      <c r="AJ4480">
        <v>82.661462989386607</v>
      </c>
      <c r="AK4480">
        <v>18.027055625047399</v>
      </c>
      <c r="AL4480">
        <v>93.914993610671502</v>
      </c>
      <c r="AM4480">
        <v>89.983212007160404</v>
      </c>
      <c r="AN4480">
        <v>0.99999999692074404</v>
      </c>
    </row>
    <row r="4481" spans="1:40" x14ac:dyDescent="0.25">
      <c r="A4481" t="str">
        <f>"20190303154226706"</f>
        <v>20190303154226706</v>
      </c>
      <c r="B4481" t="str">
        <f>"1551598946694519"</f>
        <v>1551598946694519</v>
      </c>
      <c r="C4481" t="s">
        <v>40</v>
      </c>
      <c r="D4481">
        <v>5.7312459999999996</v>
      </c>
      <c r="E4481">
        <v>0.54827429999999999</v>
      </c>
      <c r="F4481" t="s">
        <v>50</v>
      </c>
      <c r="G4481">
        <v>-245.13749999999999</v>
      </c>
      <c r="H4481" s="1">
        <v>1.2695990000000001E-6</v>
      </c>
      <c r="I4481">
        <v>212.95859999999999</v>
      </c>
      <c r="J4481">
        <v>-263.36810000000003</v>
      </c>
      <c r="K4481">
        <v>1.120871</v>
      </c>
      <c r="L4481">
        <v>215.179</v>
      </c>
      <c r="M4481">
        <v>0.99988589999999999</v>
      </c>
      <c r="N4481">
        <v>-1.275397E-2</v>
      </c>
      <c r="O4481">
        <v>8.0956080000000007E-3</v>
      </c>
      <c r="P4481">
        <v>0.99670650000000005</v>
      </c>
      <c r="Q4481">
        <v>-8.0689940000000002E-2</v>
      </c>
      <c r="R4481">
        <v>8.0776670000000002E-3</v>
      </c>
      <c r="S4481">
        <v>2.9980470000000001</v>
      </c>
      <c r="T4481">
        <v>-0.1808929</v>
      </c>
      <c r="U4481">
        <v>-0.35786440000000003</v>
      </c>
      <c r="V4481" s="1">
        <v>1.183402E-5</v>
      </c>
      <c r="W4481">
        <v>-6.7971009999999998E-2</v>
      </c>
      <c r="X4481">
        <v>0.99768730000000005</v>
      </c>
      <c r="Y4481">
        <v>0.12627569999999999</v>
      </c>
      <c r="Z4481">
        <v>-4.9852230000000004E-3</v>
      </c>
      <c r="AA4481">
        <v>0.99198260000000005</v>
      </c>
      <c r="AB4481">
        <v>35</v>
      </c>
      <c r="AC4481">
        <v>18.230599999999999</v>
      </c>
      <c r="AD4481">
        <v>-1.120869730401</v>
      </c>
      <c r="AE4481">
        <v>-2.2204000000000099</v>
      </c>
      <c r="AF4481">
        <v>2.3591394884940899</v>
      </c>
      <c r="AG4481">
        <v>-1.120869730401</v>
      </c>
      <c r="AH4481">
        <v>18.144439516451801</v>
      </c>
      <c r="AI4481">
        <v>93.505513205181202</v>
      </c>
      <c r="AJ4481">
        <v>82.591962671801298</v>
      </c>
      <c r="AK4481">
        <v>18.3314640289552</v>
      </c>
      <c r="AL4481">
        <v>93.897457006262101</v>
      </c>
      <c r="AM4481">
        <v>89.9993203888626</v>
      </c>
      <c r="AN4481">
        <v>1.00000000346087</v>
      </c>
    </row>
    <row r="4482" spans="1:40" x14ac:dyDescent="0.25">
      <c r="A4482" t="str">
        <f>"20190303154226727"</f>
        <v>20190303154226727</v>
      </c>
      <c r="B4482" t="str">
        <f>"1551598946723799"</f>
        <v>1551598946723799</v>
      </c>
      <c r="C4482" t="s">
        <v>40</v>
      </c>
      <c r="D4482">
        <v>5.7135980000000002</v>
      </c>
      <c r="E4482">
        <v>0.54879609999999901</v>
      </c>
      <c r="F4482" t="s">
        <v>50</v>
      </c>
      <c r="G4482">
        <v>-244.35669999999999</v>
      </c>
      <c r="H4482" s="1">
        <v>8.566566E-7</v>
      </c>
      <c r="I4482">
        <v>212.90029999999999</v>
      </c>
      <c r="J4482">
        <v>-263.03530000000001</v>
      </c>
      <c r="K4482">
        <v>1.1208940000000001</v>
      </c>
      <c r="L4482">
        <v>215.18180000000001</v>
      </c>
      <c r="M4482">
        <v>0.99988189999999999</v>
      </c>
      <c r="N4482">
        <v>-1.2974619999999999E-2</v>
      </c>
      <c r="O4482">
        <v>8.2323799999999992E-3</v>
      </c>
      <c r="P4482">
        <v>0.99669549999999996</v>
      </c>
      <c r="Q4482">
        <v>-8.0797049999999995E-2</v>
      </c>
      <c r="R4482">
        <v>8.3675269999999996E-3</v>
      </c>
      <c r="S4482">
        <v>2.9985050000000002</v>
      </c>
      <c r="T4482">
        <v>-0.17678550000000001</v>
      </c>
      <c r="U4482">
        <v>-0.3593903</v>
      </c>
      <c r="V4482">
        <v>-1.420712E-4</v>
      </c>
      <c r="W4482">
        <v>-6.7858100000000005E-2</v>
      </c>
      <c r="X4482">
        <v>0.997695</v>
      </c>
      <c r="Y4482">
        <v>0.12690100000000001</v>
      </c>
      <c r="Z4482">
        <v>-4.928366E-3</v>
      </c>
      <c r="AA4482">
        <v>0.99190310000000004</v>
      </c>
      <c r="AB4482">
        <v>34</v>
      </c>
      <c r="AC4482">
        <v>18.678599999999999</v>
      </c>
      <c r="AD4482">
        <v>-1.1208931433434</v>
      </c>
      <c r="AE4482">
        <v>-2.2815000000000198</v>
      </c>
      <c r="AF4482">
        <v>2.4265949113410499</v>
      </c>
      <c r="AG4482">
        <v>-1.1208931433434</v>
      </c>
      <c r="AH4482">
        <v>18.593210733264598</v>
      </c>
      <c r="AI4482">
        <v>93.420963723665494</v>
      </c>
      <c r="AJ4482">
        <v>82.564369739667598</v>
      </c>
      <c r="AK4482">
        <v>18.784361838351799</v>
      </c>
      <c r="AL4482">
        <v>93.890972675054996</v>
      </c>
      <c r="AM4482">
        <v>90.008158886328303</v>
      </c>
      <c r="AN4482">
        <v>1.0000000274724099</v>
      </c>
    </row>
    <row r="4483" spans="1:40" x14ac:dyDescent="0.25">
      <c r="A4483" t="str">
        <f>"20190303154226750"</f>
        <v>20190303154226750</v>
      </c>
      <c r="B4483" t="str">
        <f>"1551598946744298"</f>
        <v>1551598946744298</v>
      </c>
      <c r="C4483" t="s">
        <v>40</v>
      </c>
      <c r="D4483">
        <v>5.7187640000000002</v>
      </c>
      <c r="E4483">
        <v>0.54908389999999996</v>
      </c>
      <c r="F4483" t="s">
        <v>50</v>
      </c>
      <c r="G4483">
        <v>-243.5668</v>
      </c>
      <c r="H4483" s="1">
        <v>4.3948350000000001E-7</v>
      </c>
      <c r="I4483">
        <v>212.8279</v>
      </c>
      <c r="J4483">
        <v>-262.68630000000002</v>
      </c>
      <c r="K4483">
        <v>1.1209020000000001</v>
      </c>
      <c r="L4483">
        <v>215.1848</v>
      </c>
      <c r="M4483">
        <v>0.99987800000000004</v>
      </c>
      <c r="N4483">
        <v>-1.318335E-2</v>
      </c>
      <c r="O4483">
        <v>8.3761149999999999E-3</v>
      </c>
      <c r="P4483">
        <v>0.99669269999999999</v>
      </c>
      <c r="Q4483">
        <v>-8.082599E-2</v>
      </c>
      <c r="R4483">
        <v>8.4275549999999998E-3</v>
      </c>
      <c r="S4483">
        <v>2.9990230000000002</v>
      </c>
      <c r="T4483">
        <v>-0.1726685</v>
      </c>
      <c r="U4483">
        <v>-0.36260989999999999</v>
      </c>
      <c r="V4483" s="1">
        <v>-5.8323789999999998E-5</v>
      </c>
      <c r="W4483">
        <v>-6.7678740000000001E-2</v>
      </c>
      <c r="X4483">
        <v>0.99770720000000002</v>
      </c>
      <c r="Y4483">
        <v>0.12808139999999901</v>
      </c>
      <c r="Z4483">
        <v>-4.8891919999999997E-3</v>
      </c>
      <c r="AA4483">
        <v>0.99175159999999996</v>
      </c>
      <c r="AB4483">
        <v>34</v>
      </c>
      <c r="AC4483">
        <v>19.119499999999999</v>
      </c>
      <c r="AD4483">
        <v>-1.1209015605165</v>
      </c>
      <c r="AE4483">
        <v>-2.3568999999999898</v>
      </c>
      <c r="AF4483">
        <v>2.5084856986923398</v>
      </c>
      <c r="AG4483">
        <v>-1.1209015605165</v>
      </c>
      <c r="AH4483">
        <v>19.034642641326499</v>
      </c>
      <c r="AI4483">
        <v>93.341286914146707</v>
      </c>
      <c r="AJ4483">
        <v>82.492521906688495</v>
      </c>
      <c r="AK4483">
        <v>19.2319146548625</v>
      </c>
      <c r="AL4483">
        <v>93.880672391344206</v>
      </c>
      <c r="AM4483">
        <v>90.003349386481702</v>
      </c>
      <c r="AN4483">
        <v>1.00000003609074</v>
      </c>
    </row>
    <row r="4484" spans="1:40" x14ac:dyDescent="0.25">
      <c r="A4484" t="str">
        <f>"20190303154226772"</f>
        <v>20190303154226772</v>
      </c>
      <c r="B4484" t="str">
        <f>"1551598946763815"</f>
        <v>1551598946763815</v>
      </c>
      <c r="C4484" t="s">
        <v>40</v>
      </c>
      <c r="D4484">
        <v>5.7427539999999997</v>
      </c>
      <c r="E4484">
        <v>0.54932729999999996</v>
      </c>
      <c r="F4484" t="s">
        <v>50</v>
      </c>
      <c r="G4484">
        <v>-243.3023</v>
      </c>
      <c r="H4484" s="1">
        <v>2.9877709999999999E-7</v>
      </c>
      <c r="I4484">
        <v>212.8262</v>
      </c>
      <c r="J4484">
        <v>-262.34230000000002</v>
      </c>
      <c r="K4484">
        <v>1.120911</v>
      </c>
      <c r="L4484">
        <v>215.18790000000001</v>
      </c>
      <c r="M4484">
        <v>0.99987440000000005</v>
      </c>
      <c r="N4484">
        <v>-1.3366680000000001E-2</v>
      </c>
      <c r="O4484">
        <v>8.5189140000000007E-3</v>
      </c>
      <c r="P4484">
        <v>0.99663190000000002</v>
      </c>
      <c r="Q4484">
        <v>-8.1604549999999998E-2</v>
      </c>
      <c r="R4484">
        <v>8.0945069999999904E-3</v>
      </c>
      <c r="S4484">
        <v>2.998993</v>
      </c>
      <c r="T4484">
        <v>-0.17341999999999999</v>
      </c>
      <c r="U4484">
        <v>-0.36491390000000001</v>
      </c>
      <c r="V4484">
        <v>4.1677819999999999E-4</v>
      </c>
      <c r="W4484">
        <v>-6.8275059999999999E-2</v>
      </c>
      <c r="X4484">
        <v>0.99766650000000001</v>
      </c>
      <c r="Y4484">
        <v>0.12897040000000001</v>
      </c>
      <c r="Z4484">
        <v>-4.9552820000000001E-3</v>
      </c>
      <c r="AA4484">
        <v>0.99163599999999996</v>
      </c>
      <c r="AB4484">
        <v>34</v>
      </c>
      <c r="AC4484">
        <v>19.04</v>
      </c>
      <c r="AD4484">
        <v>-1.12091070122289</v>
      </c>
      <c r="AE4484">
        <v>-2.3617000000000101</v>
      </c>
      <c r="AF4484">
        <v>2.5152435630542702</v>
      </c>
      <c r="AG4484">
        <v>-1.12091070122289</v>
      </c>
      <c r="AH4484">
        <v>18.954490304680299</v>
      </c>
      <c r="AI4484">
        <v>93.355013630245693</v>
      </c>
      <c r="AJ4484">
        <v>82.441064463215895</v>
      </c>
      <c r="AK4484">
        <v>19.153474715879099</v>
      </c>
      <c r="AL4484">
        <v>93.914918164137902</v>
      </c>
      <c r="AM4484">
        <v>89.976064516084307</v>
      </c>
      <c r="AN4484">
        <v>1.0000000513721501</v>
      </c>
    </row>
    <row r="4485" spans="1:40" x14ac:dyDescent="0.25">
      <c r="A4485" t="str">
        <f>"20190303154226795"</f>
        <v>20190303154226795</v>
      </c>
      <c r="B4485" t="str">
        <f>"1551598946784311"</f>
        <v>1551598946784311</v>
      </c>
      <c r="C4485" t="s">
        <v>40</v>
      </c>
      <c r="D4485">
        <v>5.7486689999999996</v>
      </c>
      <c r="E4485">
        <v>0.54953940000000001</v>
      </c>
      <c r="F4485" t="s">
        <v>50</v>
      </c>
      <c r="G4485">
        <v>-243.29179999999999</v>
      </c>
      <c r="H4485" s="1">
        <v>2.9207479999999999E-7</v>
      </c>
      <c r="I4485">
        <v>212.8518</v>
      </c>
      <c r="J4485">
        <v>-262.00360000000001</v>
      </c>
      <c r="K4485">
        <v>1.120922</v>
      </c>
      <c r="L4485">
        <v>215.1909</v>
      </c>
      <c r="M4485">
        <v>0.99987110000000001</v>
      </c>
      <c r="N4485">
        <v>-1.3526369999999999E-2</v>
      </c>
      <c r="O4485">
        <v>8.6607139999999999E-3</v>
      </c>
      <c r="P4485">
        <v>0.99660669999999996</v>
      </c>
      <c r="Q4485">
        <v>-8.1910670000000005E-2</v>
      </c>
      <c r="R4485">
        <v>8.1052910000000006E-3</v>
      </c>
      <c r="S4485">
        <v>2.998688</v>
      </c>
      <c r="T4485">
        <v>-0.1764394</v>
      </c>
      <c r="U4485">
        <v>-0.36770629999999999</v>
      </c>
      <c r="V4485">
        <v>5.471575E-4</v>
      </c>
      <c r="W4485">
        <v>-6.8422120000000003E-2</v>
      </c>
      <c r="X4485">
        <v>0.99765630000000005</v>
      </c>
      <c r="Y4485">
        <v>0.13002130000000001</v>
      </c>
      <c r="Z4485">
        <v>-5.0819180000000004E-3</v>
      </c>
      <c r="AA4485">
        <v>0.9914982</v>
      </c>
      <c r="AB4485">
        <v>34</v>
      </c>
      <c r="AC4485">
        <v>18.7118</v>
      </c>
      <c r="AD4485">
        <v>-1.1209217079252001</v>
      </c>
      <c r="AE4485">
        <v>-2.3391000000000002</v>
      </c>
      <c r="AF4485">
        <v>2.49227855162099</v>
      </c>
      <c r="AG4485">
        <v>-1.1209217079252001</v>
      </c>
      <c r="AH4485">
        <v>18.625029417621398</v>
      </c>
      <c r="AI4485">
        <v>93.413758310344306</v>
      </c>
      <c r="AJ4485">
        <v>82.378332868277994</v>
      </c>
      <c r="AK4485">
        <v>18.824442585676401</v>
      </c>
      <c r="AL4485">
        <v>93.923364074719402</v>
      </c>
      <c r="AM4485">
        <v>89.968576540502298</v>
      </c>
      <c r="AN4485">
        <v>0.99999998940815704</v>
      </c>
    </row>
    <row r="4486" spans="1:40" x14ac:dyDescent="0.25">
      <c r="A4486" t="str">
        <f>"20190303154226818"</f>
        <v>20190303154226818</v>
      </c>
      <c r="B4486" t="str">
        <f>"1551598946814567"</f>
        <v>1551598946814567</v>
      </c>
      <c r="C4486" t="s">
        <v>40</v>
      </c>
      <c r="D4486">
        <v>5.7351039999999998</v>
      </c>
      <c r="E4486">
        <v>0.54990099999999997</v>
      </c>
      <c r="F4486" t="s">
        <v>50</v>
      </c>
      <c r="G4486">
        <v>-243.15119999999999</v>
      </c>
      <c r="H4486" s="1">
        <v>2.165144E-7</v>
      </c>
      <c r="I4486">
        <v>212.86840000000001</v>
      </c>
      <c r="J4486">
        <v>-261.65230000000003</v>
      </c>
      <c r="K4486">
        <v>1.1209279999999999</v>
      </c>
      <c r="L4486">
        <v>215.19409999999999</v>
      </c>
      <c r="M4486">
        <v>0.99986790000000003</v>
      </c>
      <c r="N4486">
        <v>-1.36709E-2</v>
      </c>
      <c r="O4486">
        <v>8.8069369999999904E-3</v>
      </c>
      <c r="P4486">
        <v>0.99652839999999998</v>
      </c>
      <c r="Q4486">
        <v>-8.2902130000000004E-2</v>
      </c>
      <c r="R4486">
        <v>7.6544100000000004E-3</v>
      </c>
      <c r="S4486">
        <v>2.998596</v>
      </c>
      <c r="T4486">
        <v>-0.1782897</v>
      </c>
      <c r="U4486">
        <v>-0.36940000000000001</v>
      </c>
      <c r="V4486">
        <v>1.143022E-3</v>
      </c>
      <c r="W4486">
        <v>-6.9270219999999993E-2</v>
      </c>
      <c r="X4486">
        <v>0.99759730000000002</v>
      </c>
      <c r="Y4486">
        <v>0.1307141</v>
      </c>
      <c r="Z4486">
        <v>-5.1672480000000002E-3</v>
      </c>
      <c r="AA4486">
        <v>0.99140660000000003</v>
      </c>
      <c r="AB4486">
        <v>34</v>
      </c>
      <c r="AC4486">
        <v>18.501100000000001</v>
      </c>
      <c r="AD4486">
        <v>-1.1209277834856</v>
      </c>
      <c r="AE4486">
        <v>-2.3256999999999799</v>
      </c>
      <c r="AF4486">
        <v>2.4796024973334401</v>
      </c>
      <c r="AG4486">
        <v>-1.1209277834856</v>
      </c>
      <c r="AH4486">
        <v>18.413357955865202</v>
      </c>
      <c r="AI4486">
        <v>93.452539576983597</v>
      </c>
      <c r="AJ4486">
        <v>82.330502476019205</v>
      </c>
      <c r="AK4486">
        <v>18.613346256151701</v>
      </c>
      <c r="AL4486">
        <v>93.972072070327002</v>
      </c>
      <c r="AM4486">
        <v>89.934351959621296</v>
      </c>
      <c r="AN4486">
        <v>1.0000000214227101</v>
      </c>
    </row>
    <row r="4487" spans="1:40" x14ac:dyDescent="0.25">
      <c r="A4487" t="str">
        <f>"20190303154226838"</f>
        <v>20190303154226838</v>
      </c>
      <c r="B4487" t="str">
        <f>"1551598946834087"</f>
        <v>1551598946834087</v>
      </c>
      <c r="C4487" t="s">
        <v>40</v>
      </c>
      <c r="D4487">
        <v>5.7053659999999997</v>
      </c>
      <c r="E4487">
        <v>0.55015029999999998</v>
      </c>
      <c r="F4487" t="s">
        <v>50</v>
      </c>
      <c r="G4487">
        <v>-243.1789</v>
      </c>
      <c r="H4487" s="1">
        <v>2.302887E-7</v>
      </c>
      <c r="I4487">
        <v>212.89099999999999</v>
      </c>
      <c r="J4487">
        <v>-261.32639999999998</v>
      </c>
      <c r="K4487">
        <v>1.120932</v>
      </c>
      <c r="L4487">
        <v>215.19710000000001</v>
      </c>
      <c r="M4487">
        <v>0.99986509999999995</v>
      </c>
      <c r="N4487">
        <v>-1.378798E-2</v>
      </c>
      <c r="O4487">
        <v>8.9393219999999995E-3</v>
      </c>
      <c r="P4487">
        <v>0.99648419999999904</v>
      </c>
      <c r="Q4487">
        <v>-8.344509E-2</v>
      </c>
      <c r="R4487">
        <v>7.4949140000000001E-3</v>
      </c>
      <c r="S4487">
        <v>2.9981689999999999</v>
      </c>
      <c r="T4487">
        <v>-0.18192330000000001</v>
      </c>
      <c r="U4487">
        <v>-0.37377929999999998</v>
      </c>
      <c r="V4487">
        <v>1.4339159999999999E-3</v>
      </c>
      <c r="W4487">
        <v>-6.9696889999999997E-2</v>
      </c>
      <c r="X4487">
        <v>0.99756719999999999</v>
      </c>
      <c r="Y4487">
        <v>0.13227349999999999</v>
      </c>
      <c r="Z4487">
        <v>-5.3276419999999996E-3</v>
      </c>
      <c r="AA4487">
        <v>0.99119900000000005</v>
      </c>
      <c r="AB4487">
        <v>34</v>
      </c>
      <c r="AC4487">
        <v>18.147499999999901</v>
      </c>
      <c r="AD4487">
        <v>-1.1209317697112999</v>
      </c>
      <c r="AE4487">
        <v>-2.30610000000001</v>
      </c>
      <c r="AF4487">
        <v>2.4590168772191499</v>
      </c>
      <c r="AG4487">
        <v>-1.1209317697112999</v>
      </c>
      <c r="AH4487">
        <v>18.058355291477199</v>
      </c>
      <c r="AI4487">
        <v>93.519551480652595</v>
      </c>
      <c r="AJ4487">
        <v>82.245693137473495</v>
      </c>
      <c r="AK4487">
        <v>18.259448180819099</v>
      </c>
      <c r="AL4487">
        <v>93.996577711428998</v>
      </c>
      <c r="AM4487">
        <v>89.917642361944999</v>
      </c>
      <c r="AN4487">
        <v>1.0000000155533</v>
      </c>
    </row>
    <row r="4488" spans="1:40" x14ac:dyDescent="0.25">
      <c r="A4488" t="str">
        <f>"20190303154226861"</f>
        <v>20190303154226861</v>
      </c>
      <c r="B4488" t="str">
        <f>"1551598946854583"</f>
        <v>1551598946854583</v>
      </c>
      <c r="C4488" t="s">
        <v>40</v>
      </c>
      <c r="D4488">
        <v>5.7196559999999996</v>
      </c>
      <c r="E4488">
        <v>0.55049650000000006</v>
      </c>
      <c r="F4488" t="s">
        <v>50</v>
      </c>
      <c r="G4488">
        <v>-242.94390000000001</v>
      </c>
      <c r="H4488" s="1">
        <v>1.052332E-7</v>
      </c>
      <c r="I4488">
        <v>212.89060000000001</v>
      </c>
      <c r="J4488">
        <v>-260.98349999999999</v>
      </c>
      <c r="K4488">
        <v>1.1209279999999999</v>
      </c>
      <c r="L4488">
        <v>215.2003</v>
      </c>
      <c r="M4488">
        <v>0.99986229999999998</v>
      </c>
      <c r="N4488">
        <v>-1.389544E-2</v>
      </c>
      <c r="O4488">
        <v>9.0756859999999995E-3</v>
      </c>
      <c r="P4488">
        <v>0.99647909999999995</v>
      </c>
      <c r="Q4488">
        <v>-8.3478640000000007E-2</v>
      </c>
      <c r="R4488">
        <v>7.7972880000000003E-3</v>
      </c>
      <c r="S4488">
        <v>2.9980769999999999</v>
      </c>
      <c r="T4488">
        <v>-0.18281700000000001</v>
      </c>
      <c r="U4488">
        <v>-0.37617489999999998</v>
      </c>
      <c r="V4488">
        <v>1.2668989999999999E-3</v>
      </c>
      <c r="W4488">
        <v>-6.9623309999999994E-2</v>
      </c>
      <c r="X4488">
        <v>0.99757249999999997</v>
      </c>
      <c r="Y4488">
        <v>0.1331869</v>
      </c>
      <c r="Z4488">
        <v>-5.396522E-3</v>
      </c>
      <c r="AA4488">
        <v>0.99107619999999996</v>
      </c>
      <c r="AB4488">
        <v>34</v>
      </c>
      <c r="AC4488">
        <v>18.039599999999901</v>
      </c>
      <c r="AD4488">
        <v>-1.1209278947668</v>
      </c>
      <c r="AE4488">
        <v>-2.3096999999999901</v>
      </c>
      <c r="AF4488">
        <v>2.4639823690849201</v>
      </c>
      <c r="AG4488">
        <v>-1.1209278947668</v>
      </c>
      <c r="AH4488">
        <v>17.949706442914099</v>
      </c>
      <c r="AI4488">
        <v>93.540267155804202</v>
      </c>
      <c r="AJ4488">
        <v>82.183775419808299</v>
      </c>
      <c r="AK4488">
        <v>18.152676107043199</v>
      </c>
      <c r="AL4488">
        <v>93.992351877924804</v>
      </c>
      <c r="AM4488">
        <v>89.927235437279194</v>
      </c>
      <c r="AN4488">
        <v>0.99999995154233901</v>
      </c>
    </row>
    <row r="4489" spans="1:40" x14ac:dyDescent="0.25">
      <c r="A4489" t="str">
        <f>"20190303154226884"</f>
        <v>20190303154226884</v>
      </c>
      <c r="B4489" t="str">
        <f>"1551598946874103"</f>
        <v>1551598946874103</v>
      </c>
      <c r="C4489" t="s">
        <v>40</v>
      </c>
      <c r="D4489">
        <v>5.7664619999999998</v>
      </c>
      <c r="E4489">
        <v>0.55070419999999998</v>
      </c>
      <c r="F4489" t="s">
        <v>50</v>
      </c>
      <c r="G4489">
        <v>-242.45509999999999</v>
      </c>
      <c r="H4489" s="1">
        <v>-1.5371110000000001E-7</v>
      </c>
      <c r="I4489">
        <v>212.8638</v>
      </c>
      <c r="J4489">
        <v>-260.63549999999998</v>
      </c>
      <c r="K4489">
        <v>1.1209290000000001</v>
      </c>
      <c r="L4489">
        <v>215.20359999999999</v>
      </c>
      <c r="M4489">
        <v>0.99985979999999997</v>
      </c>
      <c r="N4489">
        <v>-1.3990310000000001E-2</v>
      </c>
      <c r="O4489">
        <v>9.2079989999999997E-3</v>
      </c>
      <c r="P4489">
        <v>0.99649710000000002</v>
      </c>
      <c r="Q4489">
        <v>-8.3262699999999995E-2</v>
      </c>
      <c r="R4489">
        <v>7.8136619999999903E-3</v>
      </c>
      <c r="S4489">
        <v>2.9983219999999999</v>
      </c>
      <c r="T4489">
        <v>-0.1813922</v>
      </c>
      <c r="U4489">
        <v>-0.37809749999999998</v>
      </c>
      <c r="V4489">
        <v>1.381902E-3</v>
      </c>
      <c r="W4489">
        <v>-6.9312460000000006E-2</v>
      </c>
      <c r="X4489">
        <v>0.99759410000000004</v>
      </c>
      <c r="Y4489">
        <v>0.133936</v>
      </c>
      <c r="Z4489">
        <v>-5.3997130000000004E-3</v>
      </c>
      <c r="AA4489">
        <v>0.9909753</v>
      </c>
      <c r="AB4489">
        <v>34</v>
      </c>
      <c r="AC4489">
        <v>18.180399999999899</v>
      </c>
      <c r="AD4489">
        <v>-1.1209291537110999</v>
      </c>
      <c r="AE4489">
        <v>-2.3397999999999901</v>
      </c>
      <c r="AF4489">
        <v>2.4977817791144399</v>
      </c>
      <c r="AG4489">
        <v>-1.1209291537110999</v>
      </c>
      <c r="AH4489">
        <v>18.090432719676699</v>
      </c>
      <c r="AI4489">
        <v>93.512421458930504</v>
      </c>
      <c r="AJ4489">
        <v>82.138762301205901</v>
      </c>
      <c r="AK4489">
        <v>18.296424567900299</v>
      </c>
      <c r="AL4489">
        <v>93.974497931128099</v>
      </c>
      <c r="AM4489">
        <v>89.920631946743597</v>
      </c>
      <c r="AN4489">
        <v>1.00000005755959</v>
      </c>
    </row>
    <row r="4490" spans="1:40" x14ac:dyDescent="0.25">
      <c r="A4490" t="str">
        <f>"20190303154226908"</f>
        <v>20190303154226908</v>
      </c>
      <c r="B4490" t="str">
        <f>"1551598946904359"</f>
        <v>1551598946904359</v>
      </c>
      <c r="C4490" t="s">
        <v>40</v>
      </c>
      <c r="D4490">
        <v>5.7804339999999996</v>
      </c>
      <c r="E4490">
        <v>0.55071099999999995</v>
      </c>
      <c r="F4490" t="s">
        <v>50</v>
      </c>
      <c r="G4490">
        <v>-242.07730000000001</v>
      </c>
      <c r="H4490" s="1">
        <v>-3.5428670000000002E-7</v>
      </c>
      <c r="I4490">
        <v>212.8536</v>
      </c>
      <c r="J4490">
        <v>-260.27949999999998</v>
      </c>
      <c r="K4490">
        <v>1.1209249999999999</v>
      </c>
      <c r="L4490">
        <v>215.20699999999999</v>
      </c>
      <c r="M4490">
        <v>0.99985740000000001</v>
      </c>
      <c r="N4490">
        <v>-1.407358E-2</v>
      </c>
      <c r="O4490">
        <v>9.3342100000000008E-3</v>
      </c>
      <c r="P4490">
        <v>0.99648040000000004</v>
      </c>
      <c r="Q4490">
        <v>-8.3432569999999998E-2</v>
      </c>
      <c r="R4490">
        <v>8.1241890000000004E-3</v>
      </c>
      <c r="S4490">
        <v>2.998383</v>
      </c>
      <c r="T4490">
        <v>-0.1811045</v>
      </c>
      <c r="U4490">
        <v>-0.37968439999999998</v>
      </c>
      <c r="V4490">
        <v>1.1959710000000001E-3</v>
      </c>
      <c r="W4490">
        <v>-6.9399500000000003E-2</v>
      </c>
      <c r="X4490">
        <v>0.99758820000000004</v>
      </c>
      <c r="Y4490">
        <v>0.13457379999999999</v>
      </c>
      <c r="Z4490">
        <v>-5.4265869999999897E-3</v>
      </c>
      <c r="AA4490">
        <v>0.99088869999999896</v>
      </c>
      <c r="AB4490">
        <v>34</v>
      </c>
      <c r="AC4490">
        <v>18.202199999999898</v>
      </c>
      <c r="AD4490">
        <v>-1.1209253542866999</v>
      </c>
      <c r="AE4490">
        <v>-2.3533999999999899</v>
      </c>
      <c r="AF4490">
        <v>2.5138408786558899</v>
      </c>
      <c r="AG4490">
        <v>-1.1209253542866999</v>
      </c>
      <c r="AH4490">
        <v>18.1118807245143</v>
      </c>
      <c r="AI4490">
        <v>93.507916871123896</v>
      </c>
      <c r="AJ4490">
        <v>82.098107566899998</v>
      </c>
      <c r="AK4490">
        <v>18.319827864696698</v>
      </c>
      <c r="AL4490">
        <v>93.979497346894604</v>
      </c>
      <c r="AM4490">
        <v>89.931310276233305</v>
      </c>
      <c r="AN4490">
        <v>0.99999996886306097</v>
      </c>
    </row>
    <row r="4491" spans="1:40" x14ac:dyDescent="0.25">
      <c r="A4491" t="str">
        <f>"20190303154226928"</f>
        <v>20190303154226928</v>
      </c>
      <c r="B4491" t="str">
        <f>"1551598946923879"</f>
        <v>1551598946923879</v>
      </c>
      <c r="C4491" t="s">
        <v>40</v>
      </c>
      <c r="D4491">
        <v>5.8135719999999997</v>
      </c>
      <c r="E4491">
        <v>0.53048569999999995</v>
      </c>
      <c r="F4491" t="s">
        <v>50</v>
      </c>
      <c r="G4491">
        <v>-241.7244</v>
      </c>
      <c r="H4491" s="1">
        <v>-5.4257819999999896E-7</v>
      </c>
      <c r="I4491">
        <v>212.86410000000001</v>
      </c>
      <c r="J4491">
        <v>-259.96589999999998</v>
      </c>
      <c r="K4491">
        <v>1.120919</v>
      </c>
      <c r="L4491">
        <v>215.21010000000001</v>
      </c>
      <c r="M4491">
        <v>0.99985570000000001</v>
      </c>
      <c r="N4491">
        <v>-1.413672E-2</v>
      </c>
      <c r="O4491">
        <v>9.4357980000000004E-3</v>
      </c>
      <c r="P4491">
        <v>0.99646129999999999</v>
      </c>
      <c r="Q4491">
        <v>-8.3512210000000003E-2</v>
      </c>
      <c r="R4491">
        <v>9.5381349999999997E-3</v>
      </c>
      <c r="S4491">
        <v>2.9985050000000002</v>
      </c>
      <c r="T4491">
        <v>-0.1811411</v>
      </c>
      <c r="U4491">
        <v>-0.37861630000000002</v>
      </c>
      <c r="V4491">
        <v>-1.17796E-4</v>
      </c>
      <c r="W4491">
        <v>-6.9416560000000002E-2</v>
      </c>
      <c r="X4491">
        <v>0.99758769999999997</v>
      </c>
      <c r="Y4491">
        <v>0.1343222</v>
      </c>
      <c r="Z4491">
        <v>-5.4264219999999898E-3</v>
      </c>
      <c r="AA4491">
        <v>0.99092290000000005</v>
      </c>
      <c r="AB4491">
        <v>34</v>
      </c>
      <c r="AC4491">
        <v>18.241499999999899</v>
      </c>
      <c r="AD4491">
        <v>-1.1209195425781999</v>
      </c>
      <c r="AE4491">
        <v>-2.3460000000000001</v>
      </c>
      <c r="AF4491">
        <v>2.5087171312255001</v>
      </c>
      <c r="AG4491">
        <v>-1.1209195425781999</v>
      </c>
      <c r="AH4491">
        <v>18.151126350822199</v>
      </c>
      <c r="AI4491">
        <v>93.500609322529201</v>
      </c>
      <c r="AJ4491">
        <v>82.130847410987499</v>
      </c>
      <c r="AK4491">
        <v>18.357927717173101</v>
      </c>
      <c r="AL4491">
        <v>93.980477267336695</v>
      </c>
      <c r="AM4491">
        <v>90.006765534110002</v>
      </c>
      <c r="AN4491">
        <v>0.99999994593470898</v>
      </c>
    </row>
    <row r="4492" spans="1:40" x14ac:dyDescent="0.25">
      <c r="A4492" t="str">
        <f>"20190303154226951"</f>
        <v>20190303154226951</v>
      </c>
      <c r="B4492" t="str">
        <f>"1551598946944375"</f>
        <v>1551598946944375</v>
      </c>
      <c r="C4492" t="s">
        <v>40</v>
      </c>
      <c r="D4492">
        <v>5.8117580000000002</v>
      </c>
      <c r="E4492">
        <v>0.53031130000000004</v>
      </c>
      <c r="F4492" t="s">
        <v>50</v>
      </c>
      <c r="G4492">
        <v>-244.72499999999999</v>
      </c>
      <c r="H4492" s="1">
        <v>9.9926719999999993E-7</v>
      </c>
      <c r="I4492">
        <v>214.1207</v>
      </c>
      <c r="J4492">
        <v>-259.61939999999998</v>
      </c>
      <c r="K4492">
        <v>1.1209100000000001</v>
      </c>
      <c r="L4492">
        <v>215.21350000000001</v>
      </c>
      <c r="M4492">
        <v>0.99985380000000001</v>
      </c>
      <c r="N4492">
        <v>-1.419716E-2</v>
      </c>
      <c r="O4492">
        <v>9.5367000000000004E-3</v>
      </c>
      <c r="P4492">
        <v>0.99643130000000002</v>
      </c>
      <c r="Q4492">
        <v>-8.376488E-2</v>
      </c>
      <c r="R4492">
        <v>1.040365E-2</v>
      </c>
      <c r="S4492">
        <v>2.9942319999999998</v>
      </c>
      <c r="T4492">
        <v>-0.2202152</v>
      </c>
      <c r="U4492">
        <v>-0.21401980000000001</v>
      </c>
      <c r="V4492">
        <v>-8.845913E-4</v>
      </c>
      <c r="W4492">
        <v>-6.9609370000000004E-2</v>
      </c>
      <c r="X4492">
        <v>0.99757390000000001</v>
      </c>
      <c r="Y4492">
        <v>8.0530409999999997E-2</v>
      </c>
      <c r="Z4492">
        <v>-4.091478E-3</v>
      </c>
      <c r="AA4492">
        <v>0.99674370000000001</v>
      </c>
      <c r="AB4492">
        <v>34</v>
      </c>
      <c r="AC4492">
        <v>14.8943999999999</v>
      </c>
      <c r="AD4492">
        <v>-1.1209090007328</v>
      </c>
      <c r="AE4492">
        <v>-1.09280000000001</v>
      </c>
      <c r="AF4492">
        <v>1.2278909456392899</v>
      </c>
      <c r="AG4492">
        <v>-1.1209090007328</v>
      </c>
      <c r="AH4492">
        <v>14.799927308856899</v>
      </c>
      <c r="AI4492">
        <v>94.316394553663002</v>
      </c>
      <c r="AJ4492">
        <v>85.257259765389193</v>
      </c>
      <c r="AK4492">
        <v>14.8930185492987</v>
      </c>
      <c r="AL4492">
        <v>93.991551172713798</v>
      </c>
      <c r="AM4492">
        <v>90.050806596683799</v>
      </c>
      <c r="AN4492">
        <v>0.99999996642738598</v>
      </c>
    </row>
    <row r="4493" spans="1:40" x14ac:dyDescent="0.25">
      <c r="A4493" t="str">
        <f>"20190303154226973"</f>
        <v>20190303154226973</v>
      </c>
      <c r="B4493" t="str">
        <f>"1551598946963895"</f>
        <v>1551598946963895</v>
      </c>
      <c r="C4493" t="s">
        <v>40</v>
      </c>
      <c r="D4493">
        <v>5.8197789999999996</v>
      </c>
      <c r="E4493">
        <v>0.53071429999999997</v>
      </c>
      <c r="F4493" t="s">
        <v>50</v>
      </c>
      <c r="G4493">
        <v>-244.7602</v>
      </c>
      <c r="H4493" s="1">
        <v>1.0158019999999999E-6</v>
      </c>
      <c r="I4493">
        <v>214.17099999999999</v>
      </c>
      <c r="J4493">
        <v>-259.28070000000002</v>
      </c>
      <c r="K4493">
        <v>1.120906</v>
      </c>
      <c r="L4493">
        <v>215.21680000000001</v>
      </c>
      <c r="M4493">
        <v>0.99985230000000003</v>
      </c>
      <c r="N4493">
        <v>-1.424769E-2</v>
      </c>
      <c r="O4493">
        <v>9.6232390000000004E-3</v>
      </c>
      <c r="P4493">
        <v>0.99639909999999998</v>
      </c>
      <c r="Q4493">
        <v>-8.4103430000000007E-2</v>
      </c>
      <c r="R4493">
        <v>1.076066E-2</v>
      </c>
      <c r="S4493">
        <v>2.9939580000000001</v>
      </c>
      <c r="T4493">
        <v>-0.2258492</v>
      </c>
      <c r="U4493">
        <v>-0.21003720000000001</v>
      </c>
      <c r="V4493">
        <v>-1.1576080000000001E-3</v>
      </c>
      <c r="W4493">
        <v>-6.9897899999999999E-2</v>
      </c>
      <c r="X4493">
        <v>0.99755349999999998</v>
      </c>
      <c r="Y4493">
        <v>7.9294320000000001E-2</v>
      </c>
      <c r="Z4493">
        <v>-4.1367269999999998E-3</v>
      </c>
      <c r="AA4493">
        <v>0.99684269999999997</v>
      </c>
      <c r="AB4493">
        <v>34</v>
      </c>
      <c r="AC4493">
        <v>14.5205</v>
      </c>
      <c r="AD4493">
        <v>-1.1209049841980001</v>
      </c>
      <c r="AE4493">
        <v>-1.0458000000000101</v>
      </c>
      <c r="AF4493">
        <v>1.17851343785247</v>
      </c>
      <c r="AG4493">
        <v>-1.1209049841980001</v>
      </c>
      <c r="AH4493">
        <v>14.424251730425899</v>
      </c>
      <c r="AI4493">
        <v>94.428811886704807</v>
      </c>
      <c r="AJ4493">
        <v>85.329103031892302</v>
      </c>
      <c r="AK4493">
        <v>14.5156591269392</v>
      </c>
      <c r="AL4493">
        <v>94.008122870884094</v>
      </c>
      <c r="AM4493">
        <v>90.0664886875322</v>
      </c>
      <c r="AN4493">
        <v>1.0000000209214699</v>
      </c>
    </row>
    <row r="4494" spans="1:40" x14ac:dyDescent="0.25">
      <c r="A4494" t="str">
        <f>"20190303154226995"</f>
        <v>20190303154226995</v>
      </c>
      <c r="B4494" t="str">
        <f>"1551598946984392"</f>
        <v>1551598946984392</v>
      </c>
      <c r="C4494" t="s">
        <v>40</v>
      </c>
      <c r="D4494">
        <v>5.8038109999999996</v>
      </c>
      <c r="E4494">
        <v>0.53090170000000003</v>
      </c>
      <c r="F4494" t="s">
        <v>50</v>
      </c>
      <c r="G4494">
        <v>-244.10720000000001</v>
      </c>
      <c r="H4494" s="1">
        <v>6.6959300000000003E-7</v>
      </c>
      <c r="I4494">
        <v>214.1422</v>
      </c>
      <c r="J4494">
        <v>-258.9479</v>
      </c>
      <c r="K4494">
        <v>1.120895</v>
      </c>
      <c r="L4494">
        <v>215.2201</v>
      </c>
      <c r="M4494">
        <v>0.99985089999999999</v>
      </c>
      <c r="N4494">
        <v>-1.429009E-2</v>
      </c>
      <c r="O4494">
        <v>9.6963680000000003E-3</v>
      </c>
      <c r="P4494">
        <v>0.99639789999999995</v>
      </c>
      <c r="Q4494">
        <v>-8.4086309999999997E-2</v>
      </c>
      <c r="R4494">
        <v>1.099082E-2</v>
      </c>
      <c r="S4494">
        <v>2.9944760000000001</v>
      </c>
      <c r="T4494">
        <v>-0.2212104</v>
      </c>
      <c r="U4494">
        <v>-0.2120667</v>
      </c>
      <c r="V4494">
        <v>-1.316488E-3</v>
      </c>
      <c r="W4494">
        <v>-6.9838490000000003E-2</v>
      </c>
      <c r="X4494">
        <v>0.99755749999999999</v>
      </c>
      <c r="Y4494">
        <v>8.0035750000000003E-2</v>
      </c>
      <c r="Z4494">
        <v>-4.0983130000000001E-3</v>
      </c>
      <c r="AA4494">
        <v>0.99678359999999999</v>
      </c>
      <c r="AB4494">
        <v>34</v>
      </c>
      <c r="AC4494">
        <v>14.840699999999901</v>
      </c>
      <c r="AD4494">
        <v>-1.120894330407</v>
      </c>
      <c r="AE4494">
        <v>-1.0778999999999901</v>
      </c>
      <c r="AF4494">
        <v>1.2148709850408299</v>
      </c>
      <c r="AG4494">
        <v>-1.120894330407</v>
      </c>
      <c r="AH4494">
        <v>14.745872415236301</v>
      </c>
      <c r="AI4494">
        <v>94.332305955229103</v>
      </c>
      <c r="AJ4494">
        <v>85.290198695180493</v>
      </c>
      <c r="AK4494">
        <v>14.838229978560699</v>
      </c>
      <c r="AL4494">
        <v>94.004710445887497</v>
      </c>
      <c r="AM4494">
        <v>90.075613849216197</v>
      </c>
      <c r="AN4494">
        <v>1.00000005681619</v>
      </c>
    </row>
    <row r="4495" spans="1:40" x14ac:dyDescent="0.25">
      <c r="A4495" t="str">
        <f>"20190303154227018"</f>
        <v>20190303154227018</v>
      </c>
      <c r="B4495" t="str">
        <f>"1551598947014647"</f>
        <v>1551598947014647</v>
      </c>
      <c r="C4495" t="s">
        <v>40</v>
      </c>
      <c r="D4495">
        <v>5.8362210000000001</v>
      </c>
      <c r="E4495">
        <v>0.53091599999999906</v>
      </c>
      <c r="F4495" t="s">
        <v>50</v>
      </c>
      <c r="G4495">
        <v>-243.68360000000001</v>
      </c>
      <c r="H4495" s="1">
        <v>4.4451559999999999E-7</v>
      </c>
      <c r="I4495">
        <v>214.1345</v>
      </c>
      <c r="J4495">
        <v>-258.60829999999999</v>
      </c>
      <c r="K4495">
        <v>1.120889</v>
      </c>
      <c r="L4495">
        <v>215.2234</v>
      </c>
      <c r="M4495">
        <v>0.99984969999999995</v>
      </c>
      <c r="N4495">
        <v>-1.4326599999999899E-2</v>
      </c>
      <c r="O4495">
        <v>9.759719E-3</v>
      </c>
      <c r="P4495">
        <v>0.99639509999999998</v>
      </c>
      <c r="Q4495">
        <v>-8.4111560000000002E-2</v>
      </c>
      <c r="R4495">
        <v>1.1061970000000001E-2</v>
      </c>
      <c r="S4495">
        <v>2.9946440000000001</v>
      </c>
      <c r="T4495">
        <v>-0.21990480000000001</v>
      </c>
      <c r="U4495">
        <v>-0.21298220000000001</v>
      </c>
      <c r="V4495">
        <v>-1.326954E-3</v>
      </c>
      <c r="W4495">
        <v>-6.982729E-2</v>
      </c>
      <c r="X4495">
        <v>0.99755819999999995</v>
      </c>
      <c r="Y4495">
        <v>8.039992E-2</v>
      </c>
      <c r="Z4495">
        <v>-4.0973059999999898E-3</v>
      </c>
      <c r="AA4495">
        <v>0.99675429999999998</v>
      </c>
      <c r="AB4495">
        <v>34</v>
      </c>
      <c r="AC4495">
        <v>14.9246999999999</v>
      </c>
      <c r="AD4495">
        <v>-1.1208885554843999</v>
      </c>
      <c r="AE4495">
        <v>-1.08889999999999</v>
      </c>
      <c r="AF4495">
        <v>1.22763620772787</v>
      </c>
      <c r="AG4495">
        <v>-1.1208885554843999</v>
      </c>
      <c r="AH4495">
        <v>14.8301547698695</v>
      </c>
      <c r="AI4495">
        <v>94.307617363030403</v>
      </c>
      <c r="AJ4495">
        <v>85.267860131166103</v>
      </c>
      <c r="AK4495">
        <v>14.923034956423001</v>
      </c>
      <c r="AL4495">
        <v>94.004067443509797</v>
      </c>
      <c r="AM4495">
        <v>90.0762149205583</v>
      </c>
      <c r="AN4495">
        <v>0.99999998681145097</v>
      </c>
    </row>
    <row r="4496" spans="1:40" x14ac:dyDescent="0.25">
      <c r="A4496" t="str">
        <f>"20190303154227041"</f>
        <v>20190303154227041</v>
      </c>
      <c r="B4496" t="str">
        <f>"1551598947034167"</f>
        <v>1551598947034167</v>
      </c>
      <c r="C4496" t="s">
        <v>40</v>
      </c>
      <c r="D4496">
        <v>5.8495140000000001</v>
      </c>
      <c r="E4496">
        <v>0.5309857</v>
      </c>
      <c r="F4496" t="s">
        <v>42</v>
      </c>
      <c r="G4496">
        <v>-257.60550000000001</v>
      </c>
      <c r="H4496">
        <v>1.046597</v>
      </c>
      <c r="I4496">
        <v>215.15219999999999</v>
      </c>
      <c r="J4496">
        <v>-258.25290000000001</v>
      </c>
      <c r="K4496">
        <v>1.120887</v>
      </c>
      <c r="L4496">
        <v>215.227</v>
      </c>
      <c r="M4496">
        <v>0.99984879999999998</v>
      </c>
      <c r="N4496">
        <v>-1.435927E-2</v>
      </c>
      <c r="O4496">
        <v>9.8172190000000003E-3</v>
      </c>
      <c r="P4496">
        <v>0.99644060000000001</v>
      </c>
      <c r="Q4496">
        <v>-8.3592830000000007E-2</v>
      </c>
      <c r="R4496">
        <v>1.0887519999999999E-2</v>
      </c>
      <c r="S4496">
        <v>2.9944920000000002</v>
      </c>
      <c r="T4496">
        <v>-0.22182070000000001</v>
      </c>
      <c r="U4496">
        <v>-0.2128448</v>
      </c>
      <c r="V4496">
        <v>-1.095819E-3</v>
      </c>
      <c r="W4496">
        <v>-6.9275329999999996E-2</v>
      </c>
      <c r="X4496">
        <v>0.99759699999999996</v>
      </c>
      <c r="Y4496">
        <v>8.0410590000000004E-2</v>
      </c>
      <c r="Z4496">
        <v>-4.1342059999999996E-3</v>
      </c>
      <c r="AA4496">
        <v>0.99675329999999995</v>
      </c>
      <c r="AB4496">
        <v>34</v>
      </c>
      <c r="AC4496">
        <v>0.64740000000000397</v>
      </c>
      <c r="AD4496">
        <v>-7.4290000000000106E-2</v>
      </c>
      <c r="AE4496">
        <v>-7.48000000000104E-2</v>
      </c>
      <c r="AF4496">
        <v>8.0111713466932299E-2</v>
      </c>
      <c r="AG4496">
        <v>-7.4290000000000106E-2</v>
      </c>
      <c r="AH4496">
        <v>0.63833955349674998</v>
      </c>
      <c r="AI4496">
        <v>96.587012441704701</v>
      </c>
      <c r="AJ4496">
        <v>82.846769443439001</v>
      </c>
      <c r="AK4496">
        <v>0.64762201652896101</v>
      </c>
      <c r="AL4496">
        <v>93.972365549360802</v>
      </c>
      <c r="AM4496">
        <v>90.062937016207499</v>
      </c>
      <c r="AN4496">
        <v>1.00000002328744</v>
      </c>
    </row>
    <row r="4497" spans="1:40" x14ac:dyDescent="0.25">
      <c r="A4497" t="str">
        <f>"20190303154227063"</f>
        <v>20190303154227063</v>
      </c>
      <c r="B4497" t="str">
        <f>"1551598947053960"</f>
        <v>1551598947053960</v>
      </c>
      <c r="C4497" t="s">
        <v>40</v>
      </c>
      <c r="D4497">
        <v>5.8579169999999996</v>
      </c>
      <c r="E4497">
        <v>0.531169</v>
      </c>
      <c r="F4497" t="s">
        <v>42</v>
      </c>
      <c r="G4497">
        <v>-257.30059999999997</v>
      </c>
      <c r="H4497">
        <v>1.0499529999999999</v>
      </c>
      <c r="I4497">
        <v>215.15870000000001</v>
      </c>
      <c r="J4497">
        <v>-257.91969999999998</v>
      </c>
      <c r="K4497">
        <v>1.1208899999999999</v>
      </c>
      <c r="L4497">
        <v>215.2303</v>
      </c>
      <c r="M4497">
        <v>0.99984790000000001</v>
      </c>
      <c r="N4497">
        <v>-1.438508E-2</v>
      </c>
      <c r="O4497">
        <v>9.8662239999999998E-3</v>
      </c>
      <c r="P4497">
        <v>0.99645620000000001</v>
      </c>
      <c r="Q4497">
        <v>-8.3485480000000001E-2</v>
      </c>
      <c r="R4497">
        <v>1.026499E-2</v>
      </c>
      <c r="S4497">
        <v>2.9943390000000001</v>
      </c>
      <c r="T4497">
        <v>-0.22316269999999999</v>
      </c>
      <c r="U4497">
        <v>-0.21400449999999999</v>
      </c>
      <c r="V4497">
        <v>-4.2509790000000002E-4</v>
      </c>
      <c r="W4497">
        <v>-6.9142019999999998E-2</v>
      </c>
      <c r="X4497">
        <v>0.99760680000000002</v>
      </c>
      <c r="Y4497">
        <v>8.0842349999999993E-2</v>
      </c>
      <c r="Z4497">
        <v>-4.1795519999999996E-3</v>
      </c>
      <c r="AA4497">
        <v>0.99671810000000005</v>
      </c>
      <c r="AB4497">
        <v>34</v>
      </c>
      <c r="AC4497">
        <v>0.61910000000000298</v>
      </c>
      <c r="AD4497">
        <v>-7.0936999999999806E-2</v>
      </c>
      <c r="AE4497">
        <v>-7.1599999999989394E-2</v>
      </c>
      <c r="AF4497">
        <v>7.6711490779010502E-2</v>
      </c>
      <c r="AG4497">
        <v>-7.0936999999999806E-2</v>
      </c>
      <c r="AH4497">
        <v>0.61045462973794995</v>
      </c>
      <c r="AI4497">
        <v>96.576978621227497</v>
      </c>
      <c r="AJ4497">
        <v>82.837590431904104</v>
      </c>
      <c r="AK4497">
        <v>0.61933154752122499</v>
      </c>
      <c r="AL4497">
        <v>93.964708930774094</v>
      </c>
      <c r="AM4497">
        <v>90.024414743439706</v>
      </c>
      <c r="AN4497">
        <v>1.00000006352207</v>
      </c>
    </row>
    <row r="4498" spans="1:40" x14ac:dyDescent="0.25">
      <c r="A4498" t="str">
        <f>"20190303154227086"</f>
        <v>20190303154227086</v>
      </c>
      <c r="B4498" t="str">
        <f>"1551598947074456"</f>
        <v>1551598947074456</v>
      </c>
      <c r="C4498" t="s">
        <v>40</v>
      </c>
      <c r="D4498">
        <v>5.8615089999999999</v>
      </c>
      <c r="E4498">
        <v>0.53137000000000001</v>
      </c>
      <c r="F4498" t="s">
        <v>42</v>
      </c>
      <c r="G4498">
        <v>-256.99720000000002</v>
      </c>
      <c r="H4498">
        <v>1.0520119999999999</v>
      </c>
      <c r="I4498">
        <v>215.16319999999999</v>
      </c>
      <c r="J4498">
        <v>-257.58240000000001</v>
      </c>
      <c r="K4498">
        <v>1.1208899999999999</v>
      </c>
      <c r="L4498">
        <v>215.2337</v>
      </c>
      <c r="M4498">
        <v>0.99984709999999999</v>
      </c>
      <c r="N4498">
        <v>-1.4407150000000001E-2</v>
      </c>
      <c r="O4498">
        <v>9.9124799999999996E-3</v>
      </c>
      <c r="P4498">
        <v>0.99645079999999997</v>
      </c>
      <c r="Q4498">
        <v>-8.3576839999999999E-2</v>
      </c>
      <c r="R4498">
        <v>1.0039859999999999E-2</v>
      </c>
      <c r="S4498">
        <v>2.9941409999999999</v>
      </c>
      <c r="T4498">
        <v>-0.22362969999999999</v>
      </c>
      <c r="U4498">
        <v>-0.2172394</v>
      </c>
      <c r="V4498">
        <v>-1.5490179999999999E-4</v>
      </c>
      <c r="W4498">
        <v>-6.9211410000000001E-2</v>
      </c>
      <c r="X4498">
        <v>0.99760199999999999</v>
      </c>
      <c r="Y4498">
        <v>8.195943E-2</v>
      </c>
      <c r="Z4498">
        <v>-4.2406249999999996E-3</v>
      </c>
      <c r="AA4498">
        <v>0.99662660000000003</v>
      </c>
      <c r="AB4498">
        <v>34</v>
      </c>
      <c r="AC4498">
        <v>0.58519999999998595</v>
      </c>
      <c r="AD4498">
        <v>-6.8877999999999703E-2</v>
      </c>
      <c r="AE4498">
        <v>-7.0500000000009694E-2</v>
      </c>
      <c r="AF4498">
        <v>7.5270100761410594E-2</v>
      </c>
      <c r="AG4498">
        <v>-6.8877999999999703E-2</v>
      </c>
      <c r="AH4498">
        <v>0.57659883086475905</v>
      </c>
      <c r="AI4498">
        <v>96.755247487102295</v>
      </c>
      <c r="AJ4498">
        <v>82.562577549467903</v>
      </c>
      <c r="AK4498">
        <v>0.58555612771726595</v>
      </c>
      <c r="AL4498">
        <v>93.968694496841593</v>
      </c>
      <c r="AM4498">
        <v>90.008896553242295</v>
      </c>
      <c r="AN4498">
        <v>0.99999999683637697</v>
      </c>
    </row>
    <row r="4499" spans="1:40" x14ac:dyDescent="0.25">
      <c r="A4499" t="str">
        <f>"20190303154227108"</f>
        <v>20190303154227108</v>
      </c>
      <c r="B4499" t="str">
        <f>"1551598947104712"</f>
        <v>1551598947104712</v>
      </c>
      <c r="C4499" t="s">
        <v>40</v>
      </c>
      <c r="D4499">
        <v>5.863683</v>
      </c>
      <c r="E4499">
        <v>0.53170699999999904</v>
      </c>
      <c r="F4499" t="s">
        <v>50</v>
      </c>
      <c r="G4499">
        <v>-242.58860000000001</v>
      </c>
      <c r="H4499" s="1">
        <v>-1.3817360000000001E-7</v>
      </c>
      <c r="I4499">
        <v>214.13319999999999</v>
      </c>
      <c r="J4499">
        <v>-257.2457</v>
      </c>
      <c r="K4499">
        <v>1.120892</v>
      </c>
      <c r="L4499">
        <v>215.23699999999999</v>
      </c>
      <c r="M4499">
        <v>0.99984649999999997</v>
      </c>
      <c r="N4499">
        <v>-1.44257E-2</v>
      </c>
      <c r="O4499">
        <v>9.9572340000000006E-3</v>
      </c>
      <c r="P4499">
        <v>0.99645530000000004</v>
      </c>
      <c r="Q4499">
        <v>-8.3568069999999994E-2</v>
      </c>
      <c r="R4499">
        <v>9.6850300000000007E-3</v>
      </c>
      <c r="S4499">
        <v>2.9941249999999999</v>
      </c>
      <c r="T4499">
        <v>-0.2238308</v>
      </c>
      <c r="U4499">
        <v>-0.21974179999999999</v>
      </c>
      <c r="V4499">
        <v>2.4417569999999998E-4</v>
      </c>
      <c r="W4499">
        <v>-6.9184120000000002E-2</v>
      </c>
      <c r="X4499">
        <v>0.99760389999999999</v>
      </c>
      <c r="Y4499">
        <v>8.2829449999999999E-2</v>
      </c>
      <c r="Z4499">
        <v>-4.285952E-3</v>
      </c>
      <c r="AA4499">
        <v>0.99655450000000001</v>
      </c>
      <c r="AB4499">
        <v>34</v>
      </c>
      <c r="AC4499">
        <v>14.6570999999999</v>
      </c>
      <c r="AD4499">
        <v>-1.1208921381735999</v>
      </c>
      <c r="AE4499">
        <v>-1.1037999999999999</v>
      </c>
      <c r="AF4499">
        <v>1.2424791660512999</v>
      </c>
      <c r="AG4499">
        <v>-1.1208921381735999</v>
      </c>
      <c r="AH4499">
        <v>14.560705767746899</v>
      </c>
      <c r="AI4499">
        <v>94.386105905744003</v>
      </c>
      <c r="AJ4499">
        <v>85.1227103753112</v>
      </c>
      <c r="AK4499">
        <v>14.656544821969099</v>
      </c>
      <c r="AL4499">
        <v>93.967127039244801</v>
      </c>
      <c r="AM4499">
        <v>89.985976160688296</v>
      </c>
      <c r="AN4499">
        <v>1.0000000216885701</v>
      </c>
    </row>
    <row r="4500" spans="1:40" x14ac:dyDescent="0.25">
      <c r="A4500" t="str">
        <f>"20190303154227130"</f>
        <v>20190303154227130</v>
      </c>
      <c r="B4500" t="str">
        <f>"1551598947124232"</f>
        <v>1551598947124232</v>
      </c>
      <c r="C4500" t="s">
        <v>40</v>
      </c>
      <c r="D4500">
        <v>5.8778449999999998</v>
      </c>
      <c r="E4500">
        <v>0.53195579999999998</v>
      </c>
      <c r="F4500" t="s">
        <v>50</v>
      </c>
      <c r="G4500">
        <v>-242.298</v>
      </c>
      <c r="H4500" s="1">
        <v>-2.9230500000000002E-7</v>
      </c>
      <c r="I4500">
        <v>214.12270000000001</v>
      </c>
      <c r="J4500">
        <v>-256.92259999999999</v>
      </c>
      <c r="K4500">
        <v>1.120897</v>
      </c>
      <c r="L4500">
        <v>215.24029999999999</v>
      </c>
      <c r="M4500">
        <v>0.99984589999999995</v>
      </c>
      <c r="N4500">
        <v>-1.4440679999999999E-2</v>
      </c>
      <c r="O4500">
        <v>1.000006E-2</v>
      </c>
      <c r="P4500">
        <v>0.99646950000000001</v>
      </c>
      <c r="Q4500">
        <v>-8.3454630000000002E-2</v>
      </c>
      <c r="R4500">
        <v>9.1759670000000002E-3</v>
      </c>
      <c r="S4500">
        <v>2.9940190000000002</v>
      </c>
      <c r="T4500">
        <v>-0.22451460000000001</v>
      </c>
      <c r="U4500">
        <v>-0.2232056</v>
      </c>
      <c r="V4500">
        <v>7.9578039999999997E-4</v>
      </c>
      <c r="W4500">
        <v>-6.9055560000000002E-2</v>
      </c>
      <c r="X4500">
        <v>0.99761250000000001</v>
      </c>
      <c r="Y4500">
        <v>8.4015560000000003E-2</v>
      </c>
      <c r="Z4500">
        <v>-4.3536310000000002E-3</v>
      </c>
      <c r="AA4500">
        <v>0.99645499999999998</v>
      </c>
      <c r="AB4500">
        <v>34</v>
      </c>
      <c r="AC4500">
        <v>14.6245999999999</v>
      </c>
      <c r="AD4500">
        <v>-1.120897292305</v>
      </c>
      <c r="AE4500">
        <v>-1.1175999999999799</v>
      </c>
      <c r="AF4500">
        <v>1.25646806435207</v>
      </c>
      <c r="AG4500">
        <v>-1.120897292305</v>
      </c>
      <c r="AH4500">
        <v>14.527844461403699</v>
      </c>
      <c r="AI4500">
        <v>94.395576740240202</v>
      </c>
      <c r="AJ4500">
        <v>85.0569664176505</v>
      </c>
      <c r="AK4500">
        <v>14.6250944417933</v>
      </c>
      <c r="AL4500">
        <v>93.959743513595001</v>
      </c>
      <c r="AM4500">
        <v>89.954296033110495</v>
      </c>
      <c r="AN4500">
        <v>1.0000000018948001</v>
      </c>
    </row>
    <row r="4501" spans="1:40" x14ac:dyDescent="0.25">
      <c r="A4501" t="str">
        <f>"20190303154227152"</f>
        <v>20190303154227152</v>
      </c>
      <c r="B4501" t="str">
        <f>"1551598947143756"</f>
        <v>1551598947143756</v>
      </c>
      <c r="C4501" t="s">
        <v>40</v>
      </c>
      <c r="D4501">
        <v>5.898161</v>
      </c>
      <c r="E4501">
        <v>0.53218989999999999</v>
      </c>
      <c r="F4501" t="s">
        <v>50</v>
      </c>
      <c r="G4501">
        <v>-242.02330000000001</v>
      </c>
      <c r="H4501" s="1">
        <v>-4.3799779999999999E-7</v>
      </c>
      <c r="I4501">
        <v>214.1112</v>
      </c>
      <c r="J4501">
        <v>-256.59010000000001</v>
      </c>
      <c r="K4501">
        <v>1.1209039999999999</v>
      </c>
      <c r="L4501">
        <v>215.24369999999999</v>
      </c>
      <c r="M4501">
        <v>0.99984519999999999</v>
      </c>
      <c r="N4501">
        <v>-1.445362E-2</v>
      </c>
      <c r="O4501">
        <v>1.0044050000000001E-2</v>
      </c>
      <c r="P4501">
        <v>0.99646000000000001</v>
      </c>
      <c r="Q4501">
        <v>-8.3525169999999996E-2</v>
      </c>
      <c r="R4501">
        <v>9.5527790000000008E-3</v>
      </c>
      <c r="S4501">
        <v>2.9938509999999998</v>
      </c>
      <c r="T4501">
        <v>-0.22523219999999999</v>
      </c>
      <c r="U4501">
        <v>-0.2268829</v>
      </c>
      <c r="V4501">
        <v>4.6256440000000003E-4</v>
      </c>
      <c r="W4501">
        <v>-6.9113289999999994E-2</v>
      </c>
      <c r="X4501">
        <v>0.99760870000000001</v>
      </c>
      <c r="Y4501">
        <v>8.5274399999999903E-2</v>
      </c>
      <c r="Z4501">
        <v>-4.4255359999999999E-3</v>
      </c>
      <c r="AA4501">
        <v>0.99634769999999995</v>
      </c>
      <c r="AB4501">
        <v>34</v>
      </c>
      <c r="AC4501">
        <v>14.566800000000001</v>
      </c>
      <c r="AD4501">
        <v>-1.1209044379977999</v>
      </c>
      <c r="AE4501">
        <v>-1.1324999999999901</v>
      </c>
      <c r="AF4501">
        <v>1.2712855032872801</v>
      </c>
      <c r="AG4501">
        <v>-1.1209044379977999</v>
      </c>
      <c r="AH4501">
        <v>14.4695269393007</v>
      </c>
      <c r="AI4501">
        <v>94.412728722414798</v>
      </c>
      <c r="AJ4501">
        <v>84.978914315084197</v>
      </c>
      <c r="AK4501">
        <v>14.568452334999</v>
      </c>
      <c r="AL4501">
        <v>93.9630591694618</v>
      </c>
      <c r="AM4501">
        <v>89.973433485520204</v>
      </c>
      <c r="AN4501">
        <v>0.99999998956806901</v>
      </c>
    </row>
    <row r="4502" spans="1:40" x14ac:dyDescent="0.25">
      <c r="A4502" t="str">
        <f>"20190303154227174"</f>
        <v>20190303154227174</v>
      </c>
      <c r="B4502" t="str">
        <f>"1551598947164248"</f>
        <v>1551598947164248</v>
      </c>
      <c r="C4502" t="s">
        <v>40</v>
      </c>
      <c r="D4502">
        <v>5.8821209999999997</v>
      </c>
      <c r="E4502">
        <v>0.53235310000000002</v>
      </c>
      <c r="F4502" t="s">
        <v>50</v>
      </c>
      <c r="G4502">
        <v>-241.7526</v>
      </c>
      <c r="H4502" s="1">
        <v>-5.8223469999999904E-7</v>
      </c>
      <c r="I4502">
        <v>214.11539999999999</v>
      </c>
      <c r="J4502">
        <v>-256.24720000000002</v>
      </c>
      <c r="K4502">
        <v>1.120895</v>
      </c>
      <c r="L4502">
        <v>215.24719999999999</v>
      </c>
      <c r="M4502">
        <v>0.99984459999999997</v>
      </c>
      <c r="N4502">
        <v>-1.446455E-2</v>
      </c>
      <c r="O4502">
        <v>1.0090200000000001E-2</v>
      </c>
      <c r="P4502">
        <v>0.99647960000000002</v>
      </c>
      <c r="Q4502">
        <v>-8.3211320000000005E-2</v>
      </c>
      <c r="R4502">
        <v>1.0223339999999999E-2</v>
      </c>
      <c r="S4502">
        <v>2.9939119999999999</v>
      </c>
      <c r="T4502">
        <v>-0.22617580000000001</v>
      </c>
      <c r="U4502">
        <v>-0.22766110000000001</v>
      </c>
      <c r="V4502">
        <v>-1.6204190000000001E-4</v>
      </c>
      <c r="W4502">
        <v>-6.878824E-2</v>
      </c>
      <c r="X4502">
        <v>0.9976313</v>
      </c>
      <c r="Y4502">
        <v>8.5572869999999995E-2</v>
      </c>
      <c r="Z4502">
        <v>-4.4585199999999997E-3</v>
      </c>
      <c r="AA4502">
        <v>0.99632189999999998</v>
      </c>
      <c r="AB4502">
        <v>34</v>
      </c>
      <c r="AC4502">
        <v>14.4946</v>
      </c>
      <c r="AD4502">
        <v>-1.1208955822347</v>
      </c>
      <c r="AE4502">
        <v>-1.1317999999999899</v>
      </c>
      <c r="AF4502">
        <v>1.27045947125405</v>
      </c>
      <c r="AG4502">
        <v>-1.1208955822347</v>
      </c>
      <c r="AH4502">
        <v>14.3968658836465</v>
      </c>
      <c r="AI4502">
        <v>94.434727265929894</v>
      </c>
      <c r="AJ4502">
        <v>84.956965366099396</v>
      </c>
      <c r="AK4502">
        <v>14.496214038364499</v>
      </c>
      <c r="AL4502">
        <v>93.944390588722797</v>
      </c>
      <c r="AM4502">
        <v>90.009306360869601</v>
      </c>
      <c r="AN4502">
        <v>1.00000002947978</v>
      </c>
    </row>
    <row r="4503" spans="1:40" x14ac:dyDescent="0.25">
      <c r="A4503" t="str">
        <f>"20190303154227196"</f>
        <v>20190303154227196</v>
      </c>
      <c r="B4503" t="str">
        <f>"1551598947194504"</f>
        <v>1551598947194504</v>
      </c>
      <c r="C4503" t="s">
        <v>40</v>
      </c>
      <c r="D4503">
        <v>5.8197570000000001</v>
      </c>
      <c r="E4503">
        <v>0.5320471</v>
      </c>
      <c r="F4503" t="s">
        <v>50</v>
      </c>
      <c r="G4503">
        <v>-241.3528</v>
      </c>
      <c r="H4503" s="1">
        <v>-7.9515609999999896E-7</v>
      </c>
      <c r="I4503">
        <v>214.11850000000001</v>
      </c>
      <c r="J4503">
        <v>-255.92689999999999</v>
      </c>
      <c r="K4503">
        <v>1.1208990000000001</v>
      </c>
      <c r="L4503">
        <v>215.25049999999999</v>
      </c>
      <c r="M4503">
        <v>0.99984399999999996</v>
      </c>
      <c r="N4503">
        <v>-1.4473069999999999E-2</v>
      </c>
      <c r="O4503">
        <v>1.0133919999999999E-2</v>
      </c>
      <c r="P4503">
        <v>0.99646199999999996</v>
      </c>
      <c r="Q4503">
        <v>-8.3358119999999994E-2</v>
      </c>
      <c r="R4503">
        <v>1.0733070000000001E-2</v>
      </c>
      <c r="S4503">
        <v>2.99411</v>
      </c>
      <c r="T4503">
        <v>-0.22532440000000001</v>
      </c>
      <c r="U4503">
        <v>-0.22689819999999999</v>
      </c>
      <c r="V4503">
        <v>-6.2870500000000002E-4</v>
      </c>
      <c r="W4503">
        <v>-6.8926730000000005E-2</v>
      </c>
      <c r="X4503">
        <v>0.99762150000000005</v>
      </c>
      <c r="Y4503">
        <v>8.536183E-2</v>
      </c>
      <c r="Z4503">
        <v>-4.4368080000000004E-3</v>
      </c>
      <c r="AA4503">
        <v>0.99634020000000001</v>
      </c>
      <c r="AB4503">
        <v>34</v>
      </c>
      <c r="AC4503">
        <v>14.5740999999999</v>
      </c>
      <c r="AD4503">
        <v>-1.1208997951560999</v>
      </c>
      <c r="AE4503">
        <v>-1.1319999999999699</v>
      </c>
      <c r="AF4503">
        <v>1.2721700555317199</v>
      </c>
      <c r="AG4503">
        <v>-1.1208997951560999</v>
      </c>
      <c r="AH4503">
        <v>14.476759139214799</v>
      </c>
      <c r="AI4503">
        <v>94.410508153524702</v>
      </c>
      <c r="AJ4503">
        <v>84.977935850018994</v>
      </c>
      <c r="AK4503">
        <v>14.575712269930801</v>
      </c>
      <c r="AL4503">
        <v>93.952344581534504</v>
      </c>
      <c r="AM4503">
        <v>90.036108021218396</v>
      </c>
      <c r="AN4503">
        <v>0.99999997332035895</v>
      </c>
    </row>
    <row r="4504" spans="1:40" x14ac:dyDescent="0.25">
      <c r="A4504" t="str">
        <f>"20190303154227218"</f>
        <v>20190303154227218</v>
      </c>
      <c r="B4504" t="str">
        <f>"1551598947215001"</f>
        <v>1551598947215001</v>
      </c>
      <c r="C4504" t="s">
        <v>40</v>
      </c>
      <c r="D4504">
        <v>5.7061710000000003</v>
      </c>
      <c r="E4504">
        <v>0.5089958</v>
      </c>
      <c r="F4504" t="s">
        <v>42</v>
      </c>
      <c r="G4504">
        <v>-254.90170000000001</v>
      </c>
      <c r="H4504">
        <v>1.044419</v>
      </c>
      <c r="I4504">
        <v>215.17410000000001</v>
      </c>
      <c r="J4504">
        <v>-255.58609999999999</v>
      </c>
      <c r="K4504">
        <v>1.1209039999999999</v>
      </c>
      <c r="L4504">
        <v>215.25399999999999</v>
      </c>
      <c r="M4504">
        <v>0.99984340000000005</v>
      </c>
      <c r="N4504">
        <v>-1.44802E-2</v>
      </c>
      <c r="O4504">
        <v>1.018083E-2</v>
      </c>
      <c r="P4504">
        <v>0.99647129999999995</v>
      </c>
      <c r="Q4504">
        <v>-8.3207279999999995E-2</v>
      </c>
      <c r="R4504">
        <v>1.1027159999999999E-2</v>
      </c>
      <c r="S4504">
        <v>2.99437</v>
      </c>
      <c r="T4504">
        <v>-0.22343479999999999</v>
      </c>
      <c r="U4504">
        <v>-0.2228851</v>
      </c>
      <c r="V4504">
        <v>-8.7560449999999897E-4</v>
      </c>
      <c r="W4504">
        <v>-6.8768640000000006E-2</v>
      </c>
      <c r="X4504">
        <v>0.99763230000000003</v>
      </c>
      <c r="Y4504">
        <v>8.4083110000000003E-2</v>
      </c>
      <c r="Z4504">
        <v>-4.3496450000000001E-3</v>
      </c>
      <c r="AA4504">
        <v>0.99644920000000003</v>
      </c>
      <c r="AB4504">
        <v>34</v>
      </c>
      <c r="AC4504">
        <v>0.68439999999998202</v>
      </c>
      <c r="AD4504">
        <v>-7.6485000000000095E-2</v>
      </c>
      <c r="AE4504">
        <v>-7.9900000000009103E-2</v>
      </c>
      <c r="AF4504">
        <v>8.5807100994961596E-2</v>
      </c>
      <c r="AG4504">
        <v>-7.6485000000000095E-2</v>
      </c>
      <c r="AH4504">
        <v>0.67523132191648405</v>
      </c>
      <c r="AI4504">
        <v>96.411352909692994</v>
      </c>
      <c r="AJ4504">
        <v>82.757780262313304</v>
      </c>
      <c r="AK4504">
        <v>0.68494536417384599</v>
      </c>
      <c r="AL4504">
        <v>93.943264847712499</v>
      </c>
      <c r="AM4504">
        <v>90.050287495193004</v>
      </c>
      <c r="AN4504">
        <v>1.0000000492669801</v>
      </c>
    </row>
    <row r="4505" spans="1:40" x14ac:dyDescent="0.25">
      <c r="A4505" t="str">
        <f>"20190303154227243"</f>
        <v>20190303154227243</v>
      </c>
      <c r="B4505" t="str">
        <f>"1551598947234520"</f>
        <v>1551598947234520</v>
      </c>
      <c r="C4505" t="s">
        <v>40</v>
      </c>
      <c r="D4505">
        <v>5.773822</v>
      </c>
      <c r="E4505">
        <v>0.50840580000000002</v>
      </c>
      <c r="F4505" t="s">
        <v>50</v>
      </c>
      <c r="G4505">
        <v>-239.393</v>
      </c>
      <c r="H4505" s="1">
        <v>3.4427250000000001E-6</v>
      </c>
      <c r="I4505">
        <v>215.05019999999999</v>
      </c>
      <c r="J4505">
        <v>-255.23390000000001</v>
      </c>
      <c r="K4505">
        <v>1.120916</v>
      </c>
      <c r="L4505">
        <v>215.2576</v>
      </c>
      <c r="M4505">
        <v>0.99984280000000003</v>
      </c>
      <c r="N4505">
        <v>-1.4486000000000001E-2</v>
      </c>
      <c r="O4505">
        <v>1.022906E-2</v>
      </c>
      <c r="P4505">
        <v>0.99645950000000005</v>
      </c>
      <c r="Q4505">
        <v>-8.3378049999999995E-2</v>
      </c>
      <c r="R4505">
        <v>1.0806059999999999E-2</v>
      </c>
      <c r="S4505">
        <v>2.9937130000000001</v>
      </c>
      <c r="T4505">
        <v>-0.20722699999999999</v>
      </c>
      <c r="U4505">
        <v>-3.7673949999999998E-2</v>
      </c>
      <c r="V4505">
        <v>-6.0682239999999897E-4</v>
      </c>
      <c r="W4505">
        <v>-6.893378E-2</v>
      </c>
      <c r="X4505">
        <v>0.99762110000000004</v>
      </c>
      <c r="Y4505">
        <v>2.2730920000000002E-2</v>
      </c>
      <c r="Z4505">
        <v>-1.509799E-3</v>
      </c>
      <c r="AA4505">
        <v>0.99974050000000003</v>
      </c>
      <c r="AB4505">
        <v>33</v>
      </c>
      <c r="AC4505">
        <v>15.8409</v>
      </c>
      <c r="AD4505">
        <v>-1.1209125572750001</v>
      </c>
      <c r="AE4505">
        <v>-0.207400000000006</v>
      </c>
      <c r="AF4505">
        <v>0.36760335844621</v>
      </c>
      <c r="AG4505">
        <v>-1.1209125572750001</v>
      </c>
      <c r="AH4505">
        <v>15.759056137301901</v>
      </c>
      <c r="AI4505">
        <v>94.067388367334502</v>
      </c>
      <c r="AJ4505">
        <v>88.663733291124501</v>
      </c>
      <c r="AK4505">
        <v>15.803146127554101</v>
      </c>
      <c r="AL4505">
        <v>93.952749189289804</v>
      </c>
      <c r="AM4505">
        <v>90.034851265822198</v>
      </c>
      <c r="AN4505">
        <v>1.0000000467118599</v>
      </c>
    </row>
    <row r="4506" spans="1:40" x14ac:dyDescent="0.25">
      <c r="A4506" t="str">
        <f>"20190303154227263"</f>
        <v>20190303154227263</v>
      </c>
      <c r="B4506" t="str">
        <f>"1551598947254040"</f>
        <v>1551598947254040</v>
      </c>
      <c r="C4506" t="s">
        <v>40</v>
      </c>
      <c r="D4506">
        <v>5.778009</v>
      </c>
      <c r="E4506">
        <v>0.5080268</v>
      </c>
      <c r="F4506" t="s">
        <v>50</v>
      </c>
      <c r="G4506">
        <v>-239.58430000000001</v>
      </c>
      <c r="H4506" s="1">
        <v>3.5432170000000001E-6</v>
      </c>
      <c r="I4506">
        <v>215.07990000000001</v>
      </c>
      <c r="J4506">
        <v>-254.91579999999999</v>
      </c>
      <c r="K4506">
        <v>1.1209199999999999</v>
      </c>
      <c r="L4506">
        <v>215.26089999999999</v>
      </c>
      <c r="M4506">
        <v>0.99984229999999996</v>
      </c>
      <c r="N4506">
        <v>-1.4490060000000001E-2</v>
      </c>
      <c r="O4506">
        <v>1.0272649999999999E-2</v>
      </c>
      <c r="P4506">
        <v>0.99648219999999998</v>
      </c>
      <c r="Q4506">
        <v>-8.313885E-2</v>
      </c>
      <c r="R4506">
        <v>1.055436E-2</v>
      </c>
      <c r="S4506">
        <v>2.9930880000000002</v>
      </c>
      <c r="T4506">
        <v>-0.21438180000000001</v>
      </c>
      <c r="U4506">
        <v>-3.3996579999999998E-2</v>
      </c>
      <c r="V4506">
        <v>-3.1141619999999997E-4</v>
      </c>
      <c r="W4506">
        <v>-6.8690249999999994E-2</v>
      </c>
      <c r="X4506">
        <v>0.99763800000000002</v>
      </c>
      <c r="Y4506">
        <v>2.1546969999999999E-2</v>
      </c>
      <c r="Z4506">
        <v>-1.513127E-3</v>
      </c>
      <c r="AA4506">
        <v>0.99976670000000001</v>
      </c>
      <c r="AB4506">
        <v>33</v>
      </c>
      <c r="AC4506">
        <v>15.331499999999901</v>
      </c>
      <c r="AD4506">
        <v>-1.1209164567829999</v>
      </c>
      <c r="AE4506">
        <v>-0.18099999999998301</v>
      </c>
      <c r="AF4506">
        <v>0.336702562025049</v>
      </c>
      <c r="AG4506">
        <v>-1.1209164567829999</v>
      </c>
      <c r="AH4506">
        <v>15.247340109496699</v>
      </c>
      <c r="AI4506">
        <v>94.203545416235698</v>
      </c>
      <c r="AJ4506">
        <v>88.734959625464199</v>
      </c>
      <c r="AK4506">
        <v>15.2921941765408</v>
      </c>
      <c r="AL4506">
        <v>93.938762928060797</v>
      </c>
      <c r="AM4506">
        <v>90.017885077906399</v>
      </c>
      <c r="AN4506">
        <v>1.0000000132345499</v>
      </c>
    </row>
    <row r="4507" spans="1:40" x14ac:dyDescent="0.25">
      <c r="A4507" t="str">
        <f>"20190303154227287"</f>
        <v>20190303154227287</v>
      </c>
      <c r="B4507" t="str">
        <f>"1551598947274537"</f>
        <v>1551598947274537</v>
      </c>
      <c r="C4507" t="s">
        <v>40</v>
      </c>
      <c r="D4507">
        <v>5.7064240000000002</v>
      </c>
      <c r="E4507">
        <v>0.50861849999999997</v>
      </c>
      <c r="F4507" t="s">
        <v>50</v>
      </c>
      <c r="G4507">
        <v>-239.36330000000001</v>
      </c>
      <c r="H4507" s="1">
        <v>3.4249020000000001E-6</v>
      </c>
      <c r="I4507">
        <v>215.09710000000001</v>
      </c>
      <c r="J4507">
        <v>-254.57339999999999</v>
      </c>
      <c r="K4507">
        <v>1.120922</v>
      </c>
      <c r="L4507">
        <v>215.2645</v>
      </c>
      <c r="M4507">
        <v>0.99984189999999995</v>
      </c>
      <c r="N4507">
        <v>-1.4493320000000001E-2</v>
      </c>
      <c r="O4507">
        <v>1.0319770000000001E-2</v>
      </c>
      <c r="P4507">
        <v>0.99651149999999999</v>
      </c>
      <c r="Q4507">
        <v>-8.2848939999999996E-2</v>
      </c>
      <c r="R4507">
        <v>1.0068250000000001E-2</v>
      </c>
      <c r="S4507">
        <v>2.9929199999999998</v>
      </c>
      <c r="T4507">
        <v>-0.2157097</v>
      </c>
      <c r="U4507">
        <v>-3.1524660000000003E-2</v>
      </c>
      <c r="V4507">
        <v>2.216563E-4</v>
      </c>
      <c r="W4507">
        <v>-6.8396719999999994E-2</v>
      </c>
      <c r="X4507">
        <v>0.99765820000000005</v>
      </c>
      <c r="Y4507">
        <v>2.077039E-2</v>
      </c>
      <c r="Z4507">
        <v>-1.491647E-3</v>
      </c>
      <c r="AA4507">
        <v>0.99978319999999998</v>
      </c>
      <c r="AB4507">
        <v>33</v>
      </c>
      <c r="AC4507">
        <v>15.210099999999899</v>
      </c>
      <c r="AD4507">
        <v>-1.120918575098</v>
      </c>
      <c r="AE4507">
        <v>-0.167399999999986</v>
      </c>
      <c r="AF4507">
        <v>0.32262032062343698</v>
      </c>
      <c r="AG4507">
        <v>-1.120918575098</v>
      </c>
      <c r="AH4507">
        <v>15.1254251504603</v>
      </c>
      <c r="AI4507">
        <v>94.237381154113706</v>
      </c>
      <c r="AJ4507">
        <v>88.778085237863607</v>
      </c>
      <c r="AK4507">
        <v>15.1703338231384</v>
      </c>
      <c r="AL4507">
        <v>93.921905215646802</v>
      </c>
      <c r="AM4507">
        <v>89.987270219115601</v>
      </c>
      <c r="AN4507">
        <v>1.0000000222327501</v>
      </c>
    </row>
    <row r="4508" spans="1:40" x14ac:dyDescent="0.25">
      <c r="A4508" t="str">
        <f>"20190303154227310"</f>
        <v>20190303154227310</v>
      </c>
      <c r="B4508" t="str">
        <f>"1551598947304792"</f>
        <v>1551598947304792</v>
      </c>
      <c r="C4508" t="s">
        <v>40</v>
      </c>
      <c r="D4508">
        <v>5.6781449999999998</v>
      </c>
      <c r="E4508">
        <v>0.50908209999999998</v>
      </c>
      <c r="F4508" t="s">
        <v>50</v>
      </c>
      <c r="G4508">
        <v>-238.4598</v>
      </c>
      <c r="H4508" s="1">
        <v>2.9455999999999998E-6</v>
      </c>
      <c r="I4508">
        <v>215.06180000000001</v>
      </c>
      <c r="J4508">
        <v>-254.2319</v>
      </c>
      <c r="K4508">
        <v>1.1209290000000001</v>
      </c>
      <c r="L4508">
        <v>215.2681</v>
      </c>
      <c r="M4508">
        <v>0.99984130000000004</v>
      </c>
      <c r="N4508">
        <v>-1.4495640000000001E-2</v>
      </c>
      <c r="O4508">
        <v>1.036684E-2</v>
      </c>
      <c r="P4508">
        <v>0.99651719999999999</v>
      </c>
      <c r="Q4508">
        <v>-8.2786090000000007E-2</v>
      </c>
      <c r="R4508">
        <v>1.0002489999999999E-2</v>
      </c>
      <c r="S4508">
        <v>2.9935909999999999</v>
      </c>
      <c r="T4508">
        <v>-0.20824409999999999</v>
      </c>
      <c r="U4508">
        <v>-3.7658690000000002E-2</v>
      </c>
      <c r="V4508">
        <v>3.3449929999999998E-4</v>
      </c>
      <c r="W4508">
        <v>-6.8331489999999995E-2</v>
      </c>
      <c r="X4508">
        <v>0.99766259999999996</v>
      </c>
      <c r="Y4508">
        <v>2.2862730000000001E-2</v>
      </c>
      <c r="Z4508">
        <v>-1.5302969999999999E-3</v>
      </c>
      <c r="AA4508">
        <v>0.9997374</v>
      </c>
      <c r="AB4508">
        <v>33</v>
      </c>
      <c r="AC4508">
        <v>15.772099999999901</v>
      </c>
      <c r="AD4508">
        <v>-1.1209260543999999</v>
      </c>
      <c r="AE4508">
        <v>-0.20629999999999801</v>
      </c>
      <c r="AF4508">
        <v>0.36795470124726498</v>
      </c>
      <c r="AG4508">
        <v>-1.1209260543999999</v>
      </c>
      <c r="AH4508">
        <v>15.6898778079371</v>
      </c>
      <c r="AI4508">
        <v>94.085298430449299</v>
      </c>
      <c r="AJ4508">
        <v>88.656561382851905</v>
      </c>
      <c r="AK4508">
        <v>15.7341708237073</v>
      </c>
      <c r="AL4508">
        <v>93.918159197961003</v>
      </c>
      <c r="AM4508">
        <v>89.980789700423799</v>
      </c>
      <c r="AN4508">
        <v>0.99999998392708001</v>
      </c>
    </row>
    <row r="4509" spans="1:40" x14ac:dyDescent="0.25">
      <c r="A4509" t="str">
        <f>"20190303154227332"</f>
        <v>20190303154227332</v>
      </c>
      <c r="B4509" t="str">
        <f>"1551598947324313"</f>
        <v>1551598947324313</v>
      </c>
      <c r="C4509" t="s">
        <v>40</v>
      </c>
      <c r="D4509">
        <v>5.7077159999999996</v>
      </c>
      <c r="E4509">
        <v>0.50929599999999997</v>
      </c>
      <c r="F4509" t="s">
        <v>50</v>
      </c>
      <c r="G4509">
        <v>-237.83459999999999</v>
      </c>
      <c r="H4509" s="1">
        <v>2.6138330000000001E-6</v>
      </c>
      <c r="I4509">
        <v>215.041</v>
      </c>
      <c r="J4509">
        <v>-253.91130000000001</v>
      </c>
      <c r="K4509">
        <v>1.1209309999999999</v>
      </c>
      <c r="L4509">
        <v>215.2715</v>
      </c>
      <c r="M4509">
        <v>0.99984070000000003</v>
      </c>
      <c r="N4509">
        <v>-1.4497049999999999E-2</v>
      </c>
      <c r="O4509">
        <v>1.0411109999999999E-2</v>
      </c>
      <c r="P4509">
        <v>0.99654799999999999</v>
      </c>
      <c r="Q4509">
        <v>-8.2377039999999999E-2</v>
      </c>
      <c r="R4509">
        <v>1.029747E-2</v>
      </c>
      <c r="S4509">
        <v>2.9938959999999999</v>
      </c>
      <c r="T4509">
        <v>-0.2046636</v>
      </c>
      <c r="U4509">
        <v>-4.1458130000000003E-2</v>
      </c>
      <c r="V4509" s="1">
        <v>8.3974969999999898E-5</v>
      </c>
      <c r="W4509">
        <v>-6.7920599999999998E-2</v>
      </c>
      <c r="X4509">
        <v>0.99769070000000004</v>
      </c>
      <c r="Y4509">
        <v>2.4173199999999999E-2</v>
      </c>
      <c r="Z4509">
        <v>-1.560781E-3</v>
      </c>
      <c r="AA4509">
        <v>0.9997066</v>
      </c>
      <c r="AB4509">
        <v>33</v>
      </c>
      <c r="AC4509">
        <v>16.076699999999999</v>
      </c>
      <c r="AD4509">
        <v>-1.1209283861670001</v>
      </c>
      <c r="AE4509">
        <v>-0.23050000000000601</v>
      </c>
      <c r="AF4509">
        <v>0.39595687806903301</v>
      </c>
      <c r="AG4509">
        <v>-1.1209283861670001</v>
      </c>
      <c r="AH4509">
        <v>15.9956829614621</v>
      </c>
      <c r="AI4509">
        <v>94.007335721534105</v>
      </c>
      <c r="AJ4509">
        <v>88.581990783594094</v>
      </c>
      <c r="AK4509">
        <v>16.039798493117502</v>
      </c>
      <c r="AL4509">
        <v>93.894562151048902</v>
      </c>
      <c r="AM4509">
        <v>89.995177451935305</v>
      </c>
      <c r="AN4509">
        <v>0.999999973911322</v>
      </c>
    </row>
    <row r="4510" spans="1:40" x14ac:dyDescent="0.25">
      <c r="A4510" t="str">
        <f>"20190303154227353"</f>
        <v>20190303154227353</v>
      </c>
      <c r="B4510" t="str">
        <f>"1551598947344808"</f>
        <v>1551598947344808</v>
      </c>
      <c r="C4510" t="s">
        <v>40</v>
      </c>
      <c r="D4510">
        <v>5.7153660000000004</v>
      </c>
      <c r="E4510">
        <v>0.50942219999999905</v>
      </c>
      <c r="F4510" t="s">
        <v>50</v>
      </c>
      <c r="G4510">
        <v>-237.35810000000001</v>
      </c>
      <c r="H4510" s="1">
        <v>2.3603979999999998E-6</v>
      </c>
      <c r="I4510">
        <v>215.03790000000001</v>
      </c>
      <c r="J4510">
        <v>-253.5874</v>
      </c>
      <c r="K4510">
        <v>1.1209340000000001</v>
      </c>
      <c r="L4510">
        <v>215.2749</v>
      </c>
      <c r="M4510">
        <v>0.99984030000000002</v>
      </c>
      <c r="N4510">
        <v>-1.449783E-2</v>
      </c>
      <c r="O4510">
        <v>1.0455860000000001E-2</v>
      </c>
      <c r="P4510">
        <v>0.99655510000000003</v>
      </c>
      <c r="Q4510">
        <v>-8.2222799999999999E-2</v>
      </c>
      <c r="R4510">
        <v>1.0855389999999999E-2</v>
      </c>
      <c r="S4510">
        <v>2.9940639999999998</v>
      </c>
      <c r="T4510">
        <v>-0.2027485</v>
      </c>
      <c r="U4510">
        <v>-4.2236330000000002E-2</v>
      </c>
      <c r="V4510">
        <v>-4.2941970000000002E-4</v>
      </c>
      <c r="W4510">
        <v>-6.7765439999999996E-2</v>
      </c>
      <c r="X4510">
        <v>0.99770119999999896</v>
      </c>
      <c r="Y4510">
        <v>2.4477570000000001E-2</v>
      </c>
      <c r="Z4510">
        <v>-1.5612289999999999E-3</v>
      </c>
      <c r="AA4510">
        <v>0.99969920000000001</v>
      </c>
      <c r="AB4510">
        <v>33</v>
      </c>
      <c r="AC4510">
        <v>16.229299999999899</v>
      </c>
      <c r="AD4510">
        <v>-1.1209316396019999</v>
      </c>
      <c r="AE4510">
        <v>-0.23699999999999399</v>
      </c>
      <c r="AF4510">
        <v>0.40476565554156702</v>
      </c>
      <c r="AG4510">
        <v>-1.1209316396019999</v>
      </c>
      <c r="AH4510">
        <v>16.148913316296799</v>
      </c>
      <c r="AI4510">
        <v>93.969414793736803</v>
      </c>
      <c r="AJ4510">
        <v>88.564206234572893</v>
      </c>
      <c r="AK4510">
        <v>16.192829409150001</v>
      </c>
      <c r="AL4510">
        <v>93.885651460115596</v>
      </c>
      <c r="AM4510">
        <v>90.024660624774697</v>
      </c>
      <c r="AN4510">
        <v>1.0000000118705501</v>
      </c>
    </row>
    <row r="4511" spans="1:40" x14ac:dyDescent="0.25">
      <c r="A4511" t="str">
        <f>"20190303154227377"</f>
        <v>20190303154227377</v>
      </c>
      <c r="B4511" t="str">
        <f>"1551598947364328"</f>
        <v>1551598947364328</v>
      </c>
      <c r="C4511" t="s">
        <v>40</v>
      </c>
      <c r="D4511">
        <v>5.714696</v>
      </c>
      <c r="E4511">
        <v>0.50945680000000004</v>
      </c>
      <c r="F4511" t="s">
        <v>50</v>
      </c>
      <c r="G4511">
        <v>-236.9564</v>
      </c>
      <c r="H4511" s="1">
        <v>2.1463410000000002E-6</v>
      </c>
      <c r="I4511">
        <v>215.04419999999999</v>
      </c>
      <c r="J4511">
        <v>-253.24719999999999</v>
      </c>
      <c r="K4511">
        <v>1.12093</v>
      </c>
      <c r="L4511">
        <v>215.27850000000001</v>
      </c>
      <c r="M4511">
        <v>0.99983979999999995</v>
      </c>
      <c r="N4511">
        <v>-1.449806E-2</v>
      </c>
      <c r="O4511">
        <v>1.050247E-2</v>
      </c>
      <c r="P4511">
        <v>0.99652960000000002</v>
      </c>
      <c r="Q4511">
        <v>-8.2482769999999997E-2</v>
      </c>
      <c r="R4511">
        <v>1.120909E-2</v>
      </c>
      <c r="S4511">
        <v>2.9941559999999998</v>
      </c>
      <c r="T4511">
        <v>-0.20180619999999999</v>
      </c>
      <c r="U4511">
        <v>-4.1534420000000002E-2</v>
      </c>
      <c r="V4511">
        <v>-7.3721099999999999E-4</v>
      </c>
      <c r="W4511">
        <v>-6.8025479999999999E-2</v>
      </c>
      <c r="X4511">
        <v>0.99768330000000005</v>
      </c>
      <c r="Y4511">
        <v>2.4290630000000001E-2</v>
      </c>
      <c r="Z4511">
        <v>-1.5488749999999999E-3</v>
      </c>
      <c r="AA4511">
        <v>0.99970380000000003</v>
      </c>
      <c r="AB4511">
        <v>33</v>
      </c>
      <c r="AC4511">
        <v>16.290799999999901</v>
      </c>
      <c r="AD4511">
        <v>-1.1209278536589999</v>
      </c>
      <c r="AE4511">
        <v>-0.23430000000001799</v>
      </c>
      <c r="AF4511">
        <v>0.40348878057415899</v>
      </c>
      <c r="AG4511">
        <v>-1.1209278536589999</v>
      </c>
      <c r="AH4511">
        <v>16.210707265377799</v>
      </c>
      <c r="AI4511">
        <v>93.954335626816004</v>
      </c>
      <c r="AJ4511">
        <v>88.574187325722093</v>
      </c>
      <c r="AK4511">
        <v>16.254424397465701</v>
      </c>
      <c r="AL4511">
        <v>93.900585207037395</v>
      </c>
      <c r="AM4511">
        <v>90.042337153706995</v>
      </c>
      <c r="AN4511">
        <v>0.99999998825408898</v>
      </c>
    </row>
    <row r="4512" spans="1:40" x14ac:dyDescent="0.25">
      <c r="A4512" t="str">
        <f>"20190303154227397"</f>
        <v>20190303154227397</v>
      </c>
      <c r="B4512" t="str">
        <f>"1551598947394584"</f>
        <v>1551598947394584</v>
      </c>
      <c r="C4512" t="s">
        <v>40</v>
      </c>
      <c r="D4512">
        <v>5.7619720000000001</v>
      </c>
      <c r="E4512">
        <v>0.50976860000000002</v>
      </c>
      <c r="F4512" t="s">
        <v>50</v>
      </c>
      <c r="G4512">
        <v>-236.61</v>
      </c>
      <c r="H4512" s="1">
        <v>1.9617210000000002E-6</v>
      </c>
      <c r="I4512">
        <v>215.05170000000001</v>
      </c>
      <c r="J4512">
        <v>-252.9358</v>
      </c>
      <c r="K4512">
        <v>1.1209309999999999</v>
      </c>
      <c r="L4512">
        <v>215.2818</v>
      </c>
      <c r="M4512">
        <v>0.99983940000000004</v>
      </c>
      <c r="N4512">
        <v>-1.449773E-2</v>
      </c>
      <c r="O4512">
        <v>1.054544E-2</v>
      </c>
      <c r="P4512">
        <v>0.99651809999999996</v>
      </c>
      <c r="Q4512">
        <v>-8.256964E-2</v>
      </c>
      <c r="R4512">
        <v>1.1604359999999999E-2</v>
      </c>
      <c r="S4512">
        <v>2.9942319999999998</v>
      </c>
      <c r="T4512">
        <v>-0.2017362</v>
      </c>
      <c r="U4512">
        <v>-4.0817260000000001E-2</v>
      </c>
      <c r="V4512">
        <v>-1.0892460000000001E-3</v>
      </c>
      <c r="W4512">
        <v>-6.8112809999999996E-2</v>
      </c>
      <c r="X4512">
        <v>0.99767700000000004</v>
      </c>
      <c r="Y4512">
        <v>2.4094379999999999E-2</v>
      </c>
      <c r="Z4512">
        <v>-1.5425510000000001E-3</v>
      </c>
      <c r="AA4512">
        <v>0.9997085</v>
      </c>
      <c r="AB4512">
        <v>33</v>
      </c>
      <c r="AC4512">
        <v>16.325799999999902</v>
      </c>
      <c r="AD4512">
        <v>-1.12092903827899</v>
      </c>
      <c r="AE4512">
        <v>-0.230099999999993</v>
      </c>
      <c r="AF4512">
        <v>0.400380926375072</v>
      </c>
      <c r="AG4512">
        <v>-1.12092903827899</v>
      </c>
      <c r="AH4512">
        <v>16.2458941986316</v>
      </c>
      <c r="AI4512">
        <v>93.945826057059605</v>
      </c>
      <c r="AJ4512">
        <v>88.588228247679197</v>
      </c>
      <c r="AK4512">
        <v>16.2894402945035</v>
      </c>
      <c r="AL4512">
        <v>93.905600555874102</v>
      </c>
      <c r="AM4512">
        <v>90.062554487929901</v>
      </c>
      <c r="AN4512">
        <v>0.99999996883597098</v>
      </c>
    </row>
    <row r="4513" spans="1:40" x14ac:dyDescent="0.25">
      <c r="A4513" t="str">
        <f>"20190303154227420"</f>
        <v>20190303154227420</v>
      </c>
      <c r="B4513" t="str">
        <f>"1551598947414104"</f>
        <v>1551598947414104</v>
      </c>
      <c r="C4513" t="s">
        <v>40</v>
      </c>
      <c r="D4513">
        <v>5.6864949999999999</v>
      </c>
      <c r="E4513">
        <v>0.50981860000000001</v>
      </c>
      <c r="F4513" t="s">
        <v>50</v>
      </c>
      <c r="G4513">
        <v>-236.19909999999999</v>
      </c>
      <c r="H4513" s="1">
        <v>1.7432910000000001E-6</v>
      </c>
      <c r="I4513">
        <v>215.04640000000001</v>
      </c>
      <c r="J4513">
        <v>-252.59450000000001</v>
      </c>
      <c r="K4513">
        <v>1.1209340000000001</v>
      </c>
      <c r="L4513">
        <v>215.28540000000001</v>
      </c>
      <c r="M4513">
        <v>0.99983889999999997</v>
      </c>
      <c r="N4513">
        <v>-1.449693E-2</v>
      </c>
      <c r="O4513">
        <v>1.059217E-2</v>
      </c>
      <c r="P4513">
        <v>0.99650570000000005</v>
      </c>
      <c r="Q4513">
        <v>-8.2782949999999994E-2</v>
      </c>
      <c r="R4513">
        <v>1.1120939999999999E-2</v>
      </c>
      <c r="S4513">
        <v>2.9943390000000001</v>
      </c>
      <c r="T4513">
        <v>-0.20054459999999999</v>
      </c>
      <c r="U4513">
        <v>-4.2114260000000001E-2</v>
      </c>
      <c r="V4513">
        <v>-5.5975129999999895E-4</v>
      </c>
      <c r="W4513">
        <v>-6.832713E-2</v>
      </c>
      <c r="X4513">
        <v>0.99766279999999996</v>
      </c>
      <c r="Y4513">
        <v>2.4573129999999999E-2</v>
      </c>
      <c r="Z4513">
        <v>-1.5554659999999999E-3</v>
      </c>
      <c r="AA4513">
        <v>0.9996969</v>
      </c>
      <c r="AB4513">
        <v>33</v>
      </c>
      <c r="AC4513">
        <v>16.395399999999999</v>
      </c>
      <c r="AD4513">
        <v>-1.1209322567090001</v>
      </c>
      <c r="AE4513">
        <v>-0.23900000000000399</v>
      </c>
      <c r="AF4513">
        <v>0.41074814552840899</v>
      </c>
      <c r="AG4513">
        <v>-1.1209322567090001</v>
      </c>
      <c r="AH4513">
        <v>16.3157003082027</v>
      </c>
      <c r="AI4513">
        <v>93.928956547436002</v>
      </c>
      <c r="AJ4513">
        <v>88.557881991507003</v>
      </c>
      <c r="AK4513">
        <v>16.359317825333399</v>
      </c>
      <c r="AL4513">
        <v>93.917908793987706</v>
      </c>
      <c r="AM4513">
        <v>90.032146516540095</v>
      </c>
      <c r="AN4513">
        <v>0.99999998625969699</v>
      </c>
    </row>
    <row r="4514" spans="1:40" x14ac:dyDescent="0.25">
      <c r="A4514" t="str">
        <f>"20190303154227442"</f>
        <v>20190303154227442</v>
      </c>
      <c r="B4514" t="str">
        <f>"1551598947434603"</f>
        <v>1551598947434603</v>
      </c>
      <c r="C4514" t="s">
        <v>40</v>
      </c>
      <c r="D4514">
        <v>5.8252290000000002</v>
      </c>
      <c r="E4514">
        <v>0.5096368</v>
      </c>
      <c r="F4514" t="s">
        <v>50</v>
      </c>
      <c r="G4514">
        <v>-235.8348</v>
      </c>
      <c r="H4514" s="1">
        <v>1.5497489999999901E-6</v>
      </c>
      <c r="I4514">
        <v>215.03899999999999</v>
      </c>
      <c r="J4514">
        <v>-252.26990000000001</v>
      </c>
      <c r="K4514">
        <v>1.1209340000000001</v>
      </c>
      <c r="L4514">
        <v>215.28890000000001</v>
      </c>
      <c r="M4514">
        <v>0.99983849999999996</v>
      </c>
      <c r="N4514">
        <v>-1.449579E-2</v>
      </c>
      <c r="O4514">
        <v>1.063682E-2</v>
      </c>
      <c r="P4514">
        <v>0.99652560000000001</v>
      </c>
      <c r="Q4514">
        <v>-8.2596939999999994E-2</v>
      </c>
      <c r="R4514">
        <v>1.071896E-2</v>
      </c>
      <c r="S4514">
        <v>2.99437</v>
      </c>
      <c r="T4514">
        <v>-0.2002718</v>
      </c>
      <c r="U4514">
        <v>-4.4036869999999999E-2</v>
      </c>
      <c r="V4514">
        <v>-1.130491E-4</v>
      </c>
      <c r="W4514">
        <v>-6.8142010000000003E-2</v>
      </c>
      <c r="X4514">
        <v>0.9976756</v>
      </c>
      <c r="Y4514">
        <v>2.5257669999999999E-2</v>
      </c>
      <c r="Z4514">
        <v>-1.583536E-3</v>
      </c>
      <c r="AA4514">
        <v>0.99967969999999895</v>
      </c>
      <c r="AB4514">
        <v>33</v>
      </c>
      <c r="AC4514">
        <v>16.435099999999998</v>
      </c>
      <c r="AD4514">
        <v>-1.1209324502509901</v>
      </c>
      <c r="AE4514">
        <v>-0.24989999999999599</v>
      </c>
      <c r="AF4514">
        <v>0.42275531634359498</v>
      </c>
      <c r="AG4514">
        <v>-1.1209324502509901</v>
      </c>
      <c r="AH4514">
        <v>16.355448121507099</v>
      </c>
      <c r="AI4514">
        <v>93.919371639355404</v>
      </c>
      <c r="AJ4514">
        <v>88.519349456666504</v>
      </c>
      <c r="AK4514">
        <v>16.399265071058199</v>
      </c>
      <c r="AL4514">
        <v>93.907277466381998</v>
      </c>
      <c r="AM4514">
        <v>90.006492327044995</v>
      </c>
      <c r="AN4514">
        <v>0.99999997457114898</v>
      </c>
    </row>
    <row r="4515" spans="1:40" x14ac:dyDescent="0.25">
      <c r="A4515" t="str">
        <f>"20190303154227464"</f>
        <v>20190303154227464</v>
      </c>
      <c r="B4515" t="str">
        <f>"1551598947454110"</f>
        <v>1551598947454110</v>
      </c>
      <c r="C4515" t="s">
        <v>40</v>
      </c>
      <c r="D4515">
        <v>5.795973</v>
      </c>
      <c r="E4515">
        <v>0.50967739999999995</v>
      </c>
      <c r="F4515" t="s">
        <v>50</v>
      </c>
      <c r="G4515">
        <v>-235.6035</v>
      </c>
      <c r="H4515" s="1">
        <v>1.4263959999999999E-6</v>
      </c>
      <c r="I4515">
        <v>215.04509999999999</v>
      </c>
      <c r="J4515">
        <v>-251.93629999999999</v>
      </c>
      <c r="K4515">
        <v>1.120935</v>
      </c>
      <c r="L4515">
        <v>215.29249999999999</v>
      </c>
      <c r="M4515">
        <v>0.99983789999999995</v>
      </c>
      <c r="N4515">
        <v>-1.4494299999999899E-2</v>
      </c>
      <c r="O4515">
        <v>1.0683079999999999E-2</v>
      </c>
      <c r="P4515">
        <v>0.99653150000000001</v>
      </c>
      <c r="Q4515">
        <v>-8.2566890000000004E-2</v>
      </c>
      <c r="R4515">
        <v>1.038042E-2</v>
      </c>
      <c r="S4515">
        <v>2.994278</v>
      </c>
      <c r="T4515">
        <v>-0.2013867</v>
      </c>
      <c r="U4515">
        <v>-4.3807980000000003E-2</v>
      </c>
      <c r="V4515">
        <v>2.716951E-4</v>
      </c>
      <c r="W4515">
        <v>-6.8113399999999893E-2</v>
      </c>
      <c r="X4515">
        <v>0.99767760000000005</v>
      </c>
      <c r="Y4515">
        <v>2.5227079999999999E-2</v>
      </c>
      <c r="Z4515">
        <v>-1.5934059999999999E-3</v>
      </c>
      <c r="AA4515">
        <v>0.99968049999999997</v>
      </c>
      <c r="AB4515">
        <v>33</v>
      </c>
      <c r="AC4515">
        <v>16.332799999999899</v>
      </c>
      <c r="AD4515">
        <v>-1.120933573604</v>
      </c>
      <c r="AE4515">
        <v>-0.24739999999999801</v>
      </c>
      <c r="AF4515">
        <v>0.41991140675444799</v>
      </c>
      <c r="AG4515">
        <v>-1.120933573604</v>
      </c>
      <c r="AH4515">
        <v>16.2526887908916</v>
      </c>
      <c r="AI4515">
        <v>93.944079427008006</v>
      </c>
      <c r="AJ4515">
        <v>88.520011027116396</v>
      </c>
      <c r="AK4515">
        <v>16.296708581781999</v>
      </c>
      <c r="AL4515">
        <v>93.905634116462906</v>
      </c>
      <c r="AM4515">
        <v>89.984396780924399</v>
      </c>
      <c r="AN4515">
        <v>1.00000005130977</v>
      </c>
    </row>
    <row r="4516" spans="1:40" x14ac:dyDescent="0.25">
      <c r="A4516" t="str">
        <f>"20190303154227499"</f>
        <v>20190303154227499</v>
      </c>
      <c r="B4516" t="str">
        <f>"1551598947494126"</f>
        <v>1551598947494126</v>
      </c>
      <c r="C4516" t="s">
        <v>40</v>
      </c>
      <c r="D4516">
        <v>5.8164870000000004</v>
      </c>
      <c r="E4516">
        <v>0.50959149999999998</v>
      </c>
      <c r="F4516" t="s">
        <v>50</v>
      </c>
      <c r="G4516">
        <v>-235.149</v>
      </c>
      <c r="H4516" s="1">
        <v>1.1847320000000001E-6</v>
      </c>
      <c r="I4516">
        <v>215.0401</v>
      </c>
      <c r="J4516">
        <v>-251.4409</v>
      </c>
      <c r="K4516">
        <v>1.1209359999999999</v>
      </c>
      <c r="L4516">
        <v>215.2979</v>
      </c>
      <c r="M4516">
        <v>0.99983719999999998</v>
      </c>
      <c r="N4516">
        <v>-1.44916E-2</v>
      </c>
      <c r="O4516">
        <v>1.0751520000000001E-2</v>
      </c>
      <c r="P4516">
        <v>0.99655159999999998</v>
      </c>
      <c r="Q4516">
        <v>-8.2291000000000003E-2</v>
      </c>
      <c r="R4516">
        <v>1.063602E-2</v>
      </c>
      <c r="S4516">
        <v>2.9943240000000002</v>
      </c>
      <c r="T4516">
        <v>-0.19993949999999999</v>
      </c>
      <c r="U4516">
        <v>-4.501343E-2</v>
      </c>
      <c r="V4516" s="1">
        <v>8.4564669999999897E-5</v>
      </c>
      <c r="W4516">
        <v>-6.7839919999999998E-2</v>
      </c>
      <c r="X4516">
        <v>0.99769620000000003</v>
      </c>
      <c r="Y4516">
        <v>2.569745E-2</v>
      </c>
      <c r="Z4516">
        <v>-1.604819E-3</v>
      </c>
      <c r="AA4516">
        <v>0.99966849999999996</v>
      </c>
      <c r="AB4516">
        <v>33</v>
      </c>
      <c r="AC4516">
        <v>16.291899999999998</v>
      </c>
      <c r="AD4516">
        <v>-1.1209348152680001</v>
      </c>
      <c r="AE4516">
        <v>-0.25780000000000303</v>
      </c>
      <c r="AF4516">
        <v>0.430926733206553</v>
      </c>
      <c r="AG4516">
        <v>-1.1209348152680001</v>
      </c>
      <c r="AH4516">
        <v>16.2114622039302</v>
      </c>
      <c r="AI4516">
        <v>93.954005089055599</v>
      </c>
      <c r="AJ4516">
        <v>88.477344609010203</v>
      </c>
      <c r="AK4516">
        <v>16.2558819969551</v>
      </c>
      <c r="AL4516">
        <v>93.8899287985748</v>
      </c>
      <c r="AM4516">
        <v>89.995143613180701</v>
      </c>
      <c r="AN4516">
        <v>0.99999998469561402</v>
      </c>
    </row>
    <row r="4517" spans="1:40" x14ac:dyDescent="0.25">
      <c r="A4517" t="str">
        <f>"20190303154227521"</f>
        <v>20190303154227521</v>
      </c>
      <c r="B4517" t="str">
        <f>"1551598947514622"</f>
        <v>1551598947514622</v>
      </c>
      <c r="C4517" t="s">
        <v>40</v>
      </c>
      <c r="D4517">
        <v>5.8094530000000004</v>
      </c>
      <c r="E4517">
        <v>0.50960450000000002</v>
      </c>
      <c r="F4517" t="s">
        <v>50</v>
      </c>
      <c r="G4517">
        <v>-234.46190000000001</v>
      </c>
      <c r="H4517" s="1">
        <v>8.1863749999999996E-7</v>
      </c>
      <c r="I4517">
        <v>215.0505</v>
      </c>
      <c r="J4517">
        <v>-251.1061</v>
      </c>
      <c r="K4517">
        <v>1.1209389999999999</v>
      </c>
      <c r="L4517">
        <v>215.30160000000001</v>
      </c>
      <c r="M4517">
        <v>0.99983670000000002</v>
      </c>
      <c r="N4517">
        <v>-1.4489520000000001E-2</v>
      </c>
      <c r="O4517">
        <v>1.079778E-2</v>
      </c>
      <c r="P4517">
        <v>0.99649940000000004</v>
      </c>
      <c r="Q4517">
        <v>-8.2882960000000006E-2</v>
      </c>
      <c r="R4517">
        <v>1.0927869999999999E-2</v>
      </c>
      <c r="S4517">
        <v>2.9945219999999999</v>
      </c>
      <c r="T4517">
        <v>-0.19769539999999999</v>
      </c>
      <c r="U4517">
        <v>-4.3624879999999998E-2</v>
      </c>
      <c r="V4517">
        <v>-1.615702E-4</v>
      </c>
      <c r="W4517">
        <v>-6.8434599999999998E-2</v>
      </c>
      <c r="X4517">
        <v>0.99765559999999998</v>
      </c>
      <c r="Y4517">
        <v>2.528215E-2</v>
      </c>
      <c r="Z4517">
        <v>-1.572754E-3</v>
      </c>
      <c r="AA4517">
        <v>0.99967910000000004</v>
      </c>
      <c r="AB4517">
        <v>33</v>
      </c>
      <c r="AC4517">
        <v>16.644199999999898</v>
      </c>
      <c r="AD4517">
        <v>-1.1209381813624999</v>
      </c>
      <c r="AE4517">
        <v>-0.25110000000000798</v>
      </c>
      <c r="AF4517">
        <v>0.42887984317709199</v>
      </c>
      <c r="AG4517">
        <v>-1.1209381813624999</v>
      </c>
      <c r="AH4517">
        <v>16.565400464405901</v>
      </c>
      <c r="AI4517">
        <v>93.869864365936493</v>
      </c>
      <c r="AJ4517">
        <v>88.516937952280003</v>
      </c>
      <c r="AK4517">
        <v>16.608820935649199</v>
      </c>
      <c r="AL4517">
        <v>93.924080731420801</v>
      </c>
      <c r="AM4517">
        <v>90.009279044265497</v>
      </c>
      <c r="AN4517">
        <v>1.00000000839672</v>
      </c>
    </row>
    <row r="4518" spans="1:40" x14ac:dyDescent="0.25">
      <c r="A4518" t="str">
        <f>"20190303154227543"</f>
        <v>20190303154227543</v>
      </c>
      <c r="B4518" t="str">
        <f>"1551598947534142"</f>
        <v>1551598947534142</v>
      </c>
      <c r="C4518" t="s">
        <v>40</v>
      </c>
      <c r="D4518">
        <v>5.7807769999999996</v>
      </c>
      <c r="E4518">
        <v>0.50961109999999998</v>
      </c>
      <c r="F4518" t="s">
        <v>50</v>
      </c>
      <c r="G4518">
        <v>-234.2542</v>
      </c>
      <c r="H4518" s="1">
        <v>7.0762330000000004E-7</v>
      </c>
      <c r="I4518">
        <v>215.06120000000001</v>
      </c>
      <c r="J4518">
        <v>-250.78210000000001</v>
      </c>
      <c r="K4518">
        <v>1.1209389999999999</v>
      </c>
      <c r="L4518">
        <v>215.30510000000001</v>
      </c>
      <c r="M4518">
        <v>0.99983639999999996</v>
      </c>
      <c r="N4518">
        <v>-1.44875E-2</v>
      </c>
      <c r="O4518">
        <v>1.0842070000000001E-2</v>
      </c>
      <c r="P4518">
        <v>0.99649920000000003</v>
      </c>
      <c r="Q4518">
        <v>-8.2864960000000001E-2</v>
      </c>
      <c r="R4518">
        <v>1.1094400000000001E-2</v>
      </c>
      <c r="S4518">
        <v>2.9944459999999999</v>
      </c>
      <c r="T4518">
        <v>-0.19918169999999999</v>
      </c>
      <c r="U4518">
        <v>-4.270935E-2</v>
      </c>
      <c r="V4518">
        <v>-2.8430589999999998E-4</v>
      </c>
      <c r="W4518">
        <v>-6.8418610000000005E-2</v>
      </c>
      <c r="X4518">
        <v>0.9976566</v>
      </c>
      <c r="Y4518">
        <v>2.502066E-2</v>
      </c>
      <c r="Z4518">
        <v>-1.5761099999999999E-3</v>
      </c>
      <c r="AA4518">
        <v>0.99968570000000001</v>
      </c>
      <c r="AB4518">
        <v>33</v>
      </c>
      <c r="AC4518">
        <v>16.527899999999999</v>
      </c>
      <c r="AD4518">
        <v>-1.1209382923767</v>
      </c>
      <c r="AE4518">
        <v>-0.24389999999999601</v>
      </c>
      <c r="AF4518">
        <v>0.421164293677455</v>
      </c>
      <c r="AG4518">
        <v>-1.1209382923767</v>
      </c>
      <c r="AH4518">
        <v>16.448641586411899</v>
      </c>
      <c r="AI4518">
        <v>93.897278724274997</v>
      </c>
      <c r="AJ4518">
        <v>88.533273097805704</v>
      </c>
      <c r="AK4518">
        <v>16.492170628993101</v>
      </c>
      <c r="AL4518">
        <v>93.923162691136397</v>
      </c>
      <c r="AM4518">
        <v>90.016327790263404</v>
      </c>
      <c r="AN4518">
        <v>0.99999993927386599</v>
      </c>
    </row>
    <row r="4519" spans="1:40" x14ac:dyDescent="0.25">
      <c r="A4519" t="str">
        <f>"20190303154227565"</f>
        <v>20190303154227565</v>
      </c>
      <c r="B4519" t="str">
        <f>"1551598947554951"</f>
        <v>1551598947554951</v>
      </c>
      <c r="C4519" t="s">
        <v>40</v>
      </c>
      <c r="D4519">
        <v>5.8328220000000002</v>
      </c>
      <c r="E4519">
        <v>0.50962700000000005</v>
      </c>
      <c r="F4519" t="s">
        <v>50</v>
      </c>
      <c r="G4519">
        <v>-233.90870000000001</v>
      </c>
      <c r="H4519" s="1">
        <v>5.2358499999999996E-7</v>
      </c>
      <c r="I4519">
        <v>215.06620000000001</v>
      </c>
      <c r="J4519">
        <v>-250.45930000000001</v>
      </c>
      <c r="K4519">
        <v>1.1209439999999999</v>
      </c>
      <c r="L4519">
        <v>215.30869999999999</v>
      </c>
      <c r="M4519">
        <v>0.9998359</v>
      </c>
      <c r="N4519">
        <v>-1.4485029999999999E-2</v>
      </c>
      <c r="O4519">
        <v>1.088385E-2</v>
      </c>
      <c r="P4519">
        <v>0.99648380000000003</v>
      </c>
      <c r="Q4519">
        <v>-8.3036070000000003E-2</v>
      </c>
      <c r="R4519">
        <v>1.1183240000000001E-2</v>
      </c>
      <c r="S4519">
        <v>2.9944760000000001</v>
      </c>
      <c r="T4519">
        <v>-0.19893040000000001</v>
      </c>
      <c r="U4519">
        <v>-4.2404169999999998E-2</v>
      </c>
      <c r="V4519">
        <v>-3.3139829999999999E-4</v>
      </c>
      <c r="W4519">
        <v>-6.8592360000000005E-2</v>
      </c>
      <c r="X4519">
        <v>0.99764470000000005</v>
      </c>
      <c r="Y4519">
        <v>2.4960739999999999E-2</v>
      </c>
      <c r="Z4519">
        <v>-1.573882E-3</v>
      </c>
      <c r="AA4519">
        <v>0.9996872</v>
      </c>
      <c r="AB4519">
        <v>33</v>
      </c>
      <c r="AC4519">
        <v>16.550599999999999</v>
      </c>
      <c r="AD4519">
        <v>-1.1209434764149999</v>
      </c>
      <c r="AE4519">
        <v>-0.24249999999997801</v>
      </c>
      <c r="AF4519">
        <v>0.42070934338142701</v>
      </c>
      <c r="AG4519">
        <v>-1.1209434764149999</v>
      </c>
      <c r="AH4519">
        <v>16.471439652407899</v>
      </c>
      <c r="AI4519">
        <v>93.891925298852897</v>
      </c>
      <c r="AJ4519">
        <v>88.536883813121804</v>
      </c>
      <c r="AK4519">
        <v>16.514897361226399</v>
      </c>
      <c r="AL4519">
        <v>93.933141097355204</v>
      </c>
      <c r="AM4519">
        <v>90.019032550595796</v>
      </c>
      <c r="AN4519">
        <v>0.99999998455664596</v>
      </c>
    </row>
    <row r="4520" spans="1:40" x14ac:dyDescent="0.25">
      <c r="A4520" t="str">
        <f>"20190303154227587"</f>
        <v>20190303154227587</v>
      </c>
      <c r="B4520" t="str">
        <f>"1551598947584231"</f>
        <v>1551598947584231</v>
      </c>
      <c r="C4520" t="s">
        <v>40</v>
      </c>
      <c r="D4520">
        <v>5.8654609999999998</v>
      </c>
      <c r="E4520">
        <v>0.50973690000000005</v>
      </c>
      <c r="F4520" t="s">
        <v>50</v>
      </c>
      <c r="G4520">
        <v>-233.62880000000001</v>
      </c>
      <c r="H4520" s="1">
        <v>3.7440200000000002E-7</v>
      </c>
      <c r="I4520">
        <v>215.07140000000001</v>
      </c>
      <c r="J4520">
        <v>-250.142</v>
      </c>
      <c r="K4520">
        <v>1.1209469999999999</v>
      </c>
      <c r="L4520">
        <v>215.31209999999999</v>
      </c>
      <c r="M4520">
        <v>0.99983560000000005</v>
      </c>
      <c r="N4520">
        <v>-1.448229E-2</v>
      </c>
      <c r="O4520">
        <v>1.092137E-2</v>
      </c>
      <c r="P4520">
        <v>0.99650729999999998</v>
      </c>
      <c r="Q4520">
        <v>-8.2777069999999994E-2</v>
      </c>
      <c r="R4520">
        <v>1.1019289999999999E-2</v>
      </c>
      <c r="S4520">
        <v>2.9944459999999999</v>
      </c>
      <c r="T4520">
        <v>-0.19943620000000001</v>
      </c>
      <c r="U4520">
        <v>-4.2221069999999999E-2</v>
      </c>
      <c r="V4520">
        <v>-1.3064930000000001E-4</v>
      </c>
      <c r="W4520">
        <v>-6.8335789999999993E-2</v>
      </c>
      <c r="X4520">
        <v>0.99766239999999995</v>
      </c>
      <c r="Y4520">
        <v>2.4936880000000002E-2</v>
      </c>
      <c r="Z4520">
        <v>-1.578816E-3</v>
      </c>
      <c r="AA4520">
        <v>0.99968780000000002</v>
      </c>
      <c r="AB4520">
        <v>33</v>
      </c>
      <c r="AC4520">
        <v>16.513199999999902</v>
      </c>
      <c r="AD4520">
        <v>-1.1209466255979901</v>
      </c>
      <c r="AE4520">
        <v>-0.24069999999997499</v>
      </c>
      <c r="AF4520">
        <v>0.41912042865274102</v>
      </c>
      <c r="AG4520">
        <v>-1.1209466255979901</v>
      </c>
      <c r="AH4520">
        <v>16.4338755719956</v>
      </c>
      <c r="AI4520">
        <v>93.900808641170201</v>
      </c>
      <c r="AJ4520">
        <v>88.539076969941306</v>
      </c>
      <c r="AK4520">
        <v>16.477392074809298</v>
      </c>
      <c r="AL4520">
        <v>93.918405963025904</v>
      </c>
      <c r="AM4520">
        <v>90.007503192907294</v>
      </c>
      <c r="AN4520">
        <v>1.0000000308189601</v>
      </c>
    </row>
    <row r="4521" spans="1:40" x14ac:dyDescent="0.25">
      <c r="A4521" t="str">
        <f>"20190303154227610"</f>
        <v>20190303154227610</v>
      </c>
      <c r="B4521" t="str">
        <f>"1551598947604727"</f>
        <v>1551598947604727</v>
      </c>
      <c r="C4521" t="s">
        <v>40</v>
      </c>
      <c r="D4521">
        <v>5.8624999999999998</v>
      </c>
      <c r="E4521">
        <v>0.50986750000000003</v>
      </c>
      <c r="F4521" t="s">
        <v>50</v>
      </c>
      <c r="G4521">
        <v>-233.1848</v>
      </c>
      <c r="H4521" s="1">
        <v>1.3833620000000001E-7</v>
      </c>
      <c r="I4521">
        <v>215.066</v>
      </c>
      <c r="J4521">
        <v>-249.80670000000001</v>
      </c>
      <c r="K4521">
        <v>1.120943</v>
      </c>
      <c r="L4521">
        <v>215.3159</v>
      </c>
      <c r="M4521">
        <v>0.99983529999999998</v>
      </c>
      <c r="N4521">
        <v>-1.4479240000000001E-2</v>
      </c>
      <c r="O4521">
        <v>1.0954149999999999E-2</v>
      </c>
      <c r="P4521">
        <v>0.99653049999999999</v>
      </c>
      <c r="Q4521">
        <v>-8.2489709999999994E-2</v>
      </c>
      <c r="R4521">
        <v>1.108106E-2</v>
      </c>
      <c r="S4521">
        <v>2.9945529999999998</v>
      </c>
      <c r="T4521">
        <v>-0.1979535</v>
      </c>
      <c r="U4521">
        <v>-4.3472289999999997E-2</v>
      </c>
      <c r="V4521">
        <v>-1.606229E-4</v>
      </c>
      <c r="W4521">
        <v>-6.8051169999999994E-2</v>
      </c>
      <c r="X4521">
        <v>0.99768179999999995</v>
      </c>
      <c r="Y4521">
        <v>2.5386720000000002E-2</v>
      </c>
      <c r="Z4521">
        <v>-1.587006E-3</v>
      </c>
      <c r="AA4521">
        <v>0.99967649999999997</v>
      </c>
      <c r="AB4521">
        <v>33</v>
      </c>
      <c r="AC4521">
        <v>16.6219</v>
      </c>
      <c r="AD4521">
        <v>-1.1209428616638</v>
      </c>
      <c r="AE4521">
        <v>-0.24990000000002499</v>
      </c>
      <c r="AF4521">
        <v>0.43002759713937599</v>
      </c>
      <c r="AG4521">
        <v>-1.1209428616638</v>
      </c>
      <c r="AH4521">
        <v>16.5429470219438</v>
      </c>
      <c r="AI4521">
        <v>93.875106532938702</v>
      </c>
      <c r="AJ4521">
        <v>88.510953400917103</v>
      </c>
      <c r="AK4521">
        <v>16.586456306404202</v>
      </c>
      <c r="AL4521">
        <v>93.902060583593098</v>
      </c>
      <c r="AM4521">
        <v>90.009224398183505</v>
      </c>
      <c r="AN4521">
        <v>0.99999998079466201</v>
      </c>
    </row>
    <row r="4522" spans="1:40" x14ac:dyDescent="0.25">
      <c r="A4522" t="str">
        <f>"20190303154227632"</f>
        <v>20190303154227632</v>
      </c>
      <c r="B4522" t="str">
        <f>"1551598947624259"</f>
        <v>1551598947624259</v>
      </c>
      <c r="C4522" t="s">
        <v>40</v>
      </c>
      <c r="D4522">
        <v>6.0177180000000003</v>
      </c>
      <c r="E4522">
        <v>0.51056579999999996</v>
      </c>
      <c r="F4522" t="s">
        <v>50</v>
      </c>
      <c r="G4522">
        <v>-232.73439999999999</v>
      </c>
      <c r="H4522" s="1">
        <v>-1.0122030000000001E-7</v>
      </c>
      <c r="I4522">
        <v>215.06389999999999</v>
      </c>
      <c r="J4522">
        <v>-249.4845</v>
      </c>
      <c r="K4522">
        <v>1.1209370000000001</v>
      </c>
      <c r="L4522">
        <v>215.3194</v>
      </c>
      <c r="M4522">
        <v>0.99983500000000003</v>
      </c>
      <c r="N4522">
        <v>-1.447623E-2</v>
      </c>
      <c r="O4522">
        <v>1.097717E-2</v>
      </c>
      <c r="P4522">
        <v>0.99651299999999998</v>
      </c>
      <c r="Q4522">
        <v>-8.2675780000000004E-2</v>
      </c>
      <c r="R4522">
        <v>1.1253839999999999E-2</v>
      </c>
      <c r="S4522">
        <v>2.994675</v>
      </c>
      <c r="T4522">
        <v>-0.196627</v>
      </c>
      <c r="U4522">
        <v>-4.4204710000000001E-2</v>
      </c>
      <c r="V4522">
        <v>-3.1142589999999998E-4</v>
      </c>
      <c r="W4522">
        <v>-6.8240480000000006E-2</v>
      </c>
      <c r="X4522">
        <v>0.99766889999999997</v>
      </c>
      <c r="Y4522">
        <v>2.5653949999999998E-2</v>
      </c>
      <c r="Z4522">
        <v>-1.5883679999999999E-3</v>
      </c>
      <c r="AA4522">
        <v>0.99966960000000005</v>
      </c>
      <c r="AB4522">
        <v>33</v>
      </c>
      <c r="AC4522">
        <v>16.7501</v>
      </c>
      <c r="AD4522">
        <v>-1.1209371012203</v>
      </c>
      <c r="AE4522">
        <v>-0.255500000000012</v>
      </c>
      <c r="AF4522">
        <v>0.43741407764224699</v>
      </c>
      <c r="AG4522">
        <v>-1.1209371012203</v>
      </c>
      <c r="AH4522">
        <v>16.671639889549301</v>
      </c>
      <c r="AI4522">
        <v>93.845239678629994</v>
      </c>
      <c r="AJ4522">
        <v>88.497074531467604</v>
      </c>
      <c r="AK4522">
        <v>16.715005464163699</v>
      </c>
      <c r="AL4522">
        <v>93.912932261352793</v>
      </c>
      <c r="AM4522">
        <v>90.017885081033896</v>
      </c>
      <c r="AN4522">
        <v>1.0000000470619601</v>
      </c>
    </row>
    <row r="4523" spans="1:40" x14ac:dyDescent="0.25">
      <c r="A4523" t="str">
        <f>"20190303154227653"</f>
        <v>20190303154227653</v>
      </c>
      <c r="B4523" t="str">
        <f>"1551598947644743"</f>
        <v>1551598947644743</v>
      </c>
      <c r="C4523" t="s">
        <v>40</v>
      </c>
      <c r="D4523">
        <v>6.0124309999999896</v>
      </c>
      <c r="E4523">
        <v>0.51118260000000004</v>
      </c>
      <c r="F4523" t="s">
        <v>50</v>
      </c>
      <c r="G4523">
        <v>-232.6319</v>
      </c>
      <c r="H4523" s="1">
        <v>-1.547555E-7</v>
      </c>
      <c r="I4523">
        <v>215.0402</v>
      </c>
      <c r="J4523">
        <v>-249.15729999999999</v>
      </c>
      <c r="K4523">
        <v>1.120927</v>
      </c>
      <c r="L4523">
        <v>215.32300000000001</v>
      </c>
      <c r="M4523">
        <v>0.99983480000000002</v>
      </c>
      <c r="N4523">
        <v>-1.4473079999999999E-2</v>
      </c>
      <c r="O4523">
        <v>1.0992679999999999E-2</v>
      </c>
      <c r="P4523">
        <v>0.99649080000000001</v>
      </c>
      <c r="Q4523">
        <v>-8.290235E-2</v>
      </c>
      <c r="R4523">
        <v>1.154694E-2</v>
      </c>
      <c r="S4523">
        <v>2.9945529999999998</v>
      </c>
      <c r="T4523">
        <v>-0.19917989999999999</v>
      </c>
      <c r="U4523">
        <v>-4.9606320000000002E-2</v>
      </c>
      <c r="V4523">
        <v>-5.9019170000000002E-4</v>
      </c>
      <c r="W4523">
        <v>-6.8470429999999999E-2</v>
      </c>
      <c r="X4523">
        <v>0.99765289999999995</v>
      </c>
      <c r="Y4523">
        <v>2.7465799999999999E-2</v>
      </c>
      <c r="Z4523">
        <v>-1.682769E-3</v>
      </c>
      <c r="AA4523">
        <v>0.99962130000000005</v>
      </c>
      <c r="AB4523">
        <v>33</v>
      </c>
      <c r="AC4523">
        <v>16.525399999999902</v>
      </c>
      <c r="AD4523">
        <v>-1.1209271547555</v>
      </c>
      <c r="AE4523">
        <v>-0.28279999999998001</v>
      </c>
      <c r="AF4523">
        <v>0.46233380995541001</v>
      </c>
      <c r="AG4523">
        <v>-1.1209271547555</v>
      </c>
      <c r="AH4523">
        <v>16.4456482201096</v>
      </c>
      <c r="AI4523">
        <v>93.897685723712399</v>
      </c>
      <c r="AJ4523">
        <v>88.389677292069095</v>
      </c>
      <c r="AK4523">
        <v>16.490287311556798</v>
      </c>
      <c r="AL4523">
        <v>93.9261387800547</v>
      </c>
      <c r="AM4523">
        <v>90.033895044628096</v>
      </c>
      <c r="AN4523">
        <v>0.99999992849451602</v>
      </c>
    </row>
    <row r="4524" spans="1:40" x14ac:dyDescent="0.25">
      <c r="A4524" t="str">
        <f>"20190303154227676"</f>
        <v>20190303154227676</v>
      </c>
      <c r="B4524" t="str">
        <f>"1551598947664684"</f>
        <v>1551598947664684</v>
      </c>
      <c r="C4524" t="s">
        <v>40</v>
      </c>
      <c r="D4524">
        <v>5.9995339999999997</v>
      </c>
      <c r="E4524">
        <v>0.51177969999999995</v>
      </c>
      <c r="F4524" t="s">
        <v>50</v>
      </c>
      <c r="G4524">
        <v>-232.46979999999999</v>
      </c>
      <c r="H4524" s="1">
        <v>-2.4032150000000001E-7</v>
      </c>
      <c r="I4524">
        <v>215.02459999999999</v>
      </c>
      <c r="J4524">
        <v>-248.83840000000001</v>
      </c>
      <c r="K4524">
        <v>1.1209229999999999</v>
      </c>
      <c r="L4524">
        <v>215.32650000000001</v>
      </c>
      <c r="M4524">
        <v>0.99983500000000003</v>
      </c>
      <c r="N4524">
        <v>-1.4469940000000001E-2</v>
      </c>
      <c r="O4524">
        <v>1.10013E-2</v>
      </c>
      <c r="P4524">
        <v>0.99649969999999999</v>
      </c>
      <c r="Q4524">
        <v>-8.2688250000000005E-2</v>
      </c>
      <c r="R4524">
        <v>1.229851E-2</v>
      </c>
      <c r="S4524">
        <v>2.9944310000000001</v>
      </c>
      <c r="T4524">
        <v>-0.20114119999999999</v>
      </c>
      <c r="U4524">
        <v>-5.3543090000000002E-2</v>
      </c>
      <c r="V4524">
        <v>-1.3342339999999999E-3</v>
      </c>
      <c r="W4524">
        <v>-6.8259199999999895E-2</v>
      </c>
      <c r="X4524">
        <v>0.99766670000000002</v>
      </c>
      <c r="Y4524">
        <v>2.878354E-2</v>
      </c>
      <c r="Z4524">
        <v>-1.7531669999999999E-3</v>
      </c>
      <c r="AA4524">
        <v>0.99958409999999998</v>
      </c>
      <c r="AB4524">
        <v>33</v>
      </c>
      <c r="AC4524">
        <v>16.368600000000001</v>
      </c>
      <c r="AD4524">
        <v>-1.1209232403214999</v>
      </c>
      <c r="AE4524">
        <v>-0.30190000000001699</v>
      </c>
      <c r="AF4524">
        <v>0.47972749328408198</v>
      </c>
      <c r="AG4524">
        <v>-1.1209232403214999</v>
      </c>
      <c r="AH4524">
        <v>16.2879309361571</v>
      </c>
      <c r="AI4524">
        <v>93.9351444065788</v>
      </c>
      <c r="AJ4524">
        <v>88.312958410388902</v>
      </c>
      <c r="AK4524">
        <v>16.333502427817798</v>
      </c>
      <c r="AL4524">
        <v>93.914007641606503</v>
      </c>
      <c r="AM4524">
        <v>90.076624719967</v>
      </c>
      <c r="AN4524">
        <v>0.99999997142694796</v>
      </c>
    </row>
    <row r="4525" spans="1:40" x14ac:dyDescent="0.25">
      <c r="A4525" t="str">
        <f>"20190303154227700"</f>
        <v>20190303154227700</v>
      </c>
      <c r="B4525" t="str">
        <f>"1551598947694940"</f>
        <v>1551598947694940</v>
      </c>
      <c r="C4525" t="s">
        <v>40</v>
      </c>
      <c r="D4525">
        <v>6.0142350000000002</v>
      </c>
      <c r="E4525">
        <v>0.51267019999999996</v>
      </c>
      <c r="F4525" t="s">
        <v>50</v>
      </c>
      <c r="G4525">
        <v>-232.1823</v>
      </c>
      <c r="H4525" s="1">
        <v>-3.9287889999999999E-7</v>
      </c>
      <c r="I4525">
        <v>215.0146</v>
      </c>
      <c r="J4525">
        <v>-248.49459999999999</v>
      </c>
      <c r="K4525">
        <v>1.120919</v>
      </c>
      <c r="L4525">
        <v>215.33029999999999</v>
      </c>
      <c r="M4525">
        <v>0.99983480000000002</v>
      </c>
      <c r="N4525">
        <v>-1.446654E-2</v>
      </c>
      <c r="O4525">
        <v>1.100494E-2</v>
      </c>
      <c r="P4525">
        <v>0.99652779999999996</v>
      </c>
      <c r="Q4525">
        <v>-8.2230490000000003E-2</v>
      </c>
      <c r="R4525">
        <v>1.3059339999999999E-2</v>
      </c>
      <c r="S4525">
        <v>2.9944920000000002</v>
      </c>
      <c r="T4525">
        <v>-0.20152349999999999</v>
      </c>
      <c r="U4525">
        <v>-5.6076050000000002E-2</v>
      </c>
      <c r="V4525">
        <v>-2.092128E-3</v>
      </c>
      <c r="W4525">
        <v>-6.7804349999999999E-2</v>
      </c>
      <c r="X4525">
        <v>0.99769649999999999</v>
      </c>
      <c r="Y4525">
        <v>2.9629369999999999E-2</v>
      </c>
      <c r="Z4525">
        <v>-1.7910910000000001E-3</v>
      </c>
      <c r="AA4525">
        <v>0.99955930000000004</v>
      </c>
      <c r="AB4525">
        <v>33</v>
      </c>
      <c r="AC4525">
        <v>16.312299999999901</v>
      </c>
      <c r="AD4525">
        <v>-1.1209193928788901</v>
      </c>
      <c r="AE4525">
        <v>-0.31569999999999199</v>
      </c>
      <c r="AF4525">
        <v>0.49288903742395801</v>
      </c>
      <c r="AG4525">
        <v>-1.1209193928788901</v>
      </c>
      <c r="AH4525">
        <v>16.2312235622698</v>
      </c>
      <c r="AI4525">
        <v>93.948728287661197</v>
      </c>
      <c r="AJ4525">
        <v>88.260649557803205</v>
      </c>
      <c r="AK4525">
        <v>16.277346780631301</v>
      </c>
      <c r="AL4525">
        <v>93.887885804590795</v>
      </c>
      <c r="AM4525">
        <v>90.120146686795593</v>
      </c>
      <c r="AN4525">
        <v>1.0000000564953599</v>
      </c>
    </row>
    <row r="4526" spans="1:40" x14ac:dyDescent="0.25">
      <c r="A4526" t="str">
        <f>"20190303154227722"</f>
        <v>20190303154227722</v>
      </c>
      <c r="B4526" t="str">
        <f>"1551598947714459"</f>
        <v>1551598947714459</v>
      </c>
      <c r="C4526" t="s">
        <v>40</v>
      </c>
      <c r="D4526">
        <v>6.0019669999999996</v>
      </c>
      <c r="E4526">
        <v>0.51318629999999998</v>
      </c>
      <c r="F4526" t="s">
        <v>50</v>
      </c>
      <c r="G4526">
        <v>-231.84889999999999</v>
      </c>
      <c r="H4526" s="1">
        <v>-5.6936099999999999E-7</v>
      </c>
      <c r="I4526">
        <v>214.99250000000001</v>
      </c>
      <c r="J4526">
        <v>-248.17609999999999</v>
      </c>
      <c r="K4526">
        <v>1.120914</v>
      </c>
      <c r="L4526">
        <v>215.3338</v>
      </c>
      <c r="M4526">
        <v>0.99983480000000002</v>
      </c>
      <c r="N4526">
        <v>-1.4463500000000001E-2</v>
      </c>
      <c r="O4526">
        <v>1.100491E-2</v>
      </c>
      <c r="P4526">
        <v>0.99652439999999998</v>
      </c>
      <c r="Q4526">
        <v>-8.2283179999999997E-2</v>
      </c>
      <c r="R4526">
        <v>1.2975520000000001E-2</v>
      </c>
      <c r="S4526">
        <v>2.9946290000000002</v>
      </c>
      <c r="T4526">
        <v>-0.20165720000000001</v>
      </c>
      <c r="U4526">
        <v>-6.0775759999999998E-2</v>
      </c>
      <c r="V4526">
        <v>-2.0088660000000002E-3</v>
      </c>
      <c r="W4526">
        <v>-6.7860110000000001E-2</v>
      </c>
      <c r="X4526">
        <v>0.99769280000000005</v>
      </c>
      <c r="Y4526">
        <v>3.1192129999999998E-2</v>
      </c>
      <c r="Z4526">
        <v>-1.856E-3</v>
      </c>
      <c r="AA4526">
        <v>0.9995117</v>
      </c>
      <c r="AB4526">
        <v>33</v>
      </c>
      <c r="AC4526">
        <v>16.327200000000001</v>
      </c>
      <c r="AD4526">
        <v>-1.1209145693610001</v>
      </c>
      <c r="AE4526">
        <v>-0.341299999999989</v>
      </c>
      <c r="AF4526">
        <v>0.51853457578337103</v>
      </c>
      <c r="AG4526">
        <v>-1.1209145693610001</v>
      </c>
      <c r="AH4526">
        <v>16.2459168947554</v>
      </c>
      <c r="AI4526">
        <v>93.944961508084901</v>
      </c>
      <c r="AJ4526">
        <v>88.171863113290797</v>
      </c>
      <c r="AK4526">
        <v>16.292794214909399</v>
      </c>
      <c r="AL4526">
        <v>93.891088303814897</v>
      </c>
      <c r="AM4526">
        <v>90.115365559279397</v>
      </c>
      <c r="AN4526">
        <v>0.99999997662182805</v>
      </c>
    </row>
    <row r="4527" spans="1:40" x14ac:dyDescent="0.25">
      <c r="A4527" t="str">
        <f>"20190303154227743"</f>
        <v>20190303154227743</v>
      </c>
      <c r="B4527" t="str">
        <f>"1551598947733980"</f>
        <v>1551598947733980</v>
      </c>
      <c r="C4527" t="s">
        <v>40</v>
      </c>
      <c r="D4527">
        <v>5.9624180000000004</v>
      </c>
      <c r="E4527">
        <v>0.51367799999999997</v>
      </c>
      <c r="F4527" t="s">
        <v>50</v>
      </c>
      <c r="G4527">
        <v>-231.63380000000001</v>
      </c>
      <c r="H4527" s="1">
        <v>-6.8292719999999899E-7</v>
      </c>
      <c r="I4527">
        <v>214.97290000000001</v>
      </c>
      <c r="J4527">
        <v>-247.86109999999999</v>
      </c>
      <c r="K4527">
        <v>1.1209180000000001</v>
      </c>
      <c r="L4527">
        <v>215.3373</v>
      </c>
      <c r="M4527">
        <v>0.99983509999999998</v>
      </c>
      <c r="N4527">
        <v>-1.4460399999999899E-2</v>
      </c>
      <c r="O4527">
        <v>1.100306E-2</v>
      </c>
      <c r="P4527">
        <v>0.99655530000000003</v>
      </c>
      <c r="Q4527">
        <v>-8.1997349999999997E-2</v>
      </c>
      <c r="R4527">
        <v>1.2408600000000001E-2</v>
      </c>
      <c r="S4527">
        <v>2.9945529999999998</v>
      </c>
      <c r="T4527">
        <v>-0.20291229999999999</v>
      </c>
      <c r="U4527">
        <v>-6.5338129999999994E-2</v>
      </c>
      <c r="V4527">
        <v>-1.443242E-3</v>
      </c>
      <c r="W4527">
        <v>-6.7577029999999996E-2</v>
      </c>
      <c r="X4527">
        <v>0.99771299999999996</v>
      </c>
      <c r="Y4527">
        <v>3.2707460000000001E-2</v>
      </c>
      <c r="Z4527">
        <v>-1.929276E-3</v>
      </c>
      <c r="AA4527">
        <v>0.99946310000000005</v>
      </c>
      <c r="AB4527">
        <v>33</v>
      </c>
      <c r="AC4527">
        <v>16.2272999999999</v>
      </c>
      <c r="AD4527">
        <v>-1.1209186829272</v>
      </c>
      <c r="AE4527">
        <v>-0.36439999999998901</v>
      </c>
      <c r="AF4527">
        <v>0.54036944911672402</v>
      </c>
      <c r="AG4527">
        <v>-1.1209186829272</v>
      </c>
      <c r="AH4527">
        <v>16.1453088862831</v>
      </c>
      <c r="AI4527">
        <v>93.969279893444707</v>
      </c>
      <c r="AJ4527">
        <v>88.083075636600597</v>
      </c>
      <c r="AK4527">
        <v>16.193191682579599</v>
      </c>
      <c r="AL4527">
        <v>93.874831667253702</v>
      </c>
      <c r="AM4527">
        <v>90.082881166967198</v>
      </c>
      <c r="AN4527">
        <v>0.99999998415004498</v>
      </c>
    </row>
    <row r="4528" spans="1:40" x14ac:dyDescent="0.25">
      <c r="A4528" t="str">
        <f>"20190303154227765"</f>
        <v>20190303154227765</v>
      </c>
      <c r="B4528" t="str">
        <f>"1551598947754983"</f>
        <v>1551598947754983</v>
      </c>
      <c r="C4528" t="s">
        <v>40</v>
      </c>
      <c r="D4528">
        <v>5.9692610000000004</v>
      </c>
      <c r="E4528">
        <v>0.51414589999999905</v>
      </c>
      <c r="F4528" t="s">
        <v>50</v>
      </c>
      <c r="G4528">
        <v>-231.21019999999999</v>
      </c>
      <c r="H4528" s="1">
        <v>-9.0703470000000005E-7</v>
      </c>
      <c r="I4528">
        <v>214.9427</v>
      </c>
      <c r="J4528">
        <v>-247.53649999999999</v>
      </c>
      <c r="K4528">
        <v>1.1209229999999999</v>
      </c>
      <c r="L4528">
        <v>215.3409</v>
      </c>
      <c r="M4528">
        <v>0.99983489999999997</v>
      </c>
      <c r="N4528">
        <v>-1.445711E-2</v>
      </c>
      <c r="O4528">
        <v>1.1001210000000001E-2</v>
      </c>
      <c r="P4528">
        <v>0.99660150000000003</v>
      </c>
      <c r="Q4528">
        <v>-8.1497360000000005E-2</v>
      </c>
      <c r="R4528">
        <v>1.198811E-2</v>
      </c>
      <c r="S4528">
        <v>2.994659</v>
      </c>
      <c r="T4528">
        <v>-0.2015971</v>
      </c>
      <c r="U4528">
        <v>-7.0968630000000005E-2</v>
      </c>
      <c r="V4528">
        <v>-1.0246189999999901E-3</v>
      </c>
      <c r="W4528">
        <v>-6.7079799999999995E-2</v>
      </c>
      <c r="X4528">
        <v>0.9977471</v>
      </c>
      <c r="Y4528">
        <v>3.4579180000000001E-2</v>
      </c>
      <c r="Z4528">
        <v>-1.9935600000000001E-3</v>
      </c>
      <c r="AA4528">
        <v>0.99939999999999996</v>
      </c>
      <c r="AB4528">
        <v>32</v>
      </c>
      <c r="AC4528">
        <v>16.3263</v>
      </c>
      <c r="AD4528">
        <v>-1.1209239070346999</v>
      </c>
      <c r="AE4528">
        <v>-0.398200000000002</v>
      </c>
      <c r="AF4528">
        <v>0.57509443467529797</v>
      </c>
      <c r="AG4528">
        <v>-1.1209239070346999</v>
      </c>
      <c r="AH4528">
        <v>16.244402344607</v>
      </c>
      <c r="AI4528">
        <v>93.944900144831394</v>
      </c>
      <c r="AJ4528">
        <v>87.972425980501697</v>
      </c>
      <c r="AK4528">
        <v>16.293182977786401</v>
      </c>
      <c r="AL4528">
        <v>93.846277584162706</v>
      </c>
      <c r="AM4528">
        <v>90.058838881788603</v>
      </c>
      <c r="AN4528">
        <v>1.0000000124852699</v>
      </c>
    </row>
    <row r="4529" spans="1:40" x14ac:dyDescent="0.25">
      <c r="A4529" t="str">
        <f>"20190303154227788"</f>
        <v>20190303154227788</v>
      </c>
      <c r="B4529" t="str">
        <f>"1551598947784263"</f>
        <v>1551598947784263</v>
      </c>
      <c r="C4529" t="s">
        <v>40</v>
      </c>
      <c r="D4529">
        <v>5.9512429999999998</v>
      </c>
      <c r="E4529">
        <v>0.51479889999999995</v>
      </c>
      <c r="F4529" t="s">
        <v>50</v>
      </c>
      <c r="G4529">
        <v>-230.8203</v>
      </c>
      <c r="H4529" s="1">
        <v>-1.1134020000000001E-6</v>
      </c>
      <c r="I4529">
        <v>214.91659999999999</v>
      </c>
      <c r="J4529">
        <v>-247.21530000000001</v>
      </c>
      <c r="K4529">
        <v>1.120932</v>
      </c>
      <c r="L4529">
        <v>215.34440000000001</v>
      </c>
      <c r="M4529">
        <v>0.99983509999999998</v>
      </c>
      <c r="N4529">
        <v>-1.4453769999999999E-2</v>
      </c>
      <c r="O4529">
        <v>1.0999729999999999E-2</v>
      </c>
      <c r="P4529">
        <v>0.99664249999999999</v>
      </c>
      <c r="Q4529">
        <v>-8.1005750000000001E-2</v>
      </c>
      <c r="R4529">
        <v>1.190777E-2</v>
      </c>
      <c r="S4529">
        <v>2.9947050000000002</v>
      </c>
      <c r="T4529">
        <v>-0.2008132</v>
      </c>
      <c r="U4529">
        <v>-7.600403E-2</v>
      </c>
      <c r="V4529">
        <v>-9.4567360000000005E-4</v>
      </c>
      <c r="W4529">
        <v>-6.6590999999999997E-2</v>
      </c>
      <c r="X4529">
        <v>0.99777990000000005</v>
      </c>
      <c r="Y4529">
        <v>3.6252970000000002E-2</v>
      </c>
      <c r="Z4529">
        <v>-2.0541819999999999E-3</v>
      </c>
      <c r="AA4529">
        <v>0.99934049999999996</v>
      </c>
      <c r="AB4529">
        <v>32</v>
      </c>
      <c r="AC4529">
        <v>16.395</v>
      </c>
      <c r="AD4529">
        <v>-1.120933113402</v>
      </c>
      <c r="AE4529">
        <v>-0.427800000000019</v>
      </c>
      <c r="AF4529">
        <v>0.60530592868569599</v>
      </c>
      <c r="AG4529">
        <v>-1.120933113402</v>
      </c>
      <c r="AH4529">
        <v>16.313097802575101</v>
      </c>
      <c r="AI4529">
        <v>93.9281307708589</v>
      </c>
      <c r="AJ4529">
        <v>87.874985372242094</v>
      </c>
      <c r="AK4529">
        <v>16.362764015544599</v>
      </c>
      <c r="AL4529">
        <v>93.8182087229969</v>
      </c>
      <c r="AM4529">
        <v>90.054303649385005</v>
      </c>
      <c r="AN4529">
        <v>0.99999999221178304</v>
      </c>
    </row>
    <row r="4530" spans="1:40" x14ac:dyDescent="0.25">
      <c r="A4530" t="str">
        <f>"20190303154227811"</f>
        <v>20190303154227811</v>
      </c>
      <c r="B4530" t="str">
        <f>"1551598947804758"</f>
        <v>1551598947804758</v>
      </c>
      <c r="C4530" t="s">
        <v>40</v>
      </c>
      <c r="D4530">
        <v>5.9417949999999999</v>
      </c>
      <c r="E4530">
        <v>0.51522239999999997</v>
      </c>
      <c r="F4530" t="s">
        <v>50</v>
      </c>
      <c r="G4530">
        <v>-230.459</v>
      </c>
      <c r="H4530" s="1">
        <v>-1.3044500000000001E-6</v>
      </c>
      <c r="I4530">
        <v>214.8886</v>
      </c>
      <c r="J4530">
        <v>-246.87819999999999</v>
      </c>
      <c r="K4530">
        <v>1.120933</v>
      </c>
      <c r="L4530">
        <v>215.34809999999999</v>
      </c>
      <c r="M4530">
        <v>0.99983509999999998</v>
      </c>
      <c r="N4530">
        <v>-1.4450279999999999E-2</v>
      </c>
      <c r="O4530">
        <v>1.0998910000000001E-2</v>
      </c>
      <c r="P4530">
        <v>0.99670959999999997</v>
      </c>
      <c r="Q4530">
        <v>-8.0242270000000004E-2</v>
      </c>
      <c r="R4530">
        <v>1.146408E-2</v>
      </c>
      <c r="S4530">
        <v>2.994812</v>
      </c>
      <c r="T4530">
        <v>-0.2003412</v>
      </c>
      <c r="U4530">
        <v>-8.1466670000000005E-2</v>
      </c>
      <c r="V4530">
        <v>-5.0179749999999996E-4</v>
      </c>
      <c r="W4530">
        <v>-6.5830189999999997E-2</v>
      </c>
      <c r="X4530">
        <v>0.99783069999999896</v>
      </c>
      <c r="Y4530">
        <v>3.8068339999999999E-2</v>
      </c>
      <c r="Z4530">
        <v>-2.1232130000000001E-3</v>
      </c>
      <c r="AA4530">
        <v>0.99927290000000002</v>
      </c>
      <c r="AB4530">
        <v>32</v>
      </c>
      <c r="AC4530">
        <v>16.419199999999901</v>
      </c>
      <c r="AD4530">
        <v>-1.12093430445</v>
      </c>
      <c r="AE4530">
        <v>-0.45949999999999103</v>
      </c>
      <c r="AF4530">
        <v>0.63711723485926597</v>
      </c>
      <c r="AG4530">
        <v>-1.12093430445</v>
      </c>
      <c r="AH4530">
        <v>16.3370685741166</v>
      </c>
      <c r="AI4530">
        <v>93.922108129051196</v>
      </c>
      <c r="AJ4530">
        <v>87.766696064559696</v>
      </c>
      <c r="AK4530">
        <v>16.387868124964701</v>
      </c>
      <c r="AL4530">
        <v>93.774521680053695</v>
      </c>
      <c r="AM4530">
        <v>90.028813381364699</v>
      </c>
      <c r="AN4530">
        <v>0.99999998578932803</v>
      </c>
    </row>
    <row r="4531" spans="1:40" x14ac:dyDescent="0.25">
      <c r="A4531" t="str">
        <f>"20190303154227834"</f>
        <v>20190303154227834</v>
      </c>
      <c r="B4531" t="str">
        <f>"1551598947824278"</f>
        <v>1551598947824278</v>
      </c>
      <c r="C4531" t="s">
        <v>40</v>
      </c>
      <c r="D4531">
        <v>5.9327139999999998</v>
      </c>
      <c r="E4531">
        <v>0.51561979999999996</v>
      </c>
      <c r="F4531" t="s">
        <v>50</v>
      </c>
      <c r="G4531">
        <v>-229.95679999999999</v>
      </c>
      <c r="H4531" s="1">
        <v>3.750994E-6</v>
      </c>
      <c r="I4531">
        <v>214.8623</v>
      </c>
      <c r="J4531">
        <v>-246.56110000000001</v>
      </c>
      <c r="K4531">
        <v>1.120938</v>
      </c>
      <c r="L4531">
        <v>215.35159999999999</v>
      </c>
      <c r="M4531">
        <v>0.99983529999999998</v>
      </c>
      <c r="N4531">
        <v>-1.4447049999999999E-2</v>
      </c>
      <c r="O4531">
        <v>1.099875E-2</v>
      </c>
      <c r="P4531">
        <v>0.9967279</v>
      </c>
      <c r="Q4531">
        <v>-7.9998459999999993E-2</v>
      </c>
      <c r="R4531">
        <v>1.157589E-2</v>
      </c>
      <c r="S4531">
        <v>2.9949189999999999</v>
      </c>
      <c r="T4531">
        <v>-0.1983936</v>
      </c>
      <c r="U4531">
        <v>-8.5983279999999995E-2</v>
      </c>
      <c r="V4531">
        <v>-6.1409669999999998E-4</v>
      </c>
      <c r="W4531">
        <v>-6.5589350000000005E-2</v>
      </c>
      <c r="X4531">
        <v>0.99784649999999997</v>
      </c>
      <c r="Y4531">
        <v>3.9571170000000003E-2</v>
      </c>
      <c r="Z4531">
        <v>-2.164189E-3</v>
      </c>
      <c r="AA4531">
        <v>0.99921439999999995</v>
      </c>
      <c r="AB4531">
        <v>32</v>
      </c>
      <c r="AC4531">
        <v>16.604299999999999</v>
      </c>
      <c r="AD4531">
        <v>-1.1209342490059999</v>
      </c>
      <c r="AE4531">
        <v>-0.48929999999998502</v>
      </c>
      <c r="AF4531">
        <v>0.66887029570554002</v>
      </c>
      <c r="AG4531">
        <v>-1.1209342490059999</v>
      </c>
      <c r="AH4531">
        <v>16.522677716175998</v>
      </c>
      <c r="AI4531">
        <v>93.877956154030898</v>
      </c>
      <c r="AJ4531">
        <v>87.681820614790894</v>
      </c>
      <c r="AK4531">
        <v>16.5741594047992</v>
      </c>
      <c r="AL4531">
        <v>93.760692665563596</v>
      </c>
      <c r="AM4531">
        <v>90.035261079415307</v>
      </c>
      <c r="AN4531">
        <v>0.99999998875521401</v>
      </c>
    </row>
    <row r="4532" spans="1:40" x14ac:dyDescent="0.25">
      <c r="A4532" t="str">
        <f>"20190303154227856"</f>
        <v>20190303154227856</v>
      </c>
      <c r="B4532" t="str">
        <f>"1551598947844774"</f>
        <v>1551598947844774</v>
      </c>
      <c r="C4532" t="s">
        <v>40</v>
      </c>
      <c r="D4532">
        <v>5.9169080000000003</v>
      </c>
      <c r="E4532">
        <v>0.51604550000000005</v>
      </c>
      <c r="F4532" t="s">
        <v>50</v>
      </c>
      <c r="G4532">
        <v>-229.61369999999999</v>
      </c>
      <c r="H4532" s="1">
        <v>3.5690320000000001E-6</v>
      </c>
      <c r="I4532">
        <v>214.8476</v>
      </c>
      <c r="J4532">
        <v>-246.24199999999999</v>
      </c>
      <c r="K4532">
        <v>1.120943</v>
      </c>
      <c r="L4532">
        <v>215.35509999999999</v>
      </c>
      <c r="M4532">
        <v>0.99983529999999998</v>
      </c>
      <c r="N4532">
        <v>-1.4443799999999901E-2</v>
      </c>
      <c r="O4532">
        <v>1.099877E-2</v>
      </c>
      <c r="P4532">
        <v>0.99670919999999996</v>
      </c>
      <c r="Q4532">
        <v>-8.0087329999999998E-2</v>
      </c>
      <c r="R4532">
        <v>1.253606E-2</v>
      </c>
      <c r="S4532">
        <v>2.9949650000000001</v>
      </c>
      <c r="T4532">
        <v>-0.1980933</v>
      </c>
      <c r="U4532">
        <v>-8.9065549999999993E-2</v>
      </c>
      <c r="V4532">
        <v>-1.574272E-3</v>
      </c>
      <c r="W4532">
        <v>-6.5681519999999993E-2</v>
      </c>
      <c r="X4532">
        <v>0.99783940000000004</v>
      </c>
      <c r="Y4532">
        <v>4.0595840000000001E-2</v>
      </c>
      <c r="Z4532">
        <v>-2.202285E-3</v>
      </c>
      <c r="AA4532">
        <v>0.99917319999999998</v>
      </c>
      <c r="AB4532">
        <v>32</v>
      </c>
      <c r="AC4532">
        <v>16.628299999999999</v>
      </c>
      <c r="AD4532">
        <v>-1.1209394309680001</v>
      </c>
      <c r="AE4532">
        <v>-0.50749999999999296</v>
      </c>
      <c r="AF4532">
        <v>0.68725898712364497</v>
      </c>
      <c r="AG4532">
        <v>-1.1209394309680001</v>
      </c>
      <c r="AH4532">
        <v>16.546588552527901</v>
      </c>
      <c r="AI4532">
        <v>93.872220780582794</v>
      </c>
      <c r="AJ4532">
        <v>87.6215992157057</v>
      </c>
      <c r="AK4532">
        <v>16.598747628960702</v>
      </c>
      <c r="AL4532">
        <v>93.765984971091697</v>
      </c>
      <c r="AM4532">
        <v>90.090394372649698</v>
      </c>
      <c r="AN4532">
        <v>1.0000000042971</v>
      </c>
    </row>
    <row r="4533" spans="1:40" x14ac:dyDescent="0.25">
      <c r="A4533" t="str">
        <f>"20190303154227878"</f>
        <v>20190303154227878</v>
      </c>
      <c r="B4533" t="str">
        <f>"1551598947874564"</f>
        <v>1551598947874564</v>
      </c>
      <c r="C4533" t="s">
        <v>40</v>
      </c>
      <c r="D4533">
        <v>5.9060620000000004</v>
      </c>
      <c r="E4533">
        <v>0.51666120000000004</v>
      </c>
      <c r="F4533" t="s">
        <v>50</v>
      </c>
      <c r="G4533">
        <v>-229.33750000000001</v>
      </c>
      <c r="H4533" s="1">
        <v>3.4219689999999998E-6</v>
      </c>
      <c r="I4533">
        <v>214.84950000000001</v>
      </c>
      <c r="J4533">
        <v>-245.9247</v>
      </c>
      <c r="K4533">
        <v>1.120943</v>
      </c>
      <c r="L4533">
        <v>215.3586</v>
      </c>
      <c r="M4533">
        <v>0.99983529999999998</v>
      </c>
      <c r="N4533">
        <v>-1.444056E-2</v>
      </c>
      <c r="O4533">
        <v>1.099897E-2</v>
      </c>
      <c r="P4533">
        <v>0.99672910000000003</v>
      </c>
      <c r="Q4533">
        <v>-7.9845120000000006E-2</v>
      </c>
      <c r="R4533">
        <v>1.2486860000000001E-2</v>
      </c>
      <c r="S4533">
        <v>2.9950559999999999</v>
      </c>
      <c r="T4533">
        <v>-0.1986021</v>
      </c>
      <c r="U4533">
        <v>-8.9584349999999993E-2</v>
      </c>
      <c r="V4533">
        <v>-1.5243360000000001E-3</v>
      </c>
      <c r="W4533">
        <v>-6.5442299999999995E-2</v>
      </c>
      <c r="X4533">
        <v>0.99785520000000005</v>
      </c>
      <c r="Y4533">
        <v>4.0766999999999998E-2</v>
      </c>
      <c r="Z4533">
        <v>-2.2144030000000002E-3</v>
      </c>
      <c r="AA4533">
        <v>0.99916629999999995</v>
      </c>
      <c r="AB4533">
        <v>32</v>
      </c>
      <c r="AC4533">
        <v>16.5871999999999</v>
      </c>
      <c r="AD4533">
        <v>-1.1209395780310001</v>
      </c>
      <c r="AE4533">
        <v>-0.50909999999998901</v>
      </c>
      <c r="AF4533">
        <v>0.688389502364536</v>
      </c>
      <c r="AG4533">
        <v>-1.1209395780310001</v>
      </c>
      <c r="AH4533">
        <v>16.5052897614454</v>
      </c>
      <c r="AI4533">
        <v>93.881852874254506</v>
      </c>
      <c r="AJ4533">
        <v>87.611737328054105</v>
      </c>
      <c r="AK4533">
        <v>16.557625909345699</v>
      </c>
      <c r="AL4533">
        <v>93.752249103694794</v>
      </c>
      <c r="AM4533">
        <v>90.087525676493499</v>
      </c>
      <c r="AN4533">
        <v>1.0000000091982799</v>
      </c>
    </row>
    <row r="4534" spans="1:40" x14ac:dyDescent="0.25">
      <c r="A4534" t="str">
        <f>"20190303154227900"</f>
        <v>20190303154227900</v>
      </c>
      <c r="B4534" t="str">
        <f>"1551598947894083"</f>
        <v>1551598947894083</v>
      </c>
      <c r="C4534" t="s">
        <v>40</v>
      </c>
      <c r="D4534">
        <v>5.8748529999999999</v>
      </c>
      <c r="E4534">
        <v>0.51704539999999999</v>
      </c>
      <c r="F4534" t="s">
        <v>50</v>
      </c>
      <c r="G4534">
        <v>-228.95650000000001</v>
      </c>
      <c r="H4534" s="1">
        <v>3.2204449999999999E-6</v>
      </c>
      <c r="I4534">
        <v>214.82210000000001</v>
      </c>
      <c r="J4534">
        <v>-245.5915</v>
      </c>
      <c r="K4534">
        <v>1.1209420000000001</v>
      </c>
      <c r="L4534">
        <v>215.3623</v>
      </c>
      <c r="M4534">
        <v>0.99983540000000004</v>
      </c>
      <c r="N4534">
        <v>-1.4437149999999999E-2</v>
      </c>
      <c r="O4534">
        <v>1.099899E-2</v>
      </c>
      <c r="P4534">
        <v>0.9967241</v>
      </c>
      <c r="Q4534">
        <v>-7.9846280000000006E-2</v>
      </c>
      <c r="R4534">
        <v>1.287072E-2</v>
      </c>
      <c r="S4534">
        <v>2.9951780000000001</v>
      </c>
      <c r="T4534">
        <v>-0.19786619999999999</v>
      </c>
      <c r="U4534">
        <v>-9.4696039999999995E-2</v>
      </c>
      <c r="V4534">
        <v>-1.908793E-3</v>
      </c>
      <c r="W4534">
        <v>-6.5446859999999996E-2</v>
      </c>
      <c r="X4534">
        <v>0.99785420000000002</v>
      </c>
      <c r="Y4534">
        <v>4.2465740000000002E-2</v>
      </c>
      <c r="Z4534">
        <v>-2.2748780000000001E-3</v>
      </c>
      <c r="AA4534">
        <v>0.99909530000000002</v>
      </c>
      <c r="AB4534">
        <v>32</v>
      </c>
      <c r="AC4534">
        <v>16.634999999999899</v>
      </c>
      <c r="AD4534">
        <v>-1.1209387795550001</v>
      </c>
      <c r="AE4534">
        <v>-0.54019999999999802</v>
      </c>
      <c r="AF4534">
        <v>0.71988924147539401</v>
      </c>
      <c r="AG4534">
        <v>-1.1209387795550001</v>
      </c>
      <c r="AH4534">
        <v>16.552969165952401</v>
      </c>
      <c r="AI4534">
        <v>93.870410290605406</v>
      </c>
      <c r="AJ4534">
        <v>87.5097736288741</v>
      </c>
      <c r="AK4534">
        <v>16.606490673121598</v>
      </c>
      <c r="AL4534">
        <v>93.752511082126304</v>
      </c>
      <c r="AM4534">
        <v>90.1096008309311</v>
      </c>
      <c r="AN4534">
        <v>0.99999996971610705</v>
      </c>
    </row>
    <row r="4535" spans="1:40" x14ac:dyDescent="0.25">
      <c r="A4535" t="str">
        <f>"20190303154227923"</f>
        <v>20190303154227923</v>
      </c>
      <c r="B4535" t="str">
        <f>"1551598947914579"</f>
        <v>1551598947914579</v>
      </c>
      <c r="C4535" t="s">
        <v>40</v>
      </c>
      <c r="D4535">
        <v>5.8734690000000001</v>
      </c>
      <c r="E4535">
        <v>0.51740679999999994</v>
      </c>
      <c r="F4535" t="s">
        <v>50</v>
      </c>
      <c r="G4535">
        <v>-228.61580000000001</v>
      </c>
      <c r="H4535" s="1">
        <v>3.039474E-6</v>
      </c>
      <c r="I4535">
        <v>214.8143</v>
      </c>
      <c r="J4535">
        <v>-245.2671</v>
      </c>
      <c r="K4535">
        <v>1.12094</v>
      </c>
      <c r="L4535">
        <v>215.36580000000001</v>
      </c>
      <c r="M4535">
        <v>0.99983529999999998</v>
      </c>
      <c r="N4535">
        <v>-1.443382E-2</v>
      </c>
      <c r="O4535">
        <v>1.0999129999999999E-2</v>
      </c>
      <c r="P4535">
        <v>0.99673979999999995</v>
      </c>
      <c r="Q4535">
        <v>-7.9706550000000001E-2</v>
      </c>
      <c r="R4535">
        <v>1.250472E-2</v>
      </c>
      <c r="S4535">
        <v>2.9952700000000001</v>
      </c>
      <c r="T4535">
        <v>-0.1977836</v>
      </c>
      <c r="U4535">
        <v>-9.6694950000000002E-2</v>
      </c>
      <c r="V4535">
        <v>-1.541955E-3</v>
      </c>
      <c r="W4535">
        <v>-6.531033E-2</v>
      </c>
      <c r="X4535">
        <v>0.99786379999999997</v>
      </c>
      <c r="Y4535">
        <v>4.3129340000000002E-2</v>
      </c>
      <c r="Z4535">
        <v>-2.3005600000000001E-3</v>
      </c>
      <c r="AA4535">
        <v>0.99906680000000003</v>
      </c>
      <c r="AB4535">
        <v>32</v>
      </c>
      <c r="AC4535">
        <v>16.6512999999999</v>
      </c>
      <c r="AD4535">
        <v>-1.120936960526</v>
      </c>
      <c r="AE4535">
        <v>-0.55150000000000399</v>
      </c>
      <c r="AF4535">
        <v>0.73132497989149003</v>
      </c>
      <c r="AG4535">
        <v>-1.120936960526</v>
      </c>
      <c r="AH4535">
        <v>16.569220551287</v>
      </c>
      <c r="AI4535">
        <v>93.86651023492</v>
      </c>
      <c r="AJ4535">
        <v>87.472744331111898</v>
      </c>
      <c r="AK4535">
        <v>16.623188790748799</v>
      </c>
      <c r="AL4535">
        <v>93.744671640623594</v>
      </c>
      <c r="AM4535">
        <v>90.088536575211904</v>
      </c>
      <c r="AN4535">
        <v>0.99999999009018503</v>
      </c>
    </row>
    <row r="4536" spans="1:40" x14ac:dyDescent="0.25">
      <c r="A4536" t="str">
        <f>"20190303154227944"</f>
        <v>20190303154227944</v>
      </c>
      <c r="B4536" t="str">
        <f>"1551598947934100"</f>
        <v>1551598947934100</v>
      </c>
      <c r="C4536" t="s">
        <v>40</v>
      </c>
      <c r="D4536">
        <v>5.9875689999999997</v>
      </c>
      <c r="E4536">
        <v>0.51760439999999996</v>
      </c>
      <c r="F4536" t="s">
        <v>50</v>
      </c>
      <c r="G4536">
        <v>-228.2578</v>
      </c>
      <c r="H4536" s="1">
        <v>2.849813E-6</v>
      </c>
      <c r="I4536">
        <v>214.79400000000001</v>
      </c>
      <c r="J4536">
        <v>-244.95599999999999</v>
      </c>
      <c r="K4536">
        <v>1.120941</v>
      </c>
      <c r="L4536">
        <v>215.36920000000001</v>
      </c>
      <c r="M4536">
        <v>0.99983549999999999</v>
      </c>
      <c r="N4536">
        <v>-1.443064E-2</v>
      </c>
      <c r="O4536">
        <v>1.0999159999999999E-2</v>
      </c>
      <c r="P4536">
        <v>0.99669399999999997</v>
      </c>
      <c r="Q4536">
        <v>-8.0420539999999999E-2</v>
      </c>
      <c r="R4536">
        <v>1.1580160000000001E-2</v>
      </c>
      <c r="S4536">
        <v>2.995285</v>
      </c>
      <c r="T4536">
        <v>-0.1973935</v>
      </c>
      <c r="U4536">
        <v>-0.1006927</v>
      </c>
      <c r="V4536">
        <v>-6.1836110000000003E-4</v>
      </c>
      <c r="W4536">
        <v>-6.6028219999999999E-2</v>
      </c>
      <c r="X4536">
        <v>0.99781759999999997</v>
      </c>
      <c r="Y4536">
        <v>4.4458119999999997E-2</v>
      </c>
      <c r="Z4536">
        <v>-2.3495819999999998E-3</v>
      </c>
      <c r="AA4536">
        <v>0.99900849999999997</v>
      </c>
      <c r="AB4536">
        <v>32</v>
      </c>
      <c r="AC4536">
        <v>16.6981999999999</v>
      </c>
      <c r="AD4536">
        <v>-1.1209381501869999</v>
      </c>
      <c r="AE4536">
        <v>-0.57519999999999505</v>
      </c>
      <c r="AF4536">
        <v>0.75545019348490305</v>
      </c>
      <c r="AG4536">
        <v>-1.1209381501869999</v>
      </c>
      <c r="AH4536">
        <v>16.616073360124499</v>
      </c>
      <c r="AI4536">
        <v>93.855416590741996</v>
      </c>
      <c r="AJ4536">
        <v>87.396838592552299</v>
      </c>
      <c r="AK4536">
        <v>16.670965816065301</v>
      </c>
      <c r="AL4536">
        <v>93.785892514732296</v>
      </c>
      <c r="AM4536">
        <v>90.0355069671146</v>
      </c>
      <c r="AN4536">
        <v>1.0000000355382801</v>
      </c>
    </row>
    <row r="4537" spans="1:40" x14ac:dyDescent="0.25">
      <c r="A4537" t="str">
        <f>"20190303154227967"</f>
        <v>20190303154227967</v>
      </c>
      <c r="B4537" t="str">
        <f>"1551598947954596"</f>
        <v>1551598947954596</v>
      </c>
      <c r="C4537" t="s">
        <v>40</v>
      </c>
      <c r="D4537">
        <v>5.8350920000000004</v>
      </c>
      <c r="E4537">
        <v>0.5581933</v>
      </c>
      <c r="F4537" t="s">
        <v>50</v>
      </c>
      <c r="G4537">
        <v>-228.11009999999999</v>
      </c>
      <c r="H4537" s="1">
        <v>2.7718779999999999E-6</v>
      </c>
      <c r="I4537">
        <v>214.77889999999999</v>
      </c>
      <c r="J4537">
        <v>-244.6455</v>
      </c>
      <c r="K4537">
        <v>1.120938</v>
      </c>
      <c r="L4537">
        <v>215.37270000000001</v>
      </c>
      <c r="M4537">
        <v>0.99983549999999999</v>
      </c>
      <c r="N4537">
        <v>-1.442746E-2</v>
      </c>
      <c r="O4537">
        <v>1.0999180000000001E-2</v>
      </c>
      <c r="P4537">
        <v>0.99666849999999996</v>
      </c>
      <c r="Q4537">
        <v>-8.0856799999999895E-2</v>
      </c>
      <c r="R4537">
        <v>1.0696860000000001E-2</v>
      </c>
      <c r="S4537">
        <v>2.9950869999999998</v>
      </c>
      <c r="T4537">
        <v>-0.19929459999999999</v>
      </c>
      <c r="U4537">
        <v>-0.10496519999999999</v>
      </c>
      <c r="V4537">
        <v>2.6484650000000001E-4</v>
      </c>
      <c r="W4537">
        <v>-6.6468159999999998E-2</v>
      </c>
      <c r="X4537">
        <v>0.99778849999999997</v>
      </c>
      <c r="Y4537">
        <v>4.5877469999999997E-2</v>
      </c>
      <c r="Z4537">
        <v>-2.4280899999999999E-3</v>
      </c>
      <c r="AA4537">
        <v>0.9989441</v>
      </c>
      <c r="AB4537">
        <v>32</v>
      </c>
      <c r="AC4537">
        <v>16.535399999999999</v>
      </c>
      <c r="AD4537">
        <v>-1.120935228122</v>
      </c>
      <c r="AE4537">
        <v>-0.59380000000001498</v>
      </c>
      <c r="AF4537">
        <v>0.77211515412871801</v>
      </c>
      <c r="AG4537">
        <v>-1.120935228122</v>
      </c>
      <c r="AH4537">
        <v>16.4523582892142</v>
      </c>
      <c r="AI4537">
        <v>93.893391540644004</v>
      </c>
      <c r="AJ4537">
        <v>87.313059711331704</v>
      </c>
      <c r="AK4537">
        <v>16.508565984771501</v>
      </c>
      <c r="AL4537">
        <v>93.811154895108501</v>
      </c>
      <c r="AM4537">
        <v>89.984791780710594</v>
      </c>
      <c r="AN4537">
        <v>0.99999998858485195</v>
      </c>
    </row>
    <row r="4538" spans="1:40" x14ac:dyDescent="0.25">
      <c r="A4538" t="str">
        <f>"20190303154227989"</f>
        <v>20190303154227989</v>
      </c>
      <c r="B4538" t="str">
        <f>"1551598947984852"</f>
        <v>1551598947984852</v>
      </c>
      <c r="C4538" t="s">
        <v>40</v>
      </c>
      <c r="D4538">
        <v>5.7761820000000004</v>
      </c>
      <c r="E4538">
        <v>0.56302559999999902</v>
      </c>
      <c r="F4538" t="s">
        <v>50</v>
      </c>
      <c r="G4538">
        <v>-225.01609999999999</v>
      </c>
      <c r="H4538" s="1">
        <v>1.2226280000000001E-6</v>
      </c>
      <c r="I4538">
        <v>212.55549999999999</v>
      </c>
      <c r="J4538">
        <v>-244.32220000000001</v>
      </c>
      <c r="K4538">
        <v>1.1209420000000001</v>
      </c>
      <c r="L4538">
        <v>215.37620000000001</v>
      </c>
      <c r="M4538">
        <v>0.99983560000000005</v>
      </c>
      <c r="N4538">
        <v>-1.4424090000000001E-2</v>
      </c>
      <c r="O4538">
        <v>1.099938E-2</v>
      </c>
      <c r="P4538">
        <v>0.99666600000000005</v>
      </c>
      <c r="Q4538">
        <v>-8.0961930000000001E-2</v>
      </c>
      <c r="R4538">
        <v>1.012247E-2</v>
      </c>
      <c r="S4538">
        <v>3.0007480000000002</v>
      </c>
      <c r="T4538">
        <v>-0.17135810000000001</v>
      </c>
      <c r="U4538">
        <v>-0.43066409999999999</v>
      </c>
      <c r="V4538">
        <v>8.3941660000000004E-4</v>
      </c>
      <c r="W4538">
        <v>-6.6576789999999997E-2</v>
      </c>
      <c r="X4538">
        <v>0.99778100000000003</v>
      </c>
      <c r="Y4538">
        <v>0.1526274</v>
      </c>
      <c r="Z4538">
        <v>-5.9065460000000004E-3</v>
      </c>
      <c r="AA4538">
        <v>0.98826619999999998</v>
      </c>
      <c r="AB4538">
        <v>32</v>
      </c>
      <c r="AC4538">
        <v>19.306100000000001</v>
      </c>
      <c r="AD4538">
        <v>-1.1209407773719999</v>
      </c>
      <c r="AE4538">
        <v>-2.8207000000000102</v>
      </c>
      <c r="AF4538">
        <v>3.02292880731969</v>
      </c>
      <c r="AG4538">
        <v>-1.1209407773719999</v>
      </c>
      <c r="AH4538">
        <v>19.210494999600201</v>
      </c>
      <c r="AI4538">
        <v>93.298944678195596</v>
      </c>
      <c r="AJ4538">
        <v>81.057369708245801</v>
      </c>
      <c r="AK4538">
        <v>19.4791612994544</v>
      </c>
      <c r="AL4538">
        <v>93.817392522916805</v>
      </c>
      <c r="AM4538">
        <v>89.951798022725697</v>
      </c>
      <c r="AN4538">
        <v>1.00000004877396</v>
      </c>
    </row>
    <row r="4539" spans="1:40" x14ac:dyDescent="0.25">
      <c r="A4539" t="str">
        <f>"20190303154228012"</f>
        <v>20190303154228012</v>
      </c>
      <c r="B4539" t="str">
        <f>"1551598948004375"</f>
        <v>1551598948004375</v>
      </c>
      <c r="C4539" t="s">
        <v>40</v>
      </c>
      <c r="D4539">
        <v>5.8461749999999997</v>
      </c>
      <c r="E4539">
        <v>0.56319889999999995</v>
      </c>
      <c r="F4539" t="s">
        <v>50</v>
      </c>
      <c r="G4539">
        <v>-222.52600000000001</v>
      </c>
      <c r="H4539" s="1">
        <v>-7.6437899999999994E-8</v>
      </c>
      <c r="I4539">
        <v>211.95939999999999</v>
      </c>
      <c r="J4539">
        <v>-243.99690000000001</v>
      </c>
      <c r="K4539">
        <v>1.1209469999999999</v>
      </c>
      <c r="L4539">
        <v>215.37979999999999</v>
      </c>
      <c r="M4539">
        <v>0.99983560000000005</v>
      </c>
      <c r="N4539">
        <v>-1.442068E-2</v>
      </c>
      <c r="O4539">
        <v>1.099958E-2</v>
      </c>
      <c r="P4539">
        <v>0.99671339999999997</v>
      </c>
      <c r="Q4539">
        <v>-8.0442760000000002E-2</v>
      </c>
      <c r="R4539">
        <v>9.5619510000000008E-3</v>
      </c>
      <c r="S4539">
        <v>3.0022579999999999</v>
      </c>
      <c r="T4539">
        <v>-0.15440110000000001</v>
      </c>
      <c r="U4539">
        <v>-0.47064210000000001</v>
      </c>
      <c r="V4539">
        <v>1.40060799999999E-3</v>
      </c>
      <c r="W4539">
        <v>-6.6060510000000003E-2</v>
      </c>
      <c r="X4539">
        <v>0.99781470000000005</v>
      </c>
      <c r="Y4539">
        <v>0.16544800000000001</v>
      </c>
      <c r="Z4539">
        <v>-5.8314619999999999E-3</v>
      </c>
      <c r="AA4539">
        <v>0.98620129999999995</v>
      </c>
      <c r="AB4539">
        <v>32</v>
      </c>
      <c r="AC4539">
        <v>21.4709</v>
      </c>
      <c r="AD4539">
        <v>-1.1209470764378999</v>
      </c>
      <c r="AE4539">
        <v>-3.4203999999999999</v>
      </c>
      <c r="AF4539">
        <v>3.64669485100212</v>
      </c>
      <c r="AG4539">
        <v>-1.1209470764378999</v>
      </c>
      <c r="AH4539">
        <v>21.3751547307076</v>
      </c>
      <c r="AI4539">
        <v>92.959252590560297</v>
      </c>
      <c r="AJ4539">
        <v>80.318302717629393</v>
      </c>
      <c r="AK4539">
        <v>21.712948796655699</v>
      </c>
      <c r="AL4539">
        <v>93.7877465351485</v>
      </c>
      <c r="AM4539">
        <v>89.919575373616595</v>
      </c>
      <c r="AN4539">
        <v>1.0000000641101501</v>
      </c>
    </row>
    <row r="4540" spans="1:40" x14ac:dyDescent="0.25">
      <c r="A4540" t="str">
        <f>"20190303154228034"</f>
        <v>20190303154228034</v>
      </c>
      <c r="B4540" t="str">
        <f>"1551598948024868"</f>
        <v>1551598948024868</v>
      </c>
      <c r="C4540" t="s">
        <v>40</v>
      </c>
      <c r="D4540">
        <v>5.8669019999999996</v>
      </c>
      <c r="E4540">
        <v>0.56287900000000002</v>
      </c>
      <c r="F4540" t="s">
        <v>50</v>
      </c>
      <c r="G4540">
        <v>-221.48580000000001</v>
      </c>
      <c r="H4540" s="1">
        <v>-6.2425559999999998E-7</v>
      </c>
      <c r="I4540">
        <v>211.82859999999999</v>
      </c>
      <c r="J4540">
        <v>-243.67500000000001</v>
      </c>
      <c r="K4540">
        <v>1.1209499999999999</v>
      </c>
      <c r="L4540">
        <v>215.38329999999999</v>
      </c>
      <c r="M4540">
        <v>0.99983560000000005</v>
      </c>
      <c r="N4540">
        <v>-1.4417340000000001E-2</v>
      </c>
      <c r="O4540">
        <v>1.099961E-2</v>
      </c>
      <c r="P4540">
        <v>0.99674929999999995</v>
      </c>
      <c r="Q4540">
        <v>-7.9930950000000001E-2</v>
      </c>
      <c r="R4540">
        <v>1.0096580000000001E-2</v>
      </c>
      <c r="S4540">
        <v>3.00238</v>
      </c>
      <c r="T4540">
        <v>-0.1495049</v>
      </c>
      <c r="U4540">
        <v>-0.47363280000000002</v>
      </c>
      <c r="V4540">
        <v>8.6638310000000001E-4</v>
      </c>
      <c r="W4540">
        <v>-6.5551470000000001E-2</v>
      </c>
      <c r="X4540">
        <v>0.99784879999999998</v>
      </c>
      <c r="Y4540">
        <v>0.16641489999999901</v>
      </c>
      <c r="Z4540">
        <v>-5.710016E-3</v>
      </c>
      <c r="AA4540">
        <v>0.98603929999999995</v>
      </c>
      <c r="AB4540">
        <v>32</v>
      </c>
      <c r="AC4540">
        <v>22.1892</v>
      </c>
      <c r="AD4540">
        <v>-1.1209506242556</v>
      </c>
      <c r="AE4540">
        <v>-3.5546999999999902</v>
      </c>
      <c r="AF4540">
        <v>3.7891546518617298</v>
      </c>
      <c r="AG4540">
        <v>-1.1209506242556</v>
      </c>
      <c r="AH4540">
        <v>22.0937792966903</v>
      </c>
      <c r="AI4540">
        <v>92.8627445574093</v>
      </c>
      <c r="AJ4540">
        <v>80.268265648436397</v>
      </c>
      <c r="AK4540">
        <v>22.444360246810501</v>
      </c>
      <c r="AL4540">
        <v>93.758517628141504</v>
      </c>
      <c r="AM4540">
        <v>89.950252901444003</v>
      </c>
      <c r="AN4540">
        <v>0.99999998675013801</v>
      </c>
    </row>
    <row r="4541" spans="1:40" x14ac:dyDescent="0.25">
      <c r="A4541" t="str">
        <f>"20190303154228057"</f>
        <v>20190303154228057</v>
      </c>
      <c r="B4541" t="str">
        <f>"1551598948044388"</f>
        <v>1551598948044388</v>
      </c>
      <c r="C4541" t="s">
        <v>40</v>
      </c>
      <c r="D4541">
        <v>5.8727419999999997</v>
      </c>
      <c r="E4541">
        <v>0.56266329999999998</v>
      </c>
      <c r="F4541" t="s">
        <v>50</v>
      </c>
      <c r="G4541">
        <v>-221.50479999999999</v>
      </c>
      <c r="H4541" s="1">
        <v>-6.1799489999999998E-7</v>
      </c>
      <c r="I4541">
        <v>211.91640000000001</v>
      </c>
      <c r="J4541">
        <v>-243.37020000000001</v>
      </c>
      <c r="K4541">
        <v>1.120949</v>
      </c>
      <c r="L4541">
        <v>215.38669999999999</v>
      </c>
      <c r="M4541">
        <v>0.99983580000000005</v>
      </c>
      <c r="N4541">
        <v>-1.441418E-2</v>
      </c>
      <c r="O4541">
        <v>1.0999449999999999E-2</v>
      </c>
      <c r="P4541">
        <v>0.99674209999999996</v>
      </c>
      <c r="Q4541">
        <v>-7.9932100000000006E-2</v>
      </c>
      <c r="R4541">
        <v>1.0788819999999999E-2</v>
      </c>
      <c r="S4541">
        <v>3.00238</v>
      </c>
      <c r="T4541">
        <v>-0.15180360000000001</v>
      </c>
      <c r="U4541">
        <v>-0.46949770000000002</v>
      </c>
      <c r="V4541">
        <v>1.7407149999999999E-4</v>
      </c>
      <c r="W4541">
        <v>-6.5555740000000001E-2</v>
      </c>
      <c r="X4541">
        <v>0.99784890000000004</v>
      </c>
      <c r="Y4541">
        <v>0.16508390000000001</v>
      </c>
      <c r="Z4541">
        <v>-5.7386360000000001E-3</v>
      </c>
      <c r="AA4541">
        <v>0.98626290000000005</v>
      </c>
      <c r="AB4541">
        <v>32</v>
      </c>
      <c r="AC4541">
        <v>21.865400000000001</v>
      </c>
      <c r="AD4541">
        <v>-1.1209496179948999</v>
      </c>
      <c r="AE4541">
        <v>-3.47029999999998</v>
      </c>
      <c r="AF4541">
        <v>3.7011340434403199</v>
      </c>
      <c r="AG4541">
        <v>-1.1209496179948999</v>
      </c>
      <c r="AH4541">
        <v>21.770091428256698</v>
      </c>
      <c r="AI4541">
        <v>92.905952812930195</v>
      </c>
      <c r="AJ4541">
        <v>80.351395774778595</v>
      </c>
      <c r="AK4541">
        <v>22.110897811899299</v>
      </c>
      <c r="AL4541">
        <v>93.758762734944696</v>
      </c>
      <c r="AM4541">
        <v>89.990004937438499</v>
      </c>
      <c r="AN4541">
        <v>1.00000000628952</v>
      </c>
    </row>
    <row r="4542" spans="1:40" x14ac:dyDescent="0.25">
      <c r="A4542" t="str">
        <f>"20190303154228078"</f>
        <v>20190303154228078</v>
      </c>
      <c r="B4542" t="str">
        <f>"1551598948074644"</f>
        <v>1551598948074644</v>
      </c>
      <c r="C4542" t="s">
        <v>40</v>
      </c>
      <c r="D4542">
        <v>5.8632730000000004</v>
      </c>
      <c r="E4542">
        <v>0.5625793</v>
      </c>
      <c r="F4542" t="s">
        <v>50</v>
      </c>
      <c r="G4542">
        <v>-221.3929</v>
      </c>
      <c r="H4542" s="1">
        <v>-6.8020300000000005E-7</v>
      </c>
      <c r="I4542">
        <v>211.97730000000001</v>
      </c>
      <c r="J4542">
        <v>-243.04920000000001</v>
      </c>
      <c r="K4542">
        <v>1.120949</v>
      </c>
      <c r="L4542">
        <v>215.39019999999999</v>
      </c>
      <c r="M4542">
        <v>0.99983569999999999</v>
      </c>
      <c r="N4542">
        <v>-1.4410839999999999E-2</v>
      </c>
      <c r="O4542">
        <v>1.099966E-2</v>
      </c>
      <c r="P4542">
        <v>0.99673789999999995</v>
      </c>
      <c r="Q4542">
        <v>-7.9913709999999999E-2</v>
      </c>
      <c r="R4542">
        <v>1.12903E-2</v>
      </c>
      <c r="S4542">
        <v>3.002548</v>
      </c>
      <c r="T4542">
        <v>-0.15314469999999999</v>
      </c>
      <c r="U4542">
        <v>-0.46578979999999998</v>
      </c>
      <c r="V4542">
        <v>-3.276598E-4</v>
      </c>
      <c r="W4542">
        <v>-6.5540650000000006E-2</v>
      </c>
      <c r="X4542">
        <v>0.99784980000000001</v>
      </c>
      <c r="Y4542">
        <v>0.163884</v>
      </c>
      <c r="Z4542">
        <v>-5.7408260000000001E-3</v>
      </c>
      <c r="AA4542">
        <v>0.98646290000000003</v>
      </c>
      <c r="AB4542">
        <v>32</v>
      </c>
      <c r="AC4542">
        <v>21.656300000000002</v>
      </c>
      <c r="AD4542">
        <v>-1.1209496802029999</v>
      </c>
      <c r="AE4542">
        <v>-3.4128999999999698</v>
      </c>
      <c r="AF4542">
        <v>3.6414105400357899</v>
      </c>
      <c r="AG4542">
        <v>-1.1209496802029999</v>
      </c>
      <c r="AH4542">
        <v>21.561078578262801</v>
      </c>
      <c r="AI4542">
        <v>92.934615573630097</v>
      </c>
      <c r="AJ4542">
        <v>80.413881349579398</v>
      </c>
      <c r="AK4542">
        <v>21.895125219204701</v>
      </c>
      <c r="AL4542">
        <v>93.757896475917093</v>
      </c>
      <c r="AM4542">
        <v>90.018813976794206</v>
      </c>
      <c r="AN4542">
        <v>0.99999995376170203</v>
      </c>
    </row>
    <row r="4543" spans="1:40" x14ac:dyDescent="0.25">
      <c r="A4543" t="str">
        <f>"20190303154228101"</f>
        <v>20190303154228101</v>
      </c>
      <c r="B4543" t="str">
        <f>"1551598948094164"</f>
        <v>1551598948094164</v>
      </c>
      <c r="C4543" t="s">
        <v>40</v>
      </c>
      <c r="D4543">
        <v>5.8586</v>
      </c>
      <c r="E4543">
        <v>0.56273479999999998</v>
      </c>
      <c r="F4543" t="s">
        <v>50</v>
      </c>
      <c r="G4543">
        <v>-221.26439999999999</v>
      </c>
      <c r="H4543" s="1">
        <v>-7.5074949999999996E-7</v>
      </c>
      <c r="I4543">
        <v>212.0264</v>
      </c>
      <c r="J4543">
        <v>-242.72929999999999</v>
      </c>
      <c r="K4543">
        <v>1.120951</v>
      </c>
      <c r="L4543">
        <v>215.3937</v>
      </c>
      <c r="M4543">
        <v>0.99983569999999999</v>
      </c>
      <c r="N4543">
        <v>-1.440752E-2</v>
      </c>
      <c r="O4543">
        <v>1.099968E-2</v>
      </c>
      <c r="P4543">
        <v>0.99672830000000001</v>
      </c>
      <c r="Q4543">
        <v>-7.9899449999999997E-2</v>
      </c>
      <c r="R4543">
        <v>1.2199959999999999E-2</v>
      </c>
      <c r="S4543">
        <v>3.0026860000000002</v>
      </c>
      <c r="T4543">
        <v>-0.15450469999999999</v>
      </c>
      <c r="U4543">
        <v>-0.4636383</v>
      </c>
      <c r="V4543">
        <v>-1.236937E-3</v>
      </c>
      <c r="W4543">
        <v>-6.552964E-2</v>
      </c>
      <c r="X4543">
        <v>0.99784989999999996</v>
      </c>
      <c r="Y4543">
        <v>0.16318369999999999</v>
      </c>
      <c r="Z4543">
        <v>-5.759363E-3</v>
      </c>
      <c r="AA4543">
        <v>0.98657890000000004</v>
      </c>
      <c r="AB4543">
        <v>32</v>
      </c>
      <c r="AC4543">
        <v>21.4649</v>
      </c>
      <c r="AD4543">
        <v>-1.1209517507494999</v>
      </c>
      <c r="AE4543">
        <v>-3.3673000000000002</v>
      </c>
      <c r="AF4543">
        <v>3.5936625627911898</v>
      </c>
      <c r="AG4543">
        <v>-1.1209517507494999</v>
      </c>
      <c r="AH4543">
        <v>21.3696785901511</v>
      </c>
      <c r="AI4543">
        <v>92.961208269663601</v>
      </c>
      <c r="AJ4543">
        <v>80.454090495711498</v>
      </c>
      <c r="AK4543">
        <v>21.698712092865801</v>
      </c>
      <c r="AL4543">
        <v>93.757263953303607</v>
      </c>
      <c r="AM4543">
        <v>90.071023941900506</v>
      </c>
      <c r="AN4543">
        <v>1.00000004333083</v>
      </c>
    </row>
    <row r="4544" spans="1:40" x14ac:dyDescent="0.25">
      <c r="A4544" t="str">
        <f>"20190303154228124"</f>
        <v>20190303154228124</v>
      </c>
      <c r="B4544" t="str">
        <f>"1551598948114661"</f>
        <v>1551598948114661</v>
      </c>
      <c r="C4544" t="s">
        <v>40</v>
      </c>
      <c r="D4544">
        <v>5.9496820000000001</v>
      </c>
      <c r="E4544">
        <v>0.56305159999999999</v>
      </c>
      <c r="F4544" t="s">
        <v>50</v>
      </c>
      <c r="G4544">
        <v>-220.70830000000001</v>
      </c>
      <c r="H4544" s="1">
        <v>-1.0457349999999999E-6</v>
      </c>
      <c r="I4544">
        <v>212.00479999999999</v>
      </c>
      <c r="J4544">
        <v>-242.40520000000001</v>
      </c>
      <c r="K4544">
        <v>1.1209499999999999</v>
      </c>
      <c r="L4544">
        <v>215.3973</v>
      </c>
      <c r="M4544">
        <v>0.99983569999999999</v>
      </c>
      <c r="N4544">
        <v>-1.4404170000000001E-2</v>
      </c>
      <c r="O4544">
        <v>1.0999699999999999E-2</v>
      </c>
      <c r="P4544">
        <v>0.99673809999999996</v>
      </c>
      <c r="Q4544">
        <v>-7.9741900000000004E-2</v>
      </c>
      <c r="R4544">
        <v>1.242648E-2</v>
      </c>
      <c r="S4544">
        <v>3.0032649999999999</v>
      </c>
      <c r="T4544">
        <v>-0.1528776</v>
      </c>
      <c r="U4544">
        <v>-0.46218870000000001</v>
      </c>
      <c r="V4544">
        <v>-1.4634379999999901E-3</v>
      </c>
      <c r="W4544">
        <v>-6.5375279999999994E-2</v>
      </c>
      <c r="X4544">
        <v>0.99785970000000002</v>
      </c>
      <c r="Y4544">
        <v>0.16269589999999901</v>
      </c>
      <c r="Z4544">
        <v>-5.6926779999999996E-3</v>
      </c>
      <c r="AA4544">
        <v>0.98665979999999998</v>
      </c>
      <c r="AB4544">
        <v>32</v>
      </c>
      <c r="AC4544">
        <v>21.696899999999999</v>
      </c>
      <c r="AD4544">
        <v>-1.12095104573499</v>
      </c>
      <c r="AE4544">
        <v>-3.3925000000000098</v>
      </c>
      <c r="AF4544">
        <v>3.6215430183852102</v>
      </c>
      <c r="AG4544">
        <v>-1.12095104573499</v>
      </c>
      <c r="AH4544">
        <v>21.601983175838601</v>
      </c>
      <c r="AI4544">
        <v>92.929665078138598</v>
      </c>
      <c r="AJ4544">
        <v>80.482944428853301</v>
      </c>
      <c r="AK4544">
        <v>21.932117595211</v>
      </c>
      <c r="AL4544">
        <v>93.748400840974895</v>
      </c>
      <c r="AM4544">
        <v>90.084028607291899</v>
      </c>
      <c r="AN4544">
        <v>1.0000000248849701</v>
      </c>
    </row>
    <row r="4545" spans="1:40" x14ac:dyDescent="0.25">
      <c r="A4545" t="str">
        <f>"20190303154228157"</f>
        <v>20190303154228157</v>
      </c>
      <c r="B4545" t="str">
        <f>"1551598948154676"</f>
        <v>1551598948154676</v>
      </c>
      <c r="C4545" t="s">
        <v>40</v>
      </c>
      <c r="D4545">
        <v>5.8580180000000004</v>
      </c>
      <c r="E4545">
        <v>0.56331279999999995</v>
      </c>
      <c r="F4545" t="s">
        <v>50</v>
      </c>
      <c r="G4545">
        <v>-219.6302</v>
      </c>
      <c r="H4545" s="1">
        <v>3.7075340000000002E-6</v>
      </c>
      <c r="I4545">
        <v>211.8801</v>
      </c>
      <c r="J4545">
        <v>-241.94049999999999</v>
      </c>
      <c r="K4545">
        <v>1.120954</v>
      </c>
      <c r="L4545">
        <v>215.4024</v>
      </c>
      <c r="M4545">
        <v>0.99983569999999999</v>
      </c>
      <c r="N4545">
        <v>-1.439934E-2</v>
      </c>
      <c r="O4545">
        <v>1.099992E-2</v>
      </c>
      <c r="P4545">
        <v>0.99676670000000001</v>
      </c>
      <c r="Q4545">
        <v>-7.9445420000000003E-2</v>
      </c>
      <c r="R4545">
        <v>1.203222E-2</v>
      </c>
      <c r="S4545">
        <v>3.0037690000000001</v>
      </c>
      <c r="T4545">
        <v>-0.14784040000000001</v>
      </c>
      <c r="U4545">
        <v>-0.46388239999999997</v>
      </c>
      <c r="V4545">
        <v>-1.0690070000000001E-3</v>
      </c>
      <c r="W4545">
        <v>-6.508332E-2</v>
      </c>
      <c r="X4545">
        <v>0.99787930000000002</v>
      </c>
      <c r="Y4545">
        <v>0.16322990000000001</v>
      </c>
      <c r="Z4545">
        <v>-5.5546190000000002E-3</v>
      </c>
      <c r="AA4545">
        <v>0.98657240000000002</v>
      </c>
      <c r="AB4545">
        <v>32</v>
      </c>
      <c r="AC4545">
        <v>22.310299999999899</v>
      </c>
      <c r="AD4545">
        <v>-1.120950292466</v>
      </c>
      <c r="AE4545">
        <v>-3.5223</v>
      </c>
      <c r="AF4545">
        <v>3.7582671196800499</v>
      </c>
      <c r="AG4545">
        <v>-1.120950292466</v>
      </c>
      <c r="AH4545">
        <v>22.215483490845099</v>
      </c>
      <c r="AI4545">
        <v>92.848182949568198</v>
      </c>
      <c r="AJ4545">
        <v>80.397995774528397</v>
      </c>
      <c r="AK4545">
        <v>22.5590072483932</v>
      </c>
      <c r="AL4545">
        <v>93.7316370097233</v>
      </c>
      <c r="AM4545">
        <v>90.061379733940896</v>
      </c>
      <c r="AN4545">
        <v>1.0000000393433299</v>
      </c>
    </row>
    <row r="4546" spans="1:40" x14ac:dyDescent="0.25">
      <c r="A4546" t="str">
        <f>"20190303154228179"</f>
        <v>20190303154228179</v>
      </c>
      <c r="B4546" t="str">
        <f>"1551598948174196"</f>
        <v>1551598948174196</v>
      </c>
      <c r="C4546" t="s">
        <v>40</v>
      </c>
      <c r="D4546">
        <v>5.9003759999999996</v>
      </c>
      <c r="E4546">
        <v>0.56331989999999998</v>
      </c>
      <c r="F4546" t="s">
        <v>50</v>
      </c>
      <c r="G4546">
        <v>-218.89109999999999</v>
      </c>
      <c r="H4546" s="1">
        <v>3.3169200000000001E-6</v>
      </c>
      <c r="I4546">
        <v>211.81809999999999</v>
      </c>
      <c r="J4546">
        <v>-241.62180000000001</v>
      </c>
      <c r="K4546">
        <v>1.120951</v>
      </c>
      <c r="L4546">
        <v>215.4059</v>
      </c>
      <c r="M4546">
        <v>0.99983599999999995</v>
      </c>
      <c r="N4546">
        <v>-1.4396010000000001E-2</v>
      </c>
      <c r="O4546">
        <v>1.099994E-2</v>
      </c>
      <c r="P4546">
        <v>0.9967454</v>
      </c>
      <c r="Q4546">
        <v>-7.9802230000000002E-2</v>
      </c>
      <c r="R4546">
        <v>1.142112E-2</v>
      </c>
      <c r="S4546">
        <v>3.0037379999999998</v>
      </c>
      <c r="T4546">
        <v>-0.1460795</v>
      </c>
      <c r="U4546">
        <v>-0.46710210000000002</v>
      </c>
      <c r="V4546">
        <v>-4.5755939999999999E-4</v>
      </c>
      <c r="W4546">
        <v>-6.5443840000000003E-2</v>
      </c>
      <c r="X4546">
        <v>0.99785610000000002</v>
      </c>
      <c r="Y4546">
        <v>0.164268</v>
      </c>
      <c r="Z4546">
        <v>-5.5328729999999998E-3</v>
      </c>
      <c r="AA4546">
        <v>0.98640019999999995</v>
      </c>
      <c r="AB4546">
        <v>32</v>
      </c>
      <c r="AC4546">
        <v>22.730699999999999</v>
      </c>
      <c r="AD4546">
        <v>-1.12094768308</v>
      </c>
      <c r="AE4546">
        <v>-3.5878000000000099</v>
      </c>
      <c r="AF4546">
        <v>3.8285607623529798</v>
      </c>
      <c r="AG4546">
        <v>-1.12094768308</v>
      </c>
      <c r="AH4546">
        <v>22.6361441628564</v>
      </c>
      <c r="AI4546">
        <v>92.795349409123702</v>
      </c>
      <c r="AJ4546">
        <v>80.4001388946009</v>
      </c>
      <c r="AK4546">
        <v>22.9849825708189</v>
      </c>
      <c r="AL4546">
        <v>93.752337747702896</v>
      </c>
      <c r="AM4546">
        <v>90.026272546371203</v>
      </c>
      <c r="AN4546">
        <v>0.99999995093087801</v>
      </c>
    </row>
    <row r="4547" spans="1:40" x14ac:dyDescent="0.25">
      <c r="A4547" t="str">
        <f>"20190303154228201"</f>
        <v>20190303154228201</v>
      </c>
      <c r="B4547" t="str">
        <f>"1551598948194695"</f>
        <v>1551598948194695</v>
      </c>
      <c r="C4547" t="s">
        <v>40</v>
      </c>
      <c r="D4547">
        <v>5.8461619999999996</v>
      </c>
      <c r="E4547">
        <v>0.56346450000000003</v>
      </c>
      <c r="F4547" t="s">
        <v>50</v>
      </c>
      <c r="G4547">
        <v>-219.10230000000001</v>
      </c>
      <c r="H4547" s="1">
        <v>3.4262400000000002E-6</v>
      </c>
      <c r="I4547">
        <v>211.88839999999999</v>
      </c>
      <c r="J4547">
        <v>-241.3081</v>
      </c>
      <c r="K4547">
        <v>1.1209499999999999</v>
      </c>
      <c r="L4547">
        <v>215.4093</v>
      </c>
      <c r="M4547">
        <v>0.9998359</v>
      </c>
      <c r="N4547">
        <v>-1.4392719999999999E-2</v>
      </c>
      <c r="O4547">
        <v>1.100015E-2</v>
      </c>
      <c r="P4547">
        <v>0.99676980000000004</v>
      </c>
      <c r="Q4547">
        <v>-7.9644670000000001E-2</v>
      </c>
      <c r="R4547">
        <v>1.034854E-2</v>
      </c>
      <c r="S4547">
        <v>3.0031889999999999</v>
      </c>
      <c r="T4547">
        <v>-0.14948880000000001</v>
      </c>
      <c r="U4547">
        <v>-0.46908569999999999</v>
      </c>
      <c r="V4547">
        <v>6.150792E-4</v>
      </c>
      <c r="W4547">
        <v>-6.5289449999999999E-2</v>
      </c>
      <c r="X4547">
        <v>0.99786620000000004</v>
      </c>
      <c r="Y4547">
        <v>0.16491979999999901</v>
      </c>
      <c r="Z4547">
        <v>-5.6590859999999998E-3</v>
      </c>
      <c r="AA4547">
        <v>0.98629080000000002</v>
      </c>
      <c r="AB4547">
        <v>32</v>
      </c>
      <c r="AC4547">
        <v>22.205799999999901</v>
      </c>
      <c r="AD4547">
        <v>-1.12094657376</v>
      </c>
      <c r="AE4547">
        <v>-3.5209000000000099</v>
      </c>
      <c r="AF4547">
        <v>3.7556438579136802</v>
      </c>
      <c r="AG4547">
        <v>-1.12094657376</v>
      </c>
      <c r="AH4547">
        <v>22.110760420441299</v>
      </c>
      <c r="AI4547">
        <v>92.861319608603296</v>
      </c>
      <c r="AJ4547">
        <v>80.359977409642198</v>
      </c>
      <c r="AK4547">
        <v>22.455447187238601</v>
      </c>
      <c r="AL4547">
        <v>93.743472626842902</v>
      </c>
      <c r="AM4547">
        <v>89.964683203256001</v>
      </c>
      <c r="AN4547">
        <v>1.00000002185308</v>
      </c>
    </row>
    <row r="4548" spans="1:40" x14ac:dyDescent="0.25">
      <c r="A4548" t="str">
        <f>"20190303154228223"</f>
        <v>20190303154228223</v>
      </c>
      <c r="B4548" t="str">
        <f>"1551598948214212"</f>
        <v>1551598948214212</v>
      </c>
      <c r="C4548" t="s">
        <v>40</v>
      </c>
      <c r="D4548">
        <v>5.8783909999999997</v>
      </c>
      <c r="E4548">
        <v>0.56352930000000001</v>
      </c>
      <c r="F4548" t="s">
        <v>50</v>
      </c>
      <c r="G4548">
        <v>-218.88740000000001</v>
      </c>
      <c r="H4548" s="1">
        <v>3.3125410000000001E-6</v>
      </c>
      <c r="I4548">
        <v>211.8734</v>
      </c>
      <c r="J4548">
        <v>-240.98840000000001</v>
      </c>
      <c r="K4548">
        <v>1.120954</v>
      </c>
      <c r="L4548">
        <v>215.41290000000001</v>
      </c>
      <c r="M4548">
        <v>0.99983580000000005</v>
      </c>
      <c r="N4548">
        <v>-1.4403869999999999E-2</v>
      </c>
      <c r="O4548">
        <v>1.1000060000000001E-2</v>
      </c>
      <c r="P4548">
        <v>0.99676229999999999</v>
      </c>
      <c r="Q4548">
        <v>-7.9832840000000002E-2</v>
      </c>
      <c r="R4548">
        <v>9.5741460000000004E-3</v>
      </c>
      <c r="S4548">
        <v>3.0026549999999999</v>
      </c>
      <c r="T4548">
        <v>-0.150120899999999</v>
      </c>
      <c r="U4548">
        <v>-0.4735413</v>
      </c>
      <c r="V4548">
        <v>1.389475E-3</v>
      </c>
      <c r="W4548">
        <v>-6.5466739999999995E-2</v>
      </c>
      <c r="X4548">
        <v>0.99785380000000001</v>
      </c>
      <c r="Y4548">
        <v>0.1663703</v>
      </c>
      <c r="Z4548">
        <v>-5.7263849999999996E-3</v>
      </c>
      <c r="AA4548">
        <v>0.98604669999999905</v>
      </c>
      <c r="AB4548">
        <v>32</v>
      </c>
      <c r="AC4548">
        <v>22.100999999999999</v>
      </c>
      <c r="AD4548">
        <v>-1.1209506874590001</v>
      </c>
      <c r="AE4548">
        <v>-3.5394999999999999</v>
      </c>
      <c r="AF4548">
        <v>3.7729602559094202</v>
      </c>
      <c r="AG4548">
        <v>-1.1209506874590001</v>
      </c>
      <c r="AH4548">
        <v>22.005530995397901</v>
      </c>
      <c r="AI4548">
        <v>92.874228923527198</v>
      </c>
      <c r="AJ4548">
        <v>80.270945534687101</v>
      </c>
      <c r="AK4548">
        <v>22.354756852307801</v>
      </c>
      <c r="AL4548">
        <v>93.753652398445894</v>
      </c>
      <c r="AM4548">
        <v>89.920217769592099</v>
      </c>
      <c r="AN4548">
        <v>1.00000001543072</v>
      </c>
    </row>
    <row r="4549" spans="1:40" x14ac:dyDescent="0.25">
      <c r="A4549" t="str">
        <f>"20190303154228246"</f>
        <v>20190303154228246</v>
      </c>
      <c r="B4549" t="str">
        <f>"1551598948234708"</f>
        <v>1551598948234708</v>
      </c>
      <c r="C4549" t="s">
        <v>40</v>
      </c>
      <c r="D4549">
        <v>5.8667899999999999</v>
      </c>
      <c r="E4549">
        <v>0.56357950000000001</v>
      </c>
      <c r="F4549" t="s">
        <v>50</v>
      </c>
      <c r="G4549">
        <v>-218.9521</v>
      </c>
      <c r="H4549" s="1">
        <v>3.345132E-6</v>
      </c>
      <c r="I4549">
        <v>211.91569999999999</v>
      </c>
      <c r="J4549">
        <v>-240.6737</v>
      </c>
      <c r="K4549">
        <v>1.120976</v>
      </c>
      <c r="L4549">
        <v>215.41630000000001</v>
      </c>
      <c r="M4549">
        <v>0.99983449999999996</v>
      </c>
      <c r="N4549">
        <v>-1.4491459999999999E-2</v>
      </c>
      <c r="O4549">
        <v>1.100026E-2</v>
      </c>
      <c r="P4549">
        <v>0.99677899999999997</v>
      </c>
      <c r="Q4549">
        <v>-7.9671839999999994E-2</v>
      </c>
      <c r="R4549">
        <v>9.1844950000000009E-3</v>
      </c>
      <c r="S4549">
        <v>3.0021209999999998</v>
      </c>
      <c r="T4549">
        <v>-0.15271279999999901</v>
      </c>
      <c r="U4549">
        <v>-0.47644039999999999</v>
      </c>
      <c r="V4549">
        <v>1.779334E-3</v>
      </c>
      <c r="W4549">
        <v>-6.5218180000000001E-2</v>
      </c>
      <c r="X4549">
        <v>0.99786940000000002</v>
      </c>
      <c r="Y4549">
        <v>0.16731599999999999</v>
      </c>
      <c r="Z4549">
        <v>-5.8448349999999996E-3</v>
      </c>
      <c r="AA4549">
        <v>0.98588600000000004</v>
      </c>
      <c r="AB4549">
        <v>32</v>
      </c>
      <c r="AC4549">
        <v>21.721599999999899</v>
      </c>
      <c r="AD4549">
        <v>-1.1209726548679999</v>
      </c>
      <c r="AE4549">
        <v>-3.5006000000000199</v>
      </c>
      <c r="AF4549">
        <v>3.7296750040075901</v>
      </c>
      <c r="AG4549">
        <v>-1.1209726548679999</v>
      </c>
      <c r="AH4549">
        <v>21.625638109050801</v>
      </c>
      <c r="AI4549">
        <v>92.924197549698505</v>
      </c>
      <c r="AJ4549">
        <v>80.2147197526985</v>
      </c>
      <c r="AK4549">
        <v>21.9735131226691</v>
      </c>
      <c r="AL4549">
        <v>93.739380673227799</v>
      </c>
      <c r="AM4549">
        <v>89.897834104849807</v>
      </c>
      <c r="AN4549">
        <v>0.99999995824417698</v>
      </c>
    </row>
    <row r="4550" spans="1:40" x14ac:dyDescent="0.25">
      <c r="A4550" t="str">
        <f>"20190303154228268"</f>
        <v>20190303154228268</v>
      </c>
      <c r="B4550" t="str">
        <f>"1551598948264965"</f>
        <v>1551598948264965</v>
      </c>
      <c r="C4550" t="s">
        <v>40</v>
      </c>
      <c r="D4550">
        <v>5.8713449999999998</v>
      </c>
      <c r="E4550">
        <v>0.56357690000000005</v>
      </c>
      <c r="F4550" t="s">
        <v>50</v>
      </c>
      <c r="G4550">
        <v>-218.6857</v>
      </c>
      <c r="H4550" s="1">
        <v>3.203389E-6</v>
      </c>
      <c r="I4550">
        <v>211.91550000000001</v>
      </c>
      <c r="J4550">
        <v>-240.36009999999999</v>
      </c>
      <c r="K4550">
        <v>1.1210340000000001</v>
      </c>
      <c r="L4550">
        <v>215.41980000000001</v>
      </c>
      <c r="M4550">
        <v>0.99983140000000004</v>
      </c>
      <c r="N4550">
        <v>-1.471328E-2</v>
      </c>
      <c r="O4550">
        <v>1.100011E-2</v>
      </c>
      <c r="P4550">
        <v>0.99671390000000004</v>
      </c>
      <c r="Q4550">
        <v>-8.045621E-2</v>
      </c>
      <c r="R4550">
        <v>9.4045310000000007E-3</v>
      </c>
      <c r="S4550">
        <v>3.0018769999999999</v>
      </c>
      <c r="T4550">
        <v>-0.15303949999999999</v>
      </c>
      <c r="U4550">
        <v>-0.47795100000000001</v>
      </c>
      <c r="V4550">
        <v>1.5586510000000001E-3</v>
      </c>
      <c r="W4550">
        <v>-6.5781999999999993E-2</v>
      </c>
      <c r="X4550">
        <v>0.99783279999999996</v>
      </c>
      <c r="Y4550">
        <v>0.1678094</v>
      </c>
      <c r="Z4550">
        <v>-5.8877189999999996E-3</v>
      </c>
      <c r="AA4550">
        <v>0.98580190000000001</v>
      </c>
      <c r="AB4550">
        <v>32</v>
      </c>
      <c r="AC4550">
        <v>21.674399999999899</v>
      </c>
      <c r="AD4550">
        <v>-1.121030796611</v>
      </c>
      <c r="AE4550">
        <v>-3.5043000000000002</v>
      </c>
      <c r="AF4550">
        <v>3.7328032256998598</v>
      </c>
      <c r="AG4550">
        <v>-1.121030796611</v>
      </c>
      <c r="AH4550">
        <v>21.5782827944454</v>
      </c>
      <c r="AI4550">
        <v>92.930498654020099</v>
      </c>
      <c r="AJ4550">
        <v>80.185596562699203</v>
      </c>
      <c r="AK4550">
        <v>21.9274444093653</v>
      </c>
      <c r="AL4550">
        <v>93.771754549274206</v>
      </c>
      <c r="AM4550">
        <v>89.910501988508301</v>
      </c>
      <c r="AN4550">
        <v>0.99999999883639001</v>
      </c>
    </row>
    <row r="4551" spans="1:40" x14ac:dyDescent="0.25">
      <c r="A4551" t="str">
        <f>"20190303154228291"</f>
        <v>20190303154228291</v>
      </c>
      <c r="B4551" t="str">
        <f>"1551598948284485"</f>
        <v>1551598948284485</v>
      </c>
      <c r="C4551" t="s">
        <v>40</v>
      </c>
      <c r="D4551">
        <v>5.9279400000000004</v>
      </c>
      <c r="E4551">
        <v>0.56360279999999996</v>
      </c>
      <c r="F4551" t="s">
        <v>50</v>
      </c>
      <c r="G4551">
        <v>-218.8073</v>
      </c>
      <c r="H4551" s="1">
        <v>3.2646780000000001E-6</v>
      </c>
      <c r="I4551">
        <v>211.9932</v>
      </c>
      <c r="J4551">
        <v>-240.0497</v>
      </c>
      <c r="K4551">
        <v>1.1211230000000001</v>
      </c>
      <c r="L4551">
        <v>215.42320000000001</v>
      </c>
      <c r="M4551">
        <v>0.99982590000000005</v>
      </c>
      <c r="N4551">
        <v>-1.5071599999999999E-2</v>
      </c>
      <c r="O4551">
        <v>1.1000080000000001E-2</v>
      </c>
      <c r="P4551">
        <v>0.99670510000000001</v>
      </c>
      <c r="Q4551">
        <v>-8.0497070000000004E-2</v>
      </c>
      <c r="R4551">
        <v>9.9561140000000003E-3</v>
      </c>
      <c r="S4551">
        <v>3.0018009999999999</v>
      </c>
      <c r="T4551">
        <v>-0.15613339999999901</v>
      </c>
      <c r="U4551">
        <v>-0.47724909999999998</v>
      </c>
      <c r="V4551">
        <v>1.0070739999999999E-3</v>
      </c>
      <c r="W4551">
        <v>-6.5465289999999995E-2</v>
      </c>
      <c r="X4551">
        <v>0.99785440000000003</v>
      </c>
      <c r="Y4551">
        <v>0.16757720000000001</v>
      </c>
      <c r="Z4551">
        <v>-6.0035740000000002E-3</v>
      </c>
      <c r="AA4551">
        <v>0.98584070000000001</v>
      </c>
      <c r="AB4551">
        <v>31</v>
      </c>
      <c r="AC4551">
        <v>21.2424</v>
      </c>
      <c r="AD4551">
        <v>-1.1211197353219999</v>
      </c>
      <c r="AE4551">
        <v>-3.43</v>
      </c>
      <c r="AF4551">
        <v>3.6535687991652401</v>
      </c>
      <c r="AG4551">
        <v>-1.1211197353219999</v>
      </c>
      <c r="AH4551">
        <v>21.1459753444299</v>
      </c>
      <c r="AI4551">
        <v>92.990644265287997</v>
      </c>
      <c r="AJ4551">
        <v>80.197304179319005</v>
      </c>
      <c r="AK4551">
        <v>21.488549222746599</v>
      </c>
      <c r="AL4551">
        <v>93.753568969685105</v>
      </c>
      <c r="AM4551">
        <v>89.942174860113198</v>
      </c>
      <c r="AN4551">
        <v>1.00000006099609</v>
      </c>
    </row>
    <row r="4552" spans="1:40" x14ac:dyDescent="0.25">
      <c r="A4552" t="str">
        <f>"20190303154228314"</f>
        <v>20190303154228314</v>
      </c>
      <c r="B4552" t="str">
        <f>"1551598948304981"</f>
        <v>1551598948304981</v>
      </c>
      <c r="C4552" t="s">
        <v>40</v>
      </c>
      <c r="D4552">
        <v>5.8411369999999998</v>
      </c>
      <c r="E4552">
        <v>0.53839499999999996</v>
      </c>
      <c r="F4552" t="s">
        <v>50</v>
      </c>
      <c r="G4552">
        <v>-218.6617</v>
      </c>
      <c r="H4552" s="1">
        <v>3.1854590000000002E-6</v>
      </c>
      <c r="I4552">
        <v>212.0324</v>
      </c>
      <c r="J4552">
        <v>-239.72790000000001</v>
      </c>
      <c r="K4552">
        <v>1.1212310000000001</v>
      </c>
      <c r="L4552">
        <v>215.42679999999999</v>
      </c>
      <c r="M4552">
        <v>0.99981830000000005</v>
      </c>
      <c r="N4552">
        <v>-1.557268E-2</v>
      </c>
      <c r="O4552">
        <v>1.099989E-2</v>
      </c>
      <c r="P4552">
        <v>0.99666399999999999</v>
      </c>
      <c r="Q4552">
        <v>-8.0913680000000002E-2</v>
      </c>
      <c r="R4552">
        <v>1.067998E-2</v>
      </c>
      <c r="S4552">
        <v>3.0019680000000002</v>
      </c>
      <c r="T4552">
        <v>-0.15735750000000001</v>
      </c>
      <c r="U4552">
        <v>-0.4759216</v>
      </c>
      <c r="V4552">
        <v>2.8260150000000001E-4</v>
      </c>
      <c r="W4552">
        <v>-6.5382259999999998E-2</v>
      </c>
      <c r="X4552">
        <v>0.99786030000000003</v>
      </c>
      <c r="Y4552">
        <v>0.1671378</v>
      </c>
      <c r="Z4552">
        <v>-6.0637060000000003E-3</v>
      </c>
      <c r="AA4552">
        <v>0.98591490000000004</v>
      </c>
      <c r="AB4552">
        <v>31</v>
      </c>
      <c r="AC4552">
        <v>21.066199999999998</v>
      </c>
      <c r="AD4552">
        <v>-1.121227814541</v>
      </c>
      <c r="AE4552">
        <v>-3.3943999999999899</v>
      </c>
      <c r="AF4552">
        <v>3.6159644819722798</v>
      </c>
      <c r="AG4552">
        <v>-1.121227814541</v>
      </c>
      <c r="AH4552">
        <v>20.969683026646599</v>
      </c>
      <c r="AI4552">
        <v>93.016202542155895</v>
      </c>
      <c r="AJ4552">
        <v>80.216261236651306</v>
      </c>
      <c r="AK4552">
        <v>21.3086826712731</v>
      </c>
      <c r="AL4552">
        <v>93.748801532247299</v>
      </c>
      <c r="AM4552">
        <v>89.983773407158097</v>
      </c>
      <c r="AN4552">
        <v>1.0000000490512</v>
      </c>
    </row>
    <row r="4553" spans="1:40" x14ac:dyDescent="0.25">
      <c r="A4553" t="str">
        <f>"20190303154228344"</f>
        <v>20190303154228344</v>
      </c>
      <c r="B4553" t="str">
        <f>"1551598948334260"</f>
        <v>1551598948334260</v>
      </c>
      <c r="C4553" t="s">
        <v>40</v>
      </c>
      <c r="D4553">
        <v>5.8678379999999999</v>
      </c>
      <c r="E4553">
        <v>0.53413769999999905</v>
      </c>
      <c r="F4553" t="s">
        <v>50</v>
      </c>
      <c r="G4553">
        <v>-224.05629999999999</v>
      </c>
      <c r="H4553" s="1">
        <v>6.4896819999999905E-7</v>
      </c>
      <c r="I4553">
        <v>213.994</v>
      </c>
      <c r="J4553">
        <v>-239.32210000000001</v>
      </c>
      <c r="K4553">
        <v>1.1213709999999999</v>
      </c>
      <c r="L4553">
        <v>215.43119999999999</v>
      </c>
      <c r="M4553">
        <v>0.99980630000000004</v>
      </c>
      <c r="N4553">
        <v>-1.6324290000000002E-2</v>
      </c>
      <c r="O4553">
        <v>1.0999E-2</v>
      </c>
      <c r="P4553">
        <v>0.99664439999999999</v>
      </c>
      <c r="Q4553">
        <v>-8.1062079999999995E-2</v>
      </c>
      <c r="R4553">
        <v>1.1363079999999999E-2</v>
      </c>
      <c r="S4553">
        <v>2.9955750000000001</v>
      </c>
      <c r="T4553">
        <v>-0.2143195</v>
      </c>
      <c r="U4553">
        <v>-0.27386470000000002</v>
      </c>
      <c r="V4553">
        <v>-4.0143070000000001E-4</v>
      </c>
      <c r="W4553">
        <v>-6.4780699999999997E-2</v>
      </c>
      <c r="X4553">
        <v>0.99789950000000005</v>
      </c>
      <c r="Y4553">
        <v>0.101659</v>
      </c>
      <c r="Z4553">
        <v>-5.0626569999999999E-3</v>
      </c>
      <c r="AA4553">
        <v>0.99480639999999998</v>
      </c>
      <c r="AB4553">
        <v>31</v>
      </c>
      <c r="AC4553">
        <v>15.2658</v>
      </c>
      <c r="AD4553">
        <v>-1.1213703510317901</v>
      </c>
      <c r="AE4553">
        <v>-1.4371999999999601</v>
      </c>
      <c r="AF4553">
        <v>1.5965051390712199</v>
      </c>
      <c r="AG4553">
        <v>-1.1213703510317901</v>
      </c>
      <c r="AH4553">
        <v>15.1679417020208</v>
      </c>
      <c r="AI4553">
        <v>94.205056502618902</v>
      </c>
      <c r="AJ4553">
        <v>83.991443499378505</v>
      </c>
      <c r="AK4553">
        <v>15.292898861862501</v>
      </c>
      <c r="AL4553">
        <v>93.714261431240502</v>
      </c>
      <c r="AM4553">
        <v>90.023048697425196</v>
      </c>
      <c r="AN4553">
        <v>1.00000005616967</v>
      </c>
    </row>
    <row r="4554" spans="1:40" x14ac:dyDescent="0.25">
      <c r="A4554" t="str">
        <f>"20190303154228360"</f>
        <v>20190303154228360</v>
      </c>
      <c r="B4554" t="str">
        <f>"1551598948354756"</f>
        <v>1551598948354756</v>
      </c>
      <c r="C4554" t="s">
        <v>40</v>
      </c>
      <c r="D4554">
        <v>5.840058</v>
      </c>
      <c r="E4554">
        <v>0.53379109999999996</v>
      </c>
      <c r="F4554" t="s">
        <v>50</v>
      </c>
      <c r="G4554">
        <v>-223.12010000000001</v>
      </c>
      <c r="H4554" s="1">
        <v>1.440983E-7</v>
      </c>
      <c r="I4554">
        <v>214.14670000000001</v>
      </c>
      <c r="J4554">
        <v>-239.09180000000001</v>
      </c>
      <c r="K4554">
        <v>1.1214409999999999</v>
      </c>
      <c r="L4554">
        <v>215.43369999999999</v>
      </c>
      <c r="M4554">
        <v>0.9997992</v>
      </c>
      <c r="N4554">
        <v>-1.675888E-2</v>
      </c>
      <c r="O4554">
        <v>1.09984E-2</v>
      </c>
      <c r="P4554">
        <v>0.99658550000000001</v>
      </c>
      <c r="Q4554">
        <v>-8.1735760000000005E-2</v>
      </c>
      <c r="R4554">
        <v>1.1709249999999999E-2</v>
      </c>
      <c r="S4554">
        <v>2.9959259999999999</v>
      </c>
      <c r="T4554">
        <v>-0.20735390000000001</v>
      </c>
      <c r="U4554">
        <v>-0.23753360000000001</v>
      </c>
      <c r="V4554">
        <v>-7.4877889999999995E-4</v>
      </c>
      <c r="W4554">
        <v>-6.5021430000000005E-2</v>
      </c>
      <c r="X4554">
        <v>0.99788359999999998</v>
      </c>
      <c r="Y4554">
        <v>8.9717829999999998E-2</v>
      </c>
      <c r="Z4554">
        <v>-4.425684E-3</v>
      </c>
      <c r="AA4554">
        <v>0.99595739999999999</v>
      </c>
      <c r="AB4554">
        <v>31</v>
      </c>
      <c r="AC4554">
        <v>15.971699999999901</v>
      </c>
      <c r="AD4554">
        <v>-1.1214408559017</v>
      </c>
      <c r="AE4554">
        <v>-1.2869999999999699</v>
      </c>
      <c r="AF4554">
        <v>1.4554806438896799</v>
      </c>
      <c r="AG4554">
        <v>-1.1214408559017</v>
      </c>
      <c r="AH4554">
        <v>15.8787986741588</v>
      </c>
      <c r="AI4554">
        <v>94.022999796058897</v>
      </c>
      <c r="AJ4554">
        <v>84.762795527096102</v>
      </c>
      <c r="AK4554">
        <v>15.9847521354724</v>
      </c>
      <c r="AL4554">
        <v>93.728083545110096</v>
      </c>
      <c r="AM4554">
        <v>90.042992852780102</v>
      </c>
      <c r="AN4554">
        <v>1.0000000130890201</v>
      </c>
    </row>
    <row r="4555" spans="1:40" x14ac:dyDescent="0.25">
      <c r="A4555" t="str">
        <f>"20190303154228381"</f>
        <v>20190303154228381</v>
      </c>
      <c r="B4555" t="str">
        <f>"1551598948374276"</f>
        <v>1551598948374276</v>
      </c>
      <c r="C4555" t="s">
        <v>40</v>
      </c>
      <c r="D4555">
        <v>5.8311960000000003</v>
      </c>
      <c r="E4555">
        <v>0.53335699999999997</v>
      </c>
      <c r="F4555" t="s">
        <v>50</v>
      </c>
      <c r="G4555">
        <v>-222.70480000000001</v>
      </c>
      <c r="H4555" s="1">
        <v>-7.7334950000000001E-8</v>
      </c>
      <c r="I4555">
        <v>214.1566</v>
      </c>
      <c r="J4555">
        <v>-238.82079999999999</v>
      </c>
      <c r="K4555">
        <v>1.12151</v>
      </c>
      <c r="L4555">
        <v>215.4367</v>
      </c>
      <c r="M4555">
        <v>0.99979070000000003</v>
      </c>
      <c r="N4555">
        <v>-1.7253879999999999E-2</v>
      </c>
      <c r="O4555">
        <v>1.0997939999999999E-2</v>
      </c>
      <c r="P4555">
        <v>0.99650249999999996</v>
      </c>
      <c r="Q4555">
        <v>-8.278133E-2</v>
      </c>
      <c r="R4555">
        <v>1.141466E-2</v>
      </c>
      <c r="S4555">
        <v>2.9962010000000001</v>
      </c>
      <c r="T4555">
        <v>-0.2050447</v>
      </c>
      <c r="U4555">
        <v>-0.23352049999999999</v>
      </c>
      <c r="V4555">
        <v>-4.5565230000000001E-4</v>
      </c>
      <c r="W4555">
        <v>-6.5574320000000005E-2</v>
      </c>
      <c r="X4555">
        <v>0.99784759999999995</v>
      </c>
      <c r="Y4555">
        <v>8.8392799999999994E-2</v>
      </c>
      <c r="Z4555">
        <v>-4.3427650000000002E-3</v>
      </c>
      <c r="AA4555">
        <v>0.99607619999999997</v>
      </c>
      <c r="AB4555">
        <v>31</v>
      </c>
      <c r="AC4555">
        <v>16.1159999999999</v>
      </c>
      <c r="AD4555">
        <v>-1.12151007733495</v>
      </c>
      <c r="AE4555">
        <v>-1.2801</v>
      </c>
      <c r="AF4555">
        <v>1.4503122766372301</v>
      </c>
      <c r="AG4555">
        <v>-1.12151007733495</v>
      </c>
      <c r="AH4555">
        <v>16.0238316148228</v>
      </c>
      <c r="AI4555">
        <v>93.987364208749398</v>
      </c>
      <c r="AJ4555">
        <v>84.828267453821496</v>
      </c>
      <c r="AK4555">
        <v>16.128371590880501</v>
      </c>
      <c r="AL4555">
        <v>93.759829549714695</v>
      </c>
      <c r="AM4555">
        <v>90.026163265713905</v>
      </c>
      <c r="AN4555">
        <v>1.00000001594412</v>
      </c>
    </row>
    <row r="4556" spans="1:40" x14ac:dyDescent="0.25">
      <c r="A4556" t="str">
        <f>"20190303154228402"</f>
        <v>20190303154228402</v>
      </c>
      <c r="B4556" t="str">
        <f>"1551598948394772"</f>
        <v>1551598948394772</v>
      </c>
      <c r="C4556" t="s">
        <v>40</v>
      </c>
      <c r="D4556">
        <v>5.8296190000000001</v>
      </c>
      <c r="E4556">
        <v>0.5330319</v>
      </c>
      <c r="F4556" t="s">
        <v>50</v>
      </c>
      <c r="G4556">
        <v>-222.6711</v>
      </c>
      <c r="H4556" s="1">
        <v>-9.6752590000000001E-8</v>
      </c>
      <c r="I4556">
        <v>214.19059999999999</v>
      </c>
      <c r="J4556">
        <v>-238.52070000000001</v>
      </c>
      <c r="K4556">
        <v>1.121567</v>
      </c>
      <c r="L4556">
        <v>215.4401</v>
      </c>
      <c r="M4556">
        <v>0.99978180000000005</v>
      </c>
      <c r="N4556">
        <v>-1.776935E-2</v>
      </c>
      <c r="O4556">
        <v>1.099778E-2</v>
      </c>
      <c r="P4556">
        <v>0.99646400000000002</v>
      </c>
      <c r="Q4556">
        <v>-8.3300959999999993E-2</v>
      </c>
      <c r="R4556">
        <v>1.0992750000000001E-2</v>
      </c>
      <c r="S4556">
        <v>2.995895</v>
      </c>
      <c r="T4556">
        <v>-0.20804880000000001</v>
      </c>
      <c r="U4556">
        <v>-0.23117070000000001</v>
      </c>
      <c r="V4556" s="1">
        <v>-3.3970809999999997E-5</v>
      </c>
      <c r="W4556">
        <v>-6.5580219999999995E-2</v>
      </c>
      <c r="X4556">
        <v>0.99784729999999999</v>
      </c>
      <c r="Y4556">
        <v>8.7617570000000006E-2</v>
      </c>
      <c r="Z4556">
        <v>-4.3817750000000001E-3</v>
      </c>
      <c r="AA4556">
        <v>0.99614449999999999</v>
      </c>
      <c r="AB4556">
        <v>31</v>
      </c>
      <c r="AC4556">
        <v>15.849600000000001</v>
      </c>
      <c r="AD4556">
        <v>-1.1215670967525899</v>
      </c>
      <c r="AE4556">
        <v>-1.24950000000001</v>
      </c>
      <c r="AF4556">
        <v>1.4167120651876499</v>
      </c>
      <c r="AG4556">
        <v>-1.1215670967525899</v>
      </c>
      <c r="AH4556">
        <v>15.756485266713799</v>
      </c>
      <c r="AI4556">
        <v>94.055216840999904</v>
      </c>
      <c r="AJ4556">
        <v>84.862183027661999</v>
      </c>
      <c r="AK4556">
        <v>15.859754531149999</v>
      </c>
      <c r="AL4556">
        <v>93.760168383069498</v>
      </c>
      <c r="AM4556">
        <v>90.001950583058999</v>
      </c>
      <c r="AN4556">
        <v>1.0000000002632701</v>
      </c>
    </row>
    <row r="4557" spans="1:40" x14ac:dyDescent="0.25">
      <c r="A4557" t="str">
        <f>"20190303154228425"</f>
        <v>20190303154228425</v>
      </c>
      <c r="B4557" t="str">
        <f>"1551598948414292"</f>
        <v>1551598948414292</v>
      </c>
      <c r="C4557" t="s">
        <v>40</v>
      </c>
      <c r="D4557">
        <v>5.8177089999999998</v>
      </c>
      <c r="E4557">
        <v>0.53276659999999998</v>
      </c>
      <c r="F4557" t="s">
        <v>50</v>
      </c>
      <c r="G4557">
        <v>-222.4785</v>
      </c>
      <c r="H4557" s="1">
        <v>-2.001192E-7</v>
      </c>
      <c r="I4557">
        <v>214.21080000000001</v>
      </c>
      <c r="J4557">
        <v>-238.21190000000001</v>
      </c>
      <c r="K4557">
        <v>1.1216109999999999</v>
      </c>
      <c r="L4557">
        <v>215.4435</v>
      </c>
      <c r="M4557">
        <v>0.99977289999999996</v>
      </c>
      <c r="N4557">
        <v>-1.825854E-2</v>
      </c>
      <c r="O4557">
        <v>1.099749E-2</v>
      </c>
      <c r="P4557">
        <v>0.99646520000000005</v>
      </c>
      <c r="Q4557">
        <v>-8.327822E-2</v>
      </c>
      <c r="R4557">
        <v>1.10609E-2</v>
      </c>
      <c r="S4557">
        <v>2.9956510000000001</v>
      </c>
      <c r="T4557">
        <v>-0.20943700000000001</v>
      </c>
      <c r="U4557">
        <v>-0.22953799999999999</v>
      </c>
      <c r="V4557">
        <v>-1.026041E-4</v>
      </c>
      <c r="W4557">
        <v>-6.5069210000000002E-2</v>
      </c>
      <c r="X4557">
        <v>0.99788080000000001</v>
      </c>
      <c r="Y4557">
        <v>8.7080779999999997E-2</v>
      </c>
      <c r="Z4557">
        <v>-4.3999190000000004E-3</v>
      </c>
      <c r="AA4557">
        <v>0.99619159999999995</v>
      </c>
      <c r="AB4557">
        <v>30</v>
      </c>
      <c r="AC4557">
        <v>15.7334</v>
      </c>
      <c r="AD4557">
        <v>-1.1216112001192</v>
      </c>
      <c r="AE4557">
        <v>-1.2326999999999899</v>
      </c>
      <c r="AF4557">
        <v>1.3986176834364199</v>
      </c>
      <c r="AG4557">
        <v>-1.1216112001192</v>
      </c>
      <c r="AH4557">
        <v>15.6398914740662</v>
      </c>
      <c r="AI4557">
        <v>94.085682451192</v>
      </c>
      <c r="AJ4557">
        <v>84.889843379597195</v>
      </c>
      <c r="AK4557">
        <v>15.742310771586901</v>
      </c>
      <c r="AL4557">
        <v>93.730826802414697</v>
      </c>
      <c r="AM4557">
        <v>90.005891266642294</v>
      </c>
      <c r="AN4557">
        <v>1.00000005181313</v>
      </c>
    </row>
    <row r="4558" spans="1:40" x14ac:dyDescent="0.25">
      <c r="A4558" t="str">
        <f>"20190303154228446"</f>
        <v>20190303154228446</v>
      </c>
      <c r="B4558" t="str">
        <f>"1551598948434788"</f>
        <v>1551598948434788</v>
      </c>
      <c r="C4558" t="s">
        <v>40</v>
      </c>
      <c r="D4558">
        <v>5.820271</v>
      </c>
      <c r="E4558">
        <v>0.5324953</v>
      </c>
      <c r="F4558" t="s">
        <v>50</v>
      </c>
      <c r="G4558">
        <v>-222.13200000000001</v>
      </c>
      <c r="H4558" s="1">
        <v>-3.8502409999999999E-7</v>
      </c>
      <c r="I4558">
        <v>214.2225</v>
      </c>
      <c r="J4558">
        <v>-237.9248</v>
      </c>
      <c r="K4558">
        <v>1.1216489999999999</v>
      </c>
      <c r="L4558">
        <v>215.44659999999999</v>
      </c>
      <c r="M4558">
        <v>0.99976529999999997</v>
      </c>
      <c r="N4558">
        <v>-1.8672399999999999E-2</v>
      </c>
      <c r="O4558">
        <v>1.0997130000000001E-2</v>
      </c>
      <c r="P4558">
        <v>0.99644739999999998</v>
      </c>
      <c r="Q4558">
        <v>-8.3514530000000003E-2</v>
      </c>
      <c r="R4558">
        <v>1.0874440000000001E-2</v>
      </c>
      <c r="S4558">
        <v>2.9957120000000002</v>
      </c>
      <c r="T4558">
        <v>-0.20895849999999999</v>
      </c>
      <c r="U4558">
        <v>-0.22746279999999999</v>
      </c>
      <c r="V4558" s="1">
        <v>8.3554589999999994E-5</v>
      </c>
      <c r="W4558">
        <v>-6.4892790000000006E-2</v>
      </c>
      <c r="X4558">
        <v>0.99789229999999995</v>
      </c>
      <c r="Y4558">
        <v>8.6395109999999997E-2</v>
      </c>
      <c r="Z4558">
        <v>-4.3744919999999998E-3</v>
      </c>
      <c r="AA4558">
        <v>0.99625129999999995</v>
      </c>
      <c r="AB4558">
        <v>30</v>
      </c>
      <c r="AC4558">
        <v>15.7928</v>
      </c>
      <c r="AD4558">
        <v>-1.1216493850240901</v>
      </c>
      <c r="AE4558">
        <v>-1.22409999999999</v>
      </c>
      <c r="AF4558">
        <v>1.39075826283848</v>
      </c>
      <c r="AG4558">
        <v>-1.1216493850240901</v>
      </c>
      <c r="AH4558">
        <v>15.699660774500201</v>
      </c>
      <c r="AI4558">
        <v>94.070619857114806</v>
      </c>
      <c r="AJ4558">
        <v>84.937653851326004</v>
      </c>
      <c r="AK4558">
        <v>15.801001687328499</v>
      </c>
      <c r="AL4558">
        <v>93.720697235595495</v>
      </c>
      <c r="AM4558">
        <v>89.995202563087403</v>
      </c>
      <c r="AN4558">
        <v>1.0000000617873199</v>
      </c>
    </row>
    <row r="4559" spans="1:40" x14ac:dyDescent="0.25">
      <c r="A4559" t="str">
        <f>"20190303154228469"</f>
        <v>20190303154228469</v>
      </c>
      <c r="B4559" t="str">
        <f>"1551598948464068"</f>
        <v>1551598948464068</v>
      </c>
      <c r="C4559" t="s">
        <v>40</v>
      </c>
      <c r="D4559">
        <v>5.8563589999999897</v>
      </c>
      <c r="E4559">
        <v>0.53211269999999999</v>
      </c>
      <c r="F4559" t="s">
        <v>50</v>
      </c>
      <c r="G4559">
        <v>-221.98330000000001</v>
      </c>
      <c r="H4559" s="1">
        <v>-4.6512420000000001E-7</v>
      </c>
      <c r="I4559">
        <v>214.245</v>
      </c>
      <c r="J4559">
        <v>-237.6148</v>
      </c>
      <c r="K4559">
        <v>1.1216759999999999</v>
      </c>
      <c r="L4559">
        <v>215.45</v>
      </c>
      <c r="M4559">
        <v>0.99975769999999997</v>
      </c>
      <c r="N4559">
        <v>-1.9073909999999999E-2</v>
      </c>
      <c r="O4559">
        <v>1.099663E-2</v>
      </c>
      <c r="P4559">
        <v>0.99638740000000003</v>
      </c>
      <c r="Q4559">
        <v>-8.4245689999999998E-2</v>
      </c>
      <c r="R4559">
        <v>1.0733940000000001E-2</v>
      </c>
      <c r="S4559">
        <v>2.9954990000000001</v>
      </c>
      <c r="T4559">
        <v>-0.21076449999999999</v>
      </c>
      <c r="U4559">
        <v>-0.22579959999999999</v>
      </c>
      <c r="V4559">
        <v>2.2298519999999999E-4</v>
      </c>
      <c r="W4559">
        <v>-6.5224270000000001E-2</v>
      </c>
      <c r="X4559">
        <v>0.99787060000000005</v>
      </c>
      <c r="Y4559">
        <v>8.5846279999999997E-2</v>
      </c>
      <c r="Z4559">
        <v>-4.3958160000000003E-3</v>
      </c>
      <c r="AA4559">
        <v>0.99629869999999998</v>
      </c>
      <c r="AB4559">
        <v>30</v>
      </c>
      <c r="AC4559">
        <v>15.6314999999999</v>
      </c>
      <c r="AD4559">
        <v>-1.1216764651241999</v>
      </c>
      <c r="AE4559">
        <v>-1.2049999999999801</v>
      </c>
      <c r="AF4559">
        <v>1.36984037655615</v>
      </c>
      <c r="AG4559">
        <v>-1.1216764651241999</v>
      </c>
      <c r="AH4559">
        <v>15.5377677879929</v>
      </c>
      <c r="AI4559">
        <v>94.113139239436293</v>
      </c>
      <c r="AJ4559">
        <v>84.961717083067398</v>
      </c>
      <c r="AK4559">
        <v>15.6383134827016</v>
      </c>
      <c r="AL4559">
        <v>93.739730212410805</v>
      </c>
      <c r="AM4559">
        <v>89.987196625853798</v>
      </c>
      <c r="AN4559">
        <v>0.99999999473189605</v>
      </c>
    </row>
    <row r="4560" spans="1:40" x14ac:dyDescent="0.25">
      <c r="A4560" t="str">
        <f>"20190303154228492"</f>
        <v>20190303154228492</v>
      </c>
      <c r="B4560" t="str">
        <f>"1551598948484564"</f>
        <v>1551598948484564</v>
      </c>
      <c r="C4560" t="s">
        <v>40</v>
      </c>
      <c r="D4560">
        <v>5.8255809999999997</v>
      </c>
      <c r="E4560">
        <v>0.53197709999999998</v>
      </c>
      <c r="F4560" t="s">
        <v>50</v>
      </c>
      <c r="G4560">
        <v>-221.84379999999999</v>
      </c>
      <c r="H4560" s="1">
        <v>-5.4071070000000003E-7</v>
      </c>
      <c r="I4560">
        <v>214.27549999999999</v>
      </c>
      <c r="J4560">
        <v>-237.3252</v>
      </c>
      <c r="K4560">
        <v>1.1216930000000001</v>
      </c>
      <c r="L4560">
        <v>215.45320000000001</v>
      </c>
      <c r="M4560">
        <v>0.99975119999999895</v>
      </c>
      <c r="N4560">
        <v>-1.9406799999999998E-2</v>
      </c>
      <c r="O4560">
        <v>1.099643E-2</v>
      </c>
      <c r="P4560">
        <v>0.99633459999999996</v>
      </c>
      <c r="Q4560">
        <v>-8.4882650000000004E-2</v>
      </c>
      <c r="R4560">
        <v>1.061202E-2</v>
      </c>
      <c r="S4560">
        <v>2.9952700000000001</v>
      </c>
      <c r="T4560">
        <v>-0.2130319</v>
      </c>
      <c r="U4560">
        <v>-0.22306819999999999</v>
      </c>
      <c r="V4560">
        <v>3.441343E-4</v>
      </c>
      <c r="W4560">
        <v>-6.5529920000000005E-2</v>
      </c>
      <c r="X4560">
        <v>0.99785049999999997</v>
      </c>
      <c r="Y4560">
        <v>8.4944770000000003E-2</v>
      </c>
      <c r="Z4560">
        <v>-4.4067610000000004E-3</v>
      </c>
      <c r="AA4560">
        <v>0.99637589999999998</v>
      </c>
      <c r="AB4560">
        <v>30</v>
      </c>
      <c r="AC4560">
        <v>15.481400000000001</v>
      </c>
      <c r="AD4560">
        <v>-1.1216935407107</v>
      </c>
      <c r="AE4560">
        <v>-1.17770000000001</v>
      </c>
      <c r="AF4560">
        <v>1.3409022367810699</v>
      </c>
      <c r="AG4560">
        <v>-1.1216935407107</v>
      </c>
      <c r="AH4560">
        <v>15.387198464357001</v>
      </c>
      <c r="AI4560">
        <v>94.153677135589803</v>
      </c>
      <c r="AJ4560">
        <v>85.019597554523699</v>
      </c>
      <c r="AK4560">
        <v>15.4861903575213</v>
      </c>
      <c r="AL4560">
        <v>93.757280364554504</v>
      </c>
      <c r="AM4560">
        <v>89.980240083866306</v>
      </c>
      <c r="AN4560">
        <v>0.99999995459693503</v>
      </c>
    </row>
    <row r="4561" spans="1:40" x14ac:dyDescent="0.25">
      <c r="A4561" t="str">
        <f>"20190303154228515"</f>
        <v>20190303154228515</v>
      </c>
      <c r="B4561" t="str">
        <f>"1551598948504085"</f>
        <v>1551598948504085</v>
      </c>
      <c r="C4561" t="s">
        <v>40</v>
      </c>
      <c r="D4561">
        <v>5.8235919999999997</v>
      </c>
      <c r="E4561">
        <v>0.53183239999999998</v>
      </c>
      <c r="F4561" t="s">
        <v>50</v>
      </c>
      <c r="G4561">
        <v>-221.71260000000001</v>
      </c>
      <c r="H4561" s="1">
        <v>-6.1131499999999997E-7</v>
      </c>
      <c r="I4561">
        <v>214.2937</v>
      </c>
      <c r="J4561">
        <v>-237.0197</v>
      </c>
      <c r="K4561">
        <v>1.121707</v>
      </c>
      <c r="L4561">
        <v>215.45660000000001</v>
      </c>
      <c r="M4561">
        <v>0.99974510000000005</v>
      </c>
      <c r="N4561">
        <v>-1.9724470000000001E-2</v>
      </c>
      <c r="O4561">
        <v>1.099614E-2</v>
      </c>
      <c r="P4561">
        <v>0.996278</v>
      </c>
      <c r="Q4561">
        <v>-8.5539939999999995E-2</v>
      </c>
      <c r="R4561">
        <v>1.063615E-2</v>
      </c>
      <c r="S4561">
        <v>2.9950709999999998</v>
      </c>
      <c r="T4561">
        <v>-0.21518290000000001</v>
      </c>
      <c r="U4561">
        <v>-0.22244259999999999</v>
      </c>
      <c r="V4561">
        <v>3.1930450000000003E-4</v>
      </c>
      <c r="W4561">
        <v>-6.587113E-2</v>
      </c>
      <c r="X4561">
        <v>0.9978281</v>
      </c>
      <c r="Y4561">
        <v>8.4736980000000003E-2</v>
      </c>
      <c r="Z4561">
        <v>-4.4458019999999996E-3</v>
      </c>
      <c r="AA4561">
        <v>0.99639339999999998</v>
      </c>
      <c r="AB4561">
        <v>30</v>
      </c>
      <c r="AC4561">
        <v>15.307099999999901</v>
      </c>
      <c r="AD4561">
        <v>-1.121707611315</v>
      </c>
      <c r="AE4561">
        <v>-1.1629</v>
      </c>
      <c r="AF4561">
        <v>1.3241117478637801</v>
      </c>
      <c r="AG4561">
        <v>-1.121707611315</v>
      </c>
      <c r="AH4561">
        <v>15.212163887617001</v>
      </c>
      <c r="AI4561">
        <v>94.201389195166797</v>
      </c>
      <c r="AJ4561">
        <v>85.025344021522002</v>
      </c>
      <c r="AK4561">
        <v>15.3108272157265</v>
      </c>
      <c r="AL4561">
        <v>93.776872370929993</v>
      </c>
      <c r="AM4561">
        <v>89.981665379432499</v>
      </c>
      <c r="AN4561">
        <v>1.0000000124362201</v>
      </c>
    </row>
    <row r="4562" spans="1:40" x14ac:dyDescent="0.25">
      <c r="A4562" t="str">
        <f>"20190303154228538"</f>
        <v>20190303154228538</v>
      </c>
      <c r="B4562" t="str">
        <f>"1551598948534340"</f>
        <v>1551598948534340</v>
      </c>
      <c r="C4562" t="s">
        <v>40</v>
      </c>
      <c r="D4562">
        <v>5.8308220000000004</v>
      </c>
      <c r="E4562">
        <v>0.53171269999999904</v>
      </c>
      <c r="F4562" t="s">
        <v>50</v>
      </c>
      <c r="G4562">
        <v>-221.57480000000001</v>
      </c>
      <c r="H4562" s="1">
        <v>-6.8560689999999999E-7</v>
      </c>
      <c r="I4562">
        <v>214.3158</v>
      </c>
      <c r="J4562">
        <v>-236.7336</v>
      </c>
      <c r="K4562">
        <v>1.1217330000000001</v>
      </c>
      <c r="L4562">
        <v>215.4597</v>
      </c>
      <c r="M4562">
        <v>0.99973909999999999</v>
      </c>
      <c r="N4562">
        <v>-2.002721E-2</v>
      </c>
      <c r="O4562">
        <v>1.099607E-2</v>
      </c>
      <c r="P4562">
        <v>0.99622149999999998</v>
      </c>
      <c r="Q4562">
        <v>-8.6162669999999997E-2</v>
      </c>
      <c r="R4562">
        <v>1.090994E-2</v>
      </c>
      <c r="S4562">
        <v>2.9948730000000001</v>
      </c>
      <c r="T4562">
        <v>-0.2175068</v>
      </c>
      <c r="U4562">
        <v>-0.22120670000000001</v>
      </c>
      <c r="V4562" s="1">
        <v>4.4798890000000002E-5</v>
      </c>
      <c r="W4562">
        <v>-6.619266E-2</v>
      </c>
      <c r="X4562">
        <v>0.99780679999999999</v>
      </c>
      <c r="Y4562">
        <v>8.4327650000000004E-2</v>
      </c>
      <c r="Z4562">
        <v>-4.4779310000000001E-3</v>
      </c>
      <c r="AA4562">
        <v>0.99642799999999998</v>
      </c>
      <c r="AB4562">
        <v>30</v>
      </c>
      <c r="AC4562">
        <v>15.1587999999999</v>
      </c>
      <c r="AD4562">
        <v>-1.12173368560689</v>
      </c>
      <c r="AE4562">
        <v>-1.1438999999999999</v>
      </c>
      <c r="AF4562">
        <v>1.3034543754811201</v>
      </c>
      <c r="AG4562">
        <v>-1.12173368560689</v>
      </c>
      <c r="AH4562">
        <v>15.0632852877223</v>
      </c>
      <c r="AI4562">
        <v>94.243047276064502</v>
      </c>
      <c r="AJ4562">
        <v>85.054407817852194</v>
      </c>
      <c r="AK4562">
        <v>15.161129358649299</v>
      </c>
      <c r="AL4562">
        <v>93.795335251786796</v>
      </c>
      <c r="AM4562">
        <v>89.997427570826105</v>
      </c>
      <c r="AN4562">
        <v>0.99999994018552596</v>
      </c>
    </row>
    <row r="4563" spans="1:40" x14ac:dyDescent="0.25">
      <c r="A4563" t="str">
        <f>"20190303154228558"</f>
        <v>20190303154228558</v>
      </c>
      <c r="B4563" t="str">
        <f>"1551598948553864"</f>
        <v>1551598948553864</v>
      </c>
      <c r="C4563" t="s">
        <v>40</v>
      </c>
      <c r="D4563">
        <v>5.8275899999999998</v>
      </c>
      <c r="E4563">
        <v>0.53164940000000005</v>
      </c>
      <c r="F4563" t="s">
        <v>42</v>
      </c>
      <c r="G4563">
        <v>-235.74420000000001</v>
      </c>
      <c r="H4563">
        <v>1.048789</v>
      </c>
      <c r="I4563">
        <v>215.3871</v>
      </c>
      <c r="J4563">
        <v>-236.44900000000001</v>
      </c>
      <c r="K4563">
        <v>1.121764</v>
      </c>
      <c r="L4563">
        <v>215.46279999999999</v>
      </c>
      <c r="M4563">
        <v>0.99973270000000003</v>
      </c>
      <c r="N4563">
        <v>-2.034058E-2</v>
      </c>
      <c r="O4563">
        <v>1.099573E-2</v>
      </c>
      <c r="P4563">
        <v>0.9962145</v>
      </c>
      <c r="Q4563">
        <v>-8.620593E-2</v>
      </c>
      <c r="R4563">
        <v>1.1185840000000001E-2</v>
      </c>
      <c r="S4563">
        <v>2.9946899999999999</v>
      </c>
      <c r="T4563">
        <v>-0.22079589999999999</v>
      </c>
      <c r="U4563">
        <v>-0.21951290000000001</v>
      </c>
      <c r="V4563">
        <v>-2.310642E-4</v>
      </c>
      <c r="W4563">
        <v>-6.5923239999999994E-2</v>
      </c>
      <c r="X4563">
        <v>0.99782470000000001</v>
      </c>
      <c r="Y4563">
        <v>8.3764140000000001E-2</v>
      </c>
      <c r="Z4563">
        <v>-4.5196809999999898E-3</v>
      </c>
      <c r="AA4563">
        <v>0.99647529999999995</v>
      </c>
      <c r="AB4563">
        <v>29</v>
      </c>
      <c r="AC4563">
        <v>0.70480000000000498</v>
      </c>
      <c r="AD4563">
        <v>-7.2974999999999998E-2</v>
      </c>
      <c r="AE4563">
        <v>-7.5699999999983406E-2</v>
      </c>
      <c r="AF4563">
        <v>8.2571698186320902E-2</v>
      </c>
      <c r="AG4563">
        <v>-7.2974999999999998E-2</v>
      </c>
      <c r="AH4563">
        <v>0.69654267678996795</v>
      </c>
      <c r="AI4563">
        <v>95.939625238045394</v>
      </c>
      <c r="AJ4563">
        <v>83.239418840621198</v>
      </c>
      <c r="AK4563">
        <v>0.70520574058646701</v>
      </c>
      <c r="AL4563">
        <v>93.779864493336405</v>
      </c>
      <c r="AM4563">
        <v>90.013267864806195</v>
      </c>
      <c r="AN4563">
        <v>1.00000002944642</v>
      </c>
    </row>
    <row r="4564" spans="1:40" x14ac:dyDescent="0.25">
      <c r="A4564" t="str">
        <f>"20190303154228582"</f>
        <v>20190303154228582</v>
      </c>
      <c r="B4564" t="str">
        <f>"1551598948574359"</f>
        <v>1551598948574359</v>
      </c>
      <c r="C4564" t="s">
        <v>40</v>
      </c>
      <c r="D4564">
        <v>5.8460729999999996</v>
      </c>
      <c r="E4564">
        <v>0.53159730000000005</v>
      </c>
      <c r="F4564" t="s">
        <v>50</v>
      </c>
      <c r="G4564">
        <v>-221.28319999999999</v>
      </c>
      <c r="H4564" s="1">
        <v>-8.4264139999999897E-7</v>
      </c>
      <c r="I4564">
        <v>214.3579</v>
      </c>
      <c r="J4564">
        <v>-236.1574</v>
      </c>
      <c r="K4564">
        <v>1.1217969999999999</v>
      </c>
      <c r="L4564">
        <v>215.46610000000001</v>
      </c>
      <c r="M4564">
        <v>0.99972609999999995</v>
      </c>
      <c r="N4564">
        <v>-2.066614E-2</v>
      </c>
      <c r="O4564">
        <v>1.0995029999999999E-2</v>
      </c>
      <c r="P4564">
        <v>0.99619219999999997</v>
      </c>
      <c r="Q4564">
        <v>-8.6464559999999996E-2</v>
      </c>
      <c r="R4564">
        <v>1.11888E-2</v>
      </c>
      <c r="S4564">
        <v>2.994675</v>
      </c>
      <c r="T4564">
        <v>-0.22150610000000001</v>
      </c>
      <c r="U4564">
        <v>-0.2181854</v>
      </c>
      <c r="V4564">
        <v>-2.3534740000000001E-4</v>
      </c>
      <c r="W4564">
        <v>-6.5857349999999995E-2</v>
      </c>
      <c r="X4564">
        <v>0.99782899999999997</v>
      </c>
      <c r="Y4564">
        <v>8.3323399999999895E-2</v>
      </c>
      <c r="Z4564">
        <v>-4.5214809999999999E-3</v>
      </c>
      <c r="AA4564">
        <v>0.99651230000000002</v>
      </c>
      <c r="AB4564">
        <v>29</v>
      </c>
      <c r="AC4564">
        <v>14.8742</v>
      </c>
      <c r="AD4564">
        <v>-1.1217978426413999</v>
      </c>
      <c r="AE4564">
        <v>-1.1082000000000101</v>
      </c>
      <c r="AF4564">
        <v>1.2645570399572801</v>
      </c>
      <c r="AG4564">
        <v>-1.1217978426413999</v>
      </c>
      <c r="AH4564">
        <v>14.777522223585899</v>
      </c>
      <c r="AI4564">
        <v>94.325388954765799</v>
      </c>
      <c r="AJ4564">
        <v>85.108943174506607</v>
      </c>
      <c r="AK4564">
        <v>14.873893168085999</v>
      </c>
      <c r="AL4564">
        <v>93.776081241177096</v>
      </c>
      <c r="AM4564">
        <v>90.013513750842407</v>
      </c>
      <c r="AN4564">
        <v>0.99999997958921005</v>
      </c>
    </row>
    <row r="4565" spans="1:40" x14ac:dyDescent="0.25">
      <c r="A4565" t="str">
        <f>"20190303154228603"</f>
        <v>20190303154228603</v>
      </c>
      <c r="B4565" t="str">
        <f>"1551598948593876"</f>
        <v>1551598948593876</v>
      </c>
      <c r="C4565" t="s">
        <v>40</v>
      </c>
      <c r="D4565">
        <v>5.851477</v>
      </c>
      <c r="E4565">
        <v>0.53155259999999904</v>
      </c>
      <c r="F4565" t="s">
        <v>50</v>
      </c>
      <c r="G4565">
        <v>-221.0565</v>
      </c>
      <c r="H4565" s="1">
        <v>-9.6372050000000002E-7</v>
      </c>
      <c r="I4565">
        <v>214.36869999999999</v>
      </c>
      <c r="J4565">
        <v>-235.8741</v>
      </c>
      <c r="K4565">
        <v>1.1218330000000001</v>
      </c>
      <c r="L4565">
        <v>215.4692</v>
      </c>
      <c r="M4565">
        <v>0.99971969999999999</v>
      </c>
      <c r="N4565">
        <v>-2.097576E-2</v>
      </c>
      <c r="O4565">
        <v>1.0994449999999999E-2</v>
      </c>
      <c r="P4565">
        <v>0.99618329999999999</v>
      </c>
      <c r="Q4565">
        <v>-8.6512539999999999E-2</v>
      </c>
      <c r="R4565">
        <v>1.1605000000000001E-2</v>
      </c>
      <c r="S4565">
        <v>2.9945979999999999</v>
      </c>
      <c r="T4565">
        <v>-0.22245980000000001</v>
      </c>
      <c r="U4565">
        <v>-0.2176208</v>
      </c>
      <c r="V4565">
        <v>-6.5216139999999998E-4</v>
      </c>
      <c r="W4565">
        <v>-6.5596349999999998E-2</v>
      </c>
      <c r="X4565">
        <v>0.99784600000000001</v>
      </c>
      <c r="Y4565">
        <v>8.3135299999999995E-2</v>
      </c>
      <c r="Z4565">
        <v>-4.5388629999999998E-3</v>
      </c>
      <c r="AA4565">
        <v>0.99652790000000002</v>
      </c>
      <c r="AB4565">
        <v>29</v>
      </c>
      <c r="AC4565">
        <v>14.817600000000001</v>
      </c>
      <c r="AD4565">
        <v>-1.1218339637204999</v>
      </c>
      <c r="AE4565">
        <v>-1.10050000000001</v>
      </c>
      <c r="AF4565">
        <v>1.2562195698554399</v>
      </c>
      <c r="AG4565">
        <v>-1.1218339637204999</v>
      </c>
      <c r="AH4565">
        <v>14.7206867876411</v>
      </c>
      <c r="AI4565">
        <v>94.342251078699405</v>
      </c>
      <c r="AJ4565">
        <v>85.122366211528004</v>
      </c>
      <c r="AK4565">
        <v>14.8167209108384</v>
      </c>
      <c r="AL4565">
        <v>93.7610946606396</v>
      </c>
      <c r="AM4565">
        <v>90.037446750762101</v>
      </c>
      <c r="AN4565">
        <v>0.99999997308190602</v>
      </c>
    </row>
    <row r="4566" spans="1:40" x14ac:dyDescent="0.25">
      <c r="A4566" t="str">
        <f>"20190303154228625"</f>
        <v>20190303154228625</v>
      </c>
      <c r="B4566" t="str">
        <f>"1551598948614372"</f>
        <v>1551598948614372</v>
      </c>
      <c r="C4566" t="s">
        <v>40</v>
      </c>
      <c r="D4566">
        <v>5.872268</v>
      </c>
      <c r="E4566">
        <v>0.53161510000000001</v>
      </c>
      <c r="F4566" t="s">
        <v>50</v>
      </c>
      <c r="G4566">
        <v>-220.82929999999999</v>
      </c>
      <c r="H4566" s="1">
        <v>-1.08527E-6</v>
      </c>
      <c r="I4566">
        <v>214.38290000000001</v>
      </c>
      <c r="J4566">
        <v>-235.59800000000001</v>
      </c>
      <c r="K4566">
        <v>1.1218699999999999</v>
      </c>
      <c r="L4566">
        <v>215.47219999999999</v>
      </c>
      <c r="M4566">
        <v>0.99971339999999997</v>
      </c>
      <c r="N4566">
        <v>-2.1272019999999999E-2</v>
      </c>
      <c r="O4566">
        <v>1.0993960000000001E-2</v>
      </c>
      <c r="P4566">
        <v>0.99622820000000001</v>
      </c>
      <c r="Q4566">
        <v>-8.6080569999999995E-2</v>
      </c>
      <c r="R4566">
        <v>1.094462E-2</v>
      </c>
      <c r="S4566">
        <v>2.9946290000000002</v>
      </c>
      <c r="T4566">
        <v>-0.223299</v>
      </c>
      <c r="U4566">
        <v>-0.21621699999999999</v>
      </c>
      <c r="V4566" s="1">
        <v>8.4705529999999996E-6</v>
      </c>
      <c r="W4566">
        <v>-6.4868040000000002E-2</v>
      </c>
      <c r="X4566">
        <v>0.9978939</v>
      </c>
      <c r="Y4566">
        <v>8.2668199999999997E-2</v>
      </c>
      <c r="Z4566">
        <v>-4.5402639999999996E-3</v>
      </c>
      <c r="AA4566">
        <v>0.99656679999999997</v>
      </c>
      <c r="AB4566">
        <v>29</v>
      </c>
      <c r="AC4566">
        <v>14.7686999999999</v>
      </c>
      <c r="AD4566">
        <v>-1.12187108527</v>
      </c>
      <c r="AE4566">
        <v>-1.08929999999998</v>
      </c>
      <c r="AF4566">
        <v>1.2444950586843</v>
      </c>
      <c r="AG4566">
        <v>-1.12187108527</v>
      </c>
      <c r="AH4566">
        <v>14.6716264196425</v>
      </c>
      <c r="AI4566">
        <v>94.3570472570768</v>
      </c>
      <c r="AJ4566">
        <v>85.151591527807597</v>
      </c>
      <c r="AK4566">
        <v>14.7669896891887</v>
      </c>
      <c r="AL4566">
        <v>93.719276218011998</v>
      </c>
      <c r="AM4566">
        <v>89.999513648758594</v>
      </c>
      <c r="AN4566">
        <v>1.00000004917119</v>
      </c>
    </row>
    <row r="4567" spans="1:40" x14ac:dyDescent="0.25">
      <c r="A4567" t="str">
        <f>"20190303154228660"</f>
        <v>20190303154228660</v>
      </c>
      <c r="B4567" t="str">
        <f>"1551598948654388"</f>
        <v>1551598948654388</v>
      </c>
      <c r="C4567" t="s">
        <v>40</v>
      </c>
      <c r="D4567">
        <v>5.8874649999999997</v>
      </c>
      <c r="E4567">
        <v>0.53174319999999997</v>
      </c>
      <c r="F4567" t="s">
        <v>50</v>
      </c>
      <c r="G4567">
        <v>-220.4907</v>
      </c>
      <c r="H4567" s="1">
        <v>-1.2648519999999999E-6</v>
      </c>
      <c r="I4567">
        <v>214.36930000000001</v>
      </c>
      <c r="J4567">
        <v>-235.1705</v>
      </c>
      <c r="K4567">
        <v>1.121918</v>
      </c>
      <c r="L4567">
        <v>215.4769</v>
      </c>
      <c r="M4567">
        <v>0.99970400000000004</v>
      </c>
      <c r="N4567">
        <v>-2.1702590000000001E-2</v>
      </c>
      <c r="O4567">
        <v>1.099398E-2</v>
      </c>
      <c r="P4567">
        <v>0.99626919999999997</v>
      </c>
      <c r="Q4567">
        <v>-8.5622589999999998E-2</v>
      </c>
      <c r="R4567">
        <v>1.080014E-2</v>
      </c>
      <c r="S4567">
        <v>2.9945529999999998</v>
      </c>
      <c r="T4567">
        <v>-0.22237660000000001</v>
      </c>
      <c r="U4567">
        <v>-0.21862789999999999</v>
      </c>
      <c r="V4567">
        <v>1.535144E-4</v>
      </c>
      <c r="W4567">
        <v>-6.3979560000000005E-2</v>
      </c>
      <c r="X4567">
        <v>0.99795120000000004</v>
      </c>
      <c r="Y4567">
        <v>8.3466659999999998E-2</v>
      </c>
      <c r="Z4567">
        <v>-4.5756379999999999E-3</v>
      </c>
      <c r="AA4567">
        <v>0.9965001</v>
      </c>
      <c r="AB4567">
        <v>28</v>
      </c>
      <c r="AC4567">
        <v>14.6798</v>
      </c>
      <c r="AD4567">
        <v>-1.121919264852</v>
      </c>
      <c r="AE4567">
        <v>-1.1075999999999899</v>
      </c>
      <c r="AF4567">
        <v>1.2616330690267501</v>
      </c>
      <c r="AG4567">
        <v>-1.121919264852</v>
      </c>
      <c r="AH4567">
        <v>14.582041856385199</v>
      </c>
      <c r="AI4567">
        <v>94.383268250165699</v>
      </c>
      <c r="AJ4567">
        <v>85.055103610503593</v>
      </c>
      <c r="AK4567">
        <v>14.6794538569757</v>
      </c>
      <c r="AL4567">
        <v>93.6682642645317</v>
      </c>
      <c r="AM4567">
        <v>89.991186215172505</v>
      </c>
      <c r="AN4567">
        <v>1.0000000026229501</v>
      </c>
    </row>
    <row r="4568" spans="1:40" x14ac:dyDescent="0.25">
      <c r="A4568" t="str">
        <f>"20190303154228681"</f>
        <v>20190303154228681</v>
      </c>
      <c r="B4568" t="str">
        <f>"1551598948673912"</f>
        <v>1551598948673912</v>
      </c>
      <c r="C4568" t="s">
        <v>40</v>
      </c>
      <c r="D4568">
        <v>5.8721300000000003</v>
      </c>
      <c r="E4568">
        <v>0.53175950000000005</v>
      </c>
      <c r="F4568" t="s">
        <v>50</v>
      </c>
      <c r="G4568">
        <v>-219.9736</v>
      </c>
      <c r="H4568" s="1">
        <v>-1.5396470000000001E-6</v>
      </c>
      <c r="I4568">
        <v>214.36</v>
      </c>
      <c r="J4568">
        <v>-234.8913</v>
      </c>
      <c r="K4568">
        <v>1.1219429999999999</v>
      </c>
      <c r="L4568">
        <v>215.48</v>
      </c>
      <c r="M4568">
        <v>0.99969830000000004</v>
      </c>
      <c r="N4568">
        <v>-2.196124E-2</v>
      </c>
      <c r="O4568">
        <v>1.0993799999999899E-2</v>
      </c>
      <c r="P4568">
        <v>0.99624199999999996</v>
      </c>
      <c r="Q4568">
        <v>-8.5946220000000004E-2</v>
      </c>
      <c r="R4568">
        <v>1.0738330000000001E-2</v>
      </c>
      <c r="S4568">
        <v>2.994583</v>
      </c>
      <c r="T4568">
        <v>-0.22107579999999999</v>
      </c>
      <c r="U4568">
        <v>-0.22009280000000001</v>
      </c>
      <c r="V4568">
        <v>2.1481709999999999E-4</v>
      </c>
      <c r="W4568">
        <v>-6.4045530000000003E-2</v>
      </c>
      <c r="X4568">
        <v>0.99794700000000003</v>
      </c>
      <c r="Y4568">
        <v>8.3951620000000005E-2</v>
      </c>
      <c r="Z4568">
        <v>-4.5839330000000001E-3</v>
      </c>
      <c r="AA4568">
        <v>0.99645930000000005</v>
      </c>
      <c r="AB4568">
        <v>28</v>
      </c>
      <c r="AC4568">
        <v>14.9176999999999</v>
      </c>
      <c r="AD4568">
        <v>-1.121944539647</v>
      </c>
      <c r="AE4568">
        <v>-1.1199999999999699</v>
      </c>
      <c r="AF4568">
        <v>1.27679251686621</v>
      </c>
      <c r="AG4568">
        <v>-1.121944539647</v>
      </c>
      <c r="AH4568">
        <v>14.8211179483786</v>
      </c>
      <c r="AI4568">
        <v>94.313065756585303</v>
      </c>
      <c r="AJ4568">
        <v>85.076305518526496</v>
      </c>
      <c r="AK4568">
        <v>14.918260485757701</v>
      </c>
      <c r="AL4568">
        <v>93.672051677627607</v>
      </c>
      <c r="AM4568">
        <v>89.987666566453797</v>
      </c>
      <c r="AN4568">
        <v>1.00000004543418</v>
      </c>
    </row>
    <row r="4569" spans="1:40" x14ac:dyDescent="0.25">
      <c r="A4569" t="str">
        <f>"20190303154228704"</f>
        <v>20190303154228704</v>
      </c>
      <c r="B4569" t="str">
        <f>"1551598948694404"</f>
        <v>1551598948694404</v>
      </c>
      <c r="C4569" t="s">
        <v>40</v>
      </c>
      <c r="D4569">
        <v>5.910641</v>
      </c>
      <c r="E4569">
        <v>0.5317615</v>
      </c>
      <c r="F4569" t="s">
        <v>50</v>
      </c>
      <c r="G4569">
        <v>-219.78469999999999</v>
      </c>
      <c r="H4569" s="1">
        <v>3.6810349999999999E-6</v>
      </c>
      <c r="I4569">
        <v>214.36760000000001</v>
      </c>
      <c r="J4569">
        <v>-234.61859999999999</v>
      </c>
      <c r="K4569">
        <v>1.121964</v>
      </c>
      <c r="L4569">
        <v>215.483</v>
      </c>
      <c r="M4569">
        <v>0.99969330000000001</v>
      </c>
      <c r="N4569">
        <v>-2.2195300000000001E-2</v>
      </c>
      <c r="O4569">
        <v>1.099321E-2</v>
      </c>
      <c r="P4569">
        <v>0.99617149999999999</v>
      </c>
      <c r="Q4569">
        <v>-8.6795460000000005E-2</v>
      </c>
      <c r="R4569">
        <v>1.042967E-2</v>
      </c>
      <c r="S4569">
        <v>2.9945219999999999</v>
      </c>
      <c r="T4569">
        <v>-0.2223984</v>
      </c>
      <c r="U4569">
        <v>-0.2205048</v>
      </c>
      <c r="V4569">
        <v>5.222235E-4</v>
      </c>
      <c r="W4569">
        <v>-6.4662559999999994E-2</v>
      </c>
      <c r="X4569">
        <v>0.99790699999999999</v>
      </c>
      <c r="Y4569">
        <v>8.4084469999999994E-2</v>
      </c>
      <c r="Z4569">
        <v>-4.6209509999999999E-3</v>
      </c>
      <c r="AA4569">
        <v>0.99644790000000005</v>
      </c>
      <c r="AB4569">
        <v>28</v>
      </c>
      <c r="AC4569">
        <v>14.8339</v>
      </c>
      <c r="AD4569">
        <v>-1.121960318965</v>
      </c>
      <c r="AE4569">
        <v>-1.11539999999999</v>
      </c>
      <c r="AF4569">
        <v>1.27121364664021</v>
      </c>
      <c r="AG4569">
        <v>-1.121960318965</v>
      </c>
      <c r="AH4569">
        <v>14.736907830481799</v>
      </c>
      <c r="AI4569">
        <v>94.337636553996006</v>
      </c>
      <c r="AJ4569">
        <v>85.069839121809693</v>
      </c>
      <c r="AK4569">
        <v>14.834123887066999</v>
      </c>
      <c r="AL4569">
        <v>93.707478680508302</v>
      </c>
      <c r="AM4569">
        <v>89.970016043798495</v>
      </c>
      <c r="AN4569">
        <v>0.99999995001606701</v>
      </c>
    </row>
    <row r="4570" spans="1:40" x14ac:dyDescent="0.25">
      <c r="A4570" t="str">
        <f>"20190303154228727"</f>
        <v>20190303154228727</v>
      </c>
      <c r="B4570" t="str">
        <f>"1551598948724661"</f>
        <v>1551598948724661</v>
      </c>
      <c r="C4570" t="s">
        <v>40</v>
      </c>
      <c r="D4570">
        <v>5.8106999999999998</v>
      </c>
      <c r="E4570">
        <v>0.53173280000000001</v>
      </c>
      <c r="F4570" t="s">
        <v>50</v>
      </c>
      <c r="G4570">
        <v>-219.71899999999999</v>
      </c>
      <c r="H4570" s="1">
        <v>3.6454650000000002E-6</v>
      </c>
      <c r="I4570">
        <v>214.3811</v>
      </c>
      <c r="J4570">
        <v>-234.33860000000001</v>
      </c>
      <c r="K4570">
        <v>1.121985</v>
      </c>
      <c r="L4570">
        <v>215.48609999999999</v>
      </c>
      <c r="M4570">
        <v>0.99968829999999997</v>
      </c>
      <c r="N4570">
        <v>-2.2416579999999998E-2</v>
      </c>
      <c r="O4570">
        <v>1.0992679999999999E-2</v>
      </c>
      <c r="P4570">
        <v>0.99608370000000002</v>
      </c>
      <c r="Q4570">
        <v>-8.7845220000000002E-2</v>
      </c>
      <c r="R4570">
        <v>1.002519E-2</v>
      </c>
      <c r="S4570">
        <v>2.994202</v>
      </c>
      <c r="T4570">
        <v>-0.22546720000000001</v>
      </c>
      <c r="U4570">
        <v>-0.22143550000000001</v>
      </c>
      <c r="V4570">
        <v>9.2525569999999996E-4</v>
      </c>
      <c r="W4570">
        <v>-6.5493280000000001E-2</v>
      </c>
      <c r="X4570">
        <v>0.99785259999999998</v>
      </c>
      <c r="Y4570">
        <v>8.439017E-2</v>
      </c>
      <c r="Z4570">
        <v>-4.6972450000000001E-3</v>
      </c>
      <c r="AA4570">
        <v>0.99642169999999997</v>
      </c>
      <c r="AB4570">
        <v>28</v>
      </c>
      <c r="AC4570">
        <v>14.619599999999901</v>
      </c>
      <c r="AD4570">
        <v>-1.1219813545349999</v>
      </c>
      <c r="AE4570">
        <v>-1.10499999999998</v>
      </c>
      <c r="AF4570">
        <v>1.25831306637405</v>
      </c>
      <c r="AG4570">
        <v>-1.1219813545349999</v>
      </c>
      <c r="AH4570">
        <v>14.5215232758016</v>
      </c>
      <c r="AI4570">
        <v>94.401656839233496</v>
      </c>
      <c r="AJ4570">
        <v>85.047599970244406</v>
      </c>
      <c r="AK4570">
        <v>14.6190571577848</v>
      </c>
      <c r="AL4570">
        <v>93.755176287057694</v>
      </c>
      <c r="AM4570">
        <v>89.946872683012401</v>
      </c>
      <c r="AN4570">
        <v>1.00000001857501</v>
      </c>
    </row>
    <row r="4571" spans="1:40" x14ac:dyDescent="0.25">
      <c r="A4571" t="str">
        <f>"20190303154228750"</f>
        <v>20190303154228750</v>
      </c>
      <c r="B4571" t="str">
        <f>"1551598948744180"</f>
        <v>1551598948744180</v>
      </c>
      <c r="C4571" t="s">
        <v>40</v>
      </c>
      <c r="D4571">
        <v>5.8555089999999996</v>
      </c>
      <c r="E4571">
        <v>0.53129269999999995</v>
      </c>
      <c r="F4571" t="s">
        <v>50</v>
      </c>
      <c r="G4571">
        <v>-219.6704</v>
      </c>
      <c r="H4571" s="1">
        <v>3.6189729999999999E-6</v>
      </c>
      <c r="I4571">
        <v>214.39599999999999</v>
      </c>
      <c r="J4571">
        <v>-234.0641</v>
      </c>
      <c r="K4571">
        <v>1.1220110000000001</v>
      </c>
      <c r="L4571">
        <v>215.48910000000001</v>
      </c>
      <c r="M4571">
        <v>0.99968360000000001</v>
      </c>
      <c r="N4571">
        <v>-2.2623839999999999E-2</v>
      </c>
      <c r="O4571">
        <v>1.0992160000000001E-2</v>
      </c>
      <c r="P4571">
        <v>0.99601030000000002</v>
      </c>
      <c r="Q4571">
        <v>-8.8746420000000006E-2</v>
      </c>
      <c r="R4571">
        <v>9.3563459999999998E-3</v>
      </c>
      <c r="S4571">
        <v>2.9938349999999998</v>
      </c>
      <c r="T4571">
        <v>-0.2290015</v>
      </c>
      <c r="U4571">
        <v>-0.2224884</v>
      </c>
      <c r="V4571">
        <v>1.5927750000000001E-3</v>
      </c>
      <c r="W4571">
        <v>-6.6189239999999996E-2</v>
      </c>
      <c r="X4571">
        <v>0.99780579999999996</v>
      </c>
      <c r="Y4571">
        <v>8.4735959999999999E-2</v>
      </c>
      <c r="Z4571">
        <v>-4.7837790000000002E-3</v>
      </c>
      <c r="AA4571">
        <v>0.99639200000000006</v>
      </c>
      <c r="AB4571">
        <v>27</v>
      </c>
      <c r="AC4571">
        <v>14.3936999999999</v>
      </c>
      <c r="AD4571">
        <v>-1.1220073810269999</v>
      </c>
      <c r="AE4571">
        <v>-1.0931000000000199</v>
      </c>
      <c r="AF4571">
        <v>1.2437779309294701</v>
      </c>
      <c r="AG4571">
        <v>-1.1220073810269999</v>
      </c>
      <c r="AH4571">
        <v>14.294450579656701</v>
      </c>
      <c r="AI4571">
        <v>94.471262736949299</v>
      </c>
      <c r="AJ4571">
        <v>85.027147447154107</v>
      </c>
      <c r="AK4571">
        <v>14.3922618611112</v>
      </c>
      <c r="AL4571">
        <v>93.795138705031107</v>
      </c>
      <c r="AM4571">
        <v>89.908540111010097</v>
      </c>
      <c r="AN4571">
        <v>0.99999998346880803</v>
      </c>
    </row>
    <row r="4572" spans="1:40" x14ac:dyDescent="0.25">
      <c r="A4572" t="str">
        <f>"20190303154228771"</f>
        <v>20190303154228771</v>
      </c>
      <c r="B4572" t="str">
        <f>"1551598948764681"</f>
        <v>1551598948764681</v>
      </c>
      <c r="C4572" t="s">
        <v>40</v>
      </c>
      <c r="D4572">
        <v>5.871626</v>
      </c>
      <c r="E4572">
        <v>0.50018359999999995</v>
      </c>
      <c r="F4572" t="s">
        <v>50</v>
      </c>
      <c r="G4572">
        <v>-219.345</v>
      </c>
      <c r="H4572" s="1">
        <v>3.4454620000000001E-6</v>
      </c>
      <c r="I4572">
        <v>214.40369999999999</v>
      </c>
      <c r="J4572">
        <v>-233.79759999999999</v>
      </c>
      <c r="K4572">
        <v>1.122037</v>
      </c>
      <c r="L4572">
        <v>215.49199999999999</v>
      </c>
      <c r="M4572">
        <v>0.99967930000000005</v>
      </c>
      <c r="N4572">
        <v>-2.2817299999999999E-2</v>
      </c>
      <c r="O4572">
        <v>1.099178E-2</v>
      </c>
      <c r="P4572">
        <v>0.99597380000000002</v>
      </c>
      <c r="Q4572">
        <v>-8.9186329999999994E-2</v>
      </c>
      <c r="R4572">
        <v>9.0605310000000001E-3</v>
      </c>
      <c r="S4572">
        <v>2.9937589999999998</v>
      </c>
      <c r="T4572">
        <v>-0.2282083</v>
      </c>
      <c r="U4572">
        <v>-0.22076419999999999</v>
      </c>
      <c r="V4572">
        <v>1.8877729999999999E-3</v>
      </c>
      <c r="W4572">
        <v>-6.6436880000000004E-2</v>
      </c>
      <c r="X4572">
        <v>0.99778880000000003</v>
      </c>
      <c r="Y4572">
        <v>8.4170449999999994E-2</v>
      </c>
      <c r="Z4572">
        <v>-4.747991E-3</v>
      </c>
      <c r="AA4572">
        <v>0.99644010000000005</v>
      </c>
      <c r="AB4572">
        <v>27</v>
      </c>
      <c r="AC4572">
        <v>14.452599999999901</v>
      </c>
      <c r="AD4572">
        <v>-1.122033554538</v>
      </c>
      <c r="AE4572">
        <v>-1.08830000000003</v>
      </c>
      <c r="AF4572">
        <v>1.23970548314986</v>
      </c>
      <c r="AG4572">
        <v>-1.122033554538</v>
      </c>
      <c r="AH4572">
        <v>14.3537351129968</v>
      </c>
      <c r="AI4572">
        <v>94.453218596644007</v>
      </c>
      <c r="AJ4572">
        <v>85.063719446497103</v>
      </c>
      <c r="AK4572">
        <v>14.4507972332511</v>
      </c>
      <c r="AL4572">
        <v>93.809358836890794</v>
      </c>
      <c r="AM4572">
        <v>89.891599007200199</v>
      </c>
      <c r="AN4572">
        <v>0.99999995605823599</v>
      </c>
    </row>
    <row r="4573" spans="1:40" x14ac:dyDescent="0.25">
      <c r="A4573" t="str">
        <f>"20190303154228792"</f>
        <v>20190303154228792</v>
      </c>
      <c r="B4573" t="str">
        <f>"1551598948784201"</f>
        <v>1551598948784201</v>
      </c>
      <c r="C4573" t="s">
        <v>40</v>
      </c>
      <c r="D4573">
        <v>5.7927119999999999</v>
      </c>
      <c r="E4573">
        <v>0.50067359999999905</v>
      </c>
      <c r="F4573" t="s">
        <v>50</v>
      </c>
      <c r="G4573">
        <v>-220.3964</v>
      </c>
      <c r="H4573" s="1">
        <v>-1.369203E-6</v>
      </c>
      <c r="I4573">
        <v>215.60810000000001</v>
      </c>
      <c r="J4573">
        <v>-233.5395</v>
      </c>
      <c r="K4573">
        <v>1.1220619999999999</v>
      </c>
      <c r="L4573">
        <v>215.4948</v>
      </c>
      <c r="M4573">
        <v>0.99967530000000004</v>
      </c>
      <c r="N4573">
        <v>-2.2990400000000001E-2</v>
      </c>
      <c r="O4573">
        <v>1.0991320000000001E-2</v>
      </c>
      <c r="P4573">
        <v>0.99599059999999995</v>
      </c>
      <c r="Q4573">
        <v>-8.9002369999999997E-2</v>
      </c>
      <c r="R4573">
        <v>9.0209669999999995E-3</v>
      </c>
      <c r="S4573">
        <v>2.9894560000000001</v>
      </c>
      <c r="T4573">
        <v>-0.25029709999999999</v>
      </c>
      <c r="U4573">
        <v>2.5894170000000001E-2</v>
      </c>
      <c r="V4573">
        <v>1.9270699999999999E-3</v>
      </c>
      <c r="W4573">
        <v>-6.6079799999999994E-2</v>
      </c>
      <c r="X4573">
        <v>0.99781249999999999</v>
      </c>
      <c r="Y4573">
        <v>2.3023319999999998E-3</v>
      </c>
      <c r="Z4573">
        <v>-7.8894890000000002E-4</v>
      </c>
      <c r="AA4573">
        <v>0.99999700000000002</v>
      </c>
      <c r="AB4573">
        <v>27</v>
      </c>
      <c r="AC4573">
        <v>13.1431</v>
      </c>
      <c r="AD4573">
        <v>-1.122063369203</v>
      </c>
      <c r="AE4573">
        <v>0.113300000000009</v>
      </c>
      <c r="AF4573">
        <v>3.0979277004736801E-2</v>
      </c>
      <c r="AG4573">
        <v>-1.122063369203</v>
      </c>
      <c r="AH4573">
        <v>13.0484544891293</v>
      </c>
      <c r="AI4573">
        <v>94.914877025590897</v>
      </c>
      <c r="AJ4573">
        <v>89.863970212624096</v>
      </c>
      <c r="AK4573">
        <v>13.096646535468199</v>
      </c>
      <c r="AL4573">
        <v>93.788854360707603</v>
      </c>
      <c r="AM4573">
        <v>89.889345101860101</v>
      </c>
      <c r="AN4573">
        <v>1.0000000193615299</v>
      </c>
    </row>
    <row r="4574" spans="1:40" x14ac:dyDescent="0.25">
      <c r="A4574" t="str">
        <f>"20190303154228819"</f>
        <v>20190303154228819</v>
      </c>
      <c r="B4574" t="str">
        <f>"1551598948814457"</f>
        <v>1551598948814457</v>
      </c>
      <c r="C4574" t="s">
        <v>40</v>
      </c>
      <c r="D4574">
        <v>5.800249</v>
      </c>
      <c r="E4574">
        <v>0.50241359999999902</v>
      </c>
      <c r="F4574" t="s">
        <v>50</v>
      </c>
      <c r="G4574">
        <v>-219.2338</v>
      </c>
      <c r="H4574" s="1">
        <v>3.3339380000000002E-6</v>
      </c>
      <c r="I4574">
        <v>215.6011</v>
      </c>
      <c r="J4574">
        <v>-233.24289999999999</v>
      </c>
      <c r="K4574">
        <v>1.1220840000000001</v>
      </c>
      <c r="L4574">
        <v>215.49809999999999</v>
      </c>
      <c r="M4574">
        <v>0.99967119999999998</v>
      </c>
      <c r="N4574">
        <v>-2.3166180000000001E-2</v>
      </c>
      <c r="O4574">
        <v>1.099076E-2</v>
      </c>
      <c r="P4574">
        <v>0.99598399999999998</v>
      </c>
      <c r="Q4574">
        <v>-8.9036119999999996E-2</v>
      </c>
      <c r="R4574">
        <v>9.4077280000000006E-3</v>
      </c>
      <c r="S4574">
        <v>2.9909210000000002</v>
      </c>
      <c r="T4574">
        <v>-0.23459169999999999</v>
      </c>
      <c r="U4574">
        <v>2.2216799999999998E-2</v>
      </c>
      <c r="V4574">
        <v>1.539835E-3</v>
      </c>
      <c r="W4574">
        <v>-6.5938150000000001E-2</v>
      </c>
      <c r="X4574">
        <v>0.99782249999999995</v>
      </c>
      <c r="Y4574">
        <v>3.5351549999999999E-3</v>
      </c>
      <c r="Z4574">
        <v>-7.8578489999999997E-4</v>
      </c>
      <c r="AA4574">
        <v>0.99999340000000003</v>
      </c>
      <c r="AB4574">
        <v>27</v>
      </c>
      <c r="AC4574">
        <v>14.009099999999901</v>
      </c>
      <c r="AD4574">
        <v>-1.122080666062</v>
      </c>
      <c r="AE4574">
        <v>0.103000000000008</v>
      </c>
      <c r="AF4574">
        <v>5.0693013430577603E-2</v>
      </c>
      <c r="AG4574">
        <v>-1.122080666062</v>
      </c>
      <c r="AH4574">
        <v>13.9200868353077</v>
      </c>
      <c r="AI4574">
        <v>94.608545605454694</v>
      </c>
      <c r="AJ4574">
        <v>89.791345922267993</v>
      </c>
      <c r="AK4574">
        <v>13.9653303686403</v>
      </c>
      <c r="AL4574">
        <v>93.780720838111904</v>
      </c>
      <c r="AM4574">
        <v>89.911581492087706</v>
      </c>
      <c r="AN4574">
        <v>0.99999997611174896</v>
      </c>
    </row>
    <row r="4575" spans="1:40" x14ac:dyDescent="0.25">
      <c r="A4575" t="str">
        <f>"20190303154228838"</f>
        <v>20190303154228838</v>
      </c>
      <c r="B4575" t="str">
        <f>"1551598948833977"</f>
        <v>1551598948833977</v>
      </c>
      <c r="C4575" t="s">
        <v>40</v>
      </c>
      <c r="D4575">
        <v>5.826022</v>
      </c>
      <c r="E4575">
        <v>0.50244750000000005</v>
      </c>
      <c r="F4575" t="s">
        <v>50</v>
      </c>
      <c r="G4575">
        <v>-217.50810000000001</v>
      </c>
      <c r="H4575" s="1">
        <v>2.4177959999999998E-6</v>
      </c>
      <c r="I4575">
        <v>215.55029999999999</v>
      </c>
      <c r="J4575">
        <v>-233.00790000000001</v>
      </c>
      <c r="K4575">
        <v>1.1221000000000001</v>
      </c>
      <c r="L4575">
        <v>215.50069999999999</v>
      </c>
      <c r="M4575">
        <v>0.99966840000000001</v>
      </c>
      <c r="N4575">
        <v>-2.3287019999999999E-2</v>
      </c>
      <c r="O4575">
        <v>1.0990649999999999E-2</v>
      </c>
      <c r="P4575">
        <v>0.99596110000000004</v>
      </c>
      <c r="Q4575">
        <v>-8.9230760000000006E-2</v>
      </c>
      <c r="R4575">
        <v>9.9735259999999999E-3</v>
      </c>
      <c r="S4575">
        <v>2.9928889999999999</v>
      </c>
      <c r="T4575">
        <v>-0.21342910000000001</v>
      </c>
      <c r="U4575">
        <v>9.9334720000000005E-3</v>
      </c>
      <c r="V4575">
        <v>9.7365880000000002E-4</v>
      </c>
      <c r="W4575">
        <v>-6.6012509999999996E-2</v>
      </c>
      <c r="X4575">
        <v>0.99781839999999999</v>
      </c>
      <c r="Y4575">
        <v>7.6363709999999899E-3</v>
      </c>
      <c r="Z4575">
        <v>-8.8800719999999997E-4</v>
      </c>
      <c r="AA4575">
        <v>0.99997040000000004</v>
      </c>
      <c r="AB4575">
        <v>26</v>
      </c>
      <c r="AC4575">
        <v>15.499799999999899</v>
      </c>
      <c r="AD4575">
        <v>-1.122097582204</v>
      </c>
      <c r="AE4575">
        <v>4.9599999999998E-2</v>
      </c>
      <c r="AF4575">
        <v>0.120172274840586</v>
      </c>
      <c r="AG4575">
        <v>-1.122097582204</v>
      </c>
      <c r="AH4575">
        <v>15.418601488582199</v>
      </c>
      <c r="AI4575">
        <v>94.1622692395229</v>
      </c>
      <c r="AJ4575">
        <v>89.553446870437895</v>
      </c>
      <c r="AK4575">
        <v>15.459845284586001</v>
      </c>
      <c r="AL4575">
        <v>93.784990263584007</v>
      </c>
      <c r="AM4575">
        <v>89.944091507813596</v>
      </c>
      <c r="AN4575">
        <v>1.00000007943325</v>
      </c>
    </row>
    <row r="4576" spans="1:40" x14ac:dyDescent="0.25">
      <c r="A4576" t="str">
        <f>"20190303154228861"</f>
        <v>20190303154228861</v>
      </c>
      <c r="B4576" t="str">
        <f>"1551598948854476"</f>
        <v>1551598948854476</v>
      </c>
      <c r="C4576" t="s">
        <v>40</v>
      </c>
      <c r="D4576">
        <v>5.8298819999999996</v>
      </c>
      <c r="E4576">
        <v>0.50309250000000005</v>
      </c>
      <c r="F4576" t="s">
        <v>50</v>
      </c>
      <c r="G4576">
        <v>-217.32400000000001</v>
      </c>
      <c r="H4576" s="1">
        <v>2.319433E-6</v>
      </c>
      <c r="I4576">
        <v>215.5599</v>
      </c>
      <c r="J4576">
        <v>-232.7449</v>
      </c>
      <c r="K4576">
        <v>1.1221030000000001</v>
      </c>
      <c r="L4576">
        <v>215.50360000000001</v>
      </c>
      <c r="M4576">
        <v>0.99966600000000005</v>
      </c>
      <c r="N4576">
        <v>-2.338728E-2</v>
      </c>
      <c r="O4576">
        <v>1.099E-2</v>
      </c>
      <c r="P4576">
        <v>0.9959654</v>
      </c>
      <c r="Q4576">
        <v>-8.9122469999999995E-2</v>
      </c>
      <c r="R4576">
        <v>1.050802E-2</v>
      </c>
      <c r="S4576">
        <v>2.9928889999999999</v>
      </c>
      <c r="T4576">
        <v>-0.21412529999999999</v>
      </c>
      <c r="U4576">
        <v>1.1291499999999999E-2</v>
      </c>
      <c r="V4576">
        <v>4.3846070000000002E-4</v>
      </c>
      <c r="W4576">
        <v>-6.5803909999999993E-2</v>
      </c>
      <c r="X4576">
        <v>0.99783250000000001</v>
      </c>
      <c r="Y4576">
        <v>7.1833080000000002E-3</v>
      </c>
      <c r="Z4576">
        <v>-8.6919679999999998E-4</v>
      </c>
      <c r="AA4576">
        <v>0.99997380000000002</v>
      </c>
      <c r="AB4576">
        <v>26</v>
      </c>
      <c r="AC4576">
        <v>15.4208999999999</v>
      </c>
      <c r="AD4576">
        <v>-1.122100680567</v>
      </c>
      <c r="AE4576">
        <v>5.6299999999993099E-2</v>
      </c>
      <c r="AF4576">
        <v>0.112629139266868</v>
      </c>
      <c r="AG4576">
        <v>-1.122100680567</v>
      </c>
      <c r="AH4576">
        <v>15.3393702848226</v>
      </c>
      <c r="AI4576">
        <v>94.183717883499796</v>
      </c>
      <c r="AJ4576">
        <v>89.579313997511306</v>
      </c>
      <c r="AK4576">
        <v>15.380769681496499</v>
      </c>
      <c r="AL4576">
        <v>93.773012536506897</v>
      </c>
      <c r="AM4576">
        <v>89.974823483925903</v>
      </c>
      <c r="AN4576">
        <v>1.00000002243766</v>
      </c>
    </row>
    <row r="4577" spans="1:40" x14ac:dyDescent="0.25">
      <c r="A4577" t="str">
        <f>"20190303154228882"</f>
        <v>20190303154228882</v>
      </c>
      <c r="B4577" t="str">
        <f>"1551598948873992"</f>
        <v>1551598948873992</v>
      </c>
      <c r="C4577" t="s">
        <v>40</v>
      </c>
      <c r="D4577">
        <v>5.8347230000000003</v>
      </c>
      <c r="E4577">
        <v>0.50337909999999997</v>
      </c>
      <c r="F4577" t="s">
        <v>50</v>
      </c>
      <c r="G4577">
        <v>-216.72919999999999</v>
      </c>
      <c r="H4577" s="1">
        <v>2.0035119999999999E-6</v>
      </c>
      <c r="I4577">
        <v>215.54589999999999</v>
      </c>
      <c r="J4577">
        <v>-232.4907</v>
      </c>
      <c r="K4577">
        <v>1.122109</v>
      </c>
      <c r="L4577">
        <v>215.50640000000001</v>
      </c>
      <c r="M4577">
        <v>0.99966469999999996</v>
      </c>
      <c r="N4577">
        <v>-2.344709E-2</v>
      </c>
      <c r="O4577">
        <v>1.098959E-2</v>
      </c>
      <c r="P4577">
        <v>0.99597369999999996</v>
      </c>
      <c r="Q4577">
        <v>-8.9044109999999996E-2</v>
      </c>
      <c r="R4577">
        <v>1.037505E-2</v>
      </c>
      <c r="S4577">
        <v>2.9932859999999999</v>
      </c>
      <c r="T4577">
        <v>-0.20971670000000001</v>
      </c>
      <c r="U4577">
        <v>7.9040529999999994E-3</v>
      </c>
      <c r="V4577">
        <v>5.7127299999999996E-4</v>
      </c>
      <c r="W4577">
        <v>-6.5665689999999999E-2</v>
      </c>
      <c r="X4577">
        <v>0.99784150000000005</v>
      </c>
      <c r="Y4577">
        <v>8.3130110000000004E-3</v>
      </c>
      <c r="Z4577">
        <v>-8.9998289999999902E-4</v>
      </c>
      <c r="AA4577">
        <v>0.99996499999999999</v>
      </c>
      <c r="AB4577">
        <v>26</v>
      </c>
      <c r="AC4577">
        <v>15.7615</v>
      </c>
      <c r="AD4577">
        <v>-1.1221069964879999</v>
      </c>
      <c r="AE4577">
        <v>3.9499999999975402E-2</v>
      </c>
      <c r="AF4577">
        <v>0.13308789545994801</v>
      </c>
      <c r="AG4577">
        <v>-1.1221069964879999</v>
      </c>
      <c r="AH4577">
        <v>15.681501795097301</v>
      </c>
      <c r="AI4577">
        <v>94.092739165037898</v>
      </c>
      <c r="AJ4577">
        <v>89.513746084952501</v>
      </c>
      <c r="AK4577">
        <v>15.722160635521</v>
      </c>
      <c r="AL4577">
        <v>93.765076092547602</v>
      </c>
      <c r="AM4577">
        <v>89.967197667892407</v>
      </c>
      <c r="AN4577">
        <v>0.99999998415913305</v>
      </c>
    </row>
    <row r="4578" spans="1:40" x14ac:dyDescent="0.25">
      <c r="A4578" t="str">
        <f>"20190303154228906"</f>
        <v>20190303154228906</v>
      </c>
      <c r="B4578" t="str">
        <f>"1551598948894489"</f>
        <v>1551598948894489</v>
      </c>
      <c r="C4578" t="s">
        <v>40</v>
      </c>
      <c r="D4578">
        <v>5.8518949999999998</v>
      </c>
      <c r="E4578">
        <v>0.50357980000000002</v>
      </c>
      <c r="F4578" t="s">
        <v>50</v>
      </c>
      <c r="G4578">
        <v>-216.2182</v>
      </c>
      <c r="H4578" s="1">
        <v>1.73205E-6</v>
      </c>
      <c r="I4578">
        <v>215.53530000000001</v>
      </c>
      <c r="J4578">
        <v>-232.23259999999999</v>
      </c>
      <c r="K4578">
        <v>1.1221030000000001</v>
      </c>
      <c r="L4578">
        <v>215.50919999999999</v>
      </c>
      <c r="M4578">
        <v>0.99966469999999996</v>
      </c>
      <c r="N4578">
        <v>-2.345127E-2</v>
      </c>
      <c r="O4578">
        <v>1.0988889999999999E-2</v>
      </c>
      <c r="P4578">
        <v>0.99598379999999997</v>
      </c>
      <c r="Q4578">
        <v>-8.8955800000000002E-2</v>
      </c>
      <c r="R4578">
        <v>1.018763E-2</v>
      </c>
      <c r="S4578">
        <v>2.9936219999999998</v>
      </c>
      <c r="T4578">
        <v>-0.20643210000000001</v>
      </c>
      <c r="U4578">
        <v>5.3253170000000004E-3</v>
      </c>
      <c r="V4578">
        <v>7.5797119999999895E-4</v>
      </c>
      <c r="W4578">
        <v>-6.5573049999999994E-2</v>
      </c>
      <c r="X4578">
        <v>0.9978475</v>
      </c>
      <c r="Y4578">
        <v>9.172543E-3</v>
      </c>
      <c r="Z4578">
        <v>-9.2293140000000002E-4</v>
      </c>
      <c r="AA4578">
        <v>0.99995750000000005</v>
      </c>
      <c r="AB4578">
        <v>26</v>
      </c>
      <c r="AC4578">
        <v>16.014399999999899</v>
      </c>
      <c r="AD4578">
        <v>-1.12210126795</v>
      </c>
      <c r="AE4578">
        <v>2.6100000000013699E-2</v>
      </c>
      <c r="AF4578">
        <v>0.14919795310574099</v>
      </c>
      <c r="AG4578">
        <v>-1.12210126795</v>
      </c>
      <c r="AH4578">
        <v>15.935483374506701</v>
      </c>
      <c r="AI4578">
        <v>94.027673163973205</v>
      </c>
      <c r="AJ4578">
        <v>89.463576782947698</v>
      </c>
      <c r="AK4578">
        <v>15.9756377545287</v>
      </c>
      <c r="AL4578">
        <v>93.759756625668402</v>
      </c>
      <c r="AM4578">
        <v>89.956477776013102</v>
      </c>
      <c r="AN4578">
        <v>1.00000001633144</v>
      </c>
    </row>
    <row r="4579" spans="1:40" x14ac:dyDescent="0.25">
      <c r="A4579" t="str">
        <f>"20190303154228928"</f>
        <v>20190303154228928</v>
      </c>
      <c r="B4579" t="str">
        <f>"1551598948924745"</f>
        <v>1551598948924745</v>
      </c>
      <c r="C4579" t="s">
        <v>40</v>
      </c>
      <c r="D4579">
        <v>5.866733</v>
      </c>
      <c r="E4579">
        <v>0.50380239999999998</v>
      </c>
      <c r="F4579" t="s">
        <v>50</v>
      </c>
      <c r="G4579">
        <v>-215.8314</v>
      </c>
      <c r="H4579" s="1">
        <v>1.5266060000000001E-6</v>
      </c>
      <c r="I4579">
        <v>215.52619999999999</v>
      </c>
      <c r="J4579">
        <v>-231.97219999999999</v>
      </c>
      <c r="K4579">
        <v>1.1220749999999999</v>
      </c>
      <c r="L4579">
        <v>215.5121</v>
      </c>
      <c r="M4579">
        <v>0.99966630000000001</v>
      </c>
      <c r="N4579">
        <v>-2.3376979999999999E-2</v>
      </c>
      <c r="O4579">
        <v>1.098858E-2</v>
      </c>
      <c r="P4579">
        <v>0.99601430000000002</v>
      </c>
      <c r="Q4579">
        <v>-8.864872E-2</v>
      </c>
      <c r="R4579">
        <v>9.8556259999999993E-3</v>
      </c>
      <c r="S4579">
        <v>2.9937589999999998</v>
      </c>
      <c r="T4579">
        <v>-0.20482</v>
      </c>
      <c r="U4579">
        <v>3.0975339999999999E-3</v>
      </c>
      <c r="V4579">
        <v>1.090139E-3</v>
      </c>
      <c r="W4579">
        <v>-6.5339620000000001E-2</v>
      </c>
      <c r="X4579">
        <v>0.99786249999999999</v>
      </c>
      <c r="Y4579">
        <v>9.9147290000000006E-3</v>
      </c>
      <c r="Z4579">
        <v>-9.4903019999999997E-4</v>
      </c>
      <c r="AA4579">
        <v>0.99995040000000002</v>
      </c>
      <c r="AB4579">
        <v>26</v>
      </c>
      <c r="AC4579">
        <v>16.140799999999899</v>
      </c>
      <c r="AD4579">
        <v>-1.1220734733940001</v>
      </c>
      <c r="AE4579">
        <v>1.4099999999984901E-2</v>
      </c>
      <c r="AF4579">
        <v>0.16252835710815</v>
      </c>
      <c r="AG4579">
        <v>-1.1220734733940001</v>
      </c>
      <c r="AH4579">
        <v>16.062354971246702</v>
      </c>
      <c r="AI4579">
        <v>93.995835297289503</v>
      </c>
      <c r="AJ4579">
        <v>89.420267380616195</v>
      </c>
      <c r="AK4579">
        <v>16.1023200678937</v>
      </c>
      <c r="AL4579">
        <v>93.746353345450501</v>
      </c>
      <c r="AM4579">
        <v>89.937405866104996</v>
      </c>
      <c r="AN4579">
        <v>1.0000000116255101</v>
      </c>
    </row>
    <row r="4580" spans="1:40" x14ac:dyDescent="0.25">
      <c r="A4580" t="str">
        <f>"20190303154228951"</f>
        <v>20190303154228951</v>
      </c>
      <c r="B4580" t="str">
        <f>"1551598948944264"</f>
        <v>1551598948944264</v>
      </c>
      <c r="C4580" t="s">
        <v>40</v>
      </c>
      <c r="D4580">
        <v>5.8496629999999996</v>
      </c>
      <c r="E4580">
        <v>0.50399340000000004</v>
      </c>
      <c r="F4580" t="s">
        <v>50</v>
      </c>
      <c r="G4580">
        <v>-215.50129999999999</v>
      </c>
      <c r="H4580" s="1">
        <v>1.351518E-6</v>
      </c>
      <c r="I4580">
        <v>215.51349999999999</v>
      </c>
      <c r="J4580">
        <v>-231.7176</v>
      </c>
      <c r="K4580">
        <v>1.122037</v>
      </c>
      <c r="L4580">
        <v>215.51490000000001</v>
      </c>
      <c r="M4580">
        <v>0.99967010000000001</v>
      </c>
      <c r="N4580">
        <v>-2.32202E-2</v>
      </c>
      <c r="O4580">
        <v>1.0988100000000001E-2</v>
      </c>
      <c r="P4580">
        <v>0.99601810000000002</v>
      </c>
      <c r="Q4580">
        <v>-8.8639860000000001E-2</v>
      </c>
      <c r="R4580">
        <v>9.5604599999999998E-3</v>
      </c>
      <c r="S4580">
        <v>2.9938660000000001</v>
      </c>
      <c r="T4580">
        <v>-0.20395579999999999</v>
      </c>
      <c r="U4580">
        <v>2.5939939999999997E-4</v>
      </c>
      <c r="V4580">
        <v>1.3847110000000001E-3</v>
      </c>
      <c r="W4580">
        <v>-6.5487229999999994E-2</v>
      </c>
      <c r="X4580">
        <v>0.99785239999999997</v>
      </c>
      <c r="Y4580">
        <v>1.0859590000000001E-2</v>
      </c>
      <c r="Z4580">
        <v>-9.884599E-4</v>
      </c>
      <c r="AA4580">
        <v>0.99994050000000001</v>
      </c>
      <c r="AB4580">
        <v>26</v>
      </c>
      <c r="AC4580">
        <v>16.2163</v>
      </c>
      <c r="AD4580">
        <v>-1.122035648482</v>
      </c>
      <c r="AE4580">
        <v>-1.40000000001805E-3</v>
      </c>
      <c r="AF4580">
        <v>0.17877837449572301</v>
      </c>
      <c r="AG4580">
        <v>-1.122035648482</v>
      </c>
      <c r="AH4580">
        <v>16.1380440303261</v>
      </c>
      <c r="AI4580">
        <v>93.976980762328907</v>
      </c>
      <c r="AJ4580">
        <v>89.365299331878305</v>
      </c>
      <c r="AK4580">
        <v>16.177990939186301</v>
      </c>
      <c r="AL4580">
        <v>93.754829146712197</v>
      </c>
      <c r="AM4580">
        <v>89.920491201686104</v>
      </c>
      <c r="AN4580">
        <v>0.99999995345169201</v>
      </c>
    </row>
    <row r="4581" spans="1:40" x14ac:dyDescent="0.25">
      <c r="A4581" t="str">
        <f>"20190303154228977"</f>
        <v>20190303154228977</v>
      </c>
      <c r="B4581" t="str">
        <f>"1551598948974521"</f>
        <v>1551598948974521</v>
      </c>
      <c r="C4581" t="s">
        <v>40</v>
      </c>
      <c r="D4581">
        <v>5.8444510000000003</v>
      </c>
      <c r="E4581">
        <v>0.50416079999999996</v>
      </c>
      <c r="F4581" t="s">
        <v>50</v>
      </c>
      <c r="G4581">
        <v>-215.22040000000001</v>
      </c>
      <c r="H4581" s="1">
        <v>1.202489E-6</v>
      </c>
      <c r="I4581">
        <v>215.5033</v>
      </c>
      <c r="J4581">
        <v>-231.42590000000001</v>
      </c>
      <c r="K4581">
        <v>1.121966</v>
      </c>
      <c r="L4581">
        <v>215.5181</v>
      </c>
      <c r="M4581">
        <v>0.99967740000000005</v>
      </c>
      <c r="N4581">
        <v>-2.2904629999999999E-2</v>
      </c>
      <c r="O4581">
        <v>1.098791E-2</v>
      </c>
      <c r="P4581">
        <v>0.9959962</v>
      </c>
      <c r="Q4581">
        <v>-8.8920150000000003E-2</v>
      </c>
      <c r="R4581">
        <v>9.2295099999999998E-3</v>
      </c>
      <c r="S4581">
        <v>2.993881</v>
      </c>
      <c r="T4581">
        <v>-0.20362540000000001</v>
      </c>
      <c r="U4581">
        <v>-2.0904539999999998E-3</v>
      </c>
      <c r="V4581">
        <v>1.7150760000000001E-3</v>
      </c>
      <c r="W4581">
        <v>-6.6083020000000006E-2</v>
      </c>
      <c r="X4581">
        <v>0.99781260000000005</v>
      </c>
      <c r="Y4581">
        <v>1.164185E-2</v>
      </c>
      <c r="Z4581">
        <v>-1.023936E-3</v>
      </c>
      <c r="AA4581">
        <v>0.99993169999999998</v>
      </c>
      <c r="AB4581">
        <v>25</v>
      </c>
      <c r="AC4581">
        <v>16.205500000000001</v>
      </c>
      <c r="AD4581">
        <v>-1.1219647975110001</v>
      </c>
      <c r="AE4581">
        <v>-1.48000000000081E-2</v>
      </c>
      <c r="AF4581">
        <v>0.191990121749918</v>
      </c>
      <c r="AG4581">
        <v>-1.1219647975110001</v>
      </c>
      <c r="AH4581">
        <v>16.127056938699202</v>
      </c>
      <c r="AI4581">
        <v>93.979393337971004</v>
      </c>
      <c r="AJ4581">
        <v>89.317934815986803</v>
      </c>
      <c r="AK4581">
        <v>16.167177574262901</v>
      </c>
      <c r="AL4581">
        <v>93.789039536129593</v>
      </c>
      <c r="AM4581">
        <v>89.901518061035205</v>
      </c>
      <c r="AN4581">
        <v>0.99999994586838103</v>
      </c>
    </row>
    <row r="4582" spans="1:40" x14ac:dyDescent="0.25">
      <c r="A4582" t="str">
        <f>"20190303154228994"</f>
        <v>20190303154228994</v>
      </c>
      <c r="B4582" t="str">
        <f>"1551598948984281"</f>
        <v>1551598948984281</v>
      </c>
      <c r="C4582" t="s">
        <v>40</v>
      </c>
      <c r="D4582">
        <v>5.8191309999999996</v>
      </c>
      <c r="E4582">
        <v>0.50424480000000005</v>
      </c>
      <c r="F4582" t="s">
        <v>50</v>
      </c>
      <c r="G4582">
        <v>-214.9957</v>
      </c>
      <c r="H4582" s="1">
        <v>1.0833770000000001E-6</v>
      </c>
      <c r="I4582">
        <v>215.49260000000001</v>
      </c>
      <c r="J4582">
        <v>-231.2226</v>
      </c>
      <c r="K4582">
        <v>1.1218779999999999</v>
      </c>
      <c r="L4582">
        <v>215.52029999999999</v>
      </c>
      <c r="M4582">
        <v>0.99968570000000001</v>
      </c>
      <c r="N4582">
        <v>-2.2537189999999999E-2</v>
      </c>
      <c r="O4582">
        <v>1.098797E-2</v>
      </c>
      <c r="P4582">
        <v>0.99591859999999999</v>
      </c>
      <c r="Q4582">
        <v>-8.9788359999999998E-2</v>
      </c>
      <c r="R4582">
        <v>9.1757200000000001E-3</v>
      </c>
      <c r="S4582">
        <v>2.9938509999999998</v>
      </c>
      <c r="T4582">
        <v>-0.20444080000000001</v>
      </c>
      <c r="U4582">
        <v>-4.6386719999999999E-3</v>
      </c>
      <c r="V4582">
        <v>1.7680599999999999E-3</v>
      </c>
      <c r="W4582">
        <v>-6.7319500000000004E-2</v>
      </c>
      <c r="X4582">
        <v>0.99772989999999995</v>
      </c>
      <c r="Y4582">
        <v>1.248986E-2</v>
      </c>
      <c r="Z4582">
        <v>-1.068902E-3</v>
      </c>
      <c r="AA4582">
        <v>0.99992139999999996</v>
      </c>
      <c r="AB4582">
        <v>25</v>
      </c>
      <c r="AC4582">
        <v>16.226900000000001</v>
      </c>
      <c r="AD4582">
        <v>-1.121876916623</v>
      </c>
      <c r="AE4582">
        <v>-2.76999999999816E-2</v>
      </c>
      <c r="AF4582">
        <v>0.20506411780752801</v>
      </c>
      <c r="AG4582">
        <v>-1.121876916623</v>
      </c>
      <c r="AH4582">
        <v>16.148427714851099</v>
      </c>
      <c r="AI4582">
        <v>93.973794942176696</v>
      </c>
      <c r="AJ4582">
        <v>89.272456910645204</v>
      </c>
      <c r="AK4582">
        <v>16.188649627755701</v>
      </c>
      <c r="AL4582">
        <v>93.860042556244096</v>
      </c>
      <c r="AM4582">
        <v>89.898467240595906</v>
      </c>
      <c r="AN4582">
        <v>0.99999999723521105</v>
      </c>
    </row>
    <row r="4583" spans="1:40" x14ac:dyDescent="0.25">
      <c r="A4583" t="str">
        <f>"20190303154229017"</f>
        <v>20190303154229017</v>
      </c>
      <c r="B4583" t="str">
        <f>"1551598949014537"</f>
        <v>1551598949014537</v>
      </c>
      <c r="C4583" t="s">
        <v>40</v>
      </c>
      <c r="D4583">
        <v>5.8276690000000002</v>
      </c>
      <c r="E4583">
        <v>0.50442679999999995</v>
      </c>
      <c r="F4583" t="s">
        <v>50</v>
      </c>
      <c r="G4583">
        <v>-215.0078</v>
      </c>
      <c r="H4583" s="1">
        <v>1.0898430000000001E-6</v>
      </c>
      <c r="I4583">
        <v>215.49160000000001</v>
      </c>
      <c r="J4583">
        <v>-230.97579999999999</v>
      </c>
      <c r="K4583">
        <v>1.1217520000000001</v>
      </c>
      <c r="L4583">
        <v>215.523</v>
      </c>
      <c r="M4583">
        <v>0.99969980000000003</v>
      </c>
      <c r="N4583">
        <v>-2.19046E-2</v>
      </c>
      <c r="O4583">
        <v>1.0988410000000001E-2</v>
      </c>
      <c r="P4583">
        <v>0.99587599999999998</v>
      </c>
      <c r="Q4583">
        <v>-9.0254520000000005E-2</v>
      </c>
      <c r="R4583">
        <v>9.2326100000000005E-3</v>
      </c>
      <c r="S4583">
        <v>2.9936829999999999</v>
      </c>
      <c r="T4583">
        <v>-0.20712849999999999</v>
      </c>
      <c r="U4583">
        <v>-5.2947999999999997E-3</v>
      </c>
      <c r="V4583">
        <v>1.7110459999999999E-3</v>
      </c>
      <c r="W4583">
        <v>-6.8417770000000003E-2</v>
      </c>
      <c r="X4583">
        <v>0.99765530000000002</v>
      </c>
      <c r="Y4583">
        <v>1.270729E-2</v>
      </c>
      <c r="Z4583">
        <v>-1.0973059999999999E-3</v>
      </c>
      <c r="AA4583">
        <v>0.99991859999999999</v>
      </c>
      <c r="AB4583">
        <v>25</v>
      </c>
      <c r="AC4583">
        <v>15.9679999999999</v>
      </c>
      <c r="AD4583">
        <v>-1.121750910157</v>
      </c>
      <c r="AE4583">
        <v>-3.1399999999990699E-2</v>
      </c>
      <c r="AF4583">
        <v>0.20588706265012</v>
      </c>
      <c r="AG4583">
        <v>-1.121750910157</v>
      </c>
      <c r="AH4583">
        <v>15.888281155221099</v>
      </c>
      <c r="AI4583">
        <v>94.038180725024503</v>
      </c>
      <c r="AJ4583">
        <v>89.257578626191204</v>
      </c>
      <c r="AK4583">
        <v>15.929161705951699</v>
      </c>
      <c r="AL4583">
        <v>93.923114178516002</v>
      </c>
      <c r="AM4583">
        <v>89.901733977426503</v>
      </c>
      <c r="AN4583">
        <v>1.00000000827413</v>
      </c>
    </row>
    <row r="4584" spans="1:40" x14ac:dyDescent="0.25">
      <c r="A4584" t="str">
        <f>"20190303154229039"</f>
        <v>20190303154229039</v>
      </c>
      <c r="B4584" t="str">
        <f>"1551598949034057"</f>
        <v>1551598949034057</v>
      </c>
      <c r="C4584" t="s">
        <v>40</v>
      </c>
      <c r="D4584">
        <v>5.8611789999999999</v>
      </c>
      <c r="E4584">
        <v>0.50465420000000005</v>
      </c>
      <c r="F4584" t="s">
        <v>50</v>
      </c>
      <c r="G4584">
        <v>-214.85550000000001</v>
      </c>
      <c r="H4584" s="1">
        <v>1.008962E-6</v>
      </c>
      <c r="I4584">
        <v>215.48779999999999</v>
      </c>
      <c r="J4584">
        <v>-230.72989999999999</v>
      </c>
      <c r="K4584">
        <v>1.121626</v>
      </c>
      <c r="L4584">
        <v>215.5257</v>
      </c>
      <c r="M4584">
        <v>0.99971529999999997</v>
      </c>
      <c r="N4584">
        <v>-2.1182800000000002E-2</v>
      </c>
      <c r="O4584">
        <v>1.0988360000000001E-2</v>
      </c>
      <c r="P4584">
        <v>0.99591779999999996</v>
      </c>
      <c r="Q4584">
        <v>-8.9787270000000002E-2</v>
      </c>
      <c r="R4584">
        <v>9.2711900000000003E-3</v>
      </c>
      <c r="S4584">
        <v>2.9936219999999998</v>
      </c>
      <c r="T4584">
        <v>-0.2083142</v>
      </c>
      <c r="U4584">
        <v>-6.546021E-3</v>
      </c>
      <c r="V4584">
        <v>1.6727129999999999E-3</v>
      </c>
      <c r="W4584">
        <v>-6.8669980000000005E-2</v>
      </c>
      <c r="X4584">
        <v>0.99763800000000002</v>
      </c>
      <c r="Y4584">
        <v>1.3123050000000001E-2</v>
      </c>
      <c r="Z4584">
        <v>-1.12637E-3</v>
      </c>
      <c r="AA4584">
        <v>0.9999133</v>
      </c>
      <c r="AB4584">
        <v>25</v>
      </c>
      <c r="AC4584">
        <v>15.8743999999999</v>
      </c>
      <c r="AD4584">
        <v>-1.1216249910380001</v>
      </c>
      <c r="AE4584">
        <v>-3.7900000000007601E-2</v>
      </c>
      <c r="AF4584">
        <v>0.21131552464802</v>
      </c>
      <c r="AG4584">
        <v>-1.1216249910380001</v>
      </c>
      <c r="AH4584">
        <v>15.794175797210199</v>
      </c>
      <c r="AI4584">
        <v>94.061683937406002</v>
      </c>
      <c r="AJ4584">
        <v>89.233466468832106</v>
      </c>
      <c r="AK4584">
        <v>15.835361883602699</v>
      </c>
      <c r="AL4584">
        <v>93.937598958059596</v>
      </c>
      <c r="AM4584">
        <v>89.903933786175102</v>
      </c>
      <c r="AN4584">
        <v>0.99999997158299003</v>
      </c>
    </row>
    <row r="4585" spans="1:40" x14ac:dyDescent="0.25">
      <c r="A4585" t="str">
        <f>"20190303154229062"</f>
        <v>20190303154229062</v>
      </c>
      <c r="B4585" t="str">
        <f>"1551598949054553"</f>
        <v>1551598949054553</v>
      </c>
      <c r="C4585" t="s">
        <v>40</v>
      </c>
      <c r="D4585">
        <v>6.096686</v>
      </c>
      <c r="E4585">
        <v>0.52862889999999996</v>
      </c>
      <c r="F4585" t="s">
        <v>50</v>
      </c>
      <c r="G4585">
        <v>-214.44579999999999</v>
      </c>
      <c r="H4585" s="1">
        <v>7.9128219999999996E-7</v>
      </c>
      <c r="I4585">
        <v>215.48</v>
      </c>
      <c r="J4585">
        <v>-230.4726</v>
      </c>
      <c r="K4585">
        <v>1.12151</v>
      </c>
      <c r="L4585">
        <v>215.52850000000001</v>
      </c>
      <c r="M4585">
        <v>0.99973129999999999</v>
      </c>
      <c r="N4585">
        <v>-2.041482E-2</v>
      </c>
      <c r="O4585">
        <v>1.0988589999999999E-2</v>
      </c>
      <c r="P4585">
        <v>0.9959247</v>
      </c>
      <c r="Q4585">
        <v>-8.9722350000000006E-2</v>
      </c>
      <c r="R4585">
        <v>9.1701009999999999E-3</v>
      </c>
      <c r="S4585">
        <v>2.9937900000000002</v>
      </c>
      <c r="T4585">
        <v>-0.20620810000000001</v>
      </c>
      <c r="U4585">
        <v>-8.4075929999999997E-3</v>
      </c>
      <c r="V4585">
        <v>1.7739120000000001E-3</v>
      </c>
      <c r="W4585">
        <v>-6.9371260000000004E-2</v>
      </c>
      <c r="X4585">
        <v>0.99758930000000001</v>
      </c>
      <c r="Y4585">
        <v>1.374387E-2</v>
      </c>
      <c r="Z4585">
        <v>-1.145093E-3</v>
      </c>
      <c r="AA4585">
        <v>0.99990489999999999</v>
      </c>
      <c r="AB4585">
        <v>25</v>
      </c>
      <c r="AC4585">
        <v>16.026800000000001</v>
      </c>
      <c r="AD4585">
        <v>-1.1215092087178</v>
      </c>
      <c r="AE4585">
        <v>-4.8500000000018403E-2</v>
      </c>
      <c r="AF4585">
        <v>0.22355102459885501</v>
      </c>
      <c r="AG4585">
        <v>-1.1215092087178</v>
      </c>
      <c r="AH4585">
        <v>15.947209375533699</v>
      </c>
      <c r="AI4585">
        <v>94.022386562687203</v>
      </c>
      <c r="AJ4585">
        <v>89.196869432600394</v>
      </c>
      <c r="AK4585">
        <v>15.9881595198743</v>
      </c>
      <c r="AL4585">
        <v>93.9778754205242</v>
      </c>
      <c r="AM4585">
        <v>89.898116826531606</v>
      </c>
      <c r="AN4585">
        <v>0.99999996497612997</v>
      </c>
    </row>
    <row r="4586" spans="1:40" x14ac:dyDescent="0.25">
      <c r="A4586" t="str">
        <f>"20190303154229083"</f>
        <v>20190303154229083</v>
      </c>
      <c r="B4586" t="str">
        <f>"1551598949074073"</f>
        <v>1551598949074073</v>
      </c>
      <c r="C4586" t="s">
        <v>40</v>
      </c>
      <c r="D4586">
        <v>6.0300770000000004</v>
      </c>
      <c r="E4586">
        <v>0.53387929999999995</v>
      </c>
      <c r="F4586" t="s">
        <v>50</v>
      </c>
      <c r="G4586">
        <v>-215.62960000000001</v>
      </c>
      <c r="H4586" s="1">
        <v>1.4624989999999999E-6</v>
      </c>
      <c r="I4586">
        <v>214.53639999999999</v>
      </c>
      <c r="J4586">
        <v>-230.2303</v>
      </c>
      <c r="K4586">
        <v>1.121434</v>
      </c>
      <c r="L4586">
        <v>215.53120000000001</v>
      </c>
      <c r="M4586">
        <v>0.99974529999999995</v>
      </c>
      <c r="N4586">
        <v>-1.971241E-2</v>
      </c>
      <c r="O4586">
        <v>1.0988879999999999E-2</v>
      </c>
      <c r="P4586">
        <v>0.99587110000000001</v>
      </c>
      <c r="Q4586">
        <v>-9.0317960000000003E-2</v>
      </c>
      <c r="R4586">
        <v>9.1467749999999994E-3</v>
      </c>
      <c r="S4586">
        <v>2.993744</v>
      </c>
      <c r="T4586">
        <v>-0.22620199999999999</v>
      </c>
      <c r="U4586">
        <v>-0.20011899999999999</v>
      </c>
      <c r="V4586">
        <v>1.796675E-3</v>
      </c>
      <c r="W4586">
        <v>-7.0668679999999998E-2</v>
      </c>
      <c r="X4586">
        <v>0.9974982</v>
      </c>
      <c r="Y4586">
        <v>7.7365130000000004E-2</v>
      </c>
      <c r="Z4586">
        <v>-4.292311E-3</v>
      </c>
      <c r="AA4586">
        <v>0.99699360000000004</v>
      </c>
      <c r="AB4586">
        <v>25</v>
      </c>
      <c r="AC4586">
        <v>14.6006999999999</v>
      </c>
      <c r="AD4586">
        <v>-1.1214325375009999</v>
      </c>
      <c r="AE4586">
        <v>-0.994800000000026</v>
      </c>
      <c r="AF4586">
        <v>1.1484725792178201</v>
      </c>
      <c r="AG4586">
        <v>-1.1214325375009999</v>
      </c>
      <c r="AH4586">
        <v>14.5037180872308</v>
      </c>
      <c r="AI4586">
        <v>94.407590697541295</v>
      </c>
      <c r="AJ4586">
        <v>85.472497870410194</v>
      </c>
      <c r="AK4586">
        <v>14.5922732483752</v>
      </c>
      <c r="AL4586">
        <v>94.052394980952002</v>
      </c>
      <c r="AM4586">
        <v>89.896800030983798</v>
      </c>
      <c r="AN4586">
        <v>0.99999997468861801</v>
      </c>
    </row>
    <row r="4587" spans="1:40" x14ac:dyDescent="0.25">
      <c r="A4587" t="str">
        <f>"20190303154229106"</f>
        <v>20190303154229106</v>
      </c>
      <c r="B4587" t="str">
        <f>"1551598949094569"</f>
        <v>1551598949094569</v>
      </c>
      <c r="C4587" t="s">
        <v>40</v>
      </c>
      <c r="D4587">
        <v>6.0010949999999896</v>
      </c>
      <c r="E4587">
        <v>0.53563570000000005</v>
      </c>
      <c r="F4587" t="s">
        <v>50</v>
      </c>
      <c r="G4587">
        <v>-216.30359999999999</v>
      </c>
      <c r="H4587" s="1">
        <v>1.826977E-6</v>
      </c>
      <c r="I4587">
        <v>214.40389999999999</v>
      </c>
      <c r="J4587">
        <v>-229.98580000000001</v>
      </c>
      <c r="K4587">
        <v>1.1213649999999999</v>
      </c>
      <c r="L4587">
        <v>215.53389999999999</v>
      </c>
      <c r="M4587">
        <v>0.99975829999999999</v>
      </c>
      <c r="N4587">
        <v>-1.9041209999999999E-2</v>
      </c>
      <c r="O4587">
        <v>1.0988909999999999E-2</v>
      </c>
      <c r="P4587">
        <v>0.99594579999999999</v>
      </c>
      <c r="Q4587">
        <v>-8.9485090000000003E-2</v>
      </c>
      <c r="R4587">
        <v>9.1847630000000003E-3</v>
      </c>
      <c r="S4587">
        <v>2.9927980000000001</v>
      </c>
      <c r="T4587">
        <v>-0.2409927</v>
      </c>
      <c r="U4587">
        <v>-0.24224850000000001</v>
      </c>
      <c r="V4587">
        <v>1.7595110000000001E-3</v>
      </c>
      <c r="W4587">
        <v>-7.0504150000000002E-2</v>
      </c>
      <c r="X4587">
        <v>0.99751000000000001</v>
      </c>
      <c r="Y4587">
        <v>9.1246049999999995E-2</v>
      </c>
      <c r="Z4587">
        <v>-5.207255E-3</v>
      </c>
      <c r="AA4587">
        <v>0.99581470000000005</v>
      </c>
      <c r="AB4587">
        <v>25</v>
      </c>
      <c r="AC4587">
        <v>13.6822</v>
      </c>
      <c r="AD4587">
        <v>-1.121363173023</v>
      </c>
      <c r="AE4587">
        <v>-1.1299999999999899</v>
      </c>
      <c r="AF4587">
        <v>1.2718263886560699</v>
      </c>
      <c r="AG4587">
        <v>-1.121363173023</v>
      </c>
      <c r="AH4587">
        <v>13.5783647524049</v>
      </c>
      <c r="AI4587">
        <v>94.700551196660498</v>
      </c>
      <c r="AJ4587">
        <v>84.648965669220303</v>
      </c>
      <c r="AK4587">
        <v>13.683822093188899</v>
      </c>
      <c r="AL4587">
        <v>94.042944165494404</v>
      </c>
      <c r="AM4587">
        <v>89.898935900639998</v>
      </c>
      <c r="AN4587">
        <v>1.0000000655730801</v>
      </c>
    </row>
    <row r="4588" spans="1:40" x14ac:dyDescent="0.25">
      <c r="A4588" t="str">
        <f>"20190303154229129"</f>
        <v>20190303154229129</v>
      </c>
      <c r="B4588" t="str">
        <f>"1551598949124825"</f>
        <v>1551598949124825</v>
      </c>
      <c r="C4588" t="s">
        <v>40</v>
      </c>
      <c r="D4588">
        <v>5.992915</v>
      </c>
      <c r="E4588">
        <v>0.53761210000000004</v>
      </c>
      <c r="F4588" t="s">
        <v>50</v>
      </c>
      <c r="G4588">
        <v>-215.84270000000001</v>
      </c>
      <c r="H4588" s="1">
        <v>1.585249E-6</v>
      </c>
      <c r="I4588">
        <v>214.3229</v>
      </c>
      <c r="J4588">
        <v>-229.73400000000001</v>
      </c>
      <c r="K4588">
        <v>1.121313</v>
      </c>
      <c r="L4588">
        <v>215.5367</v>
      </c>
      <c r="M4588">
        <v>0.9997703</v>
      </c>
      <c r="N4588">
        <v>-1.840137E-2</v>
      </c>
      <c r="O4588">
        <v>1.098914E-2</v>
      </c>
      <c r="P4588">
        <v>0.99601260000000003</v>
      </c>
      <c r="Q4588">
        <v>-8.8745119999999997E-2</v>
      </c>
      <c r="R4588">
        <v>9.1196690000000004E-3</v>
      </c>
      <c r="S4588">
        <v>2.9932560000000001</v>
      </c>
      <c r="T4588">
        <v>-0.2373266</v>
      </c>
      <c r="U4588">
        <v>-0.25628659999999998</v>
      </c>
      <c r="V4588">
        <v>1.825354E-3</v>
      </c>
      <c r="W4588">
        <v>-7.0401420000000006E-2</v>
      </c>
      <c r="X4588">
        <v>0.99751699999999999</v>
      </c>
      <c r="Y4588">
        <v>9.5866110000000004E-2</v>
      </c>
      <c r="Z4588">
        <v>-5.339875E-3</v>
      </c>
      <c r="AA4588">
        <v>0.99537989999999998</v>
      </c>
      <c r="AB4588">
        <v>25</v>
      </c>
      <c r="AC4588">
        <v>13.891299999999999</v>
      </c>
      <c r="AD4588">
        <v>-1.1213114147509999</v>
      </c>
      <c r="AE4588">
        <v>-1.21379999999999</v>
      </c>
      <c r="AF4588">
        <v>1.3576269958104099</v>
      </c>
      <c r="AG4588">
        <v>-1.1213114147509999</v>
      </c>
      <c r="AH4588">
        <v>13.787961390506499</v>
      </c>
      <c r="AI4588">
        <v>94.627091393732499</v>
      </c>
      <c r="AJ4588">
        <v>84.376517295110304</v>
      </c>
      <c r="AK4588">
        <v>13.899941354361999</v>
      </c>
      <c r="AL4588">
        <v>94.037044061992205</v>
      </c>
      <c r="AM4588">
        <v>89.895154705551604</v>
      </c>
      <c r="AN4588">
        <v>0.99999992857211795</v>
      </c>
    </row>
    <row r="4589" spans="1:40" x14ac:dyDescent="0.25">
      <c r="A4589" t="str">
        <f>"20190303154229152"</f>
        <v>20190303154229152</v>
      </c>
      <c r="B4589" t="str">
        <f>"1551598949144345"</f>
        <v>1551598949144345</v>
      </c>
      <c r="C4589" t="s">
        <v>40</v>
      </c>
      <c r="D4589">
        <v>5.9362740000000001</v>
      </c>
      <c r="E4589">
        <v>0.53885479999999997</v>
      </c>
      <c r="F4589" t="s">
        <v>50</v>
      </c>
      <c r="G4589">
        <v>-215.29429999999999</v>
      </c>
      <c r="H4589" s="1">
        <v>1.2977559999999999E-6</v>
      </c>
      <c r="I4589">
        <v>214.22380000000001</v>
      </c>
      <c r="J4589">
        <v>-229.48349999999999</v>
      </c>
      <c r="K4589">
        <v>1.1212839999999999</v>
      </c>
      <c r="L4589">
        <v>215.5394</v>
      </c>
      <c r="M4589">
        <v>0.99978089999999997</v>
      </c>
      <c r="N4589">
        <v>-1.7823740000000001E-2</v>
      </c>
      <c r="O4589">
        <v>1.098937E-2</v>
      </c>
      <c r="P4589">
        <v>0.99612270000000003</v>
      </c>
      <c r="Q4589">
        <v>-8.7531330000000004E-2</v>
      </c>
      <c r="R4589">
        <v>8.8606069999999995E-3</v>
      </c>
      <c r="S4589">
        <v>2.993805</v>
      </c>
      <c r="T4589">
        <v>-0.2324843</v>
      </c>
      <c r="U4589">
        <v>-0.27220149999999999</v>
      </c>
      <c r="V4589">
        <v>2.0856709999999999E-3</v>
      </c>
      <c r="W4589">
        <v>-6.976222E-2</v>
      </c>
      <c r="X4589">
        <v>0.99756149999999999</v>
      </c>
      <c r="Y4589">
        <v>0.1010972</v>
      </c>
      <c r="Z4589">
        <v>-5.4711830000000001E-3</v>
      </c>
      <c r="AA4589">
        <v>0.99486149999999995</v>
      </c>
      <c r="AB4589">
        <v>25</v>
      </c>
      <c r="AC4589">
        <v>14.1892</v>
      </c>
      <c r="AD4589">
        <v>-1.121282702244</v>
      </c>
      <c r="AE4589">
        <v>-1.3155999999999799</v>
      </c>
      <c r="AF4589">
        <v>1.46242105121838</v>
      </c>
      <c r="AG4589">
        <v>-1.121282702244</v>
      </c>
      <c r="AH4589">
        <v>14.0866652146661</v>
      </c>
      <c r="AI4589">
        <v>94.526856540001802</v>
      </c>
      <c r="AJ4589">
        <v>84.073014457812704</v>
      </c>
      <c r="AK4589">
        <v>14.2066916310407</v>
      </c>
      <c r="AL4589">
        <v>94.000329912729399</v>
      </c>
      <c r="AM4589">
        <v>89.880207915372594</v>
      </c>
      <c r="AN4589">
        <v>1.0000000318225399</v>
      </c>
    </row>
    <row r="4590" spans="1:40" x14ac:dyDescent="0.25">
      <c r="A4590" t="str">
        <f>"20190303154229174"</f>
        <v>20190303154229174</v>
      </c>
      <c r="B4590" t="str">
        <f>"1551598949163865"</f>
        <v>1551598949163865</v>
      </c>
      <c r="C4590" t="s">
        <v>40</v>
      </c>
      <c r="D4590">
        <v>5.9213550000000001</v>
      </c>
      <c r="E4590">
        <v>0.5398155</v>
      </c>
      <c r="F4590" t="s">
        <v>50</v>
      </c>
      <c r="G4590">
        <v>-214.38399999999999</v>
      </c>
      <c r="H4590" s="1">
        <v>8.1810319999999896E-7</v>
      </c>
      <c r="I4590">
        <v>214.11420000000001</v>
      </c>
      <c r="J4590">
        <v>-229.22909999999999</v>
      </c>
      <c r="K4590">
        <v>1.121262</v>
      </c>
      <c r="L4590">
        <v>215.54220000000001</v>
      </c>
      <c r="M4590">
        <v>0.99978999999999996</v>
      </c>
      <c r="N4590">
        <v>-1.7297960000000001E-2</v>
      </c>
      <c r="O4590">
        <v>1.098988E-2</v>
      </c>
      <c r="P4590">
        <v>0.99621669999999996</v>
      </c>
      <c r="Q4590">
        <v>-8.6479769999999997E-2</v>
      </c>
      <c r="R4590">
        <v>8.5816820000000002E-3</v>
      </c>
      <c r="S4590">
        <v>2.994659</v>
      </c>
      <c r="T4590">
        <v>-0.2223821</v>
      </c>
      <c r="U4590">
        <v>-0.28265380000000001</v>
      </c>
      <c r="V4590">
        <v>2.3660869999999998E-3</v>
      </c>
      <c r="W4590">
        <v>-6.9233820000000001E-2</v>
      </c>
      <c r="X4590">
        <v>0.99759759999999997</v>
      </c>
      <c r="Y4590">
        <v>0.1045354</v>
      </c>
      <c r="Z4590">
        <v>-5.3989989999999998E-3</v>
      </c>
      <c r="AA4590">
        <v>0.99450649999999996</v>
      </c>
      <c r="AB4590">
        <v>25</v>
      </c>
      <c r="AC4590">
        <v>14.845099999999899</v>
      </c>
      <c r="AD4590">
        <v>-1.1212611818967999</v>
      </c>
      <c r="AE4590">
        <v>-1.4279999999999899</v>
      </c>
      <c r="AF4590">
        <v>1.58214082686372</v>
      </c>
      <c r="AG4590">
        <v>-1.1212611818967999</v>
      </c>
      <c r="AH4590">
        <v>14.7451590472769</v>
      </c>
      <c r="AI4590">
        <v>94.323830669513995</v>
      </c>
      <c r="AJ4590">
        <v>83.875651763951495</v>
      </c>
      <c r="AK4590">
        <v>14.872125321000601</v>
      </c>
      <c r="AL4590">
        <v>93.969981785366798</v>
      </c>
      <c r="AM4590">
        <v>89.864106985765105</v>
      </c>
      <c r="AN4590">
        <v>0.99999994586261998</v>
      </c>
    </row>
    <row r="4591" spans="1:40" x14ac:dyDescent="0.25">
      <c r="A4591" t="str">
        <f>"20190303154229196"</f>
        <v>20190303154229196</v>
      </c>
      <c r="B4591" t="str">
        <f>"1551598949184362"</f>
        <v>1551598949184362</v>
      </c>
      <c r="C4591" t="s">
        <v>40</v>
      </c>
      <c r="D4591">
        <v>5.9518420000000001</v>
      </c>
      <c r="E4591">
        <v>0.54077980000000003</v>
      </c>
      <c r="F4591" t="s">
        <v>50</v>
      </c>
      <c r="G4591">
        <v>-213.5368</v>
      </c>
      <c r="H4591" s="1">
        <v>3.715279E-7</v>
      </c>
      <c r="I4591">
        <v>214.01679999999999</v>
      </c>
      <c r="J4591">
        <v>-228.9915</v>
      </c>
      <c r="K4591">
        <v>1.1212439999999999</v>
      </c>
      <c r="L4591">
        <v>215.54480000000001</v>
      </c>
      <c r="M4591">
        <v>0.99979750000000001</v>
      </c>
      <c r="N4591">
        <v>-1.686199E-2</v>
      </c>
      <c r="O4591">
        <v>1.0989779999999999E-2</v>
      </c>
      <c r="P4591">
        <v>0.99633530000000003</v>
      </c>
      <c r="Q4591">
        <v>-8.5100980000000007E-2</v>
      </c>
      <c r="R4591">
        <v>8.6110890000000006E-3</v>
      </c>
      <c r="S4591">
        <v>2.9953159999999999</v>
      </c>
      <c r="T4591">
        <v>-0.21402379999999999</v>
      </c>
      <c r="U4591">
        <v>-0.29116819999999999</v>
      </c>
      <c r="V4591">
        <v>2.3377570000000002E-3</v>
      </c>
      <c r="W4591">
        <v>-6.8288210000000002E-2</v>
      </c>
      <c r="X4591">
        <v>0.99766290000000002</v>
      </c>
      <c r="Y4591">
        <v>0.1073337</v>
      </c>
      <c r="Z4591">
        <v>-5.3271539999999997E-3</v>
      </c>
      <c r="AA4591">
        <v>0.9942088</v>
      </c>
      <c r="AB4591">
        <v>25</v>
      </c>
      <c r="AC4591">
        <v>15.454700000000001</v>
      </c>
      <c r="AD4591">
        <v>-1.1212436284720999</v>
      </c>
      <c r="AE4591">
        <v>-1.52800000000002</v>
      </c>
      <c r="AF4591">
        <v>1.68897166221546</v>
      </c>
      <c r="AG4591">
        <v>-1.1212436284720999</v>
      </c>
      <c r="AH4591">
        <v>15.3569222223624</v>
      </c>
      <c r="AI4591">
        <v>94.150943869290202</v>
      </c>
      <c r="AJ4591">
        <v>83.723769747571893</v>
      </c>
      <c r="AK4591">
        <v>15.490154056491599</v>
      </c>
      <c r="AL4591">
        <v>93.9156735543732</v>
      </c>
      <c r="AM4591">
        <v>89.865742863167497</v>
      </c>
      <c r="AN4591">
        <v>1.0000000033845999</v>
      </c>
    </row>
    <row r="4592" spans="1:40" x14ac:dyDescent="0.25">
      <c r="A4592" t="str">
        <f>"20190303154229218"</f>
        <v>20190303154229218</v>
      </c>
      <c r="B4592" t="str">
        <f>"1551598949214617"</f>
        <v>1551598949214617</v>
      </c>
      <c r="C4592" t="s">
        <v>40</v>
      </c>
      <c r="D4592">
        <v>5.943867</v>
      </c>
      <c r="E4592">
        <v>0.54152259999999997</v>
      </c>
      <c r="F4592" t="s">
        <v>50</v>
      </c>
      <c r="G4592">
        <v>-212.7021</v>
      </c>
      <c r="H4592" s="1">
        <v>-6.842436E-8</v>
      </c>
      <c r="I4592">
        <v>213.92019999999999</v>
      </c>
      <c r="J4592">
        <v>-228.7509</v>
      </c>
      <c r="K4592">
        <v>1.1212310000000001</v>
      </c>
      <c r="L4592">
        <v>215.54750000000001</v>
      </c>
      <c r="M4592">
        <v>0.99980400000000003</v>
      </c>
      <c r="N4592">
        <v>-1.6472799999999999E-2</v>
      </c>
      <c r="O4592">
        <v>1.09899E-2</v>
      </c>
      <c r="P4592">
        <v>0.9964343</v>
      </c>
      <c r="Q4592">
        <v>-8.3948610000000007E-2</v>
      </c>
      <c r="R4592">
        <v>8.4405490000000003E-3</v>
      </c>
      <c r="S4592">
        <v>2.995987</v>
      </c>
      <c r="T4592">
        <v>-0.20622209999999999</v>
      </c>
      <c r="U4592">
        <v>-0.298797599999999</v>
      </c>
      <c r="V4592">
        <v>2.5096179999999999E-3</v>
      </c>
      <c r="W4592">
        <v>-6.7522730000000003E-2</v>
      </c>
      <c r="X4592">
        <v>0.99771460000000001</v>
      </c>
      <c r="Y4592">
        <v>0.1098369</v>
      </c>
      <c r="Z4592">
        <v>-5.2480720000000003E-3</v>
      </c>
      <c r="AA4592">
        <v>0.99393580000000004</v>
      </c>
      <c r="AB4592">
        <v>25</v>
      </c>
      <c r="AC4592">
        <v>16.0488</v>
      </c>
      <c r="AD4592">
        <v>-1.1212310684243501</v>
      </c>
      <c r="AE4592">
        <v>-1.62730000000001</v>
      </c>
      <c r="AF4592">
        <v>1.79492851272599</v>
      </c>
      <c r="AG4592">
        <v>-1.1212310684243501</v>
      </c>
      <c r="AH4592">
        <v>15.952871357950499</v>
      </c>
      <c r="AI4592">
        <v>93.995236431842102</v>
      </c>
      <c r="AJ4592">
        <v>83.580395815222303</v>
      </c>
      <c r="AK4592">
        <v>16.0926390638054</v>
      </c>
      <c r="AL4592">
        <v>93.871713244301404</v>
      </c>
      <c r="AM4592">
        <v>89.855880412761607</v>
      </c>
      <c r="AN4592">
        <v>1.0000000201511501</v>
      </c>
    </row>
    <row r="4593" spans="1:40" x14ac:dyDescent="0.25">
      <c r="A4593" t="str">
        <f>"20190303154229241"</f>
        <v>20190303154229241</v>
      </c>
      <c r="B4593" t="str">
        <f>"1551598949234137"</f>
        <v>1551598949234137</v>
      </c>
      <c r="C4593" t="s">
        <v>40</v>
      </c>
      <c r="D4593">
        <v>5.9645659999999996</v>
      </c>
      <c r="E4593">
        <v>0.54184600000000005</v>
      </c>
      <c r="F4593" t="s">
        <v>50</v>
      </c>
      <c r="G4593">
        <v>-212.1276</v>
      </c>
      <c r="H4593" s="1">
        <v>-3.712796E-7</v>
      </c>
      <c r="I4593">
        <v>213.8546</v>
      </c>
      <c r="J4593">
        <v>-228.4906</v>
      </c>
      <c r="K4593">
        <v>1.1212230000000001</v>
      </c>
      <c r="L4593">
        <v>215.55029999999999</v>
      </c>
      <c r="M4593">
        <v>0.99980990000000003</v>
      </c>
      <c r="N4593">
        <v>-1.6103739999999998E-2</v>
      </c>
      <c r="O4593">
        <v>1.098991E-2</v>
      </c>
      <c r="P4593">
        <v>0.99653510000000001</v>
      </c>
      <c r="Q4593">
        <v>-8.2694980000000001E-2</v>
      </c>
      <c r="R4593">
        <v>8.9171570000000002E-3</v>
      </c>
      <c r="S4593">
        <v>2.9963069999999998</v>
      </c>
      <c r="T4593">
        <v>-0.2020991</v>
      </c>
      <c r="U4593">
        <v>-0.30513000000000001</v>
      </c>
      <c r="V4593">
        <v>2.0340810000000001E-3</v>
      </c>
      <c r="W4593">
        <v>-6.6635799999999995E-2</v>
      </c>
      <c r="X4593">
        <v>0.99777530000000003</v>
      </c>
      <c r="Y4593">
        <v>0.1119132</v>
      </c>
      <c r="Z4593">
        <v>-5.227265E-3</v>
      </c>
      <c r="AA4593">
        <v>0.99370429999999998</v>
      </c>
      <c r="AB4593">
        <v>25</v>
      </c>
      <c r="AC4593">
        <v>16.363</v>
      </c>
      <c r="AD4593">
        <v>-1.12122337127959</v>
      </c>
      <c r="AE4593">
        <v>-1.69569999999998</v>
      </c>
      <c r="AF4593">
        <v>1.86677694323434</v>
      </c>
      <c r="AG4593">
        <v>-1.12122337127959</v>
      </c>
      <c r="AH4593">
        <v>16.2678037662637</v>
      </c>
      <c r="AI4593">
        <v>93.917127414522994</v>
      </c>
      <c r="AJ4593">
        <v>83.453779472837397</v>
      </c>
      <c r="AK4593">
        <v>16.4129045991792</v>
      </c>
      <c r="AL4593">
        <v>93.820781226370698</v>
      </c>
      <c r="AM4593">
        <v>89.883196051217894</v>
      </c>
      <c r="AN4593">
        <v>1.00000000830862</v>
      </c>
    </row>
    <row r="4594" spans="1:40" x14ac:dyDescent="0.25">
      <c r="A4594" t="str">
        <f>"20190303154229263"</f>
        <v>20190303154229263</v>
      </c>
      <c r="B4594" t="str">
        <f>"1551598949254633"</f>
        <v>1551598949254633</v>
      </c>
      <c r="C4594" t="s">
        <v>40</v>
      </c>
      <c r="D4594">
        <v>5.9650239999999997</v>
      </c>
      <c r="E4594">
        <v>0.54211919999999902</v>
      </c>
      <c r="F4594" t="s">
        <v>50</v>
      </c>
      <c r="G4594">
        <v>-211.58410000000001</v>
      </c>
      <c r="H4594" s="1">
        <v>-6.5914669999999996E-7</v>
      </c>
      <c r="I4594">
        <v>213.82320000000001</v>
      </c>
      <c r="J4594">
        <v>-228.25190000000001</v>
      </c>
      <c r="K4594">
        <v>1.1212260000000001</v>
      </c>
      <c r="L4594">
        <v>215.55289999999999</v>
      </c>
      <c r="M4594">
        <v>0.9998148</v>
      </c>
      <c r="N4594">
        <v>-1.5806589999999999E-2</v>
      </c>
      <c r="O4594">
        <v>1.0989809999999999E-2</v>
      </c>
      <c r="P4594">
        <v>0.99654330000000002</v>
      </c>
      <c r="Q4594">
        <v>-8.2552890000000004E-2</v>
      </c>
      <c r="R4594">
        <v>9.3214820000000007E-3</v>
      </c>
      <c r="S4594">
        <v>2.996658</v>
      </c>
      <c r="T4594">
        <v>-0.19873560000000001</v>
      </c>
      <c r="U4594">
        <v>-0.306137099999999</v>
      </c>
      <c r="V4594">
        <v>1.6296889999999999E-3</v>
      </c>
      <c r="W4594">
        <v>-6.679003E-2</v>
      </c>
      <c r="X4594">
        <v>0.99776569999999998</v>
      </c>
      <c r="Y4594">
        <v>0.11224190000000001</v>
      </c>
      <c r="Z4594">
        <v>-5.1519570000000004E-3</v>
      </c>
      <c r="AA4594">
        <v>0.99366750000000004</v>
      </c>
      <c r="AB4594">
        <v>25</v>
      </c>
      <c r="AC4594">
        <v>16.6678</v>
      </c>
      <c r="AD4594">
        <v>-1.1212266591466999</v>
      </c>
      <c r="AE4594">
        <v>-1.72969999999997</v>
      </c>
      <c r="AF4594">
        <v>1.9042690973408301</v>
      </c>
      <c r="AG4594">
        <v>-1.1212266591466999</v>
      </c>
      <c r="AH4594">
        <v>16.573583314850101</v>
      </c>
      <c r="AI4594">
        <v>93.845024204172404</v>
      </c>
      <c r="AJ4594">
        <v>83.445580011581001</v>
      </c>
      <c r="AK4594">
        <v>16.7202587871883</v>
      </c>
      <c r="AL4594">
        <v>93.829637800763393</v>
      </c>
      <c r="AM4594">
        <v>89.906416688221896</v>
      </c>
      <c r="AN4594">
        <v>0.99999997804506302</v>
      </c>
    </row>
    <row r="4595" spans="1:40" x14ac:dyDescent="0.25">
      <c r="A4595" t="str">
        <f>"20190303154229285"</f>
        <v>20190303154229285</v>
      </c>
      <c r="B4595" t="str">
        <f>"1551598949274154"</f>
        <v>1551598949274154</v>
      </c>
      <c r="C4595" t="s">
        <v>40</v>
      </c>
      <c r="D4595">
        <v>5.9404349999999999</v>
      </c>
      <c r="E4595">
        <v>0.54229799999999995</v>
      </c>
      <c r="F4595" t="s">
        <v>50</v>
      </c>
      <c r="G4595">
        <v>-211.27930000000001</v>
      </c>
      <c r="H4595" s="1">
        <v>-8.2098349999999897E-7</v>
      </c>
      <c r="I4595">
        <v>213.81440000000001</v>
      </c>
      <c r="J4595">
        <v>-228.0035</v>
      </c>
      <c r="K4595">
        <v>1.1212279999999999</v>
      </c>
      <c r="L4595">
        <v>215.5557</v>
      </c>
      <c r="M4595">
        <v>0.99981900000000001</v>
      </c>
      <c r="N4595">
        <v>-1.5535800000000001E-2</v>
      </c>
      <c r="O4595">
        <v>1.0990110000000001E-2</v>
      </c>
      <c r="P4595">
        <v>0.99655329999999998</v>
      </c>
      <c r="Q4595">
        <v>-8.2396209999999998E-2</v>
      </c>
      <c r="R4595">
        <v>9.6191269999999999E-3</v>
      </c>
      <c r="S4595">
        <v>2.9968569999999999</v>
      </c>
      <c r="T4595">
        <v>-0.19797480000000001</v>
      </c>
      <c r="U4595">
        <v>-0.30697629999999998</v>
      </c>
      <c r="V4595">
        <v>1.3325100000000001E-3</v>
      </c>
      <c r="W4595">
        <v>-6.6903379999999998E-2</v>
      </c>
      <c r="X4595">
        <v>0.99775860000000005</v>
      </c>
      <c r="Y4595">
        <v>0.1125133</v>
      </c>
      <c r="Z4595">
        <v>-5.1334379999999997E-3</v>
      </c>
      <c r="AA4595">
        <v>0.99363699999999999</v>
      </c>
      <c r="AB4595">
        <v>25</v>
      </c>
      <c r="AC4595">
        <v>16.7241999999999</v>
      </c>
      <c r="AD4595">
        <v>-1.1212288209835</v>
      </c>
      <c r="AE4595">
        <v>-1.7412999999999901</v>
      </c>
      <c r="AF4595">
        <v>1.9164961416366799</v>
      </c>
      <c r="AG4595">
        <v>-1.1212288209835</v>
      </c>
      <c r="AH4595">
        <v>16.630105127222599</v>
      </c>
      <c r="AI4595">
        <v>93.831852670176403</v>
      </c>
      <c r="AJ4595">
        <v>83.426086848001802</v>
      </c>
      <c r="AK4595">
        <v>16.777678864264502</v>
      </c>
      <c r="AL4595">
        <v>93.836146633660505</v>
      </c>
      <c r="AM4595">
        <v>89.923481337300501</v>
      </c>
      <c r="AN4595">
        <v>1.0000000308561401</v>
      </c>
    </row>
    <row r="4596" spans="1:40" x14ac:dyDescent="0.25">
      <c r="A4596" t="str">
        <f>"20190303154229308"</f>
        <v>20190303154229308</v>
      </c>
      <c r="B4596" t="str">
        <f>"1551598949304410"</f>
        <v>1551598949304410</v>
      </c>
      <c r="C4596" t="s">
        <v>40</v>
      </c>
      <c r="D4596">
        <v>5.9849119999999996</v>
      </c>
      <c r="E4596">
        <v>0.54235559999999905</v>
      </c>
      <c r="F4596" t="s">
        <v>50</v>
      </c>
      <c r="G4596">
        <v>-211.0909</v>
      </c>
      <c r="H4596" s="1">
        <v>-9.2138539999999996E-7</v>
      </c>
      <c r="I4596">
        <v>213.81880000000001</v>
      </c>
      <c r="J4596">
        <v>-227.76070000000001</v>
      </c>
      <c r="K4596">
        <v>1.121221</v>
      </c>
      <c r="L4596">
        <v>215.5583</v>
      </c>
      <c r="M4596">
        <v>0.99982260000000001</v>
      </c>
      <c r="N4596">
        <v>-1.530465E-2</v>
      </c>
      <c r="O4596">
        <v>1.0990430000000001E-2</v>
      </c>
      <c r="P4596">
        <v>0.99649330000000003</v>
      </c>
      <c r="Q4596">
        <v>-8.3084569999999996E-2</v>
      </c>
      <c r="R4596">
        <v>9.9271110000000006E-3</v>
      </c>
      <c r="S4596">
        <v>2.996918</v>
      </c>
      <c r="T4596">
        <v>-0.19868240000000001</v>
      </c>
      <c r="U4596">
        <v>-0.30776979999999998</v>
      </c>
      <c r="V4596">
        <v>1.0238739999999999E-3</v>
      </c>
      <c r="W4596">
        <v>-6.7823129999999995E-2</v>
      </c>
      <c r="X4596">
        <v>0.99769680000000005</v>
      </c>
      <c r="Y4596">
        <v>0.11276989999999899</v>
      </c>
      <c r="Z4596">
        <v>-5.1490279999999999E-3</v>
      </c>
      <c r="AA4596">
        <v>0.99360780000000004</v>
      </c>
      <c r="AB4596">
        <v>25</v>
      </c>
      <c r="AC4596">
        <v>16.669799999999999</v>
      </c>
      <c r="AD4596">
        <v>-1.12122192138539</v>
      </c>
      <c r="AE4596">
        <v>-1.7394999999999901</v>
      </c>
      <c r="AF4596">
        <v>1.9140586998162299</v>
      </c>
      <c r="AG4596">
        <v>-1.12122192138539</v>
      </c>
      <c r="AH4596">
        <v>16.575493124765501</v>
      </c>
      <c r="AI4596">
        <v>93.844314746480805</v>
      </c>
      <c r="AJ4596">
        <v>83.412932394431905</v>
      </c>
      <c r="AK4596">
        <v>16.7232691670165</v>
      </c>
      <c r="AL4596">
        <v>93.888964658319196</v>
      </c>
      <c r="AM4596">
        <v>89.941200935635905</v>
      </c>
      <c r="AN4596">
        <v>0.99999996500560095</v>
      </c>
    </row>
    <row r="4597" spans="1:40" x14ac:dyDescent="0.25">
      <c r="A4597" t="str">
        <f>"20190303154229329"</f>
        <v>20190303154229329</v>
      </c>
      <c r="B4597" t="str">
        <f>"1551598949323929"</f>
        <v>1551598949323929</v>
      </c>
      <c r="C4597" t="s">
        <v>40</v>
      </c>
      <c r="D4597">
        <v>6.0043749999999996</v>
      </c>
      <c r="E4597">
        <v>0.54241459999999997</v>
      </c>
      <c r="F4597" t="s">
        <v>50</v>
      </c>
      <c r="G4597">
        <v>-211.28630000000001</v>
      </c>
      <c r="H4597" s="1">
        <v>-8.1963149999999998E-7</v>
      </c>
      <c r="I4597">
        <v>213.86869999999999</v>
      </c>
      <c r="J4597">
        <v>-227.51830000000001</v>
      </c>
      <c r="K4597">
        <v>1.1212150000000001</v>
      </c>
      <c r="L4597">
        <v>215.56100000000001</v>
      </c>
      <c r="M4597">
        <v>0.99982550000000003</v>
      </c>
      <c r="N4597">
        <v>-1.5103449999999999E-2</v>
      </c>
      <c r="O4597">
        <v>1.0990430000000001E-2</v>
      </c>
      <c r="P4597">
        <v>0.9964288</v>
      </c>
      <c r="Q4597">
        <v>-8.3862679999999995E-2</v>
      </c>
      <c r="R4597">
        <v>9.8307480000000003E-3</v>
      </c>
      <c r="S4597">
        <v>2.996597</v>
      </c>
      <c r="T4597">
        <v>-0.2039436</v>
      </c>
      <c r="U4597">
        <v>-0.30734250000000002</v>
      </c>
      <c r="V4597">
        <v>1.119599E-3</v>
      </c>
      <c r="W4597">
        <v>-6.8802940000000007E-2</v>
      </c>
      <c r="X4597">
        <v>0.99762960000000001</v>
      </c>
      <c r="Y4597">
        <v>0.1126258</v>
      </c>
      <c r="Z4597">
        <v>-5.2520129999999998E-3</v>
      </c>
      <c r="AA4597">
        <v>0.99362360000000005</v>
      </c>
      <c r="AB4597">
        <v>25</v>
      </c>
      <c r="AC4597">
        <v>16.231999999999999</v>
      </c>
      <c r="AD4597">
        <v>-1.1212158196314901</v>
      </c>
      <c r="AE4597">
        <v>-1.6922999999999799</v>
      </c>
      <c r="AF4597">
        <v>1.8618270159107599</v>
      </c>
      <c r="AG4597">
        <v>-1.1212158196314901</v>
      </c>
      <c r="AH4597">
        <v>16.136255545593901</v>
      </c>
      <c r="AI4597">
        <v>93.948652961511698</v>
      </c>
      <c r="AJ4597">
        <v>83.418225727922504</v>
      </c>
      <c r="AK4597">
        <v>16.281961423123398</v>
      </c>
      <c r="AL4597">
        <v>93.945235117639299</v>
      </c>
      <c r="AM4597">
        <v>89.935699311130804</v>
      </c>
      <c r="AN4597">
        <v>0.99999995842536105</v>
      </c>
    </row>
    <row r="4598" spans="1:40" x14ac:dyDescent="0.25">
      <c r="A4598" t="str">
        <f>"20190303154229353"</f>
        <v>20190303154229353</v>
      </c>
      <c r="B4598" t="str">
        <f>"1551598949344425"</f>
        <v>1551598949344425</v>
      </c>
      <c r="C4598" t="s">
        <v>40</v>
      </c>
      <c r="D4598">
        <v>5.9502930000000003</v>
      </c>
      <c r="E4598">
        <v>0.54262540000000004</v>
      </c>
      <c r="F4598" t="s">
        <v>50</v>
      </c>
      <c r="G4598">
        <v>-211.35990000000001</v>
      </c>
      <c r="H4598" s="1">
        <v>-7.8174979999999998E-7</v>
      </c>
      <c r="I4598">
        <v>213.899</v>
      </c>
      <c r="J4598">
        <v>-227.26859999999999</v>
      </c>
      <c r="K4598">
        <v>1.1212059999999999</v>
      </c>
      <c r="L4598">
        <v>215.56379999999999</v>
      </c>
      <c r="M4598">
        <v>0.99982859999999996</v>
      </c>
      <c r="N4598">
        <v>-1.490519E-2</v>
      </c>
      <c r="O4598">
        <v>1.0990440000000001E-2</v>
      </c>
      <c r="P4598">
        <v>0.9963862</v>
      </c>
      <c r="Q4598">
        <v>-8.4455240000000001E-2</v>
      </c>
      <c r="R4598">
        <v>9.0573900000000002E-3</v>
      </c>
      <c r="S4598">
        <v>2.996292</v>
      </c>
      <c r="T4598">
        <v>-0.20791009999999999</v>
      </c>
      <c r="U4598">
        <v>-0.30818179999999901</v>
      </c>
      <c r="V4598">
        <v>1.89248E-3</v>
      </c>
      <c r="W4598">
        <v>-6.9594039999999996E-2</v>
      </c>
      <c r="X4598">
        <v>0.99757359999999995</v>
      </c>
      <c r="Y4598">
        <v>0.11289920000000001</v>
      </c>
      <c r="Z4598">
        <v>-5.3434800000000003E-3</v>
      </c>
      <c r="AA4598">
        <v>0.99359209999999998</v>
      </c>
      <c r="AB4598">
        <v>25</v>
      </c>
      <c r="AC4598">
        <v>15.9086999999999</v>
      </c>
      <c r="AD4598">
        <v>-1.1212067817497999</v>
      </c>
      <c r="AE4598">
        <v>-1.6647999999999801</v>
      </c>
      <c r="AF4598">
        <v>1.83056834778487</v>
      </c>
      <c r="AG4598">
        <v>-1.1212067817497999</v>
      </c>
      <c r="AH4598">
        <v>15.811752396607099</v>
      </c>
      <c r="AI4598">
        <v>94.029215052423297</v>
      </c>
      <c r="AJ4598">
        <v>83.396116137411795</v>
      </c>
      <c r="AK4598">
        <v>15.956804159196899</v>
      </c>
      <c r="AL4598">
        <v>93.990670560301098</v>
      </c>
      <c r="AM4598">
        <v>89.891305276387797</v>
      </c>
      <c r="AN4598">
        <v>0.999999999650515</v>
      </c>
    </row>
    <row r="4599" spans="1:40" x14ac:dyDescent="0.25">
      <c r="A4599" t="str">
        <f>"20190303154229375"</f>
        <v>20190303154229375</v>
      </c>
      <c r="B4599" t="str">
        <f>"1551598949364452"</f>
        <v>1551598949364452</v>
      </c>
      <c r="C4599" t="s">
        <v>40</v>
      </c>
      <c r="D4599">
        <v>5.9386349999999997</v>
      </c>
      <c r="E4599">
        <v>0.54300809999999999</v>
      </c>
      <c r="F4599" t="s">
        <v>50</v>
      </c>
      <c r="G4599">
        <v>-211.36529999999999</v>
      </c>
      <c r="H4599" s="1">
        <v>-7.7920869999999904E-7</v>
      </c>
      <c r="I4599">
        <v>213.90610000000001</v>
      </c>
      <c r="J4599">
        <v>-227.02199999999999</v>
      </c>
      <c r="K4599">
        <v>1.1211789999999999</v>
      </c>
      <c r="L4599">
        <v>215.56649999999999</v>
      </c>
      <c r="M4599">
        <v>0.99983230000000001</v>
      </c>
      <c r="N4599">
        <v>-1.465755E-2</v>
      </c>
      <c r="O4599">
        <v>1.0990450000000001E-2</v>
      </c>
      <c r="P4599">
        <v>0.99646539999999995</v>
      </c>
      <c r="Q4599">
        <v>-8.3558250000000001E-2</v>
      </c>
      <c r="R4599">
        <v>8.6584369999999997E-3</v>
      </c>
      <c r="S4599">
        <v>2.995819</v>
      </c>
      <c r="T4599">
        <v>-0.2112097</v>
      </c>
      <c r="U4599">
        <v>-0.31227110000000002</v>
      </c>
      <c r="V4599">
        <v>2.2921090000000001E-3</v>
      </c>
      <c r="W4599">
        <v>-6.8943130000000005E-2</v>
      </c>
      <c r="X4599">
        <v>0.997618</v>
      </c>
      <c r="Y4599">
        <v>0.1142436</v>
      </c>
      <c r="Z4599">
        <v>-5.463575E-3</v>
      </c>
      <c r="AA4599">
        <v>0.99343780000000004</v>
      </c>
      <c r="AB4599">
        <v>25</v>
      </c>
      <c r="AC4599">
        <v>15.656700000000001</v>
      </c>
      <c r="AD4599">
        <v>-1.1211797792086999</v>
      </c>
      <c r="AE4599">
        <v>-1.6603999999999799</v>
      </c>
      <c r="AF4599">
        <v>1.82314717410562</v>
      </c>
      <c r="AG4599">
        <v>-1.1211797792086999</v>
      </c>
      <c r="AH4599">
        <v>15.558606111551301</v>
      </c>
      <c r="AI4599">
        <v>94.093793340198502</v>
      </c>
      <c r="AJ4599">
        <v>83.316597169960303</v>
      </c>
      <c r="AK4599">
        <v>15.705130812895399</v>
      </c>
      <c r="AL4599">
        <v>93.953286203265705</v>
      </c>
      <c r="AM4599">
        <v>89.868358489125001</v>
      </c>
      <c r="AN4599">
        <v>1.00000004143093</v>
      </c>
    </row>
    <row r="4600" spans="1:40" x14ac:dyDescent="0.25">
      <c r="A4600" t="str">
        <f>"20190303154229396"</f>
        <v>20190303154229396</v>
      </c>
      <c r="B4600" t="str">
        <f>"1551598949384948"</f>
        <v>1551598949384948</v>
      </c>
      <c r="C4600" t="s">
        <v>40</v>
      </c>
      <c r="D4600">
        <v>6.0573319999999997</v>
      </c>
      <c r="E4600">
        <v>0.54327969999999903</v>
      </c>
      <c r="F4600" t="s">
        <v>50</v>
      </c>
      <c r="G4600">
        <v>-211.06450000000001</v>
      </c>
      <c r="H4600" s="1">
        <v>-9.3817060000000005E-7</v>
      </c>
      <c r="I4600">
        <v>213.88140000000001</v>
      </c>
      <c r="J4600">
        <v>-226.78980000000001</v>
      </c>
      <c r="K4600">
        <v>1.121127</v>
      </c>
      <c r="L4600">
        <v>215.56899999999999</v>
      </c>
      <c r="M4600">
        <v>0.99983699999999998</v>
      </c>
      <c r="N4600">
        <v>-1.433709E-2</v>
      </c>
      <c r="O4600">
        <v>1.0990659999999999E-2</v>
      </c>
      <c r="P4600">
        <v>0.99656389999999995</v>
      </c>
      <c r="Q4600">
        <v>-8.2427210000000001E-2</v>
      </c>
      <c r="R4600">
        <v>8.1625450000000002E-3</v>
      </c>
      <c r="S4600">
        <v>2.9957729999999998</v>
      </c>
      <c r="T4600">
        <v>-0.21048459999999999</v>
      </c>
      <c r="U4600">
        <v>-0.31634519999999999</v>
      </c>
      <c r="V4600">
        <v>2.7891410000000002E-3</v>
      </c>
      <c r="W4600">
        <v>-6.8130579999999996E-2</v>
      </c>
      <c r="X4600">
        <v>0.99767249999999996</v>
      </c>
      <c r="Y4600">
        <v>0.115581</v>
      </c>
      <c r="Z4600">
        <v>-5.48855E-3</v>
      </c>
      <c r="AA4600">
        <v>0.99328289999999997</v>
      </c>
      <c r="AB4600">
        <v>24</v>
      </c>
      <c r="AC4600">
        <v>15.725300000000001</v>
      </c>
      <c r="AD4600">
        <v>-1.1211279381706001</v>
      </c>
      <c r="AE4600">
        <v>-1.6876</v>
      </c>
      <c r="AF4600">
        <v>1.8510456357823499</v>
      </c>
      <c r="AG4600">
        <v>-1.1211279381706001</v>
      </c>
      <c r="AH4600">
        <v>15.627272646295401</v>
      </c>
      <c r="AI4600">
        <v>94.075078499149498</v>
      </c>
      <c r="AJ4600">
        <v>83.244807733583499</v>
      </c>
      <c r="AK4600">
        <v>15.776404792003399</v>
      </c>
      <c r="AL4600">
        <v>93.906621004422902</v>
      </c>
      <c r="AM4600">
        <v>89.839821593318703</v>
      </c>
      <c r="AN4600">
        <v>0.99999998624745201</v>
      </c>
    </row>
    <row r="4601" spans="1:40" x14ac:dyDescent="0.25">
      <c r="A4601" t="str">
        <f>"20190303154229419"</f>
        <v>20190303154229419</v>
      </c>
      <c r="B4601" t="str">
        <f>"1551598949415204"</f>
        <v>1551598949415204</v>
      </c>
      <c r="C4601" t="s">
        <v>40</v>
      </c>
      <c r="D4601">
        <v>5.9841600000000001</v>
      </c>
      <c r="E4601">
        <v>0.54346450000000002</v>
      </c>
      <c r="F4601" t="s">
        <v>50</v>
      </c>
      <c r="G4601">
        <v>-210.809</v>
      </c>
      <c r="H4601" s="1">
        <v>-1.0732360000000001E-6</v>
      </c>
      <c r="I4601">
        <v>213.86080000000001</v>
      </c>
      <c r="J4601">
        <v>-226.54570000000001</v>
      </c>
      <c r="K4601">
        <v>1.1210610000000001</v>
      </c>
      <c r="L4601">
        <v>215.57169999999999</v>
      </c>
      <c r="M4601">
        <v>0.99984269999999997</v>
      </c>
      <c r="N4601">
        <v>-1.3931590000000001E-2</v>
      </c>
      <c r="O4601">
        <v>1.099088E-2</v>
      </c>
      <c r="P4601">
        <v>0.99666469999999896</v>
      </c>
      <c r="Q4601">
        <v>-8.1193689999999999E-2</v>
      </c>
      <c r="R4601">
        <v>8.2107969999999902E-3</v>
      </c>
      <c r="S4601">
        <v>2.99559</v>
      </c>
      <c r="T4601">
        <v>-0.21015510000000001</v>
      </c>
      <c r="U4601">
        <v>-0.32020569999999998</v>
      </c>
      <c r="V4601">
        <v>2.7423600000000001E-3</v>
      </c>
      <c r="W4601">
        <v>-6.7300390000000002E-2</v>
      </c>
      <c r="X4601">
        <v>0.99772899999999998</v>
      </c>
      <c r="Y4601">
        <v>0.11685189999999999</v>
      </c>
      <c r="Z4601">
        <v>-5.5152639999999998E-3</v>
      </c>
      <c r="AA4601">
        <v>0.99313399999999996</v>
      </c>
      <c r="AB4601">
        <v>25</v>
      </c>
      <c r="AC4601">
        <v>15.7366999999999</v>
      </c>
      <c r="AD4601">
        <v>-1.1210620732359999</v>
      </c>
      <c r="AE4601">
        <v>-1.7108999999999801</v>
      </c>
      <c r="AF4601">
        <v>1.87437235326984</v>
      </c>
      <c r="AG4601">
        <v>-1.1210620732359999</v>
      </c>
      <c r="AH4601">
        <v>15.6385056424919</v>
      </c>
      <c r="AI4601">
        <v>94.071252272719605</v>
      </c>
      <c r="AJ4601">
        <v>83.165347117600504</v>
      </c>
      <c r="AK4601">
        <v>15.7902789912338</v>
      </c>
      <c r="AL4601">
        <v>93.858945094842895</v>
      </c>
      <c r="AM4601">
        <v>89.842517098107507</v>
      </c>
      <c r="AN4601">
        <v>1.0000000102367601</v>
      </c>
    </row>
    <row r="4602" spans="1:40" x14ac:dyDescent="0.25">
      <c r="A4602" t="str">
        <f>"20190303154229441"</f>
        <v>20190303154229441</v>
      </c>
      <c r="B4602" t="str">
        <f>"1551598949434724"</f>
        <v>1551598949434724</v>
      </c>
      <c r="C4602" t="s">
        <v>40</v>
      </c>
      <c r="D4602">
        <v>5.9975300000000002</v>
      </c>
      <c r="E4602">
        <v>0.54356519999999897</v>
      </c>
      <c r="F4602" t="s">
        <v>50</v>
      </c>
      <c r="G4602">
        <v>-210.4152</v>
      </c>
      <c r="H4602" s="1">
        <v>-1.2819209999999999E-6</v>
      </c>
      <c r="I4602">
        <v>213.8399</v>
      </c>
      <c r="J4602">
        <v>-226.29589999999999</v>
      </c>
      <c r="K4602">
        <v>1.120997</v>
      </c>
      <c r="L4602">
        <v>215.5744</v>
      </c>
      <c r="M4602">
        <v>0.99984839999999997</v>
      </c>
      <c r="N4602">
        <v>-1.3511159999999999E-2</v>
      </c>
      <c r="O4602">
        <v>1.0991239999999999E-2</v>
      </c>
      <c r="P4602">
        <v>0.99675009999999997</v>
      </c>
      <c r="Q4602">
        <v>-8.015949E-2</v>
      </c>
      <c r="R4602">
        <v>7.9942139999999995E-3</v>
      </c>
      <c r="S4602">
        <v>2.9957280000000002</v>
      </c>
      <c r="T4602">
        <v>-0.2082011</v>
      </c>
      <c r="U4602">
        <v>-0.32162479999999999</v>
      </c>
      <c r="V4602">
        <v>2.9602489999999999E-3</v>
      </c>
      <c r="W4602">
        <v>-6.6684670000000001E-2</v>
      </c>
      <c r="X4602">
        <v>0.99776969999999998</v>
      </c>
      <c r="Y4602">
        <v>0.1173188</v>
      </c>
      <c r="Z4602">
        <v>-5.4692100000000004E-3</v>
      </c>
      <c r="AA4602">
        <v>0.99307920000000005</v>
      </c>
      <c r="AB4602">
        <v>25</v>
      </c>
      <c r="AC4602">
        <v>15.8806999999999</v>
      </c>
      <c r="AD4602">
        <v>-1.120998281921</v>
      </c>
      <c r="AE4602">
        <v>-1.7344999999999899</v>
      </c>
      <c r="AF4602">
        <v>1.8996059980132001</v>
      </c>
      <c r="AG4602">
        <v>-1.120998281921</v>
      </c>
      <c r="AH4602">
        <v>15.782958769417499</v>
      </c>
      <c r="AI4602">
        <v>94.0336461673039</v>
      </c>
      <c r="AJ4602">
        <v>83.137004420462802</v>
      </c>
      <c r="AK4602">
        <v>15.9363398436683</v>
      </c>
      <c r="AL4602">
        <v>93.823587578297406</v>
      </c>
      <c r="AM4602">
        <v>89.830011598509401</v>
      </c>
      <c r="AN4602">
        <v>0.99999999126261996</v>
      </c>
    </row>
    <row r="4603" spans="1:40" x14ac:dyDescent="0.25">
      <c r="A4603" t="str">
        <f>"20190303154229464"</f>
        <v>20190303154229464</v>
      </c>
      <c r="B4603" t="str">
        <f>"1551598949454244"</f>
        <v>1551598949454244</v>
      </c>
      <c r="C4603" t="s">
        <v>40</v>
      </c>
      <c r="D4603">
        <v>5.9930620000000001</v>
      </c>
      <c r="E4603">
        <v>0.56790790000000002</v>
      </c>
      <c r="F4603" t="s">
        <v>50</v>
      </c>
      <c r="G4603">
        <v>-209.99639999999999</v>
      </c>
      <c r="H4603" s="1">
        <v>-1.503751E-6</v>
      </c>
      <c r="I4603">
        <v>213.8169</v>
      </c>
      <c r="J4603">
        <v>-226.04740000000001</v>
      </c>
      <c r="K4603">
        <v>1.1209389999999999</v>
      </c>
      <c r="L4603">
        <v>215.5772</v>
      </c>
      <c r="M4603">
        <v>0.99985380000000001</v>
      </c>
      <c r="N4603">
        <v>-1.3100540000000001E-2</v>
      </c>
      <c r="O4603">
        <v>1.099169E-2</v>
      </c>
      <c r="P4603">
        <v>0.99680599999999997</v>
      </c>
      <c r="Q4603">
        <v>-7.9481490000000002E-2</v>
      </c>
      <c r="R4603">
        <v>7.7786979999999997E-3</v>
      </c>
      <c r="S4603">
        <v>2.9957889999999998</v>
      </c>
      <c r="T4603">
        <v>-0.20603589999999999</v>
      </c>
      <c r="U4603">
        <v>-0.323028599999999</v>
      </c>
      <c r="V4603">
        <v>3.176777E-3</v>
      </c>
      <c r="W4603">
        <v>-6.6415769999999999E-2</v>
      </c>
      <c r="X4603">
        <v>0.99778699999999998</v>
      </c>
      <c r="Y4603">
        <v>0.117784</v>
      </c>
      <c r="Z4603">
        <v>-5.4182880000000003E-3</v>
      </c>
      <c r="AA4603">
        <v>0.99302449999999998</v>
      </c>
      <c r="AB4603">
        <v>25</v>
      </c>
      <c r="AC4603">
        <v>16.050999999999998</v>
      </c>
      <c r="AD4603">
        <v>-1.1209405037510001</v>
      </c>
      <c r="AE4603">
        <v>-1.7603</v>
      </c>
      <c r="AF4603">
        <v>1.92734825056236</v>
      </c>
      <c r="AG4603">
        <v>-1.1209405037510001</v>
      </c>
      <c r="AH4603">
        <v>15.953796425378201</v>
      </c>
      <c r="AI4603">
        <v>93.990175286097696</v>
      </c>
      <c r="AJ4603">
        <v>83.111586031490205</v>
      </c>
      <c r="AK4603">
        <v>16.108842269831399</v>
      </c>
      <c r="AL4603">
        <v>93.808146394526602</v>
      </c>
      <c r="AM4603">
        <v>89.817581007226195</v>
      </c>
      <c r="AN4603">
        <v>1.0000000218928999</v>
      </c>
    </row>
    <row r="4604" spans="1:40" x14ac:dyDescent="0.25">
      <c r="A4604" t="str">
        <f>"20190303154229486"</f>
        <v>20190303154229486</v>
      </c>
      <c r="B4604" t="str">
        <f>"1551598949474741"</f>
        <v>1551598949474741</v>
      </c>
      <c r="C4604" t="s">
        <v>40</v>
      </c>
      <c r="D4604">
        <v>5.9360390000000001</v>
      </c>
      <c r="E4604">
        <v>0.57471139999999998</v>
      </c>
      <c r="F4604" t="s">
        <v>46</v>
      </c>
      <c r="G4604">
        <v>-209.9238</v>
      </c>
      <c r="H4604" s="1">
        <v>6.7772930000000003E-6</v>
      </c>
      <c r="I4604">
        <v>212.7919</v>
      </c>
      <c r="J4604">
        <v>-225.804</v>
      </c>
      <c r="K4604">
        <v>1.1208819999999999</v>
      </c>
      <c r="L4604">
        <v>215.57980000000001</v>
      </c>
      <c r="M4604">
        <v>0.99985900000000005</v>
      </c>
      <c r="N4604">
        <v>-1.2701260000000001E-2</v>
      </c>
      <c r="O4604">
        <v>1.099198E-2</v>
      </c>
      <c r="P4604">
        <v>0.99687170000000003</v>
      </c>
      <c r="Q4604">
        <v>-7.8698740000000003E-2</v>
      </c>
      <c r="R4604">
        <v>7.3379939999999996E-3</v>
      </c>
      <c r="S4604">
        <v>2.9970249999999998</v>
      </c>
      <c r="T4604">
        <v>-0.20835690000000001</v>
      </c>
      <c r="U4604">
        <v>-0.51773069999999999</v>
      </c>
      <c r="V4604">
        <v>3.6181550000000001E-3</v>
      </c>
      <c r="W4604">
        <v>-6.6030749999999999E-2</v>
      </c>
      <c r="X4604">
        <v>0.997811</v>
      </c>
      <c r="Y4604">
        <v>0.1805292</v>
      </c>
      <c r="Z4604">
        <v>-7.997779E-3</v>
      </c>
      <c r="AA4604">
        <v>0.98353710000000005</v>
      </c>
      <c r="AB4604">
        <v>25</v>
      </c>
      <c r="AC4604">
        <v>15.8802</v>
      </c>
      <c r="AD4604">
        <v>-1.120875222707</v>
      </c>
      <c r="AE4604">
        <v>-2.7879</v>
      </c>
      <c r="AF4604">
        <v>2.9480524282529399</v>
      </c>
      <c r="AG4604">
        <v>-1.120875222707</v>
      </c>
      <c r="AH4604">
        <v>15.772365143333699</v>
      </c>
      <c r="AI4604">
        <v>93.995961806996107</v>
      </c>
      <c r="AJ4604">
        <v>79.412865436945594</v>
      </c>
      <c r="AK4604">
        <v>16.084616147090799</v>
      </c>
      <c r="AL4604">
        <v>93.786038033438302</v>
      </c>
      <c r="AM4604">
        <v>89.792241113252103</v>
      </c>
      <c r="AN4604">
        <v>0.99999997135608198</v>
      </c>
    </row>
    <row r="4605" spans="1:40" x14ac:dyDescent="0.25">
      <c r="A4605" t="str">
        <f>"20190303154229507"</f>
        <v>20190303154229507</v>
      </c>
      <c r="B4605" t="str">
        <f>"1551598949504998"</f>
        <v>1551598949504998</v>
      </c>
      <c r="C4605" t="s">
        <v>40</v>
      </c>
      <c r="D4605">
        <v>5.9018009999999999</v>
      </c>
      <c r="E4605">
        <v>0.57764309999999996</v>
      </c>
      <c r="F4605" t="s">
        <v>50</v>
      </c>
      <c r="G4605">
        <v>-210.2826</v>
      </c>
      <c r="H4605" s="1">
        <v>-1.2986749999999999E-6</v>
      </c>
      <c r="I4605">
        <v>212.60919999999999</v>
      </c>
      <c r="J4605">
        <v>-225.56129999999999</v>
      </c>
      <c r="K4605">
        <v>1.1208290000000001</v>
      </c>
      <c r="L4605">
        <v>215.58250000000001</v>
      </c>
      <c r="M4605">
        <v>0.99986379999999997</v>
      </c>
      <c r="N4605">
        <v>-1.2310750000000001E-2</v>
      </c>
      <c r="O4605">
        <v>1.0992429999999999E-2</v>
      </c>
      <c r="P4605">
        <v>0.99688980000000005</v>
      </c>
      <c r="Q4605">
        <v>-7.8479499999999994E-2</v>
      </c>
      <c r="R4605">
        <v>7.215445E-3</v>
      </c>
      <c r="S4605">
        <v>2.9965519999999999</v>
      </c>
      <c r="T4605">
        <v>-0.21639620000000001</v>
      </c>
      <c r="U4605">
        <v>-0.57351680000000005</v>
      </c>
      <c r="V4605">
        <v>3.7413139999999999E-3</v>
      </c>
      <c r="W4605">
        <v>-6.6201010000000005E-2</v>
      </c>
      <c r="X4605">
        <v>0.99779929999999994</v>
      </c>
      <c r="Y4605">
        <v>0.19816159999999999</v>
      </c>
      <c r="Z4605">
        <v>-8.9663150000000007E-3</v>
      </c>
      <c r="AA4605">
        <v>0.98012829999999995</v>
      </c>
      <c r="AB4605">
        <v>25</v>
      </c>
      <c r="AC4605">
        <v>15.278699999999899</v>
      </c>
      <c r="AD4605">
        <v>-1.1208302986750001</v>
      </c>
      <c r="AE4605">
        <v>-2.97330000000002</v>
      </c>
      <c r="AF4605">
        <v>3.1248800408138901</v>
      </c>
      <c r="AG4605">
        <v>-1.1208302986750001</v>
      </c>
      <c r="AH4605">
        <v>15.1664497415121</v>
      </c>
      <c r="AI4605">
        <v>94.139937624257996</v>
      </c>
      <c r="AJ4605">
        <v>78.357756372685401</v>
      </c>
      <c r="AK4605">
        <v>15.525538109505799</v>
      </c>
      <c r="AL4605">
        <v>93.795814468819302</v>
      </c>
      <c r="AM4605">
        <v>89.785166718943401</v>
      </c>
      <c r="AN4605">
        <v>1.00000000711797</v>
      </c>
    </row>
    <row r="4606" spans="1:40" x14ac:dyDescent="0.25">
      <c r="A4606" t="str">
        <f>"20190303154229530"</f>
        <v>20190303154229530</v>
      </c>
      <c r="B4606" t="str">
        <f>"1551598949524520"</f>
        <v>1551598949524520</v>
      </c>
      <c r="C4606" t="s">
        <v>40</v>
      </c>
      <c r="D4606">
        <v>5.9185189999999999</v>
      </c>
      <c r="E4606">
        <v>0.57880089999999995</v>
      </c>
      <c r="F4606" t="s">
        <v>50</v>
      </c>
      <c r="G4606">
        <v>-210.49760000000001</v>
      </c>
      <c r="H4606" s="1">
        <v>-1.1829849999999999E-6</v>
      </c>
      <c r="I4606">
        <v>212.5796</v>
      </c>
      <c r="J4606">
        <v>-225.3082</v>
      </c>
      <c r="K4606">
        <v>1.1207780000000001</v>
      </c>
      <c r="L4606">
        <v>215.58529999999999</v>
      </c>
      <c r="M4606">
        <v>0.99986850000000005</v>
      </c>
      <c r="N4606">
        <v>-1.192403E-2</v>
      </c>
      <c r="O4606">
        <v>1.0992780000000001E-2</v>
      </c>
      <c r="P4606">
        <v>0.99689229999999995</v>
      </c>
      <c r="Q4606">
        <v>-7.8414220000000007E-2</v>
      </c>
      <c r="R4606">
        <v>7.5367169999999897E-3</v>
      </c>
      <c r="S4606">
        <v>2.99614</v>
      </c>
      <c r="T4606">
        <v>-0.22293060000000001</v>
      </c>
      <c r="U4606">
        <v>-0.59727479999999999</v>
      </c>
      <c r="V4606">
        <v>3.4205809999999998E-3</v>
      </c>
      <c r="W4606">
        <v>-6.6521540000000004E-2</v>
      </c>
      <c r="X4606">
        <v>0.99777910000000003</v>
      </c>
      <c r="Y4606">
        <v>0.20561280000000001</v>
      </c>
      <c r="Z4606">
        <v>-9.4839360000000001E-3</v>
      </c>
      <c r="AA4606">
        <v>0.9785874</v>
      </c>
      <c r="AB4606">
        <v>25</v>
      </c>
      <c r="AC4606">
        <v>14.8105999999999</v>
      </c>
      <c r="AD4606">
        <v>-1.120779182985</v>
      </c>
      <c r="AE4606">
        <v>-3.0056999999999898</v>
      </c>
      <c r="AF4606">
        <v>3.1510088959699201</v>
      </c>
      <c r="AG4606">
        <v>-1.120779182985</v>
      </c>
      <c r="AH4606">
        <v>14.6958338134292</v>
      </c>
      <c r="AI4606">
        <v>94.264665582796894</v>
      </c>
      <c r="AJ4606">
        <v>77.898154498190195</v>
      </c>
      <c r="AK4606">
        <v>15.0715803587886</v>
      </c>
      <c r="AL4606">
        <v>93.814220183531702</v>
      </c>
      <c r="AM4606">
        <v>89.803579683102001</v>
      </c>
      <c r="AN4606">
        <v>0.99999997402757901</v>
      </c>
    </row>
    <row r="4607" spans="1:40" x14ac:dyDescent="0.25">
      <c r="A4607" t="str">
        <f>"20190303154229553"</f>
        <v>20190303154229553</v>
      </c>
      <c r="B4607" t="str">
        <f>"1551598949545012"</f>
        <v>1551598949545012</v>
      </c>
      <c r="C4607" t="s">
        <v>40</v>
      </c>
      <c r="D4607">
        <v>5.9351760000000002</v>
      </c>
      <c r="E4607">
        <v>0.57982129999999998</v>
      </c>
      <c r="F4607" t="s">
        <v>50</v>
      </c>
      <c r="G4607">
        <v>-210.19800000000001</v>
      </c>
      <c r="H4607" s="1">
        <v>-1.3402539999999999E-6</v>
      </c>
      <c r="I4607">
        <v>212.53049999999999</v>
      </c>
      <c r="J4607">
        <v>-225.05520000000001</v>
      </c>
      <c r="K4607">
        <v>1.1207309999999999</v>
      </c>
      <c r="L4607">
        <v>215.5881</v>
      </c>
      <c r="M4607">
        <v>0.99987289999999995</v>
      </c>
      <c r="N4607">
        <v>-1.156426E-2</v>
      </c>
      <c r="O4607">
        <v>1.0993070000000001E-2</v>
      </c>
      <c r="P4607">
        <v>0.99687820000000005</v>
      </c>
      <c r="Q4607">
        <v>-7.8543080000000001E-2</v>
      </c>
      <c r="R4607">
        <v>8.0682540000000004E-3</v>
      </c>
      <c r="S4607">
        <v>2.9964599999999999</v>
      </c>
      <c r="T4607">
        <v>-0.22225900000000001</v>
      </c>
      <c r="U4607">
        <v>-0.60578920000000003</v>
      </c>
      <c r="V4607">
        <v>2.8892290000000001E-3</v>
      </c>
      <c r="W4607">
        <v>-6.7009449999999998E-2</v>
      </c>
      <c r="X4607">
        <v>0.99774810000000003</v>
      </c>
      <c r="Y4607">
        <v>0.2082637</v>
      </c>
      <c r="Z4607">
        <v>-9.5351729999999992E-3</v>
      </c>
      <c r="AA4607">
        <v>0.97802619999999896</v>
      </c>
      <c r="AB4607">
        <v>25</v>
      </c>
      <c r="AC4607">
        <v>14.857200000000001</v>
      </c>
      <c r="AD4607">
        <v>-1.1207323402539999</v>
      </c>
      <c r="AE4607">
        <v>-3.0575999999999999</v>
      </c>
      <c r="AF4607">
        <v>3.2032656467521998</v>
      </c>
      <c r="AG4607">
        <v>-1.1207323402539999</v>
      </c>
      <c r="AH4607">
        <v>14.742209413758101</v>
      </c>
      <c r="AI4607">
        <v>94.248615653658604</v>
      </c>
      <c r="AJ4607">
        <v>77.7410249881071</v>
      </c>
      <c r="AK4607">
        <v>15.127778759</v>
      </c>
      <c r="AL4607">
        <v>93.842238005512897</v>
      </c>
      <c r="AM4607">
        <v>89.834086213701795</v>
      </c>
      <c r="AN4607">
        <v>0.99999994254356095</v>
      </c>
    </row>
    <row r="4608" spans="1:40" x14ac:dyDescent="0.25">
      <c r="A4608" t="str">
        <f>"20190303154229576"</f>
        <v>20190303154229576</v>
      </c>
      <c r="B4608" t="str">
        <f>"1551598949565039"</f>
        <v>1551598949565039</v>
      </c>
      <c r="C4608" t="s">
        <v>40</v>
      </c>
      <c r="D4608">
        <v>5.9524730000000003</v>
      </c>
      <c r="E4608">
        <v>0.58054399999999995</v>
      </c>
      <c r="F4608" t="s">
        <v>50</v>
      </c>
      <c r="G4608">
        <v>-210.02289999999999</v>
      </c>
      <c r="H4608" s="1">
        <v>-1.432789E-6</v>
      </c>
      <c r="I4608">
        <v>212.51599999999999</v>
      </c>
      <c r="J4608">
        <v>-224.80510000000001</v>
      </c>
      <c r="K4608">
        <v>1.120692</v>
      </c>
      <c r="L4608">
        <v>215.5909</v>
      </c>
      <c r="M4608">
        <v>0.9998766</v>
      </c>
      <c r="N4608">
        <v>-1.1229329999999999E-2</v>
      </c>
      <c r="O4608">
        <v>1.0993879999999999E-2</v>
      </c>
      <c r="P4608">
        <v>0.99686949999999996</v>
      </c>
      <c r="Q4608">
        <v>-7.8589160000000005E-2</v>
      </c>
      <c r="R4608">
        <v>8.6685169999999902E-3</v>
      </c>
      <c r="S4608">
        <v>2.9967350000000001</v>
      </c>
      <c r="T4608">
        <v>-0.22342119999999999</v>
      </c>
      <c r="U4608">
        <v>-0.61242680000000005</v>
      </c>
      <c r="V4608">
        <v>2.2895099999999998E-3</v>
      </c>
      <c r="W4608">
        <v>-6.7389710000000005E-2</v>
      </c>
      <c r="X4608">
        <v>0.9977241</v>
      </c>
      <c r="Y4608">
        <v>0.2103169</v>
      </c>
      <c r="Z4608">
        <v>-9.6326080000000008E-3</v>
      </c>
      <c r="AA4608">
        <v>0.97758579999999995</v>
      </c>
      <c r="AB4608">
        <v>25</v>
      </c>
      <c r="AC4608">
        <v>14.7822</v>
      </c>
      <c r="AD4608">
        <v>-1.1206934327889999</v>
      </c>
      <c r="AE4608">
        <v>-3.0749000000000102</v>
      </c>
      <c r="AF4608">
        <v>3.2195008145863899</v>
      </c>
      <c r="AG4608">
        <v>-1.1206934327889999</v>
      </c>
      <c r="AH4608">
        <v>14.666695632227601</v>
      </c>
      <c r="AI4608">
        <v>94.268288483891595</v>
      </c>
      <c r="AJ4608">
        <v>77.619309182726099</v>
      </c>
      <c r="AK4608">
        <v>15.0576591817528</v>
      </c>
      <c r="AL4608">
        <v>93.864074448727706</v>
      </c>
      <c r="AM4608">
        <v>89.868521738725903</v>
      </c>
      <c r="AN4608">
        <v>0.99999999729536704</v>
      </c>
    </row>
    <row r="4609" spans="1:40" x14ac:dyDescent="0.25">
      <c r="A4609" t="str">
        <f>"20190303154229598"</f>
        <v>20190303154229598</v>
      </c>
      <c r="B4609" t="str">
        <f>"1551598949594319"</f>
        <v>1551598949594319</v>
      </c>
      <c r="C4609" t="s">
        <v>40</v>
      </c>
      <c r="D4609">
        <v>5.9597829999999998</v>
      </c>
      <c r="E4609">
        <v>0.58102219999999904</v>
      </c>
      <c r="F4609" t="s">
        <v>46</v>
      </c>
      <c r="G4609">
        <v>-209.82490000000001</v>
      </c>
      <c r="H4609" s="1">
        <v>6.7579379999999999E-6</v>
      </c>
      <c r="I4609">
        <v>212.51130000000001</v>
      </c>
      <c r="J4609">
        <v>-224.56209999999999</v>
      </c>
      <c r="K4609">
        <v>1.1206560000000001</v>
      </c>
      <c r="L4609">
        <v>215.59350000000001</v>
      </c>
      <c r="M4609">
        <v>0.99987999999999999</v>
      </c>
      <c r="N4609">
        <v>-1.091832E-2</v>
      </c>
      <c r="O4609">
        <v>1.099407E-2</v>
      </c>
      <c r="P4609">
        <v>0.99690179999999995</v>
      </c>
      <c r="Q4609">
        <v>-7.8092320000000007E-2</v>
      </c>
      <c r="R4609">
        <v>9.4048050000000005E-3</v>
      </c>
      <c r="S4609">
        <v>2.9970859999999999</v>
      </c>
      <c r="T4609">
        <v>-0.22421430000000001</v>
      </c>
      <c r="U4609">
        <v>-0.61613459999999998</v>
      </c>
      <c r="V4609">
        <v>1.5538329999999999E-3</v>
      </c>
      <c r="W4609">
        <v>-6.720276E-2</v>
      </c>
      <c r="X4609">
        <v>0.99773809999999996</v>
      </c>
      <c r="Y4609">
        <v>0.21144969999999999</v>
      </c>
      <c r="Z4609">
        <v>-9.6794759999999994E-3</v>
      </c>
      <c r="AA4609">
        <v>0.97734089999999996</v>
      </c>
      <c r="AB4609">
        <v>25</v>
      </c>
      <c r="AC4609">
        <v>14.7371999999999</v>
      </c>
      <c r="AD4609">
        <v>-1.12064924206199</v>
      </c>
      <c r="AE4609">
        <v>-3.0821999999999998</v>
      </c>
      <c r="AF4609">
        <v>3.22617188628967</v>
      </c>
      <c r="AG4609">
        <v>-1.12064924206199</v>
      </c>
      <c r="AH4609">
        <v>14.621417363060001</v>
      </c>
      <c r="AI4609">
        <v>94.280271845627794</v>
      </c>
      <c r="AJ4609">
        <v>77.557227247988806</v>
      </c>
      <c r="AK4609">
        <v>15.0149886935826</v>
      </c>
      <c r="AL4609">
        <v>93.8533387674632</v>
      </c>
      <c r="AM4609">
        <v>89.910770170054306</v>
      </c>
      <c r="AN4609">
        <v>0.99999997077010905</v>
      </c>
    </row>
    <row r="4610" spans="1:40" x14ac:dyDescent="0.25">
      <c r="A4610" t="str">
        <f>"20190303154229619"</f>
        <v>20190303154229619</v>
      </c>
      <c r="B4610" t="str">
        <f>"1551598949614818"</f>
        <v>1551598949614818</v>
      </c>
      <c r="C4610" t="s">
        <v>40</v>
      </c>
      <c r="D4610">
        <v>5.9652710000000004</v>
      </c>
      <c r="E4610">
        <v>0.58142879999999997</v>
      </c>
      <c r="F4610" t="s">
        <v>46</v>
      </c>
      <c r="G4610">
        <v>-209.69890000000001</v>
      </c>
      <c r="H4610" s="1">
        <v>6.7004369999999998E-6</v>
      </c>
      <c r="I4610">
        <v>212.53030000000001</v>
      </c>
      <c r="J4610">
        <v>-224.31399999999999</v>
      </c>
      <c r="K4610">
        <v>1.1206290000000001</v>
      </c>
      <c r="L4610">
        <v>215.59630000000001</v>
      </c>
      <c r="M4610">
        <v>0.99988319999999997</v>
      </c>
      <c r="N4610">
        <v>-1.062272E-2</v>
      </c>
      <c r="O4610">
        <v>1.099456E-2</v>
      </c>
      <c r="P4610">
        <v>0.99692320000000001</v>
      </c>
      <c r="Q4610">
        <v>-7.7740439999999994E-2</v>
      </c>
      <c r="R4610">
        <v>1.0048700000000001E-2</v>
      </c>
      <c r="S4610">
        <v>2.997452</v>
      </c>
      <c r="T4610">
        <v>-0.22600139999999999</v>
      </c>
      <c r="U4610">
        <v>-0.61776730000000002</v>
      </c>
      <c r="V4610">
        <v>9.1049770000000004E-4</v>
      </c>
      <c r="W4610">
        <v>-6.7145529999999995E-2</v>
      </c>
      <c r="X4610">
        <v>0.99774280000000004</v>
      </c>
      <c r="Y4610">
        <v>0.21192800000000001</v>
      </c>
      <c r="Z4610">
        <v>-9.7386490000000003E-3</v>
      </c>
      <c r="AA4610">
        <v>0.97723669999999996</v>
      </c>
      <c r="AB4610">
        <v>25</v>
      </c>
      <c r="AC4610">
        <v>14.6151</v>
      </c>
      <c r="AD4610">
        <v>-1.120622299563</v>
      </c>
      <c r="AE4610">
        <v>-3.0659999999999998</v>
      </c>
      <c r="AF4610">
        <v>3.20844252545914</v>
      </c>
      <c r="AG4610">
        <v>-1.120622299563</v>
      </c>
      <c r="AH4610">
        <v>14.498857509426101</v>
      </c>
      <c r="AI4610">
        <v>94.315631878738103</v>
      </c>
      <c r="AJ4610">
        <v>77.522137566379698</v>
      </c>
      <c r="AK4610">
        <v>14.891835577124001</v>
      </c>
      <c r="AL4610">
        <v>93.850052104971297</v>
      </c>
      <c r="AM4610">
        <v>89.947714319777305</v>
      </c>
      <c r="AN4610">
        <v>1.00000002307844</v>
      </c>
    </row>
    <row r="4611" spans="1:40" x14ac:dyDescent="0.25">
      <c r="A4611" t="str">
        <f>"20190303154229643"</f>
        <v>20190303154229643</v>
      </c>
      <c r="B4611" t="str">
        <f>"1551598949634334"</f>
        <v>1551598949634334</v>
      </c>
      <c r="C4611" t="s">
        <v>40</v>
      </c>
      <c r="D4611">
        <v>5.9668989999999997</v>
      </c>
      <c r="E4611">
        <v>0.58187880000000003</v>
      </c>
      <c r="F4611" t="s">
        <v>46</v>
      </c>
      <c r="G4611">
        <v>-209.3997</v>
      </c>
      <c r="H4611" s="1">
        <v>6.5689899999999901E-6</v>
      </c>
      <c r="I4611">
        <v>212.51609999999999</v>
      </c>
      <c r="J4611">
        <v>-224.05930000000001</v>
      </c>
      <c r="K4611">
        <v>1.1206020000000001</v>
      </c>
      <c r="L4611">
        <v>215.59909999999999</v>
      </c>
      <c r="M4611">
        <v>0.99988600000000005</v>
      </c>
      <c r="N4611">
        <v>-1.03462E-2</v>
      </c>
      <c r="O4611">
        <v>1.0995019999999999E-2</v>
      </c>
      <c r="P4611">
        <v>0.99696220000000002</v>
      </c>
      <c r="Q4611">
        <v>-7.7213480000000001E-2</v>
      </c>
      <c r="R4611">
        <v>1.022063E-2</v>
      </c>
      <c r="S4611">
        <v>2.9979399999999998</v>
      </c>
      <c r="T4611">
        <v>-0.22525800000000001</v>
      </c>
      <c r="U4611">
        <v>-0.61915589999999998</v>
      </c>
      <c r="V4611">
        <v>7.3965459999999995E-4</v>
      </c>
      <c r="W4611">
        <v>-6.689407E-2</v>
      </c>
      <c r="X4611">
        <v>0.99775979999999997</v>
      </c>
      <c r="Y4611">
        <v>0.21233630000000001</v>
      </c>
      <c r="Z4611">
        <v>-9.6989929999999995E-3</v>
      </c>
      <c r="AA4611">
        <v>0.97714849999999998</v>
      </c>
      <c r="AB4611">
        <v>25</v>
      </c>
      <c r="AC4611">
        <v>14.659599999999999</v>
      </c>
      <c r="AD4611">
        <v>-1.1205954310099999</v>
      </c>
      <c r="AE4611">
        <v>-3.08299999999999</v>
      </c>
      <c r="AF4611">
        <v>3.2259532381829001</v>
      </c>
      <c r="AG4611">
        <v>-1.1205954310099999</v>
      </c>
      <c r="AH4611">
        <v>14.543432976440799</v>
      </c>
      <c r="AI4611">
        <v>94.301875585461104</v>
      </c>
      <c r="AJ4611">
        <v>77.493422135057003</v>
      </c>
      <c r="AK4611">
        <v>14.939007703163201</v>
      </c>
      <c r="AL4611">
        <v>93.835612165039507</v>
      </c>
      <c r="AM4611">
        <v>89.957525770115893</v>
      </c>
      <c r="AN4611">
        <v>0.99999999109306603</v>
      </c>
    </row>
    <row r="4612" spans="1:40" x14ac:dyDescent="0.25">
      <c r="A4612" t="str">
        <f>"20190303154229664"</f>
        <v>20190303154229664</v>
      </c>
      <c r="B4612" t="str">
        <f>"1551598949654831"</f>
        <v>1551598949654831</v>
      </c>
      <c r="C4612" t="s">
        <v>40</v>
      </c>
      <c r="D4612">
        <v>5.9608589999999904</v>
      </c>
      <c r="E4612">
        <v>0.58228250000000004</v>
      </c>
      <c r="F4612" t="s">
        <v>46</v>
      </c>
      <c r="G4612">
        <v>-209.0753</v>
      </c>
      <c r="H4612" s="1">
        <v>6.427504E-6</v>
      </c>
      <c r="I4612">
        <v>212.48869999999999</v>
      </c>
      <c r="J4612">
        <v>-223.81180000000001</v>
      </c>
      <c r="K4612">
        <v>1.1205780000000001</v>
      </c>
      <c r="L4612">
        <v>215.6018</v>
      </c>
      <c r="M4612">
        <v>0.99988860000000002</v>
      </c>
      <c r="N4612">
        <v>-1.0104439999999999E-2</v>
      </c>
      <c r="O4612">
        <v>1.099526E-2</v>
      </c>
      <c r="P4612">
        <v>0.9970194</v>
      </c>
      <c r="Q4612">
        <v>-7.6472070000000003E-2</v>
      </c>
      <c r="R4612">
        <v>1.022296E-2</v>
      </c>
      <c r="S4612">
        <v>2.998138</v>
      </c>
      <c r="T4612">
        <v>-0.22421859999999999</v>
      </c>
      <c r="U4612">
        <v>-0.62236020000000003</v>
      </c>
      <c r="V4612">
        <v>7.3816949999999995E-4</v>
      </c>
      <c r="W4612">
        <v>-6.6393350000000004E-2</v>
      </c>
      <c r="X4612">
        <v>0.99779329999999999</v>
      </c>
      <c r="Y4612">
        <v>0.21332989999999999</v>
      </c>
      <c r="Z4612">
        <v>-9.6760370000000002E-3</v>
      </c>
      <c r="AA4612">
        <v>0.97693229999999998</v>
      </c>
      <c r="AB4612">
        <v>25</v>
      </c>
      <c r="AC4612">
        <v>14.736499999999999</v>
      </c>
      <c r="AD4612">
        <v>-1.1205715724959999</v>
      </c>
      <c r="AE4612">
        <v>-3.1131000000000002</v>
      </c>
      <c r="AF4612">
        <v>3.25692414091231</v>
      </c>
      <c r="AG4612">
        <v>-1.1205715724959999</v>
      </c>
      <c r="AH4612">
        <v>14.6204516349715</v>
      </c>
      <c r="AI4612">
        <v>94.278349809962094</v>
      </c>
      <c r="AJ4612">
        <v>77.441563165792303</v>
      </c>
      <c r="AK4612">
        <v>15.0206804612602</v>
      </c>
      <c r="AL4612">
        <v>93.806858890920395</v>
      </c>
      <c r="AM4612">
        <v>89.957612474247497</v>
      </c>
      <c r="AN4612">
        <v>1.00000004567166</v>
      </c>
    </row>
    <row r="4613" spans="1:40" x14ac:dyDescent="0.25">
      <c r="A4613" t="str">
        <f>"20190303154229686"</f>
        <v>20190303154229686</v>
      </c>
      <c r="B4613" t="str">
        <f>"1551598949674858"</f>
        <v>1551598949674858</v>
      </c>
      <c r="C4613" t="s">
        <v>40</v>
      </c>
      <c r="D4613">
        <v>6.1220019999999904</v>
      </c>
      <c r="E4613">
        <v>0.5825167</v>
      </c>
      <c r="F4613" t="s">
        <v>46</v>
      </c>
      <c r="G4613">
        <v>-208.69550000000001</v>
      </c>
      <c r="H4613" s="1">
        <v>6.2626510000000003E-6</v>
      </c>
      <c r="I4613">
        <v>212.4477</v>
      </c>
      <c r="J4613">
        <v>-223.5651</v>
      </c>
      <c r="K4613">
        <v>1.120557</v>
      </c>
      <c r="L4613">
        <v>215.6045</v>
      </c>
      <c r="M4613">
        <v>0.99989070000000002</v>
      </c>
      <c r="N4613">
        <v>-9.8897029999999997E-3</v>
      </c>
      <c r="O4613">
        <v>1.0995690000000001E-2</v>
      </c>
      <c r="P4613">
        <v>0.99704590000000004</v>
      </c>
      <c r="Q4613">
        <v>-7.6184050000000003E-2</v>
      </c>
      <c r="R4613">
        <v>9.7563130000000008E-3</v>
      </c>
      <c r="S4613">
        <v>2.9983219999999999</v>
      </c>
      <c r="T4613">
        <v>-0.2222655</v>
      </c>
      <c r="U4613">
        <v>-0.62561040000000001</v>
      </c>
      <c r="V4613">
        <v>1.205533E-3</v>
      </c>
      <c r="W4613">
        <v>-6.6319420000000004E-2</v>
      </c>
      <c r="X4613">
        <v>0.99779770000000001</v>
      </c>
      <c r="Y4613">
        <v>0.21434310000000001</v>
      </c>
      <c r="Z4613">
        <v>-9.6204919999999996E-3</v>
      </c>
      <c r="AA4613">
        <v>0.976711</v>
      </c>
      <c r="AB4613">
        <v>25</v>
      </c>
      <c r="AC4613">
        <v>14.869599999999901</v>
      </c>
      <c r="AD4613">
        <v>-1.120550737349</v>
      </c>
      <c r="AE4613">
        <v>-3.1568000000000001</v>
      </c>
      <c r="AF4613">
        <v>3.3021746563859198</v>
      </c>
      <c r="AG4613">
        <v>-1.120550737349</v>
      </c>
      <c r="AH4613">
        <v>14.7538160157369</v>
      </c>
      <c r="AI4613">
        <v>94.238793261379499</v>
      </c>
      <c r="AJ4613">
        <v>77.384074385182402</v>
      </c>
      <c r="AK4613">
        <v>15.160312610314699</v>
      </c>
      <c r="AL4613">
        <v>93.802613890718305</v>
      </c>
      <c r="AM4613">
        <v>89.930775627810206</v>
      </c>
      <c r="AN4613">
        <v>0.99999998445212002</v>
      </c>
    </row>
    <row r="4614" spans="1:40" x14ac:dyDescent="0.25">
      <c r="A4614" t="str">
        <f>"20190303154229709"</f>
        <v>20190303154229709</v>
      </c>
      <c r="B4614" t="str">
        <f>"1551598949705114"</f>
        <v>1551598949705114</v>
      </c>
      <c r="C4614" t="s">
        <v>40</v>
      </c>
      <c r="D4614">
        <v>6.1656659999999999</v>
      </c>
      <c r="E4614">
        <v>0.5775922</v>
      </c>
      <c r="F4614" t="s">
        <v>46</v>
      </c>
      <c r="G4614">
        <v>-208.42</v>
      </c>
      <c r="H4614" s="1">
        <v>6.1422089999999999E-6</v>
      </c>
      <c r="I4614">
        <v>212.42830000000001</v>
      </c>
      <c r="J4614">
        <v>-223.3116</v>
      </c>
      <c r="K4614">
        <v>1.120539</v>
      </c>
      <c r="L4614">
        <v>215.60730000000001</v>
      </c>
      <c r="M4614">
        <v>0.99989249999999996</v>
      </c>
      <c r="N4614">
        <v>-9.6946580000000001E-3</v>
      </c>
      <c r="O4614">
        <v>1.099612E-2</v>
      </c>
      <c r="P4614">
        <v>0.99702380000000002</v>
      </c>
      <c r="Q4614">
        <v>-7.6518429999999998E-2</v>
      </c>
      <c r="R4614">
        <v>9.4127059999999999E-3</v>
      </c>
      <c r="S4614">
        <v>2.9980929999999999</v>
      </c>
      <c r="T4614">
        <v>-0.22182289999999999</v>
      </c>
      <c r="U4614">
        <v>-0.62875369999999997</v>
      </c>
      <c r="V4614">
        <v>1.5491490000000001E-3</v>
      </c>
      <c r="W4614">
        <v>-6.6848660000000004E-2</v>
      </c>
      <c r="X4614">
        <v>0.99776189999999998</v>
      </c>
      <c r="Y4614">
        <v>0.21534030000000001</v>
      </c>
      <c r="Z4614">
        <v>-9.625471E-3</v>
      </c>
      <c r="AA4614">
        <v>0.97649160000000002</v>
      </c>
      <c r="AB4614">
        <v>25</v>
      </c>
      <c r="AC4614">
        <v>14.8916</v>
      </c>
      <c r="AD4614">
        <v>-1.1205328577910001</v>
      </c>
      <c r="AE4614">
        <v>-3.1789999999999998</v>
      </c>
      <c r="AF4614">
        <v>3.3245622187856601</v>
      </c>
      <c r="AG4614">
        <v>-1.1205328577910001</v>
      </c>
      <c r="AH4614">
        <v>14.7757281153583</v>
      </c>
      <c r="AI4614">
        <v>94.231396845757303</v>
      </c>
      <c r="AJ4614">
        <v>77.319530168859202</v>
      </c>
      <c r="AK4614">
        <v>15.186521957675399</v>
      </c>
      <c r="AL4614">
        <v>93.833004584110199</v>
      </c>
      <c r="AM4614">
        <v>89.911041273259201</v>
      </c>
      <c r="AN4614">
        <v>0.99999997614901404</v>
      </c>
    </row>
    <row r="4615" spans="1:40" x14ac:dyDescent="0.25">
      <c r="A4615" t="str">
        <f>"20190303154229731"</f>
        <v>20190303154229731</v>
      </c>
      <c r="B4615" t="str">
        <f>"1551598949724633"</f>
        <v>1551598949724633</v>
      </c>
      <c r="C4615" t="s">
        <v>40</v>
      </c>
      <c r="D4615">
        <v>6.1781329999999999</v>
      </c>
      <c r="E4615">
        <v>0.5775922</v>
      </c>
      <c r="F4615" t="s">
        <v>50</v>
      </c>
      <c r="G4615">
        <v>-213.29740000000001</v>
      </c>
      <c r="H4615" s="1">
        <v>2.6135009999999999E-7</v>
      </c>
      <c r="I4615">
        <v>213.6223</v>
      </c>
      <c r="J4615">
        <v>-223.05330000000001</v>
      </c>
      <c r="K4615">
        <v>1.120519</v>
      </c>
      <c r="L4615">
        <v>215.61019999999999</v>
      </c>
      <c r="M4615">
        <v>0.99989430000000001</v>
      </c>
      <c r="N4615">
        <v>-9.5202700000000008E-3</v>
      </c>
      <c r="O4615">
        <v>1.099632E-2</v>
      </c>
      <c r="P4615">
        <v>0.99706070000000002</v>
      </c>
      <c r="Q4615">
        <v>-7.606222E-2</v>
      </c>
      <c r="R4615">
        <v>9.2017869999999995E-3</v>
      </c>
      <c r="S4615">
        <v>2.988861</v>
      </c>
      <c r="T4615">
        <v>-0.33443830000000002</v>
      </c>
      <c r="U4615">
        <v>-0.59243769999999996</v>
      </c>
      <c r="V4615">
        <v>1.7606849999999999E-3</v>
      </c>
      <c r="W4615">
        <v>-6.6566159999999999E-2</v>
      </c>
      <c r="X4615">
        <v>0.99778040000000001</v>
      </c>
      <c r="Y4615">
        <v>0.20381969999999999</v>
      </c>
      <c r="Z4615">
        <v>-1.3353780000000001E-2</v>
      </c>
      <c r="AA4615">
        <v>0.97891740000000005</v>
      </c>
      <c r="AB4615">
        <v>25</v>
      </c>
      <c r="AC4615">
        <v>9.7558999999999898</v>
      </c>
      <c r="AD4615">
        <v>-1.1205187386499</v>
      </c>
      <c r="AE4615">
        <v>-1.98789999999999</v>
      </c>
      <c r="AF4615">
        <v>2.0688596785775002</v>
      </c>
      <c r="AG4615">
        <v>-1.1205187386499</v>
      </c>
      <c r="AH4615">
        <v>9.6117085740686505</v>
      </c>
      <c r="AI4615">
        <v>96.501851336609704</v>
      </c>
      <c r="AJ4615">
        <v>77.852774655882897</v>
      </c>
      <c r="AK4615">
        <v>9.8954880792275297</v>
      </c>
      <c r="AL4615">
        <v>93.816782529938607</v>
      </c>
      <c r="AM4615">
        <v>89.898895874437898</v>
      </c>
      <c r="AN4615">
        <v>0.99999994014648497</v>
      </c>
    </row>
    <row r="4616" spans="1:40" x14ac:dyDescent="0.25">
      <c r="A4616" t="str">
        <f>"20190303154229753"</f>
        <v>20190303154229753</v>
      </c>
      <c r="B4616" t="str">
        <f>"1551598949744153"</f>
        <v>1551598949744153</v>
      </c>
      <c r="C4616" t="s">
        <v>40</v>
      </c>
      <c r="D4616">
        <v>6.1750579999999999</v>
      </c>
      <c r="E4616">
        <v>0.57782880000000003</v>
      </c>
      <c r="F4616" t="s">
        <v>42</v>
      </c>
      <c r="G4616">
        <v>-222.27330000000001</v>
      </c>
      <c r="H4616">
        <v>1.0312380000000001</v>
      </c>
      <c r="I4616">
        <v>215.45509999999999</v>
      </c>
      <c r="J4616">
        <v>-222.80119999999999</v>
      </c>
      <c r="K4616">
        <v>1.1204959999999999</v>
      </c>
      <c r="L4616">
        <v>215.6129</v>
      </c>
      <c r="M4616">
        <v>0.99989570000000005</v>
      </c>
      <c r="N4616">
        <v>-9.3718259999999998E-3</v>
      </c>
      <c r="O4616">
        <v>1.0996850000000001E-2</v>
      </c>
      <c r="P4616">
        <v>0.99701289999999998</v>
      </c>
      <c r="Q4616">
        <v>-7.6665059999999993E-2</v>
      </c>
      <c r="R4616">
        <v>9.3826220000000002E-3</v>
      </c>
      <c r="S4616">
        <v>2.988235</v>
      </c>
      <c r="T4616">
        <v>-0.34219040000000001</v>
      </c>
      <c r="U4616">
        <v>-0.59330749999999999</v>
      </c>
      <c r="V4616">
        <v>1.579776E-3</v>
      </c>
      <c r="W4616">
        <v>-6.7317520000000006E-2</v>
      </c>
      <c r="X4616">
        <v>0.99773040000000002</v>
      </c>
      <c r="Y4616">
        <v>0.20407020000000001</v>
      </c>
      <c r="Z4616">
        <v>-1.3645249999999999E-2</v>
      </c>
      <c r="AA4616">
        <v>0.97886119999999999</v>
      </c>
      <c r="AB4616">
        <v>25</v>
      </c>
      <c r="AC4616">
        <v>0.52789999999998805</v>
      </c>
      <c r="AD4616">
        <v>-8.9258000000000004E-2</v>
      </c>
      <c r="AE4616">
        <v>-0.15780000000000799</v>
      </c>
      <c r="AF4616">
        <v>0.159412405087587</v>
      </c>
      <c r="AG4616">
        <v>-8.9258000000000004E-2</v>
      </c>
      <c r="AH4616">
        <v>0.51267821253039902</v>
      </c>
      <c r="AI4616">
        <v>99.439090206146901</v>
      </c>
      <c r="AJ4616">
        <v>72.727416193935895</v>
      </c>
      <c r="AK4616">
        <v>0.54425936378088602</v>
      </c>
      <c r="AL4616">
        <v>93.859928657823204</v>
      </c>
      <c r="AM4616">
        <v>89.909279679426007</v>
      </c>
      <c r="AN4616">
        <v>1.00000004763765</v>
      </c>
    </row>
    <row r="4617" spans="1:40" x14ac:dyDescent="0.25">
      <c r="A4617" t="str">
        <f>"20190303154229777"</f>
        <v>20190303154229777</v>
      </c>
      <c r="B4617" t="str">
        <f>"1551598949774410"</f>
        <v>1551598949774410</v>
      </c>
      <c r="C4617" t="s">
        <v>40</v>
      </c>
      <c r="D4617">
        <v>6.1683009999999996</v>
      </c>
      <c r="E4617">
        <v>0.57845489999999999</v>
      </c>
      <c r="F4617" t="s">
        <v>42</v>
      </c>
      <c r="G4617">
        <v>-222.0497</v>
      </c>
      <c r="H4617">
        <v>1.0320419999999999</v>
      </c>
      <c r="I4617">
        <v>215.4633</v>
      </c>
      <c r="J4617">
        <v>-222.5359</v>
      </c>
      <c r="K4617">
        <v>1.120484</v>
      </c>
      <c r="L4617">
        <v>215.61590000000001</v>
      </c>
      <c r="M4617">
        <v>0.99989689999999998</v>
      </c>
      <c r="N4617">
        <v>-9.2367999999999999E-3</v>
      </c>
      <c r="O4617">
        <v>1.099749E-2</v>
      </c>
      <c r="P4617">
        <v>0.99702800000000003</v>
      </c>
      <c r="Q4617">
        <v>-7.6441399999999896E-2</v>
      </c>
      <c r="R4617">
        <v>9.592316E-3</v>
      </c>
      <c r="S4617">
        <v>2.9875340000000001</v>
      </c>
      <c r="T4617">
        <v>-0.35163919999999999</v>
      </c>
      <c r="U4617">
        <v>-0.59487919999999905</v>
      </c>
      <c r="V4617">
        <v>1.3709340000000001E-3</v>
      </c>
      <c r="W4617">
        <v>-6.722844E-2</v>
      </c>
      <c r="X4617">
        <v>0.99773670000000003</v>
      </c>
      <c r="Y4617">
        <v>0.2045295</v>
      </c>
      <c r="Z4617">
        <v>-1.4014759999999999E-2</v>
      </c>
      <c r="AA4617">
        <v>0.97876010000000002</v>
      </c>
      <c r="AB4617">
        <v>25</v>
      </c>
      <c r="AC4617">
        <v>0.48619999999999602</v>
      </c>
      <c r="AD4617">
        <v>-8.8442000000000104E-2</v>
      </c>
      <c r="AE4617">
        <v>-0.15260000000000601</v>
      </c>
      <c r="AF4617">
        <v>0.1533196882157</v>
      </c>
      <c r="AG4617">
        <v>-8.8442000000000104E-2</v>
      </c>
      <c r="AH4617">
        <v>0.47032518787111</v>
      </c>
      <c r="AI4617">
        <v>100.136511842307</v>
      </c>
      <c r="AJ4617">
        <v>71.944727850209304</v>
      </c>
      <c r="AK4617">
        <v>0.50252830418251504</v>
      </c>
      <c r="AL4617">
        <v>93.854813219604097</v>
      </c>
      <c r="AM4617">
        <v>89.921273134727997</v>
      </c>
      <c r="AN4617">
        <v>1.00000003256587</v>
      </c>
    </row>
    <row r="4618" spans="1:40" x14ac:dyDescent="0.25">
      <c r="A4618" t="str">
        <f>"20190303154229798"</f>
        <v>20190303154229798</v>
      </c>
      <c r="B4618" t="str">
        <f>"1551598949794906"</f>
        <v>1551598949794906</v>
      </c>
      <c r="C4618" t="s">
        <v>40</v>
      </c>
      <c r="D4618">
        <v>6.1681179999999998</v>
      </c>
      <c r="E4618">
        <v>0.57882749999999905</v>
      </c>
      <c r="F4618" t="s">
        <v>50</v>
      </c>
      <c r="G4618">
        <v>-213.0558</v>
      </c>
      <c r="H4618" s="1">
        <v>1.2874390000000001E-7</v>
      </c>
      <c r="I4618">
        <v>213.7148</v>
      </c>
      <c r="J4618">
        <v>-222.28559999999999</v>
      </c>
      <c r="K4618">
        <v>1.1204730000000001</v>
      </c>
      <c r="L4618">
        <v>215.61859999999999</v>
      </c>
      <c r="M4618">
        <v>0.99989779999999995</v>
      </c>
      <c r="N4618">
        <v>-9.1277860000000006E-3</v>
      </c>
      <c r="O4618">
        <v>1.0998000000000001E-2</v>
      </c>
      <c r="P4618">
        <v>0.99699470000000001</v>
      </c>
      <c r="Q4618">
        <v>-7.6814069999999998E-2</v>
      </c>
      <c r="R4618">
        <v>1.005693E-2</v>
      </c>
      <c r="S4618">
        <v>2.9876399999999999</v>
      </c>
      <c r="T4618">
        <v>-0.35311809999999899</v>
      </c>
      <c r="U4618">
        <v>-0.59912109999999996</v>
      </c>
      <c r="V4618">
        <v>9.0646949999999998E-4</v>
      </c>
      <c r="W4618">
        <v>-6.7710090000000001E-2</v>
      </c>
      <c r="X4618">
        <v>0.99770460000000005</v>
      </c>
      <c r="Y4618">
        <v>0.2058392</v>
      </c>
      <c r="Z4618">
        <v>-1.414002E-2</v>
      </c>
      <c r="AA4618">
        <v>0.97848369999999996</v>
      </c>
      <c r="AB4618">
        <v>26</v>
      </c>
      <c r="AC4618">
        <v>9.2297999999999796</v>
      </c>
      <c r="AD4618">
        <v>-1.1204728712561001</v>
      </c>
      <c r="AE4618">
        <v>-1.90379999999998</v>
      </c>
      <c r="AF4618">
        <v>1.9772482758318799</v>
      </c>
      <c r="AG4618">
        <v>-1.1204728712561001</v>
      </c>
      <c r="AH4618">
        <v>9.07994977196776</v>
      </c>
      <c r="AI4618">
        <v>96.875253844736903</v>
      </c>
      <c r="AJ4618">
        <v>77.715065950623199</v>
      </c>
      <c r="AK4618">
        <v>9.3600458364774202</v>
      </c>
      <c r="AL4618">
        <v>93.882472987490104</v>
      </c>
      <c r="AM4618">
        <v>89.947943647532</v>
      </c>
      <c r="AN4618">
        <v>0.99999997341796099</v>
      </c>
    </row>
    <row r="4619" spans="1:40" x14ac:dyDescent="0.25">
      <c r="A4619" t="str">
        <f>"20190303154229821"</f>
        <v>20190303154229821</v>
      </c>
      <c r="B4619" t="str">
        <f>"1551598949814426"</f>
        <v>1551598949814426</v>
      </c>
      <c r="C4619" t="s">
        <v>40</v>
      </c>
      <c r="D4619">
        <v>6.1702240000000002</v>
      </c>
      <c r="E4619">
        <v>0.57913769999999998</v>
      </c>
      <c r="F4619" t="s">
        <v>50</v>
      </c>
      <c r="G4619">
        <v>-212.85499999999999</v>
      </c>
      <c r="H4619" s="1">
        <v>2.1594509999999998E-8</v>
      </c>
      <c r="I4619">
        <v>213.72229999999999</v>
      </c>
      <c r="J4619">
        <v>-222.02690000000001</v>
      </c>
      <c r="K4619">
        <v>1.1204639999999999</v>
      </c>
      <c r="L4619">
        <v>215.6215</v>
      </c>
      <c r="M4619">
        <v>0.99989870000000003</v>
      </c>
      <c r="N4619">
        <v>-9.0304110000000003E-3</v>
      </c>
      <c r="O4619">
        <v>1.0998269999999999E-2</v>
      </c>
      <c r="P4619">
        <v>0.99699150000000003</v>
      </c>
      <c r="Q4619">
        <v>-7.6852340000000005E-2</v>
      </c>
      <c r="R4619">
        <v>1.0083460000000001E-2</v>
      </c>
      <c r="S4619">
        <v>2.9877470000000002</v>
      </c>
      <c r="T4619">
        <v>-0.35498269999999998</v>
      </c>
      <c r="U4619">
        <v>-0.60079959999999999</v>
      </c>
      <c r="V4619">
        <v>8.8029699999999896E-4</v>
      </c>
      <c r="W4619">
        <v>-6.7845550000000004E-2</v>
      </c>
      <c r="X4619">
        <v>0.99769540000000001</v>
      </c>
      <c r="Y4619">
        <v>0.206343</v>
      </c>
      <c r="Z4619">
        <v>-1.423137E-2</v>
      </c>
      <c r="AA4619">
        <v>0.97837620000000003</v>
      </c>
      <c r="AB4619">
        <v>26</v>
      </c>
      <c r="AC4619">
        <v>9.1719000000000204</v>
      </c>
      <c r="AD4619">
        <v>-1.1204639784054899</v>
      </c>
      <c r="AE4619">
        <v>-1.8992</v>
      </c>
      <c r="AF4619">
        <v>1.9717482604527401</v>
      </c>
      <c r="AG4619">
        <v>-1.1204639784054899</v>
      </c>
      <c r="AH4619">
        <v>9.0213594485584796</v>
      </c>
      <c r="AI4619">
        <v>96.918272038869404</v>
      </c>
      <c r="AJ4619">
        <v>77.671060103555902</v>
      </c>
      <c r="AK4619">
        <v>9.3020512269927895</v>
      </c>
      <c r="AL4619">
        <v>93.890252244651094</v>
      </c>
      <c r="AM4619">
        <v>89.949446203992295</v>
      </c>
      <c r="AN4619">
        <v>0.99999995237938399</v>
      </c>
    </row>
    <row r="4620" spans="1:40" x14ac:dyDescent="0.25">
      <c r="A4620" t="str">
        <f>"20190303154229843"</f>
        <v>20190303154229843</v>
      </c>
      <c r="B4620" t="str">
        <f>"1551598949834921"</f>
        <v>1551598949834921</v>
      </c>
      <c r="C4620" t="s">
        <v>40</v>
      </c>
      <c r="D4620">
        <v>6.3392030000000004</v>
      </c>
      <c r="E4620">
        <v>0.58834109999999995</v>
      </c>
      <c r="F4620" t="s">
        <v>50</v>
      </c>
      <c r="G4620">
        <v>-212.5797</v>
      </c>
      <c r="H4620" s="1">
        <v>-1.245322E-7</v>
      </c>
      <c r="I4620">
        <v>213.71379999999999</v>
      </c>
      <c r="J4620">
        <v>-221.7774</v>
      </c>
      <c r="K4620">
        <v>1.120463</v>
      </c>
      <c r="L4620">
        <v>215.6242</v>
      </c>
      <c r="M4620">
        <v>0.9998996</v>
      </c>
      <c r="N4620">
        <v>-8.9494569999999992E-3</v>
      </c>
      <c r="O4620">
        <v>1.099864E-2</v>
      </c>
      <c r="P4620">
        <v>0.99700319999999998</v>
      </c>
      <c r="Q4620">
        <v>-7.6666419999999999E-2</v>
      </c>
      <c r="R4620">
        <v>1.033775E-2</v>
      </c>
      <c r="S4620">
        <v>2.9878390000000001</v>
      </c>
      <c r="T4620">
        <v>-0.35436790000000001</v>
      </c>
      <c r="U4620">
        <v>-0.60333249999999905</v>
      </c>
      <c r="V4620">
        <v>6.2655499999999999E-4</v>
      </c>
      <c r="W4620">
        <v>-6.7740270000000005E-2</v>
      </c>
      <c r="X4620">
        <v>0.9977028</v>
      </c>
      <c r="Y4620">
        <v>0.20713529999999999</v>
      </c>
      <c r="Z4620">
        <v>-1.4249309999999999E-2</v>
      </c>
      <c r="AA4620">
        <v>0.97820850000000004</v>
      </c>
      <c r="AB4620">
        <v>26</v>
      </c>
      <c r="AC4620">
        <v>9.1976999999999904</v>
      </c>
      <c r="AD4620">
        <v>-1.1204631245321901</v>
      </c>
      <c r="AE4620">
        <v>-1.9104000000000001</v>
      </c>
      <c r="AF4620">
        <v>1.98323643966239</v>
      </c>
      <c r="AG4620">
        <v>-1.1204631245321901</v>
      </c>
      <c r="AH4620">
        <v>9.0474191775017196</v>
      </c>
      <c r="AI4620">
        <v>96.897618500285702</v>
      </c>
      <c r="AJ4620">
        <v>77.636054626959705</v>
      </c>
      <c r="AK4620">
        <v>9.3297619563666796</v>
      </c>
      <c r="AL4620">
        <v>93.884206023082697</v>
      </c>
      <c r="AM4620">
        <v>89.964018390633399</v>
      </c>
      <c r="AN4620">
        <v>1.00000000693934</v>
      </c>
    </row>
    <row r="4621" spans="1:40" x14ac:dyDescent="0.25">
      <c r="A4621" t="str">
        <f>"20190303154229865"</f>
        <v>20190303154229865</v>
      </c>
      <c r="B4621" t="str">
        <f>"1551598949854442"</f>
        <v>1551598949854442</v>
      </c>
      <c r="C4621" t="s">
        <v>40</v>
      </c>
      <c r="D4621">
        <v>6.4048610000000004</v>
      </c>
      <c r="E4621">
        <v>0.58838169999999901</v>
      </c>
      <c r="F4621" t="s">
        <v>50</v>
      </c>
      <c r="G4621">
        <v>-210.81649999999999</v>
      </c>
      <c r="H4621" s="1">
        <v>-1.038268E-6</v>
      </c>
      <c r="I4621">
        <v>213.1514</v>
      </c>
      <c r="J4621">
        <v>-221.51769999999999</v>
      </c>
      <c r="K4621">
        <v>1.120452</v>
      </c>
      <c r="L4621">
        <v>215.62710000000001</v>
      </c>
      <c r="M4621">
        <v>0.99990020000000002</v>
      </c>
      <c r="N4621">
        <v>-8.8770589999999996E-3</v>
      </c>
      <c r="O4621">
        <v>1.0999139999999999E-2</v>
      </c>
      <c r="P4621">
        <v>0.99703679999999995</v>
      </c>
      <c r="Q4621">
        <v>-7.6258580000000006E-2</v>
      </c>
      <c r="R4621">
        <v>1.0128450000000001E-2</v>
      </c>
      <c r="S4621">
        <v>2.9924930000000001</v>
      </c>
      <c r="T4621">
        <v>-0.3059038</v>
      </c>
      <c r="U4621">
        <v>-0.67512510000000003</v>
      </c>
      <c r="V4621">
        <v>8.3651259999999996E-4</v>
      </c>
      <c r="W4621">
        <v>-6.7404409999999998E-2</v>
      </c>
      <c r="X4621">
        <v>0.99772539999999998</v>
      </c>
      <c r="Y4621">
        <v>0.22950400000000001</v>
      </c>
      <c r="Z4621">
        <v>-1.360164E-2</v>
      </c>
      <c r="AA4621">
        <v>0.97321270000000004</v>
      </c>
      <c r="AB4621">
        <v>26</v>
      </c>
      <c r="AC4621">
        <v>10.7012</v>
      </c>
      <c r="AD4621">
        <v>-1.120453038268</v>
      </c>
      <c r="AE4621">
        <v>-2.47570000000001</v>
      </c>
      <c r="AF4621">
        <v>2.56655162277836</v>
      </c>
      <c r="AG4621">
        <v>-1.120453038268</v>
      </c>
      <c r="AH4621">
        <v>10.5633995000558</v>
      </c>
      <c r="AI4621">
        <v>95.884736444208201</v>
      </c>
      <c r="AJ4621">
        <v>76.343667257618804</v>
      </c>
      <c r="AK4621">
        <v>10.9283123693062</v>
      </c>
      <c r="AL4621">
        <v>93.864918551379702</v>
      </c>
      <c r="AM4621">
        <v>89.951962102739799</v>
      </c>
      <c r="AN4621">
        <v>1.0000000140229599</v>
      </c>
    </row>
    <row r="4622" spans="1:40" x14ac:dyDescent="0.25">
      <c r="A4622" t="str">
        <f>"20190303154229887"</f>
        <v>20190303154229887</v>
      </c>
      <c r="B4622" t="str">
        <f>"1551598949884697"</f>
        <v>1551598949884697</v>
      </c>
      <c r="C4622" t="s">
        <v>40</v>
      </c>
      <c r="D4622">
        <v>6.1363019999999997</v>
      </c>
      <c r="E4622">
        <v>0.58617959999999902</v>
      </c>
      <c r="F4622" t="s">
        <v>50</v>
      </c>
      <c r="G4622">
        <v>-210.46879999999999</v>
      </c>
      <c r="H4622" s="1">
        <v>-1.2223839999999999E-6</v>
      </c>
      <c r="I4622">
        <v>213.1309</v>
      </c>
      <c r="J4622">
        <v>-221.2664</v>
      </c>
      <c r="K4622">
        <v>1.1204459999999901</v>
      </c>
      <c r="L4622">
        <v>215.62979999999999</v>
      </c>
      <c r="M4622">
        <v>0.99990060000000003</v>
      </c>
      <c r="N4622">
        <v>-8.8169770000000001E-3</v>
      </c>
      <c r="O4622">
        <v>1.099959E-2</v>
      </c>
      <c r="P4622">
        <v>0.99702009999999996</v>
      </c>
      <c r="Q4622">
        <v>-7.6438489999999998E-2</v>
      </c>
      <c r="R4622">
        <v>1.0419889999999999E-2</v>
      </c>
      <c r="S4622">
        <v>2.9925839999999999</v>
      </c>
      <c r="T4622">
        <v>-0.30347410000000002</v>
      </c>
      <c r="U4622">
        <v>-0.67608639999999998</v>
      </c>
      <c r="V4622">
        <v>5.4520149999999999E-4</v>
      </c>
      <c r="W4622">
        <v>-6.7644380000000004E-2</v>
      </c>
      <c r="X4622">
        <v>0.99770930000000002</v>
      </c>
      <c r="Y4622">
        <v>0.2298142</v>
      </c>
      <c r="Z4622">
        <v>-1.351131E-2</v>
      </c>
      <c r="AA4622">
        <v>0.97314069999999997</v>
      </c>
      <c r="AB4622">
        <v>26</v>
      </c>
      <c r="AC4622">
        <v>10.797599999999999</v>
      </c>
      <c r="AD4622">
        <v>-1.1204472223840001</v>
      </c>
      <c r="AE4622">
        <v>-2.4988999999999901</v>
      </c>
      <c r="AF4622">
        <v>2.5910410656573601</v>
      </c>
      <c r="AG4622">
        <v>-1.1204472223840001</v>
      </c>
      <c r="AH4622">
        <v>10.6605039050774</v>
      </c>
      <c r="AI4622">
        <v>95.831362856332504</v>
      </c>
      <c r="AJ4622">
        <v>76.339118471934</v>
      </c>
      <c r="AK4622">
        <v>11.0279299640613</v>
      </c>
      <c r="AL4622">
        <v>93.878699507922505</v>
      </c>
      <c r="AM4622">
        <v>89.968690537589495</v>
      </c>
      <c r="AN4622">
        <v>0.99999995334837399</v>
      </c>
    </row>
    <row r="4623" spans="1:40" x14ac:dyDescent="0.25">
      <c r="A4623" t="str">
        <f>"20190303154229910"</f>
        <v>20190303154229910</v>
      </c>
      <c r="B4623" t="str">
        <f>"1551598949904218"</f>
        <v>1551598949904218</v>
      </c>
      <c r="C4623" t="s">
        <v>40</v>
      </c>
      <c r="D4623">
        <v>6.0887039999999999</v>
      </c>
      <c r="E4623">
        <v>0.58543120000000004</v>
      </c>
      <c r="F4623" t="s">
        <v>50</v>
      </c>
      <c r="G4623">
        <v>-211.30779999999999</v>
      </c>
      <c r="H4623" s="1">
        <v>-7.8934580000000002E-7</v>
      </c>
      <c r="I4623">
        <v>213.43770000000001</v>
      </c>
      <c r="J4623">
        <v>-221.00290000000001</v>
      </c>
      <c r="K4623">
        <v>1.1204339999999999</v>
      </c>
      <c r="L4623">
        <v>215.6327</v>
      </c>
      <c r="M4623">
        <v>0.99990109999999999</v>
      </c>
      <c r="N4623">
        <v>-8.7633399999999997E-3</v>
      </c>
      <c r="O4623">
        <v>1.1000009999999999E-2</v>
      </c>
      <c r="P4623">
        <v>0.99704899999999996</v>
      </c>
      <c r="Q4623">
        <v>-7.5920420000000002E-2</v>
      </c>
      <c r="R4623">
        <v>1.1364610000000001E-2</v>
      </c>
      <c r="S4623">
        <v>2.9900669999999998</v>
      </c>
      <c r="T4623">
        <v>-0.33641389999999999</v>
      </c>
      <c r="U4623">
        <v>-0.65818789999999905</v>
      </c>
      <c r="V4623">
        <v>-3.985123E-4</v>
      </c>
      <c r="W4623">
        <v>-6.7179429999999998E-2</v>
      </c>
      <c r="X4623">
        <v>0.99774079999999998</v>
      </c>
      <c r="Y4623">
        <v>0.22419210000000001</v>
      </c>
      <c r="Z4623">
        <v>-1.4546770000000001E-2</v>
      </c>
      <c r="AA4623">
        <v>0.97443639999999998</v>
      </c>
      <c r="AB4623">
        <v>26</v>
      </c>
      <c r="AC4623">
        <v>9.6951000000000196</v>
      </c>
      <c r="AD4623">
        <v>-1.1204347893458</v>
      </c>
      <c r="AE4623">
        <v>-2.1949999999999901</v>
      </c>
      <c r="AF4623">
        <v>2.27264456359315</v>
      </c>
      <c r="AG4623">
        <v>-1.1204347893458</v>
      </c>
      <c r="AH4623">
        <v>9.5490510793969197</v>
      </c>
      <c r="AI4623">
        <v>96.511924011787997</v>
      </c>
      <c r="AJ4623">
        <v>76.612834400074604</v>
      </c>
      <c r="AK4623">
        <v>9.8795072724573405</v>
      </c>
      <c r="AL4623">
        <v>93.8519990348954</v>
      </c>
      <c r="AM4623">
        <v>90.022884772938795</v>
      </c>
      <c r="AN4623">
        <v>0.99999996930590795</v>
      </c>
    </row>
    <row r="4624" spans="1:40" x14ac:dyDescent="0.25">
      <c r="A4624" t="str">
        <f>"20190303154229932"</f>
        <v>20190303154229932</v>
      </c>
      <c r="B4624" t="str">
        <f>"1551598949924717"</f>
        <v>1551598949924717</v>
      </c>
      <c r="C4624" t="s">
        <v>40</v>
      </c>
      <c r="D4624">
        <v>6.1576399999999998</v>
      </c>
      <c r="E4624">
        <v>0.56372800000000001</v>
      </c>
      <c r="F4624" t="s">
        <v>50</v>
      </c>
      <c r="G4624">
        <v>-211.0959</v>
      </c>
      <c r="H4624" s="1">
        <v>-9.0397110000000003E-7</v>
      </c>
      <c r="I4624">
        <v>213.4811</v>
      </c>
      <c r="J4624">
        <v>-220.74109999999999</v>
      </c>
      <c r="K4624">
        <v>1.1204209999999999</v>
      </c>
      <c r="L4624">
        <v>215.63560000000001</v>
      </c>
      <c r="M4624">
        <v>0.9999015</v>
      </c>
      <c r="N4624">
        <v>-8.7180419999999901E-3</v>
      </c>
      <c r="O4624">
        <v>1.1000329999999999E-2</v>
      </c>
      <c r="P4624">
        <v>0.99706039999999996</v>
      </c>
      <c r="Q4624">
        <v>-7.5749949999999996E-2</v>
      </c>
      <c r="R4624">
        <v>1.1521440000000001E-2</v>
      </c>
      <c r="S4624">
        <v>2.9905240000000002</v>
      </c>
      <c r="T4624">
        <v>-0.33821430000000002</v>
      </c>
      <c r="U4624">
        <v>-0.64950559999999902</v>
      </c>
      <c r="V4624">
        <v>-5.5504209999999998E-4</v>
      </c>
      <c r="W4624">
        <v>-6.7054039999999995E-2</v>
      </c>
      <c r="X4624">
        <v>0.9977492</v>
      </c>
      <c r="Y4624">
        <v>0.22146250000000001</v>
      </c>
      <c r="Z4624">
        <v>-1.4452370000000001E-2</v>
      </c>
      <c r="AA4624">
        <v>0.97506179999999998</v>
      </c>
      <c r="AB4624">
        <v>26</v>
      </c>
      <c r="AC4624">
        <v>9.6451999999999796</v>
      </c>
      <c r="AD4624">
        <v>-1.1204219039711001</v>
      </c>
      <c r="AE4624">
        <v>-2.1545000000000099</v>
      </c>
      <c r="AF4624">
        <v>2.23178953521926</v>
      </c>
      <c r="AG4624">
        <v>-1.1204219039711001</v>
      </c>
      <c r="AH4624">
        <v>9.4988296971783992</v>
      </c>
      <c r="AI4624">
        <v>96.550403969359706</v>
      </c>
      <c r="AJ4624">
        <v>76.777937916253705</v>
      </c>
      <c r="AK4624">
        <v>9.8216085947471292</v>
      </c>
      <c r="AL4624">
        <v>93.844798326843204</v>
      </c>
      <c r="AM4624">
        <v>90.031873306940795</v>
      </c>
      <c r="AN4624">
        <v>1.0000000092263399</v>
      </c>
    </row>
    <row r="4625" spans="1:40" x14ac:dyDescent="0.25">
      <c r="A4625" t="str">
        <f>"20190303154229954"</f>
        <v>20190303154229954</v>
      </c>
      <c r="B4625" t="str">
        <f>"1551598949944234"</f>
        <v>1551598949944234</v>
      </c>
      <c r="C4625" t="s">
        <v>40</v>
      </c>
      <c r="D4625">
        <v>6.1311609999999996</v>
      </c>
      <c r="E4625">
        <v>0.55714980000000003</v>
      </c>
      <c r="F4625" t="s">
        <v>46</v>
      </c>
      <c r="G4625">
        <v>-208.2542</v>
      </c>
      <c r="H4625" s="1">
        <v>5.96136E-6</v>
      </c>
      <c r="I4625">
        <v>213.6559</v>
      </c>
      <c r="J4625">
        <v>-220.47980000000001</v>
      </c>
      <c r="K4625">
        <v>1.120409</v>
      </c>
      <c r="L4625">
        <v>215.63849999999999</v>
      </c>
      <c r="M4625">
        <v>0.99990179999999995</v>
      </c>
      <c r="N4625">
        <v>-8.6796659999999904E-3</v>
      </c>
      <c r="O4625">
        <v>1.1000680000000001E-2</v>
      </c>
      <c r="P4625">
        <v>0.99705619999999995</v>
      </c>
      <c r="Q4625">
        <v>-7.5781509999999996E-2</v>
      </c>
      <c r="R4625">
        <v>1.166041E-2</v>
      </c>
      <c r="S4625">
        <v>2.9939119999999999</v>
      </c>
      <c r="T4625">
        <v>-0.26863710000000002</v>
      </c>
      <c r="U4625">
        <v>-0.47467039999999999</v>
      </c>
      <c r="V4625">
        <v>-6.9348610000000003E-4</v>
      </c>
      <c r="W4625">
        <v>-6.7123920000000004E-2</v>
      </c>
      <c r="X4625">
        <v>0.99774439999999998</v>
      </c>
      <c r="Y4625">
        <v>0.1666918</v>
      </c>
      <c r="Z4625">
        <v>-9.0313809999999998E-3</v>
      </c>
      <c r="AA4625">
        <v>0.9859677</v>
      </c>
      <c r="AB4625">
        <v>26</v>
      </c>
      <c r="AC4625">
        <v>12.2256</v>
      </c>
      <c r="AD4625">
        <v>-1.1204030386399999</v>
      </c>
      <c r="AE4625">
        <v>-1.9825999999999899</v>
      </c>
      <c r="AF4625">
        <v>2.0997915438467198</v>
      </c>
      <c r="AG4625">
        <v>-1.1204030386399999</v>
      </c>
      <c r="AH4625">
        <v>12.103997388909701</v>
      </c>
      <c r="AI4625">
        <v>95.211102589788993</v>
      </c>
      <c r="AJ4625">
        <v>80.158323567165596</v>
      </c>
      <c r="AK4625">
        <v>12.335768329834</v>
      </c>
      <c r="AL4625">
        <v>93.848811253094496</v>
      </c>
      <c r="AM4625">
        <v>90.039823646499499</v>
      </c>
      <c r="AN4625">
        <v>0.99999999464524802</v>
      </c>
    </row>
    <row r="4626" spans="1:40" x14ac:dyDescent="0.25">
      <c r="A4626" t="str">
        <f>"20190303154229978"</f>
        <v>20190303154229978</v>
      </c>
      <c r="B4626" t="str">
        <f>"1551598949974490"</f>
        <v>1551598949974490</v>
      </c>
      <c r="C4626" t="s">
        <v>40</v>
      </c>
      <c r="D4626">
        <v>6.0231560000000002</v>
      </c>
      <c r="E4626">
        <v>0.55499500000000002</v>
      </c>
      <c r="F4626" t="s">
        <v>42</v>
      </c>
      <c r="G4626">
        <v>-219.73750000000001</v>
      </c>
      <c r="H4626">
        <v>1.0482590000000001</v>
      </c>
      <c r="I4626">
        <v>215.53370000000001</v>
      </c>
      <c r="J4626">
        <v>-220.21449999999999</v>
      </c>
      <c r="K4626">
        <v>1.1203959999999999</v>
      </c>
      <c r="L4626">
        <v>215.6414</v>
      </c>
      <c r="M4626">
        <v>0.99990219999999996</v>
      </c>
      <c r="N4626">
        <v>-8.6470519999999901E-3</v>
      </c>
      <c r="O4626">
        <v>1.100082E-2</v>
      </c>
      <c r="P4626">
        <v>0.99706090000000003</v>
      </c>
      <c r="Q4626">
        <v>-7.5734930000000006E-2</v>
      </c>
      <c r="R4626">
        <v>1.157907E-2</v>
      </c>
      <c r="S4626">
        <v>2.9916529999999999</v>
      </c>
      <c r="T4626">
        <v>-0.29085349999999999</v>
      </c>
      <c r="U4626">
        <v>-0.42218020000000001</v>
      </c>
      <c r="V4626">
        <v>-6.1213149999999998E-4</v>
      </c>
      <c r="W4626">
        <v>-6.7109849999999999E-2</v>
      </c>
      <c r="X4626">
        <v>0.9977454</v>
      </c>
      <c r="Y4626">
        <v>0.1498217</v>
      </c>
      <c r="Z4626">
        <v>-8.8503809999999992E-3</v>
      </c>
      <c r="AA4626">
        <v>0.98867340000000004</v>
      </c>
      <c r="AB4626">
        <v>26</v>
      </c>
      <c r="AC4626">
        <v>0.476999999999975</v>
      </c>
      <c r="AD4626">
        <v>-7.2136999999999896E-2</v>
      </c>
      <c r="AE4626">
        <v>-0.10769999999999399</v>
      </c>
      <c r="AF4626">
        <v>0.110535667487481</v>
      </c>
      <c r="AG4626">
        <v>-7.2136999999999896E-2</v>
      </c>
      <c r="AH4626">
        <v>0.46565307697817798</v>
      </c>
      <c r="AI4626">
        <v>98.571518138719696</v>
      </c>
      <c r="AJ4626">
        <v>76.6464135715716</v>
      </c>
      <c r="AK4626">
        <v>0.483998624641794</v>
      </c>
      <c r="AL4626">
        <v>93.848003278427598</v>
      </c>
      <c r="AM4626">
        <v>90.035151800305499</v>
      </c>
      <c r="AN4626">
        <v>0.99999999494657699</v>
      </c>
    </row>
    <row r="4627" spans="1:40" x14ac:dyDescent="0.25">
      <c r="A4627" t="str">
        <f>"20190303154230000"</f>
        <v>20190303154230000</v>
      </c>
      <c r="B4627" t="str">
        <f>"1551598949994986"</f>
        <v>1551598949994986</v>
      </c>
      <c r="C4627" t="s">
        <v>40</v>
      </c>
      <c r="D4627">
        <v>6.1196229999999998</v>
      </c>
      <c r="E4627">
        <v>0.5538459</v>
      </c>
      <c r="F4627" t="s">
        <v>42</v>
      </c>
      <c r="G4627">
        <v>-219.2714</v>
      </c>
      <c r="H4627">
        <v>1.0424990000000001</v>
      </c>
      <c r="I4627">
        <v>215.51400000000001</v>
      </c>
      <c r="J4627">
        <v>-219.9528</v>
      </c>
      <c r="K4627">
        <v>1.1203939999999999</v>
      </c>
      <c r="L4627">
        <v>215.64429999999999</v>
      </c>
      <c r="M4627">
        <v>0.99990230000000002</v>
      </c>
      <c r="N4627">
        <v>-8.6201739999999995E-3</v>
      </c>
      <c r="O4627">
        <v>1.10013E-2</v>
      </c>
      <c r="P4627">
        <v>0.99709139999999996</v>
      </c>
      <c r="Q4627">
        <v>-7.5331159999999994E-2</v>
      </c>
      <c r="R4627">
        <v>1.1582759999999999E-2</v>
      </c>
      <c r="S4627">
        <v>2.9947360000000001</v>
      </c>
      <c r="T4627">
        <v>-0.24739549999999999</v>
      </c>
      <c r="U4627">
        <v>-0.4043274</v>
      </c>
      <c r="V4627">
        <v>-6.1500149999999996E-4</v>
      </c>
      <c r="W4627">
        <v>-6.6732659999999999E-2</v>
      </c>
      <c r="X4627">
        <v>0.99777070000000001</v>
      </c>
      <c r="Y4627">
        <v>0.14413029999999999</v>
      </c>
      <c r="Z4627">
        <v>-7.3507669999999898E-3</v>
      </c>
      <c r="AA4627">
        <v>0.98953139999999995</v>
      </c>
      <c r="AB4627">
        <v>26</v>
      </c>
      <c r="AC4627">
        <v>0.68139999999999601</v>
      </c>
      <c r="AD4627">
        <v>-7.7895000000000006E-2</v>
      </c>
      <c r="AE4627">
        <v>-0.13029999999997699</v>
      </c>
      <c r="AF4627">
        <v>0.13607318065896501</v>
      </c>
      <c r="AG4627">
        <v>-7.7895000000000006E-2</v>
      </c>
      <c r="AH4627">
        <v>0.67146002619394596</v>
      </c>
      <c r="AI4627">
        <v>96.486516035882602</v>
      </c>
      <c r="AJ4627">
        <v>78.544000094940401</v>
      </c>
      <c r="AK4627">
        <v>0.68952310207564604</v>
      </c>
      <c r="AL4627">
        <v>93.826343315596304</v>
      </c>
      <c r="AM4627">
        <v>90.035315715205698</v>
      </c>
      <c r="AN4627">
        <v>0.99999999795800498</v>
      </c>
    </row>
    <row r="4628" spans="1:40" x14ac:dyDescent="0.25">
      <c r="A4628" t="str">
        <f>"20190303154230022"</f>
        <v>20190303154230022</v>
      </c>
      <c r="B4628" t="str">
        <f>"1551598950014506"</f>
        <v>1551598950014506</v>
      </c>
      <c r="C4628" t="s">
        <v>40</v>
      </c>
      <c r="D4628">
        <v>6.0048979999999998</v>
      </c>
      <c r="E4628">
        <v>0.55245219999999995</v>
      </c>
      <c r="F4628" t="s">
        <v>42</v>
      </c>
      <c r="G4628">
        <v>-219.03800000000001</v>
      </c>
      <c r="H4628">
        <v>1.0422149999999999</v>
      </c>
      <c r="I4628">
        <v>215.5232</v>
      </c>
      <c r="J4628">
        <v>-219.6953</v>
      </c>
      <c r="K4628">
        <v>1.120395</v>
      </c>
      <c r="L4628">
        <v>215.64709999999999</v>
      </c>
      <c r="M4628">
        <v>0.99990270000000003</v>
      </c>
      <c r="N4628">
        <v>-8.5980139999999993E-3</v>
      </c>
      <c r="O4628">
        <v>1.1001749999999999E-2</v>
      </c>
      <c r="P4628">
        <v>0.99714159999999996</v>
      </c>
      <c r="Q4628">
        <v>-7.4690930000000003E-2</v>
      </c>
      <c r="R4628">
        <v>1.142438E-2</v>
      </c>
      <c r="S4628">
        <v>2.9939879999999999</v>
      </c>
      <c r="T4628">
        <v>-0.25598680000000001</v>
      </c>
      <c r="U4628">
        <v>-0.39546199999999998</v>
      </c>
      <c r="V4628">
        <v>-4.5563610000000002E-4</v>
      </c>
      <c r="W4628">
        <v>-6.6114149999999997E-2</v>
      </c>
      <c r="X4628">
        <v>0.99781200000000003</v>
      </c>
      <c r="Y4628">
        <v>0.14125699999999999</v>
      </c>
      <c r="Z4628">
        <v>-7.4539769999999997E-3</v>
      </c>
      <c r="AA4628">
        <v>0.98994490000000002</v>
      </c>
      <c r="AB4628">
        <v>26</v>
      </c>
      <c r="AC4628">
        <v>0.65730000000001998</v>
      </c>
      <c r="AD4628">
        <v>-7.8180000000000097E-2</v>
      </c>
      <c r="AE4628">
        <v>-0.123899999999991</v>
      </c>
      <c r="AF4628">
        <v>0.129356997124597</v>
      </c>
      <c r="AG4628">
        <v>-7.8180000000000097E-2</v>
      </c>
      <c r="AH4628">
        <v>0.64705723034113605</v>
      </c>
      <c r="AI4628">
        <v>96.756878273477696</v>
      </c>
      <c r="AJ4628">
        <v>78.694703522315905</v>
      </c>
      <c r="AK4628">
        <v>0.66447603752267503</v>
      </c>
      <c r="AL4628">
        <v>93.790826713645203</v>
      </c>
      <c r="AM4628">
        <v>90.026163268941701</v>
      </c>
      <c r="AN4628">
        <v>1.00000003788923</v>
      </c>
    </row>
    <row r="4629" spans="1:40" x14ac:dyDescent="0.25">
      <c r="A4629" t="str">
        <f>"20190303154230043"</f>
        <v>20190303154230043</v>
      </c>
      <c r="B4629" t="str">
        <f>"1551598950035002"</f>
        <v>1551598950035002</v>
      </c>
      <c r="C4629" t="s">
        <v>40</v>
      </c>
      <c r="D4629">
        <v>5.9963559999999996</v>
      </c>
      <c r="E4629">
        <v>0.55181990000000003</v>
      </c>
      <c r="F4629" t="s">
        <v>42</v>
      </c>
      <c r="G4629">
        <v>-218.80410000000001</v>
      </c>
      <c r="H4629">
        <v>1.0418860000000001</v>
      </c>
      <c r="I4629">
        <v>215.5325</v>
      </c>
      <c r="J4629">
        <v>-219.43369999999999</v>
      </c>
      <c r="K4629">
        <v>1.1203909999999999</v>
      </c>
      <c r="L4629">
        <v>215.65</v>
      </c>
      <c r="M4629">
        <v>0.99990270000000003</v>
      </c>
      <c r="N4629">
        <v>-8.5792969999999996E-3</v>
      </c>
      <c r="O4629">
        <v>1.100195E-2</v>
      </c>
      <c r="P4629">
        <v>0.99717339999999999</v>
      </c>
      <c r="Q4629">
        <v>-7.427243E-2</v>
      </c>
      <c r="R4629">
        <v>1.135515E-2</v>
      </c>
      <c r="S4629">
        <v>2.9932249999999998</v>
      </c>
      <c r="T4629">
        <v>-0.26365830000000001</v>
      </c>
      <c r="U4629">
        <v>-0.38481140000000003</v>
      </c>
      <c r="V4629">
        <v>-3.8570459999999999E-4</v>
      </c>
      <c r="W4629">
        <v>-6.5714079999999994E-2</v>
      </c>
      <c r="X4629">
        <v>0.99783840000000001</v>
      </c>
      <c r="Y4629">
        <v>0.13780499999999901</v>
      </c>
      <c r="Z4629">
        <v>-7.4972909999999997E-3</v>
      </c>
      <c r="AA4629">
        <v>0.99043099999999995</v>
      </c>
      <c r="AB4629">
        <v>26</v>
      </c>
      <c r="AC4629">
        <v>0.62959999999998195</v>
      </c>
      <c r="AD4629">
        <v>-7.8504999999999797E-2</v>
      </c>
      <c r="AE4629">
        <v>-0.117500000000006</v>
      </c>
      <c r="AF4629">
        <v>0.122578307928706</v>
      </c>
      <c r="AG4629">
        <v>-7.8504999999999797E-2</v>
      </c>
      <c r="AH4629">
        <v>0.61896948512500105</v>
      </c>
      <c r="AI4629">
        <v>97.092042998013397</v>
      </c>
      <c r="AJ4629">
        <v>78.798303189766898</v>
      </c>
      <c r="AK4629">
        <v>0.63585509364600901</v>
      </c>
      <c r="AL4629">
        <v>93.767854649465207</v>
      </c>
      <c r="AM4629">
        <v>90.022147117827998</v>
      </c>
      <c r="AN4629">
        <v>0.99999998079642205</v>
      </c>
    </row>
    <row r="4630" spans="1:40" x14ac:dyDescent="0.25">
      <c r="A4630" t="str">
        <f>"20190303154230066"</f>
        <v>20190303154230066</v>
      </c>
      <c r="B4630" t="str">
        <f>"1551598950054522"</f>
        <v>1551598950054522</v>
      </c>
      <c r="C4630" t="s">
        <v>40</v>
      </c>
      <c r="D4630">
        <v>5.9690110000000001</v>
      </c>
      <c r="E4630">
        <v>0.55171510000000001</v>
      </c>
      <c r="F4630" t="s">
        <v>42</v>
      </c>
      <c r="G4630">
        <v>-218.56700000000001</v>
      </c>
      <c r="H4630">
        <v>1.044216</v>
      </c>
      <c r="I4630">
        <v>215.53980000000001</v>
      </c>
      <c r="J4630">
        <v>-219.17679999999999</v>
      </c>
      <c r="K4630">
        <v>1.1203860000000001</v>
      </c>
      <c r="L4630">
        <v>215.65280000000001</v>
      </c>
      <c r="M4630">
        <v>0.99990279999999998</v>
      </c>
      <c r="N4630">
        <v>-8.5640869999999997E-3</v>
      </c>
      <c r="O4630">
        <v>1.1002380000000001E-2</v>
      </c>
      <c r="P4630">
        <v>0.99715160000000003</v>
      </c>
      <c r="Q4630">
        <v>-7.461951E-2</v>
      </c>
      <c r="R4630">
        <v>1.099848E-2</v>
      </c>
      <c r="S4630">
        <v>2.9932099999999999</v>
      </c>
      <c r="T4630">
        <v>-0.263264099999999</v>
      </c>
      <c r="U4630">
        <v>-0.37986760000000003</v>
      </c>
      <c r="V4630" s="1">
        <v>-2.896076E-5</v>
      </c>
      <c r="W4630">
        <v>-6.6076549999999998E-2</v>
      </c>
      <c r="X4630">
        <v>0.99781450000000005</v>
      </c>
      <c r="Y4630">
        <v>0.13620460000000001</v>
      </c>
      <c r="Z4630">
        <v>-7.4098369999999998E-3</v>
      </c>
      <c r="AA4630">
        <v>0.99065300000000001</v>
      </c>
      <c r="AB4630">
        <v>26</v>
      </c>
      <c r="AC4630">
        <v>0.60979999999997803</v>
      </c>
      <c r="AD4630">
        <v>-7.6170000000000002E-2</v>
      </c>
      <c r="AE4630">
        <v>-0.112999999999999</v>
      </c>
      <c r="AF4630">
        <v>0.117923837371868</v>
      </c>
      <c r="AG4630">
        <v>-7.6170000000000002E-2</v>
      </c>
      <c r="AH4630">
        <v>0.59947697407620404</v>
      </c>
      <c r="AI4630">
        <v>97.106486440996505</v>
      </c>
      <c r="AJ4630">
        <v>78.871368247913495</v>
      </c>
      <c r="AK4630">
        <v>0.61569517033030896</v>
      </c>
      <c r="AL4630">
        <v>93.788668028051106</v>
      </c>
      <c r="AM4630">
        <v>90.001662963726204</v>
      </c>
      <c r="AN4630">
        <v>0.99999994385443702</v>
      </c>
    </row>
    <row r="4631" spans="1:40" x14ac:dyDescent="0.25">
      <c r="A4631" t="str">
        <f>"20190303154230088"</f>
        <v>20190303154230088</v>
      </c>
      <c r="B4631" t="str">
        <f>"1551598950084778"</f>
        <v>1551598950084778</v>
      </c>
      <c r="C4631" t="s">
        <v>40</v>
      </c>
      <c r="D4631">
        <v>6.0670820000000001</v>
      </c>
      <c r="E4631">
        <v>0.55194399999999999</v>
      </c>
      <c r="F4631" t="s">
        <v>42</v>
      </c>
      <c r="G4631">
        <v>-218.3306</v>
      </c>
      <c r="H4631">
        <v>1.045045</v>
      </c>
      <c r="I4631">
        <v>215.54519999999999</v>
      </c>
      <c r="J4631">
        <v>-218.90770000000001</v>
      </c>
      <c r="K4631">
        <v>1.120377</v>
      </c>
      <c r="L4631">
        <v>215.6558</v>
      </c>
      <c r="M4631">
        <v>0.99990299999999999</v>
      </c>
      <c r="N4631">
        <v>-8.5511049999999998E-3</v>
      </c>
      <c r="O4631">
        <v>1.1002609999999999E-2</v>
      </c>
      <c r="P4631">
        <v>0.9971527</v>
      </c>
      <c r="Q4631">
        <v>-7.4619379999999999E-2</v>
      </c>
      <c r="R4631">
        <v>1.089174E-2</v>
      </c>
      <c r="S4631">
        <v>2.9928279999999998</v>
      </c>
      <c r="T4631">
        <v>-0.26645160000000001</v>
      </c>
      <c r="U4631">
        <v>-0.38049319999999998</v>
      </c>
      <c r="V4631" s="1">
        <v>7.8224810000000004E-5</v>
      </c>
      <c r="W4631">
        <v>-6.6089410000000001E-2</v>
      </c>
      <c r="X4631">
        <v>0.99781370000000003</v>
      </c>
      <c r="Y4631">
        <v>0.13640929999999901</v>
      </c>
      <c r="Z4631">
        <v>-7.503305E-3</v>
      </c>
      <c r="AA4631">
        <v>0.99062410000000001</v>
      </c>
      <c r="AB4631">
        <v>26</v>
      </c>
      <c r="AC4631">
        <v>0.57710000000000095</v>
      </c>
      <c r="AD4631">
        <v>-7.5331999999999899E-2</v>
      </c>
      <c r="AE4631">
        <v>-0.110600000000005</v>
      </c>
      <c r="AF4631">
        <v>0.115052164826797</v>
      </c>
      <c r="AG4631">
        <v>-7.5331999999999899E-2</v>
      </c>
      <c r="AH4631">
        <v>0.56653663256444098</v>
      </c>
      <c r="AI4631">
        <v>97.424344785620306</v>
      </c>
      <c r="AJ4631">
        <v>78.520493991873195</v>
      </c>
      <c r="AK4631">
        <v>0.58298856497601104</v>
      </c>
      <c r="AL4631">
        <v>93.789406260199101</v>
      </c>
      <c r="AM4631">
        <v>89.995508228182203</v>
      </c>
      <c r="AN4631">
        <v>0.99999999807047901</v>
      </c>
    </row>
    <row r="4632" spans="1:40" x14ac:dyDescent="0.25">
      <c r="A4632" t="str">
        <f>"20190303154230112"</f>
        <v>20190303154230112</v>
      </c>
      <c r="B4632" t="str">
        <f>"1551598950104301"</f>
        <v>1551598950104301</v>
      </c>
      <c r="C4632" t="s">
        <v>40</v>
      </c>
      <c r="D4632">
        <v>5.9578410000000002</v>
      </c>
      <c r="E4632">
        <v>0.55205569999999904</v>
      </c>
      <c r="F4632" t="s">
        <v>42</v>
      </c>
      <c r="G4632">
        <v>-218.09010000000001</v>
      </c>
      <c r="H4632">
        <v>1.0498749999999999</v>
      </c>
      <c r="I4632">
        <v>215.55119999999999</v>
      </c>
      <c r="J4632">
        <v>-218.6421</v>
      </c>
      <c r="K4632">
        <v>1.1203650000000001</v>
      </c>
      <c r="L4632">
        <v>215.65870000000001</v>
      </c>
      <c r="M4632">
        <v>0.99990299999999999</v>
      </c>
      <c r="N4632">
        <v>-8.5408299999999993E-3</v>
      </c>
      <c r="O4632">
        <v>1.100313E-2</v>
      </c>
      <c r="P4632">
        <v>0.99717599999999995</v>
      </c>
      <c r="Q4632">
        <v>-7.4342400000000003E-2</v>
      </c>
      <c r="R4632">
        <v>1.064207E-2</v>
      </c>
      <c r="S4632">
        <v>2.9934229999999999</v>
      </c>
      <c r="T4632">
        <v>-0.25828119999999999</v>
      </c>
      <c r="U4632">
        <v>-0.38230900000000001</v>
      </c>
      <c r="V4632">
        <v>3.2862000000000001E-4</v>
      </c>
      <c r="W4632">
        <v>-6.5822510000000001E-2</v>
      </c>
      <c r="X4632">
        <v>0.99783129999999998</v>
      </c>
      <c r="Y4632">
        <v>0.137010299999999</v>
      </c>
      <c r="Z4632">
        <v>-7.3153059999999997E-3</v>
      </c>
      <c r="AA4632">
        <v>0.99054260000000005</v>
      </c>
      <c r="AB4632">
        <v>26</v>
      </c>
      <c r="AC4632">
        <v>0.55199999999999205</v>
      </c>
      <c r="AD4632">
        <v>-7.0490000000000094E-2</v>
      </c>
      <c r="AE4632">
        <v>-0.107500000000015</v>
      </c>
      <c r="AF4632">
        <v>0.111810755693526</v>
      </c>
      <c r="AG4632">
        <v>-7.0490000000000094E-2</v>
      </c>
      <c r="AH4632">
        <v>0.54226406212741096</v>
      </c>
      <c r="AI4632">
        <v>97.255510090598094</v>
      </c>
      <c r="AJ4632">
        <v>78.349322260639696</v>
      </c>
      <c r="AK4632">
        <v>0.558140482552267</v>
      </c>
      <c r="AL4632">
        <v>93.774080611693293</v>
      </c>
      <c r="AM4632">
        <v>89.981130539417904</v>
      </c>
      <c r="AN4632">
        <v>1.0000000070367401</v>
      </c>
    </row>
    <row r="4633" spans="1:40" x14ac:dyDescent="0.25">
      <c r="A4633" t="str">
        <f>"20190303154230133"</f>
        <v>20190303154230133</v>
      </c>
      <c r="B4633" t="str">
        <f>"1551598950124794"</f>
        <v>1551598950124794</v>
      </c>
      <c r="C4633" t="s">
        <v>40</v>
      </c>
      <c r="D4633">
        <v>6.0751379999999999</v>
      </c>
      <c r="E4633">
        <v>0.55215309999999995</v>
      </c>
      <c r="F4633" t="s">
        <v>42</v>
      </c>
      <c r="G4633">
        <v>-217.84790000000001</v>
      </c>
      <c r="H4633">
        <v>1.052465</v>
      </c>
      <c r="I4633">
        <v>215.55680000000001</v>
      </c>
      <c r="J4633">
        <v>-218.37719999999999</v>
      </c>
      <c r="K4633">
        <v>1.1203590000000001</v>
      </c>
      <c r="L4633">
        <v>215.66159999999999</v>
      </c>
      <c r="M4633">
        <v>0.99990310000000004</v>
      </c>
      <c r="N4633">
        <v>-8.5328950000000004E-3</v>
      </c>
      <c r="O4633">
        <v>1.100335E-2</v>
      </c>
      <c r="P4633">
        <v>0.9971795</v>
      </c>
      <c r="Q4633">
        <v>-7.425495E-2</v>
      </c>
      <c r="R4633">
        <v>1.091961E-2</v>
      </c>
      <c r="S4633">
        <v>2.9935</v>
      </c>
      <c r="T4633">
        <v>-0.25601220000000002</v>
      </c>
      <c r="U4633">
        <v>-0.38389590000000001</v>
      </c>
      <c r="V4633" s="1">
        <v>5.133293E-5</v>
      </c>
      <c r="W4633">
        <v>-6.5742930000000005E-2</v>
      </c>
      <c r="X4633">
        <v>0.99783659999999996</v>
      </c>
      <c r="Y4633">
        <v>0.13753180000000001</v>
      </c>
      <c r="Z4633">
        <v>-7.279176E-3</v>
      </c>
      <c r="AA4633">
        <v>0.99047059999999998</v>
      </c>
      <c r="AB4633">
        <v>26</v>
      </c>
      <c r="AC4633">
        <v>0.52929999999997701</v>
      </c>
      <c r="AD4633">
        <v>-6.7894000000000093E-2</v>
      </c>
      <c r="AE4633">
        <v>-0.104799999999983</v>
      </c>
      <c r="AF4633">
        <v>0.108893841985468</v>
      </c>
      <c r="AG4633">
        <v>-6.7894000000000093E-2</v>
      </c>
      <c r="AH4633">
        <v>0.51988353236393203</v>
      </c>
      <c r="AI4633">
        <v>97.284094690476394</v>
      </c>
      <c r="AJ4633">
        <v>78.169958644059307</v>
      </c>
      <c r="AK4633">
        <v>0.53548702251460401</v>
      </c>
      <c r="AL4633">
        <v>93.769511112710205</v>
      </c>
      <c r="AM4633">
        <v>89.997052463062104</v>
      </c>
      <c r="AN4633">
        <v>1.0000000078897999</v>
      </c>
    </row>
    <row r="4634" spans="1:40" x14ac:dyDescent="0.25">
      <c r="A4634" t="str">
        <f>"20190303154230155"</f>
        <v>20190303154230155</v>
      </c>
      <c r="B4634" t="str">
        <f>"1551598950144314"</f>
        <v>1551598950144314</v>
      </c>
      <c r="C4634" t="s">
        <v>40</v>
      </c>
      <c r="D4634">
        <v>6.0466879999999996</v>
      </c>
      <c r="E4634">
        <v>0.55236099999999999</v>
      </c>
      <c r="F4634" t="s">
        <v>46</v>
      </c>
      <c r="G4634">
        <v>-205.20339999999999</v>
      </c>
      <c r="H4634" s="1">
        <v>4.580707E-6</v>
      </c>
      <c r="I4634">
        <v>213.97309999999999</v>
      </c>
      <c r="J4634">
        <v>-218.1138</v>
      </c>
      <c r="K4634">
        <v>1.120357</v>
      </c>
      <c r="L4634">
        <v>215.6645</v>
      </c>
      <c r="M4634">
        <v>0.99990319999999999</v>
      </c>
      <c r="N4634">
        <v>-8.5268900000000005E-3</v>
      </c>
      <c r="O4634">
        <v>1.100373E-2</v>
      </c>
      <c r="P4634">
        <v>0.99716550000000004</v>
      </c>
      <c r="Q4634">
        <v>-7.4469480000000005E-2</v>
      </c>
      <c r="R4634">
        <v>1.0742389999999999E-2</v>
      </c>
      <c r="S4634">
        <v>2.9937290000000001</v>
      </c>
      <c r="T4634">
        <v>-0.25459890000000002</v>
      </c>
      <c r="U4634">
        <v>-0.38371280000000002</v>
      </c>
      <c r="V4634">
        <v>2.2871769999999999E-4</v>
      </c>
      <c r="W4634">
        <v>-6.5963560000000004E-2</v>
      </c>
      <c r="X4634">
        <v>0.99782199999999999</v>
      </c>
      <c r="Y4634">
        <v>0.13746949999999999</v>
      </c>
      <c r="Z4634">
        <v>-7.2381449999999996E-3</v>
      </c>
      <c r="AA4634">
        <v>0.99047949999999996</v>
      </c>
      <c r="AB4634">
        <v>27</v>
      </c>
      <c r="AC4634">
        <v>12.910399999999999</v>
      </c>
      <c r="AD4634">
        <v>-1.1203524192929999</v>
      </c>
      <c r="AE4634">
        <v>-1.69140000000001</v>
      </c>
      <c r="AF4634">
        <v>1.8198916685563999</v>
      </c>
      <c r="AG4634">
        <v>-1.1203524192929999</v>
      </c>
      <c r="AH4634">
        <v>12.7962683304564</v>
      </c>
      <c r="AI4634">
        <v>94.954062023394897</v>
      </c>
      <c r="AJ4634">
        <v>81.905648288076705</v>
      </c>
      <c r="AK4634">
        <v>12.973499081348001</v>
      </c>
      <c r="AL4634">
        <v>93.782179834146604</v>
      </c>
      <c r="AM4634">
        <v>89.986866837291103</v>
      </c>
      <c r="AN4634">
        <v>0.99999999362183001</v>
      </c>
    </row>
    <row r="4635" spans="1:40" x14ac:dyDescent="0.25">
      <c r="A4635" t="str">
        <f>"20190303154230179"</f>
        <v>20190303154230179</v>
      </c>
      <c r="B4635" t="str">
        <f>"1551598950174571"</f>
        <v>1551598950174571</v>
      </c>
      <c r="C4635" t="s">
        <v>40</v>
      </c>
      <c r="D4635">
        <v>6.1173529999999996</v>
      </c>
      <c r="E4635">
        <v>0.5522302</v>
      </c>
      <c r="F4635" t="s">
        <v>46</v>
      </c>
      <c r="G4635">
        <v>-205.25729999999999</v>
      </c>
      <c r="H4635" s="1">
        <v>4.6016869999999998E-6</v>
      </c>
      <c r="I4635">
        <v>214.0068</v>
      </c>
      <c r="J4635">
        <v>-217.84180000000001</v>
      </c>
      <c r="K4635">
        <v>1.1203459999999901</v>
      </c>
      <c r="L4635">
        <v>215.66749999999999</v>
      </c>
      <c r="M4635">
        <v>0.99990319999999999</v>
      </c>
      <c r="N4635">
        <v>-8.5223539999999993E-3</v>
      </c>
      <c r="O4635">
        <v>1.100405E-2</v>
      </c>
      <c r="P4635">
        <v>0.99713620000000003</v>
      </c>
      <c r="Q4635">
        <v>-7.4853520000000007E-2</v>
      </c>
      <c r="R4635">
        <v>1.079067E-2</v>
      </c>
      <c r="S4635">
        <v>2.9932249999999998</v>
      </c>
      <c r="T4635">
        <v>-0.26083909999999999</v>
      </c>
      <c r="U4635">
        <v>-0.38594060000000002</v>
      </c>
      <c r="V4635">
        <v>1.8050179999999999E-4</v>
      </c>
      <c r="W4635">
        <v>-6.6352389999999997E-2</v>
      </c>
      <c r="X4635">
        <v>0.99779620000000002</v>
      </c>
      <c r="Y4635">
        <v>0.1381858</v>
      </c>
      <c r="Z4635">
        <v>-7.4375519999999896E-3</v>
      </c>
      <c r="AA4635">
        <v>0.99037839999999999</v>
      </c>
      <c r="AB4635">
        <v>27</v>
      </c>
      <c r="AC4635">
        <v>12.5845</v>
      </c>
      <c r="AD4635">
        <v>-1.1203413983129999</v>
      </c>
      <c r="AE4635">
        <v>-1.6606999999999901</v>
      </c>
      <c r="AF4635">
        <v>1.7851785987361</v>
      </c>
      <c r="AG4635">
        <v>-1.1203413983129999</v>
      </c>
      <c r="AH4635">
        <v>12.4683360336682</v>
      </c>
      <c r="AI4635">
        <v>95.082959601469199</v>
      </c>
      <c r="AJ4635">
        <v>81.851940089645893</v>
      </c>
      <c r="AK4635">
        <v>12.645213755671699</v>
      </c>
      <c r="AL4635">
        <v>93.804507178754704</v>
      </c>
      <c r="AM4635">
        <v>89.989635166758802</v>
      </c>
      <c r="AN4635">
        <v>0.99999996448702499</v>
      </c>
    </row>
    <row r="4636" spans="1:40" x14ac:dyDescent="0.25">
      <c r="A4636" t="str">
        <f>"20190303154230201"</f>
        <v>20190303154230201</v>
      </c>
      <c r="B4636" t="str">
        <f>"1551598950194090"</f>
        <v>1551598950194090</v>
      </c>
      <c r="C4636" t="s">
        <v>40</v>
      </c>
      <c r="D4636">
        <v>5.9193110000000004</v>
      </c>
      <c r="E4636">
        <v>0.55233169999999898</v>
      </c>
      <c r="F4636" t="s">
        <v>42</v>
      </c>
      <c r="G4636">
        <v>-216.90790000000001</v>
      </c>
      <c r="H4636">
        <v>1.0367040000000001</v>
      </c>
      <c r="I4636">
        <v>215.54730000000001</v>
      </c>
      <c r="J4636">
        <v>-217.56970000000001</v>
      </c>
      <c r="K4636">
        <v>1.1203399999999999</v>
      </c>
      <c r="L4636">
        <v>215.6705</v>
      </c>
      <c r="M4636">
        <v>0.99990330000000005</v>
      </c>
      <c r="N4636">
        <v>-8.5192510000000003E-3</v>
      </c>
      <c r="O4636">
        <v>1.1004420000000001E-2</v>
      </c>
      <c r="P4636">
        <v>0.99711590000000005</v>
      </c>
      <c r="Q4636">
        <v>-7.5218950000000007E-2</v>
      </c>
      <c r="R4636">
        <v>1.011301E-2</v>
      </c>
      <c r="S4636">
        <v>2.992661</v>
      </c>
      <c r="T4636">
        <v>-0.2680321</v>
      </c>
      <c r="U4636">
        <v>-0.38491819999999999</v>
      </c>
      <c r="V4636">
        <v>8.5809370000000001E-4</v>
      </c>
      <c r="W4636">
        <v>-6.6721160000000002E-2</v>
      </c>
      <c r="X4636">
        <v>0.99777130000000003</v>
      </c>
      <c r="Y4636">
        <v>0.1378461</v>
      </c>
      <c r="Z4636">
        <v>-7.6129539999999999E-3</v>
      </c>
      <c r="AA4636">
        <v>0.99042439999999998</v>
      </c>
      <c r="AB4636">
        <v>27</v>
      </c>
      <c r="AC4636">
        <v>0.66179999999999894</v>
      </c>
      <c r="AD4636">
        <v>-8.3635999999999794E-2</v>
      </c>
      <c r="AE4636">
        <v>-0.12319999999999701</v>
      </c>
      <c r="AF4636">
        <v>0.12849211201382199</v>
      </c>
      <c r="AG4636">
        <v>-8.3635999999999794E-2</v>
      </c>
      <c r="AH4636">
        <v>0.65036503679254398</v>
      </c>
      <c r="AI4636">
        <v>97.190440900614405</v>
      </c>
      <c r="AJ4636">
        <v>78.824046762359501</v>
      </c>
      <c r="AK4636">
        <v>0.66819150281033901</v>
      </c>
      <c r="AL4636">
        <v>93.825682902677997</v>
      </c>
      <c r="AM4636">
        <v>89.950725045593401</v>
      </c>
      <c r="AN4636">
        <v>1.0000000083101099</v>
      </c>
    </row>
    <row r="4637" spans="1:40" x14ac:dyDescent="0.25">
      <c r="A4637" t="str">
        <f>"20190303154230223"</f>
        <v>20190303154230223</v>
      </c>
      <c r="B4637" t="str">
        <f>"1551598950214586"</f>
        <v>1551598950214586</v>
      </c>
      <c r="C4637" t="s">
        <v>40</v>
      </c>
      <c r="D4637">
        <v>5.963946</v>
      </c>
      <c r="E4637">
        <v>0.55227139999999997</v>
      </c>
      <c r="F4637" t="s">
        <v>42</v>
      </c>
      <c r="G4637">
        <v>-216.66679999999999</v>
      </c>
      <c r="H4637">
        <v>1.038653</v>
      </c>
      <c r="I4637">
        <v>215.55330000000001</v>
      </c>
      <c r="J4637">
        <v>-217.30930000000001</v>
      </c>
      <c r="K4637">
        <v>1.1203350000000001</v>
      </c>
      <c r="L4637">
        <v>215.67330000000001</v>
      </c>
      <c r="M4637">
        <v>0.99990330000000005</v>
      </c>
      <c r="N4637">
        <v>-8.5174389999999999E-3</v>
      </c>
      <c r="O4637">
        <v>1.100479E-2</v>
      </c>
      <c r="P4637">
        <v>0.99709289999999995</v>
      </c>
      <c r="Q4637">
        <v>-7.5598280000000004E-2</v>
      </c>
      <c r="R4637">
        <v>9.5319040000000008E-3</v>
      </c>
      <c r="S4637">
        <v>2.9921720000000001</v>
      </c>
      <c r="T4637">
        <v>-0.270895</v>
      </c>
      <c r="U4637">
        <v>-0.38769530000000002</v>
      </c>
      <c r="V4637">
        <v>1.439212E-3</v>
      </c>
      <c r="W4637">
        <v>-6.7102549999999997E-2</v>
      </c>
      <c r="X4637">
        <v>0.99774499999999999</v>
      </c>
      <c r="Y4637">
        <v>0.13875379999999901</v>
      </c>
      <c r="Z4637">
        <v>-7.7341110000000001E-3</v>
      </c>
      <c r="AA4637">
        <v>0.99029670000000003</v>
      </c>
      <c r="AB4637">
        <v>27</v>
      </c>
      <c r="AC4637">
        <v>0.64250000000001195</v>
      </c>
      <c r="AD4637">
        <v>-8.1682000000000005E-2</v>
      </c>
      <c r="AE4637">
        <v>-0.12000000000000401</v>
      </c>
      <c r="AF4637">
        <v>0.12510964985421899</v>
      </c>
      <c r="AG4637">
        <v>-8.1682000000000005E-2</v>
      </c>
      <c r="AH4637">
        <v>0.63128134985197404</v>
      </c>
      <c r="AI4637">
        <v>97.233433510387599</v>
      </c>
      <c r="AJ4637">
        <v>78.790168239383604</v>
      </c>
      <c r="AK4637">
        <v>0.64872221811926201</v>
      </c>
      <c r="AL4637">
        <v>93.847584230960393</v>
      </c>
      <c r="AM4637">
        <v>89.917352914589898</v>
      </c>
      <c r="AN4637">
        <v>0.99999995428634003</v>
      </c>
    </row>
    <row r="4638" spans="1:40" x14ac:dyDescent="0.25">
      <c r="A4638" t="str">
        <f>"20190303154230246"</f>
        <v>20190303154230246</v>
      </c>
      <c r="B4638" t="str">
        <f>"1551598950234106"</f>
        <v>1551598950234106</v>
      </c>
      <c r="C4638" t="s">
        <v>40</v>
      </c>
      <c r="D4638">
        <v>5.9304079999999999</v>
      </c>
      <c r="E4638">
        <v>0.5239414</v>
      </c>
      <c r="F4638" t="s">
        <v>42</v>
      </c>
      <c r="G4638">
        <v>-216.42599999999999</v>
      </c>
      <c r="H4638">
        <v>1.039593</v>
      </c>
      <c r="I4638">
        <v>215.5583</v>
      </c>
      <c r="J4638">
        <v>-217.02330000000001</v>
      </c>
      <c r="K4638">
        <v>1.1203299999999901</v>
      </c>
      <c r="L4638">
        <v>215.6765</v>
      </c>
      <c r="M4638">
        <v>0.99990330000000005</v>
      </c>
      <c r="N4638">
        <v>-8.5166229999999992E-3</v>
      </c>
      <c r="O4638">
        <v>1.100509E-2</v>
      </c>
      <c r="P4638">
        <v>0.99709769999999998</v>
      </c>
      <c r="Q4638">
        <v>-7.5627299999999995E-2</v>
      </c>
      <c r="R4638">
        <v>8.7774869999999901E-3</v>
      </c>
      <c r="S4638">
        <v>2.99173</v>
      </c>
      <c r="T4638">
        <v>-0.27357169999999997</v>
      </c>
      <c r="U4638">
        <v>-0.38897710000000002</v>
      </c>
      <c r="V4638">
        <v>2.194105E-3</v>
      </c>
      <c r="W4638">
        <v>-6.7132440000000002E-2</v>
      </c>
      <c r="X4638">
        <v>0.99774160000000001</v>
      </c>
      <c r="Y4638">
        <v>0.13917560000000001</v>
      </c>
      <c r="Z4638">
        <v>-7.8271480000000008E-3</v>
      </c>
      <c r="AA4638">
        <v>0.99023680000000003</v>
      </c>
      <c r="AB4638">
        <v>27</v>
      </c>
      <c r="AC4638">
        <v>0.59730000000001804</v>
      </c>
      <c r="AD4638">
        <v>-8.0736999999999795E-2</v>
      </c>
      <c r="AE4638">
        <v>-0.118200000000001</v>
      </c>
      <c r="AF4638">
        <v>0.122610633464665</v>
      </c>
      <c r="AG4638">
        <v>-8.0736999999999795E-2</v>
      </c>
      <c r="AH4638">
        <v>0.58566558666342405</v>
      </c>
      <c r="AI4638">
        <v>97.684505340442797</v>
      </c>
      <c r="AJ4638">
        <v>78.175750177143399</v>
      </c>
      <c r="AK4638">
        <v>0.60378473813886602</v>
      </c>
      <c r="AL4638">
        <v>93.849300729394301</v>
      </c>
      <c r="AM4638">
        <v>89.874002694020703</v>
      </c>
      <c r="AN4638">
        <v>0.99999993948383004</v>
      </c>
    </row>
    <row r="4639" spans="1:40" x14ac:dyDescent="0.25">
      <c r="A4639" t="str">
        <f>"20190303154230268"</f>
        <v>20190303154230268</v>
      </c>
      <c r="B4639" t="str">
        <f>"1551598950264364"</f>
        <v>1551598950264364</v>
      </c>
      <c r="C4639" t="s">
        <v>40</v>
      </c>
      <c r="D4639">
        <v>5.924779</v>
      </c>
      <c r="E4639">
        <v>0.52100550000000001</v>
      </c>
      <c r="F4639" t="s">
        <v>42</v>
      </c>
      <c r="G4639">
        <v>-216.18610000000001</v>
      </c>
      <c r="H4639">
        <v>1.0409790000000001</v>
      </c>
      <c r="I4639">
        <v>215.63</v>
      </c>
      <c r="J4639">
        <v>-216.7681</v>
      </c>
      <c r="K4639">
        <v>1.1203270000000001</v>
      </c>
      <c r="L4639">
        <v>215.67930000000001</v>
      </c>
      <c r="M4639">
        <v>0.99990330000000005</v>
      </c>
      <c r="N4639">
        <v>-8.5167400000000001E-3</v>
      </c>
      <c r="O4639">
        <v>1.1005620000000001E-2</v>
      </c>
      <c r="P4639">
        <v>0.99707590000000001</v>
      </c>
      <c r="Q4639">
        <v>-7.5965060000000001E-2</v>
      </c>
      <c r="R4639">
        <v>8.3229900000000006E-3</v>
      </c>
      <c r="S4639">
        <v>2.988693</v>
      </c>
      <c r="T4639">
        <v>-0.2833464</v>
      </c>
      <c r="U4639">
        <v>-0.16554260000000001</v>
      </c>
      <c r="V4639">
        <v>2.6488760000000001E-3</v>
      </c>
      <c r="W4639">
        <v>-6.747032E-2</v>
      </c>
      <c r="X4639">
        <v>0.99771770000000004</v>
      </c>
      <c r="Y4639">
        <v>6.5928490000000006E-2</v>
      </c>
      <c r="Z4639">
        <v>-4.3443709999999996E-3</v>
      </c>
      <c r="AA4639">
        <v>0.99781489999999995</v>
      </c>
      <c r="AB4639">
        <v>27</v>
      </c>
      <c r="AC4639">
        <v>0.58199999999999297</v>
      </c>
      <c r="AD4639">
        <v>-7.9347999999999905E-2</v>
      </c>
      <c r="AE4639">
        <v>-4.9300000000016497E-2</v>
      </c>
      <c r="AF4639">
        <v>5.4693138550647703E-2</v>
      </c>
      <c r="AG4639">
        <v>-7.9347999999999905E-2</v>
      </c>
      <c r="AH4639">
        <v>0.57088628076178405</v>
      </c>
      <c r="AI4639">
        <v>97.877285049117702</v>
      </c>
      <c r="AJ4639">
        <v>84.527542226588807</v>
      </c>
      <c r="AK4639">
        <v>0.57896337541380205</v>
      </c>
      <c r="AL4639">
        <v>93.868703839743205</v>
      </c>
      <c r="AM4639">
        <v>89.847883766456604</v>
      </c>
      <c r="AN4639">
        <v>0.99999993475912496</v>
      </c>
    </row>
    <row r="4640" spans="1:40" x14ac:dyDescent="0.25">
      <c r="A4640" t="str">
        <f>"20190303154230291"</f>
        <v>20190303154230291</v>
      </c>
      <c r="B4640" t="str">
        <f>"1551598950284858"</f>
        <v>1551598950284858</v>
      </c>
      <c r="C4640" t="s">
        <v>40</v>
      </c>
      <c r="D4640">
        <v>5.9386169999999998</v>
      </c>
      <c r="E4640">
        <v>0.51995779999999903</v>
      </c>
      <c r="F4640" t="s">
        <v>42</v>
      </c>
      <c r="G4640">
        <v>-215.9469</v>
      </c>
      <c r="H4640">
        <v>1.03671</v>
      </c>
      <c r="I4640">
        <v>215.6397</v>
      </c>
      <c r="J4640">
        <v>-216.48519999999999</v>
      </c>
      <c r="K4640">
        <v>1.1203320000000001</v>
      </c>
      <c r="L4640">
        <v>215.6824</v>
      </c>
      <c r="M4640">
        <v>0.99990330000000005</v>
      </c>
      <c r="N4640">
        <v>-8.52114E-3</v>
      </c>
      <c r="O4640">
        <v>1.1005900000000001E-2</v>
      </c>
      <c r="P4640">
        <v>0.99710909999999997</v>
      </c>
      <c r="Q4640">
        <v>-7.5572710000000001E-2</v>
      </c>
      <c r="R4640">
        <v>7.916078E-3</v>
      </c>
      <c r="S4640">
        <v>2.9868320000000002</v>
      </c>
      <c r="T4640">
        <v>-0.30413679999999998</v>
      </c>
      <c r="U4640">
        <v>-0.14392089999999999</v>
      </c>
      <c r="V4640">
        <v>3.0562330000000002E-3</v>
      </c>
      <c r="W4640">
        <v>-6.7073350000000004E-2</v>
      </c>
      <c r="X4640">
        <v>0.99774339999999995</v>
      </c>
      <c r="Y4640">
        <v>5.8743610000000002E-2</v>
      </c>
      <c r="Z4640">
        <v>-4.2562160000000002E-3</v>
      </c>
      <c r="AA4640">
        <v>0.99826400000000004</v>
      </c>
      <c r="AB4640">
        <v>27</v>
      </c>
      <c r="AC4640">
        <v>0.53829999999999201</v>
      </c>
      <c r="AD4640">
        <v>-8.3621999999999794E-2</v>
      </c>
      <c r="AE4640">
        <v>-4.2699999999996401E-2</v>
      </c>
      <c r="AF4640">
        <v>4.7483401783564402E-2</v>
      </c>
      <c r="AG4640">
        <v>-8.3621999999999794E-2</v>
      </c>
      <c r="AH4640">
        <v>0.52520251746309998</v>
      </c>
      <c r="AI4640">
        <v>99.010473285755396</v>
      </c>
      <c r="AJ4640">
        <v>84.833950854583705</v>
      </c>
      <c r="AK4640">
        <v>0.53393351335022698</v>
      </c>
      <c r="AL4640">
        <v>93.845907111100104</v>
      </c>
      <c r="AM4640">
        <v>89.8244952515481</v>
      </c>
      <c r="AN4640">
        <v>1.0000000335419601</v>
      </c>
    </row>
    <row r="4641" spans="1:40" x14ac:dyDescent="0.25">
      <c r="A4641" t="str">
        <f>"20190303154230313"</f>
        <v>20190303154230313</v>
      </c>
      <c r="B4641" t="str">
        <f>"1551598950304378"</f>
        <v>1551598950304378</v>
      </c>
      <c r="C4641" t="s">
        <v>40</v>
      </c>
      <c r="D4641">
        <v>5.811458</v>
      </c>
      <c r="E4641">
        <v>0.52128980000000003</v>
      </c>
      <c r="F4641" t="s">
        <v>42</v>
      </c>
      <c r="G4641">
        <v>-215.70490000000001</v>
      </c>
      <c r="H4641">
        <v>1.03705</v>
      </c>
      <c r="I4641">
        <v>215.6464</v>
      </c>
      <c r="J4641">
        <v>-216.22300000000001</v>
      </c>
      <c r="K4641">
        <v>1.1203430000000001</v>
      </c>
      <c r="L4641">
        <v>215.68520000000001</v>
      </c>
      <c r="M4641">
        <v>0.99990299999999999</v>
      </c>
      <c r="N4641">
        <v>-8.5384229999999998E-3</v>
      </c>
      <c r="O4641">
        <v>1.1006190000000001E-2</v>
      </c>
      <c r="P4641">
        <v>0.99721499999999996</v>
      </c>
      <c r="Q4641">
        <v>-7.4253139999999995E-2</v>
      </c>
      <c r="R4641">
        <v>6.9918669999999997E-3</v>
      </c>
      <c r="S4641">
        <v>2.9856259999999999</v>
      </c>
      <c r="T4641">
        <v>-0.31877139999999998</v>
      </c>
      <c r="U4641">
        <v>-0.13691710000000001</v>
      </c>
      <c r="V4641">
        <v>3.9819230000000001E-3</v>
      </c>
      <c r="W4641">
        <v>-6.573582E-2</v>
      </c>
      <c r="X4641">
        <v>0.99782910000000002</v>
      </c>
      <c r="Y4641">
        <v>5.6404299999999997E-2</v>
      </c>
      <c r="Z4641">
        <v>-4.3202320000000002E-3</v>
      </c>
      <c r="AA4641">
        <v>0.99839869999999997</v>
      </c>
      <c r="AB4641">
        <v>27</v>
      </c>
      <c r="AC4641">
        <v>0.51809999999997502</v>
      </c>
      <c r="AD4641">
        <v>-8.3293000000000006E-2</v>
      </c>
      <c r="AE4641">
        <v>-3.8800000000009001E-2</v>
      </c>
      <c r="AF4641">
        <v>4.3385096078450001E-2</v>
      </c>
      <c r="AG4641">
        <v>-8.3293000000000006E-2</v>
      </c>
      <c r="AH4641">
        <v>0.50467069291290001</v>
      </c>
      <c r="AI4641">
        <v>99.338021524351404</v>
      </c>
      <c r="AJ4641">
        <v>85.086526038619297</v>
      </c>
      <c r="AK4641">
        <v>0.51333468487520195</v>
      </c>
      <c r="AL4641">
        <v>93.769102949505097</v>
      </c>
      <c r="AM4641">
        <v>89.771357468736696</v>
      </c>
      <c r="AN4641">
        <v>0.99999998327433004</v>
      </c>
    </row>
    <row r="4642" spans="1:40" x14ac:dyDescent="0.25">
      <c r="A4642" t="str">
        <f>"20190303154230335"</f>
        <v>20190303154230335</v>
      </c>
      <c r="B4642" t="str">
        <f>"1551598950324875"</f>
        <v>1551598950324875</v>
      </c>
      <c r="C4642" t="s">
        <v>40</v>
      </c>
      <c r="D4642">
        <v>5.950348</v>
      </c>
      <c r="E4642">
        <v>0.52095369999999996</v>
      </c>
      <c r="F4642" t="s">
        <v>42</v>
      </c>
      <c r="G4642">
        <v>-215.4588</v>
      </c>
      <c r="H4642">
        <v>1.0446310000000001</v>
      </c>
      <c r="I4642">
        <v>215.64689999999999</v>
      </c>
      <c r="J4642">
        <v>-215.95500000000001</v>
      </c>
      <c r="K4642">
        <v>1.12036</v>
      </c>
      <c r="L4642">
        <v>215.68819999999999</v>
      </c>
      <c r="M4642">
        <v>0.99990259999999997</v>
      </c>
      <c r="N4642">
        <v>-8.5806210000000001E-3</v>
      </c>
      <c r="O4642">
        <v>1.1006480000000001E-2</v>
      </c>
      <c r="P4642">
        <v>0.99727840000000001</v>
      </c>
      <c r="Q4642">
        <v>-7.3486549999999998E-2</v>
      </c>
      <c r="R4642">
        <v>5.9484940000000004E-3</v>
      </c>
      <c r="S4642">
        <v>2.9873959999999999</v>
      </c>
      <c r="T4642">
        <v>-0.29592619999999997</v>
      </c>
      <c r="U4642">
        <v>-0.14991760000000001</v>
      </c>
      <c r="V4642">
        <v>5.0264860000000001E-3</v>
      </c>
      <c r="W4642">
        <v>-6.4926719999999993E-2</v>
      </c>
      <c r="X4642">
        <v>0.99787740000000003</v>
      </c>
      <c r="Y4642">
        <v>6.0743020000000002E-2</v>
      </c>
      <c r="Z4642">
        <v>-4.2536259999999999E-3</v>
      </c>
      <c r="AA4642">
        <v>0.99814440000000004</v>
      </c>
      <c r="AB4642">
        <v>27</v>
      </c>
      <c r="AC4642">
        <v>0.49620000000001602</v>
      </c>
      <c r="AD4642">
        <v>-7.5729000000000102E-2</v>
      </c>
      <c r="AE4642">
        <v>-4.1300000000006699E-2</v>
      </c>
      <c r="AF4642">
        <v>4.5701938689043799E-2</v>
      </c>
      <c r="AG4642">
        <v>-7.5729000000000102E-2</v>
      </c>
      <c r="AH4642">
        <v>0.484507737735209</v>
      </c>
      <c r="AI4642">
        <v>98.844869892064395</v>
      </c>
      <c r="AJ4642">
        <v>84.611431186978095</v>
      </c>
      <c r="AK4642">
        <v>0.49251527546486101</v>
      </c>
      <c r="AL4642">
        <v>93.722645526871105</v>
      </c>
      <c r="AM4642">
        <v>89.711393405817802</v>
      </c>
      <c r="AN4642">
        <v>1.0000000249811101</v>
      </c>
    </row>
    <row r="4643" spans="1:40" x14ac:dyDescent="0.25">
      <c r="A4643" t="str">
        <f>"20190303154230357"</f>
        <v>20190303154230357</v>
      </c>
      <c r="B4643" t="str">
        <f>"1551598950344394"</f>
        <v>1551598950344394</v>
      </c>
      <c r="C4643" t="s">
        <v>40</v>
      </c>
      <c r="D4643">
        <v>5.9124850000000002</v>
      </c>
      <c r="E4643">
        <v>0.52100340000000001</v>
      </c>
      <c r="F4643" t="s">
        <v>42</v>
      </c>
      <c r="G4643">
        <v>-215.21440000000001</v>
      </c>
      <c r="H4643">
        <v>1.0470250000000001</v>
      </c>
      <c r="I4643">
        <v>215.6507</v>
      </c>
      <c r="J4643">
        <v>-215.69110000000001</v>
      </c>
      <c r="K4643">
        <v>1.1203719999999999</v>
      </c>
      <c r="L4643">
        <v>215.69110000000001</v>
      </c>
      <c r="M4643">
        <v>0.99990210000000002</v>
      </c>
      <c r="N4643">
        <v>-8.654162E-3</v>
      </c>
      <c r="O4643">
        <v>1.1006520000000001E-2</v>
      </c>
      <c r="P4643">
        <v>0.99720319999999996</v>
      </c>
      <c r="Q4643">
        <v>-7.4561920000000004E-2</v>
      </c>
      <c r="R4643">
        <v>5.168003E-3</v>
      </c>
      <c r="S4643">
        <v>2.9872589999999999</v>
      </c>
      <c r="T4643">
        <v>-0.29599009999999998</v>
      </c>
      <c r="U4643">
        <v>-0.15040590000000001</v>
      </c>
      <c r="V4643">
        <v>5.8057880000000001E-3</v>
      </c>
      <c r="W4643">
        <v>-6.5929429999999997E-2</v>
      </c>
      <c r="X4643">
        <v>0.99780740000000001</v>
      </c>
      <c r="Y4643">
        <v>6.0906910000000002E-2</v>
      </c>
      <c r="Z4643">
        <v>-4.2649200000000002E-3</v>
      </c>
      <c r="AA4643">
        <v>0.99813430000000003</v>
      </c>
      <c r="AB4643">
        <v>27</v>
      </c>
      <c r="AC4643">
        <v>0.47669999999999302</v>
      </c>
      <c r="AD4643">
        <v>-7.3346999999999801E-2</v>
      </c>
      <c r="AE4643">
        <v>-4.04000000000053E-2</v>
      </c>
      <c r="AF4643">
        <v>4.45963059096686E-2</v>
      </c>
      <c r="AG4643">
        <v>-7.3346999999999801E-2</v>
      </c>
      <c r="AH4643">
        <v>0.46528965784083498</v>
      </c>
      <c r="AI4643">
        <v>98.918026300499307</v>
      </c>
      <c r="AJ4643">
        <v>84.525133944966697</v>
      </c>
      <c r="AK4643">
        <v>0.47314171091062202</v>
      </c>
      <c r="AL4643">
        <v>93.780220030580395</v>
      </c>
      <c r="AM4643">
        <v>89.6666256481478</v>
      </c>
      <c r="AN4643">
        <v>1.0000000022045901</v>
      </c>
    </row>
    <row r="4644" spans="1:40" x14ac:dyDescent="0.25">
      <c r="A4644" t="str">
        <f>"20190303154230380"</f>
        <v>20190303154230380</v>
      </c>
      <c r="B4644" t="str">
        <f>"1551598950374650"</f>
        <v>1551598950374650</v>
      </c>
      <c r="C4644" t="s">
        <v>40</v>
      </c>
      <c r="D4644">
        <v>5.9542339999999996</v>
      </c>
      <c r="E4644">
        <v>0.5208064</v>
      </c>
      <c r="F4644" t="s">
        <v>42</v>
      </c>
      <c r="G4644">
        <v>-214.73849999999999</v>
      </c>
      <c r="H4644">
        <v>1.026297</v>
      </c>
      <c r="I4644">
        <v>215.6421</v>
      </c>
      <c r="J4644">
        <v>-215.4085</v>
      </c>
      <c r="K4644">
        <v>1.1203860000000001</v>
      </c>
      <c r="L4644">
        <v>215.6942</v>
      </c>
      <c r="M4644">
        <v>0.99990089999999998</v>
      </c>
      <c r="N4644">
        <v>-8.7825919999999901E-3</v>
      </c>
      <c r="O4644">
        <v>1.100714E-2</v>
      </c>
      <c r="P4644">
        <v>0.99702020000000002</v>
      </c>
      <c r="Q4644">
        <v>-7.6973470000000002E-2</v>
      </c>
      <c r="R4644">
        <v>5.1006580000000001E-3</v>
      </c>
      <c r="S4644">
        <v>2.9871370000000002</v>
      </c>
      <c r="T4644">
        <v>-0.29509790000000002</v>
      </c>
      <c r="U4644">
        <v>-0.15304570000000001</v>
      </c>
      <c r="V4644">
        <v>5.8716549999999999E-3</v>
      </c>
      <c r="W4644">
        <v>-6.8214319999999995E-2</v>
      </c>
      <c r="X4644">
        <v>0.99765340000000002</v>
      </c>
      <c r="Y4644">
        <v>6.1786590000000002E-2</v>
      </c>
      <c r="Z4644">
        <v>-4.3024789999999997E-3</v>
      </c>
      <c r="AA4644">
        <v>0.99808010000000003</v>
      </c>
      <c r="AB4644">
        <v>27</v>
      </c>
      <c r="AC4644">
        <v>0.67000000000001503</v>
      </c>
      <c r="AD4644">
        <v>-9.4089000000000006E-2</v>
      </c>
      <c r="AE4644">
        <v>-5.2099999999995802E-2</v>
      </c>
      <c r="AF4644">
        <v>5.8328530442414303E-2</v>
      </c>
      <c r="AG4644">
        <v>-9.4089000000000006E-2</v>
      </c>
      <c r="AH4644">
        <v>0.65651659326777301</v>
      </c>
      <c r="AI4644">
        <v>98.1242652819992</v>
      </c>
      <c r="AJ4644">
        <v>84.922859920560299</v>
      </c>
      <c r="AK4644">
        <v>0.66578449562939901</v>
      </c>
      <c r="AL4644">
        <v>93.911430133785501</v>
      </c>
      <c r="AM4644">
        <v>89.662791540688602</v>
      </c>
      <c r="AN4644">
        <v>0.99999998815852997</v>
      </c>
    </row>
    <row r="4645" spans="1:40" x14ac:dyDescent="0.25">
      <c r="A4645" t="str">
        <f>"20190303154230402"</f>
        <v>20190303154230402</v>
      </c>
      <c r="B4645" t="str">
        <f>"1551598950394170"</f>
        <v>1551598950394170</v>
      </c>
      <c r="C4645" t="s">
        <v>40</v>
      </c>
      <c r="D4645">
        <v>5.9533399999999999</v>
      </c>
      <c r="E4645">
        <v>0.52061809999999997</v>
      </c>
      <c r="F4645" t="s">
        <v>42</v>
      </c>
      <c r="G4645">
        <v>-214.49420000000001</v>
      </c>
      <c r="H4645">
        <v>1.027847</v>
      </c>
      <c r="I4645">
        <v>215.64779999999999</v>
      </c>
      <c r="J4645">
        <v>-215.1309</v>
      </c>
      <c r="K4645">
        <v>1.1203989999999999</v>
      </c>
      <c r="L4645">
        <v>215.69720000000001</v>
      </c>
      <c r="M4645">
        <v>0.99989969999999995</v>
      </c>
      <c r="N4645">
        <v>-8.9431069999999901E-3</v>
      </c>
      <c r="O4645">
        <v>1.1003000000000001E-2</v>
      </c>
      <c r="P4645">
        <v>0.9969422</v>
      </c>
      <c r="Q4645">
        <v>-7.8005649999999996E-2</v>
      </c>
      <c r="R4645">
        <v>4.6682950000000003E-3</v>
      </c>
      <c r="S4645">
        <v>2.986389</v>
      </c>
      <c r="T4645">
        <v>-0.3022859</v>
      </c>
      <c r="U4645">
        <v>-0.1514587</v>
      </c>
      <c r="V4645">
        <v>6.2987440000000002E-3</v>
      </c>
      <c r="W4645">
        <v>-6.9087120000000002E-2</v>
      </c>
      <c r="X4645">
        <v>0.99759070000000005</v>
      </c>
      <c r="Y4645">
        <v>6.1250880000000001E-2</v>
      </c>
      <c r="Z4645">
        <v>-4.3770429999999997E-3</v>
      </c>
      <c r="AA4645">
        <v>0.99811280000000002</v>
      </c>
      <c r="AB4645">
        <v>27</v>
      </c>
      <c r="AC4645">
        <v>0.63669999999999005</v>
      </c>
      <c r="AD4645">
        <v>-9.2551999999999898E-2</v>
      </c>
      <c r="AE4645">
        <v>-4.9400000000019803E-2</v>
      </c>
      <c r="AF4645">
        <v>5.5242600165886002E-2</v>
      </c>
      <c r="AG4645">
        <v>-9.2551999999999898E-2</v>
      </c>
      <c r="AH4645">
        <v>0.62303192200574198</v>
      </c>
      <c r="AI4645">
        <v>98.417006073085801</v>
      </c>
      <c r="AJ4645">
        <v>84.932985148944994</v>
      </c>
      <c r="AK4645">
        <v>0.63228663864995305</v>
      </c>
      <c r="AL4645">
        <v>93.961556285298101</v>
      </c>
      <c r="AM4645">
        <v>89.638241764105501</v>
      </c>
      <c r="AN4645">
        <v>0.99999995452617996</v>
      </c>
    </row>
    <row r="4646" spans="1:40" x14ac:dyDescent="0.25">
      <c r="A4646" t="str">
        <f>"20190303154230424"</f>
        <v>20190303154230424</v>
      </c>
      <c r="B4646" t="str">
        <f>"1551598950414666"</f>
        <v>1551598950414666</v>
      </c>
      <c r="C4646" t="s">
        <v>40</v>
      </c>
      <c r="D4646">
        <v>5.7757779999999999</v>
      </c>
      <c r="E4646">
        <v>0.52097660000000001</v>
      </c>
      <c r="F4646" t="s">
        <v>42</v>
      </c>
      <c r="G4646">
        <v>-214.24950000000001</v>
      </c>
      <c r="H4646">
        <v>1.0298419999999999</v>
      </c>
      <c r="I4646">
        <v>215.6525</v>
      </c>
      <c r="J4646">
        <v>-214.87090000000001</v>
      </c>
      <c r="K4646">
        <v>1.1204259999999999</v>
      </c>
      <c r="L4646">
        <v>215.7</v>
      </c>
      <c r="M4646">
        <v>0.99989790000000001</v>
      </c>
      <c r="N4646">
        <v>-9.1604430000000008E-3</v>
      </c>
      <c r="O4646">
        <v>1.09754E-2</v>
      </c>
      <c r="P4646">
        <v>0.99700860000000002</v>
      </c>
      <c r="Q4646">
        <v>-7.7255299999999999E-2</v>
      </c>
      <c r="R4646">
        <v>2.3723239999999999E-3</v>
      </c>
      <c r="S4646">
        <v>2.9859010000000001</v>
      </c>
      <c r="T4646">
        <v>-0.30678670000000002</v>
      </c>
      <c r="U4646">
        <v>-0.1513062</v>
      </c>
      <c r="V4646">
        <v>8.5659769999999903E-3</v>
      </c>
      <c r="W4646">
        <v>-6.8119959999999993E-2</v>
      </c>
      <c r="X4646">
        <v>0.99764039999999998</v>
      </c>
      <c r="Y4646">
        <v>6.1169429999999997E-2</v>
      </c>
      <c r="Z4646">
        <v>-4.437163E-3</v>
      </c>
      <c r="AA4646">
        <v>0.99811749999999999</v>
      </c>
      <c r="AB4646">
        <v>27</v>
      </c>
      <c r="AC4646">
        <v>0.62139999999999396</v>
      </c>
      <c r="AD4646">
        <v>-9.0583999999999998E-2</v>
      </c>
      <c r="AE4646">
        <v>-4.74999999999852E-2</v>
      </c>
      <c r="AF4646">
        <v>5.3193733500620399E-2</v>
      </c>
      <c r="AG4646">
        <v>-9.0583999999999998E-2</v>
      </c>
      <c r="AH4646">
        <v>0.60799630230475799</v>
      </c>
      <c r="AI4646">
        <v>98.4422538589792</v>
      </c>
      <c r="AJ4646">
        <v>84.999911193829305</v>
      </c>
      <c r="AK4646">
        <v>0.617004487792426</v>
      </c>
      <c r="AL4646">
        <v>93.906010910448401</v>
      </c>
      <c r="AM4646">
        <v>89.508056942140897</v>
      </c>
      <c r="AN4646">
        <v>1.0000000363122601</v>
      </c>
    </row>
    <row r="4647" spans="1:40" x14ac:dyDescent="0.25">
      <c r="A4647" t="str">
        <f>"20190303154230446"</f>
        <v>20190303154230446</v>
      </c>
      <c r="B4647" t="str">
        <f>"1551598950434187"</f>
        <v>1551598950434187</v>
      </c>
      <c r="C4647" t="s">
        <v>40</v>
      </c>
      <c r="D4647">
        <v>6.289917</v>
      </c>
      <c r="E4647">
        <v>0.52155609999999997</v>
      </c>
      <c r="F4647" t="s">
        <v>42</v>
      </c>
      <c r="G4647">
        <v>-214.0043</v>
      </c>
      <c r="H4647">
        <v>1.0328660000000001</v>
      </c>
      <c r="I4647">
        <v>215.6532</v>
      </c>
      <c r="J4647">
        <v>-214.5986</v>
      </c>
      <c r="K4647">
        <v>1.1204510000000001</v>
      </c>
      <c r="L4647">
        <v>215.703</v>
      </c>
      <c r="M4647">
        <v>0.99989550000000005</v>
      </c>
      <c r="N4647">
        <v>-9.5025820000000007E-3</v>
      </c>
      <c r="O4647">
        <v>1.0899789999999999E-2</v>
      </c>
      <c r="P4647">
        <v>0.9969538</v>
      </c>
      <c r="Q4647">
        <v>-7.7985589999999994E-2</v>
      </c>
      <c r="R4647">
        <v>-1.305013E-3</v>
      </c>
      <c r="S4647">
        <v>2.9860229999999999</v>
      </c>
      <c r="T4647">
        <v>-0.30177080000000001</v>
      </c>
      <c r="U4647">
        <v>-0.16078190000000001</v>
      </c>
      <c r="V4647">
        <v>1.2161740000000001E-2</v>
      </c>
      <c r="W4647">
        <v>-6.8510950000000001E-2</v>
      </c>
      <c r="X4647">
        <v>0.99757620000000002</v>
      </c>
      <c r="Y4647">
        <v>6.4245549999999998E-2</v>
      </c>
      <c r="Z4647">
        <v>-4.5368759999999996E-3</v>
      </c>
      <c r="AA4647">
        <v>0.99792380000000003</v>
      </c>
      <c r="AB4647">
        <v>27</v>
      </c>
      <c r="AC4647">
        <v>0.59430000000000405</v>
      </c>
      <c r="AD4647">
        <v>-8.7584999999999996E-2</v>
      </c>
      <c r="AE4647">
        <v>-4.9800000000004702E-2</v>
      </c>
      <c r="AF4647">
        <v>5.5086965036804797E-2</v>
      </c>
      <c r="AG4647">
        <v>-8.7584999999999996E-2</v>
      </c>
      <c r="AH4647">
        <v>0.5811868419906</v>
      </c>
      <c r="AI4647">
        <v>98.532325242453595</v>
      </c>
      <c r="AJ4647">
        <v>84.585477234909206</v>
      </c>
      <c r="AK4647">
        <v>0.59032520803788602</v>
      </c>
      <c r="AL4647">
        <v>93.928465720252902</v>
      </c>
      <c r="AM4647">
        <v>89.3015251821558</v>
      </c>
      <c r="AN4647">
        <v>0.99999996649808398</v>
      </c>
    </row>
    <row r="4648" spans="1:40" x14ac:dyDescent="0.25">
      <c r="A4648" t="str">
        <f>"20190303154230469"</f>
        <v>20190303154230469</v>
      </c>
      <c r="B4648" t="str">
        <f>"1551598950464442"</f>
        <v>1551598950464442</v>
      </c>
      <c r="C4648" t="s">
        <v>40</v>
      </c>
      <c r="D4648">
        <v>5.8544530000000004</v>
      </c>
      <c r="E4648">
        <v>0.57341129999999996</v>
      </c>
      <c r="F4648" t="s">
        <v>42</v>
      </c>
      <c r="G4648">
        <v>-213.7595</v>
      </c>
      <c r="H4648">
        <v>1.036125</v>
      </c>
      <c r="I4648">
        <v>215.65309999999999</v>
      </c>
      <c r="J4648">
        <v>-214.32820000000001</v>
      </c>
      <c r="K4648">
        <v>1.120458</v>
      </c>
      <c r="L4648">
        <v>215.70580000000001</v>
      </c>
      <c r="M4648">
        <v>0.99989300000000003</v>
      </c>
      <c r="N4648">
        <v>-9.9285169999999996E-3</v>
      </c>
      <c r="O4648">
        <v>1.0757040000000001E-2</v>
      </c>
      <c r="P4648">
        <v>0.99650780000000005</v>
      </c>
      <c r="Q4648">
        <v>-8.3362829999999999E-2</v>
      </c>
      <c r="R4648">
        <v>-4.8380599999999999E-3</v>
      </c>
      <c r="S4648">
        <v>2.9854579999999999</v>
      </c>
      <c r="T4648">
        <v>-0.3001933</v>
      </c>
      <c r="U4648">
        <v>-0.17639160000000001</v>
      </c>
      <c r="V4648">
        <v>1.5537540000000001E-2</v>
      </c>
      <c r="W4648">
        <v>-7.3470170000000001E-2</v>
      </c>
      <c r="X4648">
        <v>0.99717630000000002</v>
      </c>
      <c r="Y4648">
        <v>6.928935E-2</v>
      </c>
      <c r="Z4648">
        <v>-4.7886389999999999E-3</v>
      </c>
      <c r="AA4648">
        <v>0.9975851</v>
      </c>
      <c r="AB4648">
        <v>27</v>
      </c>
      <c r="AC4648">
        <v>0.56870000000000598</v>
      </c>
      <c r="AD4648">
        <v>-8.4332999999999894E-2</v>
      </c>
      <c r="AE4648">
        <v>-5.27000000000157E-2</v>
      </c>
      <c r="AF4648">
        <v>5.7559806510937603E-2</v>
      </c>
      <c r="AG4648">
        <v>-8.4332999999999894E-2</v>
      </c>
      <c r="AH4648">
        <v>0.55597820631688599</v>
      </c>
      <c r="AI4648">
        <v>98.579934893687195</v>
      </c>
      <c r="AJ4648">
        <v>84.089288984971006</v>
      </c>
      <c r="AK4648">
        <v>0.565275996406992</v>
      </c>
      <c r="AL4648">
        <v>94.213327277535896</v>
      </c>
      <c r="AM4648">
        <v>89.107315896456896</v>
      </c>
      <c r="AN4648">
        <v>0.999999927155382</v>
      </c>
    </row>
    <row r="4649" spans="1:40" x14ac:dyDescent="0.25">
      <c r="A4649" t="str">
        <f>"20190303154230491"</f>
        <v>20190303154230491</v>
      </c>
      <c r="B4649" t="str">
        <f>"1551598950484938"</f>
        <v>1551598950484938</v>
      </c>
      <c r="C4649" t="s">
        <v>40</v>
      </c>
      <c r="D4649">
        <v>5.8150459999999997</v>
      </c>
      <c r="E4649">
        <v>0.63606079999999998</v>
      </c>
      <c r="F4649" t="s">
        <v>46</v>
      </c>
      <c r="G4649">
        <v>-204.0736</v>
      </c>
      <c r="H4649" s="1">
        <v>4.1088950000000002E-6</v>
      </c>
      <c r="I4649">
        <v>213.63919999999999</v>
      </c>
      <c r="J4649">
        <v>-214.05179999999999</v>
      </c>
      <c r="K4649">
        <v>1.120433</v>
      </c>
      <c r="L4649">
        <v>215.70849999999999</v>
      </c>
      <c r="M4649">
        <v>0.99989099999999997</v>
      </c>
      <c r="N4649">
        <v>-1.037243E-2</v>
      </c>
      <c r="O4649">
        <v>1.051011E-2</v>
      </c>
      <c r="P4649">
        <v>0.99586459999999999</v>
      </c>
      <c r="Q4649">
        <v>-9.0588669999999996E-2</v>
      </c>
      <c r="R4649">
        <v>-6.885937E-3</v>
      </c>
      <c r="S4649">
        <v>2.980362</v>
      </c>
      <c r="T4649">
        <v>-0.32564650000000001</v>
      </c>
      <c r="U4649">
        <v>-0.6006165</v>
      </c>
      <c r="V4649">
        <v>1.731711E-2</v>
      </c>
      <c r="W4649">
        <v>-8.0263310000000004E-2</v>
      </c>
      <c r="X4649">
        <v>0.99662329999999999</v>
      </c>
      <c r="Y4649">
        <v>0.2064983</v>
      </c>
      <c r="Z4649">
        <v>-1.3248299999999999E-2</v>
      </c>
      <c r="AA4649">
        <v>0.97835729999999999</v>
      </c>
      <c r="AB4649">
        <v>27</v>
      </c>
      <c r="AC4649">
        <v>9.9781999999999798</v>
      </c>
      <c r="AD4649">
        <v>-1.120428891105</v>
      </c>
      <c r="AE4649">
        <v>-2.0692999999999899</v>
      </c>
      <c r="AF4649">
        <v>2.1480957930767102</v>
      </c>
      <c r="AG4649">
        <v>-1.120428891105</v>
      </c>
      <c r="AH4649">
        <v>9.8369834944001298</v>
      </c>
      <c r="AI4649">
        <v>96.349602840582904</v>
      </c>
      <c r="AJ4649">
        <v>77.681727482628503</v>
      </c>
      <c r="AK4649">
        <v>10.1309387869711</v>
      </c>
      <c r="AL4649">
        <v>94.603700765806096</v>
      </c>
      <c r="AM4649">
        <v>89.004541153684698</v>
      </c>
      <c r="AN4649">
        <v>1.0000000416668899</v>
      </c>
    </row>
    <row r="4650" spans="1:40" x14ac:dyDescent="0.25">
      <c r="A4650" t="str">
        <f>"20190303154230513"</f>
        <v>20190303154230513</v>
      </c>
      <c r="B4650" t="str">
        <f>"1551598950504458"</f>
        <v>1551598950504458</v>
      </c>
      <c r="C4650" t="s">
        <v>40</v>
      </c>
      <c r="D4650">
        <v>5.7931429999999997</v>
      </c>
      <c r="E4650">
        <v>0.63547049999999905</v>
      </c>
      <c r="F4650" t="s">
        <v>46</v>
      </c>
      <c r="G4650">
        <v>-200.0009</v>
      </c>
      <c r="H4650" s="1">
        <v>2.577083E-6</v>
      </c>
      <c r="I4650">
        <v>210.50200000000001</v>
      </c>
      <c r="J4650">
        <v>-213.78870000000001</v>
      </c>
      <c r="K4650">
        <v>1.120395</v>
      </c>
      <c r="L4650">
        <v>215.71090000000001</v>
      </c>
      <c r="M4650">
        <v>0.99989050000000002</v>
      </c>
      <c r="N4650">
        <v>-1.0765780000000001E-2</v>
      </c>
      <c r="O4650">
        <v>1.015661E-2</v>
      </c>
      <c r="P4650">
        <v>0.99545090000000003</v>
      </c>
      <c r="Q4650">
        <v>-9.4985280000000005E-2</v>
      </c>
      <c r="R4650">
        <v>-7.4645500000000004E-3</v>
      </c>
      <c r="S4650">
        <v>2.9831699999999999</v>
      </c>
      <c r="T4650">
        <v>-0.23788020000000001</v>
      </c>
      <c r="U4650">
        <v>-1.1053919999999999</v>
      </c>
      <c r="V4650">
        <v>1.7520529999999999E-2</v>
      </c>
      <c r="W4650">
        <v>-8.4275710000000004E-2</v>
      </c>
      <c r="X4650">
        <v>0.99628839999999996</v>
      </c>
      <c r="Y4650">
        <v>0.35579899999999998</v>
      </c>
      <c r="Z4650">
        <v>-1.6367329999999999E-2</v>
      </c>
      <c r="AA4650">
        <v>0.93441920000000001</v>
      </c>
      <c r="AB4650">
        <v>27</v>
      </c>
      <c r="AC4650">
        <v>13.787800000000001</v>
      </c>
      <c r="AD4650">
        <v>-1.1203924229169999</v>
      </c>
      <c r="AE4650">
        <v>-5.2088999999999999</v>
      </c>
      <c r="AF4650">
        <v>5.3179474304357601</v>
      </c>
      <c r="AG4650">
        <v>-1.1203924229169999</v>
      </c>
      <c r="AH4650">
        <v>13.655275131507</v>
      </c>
      <c r="AI4650">
        <v>94.372049472800398</v>
      </c>
      <c r="AJ4650">
        <v>68.721936252204202</v>
      </c>
      <c r="AK4650">
        <v>14.697019526807599</v>
      </c>
      <c r="AL4650">
        <v>94.834376810369207</v>
      </c>
      <c r="AM4650">
        <v>88.992511647137704</v>
      </c>
      <c r="AN4650">
        <v>0.99999997012102204</v>
      </c>
    </row>
    <row r="4651" spans="1:40" x14ac:dyDescent="0.25">
      <c r="A4651" t="str">
        <f>"20190303154230535"</f>
        <v>20190303154230535</v>
      </c>
      <c r="B4651" t="str">
        <f>"1551598950524955"</f>
        <v>1551598950524955</v>
      </c>
      <c r="C4651" t="s">
        <v>40</v>
      </c>
      <c r="D4651">
        <v>5.7523470000000003</v>
      </c>
      <c r="E4651">
        <v>0.63481100000000001</v>
      </c>
      <c r="F4651" t="s">
        <v>46</v>
      </c>
      <c r="G4651">
        <v>-200.6925</v>
      </c>
      <c r="H4651" s="1">
        <v>2.8517940000000002E-6</v>
      </c>
      <c r="I4651">
        <v>210.86760000000001</v>
      </c>
      <c r="J4651">
        <v>-213.5147</v>
      </c>
      <c r="K4651">
        <v>1.120347</v>
      </c>
      <c r="L4651">
        <v>215.7132</v>
      </c>
      <c r="M4651">
        <v>0.99989119999999998</v>
      </c>
      <c r="N4651">
        <v>-1.114647E-2</v>
      </c>
      <c r="O4651">
        <v>9.6603790000000002E-3</v>
      </c>
      <c r="P4651">
        <v>0.99549049999999994</v>
      </c>
      <c r="Q4651">
        <v>-9.4577869999999994E-2</v>
      </c>
      <c r="R4651">
        <v>-7.333516E-3</v>
      </c>
      <c r="S4651">
        <v>2.9811100000000001</v>
      </c>
      <c r="T4651">
        <v>-0.25503559999999997</v>
      </c>
      <c r="U4651">
        <v>-1.1024929999999999</v>
      </c>
      <c r="V4651">
        <v>1.6877090000000001E-2</v>
      </c>
      <c r="W4651">
        <v>-8.349202E-2</v>
      </c>
      <c r="X4651">
        <v>0.99636550000000002</v>
      </c>
      <c r="Y4651">
        <v>0.35458200000000001</v>
      </c>
      <c r="Z4651">
        <v>-1.7395250000000001E-2</v>
      </c>
      <c r="AA4651">
        <v>0.93486309999999995</v>
      </c>
      <c r="AB4651">
        <v>27</v>
      </c>
      <c r="AC4651">
        <v>12.8222</v>
      </c>
      <c r="AD4651">
        <v>-1.1203441482059999</v>
      </c>
      <c r="AE4651">
        <v>-4.8455999999999904</v>
      </c>
      <c r="AF4651">
        <v>4.9362726058405704</v>
      </c>
      <c r="AG4651">
        <v>-1.1203441482059999</v>
      </c>
      <c r="AH4651">
        <v>12.6900140213026</v>
      </c>
      <c r="AI4651">
        <v>94.703685018058906</v>
      </c>
      <c r="AJ4651">
        <v>68.744525010507502</v>
      </c>
      <c r="AK4651">
        <v>13.6622990053083</v>
      </c>
      <c r="AL4651">
        <v>94.789315807766997</v>
      </c>
      <c r="AM4651">
        <v>89.029579445006505</v>
      </c>
      <c r="AN4651">
        <v>0.99999998158039904</v>
      </c>
    </row>
    <row r="4652" spans="1:40" x14ac:dyDescent="0.25">
      <c r="A4652" t="str">
        <f>"20190303154230558"</f>
        <v>20190303154230558</v>
      </c>
      <c r="B4652" t="str">
        <f>"1551598950554235"</f>
        <v>1551598950554235</v>
      </c>
      <c r="C4652" t="s">
        <v>40</v>
      </c>
      <c r="D4652">
        <v>5.9181819999999998</v>
      </c>
      <c r="E4652">
        <v>0.62909340000000002</v>
      </c>
      <c r="F4652" t="s">
        <v>46</v>
      </c>
      <c r="G4652">
        <v>-200.55799999999999</v>
      </c>
      <c r="H4652" s="1">
        <v>2.7853599999999998E-6</v>
      </c>
      <c r="I4652">
        <v>210.94560000000001</v>
      </c>
      <c r="J4652">
        <v>-213.24719999999999</v>
      </c>
      <c r="K4652">
        <v>1.120301</v>
      </c>
      <c r="L4652">
        <v>215.71520000000001</v>
      </c>
      <c r="M4652">
        <v>0.99989309999999998</v>
      </c>
      <c r="N4652">
        <v>-1.1489839999999999E-2</v>
      </c>
      <c r="O4652">
        <v>9.0381539999999996E-3</v>
      </c>
      <c r="P4652">
        <v>0.99567620000000001</v>
      </c>
      <c r="Q4652">
        <v>-9.2576259999999994E-2</v>
      </c>
      <c r="R4652">
        <v>-7.6675809999999997E-3</v>
      </c>
      <c r="S4652">
        <v>2.9810180000000002</v>
      </c>
      <c r="T4652">
        <v>-0.25776510000000002</v>
      </c>
      <c r="U4652">
        <v>-1.0969089999999999</v>
      </c>
      <c r="V4652">
        <v>1.6576779999999999E-2</v>
      </c>
      <c r="W4652">
        <v>-8.1149719999999995E-2</v>
      </c>
      <c r="X4652">
        <v>0.99656409999999995</v>
      </c>
      <c r="Y4652">
        <v>0.35244419999999999</v>
      </c>
      <c r="Z4652">
        <v>-1.7477449999999999E-2</v>
      </c>
      <c r="AA4652">
        <v>0.93566959999999999</v>
      </c>
      <c r="AB4652">
        <v>27</v>
      </c>
      <c r="AC4652">
        <v>12.6892</v>
      </c>
      <c r="AD4652">
        <v>-1.12029821464</v>
      </c>
      <c r="AE4652">
        <v>-4.7695999999999898</v>
      </c>
      <c r="AF4652">
        <v>4.8509687785312003</v>
      </c>
      <c r="AG4652">
        <v>-1.12029821464</v>
      </c>
      <c r="AH4652">
        <v>12.559790194979101</v>
      </c>
      <c r="AI4652">
        <v>94.756437477920201</v>
      </c>
      <c r="AJ4652">
        <v>68.881939413788601</v>
      </c>
      <c r="AK4652">
        <v>13.510562383628001</v>
      </c>
      <c r="AL4652">
        <v>94.654654559349297</v>
      </c>
      <c r="AM4652">
        <v>89.047033754261605</v>
      </c>
      <c r="AN4652">
        <v>1.0000000360500201</v>
      </c>
    </row>
    <row r="4653" spans="1:40" x14ac:dyDescent="0.25">
      <c r="A4653" t="str">
        <f>"20190303154230580"</f>
        <v>20190303154230580</v>
      </c>
      <c r="B4653" t="str">
        <f>"1551598950574904"</f>
        <v>1551598950574904</v>
      </c>
      <c r="C4653" t="s">
        <v>40</v>
      </c>
      <c r="D4653">
        <v>5.9072040000000001</v>
      </c>
      <c r="E4653">
        <v>0.62744769999999905</v>
      </c>
      <c r="F4653" t="s">
        <v>46</v>
      </c>
      <c r="G4653">
        <v>-202.21260000000001</v>
      </c>
      <c r="H4653" s="1">
        <v>3.443257E-6</v>
      </c>
      <c r="I4653">
        <v>211.81299999999999</v>
      </c>
      <c r="J4653">
        <v>-212.9716</v>
      </c>
      <c r="K4653">
        <v>1.120241</v>
      </c>
      <c r="L4653">
        <v>215.71690000000001</v>
      </c>
      <c r="M4653">
        <v>0.99989600000000001</v>
      </c>
      <c r="N4653">
        <v>-1.181185E-2</v>
      </c>
      <c r="O4653">
        <v>8.2763409999999996E-3</v>
      </c>
      <c r="P4653">
        <v>0.99578509999999998</v>
      </c>
      <c r="Q4653">
        <v>-9.1327220000000001E-2</v>
      </c>
      <c r="R4653">
        <v>-8.4727610000000005E-3</v>
      </c>
      <c r="S4653">
        <v>2.976807</v>
      </c>
      <c r="T4653">
        <v>-0.30222389999999999</v>
      </c>
      <c r="U4653">
        <v>-1.0527040000000001</v>
      </c>
      <c r="V4653">
        <v>1.6608560000000001E-2</v>
      </c>
      <c r="W4653">
        <v>-7.9582150000000004E-2</v>
      </c>
      <c r="X4653">
        <v>0.99668990000000002</v>
      </c>
      <c r="Y4653">
        <v>0.33941320000000003</v>
      </c>
      <c r="Z4653">
        <v>-1.9471059999999998E-2</v>
      </c>
      <c r="AA4653">
        <v>0.94043580000000004</v>
      </c>
      <c r="AB4653">
        <v>27</v>
      </c>
      <c r="AC4653">
        <v>10.758999999999901</v>
      </c>
      <c r="AD4653">
        <v>-1.1202375567430001</v>
      </c>
      <c r="AE4653">
        <v>-3.9039000000000201</v>
      </c>
      <c r="AF4653">
        <v>3.9549298467999701</v>
      </c>
      <c r="AG4653">
        <v>-1.1202375567430001</v>
      </c>
      <c r="AH4653">
        <v>10.6245373008699</v>
      </c>
      <c r="AI4653">
        <v>95.643337119599195</v>
      </c>
      <c r="AJ4653">
        <v>69.582473829352793</v>
      </c>
      <c r="AK4653">
        <v>11.391979421251699</v>
      </c>
      <c r="AL4653">
        <v>94.564548300407694</v>
      </c>
      <c r="AM4653">
        <v>89.045327612447196</v>
      </c>
      <c r="AN4653">
        <v>0.99999995981295198</v>
      </c>
    </row>
    <row r="4654" spans="1:40" x14ac:dyDescent="0.25">
      <c r="A4654" t="str">
        <f>"20190303154230604"</f>
        <v>20190303154230604</v>
      </c>
      <c r="B4654" t="str">
        <f>"1551598950594419"</f>
        <v>1551598950594419</v>
      </c>
      <c r="C4654" t="s">
        <v>40</v>
      </c>
      <c r="D4654">
        <v>5.8740680000000003</v>
      </c>
      <c r="E4654">
        <v>0.62639319999999998</v>
      </c>
      <c r="F4654" t="s">
        <v>46</v>
      </c>
      <c r="G4654">
        <v>-202.4709</v>
      </c>
      <c r="H4654" s="1">
        <v>3.5381090000000001E-6</v>
      </c>
      <c r="I4654">
        <v>212.03819999999999</v>
      </c>
      <c r="J4654">
        <v>-212.696</v>
      </c>
      <c r="K4654">
        <v>1.1201810000000001</v>
      </c>
      <c r="L4654">
        <v>215.7183</v>
      </c>
      <c r="M4654">
        <v>0.99989950000000005</v>
      </c>
      <c r="N4654">
        <v>-1.2099149999999999E-2</v>
      </c>
      <c r="O4654">
        <v>7.418539E-3</v>
      </c>
      <c r="P4654">
        <v>0.99569850000000004</v>
      </c>
      <c r="Q4654">
        <v>-9.2135069999999999E-2</v>
      </c>
      <c r="R4654">
        <v>-9.8065180000000002E-3</v>
      </c>
      <c r="S4654">
        <v>2.9747159999999999</v>
      </c>
      <c r="T4654">
        <v>-0.3173473</v>
      </c>
      <c r="U4654">
        <v>-1.042114</v>
      </c>
      <c r="V4654">
        <v>1.7073029999999999E-2</v>
      </c>
      <c r="W4654">
        <v>-8.0108189999999996E-2</v>
      </c>
      <c r="X4654">
        <v>0.99663999999999997</v>
      </c>
      <c r="Y4654">
        <v>0.33567619999999998</v>
      </c>
      <c r="Z4654">
        <v>-2.011721E-2</v>
      </c>
      <c r="AA4654">
        <v>0.94176260000000001</v>
      </c>
      <c r="AB4654">
        <v>27</v>
      </c>
      <c r="AC4654">
        <v>10.2250999999999</v>
      </c>
      <c r="AD4654">
        <v>-1.1201774618910001</v>
      </c>
      <c r="AE4654">
        <v>-3.6800999999999999</v>
      </c>
      <c r="AF4654">
        <v>3.7163721706329498</v>
      </c>
      <c r="AG4654">
        <v>-1.1201774618910001</v>
      </c>
      <c r="AH4654">
        <v>10.090303623654201</v>
      </c>
      <c r="AI4654">
        <v>95.947284121244905</v>
      </c>
      <c r="AJ4654">
        <v>69.780680964481803</v>
      </c>
      <c r="AK4654">
        <v>10.8111260687457</v>
      </c>
      <c r="AL4654">
        <v>94.594784294883794</v>
      </c>
      <c r="AM4654">
        <v>89.018585555921106</v>
      </c>
      <c r="AN4654">
        <v>1.0000000500292201</v>
      </c>
    </row>
    <row r="4655" spans="1:40" x14ac:dyDescent="0.25">
      <c r="A4655" t="str">
        <f>"20190303154230625"</f>
        <v>20190303154230625</v>
      </c>
      <c r="B4655" t="str">
        <f>"1551598950614915"</f>
        <v>1551598950614915</v>
      </c>
      <c r="C4655" t="s">
        <v>40</v>
      </c>
      <c r="D4655">
        <v>5.4402429999999997</v>
      </c>
      <c r="E4655">
        <v>0.62714490000000001</v>
      </c>
      <c r="F4655" t="s">
        <v>46</v>
      </c>
      <c r="G4655">
        <v>-202.66810000000001</v>
      </c>
      <c r="H4655" s="1">
        <v>3.610001E-6</v>
      </c>
      <c r="I4655">
        <v>212.21610000000001</v>
      </c>
      <c r="J4655">
        <v>-212.43020000000001</v>
      </c>
      <c r="K4655">
        <v>1.1201350000000001</v>
      </c>
      <c r="L4655">
        <v>215.7193</v>
      </c>
      <c r="M4655">
        <v>0.99990270000000003</v>
      </c>
      <c r="N4655">
        <v>-1.2344610000000001E-2</v>
      </c>
      <c r="O4655">
        <v>6.5138419999999997E-3</v>
      </c>
      <c r="P4655">
        <v>0.99564739999999996</v>
      </c>
      <c r="Q4655">
        <v>-9.247503E-2</v>
      </c>
      <c r="R4655">
        <v>-1.1607060000000001E-2</v>
      </c>
      <c r="S4655">
        <v>2.9720309999999999</v>
      </c>
      <c r="T4655">
        <v>-0.33199210000000001</v>
      </c>
      <c r="U4655">
        <v>-1.037949</v>
      </c>
      <c r="V4655">
        <v>1.7961749999999999E-2</v>
      </c>
      <c r="W4655">
        <v>-8.0207780000000006E-2</v>
      </c>
      <c r="X4655">
        <v>0.99661630000000001</v>
      </c>
      <c r="Y4655">
        <v>0.33374799999999999</v>
      </c>
      <c r="Z4655">
        <v>-2.0805810000000001E-2</v>
      </c>
      <c r="AA4655">
        <v>0.94243270000000001</v>
      </c>
      <c r="AB4655">
        <v>27</v>
      </c>
      <c r="AC4655">
        <v>9.7621000000000002</v>
      </c>
      <c r="AD4655">
        <v>-1.120131389999</v>
      </c>
      <c r="AE4655">
        <v>-3.5031999999999899</v>
      </c>
      <c r="AF4655">
        <v>3.5255971725013402</v>
      </c>
      <c r="AG4655">
        <v>-1.120131389999</v>
      </c>
      <c r="AH4655">
        <v>9.6267862434416003</v>
      </c>
      <c r="AI4655">
        <v>96.235351803795893</v>
      </c>
      <c r="AJ4655">
        <v>69.885862699656698</v>
      </c>
      <c r="AK4655">
        <v>10.3130763174974</v>
      </c>
      <c r="AL4655">
        <v>94.600509120335502</v>
      </c>
      <c r="AM4655">
        <v>88.967485217583899</v>
      </c>
      <c r="AN4655">
        <v>0.99999998093064002</v>
      </c>
    </row>
    <row r="4656" spans="1:40" x14ac:dyDescent="0.25">
      <c r="A4656" t="str">
        <f>"20190303154230647"</f>
        <v>20190303154230647</v>
      </c>
      <c r="B4656" t="str">
        <f>"1551598950634435"</f>
        <v>1551598950634435</v>
      </c>
      <c r="C4656" t="s">
        <v>40</v>
      </c>
      <c r="D4656">
        <v>5.8268409999999999</v>
      </c>
      <c r="E4656">
        <v>0.6264014</v>
      </c>
      <c r="F4656" t="s">
        <v>46</v>
      </c>
      <c r="G4656">
        <v>-200.68129999999999</v>
      </c>
      <c r="H4656" s="1">
        <v>2.7848640000000001E-6</v>
      </c>
      <c r="I4656">
        <v>211.57660000000001</v>
      </c>
      <c r="J4656">
        <v>-212.17359999999999</v>
      </c>
      <c r="K4656">
        <v>1.1201159999999999</v>
      </c>
      <c r="L4656">
        <v>215.72</v>
      </c>
      <c r="M4656">
        <v>0.99990570000000001</v>
      </c>
      <c r="N4656">
        <v>-1.255422E-2</v>
      </c>
      <c r="O4656">
        <v>5.5729509999999996E-3</v>
      </c>
      <c r="P4656">
        <v>0.99585500000000005</v>
      </c>
      <c r="Q4656">
        <v>-9.0109540000000002E-2</v>
      </c>
      <c r="R4656">
        <v>-1.2392210000000001E-2</v>
      </c>
      <c r="S4656">
        <v>2.974548</v>
      </c>
      <c r="T4656">
        <v>-0.28359210000000001</v>
      </c>
      <c r="U4656">
        <v>-1.048859</v>
      </c>
      <c r="V4656">
        <v>1.7806510000000001E-2</v>
      </c>
      <c r="W4656">
        <v>-7.7632530000000005E-2</v>
      </c>
      <c r="X4656">
        <v>0.99682300000000001</v>
      </c>
      <c r="Y4656">
        <v>0.33622380000000002</v>
      </c>
      <c r="Z4656">
        <v>-1.8150360000000001E-2</v>
      </c>
      <c r="AA4656">
        <v>0.94160719999999998</v>
      </c>
      <c r="AB4656">
        <v>27</v>
      </c>
      <c r="AC4656">
        <v>11.4923</v>
      </c>
      <c r="AD4656">
        <v>-1.12011321513599</v>
      </c>
      <c r="AE4656">
        <v>-4.1433999999999802</v>
      </c>
      <c r="AF4656">
        <v>4.1723104703124996</v>
      </c>
      <c r="AG4656">
        <v>-1.12011321513599</v>
      </c>
      <c r="AH4656">
        <v>11.3734134384068</v>
      </c>
      <c r="AI4656">
        <v>95.282550798717395</v>
      </c>
      <c r="AJ4656">
        <v>69.8545543153041</v>
      </c>
      <c r="AK4656">
        <v>12.1662385935972</v>
      </c>
      <c r="AL4656">
        <v>94.452496430231307</v>
      </c>
      <c r="AM4656">
        <v>88.976619346012995</v>
      </c>
      <c r="AN4656">
        <v>0.99999998742078999</v>
      </c>
    </row>
    <row r="4657" spans="1:40" x14ac:dyDescent="0.25">
      <c r="A4657" t="str">
        <f>"20190303154230669"</f>
        <v>20190303154230669</v>
      </c>
      <c r="B4657" t="str">
        <f>"1551598950664695"</f>
        <v>1551598950664695</v>
      </c>
      <c r="C4657" t="s">
        <v>40</v>
      </c>
      <c r="D4657">
        <v>5.7998750000000001</v>
      </c>
      <c r="E4657">
        <v>0.62601790000000002</v>
      </c>
      <c r="F4657" t="s">
        <v>46</v>
      </c>
      <c r="G4657">
        <v>-200.39279999999999</v>
      </c>
      <c r="H4657" s="1">
        <v>2.6566819999999998E-6</v>
      </c>
      <c r="I4657">
        <v>211.57939999999999</v>
      </c>
      <c r="J4657">
        <v>-211.89959999999999</v>
      </c>
      <c r="K4657">
        <v>1.120107</v>
      </c>
      <c r="L4657">
        <v>215.72040000000001</v>
      </c>
      <c r="M4657">
        <v>0.99990869999999998</v>
      </c>
      <c r="N4657">
        <v>-1.275139E-2</v>
      </c>
      <c r="O4657">
        <v>4.493599E-3</v>
      </c>
      <c r="P4657">
        <v>0.99646509999999999</v>
      </c>
      <c r="Q4657">
        <v>-8.3246749999999994E-2</v>
      </c>
      <c r="R4657">
        <v>-1.1294469999999999E-2</v>
      </c>
      <c r="S4657">
        <v>2.9738920000000002</v>
      </c>
      <c r="T4657">
        <v>-0.28275679999999997</v>
      </c>
      <c r="U4657">
        <v>-1.045242</v>
      </c>
      <c r="V4657">
        <v>1.564022E-2</v>
      </c>
      <c r="W4657">
        <v>-7.0563840000000003E-2</v>
      </c>
      <c r="X4657">
        <v>0.99738470000000001</v>
      </c>
      <c r="Y4657">
        <v>0.33427020000000002</v>
      </c>
      <c r="Z4657">
        <v>-1.7953500000000001E-2</v>
      </c>
      <c r="AA4657">
        <v>0.94230630000000004</v>
      </c>
      <c r="AB4657">
        <v>27</v>
      </c>
      <c r="AC4657">
        <v>11.506799999999901</v>
      </c>
      <c r="AD4657">
        <v>-1.120104343318</v>
      </c>
      <c r="AE4657">
        <v>-4.1410000000000204</v>
      </c>
      <c r="AF4657">
        <v>4.1577890114069502</v>
      </c>
      <c r="AG4657">
        <v>-1.120104343318</v>
      </c>
      <c r="AH4657">
        <v>11.392500897662799</v>
      </c>
      <c r="AI4657">
        <v>95.276906651211704</v>
      </c>
      <c r="AJ4657">
        <v>69.950020679104895</v>
      </c>
      <c r="AK4657">
        <v>12.1791181908439</v>
      </c>
      <c r="AL4657">
        <v>94.046372728736003</v>
      </c>
      <c r="AM4657">
        <v>89.101605272934805</v>
      </c>
      <c r="AN4657">
        <v>1.0000000558956399</v>
      </c>
    </row>
    <row r="4658" spans="1:40" x14ac:dyDescent="0.25">
      <c r="A4658" t="str">
        <f>"20190303154230692"</f>
        <v>20190303154230692</v>
      </c>
      <c r="B4658" t="str">
        <f>"1551598950684211"</f>
        <v>1551598950684211</v>
      </c>
      <c r="C4658" t="s">
        <v>40</v>
      </c>
      <c r="D4658">
        <v>5.7846310000000001</v>
      </c>
      <c r="E4658">
        <v>0.62591339999999995</v>
      </c>
      <c r="F4658" t="s">
        <v>46</v>
      </c>
      <c r="G4658">
        <v>-199.8193</v>
      </c>
      <c r="H4658" s="1">
        <v>2.4950479999999999E-6</v>
      </c>
      <c r="I4658">
        <v>211.50239999999999</v>
      </c>
      <c r="J4658">
        <v>-211.63200000000001</v>
      </c>
      <c r="K4658">
        <v>1.1200680000000001</v>
      </c>
      <c r="L4658">
        <v>215.72040000000001</v>
      </c>
      <c r="M4658">
        <v>0.99991099999999999</v>
      </c>
      <c r="N4658">
        <v>-1.29198E-2</v>
      </c>
      <c r="O4658">
        <v>3.3628439999999998E-3</v>
      </c>
      <c r="P4658">
        <v>0.997201</v>
      </c>
      <c r="Q4658">
        <v>-7.4250040000000003E-2</v>
      </c>
      <c r="R4658">
        <v>-8.7933279999999996E-3</v>
      </c>
      <c r="S4658">
        <v>2.9758149999999999</v>
      </c>
      <c r="T4658">
        <v>-0.27592309999999998</v>
      </c>
      <c r="U4658">
        <v>-1.0390469999999901</v>
      </c>
      <c r="V4658">
        <v>1.2023259999999999E-2</v>
      </c>
      <c r="W4658">
        <v>-6.1385009999999997E-2</v>
      </c>
      <c r="X4658">
        <v>0.99804170000000003</v>
      </c>
      <c r="Y4658">
        <v>0.33134950000000002</v>
      </c>
      <c r="Z4658">
        <v>-1.735772E-2</v>
      </c>
      <c r="AA4658">
        <v>0.94334839999999998</v>
      </c>
      <c r="AB4658">
        <v>27</v>
      </c>
      <c r="AC4658">
        <v>11.8127</v>
      </c>
      <c r="AD4658">
        <v>-1.1200655049519901</v>
      </c>
      <c r="AE4658">
        <v>-4.2180000000000097</v>
      </c>
      <c r="AF4658">
        <v>4.2240217477978401</v>
      </c>
      <c r="AG4658">
        <v>-1.1200655049519901</v>
      </c>
      <c r="AH4658">
        <v>11.705112007389401</v>
      </c>
      <c r="AI4658">
        <v>95.1432650811701</v>
      </c>
      <c r="AJ4658">
        <v>70.157016344133694</v>
      </c>
      <c r="AK4658">
        <v>12.494260825146201</v>
      </c>
      <c r="AL4658">
        <v>93.519314715222706</v>
      </c>
      <c r="AM4658">
        <v>89.309799648805296</v>
      </c>
      <c r="AN4658">
        <v>0.99999995658630803</v>
      </c>
    </row>
    <row r="4659" spans="1:40" x14ac:dyDescent="0.25">
      <c r="A4659" t="str">
        <f>"20190303154230714"</f>
        <v>20190303154230714</v>
      </c>
      <c r="B4659" t="str">
        <f>"1551598950704707"</f>
        <v>1551598950704707</v>
      </c>
      <c r="C4659" t="s">
        <v>40</v>
      </c>
      <c r="D4659">
        <v>5.7677589999999999</v>
      </c>
      <c r="E4659">
        <v>0.62586809999999904</v>
      </c>
      <c r="F4659" t="s">
        <v>46</v>
      </c>
      <c r="G4659">
        <v>-198.29689999999999</v>
      </c>
      <c r="H4659" s="1">
        <v>2.7995749999999998E-6</v>
      </c>
      <c r="I4659">
        <v>211.108</v>
      </c>
      <c r="J4659">
        <v>-211.36019999999999</v>
      </c>
      <c r="K4659">
        <v>1.1200209999999999</v>
      </c>
      <c r="L4659">
        <v>215.72</v>
      </c>
      <c r="M4659">
        <v>0.99991240000000003</v>
      </c>
      <c r="N4659">
        <v>-1.30692E-2</v>
      </c>
      <c r="O4659">
        <v>2.1336430000000002E-3</v>
      </c>
      <c r="P4659">
        <v>0.99719749999999996</v>
      </c>
      <c r="Q4659">
        <v>-7.4316800000000002E-2</v>
      </c>
      <c r="R4659">
        <v>-8.6324890000000001E-3</v>
      </c>
      <c r="S4659">
        <v>2.9806819999999998</v>
      </c>
      <c r="T4659">
        <v>-0.25035879999999999</v>
      </c>
      <c r="U4659">
        <v>-1.030975</v>
      </c>
      <c r="V4659">
        <v>1.062684E-2</v>
      </c>
      <c r="W4659">
        <v>-6.1301410000000001E-2</v>
      </c>
      <c r="X4659">
        <v>0.99806269999999997</v>
      </c>
      <c r="Y4659">
        <v>0.32768849999999999</v>
      </c>
      <c r="Z4659">
        <v>-1.5704289999999999E-2</v>
      </c>
      <c r="AA4659">
        <v>0.94465529999999998</v>
      </c>
      <c r="AB4659">
        <v>27</v>
      </c>
      <c r="AC4659">
        <v>13.0632999999999</v>
      </c>
      <c r="AD4659">
        <v>-1.1200182004250001</v>
      </c>
      <c r="AE4659">
        <v>-4.6119999999999903</v>
      </c>
      <c r="AF4659">
        <v>4.6097338910763401</v>
      </c>
      <c r="AG4659">
        <v>-1.1200182004250001</v>
      </c>
      <c r="AH4659">
        <v>12.968662545266101</v>
      </c>
      <c r="AI4659">
        <v>94.652225218698007</v>
      </c>
      <c r="AJ4659">
        <v>70.432154083107505</v>
      </c>
      <c r="AK4659">
        <v>13.809065700792701</v>
      </c>
      <c r="AL4659">
        <v>93.514515692828098</v>
      </c>
      <c r="AM4659">
        <v>89.389968111117497</v>
      </c>
      <c r="AN4659">
        <v>0.99999997286383102</v>
      </c>
    </row>
    <row r="4660" spans="1:40" x14ac:dyDescent="0.25">
      <c r="A4660" t="str">
        <f>"20190303154230736"</f>
        <v>20190303154230736</v>
      </c>
      <c r="B4660" t="str">
        <f>"1551598950724228"</f>
        <v>1551598950724228</v>
      </c>
      <c r="C4660" t="s">
        <v>40</v>
      </c>
      <c r="D4660">
        <v>5.3834470000000003</v>
      </c>
      <c r="E4660">
        <v>0.62594879999999997</v>
      </c>
      <c r="F4660" t="s">
        <v>46</v>
      </c>
      <c r="G4660">
        <v>-198.37430000000001</v>
      </c>
      <c r="H4660" s="1">
        <v>2.775035E-6</v>
      </c>
      <c r="I4660">
        <v>211.23179999999999</v>
      </c>
      <c r="J4660">
        <v>-211.1019</v>
      </c>
      <c r="K4660">
        <v>1.1199840000000001</v>
      </c>
      <c r="L4660">
        <v>215.7191</v>
      </c>
      <c r="M4660">
        <v>0.99991269999999999</v>
      </c>
      <c r="N4660">
        <v>-1.319272E-2</v>
      </c>
      <c r="O4660">
        <v>8.9496550000000002E-4</v>
      </c>
      <c r="P4660">
        <v>0.99696790000000002</v>
      </c>
      <c r="Q4660">
        <v>-7.7067380000000005E-2</v>
      </c>
      <c r="R4660">
        <v>-1.0759319999999999E-2</v>
      </c>
      <c r="S4660">
        <v>2.980362</v>
      </c>
      <c r="T4660">
        <v>-0.25705119999999998</v>
      </c>
      <c r="U4660">
        <v>-1.0300750000000001</v>
      </c>
      <c r="V4660">
        <v>1.150353E-2</v>
      </c>
      <c r="W4660">
        <v>-6.3934939999999996E-2</v>
      </c>
      <c r="X4660">
        <v>0.99788779999999999</v>
      </c>
      <c r="Y4660">
        <v>0.32624059999999999</v>
      </c>
      <c r="Z4660">
        <v>-1.5929189999999999E-2</v>
      </c>
      <c r="AA4660">
        <v>0.94515249999999995</v>
      </c>
      <c r="AB4660">
        <v>27</v>
      </c>
      <c r="AC4660">
        <v>12.727599999999899</v>
      </c>
      <c r="AD4660">
        <v>-1.1199812249650001</v>
      </c>
      <c r="AE4660">
        <v>-4.4873000000000003</v>
      </c>
      <c r="AF4660">
        <v>4.4679183047972799</v>
      </c>
      <c r="AG4660">
        <v>-1.1199812249650001</v>
      </c>
      <c r="AH4660">
        <v>12.636547567721401</v>
      </c>
      <c r="AI4660">
        <v>94.776595778285298</v>
      </c>
      <c r="AJ4660">
        <v>70.527876305032805</v>
      </c>
      <c r="AK4660">
        <v>13.4498693805517</v>
      </c>
      <c r="AL4660">
        <v>93.665702364687306</v>
      </c>
      <c r="AM4660">
        <v>89.339530431885095</v>
      </c>
      <c r="AN4660">
        <v>1.0000000345720499</v>
      </c>
    </row>
    <row r="4661" spans="1:40" x14ac:dyDescent="0.25">
      <c r="A4661" t="str">
        <f>"20190303154230759"</f>
        <v>20190303154230759</v>
      </c>
      <c r="B4661" t="str">
        <f>"1551598950754483"</f>
        <v>1551598950754483</v>
      </c>
      <c r="C4661" t="s">
        <v>40</v>
      </c>
      <c r="D4661">
        <v>5.6855560000000001</v>
      </c>
      <c r="E4661">
        <v>0.62618240000000003</v>
      </c>
      <c r="F4661" t="s">
        <v>46</v>
      </c>
      <c r="G4661">
        <v>-198.66489999999999</v>
      </c>
      <c r="H4661" s="1">
        <v>2.7099410000000002E-6</v>
      </c>
      <c r="I4661">
        <v>211.38659999999999</v>
      </c>
      <c r="J4661">
        <v>-210.8305</v>
      </c>
      <c r="K4661">
        <v>1.1199709999999901</v>
      </c>
      <c r="L4661">
        <v>215.71780000000001</v>
      </c>
      <c r="M4661">
        <v>0.99991149999999995</v>
      </c>
      <c r="N4661">
        <v>-1.3304079999999999E-2</v>
      </c>
      <c r="O4661">
        <v>-4.4747599999999998E-4</v>
      </c>
      <c r="P4661">
        <v>0.99687190000000003</v>
      </c>
      <c r="Q4661">
        <v>-7.742433E-2</v>
      </c>
      <c r="R4661">
        <v>-1.5883089999999999E-2</v>
      </c>
      <c r="S4661">
        <v>2.9772029999999998</v>
      </c>
      <c r="T4661">
        <v>-0.26810509999999999</v>
      </c>
      <c r="U4661">
        <v>-1.03714</v>
      </c>
      <c r="V4661">
        <v>1.5282209999999999E-2</v>
      </c>
      <c r="W4661">
        <v>-6.4191949999999998E-2</v>
      </c>
      <c r="X4661">
        <v>0.99782059999999995</v>
      </c>
      <c r="Y4661">
        <v>0.32717679999999999</v>
      </c>
      <c r="Z4661">
        <v>-1.649341E-2</v>
      </c>
      <c r="AA4661">
        <v>0.94481919999999997</v>
      </c>
      <c r="AB4661">
        <v>27</v>
      </c>
      <c r="AC4661">
        <v>12.1656</v>
      </c>
      <c r="AD4661">
        <v>-1.11996829005899</v>
      </c>
      <c r="AE4661">
        <v>-4.3312000000000204</v>
      </c>
      <c r="AF4661">
        <v>4.2934610963019599</v>
      </c>
      <c r="AG4661">
        <v>-1.11996829005899</v>
      </c>
      <c r="AH4661">
        <v>12.0766996136676</v>
      </c>
      <c r="AI4661">
        <v>94.993829308390204</v>
      </c>
      <c r="AJ4661">
        <v>70.428881332525904</v>
      </c>
      <c r="AK4661">
        <v>12.8660332159899</v>
      </c>
      <c r="AL4661">
        <v>93.680458202807003</v>
      </c>
      <c r="AM4661">
        <v>89.122550004056293</v>
      </c>
      <c r="AN4661">
        <v>1.00000005108582</v>
      </c>
    </row>
    <row r="4662" spans="1:40" x14ac:dyDescent="0.25">
      <c r="A4662" t="str">
        <f>"20190303154230781"</f>
        <v>20190303154230781</v>
      </c>
      <c r="B4662" t="str">
        <f>"1551598950774980"</f>
        <v>1551598950774980</v>
      </c>
      <c r="C4662" t="s">
        <v>40</v>
      </c>
      <c r="D4662">
        <v>5.6723739999999996</v>
      </c>
      <c r="E4662">
        <v>0.62647319999999995</v>
      </c>
      <c r="F4662" t="s">
        <v>46</v>
      </c>
      <c r="G4662">
        <v>-198.8021</v>
      </c>
      <c r="H4662" s="1">
        <v>2.6801139999999999E-6</v>
      </c>
      <c r="I4662">
        <v>211.44929999999999</v>
      </c>
      <c r="J4662">
        <v>-210.56059999999999</v>
      </c>
      <c r="K4662">
        <v>1.119985</v>
      </c>
      <c r="L4662">
        <v>215.71610000000001</v>
      </c>
      <c r="M4662">
        <v>0.99990860000000004</v>
      </c>
      <c r="N4662">
        <v>-1.339898E-2</v>
      </c>
      <c r="O4662">
        <v>-1.799913E-3</v>
      </c>
      <c r="P4662">
        <v>0.99665809999999999</v>
      </c>
      <c r="Q4662">
        <v>-7.8167810000000004E-2</v>
      </c>
      <c r="R4662">
        <v>-2.3712069999999998E-2</v>
      </c>
      <c r="S4662">
        <v>2.97113</v>
      </c>
      <c r="T4662">
        <v>-0.276644</v>
      </c>
      <c r="U4662">
        <v>-1.0543670000000001</v>
      </c>
      <c r="V4662">
        <v>2.1760450000000001E-2</v>
      </c>
      <c r="W4662">
        <v>-6.4859100000000003E-2</v>
      </c>
      <c r="X4662">
        <v>0.99765709999999996</v>
      </c>
      <c r="Y4662">
        <v>0.33127020000000001</v>
      </c>
      <c r="Z4662">
        <v>-1.7086919999999998E-2</v>
      </c>
      <c r="AA4662">
        <v>0.94338120000000003</v>
      </c>
      <c r="AB4662">
        <v>27</v>
      </c>
      <c r="AC4662">
        <v>11.7584999999999</v>
      </c>
      <c r="AD4662">
        <v>-1.1199823198859999</v>
      </c>
      <c r="AE4662">
        <v>-4.2668000000000097</v>
      </c>
      <c r="AF4662">
        <v>4.2118615676373103</v>
      </c>
      <c r="AG4662">
        <v>-1.1199823198859999</v>
      </c>
      <c r="AH4662">
        <v>11.672585581787599</v>
      </c>
      <c r="AI4662">
        <v>95.157198225277796</v>
      </c>
      <c r="AJ4662">
        <v>70.158850738292401</v>
      </c>
      <c r="AK4662">
        <v>12.459670638742899</v>
      </c>
      <c r="AL4662">
        <v>93.718763264970406</v>
      </c>
      <c r="AM4662">
        <v>88.750488233423994</v>
      </c>
      <c r="AN4662">
        <v>0.99999995460871005</v>
      </c>
    </row>
    <row r="4663" spans="1:40" x14ac:dyDescent="0.25">
      <c r="A4663" t="str">
        <f>"20190303154230804"</f>
        <v>20190303154230804</v>
      </c>
      <c r="B4663" t="str">
        <f>"1551598950794499"</f>
        <v>1551598950794499</v>
      </c>
      <c r="C4663" t="s">
        <v>40</v>
      </c>
      <c r="D4663">
        <v>5.6511979999999999</v>
      </c>
      <c r="E4663">
        <v>0.62669430000000004</v>
      </c>
      <c r="F4663" t="s">
        <v>46</v>
      </c>
      <c r="G4663">
        <v>-198.81039999999999</v>
      </c>
      <c r="H4663" s="1">
        <v>2.6802920000000002E-6</v>
      </c>
      <c r="I4663">
        <v>211.43049999999999</v>
      </c>
      <c r="J4663">
        <v>-210.29230000000001</v>
      </c>
      <c r="K4663">
        <v>1.1200159999999999</v>
      </c>
      <c r="L4663">
        <v>215.7141</v>
      </c>
      <c r="M4663">
        <v>0.99990440000000003</v>
      </c>
      <c r="N4663">
        <v>-1.3479919999999999E-2</v>
      </c>
      <c r="O4663">
        <v>-3.1199209999999999E-3</v>
      </c>
      <c r="P4663">
        <v>0.99625490000000005</v>
      </c>
      <c r="Q4663">
        <v>-7.9450350000000003E-2</v>
      </c>
      <c r="R4663">
        <v>-3.4117370000000001E-2</v>
      </c>
      <c r="S4663">
        <v>2.9622039999999998</v>
      </c>
      <c r="T4663">
        <v>-0.28234589999999998</v>
      </c>
      <c r="U4663">
        <v>-1.0803990000000001</v>
      </c>
      <c r="V4663">
        <v>3.0851940000000001E-2</v>
      </c>
      <c r="W4663">
        <v>-6.6085669999999999E-2</v>
      </c>
      <c r="X4663">
        <v>0.99733689999999997</v>
      </c>
      <c r="Y4663">
        <v>0.33816030000000002</v>
      </c>
      <c r="Z4663">
        <v>-1.7689819999999998E-2</v>
      </c>
      <c r="AA4663">
        <v>0.94092229999999999</v>
      </c>
      <c r="AB4663">
        <v>27</v>
      </c>
      <c r="AC4663">
        <v>11.4819</v>
      </c>
      <c r="AD4663">
        <v>-1.120013319708</v>
      </c>
      <c r="AE4663">
        <v>-4.2835999999999999</v>
      </c>
      <c r="AF4663">
        <v>4.2125671312152999</v>
      </c>
      <c r="AG4663">
        <v>-1.120013319708</v>
      </c>
      <c r="AH4663">
        <v>11.3999895654259</v>
      </c>
      <c r="AI4663">
        <v>95.265293147752004</v>
      </c>
      <c r="AJ4663">
        <v>69.719530293624004</v>
      </c>
      <c r="AK4663">
        <v>12.204913509039701</v>
      </c>
      <c r="AL4663">
        <v>93.789191402143501</v>
      </c>
      <c r="AM4663">
        <v>88.2281589867722</v>
      </c>
      <c r="AN4663">
        <v>1.0000000250413601</v>
      </c>
    </row>
    <row r="4664" spans="1:40" x14ac:dyDescent="0.25">
      <c r="A4664" t="str">
        <f>"20190303154230827"</f>
        <v>20190303154230827</v>
      </c>
      <c r="B4664" t="str">
        <f>"1551598950824756"</f>
        <v>1551598950824756</v>
      </c>
      <c r="C4664" t="s">
        <v>40</v>
      </c>
      <c r="D4664">
        <v>5.6228499999999997</v>
      </c>
      <c r="E4664">
        <v>0.62697789999999998</v>
      </c>
      <c r="F4664" t="s">
        <v>46</v>
      </c>
      <c r="G4664">
        <v>-198.95339999999999</v>
      </c>
      <c r="H4664" s="1">
        <v>2.6544520000000001E-6</v>
      </c>
      <c r="I4664">
        <v>211.43600000000001</v>
      </c>
      <c r="J4664">
        <v>-210.01490000000001</v>
      </c>
      <c r="K4664">
        <v>1.120085</v>
      </c>
      <c r="L4664">
        <v>215.71170000000001</v>
      </c>
      <c r="M4664">
        <v>0.99989850000000002</v>
      </c>
      <c r="N4664">
        <v>-1.3551590000000001E-2</v>
      </c>
      <c r="O4664">
        <v>-4.4223969999999998E-3</v>
      </c>
      <c r="P4664">
        <v>0.99583960000000005</v>
      </c>
      <c r="Q4664">
        <v>-7.9741729999999997E-2</v>
      </c>
      <c r="R4664">
        <v>-4.4101170000000002E-2</v>
      </c>
      <c r="S4664">
        <v>2.9499360000000001</v>
      </c>
      <c r="T4664">
        <v>-0.29138229999999998</v>
      </c>
      <c r="U4664">
        <v>-1.1129910000000001</v>
      </c>
      <c r="V4664">
        <v>3.9547400000000003E-2</v>
      </c>
      <c r="W4664">
        <v>-6.6325690000000007E-2</v>
      </c>
      <c r="X4664">
        <v>0.99701399999999996</v>
      </c>
      <c r="Y4664">
        <v>0.34717140000000002</v>
      </c>
      <c r="Z4664">
        <v>-1.8612440000000001E-2</v>
      </c>
      <c r="AA4664">
        <v>0.93761700000000003</v>
      </c>
      <c r="AB4664">
        <v>27</v>
      </c>
      <c r="AC4664">
        <v>11.061500000000001</v>
      </c>
      <c r="AD4664">
        <v>-1.120082345548</v>
      </c>
      <c r="AE4664">
        <v>-4.27570000000002</v>
      </c>
      <c r="AF4664">
        <v>4.1893635455978</v>
      </c>
      <c r="AG4664">
        <v>-1.120082345548</v>
      </c>
      <c r="AH4664">
        <v>10.982332951034801</v>
      </c>
      <c r="AI4664">
        <v>95.443374945622693</v>
      </c>
      <c r="AJ4664">
        <v>69.119952759569301</v>
      </c>
      <c r="AK4664">
        <v>11.807497127900501</v>
      </c>
      <c r="AL4664">
        <v>93.802973849346102</v>
      </c>
      <c r="AM4664">
        <v>87.728505458707701</v>
      </c>
      <c r="AN4664">
        <v>1.00000000509836</v>
      </c>
    </row>
    <row r="4665" spans="1:40" x14ac:dyDescent="0.25">
      <c r="A4665" t="str">
        <f>"20190303154230848"</f>
        <v>20190303154230848</v>
      </c>
      <c r="B4665" t="str">
        <f>"1551598950844275"</f>
        <v>1551598950844275</v>
      </c>
      <c r="C4665" t="s">
        <v>40</v>
      </c>
      <c r="D4665">
        <v>5.5636229999999998</v>
      </c>
      <c r="E4665">
        <v>0.6271873</v>
      </c>
      <c r="F4665" t="s">
        <v>46</v>
      </c>
      <c r="G4665">
        <v>-199.0882</v>
      </c>
      <c r="H4665" s="1">
        <v>2.6290519999999999E-6</v>
      </c>
      <c r="I4665">
        <v>211.4529</v>
      </c>
      <c r="J4665">
        <v>-209.76730000000001</v>
      </c>
      <c r="K4665">
        <v>1.120158</v>
      </c>
      <c r="L4665">
        <v>215.70930000000001</v>
      </c>
      <c r="M4665">
        <v>0.99989240000000001</v>
      </c>
      <c r="N4665">
        <v>-1.3606500000000001E-2</v>
      </c>
      <c r="O4665">
        <v>-5.5204919999999897E-3</v>
      </c>
      <c r="P4665">
        <v>0.99550340000000004</v>
      </c>
      <c r="Q4665">
        <v>-7.8632939999999998E-2</v>
      </c>
      <c r="R4665">
        <v>-5.2822059999999997E-2</v>
      </c>
      <c r="S4665">
        <v>2.9377140000000002</v>
      </c>
      <c r="T4665">
        <v>-0.30114350000000001</v>
      </c>
      <c r="U4665">
        <v>-1.1450039999999999</v>
      </c>
      <c r="V4665">
        <v>4.7187239999999998E-2</v>
      </c>
      <c r="W4665">
        <v>-6.5176509999999993E-2</v>
      </c>
      <c r="X4665">
        <v>0.99675740000000002</v>
      </c>
      <c r="Y4665">
        <v>0.35615940000000001</v>
      </c>
      <c r="Z4665">
        <v>-1.961131E-2</v>
      </c>
      <c r="AA4665">
        <v>0.93421940000000003</v>
      </c>
      <c r="AB4665">
        <v>27</v>
      </c>
      <c r="AC4665">
        <v>10.6791</v>
      </c>
      <c r="AD4665">
        <v>-1.1201553709480001</v>
      </c>
      <c r="AE4665">
        <v>-4.25640000000001</v>
      </c>
      <c r="AF4665">
        <v>4.1579000679983498</v>
      </c>
      <c r="AG4665">
        <v>-1.1201553709480001</v>
      </c>
      <c r="AH4665">
        <v>10.601781920382001</v>
      </c>
      <c r="AI4665">
        <v>95.617714878370805</v>
      </c>
      <c r="AJ4665">
        <v>68.585444860523495</v>
      </c>
      <c r="AK4665">
        <v>11.4429306088022</v>
      </c>
      <c r="AL4665">
        <v>93.736988046803205</v>
      </c>
      <c r="AM4665">
        <v>87.289598585182404</v>
      </c>
      <c r="AN4665">
        <v>0.99999996376467803</v>
      </c>
    </row>
    <row r="4666" spans="1:40" x14ac:dyDescent="0.25">
      <c r="A4666" t="str">
        <f>"20190303154230870"</f>
        <v>20190303154230870</v>
      </c>
      <c r="B4666" t="str">
        <f>"1551598950864771"</f>
        <v>1551598950864771</v>
      </c>
      <c r="C4666" t="s">
        <v>40</v>
      </c>
      <c r="D4666">
        <v>5.5878439999999996</v>
      </c>
      <c r="E4666">
        <v>0.62734380000000001</v>
      </c>
      <c r="F4666" t="s">
        <v>46</v>
      </c>
      <c r="G4666">
        <v>-198.9331</v>
      </c>
      <c r="H4666" s="1">
        <v>2.6637410000000001E-6</v>
      </c>
      <c r="I4666">
        <v>211.37100000000001</v>
      </c>
      <c r="J4666">
        <v>-209.4999</v>
      </c>
      <c r="K4666">
        <v>1.1202099999999999</v>
      </c>
      <c r="L4666">
        <v>215.70650000000001</v>
      </c>
      <c r="M4666">
        <v>0.99988469999999996</v>
      </c>
      <c r="N4666">
        <v>-1.365766E-2</v>
      </c>
      <c r="O4666">
        <v>-6.6556580000000001E-3</v>
      </c>
      <c r="P4666">
        <v>0.99506470000000002</v>
      </c>
      <c r="Q4666">
        <v>-7.9501260000000004E-2</v>
      </c>
      <c r="R4666">
        <v>-5.9378130000000001E-2</v>
      </c>
      <c r="S4666">
        <v>2.9274749999999998</v>
      </c>
      <c r="T4666">
        <v>-0.30267369999999999</v>
      </c>
      <c r="U4666">
        <v>-1.1722410000000001</v>
      </c>
      <c r="V4666">
        <v>5.2621460000000002E-2</v>
      </c>
      <c r="W4666">
        <v>-6.6003930000000002E-2</v>
      </c>
      <c r="X4666">
        <v>0.99643090000000001</v>
      </c>
      <c r="Y4666">
        <v>0.3636491</v>
      </c>
      <c r="Z4666">
        <v>-2.0066210000000001E-2</v>
      </c>
      <c r="AA4666">
        <v>0.93131989999999998</v>
      </c>
      <c r="AB4666">
        <v>27</v>
      </c>
      <c r="AC4666">
        <v>10.566800000000001</v>
      </c>
      <c r="AD4666">
        <v>-1.1202073362589999</v>
      </c>
      <c r="AE4666">
        <v>-4.3355000000000201</v>
      </c>
      <c r="AF4666">
        <v>4.2244326341875498</v>
      </c>
      <c r="AG4666">
        <v>-1.1202073362589999</v>
      </c>
      <c r="AH4666">
        <v>10.494475498825899</v>
      </c>
      <c r="AI4666">
        <v>95.655054600857</v>
      </c>
      <c r="AJ4666">
        <v>68.073306084138196</v>
      </c>
      <c r="AK4666">
        <v>11.368144595863299</v>
      </c>
      <c r="AL4666">
        <v>93.784497749709601</v>
      </c>
      <c r="AM4666">
        <v>86.977021259100198</v>
      </c>
      <c r="AN4666">
        <v>1.00000003765139</v>
      </c>
    </row>
    <row r="4667" spans="1:40" x14ac:dyDescent="0.25">
      <c r="A4667" t="str">
        <f>"20190303154230893"</f>
        <v>20190303154230893</v>
      </c>
      <c r="B4667" t="str">
        <f>"1551598950884291"</f>
        <v>1551598950884291</v>
      </c>
      <c r="C4667" t="s">
        <v>40</v>
      </c>
      <c r="D4667">
        <v>5.5674460000000003</v>
      </c>
      <c r="E4667">
        <v>0.62740569999999996</v>
      </c>
      <c r="F4667" t="s">
        <v>46</v>
      </c>
      <c r="G4667">
        <v>-198.9049</v>
      </c>
      <c r="H4667" s="1">
        <v>2.6682769999999999E-6</v>
      </c>
      <c r="I4667">
        <v>211.37620000000001</v>
      </c>
      <c r="J4667">
        <v>-209.23349999999999</v>
      </c>
      <c r="K4667">
        <v>1.1202110000000001</v>
      </c>
      <c r="L4667">
        <v>215.70339999999999</v>
      </c>
      <c r="M4667">
        <v>0.99987590000000004</v>
      </c>
      <c r="N4667">
        <v>-1.3701400000000001E-2</v>
      </c>
      <c r="O4667">
        <v>-7.7799979999999998E-3</v>
      </c>
      <c r="P4667">
        <v>0.99452859999999998</v>
      </c>
      <c r="Q4667">
        <v>-8.3451600000000001E-2</v>
      </c>
      <c r="R4667">
        <v>-6.2839800000000001E-2</v>
      </c>
      <c r="S4667">
        <v>2.9190369999999999</v>
      </c>
      <c r="T4667">
        <v>-0.30863030000000002</v>
      </c>
      <c r="U4667">
        <v>-1.193039</v>
      </c>
      <c r="V4667">
        <v>5.4961709999999997E-2</v>
      </c>
      <c r="W4667">
        <v>-6.9919720000000005E-2</v>
      </c>
      <c r="X4667">
        <v>0.99603739999999996</v>
      </c>
      <c r="Y4667">
        <v>0.3691236</v>
      </c>
      <c r="Z4667">
        <v>-2.0661269999999999E-2</v>
      </c>
      <c r="AA4667">
        <v>0.92915060000000005</v>
      </c>
      <c r="AB4667">
        <v>27</v>
      </c>
      <c r="AC4667">
        <v>10.3285999999999</v>
      </c>
      <c r="AD4667">
        <v>-1.1202083317230001</v>
      </c>
      <c r="AE4667">
        <v>-4.3271999999999702</v>
      </c>
      <c r="AF4667">
        <v>4.2046311700617496</v>
      </c>
      <c r="AG4667">
        <v>-1.1202083317230001</v>
      </c>
      <c r="AH4667">
        <v>10.2592960453636</v>
      </c>
      <c r="AI4667">
        <v>95.769226413281899</v>
      </c>
      <c r="AJ4667">
        <v>67.714404495659593</v>
      </c>
      <c r="AK4667">
        <v>11.143919657334701</v>
      </c>
      <c r="AL4667">
        <v>94.009376096539995</v>
      </c>
      <c r="AM4667">
        <v>86.841600860042902</v>
      </c>
      <c r="AN4667">
        <v>1.0000000295048801</v>
      </c>
    </row>
    <row r="4668" spans="1:40" x14ac:dyDescent="0.25">
      <c r="A4668" t="str">
        <f>"20190303154230915"</f>
        <v>20190303154230915</v>
      </c>
      <c r="B4668" t="str">
        <f>"1551598950904788"</f>
        <v>1551598950904788</v>
      </c>
      <c r="C4668" t="s">
        <v>40</v>
      </c>
      <c r="D4668">
        <v>5.212885</v>
      </c>
      <c r="E4668">
        <v>0.62764019999999898</v>
      </c>
      <c r="F4668" t="s">
        <v>46</v>
      </c>
      <c r="G4668">
        <v>-199.24039999999999</v>
      </c>
      <c r="H4668" s="1">
        <v>2.591351E-6</v>
      </c>
      <c r="I4668">
        <v>211.5754</v>
      </c>
      <c r="J4668">
        <v>-208.9699</v>
      </c>
      <c r="K4668">
        <v>1.1201449999999999</v>
      </c>
      <c r="L4668">
        <v>215.7</v>
      </c>
      <c r="M4668">
        <v>0.99986549999999996</v>
      </c>
      <c r="N4668">
        <v>-1.3739009999999999E-2</v>
      </c>
      <c r="O4668">
        <v>-8.965219E-3</v>
      </c>
      <c r="P4668">
        <v>0.99409599999999998</v>
      </c>
      <c r="Q4668">
        <v>-8.5931839999999995E-2</v>
      </c>
      <c r="R4668">
        <v>-6.6250569999999995E-2</v>
      </c>
      <c r="S4668">
        <v>2.9130859999999998</v>
      </c>
      <c r="T4668">
        <v>-0.32655119999999999</v>
      </c>
      <c r="U4668">
        <v>-1.2033389999999999</v>
      </c>
      <c r="V4668">
        <v>5.718384E-2</v>
      </c>
      <c r="W4668">
        <v>-7.2377639999999993E-2</v>
      </c>
      <c r="X4668">
        <v>0.99573670000000003</v>
      </c>
      <c r="Y4668">
        <v>0.37126169999999997</v>
      </c>
      <c r="Z4668">
        <v>-2.1748719999999999E-2</v>
      </c>
      <c r="AA4668">
        <v>0.92827349999999997</v>
      </c>
      <c r="AB4668">
        <v>26</v>
      </c>
      <c r="AC4668">
        <v>9.7294999999999998</v>
      </c>
      <c r="AD4668">
        <v>-1.1201424086489999</v>
      </c>
      <c r="AE4668">
        <v>-4.1245999999999796</v>
      </c>
      <c r="AF4668">
        <v>3.99234330301831</v>
      </c>
      <c r="AG4668">
        <v>-1.1201424086489999</v>
      </c>
      <c r="AH4668">
        <v>9.6575835160864294</v>
      </c>
      <c r="AI4668">
        <v>96.118066195782205</v>
      </c>
      <c r="AJ4668">
        <v>67.540314125195707</v>
      </c>
      <c r="AK4668">
        <v>10.5101114853741</v>
      </c>
      <c r="AL4668">
        <v>94.150562311745801</v>
      </c>
      <c r="AM4668">
        <v>86.7131894467488</v>
      </c>
      <c r="AN4668">
        <v>1.000000045028</v>
      </c>
    </row>
    <row r="4669" spans="1:40" x14ac:dyDescent="0.25">
      <c r="A4669" t="str">
        <f>"20190303154230937"</f>
        <v>20190303154230937</v>
      </c>
      <c r="B4669" t="str">
        <f>"1551598950934068"</f>
        <v>1551598950934068</v>
      </c>
      <c r="C4669" t="s">
        <v>40</v>
      </c>
      <c r="D4669">
        <v>5.5552409999999997</v>
      </c>
      <c r="E4669">
        <v>0.62765789999999999</v>
      </c>
      <c r="F4669" t="s">
        <v>46</v>
      </c>
      <c r="G4669">
        <v>-199.08580000000001</v>
      </c>
      <c r="H4669" s="1">
        <v>2.6192650000000002E-6</v>
      </c>
      <c r="I4669">
        <v>211.56979999999999</v>
      </c>
      <c r="J4669">
        <v>-208.71250000000001</v>
      </c>
      <c r="K4669">
        <v>1.1200139999999901</v>
      </c>
      <c r="L4669">
        <v>215.6962</v>
      </c>
      <c r="M4669">
        <v>0.99985210000000002</v>
      </c>
      <c r="N4669">
        <v>-1.377158E-2</v>
      </c>
      <c r="O4669">
        <v>-1.030971E-2</v>
      </c>
      <c r="P4669">
        <v>0.99373520000000004</v>
      </c>
      <c r="Q4669">
        <v>-8.7827089999999997E-2</v>
      </c>
      <c r="R4669">
        <v>-6.9115099999999999E-2</v>
      </c>
      <c r="S4669">
        <v>2.9083399999999999</v>
      </c>
      <c r="T4669">
        <v>-0.3295959</v>
      </c>
      <c r="U4669">
        <v>-1.2152860000000001</v>
      </c>
      <c r="V4669">
        <v>5.8688650000000002E-2</v>
      </c>
      <c r="W4669">
        <v>-7.4264269999999993E-2</v>
      </c>
      <c r="X4669">
        <v>0.99551020000000001</v>
      </c>
      <c r="Y4669">
        <v>0.373747</v>
      </c>
      <c r="Z4669">
        <v>-2.1972419999999999E-2</v>
      </c>
      <c r="AA4669">
        <v>0.92727040000000005</v>
      </c>
      <c r="AB4669">
        <v>26</v>
      </c>
      <c r="AC4669">
        <v>9.6266999999999996</v>
      </c>
      <c r="AD4669">
        <v>-1.1200113807349901</v>
      </c>
      <c r="AE4669">
        <v>-4.1264000000000101</v>
      </c>
      <c r="AF4669">
        <v>3.9813955097755001</v>
      </c>
      <c r="AG4669">
        <v>-1.1200113807349901</v>
      </c>
      <c r="AH4669">
        <v>9.5594223080477594</v>
      </c>
      <c r="AI4669">
        <v>96.172964021561995</v>
      </c>
      <c r="AJ4669">
        <v>67.388802801038196</v>
      </c>
      <c r="AK4669">
        <v>10.4157808426367</v>
      </c>
      <c r="AL4669">
        <v>94.258949980018798</v>
      </c>
      <c r="AM4669">
        <v>86.626127515284594</v>
      </c>
      <c r="AN4669">
        <v>1.0000000488707399</v>
      </c>
    </row>
    <row r="4670" spans="1:40" x14ac:dyDescent="0.25">
      <c r="A4670" t="str">
        <f>"20190303154230960"</f>
        <v>20190303154230960</v>
      </c>
      <c r="B4670" t="str">
        <f>"1551598950954567"</f>
        <v>1551598950954567</v>
      </c>
      <c r="C4670" t="s">
        <v>40</v>
      </c>
      <c r="D4670">
        <v>5.5905050000000003</v>
      </c>
      <c r="E4670">
        <v>0.62766829999999996</v>
      </c>
      <c r="F4670" t="s">
        <v>46</v>
      </c>
      <c r="G4670">
        <v>-199.21119999999999</v>
      </c>
      <c r="H4670" s="1">
        <v>2.586305E-6</v>
      </c>
      <c r="I4670">
        <v>211.69229999999999</v>
      </c>
      <c r="J4670">
        <v>-208.44460000000001</v>
      </c>
      <c r="K4670">
        <v>1.1198129999999999</v>
      </c>
      <c r="L4670">
        <v>215.69159999999999</v>
      </c>
      <c r="M4670">
        <v>0.99983299999999997</v>
      </c>
      <c r="N4670">
        <v>-1.3803569999999999E-2</v>
      </c>
      <c r="O4670">
        <v>-1.1990010000000001E-2</v>
      </c>
      <c r="P4670">
        <v>0.99334250000000002</v>
      </c>
      <c r="Q4670">
        <v>-8.9486430000000006E-2</v>
      </c>
      <c r="R4670">
        <v>-7.254758E-2</v>
      </c>
      <c r="S4670">
        <v>2.9035639999999998</v>
      </c>
      <c r="T4670">
        <v>-0.34227429999999998</v>
      </c>
      <c r="U4670">
        <v>-1.223587</v>
      </c>
      <c r="V4670">
        <v>6.041436E-2</v>
      </c>
      <c r="W4670">
        <v>-7.5928079999999995E-2</v>
      </c>
      <c r="X4670">
        <v>0.99528139999999998</v>
      </c>
      <c r="Y4670">
        <v>0.37481550000000002</v>
      </c>
      <c r="Z4670">
        <v>-2.2633839999999999E-2</v>
      </c>
      <c r="AA4670">
        <v>0.92682310000000001</v>
      </c>
      <c r="AB4670">
        <v>26</v>
      </c>
      <c r="AC4670">
        <v>9.2334000000000103</v>
      </c>
      <c r="AD4670">
        <v>-1.119810413695</v>
      </c>
      <c r="AE4670">
        <v>-3.9992999999999999</v>
      </c>
      <c r="AF4670">
        <v>3.8407262403062901</v>
      </c>
      <c r="AG4670">
        <v>-1.119810413695</v>
      </c>
      <c r="AH4670">
        <v>9.1671577294753508</v>
      </c>
      <c r="AI4670">
        <v>96.428173208150696</v>
      </c>
      <c r="AJ4670">
        <v>67.267979330654995</v>
      </c>
      <c r="AK4670">
        <v>10.0020964928697</v>
      </c>
      <c r="AL4670">
        <v>94.354549361822293</v>
      </c>
      <c r="AM4670">
        <v>86.526363456635906</v>
      </c>
      <c r="AN4670">
        <v>1.0000000167063201</v>
      </c>
    </row>
    <row r="4671" spans="1:40" x14ac:dyDescent="0.25">
      <c r="A4671" t="str">
        <f>"20190303154230982"</f>
        <v>20190303154230982</v>
      </c>
      <c r="B4671" t="str">
        <f>"1551598950974084"</f>
        <v>1551598950974084</v>
      </c>
      <c r="C4671" t="s">
        <v>40</v>
      </c>
      <c r="D4671">
        <v>5.595237</v>
      </c>
      <c r="E4671">
        <v>0.62761800000000001</v>
      </c>
      <c r="F4671" t="s">
        <v>46</v>
      </c>
      <c r="G4671">
        <v>-199.17740000000001</v>
      </c>
      <c r="H4671" s="1">
        <v>2.5875659999999999E-6</v>
      </c>
      <c r="I4671">
        <v>211.7465</v>
      </c>
      <c r="J4671">
        <v>-208.18260000000001</v>
      </c>
      <c r="K4671">
        <v>1.119586</v>
      </c>
      <c r="L4671">
        <v>215.68629999999999</v>
      </c>
      <c r="M4671">
        <v>0.99980760000000002</v>
      </c>
      <c r="N4671">
        <v>-1.383331E-2</v>
      </c>
      <c r="O4671">
        <v>-1.390714E-2</v>
      </c>
      <c r="P4671">
        <v>0.99298620000000004</v>
      </c>
      <c r="Q4671">
        <v>-9.0741349999999998E-2</v>
      </c>
      <c r="R4671">
        <v>-7.5792129999999999E-2</v>
      </c>
      <c r="S4671">
        <v>2.8984380000000001</v>
      </c>
      <c r="T4671">
        <v>-0.35023609999999999</v>
      </c>
      <c r="U4671">
        <v>-1.233887</v>
      </c>
      <c r="V4671">
        <v>6.1713990000000003E-2</v>
      </c>
      <c r="W4671">
        <v>-7.7191609999999994E-2</v>
      </c>
      <c r="X4671">
        <v>0.9951044</v>
      </c>
      <c r="Y4671">
        <v>0.3763049</v>
      </c>
      <c r="Z4671">
        <v>-2.3019870000000001E-2</v>
      </c>
      <c r="AA4671">
        <v>0.92620990000000003</v>
      </c>
      <c r="AB4671">
        <v>26</v>
      </c>
      <c r="AC4671">
        <v>9.0052000000000003</v>
      </c>
      <c r="AD4671">
        <v>-1.1195834124339901</v>
      </c>
      <c r="AE4671">
        <v>-3.9397999999999902</v>
      </c>
      <c r="AF4671">
        <v>3.76532004226581</v>
      </c>
      <c r="AG4671">
        <v>-1.1195834124339901</v>
      </c>
      <c r="AH4671">
        <v>8.9431000256021296</v>
      </c>
      <c r="AI4671">
        <v>96.581689220928297</v>
      </c>
      <c r="AJ4671">
        <v>67.167411131356999</v>
      </c>
      <c r="AK4671">
        <v>9.7678114286676703</v>
      </c>
      <c r="AL4671">
        <v>94.427157640863101</v>
      </c>
      <c r="AM4671">
        <v>86.451198194306301</v>
      </c>
      <c r="AN4671">
        <v>0.99999996405773495</v>
      </c>
    </row>
    <row r="4672" spans="1:40" x14ac:dyDescent="0.25">
      <c r="A4672" t="str">
        <f>"20190303154231006"</f>
        <v>20190303154231006</v>
      </c>
      <c r="B4672" t="str">
        <f>"1551598950994581"</f>
        <v>1551598950994581</v>
      </c>
      <c r="C4672" t="s">
        <v>40</v>
      </c>
      <c r="D4672">
        <v>5.6081110000000001</v>
      </c>
      <c r="E4672">
        <v>0.62764529999999996</v>
      </c>
      <c r="F4672" t="s">
        <v>46</v>
      </c>
      <c r="G4672">
        <v>-199.11689999999999</v>
      </c>
      <c r="H4672" s="1">
        <v>2.5943019999999999E-6</v>
      </c>
      <c r="I4672">
        <v>211.79239999999999</v>
      </c>
      <c r="J4672">
        <v>-207.9091</v>
      </c>
      <c r="K4672">
        <v>1.1193610000000001</v>
      </c>
      <c r="L4672">
        <v>215.6799</v>
      </c>
      <c r="M4672">
        <v>0.99977169999999904</v>
      </c>
      <c r="N4672">
        <v>-1.386166E-2</v>
      </c>
      <c r="O4672">
        <v>-1.6261029999999999E-2</v>
      </c>
      <c r="P4672">
        <v>0.99269909999999995</v>
      </c>
      <c r="Q4672">
        <v>-9.0364659999999999E-2</v>
      </c>
      <c r="R4672">
        <v>-7.9893549999999994E-2</v>
      </c>
      <c r="S4672">
        <v>2.8936459999999999</v>
      </c>
      <c r="T4672">
        <v>-0.35735539999999999</v>
      </c>
      <c r="U4672">
        <v>-1.2428889999999999</v>
      </c>
      <c r="V4672">
        <v>6.3436939999999997E-2</v>
      </c>
      <c r="W4672">
        <v>-7.6829729999999999E-2</v>
      </c>
      <c r="X4672">
        <v>0.99502409999999997</v>
      </c>
      <c r="Y4672">
        <v>0.37701879999999999</v>
      </c>
      <c r="Z4672">
        <v>-2.3254609999999998E-2</v>
      </c>
      <c r="AA4672">
        <v>0.9259136</v>
      </c>
      <c r="AB4672">
        <v>26</v>
      </c>
      <c r="AC4672">
        <v>8.7921999999999993</v>
      </c>
      <c r="AD4672">
        <v>-1.1193584056979999</v>
      </c>
      <c r="AE4672">
        <v>-3.8875000000000099</v>
      </c>
      <c r="AF4672">
        <v>3.6939199776000802</v>
      </c>
      <c r="AG4672">
        <v>-1.1193584056979999</v>
      </c>
      <c r="AH4672">
        <v>8.7358183770332403</v>
      </c>
      <c r="AI4672">
        <v>96.730756659018596</v>
      </c>
      <c r="AJ4672">
        <v>67.079044137979494</v>
      </c>
      <c r="AK4672">
        <v>9.5505251561278808</v>
      </c>
      <c r="AL4672">
        <v>94.406361498957097</v>
      </c>
      <c r="AM4672">
        <v>86.352091957699301</v>
      </c>
      <c r="AN4672">
        <v>1.0000000061746199</v>
      </c>
    </row>
    <row r="4673" spans="1:40" x14ac:dyDescent="0.25">
      <c r="A4673" t="str">
        <f>"20190303154231029"</f>
        <v>20190303154231029</v>
      </c>
      <c r="B4673" t="str">
        <f>"1551598951024835"</f>
        <v>1551598951024835</v>
      </c>
      <c r="C4673" t="s">
        <v>40</v>
      </c>
      <c r="D4673">
        <v>5.5968439999999999</v>
      </c>
      <c r="E4673">
        <v>0.62776609999999999</v>
      </c>
      <c r="F4673" t="s">
        <v>46</v>
      </c>
      <c r="G4673">
        <v>-198.97030000000001</v>
      </c>
      <c r="H4673" s="1">
        <v>2.619926E-6</v>
      </c>
      <c r="I4673">
        <v>211.79660000000001</v>
      </c>
      <c r="J4673">
        <v>-207.64250000000001</v>
      </c>
      <c r="K4673">
        <v>1.1191450000000001</v>
      </c>
      <c r="L4673">
        <v>215.67269999999999</v>
      </c>
      <c r="M4673">
        <v>0.99972380000000005</v>
      </c>
      <c r="N4673">
        <v>-1.3887709999999999E-2</v>
      </c>
      <c r="O4673">
        <v>-1.8960930000000001E-2</v>
      </c>
      <c r="P4673">
        <v>0.99256069999999996</v>
      </c>
      <c r="Q4673">
        <v>-8.6853159999999999E-2</v>
      </c>
      <c r="R4673">
        <v>-8.5323360000000001E-2</v>
      </c>
      <c r="S4673">
        <v>2.8881679999999998</v>
      </c>
      <c r="T4673">
        <v>-0.36166949999999998</v>
      </c>
      <c r="U4673">
        <v>-1.254715</v>
      </c>
      <c r="V4673">
        <v>6.6154420000000005E-2</v>
      </c>
      <c r="W4673">
        <v>-7.3341080000000003E-2</v>
      </c>
      <c r="X4673">
        <v>0.99511039999999995</v>
      </c>
      <c r="Y4673">
        <v>0.37829119999999999</v>
      </c>
      <c r="Z4673">
        <v>-2.3325019999999998E-2</v>
      </c>
      <c r="AA4673">
        <v>0.92539269999999996</v>
      </c>
      <c r="AB4673">
        <v>26</v>
      </c>
      <c r="AC4673">
        <v>8.6722000000000001</v>
      </c>
      <c r="AD4673">
        <v>-1.1191423800739999</v>
      </c>
      <c r="AE4673">
        <v>-3.8760999999999801</v>
      </c>
      <c r="AF4673">
        <v>3.6601484869837302</v>
      </c>
      <c r="AG4673">
        <v>-1.1191423800739999</v>
      </c>
      <c r="AH4673">
        <v>8.6244283951724992</v>
      </c>
      <c r="AI4673">
        <v>96.811825736383</v>
      </c>
      <c r="AJ4673">
        <v>67.003964015529405</v>
      </c>
      <c r="AK4673">
        <v>9.4355673786532197</v>
      </c>
      <c r="AL4673">
        <v>94.205910587768301</v>
      </c>
      <c r="AM4673">
        <v>86.196602959345299</v>
      </c>
      <c r="AN4673">
        <v>1.00000001474463</v>
      </c>
    </row>
    <row r="4674" spans="1:40" x14ac:dyDescent="0.25">
      <c r="A4674" t="str">
        <f>"20190303154231049"</f>
        <v>20190303154231049</v>
      </c>
      <c r="B4674" t="str">
        <f>"1551598951044355"</f>
        <v>1551598951044355</v>
      </c>
      <c r="C4674" t="s">
        <v>40</v>
      </c>
      <c r="D4674">
        <v>5.5784729999999998</v>
      </c>
      <c r="E4674">
        <v>0.62776259999999995</v>
      </c>
      <c r="F4674" t="s">
        <v>46</v>
      </c>
      <c r="G4674">
        <v>-198.48179999999999</v>
      </c>
      <c r="H4674" s="1">
        <v>2.7208540000000001E-6</v>
      </c>
      <c r="I4674">
        <v>211.63339999999999</v>
      </c>
      <c r="J4674">
        <v>-207.39320000000001</v>
      </c>
      <c r="K4674">
        <v>1.11893</v>
      </c>
      <c r="L4674">
        <v>215.66489999999999</v>
      </c>
      <c r="M4674">
        <v>0.99966379999999999</v>
      </c>
      <c r="N4674">
        <v>-1.39127E-2</v>
      </c>
      <c r="O4674">
        <v>-2.1880819999999999E-2</v>
      </c>
      <c r="P4674">
        <v>0.99243990000000004</v>
      </c>
      <c r="Q4674">
        <v>-8.2201590000000005E-2</v>
      </c>
      <c r="R4674">
        <v>-9.113694E-2</v>
      </c>
      <c r="S4674">
        <v>2.882431</v>
      </c>
      <c r="T4674">
        <v>-0.35213850000000002</v>
      </c>
      <c r="U4674">
        <v>-1.270966</v>
      </c>
      <c r="V4674">
        <v>6.9044430000000004E-2</v>
      </c>
      <c r="W4674">
        <v>-6.8718360000000006E-2</v>
      </c>
      <c r="X4674">
        <v>0.99524400000000002</v>
      </c>
      <c r="Y4674">
        <v>0.38076510000000002</v>
      </c>
      <c r="Z4674">
        <v>-2.2677220000000001E-2</v>
      </c>
      <c r="AA4674">
        <v>0.92439369999999998</v>
      </c>
      <c r="AB4674">
        <v>26</v>
      </c>
      <c r="AC4674">
        <v>8.9114000000000093</v>
      </c>
      <c r="AD4674">
        <v>-1.1189272791460001</v>
      </c>
      <c r="AE4674">
        <v>-4.0314999999999896</v>
      </c>
      <c r="AF4674">
        <v>3.7859792339702398</v>
      </c>
      <c r="AG4674">
        <v>-1.1189272791460001</v>
      </c>
      <c r="AH4674">
        <v>8.8812565763210092</v>
      </c>
      <c r="AI4674">
        <v>96.610878232367199</v>
      </c>
      <c r="AJ4674">
        <v>66.911996823270997</v>
      </c>
      <c r="AK4674">
        <v>9.7191746249625606</v>
      </c>
      <c r="AL4674">
        <v>93.940377446734999</v>
      </c>
      <c r="AM4674">
        <v>86.031499521087696</v>
      </c>
      <c r="AN4674">
        <v>0.99999998292555703</v>
      </c>
    </row>
    <row r="4675" spans="1:40" x14ac:dyDescent="0.25">
      <c r="A4675" t="str">
        <f>"20190303154231071"</f>
        <v>20190303154231071</v>
      </c>
      <c r="B4675" t="str">
        <f>"1551598951064852"</f>
        <v>1551598951064852</v>
      </c>
      <c r="C4675" t="s">
        <v>40</v>
      </c>
      <c r="D4675">
        <v>5.6093900000000003</v>
      </c>
      <c r="E4675">
        <v>0.62778679999999998</v>
      </c>
      <c r="F4675" t="s">
        <v>46</v>
      </c>
      <c r="G4675">
        <v>-198.0051</v>
      </c>
      <c r="H4675" s="1">
        <v>2.8204250000000002E-6</v>
      </c>
      <c r="I4675">
        <v>211.4616</v>
      </c>
      <c r="J4675">
        <v>-207.1284</v>
      </c>
      <c r="K4675">
        <v>1.1186670000000001</v>
      </c>
      <c r="L4675">
        <v>215.65539999999999</v>
      </c>
      <c r="M4675">
        <v>0.99958009999999997</v>
      </c>
      <c r="N4675">
        <v>-1.3940910000000001E-2</v>
      </c>
      <c r="O4675">
        <v>-2.540545E-2</v>
      </c>
      <c r="P4675">
        <v>0.99211550000000004</v>
      </c>
      <c r="Q4675">
        <v>-7.8961530000000002E-2</v>
      </c>
      <c r="R4675">
        <v>-9.7324830000000001E-2</v>
      </c>
      <c r="S4675">
        <v>2.8762050000000001</v>
      </c>
      <c r="T4675">
        <v>-0.34280060000000001</v>
      </c>
      <c r="U4675">
        <v>-1.2877350000000001</v>
      </c>
      <c r="V4675">
        <v>7.1701769999999998E-2</v>
      </c>
      <c r="W4675">
        <v>-6.5515669999999998E-2</v>
      </c>
      <c r="X4675">
        <v>0.99527209999999999</v>
      </c>
      <c r="Y4675">
        <v>0.38286989999999999</v>
      </c>
      <c r="Z4675">
        <v>-2.1968399999999999E-2</v>
      </c>
      <c r="AA4675">
        <v>0.9235411</v>
      </c>
      <c r="AB4675">
        <v>26</v>
      </c>
      <c r="AC4675">
        <v>9.1233000000000004</v>
      </c>
      <c r="AD4675">
        <v>-1.1186641795749901</v>
      </c>
      <c r="AE4675">
        <v>-4.19379999999998</v>
      </c>
      <c r="AF4675">
        <v>3.9120852533736001</v>
      </c>
      <c r="AG4675">
        <v>-1.1186641795749901</v>
      </c>
      <c r="AH4675">
        <v>9.1137900634895406</v>
      </c>
      <c r="AI4675">
        <v>96.435305334358901</v>
      </c>
      <c r="AJ4675">
        <v>66.768619745218999</v>
      </c>
      <c r="AK4675">
        <v>9.9808311225913506</v>
      </c>
      <c r="AL4675">
        <v>93.756461970792401</v>
      </c>
      <c r="AM4675">
        <v>85.879394678681294</v>
      </c>
      <c r="AN4675">
        <v>0.99999999993754596</v>
      </c>
    </row>
    <row r="4676" spans="1:40" x14ac:dyDescent="0.25">
      <c r="A4676" t="str">
        <f>"20190303154231094"</f>
        <v>20190303154231094</v>
      </c>
      <c r="B4676" t="str">
        <f>"1551598951084371"</f>
        <v>1551598951084371</v>
      </c>
      <c r="C4676" t="s">
        <v>40</v>
      </c>
      <c r="D4676">
        <v>5.6154859999999998</v>
      </c>
      <c r="E4676">
        <v>0.6277819</v>
      </c>
      <c r="F4676" t="s">
        <v>46</v>
      </c>
      <c r="G4676">
        <v>-197.59729999999999</v>
      </c>
      <c r="H4676" s="1">
        <v>2.9053310000000002E-6</v>
      </c>
      <c r="I4676">
        <v>211.31780000000001</v>
      </c>
      <c r="J4676">
        <v>-206.86600000000001</v>
      </c>
      <c r="K4676">
        <v>1.1183730000000001</v>
      </c>
      <c r="L4676">
        <v>215.6446</v>
      </c>
      <c r="M4676">
        <v>0.99947200000000003</v>
      </c>
      <c r="N4676">
        <v>-1.397047E-2</v>
      </c>
      <c r="O4676">
        <v>-2.9335469999999999E-2</v>
      </c>
      <c r="P4676">
        <v>0.99149980000000004</v>
      </c>
      <c r="Q4676">
        <v>-7.5895180000000007E-2</v>
      </c>
      <c r="R4676">
        <v>-0.1056791</v>
      </c>
      <c r="S4676">
        <v>2.8689420000000001</v>
      </c>
      <c r="T4676">
        <v>-0.33672570000000002</v>
      </c>
      <c r="U4676">
        <v>-1.305634</v>
      </c>
      <c r="V4676">
        <v>7.6130139999999999E-2</v>
      </c>
      <c r="W4676">
        <v>-6.2506790000000007E-2</v>
      </c>
      <c r="X4676">
        <v>0.99513669999999999</v>
      </c>
      <c r="Y4676">
        <v>0.3849764</v>
      </c>
      <c r="Z4676">
        <v>-2.1414760000000001E-2</v>
      </c>
      <c r="AA4676">
        <v>0.92267790000000005</v>
      </c>
      <c r="AB4676">
        <v>26</v>
      </c>
      <c r="AC4676">
        <v>9.2686999999999902</v>
      </c>
      <c r="AD4676">
        <v>-1.1183700946690001</v>
      </c>
      <c r="AE4676">
        <v>-4.3267999999999898</v>
      </c>
      <c r="AF4676">
        <v>4.0051317495296397</v>
      </c>
      <c r="AG4676">
        <v>-1.1183700946690001</v>
      </c>
      <c r="AH4676">
        <v>9.2807092666270901</v>
      </c>
      <c r="AI4676">
        <v>96.313614264108097</v>
      </c>
      <c r="AJ4676">
        <v>66.657170352849505</v>
      </c>
      <c r="AK4676">
        <v>10.169729420756401</v>
      </c>
      <c r="AL4676">
        <v>93.583711591015103</v>
      </c>
      <c r="AM4676">
        <v>85.625268428878798</v>
      </c>
      <c r="AN4676">
        <v>0.999999974349706</v>
      </c>
    </row>
    <row r="4677" spans="1:40" x14ac:dyDescent="0.25">
      <c r="A4677" t="str">
        <f>"20190303154231116"</f>
        <v>20190303154231116</v>
      </c>
      <c r="B4677" t="str">
        <f>"1551598951104868"</f>
        <v>1551598951104868</v>
      </c>
      <c r="C4677" t="s">
        <v>40</v>
      </c>
      <c r="D4677">
        <v>5.2091070000000004</v>
      </c>
      <c r="E4677">
        <v>0.62811119999999898</v>
      </c>
      <c r="F4677" t="s">
        <v>46</v>
      </c>
      <c r="G4677">
        <v>-197.12569999999999</v>
      </c>
      <c r="H4677" s="1">
        <v>3.0068880000000001E-6</v>
      </c>
      <c r="I4677">
        <v>211.113</v>
      </c>
      <c r="J4677">
        <v>-206.60849999999999</v>
      </c>
      <c r="K4677">
        <v>1.118088</v>
      </c>
      <c r="L4677">
        <v>215.63249999999999</v>
      </c>
      <c r="M4677">
        <v>0.99933640000000001</v>
      </c>
      <c r="N4677">
        <v>-1.4000530000000001E-2</v>
      </c>
      <c r="O4677">
        <v>-3.3631300000000003E-2</v>
      </c>
      <c r="P4677">
        <v>0.99062669999999997</v>
      </c>
      <c r="Q4677">
        <v>-7.2265679999999999E-2</v>
      </c>
      <c r="R4677">
        <v>-0.1159171</v>
      </c>
      <c r="S4677">
        <v>2.8588260000000001</v>
      </c>
      <c r="T4677">
        <v>-0.32824720000000002</v>
      </c>
      <c r="U4677">
        <v>-1.3300320000000001</v>
      </c>
      <c r="V4677">
        <v>8.2095989999999994E-2</v>
      </c>
      <c r="W4677">
        <v>-5.8954880000000001E-2</v>
      </c>
      <c r="X4677">
        <v>0.99487919999999996</v>
      </c>
      <c r="Y4677">
        <v>0.38883289999999998</v>
      </c>
      <c r="Z4677">
        <v>-2.08267E-2</v>
      </c>
      <c r="AA4677">
        <v>0.92107280000000002</v>
      </c>
      <c r="AB4677">
        <v>26</v>
      </c>
      <c r="AC4677">
        <v>9.4827999999999903</v>
      </c>
      <c r="AD4677">
        <v>-1.1180849931119901</v>
      </c>
      <c r="AE4677">
        <v>-4.5194999999999901</v>
      </c>
      <c r="AF4677">
        <v>4.1509677187768004</v>
      </c>
      <c r="AG4677">
        <v>-1.1180849931119901</v>
      </c>
      <c r="AH4677">
        <v>9.5215791056325294</v>
      </c>
      <c r="AI4677">
        <v>96.143782553515393</v>
      </c>
      <c r="AJ4677">
        <v>66.445027016429293</v>
      </c>
      <c r="AK4677">
        <v>10.4470625402056</v>
      </c>
      <c r="AL4677">
        <v>93.379825513337096</v>
      </c>
      <c r="AM4677">
        <v>85.282723058908502</v>
      </c>
      <c r="AN4677">
        <v>1.00000002602126</v>
      </c>
    </row>
    <row r="4678" spans="1:40" x14ac:dyDescent="0.25">
      <c r="A4678" t="str">
        <f>"20190303154231138"</f>
        <v>20190303154231138</v>
      </c>
      <c r="B4678" t="str">
        <f>"1551598951134147"</f>
        <v>1551598951134147</v>
      </c>
      <c r="C4678" t="s">
        <v>40</v>
      </c>
      <c r="D4678">
        <v>4.4556529999999999</v>
      </c>
      <c r="E4678">
        <v>0.62837989999999999</v>
      </c>
      <c r="F4678" t="s">
        <v>46</v>
      </c>
      <c r="G4678">
        <v>-196.21879999999999</v>
      </c>
      <c r="H4678" s="1">
        <v>3.2072570000000001E-6</v>
      </c>
      <c r="I4678">
        <v>210.66120000000001</v>
      </c>
      <c r="J4678">
        <v>-206.34639999999999</v>
      </c>
      <c r="K4678">
        <v>1.117791</v>
      </c>
      <c r="L4678">
        <v>215.61850000000001</v>
      </c>
      <c r="M4678">
        <v>0.99916099999999997</v>
      </c>
      <c r="N4678">
        <v>-1.4032599999999999E-2</v>
      </c>
      <c r="O4678">
        <v>-3.8478119999999998E-2</v>
      </c>
      <c r="P4678">
        <v>0.98934259999999996</v>
      </c>
      <c r="Q4678">
        <v>-7.0679870000000006E-2</v>
      </c>
      <c r="R4678">
        <v>-0.12730089999999999</v>
      </c>
      <c r="S4678">
        <v>2.8466490000000002</v>
      </c>
      <c r="T4678">
        <v>-0.30634280000000003</v>
      </c>
      <c r="U4678">
        <v>-1.3620909999999999</v>
      </c>
      <c r="V4678">
        <v>8.8665380000000002E-2</v>
      </c>
      <c r="W4678">
        <v>-5.7462329999999999E-2</v>
      </c>
      <c r="X4678">
        <v>0.99440260000000003</v>
      </c>
      <c r="Y4678">
        <v>0.39459499999999997</v>
      </c>
      <c r="Z4678">
        <v>-1.9611779999999999E-2</v>
      </c>
      <c r="AA4678">
        <v>0.91864579999999996</v>
      </c>
      <c r="AB4678">
        <v>26</v>
      </c>
      <c r="AC4678">
        <v>10.127599999999999</v>
      </c>
      <c r="AD4678">
        <v>-1.117787792743</v>
      </c>
      <c r="AE4678">
        <v>-4.9573</v>
      </c>
      <c r="AF4678">
        <v>4.5194852793934501</v>
      </c>
      <c r="AG4678">
        <v>-1.117787792743</v>
      </c>
      <c r="AH4678">
        <v>10.2105248353962</v>
      </c>
      <c r="AI4678">
        <v>95.716604646496293</v>
      </c>
      <c r="AJ4678">
        <v>66.1243782729521</v>
      </c>
      <c r="AK4678">
        <v>11.221854309983801</v>
      </c>
      <c r="AL4678">
        <v>93.294163532816398</v>
      </c>
      <c r="AM4678">
        <v>84.904726711606003</v>
      </c>
      <c r="AN4678">
        <v>0.99999999993316602</v>
      </c>
    </row>
    <row r="4679" spans="1:40" x14ac:dyDescent="0.25">
      <c r="A4679" t="str">
        <f>"20190303154231160"</f>
        <v>20190303154231160</v>
      </c>
      <c r="B4679" t="str">
        <f>"1551598951154644"</f>
        <v>1551598951154644</v>
      </c>
      <c r="C4679" t="s">
        <v>40</v>
      </c>
      <c r="D4679">
        <v>5.670687</v>
      </c>
      <c r="E4679">
        <v>0.62834259999999997</v>
      </c>
      <c r="F4679" t="s">
        <v>46</v>
      </c>
      <c r="G4679">
        <v>-195.58709999999999</v>
      </c>
      <c r="H4679" s="1">
        <v>3.3498999999999999E-6</v>
      </c>
      <c r="I4679">
        <v>210.31139999999999</v>
      </c>
      <c r="J4679">
        <v>-206.08500000000001</v>
      </c>
      <c r="K4679">
        <v>1.117523</v>
      </c>
      <c r="L4679">
        <v>215.6027</v>
      </c>
      <c r="M4679">
        <v>0.99894640000000001</v>
      </c>
      <c r="N4679">
        <v>-1.406403E-2</v>
      </c>
      <c r="O4679">
        <v>-4.3685450000000001E-2</v>
      </c>
      <c r="P4679">
        <v>0.98778120000000003</v>
      </c>
      <c r="Q4679">
        <v>-7.2142449999999997E-2</v>
      </c>
      <c r="R4679">
        <v>-0.13814670000000001</v>
      </c>
      <c r="S4679">
        <v>2.8315730000000001</v>
      </c>
      <c r="T4679">
        <v>-0.29417219999999999</v>
      </c>
      <c r="U4679">
        <v>-1.3966829999999999</v>
      </c>
      <c r="V4679">
        <v>9.4336699999999996E-2</v>
      </c>
      <c r="W4679">
        <v>-5.9014030000000002E-2</v>
      </c>
      <c r="X4679">
        <v>0.9937897</v>
      </c>
      <c r="Y4679">
        <v>0.40089530000000001</v>
      </c>
      <c r="Z4679">
        <v>-1.8938380000000001E-2</v>
      </c>
      <c r="AA4679">
        <v>0.91592810000000002</v>
      </c>
      <c r="AB4679">
        <v>26</v>
      </c>
      <c r="AC4679">
        <v>10.4979</v>
      </c>
      <c r="AD4679">
        <v>-1.1175196501</v>
      </c>
      <c r="AE4679">
        <v>-5.2912999999999997</v>
      </c>
      <c r="AF4679">
        <v>4.7843638325534599</v>
      </c>
      <c r="AG4679">
        <v>-1.1175196501</v>
      </c>
      <c r="AH4679">
        <v>10.6230586030032</v>
      </c>
      <c r="AI4679">
        <v>95.478959044655397</v>
      </c>
      <c r="AJ4679">
        <v>65.754372379982698</v>
      </c>
      <c r="AK4679">
        <v>11.704202729508999</v>
      </c>
      <c r="AL4679">
        <v>93.3832204958331</v>
      </c>
      <c r="AM4679">
        <v>84.577376985769703</v>
      </c>
      <c r="AN4679">
        <v>1.00000001826491</v>
      </c>
    </row>
    <row r="4680" spans="1:40" x14ac:dyDescent="0.25">
      <c r="A4680" t="str">
        <f>"20190303154231182"</f>
        <v>20190303154231182</v>
      </c>
      <c r="B4680" t="str">
        <f>"1551598951174158"</f>
        <v>1551598951174158</v>
      </c>
      <c r="C4680" t="s">
        <v>40</v>
      </c>
      <c r="D4680">
        <v>5.6763899999999996</v>
      </c>
      <c r="E4680">
        <v>0.62825129999999996</v>
      </c>
      <c r="F4680" t="s">
        <v>46</v>
      </c>
      <c r="G4680">
        <v>-195.68109999999999</v>
      </c>
      <c r="H4680" s="1">
        <v>3.3317280000000001E-6</v>
      </c>
      <c r="I4680">
        <v>210.32849999999999</v>
      </c>
      <c r="J4680">
        <v>-205.82040000000001</v>
      </c>
      <c r="K4680">
        <v>1.117264</v>
      </c>
      <c r="L4680">
        <v>215.58500000000001</v>
      </c>
      <c r="M4680">
        <v>0.99868349999999995</v>
      </c>
      <c r="N4680">
        <v>-1.409326E-2</v>
      </c>
      <c r="O4680">
        <v>-4.9321289999999997E-2</v>
      </c>
      <c r="P4680">
        <v>0.98611020000000005</v>
      </c>
      <c r="Q4680">
        <v>-7.4674000000000004E-2</v>
      </c>
      <c r="R4680">
        <v>-0.14836009999999999</v>
      </c>
      <c r="S4680">
        <v>2.8154140000000001</v>
      </c>
      <c r="T4680">
        <v>-0.30241309999999999</v>
      </c>
      <c r="U4680">
        <v>-1.4272609999999999</v>
      </c>
      <c r="V4680">
        <v>9.895632E-2</v>
      </c>
      <c r="W4680">
        <v>-6.162716E-2</v>
      </c>
      <c r="X4680">
        <v>0.9931816</v>
      </c>
      <c r="Y4680">
        <v>0.40564719999999999</v>
      </c>
      <c r="Z4680">
        <v>-1.9210870000000001E-2</v>
      </c>
      <c r="AA4680">
        <v>0.91382779999999997</v>
      </c>
      <c r="AB4680">
        <v>26</v>
      </c>
      <c r="AC4680">
        <v>10.1393</v>
      </c>
      <c r="AD4680">
        <v>-1.1172606682719901</v>
      </c>
      <c r="AE4680">
        <v>-5.2565000000000097</v>
      </c>
      <c r="AF4680">
        <v>4.7049421525332296</v>
      </c>
      <c r="AG4680">
        <v>-1.1172606682719901</v>
      </c>
      <c r="AH4680">
        <v>10.2877868943932</v>
      </c>
      <c r="AI4680">
        <v>95.640380461059607</v>
      </c>
      <c r="AJ4680">
        <v>65.423828658877994</v>
      </c>
      <c r="AK4680">
        <v>11.3676431701562</v>
      </c>
      <c r="AL4680">
        <v>93.533215140179706</v>
      </c>
      <c r="AM4680">
        <v>84.310075165297306</v>
      </c>
      <c r="AN4680">
        <v>0.99999997534808305</v>
      </c>
    </row>
    <row r="4681" spans="1:40" x14ac:dyDescent="0.25">
      <c r="A4681" t="str">
        <f>"20190303154231206"</f>
        <v>20190303154231206</v>
      </c>
      <c r="B4681" t="str">
        <f>"1551598951194654"</f>
        <v>1551598951194654</v>
      </c>
      <c r="C4681" t="s">
        <v>40</v>
      </c>
      <c r="D4681">
        <v>5.7025069999999998</v>
      </c>
      <c r="E4681">
        <v>0.62812630000000003</v>
      </c>
      <c r="F4681" t="s">
        <v>46</v>
      </c>
      <c r="G4681">
        <v>-195.84299999999999</v>
      </c>
      <c r="H4681" s="1">
        <v>3.2970069999999999E-6</v>
      </c>
      <c r="I4681">
        <v>210.39699999999999</v>
      </c>
      <c r="J4681">
        <v>-205.55170000000001</v>
      </c>
      <c r="K4681">
        <v>1.1170150000000001</v>
      </c>
      <c r="L4681">
        <v>215.5651</v>
      </c>
      <c r="M4681">
        <v>0.99836329999999995</v>
      </c>
      <c r="N4681">
        <v>-1.4121949999999999E-2</v>
      </c>
      <c r="O4681">
        <v>-5.5419910000000003E-2</v>
      </c>
      <c r="P4681">
        <v>0.98426720000000001</v>
      </c>
      <c r="Q4681">
        <v>-7.7054529999999996E-2</v>
      </c>
      <c r="R4681">
        <v>-0.15899869999999999</v>
      </c>
      <c r="S4681">
        <v>2.7995000000000001</v>
      </c>
      <c r="T4681">
        <v>-0.3134844</v>
      </c>
      <c r="U4681">
        <v>-1.4556579999999999</v>
      </c>
      <c r="V4681">
        <v>0.1035596</v>
      </c>
      <c r="W4681">
        <v>-6.4091969999999998E-2</v>
      </c>
      <c r="X4681">
        <v>0.99255610000000005</v>
      </c>
      <c r="Y4681">
        <v>0.4093463</v>
      </c>
      <c r="Z4681">
        <v>-1.9504199999999999E-2</v>
      </c>
      <c r="AA4681">
        <v>0.91217060000000005</v>
      </c>
      <c r="AB4681">
        <v>26</v>
      </c>
      <c r="AC4681">
        <v>9.7087000000000199</v>
      </c>
      <c r="AD4681">
        <v>-1.11701170299299</v>
      </c>
      <c r="AE4681">
        <v>-5.1680999999999804</v>
      </c>
      <c r="AF4681">
        <v>4.57485983091913</v>
      </c>
      <c r="AG4681">
        <v>-1.11701170299299</v>
      </c>
      <c r="AH4681">
        <v>9.8783310678872596</v>
      </c>
      <c r="AI4681">
        <v>95.858470325732597</v>
      </c>
      <c r="AJ4681">
        <v>65.150167750580493</v>
      </c>
      <c r="AK4681">
        <v>10.9434218736173</v>
      </c>
      <c r="AL4681">
        <v>93.674718169874296</v>
      </c>
      <c r="AM4681">
        <v>84.043523940113005</v>
      </c>
      <c r="AN4681">
        <v>0.99999999150892505</v>
      </c>
    </row>
    <row r="4682" spans="1:40" x14ac:dyDescent="0.25">
      <c r="A4682" t="str">
        <f>"20190303154231228"</f>
        <v>20190303154231228</v>
      </c>
      <c r="B4682" t="str">
        <f>"1551598951224909"</f>
        <v>1551598951224909</v>
      </c>
      <c r="C4682" t="s">
        <v>40</v>
      </c>
      <c r="D4682">
        <v>5.3405050000000003</v>
      </c>
      <c r="E4682">
        <v>0.67022169999999903</v>
      </c>
      <c r="F4682" t="s">
        <v>46</v>
      </c>
      <c r="G4682">
        <v>-195.91820000000001</v>
      </c>
      <c r="H4682" s="1">
        <v>3.2812570000000001E-6</v>
      </c>
      <c r="I4682">
        <v>210.4246</v>
      </c>
      <c r="J4682">
        <v>-205.29920000000001</v>
      </c>
      <c r="K4682">
        <v>1.1167720000000001</v>
      </c>
      <c r="L4682">
        <v>215.5446</v>
      </c>
      <c r="M4682">
        <v>0.99800849999999997</v>
      </c>
      <c r="N4682">
        <v>-1.4150390000000001E-2</v>
      </c>
      <c r="O4682">
        <v>-6.1471379999999999E-2</v>
      </c>
      <c r="P4682">
        <v>0.98215649999999999</v>
      </c>
      <c r="Q4682">
        <v>-7.9426759999999999E-2</v>
      </c>
      <c r="R4682">
        <v>-0.1704706</v>
      </c>
      <c r="S4682">
        <v>2.7828059999999999</v>
      </c>
      <c r="T4682">
        <v>-0.32267030000000002</v>
      </c>
      <c r="U4682">
        <v>-1.4849399999999999</v>
      </c>
      <c r="V4682">
        <v>0.10906739999999999</v>
      </c>
      <c r="W4682">
        <v>-6.6559899999999894E-2</v>
      </c>
      <c r="X4682">
        <v>0.99180349999999995</v>
      </c>
      <c r="Y4682">
        <v>0.41343400000000002</v>
      </c>
      <c r="Z4682">
        <v>-1.9707260000000001E-2</v>
      </c>
      <c r="AA4682">
        <v>0.91032080000000004</v>
      </c>
      <c r="AB4682">
        <v>26</v>
      </c>
      <c r="AC4682">
        <v>9.3810000000000002</v>
      </c>
      <c r="AD4682">
        <v>-1.11676871874299</v>
      </c>
      <c r="AE4682">
        <v>-5.12</v>
      </c>
      <c r="AF4682">
        <v>4.4846257354707699</v>
      </c>
      <c r="AG4682">
        <v>-1.11676871874299</v>
      </c>
      <c r="AH4682">
        <v>9.5734850558845803</v>
      </c>
      <c r="AI4682">
        <v>96.030151594479705</v>
      </c>
      <c r="AJ4682">
        <v>64.899618959867198</v>
      </c>
      <c r="AK4682">
        <v>10.6306470392754</v>
      </c>
      <c r="AL4682">
        <v>93.816422640017905</v>
      </c>
      <c r="AM4682">
        <v>83.724470097881195</v>
      </c>
      <c r="AN4682">
        <v>1.0000000503215001</v>
      </c>
    </row>
    <row r="4683" spans="1:40" x14ac:dyDescent="0.25">
      <c r="A4683" t="str">
        <f>"20190303154231252"</f>
        <v>20190303154231252</v>
      </c>
      <c r="B4683" t="str">
        <f>"1551598951244430"</f>
        <v>1551598951244430</v>
      </c>
      <c r="C4683" t="s">
        <v>40</v>
      </c>
      <c r="D4683">
        <v>5.6710520000000004</v>
      </c>
      <c r="E4683">
        <v>0.67111949999999998</v>
      </c>
      <c r="F4683" t="s">
        <v>41</v>
      </c>
      <c r="G4683">
        <v>-176.26750000000001</v>
      </c>
      <c r="H4683">
        <v>7.9985870000000001E-2</v>
      </c>
      <c r="I4683">
        <v>195.83760000000001</v>
      </c>
      <c r="J4683">
        <v>-205.02979999999999</v>
      </c>
      <c r="K4683">
        <v>1.11652</v>
      </c>
      <c r="L4683">
        <v>215.5206</v>
      </c>
      <c r="M4683">
        <v>0.99756889999999998</v>
      </c>
      <c r="N4683">
        <v>-1.4181869999999999E-2</v>
      </c>
      <c r="O4683">
        <v>-6.8230200000000005E-2</v>
      </c>
      <c r="P4683">
        <v>0.97926849999999999</v>
      </c>
      <c r="Q4683">
        <v>-8.3088040000000002E-2</v>
      </c>
      <c r="R4683">
        <v>-0.18474370000000001</v>
      </c>
      <c r="S4683">
        <v>2.7255099999999999</v>
      </c>
      <c r="T4683">
        <v>-9.7333790000000003E-2</v>
      </c>
      <c r="U4683">
        <v>-1.850098</v>
      </c>
      <c r="V4683">
        <v>0.1167139</v>
      </c>
      <c r="W4683">
        <v>-7.0350360000000001E-2</v>
      </c>
      <c r="X4683">
        <v>0.99067079999999996</v>
      </c>
      <c r="Y4683">
        <v>0.50354109999999996</v>
      </c>
      <c r="Z4683">
        <v>-1.0738350000000001E-2</v>
      </c>
      <c r="AA4683">
        <v>0.86390460000000002</v>
      </c>
      <c r="AB4683">
        <v>26</v>
      </c>
      <c r="AC4683">
        <v>28.7622999999999</v>
      </c>
      <c r="AD4683">
        <v>-1.0365341299999999</v>
      </c>
      <c r="AE4683">
        <v>-19.683</v>
      </c>
      <c r="AF4683">
        <v>17.6588475412692</v>
      </c>
      <c r="AG4683">
        <v>-1.0365341299999999</v>
      </c>
      <c r="AH4683">
        <v>30.0118232600677</v>
      </c>
      <c r="AI4683">
        <v>91.7050188521725</v>
      </c>
      <c r="AJ4683">
        <v>59.527599537046797</v>
      </c>
      <c r="AK4683">
        <v>34.837032521183303</v>
      </c>
      <c r="AL4683">
        <v>94.034111096953296</v>
      </c>
      <c r="AM4683">
        <v>83.280785382891693</v>
      </c>
      <c r="AN4683">
        <v>0.99999997078898895</v>
      </c>
    </row>
    <row r="4684" spans="1:40" x14ac:dyDescent="0.25">
      <c r="A4684" t="str">
        <f>"20190303154231273"</f>
        <v>20190303154231273</v>
      </c>
      <c r="B4684" t="str">
        <f>"1551598951264926"</f>
        <v>1551598951264926</v>
      </c>
      <c r="C4684" t="s">
        <v>40</v>
      </c>
      <c r="D4684">
        <v>5.688129</v>
      </c>
      <c r="E4684">
        <v>0.67148260000000004</v>
      </c>
      <c r="F4684" t="s">
        <v>46</v>
      </c>
      <c r="G4684">
        <v>-189.68690000000001</v>
      </c>
      <c r="H4684" s="1">
        <v>6.0934220000000002E-6</v>
      </c>
      <c r="I4684">
        <v>204.70400000000001</v>
      </c>
      <c r="J4684">
        <v>-204.7766</v>
      </c>
      <c r="K4684">
        <v>1.1163259999999999</v>
      </c>
      <c r="L4684">
        <v>215.49610000000001</v>
      </c>
      <c r="M4684">
        <v>0.99709559999999997</v>
      </c>
      <c r="N4684">
        <v>-1.42101E-2</v>
      </c>
      <c r="O4684">
        <v>-7.4822509999999995E-2</v>
      </c>
      <c r="P4684">
        <v>0.97616849999999999</v>
      </c>
      <c r="Q4684">
        <v>-8.4025530000000001E-2</v>
      </c>
      <c r="R4684">
        <v>-0.20008770000000001</v>
      </c>
      <c r="S4684">
        <v>2.6892550000000002</v>
      </c>
      <c r="T4684">
        <v>-0.19569929999999999</v>
      </c>
      <c r="U4684">
        <v>-1.895905</v>
      </c>
      <c r="V4684">
        <v>0.12566089999999999</v>
      </c>
      <c r="W4684">
        <v>-7.1432109999999993E-2</v>
      </c>
      <c r="X4684">
        <v>0.98949830000000005</v>
      </c>
      <c r="Y4684">
        <v>0.51236979999999999</v>
      </c>
      <c r="Z4684">
        <v>-1.6865769999999999E-2</v>
      </c>
      <c r="AA4684">
        <v>0.85859929999999995</v>
      </c>
      <c r="AB4684">
        <v>26</v>
      </c>
      <c r="AC4684">
        <v>15.089699999999899</v>
      </c>
      <c r="AD4684">
        <v>-1.1163199065779901</v>
      </c>
      <c r="AE4684">
        <v>-10.7921</v>
      </c>
      <c r="AF4684">
        <v>9.5979266250145194</v>
      </c>
      <c r="AG4684">
        <v>-1.1163199065779901</v>
      </c>
      <c r="AH4684">
        <v>15.7977657954916</v>
      </c>
      <c r="AI4684">
        <v>93.455956640337803</v>
      </c>
      <c r="AJ4684">
        <v>58.719242676006601</v>
      </c>
      <c r="AK4684">
        <v>18.518525042837201</v>
      </c>
      <c r="AL4684">
        <v>94.096246830076197</v>
      </c>
      <c r="AM4684">
        <v>82.762489763095104</v>
      </c>
      <c r="AN4684">
        <v>1.00000004691537</v>
      </c>
    </row>
    <row r="4685" spans="1:40" x14ac:dyDescent="0.25">
      <c r="A4685" t="str">
        <f>"20190303154231296"</f>
        <v>20190303154231296</v>
      </c>
      <c r="B4685" t="str">
        <f>"1551598951294714"</f>
        <v>1551598951294714</v>
      </c>
      <c r="C4685" t="s">
        <v>40</v>
      </c>
      <c r="D4685">
        <v>5.6639749999999998</v>
      </c>
      <c r="E4685">
        <v>0.67128069999999995</v>
      </c>
      <c r="F4685" t="s">
        <v>46</v>
      </c>
      <c r="G4685">
        <v>-192.14080000000001</v>
      </c>
      <c r="H4685" s="1">
        <v>5.1104329999999997E-6</v>
      </c>
      <c r="I4685">
        <v>206.26339999999999</v>
      </c>
      <c r="J4685">
        <v>-204.5093</v>
      </c>
      <c r="K4685">
        <v>1.1162000000000001</v>
      </c>
      <c r="L4685">
        <v>215.4682</v>
      </c>
      <c r="M4685">
        <v>0.99653179999999997</v>
      </c>
      <c r="N4685">
        <v>-1.4235920000000001E-2</v>
      </c>
      <c r="O4685">
        <v>-8.1986050000000005E-2</v>
      </c>
      <c r="P4685">
        <v>0.97365789999999997</v>
      </c>
      <c r="Q4685">
        <v>-7.8307730000000006E-2</v>
      </c>
      <c r="R4685">
        <v>-0.21414540000000001</v>
      </c>
      <c r="S4685">
        <v>2.6553499999999999</v>
      </c>
      <c r="T4685">
        <v>-0.23458909999999999</v>
      </c>
      <c r="U4685">
        <v>-1.9402159999999999</v>
      </c>
      <c r="V4685">
        <v>0.13281229999999999</v>
      </c>
      <c r="W4685">
        <v>-6.5828020000000001E-2</v>
      </c>
      <c r="X4685">
        <v>0.98895279999999997</v>
      </c>
      <c r="Y4685">
        <v>0.52032299999999998</v>
      </c>
      <c r="Z4685">
        <v>-1.9247759999999999E-2</v>
      </c>
      <c r="AA4685">
        <v>0.85375259999999997</v>
      </c>
      <c r="AB4685">
        <v>26</v>
      </c>
      <c r="AC4685">
        <v>12.3684999999999</v>
      </c>
      <c r="AD4685">
        <v>-1.116194889567</v>
      </c>
      <c r="AE4685">
        <v>-9.2048000000000005</v>
      </c>
      <c r="AF4685">
        <v>8.1171143727190493</v>
      </c>
      <c r="AG4685">
        <v>-1.116194889567</v>
      </c>
      <c r="AH4685">
        <v>13.0133877835977</v>
      </c>
      <c r="AI4685">
        <v>94.162420731537196</v>
      </c>
      <c r="AJ4685">
        <v>58.046103992781198</v>
      </c>
      <c r="AK4685">
        <v>15.377961450647</v>
      </c>
      <c r="AL4685">
        <v>93.774396880821897</v>
      </c>
      <c r="AM4685">
        <v>82.351176169098395</v>
      </c>
      <c r="AN4685">
        <v>1.00000003793812</v>
      </c>
    </row>
    <row r="4686" spans="1:40" x14ac:dyDescent="0.25">
      <c r="A4686" t="str">
        <f>"20190303154231317"</f>
        <v>20190303154231317</v>
      </c>
      <c r="B4686" t="str">
        <f>"1551598951314234"</f>
        <v>1551598951314234</v>
      </c>
      <c r="C4686" t="s">
        <v>40</v>
      </c>
      <c r="D4686">
        <v>5.6859000000000002</v>
      </c>
      <c r="E4686">
        <v>0.6710988</v>
      </c>
      <c r="F4686" t="s">
        <v>46</v>
      </c>
      <c r="G4686">
        <v>-192.3982</v>
      </c>
      <c r="H4686" s="1">
        <v>5.0204820000000004E-6</v>
      </c>
      <c r="I4686">
        <v>206.35640000000001</v>
      </c>
      <c r="J4686">
        <v>-204.26429999999999</v>
      </c>
      <c r="K4686">
        <v>1.116131</v>
      </c>
      <c r="L4686">
        <v>215.44049999999999</v>
      </c>
      <c r="M4686">
        <v>0.99595319999999998</v>
      </c>
      <c r="N4686">
        <v>-1.4256319999999999E-2</v>
      </c>
      <c r="O4686">
        <v>-8.8735610000000006E-2</v>
      </c>
      <c r="P4686">
        <v>0.97195450000000005</v>
      </c>
      <c r="Q4686">
        <v>-7.1158570000000004E-2</v>
      </c>
      <c r="R4686">
        <v>-0.22414500000000001</v>
      </c>
      <c r="S4686">
        <v>2.6269990000000001</v>
      </c>
      <c r="T4686">
        <v>-0.2421113</v>
      </c>
      <c r="U4686">
        <v>-1.9764250000000001</v>
      </c>
      <c r="V4686">
        <v>0.13629769999999999</v>
      </c>
      <c r="W4686">
        <v>-5.8734799999999997E-2</v>
      </c>
      <c r="X4686">
        <v>0.98892530000000001</v>
      </c>
      <c r="Y4686">
        <v>0.52636669999999997</v>
      </c>
      <c r="Z4686">
        <v>-1.9632429999999999E-2</v>
      </c>
      <c r="AA4686">
        <v>0.85003099999999998</v>
      </c>
      <c r="AB4686">
        <v>26</v>
      </c>
      <c r="AC4686">
        <v>11.8660999999999</v>
      </c>
      <c r="AD4686">
        <v>-1.1161259795180001</v>
      </c>
      <c r="AE4686">
        <v>-9.0840999999999692</v>
      </c>
      <c r="AF4686">
        <v>7.9508543500564199</v>
      </c>
      <c r="AG4686">
        <v>-1.1161259795180001</v>
      </c>
      <c r="AH4686">
        <v>12.5554106026854</v>
      </c>
      <c r="AI4686">
        <v>94.2950501527462</v>
      </c>
      <c r="AJ4686">
        <v>57.655506465494398</v>
      </c>
      <c r="AK4686">
        <v>14.903025112371999</v>
      </c>
      <c r="AL4686">
        <v>93.367193907952498</v>
      </c>
      <c r="AM4686">
        <v>82.152701534250795</v>
      </c>
      <c r="AN4686">
        <v>1.0000000443682</v>
      </c>
    </row>
    <row r="4687" spans="1:40" x14ac:dyDescent="0.25">
      <c r="A4687" t="str">
        <f>"20190303154231341"</f>
        <v>20190303154231341</v>
      </c>
      <c r="B4687" t="str">
        <f>"1551598951334730"</f>
        <v>1551598951334730</v>
      </c>
      <c r="C4687" t="s">
        <v>40</v>
      </c>
      <c r="D4687">
        <v>5.6997260000000001</v>
      </c>
      <c r="E4687">
        <v>0.67079339999999998</v>
      </c>
      <c r="F4687" t="s">
        <v>46</v>
      </c>
      <c r="G4687">
        <v>-190.7038</v>
      </c>
      <c r="H4687" s="1">
        <v>5.8635699999999997E-6</v>
      </c>
      <c r="I4687">
        <v>205.0342</v>
      </c>
      <c r="J4687">
        <v>-204.0035</v>
      </c>
      <c r="K4687">
        <v>1.1160300000000001</v>
      </c>
      <c r="L4687">
        <v>215.40899999999999</v>
      </c>
      <c r="M4687">
        <v>0.99527290000000002</v>
      </c>
      <c r="N4687">
        <v>-1.4275929999999999E-2</v>
      </c>
      <c r="O4687">
        <v>-9.606394E-2</v>
      </c>
      <c r="P4687">
        <v>0.96990509999999996</v>
      </c>
      <c r="Q4687">
        <v>-6.9929279999999996E-2</v>
      </c>
      <c r="R4687">
        <v>-0.23322560000000001</v>
      </c>
      <c r="S4687">
        <v>2.6091000000000002</v>
      </c>
      <c r="T4687">
        <v>-0.21474660000000001</v>
      </c>
      <c r="U4687">
        <v>-2.0022129999999998</v>
      </c>
      <c r="V4687">
        <v>0.1382611</v>
      </c>
      <c r="W4687">
        <v>-5.7540000000000001E-2</v>
      </c>
      <c r="X4687">
        <v>0.98872289999999996</v>
      </c>
      <c r="Y4687">
        <v>0.52851210000000004</v>
      </c>
      <c r="Z4687">
        <v>-1.7736410000000001E-2</v>
      </c>
      <c r="AA4687">
        <v>0.84874050000000001</v>
      </c>
      <c r="AB4687">
        <v>26</v>
      </c>
      <c r="AC4687">
        <v>13.2997</v>
      </c>
      <c r="AD4687">
        <v>-1.1160241364300001</v>
      </c>
      <c r="AE4687">
        <v>-10.3748</v>
      </c>
      <c r="AF4687">
        <v>9.0096162728295308</v>
      </c>
      <c r="AG4687">
        <v>-1.1160241364300001</v>
      </c>
      <c r="AH4687">
        <v>14.172880868101201</v>
      </c>
      <c r="AI4687">
        <v>93.801893308969497</v>
      </c>
      <c r="AJ4687">
        <v>57.556121796164298</v>
      </c>
      <c r="AK4687">
        <v>16.831198631057699</v>
      </c>
      <c r="AL4687">
        <v>93.298621143119703</v>
      </c>
      <c r="AM4687">
        <v>82.039489481646896</v>
      </c>
      <c r="AN4687">
        <v>0.99999997817880903</v>
      </c>
    </row>
    <row r="4688" spans="1:40" x14ac:dyDescent="0.25">
      <c r="A4688" t="str">
        <f>"20190303154231362"</f>
        <v>20190303154231362</v>
      </c>
      <c r="B4688" t="str">
        <f>"1551598951354250"</f>
        <v>1551598951354250</v>
      </c>
      <c r="C4688" t="s">
        <v>40</v>
      </c>
      <c r="D4688">
        <v>5.6942550000000001</v>
      </c>
      <c r="E4688">
        <v>0.67056969999999905</v>
      </c>
      <c r="F4688" t="s">
        <v>46</v>
      </c>
      <c r="G4688">
        <v>-189.54349999999999</v>
      </c>
      <c r="H4688" s="1">
        <v>6.261535E-6</v>
      </c>
      <c r="I4688">
        <v>204.1165</v>
      </c>
      <c r="J4688">
        <v>-203.74789999999999</v>
      </c>
      <c r="K4688">
        <v>1.1159220000000001</v>
      </c>
      <c r="L4688">
        <v>215.37610000000001</v>
      </c>
      <c r="M4688">
        <v>0.99453979999999997</v>
      </c>
      <c r="N4688">
        <v>-1.429386E-2</v>
      </c>
      <c r="O4688">
        <v>-0.10337449999999999</v>
      </c>
      <c r="P4688">
        <v>0.96659519999999999</v>
      </c>
      <c r="Q4688">
        <v>-7.5120450000000005E-2</v>
      </c>
      <c r="R4688">
        <v>-0.24505199999999999</v>
      </c>
      <c r="S4688">
        <v>2.5919340000000002</v>
      </c>
      <c r="T4688">
        <v>-0.2000458</v>
      </c>
      <c r="U4688">
        <v>-2.0241699999999998</v>
      </c>
      <c r="V4688">
        <v>0.14302889999999999</v>
      </c>
      <c r="W4688">
        <v>-6.2811599999999995E-2</v>
      </c>
      <c r="X4688">
        <v>0.98772340000000003</v>
      </c>
      <c r="Y4688">
        <v>0.52961709999999995</v>
      </c>
      <c r="Z4688">
        <v>-1.6599289999999999E-2</v>
      </c>
      <c r="AA4688">
        <v>0.84807440000000001</v>
      </c>
      <c r="AB4688">
        <v>26</v>
      </c>
      <c r="AC4688">
        <v>14.2043999999999</v>
      </c>
      <c r="AD4688">
        <v>-1.11591573846499</v>
      </c>
      <c r="AE4688">
        <v>-11.259600000000001</v>
      </c>
      <c r="AF4688">
        <v>9.6939987793004097</v>
      </c>
      <c r="AG4688">
        <v>-1.11591573846499</v>
      </c>
      <c r="AH4688">
        <v>15.2346155773548</v>
      </c>
      <c r="AI4688">
        <v>93.5362957310887</v>
      </c>
      <c r="AJ4688">
        <v>57.530833044118502</v>
      </c>
      <c r="AK4688">
        <v>18.0917769182082</v>
      </c>
      <c r="AL4688">
        <v>93.601210069817498</v>
      </c>
      <c r="AM4688">
        <v>81.760464033985897</v>
      </c>
      <c r="AN4688">
        <v>1.0000000391186601</v>
      </c>
    </row>
    <row r="4689" spans="1:40" x14ac:dyDescent="0.25">
      <c r="A4689" t="str">
        <f>"20190303154231384"</f>
        <v>20190303154231384</v>
      </c>
      <c r="B4689" t="str">
        <f>"1551598951374746"</f>
        <v>1551598951374746</v>
      </c>
      <c r="C4689" t="s">
        <v>40</v>
      </c>
      <c r="D4689">
        <v>5.7220899999999997</v>
      </c>
      <c r="E4689">
        <v>0.67016940000000003</v>
      </c>
      <c r="F4689" t="s">
        <v>46</v>
      </c>
      <c r="G4689">
        <v>-190.244</v>
      </c>
      <c r="H4689" s="1">
        <v>6.1257959999999998E-6</v>
      </c>
      <c r="I4689">
        <v>204.56880000000001</v>
      </c>
      <c r="J4689">
        <v>-203.4933</v>
      </c>
      <c r="K4689">
        <v>1.1158079999999999</v>
      </c>
      <c r="L4689">
        <v>215.34129999999999</v>
      </c>
      <c r="M4689">
        <v>0.99373809999999996</v>
      </c>
      <c r="N4689">
        <v>-1.431233E-2</v>
      </c>
      <c r="O4689">
        <v>-0.11081439999999999</v>
      </c>
      <c r="P4689">
        <v>0.96273010000000003</v>
      </c>
      <c r="Q4689">
        <v>-7.9420889999999994E-2</v>
      </c>
      <c r="R4689">
        <v>-0.2585404</v>
      </c>
      <c r="S4689">
        <v>2.5664669999999998</v>
      </c>
      <c r="T4689">
        <v>-0.21208489999999999</v>
      </c>
      <c r="U4689">
        <v>-2.0539700000000001</v>
      </c>
      <c r="V4689">
        <v>0.1494057</v>
      </c>
      <c r="W4689">
        <v>-6.7223149999999995E-2</v>
      </c>
      <c r="X4689">
        <v>0.98648820000000004</v>
      </c>
      <c r="Y4689">
        <v>0.53325159999999905</v>
      </c>
      <c r="Z4689">
        <v>-1.7066499999999998E-2</v>
      </c>
      <c r="AA4689">
        <v>0.84578449999999905</v>
      </c>
      <c r="AB4689">
        <v>26</v>
      </c>
      <c r="AC4689">
        <v>13.2492999999999</v>
      </c>
      <c r="AD4689">
        <v>-1.1158018742039999</v>
      </c>
      <c r="AE4689">
        <v>-10.7724999999999</v>
      </c>
      <c r="AF4689">
        <v>9.1985011284799203</v>
      </c>
      <c r="AG4689">
        <v>-1.1158018742039999</v>
      </c>
      <c r="AH4689">
        <v>14.3004934669642</v>
      </c>
      <c r="AI4689">
        <v>93.754490558743399</v>
      </c>
      <c r="AJ4689">
        <v>57.249675109935801</v>
      </c>
      <c r="AK4689">
        <v>17.039998539665699</v>
      </c>
      <c r="AL4689">
        <v>93.854509594651702</v>
      </c>
      <c r="AM4689">
        <v>81.387883902388793</v>
      </c>
      <c r="AN4689">
        <v>0.99999999191382605</v>
      </c>
    </row>
    <row r="4690" spans="1:40" x14ac:dyDescent="0.25">
      <c r="A4690" t="str">
        <f>"20190303154231406"</f>
        <v>20190303154231406</v>
      </c>
      <c r="B4690" t="str">
        <f>"1551598951405002"</f>
        <v>1551598951405002</v>
      </c>
      <c r="C4690" t="s">
        <v>40</v>
      </c>
      <c r="D4690">
        <v>5.3447990000000001</v>
      </c>
      <c r="E4690">
        <v>0.67082240000000004</v>
      </c>
      <c r="F4690" t="s">
        <v>46</v>
      </c>
      <c r="G4690">
        <v>-191.39109999999999</v>
      </c>
      <c r="H4690" s="1">
        <v>5.5865270000000003E-6</v>
      </c>
      <c r="I4690">
        <v>205.38679999999999</v>
      </c>
      <c r="J4690">
        <v>-203.233</v>
      </c>
      <c r="K4690">
        <v>1.115658</v>
      </c>
      <c r="L4690">
        <v>215.30350000000001</v>
      </c>
      <c r="M4690">
        <v>0.99283319999999997</v>
      </c>
      <c r="N4690">
        <v>-1.433479E-2</v>
      </c>
      <c r="O4690">
        <v>-0.11864570000000001</v>
      </c>
      <c r="P4690">
        <v>0.9583796</v>
      </c>
      <c r="Q4690">
        <v>-8.1463980000000005E-2</v>
      </c>
      <c r="R4690">
        <v>-0.27362779999999998</v>
      </c>
      <c r="S4690">
        <v>2.53653</v>
      </c>
      <c r="T4690">
        <v>-0.2338624</v>
      </c>
      <c r="U4690">
        <v>-2.0863800000000001</v>
      </c>
      <c r="V4690">
        <v>0.1570801</v>
      </c>
      <c r="W4690">
        <v>-6.9411699999999896E-2</v>
      </c>
      <c r="X4690">
        <v>0.98514360000000001</v>
      </c>
      <c r="Y4690">
        <v>0.5376824</v>
      </c>
      <c r="Z4690">
        <v>-1.8026449999999999E-2</v>
      </c>
      <c r="AA4690">
        <v>0.8429548</v>
      </c>
      <c r="AB4690">
        <v>26</v>
      </c>
      <c r="AC4690">
        <v>11.841900000000001</v>
      </c>
      <c r="AD4690">
        <v>-1.1156524134729999</v>
      </c>
      <c r="AE4690">
        <v>-9.9167000000000094</v>
      </c>
      <c r="AF4690">
        <v>8.3976929975516903</v>
      </c>
      <c r="AG4690">
        <v>-1.1156524134729999</v>
      </c>
      <c r="AH4690">
        <v>12.867799846088101</v>
      </c>
      <c r="AI4690">
        <v>94.152797133123499</v>
      </c>
      <c r="AJ4690">
        <v>56.871012513076302</v>
      </c>
      <c r="AK4690">
        <v>15.4060442965676</v>
      </c>
      <c r="AL4690">
        <v>93.980197812310095</v>
      </c>
      <c r="AM4690">
        <v>80.940511188364894</v>
      </c>
      <c r="AN4690">
        <v>1.0000000272669201</v>
      </c>
    </row>
    <row r="4691" spans="1:40" x14ac:dyDescent="0.25">
      <c r="A4691" t="str">
        <f>"20190303154231429"</f>
        <v>20190303154231429</v>
      </c>
      <c r="B4691" t="str">
        <f>"1551598951424521"</f>
        <v>1551598951424521</v>
      </c>
      <c r="C4691" t="s">
        <v>40</v>
      </c>
      <c r="D4691">
        <v>4.9477640000000003</v>
      </c>
      <c r="E4691">
        <v>0.67382619999999904</v>
      </c>
      <c r="F4691" t="s">
        <v>46</v>
      </c>
      <c r="G4691">
        <v>-191.24029999999999</v>
      </c>
      <c r="H4691" s="1">
        <v>5.7249629999999999E-6</v>
      </c>
      <c r="I4691">
        <v>205.08969999999999</v>
      </c>
      <c r="J4691">
        <v>-202.9787</v>
      </c>
      <c r="K4691">
        <v>1.115461</v>
      </c>
      <c r="L4691">
        <v>215.26419999999999</v>
      </c>
      <c r="M4691">
        <v>0.99185160000000006</v>
      </c>
      <c r="N4691">
        <v>-1.436316E-2</v>
      </c>
      <c r="O4691">
        <v>-0.12658739999999999</v>
      </c>
      <c r="P4691">
        <v>0.95393910000000004</v>
      </c>
      <c r="Q4691">
        <v>-8.3906980000000006E-2</v>
      </c>
      <c r="R4691">
        <v>-0.28802810000000001</v>
      </c>
      <c r="S4691">
        <v>2.502075</v>
      </c>
      <c r="T4691">
        <v>-0.23276259999999999</v>
      </c>
      <c r="U4691">
        <v>-2.1309360000000002</v>
      </c>
      <c r="V4691">
        <v>0.16398090000000001</v>
      </c>
      <c r="W4691">
        <v>-7.2011329999999998E-2</v>
      </c>
      <c r="X4691">
        <v>0.98383160000000003</v>
      </c>
      <c r="Y4691">
        <v>0.54535199999999995</v>
      </c>
      <c r="Z4691">
        <v>-1.7919350000000001E-2</v>
      </c>
      <c r="AA4691">
        <v>0.83801559999999897</v>
      </c>
      <c r="AB4691">
        <v>26</v>
      </c>
      <c r="AC4691">
        <v>11.7384</v>
      </c>
      <c r="AD4691">
        <v>-1.1154552750369999</v>
      </c>
      <c r="AE4691">
        <v>-10.174499999999901</v>
      </c>
      <c r="AF4691">
        <v>8.5623979619305999</v>
      </c>
      <c r="AG4691">
        <v>-1.1154552750369999</v>
      </c>
      <c r="AH4691">
        <v>12.8657086911519</v>
      </c>
      <c r="AI4691">
        <v>94.128267128716502</v>
      </c>
      <c r="AJ4691">
        <v>56.355405047159003</v>
      </c>
      <c r="AK4691">
        <v>15.4946881044654</v>
      </c>
      <c r="AL4691">
        <v>94.129519604207104</v>
      </c>
      <c r="AM4691">
        <v>80.537169710892101</v>
      </c>
      <c r="AN4691">
        <v>0.99999999218586899</v>
      </c>
    </row>
    <row r="4692" spans="1:40" x14ac:dyDescent="0.25">
      <c r="A4692" t="str">
        <f>"20190303154231451"</f>
        <v>20190303154231451</v>
      </c>
      <c r="B4692" t="str">
        <f>"1551598951444042"</f>
        <v>1551598951444042</v>
      </c>
      <c r="C4692" t="s">
        <v>40</v>
      </c>
      <c r="D4692">
        <v>5.8038129999999999</v>
      </c>
      <c r="E4692">
        <v>0.67481669999999905</v>
      </c>
      <c r="F4692" t="s">
        <v>46</v>
      </c>
      <c r="G4692">
        <v>-189.29769999999999</v>
      </c>
      <c r="H4692" s="1">
        <v>6.5663409999999998E-6</v>
      </c>
      <c r="I4692">
        <v>203.1</v>
      </c>
      <c r="J4692">
        <v>-202.72399999999999</v>
      </c>
      <c r="K4692">
        <v>1.1152089999999999</v>
      </c>
      <c r="L4692">
        <v>215.2225</v>
      </c>
      <c r="M4692">
        <v>0.99075279999999999</v>
      </c>
      <c r="N4692">
        <v>-1.4400120000000001E-2</v>
      </c>
      <c r="O4692">
        <v>-0.13491410000000001</v>
      </c>
      <c r="P4692">
        <v>0.94924560000000002</v>
      </c>
      <c r="Q4692">
        <v>-8.4344669999999997E-2</v>
      </c>
      <c r="R4692">
        <v>-0.30301640000000002</v>
      </c>
      <c r="S4692">
        <v>2.4653320000000001</v>
      </c>
      <c r="T4692">
        <v>-0.20100560000000001</v>
      </c>
      <c r="U4692">
        <v>-2.1920009999999999</v>
      </c>
      <c r="V4692">
        <v>0.17115439999999901</v>
      </c>
      <c r="W4692">
        <v>-7.2633690000000001E-2</v>
      </c>
      <c r="X4692">
        <v>0.98256330000000003</v>
      </c>
      <c r="Y4692">
        <v>0.55642780000000003</v>
      </c>
      <c r="Z4692">
        <v>-1.640666E-2</v>
      </c>
      <c r="AA4692">
        <v>0.83073399999999997</v>
      </c>
      <c r="AB4692">
        <v>26</v>
      </c>
      <c r="AC4692">
        <v>13.426299999999999</v>
      </c>
      <c r="AD4692">
        <v>-1.1152024336589901</v>
      </c>
      <c r="AE4692">
        <v>-12.1225</v>
      </c>
      <c r="AF4692">
        <v>10.161438908278599</v>
      </c>
      <c r="AG4692">
        <v>-1.1152024336589901</v>
      </c>
      <c r="AH4692">
        <v>14.882622531835199</v>
      </c>
      <c r="AI4692">
        <v>93.541196987286497</v>
      </c>
      <c r="AJ4692">
        <v>55.675830325478202</v>
      </c>
      <c r="AK4692">
        <v>18.055220036870399</v>
      </c>
      <c r="AL4692">
        <v>94.165271547715506</v>
      </c>
      <c r="AM4692">
        <v>80.118695057410804</v>
      </c>
      <c r="AN4692">
        <v>1.0000000600346299</v>
      </c>
    </row>
    <row r="4693" spans="1:40" x14ac:dyDescent="0.25">
      <c r="A4693" t="str">
        <f>"20190303154231473"</f>
        <v>20190303154231473</v>
      </c>
      <c r="B4693" t="str">
        <f>"1551598951464538"</f>
        <v>1551598951464538</v>
      </c>
      <c r="C4693" t="s">
        <v>40</v>
      </c>
      <c r="D4693">
        <v>5.7676470000000002</v>
      </c>
      <c r="E4693">
        <v>0.65917519999999996</v>
      </c>
      <c r="F4693" t="s">
        <v>46</v>
      </c>
      <c r="G4693">
        <v>-187.98830000000001</v>
      </c>
      <c r="H4693" s="1">
        <v>6.7911500000000002E-6</v>
      </c>
      <c r="I4693">
        <v>201.64279999999999</v>
      </c>
      <c r="J4693">
        <v>-202.47110000000001</v>
      </c>
      <c r="K4693">
        <v>1.114906</v>
      </c>
      <c r="L4693">
        <v>215.17830000000001</v>
      </c>
      <c r="M4693">
        <v>0.98952549999999995</v>
      </c>
      <c r="N4693">
        <v>-1.444662E-2</v>
      </c>
      <c r="O4693">
        <v>-0.14363399999999901</v>
      </c>
      <c r="P4693">
        <v>0.94419260000000005</v>
      </c>
      <c r="Q4693">
        <v>-8.3476250000000002E-2</v>
      </c>
      <c r="R4693">
        <v>-0.31864140000000002</v>
      </c>
      <c r="S4693">
        <v>2.4293819999999999</v>
      </c>
      <c r="T4693">
        <v>-0.18385660000000001</v>
      </c>
      <c r="U4693">
        <v>-2.2387999999999999</v>
      </c>
      <c r="V4693">
        <v>0.178651</v>
      </c>
      <c r="W4693">
        <v>-7.1978860000000006E-2</v>
      </c>
      <c r="X4693">
        <v>0.98127620000000004</v>
      </c>
      <c r="Y4693">
        <v>0.56403630000000005</v>
      </c>
      <c r="Z4693">
        <v>-1.551369E-2</v>
      </c>
      <c r="AA4693">
        <v>0.82560429999999996</v>
      </c>
      <c r="AB4693">
        <v>26</v>
      </c>
      <c r="AC4693">
        <v>14.4827999999999</v>
      </c>
      <c r="AD4693">
        <v>-1.11489920885</v>
      </c>
      <c r="AE4693">
        <v>-13.535500000000001</v>
      </c>
      <c r="AF4693">
        <v>11.2790025440655</v>
      </c>
      <c r="AG4693">
        <v>-1.11489920885</v>
      </c>
      <c r="AH4693">
        <v>16.225631053736901</v>
      </c>
      <c r="AI4693">
        <v>93.229198686131198</v>
      </c>
      <c r="AJ4693">
        <v>55.195487743722801</v>
      </c>
      <c r="AK4693">
        <v>19.792170212660402</v>
      </c>
      <c r="AL4693">
        <v>94.127654096192899</v>
      </c>
      <c r="AM4693">
        <v>79.681750499398206</v>
      </c>
      <c r="AN4693">
        <v>1.00000005838716</v>
      </c>
    </row>
    <row r="4694" spans="1:40" x14ac:dyDescent="0.25">
      <c r="A4694" t="str">
        <f>"20190303154231497"</f>
        <v>20190303154231497</v>
      </c>
      <c r="B4694" t="str">
        <f>"1551598951484565"</f>
        <v>1551598951484565</v>
      </c>
      <c r="C4694" t="s">
        <v>40</v>
      </c>
      <c r="D4694">
        <v>5.7064949999999897</v>
      </c>
      <c r="E4694">
        <v>0.66020299999999998</v>
      </c>
      <c r="F4694" t="s">
        <v>46</v>
      </c>
      <c r="G4694">
        <v>-192.8674</v>
      </c>
      <c r="H4694" s="1">
        <v>4.8203609999999996E-6</v>
      </c>
      <c r="I4694">
        <v>206.62819999999999</v>
      </c>
      <c r="J4694">
        <v>-202.21440000000001</v>
      </c>
      <c r="K4694">
        <v>1.1145560000000001</v>
      </c>
      <c r="L4694">
        <v>215.13050000000001</v>
      </c>
      <c r="M4694">
        <v>0.98811380000000004</v>
      </c>
      <c r="N4694">
        <v>-1.4504909999999999E-2</v>
      </c>
      <c r="O4694">
        <v>-0.15303889999999901</v>
      </c>
      <c r="P4694">
        <v>0.93845940000000005</v>
      </c>
      <c r="Q4694">
        <v>-8.3342340000000001E-2</v>
      </c>
      <c r="R4694">
        <v>-0.33518360000000003</v>
      </c>
      <c r="S4694">
        <v>2.424118</v>
      </c>
      <c r="T4694">
        <v>-0.28141670000000002</v>
      </c>
      <c r="U4694">
        <v>-2.1581730000000001</v>
      </c>
      <c r="V4694">
        <v>0.18648380000000001</v>
      </c>
      <c r="W4694">
        <v>-7.2089970000000003E-2</v>
      </c>
      <c r="X4694">
        <v>0.97980959999999995</v>
      </c>
      <c r="Y4694">
        <v>0.54086009999999995</v>
      </c>
      <c r="Z4694">
        <v>-1.8325709999999999E-2</v>
      </c>
      <c r="AA4694">
        <v>0.84091289999999996</v>
      </c>
      <c r="AB4694">
        <v>25</v>
      </c>
      <c r="AC4694">
        <v>9.3469999999999995</v>
      </c>
      <c r="AD4694">
        <v>-1.114551179639</v>
      </c>
      <c r="AE4694">
        <v>-8.5023000000000195</v>
      </c>
      <c r="AF4694">
        <v>6.9176939710317296</v>
      </c>
      <c r="AG4694">
        <v>-1.114551179639</v>
      </c>
      <c r="AH4694">
        <v>10.4568290504907</v>
      </c>
      <c r="AI4694">
        <v>95.079917290546305</v>
      </c>
      <c r="AJ4694">
        <v>56.513452462128299</v>
      </c>
      <c r="AK4694">
        <v>12.587374150317</v>
      </c>
      <c r="AL4694">
        <v>94.134037003982399</v>
      </c>
      <c r="AM4694">
        <v>79.223974869911302</v>
      </c>
      <c r="AN4694">
        <v>1.0000000118446</v>
      </c>
    </row>
    <row r="4695" spans="1:40" x14ac:dyDescent="0.25">
      <c r="A4695" t="str">
        <f>"20190303154231519"</f>
        <v>20190303154231519</v>
      </c>
      <c r="B4695" t="str">
        <f>"1551598951514821"</f>
        <v>1551598951514821</v>
      </c>
      <c r="C4695" t="s">
        <v>40</v>
      </c>
      <c r="D4695">
        <v>5.4406699999999999</v>
      </c>
      <c r="E4695">
        <v>0.66750350000000003</v>
      </c>
      <c r="F4695" t="s">
        <v>46</v>
      </c>
      <c r="G4695">
        <v>-192.27350000000001</v>
      </c>
      <c r="H4695" s="1">
        <v>5.2013989999999996E-6</v>
      </c>
      <c r="I4695">
        <v>205.9228</v>
      </c>
      <c r="J4695">
        <v>-201.9632</v>
      </c>
      <c r="K4695">
        <v>1.114179</v>
      </c>
      <c r="L4695">
        <v>215.0805</v>
      </c>
      <c r="M4695">
        <v>0.98654219999999904</v>
      </c>
      <c r="N4695">
        <v>-1.4573890000000001E-2</v>
      </c>
      <c r="O4695">
        <v>-0.162856</v>
      </c>
      <c r="P4695">
        <v>0.93235279999999998</v>
      </c>
      <c r="Q4695">
        <v>-8.3191600000000004E-2</v>
      </c>
      <c r="R4695">
        <v>-0.3518481</v>
      </c>
      <c r="S4695">
        <v>2.3842469999999998</v>
      </c>
      <c r="T4695">
        <v>-0.26731510000000003</v>
      </c>
      <c r="U4695">
        <v>-2.2083889999999999</v>
      </c>
      <c r="V4695">
        <v>0.1941156</v>
      </c>
      <c r="W4695">
        <v>-7.2194170000000002E-2</v>
      </c>
      <c r="X4695">
        <v>0.97831849999999998</v>
      </c>
      <c r="Y4695">
        <v>0.54918849999999997</v>
      </c>
      <c r="Z4695">
        <v>-1.7554670000000001E-2</v>
      </c>
      <c r="AA4695">
        <v>0.83551409999999904</v>
      </c>
      <c r="AB4695">
        <v>25</v>
      </c>
      <c r="AC4695">
        <v>9.6896999999999807</v>
      </c>
      <c r="AD4695">
        <v>-1.1141737986010001</v>
      </c>
      <c r="AE4695">
        <v>-9.1577000000000002</v>
      </c>
      <c r="AF4695">
        <v>7.4055057497268804</v>
      </c>
      <c r="AG4695">
        <v>-1.1141737986010001</v>
      </c>
      <c r="AH4695">
        <v>10.975210331252301</v>
      </c>
      <c r="AI4695">
        <v>94.810238353697102</v>
      </c>
      <c r="AJ4695">
        <v>55.990554054133803</v>
      </c>
      <c r="AK4695">
        <v>13.2867656138713</v>
      </c>
      <c r="AL4695">
        <v>94.140022970083095</v>
      </c>
      <c r="AM4695">
        <v>78.777272223957794</v>
      </c>
      <c r="AN4695">
        <v>0.99999997589379896</v>
      </c>
    </row>
    <row r="4696" spans="1:40" x14ac:dyDescent="0.25">
      <c r="A4696" t="str">
        <f>"20190303154231541"</f>
        <v>20190303154231541</v>
      </c>
      <c r="B4696" t="str">
        <f>"1551598951534341"</f>
        <v>1551598951534341</v>
      </c>
      <c r="C4696" t="s">
        <v>40</v>
      </c>
      <c r="D4696">
        <v>5.4405359999999998</v>
      </c>
      <c r="E4696">
        <v>0.66761610000000005</v>
      </c>
      <c r="F4696" t="s">
        <v>46</v>
      </c>
      <c r="G4696">
        <v>-187.39189999999999</v>
      </c>
      <c r="H4696" s="1">
        <v>6.9850080000000003E-6</v>
      </c>
      <c r="I4696">
        <v>200.66030000000001</v>
      </c>
      <c r="J4696">
        <v>-201.71100000000001</v>
      </c>
      <c r="K4696">
        <v>1.1138220000000001</v>
      </c>
      <c r="L4696">
        <v>215.02709999999999</v>
      </c>
      <c r="M4696">
        <v>0.98476969999999997</v>
      </c>
      <c r="N4696">
        <v>-1.464972E-2</v>
      </c>
      <c r="O4696">
        <v>-0.1732457</v>
      </c>
      <c r="P4696">
        <v>0.92606120000000003</v>
      </c>
      <c r="Q4696">
        <v>-8.1629220000000002E-2</v>
      </c>
      <c r="R4696">
        <v>-0.36843930000000003</v>
      </c>
      <c r="S4696">
        <v>2.3311769999999998</v>
      </c>
      <c r="T4696">
        <v>-0.17824909999999999</v>
      </c>
      <c r="U4696">
        <v>-2.3069920000000002</v>
      </c>
      <c r="V4696">
        <v>0.20119790000000001</v>
      </c>
      <c r="W4696">
        <v>-7.0873519999999995E-2</v>
      </c>
      <c r="X4696">
        <v>0.9769833</v>
      </c>
      <c r="Y4696">
        <v>0.56869630000000004</v>
      </c>
      <c r="Z4696">
        <v>-1.432808E-2</v>
      </c>
      <c r="AA4696">
        <v>0.82242280000000001</v>
      </c>
      <c r="AB4696">
        <v>25</v>
      </c>
      <c r="AC4696">
        <v>14.319099999999899</v>
      </c>
      <c r="AD4696">
        <v>-1.1138150149920001</v>
      </c>
      <c r="AE4696">
        <v>-14.3667999999999</v>
      </c>
      <c r="AF4696">
        <v>11.6334414186964</v>
      </c>
      <c r="AG4696">
        <v>-1.1138150149920001</v>
      </c>
      <c r="AH4696">
        <v>16.541904877013099</v>
      </c>
      <c r="AI4696">
        <v>93.152467232516202</v>
      </c>
      <c r="AJ4696">
        <v>54.882392767643402</v>
      </c>
      <c r="AK4696">
        <v>20.2536949737576</v>
      </c>
      <c r="AL4696">
        <v>94.064160808662706</v>
      </c>
      <c r="AM4696">
        <v>78.363312228798705</v>
      </c>
      <c r="AN4696">
        <v>1.0000000096402399</v>
      </c>
    </row>
    <row r="4697" spans="1:40" x14ac:dyDescent="0.25">
      <c r="A4697" t="str">
        <f>"20190303154231563"</f>
        <v>20190303154231563</v>
      </c>
      <c r="B4697" t="str">
        <f>"1551598951554837"</f>
        <v>1551598951554837</v>
      </c>
      <c r="C4697" t="s">
        <v>40</v>
      </c>
      <c r="D4697">
        <v>5.5579960000000002</v>
      </c>
      <c r="E4697">
        <v>0.66856309999999997</v>
      </c>
      <c r="F4697" t="s">
        <v>41</v>
      </c>
      <c r="G4697">
        <v>-186.21449999999999</v>
      </c>
      <c r="H4697" s="1">
        <v>-4.7458819999999997E-6</v>
      </c>
      <c r="I4697">
        <v>199.13030000000001</v>
      </c>
      <c r="J4697">
        <v>-201.46379999999999</v>
      </c>
      <c r="K4697">
        <v>1.1134919999999999</v>
      </c>
      <c r="L4697">
        <v>214.97149999999999</v>
      </c>
      <c r="M4697">
        <v>0.98282579999999997</v>
      </c>
      <c r="N4697">
        <v>-1.472478E-2</v>
      </c>
      <c r="O4697">
        <v>-0.18394759999999999</v>
      </c>
      <c r="P4697">
        <v>0.91974089999999997</v>
      </c>
      <c r="Q4697">
        <v>-8.0192639999999996E-2</v>
      </c>
      <c r="R4697">
        <v>-0.38424710000000001</v>
      </c>
      <c r="S4697">
        <v>2.2902830000000001</v>
      </c>
      <c r="T4697">
        <v>-0.1646165</v>
      </c>
      <c r="U4697">
        <v>-2.3494419999999998</v>
      </c>
      <c r="V4697">
        <v>0.20723949999999999</v>
      </c>
      <c r="W4697">
        <v>-6.9657360000000001E-2</v>
      </c>
      <c r="X4697">
        <v>0.97580719999999999</v>
      </c>
      <c r="Y4697">
        <v>0.57461390000000001</v>
      </c>
      <c r="Z4697">
        <v>-1.363867E-2</v>
      </c>
      <c r="AA4697">
        <v>0.81831100000000001</v>
      </c>
      <c r="AB4697">
        <v>25</v>
      </c>
      <c r="AC4697">
        <v>15.2493</v>
      </c>
      <c r="AD4697">
        <v>-1.113496745882</v>
      </c>
      <c r="AE4697">
        <v>-15.841199999999899</v>
      </c>
      <c r="AF4697">
        <v>12.7327986211927</v>
      </c>
      <c r="AG4697">
        <v>-1.113496745882</v>
      </c>
      <c r="AH4697">
        <v>17.857501602853301</v>
      </c>
      <c r="AI4697">
        <v>92.906429254628506</v>
      </c>
      <c r="AJ4697">
        <v>54.510279918838897</v>
      </c>
      <c r="AK4697">
        <v>21.960291419442601</v>
      </c>
      <c r="AL4697">
        <v>93.9943072539985</v>
      </c>
      <c r="AM4697">
        <v>78.009815987544499</v>
      </c>
      <c r="AN4697">
        <v>1.0000000248671199</v>
      </c>
    </row>
    <row r="4698" spans="1:40" x14ac:dyDescent="0.25">
      <c r="A4698" t="str">
        <f>"20190303154231585"</f>
        <v>20190303154231585</v>
      </c>
      <c r="B4698" t="str">
        <f>"1551598951574357"</f>
        <v>1551598951574357</v>
      </c>
      <c r="C4698" t="s">
        <v>40</v>
      </c>
      <c r="D4698">
        <v>5.9416409999999997</v>
      </c>
      <c r="E4698">
        <v>0.66854969999999903</v>
      </c>
      <c r="F4698" t="s">
        <v>41</v>
      </c>
      <c r="G4698">
        <v>-182.80670000000001</v>
      </c>
      <c r="H4698" s="1">
        <v>-3.769804E-6</v>
      </c>
      <c r="I4698">
        <v>195.10159999999999</v>
      </c>
      <c r="J4698">
        <v>-201.2148</v>
      </c>
      <c r="K4698">
        <v>1.1131709999999999</v>
      </c>
      <c r="L4698">
        <v>214.91200000000001</v>
      </c>
      <c r="M4698">
        <v>0.98063659999999997</v>
      </c>
      <c r="N4698">
        <v>-1.480211E-2</v>
      </c>
      <c r="O4698">
        <v>-0.19527610000000001</v>
      </c>
      <c r="P4698">
        <v>0.91293749999999996</v>
      </c>
      <c r="Q4698">
        <v>-7.9874150000000005E-2</v>
      </c>
      <c r="R4698">
        <v>-0.40020660000000002</v>
      </c>
      <c r="S4698">
        <v>2.2492830000000001</v>
      </c>
      <c r="T4698">
        <v>-0.1342421</v>
      </c>
      <c r="U4698">
        <v>-2.3954930000000001</v>
      </c>
      <c r="V4698">
        <v>0.21290880000000001</v>
      </c>
      <c r="W4698">
        <v>-6.9558759999999997E-2</v>
      </c>
      <c r="X4698">
        <v>0.97459289999999998</v>
      </c>
      <c r="Y4698">
        <v>0.58068909999999996</v>
      </c>
      <c r="Z4698">
        <v>-1.238703E-2</v>
      </c>
      <c r="AA4698">
        <v>0.81403119999999995</v>
      </c>
      <c r="AB4698">
        <v>25</v>
      </c>
      <c r="AC4698">
        <v>18.408099999999902</v>
      </c>
      <c r="AD4698">
        <v>-1.113174769804</v>
      </c>
      <c r="AE4698">
        <v>-19.810400000000001</v>
      </c>
      <c r="AF4698">
        <v>15.807091944284601</v>
      </c>
      <c r="AG4698">
        <v>-1.113174769804</v>
      </c>
      <c r="AH4698">
        <v>21.885472503910201</v>
      </c>
      <c r="AI4698">
        <v>92.361155115316294</v>
      </c>
      <c r="AJ4698">
        <v>54.160768725690502</v>
      </c>
      <c r="AK4698">
        <v>27.0199411643068</v>
      </c>
      <c r="AL4698">
        <v>93.988644455177607</v>
      </c>
      <c r="AM4698">
        <v>77.676813597062505</v>
      </c>
      <c r="AN4698">
        <v>0.99999994947029203</v>
      </c>
    </row>
    <row r="4699" spans="1:40" x14ac:dyDescent="0.25">
      <c r="A4699" t="str">
        <f>"20190303154231607"</f>
        <v>20190303154231607</v>
      </c>
      <c r="B4699" t="str">
        <f>"1551598951604614"</f>
        <v>1551598951604614</v>
      </c>
      <c r="C4699" t="s">
        <v>40</v>
      </c>
      <c r="D4699">
        <v>6.00068</v>
      </c>
      <c r="E4699">
        <v>0.66631909999999905</v>
      </c>
      <c r="F4699" t="s">
        <v>41</v>
      </c>
      <c r="G4699">
        <v>-181.50370000000001</v>
      </c>
      <c r="H4699" s="1">
        <v>-3.4626370000000001E-6</v>
      </c>
      <c r="I4699">
        <v>193.18020000000001</v>
      </c>
      <c r="J4699">
        <v>-200.96549999999999</v>
      </c>
      <c r="K4699">
        <v>1.1128359999999999</v>
      </c>
      <c r="L4699">
        <v>214.84880000000001</v>
      </c>
      <c r="M4699">
        <v>0.97819400000000001</v>
      </c>
      <c r="N4699">
        <v>-1.488632E-2</v>
      </c>
      <c r="O4699">
        <v>-0.20715939999999999</v>
      </c>
      <c r="P4699">
        <v>0.90486960000000005</v>
      </c>
      <c r="Q4699">
        <v>-7.8868149999999998E-2</v>
      </c>
      <c r="R4699">
        <v>-0.41831930000000001</v>
      </c>
      <c r="S4699">
        <v>2.2080229999999998</v>
      </c>
      <c r="T4699">
        <v>-0.1246974</v>
      </c>
      <c r="U4699">
        <v>-2.4343870000000001</v>
      </c>
      <c r="V4699">
        <v>0.2204354</v>
      </c>
      <c r="W4699">
        <v>-6.8820649999999997E-2</v>
      </c>
      <c r="X4699">
        <v>0.97297069999999997</v>
      </c>
      <c r="Y4699">
        <v>0.58490940000000002</v>
      </c>
      <c r="Z4699">
        <v>-1.191734E-2</v>
      </c>
      <c r="AA4699">
        <v>0.81101109999999998</v>
      </c>
      <c r="AB4699">
        <v>25</v>
      </c>
      <c r="AC4699">
        <v>19.461799999999901</v>
      </c>
      <c r="AD4699">
        <v>-1.112839462637</v>
      </c>
      <c r="AE4699">
        <v>-21.668600000000001</v>
      </c>
      <c r="AF4699">
        <v>17.141276397195199</v>
      </c>
      <c r="AG4699">
        <v>-1.112839462637</v>
      </c>
      <c r="AH4699">
        <v>23.494576366460599</v>
      </c>
      <c r="AI4699">
        <v>92.191314651465802</v>
      </c>
      <c r="AJ4699">
        <v>53.886092975846097</v>
      </c>
      <c r="AK4699">
        <v>29.104241732676901</v>
      </c>
      <c r="AL4699">
        <v>93.946252012260203</v>
      </c>
      <c r="AM4699">
        <v>77.234617615670203</v>
      </c>
      <c r="AN4699">
        <v>1.00000001524903</v>
      </c>
    </row>
    <row r="4700" spans="1:40" x14ac:dyDescent="0.25">
      <c r="A4700" t="str">
        <f>"20190303154231630"</f>
        <v>20190303154231630</v>
      </c>
      <c r="B4700" t="str">
        <f>"1551598951625109"</f>
        <v>1551598951625109</v>
      </c>
      <c r="C4700" t="s">
        <v>40</v>
      </c>
      <c r="D4700">
        <v>5.9215499999999999</v>
      </c>
      <c r="E4700">
        <v>0.70226069999999996</v>
      </c>
      <c r="F4700" t="s">
        <v>41</v>
      </c>
      <c r="G4700">
        <v>-184.44470000000001</v>
      </c>
      <c r="H4700" s="1">
        <v>-3.7463629999999999E-6</v>
      </c>
      <c r="I4700">
        <v>196.0686</v>
      </c>
      <c r="J4700">
        <v>-200.7132</v>
      </c>
      <c r="K4700">
        <v>1.1125020000000001</v>
      </c>
      <c r="L4700">
        <v>214.78110000000001</v>
      </c>
      <c r="M4700">
        <v>0.97544430000000004</v>
      </c>
      <c r="N4700">
        <v>-1.498012E-2</v>
      </c>
      <c r="O4700">
        <v>-0.21973590000000001</v>
      </c>
      <c r="P4700">
        <v>0.89577109999999904</v>
      </c>
      <c r="Q4700">
        <v>-7.7212649999999994E-2</v>
      </c>
      <c r="R4700">
        <v>-0.4377586</v>
      </c>
      <c r="S4700">
        <v>2.1649479999999999</v>
      </c>
      <c r="T4700">
        <v>-0.1458304</v>
      </c>
      <c r="U4700">
        <v>-2.4610289999999999</v>
      </c>
      <c r="V4700">
        <v>0.2288434</v>
      </c>
      <c r="W4700">
        <v>-6.746365E-2</v>
      </c>
      <c r="X4700">
        <v>0.97112270000000001</v>
      </c>
      <c r="Y4700">
        <v>0.58664869999999902</v>
      </c>
      <c r="Z4700">
        <v>-1.232398E-2</v>
      </c>
      <c r="AA4700">
        <v>0.80974780000000002</v>
      </c>
      <c r="AB4700">
        <v>25</v>
      </c>
      <c r="AC4700">
        <v>16.2684999999999</v>
      </c>
      <c r="AD4700">
        <v>-1.1125057463629999</v>
      </c>
      <c r="AE4700">
        <v>-18.712499999999999</v>
      </c>
      <c r="AF4700">
        <v>14.6503842573897</v>
      </c>
      <c r="AG4700">
        <v>-1.1125057463629999</v>
      </c>
      <c r="AH4700">
        <v>19.942921200503498</v>
      </c>
      <c r="AI4700">
        <v>92.574135036575797</v>
      </c>
      <c r="AJ4700">
        <v>53.698409697455197</v>
      </c>
      <c r="AK4700">
        <v>24.770779841061799</v>
      </c>
      <c r="AL4700">
        <v>93.868320659361302</v>
      </c>
      <c r="AM4700">
        <v>76.740253754708306</v>
      </c>
      <c r="AN4700">
        <v>0.99999997212508596</v>
      </c>
    </row>
    <row r="4701" spans="1:40" x14ac:dyDescent="0.25">
      <c r="A4701" t="str">
        <f>"20190303154231653"</f>
        <v>20190303154231653</v>
      </c>
      <c r="B4701" t="str">
        <f>"1551598951644629"</f>
        <v>1551598951644629</v>
      </c>
      <c r="C4701" t="s">
        <v>40</v>
      </c>
      <c r="D4701">
        <v>5.9700419999999896</v>
      </c>
      <c r="E4701">
        <v>0.70614869999999996</v>
      </c>
      <c r="F4701" t="s">
        <v>46</v>
      </c>
      <c r="G4701">
        <v>-190.18029999999999</v>
      </c>
      <c r="H4701" s="1">
        <v>7.7185189999999993E-6</v>
      </c>
      <c r="I4701">
        <v>200.0872</v>
      </c>
      <c r="J4701">
        <v>-200.4641</v>
      </c>
      <c r="K4701">
        <v>1.1121700000000001</v>
      </c>
      <c r="L4701">
        <v>214.71019999999999</v>
      </c>
      <c r="M4701">
        <v>0.97243400000000002</v>
      </c>
      <c r="N4701">
        <v>-1.5078899999999999E-2</v>
      </c>
      <c r="O4701">
        <v>-0.23268990000000001</v>
      </c>
      <c r="P4701">
        <v>0.88599280000000002</v>
      </c>
      <c r="Q4701">
        <v>-7.5417709999999999E-2</v>
      </c>
      <c r="R4701">
        <v>-0.45752510000000002</v>
      </c>
      <c r="S4701">
        <v>1.9806980000000001</v>
      </c>
      <c r="T4701">
        <v>-0.20920259999999999</v>
      </c>
      <c r="U4701">
        <v>-2.7631679999999998</v>
      </c>
      <c r="V4701">
        <v>0.23740169999999999</v>
      </c>
      <c r="W4701">
        <v>-6.5980849999999994E-2</v>
      </c>
      <c r="X4701">
        <v>0.96916820000000004</v>
      </c>
      <c r="Y4701">
        <v>0.65361139999999995</v>
      </c>
      <c r="Z4701">
        <v>-1.691525E-2</v>
      </c>
      <c r="AA4701">
        <v>0.75664129999999996</v>
      </c>
      <c r="AB4701">
        <v>25</v>
      </c>
      <c r="AC4701">
        <v>10.283799999999999</v>
      </c>
      <c r="AD4701">
        <v>-1.1121622814809999</v>
      </c>
      <c r="AE4701">
        <v>-14.6229999999999</v>
      </c>
      <c r="AF4701">
        <v>11.782709037473801</v>
      </c>
      <c r="AG4701">
        <v>-1.1121622814809999</v>
      </c>
      <c r="AH4701">
        <v>13.3527868676504</v>
      </c>
      <c r="AI4701">
        <v>93.573625480984603</v>
      </c>
      <c r="AJ4701">
        <v>48.574312022660301</v>
      </c>
      <c r="AK4701">
        <v>17.842815202064202</v>
      </c>
      <c r="AL4701">
        <v>93.783172541829003</v>
      </c>
      <c r="AM4701">
        <v>76.236181646244106</v>
      </c>
      <c r="AN4701">
        <v>1.00000001981042</v>
      </c>
    </row>
    <row r="4702" spans="1:40" x14ac:dyDescent="0.25">
      <c r="A4702" t="str">
        <f>"20190303154231675"</f>
        <v>20190303154231675</v>
      </c>
      <c r="B4702" t="str">
        <f>"1551598951665125"</f>
        <v>1551598951665125</v>
      </c>
      <c r="C4702" t="s">
        <v>40</v>
      </c>
      <c r="D4702">
        <v>5.9466900000000003</v>
      </c>
      <c r="E4702">
        <v>0.70736869999999996</v>
      </c>
      <c r="F4702" t="s">
        <v>41</v>
      </c>
      <c r="G4702">
        <v>-189.87260000000001</v>
      </c>
      <c r="H4702" s="1">
        <v>-4.0220970000000001E-6</v>
      </c>
      <c r="I4702">
        <v>198.95570000000001</v>
      </c>
      <c r="J4702">
        <v>-200.22300000000001</v>
      </c>
      <c r="K4702">
        <v>1.1118349999999999</v>
      </c>
      <c r="L4702">
        <v>214.63749999999999</v>
      </c>
      <c r="M4702">
        <v>0.96922030000000003</v>
      </c>
      <c r="N4702">
        <v>-1.517812E-2</v>
      </c>
      <c r="O4702">
        <v>-0.2457269</v>
      </c>
      <c r="P4702">
        <v>0.87505940000000004</v>
      </c>
      <c r="Q4702">
        <v>-7.4387209999999995E-2</v>
      </c>
      <c r="R4702">
        <v>-0.47826550000000001</v>
      </c>
      <c r="S4702">
        <v>1.905411</v>
      </c>
      <c r="T4702">
        <v>-0.20008129999999999</v>
      </c>
      <c r="U4702">
        <v>-2.834244</v>
      </c>
      <c r="V4702">
        <v>0.24713979999999999</v>
      </c>
      <c r="W4702">
        <v>-6.5302189999999996E-2</v>
      </c>
      <c r="X4702">
        <v>0.96677690000000005</v>
      </c>
      <c r="Y4702">
        <v>0.66616030000000004</v>
      </c>
      <c r="Z4702">
        <v>-1.662191E-2</v>
      </c>
      <c r="AA4702">
        <v>0.74562340000000005</v>
      </c>
      <c r="AB4702">
        <v>25</v>
      </c>
      <c r="AC4702">
        <v>10.350399999999899</v>
      </c>
      <c r="AD4702">
        <v>-1.111839022097</v>
      </c>
      <c r="AE4702">
        <v>-15.6817999999999</v>
      </c>
      <c r="AF4702">
        <v>12.613040814854999</v>
      </c>
      <c r="AG4702">
        <v>-1.111839022097</v>
      </c>
      <c r="AH4702">
        <v>13.8384025724094</v>
      </c>
      <c r="AI4702">
        <v>93.398247481998894</v>
      </c>
      <c r="AJ4702">
        <v>47.652327831064802</v>
      </c>
      <c r="AK4702">
        <v>18.757035223198901</v>
      </c>
      <c r="AL4702">
        <v>93.744204159700004</v>
      </c>
      <c r="AM4702">
        <v>75.660414978672506</v>
      </c>
      <c r="AN4702">
        <v>1.00000001556822</v>
      </c>
    </row>
    <row r="4703" spans="1:40" x14ac:dyDescent="0.25">
      <c r="A4703" t="str">
        <f>"20190303154231697"</f>
        <v>20190303154231697</v>
      </c>
      <c r="B4703" t="str">
        <f>"1551598951694405"</f>
        <v>1551598951694405</v>
      </c>
      <c r="C4703" t="s">
        <v>40</v>
      </c>
      <c r="D4703">
        <v>5.9318169999999997</v>
      </c>
      <c r="E4703">
        <v>0.70668140000000002</v>
      </c>
      <c r="F4703" t="s">
        <v>41</v>
      </c>
      <c r="G4703">
        <v>-189.75</v>
      </c>
      <c r="H4703" s="1">
        <v>-3.6989170000000001E-6</v>
      </c>
      <c r="I4703">
        <v>198.15170000000001</v>
      </c>
      <c r="J4703">
        <v>-199.98840000000001</v>
      </c>
      <c r="K4703">
        <v>1.1115189999999999</v>
      </c>
      <c r="L4703">
        <v>214.56270000000001</v>
      </c>
      <c r="M4703">
        <v>0.96577550000000001</v>
      </c>
      <c r="N4703">
        <v>-1.527889E-2</v>
      </c>
      <c r="O4703">
        <v>-0.25892920000000003</v>
      </c>
      <c r="P4703">
        <v>0.86297080000000004</v>
      </c>
      <c r="Q4703">
        <v>-7.373768E-2</v>
      </c>
      <c r="R4703">
        <v>-0.49984450000000002</v>
      </c>
      <c r="S4703">
        <v>1.8339540000000001</v>
      </c>
      <c r="T4703">
        <v>-0.19469590000000001</v>
      </c>
      <c r="U4703">
        <v>-2.8868710000000002</v>
      </c>
      <c r="V4703">
        <v>0.2578742</v>
      </c>
      <c r="W4703">
        <v>-6.5041080000000001E-2</v>
      </c>
      <c r="X4703">
        <v>0.96398680000000003</v>
      </c>
      <c r="Y4703">
        <v>0.67530279999999998</v>
      </c>
      <c r="Z4703">
        <v>-1.632722E-2</v>
      </c>
      <c r="AA4703">
        <v>0.73735989999999996</v>
      </c>
      <c r="AB4703">
        <v>25</v>
      </c>
      <c r="AC4703">
        <v>10.2384</v>
      </c>
      <c r="AD4703">
        <v>-1.111522698917</v>
      </c>
      <c r="AE4703">
        <v>-16.410999999999898</v>
      </c>
      <c r="AF4703">
        <v>13.1564168455331</v>
      </c>
      <c r="AG4703">
        <v>-1.111522698917</v>
      </c>
      <c r="AH4703">
        <v>14.0923976484184</v>
      </c>
      <c r="AI4703">
        <v>93.299679754630603</v>
      </c>
      <c r="AJ4703">
        <v>46.967302950555698</v>
      </c>
      <c r="AK4703">
        <v>19.3112003356804</v>
      </c>
      <c r="AL4703">
        <v>93.729211852345301</v>
      </c>
      <c r="AM4703">
        <v>75.023586668854307</v>
      </c>
      <c r="AN4703">
        <v>0.99999999784372295</v>
      </c>
    </row>
    <row r="4704" spans="1:40" x14ac:dyDescent="0.25">
      <c r="A4704" t="str">
        <f>"20190303154231719"</f>
        <v>20190303154231719</v>
      </c>
      <c r="B4704" t="str">
        <f>"1551598951714904"</f>
        <v>1551598951714904</v>
      </c>
      <c r="C4704" t="s">
        <v>40</v>
      </c>
      <c r="D4704">
        <v>5.0760370000000004</v>
      </c>
      <c r="E4704">
        <v>0.70567290000000005</v>
      </c>
      <c r="F4704" t="s">
        <v>41</v>
      </c>
      <c r="G4704">
        <v>-190.06</v>
      </c>
      <c r="H4704" s="1">
        <v>-3.6638980000000001E-6</v>
      </c>
      <c r="I4704">
        <v>198.0925</v>
      </c>
      <c r="J4704">
        <v>-199.74430000000001</v>
      </c>
      <c r="K4704">
        <v>1.111197</v>
      </c>
      <c r="L4704">
        <v>214.4803</v>
      </c>
      <c r="M4704">
        <v>0.96183430000000003</v>
      </c>
      <c r="N4704">
        <v>-1.538992E-2</v>
      </c>
      <c r="O4704">
        <v>-0.27319969999999999</v>
      </c>
      <c r="P4704">
        <v>0.84913359999999904</v>
      </c>
      <c r="Q4704">
        <v>-7.1950150000000004E-2</v>
      </c>
      <c r="R4704">
        <v>-0.52325480000000002</v>
      </c>
      <c r="S4704">
        <v>1.7642819999999999</v>
      </c>
      <c r="T4704">
        <v>-0.19751759999999999</v>
      </c>
      <c r="U4704">
        <v>-2.9267430000000001</v>
      </c>
      <c r="V4704">
        <v>0.26987729999999999</v>
      </c>
      <c r="W4704">
        <v>-6.3691029999999996E-2</v>
      </c>
      <c r="X4704">
        <v>0.96078600000000003</v>
      </c>
      <c r="Y4704">
        <v>0.68163169999999995</v>
      </c>
      <c r="Z4704">
        <v>-1.6131940000000001E-2</v>
      </c>
      <c r="AA4704">
        <v>0.73151759999999999</v>
      </c>
      <c r="AB4704">
        <v>25</v>
      </c>
      <c r="AC4704">
        <v>9.6843000000000004</v>
      </c>
      <c r="AD4704">
        <v>-1.1112006638979901</v>
      </c>
      <c r="AE4704">
        <v>-16.387799999999999</v>
      </c>
      <c r="AF4704">
        <v>13.073601961456299</v>
      </c>
      <c r="AG4704">
        <v>-1.1112006638979901</v>
      </c>
      <c r="AH4704">
        <v>13.746622105208999</v>
      </c>
      <c r="AI4704">
        <v>93.352239815999695</v>
      </c>
      <c r="AJ4704">
        <v>46.437464607699603</v>
      </c>
      <c r="AK4704">
        <v>19.003248524014602</v>
      </c>
      <c r="AL4704">
        <v>93.651698859902496</v>
      </c>
      <c r="AM4704">
        <v>74.310361253506599</v>
      </c>
      <c r="AN4704">
        <v>1.00000002107687</v>
      </c>
    </row>
    <row r="4705" spans="1:40" x14ac:dyDescent="0.25">
      <c r="A4705" t="str">
        <f>"20190303154231742"</f>
        <v>20190303154231742</v>
      </c>
      <c r="B4705" t="str">
        <f>"1551598951734424"</f>
        <v>1551598951734424</v>
      </c>
      <c r="C4705" t="s">
        <v>40</v>
      </c>
      <c r="D4705">
        <v>5.9731889999999996</v>
      </c>
      <c r="E4705">
        <v>0.70423400000000003</v>
      </c>
      <c r="F4705" t="s">
        <v>41</v>
      </c>
      <c r="G4705">
        <v>-190.6473</v>
      </c>
      <c r="H4705" s="1">
        <v>-3.9904879999999998E-6</v>
      </c>
      <c r="I4705">
        <v>198.4896</v>
      </c>
      <c r="J4705">
        <v>-199.49809999999999</v>
      </c>
      <c r="K4705">
        <v>1.1109089999999999</v>
      </c>
      <c r="L4705">
        <v>214.39250000000001</v>
      </c>
      <c r="M4705">
        <v>0.95748350000000004</v>
      </c>
      <c r="N4705">
        <v>-1.5505130000000001E-2</v>
      </c>
      <c r="O4705">
        <v>-0.28807129999999997</v>
      </c>
      <c r="P4705">
        <v>0.83433969999999902</v>
      </c>
      <c r="Q4705">
        <v>-6.9618540000000007E-2</v>
      </c>
      <c r="R4705">
        <v>-0.54683669999999995</v>
      </c>
      <c r="S4705">
        <v>1.68757599999999</v>
      </c>
      <c r="T4705">
        <v>-0.2061375</v>
      </c>
      <c r="U4705">
        <v>-2.966415</v>
      </c>
      <c r="V4705">
        <v>0.28182430000000003</v>
      </c>
      <c r="W4705">
        <v>-6.179639E-2</v>
      </c>
      <c r="X4705">
        <v>0.95747389999999999</v>
      </c>
      <c r="Y4705">
        <v>0.68864979999999998</v>
      </c>
      <c r="Z4705">
        <v>-1.6089470000000002E-2</v>
      </c>
      <c r="AA4705">
        <v>0.72491559999999999</v>
      </c>
      <c r="AB4705">
        <v>25</v>
      </c>
      <c r="AC4705">
        <v>8.8507999999999907</v>
      </c>
      <c r="AD4705">
        <v>-1.110912990488</v>
      </c>
      <c r="AE4705">
        <v>-15.902900000000001</v>
      </c>
      <c r="AF4705">
        <v>12.6315635532276</v>
      </c>
      <c r="AG4705">
        <v>-1.110912990488</v>
      </c>
      <c r="AH4705">
        <v>13.0087648149832</v>
      </c>
      <c r="AI4705">
        <v>93.505940925138603</v>
      </c>
      <c r="AJ4705">
        <v>45.842831695403397</v>
      </c>
      <c r="AK4705">
        <v>18.166410968686399</v>
      </c>
      <c r="AL4705">
        <v>93.542929735464099</v>
      </c>
      <c r="AM4705">
        <v>73.598655934167297</v>
      </c>
      <c r="AN4705">
        <v>0.99999999953436602</v>
      </c>
    </row>
    <row r="4706" spans="1:40" x14ac:dyDescent="0.25">
      <c r="A4706" t="str">
        <f>"20190303154231764"</f>
        <v>20190303154231764</v>
      </c>
      <c r="B4706" t="str">
        <f>"1551598951754917"</f>
        <v>1551598951754917</v>
      </c>
      <c r="C4706" t="s">
        <v>40</v>
      </c>
      <c r="D4706">
        <v>6.0431239999999997</v>
      </c>
      <c r="E4706">
        <v>0.70313979999999998</v>
      </c>
      <c r="F4706" t="s">
        <v>41</v>
      </c>
      <c r="G4706">
        <v>-190.7792</v>
      </c>
      <c r="H4706" s="1">
        <v>-3.8733629999999997E-6</v>
      </c>
      <c r="I4706">
        <v>198.13470000000001</v>
      </c>
      <c r="J4706">
        <v>-199.26079999999999</v>
      </c>
      <c r="K4706">
        <v>1.110636</v>
      </c>
      <c r="L4706">
        <v>214.30330000000001</v>
      </c>
      <c r="M4706">
        <v>0.95290680000000005</v>
      </c>
      <c r="N4706">
        <v>-1.561562E-2</v>
      </c>
      <c r="O4706">
        <v>-0.30286099999999999</v>
      </c>
      <c r="P4706">
        <v>0.81966380000000005</v>
      </c>
      <c r="Q4706">
        <v>-6.9815959999999996E-2</v>
      </c>
      <c r="R4706">
        <v>-0.56857480000000005</v>
      </c>
      <c r="S4706">
        <v>1.610428</v>
      </c>
      <c r="T4706">
        <v>-0.2051905</v>
      </c>
      <c r="U4706">
        <v>-3.0028839999999999</v>
      </c>
      <c r="V4706">
        <v>0.29209459999999998</v>
      </c>
      <c r="W4706">
        <v>-6.2388289999999999E-2</v>
      </c>
      <c r="X4706">
        <v>0.95435239999999999</v>
      </c>
      <c r="Y4706">
        <v>0.69549830000000001</v>
      </c>
      <c r="Z4706">
        <v>-1.5746759999999999E-2</v>
      </c>
      <c r="AA4706">
        <v>0.71835509999999902</v>
      </c>
      <c r="AB4706">
        <v>25</v>
      </c>
      <c r="AC4706">
        <v>8.4815999999999807</v>
      </c>
      <c r="AD4706">
        <v>-1.1106398733630001</v>
      </c>
      <c r="AE4706">
        <v>-16.168599999999898</v>
      </c>
      <c r="AF4706">
        <v>12.7926525473934</v>
      </c>
      <c r="AG4706">
        <v>-1.1106398733630001</v>
      </c>
      <c r="AH4706">
        <v>12.9327409794258</v>
      </c>
      <c r="AI4706">
        <v>93.493845182266995</v>
      </c>
      <c r="AJ4706">
        <v>45.312002868627701</v>
      </c>
      <c r="AK4706">
        <v>18.224743327892298</v>
      </c>
      <c r="AL4706">
        <v>93.576908568756096</v>
      </c>
      <c r="AM4706">
        <v>72.982443772068805</v>
      </c>
      <c r="AN4706">
        <v>1.0000000287320201</v>
      </c>
    </row>
    <row r="4707" spans="1:40" x14ac:dyDescent="0.25">
      <c r="A4707" t="str">
        <f>"20190303154231786"</f>
        <v>20190303154231786</v>
      </c>
      <c r="B4707" t="str">
        <f>"1551598951774437"</f>
        <v>1551598951774437</v>
      </c>
      <c r="C4707" t="s">
        <v>40</v>
      </c>
      <c r="D4707">
        <v>6.1663800000000002</v>
      </c>
      <c r="E4707">
        <v>0.70180159999999903</v>
      </c>
      <c r="F4707" t="s">
        <v>41</v>
      </c>
      <c r="G4707">
        <v>-191.07329999999999</v>
      </c>
      <c r="H4707" s="1">
        <v>-3.9423749999999997E-6</v>
      </c>
      <c r="I4707">
        <v>198.11320000000001</v>
      </c>
      <c r="J4707">
        <v>-199.0299</v>
      </c>
      <c r="K4707">
        <v>1.1103540000000001</v>
      </c>
      <c r="L4707">
        <v>214.21199999999999</v>
      </c>
      <c r="M4707">
        <v>0.94805700000000004</v>
      </c>
      <c r="N4707">
        <v>-1.5724129999999999E-2</v>
      </c>
      <c r="O4707">
        <v>-0.31771240000000001</v>
      </c>
      <c r="P4707">
        <v>0.80456340000000004</v>
      </c>
      <c r="Q4707">
        <v>-7.3163519999999996E-2</v>
      </c>
      <c r="R4707">
        <v>-0.58934299999999995</v>
      </c>
      <c r="S4707">
        <v>1.5357510000000001</v>
      </c>
      <c r="T4707">
        <v>-0.2083256</v>
      </c>
      <c r="U4707">
        <v>-3.036835</v>
      </c>
      <c r="V4707">
        <v>0.30152289999999998</v>
      </c>
      <c r="W4707">
        <v>-6.6120020000000002E-2</v>
      </c>
      <c r="X4707">
        <v>0.95116350000000005</v>
      </c>
      <c r="Y4707">
        <v>0.70149669999999997</v>
      </c>
      <c r="Z4707">
        <v>-1.5434369999999999E-2</v>
      </c>
      <c r="AA4707">
        <v>0.71250550000000001</v>
      </c>
      <c r="AB4707">
        <v>25</v>
      </c>
      <c r="AC4707">
        <v>7.9565999999999999</v>
      </c>
      <c r="AD4707">
        <v>-1.1103579423750001</v>
      </c>
      <c r="AE4707">
        <v>-16.098800000000001</v>
      </c>
      <c r="AF4707">
        <v>12.687733523764599</v>
      </c>
      <c r="AG4707">
        <v>-1.1103579423750001</v>
      </c>
      <c r="AH4707">
        <v>12.6114449015886</v>
      </c>
      <c r="AI4707">
        <v>93.551693397377306</v>
      </c>
      <c r="AJ4707">
        <v>44.8272274793433</v>
      </c>
      <c r="AK4707">
        <v>17.9237278275492</v>
      </c>
      <c r="AL4707">
        <v>93.791164073116803</v>
      </c>
      <c r="AM4707">
        <v>72.4111621061177</v>
      </c>
      <c r="AN4707">
        <v>0.99999996000072899</v>
      </c>
    </row>
    <row r="4708" spans="1:40" x14ac:dyDescent="0.25">
      <c r="A4708" t="str">
        <f>"20190303154231809"</f>
        <v>20190303154231809</v>
      </c>
      <c r="B4708" t="str">
        <f>"1551598951804693"</f>
        <v>1551598951804693</v>
      </c>
      <c r="C4708" t="s">
        <v>40</v>
      </c>
      <c r="D4708">
        <v>6.1514769999999999</v>
      </c>
      <c r="E4708">
        <v>0.67547419999999903</v>
      </c>
      <c r="F4708" t="s">
        <v>41</v>
      </c>
      <c r="G4708">
        <v>-191.98009999999999</v>
      </c>
      <c r="H4708" s="1">
        <v>-4.5849849999999999E-6</v>
      </c>
      <c r="I4708">
        <v>199.42779999999999</v>
      </c>
      <c r="J4708">
        <v>-198.79150000000001</v>
      </c>
      <c r="K4708">
        <v>1.1100449999999999</v>
      </c>
      <c r="L4708">
        <v>214.1129</v>
      </c>
      <c r="M4708">
        <v>0.94260149999999998</v>
      </c>
      <c r="N4708">
        <v>-1.584292E-2</v>
      </c>
      <c r="O4708">
        <v>-0.33354430000000002</v>
      </c>
      <c r="P4708">
        <v>0.78736280000000003</v>
      </c>
      <c r="Q4708">
        <v>-7.6181369999999998E-2</v>
      </c>
      <c r="R4708">
        <v>-0.61176509999999995</v>
      </c>
      <c r="S4708">
        <v>1.4619899999999999</v>
      </c>
      <c r="T4708">
        <v>-0.23026720000000001</v>
      </c>
      <c r="U4708">
        <v>-3.0659640000000001</v>
      </c>
      <c r="V4708">
        <v>0.31231520000000002</v>
      </c>
      <c r="W4708">
        <v>-6.9583539999999999E-2</v>
      </c>
      <c r="X4708">
        <v>0.94742669999999996</v>
      </c>
      <c r="Y4708">
        <v>0.70591590000000004</v>
      </c>
      <c r="Z4708">
        <v>-1.526072E-2</v>
      </c>
      <c r="AA4708">
        <v>0.70813130000000002</v>
      </c>
      <c r="AB4708">
        <v>25</v>
      </c>
      <c r="AC4708">
        <v>6.8114000000000097</v>
      </c>
      <c r="AD4708">
        <v>-1.1100495849850001</v>
      </c>
      <c r="AE4708">
        <v>-14.6851</v>
      </c>
      <c r="AF4708">
        <v>11.517585265152899</v>
      </c>
      <c r="AG4708">
        <v>-1.1100495849850001</v>
      </c>
      <c r="AH4708">
        <v>11.267005617031099</v>
      </c>
      <c r="AI4708">
        <v>93.941184668483501</v>
      </c>
      <c r="AJ4708">
        <v>44.369899703335399</v>
      </c>
      <c r="AK4708">
        <v>16.150306374660602</v>
      </c>
      <c r="AL4708">
        <v>93.990067481122594</v>
      </c>
      <c r="AM4708">
        <v>71.7554149251512</v>
      </c>
      <c r="AN4708">
        <v>1.00000000253143</v>
      </c>
    </row>
    <row r="4709" spans="1:40" x14ac:dyDescent="0.25">
      <c r="A4709" t="str">
        <f>"20190303154231833"</f>
        <v>20190303154231833</v>
      </c>
      <c r="B4709" t="str">
        <f>"1551598951825189"</f>
        <v>1551598951825189</v>
      </c>
      <c r="C4709" t="s">
        <v>40</v>
      </c>
      <c r="D4709">
        <v>6.1460699999999999</v>
      </c>
      <c r="E4709">
        <v>0.67491049999999997</v>
      </c>
      <c r="F4709" t="s">
        <v>46</v>
      </c>
      <c r="G4709">
        <v>-194.63759999999999</v>
      </c>
      <c r="H4709" s="1">
        <v>4.6650439999999997E-6</v>
      </c>
      <c r="I4709">
        <v>205.9572</v>
      </c>
      <c r="J4709">
        <v>-198.5498</v>
      </c>
      <c r="K4709">
        <v>1.1097410000000001</v>
      </c>
      <c r="L4709">
        <v>214.0069</v>
      </c>
      <c r="M4709">
        <v>0.93656649999999997</v>
      </c>
      <c r="N4709">
        <v>-1.597409E-2</v>
      </c>
      <c r="O4709">
        <v>-0.35012559999999998</v>
      </c>
      <c r="P4709">
        <v>0.76883359999999901</v>
      </c>
      <c r="Q4709">
        <v>-7.7433440000000006E-2</v>
      </c>
      <c r="R4709">
        <v>-0.63474299999999995</v>
      </c>
      <c r="S4709">
        <v>1.493393</v>
      </c>
      <c r="T4709">
        <v>-0.39907530000000002</v>
      </c>
      <c r="U4709">
        <v>-2.932083</v>
      </c>
      <c r="V4709">
        <v>0.3234899</v>
      </c>
      <c r="W4709">
        <v>-7.1311349999999996E-2</v>
      </c>
      <c r="X4709">
        <v>0.94354059999999995</v>
      </c>
      <c r="Y4709">
        <v>0.67244019999999904</v>
      </c>
      <c r="Z4709">
        <v>-1.2818710000000001E-2</v>
      </c>
      <c r="AA4709">
        <v>0.74004049999999999</v>
      </c>
      <c r="AB4709">
        <v>25</v>
      </c>
      <c r="AC4709">
        <v>3.9122000000000101</v>
      </c>
      <c r="AD4709">
        <v>-1.1097363349560001</v>
      </c>
      <c r="AE4709">
        <v>-8.0496999999999996</v>
      </c>
      <c r="AF4709">
        <v>6.0766817290997697</v>
      </c>
      <c r="AG4709">
        <v>-1.1097363349560001</v>
      </c>
      <c r="AH4709">
        <v>6.3851035001399703</v>
      </c>
      <c r="AI4709">
        <v>97.175715607018205</v>
      </c>
      <c r="AJ4709">
        <v>46.417747033260397</v>
      </c>
      <c r="AK4709">
        <v>8.8840937791874008</v>
      </c>
      <c r="AL4709">
        <v>94.089310523720798</v>
      </c>
      <c r="AM4709">
        <v>71.075884516316705</v>
      </c>
      <c r="AN4709">
        <v>0.99999994394459402</v>
      </c>
    </row>
    <row r="4710" spans="1:40" x14ac:dyDescent="0.25">
      <c r="A4710" t="str">
        <f>"20190303154231855"</f>
        <v>20190303154231855</v>
      </c>
      <c r="B4710" t="str">
        <f>"1551598951844709"</f>
        <v>1551598951844709</v>
      </c>
      <c r="C4710" t="s">
        <v>40</v>
      </c>
      <c r="D4710">
        <v>6.4825369999999998</v>
      </c>
      <c r="E4710">
        <v>0.67449239999999999</v>
      </c>
      <c r="F4710" t="s">
        <v>46</v>
      </c>
      <c r="G4710">
        <v>-194.72470000000001</v>
      </c>
      <c r="H4710" s="1">
        <v>4.6516719999999999E-6</v>
      </c>
      <c r="I4710">
        <v>205.94040000000001</v>
      </c>
      <c r="J4710">
        <v>-198.3176</v>
      </c>
      <c r="K4710">
        <v>1.10944</v>
      </c>
      <c r="L4710">
        <v>213.8998</v>
      </c>
      <c r="M4710">
        <v>0.93024890000000005</v>
      </c>
      <c r="N4710">
        <v>-1.6110289999999999E-2</v>
      </c>
      <c r="O4710">
        <v>-0.3665754</v>
      </c>
      <c r="P4710">
        <v>0.75062410000000002</v>
      </c>
      <c r="Q4710">
        <v>-7.6368820000000004E-2</v>
      </c>
      <c r="R4710">
        <v>-0.65630159999999904</v>
      </c>
      <c r="S4710">
        <v>1.408539</v>
      </c>
      <c r="T4710">
        <v>-0.40864400000000001</v>
      </c>
      <c r="U4710">
        <v>-2.970383</v>
      </c>
      <c r="V4710">
        <v>0.33354050000000002</v>
      </c>
      <c r="W4710">
        <v>-7.0695850000000005E-2</v>
      </c>
      <c r="X4710">
        <v>0.94008130000000001</v>
      </c>
      <c r="Y4710">
        <v>0.68017479999999997</v>
      </c>
      <c r="Z4710">
        <v>-1.1622159999999999E-2</v>
      </c>
      <c r="AA4710">
        <v>0.73295779999999999</v>
      </c>
      <c r="AB4710">
        <v>25</v>
      </c>
      <c r="AC4710">
        <v>3.5928999999999802</v>
      </c>
      <c r="AD4710">
        <v>-1.1094353483279999</v>
      </c>
      <c r="AE4710">
        <v>-7.95939999999998</v>
      </c>
      <c r="AF4710">
        <v>5.9912458966094597</v>
      </c>
      <c r="AG4710">
        <v>-1.1094353483279999</v>
      </c>
      <c r="AH4710">
        <v>6.1613795521770296</v>
      </c>
      <c r="AI4710">
        <v>97.355829990163997</v>
      </c>
      <c r="AJ4710">
        <v>45.802073896779198</v>
      </c>
      <c r="AK4710">
        <v>8.6653604755800302</v>
      </c>
      <c r="AL4710">
        <v>94.053955469369001</v>
      </c>
      <c r="AM4710">
        <v>70.465333648241995</v>
      </c>
      <c r="AN4710">
        <v>1.0000000094785799</v>
      </c>
    </row>
    <row r="4711" spans="1:40" x14ac:dyDescent="0.25">
      <c r="A4711" t="str">
        <f>"20190303154231876"</f>
        <v>20190303154231876</v>
      </c>
      <c r="B4711" t="str">
        <f>"1551598951865205"</f>
        <v>1551598951865205</v>
      </c>
      <c r="C4711" t="s">
        <v>40</v>
      </c>
      <c r="D4711">
        <v>6.3972129999999998</v>
      </c>
      <c r="E4711">
        <v>0.67240310000000003</v>
      </c>
      <c r="F4711" t="s">
        <v>46</v>
      </c>
      <c r="G4711">
        <v>-194.6662</v>
      </c>
      <c r="H4711" s="1">
        <v>4.7769440000000003E-6</v>
      </c>
      <c r="I4711">
        <v>205.62270000000001</v>
      </c>
      <c r="J4711">
        <v>-198.10130000000001</v>
      </c>
      <c r="K4711">
        <v>1.109154</v>
      </c>
      <c r="L4711">
        <v>213.79470000000001</v>
      </c>
      <c r="M4711">
        <v>0.92384829999999996</v>
      </c>
      <c r="N4711">
        <v>-1.624602E-2</v>
      </c>
      <c r="O4711">
        <v>-0.38241409999999998</v>
      </c>
      <c r="P4711">
        <v>0.7331394</v>
      </c>
      <c r="Q4711">
        <v>-7.4791899999999994E-2</v>
      </c>
      <c r="R4711">
        <v>-0.67595360000000004</v>
      </c>
      <c r="S4711">
        <v>1.326538</v>
      </c>
      <c r="T4711">
        <v>-0.40304519999999999</v>
      </c>
      <c r="U4711">
        <v>-3.0069729999999999</v>
      </c>
      <c r="V4711">
        <v>0.34228940000000002</v>
      </c>
      <c r="W4711">
        <v>-6.9527980000000003E-2</v>
      </c>
      <c r="X4711">
        <v>0.93701860000000003</v>
      </c>
      <c r="Y4711">
        <v>0.68772290000000003</v>
      </c>
      <c r="Z4711">
        <v>-1.0460570000000001E-2</v>
      </c>
      <c r="AA4711">
        <v>0.72589799999999904</v>
      </c>
      <c r="AB4711">
        <v>25</v>
      </c>
      <c r="AC4711">
        <v>3.4350999999999998</v>
      </c>
      <c r="AD4711">
        <v>-1.1091492230560001</v>
      </c>
      <c r="AE4711">
        <v>-8.1719999999999899</v>
      </c>
      <c r="AF4711">
        <v>6.14074542330623</v>
      </c>
      <c r="AG4711">
        <v>-1.1091492230560001</v>
      </c>
      <c r="AH4711">
        <v>6.2023312209351902</v>
      </c>
      <c r="AI4711">
        <v>97.242310410966098</v>
      </c>
      <c r="AJ4711">
        <v>45.285874997176897</v>
      </c>
      <c r="AK4711">
        <v>8.7981747497449501</v>
      </c>
      <c r="AL4711">
        <v>93.986876349034802</v>
      </c>
      <c r="AM4711">
        <v>69.932939865378202</v>
      </c>
      <c r="AN4711">
        <v>1.0000000150506001</v>
      </c>
    </row>
    <row r="4712" spans="1:40" x14ac:dyDescent="0.25">
      <c r="A4712" t="str">
        <f>"20190303154231898"</f>
        <v>20190303154231898</v>
      </c>
      <c r="B4712" t="str">
        <f>"1551598951894485"</f>
        <v>1551598951894485</v>
      </c>
      <c r="C4712" t="s">
        <v>40</v>
      </c>
      <c r="D4712">
        <v>6.3384589999999896</v>
      </c>
      <c r="E4712">
        <v>0.67082010000000003</v>
      </c>
      <c r="F4712" t="s">
        <v>46</v>
      </c>
      <c r="G4712">
        <v>-194.60069999999999</v>
      </c>
      <c r="H4712" s="1">
        <v>4.8815029999999996E-6</v>
      </c>
      <c r="I4712">
        <v>205.36799999999999</v>
      </c>
      <c r="J4712">
        <v>-197.8792</v>
      </c>
      <c r="K4712">
        <v>1.1088610000000001</v>
      </c>
      <c r="L4712">
        <v>213.68109999999999</v>
      </c>
      <c r="M4712">
        <v>0.91672520000000002</v>
      </c>
      <c r="N4712">
        <v>-1.639293E-2</v>
      </c>
      <c r="O4712">
        <v>-0.39918189999999998</v>
      </c>
      <c r="P4712">
        <v>0.7141265</v>
      </c>
      <c r="Q4712">
        <v>-7.4970599999999998E-2</v>
      </c>
      <c r="R4712">
        <v>-0.69599040000000001</v>
      </c>
      <c r="S4712">
        <v>1.258392</v>
      </c>
      <c r="T4712">
        <v>-0.39871790000000001</v>
      </c>
      <c r="U4712">
        <v>-3.0292210000000002</v>
      </c>
      <c r="V4712">
        <v>0.35108519999999999</v>
      </c>
      <c r="W4712">
        <v>-7.0130559999999995E-2</v>
      </c>
      <c r="X4712">
        <v>0.93371349999999997</v>
      </c>
      <c r="Y4712">
        <v>0.69039119999999998</v>
      </c>
      <c r="Z4712">
        <v>-8.7051390000000006E-3</v>
      </c>
      <c r="AA4712">
        <v>0.72338380000000002</v>
      </c>
      <c r="AB4712">
        <v>24</v>
      </c>
      <c r="AC4712">
        <v>3.2785000000000002</v>
      </c>
      <c r="AD4712">
        <v>-1.1088561184970001</v>
      </c>
      <c r="AE4712">
        <v>-8.3130999999999897</v>
      </c>
      <c r="AF4712">
        <v>6.2172307092972101</v>
      </c>
      <c r="AG4712">
        <v>-1.1088561184970001</v>
      </c>
      <c r="AH4712">
        <v>6.2288653755197503</v>
      </c>
      <c r="AI4712">
        <v>97.181199696908394</v>
      </c>
      <c r="AJ4712">
        <v>45.053560335054101</v>
      </c>
      <c r="AK4712">
        <v>8.8703034587608904</v>
      </c>
      <c r="AL4712">
        <v>94.021486157872104</v>
      </c>
      <c r="AM4712">
        <v>69.393259610237195</v>
      </c>
      <c r="AN4712">
        <v>1.0000000065936001</v>
      </c>
    </row>
    <row r="4713" spans="1:40" x14ac:dyDescent="0.25">
      <c r="A4713" t="str">
        <f>"20190303154231921"</f>
        <v>20190303154231921</v>
      </c>
      <c r="B4713" t="str">
        <f>"1551598951914984"</f>
        <v>1551598951914984</v>
      </c>
      <c r="C4713" t="s">
        <v>40</v>
      </c>
      <c r="D4713">
        <v>6.3505940000000001</v>
      </c>
      <c r="E4713">
        <v>0.69203429999999999</v>
      </c>
      <c r="F4713" t="s">
        <v>46</v>
      </c>
      <c r="G4713">
        <v>-194.5369</v>
      </c>
      <c r="H4713" s="1">
        <v>5.0067900000000002E-6</v>
      </c>
      <c r="I4713">
        <v>205.05359999999999</v>
      </c>
      <c r="J4713">
        <v>-197.65459999999999</v>
      </c>
      <c r="K4713">
        <v>1.1085830000000001</v>
      </c>
      <c r="L4713">
        <v>213.56049999999999</v>
      </c>
      <c r="M4713">
        <v>0.90893670000000004</v>
      </c>
      <c r="N4713">
        <v>-1.6544619999999999E-2</v>
      </c>
      <c r="O4713">
        <v>-0.41660580000000003</v>
      </c>
      <c r="P4713">
        <v>0.69404919999999903</v>
      </c>
      <c r="Q4713">
        <v>-7.6447799999999996E-2</v>
      </c>
      <c r="R4713">
        <v>-0.71585710000000002</v>
      </c>
      <c r="S4713">
        <v>1.1831510000000001</v>
      </c>
      <c r="T4713">
        <v>-0.39253640000000001</v>
      </c>
      <c r="U4713">
        <v>-3.0541689999999999</v>
      </c>
      <c r="V4713">
        <v>0.35955199999999998</v>
      </c>
      <c r="W4713">
        <v>-7.2017449999999997E-2</v>
      </c>
      <c r="X4713">
        <v>0.9303418</v>
      </c>
      <c r="Y4713">
        <v>0.69416169999999899</v>
      </c>
      <c r="Z4713">
        <v>-7.030133E-3</v>
      </c>
      <c r="AA4713">
        <v>0.7197848</v>
      </c>
      <c r="AB4713">
        <v>24</v>
      </c>
      <c r="AC4713">
        <v>3.1176999999999802</v>
      </c>
      <c r="AD4713">
        <v>-1.1085779932099999</v>
      </c>
      <c r="AE4713">
        <v>-8.5068999999999999</v>
      </c>
      <c r="AF4713">
        <v>6.3393546317599796</v>
      </c>
      <c r="AG4713">
        <v>-1.1085779932099999</v>
      </c>
      <c r="AH4713">
        <v>6.2846008738331003</v>
      </c>
      <c r="AI4713">
        <v>97.079236888193407</v>
      </c>
      <c r="AJ4713">
        <v>44.751493137919098</v>
      </c>
      <c r="AK4713">
        <v>8.9951414918071197</v>
      </c>
      <c r="AL4713">
        <v>94.129871096305294</v>
      </c>
      <c r="AM4713">
        <v>68.869828140368099</v>
      </c>
      <c r="AN4713">
        <v>1.00000000931787</v>
      </c>
    </row>
    <row r="4714" spans="1:40" x14ac:dyDescent="0.25">
      <c r="A4714" t="str">
        <f>"20190303154231944"</f>
        <v>20190303154231944</v>
      </c>
      <c r="B4714" t="str">
        <f>"1551598951934501"</f>
        <v>1551598951934501</v>
      </c>
      <c r="C4714" t="s">
        <v>40</v>
      </c>
      <c r="D4714">
        <v>6.3126670000000003</v>
      </c>
      <c r="E4714">
        <v>0.69077489999999997</v>
      </c>
      <c r="F4714" t="s">
        <v>46</v>
      </c>
      <c r="G4714">
        <v>-194.49469999999999</v>
      </c>
      <c r="H4714" s="1">
        <v>5.5499699999999998E-6</v>
      </c>
      <c r="I4714">
        <v>203.1842</v>
      </c>
      <c r="J4714">
        <v>-197.43469999999999</v>
      </c>
      <c r="K4714">
        <v>1.108314</v>
      </c>
      <c r="L4714">
        <v>213.43639999999999</v>
      </c>
      <c r="M4714">
        <v>0.90070519999999998</v>
      </c>
      <c r="N4714">
        <v>-1.6692140000000001E-2</v>
      </c>
      <c r="O4714">
        <v>-0.43411</v>
      </c>
      <c r="P4714">
        <v>0.67370069999999904</v>
      </c>
      <c r="Q4714">
        <v>-7.8635540000000004E-2</v>
      </c>
      <c r="R4714">
        <v>-0.73480840000000003</v>
      </c>
      <c r="S4714">
        <v>0.97671509999999995</v>
      </c>
      <c r="T4714">
        <v>-0.34265279999999998</v>
      </c>
      <c r="U4714">
        <v>-3.20723</v>
      </c>
      <c r="V4714">
        <v>0.36730309999999999</v>
      </c>
      <c r="W4714">
        <v>-7.4582460000000003E-2</v>
      </c>
      <c r="X4714">
        <v>0.92710619999999999</v>
      </c>
      <c r="Y4714">
        <v>0.732821099999999</v>
      </c>
      <c r="Z4714">
        <v>-9.6018849999999992E-3</v>
      </c>
      <c r="AA4714">
        <v>0.6803536</v>
      </c>
      <c r="AB4714">
        <v>24</v>
      </c>
      <c r="AC4714">
        <v>2.9399999999999902</v>
      </c>
      <c r="AD4714">
        <v>-1.10830845003</v>
      </c>
      <c r="AE4714">
        <v>-10.252199999999901</v>
      </c>
      <c r="AF4714">
        <v>7.8740075903355402</v>
      </c>
      <c r="AG4714">
        <v>-1.10830845003</v>
      </c>
      <c r="AH4714">
        <v>7.0237982504205396</v>
      </c>
      <c r="AI4714">
        <v>95.996257490769693</v>
      </c>
      <c r="AJ4714">
        <v>41.733705266475397</v>
      </c>
      <c r="AK4714">
        <v>10.6095280298267</v>
      </c>
      <c r="AL4714">
        <v>94.277231796775297</v>
      </c>
      <c r="AM4714">
        <v>68.387403940987497</v>
      </c>
      <c r="AN4714">
        <v>1.0000000083438501</v>
      </c>
    </row>
    <row r="4715" spans="1:40" x14ac:dyDescent="0.25">
      <c r="A4715" t="str">
        <f>"20190303154231966"</f>
        <v>20190303154231966</v>
      </c>
      <c r="B4715" t="str">
        <f>"1551598951954998"</f>
        <v>1551598951954998</v>
      </c>
      <c r="C4715" t="s">
        <v>40</v>
      </c>
      <c r="D4715">
        <v>6.2989300000000004</v>
      </c>
      <c r="E4715">
        <v>0.68948869999999995</v>
      </c>
      <c r="F4715" t="s">
        <v>46</v>
      </c>
      <c r="G4715">
        <v>-194.6018</v>
      </c>
      <c r="H4715" s="1">
        <v>5.5191040000000003E-6</v>
      </c>
      <c r="I4715">
        <v>203.21100000000001</v>
      </c>
      <c r="J4715">
        <v>-197.21690000000001</v>
      </c>
      <c r="K4715">
        <v>1.108066</v>
      </c>
      <c r="L4715">
        <v>213.3074</v>
      </c>
      <c r="M4715">
        <v>0.89191919999999902</v>
      </c>
      <c r="N4715">
        <v>-1.6835630000000001E-2</v>
      </c>
      <c r="O4715">
        <v>-0.45188119999999998</v>
      </c>
      <c r="P4715">
        <v>0.65379019999999899</v>
      </c>
      <c r="Q4715">
        <v>-8.1144869999999994E-2</v>
      </c>
      <c r="R4715">
        <v>-0.75231250000000005</v>
      </c>
      <c r="S4715">
        <v>0.89370729999999998</v>
      </c>
      <c r="T4715">
        <v>-0.34964319999999999</v>
      </c>
      <c r="U4715">
        <v>-3.2258450000000001</v>
      </c>
      <c r="V4715">
        <v>0.37336469999999999</v>
      </c>
      <c r="W4715">
        <v>-7.740213E-2</v>
      </c>
      <c r="X4715">
        <v>0.92444999999999999</v>
      </c>
      <c r="Y4715">
        <v>0.73652189999999995</v>
      </c>
      <c r="Z4715">
        <v>-7.9601559999999995E-3</v>
      </c>
      <c r="AA4715">
        <v>0.67636680000000005</v>
      </c>
      <c r="AB4715">
        <v>24</v>
      </c>
      <c r="AC4715">
        <v>2.6151000000000102</v>
      </c>
      <c r="AD4715">
        <v>-1.108060480896</v>
      </c>
      <c r="AE4715">
        <v>-10.096399999999999</v>
      </c>
      <c r="AF4715">
        <v>7.7372345661839503</v>
      </c>
      <c r="AG4715">
        <v>-1.108060480896</v>
      </c>
      <c r="AH4715">
        <v>6.8188419176576698</v>
      </c>
      <c r="AI4715">
        <v>96.132411017442493</v>
      </c>
      <c r="AJ4715">
        <v>41.389798710770599</v>
      </c>
      <c r="AK4715">
        <v>10.3725214803094</v>
      </c>
      <c r="AL4715">
        <v>94.439255381650298</v>
      </c>
      <c r="AM4715">
        <v>68.007318204203202</v>
      </c>
      <c r="AN4715">
        <v>1.0000000457173099</v>
      </c>
    </row>
    <row r="4716" spans="1:40" x14ac:dyDescent="0.25">
      <c r="A4716" t="str">
        <f>"20190303154231987"</f>
        <v>20190303154231987</v>
      </c>
      <c r="B4716" t="str">
        <f>"1551598951984278"</f>
        <v>1551598951984278</v>
      </c>
      <c r="C4716" t="s">
        <v>40</v>
      </c>
      <c r="D4716">
        <v>6.2824239999999998</v>
      </c>
      <c r="E4716">
        <v>0.68626739999999997</v>
      </c>
      <c r="F4716" t="s">
        <v>46</v>
      </c>
      <c r="G4716">
        <v>-194.70519999999999</v>
      </c>
      <c r="H4716" s="1">
        <v>5.469012E-6</v>
      </c>
      <c r="I4716">
        <v>203.31370000000001</v>
      </c>
      <c r="J4716">
        <v>-197.01939999999999</v>
      </c>
      <c r="K4716">
        <v>1.107864</v>
      </c>
      <c r="L4716">
        <v>213.185</v>
      </c>
      <c r="M4716">
        <v>0.88337429999999995</v>
      </c>
      <c r="N4716">
        <v>-1.6965279999999999E-2</v>
      </c>
      <c r="O4716">
        <v>-0.46836090000000002</v>
      </c>
      <c r="P4716">
        <v>0.63536040000000005</v>
      </c>
      <c r="Q4716">
        <v>-8.1438969999999999E-2</v>
      </c>
      <c r="R4716">
        <v>-0.76790950000000002</v>
      </c>
      <c r="S4716">
        <v>0.81457519999999894</v>
      </c>
      <c r="T4716">
        <v>-0.35935689999999998</v>
      </c>
      <c r="U4716">
        <v>-3.2410890000000001</v>
      </c>
      <c r="V4716">
        <v>0.378527</v>
      </c>
      <c r="W4716">
        <v>-7.7957449999999998E-2</v>
      </c>
      <c r="X4716">
        <v>0.9223015</v>
      </c>
      <c r="Y4716">
        <v>0.74013930000000006</v>
      </c>
      <c r="Z4716">
        <v>-6.280791E-3</v>
      </c>
      <c r="AA4716">
        <v>0.67242429999999997</v>
      </c>
      <c r="AB4716">
        <v>24</v>
      </c>
      <c r="AC4716">
        <v>2.3142</v>
      </c>
      <c r="AD4716">
        <v>-1.107858530988</v>
      </c>
      <c r="AE4716">
        <v>-9.8712999999999909</v>
      </c>
      <c r="AF4716">
        <v>7.5471626300385903</v>
      </c>
      <c r="AG4716">
        <v>-1.107858530988</v>
      </c>
      <c r="AH4716">
        <v>6.5899159762839101</v>
      </c>
      <c r="AI4716">
        <v>96.309694369873398</v>
      </c>
      <c r="AJ4716">
        <v>41.126314111691599</v>
      </c>
      <c r="AK4716">
        <v>10.0803773175122</v>
      </c>
      <c r="AL4716">
        <v>94.471169262247798</v>
      </c>
      <c r="AM4716">
        <v>67.6859843985048</v>
      </c>
      <c r="AN4716">
        <v>1.0000000553208701</v>
      </c>
    </row>
    <row r="4717" spans="1:40" x14ac:dyDescent="0.25">
      <c r="A4717" t="str">
        <f>"20190303154232011"</f>
        <v>20190303154232011</v>
      </c>
      <c r="B4717" t="str">
        <f>"1551598952004774"</f>
        <v>1551598952004774</v>
      </c>
      <c r="C4717" t="s">
        <v>40</v>
      </c>
      <c r="D4717">
        <v>6.291893</v>
      </c>
      <c r="E4717">
        <v>0.67147619999999997</v>
      </c>
      <c r="F4717" t="s">
        <v>46</v>
      </c>
      <c r="G4717">
        <v>-194.67400000000001</v>
      </c>
      <c r="H4717" s="1">
        <v>5.5275370000000004E-6</v>
      </c>
      <c r="I4717">
        <v>203.11869999999999</v>
      </c>
      <c r="J4717">
        <v>-196.7902</v>
      </c>
      <c r="K4717">
        <v>1.107639</v>
      </c>
      <c r="L4717">
        <v>213.03579999999999</v>
      </c>
      <c r="M4717">
        <v>0.87271399999999999</v>
      </c>
      <c r="N4717">
        <v>-1.7117170000000001E-2</v>
      </c>
      <c r="O4717">
        <v>-0.48793170000000002</v>
      </c>
      <c r="P4717">
        <v>0.61456759999999999</v>
      </c>
      <c r="Q4717">
        <v>-8.2245209999999999E-2</v>
      </c>
      <c r="R4717">
        <v>-0.78456499999999996</v>
      </c>
      <c r="S4717">
        <v>0.75573729999999995</v>
      </c>
      <c r="T4717">
        <v>-0.35697410000000002</v>
      </c>
      <c r="U4717">
        <v>-3.2435459999999998</v>
      </c>
      <c r="V4717">
        <v>0.38252320000000001</v>
      </c>
      <c r="W4717">
        <v>-7.8984040000000005E-2</v>
      </c>
      <c r="X4717">
        <v>0.92056369999999998</v>
      </c>
      <c r="Y4717">
        <v>0.73690630000000001</v>
      </c>
      <c r="Z4717">
        <v>-3.7819110000000002E-3</v>
      </c>
      <c r="AA4717">
        <v>0.67598429999999998</v>
      </c>
      <c r="AB4717">
        <v>24</v>
      </c>
      <c r="AC4717">
        <v>2.1161999999999899</v>
      </c>
      <c r="AD4717">
        <v>-1.1076334724629999</v>
      </c>
      <c r="AE4717">
        <v>-9.9170999999999996</v>
      </c>
      <c r="AF4717">
        <v>7.5334642899015298</v>
      </c>
      <c r="AG4717">
        <v>-1.1076334724629999</v>
      </c>
      <c r="AH4717">
        <v>6.6078447293007798</v>
      </c>
      <c r="AI4717">
        <v>96.307486854936897</v>
      </c>
      <c r="AJ4717">
        <v>41.255046172884697</v>
      </c>
      <c r="AK4717">
        <v>10.081842494459501</v>
      </c>
      <c r="AL4717">
        <v>94.530170715665406</v>
      </c>
      <c r="AM4717">
        <v>67.435577099205901</v>
      </c>
      <c r="AN4717">
        <v>1.0000000014353201</v>
      </c>
    </row>
    <row r="4718" spans="1:40" x14ac:dyDescent="0.25">
      <c r="A4718" t="str">
        <f>"20190303154232034"</f>
        <v>20190303154232034</v>
      </c>
      <c r="B4718" t="str">
        <f>"1551598952024293"</f>
        <v>1551598952024293</v>
      </c>
      <c r="C4718" t="s">
        <v>40</v>
      </c>
      <c r="D4718">
        <v>6.4063819999999998</v>
      </c>
      <c r="E4718">
        <v>0.66823310000000002</v>
      </c>
      <c r="F4718" t="s">
        <v>46</v>
      </c>
      <c r="G4718">
        <v>-194.47749999999999</v>
      </c>
      <c r="H4718" s="1">
        <v>5.5116769999999997E-6</v>
      </c>
      <c r="I4718">
        <v>203.3432</v>
      </c>
      <c r="J4718">
        <v>-196.58160000000001</v>
      </c>
      <c r="K4718">
        <v>1.10745</v>
      </c>
      <c r="L4718">
        <v>212.89320000000001</v>
      </c>
      <c r="M4718">
        <v>0.86227770000000004</v>
      </c>
      <c r="N4718">
        <v>-1.725645E-2</v>
      </c>
      <c r="O4718">
        <v>-0.50614179999999998</v>
      </c>
      <c r="P4718">
        <v>0.59553730000000005</v>
      </c>
      <c r="Q4718">
        <v>-8.3323820000000007E-2</v>
      </c>
      <c r="R4718">
        <v>-0.79899489999999995</v>
      </c>
      <c r="S4718">
        <v>0.76100159999999994</v>
      </c>
      <c r="T4718">
        <v>-0.36447629999999998</v>
      </c>
      <c r="U4718">
        <v>-3.1894529999999999</v>
      </c>
      <c r="V4718">
        <v>0.38515060000000001</v>
      </c>
      <c r="W4718">
        <v>-8.0216170000000003E-2</v>
      </c>
      <c r="X4718">
        <v>0.91936090000000004</v>
      </c>
      <c r="Y4718">
        <v>0.71897</v>
      </c>
      <c r="Z4718">
        <v>5.1770359999999999E-4</v>
      </c>
      <c r="AA4718">
        <v>0.69504089999999996</v>
      </c>
      <c r="AB4718">
        <v>24</v>
      </c>
      <c r="AC4718">
        <v>2.1041000000000101</v>
      </c>
      <c r="AD4718">
        <v>-1.1074444883229999</v>
      </c>
      <c r="AE4718">
        <v>-9.5500000000000096</v>
      </c>
      <c r="AF4718">
        <v>7.08004608872821</v>
      </c>
      <c r="AG4718">
        <v>-1.1074444883229999</v>
      </c>
      <c r="AH4718">
        <v>6.5647703533378401</v>
      </c>
      <c r="AI4718">
        <v>96.543177667488905</v>
      </c>
      <c r="AJ4718">
        <v>42.837339701208698</v>
      </c>
      <c r="AK4718">
        <v>9.7185233294619504</v>
      </c>
      <c r="AL4718">
        <v>94.600991106462402</v>
      </c>
      <c r="AM4718">
        <v>67.269582640757704</v>
      </c>
      <c r="AN4718">
        <v>1.00000004152931</v>
      </c>
    </row>
    <row r="4719" spans="1:40" x14ac:dyDescent="0.25">
      <c r="A4719" t="str">
        <f>"20190303154232057"</f>
        <v>20190303154232057</v>
      </c>
      <c r="B4719" t="str">
        <f>"1551598952044790"</f>
        <v>1551598952044790</v>
      </c>
      <c r="C4719" t="s">
        <v>40</v>
      </c>
      <c r="D4719">
        <v>6.6141370000000004</v>
      </c>
      <c r="E4719">
        <v>0.66740600000000005</v>
      </c>
      <c r="F4719" t="s">
        <v>46</v>
      </c>
      <c r="G4719">
        <v>-194.54419999999999</v>
      </c>
      <c r="H4719" s="1">
        <v>5.4132729999999998E-6</v>
      </c>
      <c r="I4719">
        <v>203.65889999999999</v>
      </c>
      <c r="J4719">
        <v>-196.3817</v>
      </c>
      <c r="K4719">
        <v>1.107281</v>
      </c>
      <c r="L4719">
        <v>212.75</v>
      </c>
      <c r="M4719">
        <v>0.85156909999999897</v>
      </c>
      <c r="N4719">
        <v>-1.738922E-2</v>
      </c>
      <c r="O4719">
        <v>-0.52395389999999997</v>
      </c>
      <c r="P4719">
        <v>0.57636909999999997</v>
      </c>
      <c r="Q4719">
        <v>-8.4379930000000006E-2</v>
      </c>
      <c r="R4719">
        <v>-0.81282149999999997</v>
      </c>
      <c r="S4719">
        <v>0.70387270000000002</v>
      </c>
      <c r="T4719">
        <v>-0.38259710000000002</v>
      </c>
      <c r="U4719">
        <v>-3.1902469999999998</v>
      </c>
      <c r="V4719">
        <v>0.38773970000000002</v>
      </c>
      <c r="W4719">
        <v>-8.1415660000000001E-2</v>
      </c>
      <c r="X4719">
        <v>0.91816629999999999</v>
      </c>
      <c r="Y4719">
        <v>0.71628800000000004</v>
      </c>
      <c r="Z4719">
        <v>3.871743E-3</v>
      </c>
      <c r="AA4719">
        <v>0.69779409999999997</v>
      </c>
      <c r="AB4719">
        <v>24</v>
      </c>
      <c r="AC4719">
        <v>1.8374999999999999</v>
      </c>
      <c r="AD4719">
        <v>-1.1072755867270001</v>
      </c>
      <c r="AE4719">
        <v>-9.0911000000000097</v>
      </c>
      <c r="AF4719">
        <v>6.6846865846449397</v>
      </c>
      <c r="AG4719">
        <v>-1.1072755867270001</v>
      </c>
      <c r="AH4719">
        <v>6.24009587494775</v>
      </c>
      <c r="AI4719">
        <v>96.904054442959193</v>
      </c>
      <c r="AJ4719">
        <v>43.0298986469532</v>
      </c>
      <c r="AK4719">
        <v>9.2114000286836699</v>
      </c>
      <c r="AL4719">
        <v>94.669942695748006</v>
      </c>
      <c r="AM4719">
        <v>67.105768480467901</v>
      </c>
      <c r="AN4719">
        <v>0.99999996955250703</v>
      </c>
    </row>
    <row r="4720" spans="1:40" x14ac:dyDescent="0.25">
      <c r="A4720" t="str">
        <f>"20190303154232077"</f>
        <v>20190303154232077</v>
      </c>
      <c r="B4720" t="str">
        <f>"1551598952075045"</f>
        <v>1551598952075045</v>
      </c>
      <c r="C4720" t="s">
        <v>40</v>
      </c>
      <c r="D4720">
        <v>6.6440149999999996</v>
      </c>
      <c r="E4720">
        <v>0.66420619999999997</v>
      </c>
      <c r="F4720" t="s">
        <v>46</v>
      </c>
      <c r="G4720">
        <v>-194.6002</v>
      </c>
      <c r="H4720" s="1">
        <v>5.3808280000000001E-6</v>
      </c>
      <c r="I4720">
        <v>203.7345</v>
      </c>
      <c r="J4720">
        <v>-196.19329999999999</v>
      </c>
      <c r="K4720">
        <v>1.1071329999999999</v>
      </c>
      <c r="L4720">
        <v>212.60820000000001</v>
      </c>
      <c r="M4720">
        <v>0.84078719999999996</v>
      </c>
      <c r="N4720">
        <v>-1.7512610000000001E-2</v>
      </c>
      <c r="O4720">
        <v>-0.54108239999999996</v>
      </c>
      <c r="P4720">
        <v>0.55869639999999998</v>
      </c>
      <c r="Q4720">
        <v>-8.4400439999999993E-2</v>
      </c>
      <c r="R4720">
        <v>-0.82506659999999898</v>
      </c>
      <c r="S4720">
        <v>0.63262940000000001</v>
      </c>
      <c r="T4720">
        <v>-0.39319730000000003</v>
      </c>
      <c r="U4720">
        <v>-3.2014010000000002</v>
      </c>
      <c r="V4720">
        <v>0.38893539999999999</v>
      </c>
      <c r="W4720">
        <v>-8.1511330000000007E-2</v>
      </c>
      <c r="X4720">
        <v>0.91765200000000002</v>
      </c>
      <c r="Y4720">
        <v>0.71751229999999999</v>
      </c>
      <c r="Z4720">
        <v>6.5789669999999998E-3</v>
      </c>
      <c r="AA4720">
        <v>0.69651479999999999</v>
      </c>
      <c r="AB4720">
        <v>24</v>
      </c>
      <c r="AC4720">
        <v>1.59309999999999</v>
      </c>
      <c r="AD4720">
        <v>-1.1071276191720001</v>
      </c>
      <c r="AE4720">
        <v>-8.8737000000000101</v>
      </c>
      <c r="AF4720">
        <v>6.5018575288878404</v>
      </c>
      <c r="AG4720">
        <v>-1.1071276191720001</v>
      </c>
      <c r="AH4720">
        <v>6.05055894555161</v>
      </c>
      <c r="AI4720">
        <v>97.105473732606399</v>
      </c>
      <c r="AJ4720">
        <v>42.940924646599598</v>
      </c>
      <c r="AK4720">
        <v>8.9503713020568902</v>
      </c>
      <c r="AL4720">
        <v>94.675442236974305</v>
      </c>
      <c r="AM4720">
        <v>67.030944035536095</v>
      </c>
      <c r="AN4720">
        <v>1.0000000176977599</v>
      </c>
    </row>
    <row r="4721" spans="1:40" x14ac:dyDescent="0.25">
      <c r="A4721" t="str">
        <f>"20190303154232100"</f>
        <v>20190303154232100</v>
      </c>
      <c r="B4721" t="str">
        <f>"1551598952094565"</f>
        <v>1551598952094565</v>
      </c>
      <c r="C4721" t="s">
        <v>40</v>
      </c>
      <c r="D4721">
        <v>6.6793750000000003</v>
      </c>
      <c r="E4721">
        <v>0.66221079999999999</v>
      </c>
      <c r="F4721" t="s">
        <v>46</v>
      </c>
      <c r="G4721">
        <v>-194.54259999999999</v>
      </c>
      <c r="H4721" s="1">
        <v>5.4363309999999997E-6</v>
      </c>
      <c r="I4721">
        <v>203.57320000000001</v>
      </c>
      <c r="J4721">
        <v>-195.99770000000001</v>
      </c>
      <c r="K4721">
        <v>1.107005</v>
      </c>
      <c r="L4721">
        <v>212.45410000000001</v>
      </c>
      <c r="M4721">
        <v>0.82886119999999996</v>
      </c>
      <c r="N4721">
        <v>-1.7635939999999999E-2</v>
      </c>
      <c r="O4721">
        <v>-0.55917620000000001</v>
      </c>
      <c r="P4721">
        <v>0.5403365</v>
      </c>
      <c r="Q4721">
        <v>-8.4470649999999994E-2</v>
      </c>
      <c r="R4721">
        <v>-0.83719809999999995</v>
      </c>
      <c r="S4721">
        <v>0.58467100000000005</v>
      </c>
      <c r="T4721">
        <v>-0.39212609999999998</v>
      </c>
      <c r="U4721">
        <v>-3.2000579999999998</v>
      </c>
      <c r="V4721">
        <v>0.38928420000000002</v>
      </c>
      <c r="W4721">
        <v>-8.161069E-2</v>
      </c>
      <c r="X4721">
        <v>0.91749530000000001</v>
      </c>
      <c r="Y4721">
        <v>0.71253900000000003</v>
      </c>
      <c r="Z4721">
        <v>9.5057300000000004E-3</v>
      </c>
      <c r="AA4721">
        <v>0.70156819999999998</v>
      </c>
      <c r="AB4721">
        <v>24</v>
      </c>
      <c r="AC4721">
        <v>1.4551000000000101</v>
      </c>
      <c r="AD4721">
        <v>-1.106999563669</v>
      </c>
      <c r="AE4721">
        <v>-8.8808999999999898</v>
      </c>
      <c r="AF4721">
        <v>6.4507860997646302</v>
      </c>
      <c r="AG4721">
        <v>-1.106999563669</v>
      </c>
      <c r="AH4721">
        <v>6.0810105915486696</v>
      </c>
      <c r="AI4721">
        <v>97.1177150683625</v>
      </c>
      <c r="AJ4721">
        <v>43.309864823256703</v>
      </c>
      <c r="AK4721">
        <v>8.93402368216063</v>
      </c>
      <c r="AL4721">
        <v>94.681153980489597</v>
      </c>
      <c r="AM4721">
        <v>67.008966818876303</v>
      </c>
      <c r="AN4721">
        <v>1.000000059307</v>
      </c>
    </row>
    <row r="4722" spans="1:40" x14ac:dyDescent="0.25">
      <c r="A4722" t="str">
        <f>"20190303154232122"</f>
        <v>20190303154232122</v>
      </c>
      <c r="B4722" t="str">
        <f>"1551598952115061"</f>
        <v>1551598952115061</v>
      </c>
      <c r="C4722" t="s">
        <v>40</v>
      </c>
      <c r="D4722">
        <v>6.4035880000000001</v>
      </c>
      <c r="E4722">
        <v>0.64272589999999996</v>
      </c>
      <c r="F4722" t="s">
        <v>46</v>
      </c>
      <c r="G4722">
        <v>-194.5282</v>
      </c>
      <c r="H4722" s="1">
        <v>5.4532160000000002E-6</v>
      </c>
      <c r="I4722">
        <v>203.5215</v>
      </c>
      <c r="J4722">
        <v>-195.80170000000001</v>
      </c>
      <c r="K4722">
        <v>1.106892</v>
      </c>
      <c r="L4722">
        <v>212.29220000000001</v>
      </c>
      <c r="M4722">
        <v>0.81613199999999997</v>
      </c>
      <c r="N4722">
        <v>-1.775262E-2</v>
      </c>
      <c r="O4722">
        <v>-0.57759280000000002</v>
      </c>
      <c r="P4722">
        <v>0.52304410000000001</v>
      </c>
      <c r="Q4722">
        <v>-8.2844509999999996E-2</v>
      </c>
      <c r="R4722">
        <v>-0.84826979999999996</v>
      </c>
      <c r="S4722">
        <v>0.52697749999999999</v>
      </c>
      <c r="T4722">
        <v>-0.3969724</v>
      </c>
      <c r="U4722">
        <v>-3.2032319999999999</v>
      </c>
      <c r="V4722">
        <v>0.38773869999999999</v>
      </c>
      <c r="W4722">
        <v>-7.9919309999999993E-2</v>
      </c>
      <c r="X4722">
        <v>0.91829819999999995</v>
      </c>
      <c r="Y4722">
        <v>0.70926840000000002</v>
      </c>
      <c r="Z4722">
        <v>1.273811E-2</v>
      </c>
      <c r="AA4722">
        <v>0.70482339999999999</v>
      </c>
      <c r="AB4722">
        <v>24</v>
      </c>
      <c r="AC4722">
        <v>1.2735000000000101</v>
      </c>
      <c r="AD4722">
        <v>-1.1068865467839999</v>
      </c>
      <c r="AE4722">
        <v>-8.7706999999999997</v>
      </c>
      <c r="AF4722">
        <v>6.32484002651253</v>
      </c>
      <c r="AG4722">
        <v>-1.1068865467839999</v>
      </c>
      <c r="AH4722">
        <v>6.0124160775715199</v>
      </c>
      <c r="AI4722">
        <v>97.228862324803103</v>
      </c>
      <c r="AJ4722">
        <v>43.549373657006598</v>
      </c>
      <c r="AK4722">
        <v>8.7964735137591905</v>
      </c>
      <c r="AL4722">
        <v>94.583927735375397</v>
      </c>
      <c r="AM4722">
        <v>67.108770897202007</v>
      </c>
      <c r="AN4722">
        <v>0.99999998985590299</v>
      </c>
    </row>
    <row r="4723" spans="1:40" x14ac:dyDescent="0.25">
      <c r="A4723" t="str">
        <f>"20190303154232145"</f>
        <v>20190303154232145</v>
      </c>
      <c r="B4723" t="str">
        <f>"1551598952134582"</f>
        <v>1551598952134582</v>
      </c>
      <c r="C4723" t="s">
        <v>40</v>
      </c>
      <c r="D4723">
        <v>6.4254040000000003</v>
      </c>
      <c r="E4723">
        <v>0.64247519999999902</v>
      </c>
      <c r="F4723" t="s">
        <v>46</v>
      </c>
      <c r="G4723">
        <v>-194.1842</v>
      </c>
      <c r="H4723" s="1">
        <v>5.4691830000000003E-6</v>
      </c>
      <c r="I4723">
        <v>203.7492</v>
      </c>
      <c r="J4723">
        <v>-195.61449999999999</v>
      </c>
      <c r="K4723">
        <v>1.1067940000000001</v>
      </c>
      <c r="L4723">
        <v>212.13030000000001</v>
      </c>
      <c r="M4723">
        <v>0.80320630000000004</v>
      </c>
      <c r="N4723">
        <v>-1.7856810000000001E-2</v>
      </c>
      <c r="O4723">
        <v>-0.5954332</v>
      </c>
      <c r="P4723">
        <v>0.50634780000000001</v>
      </c>
      <c r="Q4723">
        <v>-8.0888059999999998E-2</v>
      </c>
      <c r="R4723">
        <v>-0.85852739999999905</v>
      </c>
      <c r="S4723">
        <v>0.59288019999999997</v>
      </c>
      <c r="T4723">
        <v>-0.4057287</v>
      </c>
      <c r="U4723">
        <v>-3.1314090000000001</v>
      </c>
      <c r="V4723">
        <v>0.38567800000000002</v>
      </c>
      <c r="W4723">
        <v>-7.7866350000000001E-2</v>
      </c>
      <c r="X4723">
        <v>0.91934179999999999</v>
      </c>
      <c r="Y4723">
        <v>0.67626350000000002</v>
      </c>
      <c r="Z4723">
        <v>1.9631989999999998E-2</v>
      </c>
      <c r="AA4723">
        <v>0.7363982</v>
      </c>
      <c r="AB4723">
        <v>24</v>
      </c>
      <c r="AC4723">
        <v>1.4302999999999799</v>
      </c>
      <c r="AD4723">
        <v>-1.106788530817</v>
      </c>
      <c r="AE4723">
        <v>-8.3811</v>
      </c>
      <c r="AF4723">
        <v>5.7830444152985603</v>
      </c>
      <c r="AG4723">
        <v>-1.106788530817</v>
      </c>
      <c r="AH4723">
        <v>6.0378744210875803</v>
      </c>
      <c r="AI4723">
        <v>97.541057105475502</v>
      </c>
      <c r="AJ4723">
        <v>46.234965139027899</v>
      </c>
      <c r="AK4723">
        <v>8.4335349104683104</v>
      </c>
      <c r="AL4723">
        <v>94.465933875105705</v>
      </c>
      <c r="AM4723">
        <v>67.241202749912901</v>
      </c>
      <c r="AN4723">
        <v>1.00000001668678</v>
      </c>
    </row>
    <row r="4724" spans="1:40" x14ac:dyDescent="0.25">
      <c r="A4724" t="str">
        <f>"20190303154232166"</f>
        <v>20190303154232166</v>
      </c>
      <c r="B4724" t="str">
        <f>"1551598952155077"</f>
        <v>1551598952155077</v>
      </c>
      <c r="C4724" t="s">
        <v>40</v>
      </c>
      <c r="D4724">
        <v>6.4260739999999998</v>
      </c>
      <c r="E4724">
        <v>0.64253329999999997</v>
      </c>
      <c r="F4724" t="s">
        <v>46</v>
      </c>
      <c r="G4724">
        <v>-194.14359999999999</v>
      </c>
      <c r="H4724" s="1">
        <v>5.5541220000000001E-6</v>
      </c>
      <c r="I4724">
        <v>203.4624</v>
      </c>
      <c r="J4724">
        <v>-195.43950000000001</v>
      </c>
      <c r="K4724">
        <v>1.1067199999999999</v>
      </c>
      <c r="L4724">
        <v>211.97190000000001</v>
      </c>
      <c r="M4724">
        <v>0.79038169999999996</v>
      </c>
      <c r="N4724">
        <v>-1.794867E-2</v>
      </c>
      <c r="O4724">
        <v>-0.6123516</v>
      </c>
      <c r="P4724">
        <v>0.49056549999999999</v>
      </c>
      <c r="Q4724">
        <v>-7.9654920000000004E-2</v>
      </c>
      <c r="R4724">
        <v>-0.86775609999999903</v>
      </c>
      <c r="S4724">
        <v>0.53320310000000004</v>
      </c>
      <c r="T4724">
        <v>-0.40120539999999999</v>
      </c>
      <c r="U4724">
        <v>-3.1420590000000002</v>
      </c>
      <c r="V4724">
        <v>0.38309349999999998</v>
      </c>
      <c r="W4724">
        <v>-7.6509579999999994E-2</v>
      </c>
      <c r="X4724">
        <v>0.92053560000000001</v>
      </c>
      <c r="Y4724">
        <v>0.67474730000000005</v>
      </c>
      <c r="Z4724">
        <v>2.181806E-2</v>
      </c>
      <c r="AA4724">
        <v>0.7377262</v>
      </c>
      <c r="AB4724">
        <v>24</v>
      </c>
      <c r="AC4724">
        <v>1.29590000000001</v>
      </c>
      <c r="AD4724">
        <v>-1.1067144458780001</v>
      </c>
      <c r="AE4724">
        <v>-8.5094999999999992</v>
      </c>
      <c r="AF4724">
        <v>5.8366751958222904</v>
      </c>
      <c r="AG4724">
        <v>-1.1067144458780001</v>
      </c>
      <c r="AH4724">
        <v>6.1346530088144098</v>
      </c>
      <c r="AI4724">
        <v>97.446317857558796</v>
      </c>
      <c r="AJ4724">
        <v>46.425852353517399</v>
      </c>
      <c r="AK4724">
        <v>8.5396464648601196</v>
      </c>
      <c r="AL4724">
        <v>94.387963830577206</v>
      </c>
      <c r="AM4724">
        <v>67.404694372864896</v>
      </c>
      <c r="AN4724">
        <v>1.00000006822069</v>
      </c>
    </row>
    <row r="4725" spans="1:40" x14ac:dyDescent="0.25">
      <c r="A4725" t="str">
        <f>"20190303154232190"</f>
        <v>20190303154232190</v>
      </c>
      <c r="B4725" t="str">
        <f>"1551598952184357"</f>
        <v>1551598952184357</v>
      </c>
      <c r="C4725" t="s">
        <v>40</v>
      </c>
      <c r="D4725">
        <v>6.4108710000000002</v>
      </c>
      <c r="E4725">
        <v>0.64056869999999999</v>
      </c>
      <c r="F4725" t="s">
        <v>46</v>
      </c>
      <c r="G4725">
        <v>-194.05680000000001</v>
      </c>
      <c r="H4725" s="1">
        <v>5.7454250000000001E-6</v>
      </c>
      <c r="I4725">
        <v>202.81270000000001</v>
      </c>
      <c r="J4725">
        <v>-195.25579999999999</v>
      </c>
      <c r="K4725">
        <v>1.1066480000000001</v>
      </c>
      <c r="L4725">
        <v>211.798</v>
      </c>
      <c r="M4725">
        <v>0.77610709999999905</v>
      </c>
      <c r="N4725">
        <v>-1.804037E-2</v>
      </c>
      <c r="O4725">
        <v>-0.63034309999999905</v>
      </c>
      <c r="P4725">
        <v>0.47311819999999999</v>
      </c>
      <c r="Q4725">
        <v>-7.9862829999999996E-2</v>
      </c>
      <c r="R4725">
        <v>-0.87737180000000003</v>
      </c>
      <c r="S4725">
        <v>0.47601320000000003</v>
      </c>
      <c r="T4725">
        <v>-0.38099499999999997</v>
      </c>
      <c r="U4725">
        <v>-3.1531220000000002</v>
      </c>
      <c r="V4725">
        <v>0.3803262</v>
      </c>
      <c r="W4725">
        <v>-7.6581750000000004E-2</v>
      </c>
      <c r="X4725">
        <v>0.9216763</v>
      </c>
      <c r="Y4725">
        <v>0.67150129999999997</v>
      </c>
      <c r="Z4725">
        <v>2.263981E-2</v>
      </c>
      <c r="AA4725">
        <v>0.74065740000000002</v>
      </c>
      <c r="AB4725">
        <v>24</v>
      </c>
      <c r="AC4725">
        <v>1.1989999999999801</v>
      </c>
      <c r="AD4725">
        <v>-1.1066422545750001</v>
      </c>
      <c r="AE4725">
        <v>-8.9852999999999899</v>
      </c>
      <c r="AF4725">
        <v>6.1274656289465899</v>
      </c>
      <c r="AG4725">
        <v>-1.1066422545750001</v>
      </c>
      <c r="AH4725">
        <v>6.4985963324867599</v>
      </c>
      <c r="AI4725">
        <v>97.062879594965693</v>
      </c>
      <c r="AJ4725">
        <v>46.683668434621701</v>
      </c>
      <c r="AK4725">
        <v>9.0001247994760103</v>
      </c>
      <c r="AL4725">
        <v>94.392111367899702</v>
      </c>
      <c r="AM4725">
        <v>67.576695534176807</v>
      </c>
      <c r="AN4725">
        <v>0.99999999241059601</v>
      </c>
    </row>
    <row r="4726" spans="1:40" x14ac:dyDescent="0.25">
      <c r="A4726" t="str">
        <f>"20190303154232212"</f>
        <v>20190303154232212</v>
      </c>
      <c r="B4726" t="str">
        <f>"1551598952204853"</f>
        <v>1551598952204853</v>
      </c>
      <c r="C4726" t="s">
        <v>40</v>
      </c>
      <c r="D4726">
        <v>6.4519570000000002</v>
      </c>
      <c r="E4726">
        <v>0.63890709999999995</v>
      </c>
      <c r="F4726" t="s">
        <v>46</v>
      </c>
      <c r="G4726">
        <v>-193.9776</v>
      </c>
      <c r="H4726" s="1">
        <v>5.9100879999999899E-6</v>
      </c>
      <c r="I4726">
        <v>202.34479999999999</v>
      </c>
      <c r="J4726">
        <v>-195.0823</v>
      </c>
      <c r="K4726">
        <v>1.106579</v>
      </c>
      <c r="L4726">
        <v>211.6258</v>
      </c>
      <c r="M4726">
        <v>0.76180269999999894</v>
      </c>
      <c r="N4726">
        <v>-1.8122590000000001E-2</v>
      </c>
      <c r="O4726">
        <v>-0.64755560000000001</v>
      </c>
      <c r="P4726">
        <v>0.45630270000000001</v>
      </c>
      <c r="Q4726">
        <v>-8.2116620000000001E-2</v>
      </c>
      <c r="R4726">
        <v>-0.88602749999999997</v>
      </c>
      <c r="S4726">
        <v>0.42669679999999999</v>
      </c>
      <c r="T4726">
        <v>-0.36940899999999999</v>
      </c>
      <c r="U4726">
        <v>-3.155548</v>
      </c>
      <c r="V4726">
        <v>0.37703110000000001</v>
      </c>
      <c r="W4726">
        <v>-7.8677419999999998E-2</v>
      </c>
      <c r="X4726">
        <v>0.92285289999999998</v>
      </c>
      <c r="Y4726">
        <v>0.66649199999999997</v>
      </c>
      <c r="Z4726">
        <v>2.4234840000000001E-2</v>
      </c>
      <c r="AA4726">
        <v>0.74511819999999995</v>
      </c>
      <c r="AB4726">
        <v>24</v>
      </c>
      <c r="AC4726">
        <v>1.1047</v>
      </c>
      <c r="AD4726">
        <v>-1.1065730899120001</v>
      </c>
      <c r="AE4726">
        <v>-9.2810000000000006</v>
      </c>
      <c r="AF4726">
        <v>6.2681185027511397</v>
      </c>
      <c r="AG4726">
        <v>-1.1065730899120001</v>
      </c>
      <c r="AH4726">
        <v>6.7579251283098403</v>
      </c>
      <c r="AI4726">
        <v>96.845809826466606</v>
      </c>
      <c r="AJ4726">
        <v>47.1534272234234</v>
      </c>
      <c r="AK4726">
        <v>9.2834996422518401</v>
      </c>
      <c r="AL4726">
        <v>94.512547708310507</v>
      </c>
      <c r="AM4726">
        <v>67.777554173316204</v>
      </c>
      <c r="AN4726">
        <v>1.0000000309117301</v>
      </c>
    </row>
    <row r="4727" spans="1:40" x14ac:dyDescent="0.25">
      <c r="A4727" t="str">
        <f>"20190303154232236"</f>
        <v>20190303154232236</v>
      </c>
      <c r="B4727" t="str">
        <f>"1551598952224374"</f>
        <v>1551598952224374</v>
      </c>
      <c r="C4727" t="s">
        <v>40</v>
      </c>
      <c r="D4727">
        <v>6.4107570000000003</v>
      </c>
      <c r="E4727">
        <v>0.63820169999999998</v>
      </c>
      <c r="F4727" t="s">
        <v>46</v>
      </c>
      <c r="G4727">
        <v>-193.9633</v>
      </c>
      <c r="H4727" s="1">
        <v>5.9379600000000003E-6</v>
      </c>
      <c r="I4727">
        <v>202.27670000000001</v>
      </c>
      <c r="J4727">
        <v>-194.90520000000001</v>
      </c>
      <c r="K4727">
        <v>1.106528</v>
      </c>
      <c r="L4727">
        <v>211.4417</v>
      </c>
      <c r="M4727">
        <v>0.74632129999999997</v>
      </c>
      <c r="N4727">
        <v>-1.8201769999999999E-2</v>
      </c>
      <c r="O4727">
        <v>-0.66533730000000002</v>
      </c>
      <c r="P4727">
        <v>0.43943169999999998</v>
      </c>
      <c r="Q4727">
        <v>-8.2981990000000005E-2</v>
      </c>
      <c r="R4727">
        <v>-0.89443530000000004</v>
      </c>
      <c r="S4727">
        <v>0.37782290000000002</v>
      </c>
      <c r="T4727">
        <v>-0.37363239999999998</v>
      </c>
      <c r="U4727">
        <v>-3.1566930000000002</v>
      </c>
      <c r="V4727">
        <v>0.37266640000000001</v>
      </c>
      <c r="W4727">
        <v>-7.9330709999999999E-2</v>
      </c>
      <c r="X4727">
        <v>0.92456819999999895</v>
      </c>
      <c r="Y4727">
        <v>0.66034300000000001</v>
      </c>
      <c r="Z4727">
        <v>2.7723060000000001E-2</v>
      </c>
      <c r="AA4727">
        <v>0.75045220000000001</v>
      </c>
      <c r="AB4727">
        <v>24</v>
      </c>
      <c r="AC4727">
        <v>0.94190000000000396</v>
      </c>
      <c r="AD4727">
        <v>-1.10652206204</v>
      </c>
      <c r="AE4727">
        <v>-9.1649999999999903</v>
      </c>
      <c r="AF4727">
        <v>6.1260184146682803</v>
      </c>
      <c r="AG4727">
        <v>-1.10652206204</v>
      </c>
      <c r="AH4727">
        <v>6.7051844551639004</v>
      </c>
      <c r="AI4727">
        <v>96.946295897236894</v>
      </c>
      <c r="AJ4727">
        <v>47.584423428652897</v>
      </c>
      <c r="AK4727">
        <v>9.1494257343511798</v>
      </c>
      <c r="AL4727">
        <v>94.5500960557589</v>
      </c>
      <c r="AM4727">
        <v>68.0470778946287</v>
      </c>
      <c r="AN4727">
        <v>0.999999981844651</v>
      </c>
    </row>
    <row r="4728" spans="1:40" x14ac:dyDescent="0.25">
      <c r="A4728" t="str">
        <f>"20190303154232259"</f>
        <v>20190303154232259</v>
      </c>
      <c r="B4728" t="str">
        <f>"1551598952254629"</f>
        <v>1551598952254629</v>
      </c>
      <c r="C4728" t="s">
        <v>40</v>
      </c>
      <c r="D4728">
        <v>6.6492639999999996</v>
      </c>
      <c r="E4728">
        <v>0.63535090000000005</v>
      </c>
      <c r="F4728" t="s">
        <v>46</v>
      </c>
      <c r="G4728">
        <v>-193.9512</v>
      </c>
      <c r="H4728" s="1">
        <v>6.004037E-6</v>
      </c>
      <c r="I4728">
        <v>202.09889999999999</v>
      </c>
      <c r="J4728">
        <v>-194.73310000000001</v>
      </c>
      <c r="K4728">
        <v>1.106492</v>
      </c>
      <c r="L4728">
        <v>211.25309999999999</v>
      </c>
      <c r="M4728">
        <v>0.73030790000000001</v>
      </c>
      <c r="N4728">
        <v>-1.8273089999999999E-2</v>
      </c>
      <c r="O4728">
        <v>-0.68287350000000002</v>
      </c>
      <c r="P4728">
        <v>0.4224349</v>
      </c>
      <c r="Q4728">
        <v>-8.1225809999999996E-2</v>
      </c>
      <c r="R4728">
        <v>-0.90274620000000005</v>
      </c>
      <c r="S4728">
        <v>0.32273859999999999</v>
      </c>
      <c r="T4728">
        <v>-0.37435190000000002</v>
      </c>
      <c r="U4728">
        <v>-3.1607970000000001</v>
      </c>
      <c r="V4728">
        <v>0.3683748</v>
      </c>
      <c r="W4728">
        <v>-7.7354790000000007E-2</v>
      </c>
      <c r="X4728">
        <v>0.92645359999999999</v>
      </c>
      <c r="Y4728">
        <v>0.65560499999999999</v>
      </c>
      <c r="Z4728">
        <v>3.0677860000000001E-2</v>
      </c>
      <c r="AA4728">
        <v>0.7544805</v>
      </c>
      <c r="AB4728">
        <v>24</v>
      </c>
      <c r="AC4728">
        <v>0.78190000000000703</v>
      </c>
      <c r="AD4728">
        <v>-1.106485995963</v>
      </c>
      <c r="AE4728">
        <v>-9.1541999999999994</v>
      </c>
      <c r="AF4728">
        <v>6.0645128381053501</v>
      </c>
      <c r="AG4728">
        <v>-1.106485995963</v>
      </c>
      <c r="AH4728">
        <v>6.7257763781895301</v>
      </c>
      <c r="AI4728">
        <v>96.965885689921706</v>
      </c>
      <c r="AJ4728">
        <v>47.959581784732698</v>
      </c>
      <c r="AK4728">
        <v>9.1235242703803401</v>
      </c>
      <c r="AL4728">
        <v>94.436534979908402</v>
      </c>
      <c r="AM4728">
        <v>68.316331775043395</v>
      </c>
      <c r="AN4728">
        <v>1.0000000148819701</v>
      </c>
    </row>
    <row r="4729" spans="1:40" x14ac:dyDescent="0.25">
      <c r="A4729" t="str">
        <f>"20190303154232280"</f>
        <v>20190303154232280</v>
      </c>
      <c r="B4729" t="str">
        <f>"1551598952275125"</f>
        <v>1551598952275125</v>
      </c>
      <c r="C4729" t="s">
        <v>40</v>
      </c>
      <c r="D4729">
        <v>6.424785</v>
      </c>
      <c r="E4729">
        <v>0.63544519999999904</v>
      </c>
      <c r="F4729" t="s">
        <v>46</v>
      </c>
      <c r="G4729">
        <v>-193.8426</v>
      </c>
      <c r="H4729" s="1">
        <v>6.2970589999999997E-6</v>
      </c>
      <c r="I4729">
        <v>201.35169999999999</v>
      </c>
      <c r="J4729">
        <v>-194.57230000000001</v>
      </c>
      <c r="K4729">
        <v>1.106482</v>
      </c>
      <c r="L4729">
        <v>211.06809999999999</v>
      </c>
      <c r="M4729">
        <v>0.71444909999999995</v>
      </c>
      <c r="N4729">
        <v>-1.8334E-2</v>
      </c>
      <c r="O4729">
        <v>-0.69944719999999905</v>
      </c>
      <c r="P4729">
        <v>0.40742859999999997</v>
      </c>
      <c r="Q4729">
        <v>-7.8459230000000005E-2</v>
      </c>
      <c r="R4729">
        <v>-0.90986060000000002</v>
      </c>
      <c r="S4729">
        <v>0.28407290000000002</v>
      </c>
      <c r="T4729">
        <v>-0.3529639</v>
      </c>
      <c r="U4729">
        <v>-3.1584780000000001</v>
      </c>
      <c r="V4729">
        <v>0.3627359</v>
      </c>
      <c r="W4729">
        <v>-7.4306540000000004E-2</v>
      </c>
      <c r="X4729">
        <v>0.92892470000000005</v>
      </c>
      <c r="Y4729">
        <v>0.64754669999999903</v>
      </c>
      <c r="Z4729">
        <v>3.082909E-2</v>
      </c>
      <c r="AA4729">
        <v>0.76140200000000002</v>
      </c>
      <c r="AB4729">
        <v>23</v>
      </c>
      <c r="AC4729">
        <v>0.72970000000000801</v>
      </c>
      <c r="AD4729">
        <v>-1.106475702941</v>
      </c>
      <c r="AE4729">
        <v>-9.7163999999999895</v>
      </c>
      <c r="AF4729">
        <v>6.3506740304375997</v>
      </c>
      <c r="AG4729">
        <v>-1.106475702941</v>
      </c>
      <c r="AH4729">
        <v>7.22549753503717</v>
      </c>
      <c r="AI4729">
        <v>96.561423356620494</v>
      </c>
      <c r="AJ4729">
        <v>48.686937139072398</v>
      </c>
      <c r="AK4729">
        <v>9.6831381148314506</v>
      </c>
      <c r="AL4729">
        <v>94.261379019069196</v>
      </c>
      <c r="AM4729">
        <v>68.669846914382703</v>
      </c>
      <c r="AN4729">
        <v>0.99999994665283398</v>
      </c>
    </row>
    <row r="4730" spans="1:40" x14ac:dyDescent="0.25">
      <c r="A4730" t="str">
        <f>"20190303154232303"</f>
        <v>20190303154232303</v>
      </c>
      <c r="B4730" t="str">
        <f>"1551598952294646"</f>
        <v>1551598952294646</v>
      </c>
      <c r="C4730" t="s">
        <v>40</v>
      </c>
      <c r="D4730">
        <v>6.4305329999999996</v>
      </c>
      <c r="E4730">
        <v>0.63524619999999998</v>
      </c>
      <c r="F4730" t="s">
        <v>46</v>
      </c>
      <c r="G4730">
        <v>-193.8227</v>
      </c>
      <c r="H4730" s="1">
        <v>6.4989480000000002E-6</v>
      </c>
      <c r="I4730">
        <v>200.79560000000001</v>
      </c>
      <c r="J4730">
        <v>-194.42189999999999</v>
      </c>
      <c r="K4730">
        <v>1.106471</v>
      </c>
      <c r="L4730">
        <v>210.887</v>
      </c>
      <c r="M4730">
        <v>0.69879060000000004</v>
      </c>
      <c r="N4730">
        <v>-1.838482E-2</v>
      </c>
      <c r="O4730">
        <v>-0.71509</v>
      </c>
      <c r="P4730">
        <v>0.39263730000000002</v>
      </c>
      <c r="Q4730">
        <v>-7.7362249999999994E-2</v>
      </c>
      <c r="R4730">
        <v>-0.91643379999999997</v>
      </c>
      <c r="S4730">
        <v>0.23091130000000001</v>
      </c>
      <c r="T4730">
        <v>-0.34084520000000001</v>
      </c>
      <c r="U4730">
        <v>-3.1643979999999998</v>
      </c>
      <c r="V4730">
        <v>0.357328599999999</v>
      </c>
      <c r="W4730">
        <v>-7.2939399999999904E-2</v>
      </c>
      <c r="X4730">
        <v>0.93112620000000001</v>
      </c>
      <c r="Y4730">
        <v>0.64362519999999901</v>
      </c>
      <c r="Z4730">
        <v>3.1466090000000002E-2</v>
      </c>
      <c r="AA4730">
        <v>0.76469370000000003</v>
      </c>
      <c r="AB4730">
        <v>23</v>
      </c>
      <c r="AC4730">
        <v>0.59919999999999596</v>
      </c>
      <c r="AD4730">
        <v>-1.106464501052</v>
      </c>
      <c r="AE4730">
        <v>-10.091399999999901</v>
      </c>
      <c r="AF4730">
        <v>6.5459944824153702</v>
      </c>
      <c r="AG4730">
        <v>-1.106464501052</v>
      </c>
      <c r="AH4730">
        <v>7.5458683890299199</v>
      </c>
      <c r="AI4730">
        <v>96.320472850560293</v>
      </c>
      <c r="AJ4730">
        <v>49.058562422460703</v>
      </c>
      <c r="AK4730">
        <v>10.050593873023701</v>
      </c>
      <c r="AL4730">
        <v>94.182834516188393</v>
      </c>
      <c r="AM4730">
        <v>69.005216367250895</v>
      </c>
      <c r="AN4730">
        <v>0.99999994238837797</v>
      </c>
    </row>
    <row r="4731" spans="1:40" x14ac:dyDescent="0.25">
      <c r="A4731" t="str">
        <f>"20190303154232324"</f>
        <v>20190303154232324</v>
      </c>
      <c r="B4731" t="str">
        <f>"1551598952315142"</f>
        <v>1551598952315142</v>
      </c>
      <c r="C4731" t="s">
        <v>40</v>
      </c>
      <c r="D4731">
        <v>6.4290890000000003</v>
      </c>
      <c r="E4731">
        <v>0.63496699999999995</v>
      </c>
      <c r="F4731" t="s">
        <v>46</v>
      </c>
      <c r="G4731">
        <v>-193.82499999999999</v>
      </c>
      <c r="H4731" s="1">
        <v>6.6256630000000004E-6</v>
      </c>
      <c r="I4731">
        <v>200.43539999999999</v>
      </c>
      <c r="J4731">
        <v>-194.274</v>
      </c>
      <c r="K4731">
        <v>1.106473</v>
      </c>
      <c r="L4731">
        <v>210.70050000000001</v>
      </c>
      <c r="M4731">
        <v>0.6825426</v>
      </c>
      <c r="N4731">
        <v>-1.8428170000000001E-2</v>
      </c>
      <c r="O4731">
        <v>-0.73061359999999997</v>
      </c>
      <c r="P4731">
        <v>0.37750289999999997</v>
      </c>
      <c r="Q4731">
        <v>-7.7082949999999997E-2</v>
      </c>
      <c r="R4731">
        <v>-0.92279480000000003</v>
      </c>
      <c r="S4731">
        <v>0.18090819999999999</v>
      </c>
      <c r="T4731">
        <v>-0.33535340000000002</v>
      </c>
      <c r="U4731">
        <v>-3.1677399999999998</v>
      </c>
      <c r="V4731">
        <v>0.35175790000000001</v>
      </c>
      <c r="W4731">
        <v>-7.2381409999999993E-2</v>
      </c>
      <c r="X4731">
        <v>0.93328849999999997</v>
      </c>
      <c r="Y4731">
        <v>0.6385731</v>
      </c>
      <c r="Z4731">
        <v>3.3027800000000003E-2</v>
      </c>
      <c r="AA4731">
        <v>0.76885219999999999</v>
      </c>
      <c r="AB4731">
        <v>23</v>
      </c>
      <c r="AC4731">
        <v>0.449000000000012</v>
      </c>
      <c r="AD4731">
        <v>-1.106466374337</v>
      </c>
      <c r="AE4731">
        <v>-10.2651</v>
      </c>
      <c r="AF4731">
        <v>6.6028868767687499</v>
      </c>
      <c r="AG4731">
        <v>-1.106466374337</v>
      </c>
      <c r="AH4731">
        <v>7.7181066391470097</v>
      </c>
      <c r="AI4731">
        <v>96.216997935096501</v>
      </c>
      <c r="AJ4731">
        <v>49.4528119488076</v>
      </c>
      <c r="AK4731">
        <v>10.2172184589637</v>
      </c>
      <c r="AL4731">
        <v>94.150778837246406</v>
      </c>
      <c r="AM4731">
        <v>69.348495091740801</v>
      </c>
      <c r="AN4731">
        <v>1.00000005647912</v>
      </c>
    </row>
    <row r="4732" spans="1:40" x14ac:dyDescent="0.25">
      <c r="A4732" t="str">
        <f>"20190303154232347"</f>
        <v>20190303154232347</v>
      </c>
      <c r="B4732" t="str">
        <f>"1551598952334662"</f>
        <v>1551598952334662</v>
      </c>
      <c r="C4732" t="s">
        <v>40</v>
      </c>
      <c r="D4732">
        <v>6.5759030000000003</v>
      </c>
      <c r="E4732">
        <v>0.63467629999999997</v>
      </c>
      <c r="F4732" t="s">
        <v>46</v>
      </c>
      <c r="G4732">
        <v>-193.84360000000001</v>
      </c>
      <c r="H4732" s="1">
        <v>6.6746240000000003E-6</v>
      </c>
      <c r="I4732">
        <v>200.28290000000001</v>
      </c>
      <c r="J4732">
        <v>-194.13220000000001</v>
      </c>
      <c r="K4732">
        <v>1.106474</v>
      </c>
      <c r="L4732">
        <v>210.5129</v>
      </c>
      <c r="M4732">
        <v>0.66609929999999995</v>
      </c>
      <c r="N4732">
        <v>-1.8462840000000001E-2</v>
      </c>
      <c r="O4732">
        <v>-0.74563459999999904</v>
      </c>
      <c r="P4732">
        <v>0.3623016</v>
      </c>
      <c r="Q4732">
        <v>-7.7485760000000001E-2</v>
      </c>
      <c r="R4732">
        <v>-0.92883479999999996</v>
      </c>
      <c r="S4732">
        <v>0.13093569999999999</v>
      </c>
      <c r="T4732">
        <v>-0.3366171</v>
      </c>
      <c r="U4732">
        <v>-3.1693120000000001</v>
      </c>
      <c r="V4732">
        <v>0.34626479999999998</v>
      </c>
      <c r="W4732">
        <v>-7.2508610000000001E-2</v>
      </c>
      <c r="X4732">
        <v>0.93533049999999995</v>
      </c>
      <c r="Y4732">
        <v>0.633579</v>
      </c>
      <c r="Z4732">
        <v>3.5546260000000003E-2</v>
      </c>
      <c r="AA4732">
        <v>0.77286089999999996</v>
      </c>
      <c r="AB4732">
        <v>23</v>
      </c>
      <c r="AC4732">
        <v>0.28860000000000202</v>
      </c>
      <c r="AD4732">
        <v>-1.106467325376</v>
      </c>
      <c r="AE4732">
        <v>-10.229999999999899</v>
      </c>
      <c r="AF4732">
        <v>6.5238722590598996</v>
      </c>
      <c r="AG4732">
        <v>-1.106467325376</v>
      </c>
      <c r="AH4732">
        <v>7.7310421761912202</v>
      </c>
      <c r="AI4732">
        <v>96.242188200519394</v>
      </c>
      <c r="AJ4732">
        <v>49.840513757599801</v>
      </c>
      <c r="AK4732">
        <v>10.176158033595099</v>
      </c>
      <c r="AL4732">
        <v>94.158086390468199</v>
      </c>
      <c r="AM4732">
        <v>69.685154093246396</v>
      </c>
      <c r="AN4732">
        <v>0.99999997723670997</v>
      </c>
    </row>
    <row r="4733" spans="1:40" x14ac:dyDescent="0.25">
      <c r="A4733" t="str">
        <f>"20190303154232368"</f>
        <v>20190303154232368</v>
      </c>
      <c r="B4733" t="str">
        <f>"1551598952364918"</f>
        <v>1551598952364918</v>
      </c>
      <c r="C4733" t="s">
        <v>40</v>
      </c>
      <c r="D4733">
        <v>6.4086249999999998</v>
      </c>
      <c r="E4733">
        <v>0.63422029999999996</v>
      </c>
      <c r="F4733" t="s">
        <v>46</v>
      </c>
      <c r="G4733">
        <v>-193.86330000000001</v>
      </c>
      <c r="H4733" s="1">
        <v>6.7597550000000003E-6</v>
      </c>
      <c r="I4733">
        <v>200.0273</v>
      </c>
      <c r="J4733">
        <v>-193.9939</v>
      </c>
      <c r="K4733">
        <v>1.10649</v>
      </c>
      <c r="L4733">
        <v>210.3212</v>
      </c>
      <c r="M4733">
        <v>0.64920089999999997</v>
      </c>
      <c r="N4733">
        <v>-1.8489709999999999E-2</v>
      </c>
      <c r="O4733">
        <v>-0.76039239999999997</v>
      </c>
      <c r="P4733">
        <v>0.3484758</v>
      </c>
      <c r="Q4733">
        <v>-7.9531939999999995E-2</v>
      </c>
      <c r="R4733">
        <v>-0.93393769999999998</v>
      </c>
      <c r="S4733">
        <v>8.1298830000000002E-2</v>
      </c>
      <c r="T4733">
        <v>-0.33453169999999999</v>
      </c>
      <c r="U4733">
        <v>-3.170258</v>
      </c>
      <c r="V4733">
        <v>0.33898650000000002</v>
      </c>
      <c r="W4733">
        <v>-7.4205199999999999E-2</v>
      </c>
      <c r="X4733">
        <v>0.93786020000000003</v>
      </c>
      <c r="Y4733">
        <v>0.62836059999999905</v>
      </c>
      <c r="Z4733">
        <v>3.7526530000000002E-2</v>
      </c>
      <c r="AA4733">
        <v>0.7770165</v>
      </c>
      <c r="AB4733">
        <v>23</v>
      </c>
      <c r="AC4733">
        <v>0.13059999999998601</v>
      </c>
      <c r="AD4733">
        <v>-1.106483240245</v>
      </c>
      <c r="AE4733">
        <v>-10.293900000000001</v>
      </c>
      <c r="AF4733">
        <v>6.5094292170661703</v>
      </c>
      <c r="AG4733">
        <v>-1.106483240245</v>
      </c>
      <c r="AH4733">
        <v>7.82316688257976</v>
      </c>
      <c r="AI4733">
        <v>96.204950611875702</v>
      </c>
      <c r="AJ4733">
        <v>50.2371444803507</v>
      </c>
      <c r="AK4733">
        <v>10.237134069925499</v>
      </c>
      <c r="AL4733">
        <v>94.255556333522506</v>
      </c>
      <c r="AM4733">
        <v>70.1277763322786</v>
      </c>
      <c r="AN4733">
        <v>1.0000000068166599</v>
      </c>
    </row>
    <row r="4734" spans="1:40" x14ac:dyDescent="0.25">
      <c r="A4734" t="str">
        <f>"20190303154232391"</f>
        <v>20190303154232391</v>
      </c>
      <c r="B4734" t="str">
        <f>"1551598952384441"</f>
        <v>1551598952384441</v>
      </c>
      <c r="C4734" t="s">
        <v>40</v>
      </c>
      <c r="D4734">
        <v>5.9728349999999999</v>
      </c>
      <c r="E4734">
        <v>0.63359390000000004</v>
      </c>
      <c r="F4734" t="s">
        <v>41</v>
      </c>
      <c r="G4734">
        <v>-193.86170000000001</v>
      </c>
      <c r="H4734" s="1">
        <v>-4.9003530000000003E-6</v>
      </c>
      <c r="I4734">
        <v>199.37379999999999</v>
      </c>
      <c r="J4734">
        <v>-193.85579999999999</v>
      </c>
      <c r="K4734">
        <v>1.106528</v>
      </c>
      <c r="L4734">
        <v>210.12020000000001</v>
      </c>
      <c r="M4734">
        <v>0.63139040000000002</v>
      </c>
      <c r="N4734">
        <v>-1.8508719999999999E-2</v>
      </c>
      <c r="O4734">
        <v>-0.7752443</v>
      </c>
      <c r="P4734">
        <v>0.33506249999999999</v>
      </c>
      <c r="Q4734">
        <v>-8.1504980000000005E-2</v>
      </c>
      <c r="R4734">
        <v>-0.9386639</v>
      </c>
      <c r="S4734">
        <v>3.8299560000000003E-2</v>
      </c>
      <c r="T4734">
        <v>-0.32046219999999997</v>
      </c>
      <c r="U4734">
        <v>-3.1705930000000002</v>
      </c>
      <c r="V4734">
        <v>0.33050459999999998</v>
      </c>
      <c r="W4734">
        <v>-7.5774899999999895E-2</v>
      </c>
      <c r="X4734">
        <v>0.94075759999999997</v>
      </c>
      <c r="Y4734">
        <v>0.62094329999999998</v>
      </c>
      <c r="Z4734">
        <v>3.7553940000000001E-2</v>
      </c>
      <c r="AA4734">
        <v>0.78295530000000002</v>
      </c>
      <c r="AB4734">
        <v>23</v>
      </c>
      <c r="AC4734">
        <v>-5.9000000000253199E-3</v>
      </c>
      <c r="AD4734">
        <v>-1.106532900353</v>
      </c>
      <c r="AE4734">
        <v>-10.7464</v>
      </c>
      <c r="AF4734">
        <v>6.71966625109948</v>
      </c>
      <c r="AG4734">
        <v>-1.106532900353</v>
      </c>
      <c r="AH4734">
        <v>8.2414079409621497</v>
      </c>
      <c r="AI4734">
        <v>95.940786487753499</v>
      </c>
      <c r="AJ4734">
        <v>50.807775032215801</v>
      </c>
      <c r="AK4734">
        <v>10.6910773280845</v>
      </c>
      <c r="AL4734">
        <v>94.345747535978703</v>
      </c>
      <c r="AM4734">
        <v>70.642732700970797</v>
      </c>
      <c r="AN4734">
        <v>0.99999999402446405</v>
      </c>
    </row>
    <row r="4735" spans="1:40" x14ac:dyDescent="0.25">
      <c r="A4735" t="str">
        <f>"20190303154232413"</f>
        <v>20190303154232413</v>
      </c>
      <c r="B4735" t="str">
        <f>"1551598952404933"</f>
        <v>1551598952404933</v>
      </c>
      <c r="C4735" t="s">
        <v>40</v>
      </c>
      <c r="D4735">
        <v>6.4563959999999998</v>
      </c>
      <c r="E4735">
        <v>0.63239769999999995</v>
      </c>
      <c r="F4735" t="s">
        <v>41</v>
      </c>
      <c r="G4735">
        <v>-193.8623</v>
      </c>
      <c r="H4735" s="1">
        <v>-4.7100190000000001E-6</v>
      </c>
      <c r="I4735">
        <v>198.8142</v>
      </c>
      <c r="J4735">
        <v>-193.72290000000001</v>
      </c>
      <c r="K4735">
        <v>1.1065830000000001</v>
      </c>
      <c r="L4735">
        <v>209.9169</v>
      </c>
      <c r="M4735">
        <v>0.61332330000000002</v>
      </c>
      <c r="N4735">
        <v>-1.851769E-2</v>
      </c>
      <c r="O4735">
        <v>-0.78961490000000001</v>
      </c>
      <c r="P4735">
        <v>0.32060630000000001</v>
      </c>
      <c r="Q4735">
        <v>-8.2303390000000004E-2</v>
      </c>
      <c r="R4735">
        <v>-0.94363039999999998</v>
      </c>
      <c r="S4735">
        <v>-1.8310550000000001E-3</v>
      </c>
      <c r="T4735">
        <v>-0.31022759999999999</v>
      </c>
      <c r="U4735">
        <v>-3.1697540000000002</v>
      </c>
      <c r="V4735">
        <v>0.32317940000000001</v>
      </c>
      <c r="W4735">
        <v>-7.6214249999999997E-2</v>
      </c>
      <c r="X4735">
        <v>0.94326370000000004</v>
      </c>
      <c r="Y4735">
        <v>0.61281589999999997</v>
      </c>
      <c r="Z4735">
        <v>3.8061650000000002E-2</v>
      </c>
      <c r="AA4735">
        <v>0.78930859999999903</v>
      </c>
      <c r="AB4735">
        <v>23</v>
      </c>
      <c r="AC4735">
        <v>-0.139399999999994</v>
      </c>
      <c r="AD4735">
        <v>-1.106587710019</v>
      </c>
      <c r="AE4735">
        <v>-11.1027</v>
      </c>
      <c r="AF4735">
        <v>6.8527405063569597</v>
      </c>
      <c r="AG4735">
        <v>-1.106587710019</v>
      </c>
      <c r="AH4735">
        <v>8.5974568496616808</v>
      </c>
      <c r="AI4735">
        <v>95.747483398861704</v>
      </c>
      <c r="AJ4735">
        <v>51.442842240965703</v>
      </c>
      <c r="AK4735">
        <v>11.0499254788991</v>
      </c>
      <c r="AL4735">
        <v>94.370993538355705</v>
      </c>
      <c r="AM4735">
        <v>71.087602018164304</v>
      </c>
      <c r="AN4735">
        <v>0.99999997211255498</v>
      </c>
    </row>
    <row r="4736" spans="1:40" x14ac:dyDescent="0.25">
      <c r="A4736" t="str">
        <f>"20190303154232437"</f>
        <v>20190303154232437</v>
      </c>
      <c r="B4736" t="str">
        <f>"1551598952424453"</f>
        <v>1551598952424453</v>
      </c>
      <c r="C4736" t="s">
        <v>40</v>
      </c>
      <c r="D4736">
        <v>6.4488139999999996</v>
      </c>
      <c r="E4736">
        <v>0.63113050000000004</v>
      </c>
      <c r="F4736" t="s">
        <v>41</v>
      </c>
      <c r="G4736">
        <v>-193.86920000000001</v>
      </c>
      <c r="H4736" s="1">
        <v>-4.7047180000000001E-6</v>
      </c>
      <c r="I4736">
        <v>198.79499999999999</v>
      </c>
      <c r="J4736">
        <v>-193.5926</v>
      </c>
      <c r="K4736">
        <v>1.106668</v>
      </c>
      <c r="L4736">
        <v>209.70689999999999</v>
      </c>
      <c r="M4736">
        <v>0.59463359999999998</v>
      </c>
      <c r="N4736">
        <v>-1.8514889999999999E-2</v>
      </c>
      <c r="O4736">
        <v>-0.80378369999999999</v>
      </c>
      <c r="P4736">
        <v>0.30571930000000003</v>
      </c>
      <c r="Q4736">
        <v>-8.3267499999999994E-2</v>
      </c>
      <c r="R4736">
        <v>-0.94847400000000004</v>
      </c>
      <c r="S4736">
        <v>-4.1641240000000003E-2</v>
      </c>
      <c r="T4736">
        <v>-0.31499719999999998</v>
      </c>
      <c r="U4736">
        <v>-3.1659090000000001</v>
      </c>
      <c r="V4736">
        <v>0.31583319999999998</v>
      </c>
      <c r="W4736">
        <v>-7.681499E-2</v>
      </c>
      <c r="X4736">
        <v>0.94570019999999999</v>
      </c>
      <c r="Y4736">
        <v>0.604195699999999</v>
      </c>
      <c r="Z4736">
        <v>4.1308360000000002E-2</v>
      </c>
      <c r="AA4736">
        <v>0.79576449999999999</v>
      </c>
      <c r="AB4736">
        <v>23</v>
      </c>
      <c r="AC4736">
        <v>-0.27660000000000201</v>
      </c>
      <c r="AD4736">
        <v>-1.1066727047180001</v>
      </c>
      <c r="AE4736">
        <v>-10.911899999999999</v>
      </c>
      <c r="AF4736">
        <v>6.6437664737014197</v>
      </c>
      <c r="AG4736">
        <v>-1.1066727047180001</v>
      </c>
      <c r="AH4736">
        <v>8.5202255671133305</v>
      </c>
      <c r="AI4736">
        <v>95.848323988054204</v>
      </c>
      <c r="AJ4736">
        <v>52.0541716221746</v>
      </c>
      <c r="AK4736">
        <v>10.860874787370401</v>
      </c>
      <c r="AL4736">
        <v>94.4055144364727</v>
      </c>
      <c r="AM4736">
        <v>71.532352103452396</v>
      </c>
      <c r="AN4736">
        <v>1.00000001059549</v>
      </c>
    </row>
    <row r="4737" spans="1:40" x14ac:dyDescent="0.25">
      <c r="A4737" t="str">
        <f>"20190303154232458"</f>
        <v>20190303154232458</v>
      </c>
      <c r="B4737" t="str">
        <f>"1551598952454710"</f>
        <v>1551598952454710</v>
      </c>
      <c r="C4737" t="s">
        <v>40</v>
      </c>
      <c r="D4737">
        <v>6.468388</v>
      </c>
      <c r="E4737">
        <v>0.62934559999999995</v>
      </c>
      <c r="F4737" t="s">
        <v>41</v>
      </c>
      <c r="G4737">
        <v>-193.87360000000001</v>
      </c>
      <c r="H4737" s="1">
        <v>-4.7253089999999999E-6</v>
      </c>
      <c r="I4737">
        <v>198.85319999999999</v>
      </c>
      <c r="J4737">
        <v>-193.47380000000001</v>
      </c>
      <c r="K4737">
        <v>1.106765</v>
      </c>
      <c r="L4737">
        <v>209.50460000000001</v>
      </c>
      <c r="M4737">
        <v>0.57665840000000002</v>
      </c>
      <c r="N4737">
        <v>-1.849816E-2</v>
      </c>
      <c r="O4737">
        <v>-0.81677599999999995</v>
      </c>
      <c r="P4737">
        <v>0.29283229999999999</v>
      </c>
      <c r="Q4737">
        <v>-8.4425379999999994E-2</v>
      </c>
      <c r="R4737">
        <v>-0.95242969999999905</v>
      </c>
      <c r="S4737">
        <v>-8.1817630000000002E-2</v>
      </c>
      <c r="T4737">
        <v>-0.32231189999999998</v>
      </c>
      <c r="U4737">
        <v>-3.161057</v>
      </c>
      <c r="V4737">
        <v>0.30760290000000001</v>
      </c>
      <c r="W4737">
        <v>-7.7575580000000005E-2</v>
      </c>
      <c r="X4737">
        <v>0.9483473</v>
      </c>
      <c r="Y4737">
        <v>0.59662930000000003</v>
      </c>
      <c r="Z4737">
        <v>4.494927E-2</v>
      </c>
      <c r="AA4737">
        <v>0.801257199999999</v>
      </c>
      <c r="AB4737">
        <v>23</v>
      </c>
      <c r="AC4737">
        <v>-0.39979999999999899</v>
      </c>
      <c r="AD4737">
        <v>-1.1067697253090001</v>
      </c>
      <c r="AE4737">
        <v>-10.651400000000001</v>
      </c>
      <c r="AF4737">
        <v>6.4008603994249897</v>
      </c>
      <c r="AG4737">
        <v>-1.1067697253090001</v>
      </c>
      <c r="AH4737">
        <v>8.3803537338243093</v>
      </c>
      <c r="AI4737">
        <v>95.991530726778507</v>
      </c>
      <c r="AJ4737">
        <v>52.627641083568399</v>
      </c>
      <c r="AK4737">
        <v>10.603126038193199</v>
      </c>
      <c r="AL4737">
        <v>94.449223250511906</v>
      </c>
      <c r="AM4737">
        <v>72.0291764058735</v>
      </c>
      <c r="AN4737">
        <v>1.00000005805901</v>
      </c>
    </row>
    <row r="4738" spans="1:40" x14ac:dyDescent="0.25">
      <c r="A4738" t="str">
        <f>"20190303154232483"</f>
        <v>20190303154232483</v>
      </c>
      <c r="B4738" t="str">
        <f>"1551598952474230"</f>
        <v>1551598952474230</v>
      </c>
      <c r="C4738" t="s">
        <v>40</v>
      </c>
      <c r="D4738">
        <v>6.4628699999999997</v>
      </c>
      <c r="E4738">
        <v>0.62803989999999998</v>
      </c>
      <c r="F4738" t="s">
        <v>41</v>
      </c>
      <c r="G4738">
        <v>-193.84690000000001</v>
      </c>
      <c r="H4738" s="1">
        <v>-4.7426829999999997E-6</v>
      </c>
      <c r="I4738">
        <v>198.91820000000001</v>
      </c>
      <c r="J4738">
        <v>-193.3493</v>
      </c>
      <c r="K4738">
        <v>1.106889</v>
      </c>
      <c r="L4738">
        <v>209.28100000000001</v>
      </c>
      <c r="M4738">
        <v>0.55680350000000001</v>
      </c>
      <c r="N4738">
        <v>-1.8466550000000002E-2</v>
      </c>
      <c r="O4738">
        <v>-0.83043919999999904</v>
      </c>
      <c r="P4738">
        <v>0.28080759999999899</v>
      </c>
      <c r="Q4738">
        <v>-8.6900409999999997E-2</v>
      </c>
      <c r="R4738">
        <v>-0.95582219999999996</v>
      </c>
      <c r="S4738">
        <v>-0.1111603</v>
      </c>
      <c r="T4738">
        <v>-0.3298217</v>
      </c>
      <c r="U4738">
        <v>-3.1547999999999998</v>
      </c>
      <c r="V4738">
        <v>0.29651189999999999</v>
      </c>
      <c r="W4738">
        <v>-7.9540910000000006E-2</v>
      </c>
      <c r="X4738">
        <v>0.95171110000000003</v>
      </c>
      <c r="Y4738">
        <v>0.58472849999999998</v>
      </c>
      <c r="Z4738">
        <v>4.9087949999999998E-2</v>
      </c>
      <c r="AA4738">
        <v>0.80974250000000003</v>
      </c>
      <c r="AB4738">
        <v>23</v>
      </c>
      <c r="AC4738">
        <v>-0.49760000000000498</v>
      </c>
      <c r="AD4738">
        <v>-1.1068937426829999</v>
      </c>
      <c r="AE4738">
        <v>-10.362799999999901</v>
      </c>
      <c r="AF4738">
        <v>6.1147191694213801</v>
      </c>
      <c r="AG4738">
        <v>-1.1068937426829999</v>
      </c>
      <c r="AH4738">
        <v>8.2362749680614105</v>
      </c>
      <c r="AI4738">
        <v>96.158711442643295</v>
      </c>
      <c r="AJ4738">
        <v>53.409319988374598</v>
      </c>
      <c r="AK4738">
        <v>10.3175205174496</v>
      </c>
      <c r="AL4738">
        <v>94.562177539074</v>
      </c>
      <c r="AM4738">
        <v>72.695231048819906</v>
      </c>
      <c r="AN4738">
        <v>1.00000004053422</v>
      </c>
    </row>
    <row r="4739" spans="1:40" x14ac:dyDescent="0.25">
      <c r="A4739" t="str">
        <f>"20190303154232503"</f>
        <v>20190303154232503</v>
      </c>
      <c r="B4739" t="str">
        <f>"1551598952494725"</f>
        <v>1551598952494725</v>
      </c>
      <c r="C4739" t="s">
        <v>40</v>
      </c>
      <c r="D4739">
        <v>6.4419760000000004</v>
      </c>
      <c r="E4739">
        <v>0.62660649999999996</v>
      </c>
      <c r="F4739" t="s">
        <v>41</v>
      </c>
      <c r="G4739">
        <v>-193.80959999999999</v>
      </c>
      <c r="H4739" s="1">
        <v>-4.7641209999999998E-6</v>
      </c>
      <c r="I4739">
        <v>199.00059999999999</v>
      </c>
      <c r="J4739">
        <v>-193.24420000000001</v>
      </c>
      <c r="K4739">
        <v>1.1070120000000001</v>
      </c>
      <c r="L4739">
        <v>209.0822</v>
      </c>
      <c r="M4739">
        <v>0.53918290000000002</v>
      </c>
      <c r="N4739">
        <v>-1.8429089999999999E-2</v>
      </c>
      <c r="O4739">
        <v>-0.84198700000000004</v>
      </c>
      <c r="P4739">
        <v>0.27332099999999998</v>
      </c>
      <c r="Q4739">
        <v>-8.9806949999999997E-2</v>
      </c>
      <c r="R4739">
        <v>-0.9577215</v>
      </c>
      <c r="S4739">
        <v>-0.14097599999999999</v>
      </c>
      <c r="T4739">
        <v>-0.33908059999999901</v>
      </c>
      <c r="U4739">
        <v>-3.1492460000000002</v>
      </c>
      <c r="V4739">
        <v>0.28368769999999999</v>
      </c>
      <c r="W4739">
        <v>-8.1885260000000001E-2</v>
      </c>
      <c r="X4739">
        <v>0.95541410000000004</v>
      </c>
      <c r="Y4739">
        <v>0.5753047</v>
      </c>
      <c r="Z4739">
        <v>5.3272060000000003E-2</v>
      </c>
      <c r="AA4739">
        <v>0.81620249999999905</v>
      </c>
      <c r="AB4739">
        <v>23</v>
      </c>
      <c r="AC4739">
        <v>-0.56539999999998203</v>
      </c>
      <c r="AD4739">
        <v>-1.107016764121</v>
      </c>
      <c r="AE4739">
        <v>-10.0816</v>
      </c>
      <c r="AF4739">
        <v>5.8426643571150496</v>
      </c>
      <c r="AG4739">
        <v>-1.107016764121</v>
      </c>
      <c r="AH4739">
        <v>8.0879001062298297</v>
      </c>
      <c r="AI4739">
        <v>96.331136707792695</v>
      </c>
      <c r="AJ4739">
        <v>54.155814849072101</v>
      </c>
      <c r="AK4739">
        <v>10.0387420045691</v>
      </c>
      <c r="AL4739">
        <v>94.696938769110801</v>
      </c>
      <c r="AM4739">
        <v>73.462454015374206</v>
      </c>
      <c r="AN4739">
        <v>1.00000000470768</v>
      </c>
    </row>
    <row r="4740" spans="1:40" x14ac:dyDescent="0.25">
      <c r="A4740" t="str">
        <f>"20190303154232525"</f>
        <v>20190303154232525</v>
      </c>
      <c r="B4740" t="str">
        <f>"1551598952514246"</f>
        <v>1551598952514246</v>
      </c>
      <c r="C4740" t="s">
        <v>40</v>
      </c>
      <c r="D4740">
        <v>6.453659</v>
      </c>
      <c r="E4740">
        <v>0.62519119999999995</v>
      </c>
      <c r="F4740" t="s">
        <v>41</v>
      </c>
      <c r="G4740">
        <v>-193.73849999999999</v>
      </c>
      <c r="H4740" s="1">
        <v>-4.7672860000000001E-6</v>
      </c>
      <c r="I4740">
        <v>199.047</v>
      </c>
      <c r="J4740">
        <v>-193.1371</v>
      </c>
      <c r="K4740">
        <v>1.1071599999999999</v>
      </c>
      <c r="L4740">
        <v>208.8689</v>
      </c>
      <c r="M4740">
        <v>0.5203622</v>
      </c>
      <c r="N4740">
        <v>-1.8378720000000001E-2</v>
      </c>
      <c r="O4740">
        <v>-0.85374799999999995</v>
      </c>
      <c r="P4740">
        <v>0.2666637</v>
      </c>
      <c r="Q4740">
        <v>-9.1788770000000006E-2</v>
      </c>
      <c r="R4740">
        <v>-0.95940899999999996</v>
      </c>
      <c r="S4740">
        <v>-0.15487670000000001</v>
      </c>
      <c r="T4740">
        <v>-0.34683449999999999</v>
      </c>
      <c r="U4740">
        <v>-3.144104</v>
      </c>
      <c r="V4740">
        <v>0.2689821</v>
      </c>
      <c r="W4740">
        <v>-8.3234240000000001E-2</v>
      </c>
      <c r="X4740">
        <v>0.95954189999999995</v>
      </c>
      <c r="Y4740">
        <v>0.56074539999999995</v>
      </c>
      <c r="Z4740">
        <v>5.7534589999999997E-2</v>
      </c>
      <c r="AA4740">
        <v>0.82598689999999997</v>
      </c>
      <c r="AB4740">
        <v>23</v>
      </c>
      <c r="AC4740">
        <v>-0.60139999999998395</v>
      </c>
      <c r="AD4740">
        <v>-1.1071647672859899</v>
      </c>
      <c r="AE4740">
        <v>-9.8218999999999994</v>
      </c>
      <c r="AF4740">
        <v>5.5550165936057203</v>
      </c>
      <c r="AG4740">
        <v>-1.1071647672859899</v>
      </c>
      <c r="AH4740">
        <v>7.9729131892876897</v>
      </c>
      <c r="AI4740">
        <v>96.500118869427496</v>
      </c>
      <c r="AJ4740">
        <v>55.133680129432598</v>
      </c>
      <c r="AK4740">
        <v>9.78015173200661</v>
      </c>
      <c r="AL4740">
        <v>94.774494503550301</v>
      </c>
      <c r="AM4740">
        <v>74.340569740693596</v>
      </c>
      <c r="AN4740">
        <v>0.99999998334219797</v>
      </c>
    </row>
    <row r="4741" spans="1:40" x14ac:dyDescent="0.25">
      <c r="A4741" t="str">
        <f>"20190303154232547"</f>
        <v>20190303154232547</v>
      </c>
      <c r="B4741" t="str">
        <f>"1551598952544503"</f>
        <v>1551598952544503</v>
      </c>
      <c r="C4741" t="s">
        <v>40</v>
      </c>
      <c r="D4741">
        <v>6.4562229999999996</v>
      </c>
      <c r="E4741">
        <v>0.62299640000000001</v>
      </c>
      <c r="F4741" t="s">
        <v>41</v>
      </c>
      <c r="G4741">
        <v>-193.65889999999999</v>
      </c>
      <c r="H4741" s="1">
        <v>-4.7395439999999996E-6</v>
      </c>
      <c r="I4741">
        <v>199.0069</v>
      </c>
      <c r="J4741">
        <v>-193.04089999999999</v>
      </c>
      <c r="K4741">
        <v>1.1073329999999999</v>
      </c>
      <c r="L4741">
        <v>208.6669</v>
      </c>
      <c r="M4741">
        <v>0.50264249999999999</v>
      </c>
      <c r="N4741">
        <v>-1.831961E-2</v>
      </c>
      <c r="O4741">
        <v>-0.86430030000000002</v>
      </c>
      <c r="P4741">
        <v>0.26023459999999998</v>
      </c>
      <c r="Q4741">
        <v>-9.1972780000000004E-2</v>
      </c>
      <c r="R4741">
        <v>-0.96115499999999998</v>
      </c>
      <c r="S4741">
        <v>-0.16610720000000001</v>
      </c>
      <c r="T4741">
        <v>-0.35244039999999999</v>
      </c>
      <c r="U4741">
        <v>-3.1393430000000002</v>
      </c>
      <c r="V4741">
        <v>0.25563669999999999</v>
      </c>
      <c r="W4741">
        <v>-8.284975E-2</v>
      </c>
      <c r="X4741">
        <v>0.96321639999999997</v>
      </c>
      <c r="Y4741">
        <v>0.54662569999999999</v>
      </c>
      <c r="Z4741">
        <v>6.1204359999999999E-2</v>
      </c>
      <c r="AA4741">
        <v>0.83513740000000003</v>
      </c>
      <c r="AB4741">
        <v>23</v>
      </c>
      <c r="AC4741">
        <v>-0.617999999999995</v>
      </c>
      <c r="AD4741">
        <v>-1.1073377395439901</v>
      </c>
      <c r="AE4741">
        <v>-9.6599999999999895</v>
      </c>
      <c r="AF4741">
        <v>5.3209347146946904</v>
      </c>
      <c r="AG4741">
        <v>-1.1073377395439901</v>
      </c>
      <c r="AH4741">
        <v>7.9360001492524503</v>
      </c>
      <c r="AI4741">
        <v>96.610771221450406</v>
      </c>
      <c r="AJ4741">
        <v>56.158911146938699</v>
      </c>
      <c r="AK4741">
        <v>9.6186611062245309</v>
      </c>
      <c r="AL4741">
        <v>94.752388328968905</v>
      </c>
      <c r="AM4741">
        <v>75.136412405949798</v>
      </c>
      <c r="AN4741">
        <v>1.00000001834545</v>
      </c>
    </row>
    <row r="4742" spans="1:40" x14ac:dyDescent="0.25">
      <c r="A4742" t="str">
        <f>"20190303154232570"</f>
        <v>20190303154232570</v>
      </c>
      <c r="B4742" t="str">
        <f>"1551598952564998"</f>
        <v>1551598952564998</v>
      </c>
      <c r="C4742" t="s">
        <v>40</v>
      </c>
      <c r="D4742">
        <v>6.5936170000000001</v>
      </c>
      <c r="E4742">
        <v>0.62190990000000002</v>
      </c>
      <c r="F4742" t="s">
        <v>41</v>
      </c>
      <c r="G4742">
        <v>-193.56970000000001</v>
      </c>
      <c r="H4742" s="1">
        <v>-4.703005E-6</v>
      </c>
      <c r="I4742">
        <v>198.9461</v>
      </c>
      <c r="J4742">
        <v>-192.94120000000001</v>
      </c>
      <c r="K4742">
        <v>1.1075469999999901</v>
      </c>
      <c r="L4742">
        <v>208.446</v>
      </c>
      <c r="M4742">
        <v>0.48342069999999998</v>
      </c>
      <c r="N4742">
        <v>-1.8241609999999998E-2</v>
      </c>
      <c r="O4742">
        <v>-0.87519799999999903</v>
      </c>
      <c r="P4742">
        <v>0.25167529999999999</v>
      </c>
      <c r="Q4742">
        <v>-9.0902460000000004E-2</v>
      </c>
      <c r="R4742">
        <v>-0.96353330000000004</v>
      </c>
      <c r="S4742">
        <v>-0.17045589999999999</v>
      </c>
      <c r="T4742">
        <v>-0.35692160000000001</v>
      </c>
      <c r="U4742">
        <v>-3.1332550000000001</v>
      </c>
      <c r="V4742">
        <v>0.24304829999999999</v>
      </c>
      <c r="W4742">
        <v>-8.1246639999999995E-2</v>
      </c>
      <c r="X4742">
        <v>0.96660570000000001</v>
      </c>
      <c r="Y4742">
        <v>0.52928920000000002</v>
      </c>
      <c r="Z4742">
        <v>6.49256E-2</v>
      </c>
      <c r="AA4742">
        <v>0.84595359999999997</v>
      </c>
      <c r="AB4742">
        <v>23</v>
      </c>
      <c r="AC4742">
        <v>-0.62850000000000195</v>
      </c>
      <c r="AD4742">
        <v>-1.1075517030049999</v>
      </c>
      <c r="AE4742">
        <v>-9.4998999999999896</v>
      </c>
      <c r="AF4742">
        <v>5.0746907516267603</v>
      </c>
      <c r="AG4742">
        <v>-1.1075517030049999</v>
      </c>
      <c r="AH4742">
        <v>7.9048214612385497</v>
      </c>
      <c r="AI4742">
        <v>96.724448288272498</v>
      </c>
      <c r="AJ4742">
        <v>57.300587362066402</v>
      </c>
      <c r="AK4742">
        <v>9.4586129709134994</v>
      </c>
      <c r="AL4742">
        <v>94.660226063767993</v>
      </c>
      <c r="AM4742">
        <v>75.885853570120503</v>
      </c>
      <c r="AN4742">
        <v>1.0000000359583301</v>
      </c>
    </row>
    <row r="4743" spans="1:40" x14ac:dyDescent="0.25">
      <c r="A4743" t="str">
        <f>"20190303154232593"</f>
        <v>20190303154232593</v>
      </c>
      <c r="B4743" t="str">
        <f>"1551598952584521"</f>
        <v>1551598952584521</v>
      </c>
      <c r="C4743" t="s">
        <v>40</v>
      </c>
      <c r="D4743">
        <v>6.3684190000000003</v>
      </c>
      <c r="E4743">
        <v>0.62097119999999995</v>
      </c>
      <c r="F4743" t="s">
        <v>41</v>
      </c>
      <c r="G4743">
        <v>-193.53639999999999</v>
      </c>
      <c r="H4743" s="1">
        <v>-4.590371E-6</v>
      </c>
      <c r="I4743">
        <v>198.63239999999999</v>
      </c>
      <c r="J4743">
        <v>-192.8466</v>
      </c>
      <c r="K4743">
        <v>1.1077699999999999</v>
      </c>
      <c r="L4743">
        <v>208.2243</v>
      </c>
      <c r="M4743">
        <v>0.46432050000000002</v>
      </c>
      <c r="N4743">
        <v>-1.8150909999999999E-2</v>
      </c>
      <c r="O4743">
        <v>-0.88548130000000003</v>
      </c>
      <c r="P4743">
        <v>0.24283260000000001</v>
      </c>
      <c r="Q4743">
        <v>-9.1068490000000002E-2</v>
      </c>
      <c r="R4743">
        <v>-0.96578439999999999</v>
      </c>
      <c r="S4743">
        <v>-0.18984989999999999</v>
      </c>
      <c r="T4743">
        <v>-0.35322930000000002</v>
      </c>
      <c r="U4743">
        <v>-3.129807</v>
      </c>
      <c r="V4743">
        <v>0.2309756</v>
      </c>
      <c r="W4743">
        <v>-8.091856E-2</v>
      </c>
      <c r="X4743">
        <v>0.96958880000000003</v>
      </c>
      <c r="Y4743">
        <v>0.51615619999999995</v>
      </c>
      <c r="Z4743">
        <v>6.6400130000000002E-2</v>
      </c>
      <c r="AA4743">
        <v>0.85391679999999903</v>
      </c>
      <c r="AB4743">
        <v>23</v>
      </c>
      <c r="AC4743">
        <v>-0.68979999999999098</v>
      </c>
      <c r="AD4743">
        <v>-1.1077745903709999</v>
      </c>
      <c r="AE4743">
        <v>-9.5919000000000096</v>
      </c>
      <c r="AF4743">
        <v>4.9990206832161199</v>
      </c>
      <c r="AG4743">
        <v>-1.1077745903709999</v>
      </c>
      <c r="AH4743">
        <v>8.0674552373136006</v>
      </c>
      <c r="AI4743">
        <v>96.657535400689994</v>
      </c>
      <c r="AJ4743">
        <v>58.215461669234301</v>
      </c>
      <c r="AK4743">
        <v>9.5551664737121609</v>
      </c>
      <c r="AL4743">
        <v>94.641366575889293</v>
      </c>
      <c r="AM4743">
        <v>76.600728872967807</v>
      </c>
      <c r="AN4743">
        <v>0.99999999111663596</v>
      </c>
    </row>
    <row r="4744" spans="1:40" x14ac:dyDescent="0.25">
      <c r="A4744" t="str">
        <f>"20190303154232614"</f>
        <v>20190303154232614</v>
      </c>
      <c r="B4744" t="str">
        <f>"1551598952605017"</f>
        <v>1551598952605017</v>
      </c>
      <c r="C4744" t="s">
        <v>40</v>
      </c>
      <c r="D4744">
        <v>6.3719260000000002</v>
      </c>
      <c r="E4744">
        <v>0.61989380000000005</v>
      </c>
      <c r="F4744" t="s">
        <v>41</v>
      </c>
      <c r="G4744">
        <v>-193.51089999999999</v>
      </c>
      <c r="H4744" s="1">
        <v>-4.5038199999999997E-6</v>
      </c>
      <c r="I4744">
        <v>198.3914</v>
      </c>
      <c r="J4744">
        <v>-192.76089999999999</v>
      </c>
      <c r="K4744">
        <v>1.108012</v>
      </c>
      <c r="L4744">
        <v>208.01159999999999</v>
      </c>
      <c r="M4744">
        <v>0.44620460000000001</v>
      </c>
      <c r="N4744">
        <v>-1.8054359999999998E-2</v>
      </c>
      <c r="O4744">
        <v>-0.89474889999999996</v>
      </c>
      <c r="P4744">
        <v>0.23372270000000001</v>
      </c>
      <c r="Q4744">
        <v>-9.2166419999999999E-2</v>
      </c>
      <c r="R4744">
        <v>-0.96792520000000004</v>
      </c>
      <c r="S4744">
        <v>-0.21119689999999999</v>
      </c>
      <c r="T4744">
        <v>-0.35219909999999999</v>
      </c>
      <c r="U4744">
        <v>-3.1261899999999998</v>
      </c>
      <c r="V4744">
        <v>0.22034989999999999</v>
      </c>
      <c r="W4744">
        <v>-8.1596139999999998E-2</v>
      </c>
      <c r="X4744">
        <v>0.97200200000000003</v>
      </c>
      <c r="Y4744">
        <v>0.50458840000000005</v>
      </c>
      <c r="Z4744">
        <v>6.8250920000000007E-2</v>
      </c>
      <c r="AA4744">
        <v>0.86065809999999998</v>
      </c>
      <c r="AB4744">
        <v>23</v>
      </c>
      <c r="AC4744">
        <v>-0.75</v>
      </c>
      <c r="AD4744">
        <v>-1.1080165038200001</v>
      </c>
      <c r="AE4744">
        <v>-9.6201999999999792</v>
      </c>
      <c r="AF4744">
        <v>4.8998418184113</v>
      </c>
      <c r="AG4744">
        <v>-1.1080165038200001</v>
      </c>
      <c r="AH4744">
        <v>8.1666774291847997</v>
      </c>
      <c r="AI4744">
        <v>96.636052594587497</v>
      </c>
      <c r="AJ4744">
        <v>59.037092795388801</v>
      </c>
      <c r="AK4744">
        <v>9.5880535381560197</v>
      </c>
      <c r="AL4744">
        <v>94.680318058257399</v>
      </c>
      <c r="AM4744">
        <v>77.227106500063002</v>
      </c>
      <c r="AN4744">
        <v>0.99999994824845295</v>
      </c>
    </row>
    <row r="4745" spans="1:40" x14ac:dyDescent="0.25">
      <c r="A4745" t="str">
        <f>"20190303154232637"</f>
        <v>20190303154232637</v>
      </c>
      <c r="B4745" t="str">
        <f>"1551598952634294"</f>
        <v>1551598952634294</v>
      </c>
      <c r="C4745" t="s">
        <v>40</v>
      </c>
      <c r="D4745">
        <v>5.8620080000000003</v>
      </c>
      <c r="E4745">
        <v>0.61943609999999905</v>
      </c>
      <c r="F4745" t="s">
        <v>41</v>
      </c>
      <c r="G4745">
        <v>-193.48429999999999</v>
      </c>
      <c r="H4745" s="1">
        <v>-4.4617669999999999E-6</v>
      </c>
      <c r="I4745">
        <v>198.2817</v>
      </c>
      <c r="J4745">
        <v>-192.6773</v>
      </c>
      <c r="K4745">
        <v>1.108276</v>
      </c>
      <c r="L4745">
        <v>207.7919</v>
      </c>
      <c r="M4745">
        <v>0.42771150000000002</v>
      </c>
      <c r="N4745">
        <v>-1.794714E-2</v>
      </c>
      <c r="O4745">
        <v>-0.90373720000000002</v>
      </c>
      <c r="P4745">
        <v>0.22258510000000001</v>
      </c>
      <c r="Q4745">
        <v>-9.2480580000000007E-2</v>
      </c>
      <c r="R4745">
        <v>-0.97051750000000003</v>
      </c>
      <c r="S4745">
        <v>-0.23210140000000001</v>
      </c>
      <c r="T4745">
        <v>-0.3554776</v>
      </c>
      <c r="U4745">
        <v>-3.121597</v>
      </c>
      <c r="V4745">
        <v>0.211565</v>
      </c>
      <c r="W4745">
        <v>-8.1569030000000001E-2</v>
      </c>
      <c r="X4745">
        <v>0.97395419999999999</v>
      </c>
      <c r="Y4745">
        <v>0.49263020000000002</v>
      </c>
      <c r="Z4745">
        <v>7.1161580000000002E-2</v>
      </c>
      <c r="AA4745">
        <v>0.8673244</v>
      </c>
      <c r="AB4745">
        <v>23</v>
      </c>
      <c r="AC4745">
        <v>-0.80699999999998795</v>
      </c>
      <c r="AD4745">
        <v>-1.1082804617669999</v>
      </c>
      <c r="AE4745">
        <v>-9.5101999999999904</v>
      </c>
      <c r="AF4745">
        <v>4.7338806991842004</v>
      </c>
      <c r="AG4745">
        <v>-1.1082804617669999</v>
      </c>
      <c r="AH4745">
        <v>8.1411155199872205</v>
      </c>
      <c r="AI4745">
        <v>96.711944729967897</v>
      </c>
      <c r="AJ4745">
        <v>59.822934930014398</v>
      </c>
      <c r="AK4745">
        <v>9.4823875667376001</v>
      </c>
      <c r="AL4745">
        <v>94.678759239054401</v>
      </c>
      <c r="AM4745">
        <v>77.744448786622002</v>
      </c>
      <c r="AN4745">
        <v>1.0000000197888901</v>
      </c>
    </row>
    <row r="4746" spans="1:40" x14ac:dyDescent="0.25">
      <c r="A4746" t="str">
        <f>"20190303154232660"</f>
        <v>20190303154232660</v>
      </c>
      <c r="B4746" t="str">
        <f>"1551598952654791"</f>
        <v>1551598952654791</v>
      </c>
      <c r="C4746" t="s">
        <v>40</v>
      </c>
      <c r="D4746">
        <v>5.7079529999999998</v>
      </c>
      <c r="E4746">
        <v>0.62046639999999997</v>
      </c>
      <c r="F4746" t="s">
        <v>41</v>
      </c>
      <c r="G4746">
        <v>-193.5189</v>
      </c>
      <c r="H4746" s="1">
        <v>-4.321758E-6</v>
      </c>
      <c r="I4746">
        <v>197.85220000000001</v>
      </c>
      <c r="J4746">
        <v>-192.59549999999999</v>
      </c>
      <c r="K4746">
        <v>1.1085529999999999</v>
      </c>
      <c r="L4746">
        <v>207.5624</v>
      </c>
      <c r="M4746">
        <v>0.40868270000000001</v>
      </c>
      <c r="N4746">
        <v>-1.782868E-2</v>
      </c>
      <c r="O4746">
        <v>-0.91250249999999999</v>
      </c>
      <c r="P4746">
        <v>0.20422219999999999</v>
      </c>
      <c r="Q4746">
        <v>-9.1105649999999996E-2</v>
      </c>
      <c r="R4746">
        <v>-0.97467619999999999</v>
      </c>
      <c r="S4746">
        <v>-0.2640381</v>
      </c>
      <c r="T4746">
        <v>-0.34772409999999998</v>
      </c>
      <c r="U4746">
        <v>-3.1185610000000001</v>
      </c>
      <c r="V4746">
        <v>0.20969399999999999</v>
      </c>
      <c r="W4746">
        <v>-8.0102209999999993E-2</v>
      </c>
      <c r="X4746">
        <v>0.97448040000000002</v>
      </c>
      <c r="Y4746">
        <v>0.48331819999999998</v>
      </c>
      <c r="Z4746">
        <v>7.111642E-2</v>
      </c>
      <c r="AA4746">
        <v>0.87255139999999998</v>
      </c>
      <c r="AB4746">
        <v>23</v>
      </c>
      <c r="AC4746">
        <v>-0.92340000000001499</v>
      </c>
      <c r="AD4746">
        <v>-1.108557321758</v>
      </c>
      <c r="AE4746">
        <v>-9.7101999999999808</v>
      </c>
      <c r="AF4746">
        <v>4.7504005194161296</v>
      </c>
      <c r="AG4746">
        <v>-1.108557321758</v>
      </c>
      <c r="AH4746">
        <v>8.3763572377758209</v>
      </c>
      <c r="AI4746">
        <v>96.566952484015204</v>
      </c>
      <c r="AJ4746">
        <v>60.441556619972097</v>
      </c>
      <c r="AK4746">
        <v>9.6932226326094302</v>
      </c>
      <c r="AL4746">
        <v>94.594440820265802</v>
      </c>
      <c r="AM4746">
        <v>77.855964367624495</v>
      </c>
      <c r="AN4746">
        <v>0.99999999383352201</v>
      </c>
    </row>
    <row r="4747" spans="1:40" x14ac:dyDescent="0.25">
      <c r="A4747" t="str">
        <f>"20190303154232683"</f>
        <v>20190303154232683</v>
      </c>
      <c r="B4747" t="str">
        <f>"1551598952674310"</f>
        <v>1551598952674310</v>
      </c>
      <c r="C4747" t="s">
        <v>40</v>
      </c>
      <c r="D4747">
        <v>6.3813180000000003</v>
      </c>
      <c r="E4747">
        <v>0.61956880000000003</v>
      </c>
      <c r="F4747" t="s">
        <v>41</v>
      </c>
      <c r="G4747">
        <v>-193.715</v>
      </c>
      <c r="H4747" s="1">
        <v>-4.0646449999999998E-6</v>
      </c>
      <c r="I4747">
        <v>196.99449999999999</v>
      </c>
      <c r="J4747">
        <v>-192.5196</v>
      </c>
      <c r="K4747">
        <v>1.1088020000000001</v>
      </c>
      <c r="L4747">
        <v>207.33619999999999</v>
      </c>
      <c r="M4747">
        <v>0.39013599999999998</v>
      </c>
      <c r="N4747">
        <v>-1.771199E-2</v>
      </c>
      <c r="O4747">
        <v>-0.92058700000000004</v>
      </c>
      <c r="P4747">
        <v>0.18980639999999999</v>
      </c>
      <c r="Q4747">
        <v>-9.0945390000000001E-2</v>
      </c>
      <c r="R4747">
        <v>-0.97760049999999998</v>
      </c>
      <c r="S4747">
        <v>-0.33015440000000001</v>
      </c>
      <c r="T4747">
        <v>-0.3269242</v>
      </c>
      <c r="U4747">
        <v>-3.1165769999999999</v>
      </c>
      <c r="V4747">
        <v>0.20442859999999999</v>
      </c>
      <c r="W4747">
        <v>-7.9753009999999999E-2</v>
      </c>
      <c r="X4747">
        <v>0.97562720000000003</v>
      </c>
      <c r="Y4747">
        <v>0.48409190000000002</v>
      </c>
      <c r="Z4747">
        <v>6.7083899999999905E-2</v>
      </c>
      <c r="AA4747">
        <v>0.87244179999999905</v>
      </c>
      <c r="AB4747">
        <v>23</v>
      </c>
      <c r="AC4747">
        <v>-1.1954</v>
      </c>
      <c r="AD4747">
        <v>-1.108806064645</v>
      </c>
      <c r="AE4747">
        <v>-10.341699999999999</v>
      </c>
      <c r="AF4747">
        <v>5.07833600665509</v>
      </c>
      <c r="AG4747">
        <v>-1.108806064645</v>
      </c>
      <c r="AH4747">
        <v>8.9539130023718201</v>
      </c>
      <c r="AI4747">
        <v>96.147970225710097</v>
      </c>
      <c r="AJ4747">
        <v>60.439658661304101</v>
      </c>
      <c r="AK4747">
        <v>10.3533330642613</v>
      </c>
      <c r="AL4747">
        <v>94.574368823654495</v>
      </c>
      <c r="AM4747">
        <v>78.165709288913703</v>
      </c>
      <c r="AN4747">
        <v>1.00000001424093</v>
      </c>
    </row>
    <row r="4748" spans="1:40" x14ac:dyDescent="0.25">
      <c r="A4748" t="str">
        <f>"20190303154232704"</f>
        <v>20190303154232704</v>
      </c>
      <c r="B4748" t="str">
        <f>"1551598952694806"</f>
        <v>1551598952694806</v>
      </c>
      <c r="C4748" t="s">
        <v>40</v>
      </c>
      <c r="D4748">
        <v>6.3713189999999997</v>
      </c>
      <c r="E4748">
        <v>0.61858250000000004</v>
      </c>
      <c r="F4748" t="s">
        <v>41</v>
      </c>
      <c r="G4748">
        <v>-193.77109999999999</v>
      </c>
      <c r="H4748" s="1">
        <v>-4.0042669999999997E-6</v>
      </c>
      <c r="I4748">
        <v>196.7878</v>
      </c>
      <c r="J4748">
        <v>-192.45249999999999</v>
      </c>
      <c r="K4748">
        <v>1.1090230000000001</v>
      </c>
      <c r="L4748">
        <v>207.12350000000001</v>
      </c>
      <c r="M4748">
        <v>0.372894</v>
      </c>
      <c r="N4748">
        <v>-1.7604689999999999E-2</v>
      </c>
      <c r="O4748">
        <v>-0.92770699999999995</v>
      </c>
      <c r="P4748">
        <v>0.17641270000000001</v>
      </c>
      <c r="Q4748">
        <v>-9.1298190000000001E-2</v>
      </c>
      <c r="R4748">
        <v>-0.98007319999999998</v>
      </c>
      <c r="S4748">
        <v>-0.36898799999999998</v>
      </c>
      <c r="T4748">
        <v>-0.32690740000000001</v>
      </c>
      <c r="U4748">
        <v>-3.1099700000000001</v>
      </c>
      <c r="V4748">
        <v>0.19959840000000001</v>
      </c>
      <c r="W4748">
        <v>-7.9945420000000003E-2</v>
      </c>
      <c r="X4748">
        <v>0.97661109999999896</v>
      </c>
      <c r="Y4748">
        <v>0.47872500000000001</v>
      </c>
      <c r="Z4748">
        <v>6.8549559999999995E-2</v>
      </c>
      <c r="AA4748">
        <v>0.87528470000000003</v>
      </c>
      <c r="AB4748">
        <v>23</v>
      </c>
      <c r="AC4748">
        <v>-1.3186</v>
      </c>
      <c r="AD4748">
        <v>-1.1090270042669901</v>
      </c>
      <c r="AE4748">
        <v>-10.335699999999999</v>
      </c>
      <c r="AF4748">
        <v>5.0212951901247402</v>
      </c>
      <c r="AG4748">
        <v>-1.1090270042669901</v>
      </c>
      <c r="AH4748">
        <v>8.9962932797803106</v>
      </c>
      <c r="AI4748">
        <v>96.143876198408293</v>
      </c>
      <c r="AJ4748">
        <v>60.8318609871136</v>
      </c>
      <c r="AK4748">
        <v>10.362269976138601</v>
      </c>
      <c r="AL4748">
        <v>94.585428409924106</v>
      </c>
      <c r="AM4748">
        <v>78.449046175644796</v>
      </c>
      <c r="AN4748">
        <v>1.0000000160523701</v>
      </c>
    </row>
    <row r="4749" spans="1:40" x14ac:dyDescent="0.25">
      <c r="A4749" t="str">
        <f>"20190303154232727"</f>
        <v>20190303154232727</v>
      </c>
      <c r="B4749" t="str">
        <f>"1551598952714326"</f>
        <v>1551598952714326</v>
      </c>
      <c r="C4749" t="s">
        <v>40</v>
      </c>
      <c r="D4749">
        <v>6.3726260000000003</v>
      </c>
      <c r="E4749">
        <v>0.6174347</v>
      </c>
      <c r="F4749" t="s">
        <v>41</v>
      </c>
      <c r="G4749">
        <v>-193.81489999999999</v>
      </c>
      <c r="H4749" s="1">
        <v>-3.9660389999999998E-6</v>
      </c>
      <c r="I4749">
        <v>196.65260000000001</v>
      </c>
      <c r="J4749">
        <v>-192.38640000000001</v>
      </c>
      <c r="K4749">
        <v>1.1092439999999999</v>
      </c>
      <c r="L4749">
        <v>206.90049999999999</v>
      </c>
      <c r="M4749">
        <v>0.35504419999999998</v>
      </c>
      <c r="N4749">
        <v>-1.749353E-2</v>
      </c>
      <c r="O4749">
        <v>-0.93468609999999996</v>
      </c>
      <c r="P4749">
        <v>0.16171629999999901</v>
      </c>
      <c r="Q4749">
        <v>-9.1392000000000001E-2</v>
      </c>
      <c r="R4749">
        <v>-0.98259669999999999</v>
      </c>
      <c r="S4749">
        <v>-0.40376279999999998</v>
      </c>
      <c r="T4749">
        <v>-0.32866319999999999</v>
      </c>
      <c r="U4749">
        <v>-3.1030579999999999</v>
      </c>
      <c r="V4749">
        <v>0.19554260000000001</v>
      </c>
      <c r="W4749">
        <v>-7.9912029999999995E-2</v>
      </c>
      <c r="X4749">
        <v>0.97743400000000003</v>
      </c>
      <c r="Y4749">
        <v>0.47177629999999998</v>
      </c>
      <c r="Z4749">
        <v>7.0536230000000005E-2</v>
      </c>
      <c r="AA4749">
        <v>0.87889240000000002</v>
      </c>
      <c r="AB4749">
        <v>23</v>
      </c>
      <c r="AC4749">
        <v>-1.4284999999999799</v>
      </c>
      <c r="AD4749">
        <v>-1.109247966039</v>
      </c>
      <c r="AE4749">
        <v>-10.2478999999999</v>
      </c>
      <c r="AF4749">
        <v>4.9178955764349102</v>
      </c>
      <c r="AG4749">
        <v>-1.109247966039</v>
      </c>
      <c r="AH4749">
        <v>8.9696873107932795</v>
      </c>
      <c r="AI4749">
        <v>96.188804153222094</v>
      </c>
      <c r="AJ4749">
        <v>61.264944931879697</v>
      </c>
      <c r="AK4749">
        <v>10.2893837718439</v>
      </c>
      <c r="AL4749">
        <v>94.583509087143895</v>
      </c>
      <c r="AM4749">
        <v>78.6869224489852</v>
      </c>
      <c r="AN4749">
        <v>1.00000003265474</v>
      </c>
    </row>
    <row r="4750" spans="1:40" x14ac:dyDescent="0.25">
      <c r="A4750" t="str">
        <f>"20190303154232749"</f>
        <v>20190303154232749</v>
      </c>
      <c r="B4750" t="str">
        <f>"1551598952744583"</f>
        <v>1551598952744583</v>
      </c>
      <c r="C4750" t="s">
        <v>40</v>
      </c>
      <c r="D4750">
        <v>6.0332030000000003</v>
      </c>
      <c r="E4750">
        <v>0.61694749999999998</v>
      </c>
      <c r="F4750" t="s">
        <v>41</v>
      </c>
      <c r="G4750">
        <v>-193.8623</v>
      </c>
      <c r="H4750" s="1">
        <v>-3.9381039999999997E-6</v>
      </c>
      <c r="I4750">
        <v>196.54589999999999</v>
      </c>
      <c r="J4750">
        <v>-192.32400000000001</v>
      </c>
      <c r="K4750">
        <v>1.10947</v>
      </c>
      <c r="L4750">
        <v>206.67449999999999</v>
      </c>
      <c r="M4750">
        <v>0.3371924</v>
      </c>
      <c r="N4750">
        <v>-1.7379780000000001E-2</v>
      </c>
      <c r="O4750">
        <v>-0.94127539999999998</v>
      </c>
      <c r="P4750">
        <v>0.1470987</v>
      </c>
      <c r="Q4750">
        <v>-9.0684600000000004E-2</v>
      </c>
      <c r="R4750">
        <v>-0.9849561</v>
      </c>
      <c r="S4750">
        <v>-0.44111630000000002</v>
      </c>
      <c r="T4750">
        <v>-0.33154240000000001</v>
      </c>
      <c r="U4750">
        <v>-3.094894</v>
      </c>
      <c r="V4750">
        <v>0.1915501</v>
      </c>
      <c r="W4750">
        <v>-7.9085349999999999E-2</v>
      </c>
      <c r="X4750">
        <v>0.97829140000000003</v>
      </c>
      <c r="Y4750">
        <v>0.465694</v>
      </c>
      <c r="Z4750">
        <v>7.2785680000000005E-2</v>
      </c>
      <c r="AA4750">
        <v>0.8819475</v>
      </c>
      <c r="AB4750">
        <v>22</v>
      </c>
      <c r="AC4750">
        <v>-1.53829999999999</v>
      </c>
      <c r="AD4750">
        <v>-1.109473938104</v>
      </c>
      <c r="AE4750">
        <v>-10.1286</v>
      </c>
      <c r="AF4750">
        <v>4.8076006647793799</v>
      </c>
      <c r="AG4750">
        <v>-1.109473938104</v>
      </c>
      <c r="AH4750">
        <v>8.9119390854724401</v>
      </c>
      <c r="AI4750">
        <v>96.252782313106806</v>
      </c>
      <c r="AJ4750">
        <v>61.655082970867099</v>
      </c>
      <c r="AK4750">
        <v>10.1865899512295</v>
      </c>
      <c r="AL4750">
        <v>94.535993579742794</v>
      </c>
      <c r="AM4750">
        <v>78.921603789425006</v>
      </c>
      <c r="AN4750">
        <v>0.99999999835429598</v>
      </c>
    </row>
    <row r="4751" spans="1:40" x14ac:dyDescent="0.25">
      <c r="A4751" t="str">
        <f>"20190303154232770"</f>
        <v>20190303154232770</v>
      </c>
      <c r="B4751" t="str">
        <f>"1551598952764102"</f>
        <v>1551598952764102</v>
      </c>
      <c r="C4751" t="s">
        <v>40</v>
      </c>
      <c r="D4751">
        <v>6.0751600000000003</v>
      </c>
      <c r="E4751">
        <v>0.61608359999999995</v>
      </c>
      <c r="F4751" t="s">
        <v>41</v>
      </c>
      <c r="G4751">
        <v>-193.9639</v>
      </c>
      <c r="H4751" s="1">
        <v>-3.8340339999999997E-6</v>
      </c>
      <c r="I4751">
        <v>196.18709999999999</v>
      </c>
      <c r="J4751">
        <v>-192.2663</v>
      </c>
      <c r="K4751">
        <v>1.109694</v>
      </c>
      <c r="L4751">
        <v>206.45070000000001</v>
      </c>
      <c r="M4751">
        <v>0.31973200000000002</v>
      </c>
      <c r="N4751">
        <v>-1.726604E-2</v>
      </c>
      <c r="O4751">
        <v>-0.94735069999999999</v>
      </c>
      <c r="P4751">
        <v>0.1327594</v>
      </c>
      <c r="Q4751">
        <v>-8.9659290000000003E-2</v>
      </c>
      <c r="R4751">
        <v>-0.98708490000000004</v>
      </c>
      <c r="S4751">
        <v>-0.48286440000000003</v>
      </c>
      <c r="T4751">
        <v>-0.3266674</v>
      </c>
      <c r="U4751">
        <v>-3.0878749999999999</v>
      </c>
      <c r="V4751">
        <v>0.1877904</v>
      </c>
      <c r="W4751">
        <v>-7.7953469999999997E-2</v>
      </c>
      <c r="X4751">
        <v>0.97911079999999995</v>
      </c>
      <c r="Y4751">
        <v>0.46130450000000001</v>
      </c>
      <c r="Z4751">
        <v>7.2754159999999998E-2</v>
      </c>
      <c r="AA4751">
        <v>0.88425390000000004</v>
      </c>
      <c r="AB4751">
        <v>22</v>
      </c>
      <c r="AC4751">
        <v>-1.69759999999999</v>
      </c>
      <c r="AD4751">
        <v>-1.109697834034</v>
      </c>
      <c r="AE4751">
        <v>-10.2636</v>
      </c>
      <c r="AF4751">
        <v>4.8355313479001696</v>
      </c>
      <c r="AG4751">
        <v>-1.109697834034</v>
      </c>
      <c r="AH4751">
        <v>9.0785194685859398</v>
      </c>
      <c r="AI4751">
        <v>96.157496852395496</v>
      </c>
      <c r="AJ4751">
        <v>61.958701814569601</v>
      </c>
      <c r="AK4751">
        <v>10.3456903317699</v>
      </c>
      <c r="AL4751">
        <v>94.470940919081301</v>
      </c>
      <c r="AM4751">
        <v>79.142699042386496</v>
      </c>
      <c r="AN4751">
        <v>0.99999996824691995</v>
      </c>
    </row>
    <row r="4752" spans="1:40" x14ac:dyDescent="0.25">
      <c r="A4752" t="str">
        <f>"20190303154232795"</f>
        <v>20190303154232795</v>
      </c>
      <c r="B4752" t="str">
        <f>"1551598952784601"</f>
        <v>1551598952784601</v>
      </c>
      <c r="C4752" t="s">
        <v>40</v>
      </c>
      <c r="D4752">
        <v>6.1258509999999999</v>
      </c>
      <c r="E4752">
        <v>0.61546889999999999</v>
      </c>
      <c r="F4752" t="s">
        <v>41</v>
      </c>
      <c r="G4752">
        <v>-194.05529999999999</v>
      </c>
      <c r="H4752" s="1">
        <v>-3.7424879999999998E-6</v>
      </c>
      <c r="I4752">
        <v>195.87039999999999</v>
      </c>
      <c r="J4752">
        <v>-192.2088</v>
      </c>
      <c r="K4752">
        <v>1.109918</v>
      </c>
      <c r="L4752">
        <v>206.21039999999999</v>
      </c>
      <c r="M4752">
        <v>0.30121589999999998</v>
      </c>
      <c r="N4752">
        <v>-1.7146020000000001E-2</v>
      </c>
      <c r="O4752">
        <v>-0.95340190000000002</v>
      </c>
      <c r="P4752">
        <v>0.1173936</v>
      </c>
      <c r="Q4752">
        <v>-8.8377289999999997E-2</v>
      </c>
      <c r="R4752">
        <v>-0.98914559999999996</v>
      </c>
      <c r="S4752">
        <v>-0.52079770000000003</v>
      </c>
      <c r="T4752">
        <v>-0.32303769999999998</v>
      </c>
      <c r="U4752">
        <v>-3.079971</v>
      </c>
      <c r="V4752">
        <v>0.18405530000000001</v>
      </c>
      <c r="W4752">
        <v>-7.6569590000000007E-2</v>
      </c>
      <c r="X4752">
        <v>0.97992900000000005</v>
      </c>
      <c r="Y4752">
        <v>0.4549938</v>
      </c>
      <c r="Z4752">
        <v>7.3125839999999998E-2</v>
      </c>
      <c r="AA4752">
        <v>0.88748709999999997</v>
      </c>
      <c r="AB4752">
        <v>22</v>
      </c>
      <c r="AC4752">
        <v>-1.84649999999999</v>
      </c>
      <c r="AD4752">
        <v>-1.1099217424879999</v>
      </c>
      <c r="AE4752">
        <v>-10.34</v>
      </c>
      <c r="AF4752">
        <v>4.8219023964046501</v>
      </c>
      <c r="AG4752">
        <v>-1.1099217424879999</v>
      </c>
      <c r="AH4752">
        <v>9.2006102666995897</v>
      </c>
      <c r="AI4752">
        <v>96.098957794350298</v>
      </c>
      <c r="AJ4752">
        <v>62.341637909735098</v>
      </c>
      <c r="AK4752">
        <v>10.4467171051291</v>
      </c>
      <c r="AL4752">
        <v>94.391412344731293</v>
      </c>
      <c r="AM4752">
        <v>79.362349413812296</v>
      </c>
      <c r="AN4752">
        <v>1.0000000503059201</v>
      </c>
    </row>
    <row r="4753" spans="1:40" x14ac:dyDescent="0.25">
      <c r="A4753" t="str">
        <f>"20190303154232808"</f>
        <v>20190303154232808</v>
      </c>
      <c r="B4753" t="str">
        <f>"1551598952805094"</f>
        <v>1551598952805094</v>
      </c>
      <c r="C4753" t="s">
        <v>40</v>
      </c>
      <c r="D4753">
        <v>6.3360580000000004</v>
      </c>
      <c r="E4753">
        <v>0.57538009999999995</v>
      </c>
      <c r="F4753" t="s">
        <v>41</v>
      </c>
      <c r="G4753">
        <v>-194.1927</v>
      </c>
      <c r="H4753" s="1">
        <v>-3.6061819999999998E-6</v>
      </c>
      <c r="I4753">
        <v>195.39830000000001</v>
      </c>
      <c r="J4753">
        <v>-192.17750000000001</v>
      </c>
      <c r="K4753">
        <v>1.1100509999999999</v>
      </c>
      <c r="L4753">
        <v>206.06880000000001</v>
      </c>
      <c r="M4753">
        <v>0.29044910000000002</v>
      </c>
      <c r="N4753">
        <v>-1.7076850000000001E-2</v>
      </c>
      <c r="O4753">
        <v>-0.95673819999999998</v>
      </c>
      <c r="P4753">
        <v>0.10821509999999999</v>
      </c>
      <c r="Q4753">
        <v>-8.8284979999999999E-2</v>
      </c>
      <c r="R4753">
        <v>-0.99019990000000002</v>
      </c>
      <c r="S4753">
        <v>-0.56359859999999995</v>
      </c>
      <c r="T4753">
        <v>-0.31532080000000001</v>
      </c>
      <c r="U4753">
        <v>-3.0716399999999999</v>
      </c>
      <c r="V4753">
        <v>0.1821265</v>
      </c>
      <c r="W4753">
        <v>-7.6428869999999996E-2</v>
      </c>
      <c r="X4753">
        <v>0.98030019999999995</v>
      </c>
      <c r="Y4753">
        <v>0.45738319999999999</v>
      </c>
      <c r="Z4753">
        <v>7.1604360000000006E-2</v>
      </c>
      <c r="AA4753">
        <v>0.88638220000000001</v>
      </c>
      <c r="AB4753">
        <v>22</v>
      </c>
      <c r="AC4753">
        <v>-2.0151999999999899</v>
      </c>
      <c r="AD4753">
        <v>-1.110054606182</v>
      </c>
      <c r="AE4753">
        <v>-10.670500000000001</v>
      </c>
      <c r="AF4753">
        <v>4.9759913751319003</v>
      </c>
      <c r="AG4753">
        <v>-1.110054606182</v>
      </c>
      <c r="AH4753">
        <v>9.5254273397117508</v>
      </c>
      <c r="AI4753">
        <v>95.897247632645104</v>
      </c>
      <c r="AJ4753">
        <v>62.417867448920497</v>
      </c>
      <c r="AK4753">
        <v>10.8040028414574</v>
      </c>
      <c r="AL4753">
        <v>94.383326391861203</v>
      </c>
      <c r="AM4753">
        <v>79.475218545962704</v>
      </c>
      <c r="AN4753">
        <v>0.99999995814588205</v>
      </c>
    </row>
    <row r="4754" spans="1:40" x14ac:dyDescent="0.25">
      <c r="A4754" t="str">
        <f>"20190303154232827"</f>
        <v>20190303154232827</v>
      </c>
      <c r="B4754" t="str">
        <f>"1551598952824615"</f>
        <v>1551598952824615</v>
      </c>
      <c r="C4754" t="s">
        <v>40</v>
      </c>
      <c r="D4754">
        <v>6.2660369999999999</v>
      </c>
      <c r="E4754">
        <v>0.574627</v>
      </c>
      <c r="F4754" t="s">
        <v>41</v>
      </c>
      <c r="G4754">
        <v>-193.1832</v>
      </c>
      <c r="H4754" s="1">
        <v>-3.1424679999999999E-6</v>
      </c>
      <c r="I4754">
        <v>194.93989999999999</v>
      </c>
      <c r="J4754">
        <v>-192.13800000000001</v>
      </c>
      <c r="K4754">
        <v>1.110222</v>
      </c>
      <c r="L4754">
        <v>205.88069999999999</v>
      </c>
      <c r="M4754">
        <v>0.27622940000000001</v>
      </c>
      <c r="N4754">
        <v>-1.698819E-2</v>
      </c>
      <c r="O4754">
        <v>-0.96094170000000001</v>
      </c>
      <c r="P4754">
        <v>9.7969379999999995E-2</v>
      </c>
      <c r="Q4754">
        <v>-8.7640659999999995E-2</v>
      </c>
      <c r="R4754">
        <v>-0.99132319999999996</v>
      </c>
      <c r="S4754">
        <v>-0.2740631</v>
      </c>
      <c r="T4754">
        <v>-0.30249239999999999</v>
      </c>
      <c r="U4754">
        <v>-3.032654</v>
      </c>
      <c r="V4754">
        <v>0.1777937</v>
      </c>
      <c r="W4754">
        <v>-7.5668330000000006E-2</v>
      </c>
      <c r="X4754">
        <v>0.98115430000000003</v>
      </c>
      <c r="Y4754">
        <v>0.36099360000000003</v>
      </c>
      <c r="Z4754">
        <v>7.2779709999999997E-2</v>
      </c>
      <c r="AA4754">
        <v>0.92972399999999999</v>
      </c>
      <c r="AB4754">
        <v>22</v>
      </c>
      <c r="AC4754">
        <v>-1.0451999999999899</v>
      </c>
      <c r="AD4754">
        <v>-1.1102251424680001</v>
      </c>
      <c r="AE4754">
        <v>-10.9407999999999</v>
      </c>
      <c r="AF4754">
        <v>3.9864491037226899</v>
      </c>
      <c r="AG4754">
        <v>-1.1102251424680001</v>
      </c>
      <c r="AH4754">
        <v>10.122934239376001</v>
      </c>
      <c r="AI4754">
        <v>95.826667522378003</v>
      </c>
      <c r="AJ4754">
        <v>68.505295511342794</v>
      </c>
      <c r="AK4754">
        <v>10.9360950040803</v>
      </c>
      <c r="AL4754">
        <v>94.339623795418206</v>
      </c>
      <c r="AM4754">
        <v>79.728960154805605</v>
      </c>
      <c r="AN4754">
        <v>1.00000002816658</v>
      </c>
    </row>
    <row r="4755" spans="1:40" x14ac:dyDescent="0.25">
      <c r="A4755" t="str">
        <f>"20190303154232844"</f>
        <v>20190303154232844</v>
      </c>
      <c r="B4755" t="str">
        <f>"1551598952834374"</f>
        <v>1551598952834374</v>
      </c>
      <c r="C4755" t="s">
        <v>40</v>
      </c>
      <c r="D4755">
        <v>6.2707459999999999</v>
      </c>
      <c r="E4755">
        <v>0.56993959999999999</v>
      </c>
      <c r="F4755" t="s">
        <v>41</v>
      </c>
      <c r="G4755">
        <v>-193.35749999999999</v>
      </c>
      <c r="H4755" s="1">
        <v>-2.5677290000000002E-6</v>
      </c>
      <c r="I4755">
        <v>193.4922</v>
      </c>
      <c r="J4755">
        <v>-192.1063</v>
      </c>
      <c r="K4755">
        <v>1.11036</v>
      </c>
      <c r="L4755">
        <v>205.71940000000001</v>
      </c>
      <c r="M4755">
        <v>0.26414189999999999</v>
      </c>
      <c r="N4755">
        <v>-1.6915070000000001E-2</v>
      </c>
      <c r="O4755">
        <v>-0.96433559999999996</v>
      </c>
      <c r="P4755">
        <v>8.8106829999999997E-2</v>
      </c>
      <c r="Q4755">
        <v>-8.7166010000000002E-2</v>
      </c>
      <c r="R4755">
        <v>-0.99229000000000001</v>
      </c>
      <c r="S4755">
        <v>-0.29843140000000001</v>
      </c>
      <c r="T4755">
        <v>-0.27169759999999998</v>
      </c>
      <c r="U4755">
        <v>-3.0317539999999998</v>
      </c>
      <c r="V4755">
        <v>0.17528050000000001</v>
      </c>
      <c r="W4755">
        <v>-7.5132820000000003E-2</v>
      </c>
      <c r="X4755">
        <v>0.98164750000000001</v>
      </c>
      <c r="Y4755">
        <v>0.35682259999999999</v>
      </c>
      <c r="Z4755">
        <v>6.4270540000000001E-2</v>
      </c>
      <c r="AA4755">
        <v>0.93195870000000003</v>
      </c>
      <c r="AB4755">
        <v>22</v>
      </c>
      <c r="AC4755">
        <v>-1.2511999999999801</v>
      </c>
      <c r="AD4755">
        <v>-1.1103625677290001</v>
      </c>
      <c r="AE4755">
        <v>-12.2272</v>
      </c>
      <c r="AF4755">
        <v>4.4010095418029902</v>
      </c>
      <c r="AG4755">
        <v>-1.1103625677290001</v>
      </c>
      <c r="AH4755">
        <v>11.3694805011811</v>
      </c>
      <c r="AI4755">
        <v>95.203935282042806</v>
      </c>
      <c r="AJ4755">
        <v>68.839089418188806</v>
      </c>
      <c r="AK4755">
        <v>12.242012779179399</v>
      </c>
      <c r="AL4755">
        <v>94.308853843755699</v>
      </c>
      <c r="AM4755">
        <v>79.876103061438201</v>
      </c>
      <c r="AN4755">
        <v>1.00000000428882</v>
      </c>
    </row>
    <row r="4756" spans="1:40" x14ac:dyDescent="0.25">
      <c r="A4756" t="str">
        <f>"20190303154232862"</f>
        <v>20190303154232862</v>
      </c>
      <c r="B4756" t="str">
        <f>"1551598952854870"</f>
        <v>1551598952854870</v>
      </c>
      <c r="C4756" t="s">
        <v>40</v>
      </c>
      <c r="D4756">
        <v>6.173095</v>
      </c>
      <c r="E4756">
        <v>0.56300380000000005</v>
      </c>
      <c r="F4756" t="s">
        <v>41</v>
      </c>
      <c r="G4756">
        <v>-193.3158</v>
      </c>
      <c r="H4756" s="1">
        <v>-2.4154039999999999E-6</v>
      </c>
      <c r="I4756">
        <v>193.16290000000001</v>
      </c>
      <c r="J4756">
        <v>-192.07220000000001</v>
      </c>
      <c r="K4756">
        <v>1.110509</v>
      </c>
      <c r="L4756">
        <v>205.53380000000001</v>
      </c>
      <c r="M4756">
        <v>0.250334</v>
      </c>
      <c r="N4756">
        <v>-1.6834399999999999E-2</v>
      </c>
      <c r="O4756">
        <v>-0.96801329999999997</v>
      </c>
      <c r="P4756">
        <v>7.9700289999999993E-2</v>
      </c>
      <c r="Q4756">
        <v>-8.6791740000000006E-2</v>
      </c>
      <c r="R4756">
        <v>-0.99303330000000001</v>
      </c>
      <c r="S4756">
        <v>-0.2914429</v>
      </c>
      <c r="T4756">
        <v>-0.26756079999999999</v>
      </c>
      <c r="U4756">
        <v>-3.0256810000000001</v>
      </c>
      <c r="V4756">
        <v>0.1696135</v>
      </c>
      <c r="W4756">
        <v>-7.4613849999999995E-2</v>
      </c>
      <c r="X4756">
        <v>0.98268200000000006</v>
      </c>
      <c r="Y4756">
        <v>0.341505</v>
      </c>
      <c r="Z4756">
        <v>6.4044069999999995E-2</v>
      </c>
      <c r="AA4756">
        <v>0.93769539999999996</v>
      </c>
      <c r="AB4756">
        <v>22</v>
      </c>
      <c r="AC4756">
        <v>-1.2435999999999801</v>
      </c>
      <c r="AD4756">
        <v>-1.1105114154039999</v>
      </c>
      <c r="AE4756">
        <v>-12.370900000000001</v>
      </c>
      <c r="AF4756">
        <v>4.2672444766235298</v>
      </c>
      <c r="AG4756">
        <v>-1.1105114154039999</v>
      </c>
      <c r="AH4756">
        <v>11.573204628584699</v>
      </c>
      <c r="AI4756">
        <v>95.144493462540098</v>
      </c>
      <c r="AJ4756">
        <v>69.760180663580599</v>
      </c>
      <c r="AK4756">
        <v>12.3847356210018</v>
      </c>
      <c r="AL4756">
        <v>94.2790356314067</v>
      </c>
      <c r="AM4756">
        <v>80.207085953358401</v>
      </c>
      <c r="AN4756">
        <v>0.99999993955903399</v>
      </c>
    </row>
    <row r="4757" spans="1:40" x14ac:dyDescent="0.25">
      <c r="A4757" t="str">
        <f>"20190303154232884"</f>
        <v>20190303154232884</v>
      </c>
      <c r="B4757" t="str">
        <f>"1551598952874390"</f>
        <v>1551598952874390</v>
      </c>
      <c r="C4757" t="s">
        <v>40</v>
      </c>
      <c r="D4757">
        <v>6.1844729999999997</v>
      </c>
      <c r="E4757">
        <v>0.55971439999999995</v>
      </c>
      <c r="F4757" t="s">
        <v>41</v>
      </c>
      <c r="G4757">
        <v>-193.2253</v>
      </c>
      <c r="H4757" s="1">
        <v>-1.9867439999999999E-6</v>
      </c>
      <c r="I4757">
        <v>192.21979999999999</v>
      </c>
      <c r="J4757">
        <v>-192.03399999999999</v>
      </c>
      <c r="K4757">
        <v>1.110673</v>
      </c>
      <c r="L4757">
        <v>205.30609999999999</v>
      </c>
      <c r="M4757">
        <v>0.23354320000000001</v>
      </c>
      <c r="N4757">
        <v>-1.6741079999999998E-2</v>
      </c>
      <c r="O4757">
        <v>-0.97220249999999997</v>
      </c>
      <c r="P4757">
        <v>6.8158730000000001E-2</v>
      </c>
      <c r="Q4757">
        <v>-8.7513170000000001E-2</v>
      </c>
      <c r="R4757">
        <v>-0.99382930000000003</v>
      </c>
      <c r="S4757">
        <v>-0.26156620000000003</v>
      </c>
      <c r="T4757">
        <v>-0.25189719999999999</v>
      </c>
      <c r="U4757">
        <v>-3.0200040000000001</v>
      </c>
      <c r="V4757">
        <v>0.16402130000000001</v>
      </c>
      <c r="W4757">
        <v>-7.5206540000000002E-2</v>
      </c>
      <c r="X4757">
        <v>0.98358579999999995</v>
      </c>
      <c r="Y4757">
        <v>0.3161564</v>
      </c>
      <c r="Z4757">
        <v>6.0521899999999997E-2</v>
      </c>
      <c r="AA4757">
        <v>0.94677469999999997</v>
      </c>
      <c r="AB4757">
        <v>22</v>
      </c>
      <c r="AC4757">
        <v>-1.19129999999998</v>
      </c>
      <c r="AD4757">
        <v>-1.110674986744</v>
      </c>
      <c r="AE4757">
        <v>-13.0862999999999</v>
      </c>
      <c r="AF4757">
        <v>4.1850917919596302</v>
      </c>
      <c r="AG4757">
        <v>-1.110674986744</v>
      </c>
      <c r="AH4757">
        <v>12.357768486871</v>
      </c>
      <c r="AI4757">
        <v>94.865713229254794</v>
      </c>
      <c r="AJ4757">
        <v>71.290774290966795</v>
      </c>
      <c r="AK4757">
        <v>13.094389417166701</v>
      </c>
      <c r="AL4757">
        <v>94.313089612518695</v>
      </c>
      <c r="AM4757">
        <v>80.532557995158101</v>
      </c>
      <c r="AN4757">
        <v>1.0000000182370501</v>
      </c>
    </row>
    <row r="4758" spans="1:40" x14ac:dyDescent="0.25">
      <c r="A4758" t="str">
        <f>"20190303154232906"</f>
        <v>20190303154232906</v>
      </c>
      <c r="B4758" t="str">
        <f>"1551598952894886"</f>
        <v>1551598952894886</v>
      </c>
      <c r="C4758" t="s">
        <v>40</v>
      </c>
      <c r="D4758">
        <v>6.1690909999999999</v>
      </c>
      <c r="E4758">
        <v>0.55675799999999998</v>
      </c>
      <c r="F4758" t="s">
        <v>41</v>
      </c>
      <c r="G4758">
        <v>-193.29669999999999</v>
      </c>
      <c r="H4758" s="1">
        <v>-1.5722069999999999E-6</v>
      </c>
      <c r="I4758">
        <v>191.20930000000001</v>
      </c>
      <c r="J4758">
        <v>-192</v>
      </c>
      <c r="K4758">
        <v>1.1108119999999999</v>
      </c>
      <c r="L4758">
        <v>205.08109999999999</v>
      </c>
      <c r="M4758">
        <v>0.21708569999999999</v>
      </c>
      <c r="N4758">
        <v>-1.6655119999999999E-2</v>
      </c>
      <c r="O4758">
        <v>-0.9760105</v>
      </c>
      <c r="P4758">
        <v>5.7846359999999999E-2</v>
      </c>
      <c r="Q4758">
        <v>-8.7369630000000004E-2</v>
      </c>
      <c r="R4758">
        <v>-0.99449540000000003</v>
      </c>
      <c r="S4758">
        <v>-0.27017210000000003</v>
      </c>
      <c r="T4758">
        <v>-0.23764740000000001</v>
      </c>
      <c r="U4758">
        <v>-3.016251</v>
      </c>
      <c r="V4758">
        <v>0.15764300000000001</v>
      </c>
      <c r="W4758">
        <v>-7.4916449999999996E-2</v>
      </c>
      <c r="X4758">
        <v>0.98465029999999998</v>
      </c>
      <c r="Y4758">
        <v>0.30293140000000002</v>
      </c>
      <c r="Z4758">
        <v>5.6958160000000001E-2</v>
      </c>
      <c r="AA4758">
        <v>0.95130870000000001</v>
      </c>
      <c r="AB4758">
        <v>22</v>
      </c>
      <c r="AC4758">
        <v>-1.29669999999998</v>
      </c>
      <c r="AD4758">
        <v>-1.1108135722070001</v>
      </c>
      <c r="AE4758">
        <v>-13.871799999999901</v>
      </c>
      <c r="AF4758">
        <v>4.2505355680368302</v>
      </c>
      <c r="AG4758">
        <v>-1.1108135722070001</v>
      </c>
      <c r="AH4758">
        <v>13.175611300586301</v>
      </c>
      <c r="AI4758">
        <v>94.587376560702594</v>
      </c>
      <c r="AJ4758">
        <v>72.119970637950701</v>
      </c>
      <c r="AK4758">
        <v>13.8887613757125</v>
      </c>
      <c r="AL4758">
        <v>94.296421729802503</v>
      </c>
      <c r="AM4758">
        <v>80.904108976269896</v>
      </c>
      <c r="AN4758">
        <v>1.00000000160984</v>
      </c>
    </row>
    <row r="4759" spans="1:40" x14ac:dyDescent="0.25">
      <c r="A4759" t="str">
        <f>"20190303154232928"</f>
        <v>20190303154232928</v>
      </c>
      <c r="B4759" t="str">
        <f>"1551598952924166"</f>
        <v>1551598952924166</v>
      </c>
      <c r="C4759" t="s">
        <v>40</v>
      </c>
      <c r="D4759">
        <v>6.3530530000000001</v>
      </c>
      <c r="E4759">
        <v>0.55019580000000001</v>
      </c>
      <c r="F4759" t="s">
        <v>41</v>
      </c>
      <c r="G4759">
        <v>-193.3081</v>
      </c>
      <c r="H4759" s="1">
        <v>-1.443628E-6</v>
      </c>
      <c r="I4759">
        <v>190.9025</v>
      </c>
      <c r="J4759">
        <v>-191.97069999999999</v>
      </c>
      <c r="K4759">
        <v>1.110948</v>
      </c>
      <c r="L4759">
        <v>204.864</v>
      </c>
      <c r="M4759">
        <v>0.2013355</v>
      </c>
      <c r="N4759">
        <v>-1.6577000000000001E-2</v>
      </c>
      <c r="O4759">
        <v>-0.97938210000000003</v>
      </c>
      <c r="P4759">
        <v>4.8993920000000003E-2</v>
      </c>
      <c r="Q4759">
        <v>-8.676238E-2</v>
      </c>
      <c r="R4759">
        <v>-0.99502360000000001</v>
      </c>
      <c r="S4759">
        <v>-0.27787779999999901</v>
      </c>
      <c r="T4759">
        <v>-0.23597670000000001</v>
      </c>
      <c r="U4759">
        <v>-3.0120390000000001</v>
      </c>
      <c r="V4759">
        <v>0.15059710000000001</v>
      </c>
      <c r="W4759">
        <v>-7.4146959999999998E-2</v>
      </c>
      <c r="X4759">
        <v>0.98581070000000004</v>
      </c>
      <c r="Y4759">
        <v>0.29010039999999998</v>
      </c>
      <c r="Z4759">
        <v>5.7172229999999997E-2</v>
      </c>
      <c r="AA4759">
        <v>0.95528690000000005</v>
      </c>
      <c r="AB4759">
        <v>22</v>
      </c>
      <c r="AC4759">
        <v>-1.3373999999999999</v>
      </c>
      <c r="AD4759">
        <v>-1.1109494436280001</v>
      </c>
      <c r="AE4759">
        <v>-13.961499999999999</v>
      </c>
      <c r="AF4759">
        <v>4.0956405314838404</v>
      </c>
      <c r="AG4759">
        <v>-1.1109494436280001</v>
      </c>
      <c r="AH4759">
        <v>13.3226300126887</v>
      </c>
      <c r="AI4759">
        <v>94.557225379952797</v>
      </c>
      <c r="AJ4759">
        <v>72.911534213217394</v>
      </c>
      <c r="AK4759">
        <v>13.9821654433219</v>
      </c>
      <c r="AL4759">
        <v>94.252210250191098</v>
      </c>
      <c r="AM4759">
        <v>81.314376259056004</v>
      </c>
      <c r="AN4759">
        <v>0.99999999722007005</v>
      </c>
    </row>
    <row r="4760" spans="1:40" x14ac:dyDescent="0.25">
      <c r="A4760" t="str">
        <f>"20190303154232943"</f>
        <v>20190303154232943</v>
      </c>
      <c r="B4760" t="str">
        <f>"1551598952934902"</f>
        <v>1551598952934902</v>
      </c>
      <c r="C4760" t="s">
        <v>40</v>
      </c>
      <c r="D4760">
        <v>6.3560939999999997</v>
      </c>
      <c r="E4760">
        <v>0.54846359999999905</v>
      </c>
      <c r="F4760" t="s">
        <v>41</v>
      </c>
      <c r="G4760">
        <v>-193.09479999999999</v>
      </c>
      <c r="H4760" s="1">
        <v>-1.63995999999999E-6</v>
      </c>
      <c r="I4760">
        <v>191.4924</v>
      </c>
      <c r="J4760">
        <v>-191.95179999999999</v>
      </c>
      <c r="K4760">
        <v>1.1110420000000001</v>
      </c>
      <c r="L4760">
        <v>204.70859999999999</v>
      </c>
      <c r="M4760">
        <v>0.1901332</v>
      </c>
      <c r="N4760">
        <v>-1.6523030000000001E-2</v>
      </c>
      <c r="O4760">
        <v>-0.98161929999999997</v>
      </c>
      <c r="P4760">
        <v>4.1153490000000001E-2</v>
      </c>
      <c r="Q4760">
        <v>-8.5556069999999998E-2</v>
      </c>
      <c r="R4760">
        <v>-0.99548309999999995</v>
      </c>
      <c r="S4760">
        <v>-0.25268550000000001</v>
      </c>
      <c r="T4760">
        <v>-0.2497202</v>
      </c>
      <c r="U4760">
        <v>-3.0056919999999998</v>
      </c>
      <c r="V4760">
        <v>0.14716860000000001</v>
      </c>
      <c r="W4760">
        <v>-7.28684E-2</v>
      </c>
      <c r="X4760">
        <v>0.98642370000000001</v>
      </c>
      <c r="Y4760">
        <v>0.27133439999999998</v>
      </c>
      <c r="Z4760">
        <v>6.222536E-2</v>
      </c>
      <c r="AA4760">
        <v>0.96047159999999998</v>
      </c>
      <c r="AB4760">
        <v>22</v>
      </c>
      <c r="AC4760">
        <v>-1.143</v>
      </c>
      <c r="AD4760">
        <v>-1.1110436399600001</v>
      </c>
      <c r="AE4760">
        <v>-13.216199999999899</v>
      </c>
      <c r="AF4760">
        <v>3.6100020660760701</v>
      </c>
      <c r="AG4760">
        <v>-1.1110436399600001</v>
      </c>
      <c r="AH4760">
        <v>12.6688269844815</v>
      </c>
      <c r="AI4760">
        <v>94.821012118802997</v>
      </c>
      <c r="AJ4760">
        <v>74.095014788825694</v>
      </c>
      <c r="AK4760">
        <v>13.2198982616999</v>
      </c>
      <c r="AL4760">
        <v>94.178755176705806</v>
      </c>
      <c r="AM4760">
        <v>81.514398101092496</v>
      </c>
      <c r="AN4760">
        <v>1.0000000582330999</v>
      </c>
    </row>
    <row r="4761" spans="1:40" x14ac:dyDescent="0.25">
      <c r="A4761" t="str">
        <f>"20190303154232963"</f>
        <v>20190303154232963</v>
      </c>
      <c r="B4761" t="str">
        <f>"1551598952954426"</f>
        <v>1551598952954426</v>
      </c>
      <c r="C4761" t="s">
        <v>40</v>
      </c>
      <c r="D4761">
        <v>6.1425910000000004</v>
      </c>
      <c r="E4761">
        <v>0.54766369999999998</v>
      </c>
      <c r="F4761" t="s">
        <v>41</v>
      </c>
      <c r="G4761">
        <v>-193.1191</v>
      </c>
      <c r="H4761" s="1">
        <v>-1.588847E-6</v>
      </c>
      <c r="I4761">
        <v>191.35820000000001</v>
      </c>
      <c r="J4761">
        <v>-191.9306</v>
      </c>
      <c r="K4761">
        <v>1.1111740000000001</v>
      </c>
      <c r="L4761">
        <v>204.51429999999999</v>
      </c>
      <c r="M4761">
        <v>0.17621500000000001</v>
      </c>
      <c r="N4761">
        <v>-1.6456910000000002E-2</v>
      </c>
      <c r="O4761">
        <v>-0.98421429999999999</v>
      </c>
      <c r="P4761">
        <v>3.5891590000000001E-2</v>
      </c>
      <c r="Q4761">
        <v>-8.3188310000000001E-2</v>
      </c>
      <c r="R4761">
        <v>-0.99588759999999998</v>
      </c>
      <c r="S4761">
        <v>-0.26255800000000001</v>
      </c>
      <c r="T4761">
        <v>-0.249912</v>
      </c>
      <c r="U4761">
        <v>-3.0029750000000002</v>
      </c>
      <c r="V4761">
        <v>0.13853289999999999</v>
      </c>
      <c r="W4761">
        <v>-7.0293980000000006E-2</v>
      </c>
      <c r="X4761">
        <v>0.98785999999999996</v>
      </c>
      <c r="Y4761">
        <v>0.26090649999999999</v>
      </c>
      <c r="Z4761">
        <v>6.2858720000000007E-2</v>
      </c>
      <c r="AA4761">
        <v>0.96331540000000004</v>
      </c>
      <c r="AB4761">
        <v>22</v>
      </c>
      <c r="AC4761">
        <v>-1.1884999999999999</v>
      </c>
      <c r="AD4761">
        <v>-1.1111755888470001</v>
      </c>
      <c r="AE4761">
        <v>-13.156099999999901</v>
      </c>
      <c r="AF4761">
        <v>3.4640017847741098</v>
      </c>
      <c r="AG4761">
        <v>-1.1111755888470001</v>
      </c>
      <c r="AH4761">
        <v>12.651194949592799</v>
      </c>
      <c r="AI4761">
        <v>94.8421667083052</v>
      </c>
      <c r="AJ4761">
        <v>74.687248542037906</v>
      </c>
      <c r="AK4761">
        <v>13.1638426459287</v>
      </c>
      <c r="AL4761">
        <v>94.030872650799495</v>
      </c>
      <c r="AM4761">
        <v>82.017164281693098</v>
      </c>
      <c r="AN4761">
        <v>0.99999999380332505</v>
      </c>
    </row>
    <row r="4762" spans="1:40" x14ac:dyDescent="0.25">
      <c r="A4762" t="str">
        <f>"20190303154232984"</f>
        <v>20190303154232984</v>
      </c>
      <c r="B4762" t="str">
        <f>"1551598952974921"</f>
        <v>1551598952974921</v>
      </c>
      <c r="C4762" t="s">
        <v>40</v>
      </c>
      <c r="D4762">
        <v>6.1328849999999999</v>
      </c>
      <c r="E4762">
        <v>0.54626200000000003</v>
      </c>
      <c r="F4762" t="s">
        <v>41</v>
      </c>
      <c r="G4762">
        <v>-193.2123</v>
      </c>
      <c r="H4762" s="1">
        <v>-1.1881450000000001E-6</v>
      </c>
      <c r="I4762">
        <v>190.3664</v>
      </c>
      <c r="J4762">
        <v>-191.9102</v>
      </c>
      <c r="K4762">
        <v>1.1113189999999999</v>
      </c>
      <c r="L4762">
        <v>204.298</v>
      </c>
      <c r="M4762">
        <v>0.1608463</v>
      </c>
      <c r="N4762">
        <v>-1.6384159999999998E-2</v>
      </c>
      <c r="O4762">
        <v>-0.98684369999999999</v>
      </c>
      <c r="P4762">
        <v>2.952807E-2</v>
      </c>
      <c r="Q4762">
        <v>-8.155453E-2</v>
      </c>
      <c r="R4762">
        <v>-0.9962318</v>
      </c>
      <c r="S4762">
        <v>-0.2719879</v>
      </c>
      <c r="T4762">
        <v>-0.2358131</v>
      </c>
      <c r="U4762">
        <v>-3.002472</v>
      </c>
      <c r="V4762">
        <v>0.12952910000000001</v>
      </c>
      <c r="W4762">
        <v>-6.8451289999999998E-2</v>
      </c>
      <c r="X4762">
        <v>0.98921009999999998</v>
      </c>
      <c r="Y4762">
        <v>0.24889549999999999</v>
      </c>
      <c r="Z4762">
        <v>5.891673E-2</v>
      </c>
      <c r="AA4762">
        <v>0.9667367</v>
      </c>
      <c r="AB4762">
        <v>22</v>
      </c>
      <c r="AC4762">
        <v>-1.30209999999999</v>
      </c>
      <c r="AD4762">
        <v>-1.1113201881450001</v>
      </c>
      <c r="AE4762">
        <v>-13.9316</v>
      </c>
      <c r="AF4762">
        <v>3.5041832467472802</v>
      </c>
      <c r="AG4762">
        <v>-1.1113201881450001</v>
      </c>
      <c r="AH4762">
        <v>13.455807472534801</v>
      </c>
      <c r="AI4762">
        <v>94.569629231460397</v>
      </c>
      <c r="AJ4762">
        <v>75.403158429592693</v>
      </c>
      <c r="AK4762">
        <v>13.9489457496</v>
      </c>
      <c r="AL4762">
        <v>93.925039300698302</v>
      </c>
      <c r="AM4762">
        <v>82.540021417039398</v>
      </c>
      <c r="AN4762">
        <v>0.99999999439574205</v>
      </c>
    </row>
    <row r="4763" spans="1:40" x14ac:dyDescent="0.25">
      <c r="A4763" t="str">
        <f>"20190303154232997"</f>
        <v>20190303154232997</v>
      </c>
      <c r="B4763" t="str">
        <f>"1551598952994947"</f>
        <v>1551598952994947</v>
      </c>
      <c r="C4763" t="s">
        <v>40</v>
      </c>
      <c r="D4763">
        <v>6.1171569999999997</v>
      </c>
      <c r="E4763">
        <v>0.54517389999999999</v>
      </c>
      <c r="F4763" t="s">
        <v>41</v>
      </c>
      <c r="G4763">
        <v>-193.3253</v>
      </c>
      <c r="H4763" s="1">
        <v>-4.7161249999999997E-6</v>
      </c>
      <c r="I4763">
        <v>189.11199999999999</v>
      </c>
      <c r="J4763">
        <v>-191.898</v>
      </c>
      <c r="K4763">
        <v>1.111424</v>
      </c>
      <c r="L4763">
        <v>204.15219999999999</v>
      </c>
      <c r="M4763">
        <v>0.15055750000000001</v>
      </c>
      <c r="N4763">
        <v>-1.6335740000000001E-2</v>
      </c>
      <c r="O4763">
        <v>-0.98846630000000002</v>
      </c>
      <c r="P4763">
        <v>2.4054209999999999E-2</v>
      </c>
      <c r="Q4763">
        <v>-8.1040199999999896E-2</v>
      </c>
      <c r="R4763">
        <v>-0.99642059999999999</v>
      </c>
      <c r="S4763">
        <v>-0.27972409999999998</v>
      </c>
      <c r="T4763">
        <v>-0.21966579999999999</v>
      </c>
      <c r="U4763">
        <v>-3.0016780000000001</v>
      </c>
      <c r="V4763">
        <v>0.1246975</v>
      </c>
      <c r="W4763">
        <v>-6.7830879999999996E-2</v>
      </c>
      <c r="X4763">
        <v>0.98987349999999996</v>
      </c>
      <c r="Y4763">
        <v>0.241338</v>
      </c>
      <c r="Z4763">
        <v>5.4087900000000001E-2</v>
      </c>
      <c r="AA4763">
        <v>0.96893260000000003</v>
      </c>
      <c r="AB4763">
        <v>22</v>
      </c>
      <c r="AC4763">
        <v>-1.4273</v>
      </c>
      <c r="AD4763">
        <v>-1.111428716125</v>
      </c>
      <c r="AE4763">
        <v>-15.0402</v>
      </c>
      <c r="AF4763">
        <v>3.6559570157521901</v>
      </c>
      <c r="AG4763">
        <v>-1.111428716125</v>
      </c>
      <c r="AH4763">
        <v>14.5749149022691</v>
      </c>
      <c r="AI4763">
        <v>94.230169600968395</v>
      </c>
      <c r="AJ4763">
        <v>75.918522262067896</v>
      </c>
      <c r="AK4763">
        <v>15.0674961390551</v>
      </c>
      <c r="AL4763">
        <v>93.889409509808999</v>
      </c>
      <c r="AM4763">
        <v>82.820089686171798</v>
      </c>
      <c r="AN4763">
        <v>1.0000000203950301</v>
      </c>
    </row>
    <row r="4764" spans="1:40" x14ac:dyDescent="0.25">
      <c r="A4764" t="str">
        <f>"20190303154233017"</f>
        <v>20190303154233017</v>
      </c>
      <c r="B4764" t="str">
        <f>"1551598953004706"</f>
        <v>1551598953004706</v>
      </c>
      <c r="C4764" t="s">
        <v>40</v>
      </c>
      <c r="D4764">
        <v>6.1222300000000001</v>
      </c>
      <c r="E4764">
        <v>0.54421009999999903</v>
      </c>
      <c r="F4764" t="s">
        <v>41</v>
      </c>
      <c r="G4764">
        <v>-193.42570000000001</v>
      </c>
      <c r="H4764" s="1">
        <v>-4.4250080000000002E-6</v>
      </c>
      <c r="I4764">
        <v>188.20419999999999</v>
      </c>
      <c r="J4764">
        <v>-191.88409999999999</v>
      </c>
      <c r="K4764">
        <v>1.1115660000000001</v>
      </c>
      <c r="L4764">
        <v>203.95490000000001</v>
      </c>
      <c r="M4764">
        <v>0.13675109999999999</v>
      </c>
      <c r="N4764">
        <v>-1.6270159999999999E-2</v>
      </c>
      <c r="O4764">
        <v>-0.99047200000000002</v>
      </c>
      <c r="P4764">
        <v>2.063632E-2</v>
      </c>
      <c r="Q4764">
        <v>-7.9826159999999993E-2</v>
      </c>
      <c r="R4764">
        <v>-0.99659549999999997</v>
      </c>
      <c r="S4764">
        <v>-0.28744509999999901</v>
      </c>
      <c r="T4764">
        <v>-0.20912120000000001</v>
      </c>
      <c r="U4764">
        <v>-3.000702</v>
      </c>
      <c r="V4764">
        <v>0.11435149999999999</v>
      </c>
      <c r="W4764">
        <v>-6.6378679999999995E-2</v>
      </c>
      <c r="X4764">
        <v>0.9912202</v>
      </c>
      <c r="Y4764">
        <v>0.2303152</v>
      </c>
      <c r="Z4764">
        <v>5.1105619999999997E-2</v>
      </c>
      <c r="AA4764">
        <v>0.9717732</v>
      </c>
      <c r="AB4764">
        <v>22</v>
      </c>
      <c r="AC4764">
        <v>-1.5416000000000101</v>
      </c>
      <c r="AD4764">
        <v>-1.1115704250080001</v>
      </c>
      <c r="AE4764">
        <v>-15.7507</v>
      </c>
      <c r="AF4764">
        <v>3.6632520414898599</v>
      </c>
      <c r="AG4764">
        <v>-1.1115704250080001</v>
      </c>
      <c r="AH4764">
        <v>15.3162872392935</v>
      </c>
      <c r="AI4764">
        <v>94.037448870783805</v>
      </c>
      <c r="AJ4764">
        <v>76.549043849671705</v>
      </c>
      <c r="AK4764">
        <v>15.7874525850682</v>
      </c>
      <c r="AL4764">
        <v>93.806016907125198</v>
      </c>
      <c r="AM4764">
        <v>83.419199734280099</v>
      </c>
      <c r="AN4764">
        <v>0.99999993979941404</v>
      </c>
    </row>
    <row r="4765" spans="1:40" x14ac:dyDescent="0.25">
      <c r="A4765" t="str">
        <f>"20190303154233033"</f>
        <v>20190303154233033</v>
      </c>
      <c r="B4765" t="str">
        <f>"1551598953024226"</f>
        <v>1551598953024226</v>
      </c>
      <c r="C4765" t="s">
        <v>40</v>
      </c>
      <c r="D4765">
        <v>6.1548319999999999</v>
      </c>
      <c r="E4765">
        <v>0.54277509999999995</v>
      </c>
      <c r="F4765" t="s">
        <v>41</v>
      </c>
      <c r="G4765">
        <v>-193.44900000000001</v>
      </c>
      <c r="H4765" s="1">
        <v>-4.2838660000000001E-6</v>
      </c>
      <c r="I4765">
        <v>187.7773</v>
      </c>
      <c r="J4765">
        <v>-191.8749</v>
      </c>
      <c r="K4765">
        <v>1.111685</v>
      </c>
      <c r="L4765">
        <v>203.7962</v>
      </c>
      <c r="M4765">
        <v>0.125745</v>
      </c>
      <c r="N4765">
        <v>-1.621717E-2</v>
      </c>
      <c r="O4765">
        <v>-0.99193019999999998</v>
      </c>
      <c r="P4765">
        <v>1.4642540000000001E-2</v>
      </c>
      <c r="Q4765">
        <v>-7.9123460000000007E-2</v>
      </c>
      <c r="R4765">
        <v>-0.99675760000000002</v>
      </c>
      <c r="S4765">
        <v>-0.2901764</v>
      </c>
      <c r="T4765">
        <v>-0.20611570000000001</v>
      </c>
      <c r="U4765">
        <v>-2.999771</v>
      </c>
      <c r="V4765">
        <v>0.1093528</v>
      </c>
      <c r="W4765">
        <v>-6.5571359999999995E-2</v>
      </c>
      <c r="X4765">
        <v>0.99183790000000005</v>
      </c>
      <c r="Y4765">
        <v>0.2204178</v>
      </c>
      <c r="Z4765">
        <v>5.0446449999999997E-2</v>
      </c>
      <c r="AA4765">
        <v>0.97410019999999997</v>
      </c>
      <c r="AB4765">
        <v>22</v>
      </c>
      <c r="AC4765">
        <v>-1.57410000000001</v>
      </c>
      <c r="AD4765">
        <v>-1.111689283866</v>
      </c>
      <c r="AE4765">
        <v>-16.018899999999999</v>
      </c>
      <c r="AF4765">
        <v>3.5591859272135902</v>
      </c>
      <c r="AG4765">
        <v>-1.111689283866</v>
      </c>
      <c r="AH4765">
        <v>15.6192512964671</v>
      </c>
      <c r="AI4765">
        <v>93.969699616357403</v>
      </c>
      <c r="AJ4765">
        <v>77.163103114354698</v>
      </c>
      <c r="AK4765">
        <v>16.058165168864299</v>
      </c>
      <c r="AL4765">
        <v>93.759659539267204</v>
      </c>
      <c r="AM4765">
        <v>83.708396724615298</v>
      </c>
      <c r="AN4765">
        <v>1.00000002899824</v>
      </c>
    </row>
    <row r="4766" spans="1:40" x14ac:dyDescent="0.25">
      <c r="A4766" t="str">
        <f>"20190303154233052"</f>
        <v>20190303154233052</v>
      </c>
      <c r="B4766" t="str">
        <f>"1551598953044722"</f>
        <v>1551598953044722</v>
      </c>
      <c r="C4766" t="s">
        <v>40</v>
      </c>
      <c r="D4766">
        <v>6.1693300000000004</v>
      </c>
      <c r="E4766">
        <v>0.54125459999999903</v>
      </c>
      <c r="F4766" t="s">
        <v>41</v>
      </c>
      <c r="G4766">
        <v>-193.50960000000001</v>
      </c>
      <c r="H4766" s="1">
        <v>-4.1253269999999998E-6</v>
      </c>
      <c r="I4766">
        <v>187.2799</v>
      </c>
      <c r="J4766">
        <v>-191.86600000000001</v>
      </c>
      <c r="K4766">
        <v>1.1118330000000001</v>
      </c>
      <c r="L4766">
        <v>203.6063</v>
      </c>
      <c r="M4766">
        <v>0.1127094</v>
      </c>
      <c r="N4766">
        <v>-1.6153089999999998E-2</v>
      </c>
      <c r="O4766">
        <v>-0.99349679999999996</v>
      </c>
      <c r="P4766">
        <v>1.255096E-2</v>
      </c>
      <c r="Q4766">
        <v>-7.8195959999999995E-2</v>
      </c>
      <c r="R4766">
        <v>-0.99685939999999995</v>
      </c>
      <c r="S4766">
        <v>-0.29673769999999999</v>
      </c>
      <c r="T4766">
        <v>-0.20179759999999999</v>
      </c>
      <c r="U4766">
        <v>-2.9980929999999999</v>
      </c>
      <c r="V4766">
        <v>9.8470020000000005E-2</v>
      </c>
      <c r="W4766">
        <v>-6.440303E-2</v>
      </c>
      <c r="X4766">
        <v>0.99305390000000004</v>
      </c>
      <c r="Y4766">
        <v>0.20977789999999999</v>
      </c>
      <c r="Z4766">
        <v>4.9391490000000003E-2</v>
      </c>
      <c r="AA4766">
        <v>0.9765007</v>
      </c>
      <c r="AB4766">
        <v>22</v>
      </c>
      <c r="AC4766">
        <v>-1.6436000000000199</v>
      </c>
      <c r="AD4766">
        <v>-1.1118371253270001</v>
      </c>
      <c r="AE4766">
        <v>-16.3264</v>
      </c>
      <c r="AF4766">
        <v>3.45762837235378</v>
      </c>
      <c r="AG4766">
        <v>-1.1118371253270001</v>
      </c>
      <c r="AH4766">
        <v>15.963775344638799</v>
      </c>
      <c r="AI4766">
        <v>93.894069179693801</v>
      </c>
      <c r="AJ4766">
        <v>77.778955613016805</v>
      </c>
      <c r="AK4766">
        <v>16.371728650593301</v>
      </c>
      <c r="AL4766">
        <v>93.692577196167505</v>
      </c>
      <c r="AM4766">
        <v>84.337131582028505</v>
      </c>
      <c r="AN4766">
        <v>1.00000007170859</v>
      </c>
    </row>
    <row r="4767" spans="1:40" x14ac:dyDescent="0.25">
      <c r="A4767" t="str">
        <f>"20190303154233074"</f>
        <v>20190303154233074</v>
      </c>
      <c r="B4767" t="str">
        <f>"1551598953064241"</f>
        <v>1551598953064241</v>
      </c>
      <c r="C4767" t="s">
        <v>40</v>
      </c>
      <c r="D4767">
        <v>6.1448609999999997</v>
      </c>
      <c r="E4767">
        <v>0.53978119999999996</v>
      </c>
      <c r="F4767" t="s">
        <v>41</v>
      </c>
      <c r="G4767">
        <v>-193.48660000000001</v>
      </c>
      <c r="H4767" s="1">
        <v>-3.996165E-6</v>
      </c>
      <c r="I4767">
        <v>186.91229999999999</v>
      </c>
      <c r="J4767">
        <v>-191.858</v>
      </c>
      <c r="K4767">
        <v>1.1120429999999999</v>
      </c>
      <c r="L4767">
        <v>203.3715</v>
      </c>
      <c r="M4767">
        <v>9.6824880000000002E-2</v>
      </c>
      <c r="N4767">
        <v>-1.607072E-2</v>
      </c>
      <c r="O4767">
        <v>-0.99517169999999999</v>
      </c>
      <c r="P4767">
        <v>8.3103569999999904E-3</v>
      </c>
      <c r="Q4767">
        <v>-7.6680760000000001E-2</v>
      </c>
      <c r="R4767">
        <v>-0.9970213</v>
      </c>
      <c r="S4767">
        <v>-0.290985099999999</v>
      </c>
      <c r="T4767">
        <v>-0.1996338</v>
      </c>
      <c r="U4767">
        <v>-2.997452</v>
      </c>
      <c r="V4767">
        <v>8.6915160000000005E-2</v>
      </c>
      <c r="W4767">
        <v>-6.2645380000000001E-2</v>
      </c>
      <c r="X4767">
        <v>0.99424409999999996</v>
      </c>
      <c r="Y4767">
        <v>0.19230729999999999</v>
      </c>
      <c r="Z4767">
        <v>4.909285E-2</v>
      </c>
      <c r="AA4767">
        <v>0.98010600000000003</v>
      </c>
      <c r="AB4767">
        <v>22</v>
      </c>
      <c r="AC4767">
        <v>-1.6286</v>
      </c>
      <c r="AD4767">
        <v>-1.1120469961649999</v>
      </c>
      <c r="AE4767">
        <v>-16.459199999999999</v>
      </c>
      <c r="AF4767">
        <v>3.2003442795349799</v>
      </c>
      <c r="AG4767">
        <v>-1.1120469961649999</v>
      </c>
      <c r="AH4767">
        <v>16.151122956727502</v>
      </c>
      <c r="AI4767">
        <v>93.863858187737705</v>
      </c>
      <c r="AJ4767">
        <v>78.792026575059694</v>
      </c>
      <c r="AK4767">
        <v>16.5026550831241</v>
      </c>
      <c r="AL4767">
        <v>93.591667679409497</v>
      </c>
      <c r="AM4767">
        <v>85.003999160978907</v>
      </c>
      <c r="AN4767">
        <v>1.00000000952899</v>
      </c>
    </row>
    <row r="4768" spans="1:40" x14ac:dyDescent="0.25">
      <c r="A4768" t="str">
        <f>"20190303154233095"</f>
        <v>20190303154233095</v>
      </c>
      <c r="B4768" t="str">
        <f>"1551598953085012"</f>
        <v>1551598953085012</v>
      </c>
      <c r="C4768" t="s">
        <v>40</v>
      </c>
      <c r="D4768">
        <v>6.1360760000000001</v>
      </c>
      <c r="E4768">
        <v>0.53831229999999997</v>
      </c>
      <c r="F4768" t="s">
        <v>41</v>
      </c>
      <c r="G4768">
        <v>-193.5085</v>
      </c>
      <c r="H4768" s="1">
        <v>-3.8343860000000001E-6</v>
      </c>
      <c r="I4768">
        <v>186.4255</v>
      </c>
      <c r="J4768">
        <v>-191.85380000000001</v>
      </c>
      <c r="K4768">
        <v>1.1122510000000001</v>
      </c>
      <c r="L4768">
        <v>203.1643</v>
      </c>
      <c r="M4768">
        <v>8.3093539999999994E-2</v>
      </c>
      <c r="N4768">
        <v>-1.5991269999999998E-2</v>
      </c>
      <c r="O4768">
        <v>-0.99641349999999995</v>
      </c>
      <c r="P4768">
        <v>7.4942809999999898E-3</v>
      </c>
      <c r="Q4768">
        <v>-7.4870309999999995E-2</v>
      </c>
      <c r="R4768">
        <v>-0.99716510000000003</v>
      </c>
      <c r="S4768">
        <v>-0.29183959999999998</v>
      </c>
      <c r="T4768">
        <v>-0.19662540000000001</v>
      </c>
      <c r="U4768">
        <v>-2.996292</v>
      </c>
      <c r="V4768">
        <v>7.4110629999999997E-2</v>
      </c>
      <c r="W4768">
        <v>-6.0573019999999998E-2</v>
      </c>
      <c r="X4768">
        <v>0.99540870000000004</v>
      </c>
      <c r="Y4768">
        <v>0.1790871</v>
      </c>
      <c r="Z4768">
        <v>4.8430769999999998E-2</v>
      </c>
      <c r="AA4768">
        <v>0.98264039999999997</v>
      </c>
      <c r="AB4768">
        <v>22</v>
      </c>
      <c r="AC4768">
        <v>-1.6546999999999901</v>
      </c>
      <c r="AD4768">
        <v>-1.1122548343859999</v>
      </c>
      <c r="AE4768">
        <v>-16.738799999999902</v>
      </c>
      <c r="AF4768">
        <v>3.0268051970087901</v>
      </c>
      <c r="AG4768">
        <v>-1.1122548343859999</v>
      </c>
      <c r="AH4768">
        <v>16.471363639760401</v>
      </c>
      <c r="AI4768">
        <v>93.799692389514604</v>
      </c>
      <c r="AJ4768">
        <v>79.587400474499503</v>
      </c>
      <c r="AK4768">
        <v>16.784054357349799</v>
      </c>
      <c r="AL4768">
        <v>93.472704297376097</v>
      </c>
      <c r="AM4768">
        <v>85.742043989363694</v>
      </c>
      <c r="AN4768">
        <v>0.99999997813330299</v>
      </c>
    </row>
    <row r="4769" spans="1:40" x14ac:dyDescent="0.25">
      <c r="A4769" t="str">
        <f>"20190303154233118"</f>
        <v>20190303154233118</v>
      </c>
      <c r="B4769" t="str">
        <f>"1551598953114293"</f>
        <v>1551598953114293</v>
      </c>
      <c r="C4769" t="s">
        <v>40</v>
      </c>
      <c r="D4769">
        <v>6.1288919999999996</v>
      </c>
      <c r="E4769">
        <v>0.53655379999999997</v>
      </c>
      <c r="F4769" t="s">
        <v>41</v>
      </c>
      <c r="G4769">
        <v>-193.48050000000001</v>
      </c>
      <c r="H4769" s="1">
        <v>-3.6406919999999999E-6</v>
      </c>
      <c r="I4769">
        <v>185.9169</v>
      </c>
      <c r="J4769">
        <v>-191.85230000000001</v>
      </c>
      <c r="K4769">
        <v>1.1125240000000001</v>
      </c>
      <c r="L4769">
        <v>202.94069999999999</v>
      </c>
      <c r="M4769">
        <v>6.8636859999999994E-2</v>
      </c>
      <c r="N4769">
        <v>-1.5896380000000002E-2</v>
      </c>
      <c r="O4769">
        <v>-0.99751509999999999</v>
      </c>
      <c r="P4769">
        <v>6.0996059999999996E-3</v>
      </c>
      <c r="Q4769">
        <v>-7.4262229999999999E-2</v>
      </c>
      <c r="R4769">
        <v>-0.99722</v>
      </c>
      <c r="S4769">
        <v>-0.28259279999999998</v>
      </c>
      <c r="T4769">
        <v>-0.1932169</v>
      </c>
      <c r="U4769">
        <v>-2.9961549999999999</v>
      </c>
      <c r="V4769">
        <v>6.1133310000000003E-2</v>
      </c>
      <c r="W4769">
        <v>-5.9723529999999997E-2</v>
      </c>
      <c r="X4769">
        <v>0.99634120000000004</v>
      </c>
      <c r="Y4769">
        <v>0.16181180000000001</v>
      </c>
      <c r="Z4769">
        <v>4.7639269999999997E-2</v>
      </c>
      <c r="AA4769">
        <v>0.98567099999999996</v>
      </c>
      <c r="AB4769">
        <v>22</v>
      </c>
      <c r="AC4769">
        <v>-1.6281999999999901</v>
      </c>
      <c r="AD4769">
        <v>-1.1125276406919999</v>
      </c>
      <c r="AE4769">
        <v>-17.023799999999898</v>
      </c>
      <c r="AF4769">
        <v>2.7811967968536702</v>
      </c>
      <c r="AG4769">
        <v>-1.1125276406919999</v>
      </c>
      <c r="AH4769">
        <v>16.8007719082593</v>
      </c>
      <c r="AI4769">
        <v>93.737807980066293</v>
      </c>
      <c r="AJ4769">
        <v>80.600507714527694</v>
      </c>
      <c r="AK4769">
        <v>17.065717391527599</v>
      </c>
      <c r="AL4769">
        <v>93.423943799097898</v>
      </c>
      <c r="AM4769">
        <v>86.488858490064302</v>
      </c>
      <c r="AN4769">
        <v>0.99999998422232805</v>
      </c>
    </row>
    <row r="4770" spans="1:40" x14ac:dyDescent="0.25">
      <c r="A4770" t="str">
        <f>"20190303154233140"</f>
        <v>20190303154233140</v>
      </c>
      <c r="B4770" t="str">
        <f>"1551598953134789"</f>
        <v>1551598953134789</v>
      </c>
      <c r="C4770" t="s">
        <v>40</v>
      </c>
      <c r="D4770">
        <v>6.1033419999999996</v>
      </c>
      <c r="E4770">
        <v>0.53555680000000006</v>
      </c>
      <c r="F4770" t="s">
        <v>41</v>
      </c>
      <c r="G4770">
        <v>-193.4034</v>
      </c>
      <c r="H4770" s="1">
        <v>-3.6153450000000001E-6</v>
      </c>
      <c r="I4770">
        <v>185.9057</v>
      </c>
      <c r="J4770">
        <v>-191.8535</v>
      </c>
      <c r="K4770">
        <v>1.1128290000000001</v>
      </c>
      <c r="L4770">
        <v>202.7133</v>
      </c>
      <c r="M4770">
        <v>5.4336019999999999E-2</v>
      </c>
      <c r="N4770">
        <v>-1.5793100000000001E-2</v>
      </c>
      <c r="O4770">
        <v>-0.9983978</v>
      </c>
      <c r="P4770">
        <v>9.8306009999999996E-3</v>
      </c>
      <c r="Q4770">
        <v>-7.3909299999999997E-2</v>
      </c>
      <c r="R4770">
        <v>-0.99721660000000001</v>
      </c>
      <c r="S4770">
        <v>-0.27275090000000002</v>
      </c>
      <c r="T4770">
        <v>-0.19562889999999999</v>
      </c>
      <c r="U4770">
        <v>-2.9954679999999998</v>
      </c>
      <c r="V4770">
        <v>4.3192469999999997E-2</v>
      </c>
      <c r="W4770">
        <v>-5.9049539999999998E-2</v>
      </c>
      <c r="X4770">
        <v>0.99732019999999999</v>
      </c>
      <c r="Y4770">
        <v>0.1444636</v>
      </c>
      <c r="Z4770">
        <v>4.8743479999999999E-2</v>
      </c>
      <c r="AA4770">
        <v>0.98830879999999999</v>
      </c>
      <c r="AB4770">
        <v>22</v>
      </c>
      <c r="AC4770">
        <v>-1.5499000000000001</v>
      </c>
      <c r="AD4770">
        <v>-1.1128326153450001</v>
      </c>
      <c r="AE4770">
        <v>-16.807600000000001</v>
      </c>
      <c r="AF4770">
        <v>2.4503306528593201</v>
      </c>
      <c r="AG4770">
        <v>-1.1128326153450001</v>
      </c>
      <c r="AH4770">
        <v>16.626266891328299</v>
      </c>
      <c r="AI4770">
        <v>93.788421015118701</v>
      </c>
      <c r="AJ4770">
        <v>81.616265987464104</v>
      </c>
      <c r="AK4770">
        <v>16.842662125679499</v>
      </c>
      <c r="AL4770">
        <v>93.385258652971501</v>
      </c>
      <c r="AM4770">
        <v>87.520153766376396</v>
      </c>
      <c r="AN4770">
        <v>1.00000000948347</v>
      </c>
    </row>
    <row r="4771" spans="1:40" x14ac:dyDescent="0.25">
      <c r="A4771" t="str">
        <f>"20190303154233152"</f>
        <v>20190303154233152</v>
      </c>
      <c r="B4771" t="str">
        <f>"1551598953144550"</f>
        <v>1551598953144550</v>
      </c>
      <c r="C4771" t="s">
        <v>40</v>
      </c>
      <c r="D4771">
        <v>6.0928740000000001</v>
      </c>
      <c r="E4771">
        <v>0.53506209999999998</v>
      </c>
      <c r="F4771" t="s">
        <v>41</v>
      </c>
      <c r="G4771">
        <v>-193.2885</v>
      </c>
      <c r="H4771" s="1">
        <v>-3.521774E-6</v>
      </c>
      <c r="I4771">
        <v>185.75890000000001</v>
      </c>
      <c r="J4771">
        <v>-191.8554</v>
      </c>
      <c r="K4771">
        <v>1.1129960000000001</v>
      </c>
      <c r="L4771">
        <v>202.58629999999999</v>
      </c>
      <c r="M4771">
        <v>4.6489950000000002E-2</v>
      </c>
      <c r="N4771">
        <v>-1.5735320000000001E-2</v>
      </c>
      <c r="O4771">
        <v>-0.99879490000000004</v>
      </c>
      <c r="P4771">
        <v>7.7109819999999999E-3</v>
      </c>
      <c r="Q4771">
        <v>-7.4574280000000007E-2</v>
      </c>
      <c r="R4771">
        <v>-0.99718589999999996</v>
      </c>
      <c r="S4771">
        <v>-0.25358579999999997</v>
      </c>
      <c r="T4771">
        <v>-0.19666729999999999</v>
      </c>
      <c r="U4771">
        <v>-2.9963069999999998</v>
      </c>
      <c r="V4771">
        <v>3.7490130000000003E-2</v>
      </c>
      <c r="W4771">
        <v>-5.9638400000000001E-2</v>
      </c>
      <c r="X4771">
        <v>0.99751579999999995</v>
      </c>
      <c r="Y4771">
        <v>0.13038419999999901</v>
      </c>
      <c r="Z4771">
        <v>4.925355E-2</v>
      </c>
      <c r="AA4771">
        <v>0.99023939999999999</v>
      </c>
      <c r="AB4771">
        <v>22</v>
      </c>
      <c r="AC4771">
        <v>-1.43309999999999</v>
      </c>
      <c r="AD4771">
        <v>-1.1129995217740001</v>
      </c>
      <c r="AE4771">
        <v>-16.827399999999901</v>
      </c>
      <c r="AF4771">
        <v>2.20437765572491</v>
      </c>
      <c r="AG4771">
        <v>-1.1129995217740001</v>
      </c>
      <c r="AH4771">
        <v>16.670164894566302</v>
      </c>
      <c r="AI4771">
        <v>93.786870486108697</v>
      </c>
      <c r="AJ4771">
        <v>82.467201559882099</v>
      </c>
      <c r="AK4771">
        <v>16.852075432912098</v>
      </c>
      <c r="AL4771">
        <v>93.4190574115066</v>
      </c>
      <c r="AM4771">
        <v>87.847637398153907</v>
      </c>
      <c r="AN4771">
        <v>1.0000000099258</v>
      </c>
    </row>
    <row r="4772" spans="1:40" x14ac:dyDescent="0.25">
      <c r="A4772" t="str">
        <f>"20190303154233174"</f>
        <v>20190303154233174</v>
      </c>
      <c r="B4772" t="str">
        <f>"1551598953165048"</f>
        <v>1551598953165048</v>
      </c>
      <c r="C4772" t="s">
        <v>40</v>
      </c>
      <c r="D4772">
        <v>6.0759939999999997</v>
      </c>
      <c r="E4772">
        <v>0.53421099999999999</v>
      </c>
      <c r="F4772" t="s">
        <v>41</v>
      </c>
      <c r="G4772">
        <v>-193.28309999999999</v>
      </c>
      <c r="H4772" s="1">
        <v>-3.5737350000000001E-6</v>
      </c>
      <c r="I4772">
        <v>185.88329999999999</v>
      </c>
      <c r="J4772">
        <v>-191.8605</v>
      </c>
      <c r="K4772">
        <v>1.1132690000000001</v>
      </c>
      <c r="L4772">
        <v>202.37190000000001</v>
      </c>
      <c r="M4772">
        <v>3.352977E-2</v>
      </c>
      <c r="N4772">
        <v>-1.563991E-2</v>
      </c>
      <c r="O4772">
        <v>-0.99931539999999996</v>
      </c>
      <c r="P4772">
        <v>5.2854460000000001E-3</v>
      </c>
      <c r="Q4772">
        <v>-7.5726390000000005E-2</v>
      </c>
      <c r="R4772">
        <v>-0.99711490000000003</v>
      </c>
      <c r="S4772">
        <v>-0.25604250000000001</v>
      </c>
      <c r="T4772">
        <v>-0.19960559999999999</v>
      </c>
      <c r="U4772">
        <v>-2.995514</v>
      </c>
      <c r="V4772">
        <v>2.7000300000000001E-2</v>
      </c>
      <c r="W4772">
        <v>-6.065545E-2</v>
      </c>
      <c r="X4772">
        <v>0.9977935</v>
      </c>
      <c r="Y4772">
        <v>0.1183444</v>
      </c>
      <c r="Z4772">
        <v>5.0441890000000003E-2</v>
      </c>
      <c r="AA4772">
        <v>0.99169059999999998</v>
      </c>
      <c r="AB4772">
        <v>22</v>
      </c>
      <c r="AC4772">
        <v>-1.4225999999999801</v>
      </c>
      <c r="AD4772">
        <v>-1.113272573735</v>
      </c>
      <c r="AE4772">
        <v>-16.488600000000002</v>
      </c>
      <c r="AF4772">
        <v>1.9658311603074501</v>
      </c>
      <c r="AG4772">
        <v>-1.113272573735</v>
      </c>
      <c r="AH4772">
        <v>16.357603747486301</v>
      </c>
      <c r="AI4772">
        <v>93.865725150362195</v>
      </c>
      <c r="AJ4772">
        <v>83.1471485590653</v>
      </c>
      <c r="AK4772">
        <v>16.512875834755199</v>
      </c>
      <c r="AL4772">
        <v>93.477435867498698</v>
      </c>
      <c r="AM4772">
        <v>88.449954016769595</v>
      </c>
      <c r="AN4772">
        <v>0.99999998422852099</v>
      </c>
    </row>
    <row r="4773" spans="1:40" x14ac:dyDescent="0.25">
      <c r="A4773" t="str">
        <f>"20190303154233196"</f>
        <v>20190303154233196</v>
      </c>
      <c r="B4773" t="str">
        <f>"1551598953184236"</f>
        <v>1551598953184236</v>
      </c>
      <c r="C4773" t="s">
        <v>40</v>
      </c>
      <c r="D4773">
        <v>6.0664930000000004</v>
      </c>
      <c r="E4773">
        <v>0.53344040000000004</v>
      </c>
      <c r="F4773" t="s">
        <v>41</v>
      </c>
      <c r="G4773">
        <v>-193.2473</v>
      </c>
      <c r="H4773" s="1">
        <v>-3.6937319999999999E-6</v>
      </c>
      <c r="I4773">
        <v>186.18520000000001</v>
      </c>
      <c r="J4773">
        <v>-191.8681</v>
      </c>
      <c r="K4773">
        <v>1.113575</v>
      </c>
      <c r="L4773">
        <v>202.15199999999999</v>
      </c>
      <c r="M4773">
        <v>2.0695669999999999E-2</v>
      </c>
      <c r="N4773">
        <v>-1.5540440000000001E-2</v>
      </c>
      <c r="O4773">
        <v>-0.99966500000000003</v>
      </c>
      <c r="P4773">
        <v>4.5161000000000003E-3</v>
      </c>
      <c r="Q4773">
        <v>-7.5684550000000003E-2</v>
      </c>
      <c r="R4773">
        <v>-0.9971217</v>
      </c>
      <c r="S4773">
        <v>-0.256546</v>
      </c>
      <c r="T4773">
        <v>-0.20594689999999999</v>
      </c>
      <c r="U4773">
        <v>-2.994415</v>
      </c>
      <c r="V4773">
        <v>1.501445E-2</v>
      </c>
      <c r="W4773">
        <v>-6.0467800000000002E-2</v>
      </c>
      <c r="X4773">
        <v>0.99805719999999998</v>
      </c>
      <c r="Y4773">
        <v>0.10577839999999999</v>
      </c>
      <c r="Z4773">
        <v>5.275001E-2</v>
      </c>
      <c r="AA4773">
        <v>0.99298960000000003</v>
      </c>
      <c r="AB4773">
        <v>22</v>
      </c>
      <c r="AC4773">
        <v>-1.37919999999999</v>
      </c>
      <c r="AD4773">
        <v>-1.113578693732</v>
      </c>
      <c r="AE4773">
        <v>-15.966799999999999</v>
      </c>
      <c r="AF4773">
        <v>1.70117461114649</v>
      </c>
      <c r="AG4773">
        <v>-1.113578693732</v>
      </c>
      <c r="AH4773">
        <v>15.858266970199701</v>
      </c>
      <c r="AI4773">
        <v>93.993916822703895</v>
      </c>
      <c r="AJ4773">
        <v>83.877086170042205</v>
      </c>
      <c r="AK4773">
        <v>15.988079430090099</v>
      </c>
      <c r="AL4773">
        <v>93.466664552532094</v>
      </c>
      <c r="AM4773">
        <v>89.138125821454906</v>
      </c>
      <c r="AN4773">
        <v>0.99999998150874103</v>
      </c>
    </row>
    <row r="4774" spans="1:40" x14ac:dyDescent="0.25">
      <c r="A4774" t="str">
        <f>"20190303154233218"</f>
        <v>20190303154233218</v>
      </c>
      <c r="B4774" t="str">
        <f>"1551598953214492"</f>
        <v>1551598953214492</v>
      </c>
      <c r="C4774" t="s">
        <v>40</v>
      </c>
      <c r="D4774">
        <v>6.05938</v>
      </c>
      <c r="E4774">
        <v>0.53236939999999999</v>
      </c>
      <c r="F4774" t="s">
        <v>42</v>
      </c>
      <c r="G4774">
        <v>-191.94659999999999</v>
      </c>
      <c r="H4774">
        <v>1.048859</v>
      </c>
      <c r="I4774">
        <v>201.22300000000001</v>
      </c>
      <c r="J4774">
        <v>-191.87799999999999</v>
      </c>
      <c r="K4774">
        <v>1.113904</v>
      </c>
      <c r="L4774">
        <v>201.935</v>
      </c>
      <c r="M4774">
        <v>8.5748609999999996E-3</v>
      </c>
      <c r="N4774">
        <v>-1.543313E-2</v>
      </c>
      <c r="O4774">
        <v>-0.99984430000000002</v>
      </c>
      <c r="P4774">
        <v>4.1595629999999998E-3</v>
      </c>
      <c r="Q4774">
        <v>-7.3776019999999998E-2</v>
      </c>
      <c r="R4774">
        <v>-0.99726649999999994</v>
      </c>
      <c r="S4774">
        <v>-0.25282290000000002</v>
      </c>
      <c r="T4774">
        <v>-0.20832539999999999</v>
      </c>
      <c r="U4774">
        <v>-2.9939879999999999</v>
      </c>
      <c r="V4774">
        <v>3.3663360000000002E-3</v>
      </c>
      <c r="W4774">
        <v>-5.8444490000000002E-2</v>
      </c>
      <c r="X4774">
        <v>0.99828499999999998</v>
      </c>
      <c r="Y4774">
        <v>9.2504400000000001E-2</v>
      </c>
      <c r="Z4774">
        <v>5.3728520000000002E-2</v>
      </c>
      <c r="AA4774">
        <v>0.99426159999999997</v>
      </c>
      <c r="AB4774">
        <v>22</v>
      </c>
      <c r="AC4774">
        <v>-6.8600000000003505E-2</v>
      </c>
      <c r="AD4774">
        <v>-6.5045000000000006E-2</v>
      </c>
      <c r="AE4774">
        <v>-0.71200000000001695</v>
      </c>
      <c r="AF4774">
        <v>7.4090844687342297E-2</v>
      </c>
      <c r="AG4774">
        <v>-6.5045000000000006E-2</v>
      </c>
      <c r="AH4774">
        <v>0.70555128272927503</v>
      </c>
      <c r="AI4774">
        <v>95.238584747873503</v>
      </c>
      <c r="AJ4774">
        <v>84.005267691935998</v>
      </c>
      <c r="AK4774">
        <v>0.71240642743619997</v>
      </c>
      <c r="AL4774">
        <v>93.350531843213602</v>
      </c>
      <c r="AM4774">
        <v>89.806792535049198</v>
      </c>
      <c r="AN4774">
        <v>1.00000001592721</v>
      </c>
    </row>
    <row r="4775" spans="1:40" x14ac:dyDescent="0.25">
      <c r="A4775" t="str">
        <f>"20190303154233242"</f>
        <v>20190303154233242</v>
      </c>
      <c r="B4775" t="str">
        <f>"1551598953234988"</f>
        <v>1551598953234988</v>
      </c>
      <c r="C4775" t="s">
        <v>40</v>
      </c>
      <c r="D4775">
        <v>6.0301429999999998</v>
      </c>
      <c r="E4775">
        <v>0.53180059999999996</v>
      </c>
      <c r="F4775" t="s">
        <v>42</v>
      </c>
      <c r="G4775">
        <v>-191.9529</v>
      </c>
      <c r="H4775">
        <v>1.0513319999999999</v>
      </c>
      <c r="I4775">
        <v>201.02250000000001</v>
      </c>
      <c r="J4775">
        <v>-191.8913</v>
      </c>
      <c r="K4775">
        <v>1.114263</v>
      </c>
      <c r="L4775">
        <v>201.69829999999999</v>
      </c>
      <c r="M4775">
        <v>-4.1424449999999998E-3</v>
      </c>
      <c r="N4775">
        <v>-1.53118E-2</v>
      </c>
      <c r="O4775">
        <v>-0.99987420000000005</v>
      </c>
      <c r="P4775">
        <v>1.0716510000000001E-3</v>
      </c>
      <c r="Q4775">
        <v>-7.1726280000000003E-2</v>
      </c>
      <c r="R4775">
        <v>-0.99742390000000003</v>
      </c>
      <c r="S4775">
        <v>-0.24533079999999999</v>
      </c>
      <c r="T4775">
        <v>-0.20501800000000001</v>
      </c>
      <c r="U4775">
        <v>-2.9940639999999998</v>
      </c>
      <c r="V4775">
        <v>-6.146449E-3</v>
      </c>
      <c r="W4775">
        <v>-5.6350879999999999E-2</v>
      </c>
      <c r="X4775">
        <v>0.9983921</v>
      </c>
      <c r="Y4775">
        <v>7.7372159999999995E-2</v>
      </c>
      <c r="Z4775">
        <v>5.2816509999999997E-2</v>
      </c>
      <c r="AA4775">
        <v>0.99560230000000005</v>
      </c>
      <c r="AB4775">
        <v>22</v>
      </c>
      <c r="AC4775">
        <v>-6.1599999999998503E-2</v>
      </c>
      <c r="AD4775">
        <v>-6.2931000000000001E-2</v>
      </c>
      <c r="AE4775">
        <v>-0.67579999999998097</v>
      </c>
      <c r="AF4775">
        <v>5.8298312200936703E-2</v>
      </c>
      <c r="AG4775">
        <v>-6.2931000000000001E-2</v>
      </c>
      <c r="AH4775">
        <v>0.67028494117501802</v>
      </c>
      <c r="AI4775">
        <v>95.343546778072096</v>
      </c>
      <c r="AJ4775">
        <v>85.029184785308203</v>
      </c>
      <c r="AK4775">
        <v>0.67575210420129295</v>
      </c>
      <c r="AL4775">
        <v>93.230378795196103</v>
      </c>
      <c r="AM4775">
        <v>90.352728289512399</v>
      </c>
      <c r="AN4775">
        <v>0.99999999292724695</v>
      </c>
    </row>
    <row r="4776" spans="1:40" x14ac:dyDescent="0.25">
      <c r="A4776" t="str">
        <f>"20190303154233265"</f>
        <v>20190303154233265</v>
      </c>
      <c r="B4776" t="str">
        <f>"1551598953254508"</f>
        <v>1551598953254508</v>
      </c>
      <c r="C4776" t="s">
        <v>40</v>
      </c>
      <c r="D4776">
        <v>6.0493519999999998</v>
      </c>
      <c r="E4776">
        <v>0.53132049999999997</v>
      </c>
      <c r="F4776" t="s">
        <v>41</v>
      </c>
      <c r="G4776">
        <v>-193.28559999999999</v>
      </c>
      <c r="H4776" s="1">
        <v>-3.200818E-6</v>
      </c>
      <c r="I4776">
        <v>185.01249999999999</v>
      </c>
      <c r="J4776">
        <v>-191.90620000000001</v>
      </c>
      <c r="K4776">
        <v>1.1146</v>
      </c>
      <c r="L4776">
        <v>201.47</v>
      </c>
      <c r="M4776">
        <v>-1.5916570000000001E-2</v>
      </c>
      <c r="N4776">
        <v>-1.5199300000000001E-2</v>
      </c>
      <c r="O4776">
        <v>-0.99975789999999998</v>
      </c>
      <c r="P4776">
        <v>-2.9391859999999999E-3</v>
      </c>
      <c r="Q4776">
        <v>-7.0242410000000005E-2</v>
      </c>
      <c r="R4776">
        <v>-0.99752600000000002</v>
      </c>
      <c r="S4776">
        <v>-0.2501678</v>
      </c>
      <c r="T4776">
        <v>-0.1999117</v>
      </c>
      <c r="U4776">
        <v>-2.9936219999999998</v>
      </c>
      <c r="V4776">
        <v>-1.381398E-2</v>
      </c>
      <c r="W4776">
        <v>-5.4861210000000001E-2</v>
      </c>
      <c r="X4776">
        <v>0.99839840000000002</v>
      </c>
      <c r="Y4776">
        <v>6.7251779999999997E-2</v>
      </c>
      <c r="Z4776">
        <v>5.1264289999999997E-2</v>
      </c>
      <c r="AA4776">
        <v>0.99641820000000003</v>
      </c>
      <c r="AB4776">
        <v>22</v>
      </c>
      <c r="AC4776">
        <v>-1.37939999999997</v>
      </c>
      <c r="AD4776">
        <v>-1.114603200818</v>
      </c>
      <c r="AE4776">
        <v>-16.4575</v>
      </c>
      <c r="AF4776">
        <v>1.11218223132146</v>
      </c>
      <c r="AG4776">
        <v>-1.114603200818</v>
      </c>
      <c r="AH4776">
        <v>16.402661191156302</v>
      </c>
      <c r="AI4776">
        <v>93.878541791776001</v>
      </c>
      <c r="AJ4776">
        <v>86.120997727703198</v>
      </c>
      <c r="AK4776">
        <v>16.4780637140049</v>
      </c>
      <c r="AL4776">
        <v>93.144894787279199</v>
      </c>
      <c r="AM4776">
        <v>90.792701842521694</v>
      </c>
      <c r="AN4776">
        <v>0.99999997176433097</v>
      </c>
    </row>
    <row r="4777" spans="1:40" x14ac:dyDescent="0.25">
      <c r="A4777" t="str">
        <f>"20190303154233288"</f>
        <v>20190303154233288</v>
      </c>
      <c r="B4777" t="str">
        <f>"1551598953284297"</f>
        <v>1551598953284297</v>
      </c>
      <c r="C4777" t="s">
        <v>40</v>
      </c>
      <c r="D4777">
        <v>6.0015260000000001</v>
      </c>
      <c r="E4777">
        <v>0.53063009999999999</v>
      </c>
      <c r="F4777" t="s">
        <v>41</v>
      </c>
      <c r="G4777">
        <v>-193.36850000000001</v>
      </c>
      <c r="H4777" s="1">
        <v>-3.0169840000000001E-6</v>
      </c>
      <c r="I4777">
        <v>184.5325</v>
      </c>
      <c r="J4777">
        <v>-191.9228</v>
      </c>
      <c r="K4777">
        <v>1.1149260000000001</v>
      </c>
      <c r="L4777">
        <v>201.24700000000001</v>
      </c>
      <c r="M4777">
        <v>-2.6897379999999999E-2</v>
      </c>
      <c r="N4777">
        <v>-1.509307E-2</v>
      </c>
      <c r="O4777">
        <v>-0.99952430000000003</v>
      </c>
      <c r="P4777">
        <v>-7.3747269999999898E-3</v>
      </c>
      <c r="Q4777">
        <v>-7.0921880000000007E-2</v>
      </c>
      <c r="R4777">
        <v>-0.99745479999999997</v>
      </c>
      <c r="S4777">
        <v>-0.25839230000000002</v>
      </c>
      <c r="T4777">
        <v>-0.1969455</v>
      </c>
      <c r="U4777">
        <v>-2.9927830000000002</v>
      </c>
      <c r="V4777">
        <v>-2.0299830000000001E-2</v>
      </c>
      <c r="W4777">
        <v>-5.5561920000000001E-2</v>
      </c>
      <c r="X4777">
        <v>0.99824889999999999</v>
      </c>
      <c r="Y4777">
        <v>5.9041370000000003E-2</v>
      </c>
      <c r="Z4777">
        <v>5.0400159999999999E-2</v>
      </c>
      <c r="AA4777">
        <v>0.99698240000000005</v>
      </c>
      <c r="AB4777">
        <v>22</v>
      </c>
      <c r="AC4777">
        <v>-1.44570000000001</v>
      </c>
      <c r="AD4777">
        <v>-1.114929016984</v>
      </c>
      <c r="AE4777">
        <v>-16.714500000000001</v>
      </c>
      <c r="AF4777">
        <v>0.99117193944749105</v>
      </c>
      <c r="AG4777">
        <v>-1.114929016984</v>
      </c>
      <c r="AH4777">
        <v>16.6737031512965</v>
      </c>
      <c r="AI4777">
        <v>93.818809875945504</v>
      </c>
      <c r="AJ4777">
        <v>86.598043259429602</v>
      </c>
      <c r="AK4777">
        <v>16.740306607228401</v>
      </c>
      <c r="AL4777">
        <v>93.1851036348354</v>
      </c>
      <c r="AM4777">
        <v>91.164974285200302</v>
      </c>
      <c r="AN4777">
        <v>1.0000000382016601</v>
      </c>
    </row>
    <row r="4778" spans="1:40" x14ac:dyDescent="0.25">
      <c r="A4778" t="str">
        <f>"20190303154233308"</f>
        <v>20190303154233308</v>
      </c>
      <c r="B4778" t="str">
        <f>"1551598953304792"</f>
        <v>1551598953304792</v>
      </c>
      <c r="C4778" t="s">
        <v>40</v>
      </c>
      <c r="D4778">
        <v>5.96455</v>
      </c>
      <c r="E4778">
        <v>0.5301939</v>
      </c>
      <c r="F4778" t="s">
        <v>41</v>
      </c>
      <c r="G4778">
        <v>-193.3954</v>
      </c>
      <c r="H4778" s="1">
        <v>-3.0943830000000001E-6</v>
      </c>
      <c r="I4778">
        <v>184.69630000000001</v>
      </c>
      <c r="J4778">
        <v>-191.93979999999999</v>
      </c>
      <c r="K4778">
        <v>1.1152409999999999</v>
      </c>
      <c r="L4778">
        <v>201.04079999999999</v>
      </c>
      <c r="M4778">
        <v>-3.6537199999999999E-2</v>
      </c>
      <c r="N4778">
        <v>-1.499286E-2</v>
      </c>
      <c r="O4778">
        <v>-0.99922</v>
      </c>
      <c r="P4778">
        <v>-1.0336980000000001E-2</v>
      </c>
      <c r="Q4778">
        <v>-7.3916510000000005E-2</v>
      </c>
      <c r="R4778">
        <v>-0.99721090000000001</v>
      </c>
      <c r="S4778">
        <v>-0.26615909999999998</v>
      </c>
      <c r="T4778">
        <v>-0.20151230000000001</v>
      </c>
      <c r="U4778">
        <v>-2.9913789999999998</v>
      </c>
      <c r="V4778">
        <v>-2.6947749999999999E-2</v>
      </c>
      <c r="W4778">
        <v>-5.8582919999999997E-2</v>
      </c>
      <c r="X4778">
        <v>0.99791879999999999</v>
      </c>
      <c r="Y4778">
        <v>5.2016499999999903E-2</v>
      </c>
      <c r="Z4778">
        <v>5.2025349999999998E-2</v>
      </c>
      <c r="AA4778">
        <v>0.99729009999999996</v>
      </c>
      <c r="AB4778">
        <v>22</v>
      </c>
      <c r="AC4778">
        <v>-1.4556</v>
      </c>
      <c r="AD4778">
        <v>-1.115244094383</v>
      </c>
      <c r="AE4778">
        <v>-16.344499999999901</v>
      </c>
      <c r="AF4778">
        <v>0.85343639687195005</v>
      </c>
      <c r="AG4778">
        <v>-1.115244094383</v>
      </c>
      <c r="AH4778">
        <v>16.311428178391498</v>
      </c>
      <c r="AI4778">
        <v>93.906010566330494</v>
      </c>
      <c r="AJ4778">
        <v>87.004936900661505</v>
      </c>
      <c r="AK4778">
        <v>16.3717687588234</v>
      </c>
      <c r="AL4778">
        <v>93.358476844843906</v>
      </c>
      <c r="AM4778">
        <v>91.546836482637701</v>
      </c>
      <c r="AN4778">
        <v>1.0000000355696099</v>
      </c>
    </row>
    <row r="4779" spans="1:40" x14ac:dyDescent="0.25">
      <c r="A4779" t="str">
        <f>"20190303154233330"</f>
        <v>20190303154233330</v>
      </c>
      <c r="B4779" t="str">
        <f>"1551598953324312"</f>
        <v>1551598953324312</v>
      </c>
      <c r="C4779" t="s">
        <v>40</v>
      </c>
      <c r="D4779">
        <v>5.9521329999999999</v>
      </c>
      <c r="E4779">
        <v>0.52979779999999999</v>
      </c>
      <c r="F4779" t="s">
        <v>41</v>
      </c>
      <c r="G4779">
        <v>-193.3768</v>
      </c>
      <c r="H4779" s="1">
        <v>-3.311884E-6</v>
      </c>
      <c r="I4779">
        <v>185.2148</v>
      </c>
      <c r="J4779">
        <v>-191.95859999999999</v>
      </c>
      <c r="K4779">
        <v>1.115577</v>
      </c>
      <c r="L4779">
        <v>200.8305</v>
      </c>
      <c r="M4779">
        <v>-4.5830469999999998E-2</v>
      </c>
      <c r="N4779">
        <v>-1.488682E-2</v>
      </c>
      <c r="O4779">
        <v>-0.99883820000000001</v>
      </c>
      <c r="P4779">
        <v>-1.3376290000000001E-2</v>
      </c>
      <c r="Q4779">
        <v>-7.8419349999999999E-2</v>
      </c>
      <c r="R4779">
        <v>-0.99683080000000002</v>
      </c>
      <c r="S4779">
        <v>-0.27148440000000001</v>
      </c>
      <c r="T4779">
        <v>-0.21070040000000001</v>
      </c>
      <c r="U4779">
        <v>-2.98996</v>
      </c>
      <c r="V4779">
        <v>-3.3176270000000001E-2</v>
      </c>
      <c r="W4779">
        <v>-6.3139269999999997E-2</v>
      </c>
      <c r="X4779">
        <v>0.99745320000000004</v>
      </c>
      <c r="Y4779">
        <v>4.4517800000000003E-2</v>
      </c>
      <c r="Z4779">
        <v>5.5179260000000001E-2</v>
      </c>
      <c r="AA4779">
        <v>0.99748360000000003</v>
      </c>
      <c r="AB4779">
        <v>22</v>
      </c>
      <c r="AC4779">
        <v>-1.4182000000000099</v>
      </c>
      <c r="AD4779">
        <v>-1.115580311884</v>
      </c>
      <c r="AE4779">
        <v>-15.6157</v>
      </c>
      <c r="AF4779">
        <v>0.69742493402682404</v>
      </c>
      <c r="AG4779">
        <v>-1.115580311884</v>
      </c>
      <c r="AH4779">
        <v>15.5854005204017</v>
      </c>
      <c r="AI4779">
        <v>94.090086881499104</v>
      </c>
      <c r="AJ4779">
        <v>87.437803086610899</v>
      </c>
      <c r="AK4779">
        <v>15.6408321502471</v>
      </c>
      <c r="AL4779">
        <v>93.620021443536999</v>
      </c>
      <c r="AM4779">
        <v>91.9050114297237</v>
      </c>
      <c r="AN4779">
        <v>1.0000000592487399</v>
      </c>
    </row>
    <row r="4780" spans="1:40" x14ac:dyDescent="0.25">
      <c r="A4780" t="str">
        <f>"20190303154233352"</f>
        <v>20190303154233352</v>
      </c>
      <c r="B4780" t="str">
        <f>"1551598953344811"</f>
        <v>1551598953344811</v>
      </c>
      <c r="C4780" t="s">
        <v>40</v>
      </c>
      <c r="D4780">
        <v>5.9032720000000003</v>
      </c>
      <c r="E4780">
        <v>0.52945120000000001</v>
      </c>
      <c r="F4780" t="s">
        <v>41</v>
      </c>
      <c r="G4780">
        <v>-193.34119999999999</v>
      </c>
      <c r="H4780" s="1">
        <v>-3.6110959999999999E-6</v>
      </c>
      <c r="I4780">
        <v>185.93430000000001</v>
      </c>
      <c r="J4780">
        <v>-191.97989999999999</v>
      </c>
      <c r="K4780">
        <v>1.1159699999999999</v>
      </c>
      <c r="L4780">
        <v>200.60830000000001</v>
      </c>
      <c r="M4780">
        <v>-5.5060659999999997E-2</v>
      </c>
      <c r="N4780">
        <v>-1.477472E-2</v>
      </c>
      <c r="O4780">
        <v>-0.99837370000000003</v>
      </c>
      <c r="P4780">
        <v>-1.696073E-2</v>
      </c>
      <c r="Q4780">
        <v>-8.2775390000000004E-2</v>
      </c>
      <c r="R4780">
        <v>-0.99642399999999998</v>
      </c>
      <c r="S4780">
        <v>-0.27735900000000002</v>
      </c>
      <c r="T4780">
        <v>-0.22378729999999999</v>
      </c>
      <c r="U4780">
        <v>-2.9882049999999998</v>
      </c>
      <c r="V4780">
        <v>-3.8773920000000003E-2</v>
      </c>
      <c r="W4780">
        <v>-6.7578310000000003E-2</v>
      </c>
      <c r="X4780">
        <v>0.99696030000000002</v>
      </c>
      <c r="Y4780">
        <v>3.72602E-2</v>
      </c>
      <c r="Z4780">
        <v>5.9622630000000003E-2</v>
      </c>
      <c r="AA4780">
        <v>0.99752529999999995</v>
      </c>
      <c r="AB4780">
        <v>22</v>
      </c>
      <c r="AC4780">
        <v>-1.3613</v>
      </c>
      <c r="AD4780">
        <v>-1.1159736110959999</v>
      </c>
      <c r="AE4780">
        <v>-14.673999999999999</v>
      </c>
      <c r="AF4780">
        <v>0.54804344331816501</v>
      </c>
      <c r="AG4780">
        <v>-1.1159736110959999</v>
      </c>
      <c r="AH4780">
        <v>14.6427295987466</v>
      </c>
      <c r="AI4780">
        <v>94.355248647145899</v>
      </c>
      <c r="AJ4780">
        <v>87.856552216815402</v>
      </c>
      <c r="AK4780">
        <v>14.6954169324465</v>
      </c>
      <c r="AL4780">
        <v>93.874904948158303</v>
      </c>
      <c r="AM4780">
        <v>92.227232986180397</v>
      </c>
      <c r="AN4780">
        <v>1.0000000423153499</v>
      </c>
    </row>
    <row r="4781" spans="1:40" x14ac:dyDescent="0.25">
      <c r="A4781" t="str">
        <f>"20190303154233375"</f>
        <v>20190303154233375</v>
      </c>
      <c r="B4781" t="str">
        <f>"1551598953364331"</f>
        <v>1551598953364331</v>
      </c>
      <c r="C4781" t="s">
        <v>40</v>
      </c>
      <c r="D4781">
        <v>5.8916979999999999</v>
      </c>
      <c r="E4781">
        <v>0.52915519999999905</v>
      </c>
      <c r="F4781" t="s">
        <v>41</v>
      </c>
      <c r="G4781">
        <v>-193.3263</v>
      </c>
      <c r="H4781" s="1">
        <v>-3.8345019999999999E-6</v>
      </c>
      <c r="I4781">
        <v>186.52080000000001</v>
      </c>
      <c r="J4781">
        <v>-192.00219999999999</v>
      </c>
      <c r="K4781">
        <v>1.1163809999999901</v>
      </c>
      <c r="L4781">
        <v>200.38890000000001</v>
      </c>
      <c r="M4781">
        <v>-6.3557710000000003E-2</v>
      </c>
      <c r="N4781">
        <v>-1.466832E-2</v>
      </c>
      <c r="O4781">
        <v>-0.99787060000000005</v>
      </c>
      <c r="P4781">
        <v>-1.9233219999999999E-2</v>
      </c>
      <c r="Q4781">
        <v>-8.7204450000000003E-2</v>
      </c>
      <c r="R4781">
        <v>-0.99600500000000003</v>
      </c>
      <c r="S4781">
        <v>-0.28541559999999999</v>
      </c>
      <c r="T4781">
        <v>-0.2365623</v>
      </c>
      <c r="U4781">
        <v>-2.9862519999999999</v>
      </c>
      <c r="V4781">
        <v>-4.4937499999999998E-2</v>
      </c>
      <c r="W4781">
        <v>-7.2091749999999996E-2</v>
      </c>
      <c r="X4781">
        <v>0.99638519999999997</v>
      </c>
      <c r="Y4781">
        <v>3.1457649999999997E-2</v>
      </c>
      <c r="Z4781">
        <v>6.394669E-2</v>
      </c>
      <c r="AA4781">
        <v>0.99745740000000005</v>
      </c>
      <c r="AB4781">
        <v>22</v>
      </c>
      <c r="AC4781">
        <v>-1.32410000000001</v>
      </c>
      <c r="AD4781">
        <v>-1.11638483450199</v>
      </c>
      <c r="AE4781">
        <v>-13.868099999999901</v>
      </c>
      <c r="AF4781">
        <v>0.43709608783368398</v>
      </c>
      <c r="AG4781">
        <v>-1.11638483450199</v>
      </c>
      <c r="AH4781">
        <v>13.8353735700792</v>
      </c>
      <c r="AI4781">
        <v>94.610946339080201</v>
      </c>
      <c r="AJ4781">
        <v>88.190476468678099</v>
      </c>
      <c r="AK4781">
        <v>13.887221821241001</v>
      </c>
      <c r="AL4781">
        <v>94.134139168697303</v>
      </c>
      <c r="AM4781">
        <v>92.582320074025105</v>
      </c>
      <c r="AN4781">
        <v>1.0000000330516701</v>
      </c>
    </row>
    <row r="4782" spans="1:40" x14ac:dyDescent="0.25">
      <c r="A4782" t="str">
        <f>"20190303154233398"</f>
        <v>20190303154233398</v>
      </c>
      <c r="B4782" t="str">
        <f>"1551598953394102"</f>
        <v>1551598953394102</v>
      </c>
      <c r="C4782" t="s">
        <v>40</v>
      </c>
      <c r="D4782">
        <v>5.8722379999999896</v>
      </c>
      <c r="E4782">
        <v>0.52871969999999902</v>
      </c>
      <c r="F4782" t="s">
        <v>41</v>
      </c>
      <c r="G4782">
        <v>-193.29660000000001</v>
      </c>
      <c r="H4782" s="1">
        <v>-4.0159680000000001E-6</v>
      </c>
      <c r="I4782">
        <v>187.06950000000001</v>
      </c>
      <c r="J4782">
        <v>-192.0256</v>
      </c>
      <c r="K4782">
        <v>1.1168049999999901</v>
      </c>
      <c r="L4782">
        <v>200.17060000000001</v>
      </c>
      <c r="M4782">
        <v>-7.1319010000000002E-2</v>
      </c>
      <c r="N4782">
        <v>-1.456636E-2</v>
      </c>
      <c r="O4782">
        <v>-0.99734719999999999</v>
      </c>
      <c r="P4782">
        <v>-2.0666509999999999E-2</v>
      </c>
      <c r="Q4782">
        <v>-8.9658710000000003E-2</v>
      </c>
      <c r="R4782">
        <v>-0.99575829999999999</v>
      </c>
      <c r="S4782">
        <v>-0.29003909999999899</v>
      </c>
      <c r="T4782">
        <v>-0.25015399999999999</v>
      </c>
      <c r="U4782">
        <v>-2.9845429999999999</v>
      </c>
      <c r="V4782">
        <v>-5.1181850000000001E-2</v>
      </c>
      <c r="W4782">
        <v>-7.4636750000000002E-2</v>
      </c>
      <c r="X4782">
        <v>0.99589649999999996</v>
      </c>
      <c r="Y4782">
        <v>2.5240209999999999E-2</v>
      </c>
      <c r="Z4782">
        <v>6.8523870000000001E-2</v>
      </c>
      <c r="AA4782">
        <v>0.9973301</v>
      </c>
      <c r="AB4782">
        <v>22</v>
      </c>
      <c r="AC4782">
        <v>-1.2710000000000099</v>
      </c>
      <c r="AD4782">
        <v>-1.11680901596799</v>
      </c>
      <c r="AE4782">
        <v>-13.101100000000001</v>
      </c>
      <c r="AF4782">
        <v>0.33092383837039502</v>
      </c>
      <c r="AG4782">
        <v>-1.11680901596799</v>
      </c>
      <c r="AH4782">
        <v>13.064337252365499</v>
      </c>
      <c r="AI4782">
        <v>94.884509783248603</v>
      </c>
      <c r="AJ4782">
        <v>88.548989873178002</v>
      </c>
      <c r="AK4782">
        <v>13.1161610545348</v>
      </c>
      <c r="AL4782">
        <v>94.280350975177498</v>
      </c>
      <c r="AM4782">
        <v>92.941998778449403</v>
      </c>
      <c r="AN4782">
        <v>1.00000003246611</v>
      </c>
    </row>
    <row r="4783" spans="1:40" x14ac:dyDescent="0.25">
      <c r="A4783" t="str">
        <f>"20190303154233419"</f>
        <v>20190303154233419</v>
      </c>
      <c r="B4783" t="str">
        <f>"1551598953414598"</f>
        <v>1551598953414598</v>
      </c>
      <c r="C4783" t="s">
        <v>40</v>
      </c>
      <c r="D4783">
        <v>5.8630699999999996</v>
      </c>
      <c r="E4783">
        <v>0.52845589999999998</v>
      </c>
      <c r="F4783" t="s">
        <v>42</v>
      </c>
      <c r="G4783">
        <v>-192.1138</v>
      </c>
      <c r="H4783">
        <v>1.0389389999999901</v>
      </c>
      <c r="I4783">
        <v>199.267</v>
      </c>
      <c r="J4783">
        <v>-192.0487</v>
      </c>
      <c r="K4783">
        <v>1.117221</v>
      </c>
      <c r="L4783">
        <v>199.96340000000001</v>
      </c>
      <c r="M4783">
        <v>-7.8050209999999995E-2</v>
      </c>
      <c r="N4783">
        <v>-1.4472189999999999E-2</v>
      </c>
      <c r="O4783">
        <v>-0.99684450000000002</v>
      </c>
      <c r="P4783">
        <v>-2.1709220000000001E-2</v>
      </c>
      <c r="Q4783">
        <v>-9.0816859999999999E-2</v>
      </c>
      <c r="R4783">
        <v>-0.99563100000000004</v>
      </c>
      <c r="S4783">
        <v>-0.29067989999999999</v>
      </c>
      <c r="T4783">
        <v>-0.25697120000000001</v>
      </c>
      <c r="U4783">
        <v>-2.9836269999999998</v>
      </c>
      <c r="V4783">
        <v>-5.6783470000000003E-2</v>
      </c>
      <c r="W4783">
        <v>-7.5892390000000004E-2</v>
      </c>
      <c r="X4783">
        <v>0.99549790000000005</v>
      </c>
      <c r="Y4783">
        <v>1.8721479999999999E-2</v>
      </c>
      <c r="Z4783">
        <v>7.0837049999999999E-2</v>
      </c>
      <c r="AA4783">
        <v>0.99731219999999998</v>
      </c>
      <c r="AB4783">
        <v>22</v>
      </c>
      <c r="AC4783">
        <v>-6.5100000000001004E-2</v>
      </c>
      <c r="AD4783">
        <v>-7.8282000000000102E-2</v>
      </c>
      <c r="AE4783">
        <v>-0.69640000000001101</v>
      </c>
      <c r="AF4783">
        <v>1.0411099440460101E-2</v>
      </c>
      <c r="AG4783">
        <v>-7.8282000000000102E-2</v>
      </c>
      <c r="AH4783">
        <v>0.69070466755134396</v>
      </c>
      <c r="AI4783">
        <v>96.465378970296001</v>
      </c>
      <c r="AJ4783">
        <v>89.136437154179902</v>
      </c>
      <c r="AK4783">
        <v>0.69520457441876204</v>
      </c>
      <c r="AL4783">
        <v>94.3524984430465</v>
      </c>
      <c r="AM4783">
        <v>93.264629266380098</v>
      </c>
      <c r="AN4783">
        <v>1.00000004311478</v>
      </c>
    </row>
    <row r="4784" spans="1:40" x14ac:dyDescent="0.25">
      <c r="A4784" t="str">
        <f>"20190303154233441"</f>
        <v>20190303154233441</v>
      </c>
      <c r="B4784" t="str">
        <f>"1551598953435093"</f>
        <v>1551598953435093</v>
      </c>
      <c r="C4784" t="s">
        <v>40</v>
      </c>
      <c r="D4784">
        <v>5.8701220000000003</v>
      </c>
      <c r="E4784">
        <v>0.52819769999999999</v>
      </c>
      <c r="F4784" t="s">
        <v>42</v>
      </c>
      <c r="G4784">
        <v>-192.13589999999999</v>
      </c>
      <c r="H4784">
        <v>1.039641</v>
      </c>
      <c r="I4784">
        <v>199.072</v>
      </c>
      <c r="J4784">
        <v>-192.0745</v>
      </c>
      <c r="K4784">
        <v>1.1176250000000001</v>
      </c>
      <c r="L4784">
        <v>199.7396</v>
      </c>
      <c r="M4784">
        <v>-8.4726250000000003E-2</v>
      </c>
      <c r="N4784">
        <v>-1.4376689999999999E-2</v>
      </c>
      <c r="O4784">
        <v>-0.99630059999999998</v>
      </c>
      <c r="P4784">
        <v>-2.329701E-2</v>
      </c>
      <c r="Q4784">
        <v>-8.8755189999999998E-2</v>
      </c>
      <c r="R4784">
        <v>-0.99578120000000003</v>
      </c>
      <c r="S4784">
        <v>-0.29173280000000001</v>
      </c>
      <c r="T4784">
        <v>-0.25960800000000001</v>
      </c>
      <c r="U4784">
        <v>-2.9831089999999998</v>
      </c>
      <c r="V4784">
        <v>-6.1785560000000003E-2</v>
      </c>
      <c r="W4784">
        <v>-7.3938299999999998E-2</v>
      </c>
      <c r="X4784">
        <v>0.99534699999999998</v>
      </c>
      <c r="Y4784">
        <v>1.2386909999999999E-2</v>
      </c>
      <c r="Z4784">
        <v>7.175281E-2</v>
      </c>
      <c r="AA4784">
        <v>0.9973455</v>
      </c>
      <c r="AB4784">
        <v>22</v>
      </c>
      <c r="AC4784">
        <v>-6.1399999999991899E-2</v>
      </c>
      <c r="AD4784">
        <v>-7.7983999999999998E-2</v>
      </c>
      <c r="AE4784">
        <v>-0.66759999999999298</v>
      </c>
      <c r="AF4784">
        <v>4.5485435592001796E-3</v>
      </c>
      <c r="AG4784">
        <v>-7.7983999999999998E-2</v>
      </c>
      <c r="AH4784">
        <v>0.66145181515486995</v>
      </c>
      <c r="AI4784">
        <v>96.723873607124702</v>
      </c>
      <c r="AJ4784">
        <v>89.606005705784199</v>
      </c>
      <c r="AK4784">
        <v>0.66604856975762805</v>
      </c>
      <c r="AL4784">
        <v>94.240222040809996</v>
      </c>
      <c r="AM4784">
        <v>93.552043084427794</v>
      </c>
      <c r="AN4784">
        <v>0.99999998902020104</v>
      </c>
    </row>
    <row r="4785" spans="1:40" x14ac:dyDescent="0.25">
      <c r="A4785" t="str">
        <f>"20190303154233465"</f>
        <v>20190303154233465</v>
      </c>
      <c r="B4785" t="str">
        <f>"1551598953454616"</f>
        <v>1551598953454616</v>
      </c>
      <c r="C4785" t="s">
        <v>40</v>
      </c>
      <c r="D4785">
        <v>5.8386750000000003</v>
      </c>
      <c r="E4785">
        <v>0.52792380000000005</v>
      </c>
      <c r="F4785" t="s">
        <v>41</v>
      </c>
      <c r="G4785">
        <v>-193.37479999999999</v>
      </c>
      <c r="H4785" s="1">
        <v>-3.8588939999999999E-6</v>
      </c>
      <c r="I4785">
        <v>186.56720000000001</v>
      </c>
      <c r="J4785">
        <v>-192.1011</v>
      </c>
      <c r="K4785">
        <v>1.1179840000000001</v>
      </c>
      <c r="L4785">
        <v>199.5154</v>
      </c>
      <c r="M4785">
        <v>-9.0831609999999993E-2</v>
      </c>
      <c r="N4785">
        <v>-1.4288739999999999E-2</v>
      </c>
      <c r="O4785">
        <v>-0.99576379999999998</v>
      </c>
      <c r="P4785">
        <v>-2.6000599999999999E-2</v>
      </c>
      <c r="Q4785">
        <v>-8.7845619999999999E-2</v>
      </c>
      <c r="R4785">
        <v>-0.99579479999999998</v>
      </c>
      <c r="S4785">
        <v>-0.2944946</v>
      </c>
      <c r="T4785">
        <v>-0.25311719999999999</v>
      </c>
      <c r="U4785">
        <v>-2.9832459999999998</v>
      </c>
      <c r="V4785">
        <v>-6.5119919999999998E-2</v>
      </c>
      <c r="W4785">
        <v>-7.3143710000000001E-2</v>
      </c>
      <c r="X4785">
        <v>0.99519310000000005</v>
      </c>
      <c r="Y4785">
        <v>7.1863469999999896E-3</v>
      </c>
      <c r="Z4785">
        <v>6.9633959999999995E-2</v>
      </c>
      <c r="AA4785">
        <v>0.99754670000000001</v>
      </c>
      <c r="AB4785">
        <v>22</v>
      </c>
      <c r="AC4785">
        <v>-1.2736999999999901</v>
      </c>
      <c r="AD4785">
        <v>-1.117987858894</v>
      </c>
      <c r="AE4785">
        <v>-12.9481999999999</v>
      </c>
      <c r="AF4785">
        <v>9.1532064597432003E-2</v>
      </c>
      <c r="AG4785">
        <v>-1.117987858894</v>
      </c>
      <c r="AH4785">
        <v>12.915008306677899</v>
      </c>
      <c r="AI4785">
        <v>94.947352875965706</v>
      </c>
      <c r="AJ4785">
        <v>89.593936522367201</v>
      </c>
      <c r="AK4785">
        <v>12.9636304534279</v>
      </c>
      <c r="AL4785">
        <v>94.194571911114096</v>
      </c>
      <c r="AM4785">
        <v>93.743781092270893</v>
      </c>
      <c r="AN4785">
        <v>0.99999995629048899</v>
      </c>
    </row>
    <row r="4786" spans="1:40" x14ac:dyDescent="0.25">
      <c r="A4786" t="str">
        <f>"20190303154233487"</f>
        <v>20190303154233487</v>
      </c>
      <c r="B4786" t="str">
        <f>"1551598953484869"</f>
        <v>1551598953484869</v>
      </c>
      <c r="C4786" t="s">
        <v>40</v>
      </c>
      <c r="D4786">
        <v>5.8076489999999996</v>
      </c>
      <c r="E4786">
        <v>0.52756950000000002</v>
      </c>
      <c r="F4786" t="s">
        <v>41</v>
      </c>
      <c r="G4786">
        <v>-193.44409999999999</v>
      </c>
      <c r="H4786" s="1">
        <v>-3.736839E-6</v>
      </c>
      <c r="I4786">
        <v>186.17240000000001</v>
      </c>
      <c r="J4786">
        <v>-192.12700000000001</v>
      </c>
      <c r="K4786">
        <v>1.118317</v>
      </c>
      <c r="L4786">
        <v>199.30289999999999</v>
      </c>
      <c r="M4786">
        <v>-9.6049389999999998E-2</v>
      </c>
      <c r="N4786">
        <v>-1.421091E-2</v>
      </c>
      <c r="O4786">
        <v>-0.99527529999999997</v>
      </c>
      <c r="P4786">
        <v>-2.7731289999999999E-2</v>
      </c>
      <c r="Q4786">
        <v>-8.6366399999999996E-2</v>
      </c>
      <c r="R4786">
        <v>-0.99587740000000002</v>
      </c>
      <c r="S4786">
        <v>-0.3002167</v>
      </c>
      <c r="T4786">
        <v>-0.24992639999999999</v>
      </c>
      <c r="U4786">
        <v>-2.9828190000000001</v>
      </c>
      <c r="V4786">
        <v>-6.8548810000000002E-2</v>
      </c>
      <c r="W4786">
        <v>-7.1768960000000007E-2</v>
      </c>
      <c r="X4786">
        <v>0.99506289999999997</v>
      </c>
      <c r="Y4786">
        <v>3.863488E-3</v>
      </c>
      <c r="Z4786">
        <v>6.8609569999999995E-2</v>
      </c>
      <c r="AA4786">
        <v>0.99763610000000003</v>
      </c>
      <c r="AB4786">
        <v>22</v>
      </c>
      <c r="AC4786">
        <v>-1.31709999999998</v>
      </c>
      <c r="AD4786">
        <v>-1.118320736839</v>
      </c>
      <c r="AE4786">
        <v>-13.1304999999999</v>
      </c>
      <c r="AF4786">
        <v>4.9351171359154997E-2</v>
      </c>
      <c r="AG4786">
        <v>-1.118320736839</v>
      </c>
      <c r="AH4786">
        <v>13.1022041561608</v>
      </c>
      <c r="AI4786">
        <v>94.878544266935293</v>
      </c>
      <c r="AJ4786">
        <v>89.784188948130193</v>
      </c>
      <c r="AK4786">
        <v>13.149936522975199</v>
      </c>
      <c r="AL4786">
        <v>94.115596979701493</v>
      </c>
      <c r="AM4786">
        <v>93.940818367546001</v>
      </c>
      <c r="AN4786">
        <v>0.99999994896415201</v>
      </c>
    </row>
    <row r="4787" spans="1:40" x14ac:dyDescent="0.25">
      <c r="A4787" t="str">
        <f>"20190303154233508"</f>
        <v>20190303154233508</v>
      </c>
      <c r="B4787" t="str">
        <f>"1551598953504390"</f>
        <v>1551598953504390</v>
      </c>
      <c r="C4787" t="s">
        <v>40</v>
      </c>
      <c r="D4787">
        <v>5.8176360000000003</v>
      </c>
      <c r="E4787">
        <v>0.52732309999999905</v>
      </c>
      <c r="F4787" t="s">
        <v>41</v>
      </c>
      <c r="G4787">
        <v>-193.51499999999999</v>
      </c>
      <c r="H4787" s="1">
        <v>-3.5261329999999999E-6</v>
      </c>
      <c r="I4787">
        <v>185.6285</v>
      </c>
      <c r="J4787">
        <v>-192.15199999999999</v>
      </c>
      <c r="K4787">
        <v>1.1186480000000001</v>
      </c>
      <c r="L4787">
        <v>199.10230000000001</v>
      </c>
      <c r="M4787">
        <v>-0.1004351</v>
      </c>
      <c r="N4787">
        <v>-1.4130800000000001E-2</v>
      </c>
      <c r="O4787">
        <v>-0.99484320000000004</v>
      </c>
      <c r="P4787">
        <v>-2.9630489999999999E-2</v>
      </c>
      <c r="Q4787">
        <v>-8.5382269999999996E-2</v>
      </c>
      <c r="R4787">
        <v>-0.99590769999999995</v>
      </c>
      <c r="S4787">
        <v>-0.30274959999999901</v>
      </c>
      <c r="T4787">
        <v>-0.24394379999999999</v>
      </c>
      <c r="U4787">
        <v>-2.982834</v>
      </c>
      <c r="V4787">
        <v>-7.098235E-2</v>
      </c>
      <c r="W4787">
        <v>-7.090341E-2</v>
      </c>
      <c r="X4787">
        <v>0.99495429999999996</v>
      </c>
      <c r="Y4787">
        <v>3.0997719999999998E-4</v>
      </c>
      <c r="Z4787">
        <v>6.6667879999999999E-2</v>
      </c>
      <c r="AA4787">
        <v>0.99777519999999997</v>
      </c>
      <c r="AB4787">
        <v>21</v>
      </c>
      <c r="AC4787">
        <v>-1.36299999999997</v>
      </c>
      <c r="AD4787">
        <v>-1.1186515261329999</v>
      </c>
      <c r="AE4787">
        <v>-13.473800000000001</v>
      </c>
      <c r="AF4787">
        <v>2.71060885462137E-3</v>
      </c>
      <c r="AG4787">
        <v>-1.1186515261329999</v>
      </c>
      <c r="AH4787">
        <v>13.4507869587274</v>
      </c>
      <c r="AI4787">
        <v>94.754134379708404</v>
      </c>
      <c r="AJ4787">
        <v>89.9884537279748</v>
      </c>
      <c r="AK4787">
        <v>13.4972240995469</v>
      </c>
      <c r="AL4787">
        <v>94.065878050303297</v>
      </c>
      <c r="AM4787">
        <v>94.080700103894102</v>
      </c>
      <c r="AN4787">
        <v>0.99999992332481702</v>
      </c>
    </row>
    <row r="4788" spans="1:40" x14ac:dyDescent="0.25">
      <c r="A4788" t="str">
        <f>"20190303154233531"</f>
        <v>20190303154233531</v>
      </c>
      <c r="B4788" t="str">
        <f>"1551598953524887"</f>
        <v>1551598953524887</v>
      </c>
      <c r="C4788" t="s">
        <v>40</v>
      </c>
      <c r="D4788">
        <v>5.8181629999999904</v>
      </c>
      <c r="E4788">
        <v>0.52706909999999996</v>
      </c>
      <c r="F4788" t="s">
        <v>41</v>
      </c>
      <c r="G4788">
        <v>-193.58090000000001</v>
      </c>
      <c r="H4788" s="1">
        <v>-3.3588860000000002E-6</v>
      </c>
      <c r="I4788">
        <v>185.1978</v>
      </c>
      <c r="J4788">
        <v>-192.18010000000001</v>
      </c>
      <c r="K4788">
        <v>1.119032</v>
      </c>
      <c r="L4788">
        <v>198.8793</v>
      </c>
      <c r="M4788">
        <v>-0.1047182</v>
      </c>
      <c r="N4788">
        <v>-1.399686E-2</v>
      </c>
      <c r="O4788">
        <v>-0.9944037</v>
      </c>
      <c r="P4788">
        <v>-3.2248720000000002E-2</v>
      </c>
      <c r="Q4788">
        <v>-8.5216719999999996E-2</v>
      </c>
      <c r="R4788">
        <v>-0.99584079999999997</v>
      </c>
      <c r="S4788">
        <v>-0.30651859999999997</v>
      </c>
      <c r="T4788">
        <v>-0.23995920000000001</v>
      </c>
      <c r="U4788">
        <v>-2.9826350000000001</v>
      </c>
      <c r="V4788">
        <v>-7.2583330000000001E-2</v>
      </c>
      <c r="W4788">
        <v>-7.0930499999999994E-2</v>
      </c>
      <c r="X4788">
        <v>0.99483690000000002</v>
      </c>
      <c r="Y4788">
        <v>-2.7313680000000001E-3</v>
      </c>
      <c r="Z4788">
        <v>6.544121E-2</v>
      </c>
      <c r="AA4788">
        <v>0.99785270000000004</v>
      </c>
      <c r="AB4788">
        <v>21</v>
      </c>
      <c r="AC4788">
        <v>-1.4008</v>
      </c>
      <c r="AD4788">
        <v>-1.119035358886</v>
      </c>
      <c r="AE4788">
        <v>-13.6815</v>
      </c>
      <c r="AF4788">
        <v>-3.94838303051121E-2</v>
      </c>
      <c r="AG4788">
        <v>-1.119035358886</v>
      </c>
      <c r="AH4788">
        <v>13.662514310795199</v>
      </c>
      <c r="AI4788">
        <v>94.682369273253798</v>
      </c>
      <c r="AJ4788">
        <v>90.165580835718202</v>
      </c>
      <c r="AK4788">
        <v>13.7083221584546</v>
      </c>
      <c r="AL4788">
        <v>94.0674339345357</v>
      </c>
      <c r="AM4788">
        <v>94.1729079090765</v>
      </c>
      <c r="AN4788">
        <v>0.99999996661287305</v>
      </c>
    </row>
    <row r="4789" spans="1:40" x14ac:dyDescent="0.25">
      <c r="A4789" t="str">
        <f>"20190303154233554"</f>
        <v>20190303154233554</v>
      </c>
      <c r="B4789" t="str">
        <f>"1551598953544408"</f>
        <v>1551598953544408</v>
      </c>
      <c r="C4789" t="s">
        <v>40</v>
      </c>
      <c r="D4789">
        <v>5.8235679999999999</v>
      </c>
      <c r="E4789">
        <v>0.52680780000000005</v>
      </c>
      <c r="F4789" t="s">
        <v>41</v>
      </c>
      <c r="G4789">
        <v>-193.64169999999999</v>
      </c>
      <c r="H4789" s="1">
        <v>-3.255477E-6</v>
      </c>
      <c r="I4789">
        <v>184.91900000000001</v>
      </c>
      <c r="J4789">
        <v>-192.20769999999999</v>
      </c>
      <c r="K4789">
        <v>1.1194120000000001</v>
      </c>
      <c r="L4789">
        <v>198.66130000000001</v>
      </c>
      <c r="M4789">
        <v>-0.10832070000000001</v>
      </c>
      <c r="N4789">
        <v>-1.37962E-2</v>
      </c>
      <c r="O4789">
        <v>-0.99402049999999997</v>
      </c>
      <c r="P4789">
        <v>-3.4858189999999997E-2</v>
      </c>
      <c r="Q4789">
        <v>-8.4587029999999994E-2</v>
      </c>
      <c r="R4789">
        <v>-0.99580639999999998</v>
      </c>
      <c r="S4789">
        <v>-0.31221009999999999</v>
      </c>
      <c r="T4789">
        <v>-0.23902770000000001</v>
      </c>
      <c r="U4789">
        <v>-2.9819339999999999</v>
      </c>
      <c r="V4789">
        <v>-7.3516410000000004E-2</v>
      </c>
      <c r="W4789">
        <v>-7.056548E-2</v>
      </c>
      <c r="X4789">
        <v>0.99479439999999997</v>
      </c>
      <c r="Y4789">
        <v>-4.444379E-3</v>
      </c>
      <c r="Z4789">
        <v>6.5302579999999999E-2</v>
      </c>
      <c r="AA4789">
        <v>0.99785559999999995</v>
      </c>
      <c r="AB4789">
        <v>21</v>
      </c>
      <c r="AC4789">
        <v>-1.4339999999999899</v>
      </c>
      <c r="AD4789">
        <v>-1.119415255477</v>
      </c>
      <c r="AE4789">
        <v>-13.7423</v>
      </c>
      <c r="AF4789">
        <v>-6.2744308955520994E-2</v>
      </c>
      <c r="AG4789">
        <v>-1.119415255477</v>
      </c>
      <c r="AH4789">
        <v>13.726671431923901</v>
      </c>
      <c r="AI4789">
        <v>94.662127090024597</v>
      </c>
      <c r="AJ4789">
        <v>90.261895906235395</v>
      </c>
      <c r="AK4789">
        <v>13.7723830894474</v>
      </c>
      <c r="AL4789">
        <v>94.046467058358999</v>
      </c>
      <c r="AM4789">
        <v>94.226538619980104</v>
      </c>
      <c r="AN4789">
        <v>1.00000002388913</v>
      </c>
    </row>
    <row r="4790" spans="1:40" x14ac:dyDescent="0.25">
      <c r="A4790" t="str">
        <f>"20190303154233575"</f>
        <v>20190303154233575</v>
      </c>
      <c r="B4790" t="str">
        <f>"1551598953564905"</f>
        <v>1551598953564905</v>
      </c>
      <c r="C4790" t="s">
        <v>40</v>
      </c>
      <c r="D4790">
        <v>5.826308</v>
      </c>
      <c r="E4790">
        <v>0.52654899999999905</v>
      </c>
      <c r="F4790" t="s">
        <v>41</v>
      </c>
      <c r="G4790">
        <v>-193.71039999999999</v>
      </c>
      <c r="H4790" s="1">
        <v>-3.121321E-6</v>
      </c>
      <c r="I4790">
        <v>184.56370000000001</v>
      </c>
      <c r="J4790">
        <v>-192.23400000000001</v>
      </c>
      <c r="K4790">
        <v>1.1197490000000001</v>
      </c>
      <c r="L4790">
        <v>198.4539</v>
      </c>
      <c r="M4790">
        <v>-0.1112143</v>
      </c>
      <c r="N4790">
        <v>-1.3554109999999999E-2</v>
      </c>
      <c r="O4790">
        <v>-0.99370440000000004</v>
      </c>
      <c r="P4790">
        <v>-3.5332179999999998E-2</v>
      </c>
      <c r="Q4790">
        <v>-8.3773879999999995E-2</v>
      </c>
      <c r="R4790">
        <v>-0.99585869999999999</v>
      </c>
      <c r="S4790">
        <v>-0.31781009999999998</v>
      </c>
      <c r="T4790">
        <v>-0.23673839999999999</v>
      </c>
      <c r="U4790">
        <v>-2.9814150000000001</v>
      </c>
      <c r="V4790">
        <v>-7.5880299999999998E-2</v>
      </c>
      <c r="W4790">
        <v>-7.005074E-2</v>
      </c>
      <c r="X4790">
        <v>0.99465320000000002</v>
      </c>
      <c r="Y4790">
        <v>-5.4795909999999998E-3</v>
      </c>
      <c r="Z4790">
        <v>6.476171E-2</v>
      </c>
      <c r="AA4790">
        <v>0.99788569999999999</v>
      </c>
      <c r="AB4790">
        <v>21</v>
      </c>
      <c r="AC4790">
        <v>-1.47639999999998</v>
      </c>
      <c r="AD4790">
        <v>-1.119752121321</v>
      </c>
      <c r="AE4790">
        <v>-13.890199999999901</v>
      </c>
      <c r="AF4790">
        <v>-7.7194739160782996E-2</v>
      </c>
      <c r="AG4790">
        <v>-1.119752121321</v>
      </c>
      <c r="AH4790">
        <v>13.8790392642853</v>
      </c>
      <c r="AI4790">
        <v>94.612525533035196</v>
      </c>
      <c r="AJ4790">
        <v>90.318673869470601</v>
      </c>
      <c r="AK4790">
        <v>13.924350424365601</v>
      </c>
      <c r="AL4790">
        <v>94.0169017322645</v>
      </c>
      <c r="AM4790">
        <v>94.362541681996404</v>
      </c>
      <c r="AN4790">
        <v>0.99999995718643697</v>
      </c>
    </row>
    <row r="4791" spans="1:40" x14ac:dyDescent="0.25">
      <c r="A4791" t="str">
        <f>"20190303154233598"</f>
        <v>20190303154233598</v>
      </c>
      <c r="B4791" t="str">
        <f>"1551598953594181"</f>
        <v>1551598953594181</v>
      </c>
      <c r="C4791" t="s">
        <v>40</v>
      </c>
      <c r="D4791">
        <v>5.8362020000000001</v>
      </c>
      <c r="E4791">
        <v>0.51542979999999905</v>
      </c>
      <c r="F4791" t="s">
        <v>41</v>
      </c>
      <c r="G4791">
        <v>-193.75120000000001</v>
      </c>
      <c r="H4791" s="1">
        <v>-2.9749769999999999E-6</v>
      </c>
      <c r="I4791">
        <v>184.19730000000001</v>
      </c>
      <c r="J4791">
        <v>-192.26009999999999</v>
      </c>
      <c r="K4791">
        <v>1.120023</v>
      </c>
      <c r="L4791">
        <v>198.24760000000001</v>
      </c>
      <c r="M4791">
        <v>-0.1135742</v>
      </c>
      <c r="N4791">
        <v>-1.3272519999999999E-2</v>
      </c>
      <c r="O4791">
        <v>-0.99344109999999997</v>
      </c>
      <c r="P4791">
        <v>-3.3582939999999999E-2</v>
      </c>
      <c r="Q4791">
        <v>-8.4344740000000001E-2</v>
      </c>
      <c r="R4791">
        <v>-0.9958709</v>
      </c>
      <c r="S4791">
        <v>-0.3172913</v>
      </c>
      <c r="T4791">
        <v>-0.234177</v>
      </c>
      <c r="U4791">
        <v>-2.981522</v>
      </c>
      <c r="V4791">
        <v>-7.9928269999999996E-2</v>
      </c>
      <c r="W4791">
        <v>-7.0953730000000007E-2</v>
      </c>
      <c r="X4791">
        <v>0.99427209999999999</v>
      </c>
      <c r="Y4791">
        <v>-8.0243199999999997E-3</v>
      </c>
      <c r="Z4791">
        <v>6.4166989999999993E-2</v>
      </c>
      <c r="AA4791">
        <v>0.99790690000000004</v>
      </c>
      <c r="AB4791">
        <v>21</v>
      </c>
      <c r="AC4791">
        <v>-1.4911000000000101</v>
      </c>
      <c r="AD4791">
        <v>-1.1200259749770001</v>
      </c>
      <c r="AE4791">
        <v>-14.050299999999901</v>
      </c>
      <c r="AF4791">
        <v>-0.113726975797297</v>
      </c>
      <c r="AG4791">
        <v>-1.1200259749770001</v>
      </c>
      <c r="AH4791">
        <v>14.0405096323623</v>
      </c>
      <c r="AI4791">
        <v>94.560736700497202</v>
      </c>
      <c r="AJ4791">
        <v>90.464080963049497</v>
      </c>
      <c r="AK4791">
        <v>14.0855707284478</v>
      </c>
      <c r="AL4791">
        <v>94.068768204633898</v>
      </c>
      <c r="AM4791">
        <v>94.596051445467097</v>
      </c>
      <c r="AN4791">
        <v>0.99999998449225702</v>
      </c>
    </row>
    <row r="4792" spans="1:40" x14ac:dyDescent="0.25">
      <c r="A4792" t="str">
        <f>"20190303154233620"</f>
        <v>20190303154233620</v>
      </c>
      <c r="B4792" t="str">
        <f>"1551598953614678"</f>
        <v>1551598953614678</v>
      </c>
      <c r="C4792" t="s">
        <v>40</v>
      </c>
      <c r="D4792">
        <v>5.8297600000000003</v>
      </c>
      <c r="E4792">
        <v>0.51524989999999904</v>
      </c>
      <c r="F4792" t="s">
        <v>41</v>
      </c>
      <c r="G4792">
        <v>-193.46979999999999</v>
      </c>
      <c r="H4792" s="1">
        <v>-1.9747630000000002E-6</v>
      </c>
      <c r="I4792">
        <v>182.0403</v>
      </c>
      <c r="J4792">
        <v>-192.28749999999999</v>
      </c>
      <c r="K4792">
        <v>1.1202190000000001</v>
      </c>
      <c r="L4792">
        <v>198.0309</v>
      </c>
      <c r="M4792">
        <v>-0.11560189999999999</v>
      </c>
      <c r="N4792">
        <v>-1.293039E-2</v>
      </c>
      <c r="O4792">
        <v>-0.99321139999999997</v>
      </c>
      <c r="P4792">
        <v>-3.0681630000000001E-2</v>
      </c>
      <c r="Q4792">
        <v>-8.4445039999999999E-2</v>
      </c>
      <c r="R4792">
        <v>-0.99595579999999995</v>
      </c>
      <c r="S4792">
        <v>-0.2229767</v>
      </c>
      <c r="T4792">
        <v>-0.20644989999999999</v>
      </c>
      <c r="U4792">
        <v>-2.9874420000000002</v>
      </c>
      <c r="V4792">
        <v>-8.4803840000000005E-2</v>
      </c>
      <c r="W4792">
        <v>-7.1439500000000003E-2</v>
      </c>
      <c r="X4792">
        <v>0.99383339999999998</v>
      </c>
      <c r="Y4792">
        <v>-4.1451549999999997E-2</v>
      </c>
      <c r="Z4792">
        <v>5.5276110000000003E-2</v>
      </c>
      <c r="AA4792">
        <v>0.99761029999999995</v>
      </c>
      <c r="AB4792">
        <v>22</v>
      </c>
      <c r="AC4792">
        <v>-1.1822999999999899</v>
      </c>
      <c r="AD4792">
        <v>-1.1202209747630001</v>
      </c>
      <c r="AE4792">
        <v>-15.990600000000001</v>
      </c>
      <c r="AF4792">
        <v>-0.67105090906575904</v>
      </c>
      <c r="AG4792">
        <v>-1.1202209747630001</v>
      </c>
      <c r="AH4792">
        <v>15.942248238138999</v>
      </c>
      <c r="AI4792">
        <v>94.015876717006194</v>
      </c>
      <c r="AJ4792">
        <v>92.410306313027405</v>
      </c>
      <c r="AK4792">
        <v>15.9956395071064</v>
      </c>
      <c r="AL4792">
        <v>94.096671275875906</v>
      </c>
      <c r="AM4792">
        <v>94.877236434471101</v>
      </c>
      <c r="AN4792">
        <v>1.0000000601972701</v>
      </c>
    </row>
    <row r="4793" spans="1:40" x14ac:dyDescent="0.25">
      <c r="A4793" t="str">
        <f>"20190303154233642"</f>
        <v>20190303154233642</v>
      </c>
      <c r="B4793" t="str">
        <f>"1551598953635173"</f>
        <v>1551598953635173</v>
      </c>
      <c r="C4793" t="s">
        <v>40</v>
      </c>
      <c r="D4793">
        <v>5.8391650000000004</v>
      </c>
      <c r="E4793">
        <v>0.51514420000000005</v>
      </c>
      <c r="F4793" t="s">
        <v>41</v>
      </c>
      <c r="G4793">
        <v>-193.4324</v>
      </c>
      <c r="H4793" s="1">
        <v>-1.9312140000000002E-6</v>
      </c>
      <c r="I4793">
        <v>181.96190000000001</v>
      </c>
      <c r="J4793">
        <v>-192.31540000000001</v>
      </c>
      <c r="K4793">
        <v>1.1203259999999999</v>
      </c>
      <c r="L4793">
        <v>197.8107</v>
      </c>
      <c r="M4793">
        <v>-0.1173352</v>
      </c>
      <c r="N4793">
        <v>-1.255937E-2</v>
      </c>
      <c r="O4793">
        <v>-0.99301280000000003</v>
      </c>
      <c r="P4793">
        <v>-3.0382289999999999E-2</v>
      </c>
      <c r="Q4793">
        <v>-8.2238229999999996E-2</v>
      </c>
      <c r="R4793">
        <v>-0.99614950000000002</v>
      </c>
      <c r="S4793">
        <v>-0.21289060000000001</v>
      </c>
      <c r="T4793">
        <v>-0.20830000000000001</v>
      </c>
      <c r="U4793">
        <v>-2.9879609999999999</v>
      </c>
      <c r="V4793">
        <v>-8.6825540000000007E-2</v>
      </c>
      <c r="W4793">
        <v>-6.9631429999999994E-2</v>
      </c>
      <c r="X4793">
        <v>0.99378710000000003</v>
      </c>
      <c r="Y4793">
        <v>-4.6558500000000003E-2</v>
      </c>
      <c r="Z4793">
        <v>5.6218949999999997E-2</v>
      </c>
      <c r="AA4793">
        <v>0.99733229999999995</v>
      </c>
      <c r="AB4793">
        <v>22</v>
      </c>
      <c r="AC4793">
        <v>-1.11699999999999</v>
      </c>
      <c r="AD4793">
        <v>-1.120327931214</v>
      </c>
      <c r="AE4793">
        <v>-15.848799999999899</v>
      </c>
      <c r="AF4793">
        <v>-0.74677304223916896</v>
      </c>
      <c r="AG4793">
        <v>-1.120327931214</v>
      </c>
      <c r="AH4793">
        <v>15.791858977934201</v>
      </c>
      <c r="AI4793">
        <v>94.053443304420696</v>
      </c>
      <c r="AJ4793">
        <v>92.707413545321202</v>
      </c>
      <c r="AK4793">
        <v>15.849151858349799</v>
      </c>
      <c r="AL4793">
        <v>93.992818036607503</v>
      </c>
      <c r="AM4793">
        <v>94.993158881884</v>
      </c>
      <c r="AN4793">
        <v>1.00000000528327</v>
      </c>
    </row>
    <row r="4794" spans="1:40" x14ac:dyDescent="0.25">
      <c r="A4794" t="str">
        <f>"20190303154233664"</f>
        <v>20190303154233664</v>
      </c>
      <c r="B4794" t="str">
        <f>"1551598953654697"</f>
        <v>1551598953654697</v>
      </c>
      <c r="C4794" t="s">
        <v>40</v>
      </c>
      <c r="D4794">
        <v>5.8659759999999999</v>
      </c>
      <c r="E4794">
        <v>0.51485190000000003</v>
      </c>
      <c r="F4794" t="s">
        <v>41</v>
      </c>
      <c r="G4794">
        <v>-193.46789999999999</v>
      </c>
      <c r="H4794" s="1">
        <v>-1.7427369999999901E-6</v>
      </c>
      <c r="I4794">
        <v>181.50059999999999</v>
      </c>
      <c r="J4794">
        <v>-192.3426</v>
      </c>
      <c r="K4794">
        <v>1.1203650000000001</v>
      </c>
      <c r="L4794">
        <v>197.59649999999999</v>
      </c>
      <c r="M4794">
        <v>-0.1188014</v>
      </c>
      <c r="N4794">
        <v>-1.216509E-2</v>
      </c>
      <c r="O4794">
        <v>-0.99284360000000005</v>
      </c>
      <c r="P4794">
        <v>-3.0234319999999999E-2</v>
      </c>
      <c r="Q4794">
        <v>-7.6430899999999996E-2</v>
      </c>
      <c r="R4794">
        <v>-0.99661639999999996</v>
      </c>
      <c r="S4794">
        <v>-0.21115110000000001</v>
      </c>
      <c r="T4794">
        <v>-0.20525740000000001</v>
      </c>
      <c r="U4794">
        <v>-2.9882049999999998</v>
      </c>
      <c r="V4794">
        <v>-8.8472529999999994E-2</v>
      </c>
      <c r="W4794">
        <v>-6.4226710000000006E-2</v>
      </c>
      <c r="X4794">
        <v>0.99400580000000005</v>
      </c>
      <c r="Y4794">
        <v>-4.8613870000000003E-2</v>
      </c>
      <c r="Z4794">
        <v>5.5586320000000002E-2</v>
      </c>
      <c r="AA4794">
        <v>0.99726970000000004</v>
      </c>
      <c r="AB4794">
        <v>22</v>
      </c>
      <c r="AC4794">
        <v>-1.12529999999998</v>
      </c>
      <c r="AD4794">
        <v>-1.1203667427370001</v>
      </c>
      <c r="AE4794">
        <v>-16.0959</v>
      </c>
      <c r="AF4794">
        <v>-0.79121256604620804</v>
      </c>
      <c r="AG4794">
        <v>-1.1203667427370001</v>
      </c>
      <c r="AH4794">
        <v>16.0382628743392</v>
      </c>
      <c r="AI4794">
        <v>93.991116881299803</v>
      </c>
      <c r="AJ4794">
        <v>92.824272088982795</v>
      </c>
      <c r="AK4794">
        <v>16.096804496213199</v>
      </c>
      <c r="AL4794">
        <v>93.682454130417796</v>
      </c>
      <c r="AM4794">
        <v>95.086268008161795</v>
      </c>
      <c r="AN4794">
        <v>0.99999999463783196</v>
      </c>
    </row>
    <row r="4795" spans="1:40" x14ac:dyDescent="0.25">
      <c r="A4795" t="str">
        <f>"20190303154233679"</f>
        <v>20190303154233679</v>
      </c>
      <c r="B4795" t="str">
        <f>"1551598953675189"</f>
        <v>1551598953675189</v>
      </c>
      <c r="C4795" t="s">
        <v>40</v>
      </c>
      <c r="D4795">
        <v>5.8667579999999999</v>
      </c>
      <c r="E4795">
        <v>0.51483639999999997</v>
      </c>
      <c r="F4795" t="s">
        <v>41</v>
      </c>
      <c r="G4795">
        <v>-193.5686</v>
      </c>
      <c r="H4795" s="1">
        <v>-1.1191560000000001E-6</v>
      </c>
      <c r="I4795">
        <v>179.9846</v>
      </c>
      <c r="J4795">
        <v>-192.3595</v>
      </c>
      <c r="K4795">
        <v>1.1203609999999999</v>
      </c>
      <c r="L4795">
        <v>197.46379999999999</v>
      </c>
      <c r="M4795">
        <v>-0.1196295</v>
      </c>
      <c r="N4795">
        <v>-1.190067E-2</v>
      </c>
      <c r="O4795">
        <v>-0.9927473</v>
      </c>
      <c r="P4795">
        <v>-3.1194400000000001E-2</v>
      </c>
      <c r="Q4795">
        <v>-7.2852440000000004E-2</v>
      </c>
      <c r="R4795">
        <v>-0.99685489999999999</v>
      </c>
      <c r="S4795">
        <v>-0.20808409999999999</v>
      </c>
      <c r="T4795">
        <v>-0.19016089999999999</v>
      </c>
      <c r="U4795">
        <v>-2.9892880000000002</v>
      </c>
      <c r="V4795">
        <v>-8.8367689999999999E-2</v>
      </c>
      <c r="W4795">
        <v>-6.0914049999999997E-2</v>
      </c>
      <c r="X4795">
        <v>0.99422370000000004</v>
      </c>
      <c r="Y4795">
        <v>-5.0473770000000001E-2</v>
      </c>
      <c r="Z4795">
        <v>5.0855669999999999E-2</v>
      </c>
      <c r="AA4795">
        <v>0.99742969999999997</v>
      </c>
      <c r="AB4795">
        <v>22</v>
      </c>
      <c r="AC4795">
        <v>-1.2091000000000001</v>
      </c>
      <c r="AD4795">
        <v>-1.120362119156</v>
      </c>
      <c r="AE4795">
        <v>-17.479199999999899</v>
      </c>
      <c r="AF4795">
        <v>-0.88713290713441995</v>
      </c>
      <c r="AG4795">
        <v>-1.120362119156</v>
      </c>
      <c r="AH4795">
        <v>17.427054876690701</v>
      </c>
      <c r="AI4795">
        <v>93.673663396791795</v>
      </c>
      <c r="AJ4795">
        <v>92.914154708980604</v>
      </c>
      <c r="AK4795">
        <v>17.485549969850901</v>
      </c>
      <c r="AL4795">
        <v>93.492279712183006</v>
      </c>
      <c r="AM4795">
        <v>95.079164738797601</v>
      </c>
      <c r="AN4795">
        <v>1.0000000678825101</v>
      </c>
    </row>
    <row r="4796" spans="1:40" x14ac:dyDescent="0.25">
      <c r="A4796" t="str">
        <f>"20190303154233700"</f>
        <v>20190303154233700</v>
      </c>
      <c r="B4796" t="str">
        <f>"1551598953694710"</f>
        <v>1551598953694710</v>
      </c>
      <c r="C4796" t="s">
        <v>40</v>
      </c>
      <c r="D4796">
        <v>5.8661139999999996</v>
      </c>
      <c r="E4796">
        <v>0.51285519999999996</v>
      </c>
      <c r="F4796" t="s">
        <v>41</v>
      </c>
      <c r="G4796">
        <v>-193.6593</v>
      </c>
      <c r="H4796" s="1">
        <v>-4.7489240000000002E-6</v>
      </c>
      <c r="I4796">
        <v>179.0343</v>
      </c>
      <c r="J4796">
        <v>-192.38560000000001</v>
      </c>
      <c r="K4796">
        <v>1.120344</v>
      </c>
      <c r="L4796">
        <v>197.25970000000001</v>
      </c>
      <c r="M4796">
        <v>-0.12074600000000001</v>
      </c>
      <c r="N4796">
        <v>-1.146572E-2</v>
      </c>
      <c r="O4796">
        <v>-0.99261739999999998</v>
      </c>
      <c r="P4796">
        <v>-3.2024759999999999E-2</v>
      </c>
      <c r="Q4796">
        <v>-6.8870749999999994E-2</v>
      </c>
      <c r="R4796">
        <v>-0.99711190000000005</v>
      </c>
      <c r="S4796">
        <v>-0.2108459</v>
      </c>
      <c r="T4796">
        <v>-0.18174290000000001</v>
      </c>
      <c r="U4796">
        <v>-2.9895779999999998</v>
      </c>
      <c r="V4796">
        <v>-8.8680739999999994E-2</v>
      </c>
      <c r="W4796">
        <v>-5.7371190000000002E-2</v>
      </c>
      <c r="X4796">
        <v>0.99440649999999997</v>
      </c>
      <c r="Y4796">
        <v>-5.0679620000000002E-2</v>
      </c>
      <c r="Z4796">
        <v>4.8502620000000003E-2</v>
      </c>
      <c r="AA4796">
        <v>0.99753650000000005</v>
      </c>
      <c r="AB4796">
        <v>22</v>
      </c>
      <c r="AC4796">
        <v>-1.2736999999999901</v>
      </c>
      <c r="AD4796">
        <v>-1.120348748924</v>
      </c>
      <c r="AE4796">
        <v>-18.2254</v>
      </c>
      <c r="AF4796">
        <v>-0.93290065150394497</v>
      </c>
      <c r="AG4796">
        <v>-1.120348748924</v>
      </c>
      <c r="AH4796">
        <v>18.177484423013201</v>
      </c>
      <c r="AI4796">
        <v>93.522275381496101</v>
      </c>
      <c r="AJ4796">
        <v>92.9379431145898</v>
      </c>
      <c r="AK4796">
        <v>18.235855474687199</v>
      </c>
      <c r="AL4796">
        <v>93.288932942775801</v>
      </c>
      <c r="AM4796">
        <v>95.096131441965696</v>
      </c>
      <c r="AN4796">
        <v>1.0000000071655999</v>
      </c>
    </row>
    <row r="4797" spans="1:40" x14ac:dyDescent="0.25">
      <c r="A4797" t="str">
        <f>"20190303154233721"</f>
        <v>20190303154233721</v>
      </c>
      <c r="B4797" t="str">
        <f>"1551598953715206"</f>
        <v>1551598953715206</v>
      </c>
      <c r="C4797" t="s">
        <v>40</v>
      </c>
      <c r="D4797">
        <v>5.8926949999999998</v>
      </c>
      <c r="E4797">
        <v>0.51283690000000004</v>
      </c>
      <c r="F4797" t="s">
        <v>41</v>
      </c>
      <c r="G4797">
        <v>-193.50479999999999</v>
      </c>
      <c r="H4797" s="1">
        <v>-1.2787050000000001E-6</v>
      </c>
      <c r="I4797">
        <v>180.39599999999999</v>
      </c>
      <c r="J4797">
        <v>-192.41220000000001</v>
      </c>
      <c r="K4797">
        <v>1.1203339999999999</v>
      </c>
      <c r="L4797">
        <v>197.05179999999999</v>
      </c>
      <c r="M4797">
        <v>-0.12166680000000001</v>
      </c>
      <c r="N4797">
        <v>-1.1028E-2</v>
      </c>
      <c r="O4797">
        <v>-0.99251</v>
      </c>
      <c r="P4797">
        <v>-3.310871E-2</v>
      </c>
      <c r="Q4797">
        <v>-7.2507420000000003E-2</v>
      </c>
      <c r="R4797">
        <v>-0.99681819999999999</v>
      </c>
      <c r="S4797">
        <v>-0.198349</v>
      </c>
      <c r="T4797">
        <v>-0.19855020000000001</v>
      </c>
      <c r="U4797">
        <v>-2.9886170000000001</v>
      </c>
      <c r="V4797">
        <v>-8.8481299999999999E-2</v>
      </c>
      <c r="W4797">
        <v>-6.1465989999999998E-2</v>
      </c>
      <c r="X4797">
        <v>0.99417949999999999</v>
      </c>
      <c r="Y4797">
        <v>-5.5751719999999998E-2</v>
      </c>
      <c r="Z4797">
        <v>5.4465760000000002E-2</v>
      </c>
      <c r="AA4797">
        <v>0.99695800000000001</v>
      </c>
      <c r="AB4797">
        <v>22</v>
      </c>
      <c r="AC4797">
        <v>-1.09259999999997</v>
      </c>
      <c r="AD4797">
        <v>-1.120335278705</v>
      </c>
      <c r="AE4797">
        <v>-16.655799999999999</v>
      </c>
      <c r="AF4797">
        <v>-0.93787333059617195</v>
      </c>
      <c r="AG4797">
        <v>-1.120335278705</v>
      </c>
      <c r="AH4797">
        <v>16.5902502089419</v>
      </c>
      <c r="AI4797">
        <v>93.857163786524893</v>
      </c>
      <c r="AJ4797">
        <v>93.235578044394899</v>
      </c>
      <c r="AK4797">
        <v>16.654463651413501</v>
      </c>
      <c r="AL4797">
        <v>93.523963352604596</v>
      </c>
      <c r="AM4797">
        <v>95.085885465368094</v>
      </c>
      <c r="AN4797">
        <v>0.99999994329830799</v>
      </c>
    </row>
    <row r="4798" spans="1:40" x14ac:dyDescent="0.25">
      <c r="A4798" t="str">
        <f>"20190303154233744"</f>
        <v>20190303154233744</v>
      </c>
      <c r="B4798" t="str">
        <f>"1551598953734729"</f>
        <v>1551598953734729</v>
      </c>
      <c r="C4798" t="s">
        <v>40</v>
      </c>
      <c r="D4798">
        <v>5.9064069999999997</v>
      </c>
      <c r="E4798">
        <v>0.51274049999999904</v>
      </c>
      <c r="F4798" t="s">
        <v>41</v>
      </c>
      <c r="G4798">
        <v>-193.44829999999999</v>
      </c>
      <c r="H4798" s="1">
        <v>-1.8281060000000001E-6</v>
      </c>
      <c r="I4798">
        <v>181.71170000000001</v>
      </c>
      <c r="J4798">
        <v>-192.44059999999999</v>
      </c>
      <c r="K4798">
        <v>1.1203959999999999</v>
      </c>
      <c r="L4798">
        <v>196.82859999999999</v>
      </c>
      <c r="M4798">
        <v>-0.1223818</v>
      </c>
      <c r="N4798">
        <v>-1.0596690000000001E-2</v>
      </c>
      <c r="O4798">
        <v>-0.99242660000000005</v>
      </c>
      <c r="P4798">
        <v>-3.3104370000000001E-2</v>
      </c>
      <c r="Q4798">
        <v>-8.2006750000000003E-2</v>
      </c>
      <c r="R4798">
        <v>-0.99608189999999996</v>
      </c>
      <c r="S4798">
        <v>-0.20175170000000001</v>
      </c>
      <c r="T4798">
        <v>-0.21815010000000001</v>
      </c>
      <c r="U4798">
        <v>-2.9869840000000001</v>
      </c>
      <c r="V4798">
        <v>-8.9089920000000003E-2</v>
      </c>
      <c r="W4798">
        <v>-7.1437589999999995E-2</v>
      </c>
      <c r="X4798">
        <v>0.99345839999999996</v>
      </c>
      <c r="Y4798">
        <v>-5.5330190000000001E-2</v>
      </c>
      <c r="Z4798">
        <v>6.1354110000000003E-2</v>
      </c>
      <c r="AA4798">
        <v>0.9965813</v>
      </c>
      <c r="AB4798">
        <v>22</v>
      </c>
      <c r="AC4798">
        <v>-1.00769999999999</v>
      </c>
      <c r="AD4798">
        <v>-1.1203978281060001</v>
      </c>
      <c r="AE4798">
        <v>-15.1168999999999</v>
      </c>
      <c r="AF4798">
        <v>-0.84538952710767501</v>
      </c>
      <c r="AG4798">
        <v>-1.1203978281060001</v>
      </c>
      <c r="AH4798">
        <v>15.044311369648099</v>
      </c>
      <c r="AI4798">
        <v>94.252452881907004</v>
      </c>
      <c r="AJ4798">
        <v>93.2162565574247</v>
      </c>
      <c r="AK4798">
        <v>15.109641932643299</v>
      </c>
      <c r="AL4798">
        <v>94.096561939694496</v>
      </c>
      <c r="AM4798">
        <v>95.124380505830899</v>
      </c>
      <c r="AN4798">
        <v>0.99999996782058598</v>
      </c>
    </row>
    <row r="4799" spans="1:40" x14ac:dyDescent="0.25">
      <c r="A4799" t="str">
        <f>"20190303154233756"</f>
        <v>20190303154233756</v>
      </c>
      <c r="B4799" t="str">
        <f>"1551598953744486"</f>
        <v>1551598953744486</v>
      </c>
      <c r="C4799" t="s">
        <v>40</v>
      </c>
      <c r="D4799">
        <v>5.9288589999999903</v>
      </c>
      <c r="E4799">
        <v>0.51274049999999904</v>
      </c>
      <c r="F4799" t="s">
        <v>41</v>
      </c>
      <c r="G4799">
        <v>-193.33600000000001</v>
      </c>
      <c r="H4799" s="1">
        <v>-2.586901E-6</v>
      </c>
      <c r="I4799">
        <v>183.55019999999999</v>
      </c>
      <c r="J4799">
        <v>-192.45570000000001</v>
      </c>
      <c r="K4799">
        <v>1.1204590000000001</v>
      </c>
      <c r="L4799">
        <v>196.7089</v>
      </c>
      <c r="M4799">
        <v>-0.1226627</v>
      </c>
      <c r="N4799">
        <v>-1.0380439999999999E-2</v>
      </c>
      <c r="O4799">
        <v>-0.99239409999999895</v>
      </c>
      <c r="P4799">
        <v>-3.3488650000000002E-2</v>
      </c>
      <c r="Q4799">
        <v>-8.5404949999999993E-2</v>
      </c>
      <c r="R4799">
        <v>-0.99578339999999999</v>
      </c>
      <c r="S4799">
        <v>-0.20124819999999999</v>
      </c>
      <c r="T4799">
        <v>-0.25181399999999998</v>
      </c>
      <c r="U4799">
        <v>-2.984375</v>
      </c>
      <c r="V4799">
        <v>-8.8934379999999993E-2</v>
      </c>
      <c r="W4799">
        <v>-7.5077569999999996E-2</v>
      </c>
      <c r="X4799">
        <v>0.99320390000000003</v>
      </c>
      <c r="Y4799">
        <v>-5.5769890000000003E-2</v>
      </c>
      <c r="Z4799">
        <v>7.2664640000000003E-2</v>
      </c>
      <c r="AA4799">
        <v>0.99579600000000001</v>
      </c>
      <c r="AB4799">
        <v>22</v>
      </c>
      <c r="AC4799">
        <v>-0.88029999999997699</v>
      </c>
      <c r="AD4799">
        <v>-1.120461586901</v>
      </c>
      <c r="AE4799">
        <v>-13.1587</v>
      </c>
      <c r="AF4799">
        <v>-0.73521017286734702</v>
      </c>
      <c r="AG4799">
        <v>-1.120461586901</v>
      </c>
      <c r="AH4799">
        <v>13.072942975892801</v>
      </c>
      <c r="AI4799">
        <v>94.891068997703997</v>
      </c>
      <c r="AJ4799">
        <v>93.218870706327806</v>
      </c>
      <c r="AK4799">
        <v>13.141453733014201</v>
      </c>
      <c r="AL4799">
        <v>94.305679406867995</v>
      </c>
      <c r="AM4799">
        <v>95.116785320113905</v>
      </c>
      <c r="AN4799">
        <v>0.99999997621914904</v>
      </c>
    </row>
    <row r="4800" spans="1:40" x14ac:dyDescent="0.25">
      <c r="A4800" t="str">
        <f>"20190303154233768"</f>
        <v>20190303154233768</v>
      </c>
      <c r="B4800" t="str">
        <f>"1551598953764982"</f>
        <v>1551598953764982</v>
      </c>
      <c r="C4800" t="s">
        <v>40</v>
      </c>
      <c r="D4800">
        <v>5.8870480000000001</v>
      </c>
      <c r="E4800">
        <v>0.52742180000000005</v>
      </c>
      <c r="F4800" t="s">
        <v>41</v>
      </c>
      <c r="G4800">
        <v>-193.3219</v>
      </c>
      <c r="H4800" s="1">
        <v>-2.7515120000000002E-6</v>
      </c>
      <c r="I4800">
        <v>183.9426</v>
      </c>
      <c r="J4800">
        <v>-192.47139999999999</v>
      </c>
      <c r="K4800">
        <v>1.120573</v>
      </c>
      <c r="L4800">
        <v>196.58359999999999</v>
      </c>
      <c r="M4800">
        <v>-0.1227581</v>
      </c>
      <c r="N4800">
        <v>-1.0173929999999999E-2</v>
      </c>
      <c r="O4800">
        <v>-0.99238459999999995</v>
      </c>
      <c r="P4800">
        <v>-3.3844600000000002E-2</v>
      </c>
      <c r="Q4800">
        <v>-8.7945960000000004E-2</v>
      </c>
      <c r="R4800">
        <v>-0.99555009999999999</v>
      </c>
      <c r="S4800">
        <v>-0.20242309999999999</v>
      </c>
      <c r="T4800">
        <v>-0.26184770000000002</v>
      </c>
      <c r="U4800">
        <v>-2.983444</v>
      </c>
      <c r="V4800">
        <v>-8.8619900000000001E-2</v>
      </c>
      <c r="W4800">
        <v>-7.7858129999999998E-2</v>
      </c>
      <c r="X4800">
        <v>0.99301790000000001</v>
      </c>
      <c r="Y4800">
        <v>-5.5472019999999997E-2</v>
      </c>
      <c r="Z4800">
        <v>7.6178919999999997E-2</v>
      </c>
      <c r="AA4800">
        <v>0.99554989999999999</v>
      </c>
      <c r="AB4800">
        <v>22</v>
      </c>
      <c r="AC4800">
        <v>-0.85050000000001003</v>
      </c>
      <c r="AD4800">
        <v>-1.1205757515120001</v>
      </c>
      <c r="AE4800">
        <v>-12.640999999999901</v>
      </c>
      <c r="AF4800">
        <v>-0.70230464619787702</v>
      </c>
      <c r="AG4800">
        <v>-1.1205757515120001</v>
      </c>
      <c r="AH4800">
        <v>12.5516048283737</v>
      </c>
      <c r="AI4800">
        <v>95.093772162215203</v>
      </c>
      <c r="AJ4800">
        <v>93.202552834178206</v>
      </c>
      <c r="AK4800">
        <v>12.6210817919305</v>
      </c>
      <c r="AL4800">
        <v>94.465461712543004</v>
      </c>
      <c r="AM4800">
        <v>95.099737453912994</v>
      </c>
      <c r="AN4800">
        <v>0.99999996240175704</v>
      </c>
    </row>
    <row r="4801" spans="1:40" x14ac:dyDescent="0.25">
      <c r="A4801" t="str">
        <f>"20190303154233788"</f>
        <v>20190303154233788</v>
      </c>
      <c r="B4801" t="str">
        <f>"1551598953784502"</f>
        <v>1551598953784502</v>
      </c>
      <c r="C4801" t="s">
        <v>40</v>
      </c>
      <c r="D4801">
        <v>5.8988800000000001</v>
      </c>
      <c r="E4801">
        <v>0.52900609999999904</v>
      </c>
      <c r="F4801" t="s">
        <v>41</v>
      </c>
      <c r="G4801">
        <v>-194.34289999999999</v>
      </c>
      <c r="H4801" s="1">
        <v>-4.8475599999999997E-6</v>
      </c>
      <c r="I4801">
        <v>178.96780000000001</v>
      </c>
      <c r="J4801">
        <v>-192.495</v>
      </c>
      <c r="K4801">
        <v>1.120776</v>
      </c>
      <c r="L4801">
        <v>196.39330000000001</v>
      </c>
      <c r="M4801">
        <v>-0.1226415</v>
      </c>
      <c r="N4801">
        <v>-9.8791499999999997E-3</v>
      </c>
      <c r="O4801">
        <v>-0.99240200000000001</v>
      </c>
      <c r="P4801">
        <v>-3.5752800000000001E-2</v>
      </c>
      <c r="Q4801">
        <v>-9.1906050000000003E-2</v>
      </c>
      <c r="R4801">
        <v>-0.99512579999999995</v>
      </c>
      <c r="S4801">
        <v>-0.31721500000000002</v>
      </c>
      <c r="T4801">
        <v>-0.1899354</v>
      </c>
      <c r="U4801">
        <v>-2.98584</v>
      </c>
      <c r="V4801">
        <v>-8.6504819999999996E-2</v>
      </c>
      <c r="W4801">
        <v>-8.2166959999999997E-2</v>
      </c>
      <c r="X4801">
        <v>0.9928572</v>
      </c>
      <c r="Y4801">
        <v>-1.7255659999999999E-2</v>
      </c>
      <c r="Z4801">
        <v>5.2788719999999997E-2</v>
      </c>
      <c r="AA4801">
        <v>0.99845660000000003</v>
      </c>
      <c r="AB4801">
        <v>22</v>
      </c>
      <c r="AC4801">
        <v>-1.8478999999999799</v>
      </c>
      <c r="AD4801">
        <v>-1.1207808475600001</v>
      </c>
      <c r="AE4801">
        <v>-17.4255</v>
      </c>
      <c r="AF4801">
        <v>-0.30200908489237399</v>
      </c>
      <c r="AG4801">
        <v>-1.1207808475600001</v>
      </c>
      <c r="AH4801">
        <v>17.449200792025799</v>
      </c>
      <c r="AI4801">
        <v>93.674571908125301</v>
      </c>
      <c r="AJ4801">
        <v>90.991570822562096</v>
      </c>
      <c r="AK4801">
        <v>17.4877662231644</v>
      </c>
      <c r="AL4801">
        <v>94.713133791925202</v>
      </c>
      <c r="AM4801">
        <v>94.979443599893898</v>
      </c>
      <c r="AN4801">
        <v>0.99999995639535499</v>
      </c>
    </row>
    <row r="4802" spans="1:40" x14ac:dyDescent="0.25">
      <c r="A4802" t="str">
        <f>"20190303154233803"</f>
        <v>20190303154233803</v>
      </c>
      <c r="B4802" t="str">
        <f>"1551598953795238"</f>
        <v>1551598953795238</v>
      </c>
      <c r="C4802" t="s">
        <v>40</v>
      </c>
      <c r="D4802">
        <v>5.8972769999999999</v>
      </c>
      <c r="E4802">
        <v>0.52872529999999995</v>
      </c>
      <c r="F4802" t="s">
        <v>41</v>
      </c>
      <c r="G4802">
        <v>-194.57259999999999</v>
      </c>
      <c r="H4802" s="1">
        <v>-4.5088099999999998E-6</v>
      </c>
      <c r="I4802">
        <v>177.8527</v>
      </c>
      <c r="J4802">
        <v>-192.51220000000001</v>
      </c>
      <c r="K4802">
        <v>1.12097</v>
      </c>
      <c r="L4802">
        <v>196.25229999999999</v>
      </c>
      <c r="M4802">
        <v>-0.122281399999999</v>
      </c>
      <c r="N4802">
        <v>-9.6789690000000008E-3</v>
      </c>
      <c r="O4802">
        <v>-0.99244840000000001</v>
      </c>
      <c r="P4802">
        <v>-3.6742499999999997E-2</v>
      </c>
      <c r="Q4802">
        <v>-9.3723119999999993E-2</v>
      </c>
      <c r="R4802">
        <v>-0.99492040000000004</v>
      </c>
      <c r="S4802">
        <v>-0.33459470000000002</v>
      </c>
      <c r="T4802">
        <v>-0.1805041</v>
      </c>
      <c r="U4802">
        <v>-2.986008</v>
      </c>
      <c r="V4802">
        <v>-8.5090600000000002E-2</v>
      </c>
      <c r="W4802">
        <v>-8.4227659999999996E-2</v>
      </c>
      <c r="X4802">
        <v>0.99280679999999999</v>
      </c>
      <c r="Y4802">
        <v>-1.114099E-2</v>
      </c>
      <c r="Z4802">
        <v>4.9877199999999997E-2</v>
      </c>
      <c r="AA4802">
        <v>0.99869319999999895</v>
      </c>
      <c r="AB4802">
        <v>22</v>
      </c>
      <c r="AC4802">
        <v>-2.06039999999998</v>
      </c>
      <c r="AD4802">
        <v>-1.12097450881</v>
      </c>
      <c r="AE4802">
        <v>-18.3995999999999</v>
      </c>
      <c r="AF4802">
        <v>-0.204348654940642</v>
      </c>
      <c r="AG4802">
        <v>-1.12097450881</v>
      </c>
      <c r="AH4802">
        <v>18.4458492343134</v>
      </c>
      <c r="AI4802">
        <v>93.477437636705403</v>
      </c>
      <c r="AJ4802">
        <v>90.634713879614296</v>
      </c>
      <c r="AK4802">
        <v>18.4810090686953</v>
      </c>
      <c r="AL4802">
        <v>94.831613656345397</v>
      </c>
      <c r="AM4802">
        <v>94.898684221370701</v>
      </c>
      <c r="AN4802">
        <v>1.00000002552183</v>
      </c>
    </row>
    <row r="4803" spans="1:40" x14ac:dyDescent="0.25">
      <c r="A4803" t="str">
        <f>"20190303154233822"</f>
        <v>20190303154233822</v>
      </c>
      <c r="B4803" t="str">
        <f>"1551598953814757"</f>
        <v>1551598953814757</v>
      </c>
      <c r="C4803" t="s">
        <v>40</v>
      </c>
      <c r="D4803">
        <v>5.9087449999999997</v>
      </c>
      <c r="E4803">
        <v>0.52813449999999995</v>
      </c>
      <c r="F4803" t="s">
        <v>41</v>
      </c>
      <c r="G4803">
        <v>-194.48490000000001</v>
      </c>
      <c r="H4803" s="1">
        <v>-4.7826120000000001E-6</v>
      </c>
      <c r="I4803">
        <v>178.703</v>
      </c>
      <c r="J4803">
        <v>-192.5351</v>
      </c>
      <c r="K4803">
        <v>1.1212629999999999</v>
      </c>
      <c r="L4803">
        <v>196.05959999999999</v>
      </c>
      <c r="M4803">
        <v>-0.1213838</v>
      </c>
      <c r="N4803">
        <v>-9.4315600000000003E-3</v>
      </c>
      <c r="O4803">
        <v>-0.99256100000000003</v>
      </c>
      <c r="P4803">
        <v>-3.7650950000000002E-2</v>
      </c>
      <c r="Q4803">
        <v>-9.6951679999999998E-2</v>
      </c>
      <c r="R4803">
        <v>-0.99457689999999999</v>
      </c>
      <c r="S4803">
        <v>-0.33554079999999997</v>
      </c>
      <c r="T4803">
        <v>-0.190667</v>
      </c>
      <c r="U4803">
        <v>-2.9849700000000001</v>
      </c>
      <c r="V4803">
        <v>-8.3176040000000007E-2</v>
      </c>
      <c r="W4803">
        <v>-8.7766490000000003E-2</v>
      </c>
      <c r="X4803">
        <v>0.9926625</v>
      </c>
      <c r="Y4803">
        <v>-9.9067259999999994E-3</v>
      </c>
      <c r="Z4803">
        <v>5.3491150000000001E-2</v>
      </c>
      <c r="AA4803">
        <v>0.99851920000000005</v>
      </c>
      <c r="AB4803">
        <v>22</v>
      </c>
      <c r="AC4803">
        <v>-1.94980000000001</v>
      </c>
      <c r="AD4803">
        <v>-1.1212677826120001</v>
      </c>
      <c r="AE4803">
        <v>-17.356599999999901</v>
      </c>
      <c r="AF4803">
        <v>-0.170818219512272</v>
      </c>
      <c r="AG4803">
        <v>-1.1212677826120001</v>
      </c>
      <c r="AH4803">
        <v>17.393248161080098</v>
      </c>
      <c r="AI4803">
        <v>93.688330762613404</v>
      </c>
      <c r="AJ4803">
        <v>90.562680892540598</v>
      </c>
      <c r="AK4803">
        <v>17.4301893821427</v>
      </c>
      <c r="AL4803">
        <v>95.035127728267597</v>
      </c>
      <c r="AM4803">
        <v>94.789674000007594</v>
      </c>
      <c r="AN4803">
        <v>1.0000000246516201</v>
      </c>
    </row>
    <row r="4804" spans="1:40" x14ac:dyDescent="0.25">
      <c r="A4804" t="str">
        <f>"20190303154233845"</f>
        <v>20190303154233845</v>
      </c>
      <c r="B4804" t="str">
        <f>"1551598953834281"</f>
        <v>1551598953834281</v>
      </c>
      <c r="C4804" t="s">
        <v>40</v>
      </c>
      <c r="D4804">
        <v>5.9332029999999998</v>
      </c>
      <c r="E4804">
        <v>0.52771969999999901</v>
      </c>
      <c r="F4804" t="s">
        <v>41</v>
      </c>
      <c r="G4804">
        <v>-194.36750000000001</v>
      </c>
      <c r="H4804" s="1">
        <v>-1.203991E-6</v>
      </c>
      <c r="I4804">
        <v>179.68680000000001</v>
      </c>
      <c r="J4804">
        <v>-192.56039999999999</v>
      </c>
      <c r="K4804">
        <v>1.1216120000000001</v>
      </c>
      <c r="L4804">
        <v>195.84030000000001</v>
      </c>
      <c r="M4804">
        <v>-0.1198028</v>
      </c>
      <c r="N4804">
        <v>-9.1860290000000001E-3</v>
      </c>
      <c r="O4804">
        <v>-0.99275550000000001</v>
      </c>
      <c r="P4804">
        <v>-3.7567499999999997E-2</v>
      </c>
      <c r="Q4804">
        <v>-9.7684090000000001E-2</v>
      </c>
      <c r="R4804">
        <v>-0.99450870000000002</v>
      </c>
      <c r="S4804">
        <v>-0.33393859999999997</v>
      </c>
      <c r="T4804">
        <v>-0.2043411</v>
      </c>
      <c r="U4804">
        <v>-2.9838100000000001</v>
      </c>
      <c r="V4804">
        <v>-8.1589289999999995E-2</v>
      </c>
      <c r="W4804">
        <v>-8.8811870000000001E-2</v>
      </c>
      <c r="X4804">
        <v>0.99270119999999895</v>
      </c>
      <c r="Y4804">
        <v>-8.8304899999999999E-3</v>
      </c>
      <c r="Z4804">
        <v>5.827069E-2</v>
      </c>
      <c r="AA4804">
        <v>0.99826170000000003</v>
      </c>
      <c r="AB4804">
        <v>22</v>
      </c>
      <c r="AC4804">
        <v>-1.8071000000000199</v>
      </c>
      <c r="AD4804">
        <v>-1.1216132039910001</v>
      </c>
      <c r="AE4804">
        <v>-16.153500000000001</v>
      </c>
      <c r="AF4804">
        <v>-0.14056268286479601</v>
      </c>
      <c r="AG4804">
        <v>-1.1216132039910001</v>
      </c>
      <c r="AH4804">
        <v>16.176626331495601</v>
      </c>
      <c r="AI4804">
        <v>93.966130068252696</v>
      </c>
      <c r="AJ4804">
        <v>90.497844583772604</v>
      </c>
      <c r="AK4804">
        <v>16.2160726908835</v>
      </c>
      <c r="AL4804">
        <v>95.095258450482604</v>
      </c>
      <c r="AM4804">
        <v>94.698532064618107</v>
      </c>
      <c r="AN4804">
        <v>1.0000000164885201</v>
      </c>
    </row>
    <row r="4805" spans="1:40" x14ac:dyDescent="0.25">
      <c r="A4805" t="str">
        <f>"20190303154233857"</f>
        <v>20190303154233857</v>
      </c>
      <c r="B4805" t="str">
        <f>"1551598953845014"</f>
        <v>1551598953845014</v>
      </c>
      <c r="C4805" t="s">
        <v>40</v>
      </c>
      <c r="D4805">
        <v>6.0993620000000002</v>
      </c>
      <c r="E4805">
        <v>0.52771969999999901</v>
      </c>
      <c r="F4805" t="s">
        <v>41</v>
      </c>
      <c r="G4805">
        <v>-194.36330000000001</v>
      </c>
      <c r="H4805" s="1">
        <v>-5.0492389999999999E-6</v>
      </c>
      <c r="I4805">
        <v>179.54990000000001</v>
      </c>
      <c r="J4805">
        <v>-192.5744</v>
      </c>
      <c r="K4805">
        <v>1.121802</v>
      </c>
      <c r="L4805">
        <v>195.7165</v>
      </c>
      <c r="M4805">
        <v>-0.1187175</v>
      </c>
      <c r="N4805">
        <v>-9.0597569999999999E-3</v>
      </c>
      <c r="O4805">
        <v>-0.99288699999999996</v>
      </c>
      <c r="P4805">
        <v>-3.7066389999999998E-2</v>
      </c>
      <c r="Q4805">
        <v>-9.6412250000000005E-2</v>
      </c>
      <c r="R4805">
        <v>-0.99465130000000002</v>
      </c>
      <c r="S4805">
        <v>-0.33023069999999999</v>
      </c>
      <c r="T4805">
        <v>-0.20544680000000001</v>
      </c>
      <c r="U4805">
        <v>-2.9839169999999999</v>
      </c>
      <c r="V4805">
        <v>-8.0980960000000005E-2</v>
      </c>
      <c r="W4805">
        <v>-8.7700719999999996E-2</v>
      </c>
      <c r="X4805">
        <v>0.9928498</v>
      </c>
      <c r="Y4805">
        <v>-8.9696710000000002E-3</v>
      </c>
      <c r="Z4805">
        <v>5.8773310000000002E-2</v>
      </c>
      <c r="AA4805">
        <v>0.99823110000000004</v>
      </c>
      <c r="AB4805">
        <v>22</v>
      </c>
      <c r="AC4805">
        <v>-1.7889000000000099</v>
      </c>
      <c r="AD4805">
        <v>-1.121807049239</v>
      </c>
      <c r="AE4805">
        <v>-16.166599999999899</v>
      </c>
      <c r="AF4805">
        <v>-0.142411196945742</v>
      </c>
      <c r="AG4805">
        <v>-1.121807049239</v>
      </c>
      <c r="AH4805">
        <v>16.1876428496949</v>
      </c>
      <c r="AI4805">
        <v>93.964118585084407</v>
      </c>
      <c r="AJ4805">
        <v>90.504048064250298</v>
      </c>
      <c r="AK4805">
        <v>16.227091946310601</v>
      </c>
      <c r="AL4805">
        <v>95.031344777107506</v>
      </c>
      <c r="AM4805">
        <v>94.662959968124596</v>
      </c>
      <c r="AN4805">
        <v>1.00000002876553</v>
      </c>
    </row>
    <row r="4806" spans="1:40" x14ac:dyDescent="0.25">
      <c r="A4806" t="str">
        <f>"20190303154233869"</f>
        <v>20190303154233869</v>
      </c>
      <c r="B4806" t="str">
        <f>"1551598953864534"</f>
        <v>1551598953864534</v>
      </c>
      <c r="C4806" t="s">
        <v>40</v>
      </c>
      <c r="D4806">
        <v>6.1194860000000002</v>
      </c>
      <c r="E4806">
        <v>0.52641019999999905</v>
      </c>
      <c r="F4806" t="s">
        <v>41</v>
      </c>
      <c r="G4806">
        <v>-194.40430000000001</v>
      </c>
      <c r="H4806" s="1">
        <v>-4.9008569999999998E-6</v>
      </c>
      <c r="I4806">
        <v>179.0925</v>
      </c>
      <c r="J4806">
        <v>-192.58850000000001</v>
      </c>
      <c r="K4806">
        <v>1.121982</v>
      </c>
      <c r="L4806">
        <v>195.58699999999999</v>
      </c>
      <c r="M4806">
        <v>-0.11734319999999999</v>
      </c>
      <c r="N4806">
        <v>-8.9440479999999996E-3</v>
      </c>
      <c r="O4806">
        <v>-0.99305140000000003</v>
      </c>
      <c r="P4806">
        <v>-3.6270200000000002E-2</v>
      </c>
      <c r="Q4806">
        <v>-9.5120179999999999E-2</v>
      </c>
      <c r="R4806">
        <v>-0.99480500000000005</v>
      </c>
      <c r="S4806">
        <v>-0.32850649999999998</v>
      </c>
      <c r="T4806">
        <v>-0.2013875</v>
      </c>
      <c r="U4806">
        <v>-2.9843600000000001</v>
      </c>
      <c r="V4806">
        <v>-8.0383049999999998E-2</v>
      </c>
      <c r="W4806">
        <v>-8.6555300000000002E-2</v>
      </c>
      <c r="X4806">
        <v>0.99299879999999996</v>
      </c>
      <c r="Y4806">
        <v>-8.164157E-3</v>
      </c>
      <c r="Z4806">
        <v>5.756257E-2</v>
      </c>
      <c r="AA4806">
        <v>0.99830850000000004</v>
      </c>
      <c r="AB4806">
        <v>22</v>
      </c>
      <c r="AC4806">
        <v>-1.8157999999999901</v>
      </c>
      <c r="AD4806">
        <v>-1.121986900857</v>
      </c>
      <c r="AE4806">
        <v>-16.494499999999999</v>
      </c>
      <c r="AF4806">
        <v>-0.13173769159957399</v>
      </c>
      <c r="AG4806">
        <v>-1.121986900857</v>
      </c>
      <c r="AH4806">
        <v>16.5181038882541</v>
      </c>
      <c r="AI4806">
        <v>93.885705461241599</v>
      </c>
      <c r="AJ4806">
        <v>90.456944317279607</v>
      </c>
      <c r="AK4806">
        <v>16.556689448323802</v>
      </c>
      <c r="AL4806">
        <v>94.965466979744804</v>
      </c>
      <c r="AM4806">
        <v>94.627990378584499</v>
      </c>
      <c r="AN4806">
        <v>0.99999993574341395</v>
      </c>
    </row>
    <row r="4807" spans="1:40" x14ac:dyDescent="0.25">
      <c r="A4807" t="str">
        <f>"20190303154233889"</f>
        <v>20190303154233889</v>
      </c>
      <c r="B4807" t="str">
        <f>"1551598953885031"</f>
        <v>1551598953885031</v>
      </c>
      <c r="C4807" t="s">
        <v>40</v>
      </c>
      <c r="D4807">
        <v>5.9311629999999997</v>
      </c>
      <c r="E4807">
        <v>0.52585579999999998</v>
      </c>
      <c r="F4807" t="s">
        <v>41</v>
      </c>
      <c r="G4807">
        <v>-194.32230000000001</v>
      </c>
      <c r="H4807" s="1">
        <v>-4.9275109999999999E-6</v>
      </c>
      <c r="I4807">
        <v>179.21350000000001</v>
      </c>
      <c r="J4807">
        <v>-192.6086</v>
      </c>
      <c r="K4807">
        <v>1.1222190000000001</v>
      </c>
      <c r="L4807">
        <v>195.3974</v>
      </c>
      <c r="M4807">
        <v>-0.1150964</v>
      </c>
      <c r="N4807">
        <v>-8.7902429999999997E-3</v>
      </c>
      <c r="O4807">
        <v>-0.99331559999999997</v>
      </c>
      <c r="P4807">
        <v>-3.5072359999999997E-2</v>
      </c>
      <c r="Q4807">
        <v>-9.2709470000000002E-2</v>
      </c>
      <c r="R4807">
        <v>-0.99507559999999995</v>
      </c>
      <c r="S4807">
        <v>-0.31605529999999998</v>
      </c>
      <c r="T4807">
        <v>-0.20451710000000001</v>
      </c>
      <c r="U4807">
        <v>-2.9845890000000002</v>
      </c>
      <c r="V4807">
        <v>-7.9320479999999999E-2</v>
      </c>
      <c r="W4807">
        <v>-8.4335259999999995E-2</v>
      </c>
      <c r="X4807">
        <v>0.99327529999999997</v>
      </c>
      <c r="Y4807">
        <v>-1.0033719999999999E-2</v>
      </c>
      <c r="Z4807">
        <v>5.8776170000000003E-2</v>
      </c>
      <c r="AA4807">
        <v>0.99822069999999996</v>
      </c>
      <c r="AB4807">
        <v>22</v>
      </c>
      <c r="AC4807">
        <v>-1.71370000000001</v>
      </c>
      <c r="AD4807">
        <v>-1.122223927511</v>
      </c>
      <c r="AE4807">
        <v>-16.183899999999898</v>
      </c>
      <c r="AF4807">
        <v>-0.159710434811527</v>
      </c>
      <c r="AG4807">
        <v>-1.122223927511</v>
      </c>
      <c r="AH4807">
        <v>16.196572424486298</v>
      </c>
      <c r="AI4807">
        <v>93.963368463036304</v>
      </c>
      <c r="AJ4807">
        <v>90.564961341659</v>
      </c>
      <c r="AK4807">
        <v>16.236189585863301</v>
      </c>
      <c r="AL4807">
        <v>94.837800828562195</v>
      </c>
      <c r="AM4807">
        <v>94.565808310832196</v>
      </c>
      <c r="AN4807">
        <v>0.99999999810839402</v>
      </c>
    </row>
    <row r="4808" spans="1:40" x14ac:dyDescent="0.25">
      <c r="A4808" t="str">
        <f>"20190303154233912"</f>
        <v>20190303154233912</v>
      </c>
      <c r="B4808" t="str">
        <f>"1551598953904549"</f>
        <v>1551598953904549</v>
      </c>
      <c r="C4808" t="s">
        <v>40</v>
      </c>
      <c r="D4808">
        <v>5.9134549999999999</v>
      </c>
      <c r="E4808">
        <v>0.52619579999999999</v>
      </c>
      <c r="F4808" t="s">
        <v>41</v>
      </c>
      <c r="G4808">
        <v>-194.38669999999999</v>
      </c>
      <c r="H4808" s="1">
        <v>-4.5750079999999996E-6</v>
      </c>
      <c r="I4808">
        <v>178.14410000000001</v>
      </c>
      <c r="J4808">
        <v>-192.6317</v>
      </c>
      <c r="K4808">
        <v>1.1224590000000001</v>
      </c>
      <c r="L4808">
        <v>195.17</v>
      </c>
      <c r="M4808">
        <v>-0.1120467</v>
      </c>
      <c r="N4808">
        <v>-8.6366510000000004E-3</v>
      </c>
      <c r="O4808">
        <v>-0.99366560000000004</v>
      </c>
      <c r="P4808">
        <v>-3.2141969999999999E-2</v>
      </c>
      <c r="Q4808">
        <v>-9.0165969999999998E-2</v>
      </c>
      <c r="R4808">
        <v>-0.99540810000000002</v>
      </c>
      <c r="S4808">
        <v>-0.307724</v>
      </c>
      <c r="T4808">
        <v>-0.19421540000000001</v>
      </c>
      <c r="U4808">
        <v>-2.9859010000000001</v>
      </c>
      <c r="V4808">
        <v>-7.9189220000000005E-2</v>
      </c>
      <c r="W4808">
        <v>-8.1984310000000005E-2</v>
      </c>
      <c r="X4808">
        <v>0.99348259999999999</v>
      </c>
      <c r="Y4808">
        <v>-9.7463670000000006E-3</v>
      </c>
      <c r="Z4808">
        <v>5.5553829999999998E-2</v>
      </c>
      <c r="AA4808">
        <v>0.99840810000000002</v>
      </c>
      <c r="AB4808">
        <v>22</v>
      </c>
      <c r="AC4808">
        <v>-1.7549999999999899</v>
      </c>
      <c r="AD4808">
        <v>-1.1224635750080001</v>
      </c>
      <c r="AE4808">
        <v>-17.025899999999901</v>
      </c>
      <c r="AF4808">
        <v>-0.16311734944147799</v>
      </c>
      <c r="AG4808">
        <v>-1.1224635750080001</v>
      </c>
      <c r="AH4808">
        <v>17.0420363325788</v>
      </c>
      <c r="AI4808">
        <v>93.768137458975801</v>
      </c>
      <c r="AJ4808">
        <v>90.548388122078805</v>
      </c>
      <c r="AK4808">
        <v>17.079740457859501</v>
      </c>
      <c r="AL4808">
        <v>94.7026329989977</v>
      </c>
      <c r="AM4808">
        <v>94.557337526731104</v>
      </c>
      <c r="AN4808">
        <v>1.00000001807657</v>
      </c>
    </row>
    <row r="4809" spans="1:40" x14ac:dyDescent="0.25">
      <c r="A4809" t="str">
        <f>"20190303154233933"</f>
        <v>20190303154233933</v>
      </c>
      <c r="B4809" t="str">
        <f>"1551598953925045"</f>
        <v>1551598953925045</v>
      </c>
      <c r="C4809" t="s">
        <v>40</v>
      </c>
      <c r="D4809">
        <v>5.9357620000000004</v>
      </c>
      <c r="E4809">
        <v>0.52645690000000001</v>
      </c>
      <c r="F4809" t="s">
        <v>41</v>
      </c>
      <c r="G4809">
        <v>-194.55289999999999</v>
      </c>
      <c r="H4809" s="1">
        <v>-3.9073760000000002E-6</v>
      </c>
      <c r="I4809">
        <v>176.09559999999999</v>
      </c>
      <c r="J4809">
        <v>-192.65289999999999</v>
      </c>
      <c r="K4809">
        <v>1.122628</v>
      </c>
      <c r="L4809">
        <v>194.95310000000001</v>
      </c>
      <c r="M4809">
        <v>-0.1088594</v>
      </c>
      <c r="N4809">
        <v>-8.5250139999999992E-3</v>
      </c>
      <c r="O4809">
        <v>-0.99402089999999999</v>
      </c>
      <c r="P4809">
        <v>-2.8076719999999999E-2</v>
      </c>
      <c r="Q4809">
        <v>-8.6756449999999999E-2</v>
      </c>
      <c r="R4809">
        <v>-0.99583410000000006</v>
      </c>
      <c r="S4809">
        <v>-0.30096440000000002</v>
      </c>
      <c r="T4809">
        <v>-0.175844</v>
      </c>
      <c r="U4809">
        <v>-2.9881739999999999</v>
      </c>
      <c r="V4809">
        <v>-8.0080120000000005E-2</v>
      </c>
      <c r="W4809">
        <v>-7.8717780000000001E-2</v>
      </c>
      <c r="X4809">
        <v>0.99367539999999999</v>
      </c>
      <c r="Y4809">
        <v>-8.8210389999999993E-3</v>
      </c>
      <c r="Z4809">
        <v>4.9609260000000002E-2</v>
      </c>
      <c r="AA4809">
        <v>0.9987298</v>
      </c>
      <c r="AB4809">
        <v>23</v>
      </c>
      <c r="AC4809">
        <v>-1.9</v>
      </c>
      <c r="AD4809">
        <v>-1.122631907376</v>
      </c>
      <c r="AE4809">
        <v>-18.857500000000002</v>
      </c>
      <c r="AF4809">
        <v>-0.16360832509489401</v>
      </c>
      <c r="AG4809">
        <v>-1.122631907376</v>
      </c>
      <c r="AH4809">
        <v>18.886003739512301</v>
      </c>
      <c r="AI4809">
        <v>93.401676052884696</v>
      </c>
      <c r="AJ4809">
        <v>90.496337508131106</v>
      </c>
      <c r="AK4809">
        <v>18.920047762423099</v>
      </c>
      <c r="AL4809">
        <v>94.514867239765096</v>
      </c>
      <c r="AM4809">
        <v>94.607498877908299</v>
      </c>
      <c r="AN4809">
        <v>1.00000005753624</v>
      </c>
    </row>
    <row r="4810" spans="1:40" x14ac:dyDescent="0.25">
      <c r="A4810" t="str">
        <f>"20190303154233957"</f>
        <v>20190303154233957</v>
      </c>
      <c r="B4810" t="str">
        <f>"1551598953944566"</f>
        <v>1551598953944566</v>
      </c>
      <c r="C4810" t="s">
        <v>40</v>
      </c>
      <c r="D4810">
        <v>5.9515779999999996</v>
      </c>
      <c r="E4810">
        <v>0.52599390000000001</v>
      </c>
      <c r="F4810" t="s">
        <v>41</v>
      </c>
      <c r="G4810">
        <v>-194.71799999999999</v>
      </c>
      <c r="H4810" s="1">
        <v>-3.0226960000000002E-6</v>
      </c>
      <c r="I4810">
        <v>173.7088</v>
      </c>
      <c r="J4810">
        <v>-192.67400000000001</v>
      </c>
      <c r="K4810">
        <v>1.1227450000000001</v>
      </c>
      <c r="L4810">
        <v>194.7259</v>
      </c>
      <c r="M4810">
        <v>-0.1053428</v>
      </c>
      <c r="N4810">
        <v>-8.4352509999999995E-3</v>
      </c>
      <c r="O4810">
        <v>-0.99440039999999996</v>
      </c>
      <c r="P4810">
        <v>-2.330981E-2</v>
      </c>
      <c r="Q4810">
        <v>-8.4279489999999999E-2</v>
      </c>
      <c r="R4810">
        <v>-0.99616959999999999</v>
      </c>
      <c r="S4810">
        <v>-0.29071039999999998</v>
      </c>
      <c r="T4810">
        <v>-0.15803429999999999</v>
      </c>
      <c r="U4810">
        <v>-2.9905849999999998</v>
      </c>
      <c r="V4810">
        <v>-8.1336939999999996E-2</v>
      </c>
      <c r="W4810">
        <v>-7.6355870000000006E-2</v>
      </c>
      <c r="X4810">
        <v>0.99375749999999996</v>
      </c>
      <c r="Y4810">
        <v>-8.7294509999999992E-3</v>
      </c>
      <c r="Z4810">
        <v>4.3824870000000002E-2</v>
      </c>
      <c r="AA4810">
        <v>0.99900109999999998</v>
      </c>
      <c r="AB4810">
        <v>23</v>
      </c>
      <c r="AC4810">
        <v>-2.0439999999999801</v>
      </c>
      <c r="AD4810">
        <v>-1.122748022696</v>
      </c>
      <c r="AE4810">
        <v>-21.017099999999999</v>
      </c>
      <c r="AF4810">
        <v>-0.18094063743250299</v>
      </c>
      <c r="AG4810">
        <v>-1.122748022696</v>
      </c>
      <c r="AH4810">
        <v>21.0559543466543</v>
      </c>
      <c r="AI4810">
        <v>93.0521291067014</v>
      </c>
      <c r="AJ4810">
        <v>90.492349077137305</v>
      </c>
      <c r="AK4810">
        <v>21.0866430729297</v>
      </c>
      <c r="AL4810">
        <v>94.379131609284599</v>
      </c>
      <c r="AM4810">
        <v>94.679107856306004</v>
      </c>
      <c r="AN4810">
        <v>0.99999994274913295</v>
      </c>
    </row>
    <row r="4811" spans="1:40" x14ac:dyDescent="0.25">
      <c r="A4811" t="str">
        <f>"20190303154233977"</f>
        <v>20190303154233977</v>
      </c>
      <c r="B4811" t="str">
        <f>"1551598953974821"</f>
        <v>1551598953974821</v>
      </c>
      <c r="C4811" t="s">
        <v>40</v>
      </c>
      <c r="D4811">
        <v>5.9274779999999998</v>
      </c>
      <c r="E4811">
        <v>0.52544599999999997</v>
      </c>
      <c r="F4811" t="s">
        <v>41</v>
      </c>
      <c r="G4811">
        <v>-194.703</v>
      </c>
      <c r="H4811" s="1">
        <v>-2.4818300000000001E-6</v>
      </c>
      <c r="I4811">
        <v>172.45740000000001</v>
      </c>
      <c r="J4811">
        <v>-192.69370000000001</v>
      </c>
      <c r="K4811">
        <v>1.1227780000000001</v>
      </c>
      <c r="L4811">
        <v>194.5044</v>
      </c>
      <c r="M4811">
        <v>-0.10183010000000001</v>
      </c>
      <c r="N4811">
        <v>-8.3694930000000004E-3</v>
      </c>
      <c r="O4811">
        <v>-0.99476679999999995</v>
      </c>
      <c r="P4811">
        <v>-1.795596E-2</v>
      </c>
      <c r="Q4811">
        <v>-8.4176730000000005E-2</v>
      </c>
      <c r="R4811">
        <v>-0.99628930000000004</v>
      </c>
      <c r="S4811">
        <v>-0.272644</v>
      </c>
      <c r="T4811">
        <v>-0.1508726</v>
      </c>
      <c r="U4811">
        <v>-2.9924010000000001</v>
      </c>
      <c r="V4811">
        <v>-8.3159360000000002E-2</v>
      </c>
      <c r="W4811">
        <v>-7.6338980000000001E-2</v>
      </c>
      <c r="X4811">
        <v>0.99360800000000005</v>
      </c>
      <c r="Y4811">
        <v>-1.1224970000000001E-2</v>
      </c>
      <c r="Z4811">
        <v>4.1536280000000002E-2</v>
      </c>
      <c r="AA4811">
        <v>0.99907389999999996</v>
      </c>
      <c r="AB4811">
        <v>23</v>
      </c>
      <c r="AC4811">
        <v>-2.0092999999999899</v>
      </c>
      <c r="AD4811">
        <v>-1.12278048183</v>
      </c>
      <c r="AE4811">
        <v>-22.047000000000001</v>
      </c>
      <c r="AF4811">
        <v>-0.24564003330453299</v>
      </c>
      <c r="AG4811">
        <v>-1.12278048183</v>
      </c>
      <c r="AH4811">
        <v>22.080207853863399</v>
      </c>
      <c r="AI4811">
        <v>92.910808257276798</v>
      </c>
      <c r="AJ4811">
        <v>90.637383339113995</v>
      </c>
      <c r="AK4811">
        <v>22.1101007213027</v>
      </c>
      <c r="AL4811">
        <v>94.378160850711197</v>
      </c>
      <c r="AM4811">
        <v>94.784182254257502</v>
      </c>
      <c r="AN4811">
        <v>0.99999998834352499</v>
      </c>
    </row>
    <row r="4812" spans="1:40" x14ac:dyDescent="0.25">
      <c r="A4812" t="str">
        <f>"20190303154233990"</f>
        <v>20190303154233990</v>
      </c>
      <c r="B4812" t="str">
        <f>"1551598953984582"</f>
        <v>1551598953984582</v>
      </c>
      <c r="C4812" t="s">
        <v>40</v>
      </c>
      <c r="D4812">
        <v>5.9573510000000001</v>
      </c>
      <c r="E4812">
        <v>0.52522869999999899</v>
      </c>
      <c r="F4812" t="s">
        <v>41</v>
      </c>
      <c r="G4812">
        <v>-194.55770000000001</v>
      </c>
      <c r="H4812" s="1">
        <v>-2.4140140000000001E-6</v>
      </c>
      <c r="I4812">
        <v>172.38939999999999</v>
      </c>
      <c r="J4812">
        <v>-192.70509999999999</v>
      </c>
      <c r="K4812">
        <v>1.1227720000000001</v>
      </c>
      <c r="L4812">
        <v>194.37090000000001</v>
      </c>
      <c r="M4812">
        <v>-9.9705409999999994E-2</v>
      </c>
      <c r="N4812">
        <v>-8.3372680000000001E-3</v>
      </c>
      <c r="O4812">
        <v>-0.99498209999999998</v>
      </c>
      <c r="P4812">
        <v>-1.4718729999999999E-2</v>
      </c>
      <c r="Q4812">
        <v>-8.5339699999999893E-2</v>
      </c>
      <c r="R4812">
        <v>-0.99624310000000005</v>
      </c>
      <c r="S4812">
        <v>-0.25233460000000002</v>
      </c>
      <c r="T4812">
        <v>-0.15199589999999999</v>
      </c>
      <c r="U4812">
        <v>-2.993805</v>
      </c>
      <c r="V4812">
        <v>-8.4246390000000004E-2</v>
      </c>
      <c r="W4812">
        <v>-7.7543249999999994E-2</v>
      </c>
      <c r="X4812">
        <v>0.99342319999999995</v>
      </c>
      <c r="Y4812">
        <v>-1.585773E-2</v>
      </c>
      <c r="Z4812">
        <v>4.1941199999999998E-2</v>
      </c>
      <c r="AA4812">
        <v>0.99899420000000005</v>
      </c>
      <c r="AB4812">
        <v>23</v>
      </c>
      <c r="AC4812">
        <v>-1.85260000000002</v>
      </c>
      <c r="AD4812">
        <v>-1.1227744140139999</v>
      </c>
      <c r="AE4812">
        <v>-21.9815</v>
      </c>
      <c r="AF4812">
        <v>-0.34748254944854601</v>
      </c>
      <c r="AG4812">
        <v>-1.1227744140139999</v>
      </c>
      <c r="AH4812">
        <v>21.9996873523977</v>
      </c>
      <c r="AI4812">
        <v>92.921244574193096</v>
      </c>
      <c r="AJ4812">
        <v>90.904905048023096</v>
      </c>
      <c r="AK4812">
        <v>22.031060122249698</v>
      </c>
      <c r="AL4812">
        <v>94.447365397166905</v>
      </c>
      <c r="AM4812">
        <v>94.847320700456194</v>
      </c>
      <c r="AN4812">
        <v>1.0000000320734099</v>
      </c>
    </row>
    <row r="4813" spans="1:40" x14ac:dyDescent="0.25">
      <c r="A4813" t="str">
        <f>"20190303154234004"</f>
        <v>20190303154234004</v>
      </c>
      <c r="B4813" t="str">
        <f>"1551598953994342"</f>
        <v>1551598953994342</v>
      </c>
      <c r="C4813" t="s">
        <v>40</v>
      </c>
      <c r="D4813">
        <v>5.9096789999999997</v>
      </c>
      <c r="E4813">
        <v>0.52533890000000005</v>
      </c>
      <c r="F4813" t="s">
        <v>41</v>
      </c>
      <c r="G4813">
        <v>-194.4204</v>
      </c>
      <c r="H4813" s="1">
        <v>-2.6703690000000001E-6</v>
      </c>
      <c r="I4813">
        <v>173.07220000000001</v>
      </c>
      <c r="J4813">
        <v>-192.7159</v>
      </c>
      <c r="K4813">
        <v>1.1227590000000001</v>
      </c>
      <c r="L4813">
        <v>194.2415</v>
      </c>
      <c r="M4813">
        <v>-9.7649340000000001E-2</v>
      </c>
      <c r="N4813">
        <v>-8.3117139999999996E-3</v>
      </c>
      <c r="O4813">
        <v>-0.99518629999999997</v>
      </c>
      <c r="P4813">
        <v>-1.1597959999999999E-2</v>
      </c>
      <c r="Q4813">
        <v>-8.7359919999999994E-2</v>
      </c>
      <c r="R4813">
        <v>-0.99610960000000004</v>
      </c>
      <c r="S4813">
        <v>-0.2411346</v>
      </c>
      <c r="T4813">
        <v>-0.15784239999999999</v>
      </c>
      <c r="U4813">
        <v>-2.9942319999999998</v>
      </c>
      <c r="V4813">
        <v>-8.5276539999999998E-2</v>
      </c>
      <c r="W4813">
        <v>-7.9596650000000005E-2</v>
      </c>
      <c r="X4813">
        <v>0.99317279999999997</v>
      </c>
      <c r="Y4813">
        <v>-1.7521439999999999E-2</v>
      </c>
      <c r="Z4813">
        <v>4.3908059999999999E-2</v>
      </c>
      <c r="AA4813">
        <v>0.99888189999999999</v>
      </c>
      <c r="AB4813">
        <v>23</v>
      </c>
      <c r="AC4813">
        <v>-1.7044999999999899</v>
      </c>
      <c r="AD4813">
        <v>-1.122761670369</v>
      </c>
      <c r="AE4813">
        <v>-21.1693</v>
      </c>
      <c r="AF4813">
        <v>-0.36985221528588602</v>
      </c>
      <c r="AG4813">
        <v>-1.122761670369</v>
      </c>
      <c r="AH4813">
        <v>21.175389836683799</v>
      </c>
      <c r="AI4813">
        <v>93.034633155390495</v>
      </c>
      <c r="AJ4813">
        <v>91.000634068914593</v>
      </c>
      <c r="AK4813">
        <v>21.208359652861699</v>
      </c>
      <c r="AL4813">
        <v>94.565381719391894</v>
      </c>
      <c r="AM4813">
        <v>94.907536235419101</v>
      </c>
      <c r="AN4813">
        <v>0.99999996281271597</v>
      </c>
    </row>
    <row r="4814" spans="1:40" x14ac:dyDescent="0.25">
      <c r="A4814" t="str">
        <f>"20190303154234017"</f>
        <v>20190303154234017</v>
      </c>
      <c r="B4814" t="str">
        <f>"1551598954014838"</f>
        <v>1551598954014838</v>
      </c>
      <c r="C4814" t="s">
        <v>40</v>
      </c>
      <c r="D4814">
        <v>5.8344110000000002</v>
      </c>
      <c r="E4814">
        <v>0.52494969999999996</v>
      </c>
      <c r="F4814" t="s">
        <v>41</v>
      </c>
      <c r="G4814">
        <v>-194.3289</v>
      </c>
      <c r="H4814" s="1">
        <v>-2.8147279999999998E-6</v>
      </c>
      <c r="I4814">
        <v>173.46539999999999</v>
      </c>
      <c r="J4814">
        <v>-192.72720000000001</v>
      </c>
      <c r="K4814">
        <v>1.1227419999999999</v>
      </c>
      <c r="L4814">
        <v>194.1027</v>
      </c>
      <c r="M4814">
        <v>-9.5450129999999994E-2</v>
      </c>
      <c r="N4814">
        <v>-8.2893510000000004E-3</v>
      </c>
      <c r="O4814">
        <v>-0.9953997</v>
      </c>
      <c r="P4814">
        <v>-8.5451950000000002E-3</v>
      </c>
      <c r="Q4814">
        <v>-8.8807810000000001E-2</v>
      </c>
      <c r="R4814">
        <v>-0.99601229999999996</v>
      </c>
      <c r="S4814">
        <v>-0.23251340000000001</v>
      </c>
      <c r="T4814">
        <v>-0.16184379999999901</v>
      </c>
      <c r="U4814">
        <v>-2.9948269999999999</v>
      </c>
      <c r="V4814">
        <v>-8.6105899999999999E-2</v>
      </c>
      <c r="W4814">
        <v>-8.1071760000000007E-2</v>
      </c>
      <c r="X4814">
        <v>0.99298200000000003</v>
      </c>
      <c r="Y4814">
        <v>-1.8190069999999999E-2</v>
      </c>
      <c r="Z4814">
        <v>4.5260250000000002E-2</v>
      </c>
      <c r="AA4814">
        <v>0.99880959999999996</v>
      </c>
      <c r="AB4814">
        <v>23</v>
      </c>
      <c r="AC4814">
        <v>-1.6016999999999899</v>
      </c>
      <c r="AD4814">
        <v>-1.1227448147279999</v>
      </c>
      <c r="AE4814">
        <v>-20.6373</v>
      </c>
      <c r="AF4814">
        <v>-0.37441263338464298</v>
      </c>
      <c r="AG4814">
        <v>-1.1227448147279999</v>
      </c>
      <c r="AH4814">
        <v>20.635246057328398</v>
      </c>
      <c r="AI4814">
        <v>93.113828555246499</v>
      </c>
      <c r="AJ4814">
        <v>91.039479245740395</v>
      </c>
      <c r="AK4814">
        <v>20.669158681125001</v>
      </c>
      <c r="AL4814">
        <v>94.650172929205695</v>
      </c>
      <c r="AM4814">
        <v>94.955975527331901</v>
      </c>
      <c r="AN4814">
        <v>1.0000000543041501</v>
      </c>
    </row>
    <row r="4815" spans="1:40" x14ac:dyDescent="0.25">
      <c r="A4815" t="str">
        <f>"20190303154234033"</f>
        <v>20190303154234033</v>
      </c>
      <c r="B4815" t="str">
        <f>"1551598954024597"</f>
        <v>1551598954024597</v>
      </c>
      <c r="C4815" t="s">
        <v>40</v>
      </c>
      <c r="D4815">
        <v>5.9049559999999897</v>
      </c>
      <c r="E4815">
        <v>0.52509910000000004</v>
      </c>
      <c r="F4815" t="s">
        <v>41</v>
      </c>
      <c r="G4815">
        <v>-194.2594</v>
      </c>
      <c r="H4815" s="1">
        <v>-2.6960219999999999E-6</v>
      </c>
      <c r="I4815">
        <v>173.23179999999999</v>
      </c>
      <c r="J4815">
        <v>-192.74039999999999</v>
      </c>
      <c r="K4815">
        <v>1.122709</v>
      </c>
      <c r="L4815">
        <v>193.93539999999999</v>
      </c>
      <c r="M4815">
        <v>-9.2804600000000001E-2</v>
      </c>
      <c r="N4815">
        <v>-8.2742949999999992E-3</v>
      </c>
      <c r="O4815">
        <v>-0.99565009999999998</v>
      </c>
      <c r="P4815">
        <v>-5.3412629999999997E-3</v>
      </c>
      <c r="Q4815">
        <v>-9.2016550000000003E-2</v>
      </c>
      <c r="R4815">
        <v>-0.99574320000000005</v>
      </c>
      <c r="S4815">
        <v>-0.21992490000000001</v>
      </c>
      <c r="T4815">
        <v>-0.16115879999999999</v>
      </c>
      <c r="U4815">
        <v>-2.9958040000000001</v>
      </c>
      <c r="V4815">
        <v>-8.6617169999999993E-2</v>
      </c>
      <c r="W4815">
        <v>-8.4299360000000004E-2</v>
      </c>
      <c r="X4815">
        <v>0.99266869999999996</v>
      </c>
      <c r="Y4815">
        <v>-1.9730339999999999E-2</v>
      </c>
      <c r="Z4815">
        <v>4.505725E-2</v>
      </c>
      <c r="AA4815">
        <v>0.9987895</v>
      </c>
      <c r="AB4815">
        <v>23</v>
      </c>
      <c r="AC4815">
        <v>-1.5189999999999999</v>
      </c>
      <c r="AD4815">
        <v>-1.122711696022</v>
      </c>
      <c r="AE4815">
        <v>-20.703599999999899</v>
      </c>
      <c r="AF4815">
        <v>-0.40781792631677399</v>
      </c>
      <c r="AG4815">
        <v>-1.122711696022</v>
      </c>
      <c r="AH4815">
        <v>20.694689000334201</v>
      </c>
      <c r="AI4815">
        <v>93.104719009171404</v>
      </c>
      <c r="AJ4815">
        <v>91.128947721347302</v>
      </c>
      <c r="AK4815">
        <v>20.7291328770396</v>
      </c>
      <c r="AL4815">
        <v>94.835736394364005</v>
      </c>
      <c r="AM4815">
        <v>94.986820187118596</v>
      </c>
      <c r="AN4815">
        <v>1.00000003209745</v>
      </c>
    </row>
    <row r="4816" spans="1:40" x14ac:dyDescent="0.25">
      <c r="A4816" t="str">
        <f>"20190303154234047"</f>
        <v>20190303154234047</v>
      </c>
      <c r="B4816" t="str">
        <f>"1551598954045093"</f>
        <v>1551598954045093</v>
      </c>
      <c r="C4816" t="s">
        <v>40</v>
      </c>
      <c r="D4816">
        <v>5.889481</v>
      </c>
      <c r="E4816">
        <v>0.52507009999999998</v>
      </c>
      <c r="F4816" t="s">
        <v>41</v>
      </c>
      <c r="G4816">
        <v>-194.1371</v>
      </c>
      <c r="H4816" s="1">
        <v>-3.0740359999999999E-6</v>
      </c>
      <c r="I4816">
        <v>174.18879999999999</v>
      </c>
      <c r="J4816">
        <v>-192.75040000000001</v>
      </c>
      <c r="K4816">
        <v>1.1226969999999901</v>
      </c>
      <c r="L4816">
        <v>193.80430000000001</v>
      </c>
      <c r="M4816">
        <v>-9.0731549999999994E-2</v>
      </c>
      <c r="N4816">
        <v>-8.2715789999999994E-3</v>
      </c>
      <c r="O4816">
        <v>-0.99584099999999998</v>
      </c>
      <c r="P4816">
        <v>-3.1326269999999998E-3</v>
      </c>
      <c r="Q4816">
        <v>-9.3437279999999998E-2</v>
      </c>
      <c r="R4816">
        <v>-0.99562050000000002</v>
      </c>
      <c r="S4816">
        <v>-0.2118988</v>
      </c>
      <c r="T4816">
        <v>-0.170338299999999</v>
      </c>
      <c r="U4816">
        <v>-2.9959560000000001</v>
      </c>
      <c r="V4816">
        <v>-8.6732020000000007E-2</v>
      </c>
      <c r="W4816">
        <v>-8.5724369999999994E-2</v>
      </c>
      <c r="X4816">
        <v>0.99253659999999999</v>
      </c>
      <c r="Y4816">
        <v>-2.0324129999999999E-2</v>
      </c>
      <c r="Z4816">
        <v>4.8104090000000002E-2</v>
      </c>
      <c r="AA4816">
        <v>0.99863550000000001</v>
      </c>
      <c r="AB4816">
        <v>23</v>
      </c>
      <c r="AC4816">
        <v>-1.3866999999999901</v>
      </c>
      <c r="AD4816">
        <v>-1.12270007403599</v>
      </c>
      <c r="AE4816">
        <v>-19.615500000000001</v>
      </c>
      <c r="AF4816">
        <v>-0.39752987552437702</v>
      </c>
      <c r="AG4816">
        <v>-1.12270007403599</v>
      </c>
      <c r="AH4816">
        <v>19.596533075981601</v>
      </c>
      <c r="AI4816">
        <v>93.2782609212084</v>
      </c>
      <c r="AJ4816">
        <v>91.1621270193329</v>
      </c>
      <c r="AK4816">
        <v>19.632691971714301</v>
      </c>
      <c r="AL4816">
        <v>94.917680224395497</v>
      </c>
      <c r="AM4816">
        <v>94.994060277739806</v>
      </c>
      <c r="AN4816">
        <v>1.00000000662236</v>
      </c>
    </row>
    <row r="4817" spans="1:40" x14ac:dyDescent="0.25">
      <c r="A4817" t="str">
        <f>"20190303154234062"</f>
        <v>20190303154234062</v>
      </c>
      <c r="B4817" t="str">
        <f>"1551598954054853"</f>
        <v>1551598954054853</v>
      </c>
      <c r="C4817" t="s">
        <v>40</v>
      </c>
      <c r="D4817">
        <v>5.9132119999999997</v>
      </c>
      <c r="E4817">
        <v>0.52503559999999905</v>
      </c>
      <c r="F4817" t="s">
        <v>41</v>
      </c>
      <c r="G4817">
        <v>-194.0581</v>
      </c>
      <c r="H4817" s="1">
        <v>-3.2739710000000002E-6</v>
      </c>
      <c r="I4817">
        <v>174.7039</v>
      </c>
      <c r="J4817">
        <v>-192.7619</v>
      </c>
      <c r="K4817">
        <v>1.1226849999999999</v>
      </c>
      <c r="L4817">
        <v>193.64879999999999</v>
      </c>
      <c r="M4817">
        <v>-8.8269E-2</v>
      </c>
      <c r="N4817">
        <v>-8.2774530000000006E-3</v>
      </c>
      <c r="O4817">
        <v>-0.99606220000000001</v>
      </c>
      <c r="P4817">
        <v>-9.8989249999999998E-4</v>
      </c>
      <c r="Q4817">
        <v>-9.5760200000000004E-2</v>
      </c>
      <c r="R4817">
        <v>-0.99540419999999996</v>
      </c>
      <c r="S4817">
        <v>-0.2051239</v>
      </c>
      <c r="T4817">
        <v>-0.1761036</v>
      </c>
      <c r="U4817">
        <v>-2.9960330000000002</v>
      </c>
      <c r="V4817">
        <v>-8.6380360000000003E-2</v>
      </c>
      <c r="W4817">
        <v>-8.8042220000000004E-2</v>
      </c>
      <c r="X4817">
        <v>0.99236429999999998</v>
      </c>
      <c r="Y4817">
        <v>-2.010752E-2</v>
      </c>
      <c r="Z4817">
        <v>5.0020559999999999E-2</v>
      </c>
      <c r="AA4817">
        <v>0.99854580000000004</v>
      </c>
      <c r="AB4817">
        <v>23</v>
      </c>
      <c r="AC4817">
        <v>-1.29619999999999</v>
      </c>
      <c r="AD4817">
        <v>-1.122688273971</v>
      </c>
      <c r="AE4817">
        <v>-18.944899999999901</v>
      </c>
      <c r="AF4817">
        <v>-0.37983693515143302</v>
      </c>
      <c r="AG4817">
        <v>-1.122688273971</v>
      </c>
      <c r="AH4817">
        <v>18.919233400682501</v>
      </c>
      <c r="AI4817">
        <v>93.395329959964101</v>
      </c>
      <c r="AJ4817">
        <v>91.150159178024097</v>
      </c>
      <c r="AK4817">
        <v>18.956320780344502</v>
      </c>
      <c r="AL4817">
        <v>95.050987657259796</v>
      </c>
      <c r="AM4817">
        <v>94.974772620840497</v>
      </c>
      <c r="AN4817">
        <v>0.99999995150537202</v>
      </c>
    </row>
    <row r="4818" spans="1:40" x14ac:dyDescent="0.25">
      <c r="A4818" t="str">
        <f>"20190303154234090"</f>
        <v>20190303154234090</v>
      </c>
      <c r="B4818" t="str">
        <f>"1551598954085109"</f>
        <v>1551598954085109</v>
      </c>
      <c r="C4818" t="s">
        <v>40</v>
      </c>
      <c r="D4818">
        <v>5.9053630000000004</v>
      </c>
      <c r="E4818">
        <v>0.524756</v>
      </c>
      <c r="F4818" t="s">
        <v>41</v>
      </c>
      <c r="G4818">
        <v>-193.97380000000001</v>
      </c>
      <c r="H4818" s="1">
        <v>-3.5436030000000001E-6</v>
      </c>
      <c r="I4818">
        <v>175.38470000000001</v>
      </c>
      <c r="J4818">
        <v>-192.78200000000001</v>
      </c>
      <c r="K4818">
        <v>1.1227100000000001</v>
      </c>
      <c r="L4818">
        <v>193.36179999999999</v>
      </c>
      <c r="M4818">
        <v>-8.3688680000000001E-2</v>
      </c>
      <c r="N4818">
        <v>-8.3256419999999994E-3</v>
      </c>
      <c r="O4818">
        <v>-0.99645720000000004</v>
      </c>
      <c r="P4818">
        <v>-1.509994E-3</v>
      </c>
      <c r="Q4818">
        <v>-9.9644869999999997E-2</v>
      </c>
      <c r="R4818">
        <v>-0.99502210000000002</v>
      </c>
      <c r="S4818">
        <v>-0.19879150000000001</v>
      </c>
      <c r="T4818">
        <v>-0.1841594</v>
      </c>
      <c r="U4818">
        <v>-2.9959410000000002</v>
      </c>
      <c r="V4818">
        <v>-8.1240140000000002E-2</v>
      </c>
      <c r="W4818">
        <v>-9.1856649999999998E-2</v>
      </c>
      <c r="X4818">
        <v>0.99245269999999997</v>
      </c>
      <c r="Y4818">
        <v>-1.7619340000000001E-2</v>
      </c>
      <c r="Z4818">
        <v>5.2670990000000001E-2</v>
      </c>
      <c r="AA4818">
        <v>0.99845649999999997</v>
      </c>
      <c r="AB4818">
        <v>23</v>
      </c>
      <c r="AC4818">
        <v>-1.1918</v>
      </c>
      <c r="AD4818">
        <v>-1.122713543603</v>
      </c>
      <c r="AE4818">
        <v>-17.977099999999901</v>
      </c>
      <c r="AF4818">
        <v>-0.315687163535886</v>
      </c>
      <c r="AG4818">
        <v>-1.122713543603</v>
      </c>
      <c r="AH4818">
        <v>17.9440934711149</v>
      </c>
      <c r="AI4818">
        <v>93.579623088878193</v>
      </c>
      <c r="AJ4818">
        <v>91.0078902240232</v>
      </c>
      <c r="AK4818">
        <v>17.981953024805701</v>
      </c>
      <c r="AL4818">
        <v>95.2704279162718</v>
      </c>
      <c r="AM4818">
        <v>94.679681048504904</v>
      </c>
      <c r="AN4818">
        <v>0.999999983116865</v>
      </c>
    </row>
    <row r="4819" spans="1:40" x14ac:dyDescent="0.25">
      <c r="A4819" t="str">
        <f>"20190303154234113"</f>
        <v>20190303154234113</v>
      </c>
      <c r="B4819" t="str">
        <f>"1551598954104630"</f>
        <v>1551598954104630</v>
      </c>
      <c r="C4819" t="s">
        <v>40</v>
      </c>
      <c r="D4819">
        <v>5.8928120000000002</v>
      </c>
      <c r="E4819">
        <v>0.52460980000000001</v>
      </c>
      <c r="F4819" t="s">
        <v>41</v>
      </c>
      <c r="G4819">
        <v>-193.92859999999999</v>
      </c>
      <c r="H4819" s="1">
        <v>-3.7825460000000002E-6</v>
      </c>
      <c r="I4819">
        <v>176.05420000000001</v>
      </c>
      <c r="J4819">
        <v>-192.79759999999999</v>
      </c>
      <c r="K4819">
        <v>1.1227560000000001</v>
      </c>
      <c r="L4819">
        <v>193.12430000000001</v>
      </c>
      <c r="M4819">
        <v>-7.9845630000000001E-2</v>
      </c>
      <c r="N4819">
        <v>-8.3944199999999997E-3</v>
      </c>
      <c r="O4819">
        <v>-0.99677199999999999</v>
      </c>
      <c r="P4819">
        <v>-2.676721E-3</v>
      </c>
      <c r="Q4819">
        <v>-0.101134</v>
      </c>
      <c r="R4819">
        <v>-0.99486949999999996</v>
      </c>
      <c r="S4819">
        <v>-0.1984253</v>
      </c>
      <c r="T4819">
        <v>-0.19429560000000001</v>
      </c>
      <c r="U4819">
        <v>-2.9952390000000002</v>
      </c>
      <c r="V4819">
        <v>-7.6222310000000001E-2</v>
      </c>
      <c r="W4819">
        <v>-9.3254970000000006E-2</v>
      </c>
      <c r="X4819">
        <v>0.99272039999999995</v>
      </c>
      <c r="Y4819">
        <v>-1.388265E-2</v>
      </c>
      <c r="Z4819">
        <v>5.5992350000000003E-2</v>
      </c>
      <c r="AA4819">
        <v>0.99833470000000002</v>
      </c>
      <c r="AB4819">
        <v>23</v>
      </c>
      <c r="AC4819">
        <v>-1.131</v>
      </c>
      <c r="AD4819">
        <v>-1.1227597825459901</v>
      </c>
      <c r="AE4819">
        <v>-17.070099999999901</v>
      </c>
      <c r="AF4819">
        <v>-0.23462146268898901</v>
      </c>
      <c r="AG4819">
        <v>-1.1227597825459901</v>
      </c>
      <c r="AH4819">
        <v>17.032540757775401</v>
      </c>
      <c r="AI4819">
        <v>93.771039702095194</v>
      </c>
      <c r="AJ4819">
        <v>90.7891934406628</v>
      </c>
      <c r="AK4819">
        <v>17.071118341378099</v>
      </c>
      <c r="AL4819">
        <v>95.350890727931599</v>
      </c>
      <c r="AM4819">
        <v>94.390626799489695</v>
      </c>
      <c r="AN4819">
        <v>1.00000006127379</v>
      </c>
    </row>
    <row r="4820" spans="1:40" x14ac:dyDescent="0.25">
      <c r="A4820" t="str">
        <f>"20190303154234133"</f>
        <v>20190303154234133</v>
      </c>
      <c r="B4820" t="str">
        <f>"1551598954125126"</f>
        <v>1551598954125126</v>
      </c>
      <c r="C4820" t="s">
        <v>40</v>
      </c>
      <c r="D4820">
        <v>6.0212899999999996</v>
      </c>
      <c r="E4820">
        <v>0.52420730000000004</v>
      </c>
      <c r="F4820" t="s">
        <v>41</v>
      </c>
      <c r="G4820">
        <v>-193.90889999999999</v>
      </c>
      <c r="H4820" s="1">
        <v>-3.9553699999999999E-6</v>
      </c>
      <c r="I4820">
        <v>176.57230000000001</v>
      </c>
      <c r="J4820">
        <v>-192.81110000000001</v>
      </c>
      <c r="K4820">
        <v>1.122819</v>
      </c>
      <c r="L4820">
        <v>192.90450000000001</v>
      </c>
      <c r="M4820">
        <v>-7.6220689999999994E-2</v>
      </c>
      <c r="N4820">
        <v>-8.4831850000000007E-3</v>
      </c>
      <c r="O4820">
        <v>-0.99705520000000003</v>
      </c>
      <c r="P4820">
        <v>-3.1993590000000001E-3</v>
      </c>
      <c r="Q4820">
        <v>-0.1010226</v>
      </c>
      <c r="R4820">
        <v>-0.99487959999999998</v>
      </c>
      <c r="S4820">
        <v>-0.20101930000000001</v>
      </c>
      <c r="T4820">
        <v>-0.2031075</v>
      </c>
      <c r="U4820">
        <v>-2.9942630000000001</v>
      </c>
      <c r="V4820">
        <v>-7.2084510000000004E-2</v>
      </c>
      <c r="W4820">
        <v>-9.3036980000000005E-2</v>
      </c>
      <c r="X4820">
        <v>0.99304979999999998</v>
      </c>
      <c r="Y4820">
        <v>-9.3765310000000004E-3</v>
      </c>
      <c r="Z4820">
        <v>5.8860530000000001E-2</v>
      </c>
      <c r="AA4820">
        <v>0.99822219999999995</v>
      </c>
      <c r="AB4820">
        <v>23</v>
      </c>
      <c r="AC4820">
        <v>-1.0977999999999699</v>
      </c>
      <c r="AD4820">
        <v>-1.12282295537</v>
      </c>
      <c r="AE4820">
        <v>-16.3322</v>
      </c>
      <c r="AF4820">
        <v>-0.14958588799250899</v>
      </c>
      <c r="AG4820">
        <v>-1.12282295537</v>
      </c>
      <c r="AH4820">
        <v>16.291708561221899</v>
      </c>
      <c r="AI4820">
        <v>93.942419371452402</v>
      </c>
      <c r="AJ4820">
        <v>90.526058957558604</v>
      </c>
      <c r="AK4820">
        <v>16.3310402354163</v>
      </c>
      <c r="AL4820">
        <v>95.338346715357403</v>
      </c>
      <c r="AM4820">
        <v>94.151762491583796</v>
      </c>
      <c r="AN4820">
        <v>0.99999998075474905</v>
      </c>
    </row>
    <row r="4821" spans="1:40" x14ac:dyDescent="0.25">
      <c r="A4821" t="str">
        <f>"20190303154234156"</f>
        <v>20190303154234156</v>
      </c>
      <c r="B4821" t="str">
        <f>"1551598954144646"</f>
        <v>1551598954144646</v>
      </c>
      <c r="C4821" t="s">
        <v>40</v>
      </c>
      <c r="D4821">
        <v>6.0179179999999999</v>
      </c>
      <c r="E4821">
        <v>0.52384699999999995</v>
      </c>
      <c r="F4821" t="s">
        <v>41</v>
      </c>
      <c r="G4821">
        <v>-193.88829999999999</v>
      </c>
      <c r="H4821" s="1">
        <v>-4.009672E-6</v>
      </c>
      <c r="I4821">
        <v>176.74260000000001</v>
      </c>
      <c r="J4821">
        <v>-192.82400000000001</v>
      </c>
      <c r="K4821">
        <v>1.1228959999999999</v>
      </c>
      <c r="L4821">
        <v>192.6808</v>
      </c>
      <c r="M4821">
        <v>-7.2451100000000004E-2</v>
      </c>
      <c r="N4821">
        <v>-8.6004410000000003E-3</v>
      </c>
      <c r="O4821">
        <v>-0.99733519999999998</v>
      </c>
      <c r="P4821">
        <v>-2.7153189999999999E-3</v>
      </c>
      <c r="Q4821">
        <v>-9.9206719999999998E-2</v>
      </c>
      <c r="R4821">
        <v>-0.9950637</v>
      </c>
      <c r="S4821">
        <v>-0.1995239</v>
      </c>
      <c r="T4821">
        <v>-0.2079791</v>
      </c>
      <c r="U4821">
        <v>-2.993652</v>
      </c>
      <c r="V4821">
        <v>-6.8830680000000005E-2</v>
      </c>
      <c r="W4821">
        <v>-9.1089610000000001E-2</v>
      </c>
      <c r="X4821">
        <v>0.99346109999999999</v>
      </c>
      <c r="Y4821">
        <v>-6.0864079999999997E-3</v>
      </c>
      <c r="Z4821">
        <v>6.0395240000000003E-2</v>
      </c>
      <c r="AA4821">
        <v>0.99815600000000004</v>
      </c>
      <c r="AB4821">
        <v>23</v>
      </c>
      <c r="AC4821">
        <v>-1.06429999999997</v>
      </c>
      <c r="AD4821">
        <v>-1.1229000096720001</v>
      </c>
      <c r="AE4821">
        <v>-15.938199999999901</v>
      </c>
      <c r="AF4821">
        <v>-9.2821000906701603E-2</v>
      </c>
      <c r="AG4821">
        <v>-1.1229000096720001</v>
      </c>
      <c r="AH4821">
        <v>15.8948765185086</v>
      </c>
      <c r="AI4821">
        <v>94.040901352002194</v>
      </c>
      <c r="AJ4821">
        <v>90.334585244690103</v>
      </c>
      <c r="AK4821">
        <v>15.934761363401901</v>
      </c>
      <c r="AL4821">
        <v>95.226294810505095</v>
      </c>
      <c r="AM4821">
        <v>93.963331164215802</v>
      </c>
      <c r="AN4821">
        <v>0.99999996838621097</v>
      </c>
    </row>
    <row r="4822" spans="1:40" x14ac:dyDescent="0.25">
      <c r="A4822" t="str">
        <f>"20190303154234177"</f>
        <v>20190303154234177</v>
      </c>
      <c r="B4822" t="str">
        <f>"1551598954174902"</f>
        <v>1551598954174902</v>
      </c>
      <c r="C4822" t="s">
        <v>40</v>
      </c>
      <c r="D4822">
        <v>5.9984250000000001</v>
      </c>
      <c r="E4822">
        <v>0.52347770000000005</v>
      </c>
      <c r="F4822" t="s">
        <v>41</v>
      </c>
      <c r="G4822">
        <v>-193.88399999999999</v>
      </c>
      <c r="H4822" s="1">
        <v>-3.8961249999999999E-6</v>
      </c>
      <c r="I4822">
        <v>176.41120000000001</v>
      </c>
      <c r="J4822">
        <v>-192.83590000000001</v>
      </c>
      <c r="K4822">
        <v>1.1229549999999999</v>
      </c>
      <c r="L4822">
        <v>192.45570000000001</v>
      </c>
      <c r="M4822">
        <v>-6.857684E-2</v>
      </c>
      <c r="N4822">
        <v>-8.7338969999999991E-3</v>
      </c>
      <c r="O4822">
        <v>-0.99760780000000004</v>
      </c>
      <c r="P4822">
        <v>-1.006711E-3</v>
      </c>
      <c r="Q4822">
        <v>-9.8019140000000005E-2</v>
      </c>
      <c r="R4822">
        <v>-0.99518439999999997</v>
      </c>
      <c r="S4822">
        <v>-0.19505310000000001</v>
      </c>
      <c r="T4822">
        <v>-0.20662440000000001</v>
      </c>
      <c r="U4822">
        <v>-2.9937589999999998</v>
      </c>
      <c r="V4822">
        <v>-6.6686960000000003E-2</v>
      </c>
      <c r="W4822">
        <v>-8.9760619999999999E-2</v>
      </c>
      <c r="X4822">
        <v>0.99372830000000001</v>
      </c>
      <c r="Y4822">
        <v>-3.68762E-3</v>
      </c>
      <c r="Z4822">
        <v>5.9842989999999999E-2</v>
      </c>
      <c r="AA4822">
        <v>0.998201</v>
      </c>
      <c r="AB4822">
        <v>23</v>
      </c>
      <c r="AC4822">
        <v>-1.0481</v>
      </c>
      <c r="AD4822">
        <v>-1.1229588961250001</v>
      </c>
      <c r="AE4822">
        <v>-16.044499999999999</v>
      </c>
      <c r="AF4822">
        <v>-5.4424974206086198E-2</v>
      </c>
      <c r="AG4822">
        <v>-1.1229588961250001</v>
      </c>
      <c r="AH4822">
        <v>16.000556005007098</v>
      </c>
      <c r="AI4822">
        <v>94.0145547054464</v>
      </c>
      <c r="AJ4822">
        <v>90.194887558600698</v>
      </c>
      <c r="AK4822">
        <v>16.040005961020501</v>
      </c>
      <c r="AL4822">
        <v>95.149835750398907</v>
      </c>
      <c r="AM4822">
        <v>93.839239632858394</v>
      </c>
      <c r="AN4822">
        <v>1.00000002687885</v>
      </c>
    </row>
    <row r="4823" spans="1:40" x14ac:dyDescent="0.25">
      <c r="A4823" t="str">
        <f>"20190303154234201"</f>
        <v>20190303154234201</v>
      </c>
      <c r="B4823" t="str">
        <f>"1551598954194425"</f>
        <v>1551598954194425</v>
      </c>
      <c r="C4823" t="s">
        <v>40</v>
      </c>
      <c r="D4823">
        <v>5.8780539999999997</v>
      </c>
      <c r="E4823">
        <v>0.52348229999999996</v>
      </c>
      <c r="F4823" t="s">
        <v>41</v>
      </c>
      <c r="G4823">
        <v>-193.84129999999999</v>
      </c>
      <c r="H4823" s="1">
        <v>-3.877087E-6</v>
      </c>
      <c r="I4823">
        <v>176.3775</v>
      </c>
      <c r="J4823">
        <v>-192.84739999999999</v>
      </c>
      <c r="K4823">
        <v>1.1229979999999999</v>
      </c>
      <c r="L4823">
        <v>192.2183</v>
      </c>
      <c r="M4823">
        <v>-6.4425419999999997E-2</v>
      </c>
      <c r="N4823">
        <v>-8.8709219999999998E-3</v>
      </c>
      <c r="O4823">
        <v>-0.99788319999999997</v>
      </c>
      <c r="P4823">
        <v>3.3648079999999999E-3</v>
      </c>
      <c r="Q4823">
        <v>-9.9026749999999997E-2</v>
      </c>
      <c r="R4823">
        <v>-0.99507920000000005</v>
      </c>
      <c r="S4823">
        <v>-0.18721009999999999</v>
      </c>
      <c r="T4823">
        <v>-0.20909179999999999</v>
      </c>
      <c r="U4823">
        <v>-2.9937130000000001</v>
      </c>
      <c r="V4823">
        <v>-6.6898639999999995E-2</v>
      </c>
      <c r="W4823">
        <v>-9.0639349999999994E-2</v>
      </c>
      <c r="X4823">
        <v>0.99363429999999997</v>
      </c>
      <c r="Y4823">
        <v>-2.1335989999999999E-3</v>
      </c>
      <c r="Z4823">
        <v>6.0555350000000001E-2</v>
      </c>
      <c r="AA4823">
        <v>0.99816260000000001</v>
      </c>
      <c r="AB4823">
        <v>23</v>
      </c>
      <c r="AC4823">
        <v>-0.99389999999999601</v>
      </c>
      <c r="AD4823">
        <v>-1.1230018770869901</v>
      </c>
      <c r="AE4823">
        <v>-15.8408</v>
      </c>
      <c r="AF4823">
        <v>-2.8611974395475501E-2</v>
      </c>
      <c r="AG4823">
        <v>-1.1230018770869901</v>
      </c>
      <c r="AH4823">
        <v>15.7928626681081</v>
      </c>
      <c r="AI4823">
        <v>94.067346380840604</v>
      </c>
      <c r="AJ4823">
        <v>90.103802813793905</v>
      </c>
      <c r="AK4823">
        <v>15.832765491686599</v>
      </c>
      <c r="AL4823">
        <v>95.200389374827495</v>
      </c>
      <c r="AM4823">
        <v>93.851752911266203</v>
      </c>
      <c r="AN4823">
        <v>1.00000002096938</v>
      </c>
    </row>
    <row r="4824" spans="1:40" x14ac:dyDescent="0.25">
      <c r="A4824" t="str">
        <f>"20190303154234222"</f>
        <v>20190303154234222</v>
      </c>
      <c r="B4824" t="str">
        <f>"1551598954214921"</f>
        <v>1551598954214921</v>
      </c>
      <c r="C4824" t="s">
        <v>40</v>
      </c>
      <c r="D4824">
        <v>5.9159579999999998</v>
      </c>
      <c r="E4824">
        <v>0.52373700000000001</v>
      </c>
      <c r="F4824" t="s">
        <v>41</v>
      </c>
      <c r="G4824">
        <v>-193.76400000000001</v>
      </c>
      <c r="H4824" s="1">
        <v>-3.8928619999999998E-6</v>
      </c>
      <c r="I4824">
        <v>176.4641</v>
      </c>
      <c r="J4824">
        <v>-192.85769999999999</v>
      </c>
      <c r="K4824">
        <v>1.1230209999999901</v>
      </c>
      <c r="L4824">
        <v>191.988</v>
      </c>
      <c r="M4824">
        <v>-6.035509E-2</v>
      </c>
      <c r="N4824">
        <v>-8.9951990000000006E-3</v>
      </c>
      <c r="O4824">
        <v>-0.99813649999999998</v>
      </c>
      <c r="P4824">
        <v>9.5956600000000006E-3</v>
      </c>
      <c r="Q4824">
        <v>-0.1009541</v>
      </c>
      <c r="R4824">
        <v>-0.99484470000000003</v>
      </c>
      <c r="S4824">
        <v>-0.17420959999999999</v>
      </c>
      <c r="T4824">
        <v>-0.2134337</v>
      </c>
      <c r="U4824">
        <v>-2.994186</v>
      </c>
      <c r="V4824">
        <v>-6.9039320000000001E-2</v>
      </c>
      <c r="W4824">
        <v>-9.2462699999999995E-2</v>
      </c>
      <c r="X4824">
        <v>0.99331979999999997</v>
      </c>
      <c r="Y4824">
        <v>-2.3878739999999999E-3</v>
      </c>
      <c r="Z4824">
        <v>6.1888949999999998E-2</v>
      </c>
      <c r="AA4824">
        <v>0.99808019999999997</v>
      </c>
      <c r="AB4824">
        <v>23</v>
      </c>
      <c r="AC4824">
        <v>-0.90630000000001598</v>
      </c>
      <c r="AD4824">
        <v>-1.1230248928619999</v>
      </c>
      <c r="AE4824">
        <v>-15.5238999999999</v>
      </c>
      <c r="AF4824">
        <v>-3.21688002649239E-2</v>
      </c>
      <c r="AG4824">
        <v>-1.1230248928619999</v>
      </c>
      <c r="AH4824">
        <v>15.469616776021599</v>
      </c>
      <c r="AI4824">
        <v>94.152124188113007</v>
      </c>
      <c r="AJ4824">
        <v>90.119145409815005</v>
      </c>
      <c r="AK4824">
        <v>15.5103598584517</v>
      </c>
      <c r="AL4824">
        <v>95.305300334013396</v>
      </c>
      <c r="AM4824">
        <v>93.975870054085803</v>
      </c>
      <c r="AN4824">
        <v>1.00000000183469</v>
      </c>
    </row>
    <row r="4825" spans="1:40" x14ac:dyDescent="0.25">
      <c r="A4825" t="str">
        <f>"20190303154234248"</f>
        <v>20190303154234248</v>
      </c>
      <c r="B4825" t="str">
        <f>"1551598954234438"</f>
        <v>1551598954234438</v>
      </c>
      <c r="C4825" t="s">
        <v>40</v>
      </c>
      <c r="D4825">
        <v>5.9145709999999996</v>
      </c>
      <c r="E4825">
        <v>0.54006949999999998</v>
      </c>
      <c r="F4825" t="s">
        <v>41</v>
      </c>
      <c r="G4825">
        <v>-193.66730000000001</v>
      </c>
      <c r="H4825" s="1">
        <v>-3.9326880000000001E-6</v>
      </c>
      <c r="I4825">
        <v>176.63159999999999</v>
      </c>
      <c r="J4825">
        <v>-192.86789999999999</v>
      </c>
      <c r="K4825">
        <v>1.123016</v>
      </c>
      <c r="L4825">
        <v>191.73310000000001</v>
      </c>
      <c r="M4825">
        <v>-5.582989E-2</v>
      </c>
      <c r="N4825">
        <v>-9.1306080000000001E-3</v>
      </c>
      <c r="O4825">
        <v>-0.99839860000000002</v>
      </c>
      <c r="P4825">
        <v>1.8001969999999999E-2</v>
      </c>
      <c r="Q4825">
        <v>-0.10429289999999899</v>
      </c>
      <c r="R4825">
        <v>-0.99438389999999999</v>
      </c>
      <c r="S4825">
        <v>-0.15789790000000001</v>
      </c>
      <c r="T4825">
        <v>-0.2190154</v>
      </c>
      <c r="U4825">
        <v>-2.9948429999999999</v>
      </c>
      <c r="V4825">
        <v>-7.288472E-2</v>
      </c>
      <c r="W4825">
        <v>-9.5698420000000006E-2</v>
      </c>
      <c r="X4825">
        <v>0.99273840000000002</v>
      </c>
      <c r="Y4825">
        <v>-3.2923679999999999E-3</v>
      </c>
      <c r="Z4825">
        <v>6.3619380000000003E-2</v>
      </c>
      <c r="AA4825">
        <v>0.99796879999999999</v>
      </c>
      <c r="AB4825">
        <v>23</v>
      </c>
      <c r="AC4825">
        <v>-0.79940000000001898</v>
      </c>
      <c r="AD4825">
        <v>-1.1230199326879999</v>
      </c>
      <c r="AE4825">
        <v>-15.1015</v>
      </c>
      <c r="AF4825">
        <v>-4.4750332932638998E-2</v>
      </c>
      <c r="AG4825">
        <v>-1.1230199326879999</v>
      </c>
      <c r="AH4825">
        <v>15.039637794280599</v>
      </c>
      <c r="AI4825">
        <v>94.270370747745801</v>
      </c>
      <c r="AJ4825">
        <v>90.170482672329001</v>
      </c>
      <c r="AK4825">
        <v>15.0815742329727</v>
      </c>
      <c r="AL4825">
        <v>95.491519759046099</v>
      </c>
      <c r="AM4825">
        <v>94.198999365495993</v>
      </c>
      <c r="AN4825">
        <v>0.99999995041726597</v>
      </c>
    </row>
    <row r="4826" spans="1:40" x14ac:dyDescent="0.25">
      <c r="A4826" t="str">
        <f>"20190303154234268"</f>
        <v>20190303154234268</v>
      </c>
      <c r="B4826" t="str">
        <f>"1551598954264694"</f>
        <v>1551598954264694</v>
      </c>
      <c r="C4826" t="s">
        <v>40</v>
      </c>
      <c r="D4826">
        <v>5.8582929999999998</v>
      </c>
      <c r="E4826">
        <v>0.53599730000000001</v>
      </c>
      <c r="F4826" t="s">
        <v>57</v>
      </c>
      <c r="G4826">
        <v>-196.58349999999999</v>
      </c>
      <c r="H4826" s="1">
        <v>-1.1553020000000001E-5</v>
      </c>
      <c r="I4826">
        <v>148.44149999999999</v>
      </c>
      <c r="J4826">
        <v>-192.87559999999999</v>
      </c>
      <c r="K4826">
        <v>1.123005</v>
      </c>
      <c r="L4826">
        <v>191.5181</v>
      </c>
      <c r="M4826">
        <v>-5.2008520000000003E-2</v>
      </c>
      <c r="N4826">
        <v>-9.2442940000000001E-3</v>
      </c>
      <c r="O4826">
        <v>-0.99860389999999999</v>
      </c>
      <c r="P4826">
        <v>2.489951E-2</v>
      </c>
      <c r="Q4826">
        <v>-0.1066883</v>
      </c>
      <c r="R4826">
        <v>-0.99398070000000005</v>
      </c>
      <c r="S4826">
        <v>-0.25863649999999999</v>
      </c>
      <c r="T4826">
        <v>-7.8171489999999996E-2</v>
      </c>
      <c r="U4826">
        <v>-3.0134280000000002</v>
      </c>
      <c r="V4826">
        <v>-7.5941330000000001E-2</v>
      </c>
      <c r="W4826">
        <v>-9.8005049999999996E-2</v>
      </c>
      <c r="X4826">
        <v>0.99228419999999895</v>
      </c>
      <c r="Y4826">
        <v>3.3560409999999999E-2</v>
      </c>
      <c r="Z4826">
        <v>1.660327E-2</v>
      </c>
      <c r="AA4826">
        <v>0.99929880000000004</v>
      </c>
      <c r="AB4826">
        <v>23</v>
      </c>
      <c r="AC4826">
        <v>-3.7078999999999902</v>
      </c>
      <c r="AD4826">
        <v>-1.12301655302</v>
      </c>
      <c r="AE4826">
        <v>-43.076599999999999</v>
      </c>
      <c r="AF4826">
        <v>1.46144963132508</v>
      </c>
      <c r="AG4826">
        <v>-1.12301655302</v>
      </c>
      <c r="AH4826">
        <v>43.182014460432697</v>
      </c>
      <c r="AI4826">
        <v>91.4888794677709</v>
      </c>
      <c r="AJ4826">
        <v>88.061624764059104</v>
      </c>
      <c r="AK4826">
        <v>43.221330082081899</v>
      </c>
      <c r="AL4826">
        <v>95.624303898376894</v>
      </c>
      <c r="AM4826">
        <v>94.376420001926107</v>
      </c>
      <c r="AN4826">
        <v>1.0000000044986499</v>
      </c>
    </row>
    <row r="4827" spans="1:40" x14ac:dyDescent="0.25">
      <c r="A4827" t="str">
        <f>"20190303154234292"</f>
        <v>20190303154234292</v>
      </c>
      <c r="B4827" t="str">
        <f>"1551598954285190"</f>
        <v>1551598954285190</v>
      </c>
      <c r="C4827" t="s">
        <v>40</v>
      </c>
      <c r="D4827">
        <v>5.9136319999999998</v>
      </c>
      <c r="E4827">
        <v>0.53511339999999996</v>
      </c>
      <c r="F4827" t="s">
        <v>57</v>
      </c>
      <c r="G4827">
        <v>-195.53280000000001</v>
      </c>
      <c r="H4827" s="1">
        <v>-1.281505E-5</v>
      </c>
      <c r="I4827">
        <v>152.58170000000001</v>
      </c>
      <c r="J4827">
        <v>-192.88329999999999</v>
      </c>
      <c r="K4827">
        <v>1.122997</v>
      </c>
      <c r="L4827">
        <v>191.2782</v>
      </c>
      <c r="M4827">
        <v>-4.7749069999999998E-2</v>
      </c>
      <c r="N4827">
        <v>-9.3669389999999995E-3</v>
      </c>
      <c r="O4827">
        <v>-0.99881549999999997</v>
      </c>
      <c r="P4827">
        <v>2.9719160000000001E-2</v>
      </c>
      <c r="Q4827">
        <v>-0.1088237</v>
      </c>
      <c r="R4827">
        <v>-0.99361690000000003</v>
      </c>
      <c r="S4827">
        <v>-0.2056885</v>
      </c>
      <c r="T4827">
        <v>-8.6930750000000001E-2</v>
      </c>
      <c r="U4827">
        <v>-3.013992</v>
      </c>
      <c r="V4827">
        <v>-7.6496499999999995E-2</v>
      </c>
      <c r="W4827">
        <v>-0.10002460000000001</v>
      </c>
      <c r="X4827">
        <v>0.99204000000000003</v>
      </c>
      <c r="Y4827">
        <v>2.035168E-2</v>
      </c>
      <c r="Z4827">
        <v>1.939565E-2</v>
      </c>
      <c r="AA4827">
        <v>0.99960470000000001</v>
      </c>
      <c r="AB4827">
        <v>23</v>
      </c>
      <c r="AC4827">
        <v>-2.64950000000001</v>
      </c>
      <c r="AD4827">
        <v>-1.1230098150499901</v>
      </c>
      <c r="AE4827">
        <v>-38.696499999999901</v>
      </c>
      <c r="AF4827">
        <v>0.79800581441813401</v>
      </c>
      <c r="AG4827">
        <v>-1.1230098150499901</v>
      </c>
      <c r="AH4827">
        <v>38.746393576791299</v>
      </c>
      <c r="AI4827">
        <v>91.659821153703206</v>
      </c>
      <c r="AJ4827">
        <v>88.820124977068602</v>
      </c>
      <c r="AK4827">
        <v>38.770877982477501</v>
      </c>
      <c r="AL4827">
        <v>95.740587065337095</v>
      </c>
      <c r="AM4827">
        <v>94.4093690782735</v>
      </c>
      <c r="AN4827">
        <v>0.99999999835870401</v>
      </c>
    </row>
    <row r="4828" spans="1:40" x14ac:dyDescent="0.25">
      <c r="A4828" t="str">
        <f>"20190303154234314"</f>
        <v>20190303154234314</v>
      </c>
      <c r="B4828" t="str">
        <f>"1551598954304712"</f>
        <v>1551598954304712</v>
      </c>
      <c r="C4828" t="s">
        <v>40</v>
      </c>
      <c r="D4828">
        <v>5.8064299999999998</v>
      </c>
      <c r="E4828">
        <v>0.53382269999999998</v>
      </c>
      <c r="F4828" t="s">
        <v>57</v>
      </c>
      <c r="G4828">
        <v>-195.2671</v>
      </c>
      <c r="H4828" s="1">
        <v>-1.2715480000000001E-5</v>
      </c>
      <c r="I4828">
        <v>152.27969999999999</v>
      </c>
      <c r="J4828">
        <v>-192.89</v>
      </c>
      <c r="K4828">
        <v>1.122994</v>
      </c>
      <c r="L4828">
        <v>191.03890000000001</v>
      </c>
      <c r="M4828">
        <v>-4.3513900000000001E-2</v>
      </c>
      <c r="N4828">
        <v>-9.4861919999999992E-3</v>
      </c>
      <c r="O4828">
        <v>-0.99900789999999995</v>
      </c>
      <c r="P4828">
        <v>3.1185359999999999E-2</v>
      </c>
      <c r="Q4828">
        <v>-0.1117509</v>
      </c>
      <c r="R4828">
        <v>-0.9932472</v>
      </c>
      <c r="S4828">
        <v>-0.1843109</v>
      </c>
      <c r="T4828">
        <v>-8.6828950000000002E-2</v>
      </c>
      <c r="U4828">
        <v>-3.0152890000000001</v>
      </c>
      <c r="V4828">
        <v>-7.3725330000000006E-2</v>
      </c>
      <c r="W4828">
        <v>-0.1028167</v>
      </c>
      <c r="X4828">
        <v>0.99196430000000002</v>
      </c>
      <c r="Y4828">
        <v>1.7504519999999999E-2</v>
      </c>
      <c r="Z4828">
        <v>1.924348E-2</v>
      </c>
      <c r="AA4828">
        <v>0.99966160000000004</v>
      </c>
      <c r="AB4828">
        <v>23</v>
      </c>
      <c r="AC4828">
        <v>-2.3771000000000102</v>
      </c>
      <c r="AD4828">
        <v>-1.1230067154799901</v>
      </c>
      <c r="AE4828">
        <v>-38.7592</v>
      </c>
      <c r="AF4828">
        <v>0.687633514676663</v>
      </c>
      <c r="AG4828">
        <v>-1.1230067154799901</v>
      </c>
      <c r="AH4828">
        <v>38.793481691608001</v>
      </c>
      <c r="AI4828">
        <v>91.657894075386494</v>
      </c>
      <c r="AJ4828">
        <v>88.984510514188997</v>
      </c>
      <c r="AK4828">
        <v>38.8158241660621</v>
      </c>
      <c r="AL4828">
        <v>95.901392207900898</v>
      </c>
      <c r="AM4828">
        <v>94.250554259672597</v>
      </c>
      <c r="AN4828">
        <v>0.99999993527849196</v>
      </c>
    </row>
    <row r="4829" spans="1:40" x14ac:dyDescent="0.25">
      <c r="A4829" t="str">
        <f>"20190303154234334"</f>
        <v>20190303154234334</v>
      </c>
      <c r="B4829" t="str">
        <f>"1551598954325206"</f>
        <v>1551598954325206</v>
      </c>
      <c r="C4829" t="s">
        <v>40</v>
      </c>
      <c r="D4829">
        <v>5.9815610000000001</v>
      </c>
      <c r="E4829">
        <v>0.53412809999999999</v>
      </c>
      <c r="F4829" t="s">
        <v>57</v>
      </c>
      <c r="G4829">
        <v>-195.16679999999999</v>
      </c>
      <c r="H4829" s="1">
        <v>-1.201849E-5</v>
      </c>
      <c r="I4829">
        <v>150.565</v>
      </c>
      <c r="J4829">
        <v>-192.89519999999999</v>
      </c>
      <c r="K4829">
        <v>1.122992</v>
      </c>
      <c r="L4829">
        <v>190.82230000000001</v>
      </c>
      <c r="M4829">
        <v>-3.9694889999999997E-2</v>
      </c>
      <c r="N4829">
        <v>-9.5989479999999995E-3</v>
      </c>
      <c r="O4829">
        <v>-0.99916590000000005</v>
      </c>
      <c r="P4829">
        <v>3.0795920000000001E-2</v>
      </c>
      <c r="Q4829">
        <v>-0.1143788</v>
      </c>
      <c r="R4829">
        <v>-0.99295999999999995</v>
      </c>
      <c r="S4829">
        <v>-0.16967769999999999</v>
      </c>
      <c r="T4829">
        <v>-8.369219E-2</v>
      </c>
      <c r="U4829">
        <v>-3.016327</v>
      </c>
      <c r="V4829">
        <v>-6.9520349999999995E-2</v>
      </c>
      <c r="W4829">
        <v>-0.10530589999999999</v>
      </c>
      <c r="X4829">
        <v>0.99200679999999997</v>
      </c>
      <c r="Y4829">
        <v>1.647384E-2</v>
      </c>
      <c r="Z4829">
        <v>1.8093370000000001E-2</v>
      </c>
      <c r="AA4829">
        <v>0.99970060000000005</v>
      </c>
      <c r="AB4829">
        <v>23</v>
      </c>
      <c r="AC4829">
        <v>-2.2715999999999998</v>
      </c>
      <c r="AD4829">
        <v>-1.1230040184899901</v>
      </c>
      <c r="AE4829">
        <v>-40.257300000000001</v>
      </c>
      <c r="AF4829">
        <v>0.67120634943825896</v>
      </c>
      <c r="AG4829">
        <v>-1.1230040184899901</v>
      </c>
      <c r="AH4829">
        <v>40.284494629945598</v>
      </c>
      <c r="AI4829">
        <v>91.596589683339403</v>
      </c>
      <c r="AJ4829">
        <v>89.045445816510707</v>
      </c>
      <c r="AK4829">
        <v>40.3057336315714</v>
      </c>
      <c r="AL4829">
        <v>96.044791342857195</v>
      </c>
      <c r="AM4829">
        <v>94.008763738185493</v>
      </c>
      <c r="AN4829">
        <v>0.99999995144258502</v>
      </c>
    </row>
    <row r="4830" spans="1:40" x14ac:dyDescent="0.25">
      <c r="A4830" t="str">
        <f>"20190303154234357"</f>
        <v>20190303154234357</v>
      </c>
      <c r="B4830" t="str">
        <f>"1551598954354486"</f>
        <v>1551598954354486</v>
      </c>
      <c r="C4830" t="s">
        <v>40</v>
      </c>
      <c r="D4830">
        <v>5.8823800000000004</v>
      </c>
      <c r="E4830">
        <v>0.53443289999999999</v>
      </c>
      <c r="F4830" t="s">
        <v>57</v>
      </c>
      <c r="G4830">
        <v>-194.96019999999999</v>
      </c>
      <c r="H4830" s="1">
        <v>-1.3425310000000001E-5</v>
      </c>
      <c r="I4830">
        <v>154.9639</v>
      </c>
      <c r="J4830">
        <v>-192.8998</v>
      </c>
      <c r="K4830">
        <v>1.1230059999999999</v>
      </c>
      <c r="L4830">
        <v>190.58680000000001</v>
      </c>
      <c r="M4830">
        <v>-3.5556770000000001E-2</v>
      </c>
      <c r="N4830">
        <v>-9.7337610000000005E-3</v>
      </c>
      <c r="O4830">
        <v>-0.99932030000000005</v>
      </c>
      <c r="P4830">
        <v>3.0675239999999999E-2</v>
      </c>
      <c r="Q4830">
        <v>-0.113912</v>
      </c>
      <c r="R4830">
        <v>-0.99301709999999999</v>
      </c>
      <c r="S4830">
        <v>-0.17367550000000001</v>
      </c>
      <c r="T4830">
        <v>-9.4447489999999995E-2</v>
      </c>
      <c r="U4830">
        <v>-3.0157780000000001</v>
      </c>
      <c r="V4830">
        <v>-6.5301429999999994E-2</v>
      </c>
      <c r="W4830">
        <v>-0.1046752</v>
      </c>
      <c r="X4830">
        <v>0.99236020000000003</v>
      </c>
      <c r="Y4830">
        <v>2.1940020000000001E-2</v>
      </c>
      <c r="Z4830">
        <v>2.1522619999999999E-2</v>
      </c>
      <c r="AA4830">
        <v>0.99952759999999996</v>
      </c>
      <c r="AB4830">
        <v>24</v>
      </c>
      <c r="AC4830">
        <v>-2.06039999999998</v>
      </c>
      <c r="AD4830">
        <v>-1.1230194253100001</v>
      </c>
      <c r="AE4830">
        <v>-35.622900000000001</v>
      </c>
      <c r="AF4830">
        <v>0.79161766974645797</v>
      </c>
      <c r="AG4830">
        <v>-1.1230194253100001</v>
      </c>
      <c r="AH4830">
        <v>35.638335981105897</v>
      </c>
      <c r="AI4830">
        <v>91.804437126235001</v>
      </c>
      <c r="AJ4830">
        <v>88.727524928773505</v>
      </c>
      <c r="AK4830">
        <v>35.664812107550297</v>
      </c>
      <c r="AL4830">
        <v>96.0084539498353</v>
      </c>
      <c r="AM4830">
        <v>93.764872737369203</v>
      </c>
      <c r="AN4830">
        <v>0.99999997039956201</v>
      </c>
    </row>
    <row r="4831" spans="1:40" x14ac:dyDescent="0.25">
      <c r="A4831" t="str">
        <f>"20190303154234379"</f>
        <v>20190303154234379</v>
      </c>
      <c r="B4831" t="str">
        <f>"1551598954374983"</f>
        <v>1551598954374983</v>
      </c>
      <c r="C4831" t="s">
        <v>40</v>
      </c>
      <c r="D4831">
        <v>5.9502110000000004</v>
      </c>
      <c r="E4831">
        <v>0.53279869999999996</v>
      </c>
      <c r="F4831" t="s">
        <v>57</v>
      </c>
      <c r="G4831">
        <v>-195.2225</v>
      </c>
      <c r="H4831" s="1">
        <v>-1.20943899999999E-5</v>
      </c>
      <c r="I4831">
        <v>150.71879999999999</v>
      </c>
      <c r="J4831">
        <v>-192.90350000000001</v>
      </c>
      <c r="K4831">
        <v>1.1230359999999999</v>
      </c>
      <c r="L4831">
        <v>190.3528</v>
      </c>
      <c r="M4831">
        <v>-3.1452889999999997E-2</v>
      </c>
      <c r="N4831">
        <v>-9.8846650000000008E-3</v>
      </c>
      <c r="O4831">
        <v>-0.99945649999999997</v>
      </c>
      <c r="P4831">
        <v>3.1184650000000001E-2</v>
      </c>
      <c r="Q4831">
        <v>-0.1127358</v>
      </c>
      <c r="R4831">
        <v>-0.99313569999999995</v>
      </c>
      <c r="S4831">
        <v>-0.17575070000000001</v>
      </c>
      <c r="T4831">
        <v>-8.4977629999999998E-2</v>
      </c>
      <c r="U4831">
        <v>-3.016769</v>
      </c>
      <c r="V4831">
        <v>-6.1751380000000002E-2</v>
      </c>
      <c r="W4831">
        <v>-0.10332330000000001</v>
      </c>
      <c r="X4831">
        <v>0.99272910000000003</v>
      </c>
      <c r="Y4831">
        <v>2.6714669999999999E-2</v>
      </c>
      <c r="Z4831">
        <v>1.8234449999999999E-2</v>
      </c>
      <c r="AA4831">
        <v>0.99947680000000005</v>
      </c>
      <c r="AB4831">
        <v>24</v>
      </c>
      <c r="AC4831">
        <v>-2.31899999999998</v>
      </c>
      <c r="AD4831">
        <v>-1.1230480943899901</v>
      </c>
      <c r="AE4831">
        <v>-39.634</v>
      </c>
      <c r="AF4831">
        <v>1.07033152414691</v>
      </c>
      <c r="AG4831">
        <v>-1.1230480943899901</v>
      </c>
      <c r="AH4831">
        <v>39.655600584657499</v>
      </c>
      <c r="AI4831">
        <v>91.621594797726303</v>
      </c>
      <c r="AJ4831">
        <v>88.453923460673906</v>
      </c>
      <c r="AK4831">
        <v>39.6859358504217</v>
      </c>
      <c r="AL4831">
        <v>95.930573274566598</v>
      </c>
      <c r="AM4831">
        <v>93.559420902456097</v>
      </c>
      <c r="AN4831">
        <v>1.0000000016207999</v>
      </c>
    </row>
    <row r="4832" spans="1:40" x14ac:dyDescent="0.25">
      <c r="A4832" t="str">
        <f>"20190303154234402"</f>
        <v>20190303154234402</v>
      </c>
      <c r="B4832" t="str">
        <f>"1551598954394502"</f>
        <v>1551598954394502</v>
      </c>
      <c r="C4832" t="s">
        <v>40</v>
      </c>
      <c r="D4832">
        <v>5.9222510000000002</v>
      </c>
      <c r="E4832">
        <v>0.53169129999999998</v>
      </c>
      <c r="F4832" t="s">
        <v>57</v>
      </c>
      <c r="G4832">
        <v>-194.84620000000001</v>
      </c>
      <c r="H4832" s="1">
        <v>-1.3097059999999999E-5</v>
      </c>
      <c r="I4832">
        <v>153.94460000000001</v>
      </c>
      <c r="J4832">
        <v>-192.90610000000001</v>
      </c>
      <c r="K4832">
        <v>1.1230549999999999</v>
      </c>
      <c r="L4832">
        <v>190.1224</v>
      </c>
      <c r="M4832">
        <v>-2.7418720000000001E-2</v>
      </c>
      <c r="N4832">
        <v>-1.0046619999999999E-2</v>
      </c>
      <c r="O4832">
        <v>-0.99957359999999995</v>
      </c>
      <c r="P4832">
        <v>3.2596550000000002E-2</v>
      </c>
      <c r="Q4832">
        <v>-0.1138803</v>
      </c>
      <c r="R4832">
        <v>-0.99295999999999995</v>
      </c>
      <c r="S4832">
        <v>-0.1608887</v>
      </c>
      <c r="T4832">
        <v>-9.3007800000000002E-2</v>
      </c>
      <c r="U4832">
        <v>-3.015228</v>
      </c>
      <c r="V4832">
        <v>-5.9148249999999999E-2</v>
      </c>
      <c r="W4832">
        <v>-0.10428999999999999</v>
      </c>
      <c r="X4832">
        <v>0.99278650000000002</v>
      </c>
      <c r="Y4832">
        <v>2.5864939999999999E-2</v>
      </c>
      <c r="Z4832">
        <v>2.0750879999999999E-2</v>
      </c>
      <c r="AA4832">
        <v>0.99944999999999995</v>
      </c>
      <c r="AB4832">
        <v>24</v>
      </c>
      <c r="AC4832">
        <v>-1.9400999999999999</v>
      </c>
      <c r="AD4832">
        <v>-1.12306809706</v>
      </c>
      <c r="AE4832">
        <v>-36.177799999999898</v>
      </c>
      <c r="AF4832">
        <v>0.94646207614742395</v>
      </c>
      <c r="AG4832">
        <v>-1.12306809706</v>
      </c>
      <c r="AH4832">
        <v>36.182626739263803</v>
      </c>
      <c r="AI4832">
        <v>91.777218342447298</v>
      </c>
      <c r="AJ4832">
        <v>88.5016035575686</v>
      </c>
      <c r="AK4832">
        <v>36.212422594533898</v>
      </c>
      <c r="AL4832">
        <v>95.9862621125895</v>
      </c>
      <c r="AM4832">
        <v>93.409538583141</v>
      </c>
      <c r="AN4832">
        <v>0.99999997708015598</v>
      </c>
    </row>
    <row r="4833" spans="1:40" x14ac:dyDescent="0.25">
      <c r="A4833" t="str">
        <f>"20190303154234423"</f>
        <v>20190303154234423</v>
      </c>
      <c r="B4833" t="str">
        <f>"1551598954415001"</f>
        <v>1551598954415001</v>
      </c>
      <c r="C4833" t="s">
        <v>40</v>
      </c>
      <c r="D4833">
        <v>5.9205589999999999</v>
      </c>
      <c r="E4833">
        <v>0.53062519999999902</v>
      </c>
      <c r="F4833" t="s">
        <v>57</v>
      </c>
      <c r="G4833">
        <v>-194.46600000000001</v>
      </c>
      <c r="H4833" s="1">
        <v>-1.4678439999999999E-5</v>
      </c>
      <c r="I4833">
        <v>158.42769999999999</v>
      </c>
      <c r="J4833">
        <v>-192.90790000000001</v>
      </c>
      <c r="K4833">
        <v>1.123081</v>
      </c>
      <c r="L4833">
        <v>189.8895</v>
      </c>
      <c r="M4833">
        <v>-2.3353530000000001E-2</v>
      </c>
      <c r="N4833">
        <v>-1.027606E-2</v>
      </c>
      <c r="O4833">
        <v>-0.99967459999999997</v>
      </c>
      <c r="P4833">
        <v>3.4223580000000003E-2</v>
      </c>
      <c r="Q4833">
        <v>-0.1160861</v>
      </c>
      <c r="R4833">
        <v>-0.99264969999999997</v>
      </c>
      <c r="S4833">
        <v>-0.14833070000000001</v>
      </c>
      <c r="T4833">
        <v>-0.1067946</v>
      </c>
      <c r="U4833">
        <v>-3.0139010000000002</v>
      </c>
      <c r="V4833">
        <v>-5.6722849999999998E-2</v>
      </c>
      <c r="W4833">
        <v>-0.1062531</v>
      </c>
      <c r="X4833">
        <v>0.99271989999999999</v>
      </c>
      <c r="Y4833">
        <v>2.5794540000000001E-2</v>
      </c>
      <c r="Z4833">
        <v>2.510445E-2</v>
      </c>
      <c r="AA4833">
        <v>0.99935200000000002</v>
      </c>
      <c r="AB4833">
        <v>24</v>
      </c>
      <c r="AC4833">
        <v>-1.5580999999999601</v>
      </c>
      <c r="AD4833">
        <v>-1.1230956784399999</v>
      </c>
      <c r="AE4833">
        <v>-31.4618</v>
      </c>
      <c r="AF4833">
        <v>0.82184752800829197</v>
      </c>
      <c r="AG4833">
        <v>-1.1230956784399999</v>
      </c>
      <c r="AH4833">
        <v>31.449629817862899</v>
      </c>
      <c r="AI4833">
        <v>92.044519357306598</v>
      </c>
      <c r="AJ4833">
        <v>88.503076803368998</v>
      </c>
      <c r="AK4833">
        <v>31.4804064926556</v>
      </c>
      <c r="AL4833">
        <v>96.099367800954994</v>
      </c>
      <c r="AM4833">
        <v>93.270257728505399</v>
      </c>
      <c r="AN4833">
        <v>1.0000000014138699</v>
      </c>
    </row>
    <row r="4834" spans="1:40" x14ac:dyDescent="0.25">
      <c r="A4834" t="str">
        <f>"20190303154234447"</f>
        <v>20190303154234447</v>
      </c>
      <c r="B4834" t="str">
        <f>"1551598954434518"</f>
        <v>1551598954434518</v>
      </c>
      <c r="C4834" t="s">
        <v>40</v>
      </c>
      <c r="D4834">
        <v>5.9193339999999903</v>
      </c>
      <c r="E4834">
        <v>0.53032880000000004</v>
      </c>
      <c r="F4834" t="s">
        <v>41</v>
      </c>
      <c r="G4834">
        <v>-194.15700000000001</v>
      </c>
      <c r="H4834" s="1">
        <v>-2.3037699999999999E-6</v>
      </c>
      <c r="I4834">
        <v>162.12530000000001</v>
      </c>
      <c r="J4834">
        <v>-192.90870000000001</v>
      </c>
      <c r="K4834">
        <v>1.123132</v>
      </c>
      <c r="L4834">
        <v>189.6499</v>
      </c>
      <c r="M4834">
        <v>-1.9187490000000001E-2</v>
      </c>
      <c r="N4834">
        <v>-1.0612450000000001E-2</v>
      </c>
      <c r="O4834">
        <v>-0.99975959999999997</v>
      </c>
      <c r="P4834">
        <v>3.6232390000000003E-2</v>
      </c>
      <c r="Q4834">
        <v>-0.1172101</v>
      </c>
      <c r="R4834">
        <v>-0.9924461</v>
      </c>
      <c r="S4834">
        <v>-0.13554379999999999</v>
      </c>
      <c r="T4834">
        <v>-0.1218634</v>
      </c>
      <c r="U4834">
        <v>-3.0126339999999998</v>
      </c>
      <c r="V4834">
        <v>-5.4593219999999998E-2</v>
      </c>
      <c r="W4834">
        <v>-0.1070281</v>
      </c>
      <c r="X4834">
        <v>0.99275610000000003</v>
      </c>
      <c r="Y4834">
        <v>2.5741980000000001E-2</v>
      </c>
      <c r="Z4834">
        <v>2.9777990000000001E-2</v>
      </c>
      <c r="AA4834">
        <v>0.99922500000000003</v>
      </c>
      <c r="AB4834">
        <v>24</v>
      </c>
      <c r="AC4834">
        <v>-1.2483</v>
      </c>
      <c r="AD4834">
        <v>-1.1231343037699999</v>
      </c>
      <c r="AE4834">
        <v>-27.5245999999999</v>
      </c>
      <c r="AF4834">
        <v>0.71871821819263304</v>
      </c>
      <c r="AG4834">
        <v>-1.1231343037699999</v>
      </c>
      <c r="AH4834">
        <v>27.497794728999601</v>
      </c>
      <c r="AI4834">
        <v>92.338121066777205</v>
      </c>
      <c r="AJ4834">
        <v>88.502783680392</v>
      </c>
      <c r="AK4834">
        <v>27.530105366664799</v>
      </c>
      <c r="AL4834">
        <v>96.144026368408802</v>
      </c>
      <c r="AM4834">
        <v>93.147614750185099</v>
      </c>
      <c r="AN4834">
        <v>1.00000005397339</v>
      </c>
    </row>
    <row r="4835" spans="1:40" x14ac:dyDescent="0.25">
      <c r="A4835" t="str">
        <f>"20190303154234468"</f>
        <v>20190303154234468</v>
      </c>
      <c r="B4835" t="str">
        <f>"1551598954464774"</f>
        <v>1551598954464774</v>
      </c>
      <c r="C4835" t="s">
        <v>40</v>
      </c>
      <c r="D4835">
        <v>5.9241619999999999</v>
      </c>
      <c r="E4835">
        <v>0.52915019999999902</v>
      </c>
      <c r="F4835" t="s">
        <v>41</v>
      </c>
      <c r="G4835">
        <v>-194.06100000000001</v>
      </c>
      <c r="H4835" s="1">
        <v>-2.3967069999999998E-6</v>
      </c>
      <c r="I4835">
        <v>162.376</v>
      </c>
      <c r="J4835">
        <v>-192.9085</v>
      </c>
      <c r="K4835">
        <v>1.1231789999999999</v>
      </c>
      <c r="L4835">
        <v>189.4282</v>
      </c>
      <c r="M4835">
        <v>-1.5326269999999999E-2</v>
      </c>
      <c r="N4835">
        <v>-1.095165E-2</v>
      </c>
      <c r="O4835">
        <v>-0.99982269999999895</v>
      </c>
      <c r="P4835">
        <v>3.8909890000000003E-2</v>
      </c>
      <c r="Q4835">
        <v>-0.1159854</v>
      </c>
      <c r="R4835">
        <v>-0.9924887</v>
      </c>
      <c r="S4835">
        <v>-0.12728879999999901</v>
      </c>
      <c r="T4835">
        <v>-0.12406780000000001</v>
      </c>
      <c r="U4835">
        <v>-3.0128330000000001</v>
      </c>
      <c r="V4835">
        <v>-5.3454719999999997E-2</v>
      </c>
      <c r="W4835">
        <v>-0.1054554</v>
      </c>
      <c r="X4835">
        <v>0.99298629999999999</v>
      </c>
      <c r="Y4835">
        <v>2.6865859999999998E-2</v>
      </c>
      <c r="Z4835">
        <v>3.0170619999999999E-2</v>
      </c>
      <c r="AA4835">
        <v>0.99918370000000001</v>
      </c>
      <c r="AB4835">
        <v>24</v>
      </c>
      <c r="AC4835">
        <v>-1.1524999999999701</v>
      </c>
      <c r="AD4835">
        <v>-1.1231813967069999</v>
      </c>
      <c r="AE4835">
        <v>-27.052199999999999</v>
      </c>
      <c r="AF4835">
        <v>0.73646324740366098</v>
      </c>
      <c r="AG4835">
        <v>-1.1231813967069999</v>
      </c>
      <c r="AH4835">
        <v>27.020192955880201</v>
      </c>
      <c r="AI4835">
        <v>92.379430706979207</v>
      </c>
      <c r="AJ4835">
        <v>88.4387309337625</v>
      </c>
      <c r="AK4835">
        <v>27.053553222038701</v>
      </c>
      <c r="AL4835">
        <v>96.053404605685998</v>
      </c>
      <c r="AM4835">
        <v>93.081388408416601</v>
      </c>
      <c r="AN4835">
        <v>1.0000000202335599</v>
      </c>
    </row>
    <row r="4836" spans="1:40" x14ac:dyDescent="0.25">
      <c r="A4836" t="str">
        <f>"20190303154234492"</f>
        <v>20190303154234492</v>
      </c>
      <c r="B4836" t="str">
        <f>"1551598954484312"</f>
        <v>1551598954484312</v>
      </c>
      <c r="C4836" t="s">
        <v>40</v>
      </c>
      <c r="D4836">
        <v>6.0252879999999998</v>
      </c>
      <c r="E4836">
        <v>0.52831660000000003</v>
      </c>
      <c r="F4836" t="s">
        <v>41</v>
      </c>
      <c r="G4836">
        <v>-193.86709999999999</v>
      </c>
      <c r="H4836" s="1">
        <v>-2.7400270000000001E-6</v>
      </c>
      <c r="I4836">
        <v>163.2114</v>
      </c>
      <c r="J4836">
        <v>-192.9074</v>
      </c>
      <c r="K4836">
        <v>1.1232230000000001</v>
      </c>
      <c r="L4836">
        <v>189.17750000000001</v>
      </c>
      <c r="M4836">
        <v>-1.094844E-2</v>
      </c>
      <c r="N4836">
        <v>-1.1303229999999999E-2</v>
      </c>
      <c r="O4836">
        <v>-0.99987610000000005</v>
      </c>
      <c r="P4836">
        <v>4.2600880000000001E-2</v>
      </c>
      <c r="Q4836">
        <v>-0.11450009999999999</v>
      </c>
      <c r="R4836">
        <v>-0.99250930000000004</v>
      </c>
      <c r="S4836">
        <v>-0.1101227</v>
      </c>
      <c r="T4836">
        <v>-0.1290374</v>
      </c>
      <c r="U4836">
        <v>-3.0119319999999998</v>
      </c>
      <c r="V4836">
        <v>-5.2815359999999999E-2</v>
      </c>
      <c r="W4836">
        <v>-0.10361389999999999</v>
      </c>
      <c r="X4836">
        <v>0.99321429999999999</v>
      </c>
      <c r="Y4836">
        <v>2.5567759999999998E-2</v>
      </c>
      <c r="Z4836">
        <v>3.148434E-2</v>
      </c>
      <c r="AA4836">
        <v>0.99917719999999999</v>
      </c>
      <c r="AB4836">
        <v>23</v>
      </c>
      <c r="AC4836">
        <v>-0.959699999999997</v>
      </c>
      <c r="AD4836">
        <v>-1.12322574002699</v>
      </c>
      <c r="AE4836">
        <v>-25.966100000000001</v>
      </c>
      <c r="AF4836">
        <v>0.67407638756946997</v>
      </c>
      <c r="AG4836">
        <v>-1.12322574002699</v>
      </c>
      <c r="AH4836">
        <v>25.926603658843899</v>
      </c>
      <c r="AI4836">
        <v>92.479853410798398</v>
      </c>
      <c r="AJ4836">
        <v>88.510679079115604</v>
      </c>
      <c r="AK4836">
        <v>25.9596762753721</v>
      </c>
      <c r="AL4836">
        <v>95.947313440511607</v>
      </c>
      <c r="AM4836">
        <v>93.043904769151894</v>
      </c>
      <c r="AN4836">
        <v>0.99999997412481401</v>
      </c>
    </row>
    <row r="4837" spans="1:40" x14ac:dyDescent="0.25">
      <c r="A4837" t="str">
        <f>"20190303154234516"</f>
        <v>20190303154234516</v>
      </c>
      <c r="B4837" t="str">
        <f>"1551598954505296"</f>
        <v>1551598954505296</v>
      </c>
      <c r="C4837" t="s">
        <v>40</v>
      </c>
      <c r="D4837">
        <v>6.057893</v>
      </c>
      <c r="E4837">
        <v>0.52705440000000003</v>
      </c>
      <c r="F4837" t="s">
        <v>41</v>
      </c>
      <c r="G4837">
        <v>-193.7039</v>
      </c>
      <c r="H4837" s="1">
        <v>-2.7606580000000002E-6</v>
      </c>
      <c r="I4837">
        <v>163.34690000000001</v>
      </c>
      <c r="J4837">
        <v>-192.90530000000001</v>
      </c>
      <c r="K4837">
        <v>1.1232719999999901</v>
      </c>
      <c r="L4837">
        <v>188.9418</v>
      </c>
      <c r="M4837">
        <v>-6.8405949999999997E-3</v>
      </c>
      <c r="N4837">
        <v>-1.1597710000000001E-2</v>
      </c>
      <c r="O4837">
        <v>-0.99990939999999995</v>
      </c>
      <c r="P4837">
        <v>4.4239019999999997E-2</v>
      </c>
      <c r="Q4837">
        <v>-0.11285009999999999</v>
      </c>
      <c r="R4837">
        <v>-0.99262669999999997</v>
      </c>
      <c r="S4837">
        <v>-9.2864989999999994E-2</v>
      </c>
      <c r="T4837">
        <v>-0.13095390000000001</v>
      </c>
      <c r="U4837">
        <v>-3.01152</v>
      </c>
      <c r="V4837">
        <v>-5.0390669999999999E-2</v>
      </c>
      <c r="W4837">
        <v>-0.1016529</v>
      </c>
      <c r="X4837">
        <v>0.99354290000000001</v>
      </c>
      <c r="Y4837">
        <v>2.396013E-2</v>
      </c>
      <c r="Z4837">
        <v>3.1836740000000002E-2</v>
      </c>
      <c r="AA4837">
        <v>0.99920580000000003</v>
      </c>
      <c r="AB4837">
        <v>23</v>
      </c>
      <c r="AC4837">
        <v>-0.79859999999999298</v>
      </c>
      <c r="AD4837">
        <v>-1.12327476065799</v>
      </c>
      <c r="AE4837">
        <v>-25.594899999999999</v>
      </c>
      <c r="AF4837">
        <v>0.62228781583584702</v>
      </c>
      <c r="AG4837">
        <v>-1.12327476065799</v>
      </c>
      <c r="AH4837">
        <v>25.5506007415574</v>
      </c>
      <c r="AI4837">
        <v>92.516514048713205</v>
      </c>
      <c r="AJ4837">
        <v>88.604830523582393</v>
      </c>
      <c r="AK4837">
        <v>25.5828494614682</v>
      </c>
      <c r="AL4837">
        <v>95.834359688647297</v>
      </c>
      <c r="AM4837">
        <v>92.9034488020054</v>
      </c>
      <c r="AN4837">
        <v>1.0000000129209301</v>
      </c>
    </row>
    <row r="4838" spans="1:40" x14ac:dyDescent="0.25">
      <c r="A4838" t="str">
        <f>"20190303154234536"</f>
        <v>20190303154234536</v>
      </c>
      <c r="B4838" t="str">
        <f>"1551598954524816"</f>
        <v>1551598954524816</v>
      </c>
      <c r="C4838" t="s">
        <v>40</v>
      </c>
      <c r="D4838">
        <v>6.067475</v>
      </c>
      <c r="E4838">
        <v>0.52604229999999996</v>
      </c>
      <c r="F4838" t="s">
        <v>41</v>
      </c>
      <c r="G4838">
        <v>-193.55449999999999</v>
      </c>
      <c r="H4838" s="1">
        <v>-3.026756E-6</v>
      </c>
      <c r="I4838">
        <v>163.9939</v>
      </c>
      <c r="J4838">
        <v>-192.9024</v>
      </c>
      <c r="K4838">
        <v>1.1233089999999999</v>
      </c>
      <c r="L4838">
        <v>188.7243</v>
      </c>
      <c r="M4838">
        <v>-3.062777E-3</v>
      </c>
      <c r="N4838">
        <v>-1.1852400000000001E-2</v>
      </c>
      <c r="O4838">
        <v>-0.99992530000000002</v>
      </c>
      <c r="P4838">
        <v>4.5240250000000003E-2</v>
      </c>
      <c r="Q4838">
        <v>-0.11157540000000001</v>
      </c>
      <c r="R4838">
        <v>-0.992726</v>
      </c>
      <c r="S4838">
        <v>-7.8338619999999998E-2</v>
      </c>
      <c r="T4838">
        <v>-0.135542</v>
      </c>
      <c r="U4838">
        <v>-3.0103759999999999</v>
      </c>
      <c r="V4838">
        <v>-4.7652090000000001E-2</v>
      </c>
      <c r="W4838">
        <v>-0.1001049</v>
      </c>
      <c r="X4838">
        <v>0.99383520000000003</v>
      </c>
      <c r="Y4838">
        <v>2.2929990000000001E-2</v>
      </c>
      <c r="Z4838">
        <v>3.3122470000000001E-2</v>
      </c>
      <c r="AA4838">
        <v>0.99918819999999997</v>
      </c>
      <c r="AB4838">
        <v>23</v>
      </c>
      <c r="AC4838">
        <v>-0.65209999999999002</v>
      </c>
      <c r="AD4838">
        <v>-1.1233120267559999</v>
      </c>
      <c r="AE4838">
        <v>-24.730399999999999</v>
      </c>
      <c r="AF4838">
        <v>0.57516209526157103</v>
      </c>
      <c r="AG4838">
        <v>-1.1233120267559999</v>
      </c>
      <c r="AH4838">
        <v>24.681394422940301</v>
      </c>
      <c r="AI4838">
        <v>92.605169744252294</v>
      </c>
      <c r="AJ4838">
        <v>88.665051225786002</v>
      </c>
      <c r="AK4838">
        <v>24.713637368991801</v>
      </c>
      <c r="AL4838">
        <v>95.745210776963901</v>
      </c>
      <c r="AM4838">
        <v>92.745097225012799</v>
      </c>
      <c r="AN4838">
        <v>1.0000000587222</v>
      </c>
    </row>
    <row r="4839" spans="1:40" x14ac:dyDescent="0.25">
      <c r="A4839" t="str">
        <f>"20190303154234558"</f>
        <v>20190303154234558</v>
      </c>
      <c r="B4839" t="str">
        <f>"1551598954555073"</f>
        <v>1551598954555073</v>
      </c>
      <c r="C4839" t="s">
        <v>40</v>
      </c>
      <c r="D4839">
        <v>6.0984720000000001</v>
      </c>
      <c r="E4839">
        <v>0.52494419999999897</v>
      </c>
      <c r="F4839" t="s">
        <v>41</v>
      </c>
      <c r="G4839">
        <v>-193.4427</v>
      </c>
      <c r="H4839" s="1">
        <v>-3.346162E-6</v>
      </c>
      <c r="I4839">
        <v>164.73249999999999</v>
      </c>
      <c r="J4839">
        <v>-192.89850000000001</v>
      </c>
      <c r="K4839">
        <v>1.123326</v>
      </c>
      <c r="L4839">
        <v>188.4983</v>
      </c>
      <c r="M4839">
        <v>8.6741379999999999E-4</v>
      </c>
      <c r="N4839">
        <v>-1.209967E-2</v>
      </c>
      <c r="O4839">
        <v>-0.99992639999999999</v>
      </c>
      <c r="P4839">
        <v>4.5586740000000001E-2</v>
      </c>
      <c r="Q4839">
        <v>-0.1106871</v>
      </c>
      <c r="R4839">
        <v>-0.99280970000000002</v>
      </c>
      <c r="S4839">
        <v>-6.7764279999999996E-2</v>
      </c>
      <c r="T4839">
        <v>-0.14089360000000001</v>
      </c>
      <c r="U4839">
        <v>-3.0092159999999999</v>
      </c>
      <c r="V4839">
        <v>-4.4105079999999998E-2</v>
      </c>
      <c r="W4839">
        <v>-9.8944870000000004E-2</v>
      </c>
      <c r="X4839">
        <v>0.99411499999999997</v>
      </c>
      <c r="Y4839">
        <v>2.33586E-2</v>
      </c>
      <c r="Z4839">
        <v>3.4667160000000002E-2</v>
      </c>
      <c r="AA4839">
        <v>0.99912590000000001</v>
      </c>
      <c r="AB4839">
        <v>23</v>
      </c>
      <c r="AC4839">
        <v>-0.54419999999998903</v>
      </c>
      <c r="AD4839">
        <v>-1.123329346162</v>
      </c>
      <c r="AE4839">
        <v>-23.765799999999999</v>
      </c>
      <c r="AF4839">
        <v>0.56355768384410398</v>
      </c>
      <c r="AG4839">
        <v>-1.123329346162</v>
      </c>
      <c r="AH4839">
        <v>23.712370113546999</v>
      </c>
      <c r="AI4839">
        <v>92.711488508112495</v>
      </c>
      <c r="AJ4839">
        <v>88.638541857291401</v>
      </c>
      <c r="AK4839">
        <v>23.7456514436813</v>
      </c>
      <c r="AL4839">
        <v>95.678414709872001</v>
      </c>
      <c r="AM4839">
        <v>92.540328692819301</v>
      </c>
      <c r="AN4839">
        <v>0.999999989303061</v>
      </c>
    </row>
    <row r="4840" spans="1:40" x14ac:dyDescent="0.25">
      <c r="A4840" t="str">
        <f>"20190303154234580"</f>
        <v>20190303154234580</v>
      </c>
      <c r="B4840" t="str">
        <f>"1551598954574593"</f>
        <v>1551598954574593</v>
      </c>
      <c r="C4840" t="s">
        <v>40</v>
      </c>
      <c r="D4840">
        <v>5.960896</v>
      </c>
      <c r="E4840">
        <v>0.52465059999999997</v>
      </c>
      <c r="F4840" t="s">
        <v>41</v>
      </c>
      <c r="G4840">
        <v>-193.34119999999999</v>
      </c>
      <c r="H4840" s="1">
        <v>-3.7014510000000002E-6</v>
      </c>
      <c r="I4840">
        <v>165.54130000000001</v>
      </c>
      <c r="J4840">
        <v>-192.89340000000001</v>
      </c>
      <c r="K4840">
        <v>1.12334</v>
      </c>
      <c r="L4840">
        <v>188.2603</v>
      </c>
      <c r="M4840">
        <v>5.0177620000000003E-3</v>
      </c>
      <c r="N4840">
        <v>-1.2333159999999999E-2</v>
      </c>
      <c r="O4840">
        <v>-0.99991140000000001</v>
      </c>
      <c r="P4840">
        <v>4.6553990000000003E-2</v>
      </c>
      <c r="Q4840">
        <v>-0.1104801</v>
      </c>
      <c r="R4840">
        <v>-0.99278750000000004</v>
      </c>
      <c r="S4840">
        <v>-5.799866E-2</v>
      </c>
      <c r="T4840">
        <v>-0.14718629999999999</v>
      </c>
      <c r="U4840">
        <v>-3.0079799999999999</v>
      </c>
      <c r="V4840">
        <v>-4.0956340000000001E-2</v>
      </c>
      <c r="W4840">
        <v>-9.8482689999999998E-2</v>
      </c>
      <c r="X4840">
        <v>0.99429559999999995</v>
      </c>
      <c r="Y4840">
        <v>2.4272930000000002E-2</v>
      </c>
      <c r="Z4840">
        <v>3.6538059999999997E-2</v>
      </c>
      <c r="AA4840">
        <v>0.99903739999999996</v>
      </c>
      <c r="AB4840">
        <v>23</v>
      </c>
      <c r="AC4840">
        <v>-0.447799999999972</v>
      </c>
      <c r="AD4840">
        <v>-1.1233437014509999</v>
      </c>
      <c r="AE4840">
        <v>-22.718999999999902</v>
      </c>
      <c r="AF4840">
        <v>0.56043193922728396</v>
      </c>
      <c r="AG4840">
        <v>-1.1233437014509999</v>
      </c>
      <c r="AH4840">
        <v>22.661086060731002</v>
      </c>
      <c r="AI4840">
        <v>92.837047812598897</v>
      </c>
      <c r="AJ4840">
        <v>88.583305290557405</v>
      </c>
      <c r="AK4840">
        <v>22.695832359311101</v>
      </c>
      <c r="AL4840">
        <v>95.651803707752904</v>
      </c>
      <c r="AM4840">
        <v>92.358754865027507</v>
      </c>
      <c r="AN4840">
        <v>1.00000000109759</v>
      </c>
    </row>
    <row r="4841" spans="1:40" x14ac:dyDescent="0.25">
      <c r="A4841" t="str">
        <f>"20190303154234602"</f>
        <v>20190303154234602</v>
      </c>
      <c r="B4841" t="str">
        <f>"1551598954595089"</f>
        <v>1551598954595089</v>
      </c>
      <c r="C4841" t="s">
        <v>40</v>
      </c>
      <c r="D4841">
        <v>5.9343779999999997</v>
      </c>
      <c r="E4841">
        <v>0.52440419999999999</v>
      </c>
      <c r="F4841" t="s">
        <v>41</v>
      </c>
      <c r="G4841">
        <v>-193.29730000000001</v>
      </c>
      <c r="H4841" s="1">
        <v>-3.5920890000000002E-6</v>
      </c>
      <c r="I4841">
        <v>165.33459999999999</v>
      </c>
      <c r="J4841">
        <v>-192.88749999999999</v>
      </c>
      <c r="K4841">
        <v>1.123335</v>
      </c>
      <c r="L4841">
        <v>188.02889999999999</v>
      </c>
      <c r="M4841">
        <v>9.0602010000000004E-3</v>
      </c>
      <c r="N4841">
        <v>-1.253261E-2</v>
      </c>
      <c r="O4841">
        <v>-0.9998804</v>
      </c>
      <c r="P4841">
        <v>4.8716379999999997E-2</v>
      </c>
      <c r="Q4841">
        <v>-0.1108669</v>
      </c>
      <c r="R4841">
        <v>-0.99264050000000004</v>
      </c>
      <c r="S4841">
        <v>-5.2993770000000003E-2</v>
      </c>
      <c r="T4841">
        <v>-0.14738370000000001</v>
      </c>
      <c r="U4841">
        <v>-3.0078740000000002</v>
      </c>
      <c r="V4841">
        <v>-3.9107959999999997E-2</v>
      </c>
      <c r="W4841">
        <v>-9.8657560000000005E-2</v>
      </c>
      <c r="X4841">
        <v>0.99435269999999998</v>
      </c>
      <c r="Y4841">
        <v>2.6652450000000001E-2</v>
      </c>
      <c r="Z4841">
        <v>3.6402660000000003E-2</v>
      </c>
      <c r="AA4841">
        <v>0.99898169999999997</v>
      </c>
      <c r="AB4841">
        <v>23</v>
      </c>
      <c r="AC4841">
        <v>-0.40980000000001798</v>
      </c>
      <c r="AD4841">
        <v>-1.123338592089</v>
      </c>
      <c r="AE4841">
        <v>-22.694299999999998</v>
      </c>
      <c r="AF4841">
        <v>0.61391058393194298</v>
      </c>
      <c r="AG4841">
        <v>-1.123338592089</v>
      </c>
      <c r="AH4841">
        <v>22.634216692421798</v>
      </c>
      <c r="AI4841">
        <v>92.840221549214107</v>
      </c>
      <c r="AJ4841">
        <v>88.446340590856096</v>
      </c>
      <c r="AK4841">
        <v>22.670389080848299</v>
      </c>
      <c r="AL4841">
        <v>95.661871948859499</v>
      </c>
      <c r="AM4841">
        <v>92.252286103460904</v>
      </c>
      <c r="AN4841">
        <v>1.0000000193389</v>
      </c>
    </row>
    <row r="4842" spans="1:40" x14ac:dyDescent="0.25">
      <c r="A4842" t="str">
        <f>"20190303154234626"</f>
        <v>20190303154234626</v>
      </c>
      <c r="B4842" t="str">
        <f>"1551598954614609"</f>
        <v>1551598954614609</v>
      </c>
      <c r="C4842" t="s">
        <v>40</v>
      </c>
      <c r="D4842">
        <v>5.9492440000000002</v>
      </c>
      <c r="E4842">
        <v>0.52432190000000001</v>
      </c>
      <c r="F4842" t="s">
        <v>41</v>
      </c>
      <c r="G4842">
        <v>-193.22280000000001</v>
      </c>
      <c r="H4842" s="1">
        <v>-3.603265E-6</v>
      </c>
      <c r="I4842">
        <v>165.40020000000001</v>
      </c>
      <c r="J4842">
        <v>-192.88050000000001</v>
      </c>
      <c r="K4842">
        <v>1.123326</v>
      </c>
      <c r="L4842">
        <v>187.7901</v>
      </c>
      <c r="M4842">
        <v>1.3219689999999999E-2</v>
      </c>
      <c r="N4842">
        <v>-1.2712899999999999E-2</v>
      </c>
      <c r="O4842">
        <v>-0.99983200000000005</v>
      </c>
      <c r="P4842">
        <v>5.0295090000000001E-2</v>
      </c>
      <c r="Q4842">
        <v>-0.1101422</v>
      </c>
      <c r="R4842">
        <v>-0.99264260000000004</v>
      </c>
      <c r="S4842">
        <v>-4.457092E-2</v>
      </c>
      <c r="T4842">
        <v>-0.14931179999999999</v>
      </c>
      <c r="U4842">
        <v>-3.0077669999999999</v>
      </c>
      <c r="V4842">
        <v>-3.656645E-2</v>
      </c>
      <c r="W4842">
        <v>-9.7733509999999996E-2</v>
      </c>
      <c r="X4842">
        <v>0.9945406</v>
      </c>
      <c r="Y4842">
        <v>2.801381E-2</v>
      </c>
      <c r="Z4842">
        <v>3.6859570000000001E-2</v>
      </c>
      <c r="AA4842">
        <v>0.99892769999999997</v>
      </c>
      <c r="AB4842">
        <v>23</v>
      </c>
      <c r="AC4842">
        <v>-0.342299999999994</v>
      </c>
      <c r="AD4842">
        <v>-1.123329603265</v>
      </c>
      <c r="AE4842">
        <v>-22.389899999999901</v>
      </c>
      <c r="AF4842">
        <v>0.63667923563165796</v>
      </c>
      <c r="AG4842">
        <v>-1.123329603265</v>
      </c>
      <c r="AH4842">
        <v>22.327229719085398</v>
      </c>
      <c r="AI4842">
        <v>92.8790734728546</v>
      </c>
      <c r="AJ4842">
        <v>88.366606573219897</v>
      </c>
      <c r="AK4842">
        <v>22.364534798995098</v>
      </c>
      <c r="AL4842">
        <v>95.608670920021794</v>
      </c>
      <c r="AM4842">
        <v>92.105655566584005</v>
      </c>
      <c r="AN4842">
        <v>0.99999997464544099</v>
      </c>
    </row>
    <row r="4843" spans="1:40" x14ac:dyDescent="0.25">
      <c r="A4843" t="str">
        <f>"20190303154234674"</f>
        <v>20190303154234674</v>
      </c>
      <c r="B4843" t="str">
        <f>"1551598954664385"</f>
        <v>1551598954664385</v>
      </c>
      <c r="C4843" t="s">
        <v>40</v>
      </c>
      <c r="D4843">
        <v>4.9227210000000001</v>
      </c>
      <c r="E4843">
        <v>0.52445469999999905</v>
      </c>
      <c r="F4843" t="s">
        <v>41</v>
      </c>
      <c r="G4843">
        <v>-193.1737</v>
      </c>
      <c r="H4843" s="1">
        <v>-3.4132600000000002E-6</v>
      </c>
      <c r="I4843">
        <v>165.02590000000001</v>
      </c>
      <c r="J4843">
        <v>-192.863</v>
      </c>
      <c r="K4843">
        <v>1.123229</v>
      </c>
      <c r="L4843">
        <v>187.29589999999999</v>
      </c>
      <c r="M4843">
        <v>2.1681209999999999E-2</v>
      </c>
      <c r="N4843">
        <v>-1.301566E-2</v>
      </c>
      <c r="O4843">
        <v>-0.99968020000000002</v>
      </c>
      <c r="P4843">
        <v>5.4272059999999997E-2</v>
      </c>
      <c r="Q4843">
        <v>-0.1131702</v>
      </c>
      <c r="R4843">
        <v>-0.99209239999999999</v>
      </c>
      <c r="S4843">
        <v>-3.8742070000000003E-2</v>
      </c>
      <c r="T4843">
        <v>-0.14842030000000001</v>
      </c>
      <c r="U4843">
        <v>-3.007736</v>
      </c>
      <c r="V4843">
        <v>-3.2150850000000002E-2</v>
      </c>
      <c r="W4843">
        <v>-0.1004287</v>
      </c>
      <c r="X4843">
        <v>0.99442459999999999</v>
      </c>
      <c r="Y4843">
        <v>3.4535469999999999E-2</v>
      </c>
      <c r="Z4843">
        <v>3.6246279999999999E-2</v>
      </c>
      <c r="AA4843">
        <v>0.99874600000000002</v>
      </c>
      <c r="AB4843">
        <v>23</v>
      </c>
      <c r="AC4843">
        <v>-0.31069999999999698</v>
      </c>
      <c r="AD4843">
        <v>-1.12323241326</v>
      </c>
      <c r="AE4843">
        <v>-22.2699999999999</v>
      </c>
      <c r="AF4843">
        <v>0.79149531944333695</v>
      </c>
      <c r="AG4843">
        <v>-1.12323241326</v>
      </c>
      <c r="AH4843">
        <v>22.201559892047801</v>
      </c>
      <c r="AI4843">
        <v>92.894431668272901</v>
      </c>
      <c r="AJ4843">
        <v>87.958245102494601</v>
      </c>
      <c r="AK4843">
        <v>22.244041393934801</v>
      </c>
      <c r="AL4843">
        <v>95.7638577851598</v>
      </c>
      <c r="AM4843">
        <v>91.851791038567399</v>
      </c>
      <c r="AN4843">
        <v>0.99999994301228401</v>
      </c>
    </row>
    <row r="4844" spans="1:40" x14ac:dyDescent="0.25">
      <c r="A4844" t="str">
        <f>"20190303154234837"</f>
        <v>20190303154234837</v>
      </c>
      <c r="B4844" t="str">
        <f>"1551598954835185"</f>
        <v>1551598954835185</v>
      </c>
      <c r="C4844" t="s">
        <v>40</v>
      </c>
      <c r="D4844">
        <v>6.0899010000000002</v>
      </c>
      <c r="E4844">
        <v>0.52579189999999998</v>
      </c>
      <c r="F4844" t="s">
        <v>41</v>
      </c>
      <c r="G4844">
        <v>-193.05869999999999</v>
      </c>
      <c r="H4844" s="1">
        <v>-3.682099E-6</v>
      </c>
      <c r="I4844">
        <v>165.65940000000001</v>
      </c>
      <c r="J4844">
        <v>-192.77869999999999</v>
      </c>
      <c r="K4844">
        <v>1.122344</v>
      </c>
      <c r="L4844">
        <v>185.62360000000001</v>
      </c>
      <c r="M4844">
        <v>4.6429810000000002E-2</v>
      </c>
      <c r="N4844">
        <v>-1.2710559999999999E-2</v>
      </c>
      <c r="O4844">
        <v>-0.99884090000000003</v>
      </c>
      <c r="P4844">
        <v>4.9110439999999998E-2</v>
      </c>
      <c r="Q4844">
        <v>-0.1278377</v>
      </c>
      <c r="R4844">
        <v>-0.99057879999999998</v>
      </c>
      <c r="S4844">
        <v>-2.7191159999999999E-2</v>
      </c>
      <c r="T4844">
        <v>-0.156134</v>
      </c>
      <c r="U4844">
        <v>-3.007568</v>
      </c>
      <c r="V4844">
        <v>-2.5628019999999999E-3</v>
      </c>
      <c r="W4844">
        <v>-0.1152334</v>
      </c>
      <c r="X4844">
        <v>0.99333510000000003</v>
      </c>
      <c r="Y4844">
        <v>5.543273E-2</v>
      </c>
      <c r="Z4844">
        <v>3.9018810000000001E-2</v>
      </c>
      <c r="AA4844">
        <v>0.99769969999999997</v>
      </c>
      <c r="AB4844">
        <v>23</v>
      </c>
      <c r="AC4844">
        <v>-0.28000000000000103</v>
      </c>
      <c r="AD4844">
        <v>-1.1223476820989999</v>
      </c>
      <c r="AE4844">
        <v>-19.964200000000002</v>
      </c>
      <c r="AF4844">
        <v>1.20290569274183</v>
      </c>
      <c r="AG4844">
        <v>-1.1223476820989999</v>
      </c>
      <c r="AH4844">
        <v>19.866888579013199</v>
      </c>
      <c r="AI4844">
        <v>93.227497150572603</v>
      </c>
      <c r="AJ4844">
        <v>86.535069910539903</v>
      </c>
      <c r="AK4844">
        <v>19.934891728726999</v>
      </c>
      <c r="AL4844">
        <v>96.617087629816695</v>
      </c>
      <c r="AM4844">
        <v>90.147822635610098</v>
      </c>
      <c r="AN4844">
        <v>0.99999996266082902</v>
      </c>
    </row>
    <row r="4845" spans="1:40" x14ac:dyDescent="0.25">
      <c r="A4845" t="str">
        <f>"20190303154234850"</f>
        <v>20190303154234850</v>
      </c>
      <c r="B4845" t="str">
        <f>"1551598954844945"</f>
        <v>1551598954844945</v>
      </c>
      <c r="C4845" t="s">
        <v>40</v>
      </c>
      <c r="D4845">
        <v>5.9942760000000002</v>
      </c>
      <c r="E4845">
        <v>0.52633430000000003</v>
      </c>
      <c r="F4845" t="s">
        <v>41</v>
      </c>
      <c r="G4845">
        <v>-193.08260000000001</v>
      </c>
      <c r="H4845" s="1">
        <v>-4.7250539999999999E-6</v>
      </c>
      <c r="I4845">
        <v>168.16650000000001</v>
      </c>
      <c r="J4845">
        <v>-192.77</v>
      </c>
      <c r="K4845">
        <v>1.12225</v>
      </c>
      <c r="L4845">
        <v>185.48079999999999</v>
      </c>
      <c r="M4845">
        <v>4.8190240000000002E-2</v>
      </c>
      <c r="N4845">
        <v>-1.256054E-2</v>
      </c>
      <c r="O4845">
        <v>-0.99875919999999896</v>
      </c>
      <c r="P4845">
        <v>4.7542639999999997E-2</v>
      </c>
      <c r="Q4845">
        <v>-0.12925510000000001</v>
      </c>
      <c r="R4845">
        <v>-0.99047090000000004</v>
      </c>
      <c r="S4845">
        <v>-5.2337649999999999E-2</v>
      </c>
      <c r="T4845">
        <v>-0.19327140000000001</v>
      </c>
      <c r="U4845">
        <v>-3.0061650000000002</v>
      </c>
      <c r="V4845">
        <v>7.3524560000000003E-4</v>
      </c>
      <c r="W4845">
        <v>-0.11678769999999999</v>
      </c>
      <c r="X4845">
        <v>0.99315659999999895</v>
      </c>
      <c r="Y4845">
        <v>6.5519190000000005E-2</v>
      </c>
      <c r="Z4845">
        <v>5.1428710000000002E-2</v>
      </c>
      <c r="AA4845">
        <v>0.99652510000000005</v>
      </c>
      <c r="AB4845">
        <v>23</v>
      </c>
      <c r="AC4845">
        <v>-0.31260000000000299</v>
      </c>
      <c r="AD4845">
        <v>-1.122254725054</v>
      </c>
      <c r="AE4845">
        <v>-17.3142999999999</v>
      </c>
      <c r="AF4845">
        <v>1.14188712382985</v>
      </c>
      <c r="AG4845">
        <v>-1.122254725054</v>
      </c>
      <c r="AH4845">
        <v>17.2068493863658</v>
      </c>
      <c r="AI4845">
        <v>93.723458573436005</v>
      </c>
      <c r="AJ4845">
        <v>86.203283887152395</v>
      </c>
      <c r="AK4845">
        <v>17.281175529359999</v>
      </c>
      <c r="AL4845">
        <v>96.706747812262506</v>
      </c>
      <c r="AM4845">
        <v>89.957583263213806</v>
      </c>
      <c r="AN4845">
        <v>0.99999996979047001</v>
      </c>
    </row>
    <row r="4846" spans="1:40" x14ac:dyDescent="0.25">
      <c r="A4846" t="str">
        <f>"20190303154234872"</f>
        <v>20190303154234872</v>
      </c>
      <c r="B4846" t="str">
        <f>"1551598954864468"</f>
        <v>1551598954864468</v>
      </c>
      <c r="C4846" t="s">
        <v>40</v>
      </c>
      <c r="D4846">
        <v>5.9679830000000003</v>
      </c>
      <c r="E4846">
        <v>0.526841</v>
      </c>
      <c r="F4846" t="s">
        <v>41</v>
      </c>
      <c r="G4846">
        <v>-193.1242</v>
      </c>
      <c r="H4846" s="1">
        <v>-4.6700990000000002E-6</v>
      </c>
      <c r="I4846">
        <v>168.0042</v>
      </c>
      <c r="J4846">
        <v>-192.7569</v>
      </c>
      <c r="K4846">
        <v>1.122136</v>
      </c>
      <c r="L4846">
        <v>185.26910000000001</v>
      </c>
      <c r="M4846">
        <v>5.0731789999999999E-2</v>
      </c>
      <c r="N4846">
        <v>-1.234698E-2</v>
      </c>
      <c r="O4846">
        <v>-0.99863610000000003</v>
      </c>
      <c r="P4846">
        <v>4.3286140000000001E-2</v>
      </c>
      <c r="Q4846">
        <v>-0.13055700000000001</v>
      </c>
      <c r="R4846">
        <v>-0.99049540000000003</v>
      </c>
      <c r="S4846">
        <v>-6.0928339999999998E-2</v>
      </c>
      <c r="T4846">
        <v>-0.19306699999999999</v>
      </c>
      <c r="U4846">
        <v>-3.0065919999999999</v>
      </c>
      <c r="V4846">
        <v>7.4941000000000001E-3</v>
      </c>
      <c r="W4846">
        <v>-0.1182772</v>
      </c>
      <c r="X4846">
        <v>0.99295230000000001</v>
      </c>
      <c r="Y4846">
        <v>7.0899299999999998E-2</v>
      </c>
      <c r="Z4846">
        <v>5.1538830000000001E-2</v>
      </c>
      <c r="AA4846">
        <v>0.99615109999999996</v>
      </c>
      <c r="AB4846">
        <v>23</v>
      </c>
      <c r="AC4846">
        <v>-0.36730000000000002</v>
      </c>
      <c r="AD4846">
        <v>-1.122140670099</v>
      </c>
      <c r="AE4846">
        <v>-17.264900000000001</v>
      </c>
      <c r="AF4846">
        <v>1.23754736769055</v>
      </c>
      <c r="AG4846">
        <v>-1.122140670099</v>
      </c>
      <c r="AH4846">
        <v>17.151606922864801</v>
      </c>
      <c r="AI4846">
        <v>93.733552393072003</v>
      </c>
      <c r="AJ4846">
        <v>85.873064511371993</v>
      </c>
      <c r="AK4846">
        <v>17.232769458425199</v>
      </c>
      <c r="AL4846">
        <v>96.792685558090795</v>
      </c>
      <c r="AM4846">
        <v>89.567580286789493</v>
      </c>
      <c r="AN4846">
        <v>0.99999996382496903</v>
      </c>
    </row>
    <row r="4847" spans="1:40" x14ac:dyDescent="0.25">
      <c r="A4847" t="str">
        <f>"20190303154234884"</f>
        <v>20190303154234884</v>
      </c>
      <c r="B4847" t="str">
        <f>"1551598954874225"</f>
        <v>1551598954874225</v>
      </c>
      <c r="C4847" t="s">
        <v>40</v>
      </c>
      <c r="D4847">
        <v>5.9949879999999904</v>
      </c>
      <c r="E4847">
        <v>0.5268718</v>
      </c>
      <c r="F4847" t="s">
        <v>41</v>
      </c>
      <c r="G4847">
        <v>-193.20859999999999</v>
      </c>
      <c r="H4847" s="1">
        <v>-4.5892610000000002E-6</v>
      </c>
      <c r="I4847">
        <v>167.75470000000001</v>
      </c>
      <c r="J4847">
        <v>-192.74799999999999</v>
      </c>
      <c r="K4847">
        <v>1.1220810000000001</v>
      </c>
      <c r="L4847">
        <v>185.13040000000001</v>
      </c>
      <c r="M4847">
        <v>5.2337380000000003E-2</v>
      </c>
      <c r="N4847">
        <v>-1.2210820000000001E-2</v>
      </c>
      <c r="O4847">
        <v>-0.99855510000000003</v>
      </c>
      <c r="P4847">
        <v>4.2216579999999997E-2</v>
      </c>
      <c r="Q4847">
        <v>-0.1307191</v>
      </c>
      <c r="R4847">
        <v>-0.99052030000000002</v>
      </c>
      <c r="S4847">
        <v>-7.7560420000000005E-2</v>
      </c>
      <c r="T4847">
        <v>-0.19264319999999999</v>
      </c>
      <c r="U4847">
        <v>-3.0067900000000001</v>
      </c>
      <c r="V4847">
        <v>1.0145639999999999E-2</v>
      </c>
      <c r="W4847">
        <v>-0.1185655</v>
      </c>
      <c r="X4847">
        <v>0.99289439999999995</v>
      </c>
      <c r="Y4847">
        <v>7.8004279999999995E-2</v>
      </c>
      <c r="Z4847">
        <v>5.1500070000000002E-2</v>
      </c>
      <c r="AA4847">
        <v>0.99562200000000001</v>
      </c>
      <c r="AB4847">
        <v>23</v>
      </c>
      <c r="AC4847">
        <v>-0.46059999999999901</v>
      </c>
      <c r="AD4847">
        <v>-1.122085589261</v>
      </c>
      <c r="AE4847">
        <v>-17.375699999999899</v>
      </c>
      <c r="AF4847">
        <v>1.36375152440891</v>
      </c>
      <c r="AG4847">
        <v>-1.122085589261</v>
      </c>
      <c r="AH4847">
        <v>17.255862383373099</v>
      </c>
      <c r="AI4847">
        <v>93.708964336314807</v>
      </c>
      <c r="AJ4847">
        <v>85.481238085516495</v>
      </c>
      <c r="AK4847">
        <v>17.345998987774301</v>
      </c>
      <c r="AL4847">
        <v>96.809320736150895</v>
      </c>
      <c r="AM4847">
        <v>89.4145579610787</v>
      </c>
      <c r="AN4847">
        <v>1.0000000006762999</v>
      </c>
    </row>
    <row r="4848" spans="1:40" x14ac:dyDescent="0.25">
      <c r="A4848" t="str">
        <f>"20190303154234900"</f>
        <v>20190303154234900</v>
      </c>
      <c r="B4848" t="str">
        <f>"1551598954894721"</f>
        <v>1551598954894721</v>
      </c>
      <c r="C4848" t="s">
        <v>40</v>
      </c>
      <c r="D4848">
        <v>5.8513479999999998</v>
      </c>
      <c r="E4848">
        <v>0.52701430000000005</v>
      </c>
      <c r="F4848" t="s">
        <v>41</v>
      </c>
      <c r="G4848">
        <v>-193.22300000000001</v>
      </c>
      <c r="H4848" s="1">
        <v>-4.4977010000000004E-6</v>
      </c>
      <c r="I4848">
        <v>167.50960000000001</v>
      </c>
      <c r="J4848">
        <v>-192.73820000000001</v>
      </c>
      <c r="K4848">
        <v>1.1220270000000001</v>
      </c>
      <c r="L4848">
        <v>184.97919999999999</v>
      </c>
      <c r="M4848">
        <v>5.4045360000000001E-2</v>
      </c>
      <c r="N4848">
        <v>-1.206494E-2</v>
      </c>
      <c r="O4848">
        <v>-0.99846570000000001</v>
      </c>
      <c r="P4848">
        <v>4.2188129999999997E-2</v>
      </c>
      <c r="Q4848">
        <v>-0.13001289999999999</v>
      </c>
      <c r="R4848">
        <v>-0.99061449999999995</v>
      </c>
      <c r="S4848">
        <v>-8.1054689999999999E-2</v>
      </c>
      <c r="T4848">
        <v>-0.19147719999999999</v>
      </c>
      <c r="U4848">
        <v>-3.0068820000000001</v>
      </c>
      <c r="V4848">
        <v>1.185978E-2</v>
      </c>
      <c r="W4848">
        <v>-0.1179979</v>
      </c>
      <c r="X4848">
        <v>0.99294300000000002</v>
      </c>
      <c r="Y4848">
        <v>8.0864309999999995E-2</v>
      </c>
      <c r="Z4848">
        <v>5.1242179999999998E-2</v>
      </c>
      <c r="AA4848">
        <v>0.99540700000000004</v>
      </c>
      <c r="AB4848">
        <v>23</v>
      </c>
      <c r="AC4848">
        <v>-0.48479999999997803</v>
      </c>
      <c r="AD4848">
        <v>-1.122031497701</v>
      </c>
      <c r="AE4848">
        <v>-17.4695999999999</v>
      </c>
      <c r="AF4848">
        <v>1.42244744167157</v>
      </c>
      <c r="AG4848">
        <v>-1.122031497701</v>
      </c>
      <c r="AH4848">
        <v>17.346359049873399</v>
      </c>
      <c r="AI4848">
        <v>93.688616228608296</v>
      </c>
      <c r="AJ4848">
        <v>85.312083228593195</v>
      </c>
      <c r="AK4848">
        <v>17.4407133940466</v>
      </c>
      <c r="AL4848">
        <v>96.776569882555293</v>
      </c>
      <c r="AM4848">
        <v>89.315687779338205</v>
      </c>
      <c r="AN4848">
        <v>0.99999998001752899</v>
      </c>
    </row>
    <row r="4849" spans="1:40" x14ac:dyDescent="0.25">
      <c r="A4849" t="str">
        <f>"20190303154234917"</f>
        <v>20190303154234917</v>
      </c>
      <c r="B4849" t="str">
        <f>"1551598954904481"</f>
        <v>1551598954904481</v>
      </c>
      <c r="C4849" t="s">
        <v>40</v>
      </c>
      <c r="D4849">
        <v>5.8404489999999996</v>
      </c>
      <c r="E4849">
        <v>0.52713759999999998</v>
      </c>
      <c r="F4849" t="s">
        <v>41</v>
      </c>
      <c r="G4849">
        <v>-193.2373</v>
      </c>
      <c r="H4849" s="1">
        <v>-4.2019670000000003E-6</v>
      </c>
      <c r="I4849">
        <v>166.7329</v>
      </c>
      <c r="J4849">
        <v>-192.72659999999999</v>
      </c>
      <c r="K4849">
        <v>1.121972</v>
      </c>
      <c r="L4849">
        <v>184.80420000000001</v>
      </c>
      <c r="M4849">
        <v>5.5954860000000002E-2</v>
      </c>
      <c r="N4849">
        <v>-1.190137E-2</v>
      </c>
      <c r="O4849">
        <v>-0.99836270000000005</v>
      </c>
      <c r="P4849">
        <v>4.2259049999999999E-2</v>
      </c>
      <c r="Q4849">
        <v>-0.12815670000000001</v>
      </c>
      <c r="R4849">
        <v>-0.99085369999999995</v>
      </c>
      <c r="S4849">
        <v>-8.2275390000000004E-2</v>
      </c>
      <c r="T4849">
        <v>-0.18495210000000001</v>
      </c>
      <c r="U4849">
        <v>-3.00766</v>
      </c>
      <c r="V4849">
        <v>1.367901E-2</v>
      </c>
      <c r="W4849">
        <v>-0.1162962</v>
      </c>
      <c r="X4849">
        <v>0.99312040000000001</v>
      </c>
      <c r="Y4849">
        <v>8.3170380000000002E-2</v>
      </c>
      <c r="Z4849">
        <v>4.9223459999999997E-2</v>
      </c>
      <c r="AA4849">
        <v>0.99531890000000001</v>
      </c>
      <c r="AB4849">
        <v>23</v>
      </c>
      <c r="AC4849">
        <v>-0.51070000000001403</v>
      </c>
      <c r="AD4849">
        <v>-1.1219762019670001</v>
      </c>
      <c r="AE4849">
        <v>-18.071300000000001</v>
      </c>
      <c r="AF4849">
        <v>1.51531173359685</v>
      </c>
      <c r="AG4849">
        <v>-1.1219762019670001</v>
      </c>
      <c r="AH4849">
        <v>17.945287363273</v>
      </c>
      <c r="AI4849">
        <v>93.564939043634993</v>
      </c>
      <c r="AJ4849">
        <v>85.173357071952793</v>
      </c>
      <c r="AK4849">
        <v>18.044066581516599</v>
      </c>
      <c r="AL4849">
        <v>96.678393352647205</v>
      </c>
      <c r="AM4849">
        <v>89.2108711258944</v>
      </c>
      <c r="AN4849">
        <v>1.00000002517258</v>
      </c>
    </row>
    <row r="4850" spans="1:40" x14ac:dyDescent="0.25">
      <c r="A4850" t="str">
        <f>"20190303154234938"</f>
        <v>20190303154234938</v>
      </c>
      <c r="B4850" t="str">
        <f>"1551598954934737"</f>
        <v>1551598954934737</v>
      </c>
      <c r="C4850" t="s">
        <v>40</v>
      </c>
      <c r="D4850">
        <v>5.9367299999999998</v>
      </c>
      <c r="E4850">
        <v>0.52664419999999901</v>
      </c>
      <c r="F4850" t="s">
        <v>41</v>
      </c>
      <c r="G4850">
        <v>-193.25</v>
      </c>
      <c r="H4850" s="1">
        <v>-3.7773409999999999E-6</v>
      </c>
      <c r="I4850">
        <v>165.75319999999999</v>
      </c>
      <c r="J4850">
        <v>-192.7114</v>
      </c>
      <c r="K4850">
        <v>1.121902</v>
      </c>
      <c r="L4850">
        <v>184.5822</v>
      </c>
      <c r="M4850">
        <v>5.8282149999999998E-2</v>
      </c>
      <c r="N4850">
        <v>-1.170439E-2</v>
      </c>
      <c r="O4850">
        <v>-0.9982316</v>
      </c>
      <c r="P4850">
        <v>4.4635950000000001E-2</v>
      </c>
      <c r="Q4850">
        <v>-0.1270433</v>
      </c>
      <c r="R4850">
        <v>-0.99089249999999995</v>
      </c>
      <c r="S4850">
        <v>-8.2641599999999996E-2</v>
      </c>
      <c r="T4850">
        <v>-0.17716770000000001</v>
      </c>
      <c r="U4850">
        <v>-3.008286</v>
      </c>
      <c r="V4850">
        <v>1.360282E-2</v>
      </c>
      <c r="W4850">
        <v>-0.1153787</v>
      </c>
      <c r="X4850">
        <v>0.99322840000000001</v>
      </c>
      <c r="Y4850">
        <v>8.5612709999999995E-2</v>
      </c>
      <c r="Z4850">
        <v>4.6825020000000002E-2</v>
      </c>
      <c r="AA4850">
        <v>0.99522759999999999</v>
      </c>
      <c r="AB4850">
        <v>23</v>
      </c>
      <c r="AC4850">
        <v>-0.53860000000000197</v>
      </c>
      <c r="AD4850">
        <v>-1.1219057773409999</v>
      </c>
      <c r="AE4850">
        <v>-18.829000000000001</v>
      </c>
      <c r="AF4850">
        <v>1.6293740956031899</v>
      </c>
      <c r="AG4850">
        <v>-1.1219057773409999</v>
      </c>
      <c r="AH4850">
        <v>18.699263558252898</v>
      </c>
      <c r="AI4850">
        <v>93.420547614771806</v>
      </c>
      <c r="AJ4850">
        <v>85.020068260157004</v>
      </c>
      <c r="AK4850">
        <v>18.8036164111498</v>
      </c>
      <c r="AL4850">
        <v>96.625468573408398</v>
      </c>
      <c r="AM4850">
        <v>89.215351220643797</v>
      </c>
      <c r="AN4850">
        <v>0.99999996784610001</v>
      </c>
    </row>
    <row r="4851" spans="1:40" x14ac:dyDescent="0.25">
      <c r="A4851" t="str">
        <f>"20190303154234961"</f>
        <v>20190303154234961</v>
      </c>
      <c r="B4851" t="str">
        <f>"1551598954955234"</f>
        <v>1551598954955234</v>
      </c>
      <c r="C4851" t="s">
        <v>40</v>
      </c>
      <c r="D4851">
        <v>5.9256010000000003</v>
      </c>
      <c r="E4851">
        <v>0.52631899999999998</v>
      </c>
      <c r="F4851" t="s">
        <v>41</v>
      </c>
      <c r="G4851">
        <v>-193.1687</v>
      </c>
      <c r="H4851" s="1">
        <v>-3.5548639999999999E-6</v>
      </c>
      <c r="I4851">
        <v>165.32830000000001</v>
      </c>
      <c r="J4851">
        <v>-192.6951</v>
      </c>
      <c r="K4851">
        <v>1.1218379999999999</v>
      </c>
      <c r="L4851">
        <v>184.3509</v>
      </c>
      <c r="M4851">
        <v>6.0631339999999999E-2</v>
      </c>
      <c r="N4851">
        <v>-1.150283E-2</v>
      </c>
      <c r="O4851">
        <v>-0.99809400000000004</v>
      </c>
      <c r="P4851">
        <v>4.7189870000000002E-2</v>
      </c>
      <c r="Q4851">
        <v>-0.12777529999999901</v>
      </c>
      <c r="R4851">
        <v>-0.99068029999999996</v>
      </c>
      <c r="S4851">
        <v>-7.1441649999999995E-2</v>
      </c>
      <c r="T4851">
        <v>-0.1752919</v>
      </c>
      <c r="U4851">
        <v>-3.0083310000000001</v>
      </c>
      <c r="V4851">
        <v>1.336594E-2</v>
      </c>
      <c r="W4851">
        <v>-0.11631420000000001</v>
      </c>
      <c r="X4851">
        <v>0.99312250000000002</v>
      </c>
      <c r="Y4851">
        <v>8.4256189999999995E-2</v>
      </c>
      <c r="Z4851">
        <v>4.6402609999999997E-2</v>
      </c>
      <c r="AA4851">
        <v>0.99536309999999995</v>
      </c>
      <c r="AB4851">
        <v>23</v>
      </c>
      <c r="AC4851">
        <v>-0.47360000000000402</v>
      </c>
      <c r="AD4851">
        <v>-1.1218415548639999</v>
      </c>
      <c r="AE4851">
        <v>-19.022599999999901</v>
      </c>
      <c r="AF4851">
        <v>1.62053788857846</v>
      </c>
      <c r="AG4851">
        <v>-1.1218415548639999</v>
      </c>
      <c r="AH4851">
        <v>18.893212281935</v>
      </c>
      <c r="AI4851">
        <v>93.385717472648196</v>
      </c>
      <c r="AJ4851">
        <v>85.097536734272694</v>
      </c>
      <c r="AK4851">
        <v>18.995740097527101</v>
      </c>
      <c r="AL4851">
        <v>96.679432088768095</v>
      </c>
      <c r="AM4851">
        <v>89.228931255953995</v>
      </c>
      <c r="AN4851">
        <v>0.99999997073998603</v>
      </c>
    </row>
    <row r="4852" spans="1:40" x14ac:dyDescent="0.25">
      <c r="A4852" t="str">
        <f>"20190303154234973"</f>
        <v>20190303154234973</v>
      </c>
      <c r="B4852" t="str">
        <f>"1551598954964994"</f>
        <v>1551598954964994</v>
      </c>
      <c r="C4852" t="s">
        <v>40</v>
      </c>
      <c r="D4852">
        <v>5.9258550000000003</v>
      </c>
      <c r="E4852">
        <v>0.52617369999999997</v>
      </c>
      <c r="F4852" t="s">
        <v>41</v>
      </c>
      <c r="G4852">
        <v>-193.08170000000001</v>
      </c>
      <c r="H4852" s="1">
        <v>-3.6361600000000002E-6</v>
      </c>
      <c r="I4852">
        <v>165.54920000000001</v>
      </c>
      <c r="J4852">
        <v>-192.685</v>
      </c>
      <c r="K4852">
        <v>1.121799</v>
      </c>
      <c r="L4852">
        <v>184.20910000000001</v>
      </c>
      <c r="M4852">
        <v>6.2044019999999998E-2</v>
      </c>
      <c r="N4852">
        <v>-1.1378589999999999E-2</v>
      </c>
      <c r="O4852">
        <v>-0.99800869999999997</v>
      </c>
      <c r="P4852">
        <v>4.8545699999999997E-2</v>
      </c>
      <c r="Q4852">
        <v>-0.12858549999999999</v>
      </c>
      <c r="R4852">
        <v>-0.9905098</v>
      </c>
      <c r="S4852">
        <v>-6.1843870000000002E-2</v>
      </c>
      <c r="T4852">
        <v>-0.1794808</v>
      </c>
      <c r="U4852">
        <v>-3.008041</v>
      </c>
      <c r="V4852">
        <v>1.3402549999999999E-2</v>
      </c>
      <c r="W4852">
        <v>-0.11724950000000001</v>
      </c>
      <c r="X4852">
        <v>0.99301209999999995</v>
      </c>
      <c r="Y4852">
        <v>8.2493300000000006E-2</v>
      </c>
      <c r="Z4852">
        <v>4.7911740000000001E-2</v>
      </c>
      <c r="AA4852">
        <v>0.99543919999999997</v>
      </c>
      <c r="AB4852">
        <v>23</v>
      </c>
      <c r="AC4852">
        <v>-0.39670000000000899</v>
      </c>
      <c r="AD4852">
        <v>-1.12180263616</v>
      </c>
      <c r="AE4852">
        <v>-18.6599</v>
      </c>
      <c r="AF4852">
        <v>1.5481527821752801</v>
      </c>
      <c r="AG4852">
        <v>-1.12180263616</v>
      </c>
      <c r="AH4852">
        <v>18.532381197001399</v>
      </c>
      <c r="AI4852">
        <v>93.452008228530602</v>
      </c>
      <c r="AJ4852">
        <v>85.224729048622393</v>
      </c>
      <c r="AK4852">
        <v>18.630737264596402</v>
      </c>
      <c r="AL4852">
        <v>96.733389486531706</v>
      </c>
      <c r="AM4852">
        <v>89.226733565512802</v>
      </c>
      <c r="AN4852">
        <v>1.0000000521715799</v>
      </c>
    </row>
    <row r="4853" spans="1:40" x14ac:dyDescent="0.25">
      <c r="A4853" t="str">
        <f>"20190303154234987"</f>
        <v>20190303154234987</v>
      </c>
      <c r="B4853" t="str">
        <f>"1551598954984513"</f>
        <v>1551598954984513</v>
      </c>
      <c r="C4853" t="s">
        <v>40</v>
      </c>
      <c r="D4853">
        <v>5.8935760000000004</v>
      </c>
      <c r="E4853">
        <v>0.52593069999999997</v>
      </c>
      <c r="F4853" t="s">
        <v>41</v>
      </c>
      <c r="G4853">
        <v>-193.0326</v>
      </c>
      <c r="H4853" s="1">
        <v>-3.7445479999999999E-6</v>
      </c>
      <c r="I4853">
        <v>165.80609999999999</v>
      </c>
      <c r="J4853">
        <v>-192.67490000000001</v>
      </c>
      <c r="K4853">
        <v>1.1217600000000001</v>
      </c>
      <c r="L4853">
        <v>184.07159999999999</v>
      </c>
      <c r="M4853">
        <v>6.3386979999999996E-2</v>
      </c>
      <c r="N4853">
        <v>-1.1254E-2</v>
      </c>
      <c r="O4853">
        <v>-0.99792550000000002</v>
      </c>
      <c r="P4853">
        <v>4.9691230000000003E-2</v>
      </c>
      <c r="Q4853">
        <v>-0.1292421</v>
      </c>
      <c r="R4853">
        <v>-0.9903672</v>
      </c>
      <c r="S4853">
        <v>-5.6823730000000003E-2</v>
      </c>
      <c r="T4853">
        <v>-0.1833447</v>
      </c>
      <c r="U4853">
        <v>-3.007736</v>
      </c>
      <c r="V4853">
        <v>1.3581879999999999E-2</v>
      </c>
      <c r="W4853">
        <v>-0.11803080000000001</v>
      </c>
      <c r="X4853">
        <v>0.9929171</v>
      </c>
      <c r="Y4853">
        <v>8.2174230000000001E-2</v>
      </c>
      <c r="Z4853">
        <v>4.9309279999999997E-2</v>
      </c>
      <c r="AA4853">
        <v>0.99539739999999999</v>
      </c>
      <c r="AB4853">
        <v>23</v>
      </c>
      <c r="AC4853">
        <v>-0.35769999999999402</v>
      </c>
      <c r="AD4853">
        <v>-1.121763744548</v>
      </c>
      <c r="AE4853">
        <v>-18.265499999999999</v>
      </c>
      <c r="AF4853">
        <v>1.5091589236282801</v>
      </c>
      <c r="AG4853">
        <v>-1.121763744548</v>
      </c>
      <c r="AH4853">
        <v>18.137704730654502</v>
      </c>
      <c r="AI4853">
        <v>93.526911096268293</v>
      </c>
      <c r="AJ4853">
        <v>85.243625493568402</v>
      </c>
      <c r="AK4853">
        <v>18.2349183560485</v>
      </c>
      <c r="AL4853">
        <v>96.778467686692196</v>
      </c>
      <c r="AM4853">
        <v>89.216313353554</v>
      </c>
      <c r="AN4853">
        <v>1.00000005234269</v>
      </c>
    </row>
    <row r="4854" spans="1:40" x14ac:dyDescent="0.25">
      <c r="A4854" t="str">
        <f>"20190303154235000"</f>
        <v>20190303154235000</v>
      </c>
      <c r="B4854" t="str">
        <f>"1551598954995218"</f>
        <v>1551598954995218</v>
      </c>
      <c r="C4854" t="s">
        <v>40</v>
      </c>
      <c r="D4854">
        <v>5.9333660000000004</v>
      </c>
      <c r="E4854">
        <v>0.52576089999999998</v>
      </c>
      <c r="F4854" t="s">
        <v>41</v>
      </c>
      <c r="G4854">
        <v>-192.982</v>
      </c>
      <c r="H4854" s="1">
        <v>-3.9197339999999996E-6</v>
      </c>
      <c r="I4854">
        <v>166.20519999999999</v>
      </c>
      <c r="J4854">
        <v>-192.66489999999999</v>
      </c>
      <c r="K4854">
        <v>1.121726</v>
      </c>
      <c r="L4854">
        <v>183.93639999999999</v>
      </c>
      <c r="M4854">
        <v>6.4692440000000004E-2</v>
      </c>
      <c r="N4854">
        <v>-1.112543E-2</v>
      </c>
      <c r="O4854">
        <v>-0.99784340000000005</v>
      </c>
      <c r="P4854">
        <v>5.1499910000000003E-2</v>
      </c>
      <c r="Q4854">
        <v>-0.12995989999999999</v>
      </c>
      <c r="R4854">
        <v>-0.99018130000000004</v>
      </c>
      <c r="S4854">
        <v>-5.1696779999999998E-2</v>
      </c>
      <c r="T4854">
        <v>-0.188809</v>
      </c>
      <c r="U4854">
        <v>-3.0071720000000002</v>
      </c>
      <c r="V4854">
        <v>1.3059680000000001E-2</v>
      </c>
      <c r="W4854">
        <v>-0.118879399999999</v>
      </c>
      <c r="X4854">
        <v>0.99282280000000001</v>
      </c>
      <c r="Y4854">
        <v>8.1782999999999995E-2</v>
      </c>
      <c r="Z4854">
        <v>5.1242860000000001E-2</v>
      </c>
      <c r="AA4854">
        <v>0.99533190000000005</v>
      </c>
      <c r="AB4854">
        <v>23</v>
      </c>
      <c r="AC4854">
        <v>-0.31710000000000998</v>
      </c>
      <c r="AD4854">
        <v>-1.121729919734</v>
      </c>
      <c r="AE4854">
        <v>-17.731200000000001</v>
      </c>
      <c r="AF4854">
        <v>1.4577487097552699</v>
      </c>
      <c r="AG4854">
        <v>-1.121729919734</v>
      </c>
      <c r="AH4854">
        <v>17.603108851051601</v>
      </c>
      <c r="AI4854">
        <v>93.633746827841804</v>
      </c>
      <c r="AJ4854">
        <v>85.266023592266393</v>
      </c>
      <c r="AK4854">
        <v>17.698947723963499</v>
      </c>
      <c r="AL4854">
        <v>96.827434063777204</v>
      </c>
      <c r="AM4854">
        <v>89.246369651413303</v>
      </c>
      <c r="AN4854">
        <v>0.999999989592951</v>
      </c>
    </row>
    <row r="4855" spans="1:40" x14ac:dyDescent="0.25">
      <c r="A4855" t="str">
        <f>"20190303154235016"</f>
        <v>20190303154235016</v>
      </c>
      <c r="B4855" t="str">
        <f>"1551598955004978"</f>
        <v>1551598955004978</v>
      </c>
      <c r="C4855" t="s">
        <v>40</v>
      </c>
      <c r="D4855">
        <v>5.9574379999999998</v>
      </c>
      <c r="E4855">
        <v>0.5255879</v>
      </c>
      <c r="F4855" t="s">
        <v>41</v>
      </c>
      <c r="G4855">
        <v>-192.92769999999999</v>
      </c>
      <c r="H4855" s="1">
        <v>-4.011477E-6</v>
      </c>
      <c r="I4855">
        <v>166.4299</v>
      </c>
      <c r="J4855">
        <v>-192.6524</v>
      </c>
      <c r="K4855">
        <v>1.1216870000000001</v>
      </c>
      <c r="L4855">
        <v>183.7706</v>
      </c>
      <c r="M4855">
        <v>6.626754E-2</v>
      </c>
      <c r="N4855">
        <v>-1.095492E-2</v>
      </c>
      <c r="O4855">
        <v>-0.99774189999999996</v>
      </c>
      <c r="P4855">
        <v>5.335223E-2</v>
      </c>
      <c r="Q4855">
        <v>-0.13061539999999999</v>
      </c>
      <c r="R4855">
        <v>-0.98999669999999895</v>
      </c>
      <c r="S4855">
        <v>-4.5135500000000002E-2</v>
      </c>
      <c r="T4855">
        <v>-0.1926609</v>
      </c>
      <c r="U4855">
        <v>-3.0068049999999999</v>
      </c>
      <c r="V4855">
        <v>1.2760820000000001E-2</v>
      </c>
      <c r="W4855">
        <v>-0.1197067</v>
      </c>
      <c r="X4855">
        <v>0.99272729999999998</v>
      </c>
      <c r="Y4855">
        <v>8.118599E-2</v>
      </c>
      <c r="Z4855">
        <v>5.2682199999999998E-2</v>
      </c>
      <c r="AA4855">
        <v>0.99530569999999896</v>
      </c>
      <c r="AB4855">
        <v>23</v>
      </c>
      <c r="AC4855">
        <v>-0.275299999999987</v>
      </c>
      <c r="AD4855">
        <v>-1.121691011477</v>
      </c>
      <c r="AE4855">
        <v>-17.340699999999998</v>
      </c>
      <c r="AF4855">
        <v>1.4179575743987101</v>
      </c>
      <c r="AG4855">
        <v>-1.121691011477</v>
      </c>
      <c r="AH4855">
        <v>17.212332307153101</v>
      </c>
      <c r="AI4855">
        <v>93.716018925478096</v>
      </c>
      <c r="AJ4855">
        <v>85.290589202195406</v>
      </c>
      <c r="AK4855">
        <v>17.3070268347827</v>
      </c>
      <c r="AL4855">
        <v>96.875175626255</v>
      </c>
      <c r="AM4855">
        <v>89.263543106420897</v>
      </c>
      <c r="AN4855">
        <v>1.0000000123586199</v>
      </c>
    </row>
    <row r="4856" spans="1:40" x14ac:dyDescent="0.25">
      <c r="A4856" t="str">
        <f>"20190303154235049"</f>
        <v>20190303154235049</v>
      </c>
      <c r="B4856" t="str">
        <f>"1551598955044995"</f>
        <v>1551598955044995</v>
      </c>
      <c r="C4856" t="s">
        <v>40</v>
      </c>
      <c r="D4856">
        <v>5.9530110000000001</v>
      </c>
      <c r="E4856">
        <v>0.52504150000000005</v>
      </c>
      <c r="F4856" t="s">
        <v>41</v>
      </c>
      <c r="G4856">
        <v>-192.87200000000001</v>
      </c>
      <c r="H4856" s="1">
        <v>-4.085298E-6</v>
      </c>
      <c r="I4856">
        <v>166.6174</v>
      </c>
      <c r="J4856">
        <v>-192.62549999999999</v>
      </c>
      <c r="K4856">
        <v>1.1216140000000001</v>
      </c>
      <c r="L4856">
        <v>183.4246</v>
      </c>
      <c r="M4856">
        <v>6.9465719999999995E-2</v>
      </c>
      <c r="N4856">
        <v>-1.055735E-2</v>
      </c>
      <c r="O4856">
        <v>-0.99752859999999999</v>
      </c>
      <c r="P4856">
        <v>5.7061189999999998E-2</v>
      </c>
      <c r="Q4856">
        <v>-0.12847449999999999</v>
      </c>
      <c r="R4856">
        <v>-0.99007020000000001</v>
      </c>
      <c r="S4856">
        <v>-3.8497919999999998E-2</v>
      </c>
      <c r="T4856">
        <v>-0.19659879999999999</v>
      </c>
      <c r="U4856">
        <v>-3.0064540000000002</v>
      </c>
      <c r="V4856">
        <v>1.222751E-2</v>
      </c>
      <c r="W4856">
        <v>-0.11796040000000001</v>
      </c>
      <c r="X4856">
        <v>0.99294300000000002</v>
      </c>
      <c r="Y4856">
        <v>8.2184809999999997E-2</v>
      </c>
      <c r="Z4856">
        <v>5.4360329999999998E-2</v>
      </c>
      <c r="AA4856">
        <v>0.9951335</v>
      </c>
      <c r="AB4856">
        <v>23</v>
      </c>
      <c r="AC4856">
        <v>-0.246500000000025</v>
      </c>
      <c r="AD4856">
        <v>-1.12161808529799</v>
      </c>
      <c r="AE4856">
        <v>-16.807199999999899</v>
      </c>
      <c r="AF4856">
        <v>1.4072279354025199</v>
      </c>
      <c r="AG4856">
        <v>-1.12161808529799</v>
      </c>
      <c r="AH4856">
        <v>16.6752239664904</v>
      </c>
      <c r="AI4856">
        <v>93.834475067107803</v>
      </c>
      <c r="AJ4856">
        <v>85.176218846956004</v>
      </c>
      <c r="AK4856">
        <v>16.772042568633701</v>
      </c>
      <c r="AL4856">
        <v>96.774406148385395</v>
      </c>
      <c r="AM4856">
        <v>89.294471780513703</v>
      </c>
      <c r="AN4856">
        <v>0.99999998460897899</v>
      </c>
    </row>
    <row r="4857" spans="1:40" x14ac:dyDescent="0.25">
      <c r="A4857" t="str">
        <f>"20190303154235072"</f>
        <v>20190303154235072</v>
      </c>
      <c r="B4857" t="str">
        <f>"1551598955064522"</f>
        <v>1551598955064522</v>
      </c>
      <c r="C4857" t="s">
        <v>40</v>
      </c>
      <c r="D4857">
        <v>5.9311509999999998</v>
      </c>
      <c r="E4857">
        <v>0.52483829999999998</v>
      </c>
      <c r="F4857" t="s">
        <v>41</v>
      </c>
      <c r="G4857">
        <v>-192.75919999999999</v>
      </c>
      <c r="H4857" s="1">
        <v>-3.8251360000000002E-6</v>
      </c>
      <c r="I4857">
        <v>166.13050000000001</v>
      </c>
      <c r="J4857">
        <v>-192.60659999999999</v>
      </c>
      <c r="K4857">
        <v>1.1215710000000001</v>
      </c>
      <c r="L4857">
        <v>183.1874</v>
      </c>
      <c r="M4857">
        <v>7.1613640000000006E-2</v>
      </c>
      <c r="N4857">
        <v>-1.0281469999999999E-2</v>
      </c>
      <c r="O4857">
        <v>-0.99737960000000003</v>
      </c>
      <c r="P4857">
        <v>5.8782960000000002E-2</v>
      </c>
      <c r="Q4857">
        <v>-0.1277228</v>
      </c>
      <c r="R4857">
        <v>-0.99006680000000002</v>
      </c>
      <c r="S4857">
        <v>-2.3239139999999998E-2</v>
      </c>
      <c r="T4857">
        <v>-0.1949632</v>
      </c>
      <c r="U4857">
        <v>-3.006119</v>
      </c>
      <c r="V4857">
        <v>1.2638409999999999E-2</v>
      </c>
      <c r="W4857">
        <v>-0.1174809</v>
      </c>
      <c r="X4857">
        <v>0.99299470000000001</v>
      </c>
      <c r="Y4857">
        <v>7.9283590000000001E-2</v>
      </c>
      <c r="Z4857">
        <v>5.4101370000000003E-2</v>
      </c>
      <c r="AA4857">
        <v>0.99538289999999996</v>
      </c>
      <c r="AB4857">
        <v>24</v>
      </c>
      <c r="AC4857">
        <v>-0.15260000000000601</v>
      </c>
      <c r="AD4857">
        <v>-1.1215748251359901</v>
      </c>
      <c r="AE4857">
        <v>-17.056899999999899</v>
      </c>
      <c r="AF4857">
        <v>1.3678654602313101</v>
      </c>
      <c r="AG4857">
        <v>-1.1215748251359901</v>
      </c>
      <c r="AH4857">
        <v>16.928981959660501</v>
      </c>
      <c r="AI4857">
        <v>93.778129696037794</v>
      </c>
      <c r="AJ4857">
        <v>85.380524009606006</v>
      </c>
      <c r="AK4857">
        <v>17.021146148135401</v>
      </c>
      <c r="AL4857">
        <v>96.746740467530699</v>
      </c>
      <c r="AM4857">
        <v>89.270803302546895</v>
      </c>
      <c r="AN4857">
        <v>0.99999998275011304</v>
      </c>
    </row>
    <row r="4858" spans="1:40" x14ac:dyDescent="0.25">
      <c r="A4858" t="str">
        <f>"20190303154235095"</f>
        <v>20190303154235095</v>
      </c>
      <c r="B4858" t="str">
        <f>"1551598955085014"</f>
        <v>1551598955085014</v>
      </c>
      <c r="C4858" t="s">
        <v>40</v>
      </c>
      <c r="D4858">
        <v>5.9553250000000002</v>
      </c>
      <c r="E4858">
        <v>0.52467810000000004</v>
      </c>
      <c r="F4858" t="s">
        <v>41</v>
      </c>
      <c r="G4858">
        <v>-192.7013</v>
      </c>
      <c r="H4858" s="1">
        <v>-3.6869939999999999E-6</v>
      </c>
      <c r="I4858">
        <v>165.8708</v>
      </c>
      <c r="J4858">
        <v>-192.58670000000001</v>
      </c>
      <c r="K4858">
        <v>1.1215310000000001</v>
      </c>
      <c r="L4858">
        <v>182.94460000000001</v>
      </c>
      <c r="M4858">
        <v>7.3774290000000006E-2</v>
      </c>
      <c r="N4858">
        <v>-9.9982040000000001E-3</v>
      </c>
      <c r="O4858">
        <v>-0.99722509999999998</v>
      </c>
      <c r="P4858">
        <v>5.9043749999999999E-2</v>
      </c>
      <c r="Q4858">
        <v>-0.1270232</v>
      </c>
      <c r="R4858">
        <v>-0.99014120000000005</v>
      </c>
      <c r="S4858">
        <v>-1.644897E-2</v>
      </c>
      <c r="T4858">
        <v>-0.19469449999999999</v>
      </c>
      <c r="U4858">
        <v>-3.0059809999999998</v>
      </c>
      <c r="V4858">
        <v>1.452707E-2</v>
      </c>
      <c r="W4858">
        <v>-0.1170566</v>
      </c>
      <c r="X4858">
        <v>0.99301899999999999</v>
      </c>
      <c r="Y4858">
        <v>7.9195989999999994E-2</v>
      </c>
      <c r="Z4858">
        <v>5.4285029999999998E-2</v>
      </c>
      <c r="AA4858">
        <v>0.99537989999999998</v>
      </c>
      <c r="AB4858">
        <v>24</v>
      </c>
      <c r="AC4858">
        <v>-0.114599999999995</v>
      </c>
      <c r="AD4858">
        <v>-1.1215346869939999</v>
      </c>
      <c r="AE4858">
        <v>-17.073799999999999</v>
      </c>
      <c r="AF4858">
        <v>1.3680551159133201</v>
      </c>
      <c r="AG4858">
        <v>-1.1215346869939999</v>
      </c>
      <c r="AH4858">
        <v>16.9456989511933</v>
      </c>
      <c r="AI4858">
        <v>93.774299342259496</v>
      </c>
      <c r="AJ4858">
        <v>85.384424344194898</v>
      </c>
      <c r="AK4858">
        <v>17.0377852961816</v>
      </c>
      <c r="AL4858">
        <v>96.722260788044807</v>
      </c>
      <c r="AM4858">
        <v>89.161868574490796</v>
      </c>
      <c r="AN4858">
        <v>1.00000000886367</v>
      </c>
    </row>
    <row r="4859" spans="1:40" x14ac:dyDescent="0.25">
      <c r="A4859" t="str">
        <f>"20190303154235118"</f>
        <v>20190303154235118</v>
      </c>
      <c r="B4859" t="str">
        <f>"1551598955114798"</f>
        <v>1551598955114798</v>
      </c>
      <c r="C4859" t="s">
        <v>40</v>
      </c>
      <c r="D4859">
        <v>5.9521639999999998</v>
      </c>
      <c r="E4859">
        <v>0.52449040000000002</v>
      </c>
      <c r="F4859" t="s">
        <v>41</v>
      </c>
      <c r="G4859">
        <v>-192.67009999999999</v>
      </c>
      <c r="H4859" s="1">
        <v>-3.639429E-6</v>
      </c>
      <c r="I4859">
        <v>165.7878</v>
      </c>
      <c r="J4859">
        <v>-192.56649999999999</v>
      </c>
      <c r="K4859">
        <v>1.1214930000000001</v>
      </c>
      <c r="L4859">
        <v>182.70339999999999</v>
      </c>
      <c r="M4859">
        <v>7.5879340000000003E-2</v>
      </c>
      <c r="N4859">
        <v>-9.7172319999999993E-3</v>
      </c>
      <c r="O4859">
        <v>-0.99707000000000001</v>
      </c>
      <c r="P4859">
        <v>5.9101069999999999E-2</v>
      </c>
      <c r="Q4859">
        <v>-0.1266137</v>
      </c>
      <c r="R4859">
        <v>-0.99019029999999997</v>
      </c>
      <c r="S4859">
        <v>-1.460266E-2</v>
      </c>
      <c r="T4859">
        <v>-0.19647149999999999</v>
      </c>
      <c r="U4859">
        <v>-3.0055390000000002</v>
      </c>
      <c r="V4859">
        <v>1.6563999999999999E-2</v>
      </c>
      <c r="W4859">
        <v>-0.1169201</v>
      </c>
      <c r="X4859">
        <v>0.99300319999999997</v>
      </c>
      <c r="Y4859">
        <v>8.0689399999999994E-2</v>
      </c>
      <c r="Z4859">
        <v>5.5140509999999997E-2</v>
      </c>
      <c r="AA4859">
        <v>0.99521289999999996</v>
      </c>
      <c r="AB4859">
        <v>24</v>
      </c>
      <c r="AC4859">
        <v>-0.1036</v>
      </c>
      <c r="AD4859">
        <v>-1.121496639429</v>
      </c>
      <c r="AE4859">
        <v>-16.915599999999898</v>
      </c>
      <c r="AF4859">
        <v>1.3808366028291701</v>
      </c>
      <c r="AG4859">
        <v>-1.121496639429</v>
      </c>
      <c r="AH4859">
        <v>16.785187688986301</v>
      </c>
      <c r="AI4859">
        <v>93.809685417712501</v>
      </c>
      <c r="AJ4859">
        <v>85.297141869753403</v>
      </c>
      <c r="AK4859">
        <v>16.879188078532099</v>
      </c>
      <c r="AL4859">
        <v>96.714385794123999</v>
      </c>
      <c r="AM4859">
        <v>89.0443542542139</v>
      </c>
      <c r="AN4859">
        <v>1.0000000155451201</v>
      </c>
    </row>
    <row r="4860" spans="1:40" x14ac:dyDescent="0.25">
      <c r="A4860" t="str">
        <f>"20190303154235140"</f>
        <v>20190303154235140</v>
      </c>
      <c r="B4860" t="str">
        <f>"1551598955134319"</f>
        <v>1551598955134319</v>
      </c>
      <c r="C4860" t="s">
        <v>40</v>
      </c>
      <c r="D4860">
        <v>5.9515180000000001</v>
      </c>
      <c r="E4860">
        <v>0.52440399999999998</v>
      </c>
      <c r="F4860" t="s">
        <v>41</v>
      </c>
      <c r="G4860">
        <v>-192.63910000000001</v>
      </c>
      <c r="H4860" s="1">
        <v>-3.5717570000000001E-6</v>
      </c>
      <c r="I4860">
        <v>165.66210000000001</v>
      </c>
      <c r="J4860">
        <v>-192.5463</v>
      </c>
      <c r="K4860">
        <v>1.1214569999999999</v>
      </c>
      <c r="L4860">
        <v>182.4682</v>
      </c>
      <c r="M4860">
        <v>7.7894069999999996E-2</v>
      </c>
      <c r="N4860">
        <v>-9.4496949999999993E-3</v>
      </c>
      <c r="O4860">
        <v>-0.99691689999999999</v>
      </c>
      <c r="P4860">
        <v>5.8968359999999997E-2</v>
      </c>
      <c r="Q4860">
        <v>-0.12612699999999999</v>
      </c>
      <c r="R4860">
        <v>-0.99026009999999998</v>
      </c>
      <c r="S4860">
        <v>-1.280212E-2</v>
      </c>
      <c r="T4860">
        <v>-0.19777330000000001</v>
      </c>
      <c r="U4860">
        <v>-3.005188</v>
      </c>
      <c r="V4860">
        <v>1.8702770000000001E-2</v>
      </c>
      <c r="W4860">
        <v>-0.1166927</v>
      </c>
      <c r="X4860">
        <v>0.99299190000000004</v>
      </c>
      <c r="Y4860">
        <v>8.2107689999999997E-2</v>
      </c>
      <c r="Z4860">
        <v>5.5824529999999997E-2</v>
      </c>
      <c r="AA4860">
        <v>0.99505880000000002</v>
      </c>
      <c r="AB4860">
        <v>24</v>
      </c>
      <c r="AC4860">
        <v>-9.2800000000011096E-2</v>
      </c>
      <c r="AD4860">
        <v>-1.1214605717570001</v>
      </c>
      <c r="AE4860">
        <v>-16.806099999999901</v>
      </c>
      <c r="AF4860">
        <v>1.3954584186797001</v>
      </c>
      <c r="AG4860">
        <v>-1.1214605717570001</v>
      </c>
      <c r="AH4860">
        <v>16.6735616492075</v>
      </c>
      <c r="AI4860">
        <v>93.834541794084004</v>
      </c>
      <c r="AJ4860">
        <v>85.215900401535606</v>
      </c>
      <c r="AK4860">
        <v>16.769395817446501</v>
      </c>
      <c r="AL4860">
        <v>96.701267395319206</v>
      </c>
      <c r="AM4860">
        <v>88.920974986558406</v>
      </c>
      <c r="AN4860">
        <v>0.99999994665228498</v>
      </c>
    </row>
    <row r="4861" spans="1:40" x14ac:dyDescent="0.25">
      <c r="A4861" t="str">
        <f>"20190303154235161"</f>
        <v>20190303154235161</v>
      </c>
      <c r="B4861" t="str">
        <f>"1551598955154817"</f>
        <v>1551598955154817</v>
      </c>
      <c r="C4861" t="s">
        <v>40</v>
      </c>
      <c r="D4861">
        <v>5.9401640000000002</v>
      </c>
      <c r="E4861">
        <v>0.52429689999999995</v>
      </c>
      <c r="F4861" t="s">
        <v>41</v>
      </c>
      <c r="G4861">
        <v>-192.6189</v>
      </c>
      <c r="H4861" s="1">
        <v>-3.4692580000000001E-6</v>
      </c>
      <c r="I4861">
        <v>165.45660000000001</v>
      </c>
      <c r="J4861">
        <v>-192.52610000000001</v>
      </c>
      <c r="K4861">
        <v>1.121416</v>
      </c>
      <c r="L4861">
        <v>182.23650000000001</v>
      </c>
      <c r="M4861">
        <v>7.9852309999999996E-2</v>
      </c>
      <c r="N4861">
        <v>-9.1997510000000008E-3</v>
      </c>
      <c r="O4861">
        <v>-0.99676419999999999</v>
      </c>
      <c r="P4861">
        <v>5.9637709999999997E-2</v>
      </c>
      <c r="Q4861">
        <v>-0.12451479999999999</v>
      </c>
      <c r="R4861">
        <v>-0.99042399999999997</v>
      </c>
      <c r="S4861">
        <v>-1.281738E-2</v>
      </c>
      <c r="T4861">
        <v>-0.198101</v>
      </c>
      <c r="U4861">
        <v>-3.00502</v>
      </c>
      <c r="V4861">
        <v>1.9991060000000001E-2</v>
      </c>
      <c r="W4861">
        <v>-0.1153236</v>
      </c>
      <c r="X4861">
        <v>0.99312679999999998</v>
      </c>
      <c r="Y4861">
        <v>8.4070500000000006E-2</v>
      </c>
      <c r="Z4861">
        <v>5.6164779999999997E-2</v>
      </c>
      <c r="AA4861">
        <v>0.99487570000000003</v>
      </c>
      <c r="AB4861">
        <v>24</v>
      </c>
      <c r="AC4861">
        <v>-9.2799999999982605E-2</v>
      </c>
      <c r="AD4861">
        <v>-1.121419469258</v>
      </c>
      <c r="AE4861">
        <v>-16.779899999999898</v>
      </c>
      <c r="AF4861">
        <v>1.4261048309051201</v>
      </c>
      <c r="AG4861">
        <v>-1.121419469258</v>
      </c>
      <c r="AH4861">
        <v>16.644562712484898</v>
      </c>
      <c r="AI4861">
        <v>93.840422389039702</v>
      </c>
      <c r="AJ4861">
        <v>85.1028621016209</v>
      </c>
      <c r="AK4861">
        <v>16.743142611368</v>
      </c>
      <c r="AL4861">
        <v>96.622290093222801</v>
      </c>
      <c r="AM4861">
        <v>88.846825299306104</v>
      </c>
      <c r="AN4861">
        <v>1.00000000803756</v>
      </c>
    </row>
    <row r="4862" spans="1:40" x14ac:dyDescent="0.25">
      <c r="A4862" t="str">
        <f>"20190303154235184"</f>
        <v>20190303154235184</v>
      </c>
      <c r="B4862" t="str">
        <f>"1551598955174334"</f>
        <v>1551598955174334</v>
      </c>
      <c r="C4862" t="s">
        <v>40</v>
      </c>
      <c r="D4862">
        <v>5.9507529999999997</v>
      </c>
      <c r="E4862">
        <v>0.52419759999999904</v>
      </c>
      <c r="F4862" t="s">
        <v>41</v>
      </c>
      <c r="G4862">
        <v>-192.58260000000001</v>
      </c>
      <c r="H4862" s="1">
        <v>-3.2203299999999999E-6</v>
      </c>
      <c r="I4862">
        <v>164.95050000000001</v>
      </c>
      <c r="J4862">
        <v>-192.50460000000001</v>
      </c>
      <c r="K4862">
        <v>1.1213919999999999</v>
      </c>
      <c r="L4862">
        <v>181.99629999999999</v>
      </c>
      <c r="M4862">
        <v>8.1851179999999996E-2</v>
      </c>
      <c r="N4862">
        <v>-8.9513400000000003E-3</v>
      </c>
      <c r="O4862">
        <v>-0.99660459999999995</v>
      </c>
      <c r="P4862">
        <v>6.0195459999999999E-2</v>
      </c>
      <c r="Q4862">
        <v>-0.1224533</v>
      </c>
      <c r="R4862">
        <v>-0.99064739999999996</v>
      </c>
      <c r="S4862">
        <v>-9.8266599999999992E-3</v>
      </c>
      <c r="T4862">
        <v>-0.19495399999999999</v>
      </c>
      <c r="U4862">
        <v>-3.005096</v>
      </c>
      <c r="V4862">
        <v>2.1435599999999999E-2</v>
      </c>
      <c r="W4862">
        <v>-0.1135027</v>
      </c>
      <c r="X4862">
        <v>0.99330649999999998</v>
      </c>
      <c r="Y4862">
        <v>8.5079559999999999E-2</v>
      </c>
      <c r="Z4862">
        <v>5.5358860000000003E-2</v>
      </c>
      <c r="AA4862">
        <v>0.99483509999999997</v>
      </c>
      <c r="AB4862">
        <v>24</v>
      </c>
      <c r="AC4862">
        <v>-7.80000000000029E-2</v>
      </c>
      <c r="AD4862">
        <v>-1.1213952203299999</v>
      </c>
      <c r="AE4862">
        <v>-17.0457999999999</v>
      </c>
      <c r="AF4862">
        <v>1.466665144664</v>
      </c>
      <c r="AG4862">
        <v>-1.1213952203299999</v>
      </c>
      <c r="AH4862">
        <v>16.909034686285299</v>
      </c>
      <c r="AI4862">
        <v>93.780107446889801</v>
      </c>
      <c r="AJ4862">
        <v>85.0426546604713</v>
      </c>
      <c r="AK4862">
        <v>17.009529326490799</v>
      </c>
      <c r="AL4862">
        <v>96.517270116492597</v>
      </c>
      <c r="AM4862">
        <v>88.763746323603499</v>
      </c>
      <c r="AN4862">
        <v>1.0000000753984399</v>
      </c>
    </row>
    <row r="4863" spans="1:40" x14ac:dyDescent="0.25">
      <c r="A4863" t="str">
        <f>"20190303154235206"</f>
        <v>20190303154235206</v>
      </c>
      <c r="B4863" t="str">
        <f>"1551598955194830"</f>
        <v>1551598955194830</v>
      </c>
      <c r="C4863" t="s">
        <v>40</v>
      </c>
      <c r="D4863">
        <v>5.9383220000000003</v>
      </c>
      <c r="E4863">
        <v>0.52410760000000001</v>
      </c>
      <c r="F4863" t="s">
        <v>41</v>
      </c>
      <c r="G4863">
        <v>-192.54570000000001</v>
      </c>
      <c r="H4863" s="1">
        <v>-2.9067489999999999E-6</v>
      </c>
      <c r="I4863">
        <v>164.30779999999999</v>
      </c>
      <c r="J4863">
        <v>-192.48330000000001</v>
      </c>
      <c r="K4863">
        <v>1.121353</v>
      </c>
      <c r="L4863">
        <v>181.76300000000001</v>
      </c>
      <c r="M4863">
        <v>8.375697E-2</v>
      </c>
      <c r="N4863">
        <v>-8.7156309999999997E-3</v>
      </c>
      <c r="O4863">
        <v>-0.99644820000000001</v>
      </c>
      <c r="P4863">
        <v>6.0443669999999998E-2</v>
      </c>
      <c r="Q4863">
        <v>-0.12209449999999999</v>
      </c>
      <c r="R4863">
        <v>-0.99067660000000002</v>
      </c>
      <c r="S4863">
        <v>-6.9885249999999998E-3</v>
      </c>
      <c r="T4863">
        <v>-0.19051989999999999</v>
      </c>
      <c r="U4863">
        <v>-3.005188</v>
      </c>
      <c r="V4863">
        <v>2.3085089999999999E-2</v>
      </c>
      <c r="W4863">
        <v>-0.1133736</v>
      </c>
      <c r="X4863">
        <v>0.99328419999999895</v>
      </c>
      <c r="Y4863">
        <v>8.6046429999999993E-2</v>
      </c>
      <c r="Z4863">
        <v>5.411788E-2</v>
      </c>
      <c r="AA4863">
        <v>0.99482020000000004</v>
      </c>
      <c r="AB4863">
        <v>24</v>
      </c>
      <c r="AC4863">
        <v>-6.2399999999996597E-2</v>
      </c>
      <c r="AD4863">
        <v>-1.121355906749</v>
      </c>
      <c r="AE4863">
        <v>-17.455200000000001</v>
      </c>
      <c r="AF4863">
        <v>1.51796615834208</v>
      </c>
      <c r="AG4863">
        <v>-1.121355906749</v>
      </c>
      <c r="AH4863">
        <v>17.317167332783999</v>
      </c>
      <c r="AI4863">
        <v>93.690845264964807</v>
      </c>
      <c r="AJ4863">
        <v>84.990444124662602</v>
      </c>
      <c r="AK4863">
        <v>17.419699904393202</v>
      </c>
      <c r="AL4863">
        <v>96.509825679574902</v>
      </c>
      <c r="AM4863">
        <v>88.668618553803597</v>
      </c>
      <c r="AN4863">
        <v>0.99999999826345298</v>
      </c>
    </row>
    <row r="4864" spans="1:40" x14ac:dyDescent="0.25">
      <c r="A4864" t="str">
        <f>"20190303154235228"</f>
        <v>20190303154235228</v>
      </c>
      <c r="B4864" t="str">
        <f>"1551598955225086"</f>
        <v>1551598955225086</v>
      </c>
      <c r="C4864" t="s">
        <v>40</v>
      </c>
      <c r="D4864">
        <v>5.9138359999999999</v>
      </c>
      <c r="E4864">
        <v>0.52398500000000003</v>
      </c>
      <c r="F4864" t="s">
        <v>41</v>
      </c>
      <c r="G4864">
        <v>-192.51519999999999</v>
      </c>
      <c r="H4864" s="1">
        <v>-2.8258609999999999E-6</v>
      </c>
      <c r="I4864">
        <v>164.15389999999999</v>
      </c>
      <c r="J4864">
        <v>-192.4615</v>
      </c>
      <c r="K4864">
        <v>1.121299</v>
      </c>
      <c r="L4864">
        <v>181.52809999999999</v>
      </c>
      <c r="M4864">
        <v>8.562583E-2</v>
      </c>
      <c r="N4864">
        <v>-8.4895549999999993E-3</v>
      </c>
      <c r="O4864">
        <v>-0.99629109999999999</v>
      </c>
      <c r="P4864">
        <v>6.0319280000000003E-2</v>
      </c>
      <c r="Q4864">
        <v>-0.1244068</v>
      </c>
      <c r="R4864">
        <v>-0.99039600000000005</v>
      </c>
      <c r="S4864">
        <v>-5.4473880000000001E-3</v>
      </c>
      <c r="T4864">
        <v>-0.19135859999999999</v>
      </c>
      <c r="U4864">
        <v>-3.0049739999999998</v>
      </c>
      <c r="V4864">
        <v>2.5048669999999999E-2</v>
      </c>
      <c r="W4864">
        <v>-0.115908399999999</v>
      </c>
      <c r="X4864">
        <v>0.99294400000000005</v>
      </c>
      <c r="Y4864">
        <v>8.7405060000000007E-2</v>
      </c>
      <c r="Z4864">
        <v>5.4604970000000003E-2</v>
      </c>
      <c r="AA4864">
        <v>0.99467519999999998</v>
      </c>
      <c r="AB4864">
        <v>24</v>
      </c>
      <c r="AC4864">
        <v>-5.3699999999991997E-2</v>
      </c>
      <c r="AD4864">
        <v>-1.1213018258609999</v>
      </c>
      <c r="AE4864">
        <v>-17.374199999999998</v>
      </c>
      <c r="AF4864">
        <v>1.5348439499881601</v>
      </c>
      <c r="AG4864">
        <v>-1.1213018258609999</v>
      </c>
      <c r="AH4864">
        <v>17.234005680216001</v>
      </c>
      <c r="AI4864">
        <v>93.707972636979605</v>
      </c>
      <c r="AJ4864">
        <v>84.910719938522206</v>
      </c>
      <c r="AK4864">
        <v>17.3385124944792</v>
      </c>
      <c r="AL4864">
        <v>96.656022997822504</v>
      </c>
      <c r="AM4864">
        <v>88.554924802719796</v>
      </c>
      <c r="AN4864">
        <v>0.99999999009766405</v>
      </c>
    </row>
    <row r="4865" spans="1:40" x14ac:dyDescent="0.25">
      <c r="A4865" t="str">
        <f>"20190303154235251"</f>
        <v>20190303154235251</v>
      </c>
      <c r="B4865" t="str">
        <f>"1551598955244607"</f>
        <v>1551598955244607</v>
      </c>
      <c r="C4865" t="s">
        <v>40</v>
      </c>
      <c r="D4865">
        <v>5.8857949999999999</v>
      </c>
      <c r="E4865">
        <v>0.52395049999999999</v>
      </c>
      <c r="F4865" t="s">
        <v>41</v>
      </c>
      <c r="G4865">
        <v>-192.48990000000001</v>
      </c>
      <c r="H4865" s="1">
        <v>-3.1352920000000001E-6</v>
      </c>
      <c r="I4865">
        <v>164.8227</v>
      </c>
      <c r="J4865">
        <v>-192.43719999999999</v>
      </c>
      <c r="K4865">
        <v>1.1212359999999999</v>
      </c>
      <c r="L4865">
        <v>181.27099999999999</v>
      </c>
      <c r="M4865">
        <v>8.7604199999999993E-2</v>
      </c>
      <c r="N4865">
        <v>-8.2608869999999997E-3</v>
      </c>
      <c r="O4865">
        <v>-0.99612140000000005</v>
      </c>
      <c r="P4865">
        <v>5.999906E-2</v>
      </c>
      <c r="Q4865">
        <v>-0.1269361</v>
      </c>
      <c r="R4865">
        <v>-0.9900949</v>
      </c>
      <c r="S4865">
        <v>-5.111694E-3</v>
      </c>
      <c r="T4865">
        <v>-0.20164000000000001</v>
      </c>
      <c r="U4865">
        <v>-3.0040740000000001</v>
      </c>
      <c r="V4865">
        <v>2.73101E-2</v>
      </c>
      <c r="W4865">
        <v>-0.1186632</v>
      </c>
      <c r="X4865">
        <v>0.99255890000000002</v>
      </c>
      <c r="Y4865">
        <v>8.9270970000000005E-2</v>
      </c>
      <c r="Z4865">
        <v>5.8206550000000003E-2</v>
      </c>
      <c r="AA4865">
        <v>0.99430510000000005</v>
      </c>
      <c r="AB4865">
        <v>24</v>
      </c>
      <c r="AC4865">
        <v>-5.27000000000157E-2</v>
      </c>
      <c r="AD4865">
        <v>-1.1212391352919999</v>
      </c>
      <c r="AE4865">
        <v>-16.4482999999999</v>
      </c>
      <c r="AF4865">
        <v>1.48657851684405</v>
      </c>
      <c r="AG4865">
        <v>-1.1212391352919999</v>
      </c>
      <c r="AH4865">
        <v>16.304677167431599</v>
      </c>
      <c r="AI4865">
        <v>93.917720437845006</v>
      </c>
      <c r="AJ4865">
        <v>84.790462344457893</v>
      </c>
      <c r="AK4865">
        <v>16.410654783384398</v>
      </c>
      <c r="AL4865">
        <v>96.814958452090806</v>
      </c>
      <c r="AM4865">
        <v>88.423913408837393</v>
      </c>
      <c r="AN4865">
        <v>0.99999998328272899</v>
      </c>
    </row>
    <row r="4866" spans="1:40" x14ac:dyDescent="0.25">
      <c r="A4866" t="str">
        <f>"20190303154235274"</f>
        <v>20190303154235274</v>
      </c>
      <c r="B4866" t="str">
        <f>"1551598955265102"</f>
        <v>1551598955265102</v>
      </c>
      <c r="C4866" t="s">
        <v>40</v>
      </c>
      <c r="D4866">
        <v>5.8838229999999996</v>
      </c>
      <c r="E4866">
        <v>0.52389909999999995</v>
      </c>
      <c r="F4866" t="s">
        <v>41</v>
      </c>
      <c r="G4866">
        <v>-192.47049999999999</v>
      </c>
      <c r="H4866" s="1">
        <v>-3.3609209999999998E-6</v>
      </c>
      <c r="I4866">
        <v>165.31099999999901</v>
      </c>
      <c r="J4866">
        <v>-192.41380000000001</v>
      </c>
      <c r="K4866">
        <v>1.1211709999999999</v>
      </c>
      <c r="L4866">
        <v>181.0275</v>
      </c>
      <c r="M4866">
        <v>8.9397989999999997E-2</v>
      </c>
      <c r="N4866">
        <v>-8.0638210000000005E-3</v>
      </c>
      <c r="O4866">
        <v>-0.9959635</v>
      </c>
      <c r="P4866">
        <v>5.9233800000000003E-2</v>
      </c>
      <c r="Q4866">
        <v>-0.12837850000000001</v>
      </c>
      <c r="R4866">
        <v>-0.98995469999999997</v>
      </c>
      <c r="S4866">
        <v>-6.2561040000000002E-3</v>
      </c>
      <c r="T4866">
        <v>-0.21099329999999999</v>
      </c>
      <c r="U4866">
        <v>-3.0033259999999999</v>
      </c>
      <c r="V4866">
        <v>2.9837869999999999E-2</v>
      </c>
      <c r="W4866">
        <v>-0.12029910000000001</v>
      </c>
      <c r="X4866">
        <v>0.99228919999999998</v>
      </c>
      <c r="Y4866">
        <v>9.1442099999999998E-2</v>
      </c>
      <c r="Z4866">
        <v>6.1465980000000003E-2</v>
      </c>
      <c r="AA4866">
        <v>0.99391160000000001</v>
      </c>
      <c r="AB4866">
        <v>24</v>
      </c>
      <c r="AC4866">
        <v>-5.66999999999779E-2</v>
      </c>
      <c r="AD4866">
        <v>-1.1211743609210001</v>
      </c>
      <c r="AE4866">
        <v>-15.7165</v>
      </c>
      <c r="AF4866">
        <v>1.4541418574246101</v>
      </c>
      <c r="AG4866">
        <v>-1.1211743609210001</v>
      </c>
      <c r="AH4866">
        <v>15.5692664009712</v>
      </c>
      <c r="AI4866">
        <v>94.101087757519295</v>
      </c>
      <c r="AJ4866">
        <v>84.664155190014696</v>
      </c>
      <c r="AK4866">
        <v>15.677168645948599</v>
      </c>
      <c r="AL4866">
        <v>96.909364699433496</v>
      </c>
      <c r="AM4866">
        <v>88.277650267890095</v>
      </c>
      <c r="AN4866">
        <v>1.00000001419179</v>
      </c>
    </row>
    <row r="4867" spans="1:40" x14ac:dyDescent="0.25">
      <c r="A4867" t="str">
        <f>"20190303154235297"</f>
        <v>20190303154235297</v>
      </c>
      <c r="B4867" t="str">
        <f>"1551598955284623"</f>
        <v>1551598955284623</v>
      </c>
      <c r="C4867" t="s">
        <v>40</v>
      </c>
      <c r="D4867">
        <v>5.8341519999999996</v>
      </c>
      <c r="E4867">
        <v>0.52387159999999999</v>
      </c>
      <c r="F4867" t="s">
        <v>41</v>
      </c>
      <c r="G4867">
        <v>-192.45769999999999</v>
      </c>
      <c r="H4867" s="1">
        <v>-3.4594369999999998E-6</v>
      </c>
      <c r="I4867">
        <v>165.5266</v>
      </c>
      <c r="J4867">
        <v>-192.38980000000001</v>
      </c>
      <c r="K4867">
        <v>1.1210990000000001</v>
      </c>
      <c r="L4867">
        <v>180.7816</v>
      </c>
      <c r="M4867">
        <v>9.110915E-2</v>
      </c>
      <c r="N4867">
        <v>-7.8852039999999998E-3</v>
      </c>
      <c r="O4867">
        <v>-0.99580970000000002</v>
      </c>
      <c r="P4867">
        <v>5.8843729999999997E-2</v>
      </c>
      <c r="Q4867">
        <v>-0.12803689999999901</v>
      </c>
      <c r="R4867">
        <v>-0.99002239999999997</v>
      </c>
      <c r="S4867">
        <v>-8.5144039999999997E-3</v>
      </c>
      <c r="T4867">
        <v>-0.21718979999999999</v>
      </c>
      <c r="U4867">
        <v>-3.002777</v>
      </c>
      <c r="V4867">
        <v>3.1919129999999997E-2</v>
      </c>
      <c r="W4867">
        <v>-0.1201333</v>
      </c>
      <c r="X4867">
        <v>0.99224449999999997</v>
      </c>
      <c r="Y4867">
        <v>9.3899300000000005E-2</v>
      </c>
      <c r="Z4867">
        <v>6.366405E-2</v>
      </c>
      <c r="AA4867">
        <v>0.99354399999999998</v>
      </c>
      <c r="AB4867">
        <v>24</v>
      </c>
      <c r="AC4867">
        <v>-6.7899999999980296E-2</v>
      </c>
      <c r="AD4867">
        <v>-1.121102459437</v>
      </c>
      <c r="AE4867">
        <v>-15.2549999999999</v>
      </c>
      <c r="AF4867">
        <v>1.4497013279859601</v>
      </c>
      <c r="AG4867">
        <v>-1.121102459437</v>
      </c>
      <c r="AH4867">
        <v>15.103790208350199</v>
      </c>
      <c r="AI4867">
        <v>94.225734410777903</v>
      </c>
      <c r="AJ4867">
        <v>84.517396370102205</v>
      </c>
      <c r="AK4867">
        <v>15.2145648417159</v>
      </c>
      <c r="AL4867">
        <v>96.899795800699096</v>
      </c>
      <c r="AM4867">
        <v>88.157509576333695</v>
      </c>
      <c r="AN4867">
        <v>0.99999999420454799</v>
      </c>
    </row>
    <row r="4868" spans="1:40" x14ac:dyDescent="0.25">
      <c r="A4868" t="str">
        <f>"20190303154235318"</f>
        <v>20190303154235318</v>
      </c>
      <c r="B4868" t="str">
        <f>"1551598955314878"</f>
        <v>1551598955314878</v>
      </c>
      <c r="C4868" t="s">
        <v>40</v>
      </c>
      <c r="D4868">
        <v>5.7300149999999999</v>
      </c>
      <c r="E4868">
        <v>0.52381179999999905</v>
      </c>
      <c r="F4868" t="s">
        <v>42</v>
      </c>
      <c r="G4868">
        <v>-192.3929</v>
      </c>
      <c r="H4868">
        <v>1.0522499999999999</v>
      </c>
      <c r="I4868">
        <v>179.83330000000001</v>
      </c>
      <c r="J4868">
        <v>-192.36609999999999</v>
      </c>
      <c r="K4868">
        <v>1.1210290000000001</v>
      </c>
      <c r="L4868">
        <v>180.54179999999999</v>
      </c>
      <c r="M4868">
        <v>9.2661229999999997E-2</v>
      </c>
      <c r="N4868">
        <v>-7.7318830000000002E-3</v>
      </c>
      <c r="O4868">
        <v>-0.99566779999999999</v>
      </c>
      <c r="P4868">
        <v>5.8830439999999998E-2</v>
      </c>
      <c r="Q4868">
        <v>-0.12700739999999999</v>
      </c>
      <c r="R4868">
        <v>-0.99015600000000004</v>
      </c>
      <c r="S4868">
        <v>-9.7351069999999998E-3</v>
      </c>
      <c r="T4868">
        <v>-0.21802750000000001</v>
      </c>
      <c r="U4868">
        <v>-3.0026250000000001</v>
      </c>
      <c r="V4868">
        <v>3.3468640000000001E-2</v>
      </c>
      <c r="W4868">
        <v>-0.119256399999999</v>
      </c>
      <c r="X4868">
        <v>0.9922993</v>
      </c>
      <c r="Y4868">
        <v>9.5854690000000006E-2</v>
      </c>
      <c r="Z4868">
        <v>6.4072809999999994E-2</v>
      </c>
      <c r="AA4868">
        <v>0.99333099999999996</v>
      </c>
      <c r="AB4868">
        <v>25</v>
      </c>
      <c r="AC4868">
        <v>-2.6800000000008602E-2</v>
      </c>
      <c r="AD4868">
        <v>-6.8779000000000104E-2</v>
      </c>
      <c r="AE4868">
        <v>-0.70849999999998603</v>
      </c>
      <c r="AF4868">
        <v>9.1476292508771498E-2</v>
      </c>
      <c r="AG4868">
        <v>-6.8779000000000104E-2</v>
      </c>
      <c r="AH4868">
        <v>0.69641465382698398</v>
      </c>
      <c r="AI4868">
        <v>95.592598303010803</v>
      </c>
      <c r="AJ4868">
        <v>82.516857045268196</v>
      </c>
      <c r="AK4868">
        <v>0.70575621357314899</v>
      </c>
      <c r="AL4868">
        <v>96.849188785623497</v>
      </c>
      <c r="AM4868">
        <v>88.068238933958995</v>
      </c>
      <c r="AN4868">
        <v>1.00000006979244</v>
      </c>
    </row>
    <row r="4869" spans="1:40" x14ac:dyDescent="0.25">
      <c r="A4869" t="str">
        <f>"20190303154235341"</f>
        <v>20190303154235341</v>
      </c>
      <c r="B4869" t="str">
        <f>"1551598955334398"</f>
        <v>1551598955334398</v>
      </c>
      <c r="C4869" t="s">
        <v>40</v>
      </c>
      <c r="D4869">
        <v>5.7078239999999996</v>
      </c>
      <c r="E4869">
        <v>0.52378619999999998</v>
      </c>
      <c r="F4869" t="s">
        <v>42</v>
      </c>
      <c r="G4869">
        <v>-192.3691</v>
      </c>
      <c r="H4869">
        <v>1.0537369999999999</v>
      </c>
      <c r="I4869">
        <v>179.61240000000001</v>
      </c>
      <c r="J4869">
        <v>-192.3415</v>
      </c>
      <c r="K4869">
        <v>1.120962</v>
      </c>
      <c r="L4869">
        <v>180.2954</v>
      </c>
      <c r="M4869">
        <v>9.415374E-2</v>
      </c>
      <c r="N4869">
        <v>-7.5933629999999997E-3</v>
      </c>
      <c r="O4869">
        <v>-0.99552909999999994</v>
      </c>
      <c r="P4869">
        <v>5.8387010000000003E-2</v>
      </c>
      <c r="Q4869">
        <v>-0.12570049999999999</v>
      </c>
      <c r="R4869">
        <v>-0.99034909999999998</v>
      </c>
      <c r="S4869">
        <v>-9.3078610000000006E-3</v>
      </c>
      <c r="T4869">
        <v>-0.217505</v>
      </c>
      <c r="U4869">
        <v>-3.0024869999999999</v>
      </c>
      <c r="V4869">
        <v>3.5392760000000002E-2</v>
      </c>
      <c r="W4869">
        <v>-0.1180871</v>
      </c>
      <c r="X4869">
        <v>0.99237229999999998</v>
      </c>
      <c r="Y4869">
        <v>9.7205689999999997E-2</v>
      </c>
      <c r="Z4869">
        <v>6.402323E-2</v>
      </c>
      <c r="AA4869">
        <v>0.9932029</v>
      </c>
      <c r="AB4869">
        <v>25</v>
      </c>
      <c r="AC4869">
        <v>-2.7600000000006699E-2</v>
      </c>
      <c r="AD4869">
        <v>-6.7224999999999799E-2</v>
      </c>
      <c r="AE4869">
        <v>-0.68299999999999195</v>
      </c>
      <c r="AF4869">
        <v>9.0906975427988104E-2</v>
      </c>
      <c r="AG4869">
        <v>-6.7224999999999799E-2</v>
      </c>
      <c r="AH4869">
        <v>0.67087833284785003</v>
      </c>
      <c r="AI4869">
        <v>95.670709495114906</v>
      </c>
      <c r="AJ4869">
        <v>82.2831706206467</v>
      </c>
      <c r="AK4869">
        <v>0.68033889811708903</v>
      </c>
      <c r="AL4869">
        <v>96.781716539144497</v>
      </c>
      <c r="AM4869">
        <v>87.957423204033006</v>
      </c>
      <c r="AN4869">
        <v>0.99999999622705804</v>
      </c>
    </row>
    <row r="4870" spans="1:40" x14ac:dyDescent="0.25">
      <c r="A4870" t="str">
        <f>"20190303154235363"</f>
        <v>20190303154235363</v>
      </c>
      <c r="B4870" t="str">
        <f>"1551598955354894"</f>
        <v>1551598955354894</v>
      </c>
      <c r="C4870" t="s">
        <v>40</v>
      </c>
      <c r="D4870">
        <v>5.6710370000000001</v>
      </c>
      <c r="E4870">
        <v>0.52372839999999998</v>
      </c>
      <c r="F4870" t="s">
        <v>42</v>
      </c>
      <c r="G4870">
        <v>-192.34469999999999</v>
      </c>
      <c r="H4870">
        <v>1.0560989999999999</v>
      </c>
      <c r="I4870">
        <v>179.39</v>
      </c>
      <c r="J4870">
        <v>-192.3167</v>
      </c>
      <c r="K4870">
        <v>1.1208940000000001</v>
      </c>
      <c r="L4870">
        <v>180.0498</v>
      </c>
      <c r="M4870">
        <v>9.5526929999999996E-2</v>
      </c>
      <c r="N4870">
        <v>-7.4727930000000001E-3</v>
      </c>
      <c r="O4870">
        <v>-0.99539889999999998</v>
      </c>
      <c r="P4870">
        <v>5.7319879999999997E-2</v>
      </c>
      <c r="Q4870">
        <v>-0.12526389999999901</v>
      </c>
      <c r="R4870">
        <v>-0.99046670000000003</v>
      </c>
      <c r="S4870">
        <v>-1.068115E-2</v>
      </c>
      <c r="T4870">
        <v>-0.2150937</v>
      </c>
      <c r="U4870">
        <v>-3.0025789999999999</v>
      </c>
      <c r="V4870">
        <v>3.781433E-2</v>
      </c>
      <c r="W4870">
        <v>-0.11777079999999999</v>
      </c>
      <c r="X4870">
        <v>0.9923206</v>
      </c>
      <c r="Y4870">
        <v>9.903294E-2</v>
      </c>
      <c r="Z4870">
        <v>6.3330650000000002E-2</v>
      </c>
      <c r="AA4870">
        <v>0.99306680000000003</v>
      </c>
      <c r="AB4870">
        <v>25</v>
      </c>
      <c r="AC4870">
        <v>-2.79999999999915E-2</v>
      </c>
      <c r="AD4870">
        <v>-6.4795000000000103E-2</v>
      </c>
      <c r="AE4870">
        <v>-0.65980000000001804</v>
      </c>
      <c r="AF4870">
        <v>9.0035621416376305E-2</v>
      </c>
      <c r="AG4870">
        <v>-6.4795000000000103E-2</v>
      </c>
      <c r="AH4870">
        <v>0.64787078562868405</v>
      </c>
      <c r="AI4870">
        <v>95.657275976139204</v>
      </c>
      <c r="AJ4870">
        <v>82.088189621553198</v>
      </c>
      <c r="AK4870">
        <v>0.65729853188635801</v>
      </c>
      <c r="AL4870">
        <v>96.763466313126401</v>
      </c>
      <c r="AM4870">
        <v>87.817687459163693</v>
      </c>
      <c r="AN4870">
        <v>1.00000002903517</v>
      </c>
    </row>
    <row r="4871" spans="1:40" x14ac:dyDescent="0.25">
      <c r="A4871" t="str">
        <f>"20190303154235385"</f>
        <v>20190303154235385</v>
      </c>
      <c r="B4871" t="str">
        <f>"1551598955374418"</f>
        <v>1551598955374418</v>
      </c>
      <c r="C4871" t="s">
        <v>40</v>
      </c>
      <c r="D4871">
        <v>5.6854239999999896</v>
      </c>
      <c r="E4871">
        <v>0.52366610000000002</v>
      </c>
      <c r="F4871" t="s">
        <v>42</v>
      </c>
      <c r="G4871">
        <v>-192.32089999999999</v>
      </c>
      <c r="H4871">
        <v>1.0573709999999901</v>
      </c>
      <c r="I4871">
        <v>179.16309999999999</v>
      </c>
      <c r="J4871">
        <v>-192.2921</v>
      </c>
      <c r="K4871">
        <v>1.1208149999999999</v>
      </c>
      <c r="L4871">
        <v>179.8083</v>
      </c>
      <c r="M4871">
        <v>9.6746730000000003E-2</v>
      </c>
      <c r="N4871">
        <v>-7.3692999999999996E-3</v>
      </c>
      <c r="O4871">
        <v>-0.99528190000000005</v>
      </c>
      <c r="P4871">
        <v>5.6115650000000003E-2</v>
      </c>
      <c r="Q4871">
        <v>-0.125136</v>
      </c>
      <c r="R4871">
        <v>-0.99055170000000003</v>
      </c>
      <c r="S4871">
        <v>-1.351929E-2</v>
      </c>
      <c r="T4871">
        <v>-0.2152424</v>
      </c>
      <c r="U4871">
        <v>-3.0024410000000001</v>
      </c>
      <c r="V4871">
        <v>4.021512E-2</v>
      </c>
      <c r="W4871">
        <v>-0.11774809999999999</v>
      </c>
      <c r="X4871">
        <v>0.99222889999999997</v>
      </c>
      <c r="Y4871">
        <v>0.10119069999999999</v>
      </c>
      <c r="Z4871">
        <v>6.3464980000000004E-2</v>
      </c>
      <c r="AA4871">
        <v>0.99284070000000002</v>
      </c>
      <c r="AB4871">
        <v>25</v>
      </c>
      <c r="AC4871">
        <v>-2.8799999999989698E-2</v>
      </c>
      <c r="AD4871">
        <v>-6.3444E-2</v>
      </c>
      <c r="AE4871">
        <v>-0.64520000000001598</v>
      </c>
      <c r="AF4871">
        <v>9.0216973728183297E-2</v>
      </c>
      <c r="AG4871">
        <v>-6.3444E-2</v>
      </c>
      <c r="AH4871">
        <v>0.63327572346480998</v>
      </c>
      <c r="AI4871">
        <v>95.664210855374705</v>
      </c>
      <c r="AJ4871">
        <v>81.892152808288799</v>
      </c>
      <c r="AK4871">
        <v>0.64280820266588901</v>
      </c>
      <c r="AL4871">
        <v>96.762156576387298</v>
      </c>
      <c r="AM4871">
        <v>87.679067581302107</v>
      </c>
      <c r="AN4871">
        <v>1.0000000304627099</v>
      </c>
    </row>
    <row r="4872" spans="1:40" x14ac:dyDescent="0.25">
      <c r="A4872" t="str">
        <f>"20190303154235406"</f>
        <v>20190303154235406</v>
      </c>
      <c r="B4872" t="str">
        <f>"1551598955404671"</f>
        <v>1551598955404671</v>
      </c>
      <c r="C4872" t="s">
        <v>40</v>
      </c>
      <c r="D4872">
        <v>5.5852620000000002</v>
      </c>
      <c r="E4872">
        <v>0.52355479999999999</v>
      </c>
      <c r="F4872" t="s">
        <v>41</v>
      </c>
      <c r="G4872">
        <v>-192.37870000000001</v>
      </c>
      <c r="H4872" s="1">
        <v>-2.8289480000000002E-6</v>
      </c>
      <c r="I4872">
        <v>164.2373</v>
      </c>
      <c r="J4872">
        <v>-192.26689999999999</v>
      </c>
      <c r="K4872">
        <v>1.1207240000000001</v>
      </c>
      <c r="L4872">
        <v>179.56229999999999</v>
      </c>
      <c r="M4872">
        <v>9.7834669999999999E-2</v>
      </c>
      <c r="N4872">
        <v>-7.2776239999999999E-3</v>
      </c>
      <c r="O4872">
        <v>-0.99517610000000001</v>
      </c>
      <c r="P4872">
        <v>5.5985890000000003E-2</v>
      </c>
      <c r="Q4872">
        <v>-0.123473</v>
      </c>
      <c r="R4872">
        <v>-0.99076750000000002</v>
      </c>
      <c r="S4872">
        <v>-1.6693119999999999E-2</v>
      </c>
      <c r="T4872">
        <v>-0.21610370000000001</v>
      </c>
      <c r="U4872">
        <v>-3.002243</v>
      </c>
      <c r="V4872">
        <v>4.1420270000000002E-2</v>
      </c>
      <c r="W4872">
        <v>-0.1161816</v>
      </c>
      <c r="X4872">
        <v>0.99236389999999997</v>
      </c>
      <c r="Y4872">
        <v>0.1033273</v>
      </c>
      <c r="Z4872">
        <v>6.3823309999999994E-2</v>
      </c>
      <c r="AA4872">
        <v>0.99259759999999997</v>
      </c>
      <c r="AB4872">
        <v>25</v>
      </c>
      <c r="AC4872">
        <v>-0.111800000000016</v>
      </c>
      <c r="AD4872">
        <v>-1.1207268289479999</v>
      </c>
      <c r="AE4872">
        <v>-15.3249999999999</v>
      </c>
      <c r="AF4872">
        <v>1.6020521526506999</v>
      </c>
      <c r="AG4872">
        <v>-1.1207268289479999</v>
      </c>
      <c r="AH4872">
        <v>15.1594691247168</v>
      </c>
      <c r="AI4872">
        <v>94.204806793726306</v>
      </c>
      <c r="AJ4872">
        <v>83.967375545315704</v>
      </c>
      <c r="AK4872">
        <v>15.285028749341</v>
      </c>
      <c r="AL4872">
        <v>96.671782903352593</v>
      </c>
      <c r="AM4872">
        <v>87.609919163207806</v>
      </c>
      <c r="AN4872">
        <v>0.99999995648432005</v>
      </c>
    </row>
    <row r="4873" spans="1:40" x14ac:dyDescent="0.25">
      <c r="A4873" t="str">
        <f>"20190303154235429"</f>
        <v>20190303154235429</v>
      </c>
      <c r="B4873" t="str">
        <f>"1551598955425167"</f>
        <v>1551598955425167</v>
      </c>
      <c r="C4873" t="s">
        <v>40</v>
      </c>
      <c r="D4873">
        <v>5.6189929999999997</v>
      </c>
      <c r="E4873">
        <v>0.52349179999999995</v>
      </c>
      <c r="F4873" t="s">
        <v>41</v>
      </c>
      <c r="G4873">
        <v>-192.35290000000001</v>
      </c>
      <c r="H4873" s="1">
        <v>-2.6151339999999998E-6</v>
      </c>
      <c r="I4873">
        <v>163.79949999999999</v>
      </c>
      <c r="J4873">
        <v>-192.24209999999999</v>
      </c>
      <c r="K4873">
        <v>1.120614</v>
      </c>
      <c r="L4873">
        <v>179.32060000000001</v>
      </c>
      <c r="M4873">
        <v>9.8732979999999998E-2</v>
      </c>
      <c r="N4873">
        <v>-7.1998849999999996E-3</v>
      </c>
      <c r="O4873">
        <v>-0.99508790000000003</v>
      </c>
      <c r="P4873">
        <v>5.599092E-2</v>
      </c>
      <c r="Q4873">
        <v>-0.1212737</v>
      </c>
      <c r="R4873">
        <v>-0.99103869999999905</v>
      </c>
      <c r="S4873">
        <v>-1.6372680000000001E-2</v>
      </c>
      <c r="T4873">
        <v>-0.21345929999999999</v>
      </c>
      <c r="U4873">
        <v>-3.0022579999999999</v>
      </c>
      <c r="V4873">
        <v>4.2303010000000002E-2</v>
      </c>
      <c r="W4873">
        <v>-0.1140675</v>
      </c>
      <c r="X4873">
        <v>0.99257189999999995</v>
      </c>
      <c r="Y4873">
        <v>0.1041198</v>
      </c>
      <c r="Z4873">
        <v>6.3022320000000007E-2</v>
      </c>
      <c r="AA4873">
        <v>0.99256599999999995</v>
      </c>
      <c r="AB4873">
        <v>25</v>
      </c>
      <c r="AC4873">
        <v>-0.110800000000011</v>
      </c>
      <c r="AD4873">
        <v>-1.120616615134</v>
      </c>
      <c r="AE4873">
        <v>-15.521100000000001</v>
      </c>
      <c r="AF4873">
        <v>1.63422438753833</v>
      </c>
      <c r="AG4873">
        <v>-1.120616615134</v>
      </c>
      <c r="AH4873">
        <v>15.354285103363299</v>
      </c>
      <c r="AI4873">
        <v>94.150909565387806</v>
      </c>
      <c r="AJ4873">
        <v>83.924629378400198</v>
      </c>
      <c r="AK4873">
        <v>15.4816194883579</v>
      </c>
      <c r="AL4873">
        <v>96.549843087312993</v>
      </c>
      <c r="AM4873">
        <v>87.559554137398493</v>
      </c>
      <c r="AN4873">
        <v>0.99999995794045904</v>
      </c>
    </row>
    <row r="4874" spans="1:40" x14ac:dyDescent="0.25">
      <c r="A4874" t="str">
        <f>"20190303154235452"</f>
        <v>20190303154235452</v>
      </c>
      <c r="B4874" t="str">
        <f>"1551598955444690"</f>
        <v>1551598955444690</v>
      </c>
      <c r="C4874" t="s">
        <v>40</v>
      </c>
      <c r="D4874">
        <v>5.5621400000000003</v>
      </c>
      <c r="E4874">
        <v>0.52343189999999995</v>
      </c>
      <c r="F4874" t="s">
        <v>41</v>
      </c>
      <c r="G4874">
        <v>-192.32589999999999</v>
      </c>
      <c r="H4874" s="1">
        <v>-2.3126819999999998E-6</v>
      </c>
      <c r="I4874">
        <v>163.17490000000001</v>
      </c>
      <c r="J4874">
        <v>-192.215</v>
      </c>
      <c r="K4874">
        <v>1.1204799999999999</v>
      </c>
      <c r="L4874">
        <v>179.05770000000001</v>
      </c>
      <c r="M4874">
        <v>9.9501800000000001E-2</v>
      </c>
      <c r="N4874">
        <v>-7.127431E-3</v>
      </c>
      <c r="O4874">
        <v>-0.99501209999999995</v>
      </c>
      <c r="P4874">
        <v>5.6193659999999999E-2</v>
      </c>
      <c r="Q4874">
        <v>-0.1198268</v>
      </c>
      <c r="R4874">
        <v>-0.99120359999999996</v>
      </c>
      <c r="S4874">
        <v>-1.5594480000000001E-2</v>
      </c>
      <c r="T4874">
        <v>-0.20839289999999999</v>
      </c>
      <c r="U4874">
        <v>-3.0025179999999998</v>
      </c>
      <c r="V4874">
        <v>4.2842970000000001E-2</v>
      </c>
      <c r="W4874">
        <v>-0.112705399999999</v>
      </c>
      <c r="X4874">
        <v>0.99270440000000004</v>
      </c>
      <c r="Y4874">
        <v>0.1046318</v>
      </c>
      <c r="Z4874">
        <v>6.1419979999999999E-2</v>
      </c>
      <c r="AA4874">
        <v>0.99261259999999996</v>
      </c>
      <c r="AB4874">
        <v>25</v>
      </c>
      <c r="AC4874">
        <v>-0.110899999999986</v>
      </c>
      <c r="AD4874">
        <v>-1.1204823126819901</v>
      </c>
      <c r="AE4874">
        <v>-15.8828</v>
      </c>
      <c r="AF4874">
        <v>1.6823839746554301</v>
      </c>
      <c r="AG4874">
        <v>-1.1204823126819901</v>
      </c>
      <c r="AH4874">
        <v>15.7147344278379</v>
      </c>
      <c r="AI4874">
        <v>94.055271122289</v>
      </c>
      <c r="AJ4874">
        <v>83.889317901622803</v>
      </c>
      <c r="AK4874">
        <v>15.844203185666499</v>
      </c>
      <c r="AL4874">
        <v>96.471293484098396</v>
      </c>
      <c r="AM4874">
        <v>87.528771897928095</v>
      </c>
      <c r="AN4874">
        <v>1.0000000265234701</v>
      </c>
    </row>
    <row r="4875" spans="1:40" x14ac:dyDescent="0.25">
      <c r="A4875" t="str">
        <f>"20190303154235473"</f>
        <v>20190303154235473</v>
      </c>
      <c r="B4875" t="str">
        <f>"1551598955464206"</f>
        <v>1551598955464206</v>
      </c>
      <c r="C4875" t="s">
        <v>40</v>
      </c>
      <c r="D4875">
        <v>5.5952229999999998</v>
      </c>
      <c r="E4875">
        <v>0.52338229999999997</v>
      </c>
      <c r="F4875" t="s">
        <v>41</v>
      </c>
      <c r="G4875">
        <v>-192.29300000000001</v>
      </c>
      <c r="H4875" s="1">
        <v>-2.070244E-6</v>
      </c>
      <c r="I4875">
        <v>162.68049999999999</v>
      </c>
      <c r="J4875">
        <v>-192.18969999999999</v>
      </c>
      <c r="K4875">
        <v>1.1203320000000001</v>
      </c>
      <c r="L4875">
        <v>178.81190000000001</v>
      </c>
      <c r="M4875">
        <v>9.9998219999999999E-2</v>
      </c>
      <c r="N4875">
        <v>-7.0702769999999998E-3</v>
      </c>
      <c r="O4875">
        <v>-0.99496260000000003</v>
      </c>
      <c r="P4875">
        <v>5.6422739999999999E-2</v>
      </c>
      <c r="Q4875">
        <v>-0.1194751</v>
      </c>
      <c r="R4875">
        <v>-0.99123280000000002</v>
      </c>
      <c r="S4875">
        <v>-1.429749E-2</v>
      </c>
      <c r="T4875">
        <v>-0.20542869999999999</v>
      </c>
      <c r="U4875">
        <v>-3.0025789999999999</v>
      </c>
      <c r="V4875">
        <v>4.3071379999999999E-2</v>
      </c>
      <c r="W4875">
        <v>-0.1124256</v>
      </c>
      <c r="X4875">
        <v>0.9927262</v>
      </c>
      <c r="Y4875">
        <v>0.1047</v>
      </c>
      <c r="Z4875">
        <v>6.0499860000000003E-2</v>
      </c>
      <c r="AA4875">
        <v>0.99266189999999999</v>
      </c>
      <c r="AB4875">
        <v>25</v>
      </c>
      <c r="AC4875">
        <v>-0.103300000000018</v>
      </c>
      <c r="AD4875">
        <v>-1.1203340702439999</v>
      </c>
      <c r="AE4875">
        <v>-16.131399999999999</v>
      </c>
      <c r="AF4875">
        <v>1.7076971087042201</v>
      </c>
      <c r="AG4875">
        <v>-1.1203340702439999</v>
      </c>
      <c r="AH4875">
        <v>15.963215712701</v>
      </c>
      <c r="AI4875">
        <v>93.991860538960395</v>
      </c>
      <c r="AJ4875">
        <v>83.893891017749695</v>
      </c>
      <c r="AK4875">
        <v>16.093341285583001</v>
      </c>
      <c r="AL4875">
        <v>96.455159860599196</v>
      </c>
      <c r="AM4875">
        <v>87.5156679181935</v>
      </c>
      <c r="AN4875">
        <v>0.999999983738452</v>
      </c>
    </row>
    <row r="4876" spans="1:40" x14ac:dyDescent="0.25">
      <c r="A4876" t="str">
        <f>"20190303154235496"</f>
        <v>20190303154235496</v>
      </c>
      <c r="B4876" t="str">
        <f>"1551598955484702"</f>
        <v>1551598955484702</v>
      </c>
      <c r="C4876" t="s">
        <v>40</v>
      </c>
      <c r="D4876">
        <v>5.5690710000000001</v>
      </c>
      <c r="E4876">
        <v>0.52331909999999904</v>
      </c>
      <c r="F4876" t="s">
        <v>41</v>
      </c>
      <c r="G4876">
        <v>-192.26240000000001</v>
      </c>
      <c r="H4876" s="1">
        <v>-1.967285E-6</v>
      </c>
      <c r="I4876">
        <v>162.47989999999999</v>
      </c>
      <c r="J4876">
        <v>-192.16409999999999</v>
      </c>
      <c r="K4876">
        <v>1.1201749999999999</v>
      </c>
      <c r="L4876">
        <v>178.56110000000001</v>
      </c>
      <c r="M4876">
        <v>0.1002835</v>
      </c>
      <c r="N4876">
        <v>-7.0210139999999999E-3</v>
      </c>
      <c r="O4876">
        <v>-0.99493419999999999</v>
      </c>
      <c r="P4876">
        <v>5.6274970000000001E-2</v>
      </c>
      <c r="Q4876">
        <v>-0.1191499</v>
      </c>
      <c r="R4876">
        <v>-0.9912801</v>
      </c>
      <c r="S4876">
        <v>-1.3351439999999999E-2</v>
      </c>
      <c r="T4876">
        <v>-0.20596229999999999</v>
      </c>
      <c r="U4876">
        <v>-3.002472</v>
      </c>
      <c r="V4876">
        <v>4.3463950000000001E-2</v>
      </c>
      <c r="W4876">
        <v>-0.11216569999999999</v>
      </c>
      <c r="X4876">
        <v>0.99273849999999997</v>
      </c>
      <c r="Y4876">
        <v>0.1046726</v>
      </c>
      <c r="Z4876">
        <v>6.0723489999999998E-2</v>
      </c>
      <c r="AA4876">
        <v>0.99265119999999896</v>
      </c>
      <c r="AB4876">
        <v>25</v>
      </c>
      <c r="AC4876">
        <v>-9.8300000000023105E-2</v>
      </c>
      <c r="AD4876">
        <v>-1.1201769672849999</v>
      </c>
      <c r="AE4876">
        <v>-16.081199999999999</v>
      </c>
      <c r="AF4876">
        <v>1.7022637236745499</v>
      </c>
      <c r="AG4876">
        <v>-1.1201769672849999</v>
      </c>
      <c r="AH4876">
        <v>15.9130609566581</v>
      </c>
      <c r="AI4876">
        <v>94.003843308639006</v>
      </c>
      <c r="AJ4876">
        <v>83.894133010736198</v>
      </c>
      <c r="AK4876">
        <v>16.043004931536</v>
      </c>
      <c r="AL4876">
        <v>96.440173830333606</v>
      </c>
      <c r="AM4876">
        <v>87.493084489203198</v>
      </c>
      <c r="AN4876">
        <v>0.99999999429417097</v>
      </c>
    </row>
    <row r="4877" spans="1:40" x14ac:dyDescent="0.25">
      <c r="A4877" t="str">
        <f>"20190303154235519"</f>
        <v>20190303154235519</v>
      </c>
      <c r="B4877" t="str">
        <f>"1551598955514958"</f>
        <v>1551598955514958</v>
      </c>
      <c r="C4877" t="s">
        <v>40</v>
      </c>
      <c r="D4877">
        <v>5.6125150000000001</v>
      </c>
      <c r="E4877">
        <v>0.52324850000000001</v>
      </c>
      <c r="F4877" t="s">
        <v>42</v>
      </c>
      <c r="G4877">
        <v>-192.1686</v>
      </c>
      <c r="H4877">
        <v>1.0537030000000001</v>
      </c>
      <c r="I4877">
        <v>177.5951</v>
      </c>
      <c r="J4877">
        <v>-192.1371</v>
      </c>
      <c r="K4877">
        <v>1.1200129999999999</v>
      </c>
      <c r="L4877">
        <v>178.2946</v>
      </c>
      <c r="M4877">
        <v>0.1003151</v>
      </c>
      <c r="N4877">
        <v>-6.9780129999999999E-3</v>
      </c>
      <c r="O4877">
        <v>-0.99493120000000002</v>
      </c>
      <c r="P4877">
        <v>5.7316789999999999E-2</v>
      </c>
      <c r="Q4877">
        <v>-0.117086999999999</v>
      </c>
      <c r="R4877">
        <v>-0.99146630000000002</v>
      </c>
      <c r="S4877">
        <v>-1.351929E-2</v>
      </c>
      <c r="T4877">
        <v>-0.20665810000000001</v>
      </c>
      <c r="U4877">
        <v>-3.0023040000000001</v>
      </c>
      <c r="V4877">
        <v>4.2431940000000001E-2</v>
      </c>
      <c r="W4877">
        <v>-0.1101612</v>
      </c>
      <c r="X4877">
        <v>0.99300759999999999</v>
      </c>
      <c r="Y4877">
        <v>0.1047599</v>
      </c>
      <c r="Z4877">
        <v>6.0997389999999999E-2</v>
      </c>
      <c r="AA4877">
        <v>0.99262510000000004</v>
      </c>
      <c r="AB4877">
        <v>25</v>
      </c>
      <c r="AC4877">
        <v>-3.1499999999993998E-2</v>
      </c>
      <c r="AD4877">
        <v>-6.63099999999998E-2</v>
      </c>
      <c r="AE4877">
        <v>-0.69950000000000001</v>
      </c>
      <c r="AF4877">
        <v>0.100610927820121</v>
      </c>
      <c r="AG4877">
        <v>-6.63099999999998E-2</v>
      </c>
      <c r="AH4877">
        <v>0.686653340054869</v>
      </c>
      <c r="AI4877">
        <v>95.458018816412604</v>
      </c>
      <c r="AJ4877">
        <v>81.664132388040201</v>
      </c>
      <c r="AK4877">
        <v>0.69714588452154902</v>
      </c>
      <c r="AL4877">
        <v>96.324607954155496</v>
      </c>
      <c r="AM4877">
        <v>87.553197988253402</v>
      </c>
      <c r="AN4877">
        <v>1.0000000265876801</v>
      </c>
    </row>
    <row r="4878" spans="1:40" x14ac:dyDescent="0.25">
      <c r="A4878" t="str">
        <f>"20190303154235541"</f>
        <v>20190303154235541</v>
      </c>
      <c r="B4878" t="str">
        <f>"1551598955534478"</f>
        <v>1551598955534478</v>
      </c>
      <c r="C4878" t="s">
        <v>40</v>
      </c>
      <c r="D4878">
        <v>5.5976929999999996</v>
      </c>
      <c r="E4878">
        <v>0.52320679999999997</v>
      </c>
      <c r="F4878" t="s">
        <v>41</v>
      </c>
      <c r="G4878">
        <v>-192.19059999999999</v>
      </c>
      <c r="H4878" s="1">
        <v>-1.569869E-6</v>
      </c>
      <c r="I4878">
        <v>161.67959999999999</v>
      </c>
      <c r="J4878">
        <v>-192.11179999999999</v>
      </c>
      <c r="K4878">
        <v>1.119866</v>
      </c>
      <c r="L4878">
        <v>178.04339999999999</v>
      </c>
      <c r="M4878">
        <v>0.1001505</v>
      </c>
      <c r="N4878">
        <v>-6.9439310000000004E-3</v>
      </c>
      <c r="O4878">
        <v>-0.99494800000000005</v>
      </c>
      <c r="P4878">
        <v>5.8774239999999998E-2</v>
      </c>
      <c r="Q4878">
        <v>-0.11634750000000001</v>
      </c>
      <c r="R4878">
        <v>-0.99146820000000002</v>
      </c>
      <c r="S4878">
        <v>-9.6740720000000006E-3</v>
      </c>
      <c r="T4878">
        <v>-0.20239560000000001</v>
      </c>
      <c r="U4878">
        <v>-3.002472</v>
      </c>
      <c r="V4878">
        <v>4.0780909999999997E-2</v>
      </c>
      <c r="W4878">
        <v>-0.1094683</v>
      </c>
      <c r="X4878">
        <v>0.99315339999999996</v>
      </c>
      <c r="Y4878">
        <v>0.1033251</v>
      </c>
      <c r="Z4878">
        <v>5.9638999999999998E-2</v>
      </c>
      <c r="AA4878">
        <v>0.99285809999999997</v>
      </c>
      <c r="AB4878">
        <v>26</v>
      </c>
      <c r="AC4878">
        <v>-7.8800000000000994E-2</v>
      </c>
      <c r="AD4878">
        <v>-1.1198675698689999</v>
      </c>
      <c r="AE4878">
        <v>-16.363799999999902</v>
      </c>
      <c r="AF4878">
        <v>1.70928104368822</v>
      </c>
      <c r="AG4878">
        <v>-1.1198675698689999</v>
      </c>
      <c r="AH4878">
        <v>16.197772137095399</v>
      </c>
      <c r="AI4878">
        <v>93.933202896355994</v>
      </c>
      <c r="AJ4878">
        <v>83.976117442799904</v>
      </c>
      <c r="AK4878">
        <v>16.326162049472</v>
      </c>
      <c r="AL4878">
        <v>96.284666099129097</v>
      </c>
      <c r="AM4878">
        <v>87.648639043363303</v>
      </c>
      <c r="AN4878">
        <v>1.00000003362843</v>
      </c>
    </row>
    <row r="4879" spans="1:40" x14ac:dyDescent="0.25">
      <c r="A4879" t="str">
        <f>"20190303154235563"</f>
        <v>20190303154235563</v>
      </c>
      <c r="B4879" t="str">
        <f>"1551598955554978"</f>
        <v>1551598955554978</v>
      </c>
      <c r="C4879" t="s">
        <v>40</v>
      </c>
      <c r="D4879">
        <v>5.6024450000000003</v>
      </c>
      <c r="E4879">
        <v>0.52315840000000002</v>
      </c>
      <c r="F4879" t="s">
        <v>41</v>
      </c>
      <c r="G4879">
        <v>-192.13890000000001</v>
      </c>
      <c r="H4879" s="1">
        <v>-1.397564E-6</v>
      </c>
      <c r="I4879">
        <v>161.3442</v>
      </c>
      <c r="J4879">
        <v>-192.0865</v>
      </c>
      <c r="K4879">
        <v>1.1197239999999999</v>
      </c>
      <c r="L4879">
        <v>177.78890000000001</v>
      </c>
      <c r="M4879">
        <v>9.9782220000000005E-2</v>
      </c>
      <c r="N4879">
        <v>-6.915221E-3</v>
      </c>
      <c r="O4879">
        <v>-0.99498540000000002</v>
      </c>
      <c r="P4879">
        <v>5.9290509999999998E-2</v>
      </c>
      <c r="Q4879">
        <v>-0.1169849</v>
      </c>
      <c r="R4879">
        <v>-0.99136270000000004</v>
      </c>
      <c r="S4879">
        <v>-4.8675539999999996E-3</v>
      </c>
      <c r="T4879">
        <v>-0.20135</v>
      </c>
      <c r="U4879">
        <v>-3.002472</v>
      </c>
      <c r="V4879">
        <v>3.9853819999999998E-2</v>
      </c>
      <c r="W4879">
        <v>-0.1101468</v>
      </c>
      <c r="X4879">
        <v>0.993116</v>
      </c>
      <c r="Y4879">
        <v>0.1013681</v>
      </c>
      <c r="Z4879">
        <v>5.9336300000000002E-2</v>
      </c>
      <c r="AA4879">
        <v>0.99307789999999996</v>
      </c>
      <c r="AB4879">
        <v>26</v>
      </c>
      <c r="AC4879">
        <v>-5.2400000000005699E-2</v>
      </c>
      <c r="AD4879">
        <v>-1.119725397564</v>
      </c>
      <c r="AE4879">
        <v>-16.444700000000001</v>
      </c>
      <c r="AF4879">
        <v>1.68525291987773</v>
      </c>
      <c r="AG4879">
        <v>-1.119725397564</v>
      </c>
      <c r="AH4879">
        <v>16.281909836173298</v>
      </c>
      <c r="AI4879">
        <v>93.913260973408001</v>
      </c>
      <c r="AJ4879">
        <v>84.090664702753699</v>
      </c>
      <c r="AK4879">
        <v>16.407146317479601</v>
      </c>
      <c r="AL4879">
        <v>96.323777904297302</v>
      </c>
      <c r="AM4879">
        <v>87.701949127753906</v>
      </c>
      <c r="AN4879">
        <v>1.0000000169874099</v>
      </c>
    </row>
    <row r="4880" spans="1:40" x14ac:dyDescent="0.25">
      <c r="A4880" t="str">
        <f>"20190303154235577"</f>
        <v>20190303154235577</v>
      </c>
      <c r="B4880" t="str">
        <f>"1551598955574495"</f>
        <v>1551598955574495</v>
      </c>
      <c r="C4880" t="s">
        <v>40</v>
      </c>
      <c r="D4880">
        <v>5.574274</v>
      </c>
      <c r="E4880">
        <v>0.52311099999999999</v>
      </c>
      <c r="F4880" t="s">
        <v>41</v>
      </c>
      <c r="G4880">
        <v>-192.10210000000001</v>
      </c>
      <c r="H4880" s="1">
        <v>-1.4002449999999999E-6</v>
      </c>
      <c r="I4880">
        <v>161.3706</v>
      </c>
      <c r="J4880">
        <v>-192.0712</v>
      </c>
      <c r="K4880">
        <v>1.119634</v>
      </c>
      <c r="L4880">
        <v>177.63489999999999</v>
      </c>
      <c r="M4880">
        <v>9.947222E-2</v>
      </c>
      <c r="N4880">
        <v>-6.9001359999999899E-3</v>
      </c>
      <c r="O4880">
        <v>-0.99501660000000003</v>
      </c>
      <c r="P4880">
        <v>5.8791330000000003E-2</v>
      </c>
      <c r="Q4880">
        <v>-0.1170717</v>
      </c>
      <c r="R4880">
        <v>-0.99138219999999999</v>
      </c>
      <c r="S4880">
        <v>-2.8686520000000002E-3</v>
      </c>
      <c r="T4880">
        <v>-0.20474519999999999</v>
      </c>
      <c r="U4880">
        <v>-3.0021360000000001</v>
      </c>
      <c r="V4880">
        <v>4.0021569999999999E-2</v>
      </c>
      <c r="W4880">
        <v>-0.1102567</v>
      </c>
      <c r="X4880">
        <v>0.99309709999999995</v>
      </c>
      <c r="Y4880">
        <v>0.1003969</v>
      </c>
      <c r="Z4880">
        <v>6.0477950000000003E-2</v>
      </c>
      <c r="AA4880">
        <v>0.99310770000000004</v>
      </c>
      <c r="AB4880">
        <v>26</v>
      </c>
      <c r="AC4880">
        <v>-3.0900000000002498E-2</v>
      </c>
      <c r="AD4880">
        <v>-1.119635400245</v>
      </c>
      <c r="AE4880">
        <v>-16.264299999999899</v>
      </c>
      <c r="AF4880">
        <v>1.64085507582356</v>
      </c>
      <c r="AG4880">
        <v>-1.119635400245</v>
      </c>
      <c r="AH4880">
        <v>16.104240034013401</v>
      </c>
      <c r="AI4880">
        <v>93.9566279000625</v>
      </c>
      <c r="AJ4880">
        <v>84.182231113048502</v>
      </c>
      <c r="AK4880">
        <v>16.2262915012167</v>
      </c>
      <c r="AL4880">
        <v>96.330113037092104</v>
      </c>
      <c r="AM4880">
        <v>87.6922428920725</v>
      </c>
      <c r="AN4880">
        <v>1.00000005799428</v>
      </c>
    </row>
    <row r="4881" spans="1:40" x14ac:dyDescent="0.25">
      <c r="A4881" t="str">
        <f>"20190303154235591"</f>
        <v>20190303154235591</v>
      </c>
      <c r="B4881" t="str">
        <f>"1551598955584254"</f>
        <v>1551598955584254</v>
      </c>
      <c r="C4881" t="s">
        <v>40</v>
      </c>
      <c r="D4881">
        <v>5.6186290000000003</v>
      </c>
      <c r="E4881">
        <v>0.52308239999999995</v>
      </c>
      <c r="F4881" t="s">
        <v>42</v>
      </c>
      <c r="G4881">
        <v>-192.0727</v>
      </c>
      <c r="H4881">
        <v>1.0537209999999999</v>
      </c>
      <c r="I4881">
        <v>176.67789999999999</v>
      </c>
      <c r="J4881">
        <v>-192.05449999999999</v>
      </c>
      <c r="K4881">
        <v>1.1195389999999901</v>
      </c>
      <c r="L4881">
        <v>177.46420000000001</v>
      </c>
      <c r="M4881">
        <v>9.9008009999999994E-2</v>
      </c>
      <c r="N4881">
        <v>-6.88639E-3</v>
      </c>
      <c r="O4881">
        <v>-0.99506309999999998</v>
      </c>
      <c r="P4881">
        <v>5.8312669999999997E-2</v>
      </c>
      <c r="Q4881">
        <v>-0.1175576</v>
      </c>
      <c r="R4881">
        <v>-0.99135289999999998</v>
      </c>
      <c r="S4881">
        <v>-4.1961669999999998E-3</v>
      </c>
      <c r="T4881">
        <v>-0.20681869999999999</v>
      </c>
      <c r="U4881">
        <v>-3.0019230000000001</v>
      </c>
      <c r="V4881">
        <v>4.0005930000000002E-2</v>
      </c>
      <c r="W4881">
        <v>-0.1107659</v>
      </c>
      <c r="X4881">
        <v>0.99304099999999995</v>
      </c>
      <c r="Y4881">
        <v>0.10037169999999999</v>
      </c>
      <c r="Z4881">
        <v>6.118051E-2</v>
      </c>
      <c r="AA4881">
        <v>0.99306719999999904</v>
      </c>
      <c r="AB4881">
        <v>26</v>
      </c>
      <c r="AC4881">
        <v>-1.8200000000007301E-2</v>
      </c>
      <c r="AD4881">
        <v>-6.5817999999999904E-2</v>
      </c>
      <c r="AE4881">
        <v>-0.78630000000001099</v>
      </c>
      <c r="AF4881">
        <v>9.52950490032759E-2</v>
      </c>
      <c r="AG4881">
        <v>-6.5817999999999904E-2</v>
      </c>
      <c r="AH4881">
        <v>0.77520573613356203</v>
      </c>
      <c r="AI4881">
        <v>94.816910653551304</v>
      </c>
      <c r="AJ4881">
        <v>82.991863099404</v>
      </c>
      <c r="AK4881">
        <v>0.78380934468971197</v>
      </c>
      <c r="AL4881">
        <v>96.359468261483499</v>
      </c>
      <c r="AM4881">
        <v>87.693013583544399</v>
      </c>
      <c r="AN4881">
        <v>0.99999999335948697</v>
      </c>
    </row>
    <row r="4882" spans="1:40" x14ac:dyDescent="0.25">
      <c r="A4882" t="str">
        <f>"20190303154235608"</f>
        <v>20190303154235608</v>
      </c>
      <c r="B4882" t="str">
        <f>"1551598955604751"</f>
        <v>1551598955604751</v>
      </c>
      <c r="C4882" t="s">
        <v>40</v>
      </c>
      <c r="D4882">
        <v>5.6032460000000004</v>
      </c>
      <c r="E4882">
        <v>0.52305740000000001</v>
      </c>
      <c r="F4882" t="s">
        <v>41</v>
      </c>
      <c r="G4882">
        <v>-192.0857</v>
      </c>
      <c r="H4882" s="1">
        <v>-1.417057E-6</v>
      </c>
      <c r="I4882">
        <v>161.41540000000001</v>
      </c>
      <c r="J4882">
        <v>-192.0361</v>
      </c>
      <c r="K4882">
        <v>1.1194219999999999</v>
      </c>
      <c r="L4882">
        <v>177.2732</v>
      </c>
      <c r="M4882">
        <v>9.8377110000000004E-2</v>
      </c>
      <c r="N4882">
        <v>-6.8735940000000002E-3</v>
      </c>
      <c r="O4882">
        <v>-0.9951255</v>
      </c>
      <c r="P4882">
        <v>5.6881000000000001E-2</v>
      </c>
      <c r="Q4882">
        <v>-0.1176199</v>
      </c>
      <c r="R4882">
        <v>-0.99142830000000004</v>
      </c>
      <c r="S4882">
        <v>-5.8288569999999998E-3</v>
      </c>
      <c r="T4882">
        <v>-0.20939199999999999</v>
      </c>
      <c r="U4882">
        <v>-3.0016780000000001</v>
      </c>
      <c r="V4882">
        <v>4.077828E-2</v>
      </c>
      <c r="W4882">
        <v>-0.1108534</v>
      </c>
      <c r="X4882">
        <v>0.99299990000000005</v>
      </c>
      <c r="Y4882">
        <v>0.10028090000000001</v>
      </c>
      <c r="Z4882">
        <v>6.2048539999999999E-2</v>
      </c>
      <c r="AA4882">
        <v>0.99302250000000003</v>
      </c>
      <c r="AB4882">
        <v>26</v>
      </c>
      <c r="AC4882">
        <v>-4.9599999999998E-2</v>
      </c>
      <c r="AD4882">
        <v>-1.1194234170570001</v>
      </c>
      <c r="AE4882">
        <v>-15.8577999999999</v>
      </c>
      <c r="AF4882">
        <v>1.60146050927642</v>
      </c>
      <c r="AG4882">
        <v>-1.1194234170570001</v>
      </c>
      <c r="AH4882">
        <v>15.6977704476841</v>
      </c>
      <c r="AI4882">
        <v>94.057922179943901</v>
      </c>
      <c r="AJ4882">
        <v>84.174932405447507</v>
      </c>
      <c r="AK4882">
        <v>15.818905827446301</v>
      </c>
      <c r="AL4882">
        <v>96.364512199336005</v>
      </c>
      <c r="AM4882">
        <v>87.648427467812297</v>
      </c>
      <c r="AN4882">
        <v>1.00000007290566</v>
      </c>
    </row>
    <row r="4883" spans="1:40" x14ac:dyDescent="0.25">
      <c r="A4883" t="str">
        <f>"20190303154235623"</f>
        <v>20190303154235623</v>
      </c>
      <c r="B4883" t="str">
        <f>"1551598955614510"</f>
        <v>1551598955614510</v>
      </c>
      <c r="C4883" t="s">
        <v>40</v>
      </c>
      <c r="D4883">
        <v>5.6810169999999998</v>
      </c>
      <c r="E4883">
        <v>0.52312460000000005</v>
      </c>
      <c r="F4883" t="s">
        <v>41</v>
      </c>
      <c r="G4883">
        <v>-192.08940000000001</v>
      </c>
      <c r="H4883" s="1">
        <v>-1.383847E-6</v>
      </c>
      <c r="I4883">
        <v>161.34309999999999</v>
      </c>
      <c r="J4883">
        <v>-192.02080000000001</v>
      </c>
      <c r="K4883">
        <v>1.1193169999999999</v>
      </c>
      <c r="L4883">
        <v>177.11269999999999</v>
      </c>
      <c r="M4883">
        <v>9.7759079999999998E-2</v>
      </c>
      <c r="N4883">
        <v>-6.8647150000000004E-3</v>
      </c>
      <c r="O4883">
        <v>-0.99518660000000003</v>
      </c>
      <c r="P4883">
        <v>5.6172069999999998E-2</v>
      </c>
      <c r="Q4883">
        <v>-0.117260199999999</v>
      </c>
      <c r="R4883">
        <v>-0.99151180000000005</v>
      </c>
      <c r="S4883">
        <v>-1.004028E-2</v>
      </c>
      <c r="T4883">
        <v>-0.2109163</v>
      </c>
      <c r="U4883">
        <v>-3.0014799999999999</v>
      </c>
      <c r="V4883">
        <v>4.084902E-2</v>
      </c>
      <c r="W4883">
        <v>-0.1105124</v>
      </c>
      <c r="X4883">
        <v>0.993035</v>
      </c>
      <c r="Y4883">
        <v>0.1010559</v>
      </c>
      <c r="Z4883">
        <v>6.2564410000000001E-2</v>
      </c>
      <c r="AA4883">
        <v>0.99291160000000001</v>
      </c>
      <c r="AB4883">
        <v>26</v>
      </c>
      <c r="AC4883">
        <v>-6.8600000000003505E-2</v>
      </c>
      <c r="AD4883">
        <v>-1.119318383847</v>
      </c>
      <c r="AE4883">
        <v>-15.769599999999899</v>
      </c>
      <c r="AF4883">
        <v>1.6018588997101</v>
      </c>
      <c r="AG4883">
        <v>-1.119318383847</v>
      </c>
      <c r="AH4883">
        <v>15.608718730446</v>
      </c>
      <c r="AI4883">
        <v>94.080363843376006</v>
      </c>
      <c r="AJ4883">
        <v>84.140482228182805</v>
      </c>
      <c r="AK4883">
        <v>15.730572970657301</v>
      </c>
      <c r="AL4883">
        <v>96.344853557747598</v>
      </c>
      <c r="AM4883">
        <v>87.644435845226695</v>
      </c>
      <c r="AN4883">
        <v>1.00000007210685</v>
      </c>
    </row>
    <row r="4884" spans="1:40" x14ac:dyDescent="0.25">
      <c r="A4884" t="str">
        <f>"20190303154235636"</f>
        <v>20190303154235636</v>
      </c>
      <c r="B4884" t="str">
        <f>"1551598955624271"</f>
        <v>1551598955624271</v>
      </c>
      <c r="C4884" t="s">
        <v>40</v>
      </c>
      <c r="D4884">
        <v>5.6312179999999996</v>
      </c>
      <c r="E4884">
        <v>0.52331640000000001</v>
      </c>
      <c r="F4884" t="s">
        <v>42</v>
      </c>
      <c r="G4884">
        <v>-192.02459999999999</v>
      </c>
      <c r="H4884">
        <v>1.056341</v>
      </c>
      <c r="I4884">
        <v>176.2123</v>
      </c>
      <c r="J4884">
        <v>-192.00489999999999</v>
      </c>
      <c r="K4884">
        <v>1.1192029999999999</v>
      </c>
      <c r="L4884">
        <v>176.9453</v>
      </c>
      <c r="M4884">
        <v>9.7036559999999994E-2</v>
      </c>
      <c r="N4884">
        <v>-6.8571329999999996E-3</v>
      </c>
      <c r="O4884">
        <v>-0.99525719999999995</v>
      </c>
      <c r="P4884">
        <v>5.5739829999999997E-2</v>
      </c>
      <c r="Q4884">
        <v>-0.1165168</v>
      </c>
      <c r="R4884">
        <v>-0.99162349999999999</v>
      </c>
      <c r="S4884">
        <v>-1.254272E-2</v>
      </c>
      <c r="T4884">
        <v>-0.20999000000000001</v>
      </c>
      <c r="U4884">
        <v>-3.0015559999999999</v>
      </c>
      <c r="V4884">
        <v>4.0541550000000003E-2</v>
      </c>
      <c r="W4884">
        <v>-0.1097863</v>
      </c>
      <c r="X4884">
        <v>0.99312809999999996</v>
      </c>
      <c r="Y4884">
        <v>0.1011616</v>
      </c>
      <c r="Z4884">
        <v>6.227336E-2</v>
      </c>
      <c r="AA4884">
        <v>0.99291910000000005</v>
      </c>
      <c r="AB4884">
        <v>26</v>
      </c>
      <c r="AC4884">
        <v>-1.97000000000002E-2</v>
      </c>
      <c r="AD4884">
        <v>-6.2862000000000195E-2</v>
      </c>
      <c r="AE4884">
        <v>-0.73300000000000398</v>
      </c>
      <c r="AF4884">
        <v>9.0074500130433194E-2</v>
      </c>
      <c r="AG4884">
        <v>-6.2862000000000195E-2</v>
      </c>
      <c r="AH4884">
        <v>0.72232035363867897</v>
      </c>
      <c r="AI4884">
        <v>94.935760176569602</v>
      </c>
      <c r="AJ4884">
        <v>82.891818585293706</v>
      </c>
      <c r="AK4884">
        <v>0.73062421250493403</v>
      </c>
      <c r="AL4884">
        <v>96.302996624106598</v>
      </c>
      <c r="AM4884">
        <v>87.662365313206294</v>
      </c>
      <c r="AN4884">
        <v>1.0000000359768499</v>
      </c>
    </row>
    <row r="4885" spans="1:40" x14ac:dyDescent="0.25">
      <c r="A4885" t="str">
        <f>"20190303154235652"</f>
        <v>20190303154235652</v>
      </c>
      <c r="B4885" t="str">
        <f>"1551598955644770"</f>
        <v>1551598955644770</v>
      </c>
      <c r="C4885" t="s">
        <v>40</v>
      </c>
      <c r="D4885">
        <v>5.6281780000000001</v>
      </c>
      <c r="E4885">
        <v>0.5617434</v>
      </c>
      <c r="F4885" t="s">
        <v>42</v>
      </c>
      <c r="G4885">
        <v>-192.01</v>
      </c>
      <c r="H4885">
        <v>1.052457</v>
      </c>
      <c r="I4885">
        <v>175.98140000000001</v>
      </c>
      <c r="J4885">
        <v>-191.98740000000001</v>
      </c>
      <c r="K4885">
        <v>1.1190800000000001</v>
      </c>
      <c r="L4885">
        <v>176.7561</v>
      </c>
      <c r="M4885">
        <v>9.6086389999999994E-2</v>
      </c>
      <c r="N4885">
        <v>-6.8540169999999996E-3</v>
      </c>
      <c r="O4885">
        <v>-0.99534929999999999</v>
      </c>
      <c r="P4885">
        <v>5.5147830000000002E-2</v>
      </c>
      <c r="Q4885">
        <v>-0.1159979</v>
      </c>
      <c r="R4885">
        <v>-0.99171750000000003</v>
      </c>
      <c r="S4885">
        <v>-1.528931E-2</v>
      </c>
      <c r="T4885">
        <v>-0.20787510000000001</v>
      </c>
      <c r="U4885">
        <v>-3.00177</v>
      </c>
      <c r="V4885">
        <v>4.0160260000000003E-2</v>
      </c>
      <c r="W4885">
        <v>-0.1092815</v>
      </c>
      <c r="X4885">
        <v>0.99319919999999995</v>
      </c>
      <c r="Y4885">
        <v>0.1011205</v>
      </c>
      <c r="Z4885">
        <v>6.1587780000000002E-2</v>
      </c>
      <c r="AA4885">
        <v>0.99296609999999996</v>
      </c>
      <c r="AB4885">
        <v>26</v>
      </c>
      <c r="AC4885">
        <v>-2.2599999999982801E-2</v>
      </c>
      <c r="AD4885">
        <v>-6.6622999999999793E-2</v>
      </c>
      <c r="AE4885">
        <v>-0.77469999999999495</v>
      </c>
      <c r="AF4885">
        <v>9.6224263193607398E-2</v>
      </c>
      <c r="AG4885">
        <v>-6.6622999999999793E-2</v>
      </c>
      <c r="AH4885">
        <v>0.76330330094337495</v>
      </c>
      <c r="AI4885">
        <v>94.949300774620994</v>
      </c>
      <c r="AJ4885">
        <v>82.8150261275281</v>
      </c>
      <c r="AK4885">
        <v>0.77222384202199101</v>
      </c>
      <c r="AL4885">
        <v>96.273899038735905</v>
      </c>
      <c r="AM4885">
        <v>87.684492122750001</v>
      </c>
      <c r="AN4885">
        <v>0.99999997180307798</v>
      </c>
    </row>
    <row r="4886" spans="1:40" x14ac:dyDescent="0.25">
      <c r="A4886" t="str">
        <f>"20190303154235675"</f>
        <v>20190303154235675</v>
      </c>
      <c r="B4886" t="str">
        <f>"1551598955664287"</f>
        <v>1551598955664287</v>
      </c>
      <c r="C4886" t="s">
        <v>40</v>
      </c>
      <c r="D4886">
        <v>5.5660559999999997</v>
      </c>
      <c r="E4886">
        <v>0.56511699999999998</v>
      </c>
      <c r="F4886" t="s">
        <v>41</v>
      </c>
      <c r="G4886">
        <v>-193.571</v>
      </c>
      <c r="H4886" s="1">
        <v>-2.0851939999999998E-6</v>
      </c>
      <c r="I4886">
        <v>161.99279999999999</v>
      </c>
      <c r="J4886">
        <v>-191.9633</v>
      </c>
      <c r="K4886">
        <v>1.118916</v>
      </c>
      <c r="L4886">
        <v>176.4923</v>
      </c>
      <c r="M4886">
        <v>9.4607800000000006E-2</v>
      </c>
      <c r="N4886">
        <v>-6.8596719999999998E-3</v>
      </c>
      <c r="O4886">
        <v>-0.99549109999999996</v>
      </c>
      <c r="P4886">
        <v>5.3746059999999998E-2</v>
      </c>
      <c r="Q4886">
        <v>-0.11593970000000001</v>
      </c>
      <c r="R4886">
        <v>-0.99180109999999999</v>
      </c>
      <c r="S4886">
        <v>-0.32354739999999999</v>
      </c>
      <c r="T4886">
        <v>-0.22864100000000001</v>
      </c>
      <c r="U4886">
        <v>-3.0163120000000001</v>
      </c>
      <c r="V4886">
        <v>4.004626E-2</v>
      </c>
      <c r="W4886">
        <v>-0.109233399999999</v>
      </c>
      <c r="X4886">
        <v>0.99320909999999996</v>
      </c>
      <c r="Y4886">
        <v>0.1999447</v>
      </c>
      <c r="Z4886">
        <v>6.7224259999999994E-2</v>
      </c>
      <c r="AA4886">
        <v>0.97749839999999999</v>
      </c>
      <c r="AB4886">
        <v>26</v>
      </c>
      <c r="AC4886">
        <v>-1.6076999999999899</v>
      </c>
      <c r="AD4886">
        <v>-1.1189180851939999</v>
      </c>
      <c r="AE4886">
        <v>-14.499499999999999</v>
      </c>
      <c r="AF4886">
        <v>2.9549033487211398</v>
      </c>
      <c r="AG4886">
        <v>-1.1189180851939999</v>
      </c>
      <c r="AH4886">
        <v>14.1988278994345</v>
      </c>
      <c r="AI4886">
        <v>94.411663976927798</v>
      </c>
      <c r="AJ4886">
        <v>78.244032344282004</v>
      </c>
      <c r="AK4886">
        <v>14.5461384978769</v>
      </c>
      <c r="AL4886">
        <v>96.271126478227202</v>
      </c>
      <c r="AM4886">
        <v>87.691080852001505</v>
      </c>
      <c r="AN4886">
        <v>0.99999997746917801</v>
      </c>
    </row>
    <row r="4887" spans="1:40" x14ac:dyDescent="0.25">
      <c r="A4887" t="str">
        <f>"20190303154235697"</f>
        <v>20190303154235697</v>
      </c>
      <c r="B4887" t="str">
        <f>"1551598955694543"</f>
        <v>1551598955694543</v>
      </c>
      <c r="C4887" t="s">
        <v>40</v>
      </c>
      <c r="D4887">
        <v>5.5601830000000003</v>
      </c>
      <c r="E4887">
        <v>0.56735760000000002</v>
      </c>
      <c r="F4887" t="s">
        <v>41</v>
      </c>
      <c r="G4887">
        <v>-193.80539999999999</v>
      </c>
      <c r="H4887" s="1">
        <v>-1.585057E-6</v>
      </c>
      <c r="I4887">
        <v>160.80279999999999</v>
      </c>
      <c r="J4887">
        <v>-191.94069999999999</v>
      </c>
      <c r="K4887">
        <v>1.1187720000000001</v>
      </c>
      <c r="L4887">
        <v>176.2364</v>
      </c>
      <c r="M4887">
        <v>9.2967250000000001E-2</v>
      </c>
      <c r="N4887">
        <v>-6.8738100000000002E-3</v>
      </c>
      <c r="O4887">
        <v>-0.99564560000000002</v>
      </c>
      <c r="P4887">
        <v>5.1897459999999999E-2</v>
      </c>
      <c r="Q4887">
        <v>-0.1151319</v>
      </c>
      <c r="R4887">
        <v>-0.99199369999999998</v>
      </c>
      <c r="S4887">
        <v>-0.3544312</v>
      </c>
      <c r="T4887">
        <v>-0.2152927</v>
      </c>
      <c r="U4887">
        <v>-3.0188449999999998</v>
      </c>
      <c r="V4887">
        <v>4.0233310000000001E-2</v>
      </c>
      <c r="W4887">
        <v>-0.1084257</v>
      </c>
      <c r="X4887">
        <v>0.99329009999999995</v>
      </c>
      <c r="Y4887">
        <v>0.20814659999999999</v>
      </c>
      <c r="Z4887">
        <v>6.2760029999999994E-2</v>
      </c>
      <c r="AA4887">
        <v>0.97608200000000001</v>
      </c>
      <c r="AB4887">
        <v>26</v>
      </c>
      <c r="AC4887">
        <v>-1.86469999999999</v>
      </c>
      <c r="AD4887">
        <v>-1.118773585057</v>
      </c>
      <c r="AE4887">
        <v>-15.4336</v>
      </c>
      <c r="AF4887">
        <v>3.2745178103663899</v>
      </c>
      <c r="AG4887">
        <v>-1.118773585057</v>
      </c>
      <c r="AH4887">
        <v>15.115113412363501</v>
      </c>
      <c r="AI4887">
        <v>94.137502764087003</v>
      </c>
      <c r="AJ4887">
        <v>77.776410424959707</v>
      </c>
      <c r="AK4887">
        <v>15.5061528011831</v>
      </c>
      <c r="AL4887">
        <v>96.224571788592598</v>
      </c>
      <c r="AM4887">
        <v>87.6804969527183</v>
      </c>
      <c r="AN4887">
        <v>1.00000003720602</v>
      </c>
    </row>
    <row r="4888" spans="1:40" x14ac:dyDescent="0.25">
      <c r="A4888" t="str">
        <f>"20190303154235711"</f>
        <v>20190303154235711</v>
      </c>
      <c r="B4888" t="str">
        <f>"1551598955704303"</f>
        <v>1551598955704303</v>
      </c>
      <c r="C4888" t="s">
        <v>40</v>
      </c>
      <c r="D4888">
        <v>5.5687049999999996</v>
      </c>
      <c r="E4888">
        <v>0.5677392</v>
      </c>
      <c r="F4888" t="s">
        <v>41</v>
      </c>
      <c r="G4888">
        <v>-194.0016</v>
      </c>
      <c r="H4888" s="1">
        <v>-1.14351E-6</v>
      </c>
      <c r="I4888">
        <v>159.75829999999999</v>
      </c>
      <c r="J4888">
        <v>-191.92609999999999</v>
      </c>
      <c r="K4888">
        <v>1.118687</v>
      </c>
      <c r="L4888">
        <v>176.0669</v>
      </c>
      <c r="M4888">
        <v>9.1773289999999993E-2</v>
      </c>
      <c r="N4888">
        <v>-6.8847730000000003E-3</v>
      </c>
      <c r="O4888">
        <v>-0.99575610000000003</v>
      </c>
      <c r="P4888">
        <v>5.0196669999999999E-2</v>
      </c>
      <c r="Q4888">
        <v>-0.11496489999999999</v>
      </c>
      <c r="R4888">
        <v>-0.99210039999999999</v>
      </c>
      <c r="S4888">
        <v>-0.37773129999999999</v>
      </c>
      <c r="T4888">
        <v>-0.20505309999999999</v>
      </c>
      <c r="U4888">
        <v>-3.0201720000000001</v>
      </c>
      <c r="V4888">
        <v>4.0723910000000002E-2</v>
      </c>
      <c r="W4888">
        <v>-0.1082581</v>
      </c>
      <c r="X4888">
        <v>0.99328830000000001</v>
      </c>
      <c r="Y4888">
        <v>0.21436810000000001</v>
      </c>
      <c r="Z4888">
        <v>5.9354549999999999E-2</v>
      </c>
      <c r="AA4888">
        <v>0.97494789999999998</v>
      </c>
      <c r="AB4888">
        <v>26</v>
      </c>
      <c r="AC4888">
        <v>-2.0754999999999999</v>
      </c>
      <c r="AD4888">
        <v>-1.11868814351</v>
      </c>
      <c r="AE4888">
        <v>-16.308599999999998</v>
      </c>
      <c r="AF4888">
        <v>3.5470463973711301</v>
      </c>
      <c r="AG4888">
        <v>-1.11868814351</v>
      </c>
      <c r="AH4888">
        <v>15.975323061071</v>
      </c>
      <c r="AI4888">
        <v>93.910725360665595</v>
      </c>
      <c r="AJ4888">
        <v>77.481532716747395</v>
      </c>
      <c r="AK4888">
        <v>16.402559197061901</v>
      </c>
      <c r="AL4888">
        <v>96.214912700909593</v>
      </c>
      <c r="AM4888">
        <v>87.652240428735297</v>
      </c>
      <c r="AN4888">
        <v>0.99999994998909203</v>
      </c>
    </row>
    <row r="4889" spans="1:40" x14ac:dyDescent="0.25">
      <c r="A4889" t="str">
        <f>"20190303154235732"</f>
        <v>20190303154235732</v>
      </c>
      <c r="B4889" t="str">
        <f>"1551598955724799"</f>
        <v>1551598955724799</v>
      </c>
      <c r="C4889" t="s">
        <v>40</v>
      </c>
      <c r="D4889">
        <v>5.6398599999999997</v>
      </c>
      <c r="E4889">
        <v>0.56756960000000001</v>
      </c>
      <c r="F4889" t="s">
        <v>57</v>
      </c>
      <c r="G4889">
        <v>-194.07390000000001</v>
      </c>
      <c r="H4889" s="1">
        <v>-1.488414E-5</v>
      </c>
      <c r="I4889">
        <v>159.24529999999999</v>
      </c>
      <c r="J4889">
        <v>-191.90549999999999</v>
      </c>
      <c r="K4889">
        <v>1.118584</v>
      </c>
      <c r="L4889">
        <v>175.82400000000001</v>
      </c>
      <c r="M4889">
        <v>8.9965729999999994E-2</v>
      </c>
      <c r="N4889">
        <v>-6.900631E-3</v>
      </c>
      <c r="O4889">
        <v>-0.99592099999999995</v>
      </c>
      <c r="P4889">
        <v>4.7818390000000002E-2</v>
      </c>
      <c r="Q4889">
        <v>-0.1135277</v>
      </c>
      <c r="R4889">
        <v>-0.99238320000000002</v>
      </c>
      <c r="S4889">
        <v>-0.38562010000000002</v>
      </c>
      <c r="T4889">
        <v>-0.20085</v>
      </c>
      <c r="U4889">
        <v>-3.0201259999999999</v>
      </c>
      <c r="V4889">
        <v>4.1292479999999999E-2</v>
      </c>
      <c r="W4889">
        <v>-0.1068171</v>
      </c>
      <c r="X4889">
        <v>0.99342090000000005</v>
      </c>
      <c r="Y4889">
        <v>0.21511469999999999</v>
      </c>
      <c r="Z4889">
        <v>5.7987110000000001E-2</v>
      </c>
      <c r="AA4889">
        <v>0.97486569999999995</v>
      </c>
      <c r="AB4889">
        <v>26</v>
      </c>
      <c r="AC4889">
        <v>-2.1684000000000201</v>
      </c>
      <c r="AD4889">
        <v>-1.1185988841399901</v>
      </c>
      <c r="AE4889">
        <v>-16.578700000000001</v>
      </c>
      <c r="AF4889">
        <v>3.6348872941570498</v>
      </c>
      <c r="AG4889">
        <v>-1.1185988841399901</v>
      </c>
      <c r="AH4889">
        <v>16.243676356919099</v>
      </c>
      <c r="AI4889">
        <v>93.844591657790403</v>
      </c>
      <c r="AJ4889">
        <v>77.386578326268605</v>
      </c>
      <c r="AK4889">
        <v>16.682946103526099</v>
      </c>
      <c r="AL4889">
        <v>96.131867445282893</v>
      </c>
      <c r="AM4889">
        <v>87.619816831659605</v>
      </c>
      <c r="AN4889">
        <v>1.00000002315688</v>
      </c>
    </row>
    <row r="4890" spans="1:40" x14ac:dyDescent="0.25">
      <c r="A4890" t="str">
        <f>"20190303154235754"</f>
        <v>20190303154235754</v>
      </c>
      <c r="B4890" t="str">
        <f>"1551598955744319"</f>
        <v>1551598955744319</v>
      </c>
      <c r="C4890" t="s">
        <v>40</v>
      </c>
      <c r="D4890">
        <v>5.6353669999999996</v>
      </c>
      <c r="E4890">
        <v>0.56743330000000003</v>
      </c>
      <c r="F4890" t="s">
        <v>57</v>
      </c>
      <c r="G4890">
        <v>-194.07159999999999</v>
      </c>
      <c r="H4890" s="1">
        <v>-1.48552E-5</v>
      </c>
      <c r="I4890">
        <v>159.13030000000001</v>
      </c>
      <c r="J4890">
        <v>-191.8843</v>
      </c>
      <c r="K4890">
        <v>1.118492</v>
      </c>
      <c r="L4890">
        <v>175.56599999999901</v>
      </c>
      <c r="M4890">
        <v>8.7927469999999994E-2</v>
      </c>
      <c r="N4890">
        <v>-6.9176680000000001E-3</v>
      </c>
      <c r="O4890">
        <v>-0.99610299999999996</v>
      </c>
      <c r="P4890">
        <v>4.5101580000000002E-2</v>
      </c>
      <c r="Q4890">
        <v>-0.1113488</v>
      </c>
      <c r="R4890">
        <v>-0.99275769999999997</v>
      </c>
      <c r="S4890">
        <v>-0.39169310000000002</v>
      </c>
      <c r="T4890">
        <v>-0.20227680000000001</v>
      </c>
      <c r="U4890">
        <v>-3.0187379999999999</v>
      </c>
      <c r="V4890">
        <v>4.1982970000000001E-2</v>
      </c>
      <c r="W4890">
        <v>-0.10463219999999999</v>
      </c>
      <c r="X4890">
        <v>0.99362439999999996</v>
      </c>
      <c r="Y4890">
        <v>0.21509780000000001</v>
      </c>
      <c r="Z4890">
        <v>5.8469319999999998E-2</v>
      </c>
      <c r="AA4890">
        <v>0.97484059999999995</v>
      </c>
      <c r="AB4890">
        <v>26</v>
      </c>
      <c r="AC4890">
        <v>-2.1872999999999898</v>
      </c>
      <c r="AD4890">
        <v>-1.1185068551999999</v>
      </c>
      <c r="AE4890">
        <v>-16.435699999999901</v>
      </c>
      <c r="AF4890">
        <v>3.6075947989084902</v>
      </c>
      <c r="AG4890">
        <v>-1.1185068551999999</v>
      </c>
      <c r="AH4890">
        <v>16.1064160143323</v>
      </c>
      <c r="AI4890">
        <v>93.876762990897603</v>
      </c>
      <c r="AJ4890">
        <v>77.374984180688898</v>
      </c>
      <c r="AK4890">
        <v>16.543350163886998</v>
      </c>
      <c r="AL4890">
        <v>96.005976704371605</v>
      </c>
      <c r="AM4890">
        <v>87.580557529381693</v>
      </c>
      <c r="AN4890">
        <v>0.99999995766110905</v>
      </c>
    </row>
    <row r="4891" spans="1:40" x14ac:dyDescent="0.25">
      <c r="A4891" t="str">
        <f>"20190303154235776"</f>
        <v>20190303154235776</v>
      </c>
      <c r="B4891" t="str">
        <f>"1551598955764814"</f>
        <v>1551598955764814</v>
      </c>
      <c r="C4891" t="s">
        <v>40</v>
      </c>
      <c r="D4891">
        <v>5.6527000000000003</v>
      </c>
      <c r="E4891">
        <v>0.56726469999999996</v>
      </c>
      <c r="F4891" t="s">
        <v>57</v>
      </c>
      <c r="G4891">
        <v>-194.12880000000001</v>
      </c>
      <c r="H4891" s="1">
        <v>-1.472015E-5</v>
      </c>
      <c r="I4891">
        <v>158.59350000000001</v>
      </c>
      <c r="J4891">
        <v>-191.8629</v>
      </c>
      <c r="K4891">
        <v>1.11842</v>
      </c>
      <c r="L4891">
        <v>175.29769999999999</v>
      </c>
      <c r="M4891">
        <v>8.5706809999999994E-2</v>
      </c>
      <c r="N4891">
        <v>-6.9355199999999997E-3</v>
      </c>
      <c r="O4891">
        <v>-0.99629650000000003</v>
      </c>
      <c r="P4891">
        <v>4.2647160000000003E-2</v>
      </c>
      <c r="Q4891">
        <v>-0.1090357</v>
      </c>
      <c r="R4891">
        <v>-0.99312290000000003</v>
      </c>
      <c r="S4891">
        <v>-0.3990784</v>
      </c>
      <c r="T4891">
        <v>-0.19887270000000001</v>
      </c>
      <c r="U4891">
        <v>-3.0177309999999999</v>
      </c>
      <c r="V4891">
        <v>4.2234729999999998E-2</v>
      </c>
      <c r="W4891">
        <v>-0.102309</v>
      </c>
      <c r="X4891">
        <v>0.99385570000000001</v>
      </c>
      <c r="Y4891">
        <v>0.21531700000000001</v>
      </c>
      <c r="Z4891">
        <v>5.7383610000000002E-2</v>
      </c>
      <c r="AA4891">
        <v>0.97485679999999997</v>
      </c>
      <c r="AB4891">
        <v>26</v>
      </c>
      <c r="AC4891">
        <v>-2.26590000000001</v>
      </c>
      <c r="AD4891">
        <v>-1.11843472015</v>
      </c>
      <c r="AE4891">
        <v>-16.704199999999901</v>
      </c>
      <c r="AF4891">
        <v>3.6730907969364401</v>
      </c>
      <c r="AG4891">
        <v>-1.11843472015</v>
      </c>
      <c r="AH4891">
        <v>16.376435355638101</v>
      </c>
      <c r="AI4891">
        <v>93.812538291554603</v>
      </c>
      <c r="AJ4891">
        <v>77.358275211779898</v>
      </c>
      <c r="AK4891">
        <v>16.820526959140501</v>
      </c>
      <c r="AL4891">
        <v>95.872148377387404</v>
      </c>
      <c r="AM4891">
        <v>87.566631981741395</v>
      </c>
      <c r="AN4891">
        <v>1.0000000281608299</v>
      </c>
    </row>
    <row r="4892" spans="1:40" x14ac:dyDescent="0.25">
      <c r="A4892" t="str">
        <f>"20190303154235797"</f>
        <v>20190303154235797</v>
      </c>
      <c r="B4892" t="str">
        <f>"1551598955795071"</f>
        <v>1551598955795071</v>
      </c>
      <c r="C4892" t="s">
        <v>40</v>
      </c>
      <c r="D4892">
        <v>5.6440320000000002</v>
      </c>
      <c r="E4892">
        <v>0.5673629</v>
      </c>
      <c r="F4892" t="s">
        <v>57</v>
      </c>
      <c r="G4892">
        <v>-194.1985</v>
      </c>
      <c r="H4892" s="1">
        <v>-1.45494E-5</v>
      </c>
      <c r="I4892">
        <v>157.91489999999999</v>
      </c>
      <c r="J4892">
        <v>-191.8432</v>
      </c>
      <c r="K4892">
        <v>1.1183700000000001</v>
      </c>
      <c r="L4892">
        <v>175.0419</v>
      </c>
      <c r="M4892">
        <v>8.3522289999999999E-2</v>
      </c>
      <c r="N4892">
        <v>-6.9570619999999904E-3</v>
      </c>
      <c r="O4892">
        <v>-0.99648170000000003</v>
      </c>
      <c r="P4892">
        <v>4.0281360000000002E-2</v>
      </c>
      <c r="Q4892">
        <v>-0.10739799999999999</v>
      </c>
      <c r="R4892">
        <v>-0.99339960000000005</v>
      </c>
      <c r="S4892">
        <v>-0.40534969999999998</v>
      </c>
      <c r="T4892">
        <v>-0.19411120000000001</v>
      </c>
      <c r="U4892">
        <v>-3.0168910000000002</v>
      </c>
      <c r="V4892">
        <v>4.2430410000000002E-2</v>
      </c>
      <c r="W4892">
        <v>-0.10065549999999999</v>
      </c>
      <c r="X4892">
        <v>0.99401620000000002</v>
      </c>
      <c r="Y4892">
        <v>0.2152153</v>
      </c>
      <c r="Z4892">
        <v>5.5854760000000003E-2</v>
      </c>
      <c r="AA4892">
        <v>0.97496799999999995</v>
      </c>
      <c r="AB4892">
        <v>27</v>
      </c>
      <c r="AC4892">
        <v>-2.3553000000000002</v>
      </c>
      <c r="AD4892">
        <v>-1.1183845494</v>
      </c>
      <c r="AE4892">
        <v>-17.126999999999999</v>
      </c>
      <c r="AF4892">
        <v>3.76184785350664</v>
      </c>
      <c r="AG4892">
        <v>-1.1183845494</v>
      </c>
      <c r="AH4892">
        <v>16.8001224936183</v>
      </c>
      <c r="AI4892">
        <v>93.716790763742694</v>
      </c>
      <c r="AJ4892">
        <v>77.3786433910699</v>
      </c>
      <c r="AK4892">
        <v>17.252431685818902</v>
      </c>
      <c r="AL4892">
        <v>95.776918102297699</v>
      </c>
      <c r="AM4892">
        <v>87.555765705822694</v>
      </c>
      <c r="AN4892">
        <v>1.0000000376177201</v>
      </c>
    </row>
    <row r="4893" spans="1:40" x14ac:dyDescent="0.25">
      <c r="A4893" t="str">
        <f>"20190303154235811"</f>
        <v>20190303154235811</v>
      </c>
      <c r="B4893" t="str">
        <f>"1551598955804830"</f>
        <v>1551598955804830</v>
      </c>
      <c r="C4893" t="s">
        <v>40</v>
      </c>
      <c r="D4893">
        <v>5.6345419999999997</v>
      </c>
      <c r="E4893">
        <v>0.5674051</v>
      </c>
      <c r="F4893" t="s">
        <v>57</v>
      </c>
      <c r="G4893">
        <v>-194.25299999999999</v>
      </c>
      <c r="H4893" s="1">
        <v>-1.4432080000000001E-5</v>
      </c>
      <c r="I4893">
        <v>157.45689999999999</v>
      </c>
      <c r="J4893">
        <v>-191.8304</v>
      </c>
      <c r="K4893">
        <v>1.1183449999999999</v>
      </c>
      <c r="L4893">
        <v>174.87119999999999</v>
      </c>
      <c r="M4893">
        <v>8.2044500000000006E-2</v>
      </c>
      <c r="N4893">
        <v>-6.9734300000000001E-3</v>
      </c>
      <c r="O4893">
        <v>-0.99660439999999995</v>
      </c>
      <c r="P4893">
        <v>3.854954E-2</v>
      </c>
      <c r="Q4893">
        <v>-0.106882199999999</v>
      </c>
      <c r="R4893">
        <v>-0.99352410000000002</v>
      </c>
      <c r="S4893">
        <v>-0.41329959999999999</v>
      </c>
      <c r="T4893">
        <v>-0.19181229999999999</v>
      </c>
      <c r="U4893">
        <v>-3.0159609999999999</v>
      </c>
      <c r="V4893">
        <v>4.2688980000000001E-2</v>
      </c>
      <c r="W4893">
        <v>-0.10012699999999999</v>
      </c>
      <c r="X4893">
        <v>0.99405849999999996</v>
      </c>
      <c r="Y4893">
        <v>0.2163361</v>
      </c>
      <c r="Z4893">
        <v>5.5108539999999998E-2</v>
      </c>
      <c r="AA4893">
        <v>0.97476240000000003</v>
      </c>
      <c r="AB4893">
        <v>27</v>
      </c>
      <c r="AC4893">
        <v>-2.4225999999999801</v>
      </c>
      <c r="AD4893">
        <v>-1.1183594320799899</v>
      </c>
      <c r="AE4893">
        <v>-17.414299999999901</v>
      </c>
      <c r="AF4893">
        <v>3.8277273122206901</v>
      </c>
      <c r="AG4893">
        <v>-1.1183594320799899</v>
      </c>
      <c r="AH4893">
        <v>17.087685129665701</v>
      </c>
      <c r="AI4893">
        <v>93.654263563862798</v>
      </c>
      <c r="AJ4893">
        <v>77.373889037763803</v>
      </c>
      <c r="AK4893">
        <v>17.546828980948099</v>
      </c>
      <c r="AL4893">
        <v>95.7464835542782</v>
      </c>
      <c r="AM4893">
        <v>87.540993338720995</v>
      </c>
      <c r="AN4893">
        <v>1.00000003328234</v>
      </c>
    </row>
    <row r="4894" spans="1:40" x14ac:dyDescent="0.25">
      <c r="A4894" t="str">
        <f>"20190303154235832"</f>
        <v>20190303154235832</v>
      </c>
      <c r="B4894" t="str">
        <f>"1551598955825327"</f>
        <v>1551598955825327</v>
      </c>
      <c r="C4894" t="s">
        <v>40</v>
      </c>
      <c r="D4894">
        <v>5.6170330000000002</v>
      </c>
      <c r="E4894">
        <v>0.56738690000000003</v>
      </c>
      <c r="F4894" t="s">
        <v>57</v>
      </c>
      <c r="G4894">
        <v>-194.28370000000001</v>
      </c>
      <c r="H4894" s="1">
        <v>-1.4332550000000001E-5</v>
      </c>
      <c r="I4894">
        <v>157.21860000000001</v>
      </c>
      <c r="J4894">
        <v>-191.81280000000001</v>
      </c>
      <c r="K4894">
        <v>1.1183179999999999</v>
      </c>
      <c r="L4894">
        <v>174.63149999999999</v>
      </c>
      <c r="M4894">
        <v>7.9957050000000002E-2</v>
      </c>
      <c r="N4894">
        <v>-6.9964119999999996E-3</v>
      </c>
      <c r="O4894">
        <v>-0.99677380000000004</v>
      </c>
      <c r="P4894">
        <v>3.5620029999999997E-2</v>
      </c>
      <c r="Q4894">
        <v>-0.1061385</v>
      </c>
      <c r="R4894">
        <v>-0.99371299999999996</v>
      </c>
      <c r="S4894">
        <v>-0.41905209999999998</v>
      </c>
      <c r="T4894">
        <v>-0.191027</v>
      </c>
      <c r="U4894">
        <v>-3.015244</v>
      </c>
      <c r="V4894">
        <v>4.3540139999999998E-2</v>
      </c>
      <c r="W4894">
        <v>-9.9366579999999996E-2</v>
      </c>
      <c r="X4894">
        <v>0.99409780000000003</v>
      </c>
      <c r="Y4894">
        <v>0.2161496</v>
      </c>
      <c r="Z4894">
        <v>5.4856439999999999E-2</v>
      </c>
      <c r="AA4894">
        <v>0.97481799999999996</v>
      </c>
      <c r="AB4894">
        <v>27</v>
      </c>
      <c r="AC4894">
        <v>-2.4708999999999999</v>
      </c>
      <c r="AD4894">
        <v>-1.1183323325500001</v>
      </c>
      <c r="AE4894">
        <v>-17.412899999999901</v>
      </c>
      <c r="AF4894">
        <v>3.8397811005969902</v>
      </c>
      <c r="AG4894">
        <v>-1.1183323325500001</v>
      </c>
      <c r="AH4894">
        <v>17.090473053600299</v>
      </c>
      <c r="AI4894">
        <v>93.653060352655899</v>
      </c>
      <c r="AJ4894">
        <v>77.337408404036495</v>
      </c>
      <c r="AK4894">
        <v>17.5521752299356</v>
      </c>
      <c r="AL4894">
        <v>95.702696809804706</v>
      </c>
      <c r="AM4894">
        <v>87.492125116638206</v>
      </c>
      <c r="AN4894">
        <v>0.99999994848847595</v>
      </c>
    </row>
    <row r="4895" spans="1:40" x14ac:dyDescent="0.25">
      <c r="A4895" t="str">
        <f>"20190303154235845"</f>
        <v>20190303154235845</v>
      </c>
      <c r="B4895" t="str">
        <f>"1551598955835087"</f>
        <v>1551598955835087</v>
      </c>
      <c r="C4895" t="s">
        <v>40</v>
      </c>
      <c r="D4895">
        <v>5.597143</v>
      </c>
      <c r="E4895">
        <v>0.56740100000000004</v>
      </c>
      <c r="F4895" t="s">
        <v>57</v>
      </c>
      <c r="G4895">
        <v>-194.31</v>
      </c>
      <c r="H4895" s="1">
        <v>-1.42635E-5</v>
      </c>
      <c r="I4895">
        <v>157.0522</v>
      </c>
      <c r="J4895">
        <v>-191.80109999999999</v>
      </c>
      <c r="K4895">
        <v>1.1183080000000001</v>
      </c>
      <c r="L4895">
        <v>174.46719999999999</v>
      </c>
      <c r="M4895">
        <v>7.8523350000000006E-2</v>
      </c>
      <c r="N4895">
        <v>-7.0115669999999998E-3</v>
      </c>
      <c r="O4895">
        <v>-0.99688770000000004</v>
      </c>
      <c r="P4895">
        <v>3.3733920000000001E-2</v>
      </c>
      <c r="Q4895">
        <v>-0.1058101</v>
      </c>
      <c r="R4895">
        <v>-0.99381419999999998</v>
      </c>
      <c r="S4895">
        <v>-0.42813109999999999</v>
      </c>
      <c r="T4895">
        <v>-0.19173090000000001</v>
      </c>
      <c r="U4895">
        <v>-3.013855</v>
      </c>
      <c r="V4895">
        <v>4.3998049999999997E-2</v>
      </c>
      <c r="W4895">
        <v>-9.9026230000000007E-2</v>
      </c>
      <c r="X4895">
        <v>0.99411170000000004</v>
      </c>
      <c r="Y4895">
        <v>0.2176836</v>
      </c>
      <c r="Z4895">
        <v>5.5083640000000003E-2</v>
      </c>
      <c r="AA4895">
        <v>0.97446379999999999</v>
      </c>
      <c r="AB4895">
        <v>27</v>
      </c>
      <c r="AC4895">
        <v>-2.5089000000000099</v>
      </c>
      <c r="AD4895">
        <v>-1.1183222634999901</v>
      </c>
      <c r="AE4895">
        <v>-17.4149999999999</v>
      </c>
      <c r="AF4895">
        <v>3.8531044941921899</v>
      </c>
      <c r="AG4895">
        <v>-1.1183222634999901</v>
      </c>
      <c r="AH4895">
        <v>17.0951506756683</v>
      </c>
      <c r="AI4895">
        <v>93.651470722182694</v>
      </c>
      <c r="AJ4895">
        <v>77.298258806569606</v>
      </c>
      <c r="AK4895">
        <v>17.559647933600601</v>
      </c>
      <c r="AL4895">
        <v>95.683098970180296</v>
      </c>
      <c r="AM4895">
        <v>87.465819486780902</v>
      </c>
      <c r="AN4895">
        <v>1.00000004735435</v>
      </c>
    </row>
    <row r="4896" spans="1:40" x14ac:dyDescent="0.25">
      <c r="A4896" t="str">
        <f>"20190303154235865"</f>
        <v>20190303154235865</v>
      </c>
      <c r="B4896" t="str">
        <f>"1551598955854610"</f>
        <v>1551598955854610</v>
      </c>
      <c r="C4896" t="s">
        <v>40</v>
      </c>
      <c r="D4896">
        <v>5.6015800000000002</v>
      </c>
      <c r="E4896">
        <v>0.56736759999999997</v>
      </c>
      <c r="F4896" t="s">
        <v>57</v>
      </c>
      <c r="G4896">
        <v>-194.32830000000001</v>
      </c>
      <c r="H4896" s="1">
        <v>-1.420964E-5</v>
      </c>
      <c r="I4896">
        <v>156.9229</v>
      </c>
      <c r="J4896">
        <v>-191.78450000000001</v>
      </c>
      <c r="K4896">
        <v>1.118309</v>
      </c>
      <c r="L4896">
        <v>174.2295</v>
      </c>
      <c r="M4896">
        <v>7.6449409999999995E-2</v>
      </c>
      <c r="N4896">
        <v>-7.0346239999999997E-3</v>
      </c>
      <c r="O4896">
        <v>-0.99704870000000001</v>
      </c>
      <c r="P4896">
        <v>3.102239E-2</v>
      </c>
      <c r="Q4896">
        <v>-0.10518669999999999</v>
      </c>
      <c r="R4896">
        <v>-0.99396870000000004</v>
      </c>
      <c r="S4896">
        <v>-0.43400569999999999</v>
      </c>
      <c r="T4896">
        <v>-0.1920538</v>
      </c>
      <c r="U4896">
        <v>-3.0129549999999998</v>
      </c>
      <c r="V4896">
        <v>4.4646829999999998E-2</v>
      </c>
      <c r="W4896">
        <v>-9.8383570000000004E-2</v>
      </c>
      <c r="X4896">
        <v>0.99414650000000004</v>
      </c>
      <c r="Y4896">
        <v>0.21755479999999999</v>
      </c>
      <c r="Z4896">
        <v>5.5191320000000002E-2</v>
      </c>
      <c r="AA4896">
        <v>0.97448650000000003</v>
      </c>
      <c r="AB4896">
        <v>27</v>
      </c>
      <c r="AC4896">
        <v>-2.5438000000000001</v>
      </c>
      <c r="AD4896">
        <v>-1.11832320964</v>
      </c>
      <c r="AE4896">
        <v>-17.3066</v>
      </c>
      <c r="AF4896">
        <v>3.8437568348994402</v>
      </c>
      <c r="AG4896">
        <v>-1.11832320964</v>
      </c>
      <c r="AH4896">
        <v>16.992022059367699</v>
      </c>
      <c r="AI4896">
        <v>93.672931304804806</v>
      </c>
      <c r="AJ4896">
        <v>77.253673531866994</v>
      </c>
      <c r="AK4896">
        <v>17.457202727616401</v>
      </c>
      <c r="AL4896">
        <v>95.646097040839706</v>
      </c>
      <c r="AM4896">
        <v>87.4285910301885</v>
      </c>
      <c r="AN4896">
        <v>0.99999996486862097</v>
      </c>
    </row>
    <row r="4897" spans="1:40" x14ac:dyDescent="0.25">
      <c r="A4897" t="str">
        <f>"20190303154235877"</f>
        <v>20190303154235877</v>
      </c>
      <c r="B4897" t="str">
        <f>"1551598955875103"</f>
        <v>1551598955875103</v>
      </c>
      <c r="C4897" t="s">
        <v>40</v>
      </c>
      <c r="D4897">
        <v>5.5757620000000001</v>
      </c>
      <c r="E4897">
        <v>0.56723849999999998</v>
      </c>
      <c r="F4897" t="s">
        <v>57</v>
      </c>
      <c r="G4897">
        <v>-194.34549999999999</v>
      </c>
      <c r="H4897" s="1">
        <v>-1.414726E-5</v>
      </c>
      <c r="I4897">
        <v>156.7739</v>
      </c>
      <c r="J4897">
        <v>-191.77430000000001</v>
      </c>
      <c r="K4897">
        <v>1.1183080000000001</v>
      </c>
      <c r="L4897">
        <v>174.07900000000001</v>
      </c>
      <c r="M4897">
        <v>7.5137750000000003E-2</v>
      </c>
      <c r="N4897">
        <v>-7.0505119999999897E-3</v>
      </c>
      <c r="O4897">
        <v>-0.99714829999999999</v>
      </c>
      <c r="P4897">
        <v>2.9288330000000001E-2</v>
      </c>
      <c r="Q4897">
        <v>-0.10453850000000001</v>
      </c>
      <c r="R4897">
        <v>-0.99408980000000002</v>
      </c>
      <c r="S4897">
        <v>-0.44183349999999999</v>
      </c>
      <c r="T4897">
        <v>-0.19294169999999999</v>
      </c>
      <c r="U4897">
        <v>-3.0115810000000001</v>
      </c>
      <c r="V4897">
        <v>4.5079880000000003E-2</v>
      </c>
      <c r="W4897">
        <v>-9.7721639999999999E-2</v>
      </c>
      <c r="X4897">
        <v>0.99419230000000003</v>
      </c>
      <c r="Y4897">
        <v>0.2188109</v>
      </c>
      <c r="Z4897">
        <v>5.5479210000000001E-2</v>
      </c>
      <c r="AA4897">
        <v>0.97418879999999997</v>
      </c>
      <c r="AB4897">
        <v>27</v>
      </c>
      <c r="AC4897">
        <v>-2.57119999999997</v>
      </c>
      <c r="AD4897">
        <v>-1.11832214726</v>
      </c>
      <c r="AE4897">
        <v>-17.305099999999999</v>
      </c>
      <c r="AF4897">
        <v>3.84850465910869</v>
      </c>
      <c r="AG4897">
        <v>-1.11832214726</v>
      </c>
      <c r="AH4897">
        <v>16.9935436543531</v>
      </c>
      <c r="AI4897">
        <v>93.672395509817605</v>
      </c>
      <c r="AJ4897">
        <v>77.239549733247699</v>
      </c>
      <c r="AK4897">
        <v>17.4597296218653</v>
      </c>
      <c r="AL4897">
        <v>95.607987281848807</v>
      </c>
      <c r="AM4897">
        <v>87.403803167234798</v>
      </c>
      <c r="AN4897">
        <v>1.0000000219421901</v>
      </c>
    </row>
    <row r="4898" spans="1:40" x14ac:dyDescent="0.25">
      <c r="A4898" t="str">
        <f>"20190303154235897"</f>
        <v>20190303154235897</v>
      </c>
      <c r="B4898" t="str">
        <f>"1551598955894623"</f>
        <v>1551598955894623</v>
      </c>
      <c r="C4898" t="s">
        <v>40</v>
      </c>
      <c r="D4898">
        <v>5.5789710000000001</v>
      </c>
      <c r="E4898">
        <v>0.56708979999999998</v>
      </c>
      <c r="F4898" t="s">
        <v>57</v>
      </c>
      <c r="G4898">
        <v>-194.34809999999999</v>
      </c>
      <c r="H4898" s="1">
        <v>-1.41205E-5</v>
      </c>
      <c r="I4898">
        <v>156.71100000000001</v>
      </c>
      <c r="J4898">
        <v>-191.75810000000001</v>
      </c>
      <c r="K4898">
        <v>1.1183099999999999</v>
      </c>
      <c r="L4898">
        <v>173.83580000000001</v>
      </c>
      <c r="M4898">
        <v>7.3029150000000001E-2</v>
      </c>
      <c r="N4898">
        <v>-7.0788609999999997E-3</v>
      </c>
      <c r="O4898">
        <v>-0.99730490000000005</v>
      </c>
      <c r="P4898">
        <v>2.670057E-2</v>
      </c>
      <c r="Q4898">
        <v>-0.10286439999999999</v>
      </c>
      <c r="R4898">
        <v>-0.99433709999999997</v>
      </c>
      <c r="S4898">
        <v>-0.44615169999999998</v>
      </c>
      <c r="T4898">
        <v>-0.193851</v>
      </c>
      <c r="U4898">
        <v>-3.0105900000000001</v>
      </c>
      <c r="V4898">
        <v>4.5584239999999998E-2</v>
      </c>
      <c r="W4898">
        <v>-9.6020830000000001E-2</v>
      </c>
      <c r="X4898">
        <v>0.99433499999999997</v>
      </c>
      <c r="Y4898">
        <v>0.21815870000000001</v>
      </c>
      <c r="Z4898">
        <v>5.577882E-2</v>
      </c>
      <c r="AA4898">
        <v>0.97431800000000002</v>
      </c>
      <c r="AB4898">
        <v>27</v>
      </c>
      <c r="AC4898">
        <v>-2.5899999999999701</v>
      </c>
      <c r="AD4898">
        <v>-1.1183241205000001</v>
      </c>
      <c r="AE4898">
        <v>-17.124799999999901</v>
      </c>
      <c r="AF4898">
        <v>3.8178069655015299</v>
      </c>
      <c r="AG4898">
        <v>-1.1183241205000001</v>
      </c>
      <c r="AH4898">
        <v>16.819794403634599</v>
      </c>
      <c r="AI4898">
        <v>93.709822291211793</v>
      </c>
      <c r="AJ4898">
        <v>77.211521126407206</v>
      </c>
      <c r="AK4898">
        <v>17.283859020625599</v>
      </c>
      <c r="AL4898">
        <v>95.510077639992303</v>
      </c>
      <c r="AM4898">
        <v>87.375173188815694</v>
      </c>
      <c r="AN4898">
        <v>1.0000000074776301</v>
      </c>
    </row>
    <row r="4899" spans="1:40" x14ac:dyDescent="0.25">
      <c r="A4899" t="str">
        <f>"20190303154235921"</f>
        <v>20190303154235921</v>
      </c>
      <c r="B4899" t="str">
        <f>"1551598955915118"</f>
        <v>1551598955915118</v>
      </c>
      <c r="C4899" t="s">
        <v>40</v>
      </c>
      <c r="D4899">
        <v>5.5956049999999999</v>
      </c>
      <c r="E4899">
        <v>0.56690099999999999</v>
      </c>
      <c r="F4899" t="s">
        <v>57</v>
      </c>
      <c r="G4899">
        <v>-194.4025</v>
      </c>
      <c r="H4899" s="1">
        <v>-1.3935620000000001E-5</v>
      </c>
      <c r="I4899">
        <v>156.2688</v>
      </c>
      <c r="J4899">
        <v>-191.7396</v>
      </c>
      <c r="K4899">
        <v>1.1183179999999999</v>
      </c>
      <c r="L4899">
        <v>173.5455</v>
      </c>
      <c r="M4899">
        <v>7.0528779999999999E-2</v>
      </c>
      <c r="N4899">
        <v>-7.1191329999999997E-3</v>
      </c>
      <c r="O4899">
        <v>-0.9974845</v>
      </c>
      <c r="P4899">
        <v>2.4167709999999998E-2</v>
      </c>
      <c r="Q4899">
        <v>-0.10099470000000001</v>
      </c>
      <c r="R4899">
        <v>-0.99459390000000003</v>
      </c>
      <c r="S4899">
        <v>-0.45301819999999998</v>
      </c>
      <c r="T4899">
        <v>-0.1915828</v>
      </c>
      <c r="U4899">
        <v>-3.0094449999999999</v>
      </c>
      <c r="V4899">
        <v>4.564518E-2</v>
      </c>
      <c r="W4899">
        <v>-9.4110330000000006E-2</v>
      </c>
      <c r="X4899">
        <v>0.99451480000000003</v>
      </c>
      <c r="Y4899">
        <v>0.21794720000000001</v>
      </c>
      <c r="Z4899">
        <v>5.5037490000000001E-2</v>
      </c>
      <c r="AA4899">
        <v>0.97440740000000003</v>
      </c>
      <c r="AB4899">
        <v>27</v>
      </c>
      <c r="AC4899">
        <v>-2.6629</v>
      </c>
      <c r="AD4899">
        <v>-1.1183319356200001</v>
      </c>
      <c r="AE4899">
        <v>-17.276700000000002</v>
      </c>
      <c r="AF4899">
        <v>3.85900937787294</v>
      </c>
      <c r="AG4899">
        <v>-1.1183319356200001</v>
      </c>
      <c r="AH4899">
        <v>16.976377298535301</v>
      </c>
      <c r="AI4899">
        <v>93.6754603099387</v>
      </c>
      <c r="AJ4899">
        <v>77.193353294369601</v>
      </c>
      <c r="AK4899">
        <v>17.445343386673802</v>
      </c>
      <c r="AL4899">
        <v>95.400116268011203</v>
      </c>
      <c r="AM4899">
        <v>87.3721435799266</v>
      </c>
      <c r="AN4899">
        <v>0.99999996204449004</v>
      </c>
    </row>
    <row r="4900" spans="1:40" x14ac:dyDescent="0.25">
      <c r="A4900" t="str">
        <f>"20190303154235937"</f>
        <v>20190303154235937</v>
      </c>
      <c r="B4900" t="str">
        <f>"1551598955934640"</f>
        <v>1551598955934640</v>
      </c>
      <c r="C4900" t="s">
        <v>40</v>
      </c>
      <c r="D4900">
        <v>5.5784099999999999</v>
      </c>
      <c r="E4900">
        <v>0.56671169999999904</v>
      </c>
      <c r="F4900" t="s">
        <v>57</v>
      </c>
      <c r="G4900">
        <v>-194.4494</v>
      </c>
      <c r="H4900" s="1">
        <v>-1.3732449999999999E-5</v>
      </c>
      <c r="I4900">
        <v>155.78550000000001</v>
      </c>
      <c r="J4900">
        <v>-191.7276</v>
      </c>
      <c r="K4900">
        <v>1.11832</v>
      </c>
      <c r="L4900">
        <v>173.3526</v>
      </c>
      <c r="M4900">
        <v>6.8873690000000001E-2</v>
      </c>
      <c r="N4900">
        <v>-7.1505259999999999E-3</v>
      </c>
      <c r="O4900">
        <v>-0.99759980000000004</v>
      </c>
      <c r="P4900">
        <v>2.219082E-2</v>
      </c>
      <c r="Q4900">
        <v>-9.9912870000000001E-2</v>
      </c>
      <c r="R4900">
        <v>-0.99474899999999999</v>
      </c>
      <c r="S4900">
        <v>-0.45899960000000001</v>
      </c>
      <c r="T4900">
        <v>-0.18942529999999999</v>
      </c>
      <c r="U4900">
        <v>-3.0082399999999998</v>
      </c>
      <c r="V4900">
        <v>4.5983330000000003E-2</v>
      </c>
      <c r="W4900">
        <v>-9.2998330000000004E-2</v>
      </c>
      <c r="X4900">
        <v>0.99460389999999999</v>
      </c>
      <c r="Y4900">
        <v>0.21828549999999999</v>
      </c>
      <c r="Z4900">
        <v>5.4332270000000002E-2</v>
      </c>
      <c r="AA4900">
        <v>0.97437130000000005</v>
      </c>
      <c r="AB4900">
        <v>27</v>
      </c>
      <c r="AC4900">
        <v>-2.7218</v>
      </c>
      <c r="AD4900">
        <v>-1.11833373245</v>
      </c>
      <c r="AE4900">
        <v>-17.5670999999999</v>
      </c>
      <c r="AF4900">
        <v>3.9098045920317799</v>
      </c>
      <c r="AG4900">
        <v>-1.11833373245</v>
      </c>
      <c r="AH4900">
        <v>17.269570240870301</v>
      </c>
      <c r="AI4900">
        <v>93.613946722207501</v>
      </c>
      <c r="AJ4900">
        <v>77.243372914489001</v>
      </c>
      <c r="AK4900">
        <v>17.741907974887098</v>
      </c>
      <c r="AL4900">
        <v>95.336122289876002</v>
      </c>
      <c r="AM4900">
        <v>87.352940224461904</v>
      </c>
      <c r="AN4900">
        <v>1.00000003695794</v>
      </c>
    </row>
    <row r="4901" spans="1:40" x14ac:dyDescent="0.25">
      <c r="A4901" t="str">
        <f>"20190303154235955"</f>
        <v>20190303154235955</v>
      </c>
      <c r="B4901" t="str">
        <f>"1551598955945375"</f>
        <v>1551598955945375</v>
      </c>
      <c r="C4901" t="s">
        <v>40</v>
      </c>
      <c r="D4901">
        <v>5.6675250000000004</v>
      </c>
      <c r="E4901">
        <v>0.56676159999999998</v>
      </c>
      <c r="F4901" t="s">
        <v>57</v>
      </c>
      <c r="G4901">
        <v>-194.4693</v>
      </c>
      <c r="H4901" s="1">
        <v>-1.364286E-5</v>
      </c>
      <c r="I4901">
        <v>155.57249999999999</v>
      </c>
      <c r="J4901">
        <v>-191.714</v>
      </c>
      <c r="K4901">
        <v>1.118325</v>
      </c>
      <c r="L4901">
        <v>173.1258</v>
      </c>
      <c r="M4901">
        <v>6.6935700000000001E-2</v>
      </c>
      <c r="N4901">
        <v>-7.197246E-3</v>
      </c>
      <c r="O4901">
        <v>-0.99773160000000005</v>
      </c>
      <c r="P4901">
        <v>2.0186450000000002E-2</v>
      </c>
      <c r="Q4901">
        <v>-9.8544809999999997E-2</v>
      </c>
      <c r="R4901">
        <v>-0.99492840000000005</v>
      </c>
      <c r="S4901">
        <v>-0.46369929999999898</v>
      </c>
      <c r="T4901">
        <v>-0.1891465</v>
      </c>
      <c r="U4901">
        <v>-3.0071870000000001</v>
      </c>
      <c r="V4901">
        <v>4.6069739999999998E-2</v>
      </c>
      <c r="W4901">
        <v>-9.1583540000000005E-2</v>
      </c>
      <c r="X4901">
        <v>0.99473109999999998</v>
      </c>
      <c r="Y4901">
        <v>0.2179294</v>
      </c>
      <c r="Z4901">
        <v>5.4224670000000003E-2</v>
      </c>
      <c r="AA4901">
        <v>0.97445700000000002</v>
      </c>
      <c r="AB4901">
        <v>27</v>
      </c>
      <c r="AC4901">
        <v>-2.7552999999999699</v>
      </c>
      <c r="AD4901">
        <v>-1.11833864286</v>
      </c>
      <c r="AE4901">
        <v>-17.5533</v>
      </c>
      <c r="AF4901">
        <v>3.9086089827368</v>
      </c>
      <c r="AG4901">
        <v>-1.11833864286</v>
      </c>
      <c r="AH4901">
        <v>17.2611186692126</v>
      </c>
      <c r="AI4901">
        <v>93.615695063307399</v>
      </c>
      <c r="AJ4901">
        <v>77.241106428825503</v>
      </c>
      <c r="AK4901">
        <v>17.733418260806001</v>
      </c>
      <c r="AL4901">
        <v>95.254713730424598</v>
      </c>
      <c r="AM4901">
        <v>87.348311713188707</v>
      </c>
      <c r="AN4901">
        <v>0.99999996352490295</v>
      </c>
    </row>
    <row r="4902" spans="1:40" x14ac:dyDescent="0.25">
      <c r="A4902" t="str">
        <f>"20190303154235977"</f>
        <v>20190303154235977</v>
      </c>
      <c r="B4902" t="str">
        <f>"1551598955974655"</f>
        <v>1551598955974655</v>
      </c>
      <c r="C4902" t="s">
        <v>40</v>
      </c>
      <c r="D4902">
        <v>5.7782309999999999</v>
      </c>
      <c r="E4902">
        <v>0.60813319999999904</v>
      </c>
      <c r="F4902" t="s">
        <v>57</v>
      </c>
      <c r="G4902">
        <v>-194.55680000000001</v>
      </c>
      <c r="H4902" s="1">
        <v>-1.338019E-5</v>
      </c>
      <c r="I4902">
        <v>154.94210000000001</v>
      </c>
      <c r="J4902">
        <v>-191.69900000000001</v>
      </c>
      <c r="K4902">
        <v>1.1183419999999999</v>
      </c>
      <c r="L4902">
        <v>172.86779999999999</v>
      </c>
      <c r="M4902">
        <v>6.474096E-2</v>
      </c>
      <c r="N4902">
        <v>-7.28803099999999E-3</v>
      </c>
      <c r="O4902">
        <v>-0.99787559999999997</v>
      </c>
      <c r="P4902">
        <v>1.7758409999999999E-2</v>
      </c>
      <c r="Q4902">
        <v>-9.7356479999999995E-2</v>
      </c>
      <c r="R4902">
        <v>-0.99509119999999995</v>
      </c>
      <c r="S4902">
        <v>-0.47004699999999999</v>
      </c>
      <c r="T4902">
        <v>-0.18490819999999999</v>
      </c>
      <c r="U4902">
        <v>-3.006516</v>
      </c>
      <c r="V4902">
        <v>4.6321059999999997E-2</v>
      </c>
      <c r="W4902">
        <v>-9.0305759999999999E-2</v>
      </c>
      <c r="X4902">
        <v>0.99483630000000001</v>
      </c>
      <c r="Y4902">
        <v>0.217837</v>
      </c>
      <c r="Z4902">
        <v>5.2779470000000002E-2</v>
      </c>
      <c r="AA4902">
        <v>0.97455700000000001</v>
      </c>
      <c r="AB4902">
        <v>27</v>
      </c>
      <c r="AC4902">
        <v>-2.8577999999999899</v>
      </c>
      <c r="AD4902">
        <v>-1.1183553801899999</v>
      </c>
      <c r="AE4902">
        <v>-17.9256999999999</v>
      </c>
      <c r="AF4902">
        <v>3.9971893671152801</v>
      </c>
      <c r="AG4902">
        <v>-1.1183553801899999</v>
      </c>
      <c r="AH4902">
        <v>17.636126326393999</v>
      </c>
      <c r="AI4902">
        <v>93.538904674885501</v>
      </c>
      <c r="AJ4902">
        <v>77.229785179005404</v>
      </c>
      <c r="AK4902">
        <v>18.117979837539998</v>
      </c>
      <c r="AL4902">
        <v>95.181197387497207</v>
      </c>
      <c r="AM4902">
        <v>87.334148545044002</v>
      </c>
      <c r="AN4902">
        <v>1.00000001734319</v>
      </c>
    </row>
    <row r="4903" spans="1:40" x14ac:dyDescent="0.25">
      <c r="A4903" t="str">
        <f>"20190303154235999"</f>
        <v>20190303154235999</v>
      </c>
      <c r="B4903" t="str">
        <f>"1551598955995152"</f>
        <v>1551598955995152</v>
      </c>
      <c r="C4903" t="s">
        <v>40</v>
      </c>
      <c r="D4903">
        <v>5.6946810000000001</v>
      </c>
      <c r="E4903">
        <v>0.62079110000000004</v>
      </c>
      <c r="F4903" t="s">
        <v>41</v>
      </c>
      <c r="G4903">
        <v>-195.08529999999999</v>
      </c>
      <c r="H4903" s="1">
        <v>-1.6839559999999999E-6</v>
      </c>
      <c r="I4903">
        <v>160.29159999999999</v>
      </c>
      <c r="J4903">
        <v>-191.68389999999999</v>
      </c>
      <c r="K4903">
        <v>1.1183730000000001</v>
      </c>
      <c r="L4903">
        <v>172.59729999999999</v>
      </c>
      <c r="M4903">
        <v>6.2447219999999998E-2</v>
      </c>
      <c r="N4903">
        <v>-7.47517199999999E-3</v>
      </c>
      <c r="O4903">
        <v>-0.99802020000000002</v>
      </c>
      <c r="P4903">
        <v>1.628141E-2</v>
      </c>
      <c r="Q4903">
        <v>-9.6567710000000001E-2</v>
      </c>
      <c r="R4903">
        <v>-0.99519329999999995</v>
      </c>
      <c r="S4903">
        <v>-0.80863949999999996</v>
      </c>
      <c r="T4903">
        <v>-0.26705309999999999</v>
      </c>
      <c r="U4903">
        <v>-3.0031129999999999</v>
      </c>
      <c r="V4903">
        <v>4.5519030000000002E-2</v>
      </c>
      <c r="W4903">
        <v>-8.9327409999999996E-2</v>
      </c>
      <c r="X4903">
        <v>0.9949616</v>
      </c>
      <c r="Y4903">
        <v>0.31891120000000001</v>
      </c>
      <c r="Z4903">
        <v>7.6998590000000006E-2</v>
      </c>
      <c r="AA4903">
        <v>0.94465169999999998</v>
      </c>
      <c r="AB4903">
        <v>27</v>
      </c>
      <c r="AC4903">
        <v>-3.40139999999999</v>
      </c>
      <c r="AD4903">
        <v>-1.118374683956</v>
      </c>
      <c r="AE4903">
        <v>-12.3057</v>
      </c>
      <c r="AF4903">
        <v>4.13153637041896</v>
      </c>
      <c r="AG4903">
        <v>-1.118374683956</v>
      </c>
      <c r="AH4903">
        <v>11.977360259893199</v>
      </c>
      <c r="AI4903">
        <v>95.044429891119194</v>
      </c>
      <c r="AJ4903">
        <v>70.968356829367906</v>
      </c>
      <c r="AK4903">
        <v>12.719178963638999</v>
      </c>
      <c r="AL4903">
        <v>95.124914791330596</v>
      </c>
      <c r="AM4903">
        <v>87.380571247694306</v>
      </c>
      <c r="AN4903">
        <v>0.99999997687200404</v>
      </c>
    </row>
    <row r="4904" spans="1:40" x14ac:dyDescent="0.25">
      <c r="A4904" t="str">
        <f>"20190303154236021"</f>
        <v>20190303154236021</v>
      </c>
      <c r="B4904" t="str">
        <f>"1551598956014671"</f>
        <v>1551598956014671</v>
      </c>
      <c r="C4904" t="s">
        <v>40</v>
      </c>
      <c r="D4904">
        <v>5.6280999999999999</v>
      </c>
      <c r="E4904">
        <v>0.62643740000000003</v>
      </c>
      <c r="F4904" t="s">
        <v>41</v>
      </c>
      <c r="G4904">
        <v>-195.48179999999999</v>
      </c>
      <c r="H4904" s="1">
        <v>-1.70806099999999E-6</v>
      </c>
      <c r="I4904">
        <v>160.11940000000001</v>
      </c>
      <c r="J4904">
        <v>-191.66909999999999</v>
      </c>
      <c r="K4904">
        <v>1.11842</v>
      </c>
      <c r="L4904">
        <v>172.31950000000001</v>
      </c>
      <c r="M4904">
        <v>6.0089030000000002E-2</v>
      </c>
      <c r="N4904">
        <v>-7.7299109999999999E-3</v>
      </c>
      <c r="O4904">
        <v>-0.99816320000000003</v>
      </c>
      <c r="P4904">
        <v>1.453349E-2</v>
      </c>
      <c r="Q4904">
        <v>-9.5983399999999996E-2</v>
      </c>
      <c r="R4904">
        <v>-0.99527690000000002</v>
      </c>
      <c r="S4904">
        <v>-0.91412349999999998</v>
      </c>
      <c r="T4904">
        <v>-0.26918350000000002</v>
      </c>
      <c r="U4904">
        <v>-3.0033259999999999</v>
      </c>
      <c r="V4904">
        <v>4.4920969999999998E-2</v>
      </c>
      <c r="W4904">
        <v>-8.8487629999999998E-2</v>
      </c>
      <c r="X4904">
        <v>0.99506380000000005</v>
      </c>
      <c r="Y4904">
        <v>0.34715600000000002</v>
      </c>
      <c r="Z4904">
        <v>7.6583890000000002E-2</v>
      </c>
      <c r="AA4904">
        <v>0.93467520000000004</v>
      </c>
      <c r="AB4904">
        <v>27</v>
      </c>
      <c r="AC4904">
        <v>-3.8127</v>
      </c>
      <c r="AD4904">
        <v>-1.1184217080609999</v>
      </c>
      <c r="AE4904">
        <v>-12.2000999999999</v>
      </c>
      <c r="AF4904">
        <v>4.5044371423010698</v>
      </c>
      <c r="AG4904">
        <v>-1.1184217080609999</v>
      </c>
      <c r="AH4904">
        <v>11.858156405694499</v>
      </c>
      <c r="AI4904">
        <v>95.038725722858999</v>
      </c>
      <c r="AJ4904">
        <v>69.200227661782904</v>
      </c>
      <c r="AK4904">
        <v>12.734076112066999</v>
      </c>
      <c r="AL4904">
        <v>95.076607722320304</v>
      </c>
      <c r="AM4904">
        <v>87.415205233178298</v>
      </c>
      <c r="AN4904">
        <v>0.99999996013959802</v>
      </c>
    </row>
    <row r="4905" spans="1:40" x14ac:dyDescent="0.25">
      <c r="A4905" t="str">
        <f>"20190303154236043"</f>
        <v>20190303154236043</v>
      </c>
      <c r="B4905" t="str">
        <f>"1551598956035166"</f>
        <v>1551598956035166</v>
      </c>
      <c r="C4905" t="s">
        <v>40</v>
      </c>
      <c r="D4905">
        <v>5.6436989999999998</v>
      </c>
      <c r="E4905">
        <v>0.63006689999999999</v>
      </c>
      <c r="F4905" t="s">
        <v>41</v>
      </c>
      <c r="G4905">
        <v>-195.73320000000001</v>
      </c>
      <c r="H4905" s="1">
        <v>-1.560795E-6</v>
      </c>
      <c r="I4905">
        <v>159.66640000000001</v>
      </c>
      <c r="J4905">
        <v>-191.65520000000001</v>
      </c>
      <c r="K4905">
        <v>1.118458</v>
      </c>
      <c r="L4905">
        <v>172.0463</v>
      </c>
      <c r="M4905">
        <v>5.7762719999999997E-2</v>
      </c>
      <c r="N4905">
        <v>-8.0486529999999994E-3</v>
      </c>
      <c r="O4905">
        <v>-0.99829820000000002</v>
      </c>
      <c r="P4905">
        <v>1.241895E-2</v>
      </c>
      <c r="Q4905">
        <v>-9.6518809999999997E-2</v>
      </c>
      <c r="R4905">
        <v>-0.99525390000000002</v>
      </c>
      <c r="S4905">
        <v>-0.96444700000000005</v>
      </c>
      <c r="T4905">
        <v>-0.26541569999999998</v>
      </c>
      <c r="U4905">
        <v>-3.0027309999999998</v>
      </c>
      <c r="V4905">
        <v>4.4709079999999998E-2</v>
      </c>
      <c r="W4905">
        <v>-8.8706960000000001E-2</v>
      </c>
      <c r="X4905">
        <v>0.99505379999999999</v>
      </c>
      <c r="Y4905">
        <v>0.35929680000000003</v>
      </c>
      <c r="Z4905">
        <v>7.4724579999999999E-2</v>
      </c>
      <c r="AA4905">
        <v>0.93022689999999997</v>
      </c>
      <c r="AB4905">
        <v>27</v>
      </c>
      <c r="AC4905">
        <v>-4.0780000000000003</v>
      </c>
      <c r="AD4905">
        <v>-1.1184595607950001</v>
      </c>
      <c r="AE4905">
        <v>-12.3798999999999</v>
      </c>
      <c r="AF4905">
        <v>4.7513252920236999</v>
      </c>
      <c r="AG4905">
        <v>-1.1184595607950001</v>
      </c>
      <c r="AH4905">
        <v>12.0350478468044</v>
      </c>
      <c r="AI4905">
        <v>94.940425212662404</v>
      </c>
      <c r="AJ4905">
        <v>68.456352953990006</v>
      </c>
      <c r="AK4905">
        <v>12.9872406805537</v>
      </c>
      <c r="AL4905">
        <v>95.089224092886099</v>
      </c>
      <c r="AM4905">
        <v>87.427355344066598</v>
      </c>
      <c r="AN4905">
        <v>0.99999994574066198</v>
      </c>
    </row>
    <row r="4906" spans="1:40" x14ac:dyDescent="0.25">
      <c r="A4906" t="str">
        <f>"20190303154236066"</f>
        <v>20190303154236066</v>
      </c>
      <c r="B4906" t="str">
        <f>"1551598956054688"</f>
        <v>1551598956054688</v>
      </c>
      <c r="C4906" t="s">
        <v>40</v>
      </c>
      <c r="D4906">
        <v>5.6321320000000004</v>
      </c>
      <c r="E4906">
        <v>0.63224760000000002</v>
      </c>
      <c r="F4906" t="s">
        <v>57</v>
      </c>
      <c r="G4906">
        <v>-195.85290000000001</v>
      </c>
      <c r="H4906" s="1">
        <v>-1.493437E-5</v>
      </c>
      <c r="I4906">
        <v>159.44489999999999</v>
      </c>
      <c r="J4906">
        <v>-191.64179999999999</v>
      </c>
      <c r="K4906">
        <v>1.1185080000000001</v>
      </c>
      <c r="L4906">
        <v>171.7705</v>
      </c>
      <c r="M4906">
        <v>5.5392810000000001E-2</v>
      </c>
      <c r="N4906">
        <v>-8.467591E-3</v>
      </c>
      <c r="O4906">
        <v>-0.99842880000000001</v>
      </c>
      <c r="P4906">
        <v>9.1097739999999993E-3</v>
      </c>
      <c r="Q4906">
        <v>-9.7548590000000004E-2</v>
      </c>
      <c r="R4906">
        <v>-0.9951892</v>
      </c>
      <c r="S4906">
        <v>-0.99966429999999995</v>
      </c>
      <c r="T4906">
        <v>-0.2663586</v>
      </c>
      <c r="U4906">
        <v>-3.0009459999999999</v>
      </c>
      <c r="V4906">
        <v>4.564174E-2</v>
      </c>
      <c r="W4906">
        <v>-8.9327669999999998E-2</v>
      </c>
      <c r="X4906">
        <v>0.99495599999999995</v>
      </c>
      <c r="Y4906">
        <v>0.367089</v>
      </c>
      <c r="Z4906">
        <v>7.4382599999999993E-2</v>
      </c>
      <c r="AA4906">
        <v>0.92720709999999995</v>
      </c>
      <c r="AB4906">
        <v>27</v>
      </c>
      <c r="AC4906">
        <v>-4.2111000000000098</v>
      </c>
      <c r="AD4906">
        <v>-1.1185229343700001</v>
      </c>
      <c r="AE4906">
        <v>-12.3256</v>
      </c>
      <c r="AF4906">
        <v>4.8516302071038702</v>
      </c>
      <c r="AG4906">
        <v>-1.1185229343700001</v>
      </c>
      <c r="AH4906">
        <v>11.9850191614096</v>
      </c>
      <c r="AI4906">
        <v>94.944208826647994</v>
      </c>
      <c r="AJ4906">
        <v>67.961509687036497</v>
      </c>
      <c r="AK4906">
        <v>12.978062009427701</v>
      </c>
      <c r="AL4906">
        <v>95.124929518714495</v>
      </c>
      <c r="AM4906">
        <v>87.373504916144896</v>
      </c>
      <c r="AN4906">
        <v>1.00000002149692</v>
      </c>
    </row>
    <row r="4907" spans="1:40" x14ac:dyDescent="0.25">
      <c r="A4907" t="str">
        <f>"20190303154236087"</f>
        <v>20190303154236087</v>
      </c>
      <c r="B4907" t="str">
        <f>"1551598956084943"</f>
        <v>1551598956084943</v>
      </c>
      <c r="C4907" t="s">
        <v>40</v>
      </c>
      <c r="D4907">
        <v>5.6492269999999998</v>
      </c>
      <c r="E4907">
        <v>0.63420379999999998</v>
      </c>
      <c r="F4907" t="s">
        <v>57</v>
      </c>
      <c r="G4907">
        <v>-195.886</v>
      </c>
      <c r="H4907" s="1">
        <v>-1.4919269999999999E-5</v>
      </c>
      <c r="I4907">
        <v>159.38489999999999</v>
      </c>
      <c r="J4907">
        <v>-191.62950000000001</v>
      </c>
      <c r="K4907">
        <v>1.1185639999999999</v>
      </c>
      <c r="L4907">
        <v>171.50099999999901</v>
      </c>
      <c r="M4907">
        <v>5.3033039999999997E-2</v>
      </c>
      <c r="N4907">
        <v>-8.9663280000000008E-3</v>
      </c>
      <c r="O4907">
        <v>-0.99855260000000001</v>
      </c>
      <c r="P4907">
        <v>4.4149259999999996E-3</v>
      </c>
      <c r="Q4907">
        <v>-9.8016149999999996E-2</v>
      </c>
      <c r="R4907">
        <v>-0.99517509999999998</v>
      </c>
      <c r="S4907">
        <v>-1.0270999999999999</v>
      </c>
      <c r="T4907">
        <v>-0.27068809999999999</v>
      </c>
      <c r="U4907">
        <v>-2.9973749999999999</v>
      </c>
      <c r="V4907">
        <v>4.7973149999999999E-2</v>
      </c>
      <c r="W4907">
        <v>-8.9314210000000005E-2</v>
      </c>
      <c r="X4907">
        <v>0.9948475</v>
      </c>
      <c r="Y4907">
        <v>0.37280059999999998</v>
      </c>
      <c r="Z4907">
        <v>7.5113089999999993E-2</v>
      </c>
      <c r="AA4907">
        <v>0.92486630000000003</v>
      </c>
      <c r="AB4907">
        <v>27</v>
      </c>
      <c r="AC4907">
        <v>-4.2564999999999804</v>
      </c>
      <c r="AD4907">
        <v>-1.11857891927</v>
      </c>
      <c r="AE4907">
        <v>-12.1160999999999</v>
      </c>
      <c r="AF4907">
        <v>4.8562449889136898</v>
      </c>
      <c r="AG4907">
        <v>-1.11857891927</v>
      </c>
      <c r="AH4907">
        <v>11.783900534939001</v>
      </c>
      <c r="AI4907">
        <v>95.015645640868001</v>
      </c>
      <c r="AJ4907">
        <v>67.603027085324499</v>
      </c>
      <c r="AK4907">
        <v>12.7943208498271</v>
      </c>
      <c r="AL4907">
        <v>95.124155334368098</v>
      </c>
      <c r="AM4907">
        <v>87.239243718228394</v>
      </c>
      <c r="AN4907">
        <v>0.99999999974254805</v>
      </c>
    </row>
    <row r="4908" spans="1:40" x14ac:dyDescent="0.25">
      <c r="A4908" t="str">
        <f>"20190303154236110"</f>
        <v>20190303154236110</v>
      </c>
      <c r="B4908" t="str">
        <f>"1551598956105440"</f>
        <v>1551598956105440</v>
      </c>
      <c r="C4908" t="s">
        <v>40</v>
      </c>
      <c r="D4908">
        <v>5.6786909999999997</v>
      </c>
      <c r="E4908">
        <v>0.63496909999999995</v>
      </c>
      <c r="F4908" t="s">
        <v>57</v>
      </c>
      <c r="G4908">
        <v>-195.99520000000001</v>
      </c>
      <c r="H4908" s="1">
        <v>-1.4857150000000001E-5</v>
      </c>
      <c r="I4908">
        <v>159.13800000000001</v>
      </c>
      <c r="J4908">
        <v>-191.6174</v>
      </c>
      <c r="K4908">
        <v>1.118608</v>
      </c>
      <c r="L4908">
        <v>171.2199</v>
      </c>
      <c r="M4908">
        <v>5.049174E-2</v>
      </c>
      <c r="N4908">
        <v>-9.5175580000000006E-3</v>
      </c>
      <c r="O4908">
        <v>-0.99867899999999998</v>
      </c>
      <c r="P4908">
        <v>-6.127525E-4</v>
      </c>
      <c r="Q4908">
        <v>-9.8267729999999998E-2</v>
      </c>
      <c r="R4908">
        <v>-0.99515969999999998</v>
      </c>
      <c r="S4908">
        <v>-1.0567629999999999</v>
      </c>
      <c r="T4908">
        <v>-0.27076260000000002</v>
      </c>
      <c r="U4908">
        <v>-2.9925839999999999</v>
      </c>
      <c r="V4908">
        <v>5.045562E-2</v>
      </c>
      <c r="W4908">
        <v>-8.9035470000000005E-2</v>
      </c>
      <c r="X4908">
        <v>0.99474969999999996</v>
      </c>
      <c r="Y4908">
        <v>0.37906499999999999</v>
      </c>
      <c r="Z4908">
        <v>7.4483850000000004E-2</v>
      </c>
      <c r="AA4908">
        <v>0.92236750000000001</v>
      </c>
      <c r="AB4908">
        <v>27</v>
      </c>
      <c r="AC4908">
        <v>-4.3777999999999997</v>
      </c>
      <c r="AD4908">
        <v>-1.1186228571500001</v>
      </c>
      <c r="AE4908">
        <v>-12.0818999999999</v>
      </c>
      <c r="AF4908">
        <v>4.9448104318967996</v>
      </c>
      <c r="AG4908">
        <v>-1.1186228571500001</v>
      </c>
      <c r="AH4908">
        <v>11.7563521831316</v>
      </c>
      <c r="AI4908">
        <v>95.012472924024905</v>
      </c>
      <c r="AJ4908">
        <v>67.188010605664402</v>
      </c>
      <c r="AK4908">
        <v>12.802901388269699</v>
      </c>
      <c r="AL4908">
        <v>95.1081206972909</v>
      </c>
      <c r="AM4908">
        <v>87.096336142678993</v>
      </c>
      <c r="AN4908">
        <v>1.0000000250788901</v>
      </c>
    </row>
    <row r="4909" spans="1:40" x14ac:dyDescent="0.25">
      <c r="A4909" t="str">
        <f>"20190303154236133"</f>
        <v>20190303154236133</v>
      </c>
      <c r="B4909" t="str">
        <f>"1551598956124959"</f>
        <v>1551598956124959</v>
      </c>
      <c r="C4909" t="s">
        <v>40</v>
      </c>
      <c r="D4909">
        <v>5.6805240000000001</v>
      </c>
      <c r="E4909">
        <v>0.63549750000000005</v>
      </c>
      <c r="F4909" t="s">
        <v>57</v>
      </c>
      <c r="G4909">
        <v>-196.0564</v>
      </c>
      <c r="H4909" s="1">
        <v>-1.48019E-5</v>
      </c>
      <c r="I4909">
        <v>158.91839999999999</v>
      </c>
      <c r="J4909">
        <v>-191.60599999999999</v>
      </c>
      <c r="K4909">
        <v>1.118614</v>
      </c>
      <c r="L4909">
        <v>170.93799999999999</v>
      </c>
      <c r="M4909">
        <v>4.7843009999999998E-2</v>
      </c>
      <c r="N4909">
        <v>-1.0044920000000001E-2</v>
      </c>
      <c r="O4909">
        <v>-0.99880449999999998</v>
      </c>
      <c r="P4909">
        <v>-6.0759079999999997E-3</v>
      </c>
      <c r="Q4909">
        <v>-0.10009220000000001</v>
      </c>
      <c r="R4909">
        <v>-0.9949597</v>
      </c>
      <c r="S4909">
        <v>-1.0779110000000001</v>
      </c>
      <c r="T4909">
        <v>-0.2716287</v>
      </c>
      <c r="U4909">
        <v>-2.9871059999999998</v>
      </c>
      <c r="V4909">
        <v>5.3247250000000003E-2</v>
      </c>
      <c r="W4909">
        <v>-9.0359640000000005E-2</v>
      </c>
      <c r="X4909">
        <v>0.9944847</v>
      </c>
      <c r="Y4909">
        <v>0.38292540000000003</v>
      </c>
      <c r="Z4909">
        <v>7.4218839999999994E-2</v>
      </c>
      <c r="AA4909">
        <v>0.92079299999999997</v>
      </c>
      <c r="AB4909">
        <v>27</v>
      </c>
      <c r="AC4909">
        <v>-4.4504000000000001</v>
      </c>
      <c r="AD4909">
        <v>-1.1186288018999999</v>
      </c>
      <c r="AE4909">
        <v>-12.019599999999899</v>
      </c>
      <c r="AF4909">
        <v>4.9824337455406997</v>
      </c>
      <c r="AG4909">
        <v>-1.1186288018999999</v>
      </c>
      <c r="AH4909">
        <v>11.7037534466994</v>
      </c>
      <c r="AI4909">
        <v>95.0257420696678</v>
      </c>
      <c r="AJ4909">
        <v>66.939940839306601</v>
      </c>
      <c r="AK4909">
        <v>12.769252960383801</v>
      </c>
      <c r="AL4909">
        <v>95.184297370087094</v>
      </c>
      <c r="AM4909">
        <v>86.935164201346893</v>
      </c>
      <c r="AN4909">
        <v>0.99999997635379001</v>
      </c>
    </row>
    <row r="4910" spans="1:40" x14ac:dyDescent="0.25">
      <c r="A4910" t="str">
        <f>"20190303154236157"</f>
        <v>20190303154236157</v>
      </c>
      <c r="B4910" t="str">
        <f>"1551598956144479"</f>
        <v>1551598956144479</v>
      </c>
      <c r="C4910" t="s">
        <v>40</v>
      </c>
      <c r="D4910">
        <v>5.7244440000000001</v>
      </c>
      <c r="E4910">
        <v>0.63587989999999905</v>
      </c>
      <c r="F4910" t="s">
        <v>57</v>
      </c>
      <c r="G4910">
        <v>-196.02670000000001</v>
      </c>
      <c r="H4910" s="1">
        <v>-1.480854E-5</v>
      </c>
      <c r="I4910">
        <v>158.94479999999999</v>
      </c>
      <c r="J4910">
        <v>-191.59569999999999</v>
      </c>
      <c r="K4910">
        <v>1.11859</v>
      </c>
      <c r="L4910">
        <v>170.6602</v>
      </c>
      <c r="M4910">
        <v>4.5130669999999998E-2</v>
      </c>
      <c r="N4910">
        <v>-1.052345E-2</v>
      </c>
      <c r="O4910">
        <v>-0.99892590000000003</v>
      </c>
      <c r="P4910">
        <v>-1.2752990000000001E-2</v>
      </c>
      <c r="Q4910">
        <v>-0.10138229999999999</v>
      </c>
      <c r="R4910">
        <v>-0.99476629999999999</v>
      </c>
      <c r="S4910">
        <v>-1.098633</v>
      </c>
      <c r="T4910">
        <v>-0.278001</v>
      </c>
      <c r="U4910">
        <v>-2.9805299999999999</v>
      </c>
      <c r="V4910">
        <v>5.7189919999999998E-2</v>
      </c>
      <c r="W4910">
        <v>-9.1206850000000006E-2</v>
      </c>
      <c r="X4910">
        <v>0.99418839999999997</v>
      </c>
      <c r="Y4910">
        <v>0.38665739999999998</v>
      </c>
      <c r="Z4910">
        <v>7.573088E-2</v>
      </c>
      <c r="AA4910">
        <v>0.9191087</v>
      </c>
      <c r="AB4910">
        <v>27</v>
      </c>
      <c r="AC4910">
        <v>-4.4310000000000098</v>
      </c>
      <c r="AD4910">
        <v>-1.11860480854</v>
      </c>
      <c r="AE4910">
        <v>-11.715400000000001</v>
      </c>
      <c r="AF4910">
        <v>4.9160285143656104</v>
      </c>
      <c r="AG4910">
        <v>-1.11860480854</v>
      </c>
      <c r="AH4910">
        <v>11.412453412184099</v>
      </c>
      <c r="AI4910">
        <v>95.143877135744503</v>
      </c>
      <c r="AJ4910">
        <v>66.695555216883093</v>
      </c>
      <c r="AK4910">
        <v>12.476486122182701</v>
      </c>
      <c r="AL4910">
        <v>95.233040209222594</v>
      </c>
      <c r="AM4910">
        <v>86.707732739484996</v>
      </c>
      <c r="AN4910">
        <v>0.99999997556554399</v>
      </c>
    </row>
    <row r="4911" spans="1:40" x14ac:dyDescent="0.25">
      <c r="A4911" t="str">
        <f>"20190303154236177"</f>
        <v>20190303154236177</v>
      </c>
      <c r="B4911" t="str">
        <f>"1551598956174735"</f>
        <v>1551598956174735</v>
      </c>
      <c r="C4911" t="s">
        <v>40</v>
      </c>
      <c r="D4911">
        <v>5.7426240000000002</v>
      </c>
      <c r="E4911">
        <v>0.63611790000000001</v>
      </c>
      <c r="F4911" t="s">
        <v>57</v>
      </c>
      <c r="G4911">
        <v>-196.017</v>
      </c>
      <c r="H4911" s="1">
        <v>-1.480828E-5</v>
      </c>
      <c r="I4911">
        <v>158.94380000000001</v>
      </c>
      <c r="J4911">
        <v>-191.58690000000001</v>
      </c>
      <c r="K4911">
        <v>1.1185590000000001</v>
      </c>
      <c r="L4911">
        <v>170.4025</v>
      </c>
      <c r="M4911">
        <v>4.2514290000000003E-2</v>
      </c>
      <c r="N4911">
        <v>-1.0932310000000001E-2</v>
      </c>
      <c r="O4911">
        <v>-0.99903629999999999</v>
      </c>
      <c r="P4911">
        <v>-1.9175689999999999E-2</v>
      </c>
      <c r="Q4911">
        <v>-0.1010457</v>
      </c>
      <c r="R4911">
        <v>-0.99469730000000001</v>
      </c>
      <c r="S4911">
        <v>-1.121704</v>
      </c>
      <c r="T4911">
        <v>-0.28379379999999998</v>
      </c>
      <c r="U4911">
        <v>-2.9724879999999998</v>
      </c>
      <c r="V4911">
        <v>6.0989590000000003E-2</v>
      </c>
      <c r="W4911">
        <v>-9.0495939999999997E-2</v>
      </c>
      <c r="X4911">
        <v>0.99402760000000001</v>
      </c>
      <c r="Y4911">
        <v>0.39125280000000001</v>
      </c>
      <c r="Z4911">
        <v>7.7141950000000001E-2</v>
      </c>
      <c r="AA4911">
        <v>0.91704439999999998</v>
      </c>
      <c r="AB4911">
        <v>27</v>
      </c>
      <c r="AC4911">
        <v>-4.4300999999999799</v>
      </c>
      <c r="AD4911">
        <v>-1.1185738082799901</v>
      </c>
      <c r="AE4911">
        <v>-11.458699999999901</v>
      </c>
      <c r="AF4911">
        <v>4.8728847881168198</v>
      </c>
      <c r="AG4911">
        <v>-1.1185738082799901</v>
      </c>
      <c r="AH4911">
        <v>11.1674056228539</v>
      </c>
      <c r="AI4911">
        <v>95.245329836773195</v>
      </c>
      <c r="AJ4911">
        <v>66.426004678016099</v>
      </c>
      <c r="AK4911">
        <v>12.2354878067113</v>
      </c>
      <c r="AL4911">
        <v>95.192138489731505</v>
      </c>
      <c r="AM4911">
        <v>86.488959704198507</v>
      </c>
      <c r="AN4911">
        <v>1.0000000574032999</v>
      </c>
    </row>
    <row r="4912" spans="1:40" x14ac:dyDescent="0.25">
      <c r="A4912" t="str">
        <f>"20190303154236199"</f>
        <v>20190303154236199</v>
      </c>
      <c r="B4912" t="str">
        <f>"1551598956195233"</f>
        <v>1551598956195233</v>
      </c>
      <c r="C4912" t="s">
        <v>40</v>
      </c>
      <c r="D4912">
        <v>5.2892999999999999</v>
      </c>
      <c r="E4912">
        <v>0.63688469999999997</v>
      </c>
      <c r="F4912" t="s">
        <v>57</v>
      </c>
      <c r="G4912">
        <v>-196.05690000000001</v>
      </c>
      <c r="H4912" s="1">
        <v>-1.47733299999999E-5</v>
      </c>
      <c r="I4912">
        <v>158.8049</v>
      </c>
      <c r="J4912">
        <v>-191.5787</v>
      </c>
      <c r="K4912">
        <v>1.1185290000000001</v>
      </c>
      <c r="L4912">
        <v>170.1352</v>
      </c>
      <c r="M4912">
        <v>3.9707310000000003E-2</v>
      </c>
      <c r="N4912">
        <v>-1.1320520000000001E-2</v>
      </c>
      <c r="O4912">
        <v>-0.99914749999999997</v>
      </c>
      <c r="P4912">
        <v>-2.5086250000000001E-2</v>
      </c>
      <c r="Q4912">
        <v>-0.1001532</v>
      </c>
      <c r="R4912">
        <v>-0.9946564</v>
      </c>
      <c r="S4912">
        <v>-1.1427309999999999</v>
      </c>
      <c r="T4912">
        <v>-0.285962099999999</v>
      </c>
      <c r="U4912">
        <v>-2.9649200000000002</v>
      </c>
      <c r="V4912">
        <v>6.4095879999999994E-2</v>
      </c>
      <c r="W4912">
        <v>-8.9245060000000001E-2</v>
      </c>
      <c r="X4912">
        <v>0.99394519999999997</v>
      </c>
      <c r="Y4912">
        <v>0.39509339999999998</v>
      </c>
      <c r="Z4912">
        <v>7.7466989999999999E-2</v>
      </c>
      <c r="AA4912">
        <v>0.91536890000000004</v>
      </c>
      <c r="AB4912">
        <v>27</v>
      </c>
      <c r="AC4912">
        <v>-4.47820000000001</v>
      </c>
      <c r="AD4912">
        <v>-1.1185437733299901</v>
      </c>
      <c r="AE4912">
        <v>-11.3302999999999</v>
      </c>
      <c r="AF4912">
        <v>4.8834290640260098</v>
      </c>
      <c r="AG4912">
        <v>-1.1185437733299901</v>
      </c>
      <c r="AH4912">
        <v>11.0503891279314</v>
      </c>
      <c r="AI4912">
        <v>95.289612878779195</v>
      </c>
      <c r="AJ4912">
        <v>66.158227693038896</v>
      </c>
      <c r="AK4912">
        <v>12.133017739826</v>
      </c>
      <c r="AL4912">
        <v>95.120177385113806</v>
      </c>
      <c r="AM4912">
        <v>86.310314193346699</v>
      </c>
      <c r="AN4912">
        <v>1.0000000115851999</v>
      </c>
    </row>
    <row r="4913" spans="1:40" x14ac:dyDescent="0.25">
      <c r="A4913" t="str">
        <f>"20190303154236222"</f>
        <v>20190303154236222</v>
      </c>
      <c r="B4913" t="str">
        <f>"1551598956214751"</f>
        <v>1551598956214751</v>
      </c>
      <c r="C4913" t="s">
        <v>40</v>
      </c>
      <c r="D4913">
        <v>5.7695970000000001</v>
      </c>
      <c r="E4913">
        <v>0.63688549999999999</v>
      </c>
      <c r="F4913" t="s">
        <v>57</v>
      </c>
      <c r="G4913">
        <v>-196.49600000000001</v>
      </c>
      <c r="H4913" s="1">
        <v>-1.448436E-5</v>
      </c>
      <c r="I4913">
        <v>157.65639999999999</v>
      </c>
      <c r="J4913">
        <v>-191.571</v>
      </c>
      <c r="K4913">
        <v>1.1185020000000001</v>
      </c>
      <c r="L4913">
        <v>169.8544</v>
      </c>
      <c r="M4913">
        <v>3.6653400000000003E-2</v>
      </c>
      <c r="N4913">
        <v>-1.1685879999999999E-2</v>
      </c>
      <c r="O4913">
        <v>-0.99925980000000003</v>
      </c>
      <c r="P4913">
        <v>-2.9675679999999999E-2</v>
      </c>
      <c r="Q4913">
        <v>-0.10053040000000001</v>
      </c>
      <c r="R4913">
        <v>-0.99449140000000003</v>
      </c>
      <c r="S4913">
        <v>-1.1663969999999999</v>
      </c>
      <c r="T4913">
        <v>-0.26532040000000001</v>
      </c>
      <c r="U4913">
        <v>-2.959991</v>
      </c>
      <c r="V4913">
        <v>6.562867E-2</v>
      </c>
      <c r="W4913">
        <v>-8.9278170000000004E-2</v>
      </c>
      <c r="X4913">
        <v>0.99384220000000001</v>
      </c>
      <c r="Y4913">
        <v>0.39933760000000001</v>
      </c>
      <c r="Z4913">
        <v>7.0684559999999994E-2</v>
      </c>
      <c r="AA4913">
        <v>0.91407499999999997</v>
      </c>
      <c r="AB4913">
        <v>27</v>
      </c>
      <c r="AC4913">
        <v>-4.9249999999999803</v>
      </c>
      <c r="AD4913">
        <v>-1.11851648436</v>
      </c>
      <c r="AE4913">
        <v>-12.198</v>
      </c>
      <c r="AF4913">
        <v>5.3302823829288402</v>
      </c>
      <c r="AG4913">
        <v>-1.11851648436</v>
      </c>
      <c r="AH4913">
        <v>11.9230715872408</v>
      </c>
      <c r="AI4913">
        <v>94.8950067082869</v>
      </c>
      <c r="AJ4913">
        <v>65.912675746482705</v>
      </c>
      <c r="AK4913">
        <v>13.1081129641919</v>
      </c>
      <c r="AL4913">
        <v>95.122082027501506</v>
      </c>
      <c r="AM4913">
        <v>86.221941126159706</v>
      </c>
      <c r="AN4913">
        <v>1.0000000162326701</v>
      </c>
    </row>
    <row r="4914" spans="1:40" x14ac:dyDescent="0.25">
      <c r="A4914" t="str">
        <f>"20190303154236245"</f>
        <v>20190303154236245</v>
      </c>
      <c r="B4914" t="str">
        <f>"1551598956235247"</f>
        <v>1551598956235247</v>
      </c>
      <c r="C4914" t="s">
        <v>40</v>
      </c>
      <c r="D4914">
        <v>5.8138339999999999</v>
      </c>
      <c r="E4914">
        <v>0.63681129999999997</v>
      </c>
      <c r="F4914" t="s">
        <v>57</v>
      </c>
      <c r="G4914">
        <v>-196.47569999999999</v>
      </c>
      <c r="H4914" s="1">
        <v>-1.4464120000000001E-5</v>
      </c>
      <c r="I4914">
        <v>157.57599999999999</v>
      </c>
      <c r="J4914">
        <v>-191.5643</v>
      </c>
      <c r="K4914">
        <v>1.1184540000000001</v>
      </c>
      <c r="L4914">
        <v>169.57769999999999</v>
      </c>
      <c r="M4914">
        <v>3.3537190000000001E-2</v>
      </c>
      <c r="N4914">
        <v>-1.2005129999999999E-2</v>
      </c>
      <c r="O4914">
        <v>-0.99936559999999997</v>
      </c>
      <c r="P4914">
        <v>-3.4011239999999998E-2</v>
      </c>
      <c r="Q4914">
        <v>-0.10067760000000001</v>
      </c>
      <c r="R4914">
        <v>-0.99433800000000006</v>
      </c>
      <c r="S4914">
        <v>-1.1800839999999999</v>
      </c>
      <c r="T4914">
        <v>-0.26911580000000002</v>
      </c>
      <c r="U4914">
        <v>-2.9541930000000001</v>
      </c>
      <c r="V4914">
        <v>6.6849899999999907E-2</v>
      </c>
      <c r="W4914">
        <v>-8.9124679999999998E-2</v>
      </c>
      <c r="X4914">
        <v>0.99377450000000001</v>
      </c>
      <c r="Y4914">
        <v>0.40071519999999999</v>
      </c>
      <c r="Z4914">
        <v>7.1612609999999993E-2</v>
      </c>
      <c r="AA4914">
        <v>0.91339970000000004</v>
      </c>
      <c r="AB4914">
        <v>27</v>
      </c>
      <c r="AC4914">
        <v>-4.91139999999998</v>
      </c>
      <c r="AD4914">
        <v>-1.11846846412</v>
      </c>
      <c r="AE4914">
        <v>-12.0017</v>
      </c>
      <c r="AF4914">
        <v>5.2719506552409996</v>
      </c>
      <c r="AG4914">
        <v>-1.11846846412</v>
      </c>
      <c r="AH4914">
        <v>11.7428654731339</v>
      </c>
      <c r="AI4914">
        <v>94.966048407566703</v>
      </c>
      <c r="AJ4914">
        <v>65.822339644109704</v>
      </c>
      <c r="AK4914">
        <v>12.9205001813647</v>
      </c>
      <c r="AL4914">
        <v>95.113252905242703</v>
      </c>
      <c r="AM4914">
        <v>86.151586274786595</v>
      </c>
      <c r="AN4914">
        <v>0.999999937282679</v>
      </c>
    </row>
    <row r="4915" spans="1:40" x14ac:dyDescent="0.25">
      <c r="A4915" t="str">
        <f>"20190303154236267"</f>
        <v>20190303154236267</v>
      </c>
      <c r="B4915" t="str">
        <f>"1551598956264527"</f>
        <v>1551598956264527</v>
      </c>
      <c r="C4915" t="s">
        <v>40</v>
      </c>
      <c r="D4915">
        <v>5.7471030000000001</v>
      </c>
      <c r="E4915">
        <v>0.55116219999999905</v>
      </c>
      <c r="F4915" t="s">
        <v>57</v>
      </c>
      <c r="G4915">
        <v>-196.48830000000001</v>
      </c>
      <c r="H4915" s="1">
        <v>-1.441963E-5</v>
      </c>
      <c r="I4915">
        <v>157.3991</v>
      </c>
      <c r="J4915">
        <v>-191.55860000000001</v>
      </c>
      <c r="K4915">
        <v>1.118403</v>
      </c>
      <c r="L4915">
        <v>169.30170000000001</v>
      </c>
      <c r="M4915">
        <v>3.0321440000000002E-2</v>
      </c>
      <c r="N4915">
        <v>-1.22866E-2</v>
      </c>
      <c r="O4915">
        <v>-0.99946480000000004</v>
      </c>
      <c r="P4915">
        <v>-3.7790070000000002E-2</v>
      </c>
      <c r="Q4915">
        <v>-0.10124560000000001</v>
      </c>
      <c r="R4915">
        <v>-0.99414369999999996</v>
      </c>
      <c r="S4915">
        <v>-1.1922759999999999</v>
      </c>
      <c r="T4915">
        <v>-0.27082319999999999</v>
      </c>
      <c r="U4915">
        <v>-2.9488829999999999</v>
      </c>
      <c r="V4915">
        <v>6.741229E-2</v>
      </c>
      <c r="W4915">
        <v>-8.9427060000000003E-2</v>
      </c>
      <c r="X4915">
        <v>0.99370939999999996</v>
      </c>
      <c r="Y4915">
        <v>0.40156940000000002</v>
      </c>
      <c r="Z4915">
        <v>7.1939009999999998E-2</v>
      </c>
      <c r="AA4915">
        <v>0.9129988</v>
      </c>
      <c r="AB4915">
        <v>27</v>
      </c>
      <c r="AC4915">
        <v>-4.9296999999999898</v>
      </c>
      <c r="AD4915">
        <v>-1.1184174196300001</v>
      </c>
      <c r="AE4915">
        <v>-11.9026</v>
      </c>
      <c r="AF4915">
        <v>5.2488066552139498</v>
      </c>
      <c r="AG4915">
        <v>-1.1184174196300001</v>
      </c>
      <c r="AH4915">
        <v>11.6597659552274</v>
      </c>
      <c r="AI4915">
        <v>94.998775784180097</v>
      </c>
      <c r="AJ4915">
        <v>65.764441942371207</v>
      </c>
      <c r="AK4915">
        <v>12.835535476131399</v>
      </c>
      <c r="AL4915">
        <v>95.130647171147601</v>
      </c>
      <c r="AM4915">
        <v>86.119055676353497</v>
      </c>
      <c r="AN4915">
        <v>0.99999999377582305</v>
      </c>
    </row>
    <row r="4916" spans="1:40" x14ac:dyDescent="0.25">
      <c r="A4916" t="str">
        <f>"20190303154236289"</f>
        <v>20190303154236289</v>
      </c>
      <c r="B4916" t="str">
        <f>"1551598956285023"</f>
        <v>1551598956285023</v>
      </c>
      <c r="C4916" t="s">
        <v>40</v>
      </c>
      <c r="D4916">
        <v>5.7264619999999997</v>
      </c>
      <c r="E4916">
        <v>0.54812289999999997</v>
      </c>
      <c r="F4916" t="s">
        <v>57</v>
      </c>
      <c r="G4916">
        <v>-193.48259999999999</v>
      </c>
      <c r="H4916" s="1">
        <v>-1.465816E-5</v>
      </c>
      <c r="I4916">
        <v>158.34719999999999</v>
      </c>
      <c r="J4916">
        <v>-191.554</v>
      </c>
      <c r="K4916">
        <v>1.118339</v>
      </c>
      <c r="L4916">
        <v>169.03210000000001</v>
      </c>
      <c r="M4916">
        <v>2.7067000000000001E-2</v>
      </c>
      <c r="N4916">
        <v>-1.2529159999999999E-2</v>
      </c>
      <c r="O4916">
        <v>-0.99955510000000003</v>
      </c>
      <c r="P4916">
        <v>-4.1631460000000002E-2</v>
      </c>
      <c r="Q4916">
        <v>-0.1002002</v>
      </c>
      <c r="R4916">
        <v>-0.99409619999999999</v>
      </c>
      <c r="S4916">
        <v>-0.52111819999999998</v>
      </c>
      <c r="T4916">
        <v>-0.30291990000000002</v>
      </c>
      <c r="U4916">
        <v>-2.9669949999999998</v>
      </c>
      <c r="V4916">
        <v>6.8010660000000001E-2</v>
      </c>
      <c r="W4916">
        <v>-8.8155430000000007E-2</v>
      </c>
      <c r="X4916">
        <v>0.99378230000000001</v>
      </c>
      <c r="Y4916">
        <v>0.19878689999999999</v>
      </c>
      <c r="Z4916">
        <v>8.7240999999999999E-2</v>
      </c>
      <c r="AA4916">
        <v>0.97615209999999997</v>
      </c>
      <c r="AB4916">
        <v>27</v>
      </c>
      <c r="AC4916">
        <v>-1.9285999999999801</v>
      </c>
      <c r="AD4916">
        <v>-1.11835365816</v>
      </c>
      <c r="AE4916">
        <v>-10.684900000000001</v>
      </c>
      <c r="AF4916">
        <v>2.1938485985393101</v>
      </c>
      <c r="AG4916">
        <v>-1.11835365816</v>
      </c>
      <c r="AH4916">
        <v>10.5171972038154</v>
      </c>
      <c r="AI4916">
        <v>95.942807206434196</v>
      </c>
      <c r="AJ4916">
        <v>78.217270772406806</v>
      </c>
      <c r="AK4916">
        <v>10.8016259702868</v>
      </c>
      <c r="AL4916">
        <v>95.057498959431399</v>
      </c>
      <c r="AM4916">
        <v>86.085000336977402</v>
      </c>
      <c r="AN4916">
        <v>1.0000000447527</v>
      </c>
    </row>
    <row r="4917" spans="1:40" x14ac:dyDescent="0.25">
      <c r="A4917" t="str">
        <f>"20190303154236312"</f>
        <v>20190303154236312</v>
      </c>
      <c r="B4917" t="str">
        <f>"1551598956304546"</f>
        <v>1551598956304546</v>
      </c>
      <c r="C4917" t="s">
        <v>40</v>
      </c>
      <c r="D4917">
        <v>5.4768480000000004</v>
      </c>
      <c r="E4917">
        <v>0.54726149999999996</v>
      </c>
      <c r="F4917" t="s">
        <v>57</v>
      </c>
      <c r="G4917">
        <v>-193.4597</v>
      </c>
      <c r="H4917" s="1">
        <v>-1.454838E-5</v>
      </c>
      <c r="I4917">
        <v>157.91079999999999</v>
      </c>
      <c r="J4917">
        <v>-191.55029999999999</v>
      </c>
      <c r="K4917">
        <v>1.1182460000000001</v>
      </c>
      <c r="L4917">
        <v>168.75819999999999</v>
      </c>
      <c r="M4917">
        <v>2.3624579999999999E-2</v>
      </c>
      <c r="N4917">
        <v>-1.2746449999999999E-2</v>
      </c>
      <c r="O4917">
        <v>-0.99963959999999996</v>
      </c>
      <c r="P4917">
        <v>-4.5528899999999997E-2</v>
      </c>
      <c r="Q4917">
        <v>-0.10034369999999999</v>
      </c>
      <c r="R4917">
        <v>-0.99391059999999998</v>
      </c>
      <c r="S4917">
        <v>-0.50833130000000004</v>
      </c>
      <c r="T4917">
        <v>-0.29830839999999997</v>
      </c>
      <c r="U4917">
        <v>-2.9664760000000001</v>
      </c>
      <c r="V4917">
        <v>6.8464460000000005E-2</v>
      </c>
      <c r="W4917">
        <v>-8.8101849999999995E-2</v>
      </c>
      <c r="X4917">
        <v>0.99375579999999997</v>
      </c>
      <c r="Y4917">
        <v>0.1913791</v>
      </c>
      <c r="Z4917">
        <v>8.5661920000000003E-2</v>
      </c>
      <c r="AA4917">
        <v>0.97777099999999995</v>
      </c>
      <c r="AB4917">
        <v>27</v>
      </c>
      <c r="AC4917">
        <v>-1.9094</v>
      </c>
      <c r="AD4917">
        <v>-1.1182605483800001</v>
      </c>
      <c r="AE4917">
        <v>-10.847399999999899</v>
      </c>
      <c r="AF4917">
        <v>2.1430619998806799</v>
      </c>
      <c r="AG4917">
        <v>-1.1182605483800001</v>
      </c>
      <c r="AH4917">
        <v>10.6890745029919</v>
      </c>
      <c r="AI4917">
        <v>95.856680474371899</v>
      </c>
      <c r="AJ4917">
        <v>78.6630262336801</v>
      </c>
      <c r="AK4917">
        <v>10.958993344276999</v>
      </c>
      <c r="AL4917">
        <v>95.054417519508206</v>
      </c>
      <c r="AM4917">
        <v>86.058854850402795</v>
      </c>
      <c r="AN4917">
        <v>0.99999995414507603</v>
      </c>
    </row>
    <row r="4918" spans="1:40" x14ac:dyDescent="0.25">
      <c r="A4918" t="str">
        <f>"20190303154236334"</f>
        <v>20190303154236334</v>
      </c>
      <c r="B4918" t="str">
        <f>"1551598956325043"</f>
        <v>1551598956325043</v>
      </c>
      <c r="C4918" t="s">
        <v>40</v>
      </c>
      <c r="D4918">
        <v>5.7008150000000004</v>
      </c>
      <c r="E4918">
        <v>0.54593369999999997</v>
      </c>
      <c r="F4918" t="s">
        <v>57</v>
      </c>
      <c r="G4918">
        <v>-193.9015</v>
      </c>
      <c r="H4918" s="1">
        <v>-1.3409060000000001E-5</v>
      </c>
      <c r="I4918">
        <v>155.14490000000001</v>
      </c>
      <c r="J4918">
        <v>-191.5478</v>
      </c>
      <c r="K4918">
        <v>1.118133</v>
      </c>
      <c r="L4918">
        <v>168.48830000000001</v>
      </c>
      <c r="M4918">
        <v>2.0077080000000001E-2</v>
      </c>
      <c r="N4918">
        <v>-1.2934640000000001E-2</v>
      </c>
      <c r="O4918">
        <v>-0.99971509999999997</v>
      </c>
      <c r="P4918">
        <v>-4.9879039999999999E-2</v>
      </c>
      <c r="Q4918">
        <v>-0.1021499</v>
      </c>
      <c r="R4918">
        <v>-0.99351809999999996</v>
      </c>
      <c r="S4918">
        <v>-0.51300049999999997</v>
      </c>
      <c r="T4918">
        <v>-0.24398880000000001</v>
      </c>
      <c r="U4918">
        <v>-2.9702299999999999</v>
      </c>
      <c r="V4918">
        <v>6.9249359999999996E-2</v>
      </c>
      <c r="W4918">
        <v>-8.9747430000000003E-2</v>
      </c>
      <c r="X4918">
        <v>0.99355420000000005</v>
      </c>
      <c r="Y4918">
        <v>0.18944159999999999</v>
      </c>
      <c r="Z4918">
        <v>6.7590259999999999E-2</v>
      </c>
      <c r="AA4918">
        <v>0.97956290000000001</v>
      </c>
      <c r="AB4918">
        <v>27</v>
      </c>
      <c r="AC4918">
        <v>-2.3536999999999999</v>
      </c>
      <c r="AD4918">
        <v>-1.11814640906</v>
      </c>
      <c r="AE4918">
        <v>-13.343400000000001</v>
      </c>
      <c r="AF4918">
        <v>2.6034146617654401</v>
      </c>
      <c r="AG4918">
        <v>-1.11814640906</v>
      </c>
      <c r="AH4918">
        <v>13.2035324749613</v>
      </c>
      <c r="AI4918">
        <v>94.749550154066199</v>
      </c>
      <c r="AJ4918">
        <v>78.845752884467998</v>
      </c>
      <c r="AK4918">
        <v>13.504121189864501</v>
      </c>
      <c r="AL4918">
        <v>95.149077034962303</v>
      </c>
      <c r="AM4918">
        <v>86.013010828807595</v>
      </c>
      <c r="AN4918">
        <v>1.00000001169482</v>
      </c>
    </row>
    <row r="4919" spans="1:40" x14ac:dyDescent="0.25">
      <c r="A4919" t="str">
        <f>"20190303154236358"</f>
        <v>20190303154236358</v>
      </c>
      <c r="B4919" t="str">
        <f>"1551598956355297"</f>
        <v>1551598956355297</v>
      </c>
      <c r="C4919" t="s">
        <v>40</v>
      </c>
      <c r="D4919">
        <v>5.7125839999999997</v>
      </c>
      <c r="E4919">
        <v>0.54433359999999997</v>
      </c>
      <c r="F4919" t="s">
        <v>57</v>
      </c>
      <c r="G4919">
        <v>-193.73079999999999</v>
      </c>
      <c r="H4919" s="1">
        <v>-1.372757E-5</v>
      </c>
      <c r="I4919">
        <v>155.92269999999999</v>
      </c>
      <c r="J4919">
        <v>-191.54640000000001</v>
      </c>
      <c r="K4919">
        <v>1.118012</v>
      </c>
      <c r="L4919">
        <v>168.21270000000001</v>
      </c>
      <c r="M4919">
        <v>1.6265979999999999E-2</v>
      </c>
      <c r="N4919">
        <v>-1.310251E-2</v>
      </c>
      <c r="O4919">
        <v>-0.99978180000000005</v>
      </c>
      <c r="P4919">
        <v>-5.4827760000000003E-2</v>
      </c>
      <c r="Q4919">
        <v>-0.1040637</v>
      </c>
      <c r="R4919">
        <v>-0.99305829999999995</v>
      </c>
      <c r="S4919">
        <v>-0.51536559999999998</v>
      </c>
      <c r="T4919">
        <v>-0.26397589999999999</v>
      </c>
      <c r="U4919">
        <v>-2.9665370000000002</v>
      </c>
      <c r="V4919">
        <v>7.0367550000000001E-2</v>
      </c>
      <c r="W4919">
        <v>-9.1526850000000007E-2</v>
      </c>
      <c r="X4919">
        <v>0.99331329999999995</v>
      </c>
      <c r="Y4919">
        <v>0.18657360000000001</v>
      </c>
      <c r="Z4919">
        <v>7.4113280000000004E-2</v>
      </c>
      <c r="AA4919">
        <v>0.9796416</v>
      </c>
      <c r="AB4919">
        <v>27</v>
      </c>
      <c r="AC4919">
        <v>-2.1843999999999801</v>
      </c>
      <c r="AD4919">
        <v>-1.1180257275700001</v>
      </c>
      <c r="AE4919">
        <v>-12.29</v>
      </c>
      <c r="AF4919">
        <v>2.3650640521244499</v>
      </c>
      <c r="AG4919">
        <v>-1.1180257275700001</v>
      </c>
      <c r="AH4919">
        <v>12.155327082656701</v>
      </c>
      <c r="AI4919">
        <v>95.158970163681303</v>
      </c>
      <c r="AJ4919">
        <v>78.989518223599305</v>
      </c>
      <c r="AK4919">
        <v>12.433643310973901</v>
      </c>
      <c r="AL4919">
        <v>95.251451561044206</v>
      </c>
      <c r="AM4919">
        <v>85.947865168970694</v>
      </c>
      <c r="AN4919">
        <v>1.0000000341604001</v>
      </c>
    </row>
    <row r="4920" spans="1:40" x14ac:dyDescent="0.25">
      <c r="A4920" t="str">
        <f>"20190303154236378"</f>
        <v>20190303154236378</v>
      </c>
      <c r="B4920" t="str">
        <f>"1551598956374815"</f>
        <v>1551598956374815</v>
      </c>
      <c r="C4920" t="s">
        <v>40</v>
      </c>
      <c r="D4920">
        <v>5.7374349999999996</v>
      </c>
      <c r="E4920">
        <v>0.54370680000000005</v>
      </c>
      <c r="F4920" t="s">
        <v>57</v>
      </c>
      <c r="G4920">
        <v>-193.5489</v>
      </c>
      <c r="H4920" s="1">
        <v>-1.40656299999999E-5</v>
      </c>
      <c r="I4920">
        <v>156.7483</v>
      </c>
      <c r="J4920">
        <v>-191.54640000000001</v>
      </c>
      <c r="K4920">
        <v>1.117901</v>
      </c>
      <c r="L4920">
        <v>167.9556</v>
      </c>
      <c r="M4920">
        <v>1.253755E-2</v>
      </c>
      <c r="N4920">
        <v>-1.324024E-2</v>
      </c>
      <c r="O4920">
        <v>-0.99983390000000005</v>
      </c>
      <c r="P4920">
        <v>-6.0828340000000002E-2</v>
      </c>
      <c r="Q4920">
        <v>-0.1050254</v>
      </c>
      <c r="R4920">
        <v>-0.99260780000000004</v>
      </c>
      <c r="S4920">
        <v>-0.51737979999999995</v>
      </c>
      <c r="T4920">
        <v>-0.28887279999999999</v>
      </c>
      <c r="U4920">
        <v>-2.9621430000000002</v>
      </c>
      <c r="V4920">
        <v>7.2629479999999996E-2</v>
      </c>
      <c r="W4920">
        <v>-9.2391769999999998E-2</v>
      </c>
      <c r="X4920">
        <v>0.99307040000000002</v>
      </c>
      <c r="Y4920">
        <v>0.18368090000000001</v>
      </c>
      <c r="Z4920">
        <v>8.2306630000000006E-2</v>
      </c>
      <c r="AA4920">
        <v>0.97953400000000002</v>
      </c>
      <c r="AB4920">
        <v>27</v>
      </c>
      <c r="AC4920">
        <v>-2.0024999999999902</v>
      </c>
      <c r="AD4920">
        <v>-1.1179150656299901</v>
      </c>
      <c r="AE4920">
        <v>-11.2073</v>
      </c>
      <c r="AF4920">
        <v>2.1224027522264199</v>
      </c>
      <c r="AG4920">
        <v>-1.1179150656299901</v>
      </c>
      <c r="AH4920">
        <v>11.0745297196751</v>
      </c>
      <c r="AI4920">
        <v>95.661829046235695</v>
      </c>
      <c r="AJ4920">
        <v>79.150970510572193</v>
      </c>
      <c r="AK4920">
        <v>11.331351907367001</v>
      </c>
      <c r="AL4920">
        <v>95.301218617688406</v>
      </c>
      <c r="AM4920">
        <v>85.817047008674194</v>
      </c>
      <c r="AN4920">
        <v>1.0000000499424799</v>
      </c>
    </row>
    <row r="4921" spans="1:40" x14ac:dyDescent="0.25">
      <c r="A4921" t="str">
        <f>"20190303154236402"</f>
        <v>20190303154236402</v>
      </c>
      <c r="B4921" t="str">
        <f>"1551598956395312"</f>
        <v>1551598956395312</v>
      </c>
      <c r="C4921" t="s">
        <v>40</v>
      </c>
      <c r="D4921">
        <v>5.7389390000000002</v>
      </c>
      <c r="E4921">
        <v>0.54315800000000003</v>
      </c>
      <c r="F4921" t="s">
        <v>57</v>
      </c>
      <c r="G4921">
        <v>-193.52879999999999</v>
      </c>
      <c r="H4921" s="1">
        <v>-1.412908E-5</v>
      </c>
      <c r="I4921">
        <v>156.90039999999999</v>
      </c>
      <c r="J4921">
        <v>-191.54750000000001</v>
      </c>
      <c r="K4921">
        <v>1.117796</v>
      </c>
      <c r="L4921">
        <v>167.67850000000001</v>
      </c>
      <c r="M4921">
        <v>8.3629589999999997E-3</v>
      </c>
      <c r="N4921">
        <v>-1.3369839999999999E-2</v>
      </c>
      <c r="O4921">
        <v>-0.99987579999999998</v>
      </c>
      <c r="P4921">
        <v>-7.0129040000000004E-2</v>
      </c>
      <c r="Q4921">
        <v>-0.1041787</v>
      </c>
      <c r="R4921">
        <v>-0.9920833</v>
      </c>
      <c r="S4921">
        <v>-0.53047180000000005</v>
      </c>
      <c r="T4921">
        <v>-0.29913679999999998</v>
      </c>
      <c r="U4921">
        <v>-2.9582060000000001</v>
      </c>
      <c r="V4921">
        <v>7.7765520000000005E-2</v>
      </c>
      <c r="W4921">
        <v>-9.1477630000000004E-2</v>
      </c>
      <c r="X4921">
        <v>0.99276600000000004</v>
      </c>
      <c r="Y4921">
        <v>0.183946</v>
      </c>
      <c r="Z4921">
        <v>8.5641410000000001E-2</v>
      </c>
      <c r="AA4921">
        <v>0.97919829999999997</v>
      </c>
      <c r="AB4921">
        <v>27</v>
      </c>
      <c r="AC4921">
        <v>-1.9812999999999701</v>
      </c>
      <c r="AD4921">
        <v>-1.11781012908</v>
      </c>
      <c r="AE4921">
        <v>-10.7781</v>
      </c>
      <c r="AF4921">
        <v>2.05004598647897</v>
      </c>
      <c r="AG4921">
        <v>-1.11781012908</v>
      </c>
      <c r="AH4921">
        <v>10.6503412476353</v>
      </c>
      <c r="AI4921">
        <v>95.884321855905299</v>
      </c>
      <c r="AJ4921">
        <v>79.104598508877402</v>
      </c>
      <c r="AK4921">
        <v>10.9033002674619</v>
      </c>
      <c r="AL4921">
        <v>95.248619857822703</v>
      </c>
      <c r="AM4921">
        <v>85.521042888854396</v>
      </c>
      <c r="AN4921">
        <v>0.99999998182364302</v>
      </c>
    </row>
    <row r="4922" spans="1:40" x14ac:dyDescent="0.25">
      <c r="A4922" t="str">
        <f>"20190303154236423"</f>
        <v>20190303154236423</v>
      </c>
      <c r="B4922" t="str">
        <f>"1551598956414831"</f>
        <v>1551598956414831</v>
      </c>
      <c r="C4922" t="s">
        <v>40</v>
      </c>
      <c r="D4922">
        <v>5.5137910000000003</v>
      </c>
      <c r="E4922">
        <v>0.54295839999999995</v>
      </c>
      <c r="F4922" t="s">
        <v>57</v>
      </c>
      <c r="G4922">
        <v>-193.5967</v>
      </c>
      <c r="H4922" s="1">
        <v>-1.4070439999999999E-5</v>
      </c>
      <c r="I4922">
        <v>156.74959999999999</v>
      </c>
      <c r="J4922">
        <v>-191.5498</v>
      </c>
      <c r="K4922">
        <v>1.1177159999999999</v>
      </c>
      <c r="L4922">
        <v>167.4161</v>
      </c>
      <c r="M4922">
        <v>4.2829909999999999E-3</v>
      </c>
      <c r="N4922">
        <v>-1.3476210000000001E-2</v>
      </c>
      <c r="O4922">
        <v>-0.99990000000000001</v>
      </c>
      <c r="P4922">
        <v>-8.0264489999999994E-2</v>
      </c>
      <c r="Q4922">
        <v>-0.1044094</v>
      </c>
      <c r="R4922">
        <v>-0.99129020000000001</v>
      </c>
      <c r="S4922">
        <v>-0.55371090000000001</v>
      </c>
      <c r="T4922">
        <v>-0.3020408</v>
      </c>
      <c r="U4922">
        <v>-2.9530789999999998</v>
      </c>
      <c r="V4922">
        <v>8.3831169999999997E-2</v>
      </c>
      <c r="W4922">
        <v>-9.1671130000000003E-2</v>
      </c>
      <c r="X4922">
        <v>0.99225439999999998</v>
      </c>
      <c r="Y4922">
        <v>0.18766450000000001</v>
      </c>
      <c r="Z4922">
        <v>8.6560100000000001E-2</v>
      </c>
      <c r="AA4922">
        <v>0.9784117</v>
      </c>
      <c r="AB4922">
        <v>27</v>
      </c>
      <c r="AC4922">
        <v>-2.0468999999999902</v>
      </c>
      <c r="AD4922">
        <v>-1.1177300704399999</v>
      </c>
      <c r="AE4922">
        <v>-10.666499999999999</v>
      </c>
      <c r="AF4922">
        <v>2.0706403830267299</v>
      </c>
      <c r="AG4922">
        <v>-1.1177300704399999</v>
      </c>
      <c r="AH4922">
        <v>10.545945645807301</v>
      </c>
      <c r="AI4922">
        <v>95.937471801746696</v>
      </c>
      <c r="AJ4922">
        <v>78.891587279169599</v>
      </c>
      <c r="AK4922">
        <v>10.805269162335099</v>
      </c>
      <c r="AL4922">
        <v>95.259753129610999</v>
      </c>
      <c r="AM4922">
        <v>85.170802081110807</v>
      </c>
      <c r="AN4922">
        <v>1.0000000277292</v>
      </c>
    </row>
    <row r="4923" spans="1:40" x14ac:dyDescent="0.25">
      <c r="A4923" t="str">
        <f>"20190303154236446"</f>
        <v>20190303154236446</v>
      </c>
      <c r="B4923" t="str">
        <f>"1551598956435327"</f>
        <v>1551598956435327</v>
      </c>
      <c r="C4923" t="s">
        <v>40</v>
      </c>
      <c r="D4923">
        <v>5.7415370000000001</v>
      </c>
      <c r="E4923">
        <v>0.54254399999999903</v>
      </c>
      <c r="F4923" t="s">
        <v>57</v>
      </c>
      <c r="G4923">
        <v>-193.80420000000001</v>
      </c>
      <c r="H4923" s="1">
        <v>-1.3767340000000001E-5</v>
      </c>
      <c r="I4923">
        <v>156.00020000000001</v>
      </c>
      <c r="J4923">
        <v>-191.55340000000001</v>
      </c>
      <c r="K4923">
        <v>1.117658</v>
      </c>
      <c r="L4923">
        <v>167.14429999999999</v>
      </c>
      <c r="M4923" s="1">
        <v>-3.6560799999999997E-5</v>
      </c>
      <c r="N4923">
        <v>-1.3571049999999999E-2</v>
      </c>
      <c r="O4923">
        <v>-0.99990780000000001</v>
      </c>
      <c r="P4923">
        <v>-9.1298409999999997E-2</v>
      </c>
      <c r="Q4923">
        <v>-0.1054827</v>
      </c>
      <c r="R4923">
        <v>-0.99022109999999997</v>
      </c>
      <c r="S4923">
        <v>-0.58232119999999998</v>
      </c>
      <c r="T4923">
        <v>-0.28871449999999999</v>
      </c>
      <c r="U4923">
        <v>-2.9487760000000001</v>
      </c>
      <c r="V4923">
        <v>9.0562450000000003E-2</v>
      </c>
      <c r="W4923">
        <v>-9.2723310000000003E-2</v>
      </c>
      <c r="X4923">
        <v>0.99156489999999997</v>
      </c>
      <c r="Y4923">
        <v>0.1929051</v>
      </c>
      <c r="Z4923">
        <v>8.2098279999999996E-2</v>
      </c>
      <c r="AA4923">
        <v>0.9777768</v>
      </c>
      <c r="AB4923">
        <v>27</v>
      </c>
      <c r="AC4923">
        <v>-2.2507999999999901</v>
      </c>
      <c r="AD4923">
        <v>-1.1176717673400001</v>
      </c>
      <c r="AE4923">
        <v>-11.1440999999999</v>
      </c>
      <c r="AF4923">
        <v>2.2288520371913698</v>
      </c>
      <c r="AG4923">
        <v>-1.1176717673400001</v>
      </c>
      <c r="AH4923">
        <v>11.037511518895901</v>
      </c>
      <c r="AI4923">
        <v>95.668480033412905</v>
      </c>
      <c r="AJ4923">
        <v>78.583543257337993</v>
      </c>
      <c r="AK4923">
        <v>11.3156366198708</v>
      </c>
      <c r="AL4923">
        <v>95.320296298903301</v>
      </c>
      <c r="AM4923">
        <v>84.781491320711496</v>
      </c>
      <c r="AN4923">
        <v>1.0000000602396799</v>
      </c>
    </row>
    <row r="4924" spans="1:40" x14ac:dyDescent="0.25">
      <c r="A4924" t="str">
        <f>"20190303154236467"</f>
        <v>20190303154236467</v>
      </c>
      <c r="B4924" t="str">
        <f>"1551598956464607"</f>
        <v>1551598956464607</v>
      </c>
      <c r="C4924" t="s">
        <v>40</v>
      </c>
      <c r="D4924">
        <v>5.7969160000000004</v>
      </c>
      <c r="E4924">
        <v>0.54149429999999998</v>
      </c>
      <c r="F4924" t="s">
        <v>57</v>
      </c>
      <c r="G4924">
        <v>-193.85640000000001</v>
      </c>
      <c r="H4924" s="1">
        <v>-1.380329E-5</v>
      </c>
      <c r="I4924">
        <v>156.07320000000001</v>
      </c>
      <c r="J4924">
        <v>-191.5581</v>
      </c>
      <c r="K4924">
        <v>1.117637</v>
      </c>
      <c r="L4924">
        <v>166.8809</v>
      </c>
      <c r="M4924">
        <v>-4.2626679999999998E-3</v>
      </c>
      <c r="N4924">
        <v>-1.3649659999999999E-2</v>
      </c>
      <c r="O4924">
        <v>-0.99989779999999995</v>
      </c>
      <c r="P4924">
        <v>-0.1007652</v>
      </c>
      <c r="Q4924">
        <v>-0.10601289999999999</v>
      </c>
      <c r="R4924">
        <v>-0.98924599999999996</v>
      </c>
      <c r="S4924">
        <v>-0.61189269999999996</v>
      </c>
      <c r="T4924">
        <v>-0.29696209999999901</v>
      </c>
      <c r="U4924">
        <v>-2.9415740000000001</v>
      </c>
      <c r="V4924">
        <v>9.5838259999999995E-2</v>
      </c>
      <c r="W4924">
        <v>-9.3228729999999996E-2</v>
      </c>
      <c r="X4924">
        <v>0.99102140000000005</v>
      </c>
      <c r="Y4924">
        <v>0.19859560000000001</v>
      </c>
      <c r="Z4924">
        <v>8.4813940000000004E-2</v>
      </c>
      <c r="AA4924">
        <v>0.97640479999999996</v>
      </c>
      <c r="AB4924">
        <v>27</v>
      </c>
      <c r="AC4924">
        <v>-2.29830000000001</v>
      </c>
      <c r="AD4924">
        <v>-1.1176508032900001</v>
      </c>
      <c r="AE4924">
        <v>-10.807699999999899</v>
      </c>
      <c r="AF4924">
        <v>2.2293952371516199</v>
      </c>
      <c r="AG4924">
        <v>-1.1176508032900001</v>
      </c>
      <c r="AH4924">
        <v>10.707842809161599</v>
      </c>
      <c r="AI4924">
        <v>95.834549667923497</v>
      </c>
      <c r="AJ4924">
        <v>78.238918224322902</v>
      </c>
      <c r="AK4924">
        <v>10.9944187689592</v>
      </c>
      <c r="AL4924">
        <v>95.349381081520804</v>
      </c>
      <c r="AM4924">
        <v>84.476299635724402</v>
      </c>
      <c r="AN4924">
        <v>0.99999999171760001</v>
      </c>
    </row>
    <row r="4925" spans="1:40" x14ac:dyDescent="0.25">
      <c r="A4925" t="str">
        <f>"20190303154236489"</f>
        <v>20190303154236489</v>
      </c>
      <c r="B4925" t="str">
        <f>"1551598956485104"</f>
        <v>1551598956485104</v>
      </c>
      <c r="C4925" t="s">
        <v>40</v>
      </c>
      <c r="D4925">
        <v>5.786365</v>
      </c>
      <c r="E4925">
        <v>0.54079960000000005</v>
      </c>
      <c r="F4925" t="s">
        <v>57</v>
      </c>
      <c r="G4925">
        <v>-193.87350000000001</v>
      </c>
      <c r="H4925" s="1">
        <v>-1.382421E-5</v>
      </c>
      <c r="I4925">
        <v>156.11840000000001</v>
      </c>
      <c r="J4925">
        <v>-191.56389999999999</v>
      </c>
      <c r="K4925">
        <v>1.1176680000000001</v>
      </c>
      <c r="L4925">
        <v>166.61369999999999</v>
      </c>
      <c r="M4925">
        <v>-8.5148589999999996E-3</v>
      </c>
      <c r="N4925">
        <v>-1.371678E-2</v>
      </c>
      <c r="O4925">
        <v>-0.99986980000000003</v>
      </c>
      <c r="P4925">
        <v>-0.1067608</v>
      </c>
      <c r="Q4925">
        <v>-0.1066593</v>
      </c>
      <c r="R4925">
        <v>-0.98854750000000002</v>
      </c>
      <c r="S4925">
        <v>-0.63154600000000005</v>
      </c>
      <c r="T4925">
        <v>-0.30485479999999998</v>
      </c>
      <c r="U4925">
        <v>-2.9356080000000002</v>
      </c>
      <c r="V4925">
        <v>9.7630110000000006E-2</v>
      </c>
      <c r="W4925">
        <v>-9.382066E-2</v>
      </c>
      <c r="X4925">
        <v>0.99079059999999997</v>
      </c>
      <c r="Y4925">
        <v>0.2010255</v>
      </c>
      <c r="Z4925">
        <v>8.7446220000000005E-2</v>
      </c>
      <c r="AA4925">
        <v>0.97567510000000002</v>
      </c>
      <c r="AB4925">
        <v>27</v>
      </c>
      <c r="AC4925">
        <v>-2.3096000000000099</v>
      </c>
      <c r="AD4925">
        <v>-1.11768182421</v>
      </c>
      <c r="AE4925">
        <v>-10.495299999999901</v>
      </c>
      <c r="AF4925">
        <v>2.19638348150625</v>
      </c>
      <c r="AG4925">
        <v>-1.11768182421</v>
      </c>
      <c r="AH4925">
        <v>10.4020675844334</v>
      </c>
      <c r="AI4925">
        <v>96.001462980268599</v>
      </c>
      <c r="AJ4925">
        <v>78.077197393793298</v>
      </c>
      <c r="AK4925">
        <v>10.6900104344721</v>
      </c>
      <c r="AL4925">
        <v>95.383445521254302</v>
      </c>
      <c r="AM4925">
        <v>84.372379589577704</v>
      </c>
      <c r="AN4925">
        <v>0.99999998383490296</v>
      </c>
    </row>
    <row r="4926" spans="1:40" x14ac:dyDescent="0.25">
      <c r="A4926" t="str">
        <f>"20190303154236513"</f>
        <v>20190303154236513</v>
      </c>
      <c r="B4926" t="str">
        <f>"1551598956504627"</f>
        <v>1551598956504627</v>
      </c>
      <c r="C4926" t="s">
        <v>40</v>
      </c>
      <c r="D4926">
        <v>5.7915780000000003</v>
      </c>
      <c r="E4926">
        <v>0.54019079999999997</v>
      </c>
      <c r="F4926" t="s">
        <v>57</v>
      </c>
      <c r="G4926">
        <v>-193.90559999999999</v>
      </c>
      <c r="H4926" s="1">
        <v>-1.375602E-5</v>
      </c>
      <c r="I4926">
        <v>155.9528</v>
      </c>
      <c r="J4926">
        <v>-191.571</v>
      </c>
      <c r="K4926">
        <v>1.117756</v>
      </c>
      <c r="L4926">
        <v>166.34110000000001</v>
      </c>
      <c r="M4926">
        <v>-1.274697E-2</v>
      </c>
      <c r="N4926">
        <v>-1.377282E-2</v>
      </c>
      <c r="O4926">
        <v>-0.99982389999999999</v>
      </c>
      <c r="P4926">
        <v>-0.1126233</v>
      </c>
      <c r="Q4926">
        <v>-0.1070045</v>
      </c>
      <c r="R4926">
        <v>-0.98785940000000005</v>
      </c>
      <c r="S4926">
        <v>-0.64402769999999898</v>
      </c>
      <c r="T4926">
        <v>-0.30739450000000001</v>
      </c>
      <c r="U4926">
        <v>-2.9320369999999998</v>
      </c>
      <c r="V4926">
        <v>9.9326419999999999E-2</v>
      </c>
      <c r="W4926">
        <v>-9.4108349999999993E-2</v>
      </c>
      <c r="X4926">
        <v>0.99059470000000005</v>
      </c>
      <c r="Y4926">
        <v>0.201072</v>
      </c>
      <c r="Z4926">
        <v>8.8299069999999993E-2</v>
      </c>
      <c r="AA4926">
        <v>0.97558869999999998</v>
      </c>
      <c r="AB4926">
        <v>27</v>
      </c>
      <c r="AC4926">
        <v>-2.3345999999999898</v>
      </c>
      <c r="AD4926">
        <v>-1.1177697560199999</v>
      </c>
      <c r="AE4926">
        <v>-10.388299999999999</v>
      </c>
      <c r="AF4926">
        <v>2.1779751057933101</v>
      </c>
      <c r="AG4926">
        <v>-1.1177697560199999</v>
      </c>
      <c r="AH4926">
        <v>10.3036619781184</v>
      </c>
      <c r="AI4926">
        <v>96.058549318291398</v>
      </c>
      <c r="AJ4926">
        <v>78.064582390987994</v>
      </c>
      <c r="AK4926">
        <v>10.590487946655299</v>
      </c>
      <c r="AL4926">
        <v>95.400002168154302</v>
      </c>
      <c r="AM4926">
        <v>84.274119816023898</v>
      </c>
      <c r="AN4926">
        <v>0.999999989458914</v>
      </c>
    </row>
    <row r="4927" spans="1:40" x14ac:dyDescent="0.25">
      <c r="A4927" t="str">
        <f>"20190303154236526"</f>
        <v>20190303154236526</v>
      </c>
      <c r="B4927" t="str">
        <f>"1551598956515359"</f>
        <v>1551598956515359</v>
      </c>
      <c r="C4927" t="s">
        <v>40</v>
      </c>
      <c r="D4927">
        <v>5.8011790000000003</v>
      </c>
      <c r="E4927">
        <v>0.539807699999999</v>
      </c>
      <c r="F4927" t="s">
        <v>57</v>
      </c>
      <c r="G4927">
        <v>-193.94280000000001</v>
      </c>
      <c r="H4927" s="1">
        <v>-1.3676120000000001E-5</v>
      </c>
      <c r="I4927">
        <v>155.75890000000001</v>
      </c>
      <c r="J4927">
        <v>-191.57579999999999</v>
      </c>
      <c r="K4927">
        <v>1.1178440000000001</v>
      </c>
      <c r="L4927">
        <v>166.17740000000001</v>
      </c>
      <c r="M4927">
        <v>-1.520321E-2</v>
      </c>
      <c r="N4927">
        <v>-1.3800339999999999E-2</v>
      </c>
      <c r="O4927">
        <v>-0.99978920000000004</v>
      </c>
      <c r="P4927">
        <v>-0.1153441</v>
      </c>
      <c r="Q4927">
        <v>-0.106183399999999</v>
      </c>
      <c r="R4927">
        <v>-0.98763409999999996</v>
      </c>
      <c r="S4927">
        <v>-0.65637209999999901</v>
      </c>
      <c r="T4927">
        <v>-0.30933189999999999</v>
      </c>
      <c r="U4927">
        <v>-2.928528</v>
      </c>
      <c r="V4927">
        <v>9.9641549999999995E-2</v>
      </c>
      <c r="W4927">
        <v>-9.3244850000000004E-2</v>
      </c>
      <c r="X4927">
        <v>0.99064470000000004</v>
      </c>
      <c r="Y4927">
        <v>0.2028142</v>
      </c>
      <c r="Z4927">
        <v>8.8961760000000001E-2</v>
      </c>
      <c r="AA4927">
        <v>0.97516780000000003</v>
      </c>
      <c r="AB4927">
        <v>27</v>
      </c>
      <c r="AC4927">
        <v>-2.3670000000000102</v>
      </c>
      <c r="AD4927">
        <v>-1.1178576761200001</v>
      </c>
      <c r="AE4927">
        <v>-10.4184999999999</v>
      </c>
      <c r="AF4927">
        <v>2.1844034262451499</v>
      </c>
      <c r="AG4927">
        <v>-1.1178576761200001</v>
      </c>
      <c r="AH4927">
        <v>10.3400894431471</v>
      </c>
      <c r="AI4927">
        <v>96.037983829170003</v>
      </c>
      <c r="AJ4927">
        <v>78.071327676224797</v>
      </c>
      <c r="AK4927">
        <v>10.6272608796874</v>
      </c>
      <c r="AL4927">
        <v>95.3503087874046</v>
      </c>
      <c r="AM4927">
        <v>84.256362736805997</v>
      </c>
      <c r="AN4927">
        <v>0.99999998108800703</v>
      </c>
    </row>
    <row r="4928" spans="1:40" x14ac:dyDescent="0.25">
      <c r="A4928" t="str">
        <f>"20190303154236547"</f>
        <v>20190303154236547</v>
      </c>
      <c r="B4928" t="str">
        <f>"1551598956544640"</f>
        <v>1551598956544640</v>
      </c>
      <c r="C4928" t="s">
        <v>40</v>
      </c>
      <c r="D4928">
        <v>5.8367089999999999</v>
      </c>
      <c r="E4928">
        <v>0.53890959999999999</v>
      </c>
      <c r="F4928" t="s">
        <v>57</v>
      </c>
      <c r="G4928">
        <v>-193.9785</v>
      </c>
      <c r="H4928" s="1">
        <v>-1.3586760000000001E-5</v>
      </c>
      <c r="I4928">
        <v>155.54320000000001</v>
      </c>
      <c r="J4928">
        <v>-191.5839</v>
      </c>
      <c r="K4928">
        <v>1.118015</v>
      </c>
      <c r="L4928">
        <v>165.9212</v>
      </c>
      <c r="M4928">
        <v>-1.8928650000000002E-2</v>
      </c>
      <c r="N4928">
        <v>-1.383764E-2</v>
      </c>
      <c r="O4928">
        <v>-0.99972510000000003</v>
      </c>
      <c r="P4928">
        <v>-0.1194559</v>
      </c>
      <c r="Q4928">
        <v>-0.1012395</v>
      </c>
      <c r="R4928">
        <v>-0.98766430000000005</v>
      </c>
      <c r="S4928">
        <v>-0.66137699999999999</v>
      </c>
      <c r="T4928">
        <v>-0.30770750000000002</v>
      </c>
      <c r="U4928">
        <v>-2.9272309999999999</v>
      </c>
      <c r="V4928">
        <v>0.1001285</v>
      </c>
      <c r="W4928">
        <v>-8.8230069999999994E-2</v>
      </c>
      <c r="X4928">
        <v>0.99105489999999996</v>
      </c>
      <c r="Y4928">
        <v>0.20085710000000001</v>
      </c>
      <c r="Z4928">
        <v>8.8432510000000006E-2</v>
      </c>
      <c r="AA4928">
        <v>0.97562090000000001</v>
      </c>
      <c r="AB4928">
        <v>27</v>
      </c>
      <c r="AC4928">
        <v>-2.3945999999999898</v>
      </c>
      <c r="AD4928">
        <v>-1.1180285867599999</v>
      </c>
      <c r="AE4928">
        <v>-10.377999999999901</v>
      </c>
      <c r="AF4928">
        <v>2.1737574338822498</v>
      </c>
      <c r="AG4928">
        <v>-1.1180285867599999</v>
      </c>
      <c r="AH4928">
        <v>10.307886242065701</v>
      </c>
      <c r="AI4928">
        <v>96.058079386321396</v>
      </c>
      <c r="AJ4928">
        <v>78.091777076256903</v>
      </c>
      <c r="AK4928">
        <v>10.593758921248799</v>
      </c>
      <c r="AL4928">
        <v>95.061792278122994</v>
      </c>
      <c r="AM4928">
        <v>84.230855245993098</v>
      </c>
      <c r="AN4928">
        <v>1.00000003828923</v>
      </c>
    </row>
    <row r="4929" spans="1:40" x14ac:dyDescent="0.25">
      <c r="A4929" t="str">
        <f>"20190303154236570"</f>
        <v>20190303154236570</v>
      </c>
      <c r="B4929" t="str">
        <f>"1551598956565136"</f>
        <v>1551598956565136</v>
      </c>
      <c r="C4929" t="s">
        <v>40</v>
      </c>
      <c r="D4929">
        <v>5.8471140000000004</v>
      </c>
      <c r="E4929">
        <v>0.53836640000000002</v>
      </c>
      <c r="F4929" t="s">
        <v>57</v>
      </c>
      <c r="G4929">
        <v>-194.09800000000001</v>
      </c>
      <c r="H4929" s="1">
        <v>-1.331277E-5</v>
      </c>
      <c r="I4929">
        <v>154.87979999999999</v>
      </c>
      <c r="J4929">
        <v>-191.59309999999999</v>
      </c>
      <c r="K4929">
        <v>1.118206</v>
      </c>
      <c r="L4929">
        <v>165.6542</v>
      </c>
      <c r="M4929">
        <v>-2.2631760000000001E-2</v>
      </c>
      <c r="N4929">
        <v>-1.38697E-2</v>
      </c>
      <c r="O4929">
        <v>-0.99964770000000003</v>
      </c>
      <c r="P4929">
        <v>-0.1232246</v>
      </c>
      <c r="Q4929">
        <v>-9.3171260000000006E-2</v>
      </c>
      <c r="R4929">
        <v>-0.98799559999999997</v>
      </c>
      <c r="S4929">
        <v>-0.66636660000000003</v>
      </c>
      <c r="T4929">
        <v>-0.29633140000000002</v>
      </c>
      <c r="U4929">
        <v>-2.9264830000000002</v>
      </c>
      <c r="V4929">
        <v>0.1003057</v>
      </c>
      <c r="W4929">
        <v>-8.0086039999999997E-2</v>
      </c>
      <c r="X4929">
        <v>0.99172830000000001</v>
      </c>
      <c r="Y4929">
        <v>0.19894310000000001</v>
      </c>
      <c r="Z4929">
        <v>8.4676310000000005E-2</v>
      </c>
      <c r="AA4929">
        <v>0.97634600000000005</v>
      </c>
      <c r="AB4929">
        <v>27</v>
      </c>
      <c r="AC4929">
        <v>-2.5048999999999899</v>
      </c>
      <c r="AD4929">
        <v>-1.11821931277</v>
      </c>
      <c r="AE4929">
        <v>-10.7744</v>
      </c>
      <c r="AF4929">
        <v>2.2375260270548099</v>
      </c>
      <c r="AG4929">
        <v>-1.11821931277</v>
      </c>
      <c r="AH4929">
        <v>10.718800579676699</v>
      </c>
      <c r="AI4929">
        <v>95.830939124146198</v>
      </c>
      <c r="AJ4929">
        <v>78.208953646142305</v>
      </c>
      <c r="AK4929">
        <v>11.006798945201</v>
      </c>
      <c r="AL4929">
        <v>94.593511267967699</v>
      </c>
      <c r="AM4929">
        <v>84.224612185846595</v>
      </c>
      <c r="AN4929">
        <v>1.00000001413813</v>
      </c>
    </row>
    <row r="4930" spans="1:40" x14ac:dyDescent="0.25">
      <c r="A4930" t="str">
        <f>"20190303154236591"</f>
        <v>20190303154236591</v>
      </c>
      <c r="B4930" t="str">
        <f>"1551598956584659"</f>
        <v>1551598956584659</v>
      </c>
      <c r="C4930" t="s">
        <v>40</v>
      </c>
      <c r="D4930">
        <v>5.8149230000000003</v>
      </c>
      <c r="E4930">
        <v>0.53771659999999999</v>
      </c>
      <c r="F4930" t="s">
        <v>57</v>
      </c>
      <c r="G4930">
        <v>-194.3322</v>
      </c>
      <c r="H4930" s="1">
        <v>-1.3002519999999999E-5</v>
      </c>
      <c r="I4930">
        <v>153.75</v>
      </c>
      <c r="J4930">
        <v>-191.60239999999999</v>
      </c>
      <c r="K4930">
        <v>1.11835</v>
      </c>
      <c r="L4930">
        <v>165.4068</v>
      </c>
      <c r="M4930">
        <v>-2.5908250000000001E-2</v>
      </c>
      <c r="N4930">
        <v>-1.3894429999999999E-2</v>
      </c>
      <c r="O4930">
        <v>-0.99956780000000001</v>
      </c>
      <c r="P4930">
        <v>-0.1277798</v>
      </c>
      <c r="Q4930">
        <v>-8.9545100000000002E-2</v>
      </c>
      <c r="R4930">
        <v>-0.98775199999999996</v>
      </c>
      <c r="S4930">
        <v>-0.67337040000000004</v>
      </c>
      <c r="T4930">
        <v>-0.27490530000000002</v>
      </c>
      <c r="U4930">
        <v>-2.9265439999999998</v>
      </c>
      <c r="V4930">
        <v>0.10166509999999999</v>
      </c>
      <c r="W4930">
        <v>-7.6411560000000003E-2</v>
      </c>
      <c r="X4930">
        <v>0.99187979999999998</v>
      </c>
      <c r="Y4930">
        <v>0.19808709999999999</v>
      </c>
      <c r="Z4930">
        <v>7.7564140000000004E-2</v>
      </c>
      <c r="AA4930">
        <v>0.9771107</v>
      </c>
      <c r="AB4930">
        <v>27</v>
      </c>
      <c r="AC4930">
        <v>-2.7298000000000102</v>
      </c>
      <c r="AD4930">
        <v>-1.11836300252</v>
      </c>
      <c r="AE4930">
        <v>-11.6568</v>
      </c>
      <c r="AF4930">
        <v>2.4058533557664701</v>
      </c>
      <c r="AG4930">
        <v>-1.11836300252</v>
      </c>
      <c r="AH4930">
        <v>11.622201064698</v>
      </c>
      <c r="AI4930">
        <v>95.383013155425303</v>
      </c>
      <c r="AJ4930">
        <v>78.304674163429596</v>
      </c>
      <c r="AK4930">
        <v>11.921175435464701</v>
      </c>
      <c r="AL4930">
        <v>94.3823313848021</v>
      </c>
      <c r="AM4930">
        <v>84.147768466330803</v>
      </c>
      <c r="AN4930">
        <v>1.0000000283538399</v>
      </c>
    </row>
    <row r="4931" spans="1:40" x14ac:dyDescent="0.25">
      <c r="A4931" t="str">
        <f>"20190303154236613"</f>
        <v>20190303154236613</v>
      </c>
      <c r="B4931" t="str">
        <f>"1551598956605151"</f>
        <v>1551598956605151</v>
      </c>
      <c r="C4931" t="s">
        <v>40</v>
      </c>
      <c r="D4931">
        <v>5.4789919999999999</v>
      </c>
      <c r="E4931">
        <v>0.53780539999999999</v>
      </c>
      <c r="F4931" t="s">
        <v>57</v>
      </c>
      <c r="G4931">
        <v>-194.44820000000001</v>
      </c>
      <c r="H4931" s="1">
        <v>-1.287339E-5</v>
      </c>
      <c r="I4931">
        <v>153.19589999999999</v>
      </c>
      <c r="J4931">
        <v>-191.61349999999999</v>
      </c>
      <c r="K4931">
        <v>1.1184559999999999</v>
      </c>
      <c r="L4931">
        <v>165.13310000000001</v>
      </c>
      <c r="M4931">
        <v>-2.938839E-2</v>
      </c>
      <c r="N4931">
        <v>-1.3917479999999999E-2</v>
      </c>
      <c r="O4931">
        <v>-0.9994712</v>
      </c>
      <c r="P4931">
        <v>-0.13339400000000001</v>
      </c>
      <c r="Q4931">
        <v>-9.3286850000000004E-2</v>
      </c>
      <c r="R4931">
        <v>-0.98666290000000001</v>
      </c>
      <c r="S4931">
        <v>-0.68162539999999905</v>
      </c>
      <c r="T4931">
        <v>-0.267872099999999</v>
      </c>
      <c r="U4931">
        <v>-2.9247589999999999</v>
      </c>
      <c r="V4931">
        <v>0.1038563</v>
      </c>
      <c r="W4931">
        <v>-8.012445E-2</v>
      </c>
      <c r="X4931">
        <v>0.99135969999999995</v>
      </c>
      <c r="Y4931">
        <v>0.19746620000000001</v>
      </c>
      <c r="Z4931">
        <v>7.5243619999999997E-2</v>
      </c>
      <c r="AA4931">
        <v>0.9774178</v>
      </c>
      <c r="AB4931">
        <v>27</v>
      </c>
      <c r="AC4931">
        <v>-2.8347000000000202</v>
      </c>
      <c r="AD4931">
        <v>-1.1184688733899999</v>
      </c>
      <c r="AE4931">
        <v>-11.937200000000001</v>
      </c>
      <c r="AF4931">
        <v>2.4621649050716901</v>
      </c>
      <c r="AG4931">
        <v>-1.1184688733899999</v>
      </c>
      <c r="AH4931">
        <v>11.9163296625887</v>
      </c>
      <c r="AI4931">
        <v>95.251789149978705</v>
      </c>
      <c r="AJ4931">
        <v>78.325767124177204</v>
      </c>
      <c r="AK4931">
        <v>12.2193347309909</v>
      </c>
      <c r="AL4931">
        <v>94.595718898029702</v>
      </c>
      <c r="AM4931">
        <v>84.019425084583304</v>
      </c>
      <c r="AN4931">
        <v>1.0000000566607801</v>
      </c>
    </row>
    <row r="4932" spans="1:40" x14ac:dyDescent="0.25">
      <c r="A4932" t="str">
        <f>"20190303154236626"</f>
        <v>20190303154236626</v>
      </c>
      <c r="B4932" t="str">
        <f>"1551598956614911"</f>
        <v>1551598956614911</v>
      </c>
      <c r="C4932" t="s">
        <v>40</v>
      </c>
      <c r="D4932">
        <v>5.59389</v>
      </c>
      <c r="E4932">
        <v>0.53780539999999999</v>
      </c>
      <c r="F4932" t="s">
        <v>57</v>
      </c>
      <c r="G4932">
        <v>-194.53579999999999</v>
      </c>
      <c r="H4932" s="1">
        <v>-1.281238E-5</v>
      </c>
      <c r="I4932">
        <v>152.92250000000001</v>
      </c>
      <c r="J4932">
        <v>-191.62010000000001</v>
      </c>
      <c r="K4932">
        <v>1.1184940000000001</v>
      </c>
      <c r="L4932">
        <v>164.98050000000001</v>
      </c>
      <c r="M4932">
        <v>-3.1272139999999997E-2</v>
      </c>
      <c r="N4932">
        <v>-1.3928279999999999E-2</v>
      </c>
      <c r="O4932">
        <v>-0.99941400000000002</v>
      </c>
      <c r="P4932">
        <v>-0.13606289999999999</v>
      </c>
      <c r="Q4932">
        <v>-9.599821E-2</v>
      </c>
      <c r="R4932">
        <v>-0.98603839999999998</v>
      </c>
      <c r="S4932">
        <v>-0.69900509999999905</v>
      </c>
      <c r="T4932">
        <v>-0.26753369999999999</v>
      </c>
      <c r="U4932">
        <v>-2.920731</v>
      </c>
      <c r="V4932">
        <v>0.1046691</v>
      </c>
      <c r="W4932">
        <v>-8.2823850000000004E-2</v>
      </c>
      <c r="X4932">
        <v>0.9910523</v>
      </c>
      <c r="Y4932">
        <v>0.20142260000000001</v>
      </c>
      <c r="Z4932">
        <v>7.5140570000000004E-2</v>
      </c>
      <c r="AA4932">
        <v>0.97661810000000004</v>
      </c>
      <c r="AB4932">
        <v>27</v>
      </c>
      <c r="AC4932">
        <v>-2.9156999999999802</v>
      </c>
      <c r="AD4932">
        <v>-1.1185068123799999</v>
      </c>
      <c r="AE4932">
        <v>-12.0579999999999</v>
      </c>
      <c r="AF4932">
        <v>2.5166989238761599</v>
      </c>
      <c r="AG4932">
        <v>-1.1185068123799999</v>
      </c>
      <c r="AH4932">
        <v>12.0453711014879</v>
      </c>
      <c r="AI4932">
        <v>95.193630832691795</v>
      </c>
      <c r="AJ4932">
        <v>78.198679195067101</v>
      </c>
      <c r="AK4932">
        <v>12.3562047545085</v>
      </c>
      <c r="AL4932">
        <v>94.750899166562405</v>
      </c>
      <c r="AM4932">
        <v>83.971107436896602</v>
      </c>
      <c r="AN4932">
        <v>1.0000000359794601</v>
      </c>
    </row>
    <row r="4933" spans="1:40" x14ac:dyDescent="0.25">
      <c r="A4933" t="str">
        <f>"20190303154236640"</f>
        <v>20190303154236640</v>
      </c>
      <c r="B4933" t="str">
        <f>"1551598956635408"</f>
        <v>1551598956635408</v>
      </c>
      <c r="C4933" t="s">
        <v>40</v>
      </c>
      <c r="D4933">
        <v>5.85351</v>
      </c>
      <c r="E4933">
        <v>0.53657559999999904</v>
      </c>
      <c r="F4933" t="s">
        <v>57</v>
      </c>
      <c r="G4933">
        <v>-194.483</v>
      </c>
      <c r="H4933" s="1">
        <v>-1.286888E-5</v>
      </c>
      <c r="I4933">
        <v>153.16569999999999</v>
      </c>
      <c r="J4933">
        <v>-191.62700000000001</v>
      </c>
      <c r="K4933">
        <v>1.118519</v>
      </c>
      <c r="L4933">
        <v>164.8261</v>
      </c>
      <c r="M4933">
        <v>-3.3161110000000001E-2</v>
      </c>
      <c r="N4933">
        <v>-1.3938549999999999E-2</v>
      </c>
      <c r="O4933">
        <v>-0.99935320000000005</v>
      </c>
      <c r="P4933">
        <v>-0.13880139999999999</v>
      </c>
      <c r="Q4933">
        <v>-9.9740919999999997E-2</v>
      </c>
      <c r="R4933">
        <v>-0.98528519999999997</v>
      </c>
      <c r="S4933">
        <v>-0.70707699999999996</v>
      </c>
      <c r="T4933">
        <v>-0.27624870000000001</v>
      </c>
      <c r="U4933">
        <v>-2.918015</v>
      </c>
      <c r="V4933">
        <v>0.10554520000000001</v>
      </c>
      <c r="W4933">
        <v>-8.6558679999999999E-2</v>
      </c>
      <c r="X4933">
        <v>0.99064010000000002</v>
      </c>
      <c r="Y4933">
        <v>0.20227319999999999</v>
      </c>
      <c r="Z4933">
        <v>7.8048039999999999E-2</v>
      </c>
      <c r="AA4933">
        <v>0.97621420000000003</v>
      </c>
      <c r="AB4933">
        <v>27</v>
      </c>
      <c r="AC4933">
        <v>-2.8559999999999901</v>
      </c>
      <c r="AD4933">
        <v>-1.1185318688799999</v>
      </c>
      <c r="AE4933">
        <v>-11.660399999999999</v>
      </c>
      <c r="AF4933">
        <v>2.4464819261294699</v>
      </c>
      <c r="AG4933">
        <v>-1.1185318688799999</v>
      </c>
      <c r="AH4933">
        <v>11.647590856430099</v>
      </c>
      <c r="AI4933">
        <v>95.368913888396804</v>
      </c>
      <c r="AJ4933">
        <v>78.137922488816102</v>
      </c>
      <c r="AK4933">
        <v>11.954194247851699</v>
      </c>
      <c r="AL4933">
        <v>94.965661044063197</v>
      </c>
      <c r="AM4933">
        <v>83.918510296750696</v>
      </c>
      <c r="AN4933">
        <v>1.0000000010271901</v>
      </c>
    </row>
    <row r="4934" spans="1:40" x14ac:dyDescent="0.25">
      <c r="A4934" t="str">
        <f>"20190303154236658"</f>
        <v>20190303154236658</v>
      </c>
      <c r="B4934" t="str">
        <f>"1551598956654929"</f>
        <v>1551598956654929</v>
      </c>
      <c r="C4934" t="s">
        <v>40</v>
      </c>
      <c r="D4934">
        <v>5.8558940000000002</v>
      </c>
      <c r="E4934">
        <v>0.53577390000000003</v>
      </c>
      <c r="F4934" t="s">
        <v>57</v>
      </c>
      <c r="G4934">
        <v>-194.3639</v>
      </c>
      <c r="H4934" s="1">
        <v>-1.294547E-5</v>
      </c>
      <c r="I4934">
        <v>153.5121</v>
      </c>
      <c r="J4934">
        <v>-191.63740000000001</v>
      </c>
      <c r="K4934">
        <v>1.1185389999999999</v>
      </c>
      <c r="L4934">
        <v>164.60390000000001</v>
      </c>
      <c r="M4934">
        <v>-3.584677E-2</v>
      </c>
      <c r="N4934">
        <v>-1.395157E-2</v>
      </c>
      <c r="O4934">
        <v>-0.99925989999999998</v>
      </c>
      <c r="P4934">
        <v>-0.14267070000000001</v>
      </c>
      <c r="Q4934">
        <v>-0.1056723</v>
      </c>
      <c r="R4934">
        <v>-0.98411320000000002</v>
      </c>
      <c r="S4934">
        <v>-0.70545959999999996</v>
      </c>
      <c r="T4934">
        <v>-0.28830899999999998</v>
      </c>
      <c r="U4934">
        <v>-2.9162599999999999</v>
      </c>
      <c r="V4934">
        <v>0.1067676</v>
      </c>
      <c r="W4934">
        <v>-9.2485819999999996E-2</v>
      </c>
      <c r="X4934">
        <v>0.9899732</v>
      </c>
      <c r="Y4934">
        <v>0.19918379999999999</v>
      </c>
      <c r="Z4934">
        <v>8.209785E-2</v>
      </c>
      <c r="AA4934">
        <v>0.97651710000000003</v>
      </c>
      <c r="AB4934">
        <v>26</v>
      </c>
      <c r="AC4934">
        <v>-2.7264999999999802</v>
      </c>
      <c r="AD4934">
        <v>-1.1185519454699999</v>
      </c>
      <c r="AE4934">
        <v>-11.091799999999999</v>
      </c>
      <c r="AF4934">
        <v>2.3049979714871802</v>
      </c>
      <c r="AG4934">
        <v>-1.1185519454699999</v>
      </c>
      <c r="AH4934">
        <v>11.076192431356301</v>
      </c>
      <c r="AI4934">
        <v>95.646418575917593</v>
      </c>
      <c r="AJ4934">
        <v>78.244314702974904</v>
      </c>
      <c r="AK4934">
        <v>11.3686504423221</v>
      </c>
      <c r="AL4934">
        <v>95.306631031361405</v>
      </c>
      <c r="AM4934">
        <v>83.844500732163695</v>
      </c>
      <c r="AN4934">
        <v>0.99999994201453402</v>
      </c>
    </row>
    <row r="4935" spans="1:40" x14ac:dyDescent="0.25">
      <c r="A4935" t="str">
        <f>"20190303154236680"</f>
        <v>20190303154236680</v>
      </c>
      <c r="B4935" t="str">
        <f>"1551598956675424"</f>
        <v>1551598956675424</v>
      </c>
      <c r="C4935" t="s">
        <v>40</v>
      </c>
      <c r="D4935">
        <v>5.8429599999999997</v>
      </c>
      <c r="E4935">
        <v>0.53539209999999904</v>
      </c>
      <c r="F4935" t="s">
        <v>57</v>
      </c>
      <c r="G4935">
        <v>-194.18989999999999</v>
      </c>
      <c r="H4935" s="1">
        <v>-1.3088559999999999E-5</v>
      </c>
      <c r="I4935">
        <v>154.1421</v>
      </c>
      <c r="J4935">
        <v>-191.65039999999999</v>
      </c>
      <c r="K4935">
        <v>1.1185560000000001</v>
      </c>
      <c r="L4935">
        <v>164.3424</v>
      </c>
      <c r="M4935">
        <v>-3.8990549999999999E-2</v>
      </c>
      <c r="N4935">
        <v>-1.396476E-2</v>
      </c>
      <c r="O4935">
        <v>-0.99914210000000003</v>
      </c>
      <c r="P4935">
        <v>-0.14723739999999999</v>
      </c>
      <c r="Q4935">
        <v>-0.1081389</v>
      </c>
      <c r="R4935">
        <v>-0.98317200000000005</v>
      </c>
      <c r="S4935">
        <v>-0.71049499999999999</v>
      </c>
      <c r="T4935">
        <v>-0.31134689999999998</v>
      </c>
      <c r="U4935">
        <v>-2.9120180000000002</v>
      </c>
      <c r="V4935">
        <v>0.1082472</v>
      </c>
      <c r="W4935">
        <v>-9.4948169999999998E-2</v>
      </c>
      <c r="X4935">
        <v>0.9895794</v>
      </c>
      <c r="Y4935">
        <v>0.1978531</v>
      </c>
      <c r="Z4935">
        <v>8.9805940000000001E-2</v>
      </c>
      <c r="AA4935">
        <v>0.97610909999999995</v>
      </c>
      <c r="AB4935">
        <v>26</v>
      </c>
      <c r="AC4935">
        <v>-2.5394999999999999</v>
      </c>
      <c r="AD4935">
        <v>-1.1185690885599999</v>
      </c>
      <c r="AE4935">
        <v>-10.2003</v>
      </c>
      <c r="AF4935">
        <v>2.11585550644502</v>
      </c>
      <c r="AG4935">
        <v>-1.1185690885599999</v>
      </c>
      <c r="AH4935">
        <v>10.176335950484599</v>
      </c>
      <c r="AI4935">
        <v>96.142365638788604</v>
      </c>
      <c r="AJ4935">
        <v>78.254454679571793</v>
      </c>
      <c r="AK4935">
        <v>10.4539875027265</v>
      </c>
      <c r="AL4935">
        <v>95.448336687138905</v>
      </c>
      <c r="AM4935">
        <v>83.7574017593722</v>
      </c>
      <c r="AN4935">
        <v>1.0000000000992699</v>
      </c>
    </row>
    <row r="4936" spans="1:40" x14ac:dyDescent="0.25">
      <c r="A4936" t="str">
        <f>"20190303154236703"</f>
        <v>20190303154236703</v>
      </c>
      <c r="B4936" t="str">
        <f>"1551598956694947"</f>
        <v>1551598956694947</v>
      </c>
      <c r="C4936" t="s">
        <v>40</v>
      </c>
      <c r="D4936">
        <v>5.6768429999999999</v>
      </c>
      <c r="E4936">
        <v>0.53494330000000001</v>
      </c>
      <c r="F4936" t="s">
        <v>57</v>
      </c>
      <c r="G4936">
        <v>-194.21639999999999</v>
      </c>
      <c r="H4936" s="1">
        <v>-1.3053E-5</v>
      </c>
      <c r="I4936">
        <v>153.9915</v>
      </c>
      <c r="J4936">
        <v>-191.66460000000001</v>
      </c>
      <c r="K4936">
        <v>1.1185750000000001</v>
      </c>
      <c r="L4936">
        <v>164.0745</v>
      </c>
      <c r="M4936">
        <v>-4.2219399999999997E-2</v>
      </c>
      <c r="N4936">
        <v>-1.397631E-2</v>
      </c>
      <c r="O4936">
        <v>-0.99901059999999997</v>
      </c>
      <c r="P4936">
        <v>-0.15174379999999901</v>
      </c>
      <c r="Q4936">
        <v>-0.1078462</v>
      </c>
      <c r="R4936">
        <v>-0.98251869999999997</v>
      </c>
      <c r="S4936">
        <v>-0.72108459999999996</v>
      </c>
      <c r="T4936">
        <v>-0.31433830000000001</v>
      </c>
      <c r="U4936">
        <v>-2.9088129999999999</v>
      </c>
      <c r="V4936">
        <v>0.10958710000000001</v>
      </c>
      <c r="W4936">
        <v>-9.4650369999999998E-2</v>
      </c>
      <c r="X4936">
        <v>0.98946049999999997</v>
      </c>
      <c r="Y4936">
        <v>0.19825989999999999</v>
      </c>
      <c r="Z4936">
        <v>9.0828489999999998E-2</v>
      </c>
      <c r="AA4936">
        <v>0.97593189999999996</v>
      </c>
      <c r="AB4936">
        <v>26</v>
      </c>
      <c r="AC4936">
        <v>-2.5517999999999801</v>
      </c>
      <c r="AD4936">
        <v>-1.1185880529999901</v>
      </c>
      <c r="AE4936">
        <v>-10.082999999999901</v>
      </c>
      <c r="AF4936">
        <v>2.0995007665830698</v>
      </c>
      <c r="AG4936">
        <v>-1.1185880529999901</v>
      </c>
      <c r="AH4936">
        <v>10.0653339423517</v>
      </c>
      <c r="AI4936">
        <v>96.208861139802906</v>
      </c>
      <c r="AJ4936">
        <v>78.217766198597104</v>
      </c>
      <c r="AK4936">
        <v>10.342634580814201</v>
      </c>
      <c r="AL4936">
        <v>95.431196524519507</v>
      </c>
      <c r="AM4936">
        <v>83.679998069355094</v>
      </c>
      <c r="AN4936">
        <v>1.0000000530438899</v>
      </c>
    </row>
    <row r="4937" spans="1:40" x14ac:dyDescent="0.25">
      <c r="A4937" t="str">
        <f>"20190303154236716"</f>
        <v>20190303154236716</v>
      </c>
      <c r="B4937" t="str">
        <f>"1551598956704704"</f>
        <v>1551598956704704</v>
      </c>
      <c r="C4937" t="s">
        <v>40</v>
      </c>
      <c r="D4937">
        <v>5.665807</v>
      </c>
      <c r="E4937">
        <v>0.53485389999999999</v>
      </c>
      <c r="F4937" t="s">
        <v>57</v>
      </c>
      <c r="G4937">
        <v>-194.26140000000001</v>
      </c>
      <c r="H4937" s="1">
        <v>-1.299565E-5</v>
      </c>
      <c r="I4937">
        <v>153.74770000000001</v>
      </c>
      <c r="J4937">
        <v>-191.673</v>
      </c>
      <c r="K4937">
        <v>1.118582</v>
      </c>
      <c r="L4937">
        <v>163.92150000000001</v>
      </c>
      <c r="M4937">
        <v>-4.4071150000000003E-2</v>
      </c>
      <c r="N4937">
        <v>-1.398225E-2</v>
      </c>
      <c r="O4937">
        <v>-0.99893089999999995</v>
      </c>
      <c r="P4937">
        <v>-0.15456010000000001</v>
      </c>
      <c r="Q4937">
        <v>-0.1071281</v>
      </c>
      <c r="R4937">
        <v>-0.98215850000000005</v>
      </c>
      <c r="S4937">
        <v>-0.73074340000000004</v>
      </c>
      <c r="T4937">
        <v>-0.31477189999999999</v>
      </c>
      <c r="U4937">
        <v>-2.9059910000000002</v>
      </c>
      <c r="V4937">
        <v>0.11058999999999999</v>
      </c>
      <c r="W4937">
        <v>-9.3931559999999997E-2</v>
      </c>
      <c r="X4937">
        <v>0.9894174</v>
      </c>
      <c r="Y4937">
        <v>0.19971259999999999</v>
      </c>
      <c r="Z4937">
        <v>9.099815E-2</v>
      </c>
      <c r="AA4937">
        <v>0.97561989999999998</v>
      </c>
      <c r="AB4937">
        <v>26</v>
      </c>
      <c r="AC4937">
        <v>-2.5884</v>
      </c>
      <c r="AD4937">
        <v>-1.1185949956500001</v>
      </c>
      <c r="AE4937">
        <v>-10.1738</v>
      </c>
      <c r="AF4937">
        <v>2.1134739501861999</v>
      </c>
      <c r="AG4937">
        <v>-1.1185949956500001</v>
      </c>
      <c r="AH4937">
        <v>10.1626139642878</v>
      </c>
      <c r="AI4937">
        <v>96.150680707671697</v>
      </c>
      <c r="AJ4937">
        <v>78.2519065471499</v>
      </c>
      <c r="AK4937">
        <v>10.4401508365323</v>
      </c>
      <c r="AL4937">
        <v>95.389827511386599</v>
      </c>
      <c r="AM4937">
        <v>83.622358660939696</v>
      </c>
      <c r="AN4937">
        <v>1.0000000387433901</v>
      </c>
    </row>
    <row r="4938" spans="1:40" x14ac:dyDescent="0.25">
      <c r="A4938" t="str">
        <f>"20190303154236737"</f>
        <v>20190303154236737</v>
      </c>
      <c r="B4938" t="str">
        <f>"1551598956725200"</f>
        <v>1551598956725200</v>
      </c>
      <c r="C4938" t="s">
        <v>40</v>
      </c>
      <c r="D4938">
        <v>5.6533470000000001</v>
      </c>
      <c r="E4938">
        <v>0.53468990000000005</v>
      </c>
      <c r="F4938" t="s">
        <v>57</v>
      </c>
      <c r="G4938">
        <v>-194.32980000000001</v>
      </c>
      <c r="H4938" s="1">
        <v>-1.2931780000000001E-5</v>
      </c>
      <c r="I4938">
        <v>153.46969999999999</v>
      </c>
      <c r="J4938">
        <v>-191.6876</v>
      </c>
      <c r="K4938">
        <v>1.1185909999999999</v>
      </c>
      <c r="L4938">
        <v>163.67089999999999</v>
      </c>
      <c r="M4938">
        <v>-4.7127410000000002E-2</v>
      </c>
      <c r="N4938">
        <v>-1.3990509999999999E-2</v>
      </c>
      <c r="O4938">
        <v>-0.99879110000000004</v>
      </c>
      <c r="P4938">
        <v>-0.1587353</v>
      </c>
      <c r="Q4938">
        <v>-0.1062835</v>
      </c>
      <c r="R4938">
        <v>-0.98158420000000002</v>
      </c>
      <c r="S4938">
        <v>-0.73828130000000003</v>
      </c>
      <c r="T4938">
        <v>-0.31084260000000002</v>
      </c>
      <c r="U4938">
        <v>-2.904404</v>
      </c>
      <c r="V4938">
        <v>0.1117697</v>
      </c>
      <c r="W4938">
        <v>-9.3085080000000001E-2</v>
      </c>
      <c r="X4938">
        <v>0.98936480000000004</v>
      </c>
      <c r="Y4938">
        <v>0.19925200000000001</v>
      </c>
      <c r="Z4938">
        <v>8.9705389999999996E-2</v>
      </c>
      <c r="AA4938">
        <v>0.97583379999999997</v>
      </c>
      <c r="AB4938">
        <v>26</v>
      </c>
      <c r="AC4938">
        <v>-2.6421999999999999</v>
      </c>
      <c r="AD4938">
        <v>-1.1186039317799901</v>
      </c>
      <c r="AE4938">
        <v>-10.2012</v>
      </c>
      <c r="AF4938">
        <v>2.1344097869535101</v>
      </c>
      <c r="AG4938">
        <v>-1.1186039317799901</v>
      </c>
      <c r="AH4938">
        <v>10.199466625871001</v>
      </c>
      <c r="AI4938">
        <v>96.1270931708831</v>
      </c>
      <c r="AJ4938">
        <v>78.180461473647199</v>
      </c>
      <c r="AK4938">
        <v>10.4802719118873</v>
      </c>
      <c r="AL4938">
        <v>95.341114536486899</v>
      </c>
      <c r="AM4938">
        <v>83.554555956741495</v>
      </c>
      <c r="AN4938">
        <v>1.0000000027178599</v>
      </c>
    </row>
    <row r="4939" spans="1:40" x14ac:dyDescent="0.25">
      <c r="A4939" t="str">
        <f>"20190303154236760"</f>
        <v>20190303154236760</v>
      </c>
      <c r="B4939" t="str">
        <f>"1551598956755456"</f>
        <v>1551598956755456</v>
      </c>
      <c r="C4939" t="s">
        <v>40</v>
      </c>
      <c r="D4939">
        <v>5.6676849999999996</v>
      </c>
      <c r="E4939">
        <v>0.53391529999999998</v>
      </c>
      <c r="F4939" t="s">
        <v>57</v>
      </c>
      <c r="G4939">
        <v>-194.4307</v>
      </c>
      <c r="H4939" s="1">
        <v>-1.283536E-5</v>
      </c>
      <c r="I4939">
        <v>153.05090000000001</v>
      </c>
      <c r="J4939">
        <v>-191.70359999999999</v>
      </c>
      <c r="K4939">
        <v>1.1185929999999999</v>
      </c>
      <c r="L4939">
        <v>163.40880000000001</v>
      </c>
      <c r="M4939">
        <v>-5.0347219999999998E-2</v>
      </c>
      <c r="N4939">
        <v>-1.399779E-2</v>
      </c>
      <c r="O4939">
        <v>-0.99863389999999996</v>
      </c>
      <c r="P4939">
        <v>-0.16297029999999901</v>
      </c>
      <c r="Q4939">
        <v>-0.1069321</v>
      </c>
      <c r="R4939">
        <v>-0.98081949999999996</v>
      </c>
      <c r="S4939">
        <v>-0.74957280000000004</v>
      </c>
      <c r="T4939">
        <v>-0.30566919999999997</v>
      </c>
      <c r="U4939">
        <v>-2.901993</v>
      </c>
      <c r="V4939">
        <v>0.1128489</v>
      </c>
      <c r="W4939">
        <v>-9.373455E-2</v>
      </c>
      <c r="X4939">
        <v>0.98918099999999998</v>
      </c>
      <c r="Y4939">
        <v>0.1998896</v>
      </c>
      <c r="Z4939">
        <v>8.8000300000000004E-2</v>
      </c>
      <c r="AA4939">
        <v>0.97585860000000002</v>
      </c>
      <c r="AB4939">
        <v>26</v>
      </c>
      <c r="AC4939">
        <v>-2.7271000000000001</v>
      </c>
      <c r="AD4939">
        <v>-1.1186058353599999</v>
      </c>
      <c r="AE4939">
        <v>-10.357900000000001</v>
      </c>
      <c r="AF4939">
        <v>2.17833927281939</v>
      </c>
      <c r="AG4939">
        <v>-1.1186058353599999</v>
      </c>
      <c r="AH4939">
        <v>10.3689827025451</v>
      </c>
      <c r="AI4939">
        <v>96.026698941016406</v>
      </c>
      <c r="AJ4939">
        <v>78.135707123804906</v>
      </c>
      <c r="AK4939">
        <v>10.6542124668175</v>
      </c>
      <c r="AL4939">
        <v>95.378489610955896</v>
      </c>
      <c r="AM4939">
        <v>83.491654061494899</v>
      </c>
      <c r="AN4939">
        <v>1.0000000454279501</v>
      </c>
    </row>
    <row r="4940" spans="1:40" x14ac:dyDescent="0.25">
      <c r="A4940" t="str">
        <f>"20190303154236781"</f>
        <v>20190303154236781</v>
      </c>
      <c r="B4940" t="str">
        <f>"1551598956774975"</f>
        <v>1551598956774975</v>
      </c>
      <c r="C4940" t="s">
        <v>40</v>
      </c>
      <c r="D4940">
        <v>5.6841670000000004</v>
      </c>
      <c r="E4940">
        <v>0.53368579999999999</v>
      </c>
      <c r="F4940" t="s">
        <v>57</v>
      </c>
      <c r="G4940">
        <v>-194.4744</v>
      </c>
      <c r="H4940" s="1">
        <v>-1.27712899999999E-5</v>
      </c>
      <c r="I4940">
        <v>152.7809</v>
      </c>
      <c r="J4940">
        <v>-191.72040000000001</v>
      </c>
      <c r="K4940">
        <v>1.1185959999999999</v>
      </c>
      <c r="L4940">
        <v>163.14959999999999</v>
      </c>
      <c r="M4940">
        <v>-5.354946E-2</v>
      </c>
      <c r="N4940">
        <v>-1.4003750000000001E-2</v>
      </c>
      <c r="O4940">
        <v>-0.99846699999999999</v>
      </c>
      <c r="P4940">
        <v>-0.16754369999999999</v>
      </c>
      <c r="Q4940">
        <v>-0.10724450000000001</v>
      </c>
      <c r="R4940">
        <v>-0.9800141</v>
      </c>
      <c r="S4940">
        <v>-0.75599669999999997</v>
      </c>
      <c r="T4940">
        <v>-0.30520649999999999</v>
      </c>
      <c r="U4940">
        <v>-2.8997799999999998</v>
      </c>
      <c r="V4940">
        <v>0.114289</v>
      </c>
      <c r="W4940">
        <v>-9.4051750000000003E-2</v>
      </c>
      <c r="X4940">
        <v>0.98898549999999996</v>
      </c>
      <c r="Y4940">
        <v>0.1989571</v>
      </c>
      <c r="Z4940">
        <v>8.7879239999999997E-2</v>
      </c>
      <c r="AA4940">
        <v>0.97606009999999999</v>
      </c>
      <c r="AB4940">
        <v>26</v>
      </c>
      <c r="AC4940">
        <v>-2.7539999999999898</v>
      </c>
      <c r="AD4940">
        <v>-1.1186087712899999</v>
      </c>
      <c r="AE4940">
        <v>-10.368699999999899</v>
      </c>
      <c r="AF4940">
        <v>2.17115069630837</v>
      </c>
      <c r="AG4940">
        <v>-1.1186087712899999</v>
      </c>
      <c r="AH4940">
        <v>10.3883693021826</v>
      </c>
      <c r="AI4940">
        <v>96.016849728191701</v>
      </c>
      <c r="AJ4940">
        <v>78.195205360083705</v>
      </c>
      <c r="AK4940">
        <v>10.6716164514949</v>
      </c>
      <c r="AL4940">
        <v>95.396744650763097</v>
      </c>
      <c r="AM4940">
        <v>83.408033829550007</v>
      </c>
      <c r="AN4940">
        <v>1.00000001320465</v>
      </c>
    </row>
    <row r="4941" spans="1:40" x14ac:dyDescent="0.25">
      <c r="A4941" t="str">
        <f>"20190303154236803"</f>
        <v>20190303154236803</v>
      </c>
      <c r="B4941" t="str">
        <f>"1551598956794499"</f>
        <v>1551598956794499</v>
      </c>
      <c r="C4941" t="s">
        <v>40</v>
      </c>
      <c r="D4941">
        <v>5.6444150000000004</v>
      </c>
      <c r="E4941">
        <v>0.53348319999999905</v>
      </c>
      <c r="F4941" t="s">
        <v>57</v>
      </c>
      <c r="G4941">
        <v>-194.53880000000001</v>
      </c>
      <c r="H4941" s="1">
        <v>-1.2709719999999999E-5</v>
      </c>
      <c r="I4941">
        <v>152.51349999999999</v>
      </c>
      <c r="J4941">
        <v>-191.738</v>
      </c>
      <c r="K4941">
        <v>1.118611</v>
      </c>
      <c r="L4941">
        <v>162.8879</v>
      </c>
      <c r="M4941">
        <v>-5.6791649999999999E-2</v>
      </c>
      <c r="N4941">
        <v>-1.400844E-2</v>
      </c>
      <c r="O4941">
        <v>-0.99828799999999995</v>
      </c>
      <c r="P4941">
        <v>-0.17343649999999999</v>
      </c>
      <c r="Q4941">
        <v>-0.1061563</v>
      </c>
      <c r="R4941">
        <v>-0.97910730000000001</v>
      </c>
      <c r="S4941">
        <v>-0.76757810000000004</v>
      </c>
      <c r="T4941">
        <v>-0.30464150000000001</v>
      </c>
      <c r="U4941">
        <v>-2.8966219999999998</v>
      </c>
      <c r="V4941">
        <v>0.1170223</v>
      </c>
      <c r="W4941">
        <v>-9.2977160000000003E-2</v>
      </c>
      <c r="X4941">
        <v>0.98876739999999996</v>
      </c>
      <c r="Y4941">
        <v>0.19968839999999999</v>
      </c>
      <c r="Z4941">
        <v>8.7716189999999999E-2</v>
      </c>
      <c r="AA4941">
        <v>0.97592540000000005</v>
      </c>
      <c r="AB4941">
        <v>26</v>
      </c>
      <c r="AC4941">
        <v>-2.8008000000000002</v>
      </c>
      <c r="AD4941">
        <v>-1.11862370972</v>
      </c>
      <c r="AE4941">
        <v>-10.3744</v>
      </c>
      <c r="AF4941">
        <v>2.1833815854610301</v>
      </c>
      <c r="AG4941">
        <v>-1.11862370972</v>
      </c>
      <c r="AH4941">
        <v>10.4039878256891</v>
      </c>
      <c r="AI4941">
        <v>96.006931795732001</v>
      </c>
      <c r="AJ4941">
        <v>78.1479000072773</v>
      </c>
      <c r="AK4941">
        <v>10.6893141421124</v>
      </c>
      <c r="AL4941">
        <v>95.334904412133497</v>
      </c>
      <c r="AM4941">
        <v>83.250344809772102</v>
      </c>
      <c r="AN4941">
        <v>0.99999997114085704</v>
      </c>
    </row>
    <row r="4942" spans="1:40" x14ac:dyDescent="0.25">
      <c r="A4942" t="str">
        <f>"20190303154236818"</f>
        <v>20190303154236818</v>
      </c>
      <c r="B4942" t="str">
        <f>"1551598956814622"</f>
        <v>1551598956814622</v>
      </c>
      <c r="C4942" t="s">
        <v>40</v>
      </c>
      <c r="D4942">
        <v>6.0749599999999999</v>
      </c>
      <c r="E4942">
        <v>0.53413959999999905</v>
      </c>
      <c r="F4942" t="s">
        <v>57</v>
      </c>
      <c r="G4942">
        <v>-194.6602</v>
      </c>
      <c r="H4942" s="1">
        <v>-1.2587420000000001E-5</v>
      </c>
      <c r="I4942">
        <v>152.10059999999999</v>
      </c>
      <c r="J4942">
        <v>-191.74950000000001</v>
      </c>
      <c r="K4942">
        <v>1.1186179999999999</v>
      </c>
      <c r="L4942">
        <v>162.72409999999999</v>
      </c>
      <c r="M4942">
        <v>-5.8824660000000001E-2</v>
      </c>
      <c r="N4942">
        <v>-1.401087E-2</v>
      </c>
      <c r="O4942">
        <v>-0.99817</v>
      </c>
      <c r="P4942">
        <v>-0.17723249999999999</v>
      </c>
      <c r="Q4942">
        <v>-0.10578849999999999</v>
      </c>
      <c r="R4942">
        <v>-0.97846710000000003</v>
      </c>
      <c r="S4942">
        <v>-0.78359990000000002</v>
      </c>
      <c r="T4942">
        <v>-0.29996319999999999</v>
      </c>
      <c r="U4942">
        <v>-2.8926699999999999</v>
      </c>
      <c r="V4942">
        <v>0.1188403</v>
      </c>
      <c r="W4942">
        <v>-9.2619740000000006E-2</v>
      </c>
      <c r="X4942">
        <v>0.98858409999999997</v>
      </c>
      <c r="Y4942">
        <v>0.20309949999999999</v>
      </c>
      <c r="Z4942">
        <v>8.6181869999999994E-2</v>
      </c>
      <c r="AA4942">
        <v>0.97535799999999995</v>
      </c>
      <c r="AB4942">
        <v>26</v>
      </c>
      <c r="AC4942">
        <v>-2.9106999999999901</v>
      </c>
      <c r="AD4942">
        <v>-1.11863058742</v>
      </c>
      <c r="AE4942">
        <v>-10.6235</v>
      </c>
      <c r="AF4942">
        <v>2.2573921263633299</v>
      </c>
      <c r="AG4942">
        <v>-1.11863058742</v>
      </c>
      <c r="AH4942">
        <v>10.666331593526399</v>
      </c>
      <c r="AI4942">
        <v>95.858178674330205</v>
      </c>
      <c r="AJ4942">
        <v>78.050410127336804</v>
      </c>
      <c r="AK4942">
        <v>10.9598258775557</v>
      </c>
      <c r="AL4942">
        <v>95.314336967443097</v>
      </c>
      <c r="AM4942">
        <v>83.145216723619299</v>
      </c>
      <c r="AN4942">
        <v>0.99999997795728301</v>
      </c>
    </row>
    <row r="4943" spans="1:40" x14ac:dyDescent="0.25">
      <c r="A4943" t="str">
        <f>"20190303154236837"</f>
        <v>20190303154236837</v>
      </c>
      <c r="B4943" t="str">
        <f>"1551598956825357"</f>
        <v>1551598956825357</v>
      </c>
      <c r="C4943" t="s">
        <v>40</v>
      </c>
      <c r="D4943">
        <v>6.1924390000000002</v>
      </c>
      <c r="E4943">
        <v>0.53413959999999905</v>
      </c>
      <c r="F4943" t="s">
        <v>57</v>
      </c>
      <c r="G4943">
        <v>-194.72710000000001</v>
      </c>
      <c r="H4943" s="1">
        <v>-1.25429E-5</v>
      </c>
      <c r="I4943">
        <v>151.9692</v>
      </c>
      <c r="J4943">
        <v>-191.76589999999999</v>
      </c>
      <c r="K4943">
        <v>1.1186229999999999</v>
      </c>
      <c r="L4943">
        <v>162.4991</v>
      </c>
      <c r="M4943">
        <v>-6.1620340000000003E-2</v>
      </c>
      <c r="N4943">
        <v>-1.401354E-2</v>
      </c>
      <c r="O4943">
        <v>-0.99800109999999997</v>
      </c>
      <c r="P4943">
        <v>-0.18394550000000001</v>
      </c>
      <c r="Q4943">
        <v>-0.10471320000000001</v>
      </c>
      <c r="R4943">
        <v>-0.97734279999999996</v>
      </c>
      <c r="S4943">
        <v>-0.79974369999999995</v>
      </c>
      <c r="T4943">
        <v>-0.30045290000000002</v>
      </c>
      <c r="U4943">
        <v>-2.8886720000000001</v>
      </c>
      <c r="V4943">
        <v>0.1228505</v>
      </c>
      <c r="W4943">
        <v>-9.1569570000000003E-2</v>
      </c>
      <c r="X4943">
        <v>0.98819170000000001</v>
      </c>
      <c r="Y4943">
        <v>0.2057611</v>
      </c>
      <c r="Z4943">
        <v>8.6355539999999995E-2</v>
      </c>
      <c r="AA4943">
        <v>0.9747846</v>
      </c>
      <c r="AB4943">
        <v>26</v>
      </c>
      <c r="AC4943">
        <v>-2.9612000000000198</v>
      </c>
      <c r="AD4943">
        <v>-1.1186355428999999</v>
      </c>
      <c r="AE4943">
        <v>-10.5298999999999</v>
      </c>
      <c r="AF4943">
        <v>2.2827770982212399</v>
      </c>
      <c r="AG4943">
        <v>-1.1186355428999999</v>
      </c>
      <c r="AH4943">
        <v>10.5817039626178</v>
      </c>
      <c r="AI4943">
        <v>95.899825852363506</v>
      </c>
      <c r="AJ4943">
        <v>77.8262197973376</v>
      </c>
      <c r="AK4943">
        <v>10.882778850573199</v>
      </c>
      <c r="AL4943">
        <v>95.253909560960906</v>
      </c>
      <c r="AM4943">
        <v>82.913433782668506</v>
      </c>
      <c r="AN4943">
        <v>1.00000003372456</v>
      </c>
    </row>
    <row r="4944" spans="1:40" x14ac:dyDescent="0.25">
      <c r="A4944" t="str">
        <f>"20190303154236849"</f>
        <v>20190303154236849</v>
      </c>
      <c r="B4944" t="str">
        <f>"1551598956844878"</f>
        <v>1551598956844878</v>
      </c>
      <c r="C4944" t="s">
        <v>40</v>
      </c>
      <c r="D4944">
        <v>5.3341760000000003</v>
      </c>
      <c r="E4944">
        <v>0.65373879999999995</v>
      </c>
      <c r="F4944" t="s">
        <v>57</v>
      </c>
      <c r="G4944">
        <v>-194.85390000000001</v>
      </c>
      <c r="H4944" s="1">
        <v>-1.24228399999999E-5</v>
      </c>
      <c r="I4944">
        <v>151.6369</v>
      </c>
      <c r="J4944">
        <v>-191.7775</v>
      </c>
      <c r="K4944">
        <v>1.1186210000000001</v>
      </c>
      <c r="L4944">
        <v>162.34450000000001</v>
      </c>
      <c r="M4944">
        <v>-6.3540410000000005E-2</v>
      </c>
      <c r="N4944">
        <v>-1.4014820000000001E-2</v>
      </c>
      <c r="O4944">
        <v>-0.99788100000000002</v>
      </c>
      <c r="P4944">
        <v>-0.18790519999999999</v>
      </c>
      <c r="Q4944">
        <v>-0.1046797</v>
      </c>
      <c r="R4944">
        <v>-0.9765933</v>
      </c>
      <c r="S4944">
        <v>-0.81974789999999997</v>
      </c>
      <c r="T4944">
        <v>-0.29694959999999998</v>
      </c>
      <c r="U4944">
        <v>-2.8834529999999998</v>
      </c>
      <c r="V4944">
        <v>0.1249513</v>
      </c>
      <c r="W4944">
        <v>-9.1549770000000003E-2</v>
      </c>
      <c r="X4944">
        <v>0.98793010000000003</v>
      </c>
      <c r="Y4944">
        <v>0.2106229</v>
      </c>
      <c r="Z4944">
        <v>8.521389E-2</v>
      </c>
      <c r="AA4944">
        <v>0.97384630000000005</v>
      </c>
      <c r="AB4944">
        <v>26</v>
      </c>
      <c r="AC4944">
        <v>-3.0764</v>
      </c>
      <c r="AD4944">
        <v>-1.1186334228399999</v>
      </c>
      <c r="AE4944">
        <v>-10.707599999999999</v>
      </c>
      <c r="AF4944">
        <v>2.3658973134998198</v>
      </c>
      <c r="AG4944">
        <v>-1.1186334228399999</v>
      </c>
      <c r="AH4944">
        <v>10.7728421773598</v>
      </c>
      <c r="AI4944">
        <v>95.791206080698103</v>
      </c>
      <c r="AJ4944">
        <v>77.613524346927306</v>
      </c>
      <c r="AK4944">
        <v>11.086159813525301</v>
      </c>
      <c r="AL4944">
        <v>95.252770311921907</v>
      </c>
      <c r="AM4944">
        <v>82.791625562338595</v>
      </c>
      <c r="AN4944">
        <v>1.0000000351223699</v>
      </c>
    </row>
    <row r="4945" spans="1:40" x14ac:dyDescent="0.25">
      <c r="A4945" t="str">
        <f>"20190303154236862"</f>
        <v>20190303154236862</v>
      </c>
      <c r="B4945" t="str">
        <f>"1551598956854637"</f>
        <v>1551598956854637</v>
      </c>
      <c r="C4945" t="s">
        <v>40</v>
      </c>
      <c r="D4945">
        <v>5.944458</v>
      </c>
      <c r="E4945">
        <v>0.65373879999999995</v>
      </c>
      <c r="F4945" t="s">
        <v>48</v>
      </c>
      <c r="G4945">
        <v>-226.26159999999999</v>
      </c>
      <c r="H4945">
        <v>1.8697349999999999</v>
      </c>
      <c r="I4945">
        <v>109.1066</v>
      </c>
      <c r="J4945">
        <v>-191.7886</v>
      </c>
      <c r="K4945">
        <v>1.118622</v>
      </c>
      <c r="L4945">
        <v>162.20060000000001</v>
      </c>
      <c r="M4945">
        <v>-6.5327769999999993E-2</v>
      </c>
      <c r="N4945">
        <v>-1.401583E-2</v>
      </c>
      <c r="O4945">
        <v>-0.99776549999999997</v>
      </c>
      <c r="P4945">
        <v>-0.19199459999999999</v>
      </c>
      <c r="Q4945">
        <v>-0.10480449999999999</v>
      </c>
      <c r="R4945">
        <v>-0.97578390000000004</v>
      </c>
      <c r="S4945">
        <v>-1.771652</v>
      </c>
      <c r="T4945">
        <v>3.8589600000000002E-2</v>
      </c>
      <c r="U4945">
        <v>-2.7351529999999999</v>
      </c>
      <c r="V4945">
        <v>0.12731719999999999</v>
      </c>
      <c r="W4945">
        <v>-9.1690759999999996E-2</v>
      </c>
      <c r="X4945">
        <v>0.98761489999999996</v>
      </c>
      <c r="Y4945">
        <v>0.4874658</v>
      </c>
      <c r="Z4945">
        <v>-2.576225E-2</v>
      </c>
      <c r="AA4945">
        <v>0.87276189999999998</v>
      </c>
      <c r="AB4945">
        <v>26</v>
      </c>
      <c r="AC4945">
        <v>-34.4729999999999</v>
      </c>
      <c r="AD4945">
        <v>0.75111299999999903</v>
      </c>
      <c r="AE4945">
        <v>-53.094000000000001</v>
      </c>
      <c r="AF4945">
        <v>30.9261393813238</v>
      </c>
      <c r="AG4945">
        <v>0.75111299999999903</v>
      </c>
      <c r="AH4945">
        <v>55.225051966681498</v>
      </c>
      <c r="AI4945">
        <v>89.320108748009403</v>
      </c>
      <c r="AJ4945">
        <v>60.751086563147702</v>
      </c>
      <c r="AK4945">
        <v>63.299262495660301</v>
      </c>
      <c r="AL4945">
        <v>95.260882602242106</v>
      </c>
      <c r="AM4945">
        <v>82.654296148743597</v>
      </c>
      <c r="AN4945">
        <v>1.0000000277936101</v>
      </c>
    </row>
    <row r="4946" spans="1:40" x14ac:dyDescent="0.25">
      <c r="A4946" t="str">
        <f>"20190303154236882"</f>
        <v>20190303154236882</v>
      </c>
      <c r="B4946" t="str">
        <f>"1551598956875134"</f>
        <v>1551598956875134</v>
      </c>
      <c r="C4946" t="s">
        <v>40</v>
      </c>
      <c r="D4946">
        <v>5.3465720000000001</v>
      </c>
      <c r="E4946">
        <v>0.65563169999999904</v>
      </c>
      <c r="F4946" t="s">
        <v>48</v>
      </c>
      <c r="G4946">
        <v>-226.26150000000001</v>
      </c>
      <c r="H4946">
        <v>1.8528709999999999</v>
      </c>
      <c r="I4946">
        <v>109.468</v>
      </c>
      <c r="J4946">
        <v>-191.80699999999999</v>
      </c>
      <c r="K4946">
        <v>1.11863</v>
      </c>
      <c r="L4946">
        <v>161.96860000000001</v>
      </c>
      <c r="M4946">
        <v>-6.8200360000000002E-2</v>
      </c>
      <c r="N4946">
        <v>-1.401697E-2</v>
      </c>
      <c r="O4946">
        <v>-0.9975733</v>
      </c>
      <c r="P4946">
        <v>-0.2001706</v>
      </c>
      <c r="Q4946">
        <v>-0.10530100000000001</v>
      </c>
      <c r="R4946">
        <v>-0.97408640000000002</v>
      </c>
      <c r="S4946">
        <v>-1.7831570000000001</v>
      </c>
      <c r="T4946">
        <v>3.7980319999999998E-2</v>
      </c>
      <c r="U4946">
        <v>-2.7276609999999999</v>
      </c>
      <c r="V4946">
        <v>0.13274839999999999</v>
      </c>
      <c r="W4946">
        <v>-9.2225249999999995E-2</v>
      </c>
      <c r="X4946">
        <v>0.98684970000000005</v>
      </c>
      <c r="Y4946">
        <v>0.48863060000000003</v>
      </c>
      <c r="Z4946">
        <v>-2.5566910000000002E-2</v>
      </c>
      <c r="AA4946">
        <v>0.87211609999999995</v>
      </c>
      <c r="AB4946">
        <v>26</v>
      </c>
      <c r="AC4946">
        <v>-34.454500000000003</v>
      </c>
      <c r="AD4946">
        <v>0.73424099999999903</v>
      </c>
      <c r="AE4946">
        <v>-52.500599999999999</v>
      </c>
      <c r="AF4946">
        <v>30.789141543807901</v>
      </c>
      <c r="AG4946">
        <v>0.73424099999999903</v>
      </c>
      <c r="AH4946">
        <v>54.720894866401103</v>
      </c>
      <c r="AI4946">
        <v>89.330016644274806</v>
      </c>
      <c r="AJ4946">
        <v>60.635376207329898</v>
      </c>
      <c r="AK4946">
        <v>62.7924094284527</v>
      </c>
      <c r="AL4946">
        <v>95.291637173365004</v>
      </c>
      <c r="AM4946">
        <v>82.338713174503894</v>
      </c>
      <c r="AN4946">
        <v>0.99999998241510601</v>
      </c>
    </row>
    <row r="4947" spans="1:40" x14ac:dyDescent="0.25">
      <c r="A4947" t="str">
        <f>"20190303154236904"</f>
        <v>20190303154236904</v>
      </c>
      <c r="B4947" t="str">
        <f>"1551598956894654"</f>
        <v>1551598956894654</v>
      </c>
      <c r="C4947" t="s">
        <v>40</v>
      </c>
      <c r="D4947">
        <v>5.2875170000000002</v>
      </c>
      <c r="E4947">
        <v>0.65666429999999998</v>
      </c>
      <c r="F4947" t="s">
        <v>48</v>
      </c>
      <c r="G4947">
        <v>-226.26150000000001</v>
      </c>
      <c r="H4947">
        <v>1.7816620000000001</v>
      </c>
      <c r="I4947">
        <v>110.7002</v>
      </c>
      <c r="J4947">
        <v>-191.82839999999999</v>
      </c>
      <c r="K4947">
        <v>1.118649</v>
      </c>
      <c r="L4947">
        <v>161.70949999999999</v>
      </c>
      <c r="M4947">
        <v>-7.1385149999999994E-2</v>
      </c>
      <c r="N4947">
        <v>-1.4017369999999999E-2</v>
      </c>
      <c r="O4947">
        <v>-0.99735030000000002</v>
      </c>
      <c r="P4947">
        <v>-0.2089936</v>
      </c>
      <c r="Q4947">
        <v>-0.105392899999999</v>
      </c>
      <c r="R4947">
        <v>-0.97222140000000001</v>
      </c>
      <c r="S4947">
        <v>-1.8208470000000001</v>
      </c>
      <c r="T4947">
        <v>3.5040139999999997E-2</v>
      </c>
      <c r="U4947">
        <v>-2.7094269999999998</v>
      </c>
      <c r="V4947">
        <v>0.1385382</v>
      </c>
      <c r="W4947">
        <v>-9.2354640000000002E-2</v>
      </c>
      <c r="X4947">
        <v>0.98604150000000002</v>
      </c>
      <c r="Y4947">
        <v>0.4969268</v>
      </c>
      <c r="Z4947">
        <v>-2.4623260000000001E-2</v>
      </c>
      <c r="AA4947">
        <v>0.86744310000000002</v>
      </c>
      <c r="AB4947">
        <v>26</v>
      </c>
      <c r="AC4947">
        <v>-34.433100000000003</v>
      </c>
      <c r="AD4947">
        <v>0.66301299999999896</v>
      </c>
      <c r="AE4947">
        <v>-51.009300000000003</v>
      </c>
      <c r="AF4947">
        <v>30.700010428849499</v>
      </c>
      <c r="AG4947">
        <v>0.66301299999999896</v>
      </c>
      <c r="AH4947">
        <v>53.331204770971098</v>
      </c>
      <c r="AI4947">
        <v>89.382699027922797</v>
      </c>
      <c r="AJ4947">
        <v>60.073196234153599</v>
      </c>
      <c r="AK4947">
        <v>61.539805239315598</v>
      </c>
      <c r="AL4947">
        <v>95.299082217626705</v>
      </c>
      <c r="AM4947">
        <v>82.002330293276003</v>
      </c>
      <c r="AN4947">
        <v>1.0000000260555</v>
      </c>
    </row>
    <row r="4948" spans="1:40" x14ac:dyDescent="0.25">
      <c r="A4948" t="str">
        <f>"20190303154236917"</f>
        <v>20190303154236917</v>
      </c>
      <c r="B4948" t="str">
        <f>"1551598956915150"</f>
        <v>1551598956915150</v>
      </c>
      <c r="C4948" t="s">
        <v>40</v>
      </c>
      <c r="D4948">
        <v>5.9655990000000001</v>
      </c>
      <c r="E4948">
        <v>0.64418580000000003</v>
      </c>
      <c r="F4948" t="s">
        <v>48</v>
      </c>
      <c r="G4948">
        <v>-226.26150000000001</v>
      </c>
      <c r="H4948">
        <v>1.825664</v>
      </c>
      <c r="I4948">
        <v>111.71210000000001</v>
      </c>
      <c r="J4948">
        <v>-191.8409</v>
      </c>
      <c r="K4948">
        <v>1.11866</v>
      </c>
      <c r="L4948">
        <v>161.5607</v>
      </c>
      <c r="M4948">
        <v>-7.3200920000000003E-2</v>
      </c>
      <c r="N4948">
        <v>-1.401723E-2</v>
      </c>
      <c r="O4948">
        <v>-0.99721879999999996</v>
      </c>
      <c r="P4948">
        <v>-0.21362780000000001</v>
      </c>
      <c r="Q4948">
        <v>-0.1058996</v>
      </c>
      <c r="R4948">
        <v>-0.97115870000000004</v>
      </c>
      <c r="S4948">
        <v>-1.8535459999999999</v>
      </c>
      <c r="T4948">
        <v>3.8059120000000002E-2</v>
      </c>
      <c r="U4948">
        <v>-2.691376</v>
      </c>
      <c r="V4948">
        <v>0.14144519999999999</v>
      </c>
      <c r="W4948">
        <v>-9.2878970000000005E-2</v>
      </c>
      <c r="X4948">
        <v>0.98557939999999999</v>
      </c>
      <c r="Y4948">
        <v>0.50519069999999999</v>
      </c>
      <c r="Z4948">
        <v>-2.5544750000000001E-2</v>
      </c>
      <c r="AA4948">
        <v>0.8626296</v>
      </c>
      <c r="AB4948">
        <v>26</v>
      </c>
      <c r="AC4948">
        <v>-34.4206</v>
      </c>
      <c r="AD4948">
        <v>0.70700399999999997</v>
      </c>
      <c r="AE4948">
        <v>-49.848599999999898</v>
      </c>
      <c r="AF4948">
        <v>30.674738889015899</v>
      </c>
      <c r="AG4948">
        <v>0.70700399999999997</v>
      </c>
      <c r="AH4948">
        <v>52.227593428391202</v>
      </c>
      <c r="AI4948">
        <v>89.331238933579797</v>
      </c>
      <c r="AJ4948">
        <v>59.573082102267698</v>
      </c>
      <c r="AK4948">
        <v>60.573599660963303</v>
      </c>
      <c r="AL4948">
        <v>95.329253931523795</v>
      </c>
      <c r="AM4948">
        <v>81.832975427429702</v>
      </c>
      <c r="AN4948">
        <v>1.00000000068783</v>
      </c>
    </row>
    <row r="4949" spans="1:40" x14ac:dyDescent="0.25">
      <c r="A4949" t="str">
        <f>"20190303154236930"</f>
        <v>20190303154236930</v>
      </c>
      <c r="B4949" t="str">
        <f>"1551598956924910"</f>
        <v>1551598956924910</v>
      </c>
      <c r="C4949" t="s">
        <v>40</v>
      </c>
      <c r="D4949">
        <v>5.9740260000000003</v>
      </c>
      <c r="E4949">
        <v>0.64031530000000003</v>
      </c>
      <c r="F4949" t="s">
        <v>41</v>
      </c>
      <c r="G4949">
        <v>-215.98599999999999</v>
      </c>
      <c r="H4949">
        <v>7.9986580000000002E-2</v>
      </c>
      <c r="I4949">
        <v>124.7897</v>
      </c>
      <c r="J4949">
        <v>-191.8544</v>
      </c>
      <c r="K4949">
        <v>1.1186799999999999</v>
      </c>
      <c r="L4949">
        <v>161.405</v>
      </c>
      <c r="M4949">
        <v>-7.5071170000000007E-2</v>
      </c>
      <c r="N4949">
        <v>-1.401647E-2</v>
      </c>
      <c r="O4949">
        <v>-0.99707979999999996</v>
      </c>
      <c r="P4949">
        <v>-0.22118109999999999</v>
      </c>
      <c r="Q4949">
        <v>-0.1063368</v>
      </c>
      <c r="R4949">
        <v>-0.96941840000000001</v>
      </c>
      <c r="S4949">
        <v>-1.767639</v>
      </c>
      <c r="T4949">
        <v>-7.6040389999999999E-2</v>
      </c>
      <c r="U4949">
        <v>-2.6919710000000001</v>
      </c>
      <c r="V4949">
        <v>0.1472647</v>
      </c>
      <c r="W4949">
        <v>-9.335301E-2</v>
      </c>
      <c r="X4949">
        <v>0.98468180000000005</v>
      </c>
      <c r="Y4949">
        <v>0.48442809999999997</v>
      </c>
      <c r="Z4949">
        <v>1.0293790000000001E-2</v>
      </c>
      <c r="AA4949">
        <v>0.87477050000000001</v>
      </c>
      <c r="AB4949">
        <v>26</v>
      </c>
      <c r="AC4949">
        <v>-24.131599999999899</v>
      </c>
      <c r="AD4949">
        <v>-1.03869342</v>
      </c>
      <c r="AE4949">
        <v>-36.615299999999998</v>
      </c>
      <c r="AF4949">
        <v>21.3025169354447</v>
      </c>
      <c r="AG4949">
        <v>-1.03869342</v>
      </c>
      <c r="AH4949">
        <v>38.302234025586799</v>
      </c>
      <c r="AI4949">
        <v>91.357628830173496</v>
      </c>
      <c r="AJ4949">
        <v>60.918542700618502</v>
      </c>
      <c r="AK4949">
        <v>43.839904689181097</v>
      </c>
      <c r="AL4949">
        <v>95.356533152017704</v>
      </c>
      <c r="AM4949">
        <v>81.494136676755801</v>
      </c>
      <c r="AN4949">
        <v>0.99999996179669404</v>
      </c>
    </row>
    <row r="4950" spans="1:40" x14ac:dyDescent="0.25">
      <c r="A4950" t="str">
        <f>"20190303154236945"</f>
        <v>20190303154236945</v>
      </c>
      <c r="B4950" t="str">
        <f>"1551598956934671"</f>
        <v>1551598956934671</v>
      </c>
      <c r="C4950" t="s">
        <v>40</v>
      </c>
      <c r="D4950">
        <v>5.9710020000000004</v>
      </c>
      <c r="E4950">
        <v>0.63687799999999894</v>
      </c>
      <c r="F4950" t="s">
        <v>57</v>
      </c>
      <c r="G4950">
        <v>-209.10470000000001</v>
      </c>
      <c r="H4950" s="1">
        <v>-4.1395830000000003E-6</v>
      </c>
      <c r="I4950">
        <v>135.09200000000001</v>
      </c>
      <c r="J4950">
        <v>-191.86969999999999</v>
      </c>
      <c r="K4950">
        <v>1.118709</v>
      </c>
      <c r="L4950">
        <v>161.23310000000001</v>
      </c>
      <c r="M4950">
        <v>-7.7109449999999996E-2</v>
      </c>
      <c r="N4950">
        <v>-1.401518E-2</v>
      </c>
      <c r="O4950">
        <v>-0.99692429999999999</v>
      </c>
      <c r="P4950">
        <v>-0.22593569999999999</v>
      </c>
      <c r="Q4950">
        <v>-0.1057661</v>
      </c>
      <c r="R4950">
        <v>-0.96838369999999996</v>
      </c>
      <c r="S4950">
        <v>-1.7576750000000001</v>
      </c>
      <c r="T4950">
        <v>-0.1139857</v>
      </c>
      <c r="U4950">
        <v>-2.6811069999999999</v>
      </c>
      <c r="V4950">
        <v>0.1500852</v>
      </c>
      <c r="W4950">
        <v>-9.279155E-2</v>
      </c>
      <c r="X4950">
        <v>0.98430899999999999</v>
      </c>
      <c r="Y4950">
        <v>0.48184830000000001</v>
      </c>
      <c r="Z4950">
        <v>2.244121E-2</v>
      </c>
      <c r="AA4950">
        <v>0.8759673</v>
      </c>
      <c r="AB4950">
        <v>26</v>
      </c>
      <c r="AC4950">
        <v>-17.234999999999999</v>
      </c>
      <c r="AD4950">
        <v>-1.1187131395829999</v>
      </c>
      <c r="AE4950">
        <v>-26.141099999999899</v>
      </c>
      <c r="AF4950">
        <v>15.1484140325129</v>
      </c>
      <c r="AG4950">
        <v>-1.1187131395829999</v>
      </c>
      <c r="AH4950">
        <v>27.357442004250299</v>
      </c>
      <c r="AI4950">
        <v>92.048840145578296</v>
      </c>
      <c r="AJ4950">
        <v>61.025741818697298</v>
      </c>
      <c r="AK4950">
        <v>31.291462091200401</v>
      </c>
      <c r="AL4950">
        <v>95.324223289635299</v>
      </c>
      <c r="AM4950">
        <v>81.330445637826998</v>
      </c>
      <c r="AN4950">
        <v>1.00000002324572</v>
      </c>
    </row>
    <row r="4951" spans="1:40" x14ac:dyDescent="0.25">
      <c r="A4951" t="str">
        <f>"20190303154236961"</f>
        <v>20190303154236961</v>
      </c>
      <c r="B4951" t="str">
        <f>"1551598956955167"</f>
        <v>1551598956955167</v>
      </c>
      <c r="C4951" t="s">
        <v>40</v>
      </c>
      <c r="D4951">
        <v>5.937341</v>
      </c>
      <c r="E4951">
        <v>0.63201180000000001</v>
      </c>
      <c r="F4951" t="s">
        <v>57</v>
      </c>
      <c r="G4951">
        <v>-205.66300000000001</v>
      </c>
      <c r="H4951" s="1">
        <v>-7.4109039999999997E-6</v>
      </c>
      <c r="I4951">
        <v>140.0686</v>
      </c>
      <c r="J4951">
        <v>-191.88560000000001</v>
      </c>
      <c r="K4951">
        <v>1.1187389999999999</v>
      </c>
      <c r="L4951">
        <v>161.0564</v>
      </c>
      <c r="M4951">
        <v>-7.9174240000000007E-2</v>
      </c>
      <c r="N4951">
        <v>-1.40135E-2</v>
      </c>
      <c r="O4951">
        <v>-0.9967627</v>
      </c>
      <c r="P4951">
        <v>-0.23248750000000001</v>
      </c>
      <c r="Q4951">
        <v>-0.1050456</v>
      </c>
      <c r="R4951">
        <v>-0.96691050000000001</v>
      </c>
      <c r="S4951">
        <v>-1.7437739999999999</v>
      </c>
      <c r="T4951">
        <v>-0.141429799999999</v>
      </c>
      <c r="U4951">
        <v>-2.6756440000000001</v>
      </c>
      <c r="V4951">
        <v>0.1547096</v>
      </c>
      <c r="W4951">
        <v>-9.2091530000000005E-2</v>
      </c>
      <c r="X4951">
        <v>0.98365860000000005</v>
      </c>
      <c r="Y4951">
        <v>0.4775066</v>
      </c>
      <c r="Z4951">
        <v>3.1315629999999997E-2</v>
      </c>
      <c r="AA4951">
        <v>0.87806989999999996</v>
      </c>
      <c r="AB4951">
        <v>26</v>
      </c>
      <c r="AC4951">
        <v>-13.777399999999901</v>
      </c>
      <c r="AD4951">
        <v>-1.118746410904</v>
      </c>
      <c r="AE4951">
        <v>-20.9878</v>
      </c>
      <c r="AF4951">
        <v>12.048361401324501</v>
      </c>
      <c r="AG4951">
        <v>-1.118746410904</v>
      </c>
      <c r="AH4951">
        <v>21.9691997178614</v>
      </c>
      <c r="AI4951">
        <v>92.556538003423896</v>
      </c>
      <c r="AJ4951">
        <v>61.258729526092097</v>
      </c>
      <c r="AK4951">
        <v>25.0810753802966</v>
      </c>
      <c r="AL4951">
        <v>95.283942342463604</v>
      </c>
      <c r="AM4951">
        <v>81.061754482251601</v>
      </c>
      <c r="AN4951">
        <v>1.0000000757919201</v>
      </c>
    </row>
    <row r="4952" spans="1:40" x14ac:dyDescent="0.25">
      <c r="A4952" t="str">
        <f>"20190303154236982"</f>
        <v>20190303154236982</v>
      </c>
      <c r="B4952" t="str">
        <f>"1551598956974690"</f>
        <v>1551598956974690</v>
      </c>
      <c r="C4952" t="s">
        <v>40</v>
      </c>
      <c r="D4952">
        <v>5.965681</v>
      </c>
      <c r="E4952">
        <v>0.62822819999999902</v>
      </c>
      <c r="F4952" t="s">
        <v>57</v>
      </c>
      <c r="G4952">
        <v>-202.68100000000001</v>
      </c>
      <c r="H4952" s="1">
        <v>-9.7065980000000007E-6</v>
      </c>
      <c r="I4952">
        <v>144.33359999999999</v>
      </c>
      <c r="J4952">
        <v>-191.90880000000001</v>
      </c>
      <c r="K4952">
        <v>1.1187830000000001</v>
      </c>
      <c r="L4952">
        <v>160.80619999999999</v>
      </c>
      <c r="M4952">
        <v>-8.2046399999999894E-2</v>
      </c>
      <c r="N4952">
        <v>-1.4010379999999999E-2</v>
      </c>
      <c r="O4952">
        <v>-0.99653020000000003</v>
      </c>
      <c r="P4952">
        <v>-0.23860980000000001</v>
      </c>
      <c r="Q4952">
        <v>-0.1050637</v>
      </c>
      <c r="R4952">
        <v>-0.96541569999999999</v>
      </c>
      <c r="S4952">
        <v>-1.722961</v>
      </c>
      <c r="T4952">
        <v>-0.17855379999999901</v>
      </c>
      <c r="U4952">
        <v>-2.6689759999999998</v>
      </c>
      <c r="V4952">
        <v>0.15811529999999999</v>
      </c>
      <c r="W4952">
        <v>-9.2116100000000006E-2</v>
      </c>
      <c r="X4952">
        <v>0.9831145</v>
      </c>
      <c r="Y4952">
        <v>0.47087230000000002</v>
      </c>
      <c r="Z4952">
        <v>4.3423679999999999E-2</v>
      </c>
      <c r="AA4952">
        <v>0.88113209999999997</v>
      </c>
      <c r="AB4952">
        <v>26</v>
      </c>
      <c r="AC4952">
        <v>-10.7721999999999</v>
      </c>
      <c r="AD4952">
        <v>-1.1187927065979999</v>
      </c>
      <c r="AE4952">
        <v>-16.4726</v>
      </c>
      <c r="AF4952">
        <v>9.3540005616521302</v>
      </c>
      <c r="AG4952">
        <v>-1.1187927065979999</v>
      </c>
      <c r="AH4952">
        <v>17.245237138916</v>
      </c>
      <c r="AI4952">
        <v>93.263853865026803</v>
      </c>
      <c r="AJ4952">
        <v>61.5241236046826</v>
      </c>
      <c r="AK4952">
        <v>19.650629191076099</v>
      </c>
      <c r="AL4952">
        <v>95.285356658918005</v>
      </c>
      <c r="AM4952">
        <v>80.863304103897704</v>
      </c>
      <c r="AN4952">
        <v>0.99999997204177404</v>
      </c>
    </row>
    <row r="4953" spans="1:40" x14ac:dyDescent="0.25">
      <c r="A4953" t="str">
        <f>"20190303154237004"</f>
        <v>20190303154237004</v>
      </c>
      <c r="B4953" t="str">
        <f>"1551598956995182"</f>
        <v>1551598956995182</v>
      </c>
      <c r="C4953" t="s">
        <v>40</v>
      </c>
      <c r="D4953">
        <v>5.9429349999999896</v>
      </c>
      <c r="E4953">
        <v>0.60492690000000005</v>
      </c>
      <c r="F4953" t="s">
        <v>57</v>
      </c>
      <c r="G4953">
        <v>-201.11500000000001</v>
      </c>
      <c r="H4953" s="1">
        <v>-1.1012369999999999E-5</v>
      </c>
      <c r="I4953">
        <v>146.47059999999999</v>
      </c>
      <c r="J4953">
        <v>-191.93340000000001</v>
      </c>
      <c r="K4953">
        <v>1.1188119999999999</v>
      </c>
      <c r="L4953">
        <v>160.54759999999999</v>
      </c>
      <c r="M4953">
        <v>-8.4971130000000006E-2</v>
      </c>
      <c r="N4953">
        <v>-1.4006950000000001E-2</v>
      </c>
      <c r="O4953">
        <v>-0.99628499999999998</v>
      </c>
      <c r="P4953">
        <v>-0.24396770000000001</v>
      </c>
      <c r="Q4953">
        <v>-0.1086765</v>
      </c>
      <c r="R4953">
        <v>-0.9636747</v>
      </c>
      <c r="S4953">
        <v>-1.7097169999999999</v>
      </c>
      <c r="T4953">
        <v>-0.20777480000000001</v>
      </c>
      <c r="U4953">
        <v>-2.6622919999999999</v>
      </c>
      <c r="V4953">
        <v>0.1607112</v>
      </c>
      <c r="W4953">
        <v>-9.5738950000000003E-2</v>
      </c>
      <c r="X4953">
        <v>0.98234719999999998</v>
      </c>
      <c r="Y4953">
        <v>0.46591280000000002</v>
      </c>
      <c r="Z4953">
        <v>5.303219E-2</v>
      </c>
      <c r="AA4953">
        <v>0.88323999999999903</v>
      </c>
      <c r="AB4953">
        <v>26</v>
      </c>
      <c r="AC4953">
        <v>-9.1815999999999995</v>
      </c>
      <c r="AD4953">
        <v>-1.11882301237</v>
      </c>
      <c r="AE4953">
        <v>-14.0769999999999</v>
      </c>
      <c r="AF4953">
        <v>7.9170463787822296</v>
      </c>
      <c r="AG4953">
        <v>-1.11882301237</v>
      </c>
      <c r="AH4953">
        <v>14.741000593115</v>
      </c>
      <c r="AI4953">
        <v>93.825401937567506</v>
      </c>
      <c r="AJ4953">
        <v>61.760795421250599</v>
      </c>
      <c r="AK4953">
        <v>16.7698684187746</v>
      </c>
      <c r="AL4953">
        <v>95.493852236611204</v>
      </c>
      <c r="AM4953">
        <v>80.7087661140975</v>
      </c>
      <c r="AN4953">
        <v>1.00000002885019</v>
      </c>
    </row>
    <row r="4954" spans="1:40" x14ac:dyDescent="0.25">
      <c r="A4954" t="str">
        <f>"20190303154237026"</f>
        <v>20190303154237026</v>
      </c>
      <c r="B4954" t="str">
        <f>"1551598957015210"</f>
        <v>1551598957015210</v>
      </c>
      <c r="C4954" t="s">
        <v>40</v>
      </c>
      <c r="D4954">
        <v>5.9682079999999997</v>
      </c>
      <c r="E4954">
        <v>0.60384150000000003</v>
      </c>
      <c r="F4954" t="s">
        <v>57</v>
      </c>
      <c r="G4954">
        <v>-196.27199999999999</v>
      </c>
      <c r="H4954" s="1">
        <v>-1.2990119999999999E-5</v>
      </c>
      <c r="I4954">
        <v>153.017</v>
      </c>
      <c r="J4954">
        <v>-191.95840000000001</v>
      </c>
      <c r="K4954">
        <v>1.1188199999999999</v>
      </c>
      <c r="L4954">
        <v>160.29259999999999</v>
      </c>
      <c r="M4954">
        <v>-8.7837559999999995E-2</v>
      </c>
      <c r="N4954">
        <v>-1.400474E-2</v>
      </c>
      <c r="O4954">
        <v>-0.99603649999999999</v>
      </c>
      <c r="P4954">
        <v>-0.24872369999999999</v>
      </c>
      <c r="Q4954">
        <v>-0.11197409999999999</v>
      </c>
      <c r="R4954">
        <v>-0.96208039999999995</v>
      </c>
      <c r="S4954">
        <v>-1.542664</v>
      </c>
      <c r="T4954">
        <v>-0.3978199</v>
      </c>
      <c r="U4954">
        <v>-2.6776580000000001</v>
      </c>
      <c r="V4954">
        <v>0.1627537</v>
      </c>
      <c r="W4954">
        <v>-9.9050750000000007E-2</v>
      </c>
      <c r="X4954">
        <v>0.98168230000000001</v>
      </c>
      <c r="Y4954">
        <v>0.41740850000000002</v>
      </c>
      <c r="Z4954">
        <v>0.116079</v>
      </c>
      <c r="AA4954">
        <v>0.90127460000000004</v>
      </c>
      <c r="AB4954">
        <v>26</v>
      </c>
      <c r="AC4954">
        <v>-4.3136000000000001</v>
      </c>
      <c r="AD4954">
        <v>-1.11883299012</v>
      </c>
      <c r="AE4954">
        <v>-7.2755999999999901</v>
      </c>
      <c r="AF4954">
        <v>3.5948892434176201</v>
      </c>
      <c r="AG4954">
        <v>-1.11883299012</v>
      </c>
      <c r="AH4954">
        <v>7.4952588948471002</v>
      </c>
      <c r="AI4954">
        <v>97.665493243219004</v>
      </c>
      <c r="AJ4954">
        <v>64.376610317977907</v>
      </c>
      <c r="AK4954">
        <v>8.3877244728832903</v>
      </c>
      <c r="AL4954">
        <v>95.684511199098196</v>
      </c>
      <c r="AM4954">
        <v>80.5865228818666</v>
      </c>
      <c r="AN4954">
        <v>0.99999997803627005</v>
      </c>
    </row>
    <row r="4955" spans="1:40" x14ac:dyDescent="0.25">
      <c r="A4955" t="str">
        <f>"20190303154237049"</f>
        <v>20190303154237049</v>
      </c>
      <c r="B4955" t="str">
        <f>"1551598957044490"</f>
        <v>1551598957044490</v>
      </c>
      <c r="C4955" t="s">
        <v>40</v>
      </c>
      <c r="D4955">
        <v>6.0040170000000002</v>
      </c>
      <c r="E4955">
        <v>0.60289979999999999</v>
      </c>
      <c r="F4955" t="s">
        <v>57</v>
      </c>
      <c r="G4955">
        <v>-196.2081</v>
      </c>
      <c r="H4955" s="1">
        <v>-1.2969829999999999E-5</v>
      </c>
      <c r="I4955">
        <v>152.9589</v>
      </c>
      <c r="J4955">
        <v>-191.9845</v>
      </c>
      <c r="K4955">
        <v>1.1188</v>
      </c>
      <c r="L4955">
        <v>160.03540000000001</v>
      </c>
      <c r="M4955">
        <v>-9.0752319999999997E-2</v>
      </c>
      <c r="N4955">
        <v>-1.400383E-2</v>
      </c>
      <c r="O4955">
        <v>-0.99577499999999997</v>
      </c>
      <c r="P4955">
        <v>-0.25291390000000002</v>
      </c>
      <c r="Q4955">
        <v>-0.11271490000000001</v>
      </c>
      <c r="R4955">
        <v>-0.96090050000000005</v>
      </c>
      <c r="S4955">
        <v>-1.5475920000000001</v>
      </c>
      <c r="T4955">
        <v>-0.40744809999999998</v>
      </c>
      <c r="U4955">
        <v>-2.670731</v>
      </c>
      <c r="V4955">
        <v>0.1641571</v>
      </c>
      <c r="W4955">
        <v>-9.9809389999999998E-2</v>
      </c>
      <c r="X4955">
        <v>0.98137180000000002</v>
      </c>
      <c r="Y4955">
        <v>0.41680679999999998</v>
      </c>
      <c r="Z4955">
        <v>0.119378399999999</v>
      </c>
      <c r="AA4955">
        <v>0.90112199999999998</v>
      </c>
      <c r="AB4955">
        <v>26</v>
      </c>
      <c r="AC4955">
        <v>-4.2236000000000002</v>
      </c>
      <c r="AD4955">
        <v>-1.11881296983</v>
      </c>
      <c r="AE4955">
        <v>-7.0765000000000002</v>
      </c>
      <c r="AF4955">
        <v>3.4993992051962</v>
      </c>
      <c r="AG4955">
        <v>-1.11881296983</v>
      </c>
      <c r="AH4955">
        <v>7.2961578227446697</v>
      </c>
      <c r="AI4955">
        <v>97.871944116327896</v>
      </c>
      <c r="AJ4955">
        <v>64.376590093406406</v>
      </c>
      <c r="AK4955">
        <v>8.1689323802554501</v>
      </c>
      <c r="AL4955">
        <v>95.728194192466006</v>
      </c>
      <c r="AM4955">
        <v>80.503874316531693</v>
      </c>
      <c r="AN4955">
        <v>1.0000000388239101</v>
      </c>
    </row>
    <row r="4956" spans="1:40" x14ac:dyDescent="0.25">
      <c r="A4956" t="str">
        <f>"20190303154237071"</f>
        <v>20190303154237071</v>
      </c>
      <c r="B4956" t="str">
        <f>"1551598957064989"</f>
        <v>1551598957064989</v>
      </c>
      <c r="C4956" t="s">
        <v>40</v>
      </c>
      <c r="D4956">
        <v>5.977671</v>
      </c>
      <c r="E4956">
        <v>0.60279830000000001</v>
      </c>
      <c r="F4956" t="s">
        <v>57</v>
      </c>
      <c r="G4956">
        <v>-196.20269999999999</v>
      </c>
      <c r="H4956" s="1">
        <v>-1.292766E-5</v>
      </c>
      <c r="I4956">
        <v>152.79320000000001</v>
      </c>
      <c r="J4956">
        <v>-192.01159999999999</v>
      </c>
      <c r="K4956">
        <v>1.118749</v>
      </c>
      <c r="L4956">
        <v>159.77500000000001</v>
      </c>
      <c r="M4956">
        <v>-9.3790280000000004E-2</v>
      </c>
      <c r="N4956">
        <v>-1.400413E-2</v>
      </c>
      <c r="O4956">
        <v>-0.99549339999999997</v>
      </c>
      <c r="P4956">
        <v>-0.25731100000000001</v>
      </c>
      <c r="Q4956">
        <v>-0.1119503</v>
      </c>
      <c r="R4956">
        <v>-0.95982199999999995</v>
      </c>
      <c r="S4956">
        <v>-1.552322</v>
      </c>
      <c r="T4956">
        <v>-0.41172579999999998</v>
      </c>
      <c r="U4956">
        <v>-2.6651760000000002</v>
      </c>
      <c r="V4956">
        <v>0.1656359</v>
      </c>
      <c r="W4956">
        <v>-9.9076490000000003E-2</v>
      </c>
      <c r="X4956">
        <v>0.98119749999999994</v>
      </c>
      <c r="Y4956">
        <v>0.41595130000000002</v>
      </c>
      <c r="Z4956">
        <v>0.1209139</v>
      </c>
      <c r="AA4956">
        <v>0.90131260000000002</v>
      </c>
      <c r="AB4956">
        <v>26</v>
      </c>
      <c r="AC4956">
        <v>-4.1910999999999996</v>
      </c>
      <c r="AD4956">
        <v>-1.11876192766</v>
      </c>
      <c r="AE4956">
        <v>-6.98179999999999</v>
      </c>
      <c r="AF4956">
        <v>3.45256491555811</v>
      </c>
      <c r="AG4956">
        <v>-1.11876192766</v>
      </c>
      <c r="AH4956">
        <v>7.2080871938169198</v>
      </c>
      <c r="AI4956">
        <v>97.968493150857398</v>
      </c>
      <c r="AJ4956">
        <v>64.406282893857195</v>
      </c>
      <c r="AK4956">
        <v>8.0702139835689497</v>
      </c>
      <c r="AL4956">
        <v>95.685993339267199</v>
      </c>
      <c r="AM4956">
        <v>80.418237388727107</v>
      </c>
      <c r="AN4956">
        <v>0.99999996812288905</v>
      </c>
    </row>
    <row r="4957" spans="1:40" x14ac:dyDescent="0.25">
      <c r="A4957" t="str">
        <f>"20190303154237093"</f>
        <v>20190303154237093</v>
      </c>
      <c r="B4957" t="str">
        <f>"1551598957084509"</f>
        <v>1551598957084509</v>
      </c>
      <c r="C4957" t="s">
        <v>40</v>
      </c>
      <c r="D4957">
        <v>6.014424</v>
      </c>
      <c r="E4957">
        <v>0.60255319999999901</v>
      </c>
      <c r="F4957" t="s">
        <v>57</v>
      </c>
      <c r="G4957">
        <v>-196.2619</v>
      </c>
      <c r="H4957" s="1">
        <v>-1.287121E-5</v>
      </c>
      <c r="I4957">
        <v>152.5479</v>
      </c>
      <c r="J4957">
        <v>-192.03890000000001</v>
      </c>
      <c r="K4957">
        <v>1.1186579999999999</v>
      </c>
      <c r="L4957">
        <v>159.52260000000001</v>
      </c>
      <c r="M4957">
        <v>-9.6877420000000006E-2</v>
      </c>
      <c r="N4957">
        <v>-1.400612E-2</v>
      </c>
      <c r="O4957">
        <v>-0.99519789999999997</v>
      </c>
      <c r="P4957">
        <v>-0.262326</v>
      </c>
      <c r="Q4957">
        <v>-0.1115579</v>
      </c>
      <c r="R4957">
        <v>-0.95850959999999996</v>
      </c>
      <c r="S4957">
        <v>-1.563461</v>
      </c>
      <c r="T4957">
        <v>-0.41153240000000002</v>
      </c>
      <c r="U4957">
        <v>-2.6584469999999998</v>
      </c>
      <c r="V4957">
        <v>0.16769439999999999</v>
      </c>
      <c r="W4957">
        <v>-9.8735530000000002E-2</v>
      </c>
      <c r="X4957">
        <v>0.98088220000000004</v>
      </c>
      <c r="Y4957">
        <v>0.41693720000000001</v>
      </c>
      <c r="Z4957">
        <v>0.1209298</v>
      </c>
      <c r="AA4957">
        <v>0.90085479999999996</v>
      </c>
      <c r="AB4957">
        <v>26</v>
      </c>
      <c r="AC4957">
        <v>-4.2229999999999803</v>
      </c>
      <c r="AD4957">
        <v>-1.11867087121</v>
      </c>
      <c r="AE4957">
        <v>-6.9747000000000101</v>
      </c>
      <c r="AF4957">
        <v>3.4622027245454099</v>
      </c>
      <c r="AG4957">
        <v>-1.11867087121</v>
      </c>
      <c r="AH4957">
        <v>7.2152207152931398</v>
      </c>
      <c r="AI4957">
        <v>97.957435633734093</v>
      </c>
      <c r="AJ4957">
        <v>64.366114737253397</v>
      </c>
      <c r="AK4957">
        <v>8.0806981254306702</v>
      </c>
      <c r="AL4957">
        <v>95.666361309396507</v>
      </c>
      <c r="AM4957">
        <v>80.298346470250607</v>
      </c>
      <c r="AN4957">
        <v>1.0000000034762899</v>
      </c>
    </row>
    <row r="4958" spans="1:40" x14ac:dyDescent="0.25">
      <c r="A4958" t="str">
        <f>"20190303154237116"</f>
        <v>20190303154237116</v>
      </c>
      <c r="B4958" t="str">
        <f>"1551598957105005"</f>
        <v>1551598957105005</v>
      </c>
      <c r="C4958" t="s">
        <v>40</v>
      </c>
      <c r="D4958">
        <v>5.9929839999999999</v>
      </c>
      <c r="E4958">
        <v>0.60246529999999998</v>
      </c>
      <c r="F4958" t="s">
        <v>57</v>
      </c>
      <c r="G4958">
        <v>-196.31020000000001</v>
      </c>
      <c r="H4958" s="1">
        <v>-1.2822009999999999E-5</v>
      </c>
      <c r="I4958">
        <v>152.33539999999999</v>
      </c>
      <c r="J4958">
        <v>-192.06780000000001</v>
      </c>
      <c r="K4958">
        <v>1.1185179999999999</v>
      </c>
      <c r="L4958">
        <v>159.26429999999999</v>
      </c>
      <c r="M4958">
        <v>-0.10024370000000001</v>
      </c>
      <c r="N4958">
        <v>-1.401051E-2</v>
      </c>
      <c r="O4958">
        <v>-0.99486439999999998</v>
      </c>
      <c r="P4958">
        <v>-0.26812249999999999</v>
      </c>
      <c r="Q4958">
        <v>-0.111137899999999</v>
      </c>
      <c r="R4958">
        <v>-0.9569531</v>
      </c>
      <c r="S4958">
        <v>-1.5752870000000001</v>
      </c>
      <c r="T4958">
        <v>-0.41257480000000002</v>
      </c>
      <c r="U4958">
        <v>-2.6507260000000001</v>
      </c>
      <c r="V4958">
        <v>0.17027310000000001</v>
      </c>
      <c r="W4958">
        <v>-9.8387440000000007E-2</v>
      </c>
      <c r="X4958">
        <v>0.98047289999999998</v>
      </c>
      <c r="Y4958">
        <v>0.41796050000000001</v>
      </c>
      <c r="Z4958">
        <v>0.1213656</v>
      </c>
      <c r="AA4958">
        <v>0.90032179999999995</v>
      </c>
      <c r="AB4958">
        <v>26</v>
      </c>
      <c r="AC4958">
        <v>-4.2423999999999999</v>
      </c>
      <c r="AD4958">
        <v>-1.1185308220100001</v>
      </c>
      <c r="AE4958">
        <v>-6.9288999999999898</v>
      </c>
      <c r="AF4958">
        <v>3.46078395471572</v>
      </c>
      <c r="AG4958">
        <v>-1.1185308220100001</v>
      </c>
      <c r="AH4958">
        <v>7.1831573567624298</v>
      </c>
      <c r="AI4958">
        <v>97.985521758122701</v>
      </c>
      <c r="AJ4958">
        <v>64.275629406536098</v>
      </c>
      <c r="AK4958">
        <v>8.0514524399647502</v>
      </c>
      <c r="AL4958">
        <v>95.646319304706793</v>
      </c>
      <c r="AM4958">
        <v>80.1480294434987</v>
      </c>
      <c r="AN4958">
        <v>1.0000000622838801</v>
      </c>
    </row>
    <row r="4959" spans="1:40" x14ac:dyDescent="0.25">
      <c r="A4959" t="str">
        <f>"20190303154237139"</f>
        <v>20190303154237139</v>
      </c>
      <c r="B4959" t="str">
        <f>"1551598957135259"</f>
        <v>1551598957135259</v>
      </c>
      <c r="C4959" t="s">
        <v>40</v>
      </c>
      <c r="D4959">
        <v>6.0131370000000004</v>
      </c>
      <c r="E4959">
        <v>0.60231789999999996</v>
      </c>
      <c r="F4959" t="s">
        <v>57</v>
      </c>
      <c r="G4959">
        <v>-196.3955</v>
      </c>
      <c r="H4959" s="1">
        <v>-1.276415E-5</v>
      </c>
      <c r="I4959">
        <v>152.0753</v>
      </c>
      <c r="J4959">
        <v>-192.0977</v>
      </c>
      <c r="K4959">
        <v>1.118347</v>
      </c>
      <c r="L4959">
        <v>159.0086</v>
      </c>
      <c r="M4959">
        <v>-0.10384699999999999</v>
      </c>
      <c r="N4959">
        <v>-1.401793E-2</v>
      </c>
      <c r="O4959">
        <v>-0.99449469999999995</v>
      </c>
      <c r="P4959">
        <v>-0.27498410000000001</v>
      </c>
      <c r="Q4959">
        <v>-0.1101279</v>
      </c>
      <c r="R4959">
        <v>-0.955121</v>
      </c>
      <c r="S4959">
        <v>-1.590271</v>
      </c>
      <c r="T4959">
        <v>-0.41101789999999999</v>
      </c>
      <c r="U4959">
        <v>-2.6416469999999999</v>
      </c>
      <c r="V4959">
        <v>0.17370620000000001</v>
      </c>
      <c r="W4959">
        <v>-9.7467929999999994E-2</v>
      </c>
      <c r="X4959">
        <v>0.97996229999999995</v>
      </c>
      <c r="Y4959">
        <v>0.41981649999999998</v>
      </c>
      <c r="Z4959">
        <v>0.1209505</v>
      </c>
      <c r="AA4959">
        <v>0.89951380000000003</v>
      </c>
      <c r="AB4959">
        <v>26</v>
      </c>
      <c r="AC4959">
        <v>-4.2977999999999899</v>
      </c>
      <c r="AD4959">
        <v>-1.11835976415</v>
      </c>
      <c r="AE4959">
        <v>-6.9333</v>
      </c>
      <c r="AF4959">
        <v>3.4889074022690401</v>
      </c>
      <c r="AG4959">
        <v>-1.11835976415</v>
      </c>
      <c r="AH4959">
        <v>7.2067053153941503</v>
      </c>
      <c r="AI4959">
        <v>97.9514023292123</v>
      </c>
      <c r="AJ4959">
        <v>64.167465454748907</v>
      </c>
      <c r="AK4959">
        <v>8.0845411079793301</v>
      </c>
      <c r="AL4959">
        <v>95.593381304540301</v>
      </c>
      <c r="AM4959">
        <v>79.948270859885397</v>
      </c>
      <c r="AN4959">
        <v>0.99999997535910701</v>
      </c>
    </row>
    <row r="4960" spans="1:40" x14ac:dyDescent="0.25">
      <c r="A4960" t="str">
        <f>"20190303154237161"</f>
        <v>20190303154237161</v>
      </c>
      <c r="B4960" t="str">
        <f>"1551598957154778"</f>
        <v>1551598957154778</v>
      </c>
      <c r="C4960" t="s">
        <v>40</v>
      </c>
      <c r="D4960">
        <v>6.0106199999999896</v>
      </c>
      <c r="E4960">
        <v>0.60230799999999995</v>
      </c>
      <c r="F4960" t="s">
        <v>57</v>
      </c>
      <c r="G4960">
        <v>-196.50700000000001</v>
      </c>
      <c r="H4960" s="1">
        <v>-1.27032399999999E-5</v>
      </c>
      <c r="I4960">
        <v>151.79399999999899</v>
      </c>
      <c r="J4960">
        <v>-192.12899999999999</v>
      </c>
      <c r="K4960">
        <v>1.1181909999999999</v>
      </c>
      <c r="L4960">
        <v>158.7508</v>
      </c>
      <c r="M4960">
        <v>-0.1077154</v>
      </c>
      <c r="N4960">
        <v>-1.4027E-2</v>
      </c>
      <c r="O4960">
        <v>-0.99408280000000004</v>
      </c>
      <c r="P4960">
        <v>-0.28390100000000001</v>
      </c>
      <c r="Q4960">
        <v>-0.10994039999999999</v>
      </c>
      <c r="R4960">
        <v>-0.95253019999999999</v>
      </c>
      <c r="S4960">
        <v>-1.60797099999999</v>
      </c>
      <c r="T4960">
        <v>-0.40783819999999998</v>
      </c>
      <c r="U4960">
        <v>-2.6309969999999998</v>
      </c>
      <c r="V4960">
        <v>0.1790031</v>
      </c>
      <c r="W4960">
        <v>-9.7390690000000002E-2</v>
      </c>
      <c r="X4960">
        <v>0.97901629999999995</v>
      </c>
      <c r="Y4960">
        <v>0.42237659999999999</v>
      </c>
      <c r="Z4960">
        <v>0.1200138</v>
      </c>
      <c r="AA4960">
        <v>0.89844009999999996</v>
      </c>
      <c r="AB4960">
        <v>26</v>
      </c>
      <c r="AC4960">
        <v>-4.3779999999999797</v>
      </c>
      <c r="AD4960">
        <v>-1.1182037032399901</v>
      </c>
      <c r="AE4960">
        <v>-6.9568000000000101</v>
      </c>
      <c r="AF4960">
        <v>3.5376250886999001</v>
      </c>
      <c r="AG4960">
        <v>-1.1182037032399901</v>
      </c>
      <c r="AH4960">
        <v>7.2536988185953302</v>
      </c>
      <c r="AI4960">
        <v>97.888484180867707</v>
      </c>
      <c r="AJ4960">
        <v>64.0015327991334</v>
      </c>
      <c r="AK4960">
        <v>8.1474730647624707</v>
      </c>
      <c r="AL4960">
        <v>95.588934563511998</v>
      </c>
      <c r="AM4960">
        <v>79.638504946295697</v>
      </c>
      <c r="AN4960">
        <v>0.99999998598698703</v>
      </c>
    </row>
    <row r="4961" spans="1:40" x14ac:dyDescent="0.25">
      <c r="A4961" t="str">
        <f>"20190303154237184"</f>
        <v>20190303154237184</v>
      </c>
      <c r="B4961" t="str">
        <f>"1551598957175274"</f>
        <v>1551598957175274</v>
      </c>
      <c r="C4961" t="s">
        <v>40</v>
      </c>
      <c r="D4961">
        <v>6.0413180000000004</v>
      </c>
      <c r="E4961">
        <v>0.60213779999999995</v>
      </c>
      <c r="F4961" t="s">
        <v>57</v>
      </c>
      <c r="G4961">
        <v>-196.58789999999999</v>
      </c>
      <c r="H4961" s="1">
        <v>-1.266285E-5</v>
      </c>
      <c r="I4961">
        <v>151.60489999999999</v>
      </c>
      <c r="J4961">
        <v>-192.16229999999999</v>
      </c>
      <c r="K4961">
        <v>1.1180399999999999</v>
      </c>
      <c r="L4961">
        <v>158.48759999999999</v>
      </c>
      <c r="M4961">
        <v>-0.11192879999999999</v>
      </c>
      <c r="N4961">
        <v>-1.4036420000000001E-2</v>
      </c>
      <c r="O4961">
        <v>-0.99361730000000004</v>
      </c>
      <c r="P4961">
        <v>-0.29439399999999999</v>
      </c>
      <c r="Q4961">
        <v>-0.10887239999999999</v>
      </c>
      <c r="R4961">
        <v>-0.94946280000000005</v>
      </c>
      <c r="S4961">
        <v>-1.632217</v>
      </c>
      <c r="T4961">
        <v>-0.40932499999999999</v>
      </c>
      <c r="U4961">
        <v>-2.6157840000000001</v>
      </c>
      <c r="V4961">
        <v>0.18559500000000001</v>
      </c>
      <c r="W4961">
        <v>-9.6448500000000006E-2</v>
      </c>
      <c r="X4961">
        <v>0.97788149999999996</v>
      </c>
      <c r="Y4961">
        <v>0.42683280000000001</v>
      </c>
      <c r="Z4961">
        <v>0.1206175</v>
      </c>
      <c r="AA4961">
        <v>0.89625059999999901</v>
      </c>
      <c r="AB4961">
        <v>26</v>
      </c>
      <c r="AC4961">
        <v>-4.4256000000000002</v>
      </c>
      <c r="AD4961">
        <v>-1.1180526628499901</v>
      </c>
      <c r="AE4961">
        <v>-6.8826999999999998</v>
      </c>
      <c r="AF4961">
        <v>3.5608586411791698</v>
      </c>
      <c r="AG4961">
        <v>-1.1180526628499901</v>
      </c>
      <c r="AH4961">
        <v>7.2004170489199497</v>
      </c>
      <c r="AI4961">
        <v>97.923868060713602</v>
      </c>
      <c r="AJ4961">
        <v>63.685990619655101</v>
      </c>
      <c r="AK4961">
        <v>8.1102257488767506</v>
      </c>
      <c r="AL4961">
        <v>95.534695501933001</v>
      </c>
      <c r="AM4961">
        <v>79.253483928900906</v>
      </c>
      <c r="AN4961">
        <v>1.0000000226097401</v>
      </c>
    </row>
    <row r="4962" spans="1:40" x14ac:dyDescent="0.25">
      <c r="A4962" t="str">
        <f>"20190303154237205"</f>
        <v>20190303154237205</v>
      </c>
      <c r="B4962" t="str">
        <f>"1551598957194794"</f>
        <v>1551598957194794</v>
      </c>
      <c r="C4962" t="s">
        <v>40</v>
      </c>
      <c r="D4962">
        <v>6.0488999999999997</v>
      </c>
      <c r="E4962">
        <v>0.60185310000000003</v>
      </c>
      <c r="F4962" t="s">
        <v>57</v>
      </c>
      <c r="G4962">
        <v>-196.7045</v>
      </c>
      <c r="H4962" s="1">
        <v>-1.2615610000000001E-5</v>
      </c>
      <c r="I4962">
        <v>151.37610000000001</v>
      </c>
      <c r="J4962">
        <v>-192.19470000000001</v>
      </c>
      <c r="K4962">
        <v>1.1178950000000001</v>
      </c>
      <c r="L4962">
        <v>158.24119999999999</v>
      </c>
      <c r="M4962">
        <v>-0.1161335</v>
      </c>
      <c r="N4962">
        <v>-1.404585E-2</v>
      </c>
      <c r="O4962">
        <v>-0.99313430000000003</v>
      </c>
      <c r="P4962">
        <v>-0.3036642</v>
      </c>
      <c r="Q4962">
        <v>-0.1059276</v>
      </c>
      <c r="R4962">
        <v>-0.94687250000000001</v>
      </c>
      <c r="S4962">
        <v>-1.6595610000000001</v>
      </c>
      <c r="T4962">
        <v>-0.40849629999999998</v>
      </c>
      <c r="U4962">
        <v>-2.5982820000000002</v>
      </c>
      <c r="V4962">
        <v>0.19095219999999999</v>
      </c>
      <c r="W4962">
        <v>-9.3617320000000004E-2</v>
      </c>
      <c r="X4962">
        <v>0.97712489999999996</v>
      </c>
      <c r="Y4962">
        <v>0.43244630000000001</v>
      </c>
      <c r="Z4962">
        <v>0.12048680000000001</v>
      </c>
      <c r="AA4962">
        <v>0.89357319999999996</v>
      </c>
      <c r="AB4962">
        <v>26</v>
      </c>
      <c r="AC4962">
        <v>-4.5097999999999798</v>
      </c>
      <c r="AD4962">
        <v>-1.1179076156100001</v>
      </c>
      <c r="AE4962">
        <v>-6.8650999999999804</v>
      </c>
      <c r="AF4962">
        <v>3.61497153094547</v>
      </c>
      <c r="AG4962">
        <v>-1.1179076156100001</v>
      </c>
      <c r="AH4962">
        <v>7.2088979596129699</v>
      </c>
      <c r="AI4962">
        <v>97.892089583104493</v>
      </c>
      <c r="AJ4962">
        <v>63.368081937633796</v>
      </c>
      <c r="AK4962">
        <v>8.1416181683187006</v>
      </c>
      <c r="AL4962">
        <v>95.371743364166207</v>
      </c>
      <c r="AM4962">
        <v>78.942471630216005</v>
      </c>
      <c r="AN4962">
        <v>1.00000000774441</v>
      </c>
    </row>
    <row r="4963" spans="1:40" x14ac:dyDescent="0.25">
      <c r="A4963" t="str">
        <f>"20190303154237227"</f>
        <v>20190303154237227</v>
      </c>
      <c r="B4963" t="str">
        <f>"1551598957225051"</f>
        <v>1551598957225051</v>
      </c>
      <c r="C4963" t="s">
        <v>40</v>
      </c>
      <c r="D4963">
        <v>6.085966</v>
      </c>
      <c r="E4963">
        <v>0.60131789999999996</v>
      </c>
      <c r="F4963" t="s">
        <v>57</v>
      </c>
      <c r="G4963">
        <v>-196.9153</v>
      </c>
      <c r="H4963" s="1">
        <v>-1.2512549999999999E-5</v>
      </c>
      <c r="I4963">
        <v>150.99359999999999</v>
      </c>
      <c r="J4963">
        <v>-192.2296</v>
      </c>
      <c r="K4963">
        <v>1.1177280000000001</v>
      </c>
      <c r="L4963">
        <v>157.9864</v>
      </c>
      <c r="M4963">
        <v>-0.1207671</v>
      </c>
      <c r="N4963">
        <v>-1.4057750000000001E-2</v>
      </c>
      <c r="O4963">
        <v>-0.99258150000000001</v>
      </c>
      <c r="P4963">
        <v>-0.31228080000000003</v>
      </c>
      <c r="Q4963">
        <v>-0.10265249999999999</v>
      </c>
      <c r="R4963">
        <v>-0.94442800000000005</v>
      </c>
      <c r="S4963">
        <v>-1.68304399999999</v>
      </c>
      <c r="T4963">
        <v>-0.3985668</v>
      </c>
      <c r="U4963">
        <v>-2.5839840000000001</v>
      </c>
      <c r="V4963">
        <v>0.19522909999999999</v>
      </c>
      <c r="W4963">
        <v>-9.0455999999999995E-2</v>
      </c>
      <c r="X4963">
        <v>0.97657729999999998</v>
      </c>
      <c r="Y4963">
        <v>0.43641750000000001</v>
      </c>
      <c r="Z4963">
        <v>0.11736489999999999</v>
      </c>
      <c r="AA4963">
        <v>0.89205679999999998</v>
      </c>
      <c r="AB4963">
        <v>26</v>
      </c>
      <c r="AC4963">
        <v>-4.68569999999999</v>
      </c>
      <c r="AD4963">
        <v>-1.11774051255</v>
      </c>
      <c r="AE4963">
        <v>-6.9928000000000097</v>
      </c>
      <c r="AF4963">
        <v>3.7408542550959099</v>
      </c>
      <c r="AG4963">
        <v>-1.11774051255</v>
      </c>
      <c r="AH4963">
        <v>7.3774605844318701</v>
      </c>
      <c r="AI4963">
        <v>97.695671314148797</v>
      </c>
      <c r="AJ4963">
        <v>63.112015461999199</v>
      </c>
      <c r="AK4963">
        <v>8.3468712153782807</v>
      </c>
      <c r="AL4963">
        <v>95.189841199186006</v>
      </c>
      <c r="AM4963">
        <v>78.694939474451004</v>
      </c>
      <c r="AN4963">
        <v>0.99999995614904902</v>
      </c>
    </row>
    <row r="4964" spans="1:40" x14ac:dyDescent="0.25">
      <c r="A4964" t="str">
        <f>"20190303154237250"</f>
        <v>20190303154237250</v>
      </c>
      <c r="B4964" t="str">
        <f>"1551598957244571"</f>
        <v>1551598957244571</v>
      </c>
      <c r="C4964" t="s">
        <v>40</v>
      </c>
      <c r="D4964">
        <v>6.2961199999999904</v>
      </c>
      <c r="E4964">
        <v>0.62055930000000004</v>
      </c>
      <c r="F4964" t="s">
        <v>57</v>
      </c>
      <c r="G4964">
        <v>-197.11680000000001</v>
      </c>
      <c r="H4964" s="1">
        <v>-1.2382190000000001E-5</v>
      </c>
      <c r="I4964">
        <v>150.60650000000001</v>
      </c>
      <c r="J4964">
        <v>-192.26650000000001</v>
      </c>
      <c r="K4964">
        <v>1.117526</v>
      </c>
      <c r="L4964">
        <v>157.7286</v>
      </c>
      <c r="M4964">
        <v>-0.1257587</v>
      </c>
      <c r="N4964">
        <v>-1.4072930000000001E-2</v>
      </c>
      <c r="O4964">
        <v>-0.99196110000000004</v>
      </c>
      <c r="P4964">
        <v>-0.32230879999999901</v>
      </c>
      <c r="Q4964">
        <v>-0.101539</v>
      </c>
      <c r="R4964">
        <v>-0.94117340000000005</v>
      </c>
      <c r="S4964">
        <v>-1.7027129999999999</v>
      </c>
      <c r="T4964">
        <v>-0.38942870000000002</v>
      </c>
      <c r="U4964">
        <v>-2.5712280000000001</v>
      </c>
      <c r="V4964">
        <v>0.20064219999999999</v>
      </c>
      <c r="W4964">
        <v>-8.9484430000000004E-2</v>
      </c>
      <c r="X4964">
        <v>0.97556920000000003</v>
      </c>
      <c r="Y4964">
        <v>0.43887029999999999</v>
      </c>
      <c r="Z4964">
        <v>0.1145042</v>
      </c>
      <c r="AA4964">
        <v>0.89122479999999904</v>
      </c>
      <c r="AB4964">
        <v>26</v>
      </c>
      <c r="AC4964">
        <v>-4.8502999999999998</v>
      </c>
      <c r="AD4964">
        <v>-1.11753838219</v>
      </c>
      <c r="AE4964">
        <v>-7.1220999999999801</v>
      </c>
      <c r="AF4964">
        <v>3.85125178082746</v>
      </c>
      <c r="AG4964">
        <v>-1.11753838219</v>
      </c>
      <c r="AH4964">
        <v>7.5486044821539799</v>
      </c>
      <c r="AI4964">
        <v>97.512474753972199</v>
      </c>
      <c r="AJ4964">
        <v>62.969603697538098</v>
      </c>
      <c r="AK4964">
        <v>8.5476582724737895</v>
      </c>
      <c r="AL4964">
        <v>95.133947379025798</v>
      </c>
      <c r="AM4964">
        <v>78.378214317654098</v>
      </c>
      <c r="AN4964">
        <v>1.0000000098109501</v>
      </c>
    </row>
    <row r="4965" spans="1:40" x14ac:dyDescent="0.25">
      <c r="A4965" t="str">
        <f>"20190303154237273"</f>
        <v>20190303154237273</v>
      </c>
      <c r="B4965" t="str">
        <f>"1551598957265066"</f>
        <v>1551598957265066</v>
      </c>
      <c r="C4965" t="s">
        <v>40</v>
      </c>
      <c r="D4965">
        <v>6.1626839999999996</v>
      </c>
      <c r="E4965">
        <v>0.63595900000000005</v>
      </c>
      <c r="F4965" t="s">
        <v>57</v>
      </c>
      <c r="G4965">
        <v>-197.6789</v>
      </c>
      <c r="H4965" s="1">
        <v>-1.2437110000000001E-5</v>
      </c>
      <c r="I4965">
        <v>150.50200000000001</v>
      </c>
      <c r="J4965">
        <v>-192.3049</v>
      </c>
      <c r="K4965">
        <v>1.11731</v>
      </c>
      <c r="L4965">
        <v>157.47219999999999</v>
      </c>
      <c r="M4965">
        <v>-0.13103339999999999</v>
      </c>
      <c r="N4965">
        <v>-1.409093E-2</v>
      </c>
      <c r="O4965">
        <v>-0.99127790000000005</v>
      </c>
      <c r="P4965">
        <v>-0.33293689999999998</v>
      </c>
      <c r="Q4965">
        <v>-9.9853430000000007E-2</v>
      </c>
      <c r="R4965">
        <v>-0.93764749999999997</v>
      </c>
      <c r="S4965">
        <v>-1.875092</v>
      </c>
      <c r="T4965">
        <v>-0.38716830000000002</v>
      </c>
      <c r="U4965">
        <v>-2.5036160000000001</v>
      </c>
      <c r="V4965">
        <v>0.20642189999999999</v>
      </c>
      <c r="W4965">
        <v>-8.7956149999999997E-2</v>
      </c>
      <c r="X4965">
        <v>0.97450179999999997</v>
      </c>
      <c r="Y4965">
        <v>0.48519279999999998</v>
      </c>
      <c r="Z4965">
        <v>0.1125815</v>
      </c>
      <c r="AA4965">
        <v>0.86712939999999905</v>
      </c>
      <c r="AB4965">
        <v>25</v>
      </c>
      <c r="AC4965">
        <v>-5.3739999999999899</v>
      </c>
      <c r="AD4965">
        <v>-1.1173224371099999</v>
      </c>
      <c r="AE4965">
        <v>-6.97019999999997</v>
      </c>
      <c r="AF4965">
        <v>4.3442243922622197</v>
      </c>
      <c r="AG4965">
        <v>-1.1173224371099999</v>
      </c>
      <c r="AH4965">
        <v>7.4935670195006399</v>
      </c>
      <c r="AI4965">
        <v>97.350283468428302</v>
      </c>
      <c r="AJ4965">
        <v>59.897965388775503</v>
      </c>
      <c r="AK4965">
        <v>8.73351256222508</v>
      </c>
      <c r="AL4965">
        <v>95.046036648508704</v>
      </c>
      <c r="AM4965">
        <v>78.040218845792396</v>
      </c>
      <c r="AN4965">
        <v>1.00000002166283</v>
      </c>
    </row>
    <row r="4966" spans="1:40" x14ac:dyDescent="0.25">
      <c r="A4966" t="str">
        <f>"20190303154237296"</f>
        <v>20190303154237296</v>
      </c>
      <c r="B4966" t="str">
        <f>"1551598957284586"</f>
        <v>1551598957284586</v>
      </c>
      <c r="C4966" t="s">
        <v>40</v>
      </c>
      <c r="D4966">
        <v>6.4407839999999998</v>
      </c>
      <c r="E4966">
        <v>0.64444789999999996</v>
      </c>
      <c r="F4966" t="s">
        <v>57</v>
      </c>
      <c r="G4966">
        <v>-197.94919999999999</v>
      </c>
      <c r="H4966" s="1">
        <v>-1.2543250000000001E-5</v>
      </c>
      <c r="I4966">
        <v>150.6497</v>
      </c>
      <c r="J4966">
        <v>-192.345</v>
      </c>
      <c r="K4966">
        <v>1.117083</v>
      </c>
      <c r="L4966">
        <v>157.2159</v>
      </c>
      <c r="M4966">
        <v>-0.13663259999999999</v>
      </c>
      <c r="N4966">
        <v>-1.411106E-2</v>
      </c>
      <c r="O4966">
        <v>-0.9905216</v>
      </c>
      <c r="P4966">
        <v>-0.34351589999999999</v>
      </c>
      <c r="Q4966">
        <v>-9.7832630000000004E-2</v>
      </c>
      <c r="R4966">
        <v>-0.93403789999999998</v>
      </c>
      <c r="S4966">
        <v>-2.0187379999999999</v>
      </c>
      <c r="T4966">
        <v>-0.39961780000000002</v>
      </c>
      <c r="U4966">
        <v>-2.4401090000000001</v>
      </c>
      <c r="V4966">
        <v>0.21186140000000001</v>
      </c>
      <c r="W4966">
        <v>-8.6098160000000007E-2</v>
      </c>
      <c r="X4966">
        <v>0.97349980000000003</v>
      </c>
      <c r="Y4966">
        <v>0.52148530000000004</v>
      </c>
      <c r="Z4966">
        <v>0.11553239999999899</v>
      </c>
      <c r="AA4966">
        <v>0.84540249999999995</v>
      </c>
      <c r="AB4966">
        <v>25</v>
      </c>
      <c r="AC4966">
        <v>-5.6041999999999899</v>
      </c>
      <c r="AD4966">
        <v>-1.11709554325</v>
      </c>
      <c r="AE4966">
        <v>-6.5662000000000003</v>
      </c>
      <c r="AF4966">
        <v>4.5777301372575803</v>
      </c>
      <c r="AG4966">
        <v>-1.11709554325</v>
      </c>
      <c r="AH4966">
        <v>7.15066017408635</v>
      </c>
      <c r="AI4966">
        <v>97.495410009634796</v>
      </c>
      <c r="AJ4966">
        <v>57.373324546553697</v>
      </c>
      <c r="AK4966">
        <v>8.5636123562180195</v>
      </c>
      <c r="AL4966">
        <v>94.939176305751303</v>
      </c>
      <c r="AM4966">
        <v>77.722244331991106</v>
      </c>
      <c r="AN4966">
        <v>1.0000000032826899</v>
      </c>
    </row>
    <row r="4967" spans="1:40" x14ac:dyDescent="0.25">
      <c r="A4967" t="str">
        <f>"20190303154237316"</f>
        <v>20190303154237316</v>
      </c>
      <c r="B4967" t="str">
        <f>"1551598957305082"</f>
        <v>1551598957305082</v>
      </c>
      <c r="C4967" t="s">
        <v>40</v>
      </c>
      <c r="D4967">
        <v>6.4754050000000003</v>
      </c>
      <c r="E4967">
        <v>0.64766309999999905</v>
      </c>
      <c r="F4967" t="s">
        <v>57</v>
      </c>
      <c r="G4967">
        <v>-198.14179999999999</v>
      </c>
      <c r="H4967" s="1">
        <v>-1.255768E-5</v>
      </c>
      <c r="I4967">
        <v>150.63919999999999</v>
      </c>
      <c r="J4967">
        <v>-192.38399999999999</v>
      </c>
      <c r="K4967">
        <v>1.1168659999999999</v>
      </c>
      <c r="L4967">
        <v>156.9777</v>
      </c>
      <c r="M4967">
        <v>-0.1421722</v>
      </c>
      <c r="N4967">
        <v>-1.413204E-2</v>
      </c>
      <c r="O4967">
        <v>-0.98974130000000005</v>
      </c>
      <c r="P4967">
        <v>-0.35347849999999997</v>
      </c>
      <c r="Q4967">
        <v>-9.6135150000000003E-2</v>
      </c>
      <c r="R4967">
        <v>-0.93049009999999999</v>
      </c>
      <c r="S4967">
        <v>-2.1096189999999999</v>
      </c>
      <c r="T4967">
        <v>-0.4065415</v>
      </c>
      <c r="U4967">
        <v>-2.3934329999999999</v>
      </c>
      <c r="V4967">
        <v>0.2167548</v>
      </c>
      <c r="W4967">
        <v>-8.4556619999999999E-2</v>
      </c>
      <c r="X4967">
        <v>0.97255720000000001</v>
      </c>
      <c r="Y4967">
        <v>0.54285090000000003</v>
      </c>
      <c r="Z4967">
        <v>0.11717030000000001</v>
      </c>
      <c r="AA4967">
        <v>0.83161529999999995</v>
      </c>
      <c r="AB4967">
        <v>25</v>
      </c>
      <c r="AC4967">
        <v>-5.7577999999999703</v>
      </c>
      <c r="AD4967">
        <v>-1.11687855768</v>
      </c>
      <c r="AE4967">
        <v>-6.3385000000000096</v>
      </c>
      <c r="AF4967">
        <v>4.7177961698153901</v>
      </c>
      <c r="AG4967">
        <v>-1.11687855768</v>
      </c>
      <c r="AH4967">
        <v>6.9741417860703203</v>
      </c>
      <c r="AI4967">
        <v>97.555949047925395</v>
      </c>
      <c r="AJ4967">
        <v>55.922836433019498</v>
      </c>
      <c r="AK4967">
        <v>8.4937431127119893</v>
      </c>
      <c r="AL4967">
        <v>94.850529345090706</v>
      </c>
      <c r="AM4967">
        <v>77.435773974074095</v>
      </c>
      <c r="AN4967">
        <v>0.99999998629035203</v>
      </c>
    </row>
    <row r="4968" spans="1:40" x14ac:dyDescent="0.25">
      <c r="A4968" t="str">
        <f>"20190303154237339"</f>
        <v>20190303154237339</v>
      </c>
      <c r="B4968" t="str">
        <f>"1551598957334362"</f>
        <v>1551598957334362</v>
      </c>
      <c r="C4968" t="s">
        <v>40</v>
      </c>
      <c r="D4968">
        <v>6.4572089999999998</v>
      </c>
      <c r="E4968">
        <v>0.65074679999999996</v>
      </c>
      <c r="F4968" t="s">
        <v>57</v>
      </c>
      <c r="G4968">
        <v>-198.5061</v>
      </c>
      <c r="H4968" s="1">
        <v>-1.2487750000000001E-5</v>
      </c>
      <c r="I4968">
        <v>150.27799999999999</v>
      </c>
      <c r="J4968">
        <v>-192.42679999999999</v>
      </c>
      <c r="K4968">
        <v>1.116638</v>
      </c>
      <c r="L4968">
        <v>156.72839999999999</v>
      </c>
      <c r="M4968">
        <v>-0.14830079999999901</v>
      </c>
      <c r="N4968">
        <v>-1.4156230000000001E-2</v>
      </c>
      <c r="O4968">
        <v>-0.98884090000000002</v>
      </c>
      <c r="P4968">
        <v>-0.36464229999999997</v>
      </c>
      <c r="Q4968">
        <v>-9.6297939999999999E-2</v>
      </c>
      <c r="R4968">
        <v>-0.9261549</v>
      </c>
      <c r="S4968">
        <v>-2.1594090000000001</v>
      </c>
      <c r="T4968">
        <v>-0.39394780000000001</v>
      </c>
      <c r="U4968">
        <v>-2.3631129999999998</v>
      </c>
      <c r="V4968">
        <v>0.2223678</v>
      </c>
      <c r="W4968">
        <v>-8.48941E-2</v>
      </c>
      <c r="X4968">
        <v>0.97125980000000001</v>
      </c>
      <c r="Y4968">
        <v>0.55287159999999902</v>
      </c>
      <c r="Z4968">
        <v>0.113026</v>
      </c>
      <c r="AA4968">
        <v>0.82556529999999995</v>
      </c>
      <c r="AB4968">
        <v>25</v>
      </c>
      <c r="AC4968">
        <v>-6.0793000000000097</v>
      </c>
      <c r="AD4968">
        <v>-1.1166504877500001</v>
      </c>
      <c r="AE4968">
        <v>-6.4504000000000001</v>
      </c>
      <c r="AF4968">
        <v>4.9763880428590896</v>
      </c>
      <c r="AG4968">
        <v>-1.1166504877500001</v>
      </c>
      <c r="AH4968">
        <v>7.1669680477117303</v>
      </c>
      <c r="AI4968">
        <v>97.293029209603702</v>
      </c>
      <c r="AJ4968">
        <v>55.225799116525202</v>
      </c>
      <c r="AK4968">
        <v>8.7964070654912394</v>
      </c>
      <c r="AL4968">
        <v>94.869935123614397</v>
      </c>
      <c r="AM4968">
        <v>77.104506006879902</v>
      </c>
      <c r="AN4968">
        <v>1.0000000228938399</v>
      </c>
    </row>
    <row r="4969" spans="1:40" x14ac:dyDescent="0.25">
      <c r="A4969" t="str">
        <f>"20190303154237362"</f>
        <v>20190303154237362</v>
      </c>
      <c r="B4969" t="str">
        <f>"1551598957354858"</f>
        <v>1551598957354858</v>
      </c>
      <c r="C4969" t="s">
        <v>40</v>
      </c>
      <c r="D4969">
        <v>6.2181959999999998</v>
      </c>
      <c r="E4969">
        <v>0.65168800000000005</v>
      </c>
      <c r="F4969" t="s">
        <v>57</v>
      </c>
      <c r="G4969">
        <v>-198.79320000000001</v>
      </c>
      <c r="H4969" s="1">
        <v>-1.2428660000000001E-5</v>
      </c>
      <c r="I4969">
        <v>150.02160000000001</v>
      </c>
      <c r="J4969">
        <v>-192.47460000000001</v>
      </c>
      <c r="K4969">
        <v>1.1164259999999999</v>
      </c>
      <c r="L4969">
        <v>156.46209999999999</v>
      </c>
      <c r="M4969">
        <v>-0.15516070000000001</v>
      </c>
      <c r="N4969">
        <v>-1.418264E-2</v>
      </c>
      <c r="O4969">
        <v>-0.98778750000000004</v>
      </c>
      <c r="P4969">
        <v>-0.37643310000000002</v>
      </c>
      <c r="Q4969">
        <v>-9.6755419999999995E-2</v>
      </c>
      <c r="R4969">
        <v>-0.92137780000000002</v>
      </c>
      <c r="S4969">
        <v>-2.2104189999999999</v>
      </c>
      <c r="T4969">
        <v>-0.38770070000000001</v>
      </c>
      <c r="U4969">
        <v>-2.3286129999999998</v>
      </c>
      <c r="V4969">
        <v>0.22796959999999999</v>
      </c>
      <c r="W4969">
        <v>-8.5522619999999994E-2</v>
      </c>
      <c r="X4969">
        <v>0.96990500000000002</v>
      </c>
      <c r="Y4969">
        <v>0.56289609999999901</v>
      </c>
      <c r="Z4969">
        <v>0.1109658</v>
      </c>
      <c r="AA4969">
        <v>0.81904489999999996</v>
      </c>
      <c r="AB4969">
        <v>25</v>
      </c>
      <c r="AC4969">
        <v>-6.3186</v>
      </c>
      <c r="AD4969">
        <v>-1.11643842866</v>
      </c>
      <c r="AE4969">
        <v>-6.4404999999999797</v>
      </c>
      <c r="AF4969">
        <v>5.1635859272260198</v>
      </c>
      <c r="AG4969">
        <v>-1.11643842866</v>
      </c>
      <c r="AH4969">
        <v>7.2322447950147897</v>
      </c>
      <c r="AI4969">
        <v>97.160813885505803</v>
      </c>
      <c r="AJ4969">
        <v>54.474406277599797</v>
      </c>
      <c r="AK4969">
        <v>8.9562502850162602</v>
      </c>
      <c r="AL4969">
        <v>94.906078309210699</v>
      </c>
      <c r="AM4969">
        <v>76.773101785287906</v>
      </c>
      <c r="AN4969">
        <v>0.99999998304041204</v>
      </c>
    </row>
    <row r="4970" spans="1:40" x14ac:dyDescent="0.25">
      <c r="A4970" t="str">
        <f>"20190303154237384"</f>
        <v>20190303154237384</v>
      </c>
      <c r="B4970" t="str">
        <f>"1551598957374379"</f>
        <v>1551598957374379</v>
      </c>
      <c r="C4970" t="s">
        <v>40</v>
      </c>
      <c r="D4970">
        <v>6.2550569999999999</v>
      </c>
      <c r="E4970">
        <v>0.65207360000000003</v>
      </c>
      <c r="F4970" t="s">
        <v>57</v>
      </c>
      <c r="G4970">
        <v>-198.88579999999999</v>
      </c>
      <c r="H4970" s="1">
        <v>-1.239617E-5</v>
      </c>
      <c r="I4970">
        <v>149.9076</v>
      </c>
      <c r="J4970">
        <v>-192.5204</v>
      </c>
      <c r="K4970">
        <v>1.1162449999999999</v>
      </c>
      <c r="L4970">
        <v>156.2182</v>
      </c>
      <c r="M4970">
        <v>-0.16170479999999901</v>
      </c>
      <c r="N4970">
        <v>-1.420515E-2</v>
      </c>
      <c r="O4970">
        <v>-0.98673679999999997</v>
      </c>
      <c r="P4970">
        <v>-0.38842569999999998</v>
      </c>
      <c r="Q4970">
        <v>-9.7294989999999998E-2</v>
      </c>
      <c r="R4970">
        <v>-0.9163289</v>
      </c>
      <c r="S4970">
        <v>-2.24675</v>
      </c>
      <c r="T4970">
        <v>-0.39124940000000002</v>
      </c>
      <c r="U4970">
        <v>-2.2969819999999999</v>
      </c>
      <c r="V4970">
        <v>0.2341529</v>
      </c>
      <c r="W4970">
        <v>-8.6228840000000001E-2</v>
      </c>
      <c r="X4970">
        <v>0.96836820000000001</v>
      </c>
      <c r="Y4970">
        <v>0.5695789</v>
      </c>
      <c r="Z4970">
        <v>0.1122346</v>
      </c>
      <c r="AA4970">
        <v>0.81423789999999996</v>
      </c>
      <c r="AB4970">
        <v>25</v>
      </c>
      <c r="AC4970">
        <v>-6.3653999999999904</v>
      </c>
      <c r="AD4970">
        <v>-1.11625739617</v>
      </c>
      <c r="AE4970">
        <v>-6.3105999999999902</v>
      </c>
      <c r="AF4970">
        <v>5.18070366521785</v>
      </c>
      <c r="AG4970">
        <v>-1.11625739617</v>
      </c>
      <c r="AH4970">
        <v>7.1461203639218596</v>
      </c>
      <c r="AI4970">
        <v>97.207755458205298</v>
      </c>
      <c r="AJ4970">
        <v>54.059115798320597</v>
      </c>
      <c r="AK4970">
        <v>8.8967835365914496</v>
      </c>
      <c r="AL4970">
        <v>94.946691772805394</v>
      </c>
      <c r="AM4970">
        <v>76.406708990435703</v>
      </c>
      <c r="AN4970">
        <v>0.999999982098697</v>
      </c>
    </row>
    <row r="4971" spans="1:40" x14ac:dyDescent="0.25">
      <c r="A4971" t="str">
        <f>"20190303154237406"</f>
        <v>20190303154237406</v>
      </c>
      <c r="B4971" t="str">
        <f>"1551598957394874"</f>
        <v>1551598957394874</v>
      </c>
      <c r="C4971" t="s">
        <v>40</v>
      </c>
      <c r="D4971">
        <v>6.274267</v>
      </c>
      <c r="E4971">
        <v>0.65208580000000005</v>
      </c>
      <c r="F4971" t="s">
        <v>57</v>
      </c>
      <c r="G4971">
        <v>-198.9391</v>
      </c>
      <c r="H4971" s="1">
        <v>-1.2375600000000001E-5</v>
      </c>
      <c r="I4971">
        <v>149.83760000000001</v>
      </c>
      <c r="J4971">
        <v>-192.56870000000001</v>
      </c>
      <c r="K4971">
        <v>1.116077</v>
      </c>
      <c r="L4971">
        <v>155.971</v>
      </c>
      <c r="M4971">
        <v>-0.16861770000000001</v>
      </c>
      <c r="N4971">
        <v>-1.4227790000000001E-2</v>
      </c>
      <c r="O4971">
        <v>-0.98557890000000004</v>
      </c>
      <c r="P4971">
        <v>-0.40116099999999999</v>
      </c>
      <c r="Q4971">
        <v>-9.714441E-2</v>
      </c>
      <c r="R4971">
        <v>-0.91084189999999998</v>
      </c>
      <c r="S4971">
        <v>-2.2792210000000002</v>
      </c>
      <c r="T4971">
        <v>-0.3963721</v>
      </c>
      <c r="U4971">
        <v>-2.265701</v>
      </c>
      <c r="V4971">
        <v>0.24081230000000001</v>
      </c>
      <c r="W4971">
        <v>-8.6254399999999995E-2</v>
      </c>
      <c r="X4971">
        <v>0.96673140000000002</v>
      </c>
      <c r="Y4971">
        <v>0.57509169999999998</v>
      </c>
      <c r="Z4971">
        <v>0.1140679</v>
      </c>
      <c r="AA4971">
        <v>0.81009759999999997</v>
      </c>
      <c r="AB4971">
        <v>25</v>
      </c>
      <c r="AC4971">
        <v>-6.3703999999999796</v>
      </c>
      <c r="AD4971">
        <v>-1.1160893756000001</v>
      </c>
      <c r="AE4971">
        <v>-6.1333999999999902</v>
      </c>
      <c r="AF4971">
        <v>5.1626272018405102</v>
      </c>
      <c r="AG4971">
        <v>-1.1160893756000001</v>
      </c>
      <c r="AH4971">
        <v>7.0081985995437703</v>
      </c>
      <c r="AI4971">
        <v>97.306623304960596</v>
      </c>
      <c r="AJ4971">
        <v>53.622582708112297</v>
      </c>
      <c r="AK4971">
        <v>8.7757177900248209</v>
      </c>
      <c r="AL4971">
        <v>94.948161677811299</v>
      </c>
      <c r="AM4971">
        <v>76.012327137230201</v>
      </c>
      <c r="AN4971">
        <v>0.99999999254830496</v>
      </c>
    </row>
    <row r="4972" spans="1:40" x14ac:dyDescent="0.25">
      <c r="A4972" t="str">
        <f>"20190303154237428"</f>
        <v>20190303154237428</v>
      </c>
      <c r="B4972" t="str">
        <f>"1551598957425130"</f>
        <v>1551598957425130</v>
      </c>
      <c r="C4972" t="s">
        <v>40</v>
      </c>
      <c r="D4972">
        <v>6.2790160000000004</v>
      </c>
      <c r="E4972">
        <v>0.65199430000000003</v>
      </c>
      <c r="F4972" t="s">
        <v>57</v>
      </c>
      <c r="G4972">
        <v>-199.02109999999999</v>
      </c>
      <c r="H4972" s="1">
        <v>-1.234525E-5</v>
      </c>
      <c r="I4972">
        <v>149.7329</v>
      </c>
      <c r="J4972">
        <v>-192.6183</v>
      </c>
      <c r="K4972">
        <v>1.115918</v>
      </c>
      <c r="L4972">
        <v>155.72819999999999</v>
      </c>
      <c r="M4972">
        <v>-0.1756827</v>
      </c>
      <c r="N4972">
        <v>-1.425266E-2</v>
      </c>
      <c r="O4972">
        <v>-0.98434390000000005</v>
      </c>
      <c r="P4972">
        <v>-0.41303659999999998</v>
      </c>
      <c r="Q4972">
        <v>-9.5166120000000007E-2</v>
      </c>
      <c r="R4972">
        <v>-0.9057288</v>
      </c>
      <c r="S4972">
        <v>-2.310257</v>
      </c>
      <c r="T4972">
        <v>-0.39961590000000002</v>
      </c>
      <c r="U4972">
        <v>-2.2335210000000001</v>
      </c>
      <c r="V4972">
        <v>0.24645790000000001</v>
      </c>
      <c r="W4972">
        <v>-8.4440660000000001E-2</v>
      </c>
      <c r="X4972">
        <v>0.96546790000000005</v>
      </c>
      <c r="Y4972">
        <v>0.580391199999999</v>
      </c>
      <c r="Z4972">
        <v>0.11534999999999999</v>
      </c>
      <c r="AA4972">
        <v>0.80612680000000003</v>
      </c>
      <c r="AB4972">
        <v>25</v>
      </c>
      <c r="AC4972">
        <v>-6.4027999999999796</v>
      </c>
      <c r="AD4972">
        <v>-1.11593034525</v>
      </c>
      <c r="AE4972">
        <v>-5.9952999999999799</v>
      </c>
      <c r="AF4972">
        <v>5.1662013301961798</v>
      </c>
      <c r="AG4972">
        <v>-1.11593034525</v>
      </c>
      <c r="AH4972">
        <v>6.9150864730156503</v>
      </c>
      <c r="AI4972">
        <v>97.366410219932305</v>
      </c>
      <c r="AJ4972">
        <v>53.236909284073299</v>
      </c>
      <c r="AK4972">
        <v>8.7036404825138902</v>
      </c>
      <c r="AL4972">
        <v>94.843861443279295</v>
      </c>
      <c r="AM4972">
        <v>75.679761660146497</v>
      </c>
      <c r="AN4972">
        <v>0.99999999373202697</v>
      </c>
    </row>
    <row r="4973" spans="1:40" x14ac:dyDescent="0.25">
      <c r="A4973" t="str">
        <f>"20190303154237451"</f>
        <v>20190303154237451</v>
      </c>
      <c r="B4973" t="str">
        <f>"1551598957444653"</f>
        <v>1551598957444653</v>
      </c>
      <c r="C4973" t="s">
        <v>40</v>
      </c>
      <c r="D4973">
        <v>6.2987640000000003</v>
      </c>
      <c r="E4973">
        <v>0.65171849999999998</v>
      </c>
      <c r="F4973" t="s">
        <v>57</v>
      </c>
      <c r="G4973">
        <v>-199.14789999999999</v>
      </c>
      <c r="H4973" s="1">
        <v>-1.230626E-5</v>
      </c>
      <c r="I4973">
        <v>149.5729</v>
      </c>
      <c r="J4973">
        <v>-192.6722</v>
      </c>
      <c r="K4973">
        <v>1.1157379999999999</v>
      </c>
      <c r="L4973">
        <v>155.47450000000001</v>
      </c>
      <c r="M4973">
        <v>-0.18335499999999999</v>
      </c>
      <c r="N4973">
        <v>-1.428246E-2</v>
      </c>
      <c r="O4973">
        <v>-0.98294309999999996</v>
      </c>
      <c r="P4973">
        <v>-0.42149959999999997</v>
      </c>
      <c r="Q4973">
        <v>-9.1547320000000001E-2</v>
      </c>
      <c r="R4973">
        <v>-0.902196</v>
      </c>
      <c r="S4973">
        <v>-2.3380740000000002</v>
      </c>
      <c r="T4973">
        <v>-0.3995823</v>
      </c>
      <c r="U4973">
        <v>-2.2040250000000001</v>
      </c>
      <c r="V4973">
        <v>0.24790309999999999</v>
      </c>
      <c r="W4973">
        <v>-8.0929730000000005E-2</v>
      </c>
      <c r="X4973">
        <v>0.9653986</v>
      </c>
      <c r="Y4973">
        <v>0.58420839999999996</v>
      </c>
      <c r="Z4973">
        <v>0.1155756</v>
      </c>
      <c r="AA4973">
        <v>0.8033323</v>
      </c>
      <c r="AB4973">
        <v>25</v>
      </c>
      <c r="AC4973">
        <v>-6.4756999999999802</v>
      </c>
      <c r="AD4973">
        <v>-1.1157503062599901</v>
      </c>
      <c r="AE4973">
        <v>-5.9016000000000002</v>
      </c>
      <c r="AF4973">
        <v>5.19937532957562</v>
      </c>
      <c r="AG4973">
        <v>-1.1157503062599901</v>
      </c>
      <c r="AH4973">
        <v>6.8774671844558704</v>
      </c>
      <c r="AI4973">
        <v>97.373804200503301</v>
      </c>
      <c r="AJ4973">
        <v>52.910665715120402</v>
      </c>
      <c r="AK4973">
        <v>8.6935583875065898</v>
      </c>
      <c r="AL4973">
        <v>94.642008576029497</v>
      </c>
      <c r="AM4973">
        <v>75.598281255734804</v>
      </c>
      <c r="AN4973">
        <v>1.0000000125347199</v>
      </c>
    </row>
    <row r="4974" spans="1:40" x14ac:dyDescent="0.25">
      <c r="A4974" t="str">
        <f>"20190303154237473"</f>
        <v>20190303154237473</v>
      </c>
      <c r="B4974" t="str">
        <f>"1551598957465146"</f>
        <v>1551598957465146</v>
      </c>
      <c r="C4974" t="s">
        <v>40</v>
      </c>
      <c r="D4974">
        <v>6.311007</v>
      </c>
      <c r="E4974">
        <v>0.65137</v>
      </c>
      <c r="F4974" t="s">
        <v>57</v>
      </c>
      <c r="G4974">
        <v>-199.37880000000001</v>
      </c>
      <c r="H4974" s="1">
        <v>-1.226402E-5</v>
      </c>
      <c r="I4974">
        <v>149.25739999999999</v>
      </c>
      <c r="J4974">
        <v>-192.72720000000001</v>
      </c>
      <c r="K4974">
        <v>1.1155539999999999</v>
      </c>
      <c r="L4974">
        <v>155.22739999999999</v>
      </c>
      <c r="M4974">
        <v>-0.1911291</v>
      </c>
      <c r="N4974">
        <v>-1.431436E-2</v>
      </c>
      <c r="O4974">
        <v>-0.98146060000000002</v>
      </c>
      <c r="P4974">
        <v>-0.43161179999999899</v>
      </c>
      <c r="Q4974">
        <v>-8.7203030000000001E-2</v>
      </c>
      <c r="R4974">
        <v>-0.89783500000000005</v>
      </c>
      <c r="S4974">
        <v>-2.3564759999999998</v>
      </c>
      <c r="T4974">
        <v>-0.3920399</v>
      </c>
      <c r="U4974">
        <v>-2.1845089999999998</v>
      </c>
      <c r="V4974">
        <v>0.2510404</v>
      </c>
      <c r="W4974">
        <v>-7.6725589999999996E-2</v>
      </c>
      <c r="X4974">
        <v>0.96493099999999998</v>
      </c>
      <c r="Y4974">
        <v>0.58471329999999999</v>
      </c>
      <c r="Z4974">
        <v>0.11333600000000001</v>
      </c>
      <c r="AA4974">
        <v>0.803284</v>
      </c>
      <c r="AB4974">
        <v>25</v>
      </c>
      <c r="AC4974">
        <v>-6.6516000000000002</v>
      </c>
      <c r="AD4974">
        <v>-1.1155662640199999</v>
      </c>
      <c r="AE4974">
        <v>-5.96999999999999</v>
      </c>
      <c r="AF4974">
        <v>5.3051476785103402</v>
      </c>
      <c r="AG4974">
        <v>-1.1155662640199999</v>
      </c>
      <c r="AH4974">
        <v>7.0219720495024402</v>
      </c>
      <c r="AI4974">
        <v>97.224200108622696</v>
      </c>
      <c r="AJ4974">
        <v>52.928704799574199</v>
      </c>
      <c r="AK4974">
        <v>8.8711426233725206</v>
      </c>
      <c r="AL4974">
        <v>94.400377226002405</v>
      </c>
      <c r="AM4974">
        <v>75.416977550347895</v>
      </c>
      <c r="AN4974">
        <v>0.99999996667700297</v>
      </c>
    </row>
    <row r="4975" spans="1:40" x14ac:dyDescent="0.25">
      <c r="A4975" t="str">
        <f>"20190303154237484"</f>
        <v>20190303154237484</v>
      </c>
      <c r="B4975" t="str">
        <f>"1551598957474906"</f>
        <v>1551598957474906</v>
      </c>
      <c r="C4975" t="s">
        <v>40</v>
      </c>
      <c r="D4975">
        <v>5.8449549999999997</v>
      </c>
      <c r="E4975">
        <v>0.65137</v>
      </c>
      <c r="F4975" t="s">
        <v>57</v>
      </c>
      <c r="G4975">
        <v>-199.65610000000001</v>
      </c>
      <c r="H4975" s="1">
        <v>-1.221456E-5</v>
      </c>
      <c r="I4975">
        <v>148.9323</v>
      </c>
      <c r="J4975">
        <v>-192.75810000000001</v>
      </c>
      <c r="K4975">
        <v>1.115451</v>
      </c>
      <c r="L4975">
        <v>155.09370000000001</v>
      </c>
      <c r="M4975">
        <v>-0.19548550000000001</v>
      </c>
      <c r="N4975">
        <v>-1.43328E-2</v>
      </c>
      <c r="O4975">
        <v>-0.98060199999999997</v>
      </c>
      <c r="P4975">
        <v>-0.43719069999999999</v>
      </c>
      <c r="Q4975">
        <v>-8.5501499999999994E-2</v>
      </c>
      <c r="R4975">
        <v>-0.89529590000000003</v>
      </c>
      <c r="S4975">
        <v>-2.378403</v>
      </c>
      <c r="T4975">
        <v>-0.38292470000000001</v>
      </c>
      <c r="U4975">
        <v>-2.160828</v>
      </c>
      <c r="V4975">
        <v>0.25272749999999999</v>
      </c>
      <c r="W4975">
        <v>-7.5103009999999998E-2</v>
      </c>
      <c r="X4975">
        <v>0.96461819999999998</v>
      </c>
      <c r="Y4975">
        <v>0.58941949999999999</v>
      </c>
      <c r="Z4975">
        <v>0.110592</v>
      </c>
      <c r="AA4975">
        <v>0.80022130000000002</v>
      </c>
      <c r="AB4975">
        <v>25</v>
      </c>
      <c r="AC4975">
        <v>-6.8979999999999899</v>
      </c>
      <c r="AD4975">
        <v>-1.1154632145600001</v>
      </c>
      <c r="AE4975">
        <v>-6.1614000000000102</v>
      </c>
      <c r="AF4975">
        <v>5.48058333424936</v>
      </c>
      <c r="AG4975">
        <v>-1.1154632145600001</v>
      </c>
      <c r="AH4975">
        <v>7.2851357645743899</v>
      </c>
      <c r="AI4975">
        <v>96.975861973362697</v>
      </c>
      <c r="AJ4975">
        <v>53.045978085582398</v>
      </c>
      <c r="AK4975">
        <v>9.1844572498852308</v>
      </c>
      <c r="AL4975">
        <v>94.307141201601794</v>
      </c>
      <c r="AM4975">
        <v>75.3186377130869</v>
      </c>
      <c r="AN4975">
        <v>0.99999996156927395</v>
      </c>
    </row>
    <row r="4976" spans="1:40" x14ac:dyDescent="0.25">
      <c r="A4976" t="str">
        <f>"20190303154237497"</f>
        <v>20190303154237497</v>
      </c>
      <c r="B4976" t="str">
        <f>"1551598957484666"</f>
        <v>1551598957484666</v>
      </c>
      <c r="C4976" t="s">
        <v>40</v>
      </c>
      <c r="D4976">
        <v>6.3173760000000003</v>
      </c>
      <c r="E4976">
        <v>0.65116189999999996</v>
      </c>
      <c r="F4976" t="s">
        <v>57</v>
      </c>
      <c r="G4976">
        <v>-199.79849999999999</v>
      </c>
      <c r="H4976" s="1">
        <v>-1.2188099999999999E-5</v>
      </c>
      <c r="I4976">
        <v>148.77459999999999</v>
      </c>
      <c r="J4976">
        <v>-192.7876</v>
      </c>
      <c r="K4976">
        <v>1.115353</v>
      </c>
      <c r="L4976">
        <v>154.96719999999999</v>
      </c>
      <c r="M4976">
        <v>-0.1996473</v>
      </c>
      <c r="N4976">
        <v>-1.4349900000000001E-2</v>
      </c>
      <c r="O4976">
        <v>-0.97976300000000005</v>
      </c>
      <c r="P4976">
        <v>-0.44309920000000003</v>
      </c>
      <c r="Q4976">
        <v>-8.3663459999999995E-2</v>
      </c>
      <c r="R4976">
        <v>-0.89256039999999903</v>
      </c>
      <c r="S4976">
        <v>-2.3917540000000002</v>
      </c>
      <c r="T4976">
        <v>-0.378942</v>
      </c>
      <c r="U4976">
        <v>-2.1466980000000002</v>
      </c>
      <c r="V4976">
        <v>0.25497540000000002</v>
      </c>
      <c r="W4976">
        <v>-7.3352429999999996E-2</v>
      </c>
      <c r="X4976">
        <v>0.9641613</v>
      </c>
      <c r="Y4976">
        <v>0.59094199999999997</v>
      </c>
      <c r="Z4976">
        <v>0.1094097</v>
      </c>
      <c r="AA4976">
        <v>0.79926039999999998</v>
      </c>
      <c r="AB4976">
        <v>25</v>
      </c>
      <c r="AC4976">
        <v>-7.0108999999999897</v>
      </c>
      <c r="AD4976">
        <v>-1.1153651881</v>
      </c>
      <c r="AE4976">
        <v>-6.1925999999999899</v>
      </c>
      <c r="AF4976">
        <v>5.5542953638319998</v>
      </c>
      <c r="AG4976">
        <v>-1.1153651881</v>
      </c>
      <c r="AH4976">
        <v>7.3630707199226597</v>
      </c>
      <c r="AI4976">
        <v>96.895415165817397</v>
      </c>
      <c r="AJ4976">
        <v>52.971107344790902</v>
      </c>
      <c r="AK4976">
        <v>9.2902662458130596</v>
      </c>
      <c r="AL4976">
        <v>94.2065626163796</v>
      </c>
      <c r="AM4976">
        <v>75.187058334567297</v>
      </c>
      <c r="AN4976">
        <v>1.00000002300487</v>
      </c>
    </row>
    <row r="4977" spans="1:40" x14ac:dyDescent="0.25">
      <c r="A4977" t="str">
        <f>"20190303154237510"</f>
        <v>20190303154237510</v>
      </c>
      <c r="B4977" t="str">
        <f>"1551598957505163"</f>
        <v>1551598957505163</v>
      </c>
      <c r="C4977" t="s">
        <v>40</v>
      </c>
      <c r="D4977">
        <v>6.3144619999999998</v>
      </c>
      <c r="E4977">
        <v>0.65075620000000001</v>
      </c>
      <c r="F4977" t="s">
        <v>57</v>
      </c>
      <c r="G4977">
        <v>-199.9391</v>
      </c>
      <c r="H4977" s="1">
        <v>-1.2163880000000001E-5</v>
      </c>
      <c r="I4977">
        <v>148.62530000000001</v>
      </c>
      <c r="J4977">
        <v>-192.8245</v>
      </c>
      <c r="K4977">
        <v>1.1152329999999999</v>
      </c>
      <c r="L4977">
        <v>154.8152</v>
      </c>
      <c r="M4977">
        <v>-0.20481440000000001</v>
      </c>
      <c r="N4977">
        <v>-1.4372090000000001E-2</v>
      </c>
      <c r="O4977">
        <v>-0.97869550000000005</v>
      </c>
      <c r="P4977">
        <v>-0.45005139999999999</v>
      </c>
      <c r="Q4977">
        <v>-8.1815509999999994E-2</v>
      </c>
      <c r="R4977">
        <v>-0.88924689999999995</v>
      </c>
      <c r="S4977">
        <v>-2.4045100000000001</v>
      </c>
      <c r="T4977">
        <v>-0.37501279999999998</v>
      </c>
      <c r="U4977">
        <v>-2.1323089999999998</v>
      </c>
      <c r="V4977">
        <v>0.25737650000000001</v>
      </c>
      <c r="W4977">
        <v>-7.1604399999999999E-2</v>
      </c>
      <c r="X4977">
        <v>0.96365460000000003</v>
      </c>
      <c r="Y4977">
        <v>0.59158100000000002</v>
      </c>
      <c r="Z4977">
        <v>0.1082615</v>
      </c>
      <c r="AA4977">
        <v>0.79894390000000004</v>
      </c>
      <c r="AB4977">
        <v>25</v>
      </c>
      <c r="AC4977">
        <v>-7.1145999999999896</v>
      </c>
      <c r="AD4977">
        <v>-1.1152451638799901</v>
      </c>
      <c r="AE4977">
        <v>-6.18989999999999</v>
      </c>
      <c r="AF4977">
        <v>5.6172727052629901</v>
      </c>
      <c r="AG4977">
        <v>-1.1152451638799901</v>
      </c>
      <c r="AH4977">
        <v>7.4123091699145398</v>
      </c>
      <c r="AI4977">
        <v>96.837950902794205</v>
      </c>
      <c r="AJ4977">
        <v>52.844047179022198</v>
      </c>
      <c r="AK4977">
        <v>9.3669553031521104</v>
      </c>
      <c r="AL4977">
        <v>94.106143771131698</v>
      </c>
      <c r="AM4977">
        <v>75.046273682341905</v>
      </c>
      <c r="AN4977">
        <v>1.0000000204763799</v>
      </c>
    </row>
    <row r="4978" spans="1:40" x14ac:dyDescent="0.25">
      <c r="A4978" t="str">
        <f>"20190303154237522"</f>
        <v>20190303154237522</v>
      </c>
      <c r="B4978" t="str">
        <f>"1551598957514922"</f>
        <v>1551598957514922</v>
      </c>
      <c r="C4978" t="s">
        <v>40</v>
      </c>
      <c r="D4978">
        <v>6.3242209999999996</v>
      </c>
      <c r="E4978">
        <v>0.65055969999999996</v>
      </c>
      <c r="F4978" t="s">
        <v>57</v>
      </c>
      <c r="G4978">
        <v>-200.0694</v>
      </c>
      <c r="H4978" s="1">
        <v>-1.2072709999999999E-5</v>
      </c>
      <c r="I4978">
        <v>148.47630000000001</v>
      </c>
      <c r="J4978">
        <v>-192.8563</v>
      </c>
      <c r="K4978">
        <v>1.1151409999999999</v>
      </c>
      <c r="L4978">
        <v>154.68629999999999</v>
      </c>
      <c r="M4978">
        <v>-0.2092676</v>
      </c>
      <c r="N4978">
        <v>-1.4391009999999999E-2</v>
      </c>
      <c r="O4978">
        <v>-0.97775259999999997</v>
      </c>
      <c r="P4978">
        <v>-0.45659040000000001</v>
      </c>
      <c r="Q4978">
        <v>-7.9656169999999998E-2</v>
      </c>
      <c r="R4978">
        <v>-0.886104</v>
      </c>
      <c r="S4978">
        <v>-2.418015</v>
      </c>
      <c r="T4978">
        <v>-0.37221569999999998</v>
      </c>
      <c r="U4978">
        <v>-2.1156160000000002</v>
      </c>
      <c r="V4978">
        <v>0.26005620000000002</v>
      </c>
      <c r="W4978">
        <v>-6.9539379999999998E-2</v>
      </c>
      <c r="X4978">
        <v>0.9630862</v>
      </c>
      <c r="Y4978">
        <v>0.59331999999999996</v>
      </c>
      <c r="Z4978">
        <v>0.1075111</v>
      </c>
      <c r="AA4978">
        <v>0.79775479999999999</v>
      </c>
      <c r="AB4978">
        <v>25</v>
      </c>
      <c r="AC4978">
        <v>-7.2130999999999901</v>
      </c>
      <c r="AD4978">
        <v>-1.1151530727100001</v>
      </c>
      <c r="AE4978">
        <v>-6.2099999999999804</v>
      </c>
      <c r="AF4978">
        <v>5.6757598055622003</v>
      </c>
      <c r="AG4978">
        <v>-1.1151530727100001</v>
      </c>
      <c r="AH4978">
        <v>7.4794263960480203</v>
      </c>
      <c r="AI4978">
        <v>96.773315004252296</v>
      </c>
      <c r="AJ4978">
        <v>52.806969399574299</v>
      </c>
      <c r="AK4978">
        <v>9.4551380190830603</v>
      </c>
      <c r="AL4978">
        <v>93.987531203417205</v>
      </c>
      <c r="AM4978">
        <v>74.889153648302894</v>
      </c>
      <c r="AN4978">
        <v>0.99999999057983202</v>
      </c>
    </row>
    <row r="4979" spans="1:40" x14ac:dyDescent="0.25">
      <c r="A4979" t="str">
        <f>"20190303154237534"</f>
        <v>20190303154237534</v>
      </c>
      <c r="B4979" t="str">
        <f>"1551598957524682"</f>
        <v>1551598957524682</v>
      </c>
      <c r="C4979" t="s">
        <v>40</v>
      </c>
      <c r="D4979">
        <v>6.299849</v>
      </c>
      <c r="E4979">
        <v>0.65037639999999997</v>
      </c>
      <c r="F4979" t="s">
        <v>57</v>
      </c>
      <c r="G4979">
        <v>-200.24100000000001</v>
      </c>
      <c r="H4979" s="1">
        <v>-1.194788E-5</v>
      </c>
      <c r="I4979">
        <v>148.3125</v>
      </c>
      <c r="J4979">
        <v>-192.8922</v>
      </c>
      <c r="K4979">
        <v>1.1150329999999999</v>
      </c>
      <c r="L4979">
        <v>154.54399999999899</v>
      </c>
      <c r="M4979">
        <v>-0.214255</v>
      </c>
      <c r="N4979">
        <v>-1.441185E-2</v>
      </c>
      <c r="O4979">
        <v>-0.97667150000000003</v>
      </c>
      <c r="P4979">
        <v>-0.4634819</v>
      </c>
      <c r="Q4979">
        <v>-7.8072879999999997E-2</v>
      </c>
      <c r="R4979">
        <v>-0.88266019999999901</v>
      </c>
      <c r="S4979">
        <v>-2.43222</v>
      </c>
      <c r="T4979">
        <v>-0.3672879</v>
      </c>
      <c r="U4979">
        <v>-2.0993040000000001</v>
      </c>
      <c r="V4979">
        <v>0.26261600000000002</v>
      </c>
      <c r="W4979">
        <v>-6.805348E-2</v>
      </c>
      <c r="X4979">
        <v>0.96249750000000001</v>
      </c>
      <c r="Y4979">
        <v>0.59472060000000004</v>
      </c>
      <c r="Z4979">
        <v>0.1060437</v>
      </c>
      <c r="AA4979">
        <v>0.7969079</v>
      </c>
      <c r="AB4979">
        <v>25</v>
      </c>
      <c r="AC4979">
        <v>-7.3487999999999802</v>
      </c>
      <c r="AD4979">
        <v>-1.11504494788</v>
      </c>
      <c r="AE4979">
        <v>-6.2314999999999801</v>
      </c>
      <c r="AF4979">
        <v>5.7656230195234803</v>
      </c>
      <c r="AG4979">
        <v>-1.11504494788</v>
      </c>
      <c r="AH4979">
        <v>7.56018989906869</v>
      </c>
      <c r="AI4979">
        <v>96.688892053114898</v>
      </c>
      <c r="AJ4979">
        <v>52.669791851773297</v>
      </c>
      <c r="AK4979">
        <v>9.5729935416792191</v>
      </c>
      <c r="AL4979">
        <v>93.902193409484397</v>
      </c>
      <c r="AM4979">
        <v>74.738416500394905</v>
      </c>
      <c r="AN4979">
        <v>0.99999993855117797</v>
      </c>
    </row>
    <row r="4980" spans="1:40" x14ac:dyDescent="0.25">
      <c r="A4980" t="str">
        <f>"20190303154237553"</f>
        <v>20190303154237553</v>
      </c>
      <c r="B4980" t="str">
        <f>"1551598957545178"</f>
        <v>1551598957545178</v>
      </c>
      <c r="C4980" t="s">
        <v>40</v>
      </c>
      <c r="D4980">
        <v>6.3269960000000003</v>
      </c>
      <c r="E4980">
        <v>0.64989160000000001</v>
      </c>
      <c r="F4980" t="s">
        <v>57</v>
      </c>
      <c r="G4980">
        <v>-200.4015</v>
      </c>
      <c r="H4980" s="1">
        <v>-1.1830179999999999E-5</v>
      </c>
      <c r="I4980">
        <v>148.15600000000001</v>
      </c>
      <c r="J4980">
        <v>-192.94329999999999</v>
      </c>
      <c r="K4980">
        <v>1.114887</v>
      </c>
      <c r="L4980">
        <v>154.34819999999999</v>
      </c>
      <c r="M4980">
        <v>-0.2213251</v>
      </c>
      <c r="N4980">
        <v>-1.444117E-2</v>
      </c>
      <c r="O4980">
        <v>-0.97509330000000005</v>
      </c>
      <c r="P4980">
        <v>-0.47458790000000001</v>
      </c>
      <c r="Q4980">
        <v>-7.6493950000000005E-2</v>
      </c>
      <c r="R4980">
        <v>-0.8768783</v>
      </c>
      <c r="S4980">
        <v>-2.4471280000000002</v>
      </c>
      <c r="T4980">
        <v>-0.36337079999999999</v>
      </c>
      <c r="U4980">
        <v>-2.0817260000000002</v>
      </c>
      <c r="V4980">
        <v>0.26775270000000001</v>
      </c>
      <c r="W4980">
        <v>-6.6635860000000005E-2</v>
      </c>
      <c r="X4980">
        <v>0.96118060000000005</v>
      </c>
      <c r="Y4980">
        <v>0.59472969999999903</v>
      </c>
      <c r="Z4980">
        <v>0.10490869999999999</v>
      </c>
      <c r="AA4980">
        <v>0.79705130000000002</v>
      </c>
      <c r="AB4980">
        <v>25</v>
      </c>
      <c r="AC4980">
        <v>-7.4581999999999997</v>
      </c>
      <c r="AD4980">
        <v>-1.11489883018</v>
      </c>
      <c r="AE4980">
        <v>-6.1921999999999802</v>
      </c>
      <c r="AF4980">
        <v>5.8255070629584198</v>
      </c>
      <c r="AG4980">
        <v>-1.11489883018</v>
      </c>
      <c r="AH4980">
        <v>7.5890729133416102</v>
      </c>
      <c r="AI4980">
        <v>96.646921906975706</v>
      </c>
      <c r="AJ4980">
        <v>52.489515918307603</v>
      </c>
      <c r="AK4980">
        <v>9.6319032193087608</v>
      </c>
      <c r="AL4980">
        <v>93.820784718851499</v>
      </c>
      <c r="AM4980">
        <v>74.433945089648006</v>
      </c>
      <c r="AN4980">
        <v>0.99999999600579403</v>
      </c>
    </row>
    <row r="4981" spans="1:40" x14ac:dyDescent="0.25">
      <c r="A4981" t="str">
        <f>"20190303154237575"</f>
        <v>20190303154237575</v>
      </c>
      <c r="B4981" t="str">
        <f>"1551598957564698"</f>
        <v>1551598957564698</v>
      </c>
      <c r="C4981" t="s">
        <v>40</v>
      </c>
      <c r="D4981">
        <v>6.386037</v>
      </c>
      <c r="E4981">
        <v>0.64958119999999997</v>
      </c>
      <c r="F4981" t="s">
        <v>57</v>
      </c>
      <c r="G4981">
        <v>-200.58619999999999</v>
      </c>
      <c r="H4981" s="1">
        <v>-1.1700570000000001E-5</v>
      </c>
      <c r="I4981">
        <v>147.9958</v>
      </c>
      <c r="J4981">
        <v>-193.0087</v>
      </c>
      <c r="K4981">
        <v>1.114714</v>
      </c>
      <c r="L4981">
        <v>154.10570000000001</v>
      </c>
      <c r="M4981">
        <v>-0.23033129999999999</v>
      </c>
      <c r="N4981">
        <v>-1.447769E-2</v>
      </c>
      <c r="O4981">
        <v>-0.9730048</v>
      </c>
      <c r="P4981">
        <v>-0.48663299999999998</v>
      </c>
      <c r="Q4981">
        <v>-7.6600039999999994E-2</v>
      </c>
      <c r="R4981">
        <v>-0.87024219999999897</v>
      </c>
      <c r="S4981">
        <v>-2.4700009999999999</v>
      </c>
      <c r="T4981">
        <v>-0.36030479999999998</v>
      </c>
      <c r="U4981">
        <v>-2.0529480000000002</v>
      </c>
      <c r="V4981">
        <v>0.2720822</v>
      </c>
      <c r="W4981">
        <v>-6.6908830000000002E-2</v>
      </c>
      <c r="X4981">
        <v>0.95994500000000005</v>
      </c>
      <c r="Y4981">
        <v>0.59650360000000002</v>
      </c>
      <c r="Z4981">
        <v>0.1041382</v>
      </c>
      <c r="AA4981">
        <v>0.79582580000000003</v>
      </c>
      <c r="AB4981">
        <v>25</v>
      </c>
      <c r="AC4981">
        <v>-7.5774999999999801</v>
      </c>
      <c r="AD4981">
        <v>-1.11472570057</v>
      </c>
      <c r="AE4981">
        <v>-6.1098999999999997</v>
      </c>
      <c r="AF4981">
        <v>5.8890334877350403</v>
      </c>
      <c r="AG4981">
        <v>-1.11472570057</v>
      </c>
      <c r="AH4981">
        <v>7.5915407271109796</v>
      </c>
      <c r="AI4981">
        <v>96.617952995086796</v>
      </c>
      <c r="AJ4981">
        <v>52.197969653383197</v>
      </c>
      <c r="AK4981">
        <v>9.6723740321888201</v>
      </c>
      <c r="AL4981">
        <v>93.836459872780793</v>
      </c>
      <c r="AM4981">
        <v>74.175403561239406</v>
      </c>
      <c r="AN4981">
        <v>0.99999995905690298</v>
      </c>
    </row>
    <row r="4982" spans="1:40" x14ac:dyDescent="0.25">
      <c r="A4982" t="str">
        <f>"20190303154237596"</f>
        <v>20190303154237596</v>
      </c>
      <c r="B4982" t="str">
        <f>"1551598957594954"</f>
        <v>1551598957594954</v>
      </c>
      <c r="C4982" t="s">
        <v>40</v>
      </c>
      <c r="D4982">
        <v>6.3456570000000001</v>
      </c>
      <c r="E4982">
        <v>0.64861709999999995</v>
      </c>
      <c r="F4982" t="s">
        <v>57</v>
      </c>
      <c r="G4982">
        <v>-200.74760000000001</v>
      </c>
      <c r="H4982" s="1">
        <v>-1.1583990000000001E-5</v>
      </c>
      <c r="I4982">
        <v>147.84450000000001</v>
      </c>
      <c r="J4982">
        <v>-193.0745</v>
      </c>
      <c r="K4982">
        <v>1.1145529999999999</v>
      </c>
      <c r="L4982">
        <v>153.8723</v>
      </c>
      <c r="M4982">
        <v>-0.23929990000000001</v>
      </c>
      <c r="N4982">
        <v>-1.451536E-2</v>
      </c>
      <c r="O4982">
        <v>-0.97083739999999996</v>
      </c>
      <c r="P4982">
        <v>-0.49870579999999998</v>
      </c>
      <c r="Q4982">
        <v>-7.5271980000000002E-2</v>
      </c>
      <c r="R4982">
        <v>-0.86349730000000002</v>
      </c>
      <c r="S4982">
        <v>-2.496353</v>
      </c>
      <c r="T4982">
        <v>-0.35957939999999999</v>
      </c>
      <c r="U4982">
        <v>-2.0196990000000001</v>
      </c>
      <c r="V4982">
        <v>0.27655049999999998</v>
      </c>
      <c r="W4982">
        <v>-6.5747890000000003E-2</v>
      </c>
      <c r="X4982">
        <v>0.95874760000000003</v>
      </c>
      <c r="Y4982">
        <v>0.59963060000000001</v>
      </c>
      <c r="Z4982">
        <v>0.104129</v>
      </c>
      <c r="AA4982">
        <v>0.79347349999999905</v>
      </c>
      <c r="AB4982">
        <v>25</v>
      </c>
      <c r="AC4982">
        <v>-7.6730999999999998</v>
      </c>
      <c r="AD4982">
        <v>-1.11456458398999</v>
      </c>
      <c r="AE4982">
        <v>-6.0277999999999796</v>
      </c>
      <c r="AF4982">
        <v>5.9301393204929296</v>
      </c>
      <c r="AG4982">
        <v>-1.11456458398999</v>
      </c>
      <c r="AH4982">
        <v>7.5899649489305299</v>
      </c>
      <c r="AI4982">
        <v>96.600657376185296</v>
      </c>
      <c r="AJ4982">
        <v>51.9990212488797</v>
      </c>
      <c r="AK4982">
        <v>9.6962041283347205</v>
      </c>
      <c r="AL4982">
        <v>93.769796088087404</v>
      </c>
      <c r="AM4982">
        <v>73.909807502333194</v>
      </c>
      <c r="AN4982">
        <v>0.99999996229773003</v>
      </c>
    </row>
    <row r="4983" spans="1:40" x14ac:dyDescent="0.25">
      <c r="A4983" t="str">
        <f>"20190303154237608"</f>
        <v>20190303154237608</v>
      </c>
      <c r="B4983" t="str">
        <f>"1551598957604714"</f>
        <v>1551598957604714</v>
      </c>
      <c r="C4983" t="s">
        <v>40</v>
      </c>
      <c r="D4983">
        <v>6.4781680000000001</v>
      </c>
      <c r="E4983">
        <v>0.64826099999999998</v>
      </c>
      <c r="F4983" t="s">
        <v>57</v>
      </c>
      <c r="G4983">
        <v>-201.08330000000001</v>
      </c>
      <c r="H4983" s="1">
        <v>-1.13457E-5</v>
      </c>
      <c r="I4983">
        <v>147.54390000000001</v>
      </c>
      <c r="J4983">
        <v>-193.1131</v>
      </c>
      <c r="K4983">
        <v>1.114457</v>
      </c>
      <c r="L4983">
        <v>153.73990000000001</v>
      </c>
      <c r="M4983">
        <v>-0.2445331</v>
      </c>
      <c r="N4983">
        <v>-1.453845E-2</v>
      </c>
      <c r="O4983">
        <v>-0.96953210000000001</v>
      </c>
      <c r="P4983">
        <v>-0.50560459999999996</v>
      </c>
      <c r="Q4983">
        <v>-7.38404E-2</v>
      </c>
      <c r="R4983">
        <v>-0.85959979999999903</v>
      </c>
      <c r="S4983">
        <v>-2.5178219999999998</v>
      </c>
      <c r="T4983">
        <v>-0.35039710000000002</v>
      </c>
      <c r="U4983">
        <v>-1.9895320000000001</v>
      </c>
      <c r="V4983">
        <v>0.27902939999999998</v>
      </c>
      <c r="W4983">
        <v>-6.4411449999999995E-2</v>
      </c>
      <c r="X4983">
        <v>0.95811990000000002</v>
      </c>
      <c r="Y4983">
        <v>0.60468389999999905</v>
      </c>
      <c r="Z4983">
        <v>0.1014227</v>
      </c>
      <c r="AA4983">
        <v>0.7899815</v>
      </c>
      <c r="AB4983">
        <v>25</v>
      </c>
      <c r="AC4983">
        <v>-7.9702000000000002</v>
      </c>
      <c r="AD4983">
        <v>-1.1144683457</v>
      </c>
      <c r="AE4983">
        <v>-6.19599999999999</v>
      </c>
      <c r="AF4983">
        <v>6.1380880298253198</v>
      </c>
      <c r="AG4983">
        <v>-1.1144683457</v>
      </c>
      <c r="AH4983">
        <v>7.8612329610187102</v>
      </c>
      <c r="AI4983">
        <v>96.375809626639594</v>
      </c>
      <c r="AJ4983">
        <v>52.017112860208201</v>
      </c>
      <c r="AK4983">
        <v>10.0357933429729</v>
      </c>
      <c r="AL4983">
        <v>93.693060925625005</v>
      </c>
      <c r="AM4983">
        <v>73.763068350367902</v>
      </c>
      <c r="AN4983">
        <v>0.99999999186573596</v>
      </c>
    </row>
    <row r="4984" spans="1:40" x14ac:dyDescent="0.25">
      <c r="A4984" t="str">
        <f>"20190303154237624"</f>
        <v>20190303154237624</v>
      </c>
      <c r="B4984" t="str">
        <f>"1551598957614475"</f>
        <v>1551598957614475</v>
      </c>
      <c r="C4984" t="s">
        <v>40</v>
      </c>
      <c r="D4984">
        <v>6.5685079999999996</v>
      </c>
      <c r="E4984">
        <v>0.64791089999999996</v>
      </c>
      <c r="F4984" t="s">
        <v>57</v>
      </c>
      <c r="G4984">
        <v>-201.19839999999999</v>
      </c>
      <c r="H4984" s="1">
        <v>-1.126498E-5</v>
      </c>
      <c r="I4984">
        <v>147.44409999999999</v>
      </c>
      <c r="J4984">
        <v>-193.16059999999999</v>
      </c>
      <c r="K4984">
        <v>1.1143459999999901</v>
      </c>
      <c r="L4984">
        <v>153.5805</v>
      </c>
      <c r="M4984">
        <v>-0.25091649999999999</v>
      </c>
      <c r="N4984">
        <v>-1.456621E-2</v>
      </c>
      <c r="O4984">
        <v>-0.96789910000000001</v>
      </c>
      <c r="P4984">
        <v>-0.51359569999999999</v>
      </c>
      <c r="Q4984">
        <v>-7.2134459999999997E-2</v>
      </c>
      <c r="R4984">
        <v>-0.8549947</v>
      </c>
      <c r="S4984">
        <v>-2.5313569999999999</v>
      </c>
      <c r="T4984">
        <v>-0.34892139999999999</v>
      </c>
      <c r="U4984">
        <v>-1.97113</v>
      </c>
      <c r="V4984">
        <v>0.28161639999999999</v>
      </c>
      <c r="W4984">
        <v>-6.2810599999999994E-2</v>
      </c>
      <c r="X4984">
        <v>0.95746900000000001</v>
      </c>
      <c r="Y4984">
        <v>0.60510450000000005</v>
      </c>
      <c r="Z4984">
        <v>0.1010683</v>
      </c>
      <c r="AA4984">
        <v>0.78970490000000004</v>
      </c>
      <c r="AB4984">
        <v>25</v>
      </c>
      <c r="AC4984">
        <v>-8.0378000000000007</v>
      </c>
      <c r="AD4984">
        <v>-1.11435726497999</v>
      </c>
      <c r="AE4984">
        <v>-6.1364000000000001</v>
      </c>
      <c r="AF4984">
        <v>6.1658440835259496</v>
      </c>
      <c r="AG4984">
        <v>-1.11435726497999</v>
      </c>
      <c r="AH4984">
        <v>7.8616113562842198</v>
      </c>
      <c r="AI4984">
        <v>96.364165670483601</v>
      </c>
      <c r="AJ4984">
        <v>51.8929899074056</v>
      </c>
      <c r="AK4984">
        <v>10.0530770659347</v>
      </c>
      <c r="AL4984">
        <v>93.601153064642304</v>
      </c>
      <c r="AM4984">
        <v>73.6100261827049</v>
      </c>
      <c r="AN4984">
        <v>0.99999992709115704</v>
      </c>
    </row>
    <row r="4985" spans="1:40" x14ac:dyDescent="0.25">
      <c r="A4985" t="str">
        <f>"20190303154237637"</f>
        <v>20190303154237637</v>
      </c>
      <c r="B4985" t="str">
        <f>"1551598957634970"</f>
        <v>1551598957634970</v>
      </c>
      <c r="C4985" t="s">
        <v>40</v>
      </c>
      <c r="D4985">
        <v>6.5051259999999997</v>
      </c>
      <c r="E4985">
        <v>0.64717609999999903</v>
      </c>
      <c r="F4985" t="s">
        <v>57</v>
      </c>
      <c r="G4985">
        <v>-201.3373</v>
      </c>
      <c r="H4985" s="1">
        <v>-1.116715E-5</v>
      </c>
      <c r="I4985">
        <v>147.32230000000001</v>
      </c>
      <c r="J4985">
        <v>-193.20480000000001</v>
      </c>
      <c r="K4985">
        <v>1.114247</v>
      </c>
      <c r="L4985">
        <v>153.435</v>
      </c>
      <c r="M4985">
        <v>-0.2568182</v>
      </c>
      <c r="N4985">
        <v>-1.4591460000000001E-2</v>
      </c>
      <c r="O4985">
        <v>-0.96634980000000004</v>
      </c>
      <c r="P4985">
        <v>-0.52102539999999997</v>
      </c>
      <c r="Q4985">
        <v>-7.04684E-2</v>
      </c>
      <c r="R4985">
        <v>-0.85062749999999998</v>
      </c>
      <c r="S4985">
        <v>-2.5470730000000001</v>
      </c>
      <c r="T4985">
        <v>-0.3471282</v>
      </c>
      <c r="U4985">
        <v>-1.9494629999999999</v>
      </c>
      <c r="V4985">
        <v>0.28408800000000001</v>
      </c>
      <c r="W4985">
        <v>-6.1241839999999999E-2</v>
      </c>
      <c r="X4985">
        <v>0.95684029999999998</v>
      </c>
      <c r="Y4985">
        <v>0.60688379999999997</v>
      </c>
      <c r="Z4985">
        <v>0.1006343</v>
      </c>
      <c r="AA4985">
        <v>0.78839389999999998</v>
      </c>
      <c r="AB4985">
        <v>25</v>
      </c>
      <c r="AC4985">
        <v>-8.1324999999999896</v>
      </c>
      <c r="AD4985">
        <v>-1.11425816715</v>
      </c>
      <c r="AE4985">
        <v>-6.1126999999999896</v>
      </c>
      <c r="AF4985">
        <v>6.2151018117585703</v>
      </c>
      <c r="AG4985">
        <v>-1.11425816715</v>
      </c>
      <c r="AH4985">
        <v>7.9016454248984997</v>
      </c>
      <c r="AI4985">
        <v>96.3247339645349</v>
      </c>
      <c r="AJ4985">
        <v>51.812899157464102</v>
      </c>
      <c r="AK4985">
        <v>10.114596492910801</v>
      </c>
      <c r="AL4985">
        <v>93.511096213324805</v>
      </c>
      <c r="AM4985">
        <v>73.463729392434601</v>
      </c>
      <c r="AN4985">
        <v>0.99999995720733603</v>
      </c>
    </row>
    <row r="4986" spans="1:40" x14ac:dyDescent="0.25">
      <c r="A4986" t="str">
        <f>"20190303154237652"</f>
        <v>20190303154237652</v>
      </c>
      <c r="B4986" t="str">
        <f>"1551598957644730"</f>
        <v>1551598957644730</v>
      </c>
      <c r="C4986" t="s">
        <v>40</v>
      </c>
      <c r="D4986">
        <v>6.323264</v>
      </c>
      <c r="E4986">
        <v>0.64665509999999904</v>
      </c>
      <c r="F4986" t="s">
        <v>57</v>
      </c>
      <c r="G4986">
        <v>-201.3853</v>
      </c>
      <c r="H4986" s="1">
        <v>-1.112857E-5</v>
      </c>
      <c r="I4986">
        <v>147.26419999999999</v>
      </c>
      <c r="J4986">
        <v>-193.25649999999999</v>
      </c>
      <c r="K4986">
        <v>1.1141350000000001</v>
      </c>
      <c r="L4986">
        <v>153.2705</v>
      </c>
      <c r="M4986">
        <v>-0.26365119999999997</v>
      </c>
      <c r="N4986">
        <v>-1.461994E-2</v>
      </c>
      <c r="O4986">
        <v>-0.96450749999999996</v>
      </c>
      <c r="P4986">
        <v>-0.53203540000000005</v>
      </c>
      <c r="Q4986">
        <v>-6.9524340000000004E-2</v>
      </c>
      <c r="R4986">
        <v>-0.84386340000000004</v>
      </c>
      <c r="S4986">
        <v>-2.5590820000000001</v>
      </c>
      <c r="T4986">
        <v>-0.34857179999999999</v>
      </c>
      <c r="U4986">
        <v>-1.93042</v>
      </c>
      <c r="V4986">
        <v>0.28971659999999999</v>
      </c>
      <c r="W4986">
        <v>-6.0472320000000003E-2</v>
      </c>
      <c r="X4986">
        <v>0.95520020000000005</v>
      </c>
      <c r="Y4986">
        <v>0.60673920000000003</v>
      </c>
      <c r="Z4986">
        <v>0.10125580000000001</v>
      </c>
      <c r="AA4986">
        <v>0.78842559999999995</v>
      </c>
      <c r="AB4986">
        <v>25</v>
      </c>
      <c r="AC4986">
        <v>-8.1288000000000107</v>
      </c>
      <c r="AD4986">
        <v>-1.1141461285700001</v>
      </c>
      <c r="AE4986">
        <v>-6.0063000000000004</v>
      </c>
      <c r="AF4986">
        <v>6.1822635109940496</v>
      </c>
      <c r="AG4986">
        <v>-1.1141461285700001</v>
      </c>
      <c r="AH4986">
        <v>7.8418450446502899</v>
      </c>
      <c r="AI4986">
        <v>96.366375313436393</v>
      </c>
      <c r="AJ4986">
        <v>51.748867435785897</v>
      </c>
      <c r="AK4986">
        <v>10.047698115463101</v>
      </c>
      <c r="AL4986">
        <v>93.466923884734499</v>
      </c>
      <c r="AM4986">
        <v>73.127208858487904</v>
      </c>
      <c r="AN4986">
        <v>1.0000000159408899</v>
      </c>
    </row>
    <row r="4987" spans="1:40" x14ac:dyDescent="0.25">
      <c r="A4987" t="str">
        <f>"20190303154237666"</f>
        <v>20190303154237666</v>
      </c>
      <c r="B4987" t="str">
        <f>"1551598957654490"</f>
        <v>1551598957654490</v>
      </c>
      <c r="C4987" t="s">
        <v>40</v>
      </c>
      <c r="D4987">
        <v>6.3845280000000004</v>
      </c>
      <c r="E4987">
        <v>0.64615679999999998</v>
      </c>
      <c r="F4987" t="s">
        <v>57</v>
      </c>
      <c r="G4987">
        <v>-201.53639999999999</v>
      </c>
      <c r="H4987" s="1">
        <v>-1.103534E-5</v>
      </c>
      <c r="I4987">
        <v>147.17599999999999</v>
      </c>
      <c r="J4987">
        <v>-193.30160000000001</v>
      </c>
      <c r="K4987">
        <v>1.1140330000000001</v>
      </c>
      <c r="L4987">
        <v>153.13059999999999</v>
      </c>
      <c r="M4987">
        <v>-0.26957979999999998</v>
      </c>
      <c r="N4987">
        <v>-1.464471E-2</v>
      </c>
      <c r="O4987">
        <v>-0.96286680000000002</v>
      </c>
      <c r="P4987">
        <v>-0.53964609999999902</v>
      </c>
      <c r="Q4987">
        <v>-6.962132E-2</v>
      </c>
      <c r="R4987">
        <v>-0.83900830000000004</v>
      </c>
      <c r="S4987">
        <v>-2.5805820000000002</v>
      </c>
      <c r="T4987">
        <v>-0.34724339999999998</v>
      </c>
      <c r="U4987">
        <v>-1.8994599999999999</v>
      </c>
      <c r="V4987">
        <v>0.29246109999999997</v>
      </c>
      <c r="W4987">
        <v>-6.0677910000000002E-2</v>
      </c>
      <c r="X4987">
        <v>0.95435040000000004</v>
      </c>
      <c r="Y4987">
        <v>0.61114099999999905</v>
      </c>
      <c r="Z4987">
        <v>0.1010456</v>
      </c>
      <c r="AA4987">
        <v>0.78504549999999995</v>
      </c>
      <c r="AB4987">
        <v>25</v>
      </c>
      <c r="AC4987">
        <v>-8.2347999999999697</v>
      </c>
      <c r="AD4987">
        <v>-1.1140440353399901</v>
      </c>
      <c r="AE4987">
        <v>-5.9545999999999699</v>
      </c>
      <c r="AF4987">
        <v>6.2493482452762397</v>
      </c>
      <c r="AG4987">
        <v>-1.1140440353399901</v>
      </c>
      <c r="AH4987">
        <v>7.8598149256874397</v>
      </c>
      <c r="AI4987">
        <v>96.330753898049693</v>
      </c>
      <c r="AJ4987">
        <v>51.511748032283599</v>
      </c>
      <c r="AK4987">
        <v>10.103075683645701</v>
      </c>
      <c r="AL4987">
        <v>93.478725068308194</v>
      </c>
      <c r="AM4987">
        <v>72.962293637141101</v>
      </c>
      <c r="AN4987">
        <v>0.999999994877669</v>
      </c>
    </row>
    <row r="4988" spans="1:40" x14ac:dyDescent="0.25">
      <c r="A4988" t="str">
        <f>"20190303154237678"</f>
        <v>20190303154237678</v>
      </c>
      <c r="B4988" t="str">
        <f>"1551598957674987"</f>
        <v>1551598957674987</v>
      </c>
      <c r="C4988" t="s">
        <v>40</v>
      </c>
      <c r="D4988">
        <v>5.846012</v>
      </c>
      <c r="E4988">
        <v>0.64549419999999902</v>
      </c>
      <c r="F4988" t="s">
        <v>57</v>
      </c>
      <c r="G4988">
        <v>-201.5633</v>
      </c>
      <c r="H4988" s="1">
        <v>-1.101575E-5</v>
      </c>
      <c r="I4988">
        <v>147.15029999999999</v>
      </c>
      <c r="J4988">
        <v>-193.34880000000001</v>
      </c>
      <c r="K4988">
        <v>1.1139209999999999</v>
      </c>
      <c r="L4988">
        <v>152.98689999999999</v>
      </c>
      <c r="M4988">
        <v>-0.275750299999999</v>
      </c>
      <c r="N4988">
        <v>-1.467042E-2</v>
      </c>
      <c r="O4988">
        <v>-0.96111749999999996</v>
      </c>
      <c r="P4988">
        <v>-0.54807790000000001</v>
      </c>
      <c r="Q4988">
        <v>-7.0176959999999997E-2</v>
      </c>
      <c r="R4988">
        <v>-0.83347819999999995</v>
      </c>
      <c r="S4988">
        <v>-2.5943450000000001</v>
      </c>
      <c r="T4988">
        <v>-0.34983379999999997</v>
      </c>
      <c r="U4988">
        <v>-1.8779600000000001</v>
      </c>
      <c r="V4988">
        <v>0.29594330000000002</v>
      </c>
      <c r="W4988">
        <v>-6.1363139999999997E-2</v>
      </c>
      <c r="X4988">
        <v>0.95323250000000004</v>
      </c>
      <c r="Y4988">
        <v>0.61223819999999995</v>
      </c>
      <c r="Z4988">
        <v>0.1020431</v>
      </c>
      <c r="AA4988">
        <v>0.78406100000000001</v>
      </c>
      <c r="AB4988">
        <v>25</v>
      </c>
      <c r="AC4988">
        <v>-8.2144999999999797</v>
      </c>
      <c r="AD4988">
        <v>-1.1139320157499999</v>
      </c>
      <c r="AE4988">
        <v>-5.8365999999999998</v>
      </c>
      <c r="AF4988">
        <v>6.2104408394483004</v>
      </c>
      <c r="AG4988">
        <v>-1.1139320157499999</v>
      </c>
      <c r="AH4988">
        <v>7.7805786340783696</v>
      </c>
      <c r="AI4988">
        <v>96.384493738438294</v>
      </c>
      <c r="AJ4988">
        <v>51.403209183418298</v>
      </c>
      <c r="AK4988">
        <v>10.0173760954192</v>
      </c>
      <c r="AL4988">
        <v>93.518059012126798</v>
      </c>
      <c r="AM4988">
        <v>72.752371526109499</v>
      </c>
      <c r="AN4988">
        <v>1.00000003541089</v>
      </c>
    </row>
    <row r="4989" spans="1:40" x14ac:dyDescent="0.25">
      <c r="A4989" t="str">
        <f>"20190303154237692"</f>
        <v>20190303154237692</v>
      </c>
      <c r="B4989" t="str">
        <f>"1551598957684746"</f>
        <v>1551598957684746</v>
      </c>
      <c r="C4989" t="s">
        <v>40</v>
      </c>
      <c r="D4989">
        <v>6.3339499999999997</v>
      </c>
      <c r="E4989">
        <v>0.64494259999999903</v>
      </c>
      <c r="F4989" t="s">
        <v>57</v>
      </c>
      <c r="G4989">
        <v>-201.74199999999999</v>
      </c>
      <c r="H4989" s="1">
        <v>-1.089757E-5</v>
      </c>
      <c r="I4989">
        <v>147.01939999999999</v>
      </c>
      <c r="J4989">
        <v>-193.39859999999999</v>
      </c>
      <c r="K4989">
        <v>1.113793</v>
      </c>
      <c r="L4989">
        <v>152.83920000000001</v>
      </c>
      <c r="M4989">
        <v>-0.28221929999999901</v>
      </c>
      <c r="N4989">
        <v>-1.4698559999999999E-2</v>
      </c>
      <c r="O4989">
        <v>-0.95923749999999997</v>
      </c>
      <c r="P4989">
        <v>-0.55627680000000002</v>
      </c>
      <c r="Q4989">
        <v>-7.1153220000000003E-2</v>
      </c>
      <c r="R4989">
        <v>-0.82794519999999905</v>
      </c>
      <c r="S4989">
        <v>-2.6087340000000001</v>
      </c>
      <c r="T4989">
        <v>-0.34622910000000001</v>
      </c>
      <c r="U4989">
        <v>-1.854797</v>
      </c>
      <c r="V4989">
        <v>0.29891299999999998</v>
      </c>
      <c r="W4989">
        <v>-6.246372E-2</v>
      </c>
      <c r="X4989">
        <v>0.95223389999999997</v>
      </c>
      <c r="Y4989">
        <v>0.61367879999999997</v>
      </c>
      <c r="Z4989">
        <v>0.1010447</v>
      </c>
      <c r="AA4989">
        <v>0.78306339999999997</v>
      </c>
      <c r="AB4989">
        <v>25</v>
      </c>
      <c r="AC4989">
        <v>-8.3434000000000292</v>
      </c>
      <c r="AD4989">
        <v>-1.11380389757</v>
      </c>
      <c r="AE4989">
        <v>-5.8198000000000096</v>
      </c>
      <c r="AF4989">
        <v>6.2861690232805696</v>
      </c>
      <c r="AG4989">
        <v>-1.11380389757</v>
      </c>
      <c r="AH4989">
        <v>7.8440595140129803</v>
      </c>
      <c r="AI4989">
        <v>96.322744173030401</v>
      </c>
      <c r="AJ4989">
        <v>51.291582181406199</v>
      </c>
      <c r="AK4989">
        <v>10.113641765994601</v>
      </c>
      <c r="AL4989">
        <v>93.5812387620268</v>
      </c>
      <c r="AM4989">
        <v>72.572555619115704</v>
      </c>
      <c r="AN4989">
        <v>1.0000000490972201</v>
      </c>
    </row>
    <row r="4990" spans="1:40" x14ac:dyDescent="0.25">
      <c r="A4990" t="str">
        <f>"20190303154237709"</f>
        <v>20190303154237709</v>
      </c>
      <c r="B4990" t="str">
        <f>"1551598957705243"</f>
        <v>1551598957705243</v>
      </c>
      <c r="C4990" t="s">
        <v>40</v>
      </c>
      <c r="D4990">
        <v>6.3497219999999999</v>
      </c>
      <c r="E4990">
        <v>0.64389410000000002</v>
      </c>
      <c r="F4990" t="s">
        <v>57</v>
      </c>
      <c r="G4990">
        <v>-201.67760000000001</v>
      </c>
      <c r="H4990" s="1">
        <v>-1.09384199999999E-5</v>
      </c>
      <c r="I4990">
        <v>147.0607</v>
      </c>
      <c r="J4990">
        <v>-193.4564</v>
      </c>
      <c r="K4990">
        <v>1.113645</v>
      </c>
      <c r="L4990">
        <v>152.673</v>
      </c>
      <c r="M4990">
        <v>-0.28966370000000002</v>
      </c>
      <c r="N4990">
        <v>-1.4732830000000001E-2</v>
      </c>
      <c r="O4990">
        <v>-0.95701510000000001</v>
      </c>
      <c r="P4990">
        <v>-0.56805169999999905</v>
      </c>
      <c r="Q4990">
        <v>-7.3670429999999995E-2</v>
      </c>
      <c r="R4990">
        <v>-0.81968869999999905</v>
      </c>
      <c r="S4990">
        <v>-2.6229710000000002</v>
      </c>
      <c r="T4990">
        <v>-0.35287849999999998</v>
      </c>
      <c r="U4990">
        <v>-1.830765</v>
      </c>
      <c r="V4990">
        <v>0.30510779999999998</v>
      </c>
      <c r="W4990">
        <v>-6.5189349999999993E-2</v>
      </c>
      <c r="X4990">
        <v>0.95008400000000004</v>
      </c>
      <c r="Y4990">
        <v>0.61417279999999996</v>
      </c>
      <c r="Z4990">
        <v>0.103379</v>
      </c>
      <c r="AA4990">
        <v>0.78237109999999999</v>
      </c>
      <c r="AB4990">
        <v>25</v>
      </c>
      <c r="AC4990">
        <v>-8.2212000000000103</v>
      </c>
      <c r="AD4990">
        <v>-1.11365593842</v>
      </c>
      <c r="AE4990">
        <v>-5.6123000000000003</v>
      </c>
      <c r="AF4990">
        <v>6.1656370746866598</v>
      </c>
      <c r="AG4990">
        <v>-1.11365593842</v>
      </c>
      <c r="AH4990">
        <v>7.65743472563413</v>
      </c>
      <c r="AI4990">
        <v>96.462822855016597</v>
      </c>
      <c r="AJ4990">
        <v>51.159569699801899</v>
      </c>
      <c r="AK4990">
        <v>9.8940192370581297</v>
      </c>
      <c r="AL4990">
        <v>93.7377251044269</v>
      </c>
      <c r="AM4990">
        <v>72.196216951164104</v>
      </c>
      <c r="AN4990">
        <v>1.0000000140151299</v>
      </c>
    </row>
    <row r="4991" spans="1:40" x14ac:dyDescent="0.25">
      <c r="A4991" t="str">
        <f>"20190303154237721"</f>
        <v>20190303154237721</v>
      </c>
      <c r="B4991" t="str">
        <f>"1551598957715002"</f>
        <v>1551598957715002</v>
      </c>
      <c r="C4991" t="s">
        <v>40</v>
      </c>
      <c r="D4991">
        <v>6.3084639999999998</v>
      </c>
      <c r="E4991">
        <v>0.64335120000000001</v>
      </c>
      <c r="F4991" t="s">
        <v>57</v>
      </c>
      <c r="G4991">
        <v>-201.4958</v>
      </c>
      <c r="H4991" s="1">
        <v>-1.106195E-5</v>
      </c>
      <c r="I4991">
        <v>147.20490000000001</v>
      </c>
      <c r="J4991">
        <v>-193.5044</v>
      </c>
      <c r="K4991">
        <v>1.113532</v>
      </c>
      <c r="L4991">
        <v>152.5376</v>
      </c>
      <c r="M4991">
        <v>-0.29582580000000003</v>
      </c>
      <c r="N4991">
        <v>-1.476162E-2</v>
      </c>
      <c r="O4991">
        <v>-0.95512799999999998</v>
      </c>
      <c r="P4991">
        <v>-0.57549240000000002</v>
      </c>
      <c r="Q4991">
        <v>-7.4448529999999999E-2</v>
      </c>
      <c r="R4991">
        <v>-0.81441180000000002</v>
      </c>
      <c r="S4991">
        <v>-2.6413880000000001</v>
      </c>
      <c r="T4991">
        <v>-0.3658959</v>
      </c>
      <c r="U4991">
        <v>-1.7965549999999999</v>
      </c>
      <c r="V4991">
        <v>0.30762119999999998</v>
      </c>
      <c r="W4991">
        <v>-6.6081539999999994E-2</v>
      </c>
      <c r="X4991">
        <v>0.94921149999999999</v>
      </c>
      <c r="Y4991">
        <v>0.6181257</v>
      </c>
      <c r="Z4991">
        <v>0.10794330000000001</v>
      </c>
      <c r="AA4991">
        <v>0.77863269999999996</v>
      </c>
      <c r="AB4991">
        <v>25</v>
      </c>
      <c r="AC4991">
        <v>-7.9913999999999898</v>
      </c>
      <c r="AD4991">
        <v>-1.11354306195</v>
      </c>
      <c r="AE4991">
        <v>-5.3326999999999796</v>
      </c>
      <c r="AF4991">
        <v>5.9756406679375402</v>
      </c>
      <c r="AG4991">
        <v>-1.11354306195</v>
      </c>
      <c r="AH4991">
        <v>7.3594170633207696</v>
      </c>
      <c r="AI4991">
        <v>96.699438524830498</v>
      </c>
      <c r="AJ4991">
        <v>50.924367950241901</v>
      </c>
      <c r="AK4991">
        <v>9.5451180744411506</v>
      </c>
      <c r="AL4991">
        <v>93.788954263066998</v>
      </c>
      <c r="AM4991">
        <v>72.043487324601102</v>
      </c>
      <c r="AN4991">
        <v>1.0000000221752301</v>
      </c>
    </row>
    <row r="4992" spans="1:40" x14ac:dyDescent="0.25">
      <c r="A4992" t="str">
        <f>"20190303154237736"</f>
        <v>20190303154237736</v>
      </c>
      <c r="B4992" t="str">
        <f>"1551598957724763"</f>
        <v>1551598957724763</v>
      </c>
      <c r="C4992" t="s">
        <v>40</v>
      </c>
      <c r="D4992">
        <v>6.3087410000000004</v>
      </c>
      <c r="E4992">
        <v>0.64276929999999999</v>
      </c>
      <c r="F4992" t="s">
        <v>57</v>
      </c>
      <c r="G4992">
        <v>-201.50219999999999</v>
      </c>
      <c r="H4992" s="1">
        <v>-1.1055039999999999E-5</v>
      </c>
      <c r="I4992">
        <v>147.19130000000001</v>
      </c>
      <c r="J4992">
        <v>-193.55959999999999</v>
      </c>
      <c r="K4992">
        <v>1.1133999999999999</v>
      </c>
      <c r="L4992">
        <v>152.3854</v>
      </c>
      <c r="M4992">
        <v>-0.30285610000000002</v>
      </c>
      <c r="N4992">
        <v>-1.479459E-2</v>
      </c>
      <c r="O4992">
        <v>-0.95292160000000004</v>
      </c>
      <c r="P4992">
        <v>-0.58357380000000003</v>
      </c>
      <c r="Q4992">
        <v>-7.5136399999999895E-2</v>
      </c>
      <c r="R4992">
        <v>-0.8085772</v>
      </c>
      <c r="S4992">
        <v>-2.6542210000000002</v>
      </c>
      <c r="T4992">
        <v>-0.36955199999999999</v>
      </c>
      <c r="U4992">
        <v>-1.77429199999999</v>
      </c>
      <c r="V4992">
        <v>0.31006089999999997</v>
      </c>
      <c r="W4992">
        <v>-6.6891660000000006E-2</v>
      </c>
      <c r="X4992">
        <v>0.9483606</v>
      </c>
      <c r="Y4992">
        <v>0.61847759999999996</v>
      </c>
      <c r="Z4992">
        <v>0.1092828</v>
      </c>
      <c r="AA4992">
        <v>0.77816629999999998</v>
      </c>
      <c r="AB4992">
        <v>25</v>
      </c>
      <c r="AC4992">
        <v>-7.9425999999999899</v>
      </c>
      <c r="AD4992">
        <v>-1.11341105504</v>
      </c>
      <c r="AE4992">
        <v>-5.1940999999999899</v>
      </c>
      <c r="AF4992">
        <v>5.9148504465334204</v>
      </c>
      <c r="AG4992">
        <v>-1.11341105504</v>
      </c>
      <c r="AH4992">
        <v>7.2559639529965603</v>
      </c>
      <c r="AI4992">
        <v>96.782741616400898</v>
      </c>
      <c r="AJ4992">
        <v>50.814083717787298</v>
      </c>
      <c r="AK4992">
        <v>9.4273088879874596</v>
      </c>
      <c r="AL4992">
        <v>93.835473577612404</v>
      </c>
      <c r="AM4992">
        <v>71.895148901936096</v>
      </c>
      <c r="AN4992">
        <v>1.00000004175936</v>
      </c>
    </row>
    <row r="4993" spans="1:40" x14ac:dyDescent="0.25">
      <c r="A4993" t="str">
        <f>"20190303154237747"</f>
        <v>20190303154237747</v>
      </c>
      <c r="B4993" t="str">
        <f>"1551598957745259"</f>
        <v>1551598957745259</v>
      </c>
      <c r="C4993" t="s">
        <v>40</v>
      </c>
      <c r="D4993">
        <v>6.3421799999999999</v>
      </c>
      <c r="E4993">
        <v>0.64165220000000001</v>
      </c>
      <c r="F4993" t="s">
        <v>57</v>
      </c>
      <c r="G4993">
        <v>-201.529</v>
      </c>
      <c r="H4993" s="1">
        <v>-1.103323E-5</v>
      </c>
      <c r="I4993">
        <v>147.15790000000001</v>
      </c>
      <c r="J4993">
        <v>-193.60769999999999</v>
      </c>
      <c r="K4993">
        <v>1.1132899999999999</v>
      </c>
      <c r="L4993">
        <v>152.25720000000001</v>
      </c>
      <c r="M4993">
        <v>-0.308930599999999</v>
      </c>
      <c r="N4993">
        <v>-1.482412E-2</v>
      </c>
      <c r="O4993">
        <v>-0.95096919999999996</v>
      </c>
      <c r="P4993">
        <v>-0.59065369999999995</v>
      </c>
      <c r="Q4993">
        <v>-7.5318789999999997E-2</v>
      </c>
      <c r="R4993">
        <v>-0.80340269999999903</v>
      </c>
      <c r="S4993">
        <v>-2.6679529999999998</v>
      </c>
      <c r="T4993">
        <v>-0.37274289999999999</v>
      </c>
      <c r="U4993">
        <v>-1.7500309999999999</v>
      </c>
      <c r="V4993">
        <v>0.31232070000000001</v>
      </c>
      <c r="W4993">
        <v>-6.7180450000000003E-2</v>
      </c>
      <c r="X4993">
        <v>0.9475983</v>
      </c>
      <c r="Y4993">
        <v>0.62014380000000002</v>
      </c>
      <c r="Z4993">
        <v>0.11050160000000001</v>
      </c>
      <c r="AA4993">
        <v>0.77666659999999998</v>
      </c>
      <c r="AB4993">
        <v>25</v>
      </c>
      <c r="AC4993">
        <v>-7.9213000000000298</v>
      </c>
      <c r="AD4993">
        <v>-1.11330103323</v>
      </c>
      <c r="AE4993">
        <v>-5.0993000000000004</v>
      </c>
      <c r="AF4993">
        <v>5.8761724714939403</v>
      </c>
      <c r="AG4993">
        <v>-1.11330103323</v>
      </c>
      <c r="AH4993">
        <v>7.19670416494208</v>
      </c>
      <c r="AI4993">
        <v>96.832959596008493</v>
      </c>
      <c r="AJ4993">
        <v>50.768058551421802</v>
      </c>
      <c r="AK4993">
        <v>9.3574244823577892</v>
      </c>
      <c r="AL4993">
        <v>93.852057547073201</v>
      </c>
      <c r="AM4993">
        <v>71.758200062516707</v>
      </c>
      <c r="AN4993">
        <v>0.99999998533679102</v>
      </c>
    </row>
    <row r="4994" spans="1:40" x14ac:dyDescent="0.25">
      <c r="A4994" t="str">
        <f>"20190303154237766"</f>
        <v>20190303154237766</v>
      </c>
      <c r="B4994" t="str">
        <f>"1551598957755018"</f>
        <v>1551598957755018</v>
      </c>
      <c r="C4994" t="s">
        <v>40</v>
      </c>
      <c r="D4994">
        <v>6.4907450000000004</v>
      </c>
      <c r="E4994">
        <v>0.64123859999999999</v>
      </c>
      <c r="F4994" t="s">
        <v>57</v>
      </c>
      <c r="G4994">
        <v>-201.50729999999999</v>
      </c>
      <c r="H4994" s="1">
        <v>-1.103936E-5</v>
      </c>
      <c r="I4994">
        <v>147.14619999999999</v>
      </c>
      <c r="J4994">
        <v>-193.68010000000001</v>
      </c>
      <c r="K4994">
        <v>1.1131329999999999</v>
      </c>
      <c r="L4994">
        <v>152.06799999999899</v>
      </c>
      <c r="M4994">
        <v>-0.31801489999999999</v>
      </c>
      <c r="N4994">
        <v>-1.4867190000000001E-2</v>
      </c>
      <c r="O4994">
        <v>-0.94796910000000001</v>
      </c>
      <c r="P4994">
        <v>-0.60169879999999998</v>
      </c>
      <c r="Q4994">
        <v>-7.6419379999999995E-2</v>
      </c>
      <c r="R4994">
        <v>-0.79505870000000001</v>
      </c>
      <c r="S4994">
        <v>-2.676056</v>
      </c>
      <c r="T4994">
        <v>-0.37713829999999998</v>
      </c>
      <c r="U4994">
        <v>-1.731384</v>
      </c>
      <c r="V4994">
        <v>0.31632870000000002</v>
      </c>
      <c r="W4994">
        <v>-6.8454829999999994E-2</v>
      </c>
      <c r="X4994">
        <v>0.94617660000000003</v>
      </c>
      <c r="Y4994">
        <v>0.61739330000000003</v>
      </c>
      <c r="Z4994">
        <v>0.1120616</v>
      </c>
      <c r="AA4994">
        <v>0.77863199999999999</v>
      </c>
      <c r="AB4994">
        <v>25</v>
      </c>
      <c r="AC4994">
        <v>-7.8271999999999702</v>
      </c>
      <c r="AD4994">
        <v>-1.1131440393599901</v>
      </c>
      <c r="AE4994">
        <v>-4.9217999999999904</v>
      </c>
      <c r="AF4994">
        <v>5.7717292901645996</v>
      </c>
      <c r="AG4994">
        <v>-1.1131440393599901</v>
      </c>
      <c r="AH4994">
        <v>7.0534383531383797</v>
      </c>
      <c r="AI4994">
        <v>96.963415269513106</v>
      </c>
      <c r="AJ4994">
        <v>50.707020477169699</v>
      </c>
      <c r="AK4994">
        <v>9.1816633162423305</v>
      </c>
      <c r="AL4994">
        <v>93.925242447798098</v>
      </c>
      <c r="AM4994">
        <v>71.514027509934294</v>
      </c>
      <c r="AN4994">
        <v>1.00000003429078</v>
      </c>
    </row>
    <row r="4995" spans="1:40" x14ac:dyDescent="0.25">
      <c r="A4995" t="str">
        <f>"20190303154237789"</f>
        <v>20190303154237789</v>
      </c>
      <c r="B4995" t="str">
        <f>"1551598957785275"</f>
        <v>1551598957785275</v>
      </c>
      <c r="C4995" t="s">
        <v>40</v>
      </c>
      <c r="D4995">
        <v>6.282349</v>
      </c>
      <c r="E4995">
        <v>0.63970119999999997</v>
      </c>
      <c r="F4995" t="s">
        <v>57</v>
      </c>
      <c r="G4995">
        <v>-201.5265</v>
      </c>
      <c r="H4995" s="1">
        <v>-1.102756E-5</v>
      </c>
      <c r="I4995">
        <v>147.1352</v>
      </c>
      <c r="J4995">
        <v>-193.77189999999999</v>
      </c>
      <c r="K4995">
        <v>1.1129469999999999</v>
      </c>
      <c r="L4995">
        <v>151.8366</v>
      </c>
      <c r="M4995">
        <v>-0.32938220000000001</v>
      </c>
      <c r="N4995">
        <v>-1.491986E-2</v>
      </c>
      <c r="O4995">
        <v>-0.94407890000000005</v>
      </c>
      <c r="P4995">
        <v>-0.61536269999999904</v>
      </c>
      <c r="Q4995">
        <v>-7.6994850000000004E-2</v>
      </c>
      <c r="R4995">
        <v>-0.78447489999999998</v>
      </c>
      <c r="S4995">
        <v>-2.6969449999999999</v>
      </c>
      <c r="T4995">
        <v>-0.38260650000000002</v>
      </c>
      <c r="U4995">
        <v>-1.6954959999999999</v>
      </c>
      <c r="V4995">
        <v>0.32129540000000001</v>
      </c>
      <c r="W4995">
        <v>-6.9241460000000005E-2</v>
      </c>
      <c r="X4995">
        <v>0.94444419999999996</v>
      </c>
      <c r="Y4995">
        <v>0.61792029999999998</v>
      </c>
      <c r="Z4995">
        <v>0.11401260000000001</v>
      </c>
      <c r="AA4995">
        <v>0.77793040000000002</v>
      </c>
      <c r="AB4995">
        <v>25</v>
      </c>
      <c r="AC4995">
        <v>-7.7546000000000097</v>
      </c>
      <c r="AD4995">
        <v>-1.11295802756</v>
      </c>
      <c r="AE4995">
        <v>-4.7013999999999996</v>
      </c>
      <c r="AF4995">
        <v>5.6873739938476602</v>
      </c>
      <c r="AG4995">
        <v>-1.11295802756</v>
      </c>
      <c r="AH4995">
        <v>6.8897226019221698</v>
      </c>
      <c r="AI4995">
        <v>97.101152149930101</v>
      </c>
      <c r="AJ4995">
        <v>50.460782024677897</v>
      </c>
      <c r="AK4995">
        <v>9.0029537402144992</v>
      </c>
      <c r="AL4995">
        <v>93.970420440899403</v>
      </c>
      <c r="AM4995">
        <v>71.211941256642703</v>
      </c>
      <c r="AN4995">
        <v>0.99999998037886495</v>
      </c>
    </row>
    <row r="4996" spans="1:40" x14ac:dyDescent="0.25">
      <c r="A4996" t="str">
        <f>"20190303154237809"</f>
        <v>20190303154237809</v>
      </c>
      <c r="B4996" t="str">
        <f>"1551598957804795"</f>
        <v>1551598957804795</v>
      </c>
      <c r="C4996" t="s">
        <v>40</v>
      </c>
      <c r="D4996">
        <v>6.476159</v>
      </c>
      <c r="E4996">
        <v>0.63910990000000001</v>
      </c>
      <c r="F4996" t="s">
        <v>57</v>
      </c>
      <c r="G4996">
        <v>-201.59219999999999</v>
      </c>
      <c r="H4996" s="1">
        <v>-1.09787899999999E-5</v>
      </c>
      <c r="I4996">
        <v>147.06909999999999</v>
      </c>
      <c r="J4996">
        <v>-193.8596</v>
      </c>
      <c r="K4996">
        <v>1.112787</v>
      </c>
      <c r="L4996">
        <v>151.6233</v>
      </c>
      <c r="M4996">
        <v>-0.34012189999999998</v>
      </c>
      <c r="N4996">
        <v>-1.4968520000000001E-2</v>
      </c>
      <c r="O4996">
        <v>-0.94026240000000005</v>
      </c>
      <c r="P4996">
        <v>-0.62816609999999995</v>
      </c>
      <c r="Q4996">
        <v>-7.7739470000000005E-2</v>
      </c>
      <c r="R4996">
        <v>-0.77418629999999999</v>
      </c>
      <c r="S4996">
        <v>-2.7160340000000001</v>
      </c>
      <c r="T4996">
        <v>-0.38653270000000001</v>
      </c>
      <c r="U4996">
        <v>-1.6557459999999999</v>
      </c>
      <c r="V4996">
        <v>0.3260188</v>
      </c>
      <c r="W4996">
        <v>-7.0183140000000005E-2</v>
      </c>
      <c r="X4996">
        <v>0.94275450000000005</v>
      </c>
      <c r="Y4996">
        <v>0.61954379999999998</v>
      </c>
      <c r="Z4996">
        <v>0.1156012</v>
      </c>
      <c r="AA4996">
        <v>0.77640310000000001</v>
      </c>
      <c r="AB4996">
        <v>24</v>
      </c>
      <c r="AC4996">
        <v>-7.7325999999999899</v>
      </c>
      <c r="AD4996">
        <v>-1.11279797879</v>
      </c>
      <c r="AE4996">
        <v>-4.5541999999999998</v>
      </c>
      <c r="AF4996">
        <v>5.6356737018267102</v>
      </c>
      <c r="AG4996">
        <v>-1.11279797879</v>
      </c>
      <c r="AH4996">
        <v>6.8082565500004</v>
      </c>
      <c r="AI4996">
        <v>97.176248807934499</v>
      </c>
      <c r="AJ4996">
        <v>50.383046485772198</v>
      </c>
      <c r="AK4996">
        <v>8.9079455917559205</v>
      </c>
      <c r="AL4996">
        <v>94.024506281623005</v>
      </c>
      <c r="AM4996">
        <v>70.923838614670004</v>
      </c>
      <c r="AN4996">
        <v>0.99999998918197397</v>
      </c>
    </row>
    <row r="4997" spans="1:40" x14ac:dyDescent="0.25">
      <c r="A4997" t="str">
        <f>"20190303154237825"</f>
        <v>20190303154237825</v>
      </c>
      <c r="B4997" t="str">
        <f>"1551598957814555"</f>
        <v>1551598957814555</v>
      </c>
      <c r="C4997" t="s">
        <v>40</v>
      </c>
      <c r="D4997">
        <v>6.3710019999999998</v>
      </c>
      <c r="E4997">
        <v>0.63924429999999999</v>
      </c>
      <c r="F4997" t="s">
        <v>57</v>
      </c>
      <c r="G4997">
        <v>-201.6908</v>
      </c>
      <c r="H4997" s="1">
        <v>-1.09177399999999E-5</v>
      </c>
      <c r="I4997">
        <v>147.01079999999999</v>
      </c>
      <c r="J4997">
        <v>-193.9264</v>
      </c>
      <c r="K4997">
        <v>1.112673</v>
      </c>
      <c r="L4997">
        <v>151.46600000000001</v>
      </c>
      <c r="M4997">
        <v>-0.34820459999999998</v>
      </c>
      <c r="N4997">
        <v>-1.5004979999999999E-2</v>
      </c>
      <c r="O4997">
        <v>-0.93729850000000003</v>
      </c>
      <c r="P4997">
        <v>-0.63661380000000001</v>
      </c>
      <c r="Q4997">
        <v>-7.8163120000000003E-2</v>
      </c>
      <c r="R4997">
        <v>-0.76721159999999999</v>
      </c>
      <c r="S4997">
        <v>-2.7392120000000002</v>
      </c>
      <c r="T4997">
        <v>-0.38924039999999999</v>
      </c>
      <c r="U4997">
        <v>-1.6133879999999901</v>
      </c>
      <c r="V4997">
        <v>0.32821889999999998</v>
      </c>
      <c r="W4997">
        <v>-7.0717799999999997E-2</v>
      </c>
      <c r="X4997">
        <v>0.94195090000000004</v>
      </c>
      <c r="Y4997">
        <v>0.62445779999999995</v>
      </c>
      <c r="Z4997">
        <v>0.1167743</v>
      </c>
      <c r="AA4997">
        <v>0.77227990000000002</v>
      </c>
      <c r="AB4997">
        <v>24</v>
      </c>
      <c r="AC4997">
        <v>-7.7643999999999904</v>
      </c>
      <c r="AD4997">
        <v>-1.1126839177399901</v>
      </c>
      <c r="AE4997">
        <v>-4.4552000000000103</v>
      </c>
      <c r="AF4997">
        <v>5.63975083888353</v>
      </c>
      <c r="AG4997">
        <v>-1.1126839177399901</v>
      </c>
      <c r="AH4997">
        <v>6.7755455722473696</v>
      </c>
      <c r="AI4997">
        <v>97.193696177321598</v>
      </c>
      <c r="AJ4997">
        <v>50.2270685021753</v>
      </c>
      <c r="AK4997">
        <v>8.8855429112173994</v>
      </c>
      <c r="AL4997">
        <v>94.055215997991397</v>
      </c>
      <c r="AM4997">
        <v>70.7893197097155</v>
      </c>
      <c r="AN4997">
        <v>1.0000000757824199</v>
      </c>
    </row>
    <row r="4998" spans="1:40" x14ac:dyDescent="0.25">
      <c r="A4998" t="str">
        <f>"20190303154237844"</f>
        <v>20190303154237844</v>
      </c>
      <c r="B4998" t="str">
        <f>"1551598957835054"</f>
        <v>1551598957835054</v>
      </c>
      <c r="C4998" t="s">
        <v>40</v>
      </c>
      <c r="D4998">
        <v>6.3011679999999997</v>
      </c>
      <c r="E4998">
        <v>0.63968659999999999</v>
      </c>
      <c r="F4998" t="s">
        <v>57</v>
      </c>
      <c r="G4998">
        <v>-201.7722</v>
      </c>
      <c r="H4998" s="1">
        <v>-1.086756E-5</v>
      </c>
      <c r="I4998">
        <v>146.96360000000001</v>
      </c>
      <c r="J4998">
        <v>-194.01820000000001</v>
      </c>
      <c r="K4998">
        <v>1.1125339999999999</v>
      </c>
      <c r="L4998">
        <v>151.256</v>
      </c>
      <c r="M4998">
        <v>-0.35918909999999998</v>
      </c>
      <c r="N4998">
        <v>-1.505431E-2</v>
      </c>
      <c r="O4998">
        <v>-0.93314350000000001</v>
      </c>
      <c r="P4998">
        <v>-0.64902839999999995</v>
      </c>
      <c r="Q4998">
        <v>-7.7770320000000004E-2</v>
      </c>
      <c r="R4998">
        <v>-0.75677850000000002</v>
      </c>
      <c r="S4998">
        <v>-2.757431</v>
      </c>
      <c r="T4998">
        <v>-0.39105420000000002</v>
      </c>
      <c r="U4998">
        <v>-1.5823670000000001</v>
      </c>
      <c r="V4998">
        <v>0.33246219999999999</v>
      </c>
      <c r="W4998">
        <v>-7.0503469999999999E-2</v>
      </c>
      <c r="X4998">
        <v>0.94047760000000002</v>
      </c>
      <c r="Y4998">
        <v>0.62399740000000004</v>
      </c>
      <c r="Z4998">
        <v>0.1173954</v>
      </c>
      <c r="AA4998">
        <v>0.77255779999999996</v>
      </c>
      <c r="AB4998">
        <v>24</v>
      </c>
      <c r="AC4998">
        <v>-7.7539999999999898</v>
      </c>
      <c r="AD4998">
        <v>-1.11254486755999</v>
      </c>
      <c r="AE4998">
        <v>-4.2923999999999802</v>
      </c>
      <c r="AF4998">
        <v>5.6061164691852099</v>
      </c>
      <c r="AG4998">
        <v>-1.11254486755999</v>
      </c>
      <c r="AH4998">
        <v>6.6859903341653801</v>
      </c>
      <c r="AI4998">
        <v>97.266448043175899</v>
      </c>
      <c r="AJ4998">
        <v>50.0206019581886</v>
      </c>
      <c r="AK4998">
        <v>8.7959516083796601</v>
      </c>
      <c r="AL4998">
        <v>94.042905433841</v>
      </c>
      <c r="AM4998">
        <v>70.531316157203094</v>
      </c>
      <c r="AN4998">
        <v>0.99999998490632003</v>
      </c>
    </row>
    <row r="4999" spans="1:40" x14ac:dyDescent="0.25">
      <c r="A4999" t="str">
        <f>"20190303154237865"</f>
        <v>20190303154237865</v>
      </c>
      <c r="B4999" t="str">
        <f>"1551598957854574"</f>
        <v>1551598957854574</v>
      </c>
      <c r="C4999" t="s">
        <v>40</v>
      </c>
      <c r="D4999">
        <v>6.4848299999999997</v>
      </c>
      <c r="E4999">
        <v>0.64004649999999996</v>
      </c>
      <c r="F4999" t="s">
        <v>57</v>
      </c>
      <c r="G4999">
        <v>-201.95599999999999</v>
      </c>
      <c r="H4999" s="1">
        <v>-1.0761849999999999E-5</v>
      </c>
      <c r="I4999">
        <v>146.88220000000001</v>
      </c>
      <c r="J4999">
        <v>-194.1112</v>
      </c>
      <c r="K4999">
        <v>1.112401</v>
      </c>
      <c r="L4999">
        <v>151.0506</v>
      </c>
      <c r="M4999">
        <v>-0.37014960000000002</v>
      </c>
      <c r="N4999">
        <v>-1.5102859999999999E-2</v>
      </c>
      <c r="O4999">
        <v>-0.92884960000000005</v>
      </c>
      <c r="P4999">
        <v>-0.6610703</v>
      </c>
      <c r="Q4999">
        <v>-7.7640810000000005E-2</v>
      </c>
      <c r="R4999">
        <v>-0.74629619999999997</v>
      </c>
      <c r="S4999">
        <v>-2.7857509999999999</v>
      </c>
      <c r="T4999">
        <v>-0.39044380000000001</v>
      </c>
      <c r="U4999">
        <v>-1.5349729999999999</v>
      </c>
      <c r="V4999">
        <v>0.33642559999999999</v>
      </c>
      <c r="W4999">
        <v>-7.0541720000000002E-2</v>
      </c>
      <c r="X4999">
        <v>0.93906429999999996</v>
      </c>
      <c r="Y4999">
        <v>0.62824760000000002</v>
      </c>
      <c r="Z4999">
        <v>0.1173295</v>
      </c>
      <c r="AA4999">
        <v>0.76911549999999995</v>
      </c>
      <c r="AB4999">
        <v>24</v>
      </c>
      <c r="AC4999">
        <v>-7.8447999999999896</v>
      </c>
      <c r="AD4999">
        <v>-1.11241176185</v>
      </c>
      <c r="AE4999">
        <v>-4.1683999999999903</v>
      </c>
      <c r="AF4999">
        <v>5.6556771600326599</v>
      </c>
      <c r="AG4999">
        <v>-1.11241176185</v>
      </c>
      <c r="AH4999">
        <v>6.6717209483445696</v>
      </c>
      <c r="AI4999">
        <v>97.248299326964499</v>
      </c>
      <c r="AJ4999">
        <v>49.7117591790022</v>
      </c>
      <c r="AK4999">
        <v>8.8168023953697094</v>
      </c>
      <c r="AL4999">
        <v>94.045102248211805</v>
      </c>
      <c r="AM4999">
        <v>70.289622517710299</v>
      </c>
      <c r="AN4999">
        <v>1.0000000390652</v>
      </c>
    </row>
    <row r="5000" spans="1:40" x14ac:dyDescent="0.25">
      <c r="A5000" t="str">
        <f>"20190303154237880"</f>
        <v>20190303154237880</v>
      </c>
      <c r="B5000" t="str">
        <f>"1551598957875066"</f>
        <v>1551598957875066</v>
      </c>
      <c r="C5000" t="s">
        <v>40</v>
      </c>
      <c r="D5000">
        <v>6.288011</v>
      </c>
      <c r="E5000">
        <v>0.64026419999999995</v>
      </c>
      <c r="F5000" t="s">
        <v>57</v>
      </c>
      <c r="G5000">
        <v>-202.09100000000001</v>
      </c>
      <c r="H5000" s="1">
        <v>-1.06858399999999E-5</v>
      </c>
      <c r="I5000">
        <v>146.8279</v>
      </c>
      <c r="J5000">
        <v>-194.18620000000001</v>
      </c>
      <c r="K5000">
        <v>1.112301</v>
      </c>
      <c r="L5000">
        <v>150.8897</v>
      </c>
      <c r="M5000">
        <v>-0.37887110000000002</v>
      </c>
      <c r="N5000">
        <v>-1.514044E-2</v>
      </c>
      <c r="O5000">
        <v>-0.92532559999999997</v>
      </c>
      <c r="P5000">
        <v>-0.6697265</v>
      </c>
      <c r="Q5000">
        <v>-7.7400640000000007E-2</v>
      </c>
      <c r="R5000">
        <v>-0.73856319999999998</v>
      </c>
      <c r="S5000">
        <v>-2.812119</v>
      </c>
      <c r="T5000">
        <v>-0.39201989999999998</v>
      </c>
      <c r="U5000">
        <v>-1.488113</v>
      </c>
      <c r="V5000">
        <v>0.33851560000000003</v>
      </c>
      <c r="W5000">
        <v>-7.0403170000000001E-2</v>
      </c>
      <c r="X5000">
        <v>0.93832329999999997</v>
      </c>
      <c r="Y5000">
        <v>0.63386489999999995</v>
      </c>
      <c r="Z5000">
        <v>0.118045</v>
      </c>
      <c r="AA5000">
        <v>0.76438249999999996</v>
      </c>
      <c r="AB5000">
        <v>24</v>
      </c>
      <c r="AC5000">
        <v>-7.9047999999999599</v>
      </c>
      <c r="AD5000">
        <v>-1.11231168584</v>
      </c>
      <c r="AE5000">
        <v>-4.0617999999999999</v>
      </c>
      <c r="AF5000">
        <v>5.6871908735547603</v>
      </c>
      <c r="AG5000">
        <v>-1.11231168584</v>
      </c>
      <c r="AH5000">
        <v>6.6499938622621597</v>
      </c>
      <c r="AI5000">
        <v>97.244468645481206</v>
      </c>
      <c r="AJ5000">
        <v>49.4623604015392</v>
      </c>
      <c r="AK5000">
        <v>8.8206459903357004</v>
      </c>
      <c r="AL5000">
        <v>94.037144223235202</v>
      </c>
      <c r="AM5000">
        <v>70.162255284155705</v>
      </c>
      <c r="AN5000">
        <v>1.00000001655614</v>
      </c>
    </row>
    <row r="5001" spans="1:40" x14ac:dyDescent="0.25">
      <c r="A5001" t="str">
        <f>"20190303154237899"</f>
        <v>20190303154237899</v>
      </c>
      <c r="B5001" t="str">
        <f>"1551598957894587"</f>
        <v>1551598957894587</v>
      </c>
      <c r="C5001" t="s">
        <v>40</v>
      </c>
      <c r="D5001">
        <v>6.2453159999999999</v>
      </c>
      <c r="E5001">
        <v>0.64033319999999905</v>
      </c>
      <c r="F5001" t="s">
        <v>57</v>
      </c>
      <c r="G5001">
        <v>-202.1919</v>
      </c>
      <c r="H5001" s="1">
        <v>-1.062591E-5</v>
      </c>
      <c r="I5001">
        <v>146.77690000000001</v>
      </c>
      <c r="J5001">
        <v>-194.27</v>
      </c>
      <c r="K5001">
        <v>1.112195</v>
      </c>
      <c r="L5001">
        <v>150.71469999999999</v>
      </c>
      <c r="M5001">
        <v>-0.3884841</v>
      </c>
      <c r="N5001">
        <v>-1.518034E-2</v>
      </c>
      <c r="O5001">
        <v>-0.92133030000000005</v>
      </c>
      <c r="P5001">
        <v>-0.67996049999999997</v>
      </c>
      <c r="Q5001">
        <v>-7.79778E-2</v>
      </c>
      <c r="R5001">
        <v>-0.72909060000000003</v>
      </c>
      <c r="S5001">
        <v>-2.8304290000000001</v>
      </c>
      <c r="T5001">
        <v>-0.39326</v>
      </c>
      <c r="U5001">
        <v>-1.454086</v>
      </c>
      <c r="V5001">
        <v>0.34181929999999999</v>
      </c>
      <c r="W5001">
        <v>-7.1116719999999994E-2</v>
      </c>
      <c r="X5001">
        <v>0.93707099999999999</v>
      </c>
      <c r="Y5001">
        <v>0.63508129999999996</v>
      </c>
      <c r="Z5001">
        <v>0.11849850000000001</v>
      </c>
      <c r="AA5001">
        <v>0.76330200000000004</v>
      </c>
      <c r="AB5001">
        <v>24</v>
      </c>
      <c r="AC5001">
        <v>-7.9218999999999902</v>
      </c>
      <c r="AD5001">
        <v>-1.1122056259099999</v>
      </c>
      <c r="AE5001">
        <v>-3.9377999999999802</v>
      </c>
      <c r="AF5001">
        <v>5.6798054779429199</v>
      </c>
      <c r="AG5001">
        <v>-1.1122056259099999</v>
      </c>
      <c r="AH5001">
        <v>6.6019708047376104</v>
      </c>
      <c r="AI5001">
        <v>97.277735780319702</v>
      </c>
      <c r="AJ5001">
        <v>49.293941247851798</v>
      </c>
      <c r="AK5001">
        <v>8.7797044442386607</v>
      </c>
      <c r="AL5001">
        <v>94.078130266542303</v>
      </c>
      <c r="AM5001">
        <v>69.959336431847106</v>
      </c>
      <c r="AN5001">
        <v>1.0000000403785201</v>
      </c>
    </row>
    <row r="5002" spans="1:40" x14ac:dyDescent="0.25">
      <c r="A5002" t="str">
        <f>"20190303154237912"</f>
        <v>20190303154237912</v>
      </c>
      <c r="B5002" t="str">
        <f>"1551598957904347"</f>
        <v>1551598957904347</v>
      </c>
      <c r="C5002" t="s">
        <v>40</v>
      </c>
      <c r="D5002">
        <v>5.7666069999999996</v>
      </c>
      <c r="E5002">
        <v>0.64054049999999996</v>
      </c>
      <c r="F5002" t="s">
        <v>57</v>
      </c>
      <c r="G5002">
        <v>-202.2833</v>
      </c>
      <c r="H5002" s="1">
        <v>-1.057489E-5</v>
      </c>
      <c r="I5002">
        <v>146.74170000000001</v>
      </c>
      <c r="J5002">
        <v>-194.33860000000001</v>
      </c>
      <c r="K5002">
        <v>1.112117</v>
      </c>
      <c r="L5002">
        <v>150.5752</v>
      </c>
      <c r="M5002">
        <v>-0.39625300000000002</v>
      </c>
      <c r="N5002">
        <v>-1.521135E-2</v>
      </c>
      <c r="O5002">
        <v>-0.91801549999999998</v>
      </c>
      <c r="P5002">
        <v>-0.68717680000000003</v>
      </c>
      <c r="Q5002">
        <v>-7.8242499999999895E-2</v>
      </c>
      <c r="R5002">
        <v>-0.72226480000000004</v>
      </c>
      <c r="S5002">
        <v>-2.8509829999999998</v>
      </c>
      <c r="T5002">
        <v>-0.3957001</v>
      </c>
      <c r="U5002">
        <v>-1.4135439999999999</v>
      </c>
      <c r="V5002">
        <v>0.34321220000000002</v>
      </c>
      <c r="W5002">
        <v>-7.1453699999999995E-2</v>
      </c>
      <c r="X5002">
        <v>0.93653609999999998</v>
      </c>
      <c r="Y5002">
        <v>0.63936919999999897</v>
      </c>
      <c r="Z5002">
        <v>0.119478399999999</v>
      </c>
      <c r="AA5002">
        <v>0.75956029999999997</v>
      </c>
      <c r="AB5002">
        <v>24</v>
      </c>
      <c r="AC5002">
        <v>-7.9446999999999797</v>
      </c>
      <c r="AD5002">
        <v>-1.1121275748899999</v>
      </c>
      <c r="AE5002">
        <v>-3.8334999999999799</v>
      </c>
      <c r="AF5002">
        <v>5.6846338174687299</v>
      </c>
      <c r="AG5002">
        <v>-1.1121275748899999</v>
      </c>
      <c r="AH5002">
        <v>6.5637652767563202</v>
      </c>
      <c r="AI5002">
        <v>97.298592285594097</v>
      </c>
      <c r="AJ5002">
        <v>49.105376598792198</v>
      </c>
      <c r="AK5002">
        <v>8.7541363931510592</v>
      </c>
      <c r="AL5002">
        <v>94.097486977510101</v>
      </c>
      <c r="AM5002">
        <v>69.873639922588595</v>
      </c>
      <c r="AN5002">
        <v>1.0000000560378599</v>
      </c>
    </row>
    <row r="5003" spans="1:40" x14ac:dyDescent="0.25">
      <c r="A5003" t="str">
        <f>"20190303154237925"</f>
        <v>20190303154237925</v>
      </c>
      <c r="B5003" t="str">
        <f>"1551598957915083"</f>
        <v>1551598957915083</v>
      </c>
      <c r="C5003" t="s">
        <v>40</v>
      </c>
      <c r="D5003">
        <v>6.2126590000000004</v>
      </c>
      <c r="E5003">
        <v>0.64053649999999995</v>
      </c>
      <c r="F5003" t="s">
        <v>57</v>
      </c>
      <c r="G5003">
        <v>-202.4984</v>
      </c>
      <c r="H5003" s="1">
        <v>-1.044755E-5</v>
      </c>
      <c r="I5003">
        <v>146.63409999999999</v>
      </c>
      <c r="J5003">
        <v>-194.4025</v>
      </c>
      <c r="K5003">
        <v>1.112053</v>
      </c>
      <c r="L5003">
        <v>150.4486</v>
      </c>
      <c r="M5003">
        <v>-0.40338780000000002</v>
      </c>
      <c r="N5003">
        <v>-1.523885E-2</v>
      </c>
      <c r="O5003">
        <v>-0.9149022</v>
      </c>
      <c r="P5003">
        <v>-0.6937894</v>
      </c>
      <c r="Q5003">
        <v>-7.8948309999999994E-2</v>
      </c>
      <c r="R5003">
        <v>-0.71583759999999996</v>
      </c>
      <c r="S5003">
        <v>-2.8661799999999999</v>
      </c>
      <c r="T5003">
        <v>-0.3906461</v>
      </c>
      <c r="U5003">
        <v>-1.3843540000000001</v>
      </c>
      <c r="V5003">
        <v>0.34453620000000001</v>
      </c>
      <c r="W5003">
        <v>-7.2224239999999995E-2</v>
      </c>
      <c r="X5003">
        <v>0.93599060000000001</v>
      </c>
      <c r="Y5003">
        <v>0.64144939999999995</v>
      </c>
      <c r="Z5003">
        <v>0.11787839999999999</v>
      </c>
      <c r="AA5003">
        <v>0.75805500000000003</v>
      </c>
      <c r="AB5003">
        <v>24</v>
      </c>
      <c r="AC5003">
        <v>-8.0959000000000003</v>
      </c>
      <c r="AD5003">
        <v>-1.11206344755</v>
      </c>
      <c r="AE5003">
        <v>-3.8144999999999998</v>
      </c>
      <c r="AF5003">
        <v>5.7796749089231403</v>
      </c>
      <c r="AG5003">
        <v>-1.11206344755</v>
      </c>
      <c r="AH5003">
        <v>6.6537299771794496</v>
      </c>
      <c r="AI5003">
        <v>97.191468680643496</v>
      </c>
      <c r="AJ5003">
        <v>49.0212165365147</v>
      </c>
      <c r="AK5003">
        <v>8.8833242524084906</v>
      </c>
      <c r="AL5003">
        <v>94.141750393735606</v>
      </c>
      <c r="AM5003">
        <v>69.791443370894697</v>
      </c>
      <c r="AN5003">
        <v>0.99999996862118801</v>
      </c>
    </row>
    <row r="5004" spans="1:40" x14ac:dyDescent="0.25">
      <c r="A5004" t="str">
        <f>"20190303154237944"</f>
        <v>20190303154237944</v>
      </c>
      <c r="B5004" t="str">
        <f>"1551598957934606"</f>
        <v>1551598957934606</v>
      </c>
      <c r="C5004" t="s">
        <v>40</v>
      </c>
      <c r="D5004">
        <v>6.3876280000000003</v>
      </c>
      <c r="E5004">
        <v>0.64066179999999995</v>
      </c>
      <c r="F5004" t="s">
        <v>57</v>
      </c>
      <c r="G5004">
        <v>-202.5461</v>
      </c>
      <c r="H5004" s="1">
        <v>-1.0418700000000001E-5</v>
      </c>
      <c r="I5004">
        <v>146.60839999999999</v>
      </c>
      <c r="J5004">
        <v>-194.49930000000001</v>
      </c>
      <c r="K5004">
        <v>1.1119589999999999</v>
      </c>
      <c r="L5004">
        <v>150.26079999999999</v>
      </c>
      <c r="M5004">
        <v>-0.4140683</v>
      </c>
      <c r="N5004">
        <v>-1.52785E-2</v>
      </c>
      <c r="O5004">
        <v>-0.91011770000000003</v>
      </c>
      <c r="P5004">
        <v>-0.70413169999999903</v>
      </c>
      <c r="Q5004">
        <v>-7.9524940000000002E-2</v>
      </c>
      <c r="R5004">
        <v>-0.70560269999999903</v>
      </c>
      <c r="S5004">
        <v>-2.8787229999999999</v>
      </c>
      <c r="T5004">
        <v>-0.3931074</v>
      </c>
      <c r="U5004">
        <v>-1.357483</v>
      </c>
      <c r="V5004">
        <v>0.347194</v>
      </c>
      <c r="W5004">
        <v>-7.2913149999999996E-2</v>
      </c>
      <c r="X5004">
        <v>0.93495450000000002</v>
      </c>
      <c r="Y5004">
        <v>0.63948830000000001</v>
      </c>
      <c r="Z5004">
        <v>0.11861049999999999</v>
      </c>
      <c r="AA5004">
        <v>0.75959619999999894</v>
      </c>
      <c r="AB5004">
        <v>24</v>
      </c>
      <c r="AC5004">
        <v>-8.0467999999999904</v>
      </c>
      <c r="AD5004">
        <v>-1.1119694187</v>
      </c>
      <c r="AE5004">
        <v>-3.6524000000000001</v>
      </c>
      <c r="AF5004">
        <v>5.7212803016635796</v>
      </c>
      <c r="AG5004">
        <v>-1.1119694187</v>
      </c>
      <c r="AH5004">
        <v>6.5530553259020303</v>
      </c>
      <c r="AI5004">
        <v>97.284316957678698</v>
      </c>
      <c r="AJ5004">
        <v>48.876743357880997</v>
      </c>
      <c r="AK5004">
        <v>8.7699520171242007</v>
      </c>
      <c r="AL5004">
        <v>94.181326416615505</v>
      </c>
      <c r="AM5004">
        <v>69.627593824014497</v>
      </c>
      <c r="AN5004">
        <v>0.99999995907458505</v>
      </c>
    </row>
    <row r="5005" spans="1:40" x14ac:dyDescent="0.25">
      <c r="A5005" t="str">
        <f>"20190303154237959"</f>
        <v>20190303154237959</v>
      </c>
      <c r="B5005" t="str">
        <f>"1551598957955099"</f>
        <v>1551598957955099</v>
      </c>
      <c r="C5005" t="s">
        <v>40</v>
      </c>
      <c r="D5005">
        <v>6.16845</v>
      </c>
      <c r="E5005">
        <v>0.64062439999999998</v>
      </c>
      <c r="F5005" t="s">
        <v>57</v>
      </c>
      <c r="G5005">
        <v>-202.6249</v>
      </c>
      <c r="H5005" s="1">
        <v>-1.03745E-5</v>
      </c>
      <c r="I5005">
        <v>146.57730000000001</v>
      </c>
      <c r="J5005">
        <v>-194.57480000000001</v>
      </c>
      <c r="K5005">
        <v>1.111896</v>
      </c>
      <c r="L5005">
        <v>150.1181</v>
      </c>
      <c r="M5005">
        <v>-0.42226900000000001</v>
      </c>
      <c r="N5005">
        <v>-1.5307909999999999E-2</v>
      </c>
      <c r="O5005">
        <v>-0.90634130000000002</v>
      </c>
      <c r="P5005">
        <v>-0.71161960000000002</v>
      </c>
      <c r="Q5005">
        <v>-8.0046770000000003E-2</v>
      </c>
      <c r="R5005">
        <v>-0.69799040000000001</v>
      </c>
      <c r="S5005">
        <v>-2.8988649999999998</v>
      </c>
      <c r="T5005">
        <v>-0.39670369999999999</v>
      </c>
      <c r="U5005">
        <v>-1.3141480000000001</v>
      </c>
      <c r="V5005">
        <v>0.3487268</v>
      </c>
      <c r="W5005">
        <v>-7.3505420000000002E-2</v>
      </c>
      <c r="X5005">
        <v>0.93433759999999999</v>
      </c>
      <c r="Y5005">
        <v>0.6438159</v>
      </c>
      <c r="Z5005">
        <v>0.1199615</v>
      </c>
      <c r="AA5005">
        <v>0.75571849999999996</v>
      </c>
      <c r="AB5005">
        <v>24</v>
      </c>
      <c r="AC5005">
        <v>-8.0500999999999792</v>
      </c>
      <c r="AD5005">
        <v>-1.1119063745</v>
      </c>
      <c r="AE5005">
        <v>-3.5407999999999902</v>
      </c>
      <c r="AF5005">
        <v>5.7103651507820601</v>
      </c>
      <c r="AG5005">
        <v>-1.1119063745</v>
      </c>
      <c r="AH5005">
        <v>6.5052658749184902</v>
      </c>
      <c r="AI5005">
        <v>97.319823282074395</v>
      </c>
      <c r="AJ5005">
        <v>48.723126097225801</v>
      </c>
      <c r="AK5005">
        <v>8.7271467298481298</v>
      </c>
      <c r="AL5005">
        <v>94.215351744994095</v>
      </c>
      <c r="AM5005">
        <v>69.5327028797971</v>
      </c>
      <c r="AN5005">
        <v>1.00000008929068</v>
      </c>
    </row>
    <row r="5006" spans="1:40" x14ac:dyDescent="0.25">
      <c r="A5006" t="str">
        <f>"20190303154237979"</f>
        <v>20190303154237979</v>
      </c>
      <c r="B5006" t="str">
        <f>"1551598957974619"</f>
        <v>1551598957974619</v>
      </c>
      <c r="C5006" t="s">
        <v>40</v>
      </c>
      <c r="D5006">
        <v>6.2885450000000001</v>
      </c>
      <c r="E5006">
        <v>0.64048629999999995</v>
      </c>
      <c r="F5006" t="s">
        <v>57</v>
      </c>
      <c r="G5006">
        <v>-202.68539999999999</v>
      </c>
      <c r="H5006" s="1">
        <v>-1.033808E-5</v>
      </c>
      <c r="I5006">
        <v>146.54499999999999</v>
      </c>
      <c r="J5006">
        <v>-194.6788</v>
      </c>
      <c r="K5006">
        <v>1.111818</v>
      </c>
      <c r="L5006">
        <v>149.92689999999999</v>
      </c>
      <c r="M5006">
        <v>-0.43339840000000002</v>
      </c>
      <c r="N5006">
        <v>-1.5346769999999999E-2</v>
      </c>
      <c r="O5006">
        <v>-0.90107179999999998</v>
      </c>
      <c r="P5006">
        <v>-0.72206000000000004</v>
      </c>
      <c r="Q5006">
        <v>-7.976859E-2</v>
      </c>
      <c r="R5006">
        <v>-0.68721639999999995</v>
      </c>
      <c r="S5006">
        <v>-2.9123839999999999</v>
      </c>
      <c r="T5006">
        <v>-0.3992637</v>
      </c>
      <c r="U5006">
        <v>-1.2830349999999999</v>
      </c>
      <c r="V5006">
        <v>0.35127819999999998</v>
      </c>
      <c r="W5006">
        <v>-7.3330039999999999E-2</v>
      </c>
      <c r="X5006">
        <v>0.93339510000000003</v>
      </c>
      <c r="Y5006">
        <v>0.64240069999999905</v>
      </c>
      <c r="Z5006">
        <v>0.1207221</v>
      </c>
      <c r="AA5006">
        <v>0.7568009</v>
      </c>
      <c r="AB5006">
        <v>24</v>
      </c>
      <c r="AC5006">
        <v>-8.0065999999999899</v>
      </c>
      <c r="AD5006">
        <v>-1.11182833808</v>
      </c>
      <c r="AE5006">
        <v>-3.3818999999999999</v>
      </c>
      <c r="AF5006">
        <v>5.6569200679473299</v>
      </c>
      <c r="AG5006">
        <v>-1.11182833808</v>
      </c>
      <c r="AH5006">
        <v>6.4132058403571497</v>
      </c>
      <c r="AI5006">
        <v>97.407700423541499</v>
      </c>
      <c r="AJ5006">
        <v>48.585332045616099</v>
      </c>
      <c r="AK5006">
        <v>8.6235790747980001</v>
      </c>
      <c r="AL5006">
        <v>94.205276225469504</v>
      </c>
      <c r="AM5006">
        <v>69.376443119887597</v>
      </c>
      <c r="AN5006">
        <v>1.00000004063282</v>
      </c>
    </row>
    <row r="5007" spans="1:40" x14ac:dyDescent="0.25">
      <c r="A5007" t="str">
        <f>"20190303154238003"</f>
        <v>20190303154238003</v>
      </c>
      <c r="B5007" t="str">
        <f>"1551598957995115"</f>
        <v>1551598957995115</v>
      </c>
      <c r="C5007" t="s">
        <v>40</v>
      </c>
      <c r="D5007">
        <v>6.1313959999999996</v>
      </c>
      <c r="E5007">
        <v>0.64021899999999998</v>
      </c>
      <c r="F5007" t="s">
        <v>57</v>
      </c>
      <c r="G5007">
        <v>-202.84790000000001</v>
      </c>
      <c r="H5007" s="1">
        <v>-1.0244050000000001E-5</v>
      </c>
      <c r="I5007">
        <v>146.47120000000001</v>
      </c>
      <c r="J5007">
        <v>-194.81</v>
      </c>
      <c r="K5007">
        <v>1.111726</v>
      </c>
      <c r="L5007">
        <v>149.6943</v>
      </c>
      <c r="M5007">
        <v>-0.4471234</v>
      </c>
      <c r="N5007">
        <v>-1.539242E-2</v>
      </c>
      <c r="O5007">
        <v>-0.89433999999999902</v>
      </c>
      <c r="P5007">
        <v>-0.73435819999999996</v>
      </c>
      <c r="Q5007">
        <v>-7.9439670000000004E-2</v>
      </c>
      <c r="R5007">
        <v>-0.67409799999999997</v>
      </c>
      <c r="S5007">
        <v>-2.930771</v>
      </c>
      <c r="T5007">
        <v>-0.39888200000000001</v>
      </c>
      <c r="U5007">
        <v>-1.2397609999999999</v>
      </c>
      <c r="V5007">
        <v>0.3538422</v>
      </c>
      <c r="W5007">
        <v>-7.3105139999999999E-2</v>
      </c>
      <c r="X5007">
        <v>0.93244369999999999</v>
      </c>
      <c r="Y5007">
        <v>0.64194680000000004</v>
      </c>
      <c r="Z5007">
        <v>0.1205273</v>
      </c>
      <c r="AA5007">
        <v>0.75721689999999997</v>
      </c>
      <c r="AB5007">
        <v>24</v>
      </c>
      <c r="AC5007">
        <v>-8.0379000000000005</v>
      </c>
      <c r="AD5007">
        <v>-1.11173624405</v>
      </c>
      <c r="AE5007">
        <v>-3.2230999999999801</v>
      </c>
      <c r="AF5007">
        <v>5.65497667074305</v>
      </c>
      <c r="AG5007">
        <v>-1.11173624405</v>
      </c>
      <c r="AH5007">
        <v>6.3722307732891403</v>
      </c>
      <c r="AI5007">
        <v>97.434583521234003</v>
      </c>
      <c r="AJ5007">
        <v>48.412846967005699</v>
      </c>
      <c r="AK5007">
        <v>8.5918591498601593</v>
      </c>
      <c r="AL5007">
        <v>94.192356069960496</v>
      </c>
      <c r="AM5007">
        <v>69.219330377681004</v>
      </c>
      <c r="AN5007">
        <v>0.99999995883247395</v>
      </c>
    </row>
    <row r="5008" spans="1:40" x14ac:dyDescent="0.25">
      <c r="A5008" t="str">
        <f>"20190303154238024"</f>
        <v>20190303154238024</v>
      </c>
      <c r="B5008" t="str">
        <f>"1551598958015229"</f>
        <v>1551598958015229</v>
      </c>
      <c r="C5008" t="s">
        <v>40</v>
      </c>
      <c r="D5008">
        <v>6.1367039999999999</v>
      </c>
      <c r="E5008">
        <v>0.63981969999999899</v>
      </c>
      <c r="F5008" t="s">
        <v>57</v>
      </c>
      <c r="G5008">
        <v>-203.04499999999999</v>
      </c>
      <c r="H5008" s="1">
        <v>-1.012933E-5</v>
      </c>
      <c r="I5008">
        <v>146.3793</v>
      </c>
      <c r="J5008">
        <v>-194.92160000000001</v>
      </c>
      <c r="K5008">
        <v>1.1116549999999901</v>
      </c>
      <c r="L5008">
        <v>149.50280000000001</v>
      </c>
      <c r="M5008">
        <v>-0.45855059999999898</v>
      </c>
      <c r="N5008">
        <v>-1.5427919999999999E-2</v>
      </c>
      <c r="O5008">
        <v>-0.88853470000000001</v>
      </c>
      <c r="P5008">
        <v>-0.7445503</v>
      </c>
      <c r="Q5008">
        <v>-7.9334710000000003E-2</v>
      </c>
      <c r="R5008">
        <v>-0.66283549999999902</v>
      </c>
      <c r="S5008">
        <v>-2.951492</v>
      </c>
      <c r="T5008">
        <v>-0.39845649999999999</v>
      </c>
      <c r="U5008">
        <v>-1.1880949999999999</v>
      </c>
      <c r="V5008">
        <v>0.35608790000000001</v>
      </c>
      <c r="W5008">
        <v>-7.3086150000000003E-2</v>
      </c>
      <c r="X5008">
        <v>0.93159000000000003</v>
      </c>
      <c r="Y5008">
        <v>0.64541059999999995</v>
      </c>
      <c r="Z5008">
        <v>0.12050859999999999</v>
      </c>
      <c r="AA5008">
        <v>0.75426969999999904</v>
      </c>
      <c r="AB5008">
        <v>24</v>
      </c>
      <c r="AC5008">
        <v>-8.12339999999997</v>
      </c>
      <c r="AD5008">
        <v>-1.1116651293299999</v>
      </c>
      <c r="AE5008">
        <v>-3.1234999999999999</v>
      </c>
      <c r="AF5008">
        <v>5.69343811588978</v>
      </c>
      <c r="AG5008">
        <v>-1.1116651293299999</v>
      </c>
      <c r="AH5008">
        <v>6.3967367072733898</v>
      </c>
      <c r="AI5008">
        <v>97.396454023114998</v>
      </c>
      <c r="AJ5008">
        <v>48.3292058564369</v>
      </c>
      <c r="AK5008">
        <v>8.6353504527270708</v>
      </c>
      <c r="AL5008">
        <v>94.191264709381898</v>
      </c>
      <c r="AM5008">
        <v>69.081308449945595</v>
      </c>
      <c r="AN5008">
        <v>1.00000005297411</v>
      </c>
    </row>
    <row r="5009" spans="1:40" x14ac:dyDescent="0.25">
      <c r="A5009" t="str">
        <f>"20190303154238045"</f>
        <v>20190303154238045</v>
      </c>
      <c r="B5009" t="str">
        <f>"1551598958034752"</f>
        <v>1551598958034752</v>
      </c>
      <c r="C5009" t="s">
        <v>40</v>
      </c>
      <c r="D5009">
        <v>6.135656</v>
      </c>
      <c r="E5009">
        <v>0.63955830000000002</v>
      </c>
      <c r="F5009" t="s">
        <v>57</v>
      </c>
      <c r="G5009">
        <v>-203.18539999999999</v>
      </c>
      <c r="H5009" s="1">
        <v>-1.0047249999999999E-5</v>
      </c>
      <c r="I5009">
        <v>146.31280000000001</v>
      </c>
      <c r="J5009">
        <v>-195.047</v>
      </c>
      <c r="K5009">
        <v>1.1115870000000001</v>
      </c>
      <c r="L5009">
        <v>149.2946</v>
      </c>
      <c r="M5009">
        <v>-0.47111039999999998</v>
      </c>
      <c r="N5009">
        <v>-1.546436E-2</v>
      </c>
      <c r="O5009">
        <v>-0.88193869999999897</v>
      </c>
      <c r="P5009">
        <v>-0.75539009999999995</v>
      </c>
      <c r="Q5009">
        <v>-7.9523590000000005E-2</v>
      </c>
      <c r="R5009">
        <v>-0.65043200000000001</v>
      </c>
      <c r="S5009">
        <v>-2.9671020000000001</v>
      </c>
      <c r="T5009">
        <v>-0.39914040000000001</v>
      </c>
      <c r="U5009">
        <v>-1.1453549999999999</v>
      </c>
      <c r="V5009">
        <v>0.35824010000000001</v>
      </c>
      <c r="W5009">
        <v>-7.3358389999999996E-2</v>
      </c>
      <c r="X5009">
        <v>0.93074299999999999</v>
      </c>
      <c r="Y5009">
        <v>0.6453894</v>
      </c>
      <c r="Z5009">
        <v>0.1206858</v>
      </c>
      <c r="AA5009">
        <v>0.75425959999999903</v>
      </c>
      <c r="AB5009">
        <v>24</v>
      </c>
      <c r="AC5009">
        <v>-8.1383999999999901</v>
      </c>
      <c r="AD5009">
        <v>-1.1115970472499901</v>
      </c>
      <c r="AE5009">
        <v>-2.98179999999999</v>
      </c>
      <c r="AF5009">
        <v>5.6800775469671603</v>
      </c>
      <c r="AG5009">
        <v>-1.1115970472499901</v>
      </c>
      <c r="AH5009">
        <v>6.3600133928407097</v>
      </c>
      <c r="AI5009">
        <v>97.427141576353407</v>
      </c>
      <c r="AJ5009">
        <v>48.232211427072599</v>
      </c>
      <c r="AK5009">
        <v>8.5993429570013493</v>
      </c>
      <c r="AL5009">
        <v>94.206905214157501</v>
      </c>
      <c r="AM5009">
        <v>68.948438972139996</v>
      </c>
      <c r="AN5009">
        <v>0.99999997734019996</v>
      </c>
    </row>
    <row r="5010" spans="1:40" x14ac:dyDescent="0.25">
      <c r="A5010" t="str">
        <f>"20190303154238067"</f>
        <v>20190303154238067</v>
      </c>
      <c r="B5010" t="str">
        <f>"1551598958065005"</f>
        <v>1551598958065005</v>
      </c>
      <c r="C5010" t="s">
        <v>40</v>
      </c>
      <c r="D5010">
        <v>6.0867069999999996</v>
      </c>
      <c r="E5010">
        <v>0.63886509999999996</v>
      </c>
      <c r="F5010" t="s">
        <v>57</v>
      </c>
      <c r="G5010">
        <v>-203.34690000000001</v>
      </c>
      <c r="H5010" s="1">
        <v>-9.9597739999999996E-6</v>
      </c>
      <c r="I5010">
        <v>146.2423</v>
      </c>
      <c r="J5010">
        <v>-195.1756</v>
      </c>
      <c r="K5010">
        <v>1.111521</v>
      </c>
      <c r="L5010">
        <v>149.08779999999999</v>
      </c>
      <c r="M5010">
        <v>-0.48372959999999898</v>
      </c>
      <c r="N5010">
        <v>-1.549936E-2</v>
      </c>
      <c r="O5010">
        <v>-0.87508030000000003</v>
      </c>
      <c r="P5010">
        <v>-0.76554639999999996</v>
      </c>
      <c r="Q5010">
        <v>-7.9590980000000006E-2</v>
      </c>
      <c r="R5010">
        <v>-0.63843879999999997</v>
      </c>
      <c r="S5010">
        <v>-2.9843600000000001</v>
      </c>
      <c r="T5010">
        <v>-0.39968799999999999</v>
      </c>
      <c r="U5010">
        <v>-1.097504</v>
      </c>
      <c r="V5010">
        <v>0.35952879999999998</v>
      </c>
      <c r="W5010">
        <v>-7.3482870000000006E-2</v>
      </c>
      <c r="X5010">
        <v>0.93023619999999996</v>
      </c>
      <c r="Y5010">
        <v>0.64651479999999995</v>
      </c>
      <c r="Z5010">
        <v>0.12083530000000001</v>
      </c>
      <c r="AA5010">
        <v>0.75327119999999903</v>
      </c>
      <c r="AB5010">
        <v>24</v>
      </c>
      <c r="AC5010">
        <v>-8.1713000000000005</v>
      </c>
      <c r="AD5010">
        <v>-1.111530959774</v>
      </c>
      <c r="AE5010">
        <v>-2.8454999999999799</v>
      </c>
      <c r="AF5010">
        <v>5.6810326445093802</v>
      </c>
      <c r="AG5010">
        <v>-1.111530959774</v>
      </c>
      <c r="AH5010">
        <v>6.3389059146567197</v>
      </c>
      <c r="AI5010">
        <v>97.439726877204905</v>
      </c>
      <c r="AJ5010">
        <v>48.132777377045201</v>
      </c>
      <c r="AK5010">
        <v>8.5843672555050503</v>
      </c>
      <c r="AL5010">
        <v>94.214056434035498</v>
      </c>
      <c r="AM5010">
        <v>68.868884367222407</v>
      </c>
      <c r="AN5010">
        <v>1.0000000390016499</v>
      </c>
    </row>
    <row r="5011" spans="1:40" x14ac:dyDescent="0.25">
      <c r="A5011" t="str">
        <f>"20190303154238090"</f>
        <v>20190303154238090</v>
      </c>
      <c r="B5011" t="str">
        <f>"1551598958085500"</f>
        <v>1551598958085500</v>
      </c>
      <c r="C5011" t="s">
        <v>40</v>
      </c>
      <c r="D5011">
        <v>6.0999869999999996</v>
      </c>
      <c r="E5011">
        <v>0.63845039999999997</v>
      </c>
      <c r="F5011" t="s">
        <v>57</v>
      </c>
      <c r="G5011">
        <v>-203.50059999999999</v>
      </c>
      <c r="H5011" s="1">
        <v>-9.8800459999999994E-6</v>
      </c>
      <c r="I5011">
        <v>146.15940000000001</v>
      </c>
      <c r="J5011">
        <v>-195.30629999999999</v>
      </c>
      <c r="K5011">
        <v>1.11147</v>
      </c>
      <c r="L5011">
        <v>148.88470000000001</v>
      </c>
      <c r="M5011">
        <v>-0.49625979999999997</v>
      </c>
      <c r="N5011">
        <v>-1.553321E-2</v>
      </c>
      <c r="O5011">
        <v>-0.86803529999999995</v>
      </c>
      <c r="P5011">
        <v>-0.77572890000000005</v>
      </c>
      <c r="Q5011">
        <v>-7.9956379999999994E-2</v>
      </c>
      <c r="R5011">
        <v>-0.62598120000000002</v>
      </c>
      <c r="S5011">
        <v>-2.9977260000000001</v>
      </c>
      <c r="T5011">
        <v>-0.40025070000000001</v>
      </c>
      <c r="U5011">
        <v>-1.0545040000000001</v>
      </c>
      <c r="V5011">
        <v>0.36113859999999998</v>
      </c>
      <c r="W5011">
        <v>-7.3914129999999995E-2</v>
      </c>
      <c r="X5011">
        <v>0.92957820000000002</v>
      </c>
      <c r="Y5011">
        <v>0.64624429999999999</v>
      </c>
      <c r="Z5011">
        <v>0.1209465</v>
      </c>
      <c r="AA5011">
        <v>0.75348530000000002</v>
      </c>
      <c r="AB5011">
        <v>24</v>
      </c>
      <c r="AC5011">
        <v>-8.1942999999999895</v>
      </c>
      <c r="AD5011">
        <v>-1.111479880046</v>
      </c>
      <c r="AE5011">
        <v>-2.7252999999999998</v>
      </c>
      <c r="AF5011">
        <v>5.6672946529654498</v>
      </c>
      <c r="AG5011">
        <v>-1.111479880046</v>
      </c>
      <c r="AH5011">
        <v>6.3281021202118497</v>
      </c>
      <c r="AI5011">
        <v>97.454294423604296</v>
      </c>
      <c r="AJ5011">
        <v>48.153146945074297</v>
      </c>
      <c r="AK5011">
        <v>8.5672920255532095</v>
      </c>
      <c r="AL5011">
        <v>94.238833319497999</v>
      </c>
      <c r="AM5011">
        <v>68.768987169191703</v>
      </c>
      <c r="AN5011">
        <v>1.0000000084694201</v>
      </c>
    </row>
    <row r="5012" spans="1:40" x14ac:dyDescent="0.25">
      <c r="A5012" t="str">
        <f>"20190303154238113"</f>
        <v>20190303154238113</v>
      </c>
      <c r="B5012" t="str">
        <f>"1551598958105022"</f>
        <v>1551598958105022</v>
      </c>
      <c r="C5012" t="s">
        <v>40</v>
      </c>
      <c r="D5012">
        <v>6.1063049999999999</v>
      </c>
      <c r="E5012">
        <v>0.63872050000000002</v>
      </c>
      <c r="F5012" t="s">
        <v>57</v>
      </c>
      <c r="G5012">
        <v>-203.6789</v>
      </c>
      <c r="H5012" s="1">
        <v>-9.7924680000000007E-6</v>
      </c>
      <c r="I5012">
        <v>146.08179999999999</v>
      </c>
      <c r="J5012">
        <v>-195.45310000000001</v>
      </c>
      <c r="K5012">
        <v>1.111408</v>
      </c>
      <c r="L5012">
        <v>148.66399999999999</v>
      </c>
      <c r="M5012">
        <v>-0.5100209</v>
      </c>
      <c r="N5012">
        <v>-1.5569349999999999E-2</v>
      </c>
      <c r="O5012">
        <v>-0.86002109999999998</v>
      </c>
      <c r="P5012">
        <v>-0.78627060000000004</v>
      </c>
      <c r="Q5012">
        <v>-8.0623310000000004E-2</v>
      </c>
      <c r="R5012">
        <v>-0.61259969999999997</v>
      </c>
      <c r="S5012">
        <v>-3.0123440000000001</v>
      </c>
      <c r="T5012">
        <v>-0.39989520000000001</v>
      </c>
      <c r="U5012">
        <v>-1.0084379999999999</v>
      </c>
      <c r="V5012">
        <v>0.36217290000000002</v>
      </c>
      <c r="W5012">
        <v>-7.4631950000000002E-2</v>
      </c>
      <c r="X5012">
        <v>0.92911829999999995</v>
      </c>
      <c r="Y5012">
        <v>0.64564100000000002</v>
      </c>
      <c r="Z5012">
        <v>0.1206627</v>
      </c>
      <c r="AA5012">
        <v>0.75404789999999999</v>
      </c>
      <c r="AB5012">
        <v>24</v>
      </c>
      <c r="AC5012">
        <v>-8.2257999999999907</v>
      </c>
      <c r="AD5012">
        <v>-1.111417792468</v>
      </c>
      <c r="AE5012">
        <v>-2.5821999999999998</v>
      </c>
      <c r="AF5012">
        <v>5.6639592082108496</v>
      </c>
      <c r="AG5012">
        <v>-1.111417792468</v>
      </c>
      <c r="AH5012">
        <v>6.3119612918933603</v>
      </c>
      <c r="AI5012">
        <v>97.466261882540394</v>
      </c>
      <c r="AJ5012">
        <v>48.097182744323398</v>
      </c>
      <c r="AK5012">
        <v>8.5531595783108791</v>
      </c>
      <c r="AL5012">
        <v>94.280075426567706</v>
      </c>
      <c r="AM5012">
        <v>68.704024904944305</v>
      </c>
      <c r="AN5012">
        <v>0.99999997642505001</v>
      </c>
    </row>
    <row r="5013" spans="1:40" x14ac:dyDescent="0.25">
      <c r="A5013" t="str">
        <f>"20190303154238135"</f>
        <v>20190303154238135</v>
      </c>
      <c r="B5013" t="str">
        <f>"1551598958124544"</f>
        <v>1551598958124544</v>
      </c>
      <c r="C5013" t="s">
        <v>40</v>
      </c>
      <c r="D5013">
        <v>6.1263880000000004</v>
      </c>
      <c r="E5013">
        <v>0.63927979999999995</v>
      </c>
      <c r="F5013" t="s">
        <v>57</v>
      </c>
      <c r="G5013">
        <v>-203.85980000000001</v>
      </c>
      <c r="H5013" s="1">
        <v>-9.7067960000000007E-6</v>
      </c>
      <c r="I5013">
        <v>146.0154</v>
      </c>
      <c r="J5013">
        <v>-195.58600000000001</v>
      </c>
      <c r="K5013">
        <v>1.111356</v>
      </c>
      <c r="L5013">
        <v>148.4708</v>
      </c>
      <c r="M5013">
        <v>-0.52219559999999998</v>
      </c>
      <c r="N5013">
        <v>-1.5600080000000001E-2</v>
      </c>
      <c r="O5013">
        <v>-0.85268330000000003</v>
      </c>
      <c r="P5013">
        <v>-0.79617720000000003</v>
      </c>
      <c r="Q5013">
        <v>-8.1492040000000002E-2</v>
      </c>
      <c r="R5013">
        <v>-0.59955119999999995</v>
      </c>
      <c r="S5013">
        <v>-3.0305019999999998</v>
      </c>
      <c r="T5013">
        <v>-0.40064739999999999</v>
      </c>
      <c r="U5013">
        <v>-0.95477290000000004</v>
      </c>
      <c r="V5013">
        <v>0.36417670000000002</v>
      </c>
      <c r="W5013">
        <v>-7.5578099999999995E-2</v>
      </c>
      <c r="X5013">
        <v>0.92825820000000003</v>
      </c>
      <c r="Y5013">
        <v>0.64825489999999997</v>
      </c>
      <c r="Z5013">
        <v>0.12083670000000001</v>
      </c>
      <c r="AA5013">
        <v>0.75177399999999905</v>
      </c>
      <c r="AB5013">
        <v>24</v>
      </c>
      <c r="AC5013">
        <v>-8.2738000000000191</v>
      </c>
      <c r="AD5013">
        <v>-1.1113657067960001</v>
      </c>
      <c r="AE5013">
        <v>-2.4553999999999898</v>
      </c>
      <c r="AF5013">
        <v>5.6792578167785797</v>
      </c>
      <c r="AG5013">
        <v>-1.1113657067960001</v>
      </c>
      <c r="AH5013">
        <v>6.3103591181445804</v>
      </c>
      <c r="AI5013">
        <v>97.458060688202906</v>
      </c>
      <c r="AJ5013">
        <v>48.0131155243755</v>
      </c>
      <c r="AK5013">
        <v>8.5621104456572699</v>
      </c>
      <c r="AL5013">
        <v>94.334439264839006</v>
      </c>
      <c r="AM5013">
        <v>68.578799082801197</v>
      </c>
      <c r="AN5013">
        <v>1.00000000194487</v>
      </c>
    </row>
    <row r="5014" spans="1:40" x14ac:dyDescent="0.25">
      <c r="A5014" t="str">
        <f>"20190303154238169"</f>
        <v>20190303154238169</v>
      </c>
      <c r="B5014" t="str">
        <f>"1551598958164558"</f>
        <v>1551598958164558</v>
      </c>
      <c r="C5014" t="s">
        <v>40</v>
      </c>
      <c r="D5014">
        <v>6.0432509999999997</v>
      </c>
      <c r="E5014">
        <v>0.64021890000000004</v>
      </c>
      <c r="F5014" t="s">
        <v>57</v>
      </c>
      <c r="G5014">
        <v>-204.0436</v>
      </c>
      <c r="H5014" s="1">
        <v>-9.6260659999999995E-6</v>
      </c>
      <c r="I5014">
        <v>145.9716</v>
      </c>
      <c r="J5014">
        <v>-195.7989</v>
      </c>
      <c r="K5014">
        <v>1.1112740000000001</v>
      </c>
      <c r="L5014">
        <v>148.17449999999999</v>
      </c>
      <c r="M5014">
        <v>-0.54114589999999996</v>
      </c>
      <c r="N5014">
        <v>-1.5646179999999999E-2</v>
      </c>
      <c r="O5014">
        <v>-0.84078310000000001</v>
      </c>
      <c r="P5014">
        <v>-0.81018610000000002</v>
      </c>
      <c r="Q5014">
        <v>-8.2635739999999999E-2</v>
      </c>
      <c r="R5014">
        <v>-0.58031880000000002</v>
      </c>
      <c r="S5014">
        <v>-3.0486149999999999</v>
      </c>
      <c r="T5014">
        <v>-0.40060020000000002</v>
      </c>
      <c r="U5014">
        <v>-0.90086359999999999</v>
      </c>
      <c r="V5014">
        <v>0.36548629999999999</v>
      </c>
      <c r="W5014">
        <v>-7.6787460000000002E-2</v>
      </c>
      <c r="X5014">
        <v>0.92764400000000002</v>
      </c>
      <c r="Y5014">
        <v>0.64480780000000004</v>
      </c>
      <c r="Z5014">
        <v>0.1202223</v>
      </c>
      <c r="AA5014">
        <v>0.75483080000000002</v>
      </c>
      <c r="AB5014">
        <v>24</v>
      </c>
      <c r="AC5014">
        <v>-8.2446999999999893</v>
      </c>
      <c r="AD5014">
        <v>-1.111283626066</v>
      </c>
      <c r="AE5014">
        <v>-2.2029000000000001</v>
      </c>
      <c r="AF5014">
        <v>5.6448958492782104</v>
      </c>
      <c r="AG5014">
        <v>-1.111283626066</v>
      </c>
      <c r="AH5014">
        <v>6.2092292227646899</v>
      </c>
      <c r="AI5014">
        <v>97.543654563867605</v>
      </c>
      <c r="AJ5014">
        <v>47.725593541251598</v>
      </c>
      <c r="AK5014">
        <v>8.4648879489096398</v>
      </c>
      <c r="AL5014">
        <v>94.403932589657302</v>
      </c>
      <c r="AM5014">
        <v>68.495850396181794</v>
      </c>
      <c r="AN5014">
        <v>0.99999997011846997</v>
      </c>
    </row>
    <row r="5015" spans="1:40" x14ac:dyDescent="0.25">
      <c r="A5015" t="str">
        <f>"20190303154238190"</f>
        <v>20190303154238190</v>
      </c>
      <c r="B5015" t="str">
        <f>"1551598958185052"</f>
        <v>1551598958185052</v>
      </c>
      <c r="C5015" t="s">
        <v>40</v>
      </c>
      <c r="D5015">
        <v>5.9606490000000001</v>
      </c>
      <c r="E5015">
        <v>0.64065689999999997</v>
      </c>
      <c r="F5015" t="s">
        <v>57</v>
      </c>
      <c r="G5015">
        <v>-204.2671</v>
      </c>
      <c r="H5015" s="1">
        <v>-9.5258309999999993E-6</v>
      </c>
      <c r="I5015">
        <v>145.91059999999999</v>
      </c>
      <c r="J5015">
        <v>-195.93979999999999</v>
      </c>
      <c r="K5015">
        <v>1.1112280000000001</v>
      </c>
      <c r="L5015">
        <v>147.98570000000001</v>
      </c>
      <c r="M5015">
        <v>-0.55334059999999996</v>
      </c>
      <c r="N5015">
        <v>-1.5674250000000001E-2</v>
      </c>
      <c r="O5015">
        <v>-0.83280799999999999</v>
      </c>
      <c r="P5015">
        <v>-0.81909319999999997</v>
      </c>
      <c r="Q5015">
        <v>-8.3891560000000004E-2</v>
      </c>
      <c r="R5015">
        <v>-0.56749359999999904</v>
      </c>
      <c r="S5015">
        <v>-3.073242</v>
      </c>
      <c r="T5015">
        <v>-0.40330389999999999</v>
      </c>
      <c r="U5015">
        <v>-0.82159419999999905</v>
      </c>
      <c r="V5015">
        <v>0.36642550000000002</v>
      </c>
      <c r="W5015">
        <v>-7.8084619999999993E-2</v>
      </c>
      <c r="X5015">
        <v>0.92716509999999996</v>
      </c>
      <c r="Y5015">
        <v>0.6532403</v>
      </c>
      <c r="Z5015">
        <v>0.12124740000000001</v>
      </c>
      <c r="AA5015">
        <v>0.74737949999999997</v>
      </c>
      <c r="AB5015">
        <v>24</v>
      </c>
      <c r="AC5015">
        <v>-8.3272999999999993</v>
      </c>
      <c r="AD5015">
        <v>-1.1112375258310001</v>
      </c>
      <c r="AE5015">
        <v>-2.0751000000000199</v>
      </c>
      <c r="AF5015">
        <v>5.6920780666549797</v>
      </c>
      <c r="AG5015">
        <v>-1.1112375258310001</v>
      </c>
      <c r="AH5015">
        <v>6.2322762303889103</v>
      </c>
      <c r="AI5015">
        <v>97.500217385476205</v>
      </c>
      <c r="AJ5015">
        <v>47.593845061085098</v>
      </c>
      <c r="AK5015">
        <v>8.5132760185242606</v>
      </c>
      <c r="AL5015">
        <v>94.478478143330506</v>
      </c>
      <c r="AM5015">
        <v>68.435541604187407</v>
      </c>
      <c r="AN5015">
        <v>0.99999998879440199</v>
      </c>
    </row>
    <row r="5016" spans="1:40" x14ac:dyDescent="0.25">
      <c r="A5016" t="str">
        <f>"20190303154238213"</f>
        <v>20190303154238213</v>
      </c>
      <c r="B5016" t="str">
        <f>"1551598958205549"</f>
        <v>1551598958205549</v>
      </c>
      <c r="C5016" t="s">
        <v>40</v>
      </c>
      <c r="D5016">
        <v>5.9595089999999997</v>
      </c>
      <c r="E5016">
        <v>0.64101070000000004</v>
      </c>
      <c r="F5016" t="s">
        <v>57</v>
      </c>
      <c r="G5016">
        <v>-204.41120000000001</v>
      </c>
      <c r="H5016" s="1">
        <v>-9.4614760000000001E-6</v>
      </c>
      <c r="I5016">
        <v>145.8723</v>
      </c>
      <c r="J5016">
        <v>-196.0883</v>
      </c>
      <c r="K5016">
        <v>1.1111869999999999</v>
      </c>
      <c r="L5016">
        <v>147.7929</v>
      </c>
      <c r="M5016">
        <v>-0.56590039999999997</v>
      </c>
      <c r="N5016">
        <v>-1.5700849999999999E-2</v>
      </c>
      <c r="O5016">
        <v>-0.82432430000000001</v>
      </c>
      <c r="P5016">
        <v>-0.82826390000000005</v>
      </c>
      <c r="Q5016">
        <v>-8.4062960000000006E-2</v>
      </c>
      <c r="R5016">
        <v>-0.55399670000000001</v>
      </c>
      <c r="S5016">
        <v>-3.0874329999999999</v>
      </c>
      <c r="T5016">
        <v>-0.40499570000000001</v>
      </c>
      <c r="U5016">
        <v>-0.77024840000000006</v>
      </c>
      <c r="V5016">
        <v>0.36753629999999998</v>
      </c>
      <c r="W5016">
        <v>-7.8295770000000001E-2</v>
      </c>
      <c r="X5016">
        <v>0.92670750000000002</v>
      </c>
      <c r="Y5016">
        <v>0.65428509999999995</v>
      </c>
      <c r="Z5016">
        <v>0.12153849999999999</v>
      </c>
      <c r="AA5016">
        <v>0.74641769999999996</v>
      </c>
      <c r="AB5016">
        <v>24</v>
      </c>
      <c r="AC5016">
        <v>-8.3229000000000006</v>
      </c>
      <c r="AD5016">
        <v>-1.1111964614759999</v>
      </c>
      <c r="AE5016">
        <v>-1.9206000000000001</v>
      </c>
      <c r="AF5016">
        <v>5.6785087117096804</v>
      </c>
      <c r="AG5016">
        <v>-1.1111964614759999</v>
      </c>
      <c r="AH5016">
        <v>6.1891597084304903</v>
      </c>
      <c r="AI5016">
        <v>97.536102592272499</v>
      </c>
      <c r="AJ5016">
        <v>47.463846226290698</v>
      </c>
      <c r="AK5016">
        <v>8.4726570012847109</v>
      </c>
      <c r="AL5016">
        <v>94.490613361729501</v>
      </c>
      <c r="AM5016">
        <v>68.366503725707702</v>
      </c>
      <c r="AN5016">
        <v>0.99999997498691595</v>
      </c>
    </row>
    <row r="5017" spans="1:40" x14ac:dyDescent="0.25">
      <c r="A5017" t="str">
        <f>"20190303154238236"</f>
        <v>20190303154238236</v>
      </c>
      <c r="B5017" t="str">
        <f>"1551598958225075"</f>
        <v>1551598958225075</v>
      </c>
      <c r="C5017" t="s">
        <v>40</v>
      </c>
      <c r="D5017">
        <v>6.1501000000000001</v>
      </c>
      <c r="E5017">
        <v>0.64132060000000002</v>
      </c>
      <c r="F5017" t="s">
        <v>57</v>
      </c>
      <c r="G5017">
        <v>-204.63740000000001</v>
      </c>
      <c r="H5017" s="1">
        <v>-9.3613729999999993E-6</v>
      </c>
      <c r="I5017">
        <v>145.81559999999999</v>
      </c>
      <c r="J5017">
        <v>-196.24789999999999</v>
      </c>
      <c r="K5017">
        <v>1.1111599999999999</v>
      </c>
      <c r="L5017">
        <v>147.59229999999999</v>
      </c>
      <c r="M5017">
        <v>-0.57907739999999996</v>
      </c>
      <c r="N5017">
        <v>-1.572602E-2</v>
      </c>
      <c r="O5017">
        <v>-0.81512119999999999</v>
      </c>
      <c r="P5017">
        <v>-0.83809709999999904</v>
      </c>
      <c r="Q5017">
        <v>-8.3700940000000001E-2</v>
      </c>
      <c r="R5017">
        <v>-0.53906209999999999</v>
      </c>
      <c r="S5017">
        <v>-3.1013489999999999</v>
      </c>
      <c r="T5017">
        <v>-0.40310839999999998</v>
      </c>
      <c r="U5017">
        <v>-0.71730039999999995</v>
      </c>
      <c r="V5017">
        <v>0.36928060000000001</v>
      </c>
      <c r="W5017">
        <v>-7.7988009999999997E-2</v>
      </c>
      <c r="X5017">
        <v>0.92603979999999997</v>
      </c>
      <c r="Y5017">
        <v>0.65514669999999997</v>
      </c>
      <c r="Z5017">
        <v>0.1206178</v>
      </c>
      <c r="AA5017">
        <v>0.745811</v>
      </c>
      <c r="AB5017">
        <v>24</v>
      </c>
      <c r="AC5017">
        <v>-8.3895000000000195</v>
      </c>
      <c r="AD5017">
        <v>-1.11116936137299</v>
      </c>
      <c r="AE5017">
        <v>-1.7766999999999999</v>
      </c>
      <c r="AF5017">
        <v>5.71438846701031</v>
      </c>
      <c r="AG5017">
        <v>-1.11116936137299</v>
      </c>
      <c r="AH5017">
        <v>6.2030290003378896</v>
      </c>
      <c r="AI5017">
        <v>97.505452301873802</v>
      </c>
      <c r="AJ5017">
        <v>47.347938785489902</v>
      </c>
      <c r="AK5017">
        <v>8.5068502796621193</v>
      </c>
      <c r="AL5017">
        <v>94.472925810777198</v>
      </c>
      <c r="AM5017">
        <v>68.259171558184207</v>
      </c>
      <c r="AN5017">
        <v>1.00000000121208</v>
      </c>
    </row>
    <row r="5018" spans="1:40" x14ac:dyDescent="0.25">
      <c r="A5018" t="str">
        <f>"20190303154238258"</f>
        <v>20190303154238258</v>
      </c>
      <c r="B5018" t="str">
        <f>"1551598958255325"</f>
        <v>1551598958255325</v>
      </c>
      <c r="C5018" t="s">
        <v>40</v>
      </c>
      <c r="D5018">
        <v>6.1235589999999904</v>
      </c>
      <c r="E5018">
        <v>0.64157900000000001</v>
      </c>
      <c r="F5018" t="s">
        <v>57</v>
      </c>
      <c r="G5018">
        <v>-204.88939999999999</v>
      </c>
      <c r="H5018" s="1">
        <v>-9.2526289999999995E-6</v>
      </c>
      <c r="I5018">
        <v>145.76310000000001</v>
      </c>
      <c r="J5018">
        <v>-196.3954</v>
      </c>
      <c r="K5018">
        <v>1.1111439999999999</v>
      </c>
      <c r="L5018">
        <v>147.41329999999999</v>
      </c>
      <c r="M5018">
        <v>-0.59094239999999998</v>
      </c>
      <c r="N5018">
        <v>-1.5746929999999999E-2</v>
      </c>
      <c r="O5018">
        <v>-0.80656019999999995</v>
      </c>
      <c r="P5018">
        <v>-0.84717439999999999</v>
      </c>
      <c r="Q5018">
        <v>-8.3536860000000004E-2</v>
      </c>
      <c r="R5018">
        <v>-0.52470680000000003</v>
      </c>
      <c r="S5018">
        <v>-3.1153559999999998</v>
      </c>
      <c r="T5018">
        <v>-0.40059090000000003</v>
      </c>
      <c r="U5018">
        <v>-0.65945430000000005</v>
      </c>
      <c r="V5018">
        <v>0.37151450000000003</v>
      </c>
      <c r="W5018">
        <v>-7.7888769999999996E-2</v>
      </c>
      <c r="X5018">
        <v>0.92515420000000004</v>
      </c>
      <c r="Y5018">
        <v>0.65821180000000001</v>
      </c>
      <c r="Z5018">
        <v>0.119647699999999</v>
      </c>
      <c r="AA5018">
        <v>0.74326419999999904</v>
      </c>
      <c r="AB5018">
        <v>24</v>
      </c>
      <c r="AC5018">
        <v>-8.4939999999999998</v>
      </c>
      <c r="AD5018">
        <v>-1.111153252629</v>
      </c>
      <c r="AE5018">
        <v>-1.6501999999999799</v>
      </c>
      <c r="AF5018">
        <v>5.7811433101349703</v>
      </c>
      <c r="AG5018">
        <v>-1.111153252629</v>
      </c>
      <c r="AH5018">
        <v>6.2482013077296603</v>
      </c>
      <c r="AI5018">
        <v>97.436933928425105</v>
      </c>
      <c r="AJ5018">
        <v>47.223480822179198</v>
      </c>
      <c r="AK5018">
        <v>8.5846548623145598</v>
      </c>
      <c r="AL5018">
        <v>94.467222483656499</v>
      </c>
      <c r="AM5018">
        <v>68.121068158934705</v>
      </c>
      <c r="AN5018">
        <v>0.99999998899000098</v>
      </c>
    </row>
    <row r="5019" spans="1:40" x14ac:dyDescent="0.25">
      <c r="A5019" t="str">
        <f>"20190303154238281"</f>
        <v>20190303154238281</v>
      </c>
      <c r="B5019" t="str">
        <f>"1551598958274846"</f>
        <v>1551598958274846</v>
      </c>
      <c r="C5019" t="s">
        <v>40</v>
      </c>
      <c r="D5019">
        <v>6.1375669999999998</v>
      </c>
      <c r="E5019">
        <v>0.64159650000000001</v>
      </c>
      <c r="F5019" t="s">
        <v>57</v>
      </c>
      <c r="G5019">
        <v>-205.09360000000001</v>
      </c>
      <c r="H5019" s="1">
        <v>-9.1583130000000006E-6</v>
      </c>
      <c r="I5019">
        <v>145.73159999999999</v>
      </c>
      <c r="J5019">
        <v>-196.5564</v>
      </c>
      <c r="K5019">
        <v>1.111129</v>
      </c>
      <c r="L5019">
        <v>147.22399999999999</v>
      </c>
      <c r="M5019">
        <v>-0.60357269999999996</v>
      </c>
      <c r="N5019">
        <v>-1.5767030000000001E-2</v>
      </c>
      <c r="O5019">
        <v>-0.79715219999999998</v>
      </c>
      <c r="P5019">
        <v>-0.85652329999999999</v>
      </c>
      <c r="Q5019">
        <v>-8.3950010000000005E-2</v>
      </c>
      <c r="R5019">
        <v>-0.5092354</v>
      </c>
      <c r="S5019">
        <v>-3.127335</v>
      </c>
      <c r="T5019">
        <v>-0.3994992</v>
      </c>
      <c r="U5019">
        <v>-0.60462950000000004</v>
      </c>
      <c r="V5019">
        <v>0.37369570000000002</v>
      </c>
      <c r="W5019">
        <v>-7.8360159999999998E-2</v>
      </c>
      <c r="X5019">
        <v>0.92423549999999999</v>
      </c>
      <c r="Y5019">
        <v>0.65958939999999999</v>
      </c>
      <c r="Z5019">
        <v>0.1189962</v>
      </c>
      <c r="AA5019">
        <v>0.74214669999999905</v>
      </c>
      <c r="AB5019">
        <v>24</v>
      </c>
      <c r="AC5019">
        <v>-8.5372000000000092</v>
      </c>
      <c r="AD5019">
        <v>-1.111138158313</v>
      </c>
      <c r="AE5019">
        <v>-1.4923999999999999</v>
      </c>
      <c r="AF5019">
        <v>5.8099096247928097</v>
      </c>
      <c r="AG5019">
        <v>-1.111138158313</v>
      </c>
      <c r="AH5019">
        <v>6.2406979108289002</v>
      </c>
      <c r="AI5019">
        <v>97.424699966546498</v>
      </c>
      <c r="AJ5019">
        <v>47.047352754739002</v>
      </c>
      <c r="AK5019">
        <v>8.5986038558212297</v>
      </c>
      <c r="AL5019">
        <v>94.494313780771506</v>
      </c>
      <c r="AM5019">
        <v>67.985062472407094</v>
      </c>
      <c r="AN5019">
        <v>1.0000000251669801</v>
      </c>
    </row>
    <row r="5020" spans="1:40" x14ac:dyDescent="0.25">
      <c r="A5020" t="str">
        <f>"20190303154238303"</f>
        <v>20190303154238303</v>
      </c>
      <c r="B5020" t="str">
        <f>"1551598958295341"</f>
        <v>1551598958295341</v>
      </c>
      <c r="C5020" t="s">
        <v>40</v>
      </c>
      <c r="D5020">
        <v>5.7253109999999996</v>
      </c>
      <c r="E5020">
        <v>0.64162580000000002</v>
      </c>
      <c r="F5020" t="s">
        <v>57</v>
      </c>
      <c r="G5020">
        <v>-205.25319999999999</v>
      </c>
      <c r="H5020" s="1">
        <v>-9.0809359999999999E-6</v>
      </c>
      <c r="I5020">
        <v>145.7064</v>
      </c>
      <c r="J5020">
        <v>-196.7166</v>
      </c>
      <c r="K5020">
        <v>1.1111200000000001</v>
      </c>
      <c r="L5020">
        <v>147.04140000000001</v>
      </c>
      <c r="M5020">
        <v>-0.61582550000000003</v>
      </c>
      <c r="N5020">
        <v>-1.5783910000000002E-2</v>
      </c>
      <c r="O5020">
        <v>-0.78772449999999905</v>
      </c>
      <c r="P5020">
        <v>-0.86555459999999995</v>
      </c>
      <c r="Q5020">
        <v>-8.4889210000000007E-2</v>
      </c>
      <c r="R5020">
        <v>-0.49356749999999999</v>
      </c>
      <c r="S5020">
        <v>-3.1377259999999998</v>
      </c>
      <c r="T5020">
        <v>-0.40088859999999998</v>
      </c>
      <c r="U5020">
        <v>-0.54751590000000006</v>
      </c>
      <c r="V5020">
        <v>0.37612050000000002</v>
      </c>
      <c r="W5020">
        <v>-7.9363050000000004E-2</v>
      </c>
      <c r="X5020">
        <v>0.92316569999999998</v>
      </c>
      <c r="Y5020">
        <v>0.66151090000000001</v>
      </c>
      <c r="Z5020">
        <v>0.1191918</v>
      </c>
      <c r="AA5020">
        <v>0.74040299999999903</v>
      </c>
      <c r="AB5020">
        <v>24</v>
      </c>
      <c r="AC5020">
        <v>-8.5365999999999893</v>
      </c>
      <c r="AD5020">
        <v>-1.1111290809359999</v>
      </c>
      <c r="AE5020">
        <v>-1.335</v>
      </c>
      <c r="AF5020">
        <v>5.8070637067368596</v>
      </c>
      <c r="AG5020">
        <v>-1.1111290809359999</v>
      </c>
      <c r="AH5020">
        <v>6.2068098234189897</v>
      </c>
      <c r="AI5020">
        <v>97.447715483715797</v>
      </c>
      <c r="AJ5020">
        <v>46.905739923115298</v>
      </c>
      <c r="AK5020">
        <v>8.5721108784646791</v>
      </c>
      <c r="AL5020">
        <v>94.551954701901906</v>
      </c>
      <c r="AM5020">
        <v>67.832804878389496</v>
      </c>
      <c r="AN5020">
        <v>1.0000000169410199</v>
      </c>
    </row>
    <row r="5021" spans="1:40" x14ac:dyDescent="0.25">
      <c r="A5021" t="str">
        <f>"20190303154238447"</f>
        <v>20190303154238447</v>
      </c>
      <c r="B5021" t="str">
        <f>"1551598958435455"</f>
        <v>1551598958435455</v>
      </c>
      <c r="C5021" t="s">
        <v>40</v>
      </c>
      <c r="D5021">
        <v>5.9096729999999997</v>
      </c>
      <c r="E5021">
        <v>0.62845569999999995</v>
      </c>
      <c r="F5021" t="s">
        <v>57</v>
      </c>
      <c r="G5021">
        <v>-205.3853</v>
      </c>
      <c r="H5021" s="1">
        <v>-9.0185589999999999E-6</v>
      </c>
      <c r="I5021">
        <v>145.69200000000001</v>
      </c>
      <c r="J5021">
        <v>-197.80009999999999</v>
      </c>
      <c r="K5021">
        <v>1.1111169999999999</v>
      </c>
      <c r="L5021">
        <v>145.94280000000001</v>
      </c>
      <c r="M5021">
        <v>-0.69105169999999905</v>
      </c>
      <c r="N5021">
        <v>-1.585632E-2</v>
      </c>
      <c r="O5021">
        <v>-0.72263140000000003</v>
      </c>
      <c r="P5021">
        <v>-0.91455500000000001</v>
      </c>
      <c r="Q5021">
        <v>-8.9122709999999994E-2</v>
      </c>
      <c r="R5021">
        <v>-0.3945205</v>
      </c>
      <c r="S5021">
        <v>-3.1470790000000002</v>
      </c>
      <c r="T5021">
        <v>-0.40338750000000001</v>
      </c>
      <c r="U5021">
        <v>-0.48988340000000002</v>
      </c>
      <c r="V5021">
        <v>0.3864031</v>
      </c>
      <c r="W5021">
        <v>-8.3849019999999996E-2</v>
      </c>
      <c r="X5021">
        <v>0.91851070000000001</v>
      </c>
      <c r="Y5021">
        <v>0.59940450000000001</v>
      </c>
      <c r="Z5021">
        <v>0.11239440000000001</v>
      </c>
      <c r="AA5021">
        <v>0.79251609999999995</v>
      </c>
      <c r="AB5021">
        <v>23</v>
      </c>
      <c r="AC5021">
        <v>-7.5852000000000102</v>
      </c>
      <c r="AD5021">
        <v>-1.111126018559</v>
      </c>
      <c r="AE5021">
        <v>-0.25079999999999802</v>
      </c>
      <c r="AF5021">
        <v>5.1972535598596403</v>
      </c>
      <c r="AG5021">
        <v>-1.111126018559</v>
      </c>
      <c r="AH5021">
        <v>5.3098675507063096</v>
      </c>
      <c r="AI5021">
        <v>98.505224317768594</v>
      </c>
      <c r="AJ5021">
        <v>45.614065382318202</v>
      </c>
      <c r="AK5021">
        <v>7.5127051719494702</v>
      </c>
      <c r="AL5021">
        <v>94.809842482877102</v>
      </c>
      <c r="AM5021">
        <v>67.184270373655195</v>
      </c>
      <c r="AN5021">
        <v>0.99999995992952895</v>
      </c>
    </row>
    <row r="5022" spans="1:40" x14ac:dyDescent="0.25">
      <c r="A5022" t="str">
        <f>"20190303154238468"</f>
        <v>20190303154238468</v>
      </c>
      <c r="B5022" t="str">
        <f>"1551598958464735"</f>
        <v>1551598958464735</v>
      </c>
      <c r="C5022" t="s">
        <v>40</v>
      </c>
      <c r="D5022">
        <v>5.9373680000000002</v>
      </c>
      <c r="E5022">
        <v>0.62643579999999999</v>
      </c>
      <c r="F5022" t="s">
        <v>41</v>
      </c>
      <c r="G5022">
        <v>-216.3237</v>
      </c>
      <c r="H5022" s="1">
        <v>-3.0153569999999998E-6</v>
      </c>
      <c r="I5022">
        <v>144.49119999999999</v>
      </c>
      <c r="J5022">
        <v>-197.9716</v>
      </c>
      <c r="K5022">
        <v>1.1111169999999999</v>
      </c>
      <c r="L5022">
        <v>145.78819999999999</v>
      </c>
      <c r="M5022">
        <v>-0.70186819999999905</v>
      </c>
      <c r="N5022">
        <v>-1.5864090000000001E-2</v>
      </c>
      <c r="O5022">
        <v>-0.71213019999999905</v>
      </c>
      <c r="P5022">
        <v>-0.92076279999999999</v>
      </c>
      <c r="Q5022">
        <v>-8.9844530000000006E-2</v>
      </c>
      <c r="R5022">
        <v>-0.37963730000000001</v>
      </c>
      <c r="S5022">
        <v>-3.1551819999999999</v>
      </c>
      <c r="T5022">
        <v>-0.18926000000000001</v>
      </c>
      <c r="U5022">
        <v>-0.24726870000000001</v>
      </c>
      <c r="V5022">
        <v>0.38738159999999999</v>
      </c>
      <c r="W5022">
        <v>-8.4593959999999996E-2</v>
      </c>
      <c r="X5022">
        <v>0.91803009999999996</v>
      </c>
      <c r="Y5022">
        <v>0.65333459999999999</v>
      </c>
      <c r="Z5022">
        <v>5.1001829999999998E-2</v>
      </c>
      <c r="AA5022">
        <v>0.75534950000000001</v>
      </c>
      <c r="AB5022">
        <v>23</v>
      </c>
      <c r="AC5022">
        <v>-18.3521</v>
      </c>
      <c r="AD5022">
        <v>-1.111120015357</v>
      </c>
      <c r="AE5022">
        <v>-1.2969999999999899</v>
      </c>
      <c r="AF5022">
        <v>12.1160989084267</v>
      </c>
      <c r="AG5022">
        <v>-1.111120015357</v>
      </c>
      <c r="AH5022">
        <v>13.755951405858999</v>
      </c>
      <c r="AI5022">
        <v>93.4686948505109</v>
      </c>
      <c r="AJ5022">
        <v>48.626736464371596</v>
      </c>
      <c r="AK5022">
        <v>18.3646573484958</v>
      </c>
      <c r="AL5022">
        <v>94.852676622944699</v>
      </c>
      <c r="AM5022">
        <v>67.121691013158397</v>
      </c>
      <c r="AN5022">
        <v>0.99999995329652402</v>
      </c>
    </row>
    <row r="5023" spans="1:40" x14ac:dyDescent="0.25">
      <c r="A5023" t="str">
        <f>"20190303154238492"</f>
        <v>20190303154238492</v>
      </c>
      <c r="B5023" t="str">
        <f>"1551598958485231"</f>
        <v>1551598958485231</v>
      </c>
      <c r="C5023" t="s">
        <v>40</v>
      </c>
      <c r="D5023">
        <v>5.9564659999999998</v>
      </c>
      <c r="E5023">
        <v>0.62536630000000004</v>
      </c>
      <c r="F5023" t="s">
        <v>41</v>
      </c>
      <c r="G5023">
        <v>-213.9212</v>
      </c>
      <c r="H5023" s="1">
        <v>-4.1122740000000001E-6</v>
      </c>
      <c r="I5023">
        <v>144.72829999999999</v>
      </c>
      <c r="J5023">
        <v>-198.15469999999999</v>
      </c>
      <c r="K5023">
        <v>1.111119</v>
      </c>
      <c r="L5023">
        <v>145.62809999999999</v>
      </c>
      <c r="M5023">
        <v>-0.71312679999999995</v>
      </c>
      <c r="N5023">
        <v>-1.5871860000000002E-2</v>
      </c>
      <c r="O5023">
        <v>-0.70085549999999996</v>
      </c>
      <c r="P5023">
        <v>-0.92708749999999995</v>
      </c>
      <c r="Q5023">
        <v>-9.0409699999999996E-2</v>
      </c>
      <c r="R5023">
        <v>-0.36377920000000002</v>
      </c>
      <c r="S5023">
        <v>-3.1504210000000001</v>
      </c>
      <c r="T5023">
        <v>-0.21947230000000001</v>
      </c>
      <c r="U5023">
        <v>-0.2093506</v>
      </c>
      <c r="V5023">
        <v>0.38845390000000002</v>
      </c>
      <c r="W5023">
        <v>-8.5184700000000002E-2</v>
      </c>
      <c r="X5023">
        <v>0.91752230000000001</v>
      </c>
      <c r="Y5023">
        <v>0.64954889999999998</v>
      </c>
      <c r="Z5023">
        <v>6.0006329999999997E-2</v>
      </c>
      <c r="AA5023">
        <v>0.75794819999999996</v>
      </c>
      <c r="AB5023">
        <v>23</v>
      </c>
      <c r="AC5023">
        <v>-15.766500000000001</v>
      </c>
      <c r="AD5023">
        <v>-1.111123112274</v>
      </c>
      <c r="AE5023">
        <v>-0.89979999999999805</v>
      </c>
      <c r="AF5023">
        <v>10.3583987029676</v>
      </c>
      <c r="AG5023">
        <v>-1.111123112274</v>
      </c>
      <c r="AH5023">
        <v>11.817138589573799</v>
      </c>
      <c r="AI5023">
        <v>94.044509421803596</v>
      </c>
      <c r="AJ5023">
        <v>48.7635794096269</v>
      </c>
      <c r="AK5023">
        <v>15.753595865879801</v>
      </c>
      <c r="AL5023">
        <v>94.886645832444103</v>
      </c>
      <c r="AM5023">
        <v>67.053526819589095</v>
      </c>
      <c r="AN5023">
        <v>1.00000001826829</v>
      </c>
    </row>
    <row r="5024" spans="1:40" x14ac:dyDescent="0.25">
      <c r="A5024" t="str">
        <f>"20190303154238514"</f>
        <v>20190303154238514</v>
      </c>
      <c r="B5024" t="str">
        <f>"1551598958504751"</f>
        <v>1551598958504751</v>
      </c>
      <c r="C5024" t="s">
        <v>40</v>
      </c>
      <c r="D5024">
        <v>5.9904129999999904</v>
      </c>
      <c r="E5024">
        <v>0.6235598</v>
      </c>
      <c r="F5024" t="s">
        <v>41</v>
      </c>
      <c r="G5024">
        <v>-213.16079999999999</v>
      </c>
      <c r="H5024" s="1">
        <v>-4.4264370000000001E-6</v>
      </c>
      <c r="I5024">
        <v>144.85329999999999</v>
      </c>
      <c r="J5024">
        <v>-198.3383</v>
      </c>
      <c r="K5024">
        <v>1.1111169999999999</v>
      </c>
      <c r="L5024">
        <v>145.4726</v>
      </c>
      <c r="M5024">
        <v>-0.72411819999999905</v>
      </c>
      <c r="N5024">
        <v>-1.5879379999999998E-2</v>
      </c>
      <c r="O5024">
        <v>-0.68949320000000003</v>
      </c>
      <c r="P5024">
        <v>-0.93284999999999996</v>
      </c>
      <c r="Q5024">
        <v>-8.9755139999999997E-2</v>
      </c>
      <c r="R5024">
        <v>-0.34890559999999998</v>
      </c>
      <c r="S5024">
        <v>-3.1493989999999998</v>
      </c>
      <c r="T5024">
        <v>-0.2331964</v>
      </c>
      <c r="U5024">
        <v>-0.16259770000000001</v>
      </c>
      <c r="V5024">
        <v>0.38868140000000001</v>
      </c>
      <c r="W5024">
        <v>-8.4527099999999994E-2</v>
      </c>
      <c r="X5024">
        <v>0.91748669999999999</v>
      </c>
      <c r="Y5024">
        <v>0.64839789999999997</v>
      </c>
      <c r="Z5024">
        <v>6.3916819999999999E-2</v>
      </c>
      <c r="AA5024">
        <v>0.7586138</v>
      </c>
      <c r="AB5024">
        <v>23</v>
      </c>
      <c r="AC5024">
        <v>-14.8224999999999</v>
      </c>
      <c r="AD5024">
        <v>-1.111121426437</v>
      </c>
      <c r="AE5024">
        <v>-0.61930000000000895</v>
      </c>
      <c r="AF5024">
        <v>9.7182832858130297</v>
      </c>
      <c r="AG5024">
        <v>-1.111121426437</v>
      </c>
      <c r="AH5024">
        <v>11.0993895777523</v>
      </c>
      <c r="AI5024">
        <v>94.307191098683404</v>
      </c>
      <c r="AJ5024">
        <v>48.795610174512902</v>
      </c>
      <c r="AK5024">
        <v>14.794460782546899</v>
      </c>
      <c r="AL5024">
        <v>94.848832058433203</v>
      </c>
      <c r="AM5024">
        <v>67.040682278954606</v>
      </c>
      <c r="AN5024">
        <v>0.99999995300862798</v>
      </c>
    </row>
    <row r="5025" spans="1:40" x14ac:dyDescent="0.25">
      <c r="A5025" t="str">
        <f>"20190303154238536"</f>
        <v>20190303154238536</v>
      </c>
      <c r="B5025" t="str">
        <f>"1551598958535007"</f>
        <v>1551598958535007</v>
      </c>
      <c r="C5025" t="s">
        <v>40</v>
      </c>
      <c r="D5025">
        <v>5.6175369999999996</v>
      </c>
      <c r="E5025">
        <v>0.62436930000000002</v>
      </c>
      <c r="F5025" t="s">
        <v>41</v>
      </c>
      <c r="G5025">
        <v>-212.8</v>
      </c>
      <c r="H5025" s="1">
        <v>-4.5729669999999998E-6</v>
      </c>
      <c r="I5025">
        <v>144.8981</v>
      </c>
      <c r="J5025">
        <v>-198.524</v>
      </c>
      <c r="K5025">
        <v>1.111127</v>
      </c>
      <c r="L5025">
        <v>145.32060000000001</v>
      </c>
      <c r="M5025">
        <v>-0.73493459999999999</v>
      </c>
      <c r="N5025">
        <v>-1.5886250000000001E-2</v>
      </c>
      <c r="O5025">
        <v>-0.67795190000000005</v>
      </c>
      <c r="P5025">
        <v>-0.9383013</v>
      </c>
      <c r="Q5025">
        <v>-8.9263780000000001E-2</v>
      </c>
      <c r="R5025">
        <v>-0.334099599999999</v>
      </c>
      <c r="S5025">
        <v>-3.14595</v>
      </c>
      <c r="T5025">
        <v>-0.24171090000000001</v>
      </c>
      <c r="U5025">
        <v>-0.1249695</v>
      </c>
      <c r="V5025">
        <v>0.3887313</v>
      </c>
      <c r="W5025">
        <v>-8.4025849999999999E-2</v>
      </c>
      <c r="X5025">
        <v>0.91751159999999998</v>
      </c>
      <c r="Y5025">
        <v>0.64516680000000004</v>
      </c>
      <c r="Z5025">
        <v>6.6111509999999998E-2</v>
      </c>
      <c r="AA5025">
        <v>0.76117619999999997</v>
      </c>
      <c r="AB5025">
        <v>23</v>
      </c>
      <c r="AC5025">
        <v>-14.276</v>
      </c>
      <c r="AD5025">
        <v>-1.1111315729669999</v>
      </c>
      <c r="AE5025">
        <v>-0.42250000000001298</v>
      </c>
      <c r="AF5025">
        <v>9.3127479212594295</v>
      </c>
      <c r="AG5025">
        <v>-1.1111315729669999</v>
      </c>
      <c r="AH5025">
        <v>10.7148690961887</v>
      </c>
      <c r="AI5025">
        <v>94.4753565953595</v>
      </c>
      <c r="AJ5025">
        <v>49.004708109077598</v>
      </c>
      <c r="AK5025">
        <v>14.239743922059301</v>
      </c>
      <c r="AL5025">
        <v>94.820010017043103</v>
      </c>
      <c r="AM5025">
        <v>67.038598850161804</v>
      </c>
      <c r="AN5025">
        <v>0.999999951601235</v>
      </c>
    </row>
    <row r="5026" spans="1:40" x14ac:dyDescent="0.25">
      <c r="A5026" t="str">
        <f>"20190303154238558"</f>
        <v>20190303154238558</v>
      </c>
      <c r="B5026" t="str">
        <f>"1551598958555504"</f>
        <v>1551598958555504</v>
      </c>
      <c r="C5026" t="s">
        <v>40</v>
      </c>
      <c r="D5026">
        <v>5.6868410000000003</v>
      </c>
      <c r="E5026">
        <v>0.62342140000000001</v>
      </c>
      <c r="F5026" t="s">
        <v>41</v>
      </c>
      <c r="G5026">
        <v>-214.27330000000001</v>
      </c>
      <c r="H5026" s="1">
        <v>-4.01996699999999E-6</v>
      </c>
      <c r="I5026">
        <v>144.97030000000001</v>
      </c>
      <c r="J5026">
        <v>-198.70429999999999</v>
      </c>
      <c r="K5026">
        <v>1.1111249999999999</v>
      </c>
      <c r="L5026">
        <v>145.17789999999999</v>
      </c>
      <c r="M5026">
        <v>-0.74515629999999999</v>
      </c>
      <c r="N5026">
        <v>-1.589144E-2</v>
      </c>
      <c r="O5026">
        <v>-0.66670039999999997</v>
      </c>
      <c r="P5026">
        <v>-0.94311469999999997</v>
      </c>
      <c r="Q5026">
        <v>-8.9943389999999998E-2</v>
      </c>
      <c r="R5026">
        <v>-0.32007039999999998</v>
      </c>
      <c r="S5026">
        <v>-3.1511689999999999</v>
      </c>
      <c r="T5026">
        <v>-0.22231809999999999</v>
      </c>
      <c r="U5026">
        <v>-7.0098880000000002E-2</v>
      </c>
      <c r="V5026">
        <v>0.38840789999999997</v>
      </c>
      <c r="W5026">
        <v>-8.4683729999999999E-2</v>
      </c>
      <c r="X5026">
        <v>0.91758819999999996</v>
      </c>
      <c r="Y5026">
        <v>0.64738450000000003</v>
      </c>
      <c r="Z5026">
        <v>6.0038510000000003E-2</v>
      </c>
      <c r="AA5026">
        <v>0.759795199999999</v>
      </c>
      <c r="AB5026">
        <v>23</v>
      </c>
      <c r="AC5026">
        <v>-15.569000000000001</v>
      </c>
      <c r="AD5026">
        <v>-1.1111290199670001</v>
      </c>
      <c r="AE5026">
        <v>-0.20759999999998499</v>
      </c>
      <c r="AF5026">
        <v>10.174641816837701</v>
      </c>
      <c r="AG5026">
        <v>-1.1111290199670001</v>
      </c>
      <c r="AH5026">
        <v>11.681739668781001</v>
      </c>
      <c r="AI5026">
        <v>94.102520323312007</v>
      </c>
      <c r="AJ5026">
        <v>48.944563179792503</v>
      </c>
      <c r="AK5026">
        <v>15.5312905287721</v>
      </c>
      <c r="AL5026">
        <v>94.857838030229203</v>
      </c>
      <c r="AM5026">
        <v>67.0574399966887</v>
      </c>
      <c r="AN5026">
        <v>1.0000000678441701</v>
      </c>
    </row>
    <row r="5027" spans="1:40" x14ac:dyDescent="0.25">
      <c r="A5027" t="str">
        <f>"20190303154238582"</f>
        <v>20190303154238582</v>
      </c>
      <c r="B5027" t="str">
        <f>"1551598958575023"</f>
        <v>1551598958575023</v>
      </c>
      <c r="C5027" t="s">
        <v>40</v>
      </c>
      <c r="D5027">
        <v>6.2445149999999998</v>
      </c>
      <c r="E5027">
        <v>0.61947949999999996</v>
      </c>
      <c r="F5027" t="s">
        <v>41</v>
      </c>
      <c r="G5027">
        <v>-214.5146</v>
      </c>
      <c r="H5027" s="1">
        <v>-3.9370770000000004E-6</v>
      </c>
      <c r="I5027">
        <v>145.02529999999999</v>
      </c>
      <c r="J5027">
        <v>-198.90190000000001</v>
      </c>
      <c r="K5027">
        <v>1.1111409999999999</v>
      </c>
      <c r="L5027">
        <v>145.02670000000001</v>
      </c>
      <c r="M5027">
        <v>-0.75604349999999998</v>
      </c>
      <c r="N5027">
        <v>-1.5894999999999999E-2</v>
      </c>
      <c r="O5027">
        <v>-0.65432849999999998</v>
      </c>
      <c r="P5027">
        <v>-0.94797719999999996</v>
      </c>
      <c r="Q5027">
        <v>-9.1660870000000005E-2</v>
      </c>
      <c r="R5027">
        <v>-0.30485709999999999</v>
      </c>
      <c r="S5027">
        <v>-3.1495359999999999</v>
      </c>
      <c r="T5027">
        <v>-0.2213464</v>
      </c>
      <c r="U5027">
        <v>-3.041077E-2</v>
      </c>
      <c r="V5027">
        <v>0.3879011</v>
      </c>
      <c r="W5027">
        <v>-8.6370340000000004E-2</v>
      </c>
      <c r="X5027">
        <v>0.9176453</v>
      </c>
      <c r="Y5027">
        <v>0.64444239999999997</v>
      </c>
      <c r="Z5027">
        <v>5.9326730000000001E-2</v>
      </c>
      <c r="AA5027">
        <v>0.76234789999999997</v>
      </c>
      <c r="AB5027">
        <v>23</v>
      </c>
      <c r="AC5027">
        <v>-15.612699999999901</v>
      </c>
      <c r="AD5027">
        <v>-1.1111449370769999</v>
      </c>
      <c r="AE5027">
        <v>-1.40000000001805E-3</v>
      </c>
      <c r="AF5027">
        <v>10.164581356419699</v>
      </c>
      <c r="AG5027">
        <v>-1.1111449370769999</v>
      </c>
      <c r="AH5027">
        <v>11.7467883999436</v>
      </c>
      <c r="AI5027">
        <v>94.091385989783205</v>
      </c>
      <c r="AJ5027">
        <v>49.130125854379799</v>
      </c>
      <c r="AK5027">
        <v>15.573708451602499</v>
      </c>
      <c r="AL5027">
        <v>94.954829407632104</v>
      </c>
      <c r="AM5027">
        <v>67.085560896431801</v>
      </c>
      <c r="AN5027">
        <v>0.99999999781250704</v>
      </c>
    </row>
    <row r="5028" spans="1:40" x14ac:dyDescent="0.25">
      <c r="A5028" t="str">
        <f>"20190303154238606"</f>
        <v>20190303154238606</v>
      </c>
      <c r="B5028" t="str">
        <f>"1551598958594543"</f>
        <v>1551598958594543</v>
      </c>
      <c r="C5028" t="s">
        <v>40</v>
      </c>
      <c r="D5028">
        <v>6.1844839999999897</v>
      </c>
      <c r="E5028">
        <v>0.61607860000000003</v>
      </c>
      <c r="F5028" t="s">
        <v>41</v>
      </c>
      <c r="G5028">
        <v>-212.49080000000001</v>
      </c>
      <c r="H5028" s="1">
        <v>-4.7082309999999999E-6</v>
      </c>
      <c r="I5028">
        <v>144.9915</v>
      </c>
      <c r="J5028">
        <v>-199.09899999999999</v>
      </c>
      <c r="K5028">
        <v>1.111165</v>
      </c>
      <c r="L5028">
        <v>144.88079999999999</v>
      </c>
      <c r="M5028">
        <v>-0.76658110000000002</v>
      </c>
      <c r="N5028">
        <v>-1.5896460000000001E-2</v>
      </c>
      <c r="O5028">
        <v>-0.64195069999999999</v>
      </c>
      <c r="P5028">
        <v>-0.95266969999999995</v>
      </c>
      <c r="Q5028">
        <v>-9.1895679999999993E-2</v>
      </c>
      <c r="R5028">
        <v>-0.28978500000000001</v>
      </c>
      <c r="S5028">
        <v>-3.137238</v>
      </c>
      <c r="T5028">
        <v>-0.25652710000000001</v>
      </c>
      <c r="U5028">
        <v>-8.1176759999999903E-3</v>
      </c>
      <c r="V5028">
        <v>0.38752039999999999</v>
      </c>
      <c r="W5028">
        <v>-8.6570899999999895E-2</v>
      </c>
      <c r="X5028">
        <v>0.91778729999999997</v>
      </c>
      <c r="Y5028">
        <v>0.63645680000000004</v>
      </c>
      <c r="Z5028">
        <v>6.9107810000000006E-2</v>
      </c>
      <c r="AA5028">
        <v>0.76821019999999995</v>
      </c>
      <c r="AB5028">
        <v>23</v>
      </c>
      <c r="AC5028">
        <v>-13.3917999999999</v>
      </c>
      <c r="AD5028">
        <v>-1.1111697082309999</v>
      </c>
      <c r="AE5028">
        <v>0.110700000000008</v>
      </c>
      <c r="AF5028">
        <v>8.6234674891691991</v>
      </c>
      <c r="AG5028">
        <v>-1.1111697082309999</v>
      </c>
      <c r="AH5028">
        <v>10.126413066831599</v>
      </c>
      <c r="AI5028">
        <v>94.775528514447899</v>
      </c>
      <c r="AJ5028">
        <v>49.582894000505597</v>
      </c>
      <c r="AK5028">
        <v>13.347027056889701</v>
      </c>
      <c r="AL5028">
        <v>94.966363569923402</v>
      </c>
      <c r="AM5028">
        <v>67.108907567790595</v>
      </c>
      <c r="AN5028">
        <v>1.0000000545921199</v>
      </c>
    </row>
    <row r="5029" spans="1:40" x14ac:dyDescent="0.25">
      <c r="A5029" t="str">
        <f>"20190303154238626"</f>
        <v>20190303154238626</v>
      </c>
      <c r="B5029" t="str">
        <f>"1551598958615380"</f>
        <v>1551598958615380</v>
      </c>
      <c r="C5029" t="s">
        <v>40</v>
      </c>
      <c r="D5029">
        <v>6.2032179999999997</v>
      </c>
      <c r="E5029">
        <v>0.58616400000000002</v>
      </c>
      <c r="F5029" t="s">
        <v>41</v>
      </c>
      <c r="G5029">
        <v>-211.53960000000001</v>
      </c>
      <c r="H5029" s="1">
        <v>-5.065815E-6</v>
      </c>
      <c r="I5029">
        <v>144.94799999999901</v>
      </c>
      <c r="J5029">
        <v>-199.2801</v>
      </c>
      <c r="K5029">
        <v>1.1112029999999999</v>
      </c>
      <c r="L5029">
        <v>144.751</v>
      </c>
      <c r="M5029">
        <v>-0.77599619999999903</v>
      </c>
      <c r="N5029">
        <v>-1.5896090000000002E-2</v>
      </c>
      <c r="O5029">
        <v>-0.63053729999999997</v>
      </c>
      <c r="P5029">
        <v>-0.95669539999999997</v>
      </c>
      <c r="Q5029">
        <v>-9.1849799999999995E-2</v>
      </c>
      <c r="R5029">
        <v>-0.2762211</v>
      </c>
      <c r="S5029">
        <v>-3.1272280000000001</v>
      </c>
      <c r="T5029">
        <v>-0.2793175</v>
      </c>
      <c r="U5029">
        <v>1.6876220000000001E-2</v>
      </c>
      <c r="V5029">
        <v>0.38698959999999999</v>
      </c>
      <c r="W5029">
        <v>-8.6484370000000005E-2</v>
      </c>
      <c r="X5029">
        <v>0.91801940000000004</v>
      </c>
      <c r="Y5029">
        <v>0.63051140000000006</v>
      </c>
      <c r="Z5029">
        <v>7.51719E-2</v>
      </c>
      <c r="AA5029">
        <v>0.77253130000000003</v>
      </c>
      <c r="AB5029">
        <v>23</v>
      </c>
      <c r="AC5029">
        <v>-12.259499999999999</v>
      </c>
      <c r="AD5029">
        <v>-1.1112080658149901</v>
      </c>
      <c r="AE5029">
        <v>0.196999999999974</v>
      </c>
      <c r="AF5029">
        <v>7.8197112106628399</v>
      </c>
      <c r="AG5029">
        <v>-1.1112080658149901</v>
      </c>
      <c r="AH5029">
        <v>9.3137959661740606</v>
      </c>
      <c r="AI5029">
        <v>95.220804634291397</v>
      </c>
      <c r="AJ5029">
        <v>49.983728497971299</v>
      </c>
      <c r="AK5029">
        <v>12.2118574378846</v>
      </c>
      <c r="AL5029">
        <v>94.961387086102206</v>
      </c>
      <c r="AM5029">
        <v>67.142222677151807</v>
      </c>
      <c r="AN5029">
        <v>1.0000000577693999</v>
      </c>
    </row>
    <row r="5030" spans="1:40" x14ac:dyDescent="0.25">
      <c r="A5030" t="str">
        <f>"20190303154238649"</f>
        <v>20190303154238649</v>
      </c>
      <c r="B5030" t="str">
        <f>"1551598958644656"</f>
        <v>1551598958644656</v>
      </c>
      <c r="C5030" t="s">
        <v>40</v>
      </c>
      <c r="D5030">
        <v>6.1893469999999997</v>
      </c>
      <c r="E5030">
        <v>0.58562250000000005</v>
      </c>
      <c r="F5030" t="s">
        <v>57</v>
      </c>
      <c r="G5030">
        <v>-206.8271</v>
      </c>
      <c r="H5030" s="1">
        <v>-8.0264339999999996E-6</v>
      </c>
      <c r="I5030">
        <v>144.35579999999999</v>
      </c>
      <c r="J5030">
        <v>-199.47640000000001</v>
      </c>
      <c r="K5030">
        <v>1.1112390000000001</v>
      </c>
      <c r="L5030">
        <v>144.61490000000001</v>
      </c>
      <c r="M5030">
        <v>-0.78590329999999997</v>
      </c>
      <c r="N5030">
        <v>-1.5894140000000001E-2</v>
      </c>
      <c r="O5030">
        <v>-0.61814530000000001</v>
      </c>
      <c r="P5030">
        <v>-0.96082129999999999</v>
      </c>
      <c r="Q5030">
        <v>-9.0767829999999994E-2</v>
      </c>
      <c r="R5030">
        <v>-0.26188499999999998</v>
      </c>
      <c r="S5030">
        <v>-3.0466769999999999</v>
      </c>
      <c r="T5030">
        <v>-0.44859329999999997</v>
      </c>
      <c r="U5030">
        <v>-0.15954589999999999</v>
      </c>
      <c r="V5030">
        <v>0.38624730000000002</v>
      </c>
      <c r="W5030">
        <v>-8.5349480000000005E-2</v>
      </c>
      <c r="X5030">
        <v>0.91843810000000004</v>
      </c>
      <c r="Y5030">
        <v>0.56521769999999905</v>
      </c>
      <c r="Z5030">
        <v>0.12015140000000001</v>
      </c>
      <c r="AA5030">
        <v>0.81614500000000001</v>
      </c>
      <c r="AB5030">
        <v>23</v>
      </c>
      <c r="AC5030">
        <v>-7.3506999999999802</v>
      </c>
      <c r="AD5030">
        <v>-1.111247026434</v>
      </c>
      <c r="AE5030">
        <v>-0.25910000000001698</v>
      </c>
      <c r="AF5030">
        <v>4.24385193030386</v>
      </c>
      <c r="AG5030">
        <v>-1.111247026434</v>
      </c>
      <c r="AH5030">
        <v>5.8053391394147402</v>
      </c>
      <c r="AI5030">
        <v>98.784456288113205</v>
      </c>
      <c r="AJ5030">
        <v>53.832237749249103</v>
      </c>
      <c r="AK5030">
        <v>7.2764765981705004</v>
      </c>
      <c r="AL5030">
        <v>94.896121497206707</v>
      </c>
      <c r="AM5030">
        <v>67.190909838993605</v>
      </c>
      <c r="AN5030">
        <v>1.00000002701258</v>
      </c>
    </row>
    <row r="5031" spans="1:40" x14ac:dyDescent="0.25">
      <c r="A5031" t="str">
        <f>"20190303154238671"</f>
        <v>20190303154238671</v>
      </c>
      <c r="B5031" t="str">
        <f>"1551598958665152"</f>
        <v>1551598958665152</v>
      </c>
      <c r="C5031" t="s">
        <v>40</v>
      </c>
      <c r="D5031">
        <v>6.1990089999999904</v>
      </c>
      <c r="E5031">
        <v>0.58583750000000001</v>
      </c>
      <c r="F5031" t="s">
        <v>57</v>
      </c>
      <c r="G5031">
        <v>-207.24170000000001</v>
      </c>
      <c r="H5031" s="1">
        <v>-7.8313019999999995E-6</v>
      </c>
      <c r="I5031">
        <v>144.31319999999999</v>
      </c>
      <c r="J5031">
        <v>-199.66040000000001</v>
      </c>
      <c r="K5031">
        <v>1.111286</v>
      </c>
      <c r="L5031">
        <v>144.4914</v>
      </c>
      <c r="M5031">
        <v>-0.79492189999999996</v>
      </c>
      <c r="N5031">
        <v>-1.589113E-2</v>
      </c>
      <c r="O5031">
        <v>-0.60650369999999998</v>
      </c>
      <c r="P5031">
        <v>-0.96430439999999995</v>
      </c>
      <c r="Q5031">
        <v>-8.8660610000000001E-2</v>
      </c>
      <c r="R5031">
        <v>-0.2495127</v>
      </c>
      <c r="S5031">
        <v>-3.0488279999999999</v>
      </c>
      <c r="T5031">
        <v>-0.4362993</v>
      </c>
      <c r="U5031">
        <v>-0.118454</v>
      </c>
      <c r="V5031">
        <v>0.3847043</v>
      </c>
      <c r="W5031">
        <v>-8.3164550000000004E-2</v>
      </c>
      <c r="X5031">
        <v>0.91928580000000004</v>
      </c>
      <c r="Y5031">
        <v>0.56483879999999997</v>
      </c>
      <c r="Z5031">
        <v>0.11566559999999999</v>
      </c>
      <c r="AA5031">
        <v>0.81705479999999997</v>
      </c>
      <c r="AB5031">
        <v>23</v>
      </c>
      <c r="AC5031">
        <v>-7.5812999999999899</v>
      </c>
      <c r="AD5031">
        <v>-1.111293831302</v>
      </c>
      <c r="AE5031">
        <v>-0.17820000000000299</v>
      </c>
      <c r="AF5031">
        <v>4.3632928528550901</v>
      </c>
      <c r="AG5031">
        <v>-1.111293831302</v>
      </c>
      <c r="AH5031">
        <v>6.00640796612318</v>
      </c>
      <c r="AI5031">
        <v>98.513397456663895</v>
      </c>
      <c r="AJ5031">
        <v>54.003858471594398</v>
      </c>
      <c r="AK5031">
        <v>7.5066793693865899</v>
      </c>
      <c r="AL5031">
        <v>94.770487295122805</v>
      </c>
      <c r="AM5031">
        <v>67.291581297293803</v>
      </c>
      <c r="AN5031">
        <v>1.0000000614484099</v>
      </c>
    </row>
    <row r="5032" spans="1:40" x14ac:dyDescent="0.25">
      <c r="A5032" t="str">
        <f>"20190303154238694"</f>
        <v>20190303154238694</v>
      </c>
      <c r="B5032" t="str">
        <f>"1551598958684675"</f>
        <v>1551598958684675</v>
      </c>
      <c r="C5032" t="s">
        <v>40</v>
      </c>
      <c r="D5032">
        <v>6.1638219999999997</v>
      </c>
      <c r="E5032">
        <v>0.5857019</v>
      </c>
      <c r="F5032" t="s">
        <v>57</v>
      </c>
      <c r="G5032">
        <v>-207.60890000000001</v>
      </c>
      <c r="H5032" s="1">
        <v>-7.6621999999999992E-6</v>
      </c>
      <c r="I5032">
        <v>144.2895</v>
      </c>
      <c r="J5032">
        <v>-199.8699</v>
      </c>
      <c r="K5032">
        <v>1.1113329999999999</v>
      </c>
      <c r="L5032">
        <v>144.3553</v>
      </c>
      <c r="M5032">
        <v>-0.80488029999999999</v>
      </c>
      <c r="N5032">
        <v>-1.5886580000000001E-2</v>
      </c>
      <c r="O5032">
        <v>-0.59322430000000004</v>
      </c>
      <c r="P5032">
        <v>-0.96783980000000003</v>
      </c>
      <c r="Q5032">
        <v>-8.5967879999999997E-2</v>
      </c>
      <c r="R5032">
        <v>-0.2364231</v>
      </c>
      <c r="S5032">
        <v>-3.0517729999999998</v>
      </c>
      <c r="T5032">
        <v>-0.42667369999999999</v>
      </c>
      <c r="U5032">
        <v>-7.7514650000000004E-2</v>
      </c>
      <c r="V5032">
        <v>0.38211840000000002</v>
      </c>
      <c r="W5032">
        <v>-8.0358940000000004E-2</v>
      </c>
      <c r="X5032">
        <v>0.92061280000000001</v>
      </c>
      <c r="Y5032">
        <v>0.56277339999999998</v>
      </c>
      <c r="Z5032">
        <v>0.1116277</v>
      </c>
      <c r="AA5032">
        <v>0.81903930000000003</v>
      </c>
      <c r="AB5032">
        <v>23</v>
      </c>
      <c r="AC5032">
        <v>-7.7389999999999999</v>
      </c>
      <c r="AD5032">
        <v>-1.1113406621999999</v>
      </c>
      <c r="AE5032">
        <v>-6.5799999999995806E-2</v>
      </c>
      <c r="AF5032">
        <v>4.4468794281783</v>
      </c>
      <c r="AG5032">
        <v>-1.1113406621999999</v>
      </c>
      <c r="AH5032">
        <v>6.1421423666154196</v>
      </c>
      <c r="AI5032">
        <v>98.337821063007695</v>
      </c>
      <c r="AJ5032">
        <v>54.095655266666597</v>
      </c>
      <c r="AK5032">
        <v>7.6639237710187702</v>
      </c>
      <c r="AL5032">
        <v>94.609198005569894</v>
      </c>
      <c r="AM5032">
        <v>67.458147439387702</v>
      </c>
      <c r="AN5032">
        <v>0.99999997919016104</v>
      </c>
    </row>
    <row r="5033" spans="1:40" x14ac:dyDescent="0.25">
      <c r="A5033" t="str">
        <f>"20190303154238716"</f>
        <v>20190303154238716</v>
      </c>
      <c r="B5033" t="str">
        <f>"1551598958705168"</f>
        <v>1551598958705168</v>
      </c>
      <c r="C5033" t="s">
        <v>40</v>
      </c>
      <c r="D5033">
        <v>6.2182899999999997</v>
      </c>
      <c r="E5033">
        <v>0.58438780000000001</v>
      </c>
      <c r="F5033" t="s">
        <v>57</v>
      </c>
      <c r="G5033">
        <v>-208.1035</v>
      </c>
      <c r="H5033" s="1">
        <v>-7.433613E-6</v>
      </c>
      <c r="I5033">
        <v>144.2543</v>
      </c>
      <c r="J5033">
        <v>-200.06530000000001</v>
      </c>
      <c r="K5033">
        <v>1.1113770000000001</v>
      </c>
      <c r="L5033">
        <v>144.2329</v>
      </c>
      <c r="M5033">
        <v>-0.81387480000000001</v>
      </c>
      <c r="N5033">
        <v>-1.5881369999999999E-2</v>
      </c>
      <c r="O5033">
        <v>-0.58082339999999999</v>
      </c>
      <c r="P5033">
        <v>-0.97061209999999998</v>
      </c>
      <c r="Q5033">
        <v>-8.4558510000000003E-2</v>
      </c>
      <c r="R5033">
        <v>-0.22530459999999999</v>
      </c>
      <c r="S5033">
        <v>-3.053925</v>
      </c>
      <c r="T5033">
        <v>-0.41221049999999998</v>
      </c>
      <c r="U5033">
        <v>-3.7475590000000003E-2</v>
      </c>
      <c r="V5033">
        <v>0.37868950000000001</v>
      </c>
      <c r="W5033">
        <v>-7.8817490000000004E-2</v>
      </c>
      <c r="X5033">
        <v>0.92216160000000003</v>
      </c>
      <c r="Y5033">
        <v>0.56168969999999996</v>
      </c>
      <c r="Z5033">
        <v>0.106506</v>
      </c>
      <c r="AA5033">
        <v>0.82046399999999997</v>
      </c>
      <c r="AB5033">
        <v>23</v>
      </c>
      <c r="AC5033">
        <v>-8.0381999999999891</v>
      </c>
      <c r="AD5033">
        <v>-1.1113844336130001</v>
      </c>
      <c r="AE5033">
        <v>2.1399999999999801E-2</v>
      </c>
      <c r="AF5033">
        <v>4.5988679511171098</v>
      </c>
      <c r="AG5033">
        <v>-1.1113844336130001</v>
      </c>
      <c r="AH5033">
        <v>6.4079835605049702</v>
      </c>
      <c r="AI5033">
        <v>98.020485176558793</v>
      </c>
      <c r="AJ5033">
        <v>54.333833491075801</v>
      </c>
      <c r="AK5033">
        <v>7.96536346331989</v>
      </c>
      <c r="AL5033">
        <v>94.520598379494601</v>
      </c>
      <c r="AM5033">
        <v>67.674291248481794</v>
      </c>
      <c r="AN5033">
        <v>0.99999997532735396</v>
      </c>
    </row>
    <row r="5034" spans="1:40" x14ac:dyDescent="0.25">
      <c r="A5034" t="str">
        <f>"20190303154238738"</f>
        <v>20190303154238738</v>
      </c>
      <c r="B5034" t="str">
        <f>"1551598958734954"</f>
        <v>1551598958734954</v>
      </c>
      <c r="C5034" t="s">
        <v>40</v>
      </c>
      <c r="D5034">
        <v>6.2829119999999996</v>
      </c>
      <c r="E5034">
        <v>0.58258589999999999</v>
      </c>
      <c r="F5034" t="s">
        <v>57</v>
      </c>
      <c r="G5034">
        <v>-208.38419999999999</v>
      </c>
      <c r="H5034" s="1">
        <v>-7.294287E-6</v>
      </c>
      <c r="I5034">
        <v>144.19799999999901</v>
      </c>
      <c r="J5034">
        <v>-200.2653</v>
      </c>
      <c r="K5034">
        <v>1.1114120000000001</v>
      </c>
      <c r="L5034">
        <v>144.1122</v>
      </c>
      <c r="M5034">
        <v>-0.82279530000000001</v>
      </c>
      <c r="N5034">
        <v>-1.5875E-2</v>
      </c>
      <c r="O5034">
        <v>-0.56811630000000002</v>
      </c>
      <c r="P5034">
        <v>-0.97287129999999999</v>
      </c>
      <c r="Q5034">
        <v>-8.5186109999999995E-2</v>
      </c>
      <c r="R5034">
        <v>-0.21509339999999999</v>
      </c>
      <c r="S5034">
        <v>-3.0523530000000001</v>
      </c>
      <c r="T5034">
        <v>-0.4077868</v>
      </c>
      <c r="U5034">
        <v>-1.280212E-2</v>
      </c>
      <c r="V5034">
        <v>0.37402429999999998</v>
      </c>
      <c r="W5034">
        <v>-7.9281019999999994E-2</v>
      </c>
      <c r="X5034">
        <v>0.92402399999999996</v>
      </c>
      <c r="Y5034">
        <v>0.5558379</v>
      </c>
      <c r="Z5034">
        <v>0.1038307</v>
      </c>
      <c r="AA5034">
        <v>0.82478079999999998</v>
      </c>
      <c r="AB5034">
        <v>23</v>
      </c>
      <c r="AC5034">
        <v>-8.1188999999999893</v>
      </c>
      <c r="AD5034">
        <v>-1.111419294287</v>
      </c>
      <c r="AE5034">
        <v>8.5799999999977603E-2</v>
      </c>
      <c r="AF5034">
        <v>4.5975186212728003</v>
      </c>
      <c r="AG5034">
        <v>-1.111419294287</v>
      </c>
      <c r="AH5034">
        <v>6.51029626925886</v>
      </c>
      <c r="AI5034">
        <v>97.938706367560997</v>
      </c>
      <c r="AJ5034">
        <v>54.770570518592301</v>
      </c>
      <c r="AK5034">
        <v>8.0471353806301504</v>
      </c>
      <c r="AL5034">
        <v>94.547239928064002</v>
      </c>
      <c r="AM5034">
        <v>67.962995964468604</v>
      </c>
      <c r="AN5034">
        <v>1.00000000484936</v>
      </c>
    </row>
    <row r="5035" spans="1:40" x14ac:dyDescent="0.25">
      <c r="A5035" t="str">
        <f>"20190303154238759"</f>
        <v>20190303154238759</v>
      </c>
      <c r="B5035" t="str">
        <f>"1551598958755450"</f>
        <v>1551598958755450</v>
      </c>
      <c r="C5035" t="s">
        <v>40</v>
      </c>
      <c r="D5035">
        <v>6.229203</v>
      </c>
      <c r="E5035">
        <v>0.58133049999999997</v>
      </c>
      <c r="F5035" t="s">
        <v>57</v>
      </c>
      <c r="G5035">
        <v>-208.42959999999999</v>
      </c>
      <c r="H5035" s="1">
        <v>-7.2551350000000001E-6</v>
      </c>
      <c r="I5035">
        <v>144.126</v>
      </c>
      <c r="J5035">
        <v>-200.4537</v>
      </c>
      <c r="K5035">
        <v>1.1114580000000001</v>
      </c>
      <c r="L5035">
        <v>144.00219999999999</v>
      </c>
      <c r="M5035">
        <v>-0.83094449999999997</v>
      </c>
      <c r="N5035">
        <v>-1.5868400000000001E-2</v>
      </c>
      <c r="O5035">
        <v>-0.55612899999999998</v>
      </c>
      <c r="P5035">
        <v>-0.97492789999999996</v>
      </c>
      <c r="Q5035">
        <v>-8.4526790000000004E-2</v>
      </c>
      <c r="R5035">
        <v>-0.20584279999999999</v>
      </c>
      <c r="S5035">
        <v>-3.0484469999999999</v>
      </c>
      <c r="T5035">
        <v>-0.41499190000000002</v>
      </c>
      <c r="U5035">
        <v>5.1574709999999899E-3</v>
      </c>
      <c r="V5035">
        <v>0.36946279999999998</v>
      </c>
      <c r="W5035">
        <v>-7.8461530000000002E-2</v>
      </c>
      <c r="X5035">
        <v>0.92592719999999995</v>
      </c>
      <c r="Y5035">
        <v>0.5484755</v>
      </c>
      <c r="Z5035">
        <v>0.1042178</v>
      </c>
      <c r="AA5035">
        <v>0.82964649999999995</v>
      </c>
      <c r="AB5035">
        <v>23</v>
      </c>
      <c r="AC5035">
        <v>-7.9758999999999904</v>
      </c>
      <c r="AD5035">
        <v>-1.1114652551349999</v>
      </c>
      <c r="AE5035">
        <v>0.12380000000001699</v>
      </c>
      <c r="AF5035">
        <v>4.4526258512348598</v>
      </c>
      <c r="AG5035">
        <v>-1.1114652551349999</v>
      </c>
      <c r="AH5035">
        <v>6.4345826230345704</v>
      </c>
      <c r="AI5035">
        <v>98.084289109889497</v>
      </c>
      <c r="AJ5035">
        <v>55.317399875057902</v>
      </c>
      <c r="AK5035">
        <v>7.9034856561592903</v>
      </c>
      <c r="AL5035">
        <v>94.500139562157798</v>
      </c>
      <c r="AM5035">
        <v>68.247047756883703</v>
      </c>
      <c r="AN5035">
        <v>1.0000000759868</v>
      </c>
    </row>
    <row r="5036" spans="1:40" x14ac:dyDescent="0.25">
      <c r="A5036" t="str">
        <f>"20190303154238784"</f>
        <v>20190303154238784</v>
      </c>
      <c r="B5036" t="str">
        <f>"1551598958774970"</f>
        <v>1551598958774970</v>
      </c>
      <c r="C5036" t="s">
        <v>40</v>
      </c>
      <c r="D5036">
        <v>6.2560140000000004</v>
      </c>
      <c r="E5036">
        <v>0.58007810000000004</v>
      </c>
      <c r="F5036" t="s">
        <v>57</v>
      </c>
      <c r="G5036">
        <v>-208.60810000000001</v>
      </c>
      <c r="H5036" s="1">
        <v>-7.1604580000000004E-6</v>
      </c>
      <c r="I5036">
        <v>144.06729999999999</v>
      </c>
      <c r="J5036">
        <v>-200.6765</v>
      </c>
      <c r="K5036">
        <v>1.111521</v>
      </c>
      <c r="L5036">
        <v>143.87690000000001</v>
      </c>
      <c r="M5036">
        <v>-0.8402596</v>
      </c>
      <c r="N5036">
        <v>-1.585932E-2</v>
      </c>
      <c r="O5036">
        <v>-0.5419524</v>
      </c>
      <c r="P5036">
        <v>-0.97728720000000002</v>
      </c>
      <c r="Q5036">
        <v>-8.1649169999999993E-2</v>
      </c>
      <c r="R5036">
        <v>-0.19555829999999999</v>
      </c>
      <c r="S5036">
        <v>-3.0462950000000002</v>
      </c>
      <c r="T5036">
        <v>-0.41521859999999999</v>
      </c>
      <c r="U5036">
        <v>2.4337770000000002E-2</v>
      </c>
      <c r="V5036">
        <v>0.3637205</v>
      </c>
      <c r="W5036">
        <v>-7.5380119999999995E-2</v>
      </c>
      <c r="X5036">
        <v>0.92845310000000003</v>
      </c>
      <c r="Y5036">
        <v>0.53970589999999996</v>
      </c>
      <c r="Z5036">
        <v>0.1023517</v>
      </c>
      <c r="AA5036">
        <v>0.83560859999999904</v>
      </c>
      <c r="AB5036">
        <v>23</v>
      </c>
      <c r="AC5036">
        <v>-7.9316000000000004</v>
      </c>
      <c r="AD5036">
        <v>-1.1115281604580001</v>
      </c>
      <c r="AE5036">
        <v>0.190399999999982</v>
      </c>
      <c r="AF5036">
        <v>4.37325867309288</v>
      </c>
      <c r="AG5036">
        <v>-1.1115281604580001</v>
      </c>
      <c r="AH5036">
        <v>6.4359180443622597</v>
      </c>
      <c r="AI5036">
        <v>98.1296264072231</v>
      </c>
      <c r="AJ5036">
        <v>55.803573156983298</v>
      </c>
      <c r="AK5036">
        <v>7.8601480486706397</v>
      </c>
      <c r="AL5036">
        <v>94.323063569490301</v>
      </c>
      <c r="AM5036">
        <v>68.607291273535296</v>
      </c>
      <c r="AN5036">
        <v>0.99999996175553596</v>
      </c>
    </row>
    <row r="5037" spans="1:40" x14ac:dyDescent="0.25">
      <c r="A5037" t="str">
        <f>"20190303154238807"</f>
        <v>20190303154238807</v>
      </c>
      <c r="B5037" t="str">
        <f>"1551598958795467"</f>
        <v>1551598958795467</v>
      </c>
      <c r="C5037" t="s">
        <v>40</v>
      </c>
      <c r="D5037">
        <v>6.2775339999999904</v>
      </c>
      <c r="E5037">
        <v>0.56821499999999903</v>
      </c>
      <c r="F5037" t="s">
        <v>57</v>
      </c>
      <c r="G5037">
        <v>-208.9331</v>
      </c>
      <c r="H5037" s="1">
        <v>-6.9993229999999996E-6</v>
      </c>
      <c r="I5037">
        <v>144.00290000000001</v>
      </c>
      <c r="J5037">
        <v>-200.88839999999999</v>
      </c>
      <c r="K5037">
        <v>1.111585</v>
      </c>
      <c r="L5037">
        <v>143.76220000000001</v>
      </c>
      <c r="M5037">
        <v>-0.84880599999999995</v>
      </c>
      <c r="N5037">
        <v>-1.584851E-2</v>
      </c>
      <c r="O5037">
        <v>-0.52846709999999997</v>
      </c>
      <c r="P5037">
        <v>-0.97915339999999995</v>
      </c>
      <c r="Q5037">
        <v>-7.8055399999999997E-2</v>
      </c>
      <c r="R5037">
        <v>-0.1875261</v>
      </c>
      <c r="S5037">
        <v>-3.0447690000000001</v>
      </c>
      <c r="T5037">
        <v>-0.40989399999999998</v>
      </c>
      <c r="U5037">
        <v>4.6447750000000003E-2</v>
      </c>
      <c r="V5037">
        <v>0.35676799999999997</v>
      </c>
      <c r="W5037">
        <v>-7.1543079999999995E-2</v>
      </c>
      <c r="X5037">
        <v>0.93144950000000004</v>
      </c>
      <c r="Y5037">
        <v>0.53275469999999903</v>
      </c>
      <c r="Z5037">
        <v>9.9250379999999999E-2</v>
      </c>
      <c r="AA5037">
        <v>0.84042950000000005</v>
      </c>
      <c r="AB5037">
        <v>23</v>
      </c>
      <c r="AC5037">
        <v>-8.0447000000000006</v>
      </c>
      <c r="AD5037">
        <v>-1.1115919993229999</v>
      </c>
      <c r="AE5037">
        <v>0.24070000000000299</v>
      </c>
      <c r="AF5037">
        <v>4.3728111284068403</v>
      </c>
      <c r="AG5037">
        <v>-1.1115919993229999</v>
      </c>
      <c r="AH5037">
        <v>6.5765750592267898</v>
      </c>
      <c r="AI5037">
        <v>98.011739632675003</v>
      </c>
      <c r="AJ5037">
        <v>56.379786628100597</v>
      </c>
      <c r="AK5037">
        <v>7.9754907966420099</v>
      </c>
      <c r="AL5037">
        <v>94.102621466519295</v>
      </c>
      <c r="AM5037">
        <v>69.041934859982504</v>
      </c>
      <c r="AN5037">
        <v>0.99999999458506805</v>
      </c>
    </row>
    <row r="5038" spans="1:40" x14ac:dyDescent="0.25">
      <c r="A5038" t="str">
        <f>"20190303154238829"</f>
        <v>20190303154238829</v>
      </c>
      <c r="B5038" t="str">
        <f>"1551598958825252"</f>
        <v>1551598958825252</v>
      </c>
      <c r="C5038" t="s">
        <v>40</v>
      </c>
      <c r="D5038">
        <v>6.219741</v>
      </c>
      <c r="E5038">
        <v>0.56646129999999995</v>
      </c>
      <c r="F5038" t="s">
        <v>57</v>
      </c>
      <c r="G5038">
        <v>-208.82730000000001</v>
      </c>
      <c r="H5038" s="1">
        <v>-6.9683249999999999E-6</v>
      </c>
      <c r="I5038">
        <v>143.70769999999999</v>
      </c>
      <c r="J5038">
        <v>-201.09100000000001</v>
      </c>
      <c r="K5038">
        <v>1.1116520000000001</v>
      </c>
      <c r="L5038">
        <v>143.65639999999999</v>
      </c>
      <c r="M5038">
        <v>-0.85668659999999996</v>
      </c>
      <c r="N5038">
        <v>-1.5834190000000001E-2</v>
      </c>
      <c r="O5038">
        <v>-0.51559409999999894</v>
      </c>
      <c r="P5038">
        <v>-0.98056399999999999</v>
      </c>
      <c r="Q5038">
        <v>-7.8202190000000005E-2</v>
      </c>
      <c r="R5038">
        <v>-0.1799405</v>
      </c>
      <c r="S5038">
        <v>-3.0261079999999998</v>
      </c>
      <c r="T5038">
        <v>-0.42370930000000001</v>
      </c>
      <c r="U5038">
        <v>-2.0782470000000001E-2</v>
      </c>
      <c r="V5038">
        <v>0.34992079999999998</v>
      </c>
      <c r="W5038">
        <v>-7.1448369999999997E-2</v>
      </c>
      <c r="X5038">
        <v>0.93405059999999995</v>
      </c>
      <c r="Y5038">
        <v>0.50080499999999994</v>
      </c>
      <c r="Z5038">
        <v>9.9456970000000006E-2</v>
      </c>
      <c r="AA5038">
        <v>0.85982719999999901</v>
      </c>
      <c r="AB5038">
        <v>23</v>
      </c>
      <c r="AC5038">
        <v>-7.7363000000000204</v>
      </c>
      <c r="AD5038">
        <v>-1.111658968325</v>
      </c>
      <c r="AE5038">
        <v>5.1299999999997598E-2</v>
      </c>
      <c r="AF5038">
        <v>3.9516545417613802</v>
      </c>
      <c r="AG5038">
        <v>-1.111658968325</v>
      </c>
      <c r="AH5038">
        <v>6.4684090884740497</v>
      </c>
      <c r="AI5038">
        <v>98.343377834933605</v>
      </c>
      <c r="AJ5038">
        <v>58.578574858924298</v>
      </c>
      <c r="AK5038">
        <v>7.6610492372216603</v>
      </c>
      <c r="AL5038">
        <v>94.097181122184693</v>
      </c>
      <c r="AM5038">
        <v>69.462681432314696</v>
      </c>
      <c r="AN5038">
        <v>0.99999997960432796</v>
      </c>
    </row>
    <row r="5039" spans="1:40" x14ac:dyDescent="0.25">
      <c r="A5039" t="str">
        <f>"20190303154238851"</f>
        <v>20190303154238851</v>
      </c>
      <c r="B5039" t="str">
        <f>"1551598958844773"</f>
        <v>1551598958844773</v>
      </c>
      <c r="C5039" t="s">
        <v>40</v>
      </c>
      <c r="D5039">
        <v>6.1720769999999998</v>
      </c>
      <c r="E5039">
        <v>0.53934249999999995</v>
      </c>
      <c r="F5039" t="s">
        <v>57</v>
      </c>
      <c r="G5039">
        <v>-209.31370000000001</v>
      </c>
      <c r="H5039" s="1">
        <v>-6.730602E-6</v>
      </c>
      <c r="I5039">
        <v>143.62430000000001</v>
      </c>
      <c r="J5039">
        <v>-201.29329999999999</v>
      </c>
      <c r="K5039">
        <v>1.111728</v>
      </c>
      <c r="L5039">
        <v>143.55459999999999</v>
      </c>
      <c r="M5039">
        <v>-0.86424799999999902</v>
      </c>
      <c r="N5039">
        <v>-1.5813580000000001E-2</v>
      </c>
      <c r="O5039">
        <v>-0.50281779999999998</v>
      </c>
      <c r="P5039">
        <v>-0.98186960000000001</v>
      </c>
      <c r="Q5039">
        <v>-8.0974610000000002E-2</v>
      </c>
      <c r="R5039">
        <v>-0.17139299999999999</v>
      </c>
      <c r="S5039">
        <v>-3.0247039999999998</v>
      </c>
      <c r="T5039">
        <v>-0.40892279999999998</v>
      </c>
      <c r="U5039">
        <v>-1.179504E-2</v>
      </c>
      <c r="V5039">
        <v>0.34403010000000001</v>
      </c>
      <c r="W5039">
        <v>-7.3996699999999999E-2</v>
      </c>
      <c r="X5039">
        <v>0.93603840000000005</v>
      </c>
      <c r="Y5039">
        <v>0.49131950000000002</v>
      </c>
      <c r="Z5039">
        <v>9.3937010000000001E-2</v>
      </c>
      <c r="AA5039">
        <v>0.86589899999999997</v>
      </c>
      <c r="AB5039">
        <v>23</v>
      </c>
      <c r="AC5039">
        <v>-8.02040000000002</v>
      </c>
      <c r="AD5039">
        <v>-1.111734730602</v>
      </c>
      <c r="AE5039">
        <v>6.97000000000116E-2</v>
      </c>
      <c r="AF5039">
        <v>4.0163853191740797</v>
      </c>
      <c r="AG5039">
        <v>-1.111734730602</v>
      </c>
      <c r="AH5039">
        <v>6.7674123030293396</v>
      </c>
      <c r="AI5039">
        <v>98.041027292970099</v>
      </c>
      <c r="AJ5039">
        <v>59.311331606237701</v>
      </c>
      <c r="AK5039">
        <v>7.9476521327054099</v>
      </c>
      <c r="AL5039">
        <v>94.243577030223605</v>
      </c>
      <c r="AM5039">
        <v>69.819679200993704</v>
      </c>
      <c r="AN5039">
        <v>1.0000000537957201</v>
      </c>
    </row>
    <row r="5040" spans="1:40" x14ac:dyDescent="0.25">
      <c r="A5040" t="str">
        <f>"20190303154238872"</f>
        <v>20190303154238872</v>
      </c>
      <c r="B5040" t="str">
        <f>"1551598958865268"</f>
        <v>1551598958865268</v>
      </c>
      <c r="C5040" t="s">
        <v>40</v>
      </c>
      <c r="D5040">
        <v>6.1959169999999997</v>
      </c>
      <c r="E5040">
        <v>0.53785640000000001</v>
      </c>
      <c r="F5040" t="s">
        <v>41</v>
      </c>
      <c r="G5040">
        <v>-210.1788</v>
      </c>
      <c r="H5040" s="1">
        <v>-5.2356539999999997E-6</v>
      </c>
      <c r="I5040">
        <v>142.95949999999999</v>
      </c>
      <c r="J5040">
        <v>-201.48849999999999</v>
      </c>
      <c r="K5040">
        <v>1.1118300000000001</v>
      </c>
      <c r="L5040">
        <v>143.45959999999999</v>
      </c>
      <c r="M5040">
        <v>-0.87125189999999997</v>
      </c>
      <c r="N5040">
        <v>-1.578562E-2</v>
      </c>
      <c r="O5040">
        <v>-0.49058200000000002</v>
      </c>
      <c r="P5040">
        <v>-0.98301519999999998</v>
      </c>
      <c r="Q5040">
        <v>-8.501069E-2</v>
      </c>
      <c r="R5040">
        <v>-0.16264770000000001</v>
      </c>
      <c r="S5040">
        <v>-2.9895939999999999</v>
      </c>
      <c r="T5040">
        <v>-0.37405179999999999</v>
      </c>
      <c r="U5040">
        <v>-0.20022580000000001</v>
      </c>
      <c r="V5040">
        <v>0.33892939999999999</v>
      </c>
      <c r="W5040">
        <v>-7.7818349999999994E-2</v>
      </c>
      <c r="X5040">
        <v>0.93758799999999998</v>
      </c>
      <c r="Y5040">
        <v>0.425037</v>
      </c>
      <c r="Z5040">
        <v>8.0545539999999999E-2</v>
      </c>
      <c r="AA5040">
        <v>0.90158530000000003</v>
      </c>
      <c r="AB5040">
        <v>23</v>
      </c>
      <c r="AC5040">
        <v>-8.6903000000000006</v>
      </c>
      <c r="AD5040">
        <v>-1.11183523565399</v>
      </c>
      <c r="AE5040">
        <v>-0.50010000000000299</v>
      </c>
      <c r="AF5040">
        <v>3.76661838599248</v>
      </c>
      <c r="AG5040">
        <v>-1.11183523565399</v>
      </c>
      <c r="AH5040">
        <v>7.6922596265742698</v>
      </c>
      <c r="AI5040">
        <v>97.396336885782205</v>
      </c>
      <c r="AJ5040">
        <v>63.910697532350802</v>
      </c>
      <c r="AK5040">
        <v>8.6368078489429791</v>
      </c>
      <c r="AL5040">
        <v>94.463175177326306</v>
      </c>
      <c r="AM5040">
        <v>70.125544922186293</v>
      </c>
      <c r="AN5040">
        <v>1.00000004576254</v>
      </c>
    </row>
    <row r="5041" spans="1:40" x14ac:dyDescent="0.25">
      <c r="A5041" t="str">
        <f>"20190303154238896"</f>
        <v>20190303154238896</v>
      </c>
      <c r="B5041" t="str">
        <f>"1551598958884791"</f>
        <v>1551598958884791</v>
      </c>
      <c r="C5041" t="s">
        <v>40</v>
      </c>
      <c r="D5041">
        <v>6.153594</v>
      </c>
      <c r="E5041">
        <v>0.53686829999999996</v>
      </c>
      <c r="F5041" t="s">
        <v>41</v>
      </c>
      <c r="G5041">
        <v>-210.0813</v>
      </c>
      <c r="H5041" s="1">
        <v>-5.2670310000000004E-6</v>
      </c>
      <c r="I5041">
        <v>142.9254</v>
      </c>
      <c r="J5041">
        <v>-201.7114</v>
      </c>
      <c r="K5041">
        <v>1.1119889999999999</v>
      </c>
      <c r="L5041">
        <v>143.35499999999999</v>
      </c>
      <c r="M5041">
        <v>-0.87888820000000001</v>
      </c>
      <c r="N5041">
        <v>-1.5744270000000001E-2</v>
      </c>
      <c r="O5041">
        <v>-0.47676829999999998</v>
      </c>
      <c r="P5041">
        <v>-0.98436860000000004</v>
      </c>
      <c r="Q5041">
        <v>-8.9069170000000003E-2</v>
      </c>
      <c r="R5041">
        <v>-0.15193899999999999</v>
      </c>
      <c r="S5041">
        <v>-2.9876559999999999</v>
      </c>
      <c r="T5041">
        <v>-0.38657720000000001</v>
      </c>
      <c r="U5041">
        <v>-0.1857452</v>
      </c>
      <c r="V5041">
        <v>0.33410990000000002</v>
      </c>
      <c r="W5041">
        <v>-8.1641270000000002E-2</v>
      </c>
      <c r="X5041">
        <v>0.93899160000000004</v>
      </c>
      <c r="Y5041">
        <v>0.41477839999999999</v>
      </c>
      <c r="Z5041">
        <v>8.1408099999999997E-2</v>
      </c>
      <c r="AA5041">
        <v>0.90627349999999995</v>
      </c>
      <c r="AB5041">
        <v>22</v>
      </c>
      <c r="AC5041">
        <v>-8.3698999999999995</v>
      </c>
      <c r="AD5041">
        <v>-1.1119942670309999</v>
      </c>
      <c r="AE5041">
        <v>-0.42959999999999299</v>
      </c>
      <c r="AF5041">
        <v>3.5508688253381799</v>
      </c>
      <c r="AG5041">
        <v>-1.1119942670309999</v>
      </c>
      <c r="AH5041">
        <v>7.4311409410377998</v>
      </c>
      <c r="AI5041">
        <v>97.689430684394594</v>
      </c>
      <c r="AJ5041">
        <v>64.459836175822204</v>
      </c>
      <c r="AK5041">
        <v>8.3106592007034301</v>
      </c>
      <c r="AL5041">
        <v>94.682912354067994</v>
      </c>
      <c r="AM5041">
        <v>70.413537480037604</v>
      </c>
      <c r="AN5041">
        <v>0.99999997355789105</v>
      </c>
    </row>
    <row r="5042" spans="1:40" x14ac:dyDescent="0.25">
      <c r="A5042" t="str">
        <f>"20190303154238917"</f>
        <v>20190303154238917</v>
      </c>
      <c r="B5042" t="str">
        <f>"1551598958915044"</f>
        <v>1551598958915044</v>
      </c>
      <c r="C5042" t="s">
        <v>40</v>
      </c>
      <c r="D5042">
        <v>6.1312899999999999</v>
      </c>
      <c r="E5042">
        <v>0.53614539999999999</v>
      </c>
      <c r="F5042" t="s">
        <v>41</v>
      </c>
      <c r="G5042">
        <v>-210.1901</v>
      </c>
      <c r="H5042" s="1">
        <v>-5.2201390000000002E-6</v>
      </c>
      <c r="I5042">
        <v>142.89660000000001</v>
      </c>
      <c r="J5042">
        <v>-201.91470000000001</v>
      </c>
      <c r="K5042">
        <v>1.112174</v>
      </c>
      <c r="L5042">
        <v>143.26329999999999</v>
      </c>
      <c r="M5042">
        <v>-0.8854978</v>
      </c>
      <c r="N5042">
        <v>-1.569707E-2</v>
      </c>
      <c r="O5042">
        <v>-0.46437850000000003</v>
      </c>
      <c r="P5042">
        <v>-0.98540470000000002</v>
      </c>
      <c r="Q5042">
        <v>-9.2271210000000006E-2</v>
      </c>
      <c r="R5042">
        <v>-0.14305209999999999</v>
      </c>
      <c r="S5042">
        <v>-2.987244</v>
      </c>
      <c r="T5042">
        <v>-0.39177849999999997</v>
      </c>
      <c r="U5042">
        <v>-0.161514299999999</v>
      </c>
      <c r="V5042">
        <v>0.32923019999999997</v>
      </c>
      <c r="W5042">
        <v>-8.460049E-2</v>
      </c>
      <c r="X5042">
        <v>0.94045219999999896</v>
      </c>
      <c r="Y5042">
        <v>0.40926679999999999</v>
      </c>
      <c r="Z5042">
        <v>8.1000920000000004E-2</v>
      </c>
      <c r="AA5042">
        <v>0.90881219999999996</v>
      </c>
      <c r="AB5042">
        <v>22</v>
      </c>
      <c r="AC5042">
        <v>-8.2753999999999905</v>
      </c>
      <c r="AD5042">
        <v>-1.1121792201389999</v>
      </c>
      <c r="AE5042">
        <v>-0.36669999999997999</v>
      </c>
      <c r="AF5042">
        <v>3.4563323092582001</v>
      </c>
      <c r="AG5042">
        <v>-1.1121792201389999</v>
      </c>
      <c r="AH5042">
        <v>7.3662689258941798</v>
      </c>
      <c r="AI5042">
        <v>97.783209842268306</v>
      </c>
      <c r="AJ5042">
        <v>64.863527191865899</v>
      </c>
      <c r="AK5042">
        <v>8.2124961819367304</v>
      </c>
      <c r="AL5042">
        <v>94.853051620583898</v>
      </c>
      <c r="AM5042">
        <v>70.706049875650393</v>
      </c>
      <c r="AN5042">
        <v>1.00000005399255</v>
      </c>
    </row>
    <row r="5043" spans="1:40" x14ac:dyDescent="0.25">
      <c r="A5043" t="str">
        <f>"20190303154238939"</f>
        <v>20190303154238939</v>
      </c>
      <c r="B5043" t="str">
        <f>"1551598958935541"</f>
        <v>1551598958935541</v>
      </c>
      <c r="C5043" t="s">
        <v>40</v>
      </c>
      <c r="D5043">
        <v>6.1187719999999999</v>
      </c>
      <c r="E5043">
        <v>0.53542919999999905</v>
      </c>
      <c r="F5043" t="s">
        <v>41</v>
      </c>
      <c r="G5043">
        <v>-210.38980000000001</v>
      </c>
      <c r="H5043" s="1">
        <v>-5.1377230000000004E-6</v>
      </c>
      <c r="I5043">
        <v>142.86429999999999</v>
      </c>
      <c r="J5043">
        <v>-202.1217</v>
      </c>
      <c r="K5043">
        <v>1.112393</v>
      </c>
      <c r="L5043">
        <v>143.17310000000001</v>
      </c>
      <c r="M5043">
        <v>-0.89189789999999902</v>
      </c>
      <c r="N5043">
        <v>-1.5642949999999999E-2</v>
      </c>
      <c r="O5043">
        <v>-0.4519666</v>
      </c>
      <c r="P5043">
        <v>-0.98660979999999998</v>
      </c>
      <c r="Q5043">
        <v>-9.308015E-2</v>
      </c>
      <c r="R5043">
        <v>-0.1339312</v>
      </c>
      <c r="S5043">
        <v>-2.9873050000000001</v>
      </c>
      <c r="T5043">
        <v>-0.39201750000000002</v>
      </c>
      <c r="U5043">
        <v>-0.140640299999999</v>
      </c>
      <c r="V5043">
        <v>0.32479069999999999</v>
      </c>
      <c r="W5043">
        <v>-8.5169410000000001E-2</v>
      </c>
      <c r="X5043">
        <v>0.94194330000000004</v>
      </c>
      <c r="Y5043">
        <v>0.4029934</v>
      </c>
      <c r="Z5043">
        <v>7.9402689999999998E-2</v>
      </c>
      <c r="AA5043">
        <v>0.91175189999999995</v>
      </c>
      <c r="AB5043">
        <v>22</v>
      </c>
      <c r="AC5043">
        <v>-8.2681000000000004</v>
      </c>
      <c r="AD5043">
        <v>-1.1123981377229999</v>
      </c>
      <c r="AE5043">
        <v>-0.308800000000019</v>
      </c>
      <c r="AF5043">
        <v>3.40044331590056</v>
      </c>
      <c r="AG5043">
        <v>-1.1123981377229999</v>
      </c>
      <c r="AH5043">
        <v>7.3813605176313901</v>
      </c>
      <c r="AI5043">
        <v>97.794068832322793</v>
      </c>
      <c r="AJ5043">
        <v>65.265433144868595</v>
      </c>
      <c r="AK5043">
        <v>8.2027390213702294</v>
      </c>
      <c r="AL5043">
        <v>94.885766655465304</v>
      </c>
      <c r="AM5043">
        <v>70.975336324059299</v>
      </c>
      <c r="AN5043">
        <v>1.0000000038105601</v>
      </c>
    </row>
    <row r="5044" spans="1:40" x14ac:dyDescent="0.25">
      <c r="A5044" t="str">
        <f>"20190303154238963"</f>
        <v>20190303154238963</v>
      </c>
      <c r="B5044" t="str">
        <f>"1551598958955060"</f>
        <v>1551598958955060</v>
      </c>
      <c r="C5044" t="s">
        <v>40</v>
      </c>
      <c r="D5044">
        <v>6.1886989999999997</v>
      </c>
      <c r="E5044">
        <v>0.53527760000000002</v>
      </c>
      <c r="F5044" t="s">
        <v>41</v>
      </c>
      <c r="G5044">
        <v>-210.59639999999999</v>
      </c>
      <c r="H5044" s="1">
        <v>-5.0534749999999999E-6</v>
      </c>
      <c r="I5044">
        <v>142.8366</v>
      </c>
      <c r="J5044">
        <v>-202.34620000000001</v>
      </c>
      <c r="K5044">
        <v>1.1126210000000001</v>
      </c>
      <c r="L5044">
        <v>143.0788</v>
      </c>
      <c r="M5044">
        <v>-0.89848249999999996</v>
      </c>
      <c r="N5044">
        <v>-1.5582240000000001E-2</v>
      </c>
      <c r="O5044">
        <v>-0.43873299999999998</v>
      </c>
      <c r="P5044">
        <v>-0.98804099999999995</v>
      </c>
      <c r="Q5044">
        <v>-9.2086050000000003E-2</v>
      </c>
      <c r="R5044">
        <v>-0.12367400000000001</v>
      </c>
      <c r="S5044">
        <v>-2.9876100000000001</v>
      </c>
      <c r="T5044">
        <v>-0.39215729999999999</v>
      </c>
      <c r="U5044">
        <v>-0.1186218</v>
      </c>
      <c r="V5044">
        <v>0.32076159999999998</v>
      </c>
      <c r="W5044">
        <v>-8.3951189999999995E-2</v>
      </c>
      <c r="X5044">
        <v>0.94343220000000005</v>
      </c>
      <c r="Y5044">
        <v>0.39632430000000002</v>
      </c>
      <c r="Z5044">
        <v>7.7648499999999995E-2</v>
      </c>
      <c r="AA5044">
        <v>0.91482110000000005</v>
      </c>
      <c r="AB5044">
        <v>22</v>
      </c>
      <c r="AC5044">
        <v>-8.2501999999999693</v>
      </c>
      <c r="AD5044">
        <v>-1.1126260534750001</v>
      </c>
      <c r="AE5044">
        <v>-0.242199999999996</v>
      </c>
      <c r="AF5044">
        <v>3.3417106562037899</v>
      </c>
      <c r="AG5044">
        <v>-1.1126260534750001</v>
      </c>
      <c r="AH5044">
        <v>7.3856241947517596</v>
      </c>
      <c r="AI5044">
        <v>97.8151307566431</v>
      </c>
      <c r="AJ5044">
        <v>65.655078802529999</v>
      </c>
      <c r="AK5044">
        <v>8.1824453307529001</v>
      </c>
      <c r="AL5044">
        <v>94.815716617146194</v>
      </c>
      <c r="AM5044">
        <v>71.222257913333195</v>
      </c>
      <c r="AN5044">
        <v>1.0000000611669</v>
      </c>
    </row>
    <row r="5045" spans="1:40" x14ac:dyDescent="0.25">
      <c r="A5045" t="str">
        <f>"20190303154238986"</f>
        <v>20190303154238986</v>
      </c>
      <c r="B5045" t="str">
        <f>"1551598958975556"</f>
        <v>1551598958975556</v>
      </c>
      <c r="C5045" t="s">
        <v>40</v>
      </c>
      <c r="D5045">
        <v>6.0748499999999996</v>
      </c>
      <c r="E5045">
        <v>0.53475699999999904</v>
      </c>
      <c r="F5045" t="s">
        <v>41</v>
      </c>
      <c r="G5045">
        <v>-210.92320000000001</v>
      </c>
      <c r="H5045" s="1">
        <v>-4.9256750000000001E-6</v>
      </c>
      <c r="I5045">
        <v>142.8236</v>
      </c>
      <c r="J5045">
        <v>-202.5624</v>
      </c>
      <c r="K5045">
        <v>1.112822</v>
      </c>
      <c r="L5045">
        <v>142.99119999999999</v>
      </c>
      <c r="M5045">
        <v>-0.90449889999999999</v>
      </c>
      <c r="N5045">
        <v>-1.5524949999999999E-2</v>
      </c>
      <c r="O5045">
        <v>-0.42619380000000001</v>
      </c>
      <c r="P5045">
        <v>-0.98929889999999998</v>
      </c>
      <c r="Q5045">
        <v>-9.1134720000000002E-2</v>
      </c>
      <c r="R5045">
        <v>-0.1139401</v>
      </c>
      <c r="S5045">
        <v>-2.9890439999999998</v>
      </c>
      <c r="T5045">
        <v>-0.38774320000000001</v>
      </c>
      <c r="U5045">
        <v>-8.8928220000000002E-2</v>
      </c>
      <c r="V5045">
        <v>0.31702580000000002</v>
      </c>
      <c r="W5045">
        <v>-8.2808909999999999E-2</v>
      </c>
      <c r="X5045">
        <v>0.94479480000000005</v>
      </c>
      <c r="Y5045">
        <v>0.392924</v>
      </c>
      <c r="Z5045">
        <v>7.5245160000000005E-2</v>
      </c>
      <c r="AA5045">
        <v>0.9164873</v>
      </c>
      <c r="AB5045">
        <v>22</v>
      </c>
      <c r="AC5045">
        <v>-8.36080000000001</v>
      </c>
      <c r="AD5045">
        <v>-1.1128269256749901</v>
      </c>
      <c r="AE5045">
        <v>-0.167599999999993</v>
      </c>
      <c r="AF5045">
        <v>3.3527646981784498</v>
      </c>
      <c r="AG5045">
        <v>-1.1128269256749901</v>
      </c>
      <c r="AH5045">
        <v>7.5018356599066696</v>
      </c>
      <c r="AI5045">
        <v>97.712662439785603</v>
      </c>
      <c r="AJ5045">
        <v>65.918895087331407</v>
      </c>
      <c r="AK5045">
        <v>8.2919812563769302</v>
      </c>
      <c r="AL5045">
        <v>94.750040655989693</v>
      </c>
      <c r="AM5045">
        <v>71.450827396406893</v>
      </c>
      <c r="AN5045">
        <v>0.99999994377403201</v>
      </c>
    </row>
    <row r="5046" spans="1:40" x14ac:dyDescent="0.25">
      <c r="A5046" t="str">
        <f>"20190303154239008"</f>
        <v>20190303154239008</v>
      </c>
      <c r="B5046" t="str">
        <f>"1551598959004836"</f>
        <v>1551598959004836</v>
      </c>
      <c r="C5046" t="s">
        <v>40</v>
      </c>
      <c r="D5046">
        <v>6.0543310000000004</v>
      </c>
      <c r="E5046">
        <v>0.53387010000000001</v>
      </c>
      <c r="F5046" t="s">
        <v>41</v>
      </c>
      <c r="G5046">
        <v>-211.33969999999999</v>
      </c>
      <c r="H5046" s="1">
        <v>-4.7622900000000003E-6</v>
      </c>
      <c r="I5046">
        <v>142.80410000000001</v>
      </c>
      <c r="J5046">
        <v>-202.7792</v>
      </c>
      <c r="K5046">
        <v>1.113003</v>
      </c>
      <c r="L5046">
        <v>142.9066</v>
      </c>
      <c r="M5046">
        <v>-0.91022099999999995</v>
      </c>
      <c r="N5046">
        <v>-1.54682E-2</v>
      </c>
      <c r="O5046">
        <v>-0.41383389999999998</v>
      </c>
      <c r="P5046">
        <v>-0.99031910000000001</v>
      </c>
      <c r="Q5046">
        <v>-9.0180949999999996E-2</v>
      </c>
      <c r="R5046">
        <v>-0.1055244</v>
      </c>
      <c r="S5046">
        <v>-2.990173</v>
      </c>
      <c r="T5046">
        <v>-0.37910880000000002</v>
      </c>
      <c r="U5046">
        <v>-6.3735959999999994E-2</v>
      </c>
      <c r="V5046">
        <v>0.31228099999999998</v>
      </c>
      <c r="W5046">
        <v>-8.1658049999999996E-2</v>
      </c>
      <c r="X5046">
        <v>0.94647380000000003</v>
      </c>
      <c r="Y5046">
        <v>0.38853389999999999</v>
      </c>
      <c r="Z5046">
        <v>7.1977319999999997E-2</v>
      </c>
      <c r="AA5046">
        <v>0.91861890000000002</v>
      </c>
      <c r="AB5046">
        <v>22</v>
      </c>
      <c r="AC5046">
        <v>-8.5604999999999905</v>
      </c>
      <c r="AD5046">
        <v>-1.1130077622900001</v>
      </c>
      <c r="AE5046">
        <v>-0.102499999999992</v>
      </c>
      <c r="AF5046">
        <v>3.3924020369582801</v>
      </c>
      <c r="AG5046">
        <v>-1.1130077622900001</v>
      </c>
      <c r="AH5046">
        <v>7.7050716861466002</v>
      </c>
      <c r="AI5046">
        <v>97.531099346657896</v>
      </c>
      <c r="AJ5046">
        <v>66.236984755502704</v>
      </c>
      <c r="AK5046">
        <v>8.4920732184746495</v>
      </c>
      <c r="AL5046">
        <v>94.683876606009704</v>
      </c>
      <c r="AM5046">
        <v>71.740131944804901</v>
      </c>
      <c r="AN5046">
        <v>1.0000000570886101</v>
      </c>
    </row>
    <row r="5047" spans="1:40" x14ac:dyDescent="0.25">
      <c r="A5047" t="str">
        <f>"20190303154239030"</f>
        <v>20190303154239030</v>
      </c>
      <c r="B5047" t="str">
        <f>"1551598959024864"</f>
        <v>1551598959024864</v>
      </c>
      <c r="C5047" t="s">
        <v>40</v>
      </c>
      <c r="D5047">
        <v>6.0477800000000004</v>
      </c>
      <c r="E5047">
        <v>0.53324289999999996</v>
      </c>
      <c r="F5047" t="s">
        <v>41</v>
      </c>
      <c r="G5047">
        <v>-211.7561</v>
      </c>
      <c r="H5047" s="1">
        <v>-4.5963369999999999E-6</v>
      </c>
      <c r="I5047">
        <v>142.76990000000001</v>
      </c>
      <c r="J5047">
        <v>-202.9889</v>
      </c>
      <c r="K5047">
        <v>1.113154</v>
      </c>
      <c r="L5047">
        <v>142.82759999999999</v>
      </c>
      <c r="M5047">
        <v>-0.91548010000000002</v>
      </c>
      <c r="N5047">
        <v>-1.54126E-2</v>
      </c>
      <c r="O5047">
        <v>-0.40206829999999999</v>
      </c>
      <c r="P5047">
        <v>-0.99120790000000003</v>
      </c>
      <c r="Q5047">
        <v>-8.8019449999999999E-2</v>
      </c>
      <c r="R5047">
        <v>-9.8792690000000002E-2</v>
      </c>
      <c r="S5047">
        <v>-2.990707</v>
      </c>
      <c r="T5047">
        <v>-0.37080570000000002</v>
      </c>
      <c r="U5047">
        <v>-4.5516969999999997E-2</v>
      </c>
      <c r="V5047">
        <v>0.30666529999999997</v>
      </c>
      <c r="W5047">
        <v>-7.9294820000000002E-2</v>
      </c>
      <c r="X5047">
        <v>0.94850869999999998</v>
      </c>
      <c r="Y5047">
        <v>0.38264120000000001</v>
      </c>
      <c r="Z5047">
        <v>6.8795819999999994E-2</v>
      </c>
      <c r="AA5047">
        <v>0.92133209999999999</v>
      </c>
      <c r="AB5047">
        <v>22</v>
      </c>
      <c r="AC5047">
        <v>-8.7672000000000008</v>
      </c>
      <c r="AD5047">
        <v>-1.1131585963370001</v>
      </c>
      <c r="AE5047">
        <v>-5.7699999999982703E-2</v>
      </c>
      <c r="AF5047">
        <v>3.4175106532781401</v>
      </c>
      <c r="AG5047">
        <v>-1.1131585963370001</v>
      </c>
      <c r="AH5047">
        <v>7.9226362085641604</v>
      </c>
      <c r="AI5047">
        <v>97.351266967153094</v>
      </c>
      <c r="AJ5047">
        <v>66.666550914519902</v>
      </c>
      <c r="AK5047">
        <v>8.6998083668044295</v>
      </c>
      <c r="AL5047">
        <v>94.548033063685693</v>
      </c>
      <c r="AM5047">
        <v>72.083299703912999</v>
      </c>
      <c r="AN5047">
        <v>1.0000000143393</v>
      </c>
    </row>
    <row r="5048" spans="1:40" x14ac:dyDescent="0.25">
      <c r="A5048" t="str">
        <f>"20190303154239051"</f>
        <v>20190303154239051</v>
      </c>
      <c r="B5048" t="str">
        <f>"1551598959045360"</f>
        <v>1551598959045360</v>
      </c>
      <c r="C5048" t="s">
        <v>40</v>
      </c>
      <c r="D5048">
        <v>6.0407190000000002</v>
      </c>
      <c r="E5048">
        <v>0.5325493</v>
      </c>
      <c r="F5048" t="s">
        <v>41</v>
      </c>
      <c r="G5048">
        <v>-212.1842</v>
      </c>
      <c r="H5048" s="1">
        <v>-4.425598E-6</v>
      </c>
      <c r="I5048">
        <v>142.73439999999999</v>
      </c>
      <c r="J5048">
        <v>-203.18010000000001</v>
      </c>
      <c r="K5048">
        <v>1.113283</v>
      </c>
      <c r="L5048">
        <v>142.75819999999999</v>
      </c>
      <c r="M5048">
        <v>-0.92005119999999896</v>
      </c>
      <c r="N5048">
        <v>-1.536189E-2</v>
      </c>
      <c r="O5048">
        <v>-0.39149689999999998</v>
      </c>
      <c r="P5048">
        <v>-0.99179510000000004</v>
      </c>
      <c r="Q5048">
        <v>-8.6732459999999997E-2</v>
      </c>
      <c r="R5048">
        <v>-9.3914730000000002E-2</v>
      </c>
      <c r="S5048">
        <v>-2.9914399999999999</v>
      </c>
      <c r="T5048">
        <v>-0.36213390000000001</v>
      </c>
      <c r="U5048">
        <v>-3.0319209999999999E-2</v>
      </c>
      <c r="V5048">
        <v>0.30050179999999999</v>
      </c>
      <c r="W5048">
        <v>-7.7811190000000002E-2</v>
      </c>
      <c r="X5048">
        <v>0.9506019</v>
      </c>
      <c r="Y5048">
        <v>0.37705379999999999</v>
      </c>
      <c r="Z5048">
        <v>6.5735440000000006E-2</v>
      </c>
      <c r="AA5048">
        <v>0.92385569999999895</v>
      </c>
      <c r="AB5048">
        <v>22</v>
      </c>
      <c r="AC5048">
        <v>-9.0040999999999904</v>
      </c>
      <c r="AD5048">
        <v>-1.1132874255980001</v>
      </c>
      <c r="AE5048">
        <v>-2.3799999999994201E-2</v>
      </c>
      <c r="AF5048">
        <v>3.4508393718910799</v>
      </c>
      <c r="AG5048">
        <v>-1.1132874255980001</v>
      </c>
      <c r="AH5048">
        <v>8.1696375621426505</v>
      </c>
      <c r="AI5048">
        <v>97.155026548925207</v>
      </c>
      <c r="AJ5048">
        <v>67.100896550831195</v>
      </c>
      <c r="AK5048">
        <v>8.9381586000339208</v>
      </c>
      <c r="AL5048">
        <v>94.462764152801299</v>
      </c>
      <c r="AM5048">
        <v>72.457348269536695</v>
      </c>
      <c r="AN5048">
        <v>0.99999994268803105</v>
      </c>
    </row>
    <row r="5049" spans="1:40" x14ac:dyDescent="0.25">
      <c r="A5049" t="str">
        <f>"20190303154239073"</f>
        <v>20190303154239073</v>
      </c>
      <c r="B5049" t="str">
        <f>"1551598959064880"</f>
        <v>1551598959064880</v>
      </c>
      <c r="C5049" t="s">
        <v>40</v>
      </c>
      <c r="D5049">
        <v>5.8877379999999997</v>
      </c>
      <c r="E5049">
        <v>0.53290150000000003</v>
      </c>
      <c r="F5049" t="s">
        <v>41</v>
      </c>
      <c r="G5049">
        <v>-212.53290000000001</v>
      </c>
      <c r="H5049" s="1">
        <v>-4.2842460000000004E-6</v>
      </c>
      <c r="I5049">
        <v>142.69239999999999</v>
      </c>
      <c r="J5049">
        <v>-203.4006</v>
      </c>
      <c r="K5049">
        <v>1.113429</v>
      </c>
      <c r="L5049">
        <v>142.6808</v>
      </c>
      <c r="M5049">
        <v>-0.92508979999999996</v>
      </c>
      <c r="N5049">
        <v>-1.5305539999999999E-2</v>
      </c>
      <c r="O5049">
        <v>-0.37944030000000001</v>
      </c>
      <c r="P5049">
        <v>-0.99244529999999997</v>
      </c>
      <c r="Q5049">
        <v>-8.6493689999999998E-2</v>
      </c>
      <c r="R5049">
        <v>-8.7015250000000002E-2</v>
      </c>
      <c r="S5049">
        <v>-2.9916689999999999</v>
      </c>
      <c r="T5049">
        <v>-0.35610399999999998</v>
      </c>
      <c r="U5049">
        <v>-2.105713E-2</v>
      </c>
      <c r="V5049">
        <v>0.29473059999999901</v>
      </c>
      <c r="W5049">
        <v>-7.7388830000000006E-2</v>
      </c>
      <c r="X5049">
        <v>0.95244150000000005</v>
      </c>
      <c r="Y5049">
        <v>0.36811539999999998</v>
      </c>
      <c r="Z5049">
        <v>6.2869170000000002E-2</v>
      </c>
      <c r="AA5049">
        <v>0.92765220000000004</v>
      </c>
      <c r="AB5049">
        <v>22</v>
      </c>
      <c r="AC5049">
        <v>-9.1323000000000096</v>
      </c>
      <c r="AD5049">
        <v>-1.113433284246</v>
      </c>
      <c r="AE5049">
        <v>1.15999999999871E-2</v>
      </c>
      <c r="AF5049">
        <v>3.4253817204100501</v>
      </c>
      <c r="AG5049">
        <v>-1.113433284246</v>
      </c>
      <c r="AH5049">
        <v>8.3210901342290207</v>
      </c>
      <c r="AI5049">
        <v>97.053631975911699</v>
      </c>
      <c r="AJ5049">
        <v>67.625455325689998</v>
      </c>
      <c r="AK5049">
        <v>9.0671668469787008</v>
      </c>
      <c r="AL5049">
        <v>94.438491328551393</v>
      </c>
      <c r="AM5049">
        <v>72.805451076694595</v>
      </c>
      <c r="AN5049">
        <v>0.99999998425368897</v>
      </c>
    </row>
    <row r="5050" spans="1:40" x14ac:dyDescent="0.25">
      <c r="A5050" t="str">
        <f>"20190303154239097"</f>
        <v>20190303154239097</v>
      </c>
      <c r="B5050" t="str">
        <f>"1551598959085376"</f>
        <v>1551598959085376</v>
      </c>
      <c r="C5050" t="s">
        <v>40</v>
      </c>
      <c r="D5050">
        <v>5.8767259999999997</v>
      </c>
      <c r="E5050">
        <v>0.53319189999999905</v>
      </c>
      <c r="F5050" t="s">
        <v>41</v>
      </c>
      <c r="G5050">
        <v>-213.19800000000001</v>
      </c>
      <c r="H5050" s="1">
        <v>-4.0132979999999997E-6</v>
      </c>
      <c r="I5050">
        <v>142.68860000000001</v>
      </c>
      <c r="J5050">
        <v>-203.62450000000001</v>
      </c>
      <c r="K5050">
        <v>1.1135619999999999</v>
      </c>
      <c r="L5050">
        <v>142.60550000000001</v>
      </c>
      <c r="M5050">
        <v>-0.9299617</v>
      </c>
      <c r="N5050">
        <v>-1.525252E-2</v>
      </c>
      <c r="O5050">
        <v>-0.36734</v>
      </c>
      <c r="P5050">
        <v>-0.99306700000000003</v>
      </c>
      <c r="Q5050">
        <v>-8.6892979999999995E-2</v>
      </c>
      <c r="R5050">
        <v>-7.916927E-2</v>
      </c>
      <c r="S5050">
        <v>-2.9933930000000002</v>
      </c>
      <c r="T5050">
        <v>-0.34018720000000002</v>
      </c>
      <c r="U5050">
        <v>2.3651119999999999E-3</v>
      </c>
      <c r="V5050">
        <v>0.28983890000000001</v>
      </c>
      <c r="W5050">
        <v>-7.7634889999999998E-2</v>
      </c>
      <c r="X5050">
        <v>0.95392149999999998</v>
      </c>
      <c r="Y5050">
        <v>0.3637842</v>
      </c>
      <c r="Z5050">
        <v>5.8558890000000002E-2</v>
      </c>
      <c r="AA5050">
        <v>0.92964080000000004</v>
      </c>
      <c r="AB5050">
        <v>22</v>
      </c>
      <c r="AC5050">
        <v>-9.5734999999999602</v>
      </c>
      <c r="AD5050">
        <v>-1.1135660132979901</v>
      </c>
      <c r="AE5050">
        <v>8.31000000000017E-2</v>
      </c>
      <c r="AF5050">
        <v>3.5464482746164401</v>
      </c>
      <c r="AG5050">
        <v>-1.1135660132979901</v>
      </c>
      <c r="AH5050">
        <v>8.7550493647498904</v>
      </c>
      <c r="AI5050">
        <v>96.723381375778899</v>
      </c>
      <c r="AJ5050">
        <v>67.9483797889485</v>
      </c>
      <c r="AK5050">
        <v>9.5114780139424102</v>
      </c>
      <c r="AL5050">
        <v>94.452632018744097</v>
      </c>
      <c r="AM5050">
        <v>73.099153815138294</v>
      </c>
      <c r="AN5050">
        <v>0.99999999613038604</v>
      </c>
    </row>
    <row r="5051" spans="1:40" x14ac:dyDescent="0.25">
      <c r="A5051" t="str">
        <f>"20190303154239118"</f>
        <v>20190303154239118</v>
      </c>
      <c r="B5051" t="str">
        <f>"1551598959114656"</f>
        <v>1551598959114656</v>
      </c>
      <c r="C5051" t="s">
        <v>40</v>
      </c>
      <c r="D5051">
        <v>5.876385</v>
      </c>
      <c r="E5051">
        <v>0.5329739</v>
      </c>
      <c r="F5051" t="s">
        <v>41</v>
      </c>
      <c r="G5051">
        <v>-213.7604</v>
      </c>
      <c r="H5051" s="1">
        <v>-3.7505100000000002E-6</v>
      </c>
      <c r="I5051">
        <v>142.70009999999999</v>
      </c>
      <c r="J5051">
        <v>-203.83340000000001</v>
      </c>
      <c r="K5051">
        <v>1.1136629999999901</v>
      </c>
      <c r="L5051">
        <v>142.53799999999899</v>
      </c>
      <c r="M5051">
        <v>-0.93429980000000001</v>
      </c>
      <c r="N5051">
        <v>-1.520707E-2</v>
      </c>
      <c r="O5051">
        <v>-0.35616379999999997</v>
      </c>
      <c r="P5051">
        <v>-0.99349529999999997</v>
      </c>
      <c r="Q5051">
        <v>-8.8169150000000002E-2</v>
      </c>
      <c r="R5051">
        <v>-7.2065790000000005E-2</v>
      </c>
      <c r="S5051">
        <v>-2.9943849999999999</v>
      </c>
      <c r="T5051">
        <v>-0.32897399999999999</v>
      </c>
      <c r="U5051">
        <v>2.7969359999999999E-2</v>
      </c>
      <c r="V5051">
        <v>0.28518300000000002</v>
      </c>
      <c r="W5051">
        <v>-7.8776199999999894E-2</v>
      </c>
      <c r="X5051">
        <v>0.95523029999999998</v>
      </c>
      <c r="Y5051">
        <v>0.36093219999999998</v>
      </c>
      <c r="Z5051">
        <v>5.539293E-2</v>
      </c>
      <c r="AA5051">
        <v>0.93094549999999998</v>
      </c>
      <c r="AB5051">
        <v>22</v>
      </c>
      <c r="AC5051">
        <v>-9.9269999999999907</v>
      </c>
      <c r="AD5051">
        <v>-1.11366675050999</v>
      </c>
      <c r="AE5051">
        <v>0.16210000000000899</v>
      </c>
      <c r="AF5051">
        <v>3.6416936603692198</v>
      </c>
      <c r="AG5051">
        <v>-1.11366675050999</v>
      </c>
      <c r="AH5051">
        <v>9.1035821405223292</v>
      </c>
      <c r="AI5051">
        <v>96.480000674039402</v>
      </c>
      <c r="AJ5051">
        <v>68.197175493731905</v>
      </c>
      <c r="AK5051">
        <v>9.8679984868463606</v>
      </c>
      <c r="AL5051">
        <v>94.518225238564696</v>
      </c>
      <c r="AM5051">
        <v>73.377060713533893</v>
      </c>
      <c r="AN5051">
        <v>0.99999997960676401</v>
      </c>
    </row>
    <row r="5052" spans="1:40" x14ac:dyDescent="0.25">
      <c r="A5052" t="str">
        <f>"20190303154239141"</f>
        <v>20190303154239141</v>
      </c>
      <c r="B5052" t="str">
        <f>"1551598959135152"</f>
        <v>1551598959135152</v>
      </c>
      <c r="C5052" t="s">
        <v>40</v>
      </c>
      <c r="D5052">
        <v>5.8897190000000004</v>
      </c>
      <c r="E5052">
        <v>0.53270909999999905</v>
      </c>
      <c r="F5052" t="s">
        <v>41</v>
      </c>
      <c r="G5052">
        <v>-214.06030000000001</v>
      </c>
      <c r="H5052" s="1">
        <v>-3.6088719999999999E-6</v>
      </c>
      <c r="I5052">
        <v>142.70070000000001</v>
      </c>
      <c r="J5052">
        <v>-204.04470000000001</v>
      </c>
      <c r="K5052">
        <v>1.1137509999999999</v>
      </c>
      <c r="L5052">
        <v>142.4725</v>
      </c>
      <c r="M5052">
        <v>-0.93850270000000002</v>
      </c>
      <c r="N5052">
        <v>-1.5165049999999999E-2</v>
      </c>
      <c r="O5052">
        <v>-0.34493869999999999</v>
      </c>
      <c r="P5052">
        <v>-0.99380800000000002</v>
      </c>
      <c r="Q5052">
        <v>-8.9768870000000001E-2</v>
      </c>
      <c r="R5052">
        <v>-6.5475370000000005E-2</v>
      </c>
      <c r="S5052">
        <v>-2.9941559999999998</v>
      </c>
      <c r="T5052">
        <v>-0.32604919999999998</v>
      </c>
      <c r="U5052">
        <v>4.7637939999999997E-2</v>
      </c>
      <c r="V5052">
        <v>0.28000920000000001</v>
      </c>
      <c r="W5052">
        <v>-8.0241969999999996E-2</v>
      </c>
      <c r="X5052">
        <v>0.95663790000000004</v>
      </c>
      <c r="Y5052">
        <v>0.3560258</v>
      </c>
      <c r="Z5052">
        <v>5.3618600000000002E-2</v>
      </c>
      <c r="AA5052">
        <v>0.9329366</v>
      </c>
      <c r="AB5052">
        <v>22</v>
      </c>
      <c r="AC5052">
        <v>-10.015599999999999</v>
      </c>
      <c r="AD5052">
        <v>-1.1137546088719901</v>
      </c>
      <c r="AE5052">
        <v>0.228200000000015</v>
      </c>
      <c r="AF5052">
        <v>3.6245587067150802</v>
      </c>
      <c r="AG5052">
        <v>-1.1137546088719901</v>
      </c>
      <c r="AH5052">
        <v>9.2082159829268502</v>
      </c>
      <c r="AI5052">
        <v>96.421455766696099</v>
      </c>
      <c r="AJ5052">
        <v>68.514297218561595</v>
      </c>
      <c r="AK5052">
        <v>9.9583691805153194</v>
      </c>
      <c r="AL5052">
        <v>94.602474315269106</v>
      </c>
      <c r="AM5052">
        <v>73.685175561757504</v>
      </c>
      <c r="AN5052">
        <v>0.99999999877526502</v>
      </c>
    </row>
    <row r="5053" spans="1:40" x14ac:dyDescent="0.25">
      <c r="A5053" t="str">
        <f>"20190303154239163"</f>
        <v>20190303154239163</v>
      </c>
      <c r="B5053" t="str">
        <f>"1551598959154672"</f>
        <v>1551598959154672</v>
      </c>
      <c r="C5053" t="s">
        <v>40</v>
      </c>
      <c r="D5053">
        <v>5.8981680000000001</v>
      </c>
      <c r="E5053">
        <v>0.53239419999999904</v>
      </c>
      <c r="F5053" t="s">
        <v>41</v>
      </c>
      <c r="G5053">
        <v>-214.29239999999999</v>
      </c>
      <c r="H5053" s="1">
        <v>-3.4979680000000002E-6</v>
      </c>
      <c r="I5053">
        <v>142.6962</v>
      </c>
      <c r="J5053">
        <v>-204.2705</v>
      </c>
      <c r="K5053">
        <v>1.1138380000000001</v>
      </c>
      <c r="L5053">
        <v>142.40530000000001</v>
      </c>
      <c r="M5053">
        <v>-0.94279829999999998</v>
      </c>
      <c r="N5053">
        <v>-1.512411E-2</v>
      </c>
      <c r="O5053">
        <v>-0.3330207</v>
      </c>
      <c r="P5053">
        <v>-0.99410949999999998</v>
      </c>
      <c r="Q5053">
        <v>-9.0856629999999994E-2</v>
      </c>
      <c r="R5053">
        <v>-5.9087960000000002E-2</v>
      </c>
      <c r="S5053">
        <v>-2.9935909999999999</v>
      </c>
      <c r="T5053">
        <v>-0.32535269999999999</v>
      </c>
      <c r="U5053">
        <v>6.5353389999999997E-2</v>
      </c>
      <c r="V5053">
        <v>0.27400219999999997</v>
      </c>
      <c r="W5053">
        <v>-8.1184599999999996E-2</v>
      </c>
      <c r="X5053">
        <v>0.95829629999999999</v>
      </c>
      <c r="Y5053">
        <v>0.34981859999999998</v>
      </c>
      <c r="Z5053">
        <v>5.2097560000000001E-2</v>
      </c>
      <c r="AA5053">
        <v>0.93536770000000002</v>
      </c>
      <c r="AB5053">
        <v>22</v>
      </c>
      <c r="AC5053">
        <v>-10.021899999999899</v>
      </c>
      <c r="AD5053">
        <v>-1.11384149796799</v>
      </c>
      <c r="AE5053">
        <v>0.290899999999993</v>
      </c>
      <c r="AF5053">
        <v>3.5681355765846998</v>
      </c>
      <c r="AG5053">
        <v>-1.11384149796799</v>
      </c>
      <c r="AH5053">
        <v>9.2387995052812499</v>
      </c>
      <c r="AI5053">
        <v>96.416810293556793</v>
      </c>
      <c r="AJ5053">
        <v>68.882839037107104</v>
      </c>
      <c r="AK5053">
        <v>9.9663258362482896</v>
      </c>
      <c r="AL5053">
        <v>94.656659952004702</v>
      </c>
      <c r="AM5053">
        <v>74.043369320670806</v>
      </c>
      <c r="AN5053">
        <v>0.99999997173784405</v>
      </c>
    </row>
    <row r="5054" spans="1:40" x14ac:dyDescent="0.25">
      <c r="A5054" t="str">
        <f>"20190303154239184"</f>
        <v>20190303154239184</v>
      </c>
      <c r="B5054" t="str">
        <f>"1551598959175168"</f>
        <v>1551598959175168</v>
      </c>
      <c r="C5054" t="s">
        <v>40</v>
      </c>
      <c r="D5054">
        <v>5.8935170000000001</v>
      </c>
      <c r="E5054">
        <v>0.53201569999999898</v>
      </c>
      <c r="F5054" t="s">
        <v>41</v>
      </c>
      <c r="G5054">
        <v>-214.56450000000001</v>
      </c>
      <c r="H5054" s="1">
        <v>-3.366842E-6</v>
      </c>
      <c r="I5054">
        <v>142.6867</v>
      </c>
      <c r="J5054">
        <v>-204.47989999999999</v>
      </c>
      <c r="K5054">
        <v>1.113907</v>
      </c>
      <c r="L5054">
        <v>142.34569999999999</v>
      </c>
      <c r="M5054">
        <v>-0.94660350000000004</v>
      </c>
      <c r="N5054">
        <v>-1.5088600000000001E-2</v>
      </c>
      <c r="O5054">
        <v>-0.32204719999999998</v>
      </c>
      <c r="P5054">
        <v>-0.99432790000000004</v>
      </c>
      <c r="Q5054">
        <v>-9.171762E-2</v>
      </c>
      <c r="R5054">
        <v>-5.3853739999999997E-2</v>
      </c>
      <c r="S5054">
        <v>-2.9930569999999999</v>
      </c>
      <c r="T5054">
        <v>-0.32386019999999999</v>
      </c>
      <c r="U5054">
        <v>8.1817630000000002E-2</v>
      </c>
      <c r="V5054">
        <v>0.26789230000000003</v>
      </c>
      <c r="W5054">
        <v>-8.1902530000000001E-2</v>
      </c>
      <c r="X5054">
        <v>0.95996130000000002</v>
      </c>
      <c r="Y5054">
        <v>0.344203599999999</v>
      </c>
      <c r="Z5054">
        <v>5.0563129999999998E-2</v>
      </c>
      <c r="AA5054">
        <v>0.93753249999999999</v>
      </c>
      <c r="AB5054">
        <v>22</v>
      </c>
      <c r="AC5054">
        <v>-10.0846</v>
      </c>
      <c r="AD5054">
        <v>-1.1139103668420001</v>
      </c>
      <c r="AE5054">
        <v>0.34100000000000802</v>
      </c>
      <c r="AF5054">
        <v>3.5279212581616899</v>
      </c>
      <c r="AG5054">
        <v>-1.1139103668420001</v>
      </c>
      <c r="AH5054">
        <v>9.3237468226610396</v>
      </c>
      <c r="AI5054">
        <v>96.375715519387995</v>
      </c>
      <c r="AJ5054">
        <v>69.274349454875207</v>
      </c>
      <c r="AK5054">
        <v>10.0309161855849</v>
      </c>
      <c r="AL5054">
        <v>94.697931609384398</v>
      </c>
      <c r="AM5054">
        <v>74.407403728144402</v>
      </c>
      <c r="AN5054">
        <v>1.00000000315869</v>
      </c>
    </row>
    <row r="5055" spans="1:40" x14ac:dyDescent="0.25">
      <c r="A5055" t="str">
        <f>"20190303154239211"</f>
        <v>20190303154239211</v>
      </c>
      <c r="B5055" t="str">
        <f>"1551598959205424"</f>
        <v>1551598959205424</v>
      </c>
      <c r="C5055" t="s">
        <v>40</v>
      </c>
      <c r="D5055">
        <v>5.8818699999999904</v>
      </c>
      <c r="E5055">
        <v>0.53152509999999997</v>
      </c>
      <c r="F5055" t="s">
        <v>41</v>
      </c>
      <c r="G5055">
        <v>-214.81540000000001</v>
      </c>
      <c r="H5055" s="1">
        <v>-3.24436E-6</v>
      </c>
      <c r="I5055">
        <v>142.6722</v>
      </c>
      <c r="J5055">
        <v>-204.71940000000001</v>
      </c>
      <c r="K5055">
        <v>1.1139810000000001</v>
      </c>
      <c r="L5055">
        <v>142.28049999999999</v>
      </c>
      <c r="M5055">
        <v>-0.95075209999999999</v>
      </c>
      <c r="N5055">
        <v>-1.5048819999999999E-2</v>
      </c>
      <c r="O5055">
        <v>-0.30958740000000001</v>
      </c>
      <c r="P5055">
        <v>-0.99435870000000004</v>
      </c>
      <c r="Q5055">
        <v>-9.2823680000000006E-2</v>
      </c>
      <c r="R5055">
        <v>-5.1329510000000002E-2</v>
      </c>
      <c r="S5055">
        <v>-2.9924770000000001</v>
      </c>
      <c r="T5055">
        <v>-0.3225152</v>
      </c>
      <c r="U5055">
        <v>9.4543459999999996E-2</v>
      </c>
      <c r="V5055">
        <v>0.2576869</v>
      </c>
      <c r="W5055">
        <v>-8.2776509999999998E-2</v>
      </c>
      <c r="X5055">
        <v>0.96267619999999998</v>
      </c>
      <c r="Y5055">
        <v>0.33599469999999998</v>
      </c>
      <c r="Z5055">
        <v>4.8768909999999999E-2</v>
      </c>
      <c r="AA5055">
        <v>0.94060049999999995</v>
      </c>
      <c r="AB5055">
        <v>22</v>
      </c>
      <c r="AC5055">
        <v>-10.096</v>
      </c>
      <c r="AD5055">
        <v>-1.1139842443600001</v>
      </c>
      <c r="AE5055">
        <v>0.39170000000001398</v>
      </c>
      <c r="AF5055">
        <v>3.4563821993022801</v>
      </c>
      <c r="AG5055">
        <v>-1.1139842443600001</v>
      </c>
      <c r="AH5055">
        <v>9.3647573166863296</v>
      </c>
      <c r="AI5055">
        <v>96.367664149862705</v>
      </c>
      <c r="AJ5055">
        <v>69.741702647321205</v>
      </c>
      <c r="AK5055">
        <v>10.044213179974101</v>
      </c>
      <c r="AL5055">
        <v>94.748177716609405</v>
      </c>
      <c r="AM5055">
        <v>75.014517178859705</v>
      </c>
      <c r="AN5055">
        <v>0.99999997754291403</v>
      </c>
    </row>
    <row r="5056" spans="1:40" x14ac:dyDescent="0.25">
      <c r="A5056" t="str">
        <f>"20190303154239241"</f>
        <v>20190303154239241</v>
      </c>
      <c r="B5056" t="str">
        <f>"1551598959234704"</f>
        <v>1551598959234704</v>
      </c>
      <c r="C5056" t="s">
        <v>40</v>
      </c>
      <c r="D5056">
        <v>5.8508879999999897</v>
      </c>
      <c r="E5056">
        <v>0.53109619999999902</v>
      </c>
      <c r="F5056" t="s">
        <v>41</v>
      </c>
      <c r="G5056">
        <v>-214.9657</v>
      </c>
      <c r="H5056" s="1">
        <v>-3.1585290000000001E-6</v>
      </c>
      <c r="I5056">
        <v>142.61670000000001</v>
      </c>
      <c r="J5056">
        <v>-205.02359999999999</v>
      </c>
      <c r="K5056">
        <v>1.1141019999999999</v>
      </c>
      <c r="L5056">
        <v>142.20230000000001</v>
      </c>
      <c r="M5056">
        <v>-0.95571059999999997</v>
      </c>
      <c r="N5056">
        <v>-1.4998259999999999E-2</v>
      </c>
      <c r="O5056">
        <v>-0.29392570000000001</v>
      </c>
      <c r="P5056">
        <v>-0.99444750000000004</v>
      </c>
      <c r="Q5056">
        <v>-9.3796820000000003E-2</v>
      </c>
      <c r="R5056">
        <v>-4.7711169999999997E-2</v>
      </c>
      <c r="S5056">
        <v>-2.99173</v>
      </c>
      <c r="T5056">
        <v>-0.32526280000000002</v>
      </c>
      <c r="U5056">
        <v>9.817505E-2</v>
      </c>
      <c r="V5056">
        <v>0.24535190000000001</v>
      </c>
      <c r="W5056">
        <v>-8.3465949999999997E-2</v>
      </c>
      <c r="X5056">
        <v>0.96583430000000003</v>
      </c>
      <c r="Y5056">
        <v>0.32174340000000001</v>
      </c>
      <c r="Z5056">
        <v>4.6945899999999999E-2</v>
      </c>
      <c r="AA5056">
        <v>0.94566229999999996</v>
      </c>
      <c r="AB5056">
        <v>22</v>
      </c>
      <c r="AC5056">
        <v>-9.9420999999999999</v>
      </c>
      <c r="AD5056">
        <v>-1.1141051585290001</v>
      </c>
      <c r="AE5056">
        <v>0.41439999999999999</v>
      </c>
      <c r="AF5056">
        <v>3.27757236701368</v>
      </c>
      <c r="AG5056">
        <v>-1.1141051585290001</v>
      </c>
      <c r="AH5056">
        <v>9.2648825568339106</v>
      </c>
      <c r="AI5056">
        <v>96.467758917222895</v>
      </c>
      <c r="AJ5056">
        <v>70.518106293524497</v>
      </c>
      <c r="AK5056">
        <v>9.8904883457389392</v>
      </c>
      <c r="AL5056">
        <v>94.787816751131601</v>
      </c>
      <c r="AM5056">
        <v>75.7465874865768</v>
      </c>
      <c r="AN5056">
        <v>1.0000000073497499</v>
      </c>
    </row>
    <row r="5057" spans="1:40" x14ac:dyDescent="0.25">
      <c r="A5057" t="str">
        <f>"20190303154239263"</f>
        <v>20190303154239263</v>
      </c>
      <c r="B5057" t="str">
        <f>"1551598959255201"</f>
        <v>1551598959255201</v>
      </c>
      <c r="C5057" t="s">
        <v>40</v>
      </c>
      <c r="D5057">
        <v>5.855696</v>
      </c>
      <c r="E5057">
        <v>0.53082669999999998</v>
      </c>
      <c r="F5057" t="s">
        <v>41</v>
      </c>
      <c r="G5057">
        <v>-215.38939999999999</v>
      </c>
      <c r="H5057" s="1">
        <v>-2.9452799999999999E-6</v>
      </c>
      <c r="I5057">
        <v>142.56790000000001</v>
      </c>
      <c r="J5057">
        <v>-205.245</v>
      </c>
      <c r="K5057">
        <v>1.1141970000000001</v>
      </c>
      <c r="L5057">
        <v>142.14869999999999</v>
      </c>
      <c r="M5057">
        <v>-0.95910649999999997</v>
      </c>
      <c r="N5057">
        <v>-1.4961830000000001E-2</v>
      </c>
      <c r="O5057">
        <v>-0.2826497</v>
      </c>
      <c r="P5057">
        <v>-0.9944518</v>
      </c>
      <c r="Q5057">
        <v>-9.5233899999999996E-2</v>
      </c>
      <c r="R5057">
        <v>-4.4681119999999998E-2</v>
      </c>
      <c r="S5057">
        <v>-2.9914860000000001</v>
      </c>
      <c r="T5057">
        <v>-0.32152259999999999</v>
      </c>
      <c r="U5057">
        <v>0.1054993</v>
      </c>
      <c r="V5057">
        <v>0.2368798</v>
      </c>
      <c r="W5057">
        <v>-8.4709110000000004E-2</v>
      </c>
      <c r="X5057">
        <v>0.967839</v>
      </c>
      <c r="Y5057">
        <v>0.31308580000000003</v>
      </c>
      <c r="Z5057">
        <v>4.4870149999999998E-2</v>
      </c>
      <c r="AA5057">
        <v>0.94866430000000002</v>
      </c>
      <c r="AB5057">
        <v>22</v>
      </c>
      <c r="AC5057">
        <v>-10.1443999999999</v>
      </c>
      <c r="AD5057">
        <v>-1.11419994528</v>
      </c>
      <c r="AE5057">
        <v>0.419200000000017</v>
      </c>
      <c r="AF5057">
        <v>3.23082642559238</v>
      </c>
      <c r="AG5057">
        <v>-1.11419994528</v>
      </c>
      <c r="AH5057">
        <v>9.49776815270552</v>
      </c>
      <c r="AI5057">
        <v>96.337408278353493</v>
      </c>
      <c r="AJ5057">
        <v>71.213395032681603</v>
      </c>
      <c r="AK5057">
        <v>10.093922963492201</v>
      </c>
      <c r="AL5057">
        <v>94.859297764403493</v>
      </c>
      <c r="AM5057">
        <v>76.247145641991594</v>
      </c>
      <c r="AN5057">
        <v>1.0000000014430099</v>
      </c>
    </row>
    <row r="5058" spans="1:40" x14ac:dyDescent="0.25">
      <c r="A5058" t="str">
        <f>"20190303154239288"</f>
        <v>20190303154239288</v>
      </c>
      <c r="B5058" t="str">
        <f>"1551598959284480"</f>
        <v>1551598959284480</v>
      </c>
      <c r="C5058" t="s">
        <v>40</v>
      </c>
      <c r="D5058">
        <v>5.8669060000000002</v>
      </c>
      <c r="E5058">
        <v>0.53053209999999995</v>
      </c>
      <c r="F5058" t="s">
        <v>41</v>
      </c>
      <c r="G5058">
        <v>-215.59530000000001</v>
      </c>
      <c r="H5058" s="1">
        <v>-2.8399320000000002E-6</v>
      </c>
      <c r="I5058">
        <v>142.5377</v>
      </c>
      <c r="J5058">
        <v>-205.48349999999999</v>
      </c>
      <c r="K5058">
        <v>1.1142989999999999</v>
      </c>
      <c r="L5058">
        <v>142.09370000000001</v>
      </c>
      <c r="M5058">
        <v>-0.96257420000000005</v>
      </c>
      <c r="N5058">
        <v>-1.492425E-2</v>
      </c>
      <c r="O5058">
        <v>-0.27060699999999999</v>
      </c>
      <c r="P5058">
        <v>-0.99445150000000004</v>
      </c>
      <c r="Q5058">
        <v>-9.6982490000000005E-2</v>
      </c>
      <c r="R5058">
        <v>-4.0751950000000002E-2</v>
      </c>
      <c r="S5058">
        <v>-2.9909669999999999</v>
      </c>
      <c r="T5058">
        <v>-0.32197629999999999</v>
      </c>
      <c r="U5058">
        <v>0.11242679999999999</v>
      </c>
      <c r="V5058">
        <v>0.22852349999999999</v>
      </c>
      <c r="W5058">
        <v>-8.6269979999999996E-2</v>
      </c>
      <c r="X5058">
        <v>0.96970840000000003</v>
      </c>
      <c r="Y5058">
        <v>0.30347929999999901</v>
      </c>
      <c r="Z5058">
        <v>4.3290950000000002E-2</v>
      </c>
      <c r="AA5058">
        <v>0.95185410000000004</v>
      </c>
      <c r="AB5058">
        <v>22</v>
      </c>
      <c r="AC5058">
        <v>-10.111800000000001</v>
      </c>
      <c r="AD5058">
        <v>-1.1143018399319999</v>
      </c>
      <c r="AE5058">
        <v>0.44399999999998802</v>
      </c>
      <c r="AF5058">
        <v>3.12616923160334</v>
      </c>
      <c r="AG5058">
        <v>-1.1143018399319999</v>
      </c>
      <c r="AH5058">
        <v>9.4991469801407593</v>
      </c>
      <c r="AI5058">
        <v>96.358037586191401</v>
      </c>
      <c r="AJ5058">
        <v>71.783624841651701</v>
      </c>
      <c r="AK5058">
        <v>10.062226195301699</v>
      </c>
      <c r="AL5058">
        <v>94.949057945353601</v>
      </c>
      <c r="AM5058">
        <v>76.739504929788595</v>
      </c>
      <c r="AN5058">
        <v>0.99999994026600303</v>
      </c>
    </row>
    <row r="5059" spans="1:40" x14ac:dyDescent="0.25">
      <c r="A5059" t="str">
        <f>"20190303154239310"</f>
        <v>20190303154239310</v>
      </c>
      <c r="B5059" t="str">
        <f>"1551598959304976"</f>
        <v>1551598959304976</v>
      </c>
      <c r="C5059" t="s">
        <v>40</v>
      </c>
      <c r="D5059">
        <v>5.8807359999999997</v>
      </c>
      <c r="E5059">
        <v>0.53020809999999996</v>
      </c>
      <c r="F5059" t="s">
        <v>41</v>
      </c>
      <c r="G5059">
        <v>-215.84129999999999</v>
      </c>
      <c r="H5059" s="1">
        <v>-2.7177330000000001E-6</v>
      </c>
      <c r="I5059">
        <v>142.5155</v>
      </c>
      <c r="J5059">
        <v>-205.6901</v>
      </c>
      <c r="K5059">
        <v>1.1143940000000001</v>
      </c>
      <c r="L5059">
        <v>142.04849999999999</v>
      </c>
      <c r="M5059">
        <v>-0.96541509999999997</v>
      </c>
      <c r="N5059">
        <v>-1.4892519999999999E-2</v>
      </c>
      <c r="O5059">
        <v>-0.26029219999999997</v>
      </c>
      <c r="P5059">
        <v>-0.99448879999999995</v>
      </c>
      <c r="Q5059">
        <v>-9.7358689999999998E-2</v>
      </c>
      <c r="R5059">
        <v>-3.8904699999999903E-2</v>
      </c>
      <c r="S5059">
        <v>-2.9903409999999999</v>
      </c>
      <c r="T5059">
        <v>-0.32170500000000002</v>
      </c>
      <c r="U5059">
        <v>0.121780399999999</v>
      </c>
      <c r="V5059">
        <v>0.21995629999999999</v>
      </c>
      <c r="W5059">
        <v>-8.6458679999999996E-2</v>
      </c>
      <c r="X5059">
        <v>0.97167079999999995</v>
      </c>
      <c r="Y5059">
        <v>0.29635739999999999</v>
      </c>
      <c r="Z5059">
        <v>4.191164E-2</v>
      </c>
      <c r="AA5059">
        <v>0.95415709999999998</v>
      </c>
      <c r="AB5059">
        <v>22</v>
      </c>
      <c r="AC5059">
        <v>-10.1511999999999</v>
      </c>
      <c r="AD5059">
        <v>-1.1143967177330001</v>
      </c>
      <c r="AE5059">
        <v>0.46700000000001302</v>
      </c>
      <c r="AF5059">
        <v>3.0567094394127099</v>
      </c>
      <c r="AG5059">
        <v>-1.1143967177330001</v>
      </c>
      <c r="AH5059">
        <v>9.5646126462466707</v>
      </c>
      <c r="AI5059">
        <v>96.332921107070305</v>
      </c>
      <c r="AJ5059">
        <v>72.276885335233601</v>
      </c>
      <c r="AK5059">
        <v>10.1028296884699</v>
      </c>
      <c r="AL5059">
        <v>94.9599098589768</v>
      </c>
      <c r="AM5059">
        <v>77.244971525173796</v>
      </c>
      <c r="AN5059">
        <v>1.0000000104148301</v>
      </c>
    </row>
    <row r="5060" spans="1:40" x14ac:dyDescent="0.25">
      <c r="A5060" t="str">
        <f>"20190303154239332"</f>
        <v>20190303154239332</v>
      </c>
      <c r="B5060" t="str">
        <f>"1551598959324496"</f>
        <v>1551598959324496</v>
      </c>
      <c r="C5060" t="s">
        <v>40</v>
      </c>
      <c r="D5060">
        <v>5.8698459999999999</v>
      </c>
      <c r="E5060">
        <v>0.53002769999999899</v>
      </c>
      <c r="F5060" t="s">
        <v>41</v>
      </c>
      <c r="G5060">
        <v>-216.08940000000001</v>
      </c>
      <c r="H5060" s="1">
        <v>-2.5915960000000002E-6</v>
      </c>
      <c r="I5060">
        <v>142.48230000000001</v>
      </c>
      <c r="J5060">
        <v>-205.90870000000001</v>
      </c>
      <c r="K5060">
        <v>1.1145050000000001</v>
      </c>
      <c r="L5060">
        <v>142.00299999999999</v>
      </c>
      <c r="M5060">
        <v>-0.96825890000000003</v>
      </c>
      <c r="N5060">
        <v>-1.485816E-2</v>
      </c>
      <c r="O5060">
        <v>-0.2495076</v>
      </c>
      <c r="P5060">
        <v>-0.99455950000000004</v>
      </c>
      <c r="Q5060">
        <v>-9.7691860000000005E-2</v>
      </c>
      <c r="R5060">
        <v>-3.6162279999999998E-2</v>
      </c>
      <c r="S5060">
        <v>-2.9901430000000002</v>
      </c>
      <c r="T5060">
        <v>-0.32042530000000002</v>
      </c>
      <c r="U5060">
        <v>0.1247253</v>
      </c>
      <c r="V5060">
        <v>0.21180950000000001</v>
      </c>
      <c r="W5060">
        <v>-8.6613830000000003E-2</v>
      </c>
      <c r="X5060">
        <v>0.97346529999999998</v>
      </c>
      <c r="Y5060">
        <v>0.28676889999999999</v>
      </c>
      <c r="Z5060">
        <v>4.0200840000000002E-2</v>
      </c>
      <c r="AA5060">
        <v>0.95715589999999995</v>
      </c>
      <c r="AB5060">
        <v>22</v>
      </c>
      <c r="AC5060">
        <v>-10.1807</v>
      </c>
      <c r="AD5060">
        <v>-1.1145075915960001</v>
      </c>
      <c r="AE5060">
        <v>0.47930000000002299</v>
      </c>
      <c r="AF5060">
        <v>2.9690765703099702</v>
      </c>
      <c r="AG5060">
        <v>-1.1145075915960001</v>
      </c>
      <c r="AH5060">
        <v>9.6239581309245903</v>
      </c>
      <c r="AI5060">
        <v>96.314606111397893</v>
      </c>
      <c r="AJ5060">
        <v>72.854540926675</v>
      </c>
      <c r="AK5060">
        <v>10.133020919640799</v>
      </c>
      <c r="AL5060">
        <v>94.968833047273705</v>
      </c>
      <c r="AM5060">
        <v>77.724738997126295</v>
      </c>
      <c r="AN5060">
        <v>0.99999995507080297</v>
      </c>
    </row>
    <row r="5061" spans="1:40" x14ac:dyDescent="0.25">
      <c r="A5061" t="str">
        <f>"20190303154239353"</f>
        <v>20190303154239353</v>
      </c>
      <c r="B5061" t="str">
        <f>"1551598959344992"</f>
        <v>1551598959344992</v>
      </c>
      <c r="C5061" t="s">
        <v>40</v>
      </c>
      <c r="D5061">
        <v>5.8589289999999998</v>
      </c>
      <c r="E5061">
        <v>0.5299739</v>
      </c>
      <c r="F5061" t="s">
        <v>41</v>
      </c>
      <c r="G5061">
        <v>-216.37540000000001</v>
      </c>
      <c r="H5061" s="1">
        <v>-2.4513539999999999E-6</v>
      </c>
      <c r="I5061">
        <v>142.46340000000001</v>
      </c>
      <c r="J5061">
        <v>-206.113</v>
      </c>
      <c r="K5061">
        <v>1.1146160000000001</v>
      </c>
      <c r="L5061">
        <v>141.96270000000001</v>
      </c>
      <c r="M5061">
        <v>-0.97076689999999999</v>
      </c>
      <c r="N5061">
        <v>-1.482403E-2</v>
      </c>
      <c r="O5061">
        <v>-0.2395661</v>
      </c>
      <c r="P5061">
        <v>-0.99462839999999997</v>
      </c>
      <c r="Q5061">
        <v>-9.7604099999999999E-2</v>
      </c>
      <c r="R5061">
        <v>-3.4464880000000003E-2</v>
      </c>
      <c r="S5061">
        <v>-2.9898989999999999</v>
      </c>
      <c r="T5061">
        <v>-0.31836759999999997</v>
      </c>
      <c r="U5061">
        <v>0.13150020000000001</v>
      </c>
      <c r="V5061">
        <v>0.20351959999999999</v>
      </c>
      <c r="W5061">
        <v>-8.6347859999999999E-2</v>
      </c>
      <c r="X5061">
        <v>0.97525580000000001</v>
      </c>
      <c r="Y5061">
        <v>0.27923809999999999</v>
      </c>
      <c r="Z5061">
        <v>3.8602699999999997E-2</v>
      </c>
      <c r="AA5061">
        <v>0.95944569999999996</v>
      </c>
      <c r="AB5061">
        <v>22</v>
      </c>
      <c r="AC5061">
        <v>-10.2624</v>
      </c>
      <c r="AD5061">
        <v>-1.1146184513540001</v>
      </c>
      <c r="AE5061">
        <v>0.50069999999999404</v>
      </c>
      <c r="AF5061">
        <v>2.9106555421947902</v>
      </c>
      <c r="AG5061">
        <v>-1.1146184513540001</v>
      </c>
      <c r="AH5061">
        <v>9.7290325538043891</v>
      </c>
      <c r="AI5061">
        <v>96.263683846849005</v>
      </c>
      <c r="AJ5061">
        <v>73.344281796352902</v>
      </c>
      <c r="AK5061">
        <v>10.216083614105401</v>
      </c>
      <c r="AL5061">
        <v>94.953536418784694</v>
      </c>
      <c r="AM5061">
        <v>78.212494818358607</v>
      </c>
      <c r="AN5061">
        <v>1.0000000279721799</v>
      </c>
    </row>
    <row r="5062" spans="1:40" x14ac:dyDescent="0.25">
      <c r="A5062" t="str">
        <f>"20190303154239375"</f>
        <v>20190303154239375</v>
      </c>
      <c r="B5062" t="str">
        <f>"1551598959365488"</f>
        <v>1551598959365488</v>
      </c>
      <c r="C5062" t="s">
        <v>40</v>
      </c>
      <c r="D5062">
        <v>5.8470700000000004</v>
      </c>
      <c r="E5062">
        <v>0.52983169999999902</v>
      </c>
      <c r="F5062" t="s">
        <v>41</v>
      </c>
      <c r="G5062">
        <v>-216.71530000000001</v>
      </c>
      <c r="H5062" s="1">
        <v>-2.2859200000000001E-6</v>
      </c>
      <c r="I5062">
        <v>142.44550000000001</v>
      </c>
      <c r="J5062">
        <v>-206.33359999999999</v>
      </c>
      <c r="K5062">
        <v>1.1147549999999999</v>
      </c>
      <c r="L5062">
        <v>141.9213</v>
      </c>
      <c r="M5062">
        <v>-0.97331710000000005</v>
      </c>
      <c r="N5062">
        <v>-1.478558E-2</v>
      </c>
      <c r="O5062">
        <v>-0.22898779999999999</v>
      </c>
      <c r="P5062">
        <v>-0.99478270000000002</v>
      </c>
      <c r="Q5062">
        <v>-9.687519E-2</v>
      </c>
      <c r="R5062">
        <v>-3.1986319999999999E-2</v>
      </c>
      <c r="S5062">
        <v>-2.9900669999999998</v>
      </c>
      <c r="T5062">
        <v>-0.3143454</v>
      </c>
      <c r="U5062">
        <v>0.1361542</v>
      </c>
      <c r="V5062">
        <v>0.19539570000000001</v>
      </c>
      <c r="W5062">
        <v>-8.5442509999999999E-2</v>
      </c>
      <c r="X5062">
        <v>0.97699550000000002</v>
      </c>
      <c r="Y5062">
        <v>0.27044010000000002</v>
      </c>
      <c r="Z5062">
        <v>3.6645690000000002E-2</v>
      </c>
      <c r="AA5062">
        <v>0.96203910000000004</v>
      </c>
      <c r="AB5062">
        <v>22</v>
      </c>
      <c r="AC5062">
        <v>-10.3817</v>
      </c>
      <c r="AD5062">
        <v>-1.1147572859199999</v>
      </c>
      <c r="AE5062">
        <v>0.52420000000000699</v>
      </c>
      <c r="AF5062">
        <v>2.8549770980462501</v>
      </c>
      <c r="AG5062">
        <v>-1.1147572859199999</v>
      </c>
      <c r="AH5062">
        <v>9.8722056874993296</v>
      </c>
      <c r="AI5062">
        <v>96.190887521417693</v>
      </c>
      <c r="AJ5062">
        <v>73.870477820312999</v>
      </c>
      <c r="AK5062">
        <v>10.3370219683027</v>
      </c>
      <c r="AL5062">
        <v>94.901471130315599</v>
      </c>
      <c r="AM5062">
        <v>78.690259249739697</v>
      </c>
      <c r="AN5062">
        <v>1.0000000545569101</v>
      </c>
    </row>
    <row r="5063" spans="1:40" x14ac:dyDescent="0.25">
      <c r="A5063" t="str">
        <f>"20190303154239397"</f>
        <v>20190303154239397</v>
      </c>
      <c r="B5063" t="str">
        <f>"1551598959394768"</f>
        <v>1551598959394768</v>
      </c>
      <c r="C5063" t="s">
        <v>40</v>
      </c>
      <c r="D5063">
        <v>5.8733550000000001</v>
      </c>
      <c r="E5063">
        <v>0.52983409999999997</v>
      </c>
      <c r="F5063" t="s">
        <v>41</v>
      </c>
      <c r="G5063">
        <v>-217.10169999999999</v>
      </c>
      <c r="H5063" s="1">
        <v>-2.100261E-6</v>
      </c>
      <c r="I5063">
        <v>142.4341</v>
      </c>
      <c r="J5063">
        <v>-206.54759999999999</v>
      </c>
      <c r="K5063">
        <v>1.1148929999999999</v>
      </c>
      <c r="L5063">
        <v>141.8835</v>
      </c>
      <c r="M5063">
        <v>-0.97563480000000002</v>
      </c>
      <c r="N5063">
        <v>-1.4745899999999999E-2</v>
      </c>
      <c r="O5063">
        <v>-0.21890560000000001</v>
      </c>
      <c r="P5063">
        <v>-0.99493160000000003</v>
      </c>
      <c r="Q5063">
        <v>-9.5970429999999995E-2</v>
      </c>
      <c r="R5063">
        <v>-3.0018320000000001E-2</v>
      </c>
      <c r="S5063">
        <v>-2.990189</v>
      </c>
      <c r="T5063">
        <v>-0.30955640000000001</v>
      </c>
      <c r="U5063">
        <v>0.14241029999999999</v>
      </c>
      <c r="V5063">
        <v>0.1872857</v>
      </c>
      <c r="W5063">
        <v>-8.4365510000000005E-2</v>
      </c>
      <c r="X5063">
        <v>0.97867590000000004</v>
      </c>
      <c r="Y5063">
        <v>0.26264979999999999</v>
      </c>
      <c r="Z5063">
        <v>3.4739720000000002E-2</v>
      </c>
      <c r="AA5063">
        <v>0.96426559999999994</v>
      </c>
      <c r="AB5063">
        <v>22</v>
      </c>
      <c r="AC5063">
        <v>-10.5541</v>
      </c>
      <c r="AD5063">
        <v>-1.1148951002609999</v>
      </c>
      <c r="AE5063">
        <v>0.55060000000000198</v>
      </c>
      <c r="AF5063">
        <v>2.8165011759173799</v>
      </c>
      <c r="AG5063">
        <v>-1.1148951002609999</v>
      </c>
      <c r="AH5063">
        <v>10.065506321565</v>
      </c>
      <c r="AI5063">
        <v>96.088532770356295</v>
      </c>
      <c r="AJ5063">
        <v>74.367469504038297</v>
      </c>
      <c r="AK5063">
        <v>10.511426519174</v>
      </c>
      <c r="AL5063">
        <v>94.839540240050894</v>
      </c>
      <c r="AM5063">
        <v>79.166489772268406</v>
      </c>
      <c r="AN5063">
        <v>0.99999999497143</v>
      </c>
    </row>
    <row r="5064" spans="1:40" x14ac:dyDescent="0.25">
      <c r="A5064" t="str">
        <f>"20190303154239421"</f>
        <v>20190303154239421</v>
      </c>
      <c r="B5064" t="str">
        <f>"1551598959415264"</f>
        <v>1551598959415264</v>
      </c>
      <c r="C5064" t="s">
        <v>40</v>
      </c>
      <c r="D5064">
        <v>5.889634</v>
      </c>
      <c r="E5064">
        <v>0.52981230000000001</v>
      </c>
      <c r="F5064" t="s">
        <v>41</v>
      </c>
      <c r="G5064">
        <v>-217.5976</v>
      </c>
      <c r="H5064" s="1">
        <v>-1.864965E-6</v>
      </c>
      <c r="I5064">
        <v>142.4308</v>
      </c>
      <c r="J5064">
        <v>-206.77520000000001</v>
      </c>
      <c r="K5064">
        <v>1.1150359999999999</v>
      </c>
      <c r="L5064">
        <v>141.84559999999999</v>
      </c>
      <c r="M5064">
        <v>-0.97794230000000004</v>
      </c>
      <c r="N5064">
        <v>-1.468299E-2</v>
      </c>
      <c r="O5064">
        <v>-0.20835880000000001</v>
      </c>
      <c r="P5064">
        <v>-0.99512449999999997</v>
      </c>
      <c r="Q5064">
        <v>-9.4962729999999995E-2</v>
      </c>
      <c r="R5064">
        <v>-2.663627E-2</v>
      </c>
      <c r="S5064">
        <v>-2.9906459999999999</v>
      </c>
      <c r="T5064">
        <v>-0.30174200000000001</v>
      </c>
      <c r="U5064">
        <v>0.14814759999999999</v>
      </c>
      <c r="V5064">
        <v>0.18011369999999999</v>
      </c>
      <c r="W5064">
        <v>-8.3228250000000004E-2</v>
      </c>
      <c r="X5064">
        <v>0.9801185</v>
      </c>
      <c r="Y5064">
        <v>0.25427719999999998</v>
      </c>
      <c r="Z5064">
        <v>3.2463649999999997E-2</v>
      </c>
      <c r="AA5064">
        <v>0.96658639999999996</v>
      </c>
      <c r="AB5064">
        <v>22</v>
      </c>
      <c r="AC5064">
        <v>-10.822399999999901</v>
      </c>
      <c r="AD5064">
        <v>-1.1150378649649999</v>
      </c>
      <c r="AE5064">
        <v>0.58520000000001404</v>
      </c>
      <c r="AF5064">
        <v>2.7979245443436098</v>
      </c>
      <c r="AG5064">
        <v>-1.1150378649649999</v>
      </c>
      <c r="AH5064">
        <v>10.353295569813501</v>
      </c>
      <c r="AI5064">
        <v>95.935669048636896</v>
      </c>
      <c r="AJ5064">
        <v>74.877351388430398</v>
      </c>
      <c r="AK5064">
        <v>10.782505291075299</v>
      </c>
      <c r="AL5064">
        <v>94.774149642969704</v>
      </c>
      <c r="AM5064">
        <v>79.587089845451302</v>
      </c>
      <c r="AN5064">
        <v>1.0000000802839899</v>
      </c>
    </row>
    <row r="5065" spans="1:40" x14ac:dyDescent="0.25">
      <c r="A5065" t="str">
        <f>"20190303154239444"</f>
        <v>20190303154239444</v>
      </c>
      <c r="B5065" t="str">
        <f>"1551598959434784"</f>
        <v>1551598959434784</v>
      </c>
      <c r="C5065" t="s">
        <v>40</v>
      </c>
      <c r="D5065">
        <v>5.8874029999999999</v>
      </c>
      <c r="E5065">
        <v>0.52981599999999995</v>
      </c>
      <c r="F5065" t="s">
        <v>41</v>
      </c>
      <c r="G5065">
        <v>-218.01830000000001</v>
      </c>
      <c r="H5065" s="1">
        <v>-1.668653E-6</v>
      </c>
      <c r="I5065">
        <v>142.44030000000001</v>
      </c>
      <c r="J5065">
        <v>-207.0043</v>
      </c>
      <c r="K5065">
        <v>1.1151530000000001</v>
      </c>
      <c r="L5065">
        <v>141.80959999999999</v>
      </c>
      <c r="M5065">
        <v>-0.98011579999999998</v>
      </c>
      <c r="N5065">
        <v>-1.459074E-2</v>
      </c>
      <c r="O5065">
        <v>-0.19788890000000001</v>
      </c>
      <c r="P5065">
        <v>-0.99529840000000003</v>
      </c>
      <c r="Q5065">
        <v>-9.4329280000000001E-2</v>
      </c>
      <c r="R5065">
        <v>-2.1980079999999999E-2</v>
      </c>
      <c r="S5065">
        <v>-2.9906160000000002</v>
      </c>
      <c r="T5065">
        <v>-0.296595099999999</v>
      </c>
      <c r="U5065">
        <v>0.15820310000000001</v>
      </c>
      <c r="V5065">
        <v>0.17426720000000001</v>
      </c>
      <c r="W5065">
        <v>-8.2531640000000003E-2</v>
      </c>
      <c r="X5065">
        <v>0.98123369999999999</v>
      </c>
      <c r="Y5065">
        <v>0.2473273</v>
      </c>
      <c r="Z5065">
        <v>3.0638240000000001E-2</v>
      </c>
      <c r="AA5065">
        <v>0.96844739999999996</v>
      </c>
      <c r="AB5065">
        <v>22</v>
      </c>
      <c r="AC5065">
        <v>-11.013999999999999</v>
      </c>
      <c r="AD5065">
        <v>-1.1151546686530001</v>
      </c>
      <c r="AE5065">
        <v>0.63070000000001802</v>
      </c>
      <c r="AF5065">
        <v>2.7697050346880401</v>
      </c>
      <c r="AG5065">
        <v>-1.1151546686530001</v>
      </c>
      <c r="AH5065">
        <v>10.563388641217699</v>
      </c>
      <c r="AI5065">
        <v>95.830610402936202</v>
      </c>
      <c r="AJ5065">
        <v>75.307856456192098</v>
      </c>
      <c r="AK5065">
        <v>10.977249906037599</v>
      </c>
      <c r="AL5065">
        <v>94.734099177357294</v>
      </c>
      <c r="AM5065">
        <v>79.929270797900301</v>
      </c>
      <c r="AN5065">
        <v>1.0000000513063001</v>
      </c>
    </row>
    <row r="5066" spans="1:40" x14ac:dyDescent="0.25">
      <c r="A5066" t="str">
        <f>"20190303154239466"</f>
        <v>20190303154239466</v>
      </c>
      <c r="B5066" t="str">
        <f>"1551598959455280"</f>
        <v>1551598959455280</v>
      </c>
      <c r="C5066" t="s">
        <v>40</v>
      </c>
      <c r="D5066">
        <v>5.9105809999999996</v>
      </c>
      <c r="E5066">
        <v>0.52969409999999995</v>
      </c>
      <c r="F5066" t="s">
        <v>41</v>
      </c>
      <c r="G5066">
        <v>-218.41640000000001</v>
      </c>
      <c r="H5066" s="1">
        <v>-1.487394E-6</v>
      </c>
      <c r="I5066">
        <v>142.46629999999999</v>
      </c>
      <c r="J5066">
        <v>-207.2157</v>
      </c>
      <c r="K5066">
        <v>1.115227</v>
      </c>
      <c r="L5066">
        <v>141.77850000000001</v>
      </c>
      <c r="M5066">
        <v>-0.98199479999999995</v>
      </c>
      <c r="N5066">
        <v>-1.444807E-2</v>
      </c>
      <c r="O5066">
        <v>-0.1883551</v>
      </c>
      <c r="P5066">
        <v>-0.99551060000000002</v>
      </c>
      <c r="Q5066">
        <v>-9.2688110000000004E-2</v>
      </c>
      <c r="R5066">
        <v>-1.917957E-2</v>
      </c>
      <c r="S5066">
        <v>-2.9902950000000001</v>
      </c>
      <c r="T5066">
        <v>-0.29220269999999998</v>
      </c>
      <c r="U5066">
        <v>0.17207339999999999</v>
      </c>
      <c r="V5066">
        <v>0.16756599999999999</v>
      </c>
      <c r="W5066">
        <v>-8.0878119999999998E-2</v>
      </c>
      <c r="X5066">
        <v>0.98253769999999996</v>
      </c>
      <c r="Y5066">
        <v>0.24251619999999999</v>
      </c>
      <c r="Z5066">
        <v>2.913549E-2</v>
      </c>
      <c r="AA5066">
        <v>0.96970979999999996</v>
      </c>
      <c r="AB5066">
        <v>22</v>
      </c>
      <c r="AC5066">
        <v>-11.200699999999999</v>
      </c>
      <c r="AD5066">
        <v>-1.1152284873939999</v>
      </c>
      <c r="AE5066">
        <v>0.68779999999998098</v>
      </c>
      <c r="AF5066">
        <v>2.75817438920188</v>
      </c>
      <c r="AG5066">
        <v>-1.1152284873939999</v>
      </c>
      <c r="AH5066">
        <v>10.764298679568901</v>
      </c>
      <c r="AI5066">
        <v>95.731132912325293</v>
      </c>
      <c r="AJ5066">
        <v>75.628106131942602</v>
      </c>
      <c r="AK5066">
        <v>11.1678729668327</v>
      </c>
      <c r="AL5066">
        <v>94.639041951544897</v>
      </c>
      <c r="AM5066">
        <v>80.321658857457805</v>
      </c>
      <c r="AN5066">
        <v>0.99999998328601203</v>
      </c>
    </row>
    <row r="5067" spans="1:40" x14ac:dyDescent="0.25">
      <c r="A5067" t="str">
        <f>"20190303154239487"</f>
        <v>20190303154239487</v>
      </c>
      <c r="B5067" t="str">
        <f>"1551598959474800"</f>
        <v>1551598959474800</v>
      </c>
      <c r="C5067" t="s">
        <v>40</v>
      </c>
      <c r="D5067">
        <v>5.9079940000000004</v>
      </c>
      <c r="E5067">
        <v>0.5036427</v>
      </c>
      <c r="F5067" t="s">
        <v>41</v>
      </c>
      <c r="G5067">
        <v>-218.87309999999999</v>
      </c>
      <c r="H5067" s="1">
        <v>-1.274574E-6</v>
      </c>
      <c r="I5067">
        <v>142.47799999999901</v>
      </c>
      <c r="J5067">
        <v>-207.42150000000001</v>
      </c>
      <c r="K5067">
        <v>1.115278</v>
      </c>
      <c r="L5067">
        <v>141.7501</v>
      </c>
      <c r="M5067">
        <v>-0.98370950000000001</v>
      </c>
      <c r="N5067">
        <v>-1.4246450000000001E-2</v>
      </c>
      <c r="O5067">
        <v>-0.17920039999999901</v>
      </c>
      <c r="P5067">
        <v>-0.99570749999999997</v>
      </c>
      <c r="Q5067">
        <v>-9.1027899999999995E-2</v>
      </c>
      <c r="R5067">
        <v>-1.6748579999999999E-2</v>
      </c>
      <c r="S5067">
        <v>-2.9903559999999998</v>
      </c>
      <c r="T5067">
        <v>-0.28607709999999997</v>
      </c>
      <c r="U5067">
        <v>0.17942810000000001</v>
      </c>
      <c r="V5067">
        <v>0.160881</v>
      </c>
      <c r="W5067">
        <v>-7.9273440000000001E-2</v>
      </c>
      <c r="X5067">
        <v>0.98378500000000002</v>
      </c>
      <c r="Y5067">
        <v>0.2359995</v>
      </c>
      <c r="Z5067">
        <v>2.74293E-2</v>
      </c>
      <c r="AA5067">
        <v>0.97136599999999995</v>
      </c>
      <c r="AB5067">
        <v>22</v>
      </c>
      <c r="AC5067">
        <v>-11.4515999999999</v>
      </c>
      <c r="AD5067">
        <v>-1.1152792745739999</v>
      </c>
      <c r="AE5067">
        <v>0.72789999999997601</v>
      </c>
      <c r="AF5067">
        <v>2.7425460033767299</v>
      </c>
      <c r="AG5067">
        <v>-1.1152792745739999</v>
      </c>
      <c r="AH5067">
        <v>11.0315247772562</v>
      </c>
      <c r="AI5067">
        <v>95.603510769935994</v>
      </c>
      <c r="AJ5067">
        <v>76.038744082061598</v>
      </c>
      <c r="AK5067">
        <v>11.4219063799415</v>
      </c>
      <c r="AL5067">
        <v>94.546804503198004</v>
      </c>
      <c r="AM5067">
        <v>80.712477071282294</v>
      </c>
      <c r="AN5067">
        <v>0.99999995033771505</v>
      </c>
    </row>
    <row r="5068" spans="1:40" x14ac:dyDescent="0.25">
      <c r="A5068" t="str">
        <f>"20190303154239509"</f>
        <v>20190303154239509</v>
      </c>
      <c r="B5068" t="str">
        <f>"1551598959505056"</f>
        <v>1551598959505056</v>
      </c>
      <c r="C5068" t="s">
        <v>40</v>
      </c>
      <c r="D5068">
        <v>5.9296189999999998</v>
      </c>
      <c r="E5068">
        <v>0.50043289999999996</v>
      </c>
      <c r="F5068" t="s">
        <v>42</v>
      </c>
      <c r="G5068">
        <v>-208.24709999999999</v>
      </c>
      <c r="H5068">
        <v>1.033188</v>
      </c>
      <c r="I5068">
        <v>141.74440000000001</v>
      </c>
      <c r="J5068">
        <v>-207.64009999999999</v>
      </c>
      <c r="K5068">
        <v>1.1153219999999999</v>
      </c>
      <c r="L5068">
        <v>141.7218</v>
      </c>
      <c r="M5068">
        <v>-0.98541040000000002</v>
      </c>
      <c r="N5068">
        <v>-1.3989120000000001E-2</v>
      </c>
      <c r="O5068">
        <v>-0.16961909999999999</v>
      </c>
      <c r="P5068">
        <v>-0.99589589999999995</v>
      </c>
      <c r="Q5068">
        <v>-8.9374040000000002E-2</v>
      </c>
      <c r="R5068">
        <v>-1.426934E-2</v>
      </c>
      <c r="S5068">
        <v>-2.985474</v>
      </c>
      <c r="T5068">
        <v>-0.29660049999999999</v>
      </c>
      <c r="U5068">
        <v>-2.0706180000000001E-2</v>
      </c>
      <c r="V5068">
        <v>0.1538223</v>
      </c>
      <c r="W5068">
        <v>-7.7724920000000003E-2</v>
      </c>
      <c r="X5068">
        <v>0.98503680000000005</v>
      </c>
      <c r="Y5068">
        <v>0.16128149999999999</v>
      </c>
      <c r="Z5068">
        <v>2.34919E-2</v>
      </c>
      <c r="AA5068">
        <v>0.98662879999999997</v>
      </c>
      <c r="AB5068">
        <v>22</v>
      </c>
      <c r="AC5068">
        <v>-0.60699999999999898</v>
      </c>
      <c r="AD5068">
        <v>-8.2133999999999902E-2</v>
      </c>
      <c r="AE5068">
        <v>2.2600000000011201E-2</v>
      </c>
      <c r="AF5068">
        <v>0.12299255078537299</v>
      </c>
      <c r="AG5068">
        <v>-8.2133999999999902E-2</v>
      </c>
      <c r="AH5068">
        <v>0.58369667911415601</v>
      </c>
      <c r="AI5068">
        <v>97.839758931840905</v>
      </c>
      <c r="AJ5068">
        <v>78.101093271074006</v>
      </c>
      <c r="AK5068">
        <v>0.60214198883119496</v>
      </c>
      <c r="AL5068">
        <v>94.457806062614793</v>
      </c>
      <c r="AM5068">
        <v>81.124434077495494</v>
      </c>
      <c r="AN5068">
        <v>0.99999998026026804</v>
      </c>
    </row>
    <row r="5069" spans="1:40" x14ac:dyDescent="0.25">
      <c r="A5069" t="str">
        <f>"20190303154239531"</f>
        <v>20190303154239531</v>
      </c>
      <c r="B5069" t="str">
        <f>"1551598959524576"</f>
        <v>1551598959524576</v>
      </c>
      <c r="C5069" t="s">
        <v>40</v>
      </c>
      <c r="D5069">
        <v>5.9637890000000002</v>
      </c>
      <c r="E5069">
        <v>0.50072209999999995</v>
      </c>
      <c r="F5069" t="s">
        <v>42</v>
      </c>
      <c r="G5069">
        <v>-208.4434</v>
      </c>
      <c r="H5069">
        <v>1.038994</v>
      </c>
      <c r="I5069">
        <v>141.7114</v>
      </c>
      <c r="J5069">
        <v>-207.86170000000001</v>
      </c>
      <c r="K5069">
        <v>1.1153789999999999</v>
      </c>
      <c r="L5069">
        <v>141.6952</v>
      </c>
      <c r="M5069">
        <v>-0.98701419999999995</v>
      </c>
      <c r="N5069">
        <v>-1.3712E-2</v>
      </c>
      <c r="O5069">
        <v>-0.16004769999999999</v>
      </c>
      <c r="P5069">
        <v>-0.99596859999999998</v>
      </c>
      <c r="Q5069">
        <v>-8.8981580000000005E-2</v>
      </c>
      <c r="R5069">
        <v>-1.1360189999999999E-2</v>
      </c>
      <c r="S5069">
        <v>-2.986313</v>
      </c>
      <c r="T5069">
        <v>-0.28387119999999999</v>
      </c>
      <c r="U5069">
        <v>-3.8955690000000001E-2</v>
      </c>
      <c r="V5069">
        <v>0.14716949999999901</v>
      </c>
      <c r="W5069">
        <v>-7.7465160000000005E-2</v>
      </c>
      <c r="X5069">
        <v>0.98607319999999998</v>
      </c>
      <c r="Y5069">
        <v>0.14589859999999999</v>
      </c>
      <c r="Z5069">
        <v>2.084894E-2</v>
      </c>
      <c r="AA5069">
        <v>0.98907979999999995</v>
      </c>
      <c r="AB5069">
        <v>22</v>
      </c>
      <c r="AC5069">
        <v>-0.58169999999998301</v>
      </c>
      <c r="AD5069">
        <v>-7.6385000000000106E-2</v>
      </c>
      <c r="AE5069">
        <v>1.6199999999997699E-2</v>
      </c>
      <c r="AF5069">
        <v>0.107251686968334</v>
      </c>
      <c r="AG5069">
        <v>-7.6385000000000106E-2</v>
      </c>
      <c r="AH5069">
        <v>0.56192515351945704</v>
      </c>
      <c r="AI5069">
        <v>97.605384054405803</v>
      </c>
      <c r="AJ5069">
        <v>79.194221959355204</v>
      </c>
      <c r="AK5069">
        <v>0.57714597004607004</v>
      </c>
      <c r="AL5069">
        <v>94.442877661225396</v>
      </c>
      <c r="AM5069">
        <v>81.511374671632794</v>
      </c>
      <c r="AN5069">
        <v>1.0000000342511499</v>
      </c>
    </row>
    <row r="5070" spans="1:40" x14ac:dyDescent="0.25">
      <c r="A5070" t="str">
        <f>"20190303154239553"</f>
        <v>20190303154239553</v>
      </c>
      <c r="B5070" t="str">
        <f>"1551598959545075"</f>
        <v>1551598959545075</v>
      </c>
      <c r="C5070" t="s">
        <v>40</v>
      </c>
      <c r="D5070">
        <v>5.9370450000000003</v>
      </c>
      <c r="E5070">
        <v>0.50105639999999996</v>
      </c>
      <c r="F5070" t="s">
        <v>42</v>
      </c>
      <c r="G5070">
        <v>-208.63990000000001</v>
      </c>
      <c r="H5070">
        <v>1.0408379999999999</v>
      </c>
      <c r="I5070">
        <v>141.68809999999999</v>
      </c>
      <c r="J5070">
        <v>-208.08109999999999</v>
      </c>
      <c r="K5070">
        <v>1.115434</v>
      </c>
      <c r="L5070">
        <v>141.67070000000001</v>
      </c>
      <c r="M5070">
        <v>-0.98848999999999998</v>
      </c>
      <c r="N5070">
        <v>-1.342839E-2</v>
      </c>
      <c r="O5070">
        <v>-0.15068889999999999</v>
      </c>
      <c r="P5070">
        <v>-0.99599669999999896</v>
      </c>
      <c r="Q5070">
        <v>-8.9009539999999998E-2</v>
      </c>
      <c r="R5070">
        <v>-8.2429180000000001E-3</v>
      </c>
      <c r="S5070">
        <v>-2.986313</v>
      </c>
      <c r="T5070">
        <v>-0.2854563</v>
      </c>
      <c r="U5070">
        <v>-2.7893069999999999E-2</v>
      </c>
      <c r="V5070">
        <v>0.14093159999999999</v>
      </c>
      <c r="W5070">
        <v>-7.7641799999999997E-2</v>
      </c>
      <c r="X5070">
        <v>0.98697009999999996</v>
      </c>
      <c r="Y5070">
        <v>0.14023089999999999</v>
      </c>
      <c r="Z5070">
        <v>1.9932249999999999E-2</v>
      </c>
      <c r="AA5070">
        <v>0.98991819999999997</v>
      </c>
      <c r="AB5070">
        <v>22</v>
      </c>
      <c r="AC5070">
        <v>-0.55880000000001895</v>
      </c>
      <c r="AD5070">
        <v>-7.4596000000000107E-2</v>
      </c>
      <c r="AE5070">
        <v>1.7399999999980698E-2</v>
      </c>
      <c r="AF5070">
        <v>9.9639923248112494E-2</v>
      </c>
      <c r="AG5070">
        <v>-7.4596000000000107E-2</v>
      </c>
      <c r="AH5070">
        <v>0.54017891369023696</v>
      </c>
      <c r="AI5070">
        <v>97.733683177929805</v>
      </c>
      <c r="AJ5070">
        <v>79.548852324394304</v>
      </c>
      <c r="AK5070">
        <v>0.55433377699401798</v>
      </c>
      <c r="AL5070">
        <v>94.453029240508002</v>
      </c>
      <c r="AM5070">
        <v>81.873546027197804</v>
      </c>
      <c r="AN5070">
        <v>0.99999997163990395</v>
      </c>
    </row>
    <row r="5071" spans="1:40" x14ac:dyDescent="0.25">
      <c r="A5071" t="str">
        <f>"20190303154239577"</f>
        <v>20190303154239577</v>
      </c>
      <c r="B5071" t="str">
        <f>"1551598959564592"</f>
        <v>1551598959564592</v>
      </c>
      <c r="C5071" t="s">
        <v>40</v>
      </c>
      <c r="D5071">
        <v>5.9275659999999997</v>
      </c>
      <c r="E5071">
        <v>0.50064299999999995</v>
      </c>
      <c r="F5071" t="s">
        <v>42</v>
      </c>
      <c r="G5071">
        <v>-208.8365</v>
      </c>
      <c r="H5071">
        <v>1.0419940000000001</v>
      </c>
      <c r="I5071">
        <v>141.66669999999999</v>
      </c>
      <c r="J5071">
        <v>-208.30860000000001</v>
      </c>
      <c r="K5071">
        <v>1.1154900000000001</v>
      </c>
      <c r="L5071">
        <v>141.6473</v>
      </c>
      <c r="M5071">
        <v>-0.98990579999999995</v>
      </c>
      <c r="N5071">
        <v>-1.3117780000000001E-2</v>
      </c>
      <c r="O5071">
        <v>-0.1411192</v>
      </c>
      <c r="P5071">
        <v>-0.99608810000000003</v>
      </c>
      <c r="Q5071">
        <v>-8.820298E-2</v>
      </c>
      <c r="R5071">
        <v>-5.4048400000000002E-3</v>
      </c>
      <c r="S5071">
        <v>-2.9859619999999998</v>
      </c>
      <c r="T5071">
        <v>-0.29038069999999999</v>
      </c>
      <c r="U5071">
        <v>-1.5762330000000001E-2</v>
      </c>
      <c r="V5071">
        <v>0.13423470000000001</v>
      </c>
      <c r="W5071">
        <v>-7.7008720000000003E-2</v>
      </c>
      <c r="X5071">
        <v>0.98795279999999996</v>
      </c>
      <c r="Y5071">
        <v>0.1346878</v>
      </c>
      <c r="Z5071">
        <v>1.9222639999999999E-2</v>
      </c>
      <c r="AA5071">
        <v>0.99070159999999996</v>
      </c>
      <c r="AB5071">
        <v>22</v>
      </c>
      <c r="AC5071">
        <v>-0.52789999999998805</v>
      </c>
      <c r="AD5071">
        <v>-7.34959999999997E-2</v>
      </c>
      <c r="AE5071">
        <v>1.93999999999903E-2</v>
      </c>
      <c r="AF5071">
        <v>9.1929571501386698E-2</v>
      </c>
      <c r="AG5071">
        <v>-7.34959999999997E-2</v>
      </c>
      <c r="AH5071">
        <v>0.510006054152917</v>
      </c>
      <c r="AI5071">
        <v>98.072001639273296</v>
      </c>
      <c r="AJ5071">
        <v>79.782045811299795</v>
      </c>
      <c r="AK5071">
        <v>0.52341081705010395</v>
      </c>
      <c r="AL5071">
        <v>94.416647299111403</v>
      </c>
      <c r="AM5071">
        <v>82.262514330646795</v>
      </c>
      <c r="AN5071">
        <v>1.0000000163339799</v>
      </c>
    </row>
    <row r="5072" spans="1:40" x14ac:dyDescent="0.25">
      <c r="A5072" t="str">
        <f>"20190303154239598"</f>
        <v>20190303154239598</v>
      </c>
      <c r="B5072" t="str">
        <f>"1551598959594848"</f>
        <v>1551598959594848</v>
      </c>
      <c r="C5072" t="s">
        <v>40</v>
      </c>
      <c r="D5072">
        <v>5.9130539999999998</v>
      </c>
      <c r="E5072">
        <v>0.500413</v>
      </c>
      <c r="F5072" t="s">
        <v>42</v>
      </c>
      <c r="G5072">
        <v>-209.22290000000001</v>
      </c>
      <c r="H5072">
        <v>1.0246309999999901</v>
      </c>
      <c r="I5072">
        <v>141.64410000000001</v>
      </c>
      <c r="J5072">
        <v>-208.5247</v>
      </c>
      <c r="K5072">
        <v>1.115523</v>
      </c>
      <c r="L5072">
        <v>141.62700000000001</v>
      </c>
      <c r="M5072">
        <v>-0.99114610000000003</v>
      </c>
      <c r="N5072">
        <v>-1.281386E-2</v>
      </c>
      <c r="O5072">
        <v>-0.13215669999999999</v>
      </c>
      <c r="P5072">
        <v>-0.99625439999999998</v>
      </c>
      <c r="Q5072">
        <v>-8.6388199999999998E-2</v>
      </c>
      <c r="R5072">
        <v>-3.8048859999999999E-3</v>
      </c>
      <c r="S5072">
        <v>-2.9854889999999998</v>
      </c>
      <c r="T5072">
        <v>-0.29652849999999997</v>
      </c>
      <c r="U5072">
        <v>-1.037598E-2</v>
      </c>
      <c r="V5072">
        <v>0.12694049999999901</v>
      </c>
      <c r="W5072">
        <v>-7.5362760000000001E-2</v>
      </c>
      <c r="X5072">
        <v>0.98904320000000001</v>
      </c>
      <c r="Y5072">
        <v>0.1275231</v>
      </c>
      <c r="Z5072">
        <v>1.850738E-2</v>
      </c>
      <c r="AA5072">
        <v>0.99166290000000001</v>
      </c>
      <c r="AB5072">
        <v>22</v>
      </c>
      <c r="AC5072">
        <v>-0.69820000000001403</v>
      </c>
      <c r="AD5072">
        <v>-9.0892000000000195E-2</v>
      </c>
      <c r="AE5072">
        <v>1.7099999999999199E-2</v>
      </c>
      <c r="AF5072">
        <v>0.10741018016336901</v>
      </c>
      <c r="AG5072">
        <v>-9.0892000000000195E-2</v>
      </c>
      <c r="AH5072">
        <v>0.67832622826001898</v>
      </c>
      <c r="AI5072">
        <v>97.539032711316693</v>
      </c>
      <c r="AJ5072">
        <v>81.002153920504</v>
      </c>
      <c r="AK5072">
        <v>0.69276603150861105</v>
      </c>
      <c r="AL5072">
        <v>94.3220661551305</v>
      </c>
      <c r="AM5072">
        <v>82.686256372086007</v>
      </c>
      <c r="AN5072">
        <v>0.99999994380065205</v>
      </c>
    </row>
    <row r="5073" spans="1:40" x14ac:dyDescent="0.25">
      <c r="A5073" t="str">
        <f>"20190303154239623"</f>
        <v>20190303154239623</v>
      </c>
      <c r="B5073" t="str">
        <f>"1551598959615344"</f>
        <v>1551598959615344</v>
      </c>
      <c r="C5073" t="s">
        <v>40</v>
      </c>
      <c r="D5073">
        <v>5.9290129999999897</v>
      </c>
      <c r="E5073">
        <v>0.50032349999999903</v>
      </c>
      <c r="F5073" t="s">
        <v>42</v>
      </c>
      <c r="G5073">
        <v>-209.42089999999999</v>
      </c>
      <c r="H5073">
        <v>1.0261229999999999</v>
      </c>
      <c r="I5073">
        <v>141.625</v>
      </c>
      <c r="J5073">
        <v>-208.75710000000001</v>
      </c>
      <c r="K5073">
        <v>1.1155349999999999</v>
      </c>
      <c r="L5073">
        <v>141.60720000000001</v>
      </c>
      <c r="M5073">
        <v>-0.99237240000000004</v>
      </c>
      <c r="N5073">
        <v>-1.2500789999999999E-2</v>
      </c>
      <c r="O5073">
        <v>-0.12264120000000001</v>
      </c>
      <c r="P5073">
        <v>-0.99646420000000002</v>
      </c>
      <c r="Q5073">
        <v>-8.400995E-2</v>
      </c>
      <c r="R5073">
        <v>-1.2052129999999999E-3</v>
      </c>
      <c r="S5073">
        <v>-2.9854889999999998</v>
      </c>
      <c r="T5073">
        <v>-0.29733530000000002</v>
      </c>
      <c r="U5073">
        <v>-7.2937009999999997E-3</v>
      </c>
      <c r="V5073">
        <v>0.1200961</v>
      </c>
      <c r="W5073">
        <v>-7.3178869999999993E-2</v>
      </c>
      <c r="X5073">
        <v>0.99006150000000004</v>
      </c>
      <c r="Y5073">
        <v>0.119101</v>
      </c>
      <c r="Z5073">
        <v>1.7290420000000001E-2</v>
      </c>
      <c r="AA5073">
        <v>0.99273160000000005</v>
      </c>
      <c r="AB5073">
        <v>22</v>
      </c>
      <c r="AC5073">
        <v>-0.66379999999997996</v>
      </c>
      <c r="AD5073">
        <v>-8.9412000000000005E-2</v>
      </c>
      <c r="AE5073">
        <v>1.7799999999994001E-2</v>
      </c>
      <c r="AF5073">
        <v>9.7316810817786495E-2</v>
      </c>
      <c r="AG5073">
        <v>-8.9412000000000005E-2</v>
      </c>
      <c r="AH5073">
        <v>0.64491259631664499</v>
      </c>
      <c r="AI5073">
        <v>97.806020935243296</v>
      </c>
      <c r="AJ5073">
        <v>81.418852997106598</v>
      </c>
      <c r="AK5073">
        <v>0.65831400129392703</v>
      </c>
      <c r="AL5073">
        <v>94.196591672769699</v>
      </c>
      <c r="AM5073">
        <v>83.083717220658102</v>
      </c>
      <c r="AN5073">
        <v>0.99999999701596798</v>
      </c>
    </row>
    <row r="5074" spans="1:40" x14ac:dyDescent="0.25">
      <c r="A5074" t="str">
        <f>"20190303154239646"</f>
        <v>20190303154239646</v>
      </c>
      <c r="B5074" t="str">
        <f>"1551598959634864"</f>
        <v>1551598959634864</v>
      </c>
      <c r="C5074" t="s">
        <v>40</v>
      </c>
      <c r="D5074">
        <v>5.9315980000000001</v>
      </c>
      <c r="E5074">
        <v>0.50026119999999996</v>
      </c>
      <c r="F5074" t="s">
        <v>42</v>
      </c>
      <c r="G5074">
        <v>-209.62090000000001</v>
      </c>
      <c r="H5074">
        <v>1.030508</v>
      </c>
      <c r="I5074">
        <v>141.6071</v>
      </c>
      <c r="J5074">
        <v>-208.98750000000001</v>
      </c>
      <c r="K5074">
        <v>1.1155349999999999</v>
      </c>
      <c r="L5074">
        <v>141.58959999999999</v>
      </c>
      <c r="M5074">
        <v>-0.99348369999999997</v>
      </c>
      <c r="N5074">
        <v>-1.220681E-2</v>
      </c>
      <c r="O5074">
        <v>-0.11331910000000001</v>
      </c>
      <c r="P5074">
        <v>-0.99647050000000004</v>
      </c>
      <c r="Q5074">
        <v>-8.3938780000000004E-2</v>
      </c>
      <c r="R5074">
        <v>1.0741570000000001E-3</v>
      </c>
      <c r="S5074">
        <v>-2.9858549999999999</v>
      </c>
      <c r="T5074">
        <v>-0.29406209999999899</v>
      </c>
      <c r="U5074" s="1">
        <v>-6.1035159999999999E-5</v>
      </c>
      <c r="V5074">
        <v>0.113072699999999</v>
      </c>
      <c r="W5074">
        <v>-7.3291549999999997E-2</v>
      </c>
      <c r="X5074">
        <v>0.99087990000000004</v>
      </c>
      <c r="Y5074">
        <v>0.11227760000000001</v>
      </c>
      <c r="Z5074">
        <v>1.5935299999999999E-2</v>
      </c>
      <c r="AA5074">
        <v>0.99354909999999996</v>
      </c>
      <c r="AB5074">
        <v>22</v>
      </c>
      <c r="AC5074">
        <v>-0.63339999999999397</v>
      </c>
      <c r="AD5074">
        <v>-8.5026999999999894E-2</v>
      </c>
      <c r="AE5074">
        <v>1.7500000000012499E-2</v>
      </c>
      <c r="AF5074">
        <v>8.7591713499575202E-2</v>
      </c>
      <c r="AG5074">
        <v>-8.5026999999999894E-2</v>
      </c>
      <c r="AH5074">
        <v>0.61623995873791304</v>
      </c>
      <c r="AI5074">
        <v>97.778689215533504</v>
      </c>
      <c r="AJ5074">
        <v>81.910226957455293</v>
      </c>
      <c r="AK5074">
        <v>0.62821460166737297</v>
      </c>
      <c r="AL5074">
        <v>94.203064999242002</v>
      </c>
      <c r="AM5074">
        <v>83.489942567307693</v>
      </c>
      <c r="AN5074">
        <v>1.0000000315053501</v>
      </c>
    </row>
    <row r="5075" spans="1:40" x14ac:dyDescent="0.25">
      <c r="A5075" t="str">
        <f>"20190303154239667"</f>
        <v>20190303154239667</v>
      </c>
      <c r="B5075" t="str">
        <f>"1551598959655360"</f>
        <v>1551598959655360</v>
      </c>
      <c r="C5075" t="s">
        <v>40</v>
      </c>
      <c r="D5075">
        <v>5.9303980000000003</v>
      </c>
      <c r="E5075">
        <v>0.50005469999999996</v>
      </c>
      <c r="F5075" t="s">
        <v>42</v>
      </c>
      <c r="G5075">
        <v>-209.82050000000001</v>
      </c>
      <c r="H5075">
        <v>1.032832</v>
      </c>
      <c r="I5075">
        <v>141.5915</v>
      </c>
      <c r="J5075">
        <v>-209.19890000000001</v>
      </c>
      <c r="K5075">
        <v>1.1155090000000001</v>
      </c>
      <c r="L5075">
        <v>141.5752</v>
      </c>
      <c r="M5075">
        <v>-0.9944153</v>
      </c>
      <c r="N5075">
        <v>-1.195075E-2</v>
      </c>
      <c r="O5075">
        <v>-0.1048598</v>
      </c>
      <c r="P5075">
        <v>-0.99645969999999995</v>
      </c>
      <c r="Q5075">
        <v>-8.4051529999999999E-2</v>
      </c>
      <c r="R5075">
        <v>1.9423699999999999E-3</v>
      </c>
      <c r="S5075">
        <v>-2.9856720000000001</v>
      </c>
      <c r="T5075">
        <v>-0.29625079999999998</v>
      </c>
      <c r="U5075">
        <v>6.4239500000000003E-3</v>
      </c>
      <c r="V5075">
        <v>0.1055043</v>
      </c>
      <c r="W5075">
        <v>-7.3547760000000004E-2</v>
      </c>
      <c r="X5075">
        <v>0.99169529999999995</v>
      </c>
      <c r="Y5075">
        <v>0.1060262</v>
      </c>
      <c r="Z5075">
        <v>1.499545E-2</v>
      </c>
      <c r="AA5075">
        <v>0.99425019999999997</v>
      </c>
      <c r="AB5075">
        <v>22</v>
      </c>
      <c r="AC5075">
        <v>-0.62160000000000004</v>
      </c>
      <c r="AD5075">
        <v>-8.2677000000000098E-2</v>
      </c>
      <c r="AE5075">
        <v>1.6300000000001001E-2</v>
      </c>
      <c r="AF5075">
        <v>7.9981659107412506E-2</v>
      </c>
      <c r="AG5075">
        <v>-8.2677000000000098E-2</v>
      </c>
      <c r="AH5075">
        <v>0.60575438709922802</v>
      </c>
      <c r="AI5075">
        <v>97.7059820640075</v>
      </c>
      <c r="AJ5075">
        <v>82.478376994558204</v>
      </c>
      <c r="AK5075">
        <v>0.61658002693286795</v>
      </c>
      <c r="AL5075">
        <v>94.217784612950695</v>
      </c>
      <c r="AM5075">
        <v>83.927269373540895</v>
      </c>
      <c r="AN5075">
        <v>0.99999999918079896</v>
      </c>
    </row>
    <row r="5076" spans="1:40" x14ac:dyDescent="0.25">
      <c r="A5076" t="str">
        <f>"20190303154239688"</f>
        <v>20190303154239688</v>
      </c>
      <c r="B5076" t="str">
        <f>"1551598959684641"</f>
        <v>1551598959684641</v>
      </c>
      <c r="C5076" t="s">
        <v>40</v>
      </c>
      <c r="D5076">
        <v>5.9025069999999999</v>
      </c>
      <c r="E5076">
        <v>0.4998128</v>
      </c>
      <c r="F5076" t="s">
        <v>42</v>
      </c>
      <c r="G5076">
        <v>-210.0197</v>
      </c>
      <c r="H5076">
        <v>1.0331049999999999</v>
      </c>
      <c r="I5076">
        <v>141.57730000000001</v>
      </c>
      <c r="J5076">
        <v>-209.41560000000001</v>
      </c>
      <c r="K5076">
        <v>1.115499</v>
      </c>
      <c r="L5076">
        <v>141.56229999999999</v>
      </c>
      <c r="M5076">
        <v>-0.99528589999999995</v>
      </c>
      <c r="N5076">
        <v>-1.170654E-2</v>
      </c>
      <c r="O5076">
        <v>-9.6276780000000006E-2</v>
      </c>
      <c r="P5076">
        <v>-0.99632529999999997</v>
      </c>
      <c r="Q5076">
        <v>-8.5642460000000004E-2</v>
      </c>
      <c r="R5076">
        <v>1.2008909999999999E-3</v>
      </c>
      <c r="S5076">
        <v>-2.9853670000000001</v>
      </c>
      <c r="T5076">
        <v>-0.29972300000000002</v>
      </c>
      <c r="U5076">
        <v>7.5073240000000001E-3</v>
      </c>
      <c r="V5076">
        <v>9.6183019999999994E-2</v>
      </c>
      <c r="W5076">
        <v>-7.5248250000000003E-2</v>
      </c>
      <c r="X5076">
        <v>0.99251529999999999</v>
      </c>
      <c r="Y5076">
        <v>9.7859959999999996E-2</v>
      </c>
      <c r="Z5076">
        <v>1.397938E-2</v>
      </c>
      <c r="AA5076">
        <v>0.99510200000000004</v>
      </c>
      <c r="AB5076">
        <v>22</v>
      </c>
      <c r="AC5076">
        <v>-0.60409999999998798</v>
      </c>
      <c r="AD5076">
        <v>-8.2393999999999995E-2</v>
      </c>
      <c r="AE5076">
        <v>1.5000000000014699E-2</v>
      </c>
      <c r="AF5076">
        <v>7.1760972002186493E-2</v>
      </c>
      <c r="AG5076">
        <v>-8.2393999999999995E-2</v>
      </c>
      <c r="AH5076">
        <v>0.58890074798247705</v>
      </c>
      <c r="AI5076">
        <v>97.906898427129207</v>
      </c>
      <c r="AJ5076">
        <v>83.052429589982097</v>
      </c>
      <c r="AK5076">
        <v>0.59895116605030496</v>
      </c>
      <c r="AL5076">
        <v>94.315486087798106</v>
      </c>
      <c r="AM5076">
        <v>84.464844670982203</v>
      </c>
      <c r="AN5076">
        <v>1.00000004659923</v>
      </c>
    </row>
    <row r="5077" spans="1:40" x14ac:dyDescent="0.25">
      <c r="A5077" t="str">
        <f>"20190303154239710"</f>
        <v>20190303154239710</v>
      </c>
      <c r="B5077" t="str">
        <f>"1551598959705137"</f>
        <v>1551598959705137</v>
      </c>
      <c r="C5077" t="s">
        <v>40</v>
      </c>
      <c r="D5077">
        <v>5.9123739999999998</v>
      </c>
      <c r="E5077">
        <v>0.4997953</v>
      </c>
      <c r="F5077" t="s">
        <v>42</v>
      </c>
      <c r="G5077">
        <v>-210.21879999999999</v>
      </c>
      <c r="H5077">
        <v>1.0323739999999999</v>
      </c>
      <c r="I5077">
        <v>141.5634</v>
      </c>
      <c r="J5077">
        <v>-209.6403</v>
      </c>
      <c r="K5077">
        <v>1.1155219999999999</v>
      </c>
      <c r="L5077">
        <v>141.5506</v>
      </c>
      <c r="M5077">
        <v>-0.99609919999999996</v>
      </c>
      <c r="N5077">
        <v>-1.147695E-2</v>
      </c>
      <c r="O5077">
        <v>-8.7490470000000001E-2</v>
      </c>
      <c r="P5077">
        <v>-0.99623779999999995</v>
      </c>
      <c r="Q5077">
        <v>-8.6659749999999994E-2</v>
      </c>
      <c r="R5077">
        <v>-5.4495800000000001E-4</v>
      </c>
      <c r="S5077">
        <v>-2.9845579999999998</v>
      </c>
      <c r="T5077">
        <v>-0.30842439999999999</v>
      </c>
      <c r="U5077">
        <v>3.6163329999999998E-3</v>
      </c>
      <c r="V5077">
        <v>8.5674509999999995E-2</v>
      </c>
      <c r="W5077">
        <v>-7.6343019999999998E-2</v>
      </c>
      <c r="X5077">
        <v>0.993394</v>
      </c>
      <c r="Y5077">
        <v>8.7816130000000006E-2</v>
      </c>
      <c r="Z5077">
        <v>1.3036799999999999E-2</v>
      </c>
      <c r="AA5077">
        <v>0.99605140000000003</v>
      </c>
      <c r="AB5077">
        <v>22</v>
      </c>
      <c r="AC5077">
        <v>-0.57849999999999102</v>
      </c>
      <c r="AD5077">
        <v>-8.3148E-2</v>
      </c>
      <c r="AE5077">
        <v>1.27999999999985E-2</v>
      </c>
      <c r="AF5077">
        <v>6.2085522201714802E-2</v>
      </c>
      <c r="AG5077">
        <v>-8.3148E-2</v>
      </c>
      <c r="AH5077">
        <v>0.56352556839541801</v>
      </c>
      <c r="AI5077">
        <v>98.343642631321501</v>
      </c>
      <c r="AJ5077">
        <v>83.712885952790202</v>
      </c>
      <c r="AK5077">
        <v>0.57300023403698397</v>
      </c>
      <c r="AL5077">
        <v>94.378392913391195</v>
      </c>
      <c r="AM5077">
        <v>85.070766252259105</v>
      </c>
      <c r="AN5077">
        <v>1.00000000880123</v>
      </c>
    </row>
    <row r="5078" spans="1:40" x14ac:dyDescent="0.25">
      <c r="A5078" t="str">
        <f>"20190303154239733"</f>
        <v>20190303154239733</v>
      </c>
      <c r="B5078" t="str">
        <f>"1551598959724657"</f>
        <v>1551598959724657</v>
      </c>
      <c r="C5078" t="s">
        <v>40</v>
      </c>
      <c r="D5078">
        <v>5.9009939999999999</v>
      </c>
      <c r="E5078">
        <v>0.4999731</v>
      </c>
      <c r="F5078" t="s">
        <v>42</v>
      </c>
      <c r="G5078">
        <v>-210.4194</v>
      </c>
      <c r="H5078">
        <v>1.0336019999999999</v>
      </c>
      <c r="I5078">
        <v>141.55029999999999</v>
      </c>
      <c r="J5078">
        <v>-209.86179999999999</v>
      </c>
      <c r="K5078">
        <v>1.115588</v>
      </c>
      <c r="L5078">
        <v>141.541</v>
      </c>
      <c r="M5078">
        <v>-0.99681450000000005</v>
      </c>
      <c r="N5078">
        <v>-1.1273190000000001E-2</v>
      </c>
      <c r="O5078">
        <v>-7.8955990000000004E-2</v>
      </c>
      <c r="P5078">
        <v>-0.99629409999999896</v>
      </c>
      <c r="Q5078">
        <v>-8.5976479999999994E-2</v>
      </c>
      <c r="R5078">
        <v>-2.513946E-3</v>
      </c>
      <c r="S5078">
        <v>-2.9840550000000001</v>
      </c>
      <c r="T5078">
        <v>-0.31358979999999997</v>
      </c>
      <c r="U5078">
        <v>-1.693726E-3</v>
      </c>
      <c r="V5078">
        <v>7.5229580000000004E-2</v>
      </c>
      <c r="W5078">
        <v>-7.5710639999999996E-2</v>
      </c>
      <c r="X5078">
        <v>0.9942879</v>
      </c>
      <c r="Y5078">
        <v>7.757617E-2</v>
      </c>
      <c r="Z5078">
        <v>1.1883009999999999E-2</v>
      </c>
      <c r="AA5078">
        <v>0.99691560000000001</v>
      </c>
      <c r="AB5078">
        <v>22</v>
      </c>
      <c r="AC5078">
        <v>-0.55760000000000698</v>
      </c>
      <c r="AD5078">
        <v>-8.1985999999999795E-2</v>
      </c>
      <c r="AE5078">
        <v>9.2999999999960892E-3</v>
      </c>
      <c r="AF5078">
        <v>5.2172025446696801E-2</v>
      </c>
      <c r="AG5078">
        <v>-8.1985999999999795E-2</v>
      </c>
      <c r="AH5078">
        <v>0.54338063949377502</v>
      </c>
      <c r="AI5078">
        <v>98.541448541091498</v>
      </c>
      <c r="AJ5078">
        <v>84.5156276203369</v>
      </c>
      <c r="AK5078">
        <v>0.55200194185516605</v>
      </c>
      <c r="AL5078">
        <v>94.342055035348807</v>
      </c>
      <c r="AM5078">
        <v>85.673144135190299</v>
      </c>
      <c r="AN5078">
        <v>1.00000000940129</v>
      </c>
    </row>
    <row r="5079" spans="1:40" x14ac:dyDescent="0.25">
      <c r="A5079" t="str">
        <f>"20190303154239755"</f>
        <v>20190303154239755</v>
      </c>
      <c r="B5079" t="str">
        <f>"1551598959745152"</f>
        <v>1551598959745152</v>
      </c>
      <c r="C5079" t="s">
        <v>40</v>
      </c>
      <c r="D5079">
        <v>5.783487</v>
      </c>
      <c r="E5079">
        <v>0.5002373</v>
      </c>
      <c r="F5079" t="s">
        <v>42</v>
      </c>
      <c r="G5079">
        <v>-210.62090000000001</v>
      </c>
      <c r="H5079">
        <v>1.0355190000000001</v>
      </c>
      <c r="I5079">
        <v>141.5395</v>
      </c>
      <c r="J5079">
        <v>-210.0907</v>
      </c>
      <c r="K5079">
        <v>1.1156779999999999</v>
      </c>
      <c r="L5079">
        <v>141.53270000000001</v>
      </c>
      <c r="M5079">
        <v>-0.99746520000000005</v>
      </c>
      <c r="N5079">
        <v>-1.1082730000000001E-2</v>
      </c>
      <c r="O5079">
        <v>-7.0286970000000004E-2</v>
      </c>
      <c r="P5079">
        <v>-0.99650190000000005</v>
      </c>
      <c r="Q5079">
        <v>-8.3473169999999999E-2</v>
      </c>
      <c r="R5079">
        <v>-4.0274350000000002E-3</v>
      </c>
      <c r="S5079">
        <v>-2.9840089999999999</v>
      </c>
      <c r="T5079">
        <v>-0.31444290000000003</v>
      </c>
      <c r="U5079">
        <v>-6.1035159999999998E-3</v>
      </c>
      <c r="V5079">
        <v>6.5139150000000007E-2</v>
      </c>
      <c r="W5079">
        <v>-7.3248450000000007E-2</v>
      </c>
      <c r="X5079">
        <v>0.99518419999999996</v>
      </c>
      <c r="Y5079">
        <v>6.7526359999999994E-2</v>
      </c>
      <c r="Z5079">
        <v>1.0527170000000001E-2</v>
      </c>
      <c r="AA5079">
        <v>0.99766189999999999</v>
      </c>
      <c r="AB5079">
        <v>22</v>
      </c>
      <c r="AC5079">
        <v>-0.530200000000007</v>
      </c>
      <c r="AD5079">
        <v>-8.0158999999999994E-2</v>
      </c>
      <c r="AE5079">
        <v>6.7999999999983603E-3</v>
      </c>
      <c r="AF5079">
        <v>4.3067379688589001E-2</v>
      </c>
      <c r="AG5079">
        <v>-8.0158999999999994E-2</v>
      </c>
      <c r="AH5079">
        <v>0.51660433011332196</v>
      </c>
      <c r="AI5079">
        <v>98.789961086550406</v>
      </c>
      <c r="AJ5079">
        <v>85.234483798246202</v>
      </c>
      <c r="AK5079">
        <v>0.52455724031422502</v>
      </c>
      <c r="AL5079">
        <v>94.200588952176702</v>
      </c>
      <c r="AM5079">
        <v>86.255083114126293</v>
      </c>
      <c r="AN5079">
        <v>1.00000001810988</v>
      </c>
    </row>
    <row r="5080" spans="1:40" x14ac:dyDescent="0.25">
      <c r="A5080" t="str">
        <f>"20190303154239933"</f>
        <v>20190303154239933</v>
      </c>
      <c r="B5080" t="str">
        <f>"1551598959924743"</f>
        <v>1551598959924743</v>
      </c>
      <c r="C5080" t="s">
        <v>40</v>
      </c>
      <c r="D5080">
        <v>5.8022530000000003</v>
      </c>
      <c r="E5080">
        <v>0.50371160000000004</v>
      </c>
      <c r="F5080" t="s">
        <v>42</v>
      </c>
      <c r="G5080">
        <v>-212.44579999999999</v>
      </c>
      <c r="H5080">
        <v>1.0333429999999999</v>
      </c>
      <c r="I5080">
        <v>141.51689999999999</v>
      </c>
      <c r="J5080">
        <v>-211.9006</v>
      </c>
      <c r="K5080">
        <v>1.1165700000000001</v>
      </c>
      <c r="L5080">
        <v>141.52520000000001</v>
      </c>
      <c r="M5080">
        <v>-0.99990199999999996</v>
      </c>
      <c r="N5080">
        <v>-1.012034E-2</v>
      </c>
      <c r="O5080">
        <v>-9.6918430000000003E-3</v>
      </c>
      <c r="P5080">
        <v>-0.99573800000000001</v>
      </c>
      <c r="Q5080">
        <v>-9.1004660000000001E-2</v>
      </c>
      <c r="R5080">
        <v>-1.4976130000000001E-2</v>
      </c>
      <c r="S5080">
        <v>-2.9827880000000002</v>
      </c>
      <c r="T5080">
        <v>-0.3240961</v>
      </c>
      <c r="U5080">
        <v>-1.7349239999999998E-2</v>
      </c>
      <c r="V5080">
        <v>-6.1203859999999898E-3</v>
      </c>
      <c r="W5080">
        <v>-8.0865480000000003E-2</v>
      </c>
      <c r="X5080">
        <v>0.99670619999999999</v>
      </c>
      <c r="Y5080">
        <v>3.8046970000000001E-3</v>
      </c>
      <c r="Z5080">
        <v>1.177532E-3</v>
      </c>
      <c r="AA5080">
        <v>0.99999210000000005</v>
      </c>
      <c r="AB5080">
        <v>23</v>
      </c>
      <c r="AC5080">
        <v>-0.54519999999999402</v>
      </c>
      <c r="AD5080">
        <v>-8.3226999999999898E-2</v>
      </c>
      <c r="AE5080">
        <v>-8.3000000000197308E-3</v>
      </c>
      <c r="AF5080">
        <v>-2.9466959439111199E-3</v>
      </c>
      <c r="AG5080">
        <v>-8.3226999999999898E-2</v>
      </c>
      <c r="AH5080">
        <v>0.53284078414209901</v>
      </c>
      <c r="AI5080">
        <v>98.877442416551901</v>
      </c>
      <c r="AJ5080">
        <v>90.316851721988101</v>
      </c>
      <c r="AK5080">
        <v>0.53930948238571996</v>
      </c>
      <c r="AL5080">
        <v>94.638315428389603</v>
      </c>
      <c r="AM5080">
        <v>90.351826726147806</v>
      </c>
      <c r="AN5080">
        <v>0.99999996704942895</v>
      </c>
    </row>
    <row r="5081" spans="1:40" x14ac:dyDescent="0.25">
      <c r="A5081" t="str">
        <f>"20190303154239956"</f>
        <v>20190303154239956</v>
      </c>
      <c r="B5081" t="str">
        <f>"1551598959945233"</f>
        <v>1551598959945233</v>
      </c>
      <c r="C5081" t="s">
        <v>40</v>
      </c>
      <c r="D5081">
        <v>5.8896569999999997</v>
      </c>
      <c r="E5081">
        <v>0.50510069999999996</v>
      </c>
      <c r="F5081" t="s">
        <v>42</v>
      </c>
      <c r="G5081">
        <v>-212.65690000000001</v>
      </c>
      <c r="H5081">
        <v>1.040697</v>
      </c>
      <c r="I5081">
        <v>141.52170000000001</v>
      </c>
      <c r="J5081">
        <v>-212.1345</v>
      </c>
      <c r="K5081">
        <v>1.1167229999999999</v>
      </c>
      <c r="L5081">
        <v>141.53049999999999</v>
      </c>
      <c r="M5081">
        <v>-0.99994519999999998</v>
      </c>
      <c r="N5081">
        <v>-1.0034629999999999E-2</v>
      </c>
      <c r="O5081">
        <v>-3.0023649999999999E-3</v>
      </c>
      <c r="P5081">
        <v>-0.99584950000000005</v>
      </c>
      <c r="Q5081">
        <v>-8.9344469999999995E-2</v>
      </c>
      <c r="R5081">
        <v>-1.7366719999999999E-2</v>
      </c>
      <c r="S5081">
        <v>-2.985306</v>
      </c>
      <c r="T5081">
        <v>-0.29910369999999997</v>
      </c>
      <c r="U5081">
        <v>-1.4251710000000001E-2</v>
      </c>
      <c r="V5081">
        <v>-1.5125009999999999E-2</v>
      </c>
      <c r="W5081">
        <v>-7.9207239999999998E-2</v>
      </c>
      <c r="X5081">
        <v>0.99674339999999995</v>
      </c>
      <c r="Y5081">
        <v>-1.773791E-3</v>
      </c>
      <c r="Z5081">
        <v>1.7243679999999999E-4</v>
      </c>
      <c r="AA5081">
        <v>0.99999839999999995</v>
      </c>
      <c r="AB5081">
        <v>23</v>
      </c>
      <c r="AC5081">
        <v>-0.52240000000000397</v>
      </c>
      <c r="AD5081">
        <v>-7.6025999999999899E-2</v>
      </c>
      <c r="AE5081">
        <v>-8.7999999999794892E-3</v>
      </c>
      <c r="AF5081">
        <v>-7.0815050107344499E-3</v>
      </c>
      <c r="AG5081">
        <v>-7.6025999999999899E-2</v>
      </c>
      <c r="AH5081">
        <v>0.51159182616271903</v>
      </c>
      <c r="AI5081">
        <v>98.451881126531703</v>
      </c>
      <c r="AJ5081">
        <v>90.7930432390812</v>
      </c>
      <c r="AK5081">
        <v>0.51725844312656999</v>
      </c>
      <c r="AL5081">
        <v>94.542999426875994</v>
      </c>
      <c r="AM5081">
        <v>90.869363902450999</v>
      </c>
      <c r="AN5081">
        <v>0.99999997911973804</v>
      </c>
    </row>
    <row r="5082" spans="1:40" x14ac:dyDescent="0.25">
      <c r="A5082" t="str">
        <f>"20190303154239978"</f>
        <v>20190303154239978</v>
      </c>
      <c r="B5082" t="str">
        <f>"1551598959974513"</f>
        <v>1551598959974513</v>
      </c>
      <c r="C5082" t="s">
        <v>40</v>
      </c>
      <c r="D5082">
        <v>5.8272680000000001</v>
      </c>
      <c r="E5082">
        <v>0.50695109999999999</v>
      </c>
      <c r="F5082" t="s">
        <v>42</v>
      </c>
      <c r="G5082">
        <v>-213.05889999999999</v>
      </c>
      <c r="H5082">
        <v>1.0285789999999999</v>
      </c>
      <c r="I5082">
        <v>141.5274</v>
      </c>
      <c r="J5082">
        <v>-212.36099999999999</v>
      </c>
      <c r="K5082">
        <v>1.116895</v>
      </c>
      <c r="L5082">
        <v>141.53700000000001</v>
      </c>
      <c r="M5082">
        <v>-0.99994559999999999</v>
      </c>
      <c r="N5082">
        <v>-9.9590449999999997E-3</v>
      </c>
      <c r="O5082">
        <v>3.1332310000000002E-3</v>
      </c>
      <c r="P5082">
        <v>-0.99568210000000001</v>
      </c>
      <c r="Q5082">
        <v>-9.0680150000000001E-2</v>
      </c>
      <c r="R5082">
        <v>-1.9858509999999999E-2</v>
      </c>
      <c r="S5082">
        <v>-2.9867859999999999</v>
      </c>
      <c r="T5082">
        <v>-0.2845297</v>
      </c>
      <c r="U5082">
        <v>-1.071167E-2</v>
      </c>
      <c r="V5082">
        <v>-2.3703990000000001E-2</v>
      </c>
      <c r="W5082">
        <v>-8.0550220000000006E-2</v>
      </c>
      <c r="X5082">
        <v>0.99646869999999999</v>
      </c>
      <c r="Y5082">
        <v>-6.6749130000000002E-3</v>
      </c>
      <c r="Z5082">
        <v>-6.172021E-4</v>
      </c>
      <c r="AA5082">
        <v>0.99997749999999996</v>
      </c>
      <c r="AB5082">
        <v>23</v>
      </c>
      <c r="AC5082">
        <v>-0.69790000000000396</v>
      </c>
      <c r="AD5082">
        <v>-8.8315999999999797E-2</v>
      </c>
      <c r="AE5082">
        <v>-9.6000000000060395E-3</v>
      </c>
      <c r="AF5082">
        <v>-1.1601002881651201E-2</v>
      </c>
      <c r="AG5082">
        <v>-8.8315999999999797E-2</v>
      </c>
      <c r="AH5082">
        <v>0.68686923872919403</v>
      </c>
      <c r="AI5082">
        <v>97.325721205696695</v>
      </c>
      <c r="AJ5082">
        <v>90.967615483798994</v>
      </c>
      <c r="AK5082">
        <v>0.69262085605061197</v>
      </c>
      <c r="AL5082">
        <v>94.620192887714495</v>
      </c>
      <c r="AM5082">
        <v>91.362694578940705</v>
      </c>
      <c r="AN5082">
        <v>1.0000000435818199</v>
      </c>
    </row>
    <row r="5083" spans="1:40" x14ac:dyDescent="0.25">
      <c r="A5083" t="str">
        <f>"20190303154240248"</f>
        <v>20190303154240248</v>
      </c>
      <c r="B5083" t="str">
        <f>"1551598960244866"</f>
        <v>1551598960244866</v>
      </c>
      <c r="C5083" t="s">
        <v>40</v>
      </c>
      <c r="D5083">
        <v>6.0818019999999997</v>
      </c>
      <c r="E5083">
        <v>0.51203379999999998</v>
      </c>
      <c r="F5083" t="s">
        <v>41</v>
      </c>
      <c r="G5083">
        <v>-224.4666</v>
      </c>
      <c r="H5083" s="1">
        <v>-2.8605969999999999E-6</v>
      </c>
      <c r="I5083">
        <v>141.51230000000001</v>
      </c>
      <c r="J5083">
        <v>-215.16149999999999</v>
      </c>
      <c r="K5083">
        <v>1.120557</v>
      </c>
      <c r="L5083">
        <v>141.66050000000001</v>
      </c>
      <c r="M5083">
        <v>-0.99910880000000002</v>
      </c>
      <c r="N5083">
        <v>-9.710949E-3</v>
      </c>
      <c r="O5083">
        <v>4.1077280000000001E-2</v>
      </c>
      <c r="P5083">
        <v>-0.99203620000000003</v>
      </c>
      <c r="Q5083">
        <v>-0.11916160000000001</v>
      </c>
      <c r="R5083">
        <v>-4.0800099999999999E-2</v>
      </c>
      <c r="S5083">
        <v>-2.9801479999999998</v>
      </c>
      <c r="T5083">
        <v>-0.34955550000000002</v>
      </c>
      <c r="U5083">
        <v>-4.289246E-2</v>
      </c>
      <c r="V5083">
        <v>-8.1488759999999993E-2</v>
      </c>
      <c r="W5083">
        <v>-0.1095684</v>
      </c>
      <c r="X5083">
        <v>0.99063330000000005</v>
      </c>
      <c r="Y5083">
        <v>-5.4810230000000001E-2</v>
      </c>
      <c r="Z5083">
        <v>-7.8735479999999993E-3</v>
      </c>
      <c r="AA5083">
        <v>0.99846570000000001</v>
      </c>
      <c r="AB5083">
        <v>23</v>
      </c>
      <c r="AC5083">
        <v>-9.3051000000000101</v>
      </c>
      <c r="AD5083">
        <v>-1.120559860597</v>
      </c>
      <c r="AE5083">
        <v>-0.148200000000002</v>
      </c>
      <c r="AF5083">
        <v>-0.52274222999348596</v>
      </c>
      <c r="AG5083">
        <v>-1.120559860597</v>
      </c>
      <c r="AH5083">
        <v>9.1583764236114202</v>
      </c>
      <c r="AI5083">
        <v>96.964446431554194</v>
      </c>
      <c r="AJ5083">
        <v>93.266786585533296</v>
      </c>
      <c r="AK5083">
        <v>9.24147025947501</v>
      </c>
      <c r="AL5083">
        <v>96.290436366738703</v>
      </c>
      <c r="AM5083">
        <v>94.702520699172098</v>
      </c>
      <c r="AN5083">
        <v>0.99999999367689296</v>
      </c>
    </row>
    <row r="5084" spans="1:40" x14ac:dyDescent="0.25">
      <c r="A5084" t="str">
        <f>"20190303154240271"</f>
        <v>20190303154240271</v>
      </c>
      <c r="B5084" t="str">
        <f>"1551598960265362"</f>
        <v>1551598960265362</v>
      </c>
      <c r="C5084" t="s">
        <v>40</v>
      </c>
      <c r="D5084">
        <v>6.0232869999999998</v>
      </c>
      <c r="E5084">
        <v>0.51345090000000004</v>
      </c>
      <c r="F5084" t="s">
        <v>41</v>
      </c>
      <c r="G5084">
        <v>-224.93639999999999</v>
      </c>
      <c r="H5084" s="1">
        <v>-2.6745610000000002E-6</v>
      </c>
      <c r="I5084">
        <v>141.57060000000001</v>
      </c>
      <c r="J5084">
        <v>-215.3869</v>
      </c>
      <c r="K5084">
        <v>1.120765</v>
      </c>
      <c r="L5084">
        <v>141.66990000000001</v>
      </c>
      <c r="M5084">
        <v>-0.99911879999999997</v>
      </c>
      <c r="N5084">
        <v>-9.7865439999999995E-3</v>
      </c>
      <c r="O5084">
        <v>4.081779E-2</v>
      </c>
      <c r="P5084">
        <v>-0.99183290000000002</v>
      </c>
      <c r="Q5084">
        <v>-0.12001390000000001</v>
      </c>
      <c r="R5084">
        <v>-4.3184380000000001E-2</v>
      </c>
      <c r="S5084">
        <v>-2.9818880000000001</v>
      </c>
      <c r="T5084">
        <v>-0.34183429999999998</v>
      </c>
      <c r="U5084">
        <v>-2.7404789999999998E-2</v>
      </c>
      <c r="V5084">
        <v>-8.355419E-2</v>
      </c>
      <c r="W5084">
        <v>-0.11038779999999999</v>
      </c>
      <c r="X5084">
        <v>0.99037030000000004</v>
      </c>
      <c r="Y5084">
        <v>-4.9425339999999998E-2</v>
      </c>
      <c r="Z5084">
        <v>-7.3311549999999998E-3</v>
      </c>
      <c r="AA5084">
        <v>0.9987509</v>
      </c>
      <c r="AB5084">
        <v>23</v>
      </c>
      <c r="AC5084">
        <v>-9.5494999999999894</v>
      </c>
      <c r="AD5084">
        <v>-1.120767674561</v>
      </c>
      <c r="AE5084">
        <v>-9.92999999999995E-2</v>
      </c>
      <c r="AF5084">
        <v>-0.482381585414486</v>
      </c>
      <c r="AG5084">
        <v>-1.120767674561</v>
      </c>
      <c r="AH5084">
        <v>9.4079138172685397</v>
      </c>
      <c r="AI5084">
        <v>96.784816450944703</v>
      </c>
      <c r="AJ5084">
        <v>92.9352146415726</v>
      </c>
      <c r="AK5084">
        <v>9.4867093645499807</v>
      </c>
      <c r="AL5084">
        <v>96.337670696283197</v>
      </c>
      <c r="AM5084">
        <v>94.822431038111901</v>
      </c>
      <c r="AN5084">
        <v>1.00000005008874</v>
      </c>
    </row>
    <row r="5085" spans="1:40" x14ac:dyDescent="0.25">
      <c r="A5085" t="str">
        <f>"20190303154240292"</f>
        <v>20190303154240292</v>
      </c>
      <c r="B5085" t="str">
        <f>"1551598960284881"</f>
        <v>1551598960284881</v>
      </c>
      <c r="C5085" t="s">
        <v>40</v>
      </c>
      <c r="D5085">
        <v>6.0621869999999998</v>
      </c>
      <c r="E5085">
        <v>0.51463009999999998</v>
      </c>
      <c r="F5085" t="s">
        <v>41</v>
      </c>
      <c r="G5085">
        <v>-225.30459999999999</v>
      </c>
      <c r="H5085" s="1">
        <v>-2.5222089999999998E-6</v>
      </c>
      <c r="I5085">
        <v>141.5915</v>
      </c>
      <c r="J5085">
        <v>-215.61699999999999</v>
      </c>
      <c r="K5085">
        <v>1.1209610000000001</v>
      </c>
      <c r="L5085">
        <v>141.679</v>
      </c>
      <c r="M5085">
        <v>-0.99913799999999997</v>
      </c>
      <c r="N5085">
        <v>-9.8954439999999998E-3</v>
      </c>
      <c r="O5085">
        <v>4.0316930000000001E-2</v>
      </c>
      <c r="P5085">
        <v>-0.99177630000000006</v>
      </c>
      <c r="Q5085">
        <v>-0.11969589999999899</v>
      </c>
      <c r="R5085">
        <v>-4.5310789999999997E-2</v>
      </c>
      <c r="S5085">
        <v>-2.9828950000000001</v>
      </c>
      <c r="T5085">
        <v>-0.33708939999999998</v>
      </c>
      <c r="U5085">
        <v>-2.3544309999999999E-2</v>
      </c>
      <c r="V5085">
        <v>-8.5136020000000007E-2</v>
      </c>
      <c r="W5085">
        <v>-0.10999929999999999</v>
      </c>
      <c r="X5085">
        <v>0.99027880000000001</v>
      </c>
      <c r="Y5085">
        <v>-4.7660460000000002E-2</v>
      </c>
      <c r="Z5085">
        <v>-7.0640190000000004E-3</v>
      </c>
      <c r="AA5085">
        <v>0.99883860000000002</v>
      </c>
      <c r="AB5085">
        <v>23</v>
      </c>
      <c r="AC5085">
        <v>-9.6875999999999696</v>
      </c>
      <c r="AD5085">
        <v>-1.120963522209</v>
      </c>
      <c r="AE5085">
        <v>-8.7500000000005601E-2</v>
      </c>
      <c r="AF5085">
        <v>-0.47170703688948501</v>
      </c>
      <c r="AG5085">
        <v>-1.120963522209</v>
      </c>
      <c r="AH5085">
        <v>9.5483614493999998</v>
      </c>
      <c r="AI5085">
        <v>96.6877088515688</v>
      </c>
      <c r="AJ5085">
        <v>92.828220101248505</v>
      </c>
      <c r="AK5085">
        <v>9.6255011877388696</v>
      </c>
      <c r="AL5085">
        <v>96.315274933266096</v>
      </c>
      <c r="AM5085">
        <v>94.913737227726202</v>
      </c>
      <c r="AN5085">
        <v>1.0000000448156801</v>
      </c>
    </row>
    <row r="5086" spans="1:40" x14ac:dyDescent="0.25">
      <c r="A5086" t="str">
        <f>"20190303154240315"</f>
        <v>20190303154240315</v>
      </c>
      <c r="B5086" t="str">
        <f>"1551598960305378"</f>
        <v>1551598960305378</v>
      </c>
      <c r="C5086" t="s">
        <v>40</v>
      </c>
      <c r="D5086">
        <v>6.0451110000000003</v>
      </c>
      <c r="E5086">
        <v>0.51603920000000003</v>
      </c>
      <c r="F5086" t="s">
        <v>41</v>
      </c>
      <c r="G5086">
        <v>-225.75890000000001</v>
      </c>
      <c r="H5086" s="1">
        <v>-2.3317259999999999E-6</v>
      </c>
      <c r="I5086">
        <v>141.60820000000001</v>
      </c>
      <c r="J5086">
        <v>-215.84649999999999</v>
      </c>
      <c r="K5086">
        <v>1.1211199999999999</v>
      </c>
      <c r="L5086">
        <v>141.68780000000001</v>
      </c>
      <c r="M5086">
        <v>-0.99916340000000003</v>
      </c>
      <c r="N5086">
        <v>-1.0034599999999999E-2</v>
      </c>
      <c r="O5086">
        <v>3.9646710000000002E-2</v>
      </c>
      <c r="P5086">
        <v>-0.99173679999999997</v>
      </c>
      <c r="Q5086">
        <v>-0.11949849999999999</v>
      </c>
      <c r="R5086">
        <v>-4.667201E-2</v>
      </c>
      <c r="S5086">
        <v>-2.9841160000000002</v>
      </c>
      <c r="T5086">
        <v>-0.32983099999999999</v>
      </c>
      <c r="U5086">
        <v>-2.0843509999999999E-2</v>
      </c>
      <c r="V5086">
        <v>-8.5792899999999894E-2</v>
      </c>
      <c r="W5086">
        <v>-0.1096954</v>
      </c>
      <c r="X5086">
        <v>0.99025580000000002</v>
      </c>
      <c r="Y5086">
        <v>-4.6120870000000001E-2</v>
      </c>
      <c r="Z5086">
        <v>-6.7444840000000002E-3</v>
      </c>
      <c r="AA5086">
        <v>0.9989131</v>
      </c>
      <c r="AB5086">
        <v>23</v>
      </c>
      <c r="AC5086">
        <v>-9.9124000000000194</v>
      </c>
      <c r="AD5086">
        <v>-1.121122331726</v>
      </c>
      <c r="AE5086">
        <v>-7.9599999999999199E-2</v>
      </c>
      <c r="AF5086">
        <v>-0.46658295329215599</v>
      </c>
      <c r="AG5086">
        <v>-1.121122331726</v>
      </c>
      <c r="AH5086">
        <v>9.7763952147339896</v>
      </c>
      <c r="AI5086">
        <v>96.534526606433204</v>
      </c>
      <c r="AJ5086">
        <v>92.732394117370404</v>
      </c>
      <c r="AK5086">
        <v>9.8515236552358303</v>
      </c>
      <c r="AL5086">
        <v>96.297756853951498</v>
      </c>
      <c r="AM5086">
        <v>94.951576587708402</v>
      </c>
      <c r="AN5086">
        <v>1.0000000259526001</v>
      </c>
    </row>
    <row r="5087" spans="1:40" x14ac:dyDescent="0.25">
      <c r="A5087" t="str">
        <f>"20190303154240337"</f>
        <v>20190303154240337</v>
      </c>
      <c r="B5087" t="str">
        <f>"1551598960324897"</f>
        <v>1551598960324897</v>
      </c>
      <c r="C5087" t="s">
        <v>40</v>
      </c>
      <c r="D5087">
        <v>6.1972659999999999</v>
      </c>
      <c r="E5087">
        <v>0.51698270000000002</v>
      </c>
      <c r="F5087" t="s">
        <v>41</v>
      </c>
      <c r="G5087">
        <v>-226.2774</v>
      </c>
      <c r="H5087" s="1">
        <v>-2.1172319999999999E-6</v>
      </c>
      <c r="I5087">
        <v>141.63800000000001</v>
      </c>
      <c r="J5087">
        <v>-216.07650000000001</v>
      </c>
      <c r="K5087">
        <v>1.121238</v>
      </c>
      <c r="L5087">
        <v>141.6962</v>
      </c>
      <c r="M5087">
        <v>-0.99919349999999996</v>
      </c>
      <c r="N5087">
        <v>-1.0214880000000001E-2</v>
      </c>
      <c r="O5087">
        <v>3.8836370000000002E-2</v>
      </c>
      <c r="P5087">
        <v>-0.99156869999999997</v>
      </c>
      <c r="Q5087">
        <v>-0.1203921</v>
      </c>
      <c r="R5087">
        <v>-4.7935720000000001E-2</v>
      </c>
      <c r="S5087">
        <v>-2.9856720000000001</v>
      </c>
      <c r="T5087">
        <v>-0.32090449999999998</v>
      </c>
      <c r="U5087">
        <v>-1.4236449999999999E-2</v>
      </c>
      <c r="V5087">
        <v>-8.621595E-2</v>
      </c>
      <c r="W5087">
        <v>-0.11043559999999999</v>
      </c>
      <c r="X5087">
        <v>0.99013669999999998</v>
      </c>
      <c r="Y5087">
        <v>-4.3147199999999997E-2</v>
      </c>
      <c r="Z5087">
        <v>-6.298901E-3</v>
      </c>
      <c r="AA5087">
        <v>0.99904890000000002</v>
      </c>
      <c r="AB5087">
        <v>23</v>
      </c>
      <c r="AC5087">
        <v>-10.200899999999899</v>
      </c>
      <c r="AD5087">
        <v>-1.1212401172319999</v>
      </c>
      <c r="AE5087">
        <v>-5.8199999999999301E-2</v>
      </c>
      <c r="AF5087">
        <v>-0.44891920087130699</v>
      </c>
      <c r="AG5087">
        <v>-1.1212401172319999</v>
      </c>
      <c r="AH5087">
        <v>10.0692950132931</v>
      </c>
      <c r="AI5087">
        <v>96.347593649448797</v>
      </c>
      <c r="AJ5087">
        <v>92.552726314415196</v>
      </c>
      <c r="AK5087">
        <v>10.141469810344599</v>
      </c>
      <c r="AL5087">
        <v>96.340426930679996</v>
      </c>
      <c r="AM5087">
        <v>94.976466352109497</v>
      </c>
      <c r="AN5087">
        <v>0.99999994823432403</v>
      </c>
    </row>
    <row r="5088" spans="1:40" x14ac:dyDescent="0.25">
      <c r="A5088" t="str">
        <f>"20190303154240368"</f>
        <v>20190303154240368</v>
      </c>
      <c r="B5088" t="str">
        <f>"1551598960364913"</f>
        <v>1551598960364913</v>
      </c>
      <c r="C5088" t="s">
        <v>40</v>
      </c>
      <c r="D5088">
        <v>6.1894150000000003</v>
      </c>
      <c r="E5088">
        <v>0.51808549999999998</v>
      </c>
      <c r="F5088" t="s">
        <v>42</v>
      </c>
      <c r="G5088">
        <v>-216.99760000000001</v>
      </c>
      <c r="H5088">
        <v>1.0228950000000001</v>
      </c>
      <c r="I5088">
        <v>141.69280000000001</v>
      </c>
      <c r="J5088">
        <v>-216.40860000000001</v>
      </c>
      <c r="K5088">
        <v>1.1213439999999999</v>
      </c>
      <c r="L5088">
        <v>141.70750000000001</v>
      </c>
      <c r="M5088">
        <v>-0.99924190000000002</v>
      </c>
      <c r="N5088">
        <v>-1.054823E-2</v>
      </c>
      <c r="O5088">
        <v>3.747524E-2</v>
      </c>
      <c r="P5088">
        <v>-0.99117429999999995</v>
      </c>
      <c r="Q5088">
        <v>-0.12472419999999999</v>
      </c>
      <c r="R5088">
        <v>-4.491614E-2</v>
      </c>
      <c r="S5088">
        <v>-2.9862820000000001</v>
      </c>
      <c r="T5088">
        <v>-0.31881579999999998</v>
      </c>
      <c r="U5088">
        <v>-1.075745E-2</v>
      </c>
      <c r="V5088">
        <v>-8.1806229999999994E-2</v>
      </c>
      <c r="W5088">
        <v>-0.11444840000000001</v>
      </c>
      <c r="X5088">
        <v>0.99005520000000002</v>
      </c>
      <c r="Y5088">
        <v>-4.0649980000000002E-2</v>
      </c>
      <c r="Z5088">
        <v>-5.9733260000000002E-3</v>
      </c>
      <c r="AA5088">
        <v>0.99915560000000003</v>
      </c>
      <c r="AB5088">
        <v>23</v>
      </c>
      <c r="AC5088">
        <v>-0.58899999999999797</v>
      </c>
      <c r="AD5088">
        <v>-9.8448999999999995E-2</v>
      </c>
      <c r="AE5088">
        <v>-1.47000000000048E-2</v>
      </c>
      <c r="AF5088">
        <v>-3.5765237347538698E-2</v>
      </c>
      <c r="AG5088">
        <v>-9.8448999999999995E-2</v>
      </c>
      <c r="AH5088">
        <v>0.57206306965527298</v>
      </c>
      <c r="AI5088">
        <v>99.745986403264595</v>
      </c>
      <c r="AJ5088">
        <v>93.577461287664704</v>
      </c>
      <c r="AK5088">
        <v>0.58157330876419999</v>
      </c>
      <c r="AL5088">
        <v>96.571810655820599</v>
      </c>
      <c r="AM5088">
        <v>94.723502503844102</v>
      </c>
      <c r="AN5088">
        <v>0.99999999728820599</v>
      </c>
    </row>
    <row r="5089" spans="1:40" x14ac:dyDescent="0.25">
      <c r="A5089" t="str">
        <f>"20190303154240391"</f>
        <v>20190303154240391</v>
      </c>
      <c r="B5089" t="str">
        <f>"1551598960385409"</f>
        <v>1551598960385409</v>
      </c>
      <c r="C5089" t="s">
        <v>40</v>
      </c>
      <c r="D5089">
        <v>6.1865259999999997</v>
      </c>
      <c r="E5089">
        <v>0.51857010000000003</v>
      </c>
      <c r="F5089" t="s">
        <v>41</v>
      </c>
      <c r="G5089">
        <v>-226.55860000000001</v>
      </c>
      <c r="H5089" s="1">
        <v>-2.0214799999999999E-6</v>
      </c>
      <c r="I5089">
        <v>141.73150000000001</v>
      </c>
      <c r="J5089">
        <v>-216.6429</v>
      </c>
      <c r="K5089">
        <v>1.121381</v>
      </c>
      <c r="L5089">
        <v>141.71510000000001</v>
      </c>
      <c r="M5089">
        <v>-0.99927770000000005</v>
      </c>
      <c r="N5089">
        <v>-1.0806649999999999E-2</v>
      </c>
      <c r="O5089">
        <v>3.6434910000000001E-2</v>
      </c>
      <c r="P5089">
        <v>-0.99090529999999999</v>
      </c>
      <c r="Q5089">
        <v>-0.1279431</v>
      </c>
      <c r="R5089">
        <v>-4.1682240000000002E-2</v>
      </c>
      <c r="S5089">
        <v>-2.985535</v>
      </c>
      <c r="T5089">
        <v>-0.3298355</v>
      </c>
      <c r="U5089">
        <v>7.0800780000000001E-3</v>
      </c>
      <c r="V5089">
        <v>-7.7524510000000005E-2</v>
      </c>
      <c r="W5089">
        <v>-0.11740639999999899</v>
      </c>
      <c r="X5089">
        <v>0.99005339999999997</v>
      </c>
      <c r="Y5089">
        <v>-3.3661759999999999E-2</v>
      </c>
      <c r="Z5089">
        <v>-5.6558800000000003E-3</v>
      </c>
      <c r="AA5089">
        <v>0.99941729999999995</v>
      </c>
      <c r="AB5089">
        <v>23</v>
      </c>
      <c r="AC5089">
        <v>-9.91570000000001</v>
      </c>
      <c r="AD5089">
        <v>-1.12138302147999</v>
      </c>
      <c r="AE5089">
        <v>1.6400000000004401E-2</v>
      </c>
      <c r="AF5089">
        <v>-0.34055400734372399</v>
      </c>
      <c r="AG5089">
        <v>-1.12138302147999</v>
      </c>
      <c r="AH5089">
        <v>9.7845714225597398</v>
      </c>
      <c r="AI5089">
        <v>96.534065109722604</v>
      </c>
      <c r="AJ5089">
        <v>91.993386640285607</v>
      </c>
      <c r="AK5089">
        <v>9.8545073360343203</v>
      </c>
      <c r="AL5089">
        <v>96.742441908909299</v>
      </c>
      <c r="AM5089">
        <v>94.477316327298496</v>
      </c>
      <c r="AN5089">
        <v>1.00000002363162</v>
      </c>
    </row>
    <row r="5090" spans="1:40" x14ac:dyDescent="0.25">
      <c r="A5090" t="str">
        <f>"20190303154240414"</f>
        <v>20190303154240414</v>
      </c>
      <c r="B5090" t="str">
        <f>"1551598960404929"</f>
        <v>1551598960404929</v>
      </c>
      <c r="C5090" t="s">
        <v>40</v>
      </c>
      <c r="D5090">
        <v>6.1701589999999999</v>
      </c>
      <c r="E5090">
        <v>0.51902539999999997</v>
      </c>
      <c r="F5090" t="s">
        <v>42</v>
      </c>
      <c r="G5090">
        <v>-217.4205</v>
      </c>
      <c r="H5090">
        <v>1.0332140000000001</v>
      </c>
      <c r="I5090">
        <v>141.72069999999999</v>
      </c>
      <c r="J5090">
        <v>-216.88310000000001</v>
      </c>
      <c r="K5090">
        <v>1.1214139999999999</v>
      </c>
      <c r="L5090">
        <v>141.7226</v>
      </c>
      <c r="M5090">
        <v>-0.99931499999999995</v>
      </c>
      <c r="N5090">
        <v>-1.11006E-2</v>
      </c>
      <c r="O5090">
        <v>3.5306570000000002E-2</v>
      </c>
      <c r="P5090">
        <v>-0.99044529999999997</v>
      </c>
      <c r="Q5090">
        <v>-0.1321987</v>
      </c>
      <c r="R5090">
        <v>-3.9263029999999997E-2</v>
      </c>
      <c r="S5090">
        <v>-2.9846949999999999</v>
      </c>
      <c r="T5090">
        <v>-0.3385532</v>
      </c>
      <c r="U5090">
        <v>2.079773E-2</v>
      </c>
      <c r="V5090">
        <v>-7.3967649999999996E-2</v>
      </c>
      <c r="W5090">
        <v>-0.12136619999999999</v>
      </c>
      <c r="X5090">
        <v>0.98984799999999995</v>
      </c>
      <c r="Y5090">
        <v>-2.7963160000000001E-2</v>
      </c>
      <c r="Z5090">
        <v>-5.3369410000000004E-3</v>
      </c>
      <c r="AA5090">
        <v>0.99959469999999995</v>
      </c>
      <c r="AB5090">
        <v>23</v>
      </c>
      <c r="AC5090">
        <v>-0.537399999999991</v>
      </c>
      <c r="AD5090">
        <v>-8.8200000000000001E-2</v>
      </c>
      <c r="AE5090">
        <v>-1.90000000000623E-3</v>
      </c>
      <c r="AF5090">
        <v>-2.0326221471343699E-2</v>
      </c>
      <c r="AG5090">
        <v>-8.8200000000000001E-2</v>
      </c>
      <c r="AH5090">
        <v>0.52291253905920798</v>
      </c>
      <c r="AI5090">
        <v>99.566911322827593</v>
      </c>
      <c r="AJ5090">
        <v>92.226033202389104</v>
      </c>
      <c r="AK5090">
        <v>0.53068815587371998</v>
      </c>
      <c r="AL5090">
        <v>96.970956307719902</v>
      </c>
      <c r="AM5090">
        <v>94.273557226641103</v>
      </c>
      <c r="AN5090">
        <v>1.0000000154264801</v>
      </c>
    </row>
    <row r="5091" spans="1:40" x14ac:dyDescent="0.25">
      <c r="A5091" t="str">
        <f>"20190303154240437"</f>
        <v>20190303154240437</v>
      </c>
      <c r="B5091" t="str">
        <f>"1551598960435064"</f>
        <v>1551598960435064</v>
      </c>
      <c r="C5091" t="s">
        <v>40</v>
      </c>
      <c r="D5091">
        <v>6.1921039999999996</v>
      </c>
      <c r="E5091">
        <v>0.51959540000000004</v>
      </c>
      <c r="F5091" t="s">
        <v>42</v>
      </c>
      <c r="G5091">
        <v>-217.62389999999999</v>
      </c>
      <c r="H5091">
        <v>1.034478</v>
      </c>
      <c r="I5091">
        <v>141.73050000000001</v>
      </c>
      <c r="J5091">
        <v>-217.11949999999999</v>
      </c>
      <c r="K5091">
        <v>1.1214580000000001</v>
      </c>
      <c r="L5091">
        <v>141.7296</v>
      </c>
      <c r="M5091">
        <v>-0.99935260000000004</v>
      </c>
      <c r="N5091">
        <v>-1.140033E-2</v>
      </c>
      <c r="O5091">
        <v>3.4123260000000002E-2</v>
      </c>
      <c r="P5091">
        <v>-0.99006680000000002</v>
      </c>
      <c r="Q5091">
        <v>-0.1349881</v>
      </c>
      <c r="R5091">
        <v>-3.931838E-2</v>
      </c>
      <c r="S5091">
        <v>-2.983444</v>
      </c>
      <c r="T5091">
        <v>-0.35026089999999999</v>
      </c>
      <c r="U5091">
        <v>3.1555180000000002E-2</v>
      </c>
      <c r="V5091">
        <v>-7.2833910000000002E-2</v>
      </c>
      <c r="W5091">
        <v>-0.1238605</v>
      </c>
      <c r="X5091">
        <v>0.98962309999999998</v>
      </c>
      <c r="Y5091">
        <v>-2.318783E-2</v>
      </c>
      <c r="Z5091">
        <v>-5.0927740000000004E-3</v>
      </c>
      <c r="AA5091">
        <v>0.99971810000000005</v>
      </c>
      <c r="AB5091">
        <v>23</v>
      </c>
      <c r="AC5091">
        <v>-0.50440000000000396</v>
      </c>
      <c r="AD5091">
        <v>-8.6980000000000002E-2</v>
      </c>
      <c r="AE5091">
        <v>9.0000000000145497E-4</v>
      </c>
      <c r="AF5091">
        <v>-1.5842322847734701E-2</v>
      </c>
      <c r="AG5091">
        <v>-8.6980000000000002E-2</v>
      </c>
      <c r="AH5091">
        <v>0.48957865907517301</v>
      </c>
      <c r="AI5091">
        <v>100.06905913910801</v>
      </c>
      <c r="AJ5091">
        <v>91.853392909676899</v>
      </c>
      <c r="AK5091">
        <v>0.49749750051136499</v>
      </c>
      <c r="AL5091">
        <v>97.114955570410999</v>
      </c>
      <c r="AM5091">
        <v>94.209244306971101</v>
      </c>
      <c r="AN5091">
        <v>1.0000000409798699</v>
      </c>
    </row>
    <row r="5092" spans="1:40" x14ac:dyDescent="0.25">
      <c r="A5092" t="str">
        <f>"20190303154240460"</f>
        <v>20190303154240460</v>
      </c>
      <c r="B5092" t="str">
        <f>"1551598960455562"</f>
        <v>1551598960455562</v>
      </c>
      <c r="C5092" t="s">
        <v>40</v>
      </c>
      <c r="D5092">
        <v>6.2012530000000003</v>
      </c>
      <c r="E5092">
        <v>0.5199279</v>
      </c>
      <c r="F5092" t="s">
        <v>42</v>
      </c>
      <c r="G5092">
        <v>-218.02330000000001</v>
      </c>
      <c r="H5092">
        <v>1.0132319999999999</v>
      </c>
      <c r="I5092">
        <v>141.7406</v>
      </c>
      <c r="J5092">
        <v>-217.35769999999999</v>
      </c>
      <c r="K5092">
        <v>1.1215079999999999</v>
      </c>
      <c r="L5092">
        <v>141.7363</v>
      </c>
      <c r="M5092">
        <v>-0.99939199999999995</v>
      </c>
      <c r="N5092">
        <v>-1.1680279999999999E-2</v>
      </c>
      <c r="O5092">
        <v>3.2852520000000003E-2</v>
      </c>
      <c r="P5092">
        <v>-0.98986280000000004</v>
      </c>
      <c r="Q5092">
        <v>-0.13619979999999901</v>
      </c>
      <c r="R5092">
        <v>-4.0267400000000002E-2</v>
      </c>
      <c r="S5092">
        <v>-2.9827880000000002</v>
      </c>
      <c r="T5092">
        <v>-0.35726590000000003</v>
      </c>
      <c r="U5092">
        <v>3.5797120000000002E-2</v>
      </c>
      <c r="V5092">
        <v>-7.250914E-2</v>
      </c>
      <c r="W5092">
        <v>-0.1248007</v>
      </c>
      <c r="X5092">
        <v>0.98952879999999999</v>
      </c>
      <c r="Y5092">
        <v>-2.0506449999999999E-2</v>
      </c>
      <c r="Z5092">
        <v>-4.8814069999999999E-3</v>
      </c>
      <c r="AA5092">
        <v>0.99977780000000005</v>
      </c>
      <c r="AB5092">
        <v>23</v>
      </c>
      <c r="AC5092">
        <v>-0.66560000000001196</v>
      </c>
      <c r="AD5092">
        <v>-0.108276</v>
      </c>
      <c r="AE5092">
        <v>4.3000000000006297E-3</v>
      </c>
      <c r="AF5092">
        <v>-1.7117489677956101E-2</v>
      </c>
      <c r="AG5092">
        <v>-0.108276</v>
      </c>
      <c r="AH5092">
        <v>0.64822863517129803</v>
      </c>
      <c r="AI5092">
        <v>99.479535242290495</v>
      </c>
      <c r="AJ5092">
        <v>91.512633032707399</v>
      </c>
      <c r="AK5092">
        <v>0.65743217451302005</v>
      </c>
      <c r="AL5092">
        <v>97.169246477388</v>
      </c>
      <c r="AM5092">
        <v>94.190940017633693</v>
      </c>
      <c r="AN5092">
        <v>1.0000000180667299</v>
      </c>
    </row>
    <row r="5093" spans="1:40" x14ac:dyDescent="0.25">
      <c r="A5093" t="str">
        <f>"20190303154240480"</f>
        <v>20190303154240480</v>
      </c>
      <c r="B5093" t="str">
        <f>"1551598960475081"</f>
        <v>1551598960475081</v>
      </c>
      <c r="C5093" t="s">
        <v>40</v>
      </c>
      <c r="D5093">
        <v>6.1985460000000003</v>
      </c>
      <c r="E5093">
        <v>0.52021279999999903</v>
      </c>
      <c r="F5093" t="s">
        <v>42</v>
      </c>
      <c r="G5093">
        <v>-218.23099999999999</v>
      </c>
      <c r="H5093">
        <v>1.0163</v>
      </c>
      <c r="I5093">
        <v>141.74680000000001</v>
      </c>
      <c r="J5093">
        <v>-217.56559999999999</v>
      </c>
      <c r="K5093">
        <v>1.1215759999999999</v>
      </c>
      <c r="L5093">
        <v>141.74180000000001</v>
      </c>
      <c r="M5093">
        <v>-0.99942679999999995</v>
      </c>
      <c r="N5093">
        <v>-1.190155E-2</v>
      </c>
      <c r="O5093">
        <v>3.1694300000000002E-2</v>
      </c>
      <c r="P5093">
        <v>-0.99004749999999997</v>
      </c>
      <c r="Q5093">
        <v>-0.1347392</v>
      </c>
      <c r="R5093">
        <v>-4.0639040000000001E-2</v>
      </c>
      <c r="S5093">
        <v>-2.9827270000000001</v>
      </c>
      <c r="T5093">
        <v>-0.35939860000000001</v>
      </c>
      <c r="U5093">
        <v>3.567505E-2</v>
      </c>
      <c r="V5093">
        <v>-7.173438E-2</v>
      </c>
      <c r="W5093">
        <v>-0.1231227</v>
      </c>
      <c r="X5093">
        <v>0.98979539999999999</v>
      </c>
      <c r="Y5093">
        <v>-1.9400259999999999E-2</v>
      </c>
      <c r="Z5093">
        <v>-4.7088030000000001E-3</v>
      </c>
      <c r="AA5093">
        <v>0.99980069999999999</v>
      </c>
      <c r="AB5093">
        <v>23</v>
      </c>
      <c r="AC5093">
        <v>-0.66540000000000499</v>
      </c>
      <c r="AD5093">
        <v>-0.10527599999999999</v>
      </c>
      <c r="AE5093">
        <v>4.9999999999954499E-3</v>
      </c>
      <c r="AF5093">
        <v>-1.5700404052676101E-2</v>
      </c>
      <c r="AG5093">
        <v>-0.10527599999999999</v>
      </c>
      <c r="AH5093">
        <v>0.64897988690883301</v>
      </c>
      <c r="AI5093">
        <v>99.211475946214904</v>
      </c>
      <c r="AJ5093">
        <v>91.385854124186693</v>
      </c>
      <c r="AK5093">
        <v>0.65765069183847003</v>
      </c>
      <c r="AL5093">
        <v>97.072357130217199</v>
      </c>
      <c r="AM5093">
        <v>94.145203938181098</v>
      </c>
      <c r="AN5093">
        <v>0.99999997719521605</v>
      </c>
    </row>
    <row r="5094" spans="1:40" x14ac:dyDescent="0.25">
      <c r="A5094" t="str">
        <f>"20190303154240503"</f>
        <v>20190303154240503</v>
      </c>
      <c r="B5094" t="str">
        <f>"1551598960495577"</f>
        <v>1551598960495577</v>
      </c>
      <c r="C5094" t="s">
        <v>40</v>
      </c>
      <c r="D5094">
        <v>6.1907249999999996</v>
      </c>
      <c r="E5094">
        <v>0.52046099999999995</v>
      </c>
      <c r="F5094" t="s">
        <v>42</v>
      </c>
      <c r="G5094">
        <v>-218.43780000000001</v>
      </c>
      <c r="H5094">
        <v>1.0183580000000001</v>
      </c>
      <c r="I5094">
        <v>141.7527</v>
      </c>
      <c r="J5094">
        <v>-217.8014</v>
      </c>
      <c r="K5094">
        <v>1.1216619999999999</v>
      </c>
      <c r="L5094">
        <v>141.74760000000001</v>
      </c>
      <c r="M5094">
        <v>-0.99946740000000001</v>
      </c>
      <c r="N5094">
        <v>-1.213028E-2</v>
      </c>
      <c r="O5094">
        <v>3.0299159999999999E-2</v>
      </c>
      <c r="P5094">
        <v>-0.99042240000000004</v>
      </c>
      <c r="Q5094">
        <v>-0.13190209999999999</v>
      </c>
      <c r="R5094">
        <v>-4.0812580000000001E-2</v>
      </c>
      <c r="S5094">
        <v>-2.9836119999999999</v>
      </c>
      <c r="T5094">
        <v>-0.35319139999999999</v>
      </c>
      <c r="U5094">
        <v>3.6773680000000003E-2</v>
      </c>
      <c r="V5094">
        <v>-7.053152E-2</v>
      </c>
      <c r="W5094">
        <v>-0.1200596</v>
      </c>
      <c r="X5094">
        <v>0.99025799999999997</v>
      </c>
      <c r="Y5094">
        <v>-1.767403E-2</v>
      </c>
      <c r="Z5094">
        <v>-4.3571249999999999E-3</v>
      </c>
      <c r="AA5094">
        <v>0.99983429999999995</v>
      </c>
      <c r="AB5094">
        <v>23</v>
      </c>
      <c r="AC5094">
        <v>-0.63640000000000896</v>
      </c>
      <c r="AD5094">
        <v>-0.10330400000000001</v>
      </c>
      <c r="AE5094">
        <v>5.0999999999987696E-3</v>
      </c>
      <c r="AF5094">
        <v>-1.38219637820847E-2</v>
      </c>
      <c r="AG5094">
        <v>-0.10330400000000001</v>
      </c>
      <c r="AH5094">
        <v>0.61992849170088205</v>
      </c>
      <c r="AI5094">
        <v>99.458447943534196</v>
      </c>
      <c r="AJ5094">
        <v>91.277258604409695</v>
      </c>
      <c r="AK5094">
        <v>0.62862874411000602</v>
      </c>
      <c r="AL5094">
        <v>96.895542589598804</v>
      </c>
      <c r="AM5094">
        <v>94.074034714264101</v>
      </c>
      <c r="AN5094">
        <v>0.99999995471483405</v>
      </c>
    </row>
    <row r="5095" spans="1:40" x14ac:dyDescent="0.25">
      <c r="A5095" t="str">
        <f>"20190303154240526"</f>
        <v>20190303154240526</v>
      </c>
      <c r="B5095" t="str">
        <f>"1551598960515097"</f>
        <v>1551598960515097</v>
      </c>
      <c r="C5095" t="s">
        <v>40</v>
      </c>
      <c r="D5095">
        <v>6.2119679999999997</v>
      </c>
      <c r="E5095">
        <v>0.5206752</v>
      </c>
      <c r="F5095" t="s">
        <v>42</v>
      </c>
      <c r="G5095">
        <v>-218.6464</v>
      </c>
      <c r="H5095">
        <v>1.0245310000000001</v>
      </c>
      <c r="I5095">
        <v>141.7585</v>
      </c>
      <c r="J5095">
        <v>-218.02969999999999</v>
      </c>
      <c r="K5095">
        <v>1.121756</v>
      </c>
      <c r="L5095">
        <v>141.75290000000001</v>
      </c>
      <c r="M5095">
        <v>-0.99950799999999995</v>
      </c>
      <c r="N5095">
        <v>-1.2332559999999999E-2</v>
      </c>
      <c r="O5095">
        <v>2.88373E-2</v>
      </c>
      <c r="P5095">
        <v>-0.99104680000000001</v>
      </c>
      <c r="Q5095">
        <v>-0.12731429999999999</v>
      </c>
      <c r="R5095">
        <v>-4.0217879999999998E-2</v>
      </c>
      <c r="S5095">
        <v>-2.9848629999999998</v>
      </c>
      <c r="T5095">
        <v>-0.34319309999999997</v>
      </c>
      <c r="U5095">
        <v>3.8162229999999998E-2</v>
      </c>
      <c r="V5095">
        <v>-6.8504679999999998E-2</v>
      </c>
      <c r="W5095">
        <v>-0.11526749999999999</v>
      </c>
      <c r="X5095">
        <v>0.99096949999999995</v>
      </c>
      <c r="Y5095">
        <v>-1.5791670000000001E-2</v>
      </c>
      <c r="Z5095">
        <v>-3.9520509999999998E-3</v>
      </c>
      <c r="AA5095">
        <v>0.99986750000000002</v>
      </c>
      <c r="AB5095">
        <v>23</v>
      </c>
      <c r="AC5095">
        <v>-0.61670000000000802</v>
      </c>
      <c r="AD5095">
        <v>-9.7225000000000103E-2</v>
      </c>
      <c r="AE5095">
        <v>5.5999999999869496E-3</v>
      </c>
      <c r="AF5095">
        <v>-1.1892095683139E-2</v>
      </c>
      <c r="AG5095">
        <v>-9.7225000000000103E-2</v>
      </c>
      <c r="AH5095">
        <v>0.60165235020243202</v>
      </c>
      <c r="AI5095">
        <v>99.177689984780699</v>
      </c>
      <c r="AJ5095">
        <v>91.132345248450093</v>
      </c>
      <c r="AK5095">
        <v>0.60957335331266504</v>
      </c>
      <c r="AL5095">
        <v>96.619054148951193</v>
      </c>
      <c r="AM5095">
        <v>93.954505746528298</v>
      </c>
      <c r="AN5095">
        <v>1.0000000188342</v>
      </c>
    </row>
    <row r="5096" spans="1:40" x14ac:dyDescent="0.25">
      <c r="A5096" t="str">
        <f>"20190303154240547"</f>
        <v>20190303154240547</v>
      </c>
      <c r="B5096" t="str">
        <f>"1551598960544884"</f>
        <v>1551598960544884</v>
      </c>
      <c r="C5096" t="s">
        <v>40</v>
      </c>
      <c r="D5096">
        <v>6.1722780000000004</v>
      </c>
      <c r="E5096">
        <v>0.52093029999999996</v>
      </c>
      <c r="F5096" t="s">
        <v>42</v>
      </c>
      <c r="G5096">
        <v>-218.85650000000001</v>
      </c>
      <c r="H5096">
        <v>1.031118</v>
      </c>
      <c r="I5096">
        <v>141.7647</v>
      </c>
      <c r="J5096">
        <v>-218.25800000000001</v>
      </c>
      <c r="K5096">
        <v>1.1218379999999999</v>
      </c>
      <c r="L5096">
        <v>141.7576</v>
      </c>
      <c r="M5096">
        <v>-0.99955050000000001</v>
      </c>
      <c r="N5096">
        <v>-1.2514620000000001E-2</v>
      </c>
      <c r="O5096">
        <v>2.7247629999999998E-2</v>
      </c>
      <c r="P5096">
        <v>-0.9913206</v>
      </c>
      <c r="Q5096">
        <v>-0.1255483</v>
      </c>
      <c r="R5096">
        <v>-3.9008609999999999E-2</v>
      </c>
      <c r="S5096">
        <v>-2.98671</v>
      </c>
      <c r="T5096">
        <v>-0.32772659999999998</v>
      </c>
      <c r="U5096">
        <v>4.1687009999999997E-2</v>
      </c>
      <c r="V5096">
        <v>-6.5717600000000001E-2</v>
      </c>
      <c r="W5096">
        <v>-0.11331919999999999</v>
      </c>
      <c r="X5096">
        <v>0.99138280000000001</v>
      </c>
      <c r="Y5096">
        <v>-1.3080359999999999E-2</v>
      </c>
      <c r="Z5096">
        <v>-3.4377829999999998E-3</v>
      </c>
      <c r="AA5096">
        <v>0.99990860000000004</v>
      </c>
      <c r="AB5096">
        <v>23</v>
      </c>
      <c r="AC5096">
        <v>-0.59850000000002901</v>
      </c>
      <c r="AD5096">
        <v>-9.0719999999999898E-2</v>
      </c>
      <c r="AE5096">
        <v>7.1000000000083201E-3</v>
      </c>
      <c r="AF5096">
        <v>-9.0047525402347697E-3</v>
      </c>
      <c r="AG5096">
        <v>-9.0719999999999898E-2</v>
      </c>
      <c r="AH5096">
        <v>0.58503133191563494</v>
      </c>
      <c r="AI5096">
        <v>98.8135446590246</v>
      </c>
      <c r="AJ5096">
        <v>90.881822135411696</v>
      </c>
      <c r="AK5096">
        <v>0.59209193820832695</v>
      </c>
      <c r="AL5096">
        <v>96.506688886995704</v>
      </c>
      <c r="AM5096">
        <v>93.792521298890094</v>
      </c>
      <c r="AN5096">
        <v>0.99999995008711795</v>
      </c>
    </row>
    <row r="5097" spans="1:40" x14ac:dyDescent="0.25">
      <c r="A5097" t="str">
        <f>"20190303154240570"</f>
        <v>20190303154240570</v>
      </c>
      <c r="B5097" t="str">
        <f>"1551598960565380"</f>
        <v>1551598960565380</v>
      </c>
      <c r="C5097" t="s">
        <v>40</v>
      </c>
      <c r="D5097">
        <v>6.1595700000000004</v>
      </c>
      <c r="E5097">
        <v>0.52106889999999995</v>
      </c>
      <c r="F5097" t="s">
        <v>42</v>
      </c>
      <c r="G5097">
        <v>-219.06450000000001</v>
      </c>
      <c r="H5097">
        <v>1.035326</v>
      </c>
      <c r="I5097">
        <v>141.77029999999999</v>
      </c>
      <c r="J5097">
        <v>-218.4836</v>
      </c>
      <c r="K5097">
        <v>1.121904</v>
      </c>
      <c r="L5097">
        <v>141.76179999999999</v>
      </c>
      <c r="M5097">
        <v>-0.99959330000000002</v>
      </c>
      <c r="N5097">
        <v>-1.267397E-2</v>
      </c>
      <c r="O5097">
        <v>2.5551529999999999E-2</v>
      </c>
      <c r="P5097">
        <v>-0.99138749999999998</v>
      </c>
      <c r="Q5097">
        <v>-0.12586069999999999</v>
      </c>
      <c r="R5097">
        <v>-3.6193990000000002E-2</v>
      </c>
      <c r="S5097">
        <v>-2.987549</v>
      </c>
      <c r="T5097">
        <v>-0.32043680000000002</v>
      </c>
      <c r="U5097">
        <v>4.7332760000000001E-2</v>
      </c>
      <c r="V5097">
        <v>-6.1207480000000002E-2</v>
      </c>
      <c r="W5097">
        <v>-0.1134686</v>
      </c>
      <c r="X5097">
        <v>0.99165449999999999</v>
      </c>
      <c r="Y5097">
        <v>-9.5391060000000003E-3</v>
      </c>
      <c r="Z5097">
        <v>-2.9798899999999998E-3</v>
      </c>
      <c r="AA5097">
        <v>0.99995009999999995</v>
      </c>
      <c r="AB5097">
        <v>23</v>
      </c>
      <c r="AC5097">
        <v>-0.58090000000001396</v>
      </c>
      <c r="AD5097">
        <v>-8.6578000000000002E-2</v>
      </c>
      <c r="AE5097">
        <v>8.4999999999979502E-3</v>
      </c>
      <c r="AF5097">
        <v>-6.2089579310685497E-3</v>
      </c>
      <c r="AG5097">
        <v>-8.6578000000000002E-2</v>
      </c>
      <c r="AH5097">
        <v>0.56830628067020506</v>
      </c>
      <c r="AI5097">
        <v>98.661552044399201</v>
      </c>
      <c r="AJ5097">
        <v>90.625952841452005</v>
      </c>
      <c r="AK5097">
        <v>0.57489679934036197</v>
      </c>
      <c r="AL5097">
        <v>96.515303706909506</v>
      </c>
      <c r="AM5097">
        <v>93.531963003344799</v>
      </c>
      <c r="AN5097">
        <v>1.00000006308207</v>
      </c>
    </row>
    <row r="5098" spans="1:40" x14ac:dyDescent="0.25">
      <c r="A5098" t="str">
        <f>"20190303154240592"</f>
        <v>20190303154240592</v>
      </c>
      <c r="B5098" t="str">
        <f>"1551598960584900"</f>
        <v>1551598960584900</v>
      </c>
      <c r="C5098" t="s">
        <v>40</v>
      </c>
      <c r="D5098">
        <v>6.1478479999999998</v>
      </c>
      <c r="E5098">
        <v>0.52119819999999994</v>
      </c>
      <c r="F5098" t="s">
        <v>42</v>
      </c>
      <c r="G5098">
        <v>-219.27019999999999</v>
      </c>
      <c r="H5098">
        <v>1.0375620000000001</v>
      </c>
      <c r="I5098">
        <v>141.77699999999999</v>
      </c>
      <c r="J5098">
        <v>-218.7107</v>
      </c>
      <c r="K5098">
        <v>1.1219680000000001</v>
      </c>
      <c r="L5098">
        <v>141.76560000000001</v>
      </c>
      <c r="M5098">
        <v>-0.99963619999999997</v>
      </c>
      <c r="N5098">
        <v>-1.281506E-2</v>
      </c>
      <c r="O5098">
        <v>2.3734870000000002E-2</v>
      </c>
      <c r="P5098">
        <v>-0.99136310000000005</v>
      </c>
      <c r="Q5098">
        <v>-0.1272018</v>
      </c>
      <c r="R5098">
        <v>-3.1923779999999999E-2</v>
      </c>
      <c r="S5098">
        <v>-2.987457</v>
      </c>
      <c r="T5098">
        <v>-0.32051380000000002</v>
      </c>
      <c r="U5098">
        <v>5.699158E-2</v>
      </c>
      <c r="V5098">
        <v>-5.511688E-2</v>
      </c>
      <c r="W5098">
        <v>-0.1146592</v>
      </c>
      <c r="X5098">
        <v>0.9918747</v>
      </c>
      <c r="Y5098">
        <v>-4.5297549999999999E-3</v>
      </c>
      <c r="Z5098">
        <v>-2.5065679999999998E-3</v>
      </c>
      <c r="AA5098">
        <v>0.99998659999999995</v>
      </c>
      <c r="AB5098">
        <v>23</v>
      </c>
      <c r="AC5098">
        <v>-0.55949999999998501</v>
      </c>
      <c r="AD5098">
        <v>-8.4405999999999898E-2</v>
      </c>
      <c r="AE5098">
        <v>1.14000000000089E-2</v>
      </c>
      <c r="AF5098">
        <v>-1.84205637724222E-3</v>
      </c>
      <c r="AG5098">
        <v>-8.4405999999999898E-2</v>
      </c>
      <c r="AH5098">
        <v>0.54716537958189204</v>
      </c>
      <c r="AI5098">
        <v>98.769302758170497</v>
      </c>
      <c r="AJ5098">
        <v>90.192888039444298</v>
      </c>
      <c r="AK5098">
        <v>0.55364042357896204</v>
      </c>
      <c r="AL5098">
        <v>96.583968547329107</v>
      </c>
      <c r="AM5098">
        <v>93.180563206941301</v>
      </c>
      <c r="AN5098">
        <v>1.00000001155283</v>
      </c>
    </row>
    <row r="5099" spans="1:40" x14ac:dyDescent="0.25">
      <c r="A5099" t="str">
        <f>"20190303154240615"</f>
        <v>20190303154240615</v>
      </c>
      <c r="B5099" t="str">
        <f>"1551598960605398"</f>
        <v>1551598960605398</v>
      </c>
      <c r="C5099" t="s">
        <v>40</v>
      </c>
      <c r="D5099">
        <v>6.1376569999999999</v>
      </c>
      <c r="E5099">
        <v>0.52131530000000004</v>
      </c>
      <c r="F5099" t="s">
        <v>42</v>
      </c>
      <c r="G5099">
        <v>-219.47489999999999</v>
      </c>
      <c r="H5099">
        <v>1.039158</v>
      </c>
      <c r="I5099">
        <v>141.78380000000001</v>
      </c>
      <c r="J5099">
        <v>-218.94669999999999</v>
      </c>
      <c r="K5099">
        <v>1.122017</v>
      </c>
      <c r="L5099">
        <v>141.76900000000001</v>
      </c>
      <c r="M5099">
        <v>-0.99967950000000005</v>
      </c>
      <c r="N5099">
        <v>-1.2943359999999999E-2</v>
      </c>
      <c r="O5099">
        <v>2.1755679999999999E-2</v>
      </c>
      <c r="P5099">
        <v>-0.99145320000000003</v>
      </c>
      <c r="Q5099">
        <v>-0.12765409999999999</v>
      </c>
      <c r="R5099">
        <v>-2.692785E-2</v>
      </c>
      <c r="S5099">
        <v>-2.9869080000000001</v>
      </c>
      <c r="T5099">
        <v>-0.32367849999999998</v>
      </c>
      <c r="U5099">
        <v>7.0922849999999996E-2</v>
      </c>
      <c r="V5099">
        <v>-4.8148070000000001E-2</v>
      </c>
      <c r="W5099">
        <v>-0.1149665</v>
      </c>
      <c r="X5099">
        <v>0.99220180000000002</v>
      </c>
      <c r="Y5099">
        <v>2.0660129999999998E-3</v>
      </c>
      <c r="Z5099">
        <v>-1.9441790000000001E-3</v>
      </c>
      <c r="AA5099">
        <v>0.99999590000000005</v>
      </c>
      <c r="AB5099">
        <v>23</v>
      </c>
      <c r="AC5099">
        <v>-0.528199999999998</v>
      </c>
      <c r="AD5099">
        <v>-8.2859000000000002E-2</v>
      </c>
      <c r="AE5099">
        <v>1.48000000000081E-2</v>
      </c>
      <c r="AF5099">
        <v>3.22488641267302E-3</v>
      </c>
      <c r="AG5099">
        <v>-8.2859000000000002E-2</v>
      </c>
      <c r="AH5099">
        <v>0.51571600755156299</v>
      </c>
      <c r="AI5099">
        <v>99.127409368776497</v>
      </c>
      <c r="AJ5099">
        <v>89.641721471051795</v>
      </c>
      <c r="AK5099">
        <v>0.522339941243534</v>
      </c>
      <c r="AL5099">
        <v>96.601693007890205</v>
      </c>
      <c r="AM5099">
        <v>92.778183689717494</v>
      </c>
      <c r="AN5099">
        <v>0.99999997234510696</v>
      </c>
    </row>
    <row r="5100" spans="1:40" x14ac:dyDescent="0.25">
      <c r="A5100" t="str">
        <f>"20190303154240650"</f>
        <v>20190303154240650</v>
      </c>
      <c r="B5100" t="str">
        <f>"1551598960644941"</f>
        <v>1551598960644941</v>
      </c>
      <c r="C5100" t="s">
        <v>40</v>
      </c>
      <c r="D5100">
        <v>6.2628560000000002</v>
      </c>
      <c r="E5100">
        <v>0.52149499999999904</v>
      </c>
      <c r="F5100" t="s">
        <v>42</v>
      </c>
      <c r="G5100">
        <v>-219.68090000000001</v>
      </c>
      <c r="H5100">
        <v>1.0423389999999999</v>
      </c>
      <c r="I5100">
        <v>141.79050000000001</v>
      </c>
      <c r="J5100">
        <v>-219.29390000000001</v>
      </c>
      <c r="K5100">
        <v>1.1220600000000001</v>
      </c>
      <c r="L5100">
        <v>141.77289999999999</v>
      </c>
      <c r="M5100">
        <v>-0.99973889999999999</v>
      </c>
      <c r="N5100">
        <v>-1.3099680000000001E-2</v>
      </c>
      <c r="O5100">
        <v>1.8726550000000002E-2</v>
      </c>
      <c r="P5100">
        <v>-0.99155680000000002</v>
      </c>
      <c r="Q5100">
        <v>-0.12804989999999999</v>
      </c>
      <c r="R5100">
        <v>-2.0460760000000001E-2</v>
      </c>
      <c r="S5100">
        <v>-2.9864809999999999</v>
      </c>
      <c r="T5100">
        <v>-0.32421409999999901</v>
      </c>
      <c r="U5100">
        <v>8.6868290000000001E-2</v>
      </c>
      <c r="V5100">
        <v>-3.8670860000000001E-2</v>
      </c>
      <c r="W5100">
        <v>-0.1151774</v>
      </c>
      <c r="X5100">
        <v>0.99259189999999997</v>
      </c>
      <c r="Y5100">
        <v>1.036627E-2</v>
      </c>
      <c r="Z5100">
        <v>-1.1526360000000001E-3</v>
      </c>
      <c r="AA5100">
        <v>0.99994559999999999</v>
      </c>
      <c r="AB5100">
        <v>23</v>
      </c>
      <c r="AC5100">
        <v>-0.38700000000000001</v>
      </c>
      <c r="AD5100">
        <v>-7.9721000000000097E-2</v>
      </c>
      <c r="AE5100">
        <v>1.7600000000015801E-2</v>
      </c>
      <c r="AF5100">
        <v>9.9286643673255296E-3</v>
      </c>
      <c r="AG5100">
        <v>-7.9721000000000097E-2</v>
      </c>
      <c r="AH5100">
        <v>0.37152849335701799</v>
      </c>
      <c r="AI5100">
        <v>102.106448991013</v>
      </c>
      <c r="AJ5100">
        <v>88.469201661527094</v>
      </c>
      <c r="AK5100">
        <v>0.38011503205379099</v>
      </c>
      <c r="AL5100">
        <v>96.613857481149296</v>
      </c>
      <c r="AM5100">
        <v>92.231085175056194</v>
      </c>
      <c r="AN5100">
        <v>0.99999997441475397</v>
      </c>
    </row>
    <row r="5101" spans="1:40" x14ac:dyDescent="0.25">
      <c r="A5101" t="str">
        <f>"20190303154240671"</f>
        <v>20190303154240671</v>
      </c>
      <c r="B5101" t="str">
        <f>"1551598960665438"</f>
        <v>1551598960665438</v>
      </c>
      <c r="C5101" t="s">
        <v>40</v>
      </c>
      <c r="D5101">
        <v>6.0733680000000003</v>
      </c>
      <c r="E5101">
        <v>0.52151720000000001</v>
      </c>
      <c r="F5101" t="s">
        <v>42</v>
      </c>
      <c r="G5101">
        <v>-220.08199999999999</v>
      </c>
      <c r="H5101">
        <v>1.036457</v>
      </c>
      <c r="I5101">
        <v>141.8014</v>
      </c>
      <c r="J5101">
        <v>-219.50989999999999</v>
      </c>
      <c r="K5101">
        <v>1.122061</v>
      </c>
      <c r="L5101">
        <v>141.7747</v>
      </c>
      <c r="M5101">
        <v>-0.99977179999999999</v>
      </c>
      <c r="N5101">
        <v>-1.3181709999999999E-2</v>
      </c>
      <c r="O5101">
        <v>1.6812199999999999E-2</v>
      </c>
      <c r="P5101">
        <v>-0.99148340000000001</v>
      </c>
      <c r="Q5101">
        <v>-0.12917609999999999</v>
      </c>
      <c r="R5101">
        <v>-1.656817E-2</v>
      </c>
      <c r="S5101">
        <v>-2.9858859999999998</v>
      </c>
      <c r="T5101">
        <v>-0.32441150000000002</v>
      </c>
      <c r="U5101">
        <v>0.1076355</v>
      </c>
      <c r="V5101">
        <v>-3.2876820000000001E-2</v>
      </c>
      <c r="W5101">
        <v>-0.1162033</v>
      </c>
      <c r="X5101">
        <v>0.99268109999999998</v>
      </c>
      <c r="Y5101">
        <v>1.916673E-2</v>
      </c>
      <c r="Z5101">
        <v>-4.3485019999999999E-4</v>
      </c>
      <c r="AA5101">
        <v>0.99981620000000004</v>
      </c>
      <c r="AB5101">
        <v>23</v>
      </c>
      <c r="AC5101">
        <v>-0.57210000000000505</v>
      </c>
      <c r="AD5101">
        <v>-8.5604E-2</v>
      </c>
      <c r="AE5101">
        <v>2.6700000000005199E-2</v>
      </c>
      <c r="AF5101">
        <v>1.6703950509886999E-2</v>
      </c>
      <c r="AG5101">
        <v>-8.5604E-2</v>
      </c>
      <c r="AH5101">
        <v>0.55995812345979001</v>
      </c>
      <c r="AI5101">
        <v>98.688032304898996</v>
      </c>
      <c r="AJ5101">
        <v>88.291332711743195</v>
      </c>
      <c r="AK5101">
        <v>0.56670994945143305</v>
      </c>
      <c r="AL5101">
        <v>96.673034883087993</v>
      </c>
      <c r="AM5101">
        <v>91.896897955559893</v>
      </c>
      <c r="AN5101">
        <v>0.99999992926070302</v>
      </c>
    </row>
    <row r="5102" spans="1:40" x14ac:dyDescent="0.25">
      <c r="A5102" t="str">
        <f>"20190303154240693"</f>
        <v>20190303154240693</v>
      </c>
      <c r="B5102" t="str">
        <f>"1551598960684957"</f>
        <v>1551598960684957</v>
      </c>
      <c r="C5102" t="s">
        <v>40</v>
      </c>
      <c r="D5102">
        <v>6.0395349999999999</v>
      </c>
      <c r="E5102">
        <v>0.52152810000000005</v>
      </c>
      <c r="F5102" t="s">
        <v>42</v>
      </c>
      <c r="G5102">
        <v>-220.28559999999999</v>
      </c>
      <c r="H5102">
        <v>1.0371250000000001</v>
      </c>
      <c r="I5102">
        <v>141.8058</v>
      </c>
      <c r="J5102">
        <v>-219.74160000000001</v>
      </c>
      <c r="K5102">
        <v>1.1220490000000001</v>
      </c>
      <c r="L5102">
        <v>141.77629999999999</v>
      </c>
      <c r="M5102">
        <v>-0.9998032</v>
      </c>
      <c r="N5102">
        <v>-1.3257909999999999E-2</v>
      </c>
      <c r="O5102">
        <v>1.476097E-2</v>
      </c>
      <c r="P5102">
        <v>-0.99140859999999997</v>
      </c>
      <c r="Q5102">
        <v>-0.13011030000000001</v>
      </c>
      <c r="R5102">
        <v>-1.343258E-2</v>
      </c>
      <c r="S5102">
        <v>-2.9851839999999998</v>
      </c>
      <c r="T5102">
        <v>-0.32692529999999997</v>
      </c>
      <c r="U5102">
        <v>0.1194916</v>
      </c>
      <c r="V5102">
        <v>-2.7707519999999999E-2</v>
      </c>
      <c r="W5102">
        <v>-0.1170445</v>
      </c>
      <c r="X5102">
        <v>0.99274010000000001</v>
      </c>
      <c r="Y5102">
        <v>2.514106E-2</v>
      </c>
      <c r="Z5102">
        <v>1.2351079999999999E-4</v>
      </c>
      <c r="AA5102">
        <v>0.99968389999999996</v>
      </c>
      <c r="AB5102">
        <v>23</v>
      </c>
      <c r="AC5102">
        <v>-0.54399999999998205</v>
      </c>
      <c r="AD5102">
        <v>-8.4923999999999999E-2</v>
      </c>
      <c r="AE5102">
        <v>2.9500000000012901E-2</v>
      </c>
      <c r="AF5102">
        <v>2.0956881720068099E-2</v>
      </c>
      <c r="AG5102">
        <v>-8.4923999999999999E-2</v>
      </c>
      <c r="AH5102">
        <v>0.53146222422300105</v>
      </c>
      <c r="AI5102">
        <v>99.071785490759694</v>
      </c>
      <c r="AJ5102">
        <v>87.741854365335698</v>
      </c>
      <c r="AK5102">
        <v>0.53861245106615296</v>
      </c>
      <c r="AL5102">
        <v>96.721562676520804</v>
      </c>
      <c r="AM5102">
        <v>91.598718471106295</v>
      </c>
      <c r="AN5102">
        <v>1.0000000138964</v>
      </c>
    </row>
    <row r="5103" spans="1:40" x14ac:dyDescent="0.25">
      <c r="A5103" t="str">
        <f>"20190303154240716"</f>
        <v>20190303154240716</v>
      </c>
      <c r="B5103" t="str">
        <f>"1551598960705457"</f>
        <v>1551598960705457</v>
      </c>
      <c r="C5103" t="s">
        <v>40</v>
      </c>
      <c r="D5103">
        <v>6.0517320000000003</v>
      </c>
      <c r="E5103">
        <v>0.52148850000000002</v>
      </c>
      <c r="F5103" t="s">
        <v>42</v>
      </c>
      <c r="G5103">
        <v>-220.49010000000001</v>
      </c>
      <c r="H5103">
        <v>1.0395589999999999</v>
      </c>
      <c r="I5103">
        <v>141.80879999999999</v>
      </c>
      <c r="J5103">
        <v>-219.96809999999999</v>
      </c>
      <c r="K5103">
        <v>1.1220239999999999</v>
      </c>
      <c r="L5103">
        <v>141.7773</v>
      </c>
      <c r="M5103">
        <v>-0.99982950000000004</v>
      </c>
      <c r="N5103">
        <v>-1.332175E-2</v>
      </c>
      <c r="O5103">
        <v>1.278809E-2</v>
      </c>
      <c r="P5103">
        <v>-0.99144160000000003</v>
      </c>
      <c r="Q5103">
        <v>-0.1301447</v>
      </c>
      <c r="R5103">
        <v>-1.0294559999999999E-2</v>
      </c>
      <c r="S5103">
        <v>-2.9845730000000001</v>
      </c>
      <c r="T5103">
        <v>-0.3291191</v>
      </c>
      <c r="U5103">
        <v>0.1290588</v>
      </c>
      <c r="V5103">
        <v>-2.2622320000000001E-2</v>
      </c>
      <c r="W5103">
        <v>-0.116996699999999</v>
      </c>
      <c r="X5103">
        <v>0.99287460000000005</v>
      </c>
      <c r="Y5103">
        <v>3.0275119999999999E-2</v>
      </c>
      <c r="Z5103">
        <v>6.3060280000000002E-4</v>
      </c>
      <c r="AA5103">
        <v>0.99954140000000002</v>
      </c>
      <c r="AB5103">
        <v>23</v>
      </c>
      <c r="AC5103">
        <v>-0.522000000000019</v>
      </c>
      <c r="AD5103">
        <v>-8.2464999999999705E-2</v>
      </c>
      <c r="AE5103">
        <v>3.1499999999993998E-2</v>
      </c>
      <c r="AF5103">
        <v>2.4219194862875101E-2</v>
      </c>
      <c r="AG5103">
        <v>-8.2464999999999705E-2</v>
      </c>
      <c r="AH5103">
        <v>0.50968591638205696</v>
      </c>
      <c r="AI5103">
        <v>99.180385850564505</v>
      </c>
      <c r="AJ5103">
        <v>87.279472324299405</v>
      </c>
      <c r="AK5103">
        <v>0.51688178434050402</v>
      </c>
      <c r="AL5103">
        <v>96.718805191702401</v>
      </c>
      <c r="AM5103">
        <v>91.305239585499507</v>
      </c>
      <c r="AN5103">
        <v>0.99999998424911596</v>
      </c>
    </row>
    <row r="5104" spans="1:40" x14ac:dyDescent="0.25">
      <c r="A5104" t="str">
        <f>"20190303154240738"</f>
        <v>20190303154240738</v>
      </c>
      <c r="B5104" t="str">
        <f>"1551598960735241"</f>
        <v>1551598960735241</v>
      </c>
      <c r="C5104" t="s">
        <v>40</v>
      </c>
      <c r="D5104">
        <v>6.0069410000000003</v>
      </c>
      <c r="E5104">
        <v>0.52141680000000001</v>
      </c>
      <c r="F5104" t="s">
        <v>42</v>
      </c>
      <c r="G5104">
        <v>-220.88579999999999</v>
      </c>
      <c r="H5104">
        <v>1.0210220000000001</v>
      </c>
      <c r="I5104">
        <v>141.81989999999999</v>
      </c>
      <c r="J5104">
        <v>-220.1884</v>
      </c>
      <c r="K5104">
        <v>1.121991</v>
      </c>
      <c r="L5104">
        <v>141.77789999999999</v>
      </c>
      <c r="M5104">
        <v>-0.99985080000000004</v>
      </c>
      <c r="N5104">
        <v>-1.337434E-2</v>
      </c>
      <c r="O5104">
        <v>1.093444E-2</v>
      </c>
      <c r="P5104">
        <v>-0.99154200000000003</v>
      </c>
      <c r="Q5104">
        <v>-0.1294913</v>
      </c>
      <c r="R5104">
        <v>-8.745058E-3</v>
      </c>
      <c r="S5104">
        <v>-2.9842219999999999</v>
      </c>
      <c r="T5104">
        <v>-0.32850269999999998</v>
      </c>
      <c r="U5104">
        <v>0.13813780000000001</v>
      </c>
      <c r="V5104">
        <v>-1.9251040000000001E-2</v>
      </c>
      <c r="W5104">
        <v>-0.1162768</v>
      </c>
      <c r="X5104">
        <v>0.99303030000000003</v>
      </c>
      <c r="Y5104">
        <v>3.5126589999999999E-2</v>
      </c>
      <c r="Z5104">
        <v>1.1088339999999999E-3</v>
      </c>
      <c r="AA5104">
        <v>0.99938229999999995</v>
      </c>
      <c r="AB5104">
        <v>23</v>
      </c>
      <c r="AC5104">
        <v>-0.69739999999998703</v>
      </c>
      <c r="AD5104">
        <v>-0.100969</v>
      </c>
      <c r="AE5104">
        <v>4.2000000000001501E-2</v>
      </c>
      <c r="AF5104">
        <v>3.3667964070297603E-2</v>
      </c>
      <c r="AG5104">
        <v>-0.100969</v>
      </c>
      <c r="AH5104">
        <v>0.68354164111094196</v>
      </c>
      <c r="AI5104">
        <v>98.392624712591697</v>
      </c>
      <c r="AJ5104">
        <v>87.180165177460296</v>
      </c>
      <c r="AK5104">
        <v>0.69177846591107395</v>
      </c>
      <c r="AL5104">
        <v>96.677274144466594</v>
      </c>
      <c r="AM5104">
        <v>91.110605785510302</v>
      </c>
      <c r="AN5104">
        <v>1.0000000367387001</v>
      </c>
    </row>
    <row r="5105" spans="1:40" x14ac:dyDescent="0.25">
      <c r="A5105" t="str">
        <f>"20190303154240759"</f>
        <v>20190303154240759</v>
      </c>
      <c r="B5105" t="str">
        <f>"1551598960754761"</f>
        <v>1551598960754761</v>
      </c>
      <c r="C5105" t="s">
        <v>40</v>
      </c>
      <c r="D5105">
        <v>5.9628459999999999</v>
      </c>
      <c r="E5105">
        <v>0.52141939999999998</v>
      </c>
      <c r="F5105" t="s">
        <v>42</v>
      </c>
      <c r="G5105">
        <v>-221.08949999999999</v>
      </c>
      <c r="H5105">
        <v>1.023814</v>
      </c>
      <c r="I5105">
        <v>141.821</v>
      </c>
      <c r="J5105">
        <v>-220.40819999999999</v>
      </c>
      <c r="K5105">
        <v>1.121958</v>
      </c>
      <c r="L5105">
        <v>141.7782</v>
      </c>
      <c r="M5105">
        <v>-0.99986819999999998</v>
      </c>
      <c r="N5105">
        <v>-1.3419250000000001E-2</v>
      </c>
      <c r="O5105">
        <v>9.1474650000000005E-3</v>
      </c>
      <c r="P5105">
        <v>-0.99174169999999995</v>
      </c>
      <c r="Q5105">
        <v>-0.12801360000000001</v>
      </c>
      <c r="R5105">
        <v>-7.8382629999999998E-3</v>
      </c>
      <c r="S5105">
        <v>-2.984375</v>
      </c>
      <c r="T5105">
        <v>-0.32520329999999997</v>
      </c>
      <c r="U5105">
        <v>0.14227290000000001</v>
      </c>
      <c r="V5105">
        <v>-1.6591870000000002E-2</v>
      </c>
      <c r="W5105">
        <v>-0.1147417</v>
      </c>
      <c r="X5105">
        <v>0.99325680000000005</v>
      </c>
      <c r="Y5105">
        <v>3.8266109999999999E-2</v>
      </c>
      <c r="Z5105">
        <v>1.4644969999999999E-3</v>
      </c>
      <c r="AA5105">
        <v>0.99926649999999995</v>
      </c>
      <c r="AB5105">
        <v>23</v>
      </c>
      <c r="AC5105">
        <v>-0.68129999999999302</v>
      </c>
      <c r="AD5105">
        <v>-9.8143999999999995E-2</v>
      </c>
      <c r="AE5105">
        <v>4.2799999999999699E-2</v>
      </c>
      <c r="AF5105">
        <v>3.5824978609245599E-2</v>
      </c>
      <c r="AG5105">
        <v>-9.8143999999999995E-2</v>
      </c>
      <c r="AH5105">
        <v>0.66785841320238504</v>
      </c>
      <c r="AI5105">
        <v>98.348135741672493</v>
      </c>
      <c r="AJ5105">
        <v>86.929506797101197</v>
      </c>
      <c r="AK5105">
        <v>0.67598116387482299</v>
      </c>
      <c r="AL5105">
        <v>96.588726868172202</v>
      </c>
      <c r="AM5105">
        <v>90.957009020451594</v>
      </c>
      <c r="AN5105">
        <v>1.00000000930761</v>
      </c>
    </row>
    <row r="5106" spans="1:40" x14ac:dyDescent="0.25">
      <c r="A5106" t="str">
        <f>"20190303154240782"</f>
        <v>20190303154240782</v>
      </c>
      <c r="B5106" t="str">
        <f>"1551598960775257"</f>
        <v>1551598960775257</v>
      </c>
      <c r="C5106" t="s">
        <v>40</v>
      </c>
      <c r="D5106">
        <v>5.954288</v>
      </c>
      <c r="E5106">
        <v>0.52138909999999905</v>
      </c>
      <c r="F5106" t="s">
        <v>42</v>
      </c>
      <c r="G5106">
        <v>-221.29329999999999</v>
      </c>
      <c r="H5106">
        <v>1.0272049999999999</v>
      </c>
      <c r="I5106">
        <v>141.82149999999999</v>
      </c>
      <c r="J5106">
        <v>-220.63630000000001</v>
      </c>
      <c r="K5106">
        <v>1.121918</v>
      </c>
      <c r="L5106">
        <v>141.7782</v>
      </c>
      <c r="M5106">
        <v>-0.9998823</v>
      </c>
      <c r="N5106">
        <v>-1.3458889999999999E-2</v>
      </c>
      <c r="O5106">
        <v>7.3724680000000001E-3</v>
      </c>
      <c r="P5106">
        <v>-0.99217100000000003</v>
      </c>
      <c r="Q5106">
        <v>-0.1246287</v>
      </c>
      <c r="R5106">
        <v>-8.0444490000000004E-3</v>
      </c>
      <c r="S5106">
        <v>-2.9848629999999998</v>
      </c>
      <c r="T5106">
        <v>-0.31975969999999998</v>
      </c>
      <c r="U5106">
        <v>0.14497380000000001</v>
      </c>
      <c r="V5106">
        <v>-1.506655E-2</v>
      </c>
      <c r="W5106">
        <v>-0.1113051</v>
      </c>
      <c r="X5106">
        <v>0.99367209999999995</v>
      </c>
      <c r="Y5106">
        <v>4.0915739999999999E-2</v>
      </c>
      <c r="Z5106">
        <v>1.7723540000000001E-3</v>
      </c>
      <c r="AA5106">
        <v>0.99916099999999997</v>
      </c>
      <c r="AB5106">
        <v>23</v>
      </c>
      <c r="AC5106">
        <v>-0.65699999999998204</v>
      </c>
      <c r="AD5106">
        <v>-9.4713000000000006E-2</v>
      </c>
      <c r="AE5106">
        <v>4.3299999999987897E-2</v>
      </c>
      <c r="AF5106">
        <v>3.7675093410498399E-2</v>
      </c>
      <c r="AG5106">
        <v>-9.4713000000000006E-2</v>
      </c>
      <c r="AH5106">
        <v>0.64397613117873997</v>
      </c>
      <c r="AI5106">
        <v>98.352731438293006</v>
      </c>
      <c r="AJ5106">
        <v>86.651791874847802</v>
      </c>
      <c r="AK5106">
        <v>0.65199326879993702</v>
      </c>
      <c r="AL5106">
        <v>96.390554106680199</v>
      </c>
      <c r="AM5106">
        <v>90.868680505235204</v>
      </c>
      <c r="AN5106">
        <v>1.00000003426666</v>
      </c>
    </row>
    <row r="5107" spans="1:40" x14ac:dyDescent="0.25">
      <c r="A5107" t="str">
        <f>"20190303154240805"</f>
        <v>20190303154240805</v>
      </c>
      <c r="B5107" t="str">
        <f>"1551598960794776"</f>
        <v>1551598960794776</v>
      </c>
      <c r="C5107" t="s">
        <v>40</v>
      </c>
      <c r="D5107">
        <v>5.9142989999999998</v>
      </c>
      <c r="E5107">
        <v>0.52137079999999902</v>
      </c>
      <c r="F5107" t="s">
        <v>42</v>
      </c>
      <c r="G5107">
        <v>-221.49809999999999</v>
      </c>
      <c r="H5107">
        <v>1.0330979999999901</v>
      </c>
      <c r="I5107">
        <v>141.81970000000001</v>
      </c>
      <c r="J5107">
        <v>-220.87270000000001</v>
      </c>
      <c r="K5107">
        <v>1.121858</v>
      </c>
      <c r="L5107">
        <v>141.77780000000001</v>
      </c>
      <c r="M5107">
        <v>-0.99989309999999998</v>
      </c>
      <c r="N5107">
        <v>-1.3493440000000001E-2</v>
      </c>
      <c r="O5107">
        <v>5.6426549999999999E-3</v>
      </c>
      <c r="P5107">
        <v>-0.99244869999999996</v>
      </c>
      <c r="Q5107">
        <v>-0.1223345</v>
      </c>
      <c r="R5107">
        <v>-8.9322009999999903E-3</v>
      </c>
      <c r="S5107">
        <v>-2.9861599999999999</v>
      </c>
      <c r="T5107">
        <v>-0.30779210000000001</v>
      </c>
      <c r="U5107">
        <v>0.1439667</v>
      </c>
      <c r="V5107">
        <v>-1.426524E-2</v>
      </c>
      <c r="W5107">
        <v>-0.108968</v>
      </c>
      <c r="X5107">
        <v>0.99394289999999996</v>
      </c>
      <c r="Y5107">
        <v>4.2287520000000002E-2</v>
      </c>
      <c r="Z5107">
        <v>1.954885E-3</v>
      </c>
      <c r="AA5107">
        <v>0.99910350000000003</v>
      </c>
      <c r="AB5107">
        <v>23</v>
      </c>
      <c r="AC5107">
        <v>-0.62539999999998397</v>
      </c>
      <c r="AD5107">
        <v>-8.8760000000000103E-2</v>
      </c>
      <c r="AE5107">
        <v>4.1899999999998203E-2</v>
      </c>
      <c r="AF5107">
        <v>3.7615795387832301E-2</v>
      </c>
      <c r="AG5107">
        <v>-8.8760000000000103E-2</v>
      </c>
      <c r="AH5107">
        <v>0.61332758934790799</v>
      </c>
      <c r="AI5107">
        <v>98.219371523603598</v>
      </c>
      <c r="AJ5107">
        <v>86.490407119288605</v>
      </c>
      <c r="AK5107">
        <v>0.62085748567443</v>
      </c>
      <c r="AL5107">
        <v>96.255828687262294</v>
      </c>
      <c r="AM5107">
        <v>90.822262458862198</v>
      </c>
      <c r="AN5107">
        <v>1.00000000527833</v>
      </c>
    </row>
    <row r="5108" spans="1:40" x14ac:dyDescent="0.25">
      <c r="A5108" t="str">
        <f>"20190303154240827"</f>
        <v>20190303154240827</v>
      </c>
      <c r="B5108" t="str">
        <f>"1551598960815272"</f>
        <v>1551598960815272</v>
      </c>
      <c r="C5108" t="s">
        <v>40</v>
      </c>
      <c r="D5108">
        <v>5.8677390000000003</v>
      </c>
      <c r="E5108">
        <v>0.52139749999999996</v>
      </c>
      <c r="F5108" t="s">
        <v>42</v>
      </c>
      <c r="G5108">
        <v>-221.70269999999999</v>
      </c>
      <c r="H5108">
        <v>1.0389469999999901</v>
      </c>
      <c r="I5108">
        <v>141.81729999999999</v>
      </c>
      <c r="J5108">
        <v>-221.0942</v>
      </c>
      <c r="K5108">
        <v>1.121777</v>
      </c>
      <c r="L5108">
        <v>141.77719999999999</v>
      </c>
      <c r="M5108">
        <v>-0.99990049999999997</v>
      </c>
      <c r="N5108">
        <v>-1.3488689999999999E-2</v>
      </c>
      <c r="O5108">
        <v>4.13686E-3</v>
      </c>
      <c r="P5108">
        <v>-0.99260930000000003</v>
      </c>
      <c r="Q5108">
        <v>-0.1209281</v>
      </c>
      <c r="R5108">
        <v>-1.018145E-2</v>
      </c>
      <c r="S5108">
        <v>-2.9872740000000002</v>
      </c>
      <c r="T5108">
        <v>-0.29859229999999998</v>
      </c>
      <c r="U5108">
        <v>0.14112849999999999</v>
      </c>
      <c r="V5108">
        <v>-1.4045129999999999E-2</v>
      </c>
      <c r="W5108">
        <v>-0.1075607</v>
      </c>
      <c r="X5108">
        <v>0.99409930000000002</v>
      </c>
      <c r="Y5108">
        <v>4.2831090000000002E-2</v>
      </c>
      <c r="Z5108">
        <v>2.0673620000000001E-3</v>
      </c>
      <c r="AA5108">
        <v>0.99908019999999997</v>
      </c>
      <c r="AB5108">
        <v>23</v>
      </c>
      <c r="AC5108">
        <v>-0.60849999999999205</v>
      </c>
      <c r="AD5108">
        <v>-8.2830000000000098E-2</v>
      </c>
      <c r="AE5108">
        <v>4.0099999999995299E-2</v>
      </c>
      <c r="AF5108">
        <v>3.6901356419393599E-2</v>
      </c>
      <c r="AG5108">
        <v>-8.2830000000000098E-2</v>
      </c>
      <c r="AH5108">
        <v>0.59763494439648202</v>
      </c>
      <c r="AI5108">
        <v>97.875905450657996</v>
      </c>
      <c r="AJ5108">
        <v>86.466720695742595</v>
      </c>
      <c r="AK5108">
        <v>0.60447501666270498</v>
      </c>
      <c r="AL5108">
        <v>96.174719651834707</v>
      </c>
      <c r="AM5108">
        <v>90.809449451477207</v>
      </c>
      <c r="AN5108">
        <v>0.99999999406084805</v>
      </c>
    </row>
    <row r="5109" spans="1:40" x14ac:dyDescent="0.25">
      <c r="A5109" t="str">
        <f>"20190303154240850"</f>
        <v>20190303154240850</v>
      </c>
      <c r="B5109" t="str">
        <f>"1551598960845529"</f>
        <v>1551598960845529</v>
      </c>
      <c r="C5109" t="s">
        <v>40</v>
      </c>
      <c r="D5109">
        <v>5.8694790000000001</v>
      </c>
      <c r="E5109">
        <v>0.52138949999999995</v>
      </c>
      <c r="F5109" t="s">
        <v>42</v>
      </c>
      <c r="G5109">
        <v>-221.90649999999999</v>
      </c>
      <c r="H5109">
        <v>1.0425519999999999</v>
      </c>
      <c r="I5109">
        <v>141.81479999999999</v>
      </c>
      <c r="J5109">
        <v>-221.32320000000001</v>
      </c>
      <c r="K5109">
        <v>1.12165</v>
      </c>
      <c r="L5109">
        <v>141.77629999999999</v>
      </c>
      <c r="M5109">
        <v>-0.99990710000000005</v>
      </c>
      <c r="N5109">
        <v>-1.3361680000000001E-2</v>
      </c>
      <c r="O5109">
        <v>2.7147410000000001E-3</v>
      </c>
      <c r="P5109">
        <v>-0.99259419999999998</v>
      </c>
      <c r="Q5109">
        <v>-0.1209325</v>
      </c>
      <c r="R5109">
        <v>-1.150198E-2</v>
      </c>
      <c r="S5109">
        <v>-2.988251</v>
      </c>
      <c r="T5109">
        <v>-0.2915606</v>
      </c>
      <c r="U5109">
        <v>0.13757320000000001</v>
      </c>
      <c r="V5109">
        <v>-1.3978569999999999E-2</v>
      </c>
      <c r="W5109">
        <v>-0.10768800000000001</v>
      </c>
      <c r="X5109">
        <v>0.99408640000000004</v>
      </c>
      <c r="Y5109">
        <v>4.3054500000000002E-2</v>
      </c>
      <c r="Z5109">
        <v>2.1549730000000001E-3</v>
      </c>
      <c r="AA5109">
        <v>0.99907040000000003</v>
      </c>
      <c r="AB5109">
        <v>23</v>
      </c>
      <c r="AC5109">
        <v>-0.58329999999997995</v>
      </c>
      <c r="AD5109">
        <v>-7.9097999999999793E-2</v>
      </c>
      <c r="AE5109">
        <v>3.8499999999999E-2</v>
      </c>
      <c r="AF5109">
        <v>3.6252470271229402E-2</v>
      </c>
      <c r="AG5109">
        <v>-7.9097999999999793E-2</v>
      </c>
      <c r="AH5109">
        <v>0.57291304415866495</v>
      </c>
      <c r="AI5109">
        <v>97.845229253350396</v>
      </c>
      <c r="AJ5109">
        <v>86.379297123979498</v>
      </c>
      <c r="AK5109">
        <v>0.57948260661724305</v>
      </c>
      <c r="AL5109">
        <v>96.182056363524595</v>
      </c>
      <c r="AM5109">
        <v>90.805624422729807</v>
      </c>
      <c r="AN5109">
        <v>0.99999993821410005</v>
      </c>
    </row>
    <row r="5110" spans="1:40" x14ac:dyDescent="0.25">
      <c r="A5110" t="str">
        <f>"20190303154240873"</f>
        <v>20190303154240873</v>
      </c>
      <c r="B5110" t="str">
        <f>"1551598960865048"</f>
        <v>1551598960865048</v>
      </c>
      <c r="C5110" t="s">
        <v>40</v>
      </c>
      <c r="D5110">
        <v>5.8272599999999999</v>
      </c>
      <c r="E5110">
        <v>0.52133770000000001</v>
      </c>
      <c r="F5110" t="s">
        <v>42</v>
      </c>
      <c r="G5110">
        <v>-222.11160000000001</v>
      </c>
      <c r="H5110">
        <v>1.0458369999999999</v>
      </c>
      <c r="I5110">
        <v>141.8116</v>
      </c>
      <c r="J5110">
        <v>-221.5581</v>
      </c>
      <c r="K5110">
        <v>1.1214660000000001</v>
      </c>
      <c r="L5110">
        <v>141.77529999999999</v>
      </c>
      <c r="M5110">
        <v>-0.9999133</v>
      </c>
      <c r="N5110">
        <v>-1.308745E-2</v>
      </c>
      <c r="O5110">
        <v>1.4132439999999999E-3</v>
      </c>
      <c r="P5110">
        <v>-0.99247660000000004</v>
      </c>
      <c r="Q5110">
        <v>-0.1216719</v>
      </c>
      <c r="R5110">
        <v>-1.36437E-2</v>
      </c>
      <c r="S5110">
        <v>-2.9889070000000002</v>
      </c>
      <c r="T5110">
        <v>-0.28752759999999999</v>
      </c>
      <c r="U5110">
        <v>0.1333618</v>
      </c>
      <c r="V5110">
        <v>-1.48548E-2</v>
      </c>
      <c r="W5110">
        <v>-0.10869910000000001</v>
      </c>
      <c r="X5110">
        <v>0.99396370000000001</v>
      </c>
      <c r="Y5110">
        <v>4.2942500000000002E-2</v>
      </c>
      <c r="Z5110">
        <v>2.2244919999999998E-3</v>
      </c>
      <c r="AA5110">
        <v>0.99907509999999999</v>
      </c>
      <c r="AB5110">
        <v>23</v>
      </c>
      <c r="AC5110">
        <v>-0.55350000000001298</v>
      </c>
      <c r="AD5110">
        <v>-7.5628999999999905E-2</v>
      </c>
      <c r="AE5110">
        <v>3.6300000000011302E-2</v>
      </c>
      <c r="AF5110">
        <v>3.4869445916242699E-2</v>
      </c>
      <c r="AG5110">
        <v>-7.5628999999999905E-2</v>
      </c>
      <c r="AH5110">
        <v>0.54344809539850103</v>
      </c>
      <c r="AI5110">
        <v>97.906634884095993</v>
      </c>
      <c r="AJ5110">
        <v>86.328743900929695</v>
      </c>
      <c r="AK5110">
        <v>0.54979219373483701</v>
      </c>
      <c r="AL5110">
        <v>96.240329833059604</v>
      </c>
      <c r="AM5110">
        <v>90.856222402639204</v>
      </c>
      <c r="AN5110">
        <v>0.99999999817076901</v>
      </c>
    </row>
    <row r="5111" spans="1:40" x14ac:dyDescent="0.25">
      <c r="A5111" t="str">
        <f>"20190303154240893"</f>
        <v>20190303154240893</v>
      </c>
      <c r="B5111" t="str">
        <f>"1551598960885545"</f>
        <v>1551598960885545</v>
      </c>
      <c r="C5111" t="s">
        <v>40</v>
      </c>
      <c r="D5111">
        <v>5.7950290000000004</v>
      </c>
      <c r="E5111">
        <v>0.52112769999999997</v>
      </c>
      <c r="F5111" t="s">
        <v>42</v>
      </c>
      <c r="G5111">
        <v>-222.31649999999999</v>
      </c>
      <c r="H5111">
        <v>1.048532</v>
      </c>
      <c r="I5111">
        <v>141.8074</v>
      </c>
      <c r="J5111">
        <v>-221.76499999999999</v>
      </c>
      <c r="K5111">
        <v>1.1212879999999901</v>
      </c>
      <c r="L5111">
        <v>141.77440000000001</v>
      </c>
      <c r="M5111">
        <v>-0.99991790000000003</v>
      </c>
      <c r="N5111">
        <v>-1.2803139999999999E-2</v>
      </c>
      <c r="O5111">
        <v>4.1226389999999999E-4</v>
      </c>
      <c r="P5111">
        <v>-0.99239299999999997</v>
      </c>
      <c r="Q5111">
        <v>-0.1220869</v>
      </c>
      <c r="R5111">
        <v>-1.584619E-2</v>
      </c>
      <c r="S5111">
        <v>-2.9892270000000001</v>
      </c>
      <c r="T5111">
        <v>-0.28740359999999998</v>
      </c>
      <c r="U5111">
        <v>0.12646479999999999</v>
      </c>
      <c r="V5111">
        <v>-1.6091060000000001E-2</v>
      </c>
      <c r="W5111">
        <v>-0.10939550000000001</v>
      </c>
      <c r="X5111">
        <v>0.99386810000000003</v>
      </c>
      <c r="Y5111">
        <v>4.164118E-2</v>
      </c>
      <c r="Z5111">
        <v>2.229464E-3</v>
      </c>
      <c r="AA5111">
        <v>0.99913010000000002</v>
      </c>
      <c r="AB5111">
        <v>23</v>
      </c>
      <c r="AC5111">
        <v>-0.55150000000000399</v>
      </c>
      <c r="AD5111">
        <v>-7.2755999999999793E-2</v>
      </c>
      <c r="AE5111">
        <v>3.2999999999986998E-2</v>
      </c>
      <c r="AF5111">
        <v>3.2213966542252101E-2</v>
      </c>
      <c r="AG5111">
        <v>-7.2755999999999793E-2</v>
      </c>
      <c r="AH5111">
        <v>0.54211234997879898</v>
      </c>
      <c r="AI5111">
        <v>97.630595032717395</v>
      </c>
      <c r="AJ5111">
        <v>86.599309280647901</v>
      </c>
      <c r="AK5111">
        <v>0.54792059203494203</v>
      </c>
      <c r="AL5111">
        <v>96.280469668183301</v>
      </c>
      <c r="AM5111">
        <v>90.927556969148299</v>
      </c>
      <c r="AN5111">
        <v>1.0000000489148899</v>
      </c>
    </row>
    <row r="5112" spans="1:40" x14ac:dyDescent="0.25">
      <c r="A5112" t="str">
        <f>"20190303154240916"</f>
        <v>20190303154240916</v>
      </c>
      <c r="B5112" t="str">
        <f>"1551598960905065"</f>
        <v>1551598960905065</v>
      </c>
      <c r="C5112" t="s">
        <v>40</v>
      </c>
      <c r="D5112">
        <v>5.809247</v>
      </c>
      <c r="E5112">
        <v>0.5208893</v>
      </c>
      <c r="F5112" t="s">
        <v>42</v>
      </c>
      <c r="G5112">
        <v>-222.5198</v>
      </c>
      <c r="H5112">
        <v>1.049042</v>
      </c>
      <c r="I5112">
        <v>141.80430000000001</v>
      </c>
      <c r="J5112">
        <v>-221.99680000000001</v>
      </c>
      <c r="K5112">
        <v>1.121111</v>
      </c>
      <c r="L5112">
        <v>141.7732</v>
      </c>
      <c r="M5112">
        <v>-0.99992159999999997</v>
      </c>
      <c r="N5112">
        <v>-1.2510220000000001E-2</v>
      </c>
      <c r="O5112">
        <v>-5.4629929999999998E-4</v>
      </c>
      <c r="P5112">
        <v>-0.99241299999999999</v>
      </c>
      <c r="Q5112">
        <v>-0.1217369</v>
      </c>
      <c r="R5112">
        <v>-1.722504E-2</v>
      </c>
      <c r="S5112">
        <v>-2.9896850000000001</v>
      </c>
      <c r="T5112">
        <v>-0.2862654</v>
      </c>
      <c r="U5112">
        <v>0.1180725</v>
      </c>
      <c r="V5112">
        <v>-1.6552290000000001E-2</v>
      </c>
      <c r="W5112">
        <v>-0.10933180000000001</v>
      </c>
      <c r="X5112">
        <v>0.99386750000000001</v>
      </c>
      <c r="Y5112">
        <v>3.9800910000000002E-2</v>
      </c>
      <c r="Z5112">
        <v>2.1954639999999998E-3</v>
      </c>
      <c r="AA5112">
        <v>0.99920520000000002</v>
      </c>
      <c r="AB5112">
        <v>23</v>
      </c>
      <c r="AC5112">
        <v>-0.52299999999999602</v>
      </c>
      <c r="AD5112">
        <v>-7.2068999999999897E-2</v>
      </c>
      <c r="AE5112">
        <v>3.11000000000092E-2</v>
      </c>
      <c r="AF5112">
        <v>3.0802888581087502E-2</v>
      </c>
      <c r="AG5112">
        <v>-7.2068999999999897E-2</v>
      </c>
      <c r="AH5112">
        <v>0.51327096067989497</v>
      </c>
      <c r="AI5112">
        <v>97.978547825709498</v>
      </c>
      <c r="AJ5112">
        <v>86.565632089926098</v>
      </c>
      <c r="AK5112">
        <v>0.51922041348853099</v>
      </c>
      <c r="AL5112">
        <v>96.2767981221795</v>
      </c>
      <c r="AM5112">
        <v>90.954139952466704</v>
      </c>
      <c r="AN5112">
        <v>1.00000001417586</v>
      </c>
    </row>
    <row r="5113" spans="1:40" x14ac:dyDescent="0.25">
      <c r="A5113" t="str">
        <f>"20190303154240939"</f>
        <v>20190303154240939</v>
      </c>
      <c r="B5113" t="str">
        <f>"1551598960934851"</f>
        <v>1551598960934851</v>
      </c>
      <c r="C5113" t="s">
        <v>40</v>
      </c>
      <c r="D5113">
        <v>5.7678799999999999</v>
      </c>
      <c r="E5113">
        <v>0.52056689999999906</v>
      </c>
      <c r="F5113" t="s">
        <v>42</v>
      </c>
      <c r="G5113">
        <v>-222.91550000000001</v>
      </c>
      <c r="H5113">
        <v>1.034208</v>
      </c>
      <c r="I5113">
        <v>141.80779999999999</v>
      </c>
      <c r="J5113">
        <v>-222.2268</v>
      </c>
      <c r="K5113">
        <v>1.120959</v>
      </c>
      <c r="L5113">
        <v>141.77209999999999</v>
      </c>
      <c r="M5113">
        <v>-0.99992409999999998</v>
      </c>
      <c r="N5113">
        <v>-1.224695E-2</v>
      </c>
      <c r="O5113">
        <v>-1.3158099999999999E-3</v>
      </c>
      <c r="P5113">
        <v>-0.99239250000000001</v>
      </c>
      <c r="Q5113">
        <v>-0.12175279999999999</v>
      </c>
      <c r="R5113">
        <v>-1.8264450000000002E-2</v>
      </c>
      <c r="S5113">
        <v>-2.990173</v>
      </c>
      <c r="T5113">
        <v>-0.28298590000000001</v>
      </c>
      <c r="U5113">
        <v>0.1119232</v>
      </c>
      <c r="V5113">
        <v>-1.6858399999999999E-2</v>
      </c>
      <c r="W5113">
        <v>-0.10960499999999999</v>
      </c>
      <c r="X5113">
        <v>0.99383220000000005</v>
      </c>
      <c r="Y5113">
        <v>3.8520400000000003E-2</v>
      </c>
      <c r="Z5113">
        <v>2.1627550000000001E-3</v>
      </c>
      <c r="AA5113">
        <v>0.99925549999999996</v>
      </c>
      <c r="AB5113">
        <v>23</v>
      </c>
      <c r="AC5113">
        <v>-0.68870000000001097</v>
      </c>
      <c r="AD5113">
        <v>-8.6750999999999995E-2</v>
      </c>
      <c r="AE5113">
        <v>3.5699999999991398E-2</v>
      </c>
      <c r="AF5113">
        <v>3.60359925285803E-2</v>
      </c>
      <c r="AG5113">
        <v>-8.6750999999999995E-2</v>
      </c>
      <c r="AH5113">
        <v>0.67792476808041002</v>
      </c>
      <c r="AI5113">
        <v>97.282082699825295</v>
      </c>
      <c r="AJ5113">
        <v>86.957230372394406</v>
      </c>
      <c r="AK5113">
        <v>0.68440216242747098</v>
      </c>
      <c r="AL5113">
        <v>96.292546363796305</v>
      </c>
      <c r="AM5113">
        <v>90.971816509707097</v>
      </c>
      <c r="AN5113">
        <v>0.99999995171619804</v>
      </c>
    </row>
    <row r="5114" spans="1:40" x14ac:dyDescent="0.25">
      <c r="A5114" t="str">
        <f>"20190303154240960"</f>
        <v>20190303154240960</v>
      </c>
      <c r="B5114" t="str">
        <f>"1551598960955348"</f>
        <v>1551598960955348</v>
      </c>
      <c r="C5114" t="s">
        <v>40</v>
      </c>
      <c r="D5114">
        <v>5.718318</v>
      </c>
      <c r="E5114">
        <v>0.5203778</v>
      </c>
      <c r="F5114" t="s">
        <v>42</v>
      </c>
      <c r="G5114">
        <v>-223.1207</v>
      </c>
      <c r="H5114">
        <v>1.0373270000000001</v>
      </c>
      <c r="I5114">
        <v>141.8038</v>
      </c>
      <c r="J5114">
        <v>-222.44399999999999</v>
      </c>
      <c r="K5114">
        <v>1.1208419999999999</v>
      </c>
      <c r="L5114">
        <v>141.77109999999999</v>
      </c>
      <c r="M5114">
        <v>-0.99992619999999999</v>
      </c>
      <c r="N5114">
        <v>-1.200584E-2</v>
      </c>
      <c r="O5114">
        <v>-1.9151490000000001E-3</v>
      </c>
      <c r="P5114">
        <v>-0.99232410000000004</v>
      </c>
      <c r="Q5114">
        <v>-0.1221088</v>
      </c>
      <c r="R5114">
        <v>-1.9561760000000001E-2</v>
      </c>
      <c r="S5114">
        <v>-2.9906160000000002</v>
      </c>
      <c r="T5114">
        <v>-0.27981729999999999</v>
      </c>
      <c r="U5114">
        <v>0.1060638</v>
      </c>
      <c r="V5114">
        <v>-1.7583250000000002E-2</v>
      </c>
      <c r="W5114">
        <v>-0.1101984</v>
      </c>
      <c r="X5114">
        <v>0.99375409999999997</v>
      </c>
      <c r="Y5114">
        <v>3.716788E-2</v>
      </c>
      <c r="Z5114">
        <v>2.1140239999999999E-3</v>
      </c>
      <c r="AA5114">
        <v>0.99930680000000005</v>
      </c>
      <c r="AB5114">
        <v>23</v>
      </c>
      <c r="AC5114">
        <v>-0.67669999999998198</v>
      </c>
      <c r="AD5114">
        <v>-8.3514999999999895E-2</v>
      </c>
      <c r="AE5114">
        <v>3.2700000000005502E-2</v>
      </c>
      <c r="AF5114">
        <v>3.3487150448220003E-2</v>
      </c>
      <c r="AG5114">
        <v>-8.3514999999999895E-2</v>
      </c>
      <c r="AH5114">
        <v>0.66650800392068799</v>
      </c>
      <c r="AI5114">
        <v>97.133166264667906</v>
      </c>
      <c r="AJ5114">
        <v>87.1237248977299</v>
      </c>
      <c r="AK5114">
        <v>0.67255413444605505</v>
      </c>
      <c r="AL5114">
        <v>96.326752362018496</v>
      </c>
      <c r="AM5114">
        <v>91.013672196578497</v>
      </c>
      <c r="AN5114">
        <v>1.00000003465496</v>
      </c>
    </row>
    <row r="5115" spans="1:40" x14ac:dyDescent="0.25">
      <c r="A5115" t="str">
        <f>"20190303154240983"</f>
        <v>20190303154240983</v>
      </c>
      <c r="B5115" t="str">
        <f>"1551598960974867"</f>
        <v>1551598960974867</v>
      </c>
      <c r="C5115" t="s">
        <v>40</v>
      </c>
      <c r="D5115">
        <v>5.7429870000000003</v>
      </c>
      <c r="E5115">
        <v>0.52020359999999999</v>
      </c>
      <c r="F5115" t="s">
        <v>42</v>
      </c>
      <c r="G5115">
        <v>-223.3253</v>
      </c>
      <c r="H5115">
        <v>1.038705</v>
      </c>
      <c r="I5115">
        <v>141.80070000000001</v>
      </c>
      <c r="J5115">
        <v>-222.67910000000001</v>
      </c>
      <c r="K5115">
        <v>1.1207530000000001</v>
      </c>
      <c r="L5115">
        <v>141.76990000000001</v>
      </c>
      <c r="M5115">
        <v>-0.99992800000000004</v>
      </c>
      <c r="N5115">
        <v>-1.175701E-2</v>
      </c>
      <c r="O5115">
        <v>-2.4328990000000001E-3</v>
      </c>
      <c r="P5115">
        <v>-0.99224509999999999</v>
      </c>
      <c r="Q5115">
        <v>-0.12253989999999999</v>
      </c>
      <c r="R5115">
        <v>-2.0829549999999999E-2</v>
      </c>
      <c r="S5115">
        <v>-2.9909059999999998</v>
      </c>
      <c r="T5115">
        <v>-0.2787231</v>
      </c>
      <c r="U5115">
        <v>0.10058590000000001</v>
      </c>
      <c r="V5115">
        <v>-1.835519E-2</v>
      </c>
      <c r="W5115">
        <v>-0.110875</v>
      </c>
      <c r="X5115">
        <v>0.99366489999999996</v>
      </c>
      <c r="Y5115">
        <v>3.5860259999999998E-2</v>
      </c>
      <c r="Z5115">
        <v>2.0758460000000001E-3</v>
      </c>
      <c r="AA5115">
        <v>0.99935469999999904</v>
      </c>
      <c r="AB5115">
        <v>23</v>
      </c>
      <c r="AC5115">
        <v>-0.646199999999993</v>
      </c>
      <c r="AD5115">
        <v>-8.2048000000000093E-2</v>
      </c>
      <c r="AE5115">
        <v>3.07999999999992E-2</v>
      </c>
      <c r="AF5115">
        <v>3.18596987484897E-2</v>
      </c>
      <c r="AG5115">
        <v>-8.2048000000000093E-2</v>
      </c>
      <c r="AH5115">
        <v>0.63589488511716197</v>
      </c>
      <c r="AI5115">
        <v>97.343007837208106</v>
      </c>
      <c r="AJ5115">
        <v>87.131756830218805</v>
      </c>
      <c r="AK5115">
        <v>0.64195733474002203</v>
      </c>
      <c r="AL5115">
        <v>96.365757572127293</v>
      </c>
      <c r="AM5115">
        <v>91.058259504995206</v>
      </c>
      <c r="AN5115">
        <v>1.0000000560584701</v>
      </c>
    </row>
    <row r="5116" spans="1:40" x14ac:dyDescent="0.25">
      <c r="A5116" t="str">
        <f>"20190303154241006"</f>
        <v>20190303154241006</v>
      </c>
      <c r="B5116" t="str">
        <f>"1551598960995363"</f>
        <v>1551598960995363</v>
      </c>
      <c r="C5116" t="s">
        <v>40</v>
      </c>
      <c r="D5116">
        <v>5.7146610000000004</v>
      </c>
      <c r="E5116">
        <v>0.52005769999999996</v>
      </c>
      <c r="F5116" t="s">
        <v>42</v>
      </c>
      <c r="G5116">
        <v>-223.53100000000001</v>
      </c>
      <c r="H5116">
        <v>1.04157099999999</v>
      </c>
      <c r="I5116">
        <v>141.7971</v>
      </c>
      <c r="J5116">
        <v>-222.91139999999999</v>
      </c>
      <c r="K5116">
        <v>1.120682</v>
      </c>
      <c r="L5116">
        <v>141.7688</v>
      </c>
      <c r="M5116">
        <v>-0.99992959999999997</v>
      </c>
      <c r="N5116">
        <v>-1.1531960000000001E-2</v>
      </c>
      <c r="O5116">
        <v>-2.8303349999999998E-3</v>
      </c>
      <c r="P5116">
        <v>-0.99230750000000001</v>
      </c>
      <c r="Q5116">
        <v>-0.1218991</v>
      </c>
      <c r="R5116">
        <v>-2.1600970000000001E-2</v>
      </c>
      <c r="S5116">
        <v>-2.9911189999999999</v>
      </c>
      <c r="T5116">
        <v>-0.2779875</v>
      </c>
      <c r="U5116">
        <v>9.5382690000000006E-2</v>
      </c>
      <c r="V5116">
        <v>-1.8746019999999999E-2</v>
      </c>
      <c r="W5116">
        <v>-0.11045489999999999</v>
      </c>
      <c r="X5116">
        <v>0.99370429999999998</v>
      </c>
      <c r="Y5116">
        <v>3.4524850000000003E-2</v>
      </c>
      <c r="Z5116">
        <v>2.0299279999999999E-3</v>
      </c>
      <c r="AA5116">
        <v>0.99940169999999995</v>
      </c>
      <c r="AB5116">
        <v>23</v>
      </c>
      <c r="AC5116">
        <v>-0.61959999999999105</v>
      </c>
      <c r="AD5116">
        <v>-7.9111000000000098E-2</v>
      </c>
      <c r="AE5116">
        <v>2.8300000000001501E-2</v>
      </c>
      <c r="AF5116">
        <v>2.9572578967233601E-2</v>
      </c>
      <c r="AG5116">
        <v>-7.9111000000000098E-2</v>
      </c>
      <c r="AH5116">
        <v>0.60960017142242695</v>
      </c>
      <c r="AI5116">
        <v>97.385657807508693</v>
      </c>
      <c r="AJ5116">
        <v>87.222676842289999</v>
      </c>
      <c r="AK5116">
        <v>0.61542299010195101</v>
      </c>
      <c r="AL5116">
        <v>96.341539426416304</v>
      </c>
      <c r="AM5116">
        <v>91.080744485771902</v>
      </c>
      <c r="AN5116">
        <v>0.99999996701916904</v>
      </c>
    </row>
    <row r="5117" spans="1:40" x14ac:dyDescent="0.25">
      <c r="A5117" t="str">
        <f>"20190303154241028"</f>
        <v>20190303154241028</v>
      </c>
      <c r="B5117" t="str">
        <f>"1551598961025621"</f>
        <v>1551598961025621</v>
      </c>
      <c r="C5117" t="s">
        <v>40</v>
      </c>
      <c r="D5117">
        <v>5.6847009999999996</v>
      </c>
      <c r="E5117">
        <v>0.51986089999999996</v>
      </c>
      <c r="F5117" t="s">
        <v>42</v>
      </c>
      <c r="G5117">
        <v>-223.73859999999999</v>
      </c>
      <c r="H5117">
        <v>1.044869</v>
      </c>
      <c r="I5117">
        <v>141.7944</v>
      </c>
      <c r="J5117">
        <v>-223.1371</v>
      </c>
      <c r="K5117">
        <v>1.120633</v>
      </c>
      <c r="L5117">
        <v>141.76779999999999</v>
      </c>
      <c r="M5117">
        <v>-0.99993100000000001</v>
      </c>
      <c r="N5117">
        <v>-1.1333309999999999E-2</v>
      </c>
      <c r="O5117">
        <v>-3.137187E-3</v>
      </c>
      <c r="P5117">
        <v>-0.99240530000000005</v>
      </c>
      <c r="Q5117">
        <v>-0.12111130000000001</v>
      </c>
      <c r="R5117">
        <v>-2.1546079999999999E-2</v>
      </c>
      <c r="S5117">
        <v>-2.9915620000000001</v>
      </c>
      <c r="T5117">
        <v>-0.27428950000000002</v>
      </c>
      <c r="U5117">
        <v>9.1796879999999997E-2</v>
      </c>
      <c r="V5117">
        <v>-1.8398020000000001E-2</v>
      </c>
      <c r="W5117">
        <v>-0.1098614</v>
      </c>
      <c r="X5117">
        <v>0.99377660000000001</v>
      </c>
      <c r="Y5117">
        <v>3.3638010000000003E-2</v>
      </c>
      <c r="Z5117">
        <v>1.9811170000000001E-3</v>
      </c>
      <c r="AA5117">
        <v>0.99943210000000005</v>
      </c>
      <c r="AB5117">
        <v>23</v>
      </c>
      <c r="AC5117">
        <v>-0.60149999999998705</v>
      </c>
      <c r="AD5117">
        <v>-7.5763999999999901E-2</v>
      </c>
      <c r="AE5117">
        <v>2.66000000000019E-2</v>
      </c>
      <c r="AF5117">
        <v>2.8042960030038699E-2</v>
      </c>
      <c r="AG5117">
        <v>-7.5763999999999901E-2</v>
      </c>
      <c r="AH5117">
        <v>0.59203890891551902</v>
      </c>
      <c r="AI5117">
        <v>97.284500150580499</v>
      </c>
      <c r="AJ5117">
        <v>87.2881119619435</v>
      </c>
      <c r="AK5117">
        <v>0.59752544797115004</v>
      </c>
      <c r="AL5117">
        <v>96.307326125240195</v>
      </c>
      <c r="AM5117">
        <v>91.060609086072603</v>
      </c>
      <c r="AN5117">
        <v>0.99999997252871897</v>
      </c>
    </row>
    <row r="5118" spans="1:40" x14ac:dyDescent="0.25">
      <c r="A5118" t="str">
        <f>"20190303154241051"</f>
        <v>20190303154241051</v>
      </c>
      <c r="B5118" t="str">
        <f>"1551598961045140"</f>
        <v>1551598961045140</v>
      </c>
      <c r="C5118" t="s">
        <v>40</v>
      </c>
      <c r="D5118">
        <v>5.6341939999999999</v>
      </c>
      <c r="E5118">
        <v>0.51974730000000002</v>
      </c>
      <c r="F5118" t="s">
        <v>42</v>
      </c>
      <c r="G5118">
        <v>-223.94630000000001</v>
      </c>
      <c r="H5118">
        <v>1.0478510000000001</v>
      </c>
      <c r="I5118">
        <v>141.79230000000001</v>
      </c>
      <c r="J5118">
        <v>-223.37180000000001</v>
      </c>
      <c r="K5118">
        <v>1.120595</v>
      </c>
      <c r="L5118">
        <v>141.76660000000001</v>
      </c>
      <c r="M5118">
        <v>-0.9999323</v>
      </c>
      <c r="N5118">
        <v>-1.1140550000000001E-2</v>
      </c>
      <c r="O5118">
        <v>-3.4068119999999999E-3</v>
      </c>
      <c r="P5118">
        <v>-0.99233389999999999</v>
      </c>
      <c r="Q5118">
        <v>-0.12169240000000001</v>
      </c>
      <c r="R5118">
        <v>-2.1561629999999998E-2</v>
      </c>
      <c r="S5118">
        <v>-2.9920960000000001</v>
      </c>
      <c r="T5118">
        <v>-0.2692175</v>
      </c>
      <c r="U5118">
        <v>9.0301510000000001E-2</v>
      </c>
      <c r="V5118">
        <v>-1.8154779999999999E-2</v>
      </c>
      <c r="W5118">
        <v>-0.1106331</v>
      </c>
      <c r="X5118">
        <v>0.99369549999999995</v>
      </c>
      <c r="Y5118">
        <v>3.340941E-2</v>
      </c>
      <c r="Z5118">
        <v>1.9541960000000001E-3</v>
      </c>
      <c r="AA5118">
        <v>0.99943979999999999</v>
      </c>
      <c r="AB5118">
        <v>23</v>
      </c>
      <c r="AC5118">
        <v>-0.57450000000000001</v>
      </c>
      <c r="AD5118">
        <v>-7.2743999999999906E-2</v>
      </c>
      <c r="AE5118">
        <v>2.57000000000005E-2</v>
      </c>
      <c r="AF5118">
        <v>2.7221613518683501E-2</v>
      </c>
      <c r="AG5118">
        <v>-7.2743999999999906E-2</v>
      </c>
      <c r="AH5118">
        <v>0.56536275791999901</v>
      </c>
      <c r="AI5118">
        <v>97.323448375804304</v>
      </c>
      <c r="AJ5118">
        <v>87.243398267120696</v>
      </c>
      <c r="AK5118">
        <v>0.57067307087461905</v>
      </c>
      <c r="AL5118">
        <v>96.351812204048002</v>
      </c>
      <c r="AM5118">
        <v>91.046675323945706</v>
      </c>
      <c r="AN5118">
        <v>1.00000001278635</v>
      </c>
    </row>
    <row r="5119" spans="1:40" x14ac:dyDescent="0.25">
      <c r="A5119" t="str">
        <f>"20190303154241207"</f>
        <v>20190303154241207</v>
      </c>
      <c r="B5119" t="str">
        <f>"1551598961195447"</f>
        <v>1551598961195447</v>
      </c>
      <c r="C5119" t="s">
        <v>40</v>
      </c>
      <c r="D5119">
        <v>5.663926</v>
      </c>
      <c r="E5119">
        <v>0.52001660000000005</v>
      </c>
      <c r="F5119" t="s">
        <v>42</v>
      </c>
      <c r="G5119">
        <v>-225.60509999999999</v>
      </c>
      <c r="H5119">
        <v>1.0525880000000001</v>
      </c>
      <c r="I5119">
        <v>141.79759999999999</v>
      </c>
      <c r="J5119">
        <v>-224.98849999999999</v>
      </c>
      <c r="K5119">
        <v>1.120522</v>
      </c>
      <c r="L5119">
        <v>141.75810000000001</v>
      </c>
      <c r="M5119">
        <v>-0.99994000000000005</v>
      </c>
      <c r="N5119">
        <v>-9.6627989999999997E-3</v>
      </c>
      <c r="O5119">
        <v>-5.153721E-3</v>
      </c>
      <c r="P5119">
        <v>-0.99360409999999999</v>
      </c>
      <c r="Q5119">
        <v>-0.11280370000000001</v>
      </c>
      <c r="R5119">
        <v>-5.1282919999999996E-3</v>
      </c>
      <c r="S5119">
        <v>-2.993134</v>
      </c>
      <c r="T5119">
        <v>-0.24024860000000001</v>
      </c>
      <c r="U5119">
        <v>0.13467409999999999</v>
      </c>
      <c r="V5119" s="1">
        <v>2.7153990000000001E-5</v>
      </c>
      <c r="W5119">
        <v>-0.10319739999999999</v>
      </c>
      <c r="X5119">
        <v>0.99466089999999996</v>
      </c>
      <c r="Y5119">
        <v>4.9904650000000002E-2</v>
      </c>
      <c r="Z5119">
        <v>2.6033919999999999E-3</v>
      </c>
      <c r="AA5119">
        <v>0.99875060000000004</v>
      </c>
      <c r="AB5119">
        <v>23</v>
      </c>
      <c r="AC5119">
        <v>-0.61660000000000503</v>
      </c>
      <c r="AD5119">
        <v>-6.7934000000000105E-2</v>
      </c>
      <c r="AE5119">
        <v>3.9499999999975402E-2</v>
      </c>
      <c r="AF5119">
        <v>4.2167645490064902E-2</v>
      </c>
      <c r="AG5119">
        <v>-6.7934000000000105E-2</v>
      </c>
      <c r="AH5119">
        <v>0.60902574488033101</v>
      </c>
      <c r="AI5119">
        <v>96.349691119281104</v>
      </c>
      <c r="AJ5119">
        <v>86.039283253242303</v>
      </c>
      <c r="AK5119">
        <v>0.61425198136368897</v>
      </c>
      <c r="AL5119">
        <v>95.923320947362797</v>
      </c>
      <c r="AM5119">
        <v>89.998435839768504</v>
      </c>
      <c r="AN5119">
        <v>1.0000000050464499</v>
      </c>
    </row>
    <row r="5120" spans="1:40" x14ac:dyDescent="0.25">
      <c r="A5120" t="str">
        <f>"20190303154241229"</f>
        <v>20190303154241229</v>
      </c>
      <c r="B5120" t="str">
        <f>"1551598961224724"</f>
        <v>1551598961224724</v>
      </c>
      <c r="C5120" t="s">
        <v>40</v>
      </c>
      <c r="D5120">
        <v>5.630668</v>
      </c>
      <c r="E5120">
        <v>0.51966889999999999</v>
      </c>
      <c r="F5120" t="s">
        <v>41</v>
      </c>
      <c r="G5120">
        <v>-239.39099999999999</v>
      </c>
      <c r="H5120" s="1">
        <v>-9.9369219999999999E-7</v>
      </c>
      <c r="I5120">
        <v>142.43539999999999</v>
      </c>
      <c r="J5120">
        <v>-225.21979999999999</v>
      </c>
      <c r="K5120">
        <v>1.1205050000000001</v>
      </c>
      <c r="L5120">
        <v>141.75659999999999</v>
      </c>
      <c r="M5120">
        <v>-0.99994099999999997</v>
      </c>
      <c r="N5120">
        <v>-9.4181000000000004E-3</v>
      </c>
      <c r="O5120">
        <v>-5.4408700000000004E-3</v>
      </c>
      <c r="P5120">
        <v>-0.99372349999999998</v>
      </c>
      <c r="Q5120">
        <v>-0.1117952</v>
      </c>
      <c r="R5120">
        <v>-3.9326459999999997E-3</v>
      </c>
      <c r="S5120">
        <v>-2.993576</v>
      </c>
      <c r="T5120">
        <v>-0.2329032</v>
      </c>
      <c r="U5120">
        <v>0.1407928</v>
      </c>
      <c r="V5120">
        <v>1.51071E-3</v>
      </c>
      <c r="W5120">
        <v>-0.1024307</v>
      </c>
      <c r="X5120">
        <v>0.99473900000000004</v>
      </c>
      <c r="Y5120">
        <v>5.222483E-2</v>
      </c>
      <c r="Z5120">
        <v>2.6451780000000002E-3</v>
      </c>
      <c r="AA5120">
        <v>0.99863179999999996</v>
      </c>
      <c r="AB5120">
        <v>23</v>
      </c>
      <c r="AC5120">
        <v>-14.171200000000001</v>
      </c>
      <c r="AD5120">
        <v>-1.1205059936921999</v>
      </c>
      <c r="AE5120">
        <v>0.67879999999999496</v>
      </c>
      <c r="AF5120">
        <v>0.75121123678906998</v>
      </c>
      <c r="AG5120">
        <v>-1.1205059936921999</v>
      </c>
      <c r="AH5120">
        <v>14.079474208184299</v>
      </c>
      <c r="AI5120">
        <v>94.543821832155103</v>
      </c>
      <c r="AJ5120">
        <v>86.945875985977395</v>
      </c>
      <c r="AK5120">
        <v>14.143954396953699</v>
      </c>
      <c r="AL5120">
        <v>95.879158240365101</v>
      </c>
      <c r="AM5120">
        <v>89.912984973423505</v>
      </c>
      <c r="AN5120">
        <v>1.00000000433409</v>
      </c>
    </row>
    <row r="5121" spans="1:40" x14ac:dyDescent="0.25">
      <c r="A5121" t="str">
        <f>"20190303154241254"</f>
        <v>20190303154241254</v>
      </c>
      <c r="B5121" t="str">
        <f>"1551598961245220"</f>
        <v>1551598961245220</v>
      </c>
      <c r="C5121" t="s">
        <v>40</v>
      </c>
      <c r="D5121">
        <v>5.6185980000000004</v>
      </c>
      <c r="E5121">
        <v>0.51950909999999995</v>
      </c>
      <c r="F5121" t="s">
        <v>41</v>
      </c>
      <c r="G5121">
        <v>-239.9973</v>
      </c>
      <c r="H5121" s="1">
        <v>-4.7806480000000001E-6</v>
      </c>
      <c r="I5121">
        <v>142.45580000000001</v>
      </c>
      <c r="J5121">
        <v>-225.47499999999999</v>
      </c>
      <c r="K5121">
        <v>1.1204780000000001</v>
      </c>
      <c r="L5121">
        <v>141.75489999999999</v>
      </c>
      <c r="M5121">
        <v>-0.99994170000000004</v>
      </c>
      <c r="N5121">
        <v>-9.1288289999999998E-3</v>
      </c>
      <c r="O5121">
        <v>-5.7613119999999898E-3</v>
      </c>
      <c r="P5121">
        <v>-0.99392599999999998</v>
      </c>
      <c r="Q5121">
        <v>-0.1099666</v>
      </c>
      <c r="R5121">
        <v>-4.2967989999999996E-3</v>
      </c>
      <c r="S5121">
        <v>-2.993973</v>
      </c>
      <c r="T5121">
        <v>-0.22702069999999999</v>
      </c>
      <c r="U5121">
        <v>0.1416779</v>
      </c>
      <c r="V5121">
        <v>1.4675949999999999E-3</v>
      </c>
      <c r="W5121">
        <v>-0.10088800000000001</v>
      </c>
      <c r="X5121">
        <v>0.99489669999999997</v>
      </c>
      <c r="Y5121">
        <v>5.2840030000000003E-2</v>
      </c>
      <c r="Z5121">
        <v>2.6245499999999998E-3</v>
      </c>
      <c r="AA5121">
        <v>0.99859949999999997</v>
      </c>
      <c r="AB5121">
        <v>23</v>
      </c>
      <c r="AC5121">
        <v>-14.5223</v>
      </c>
      <c r="AD5121">
        <v>-1.120482780648</v>
      </c>
      <c r="AE5121">
        <v>0.70090000000001795</v>
      </c>
      <c r="AF5121">
        <v>0.779927201194483</v>
      </c>
      <c r="AG5121">
        <v>-1.120482780648</v>
      </c>
      <c r="AH5121">
        <v>14.4323041205396</v>
      </c>
      <c r="AI5121">
        <v>94.432932797578403</v>
      </c>
      <c r="AJ5121">
        <v>86.906723115865603</v>
      </c>
      <c r="AK5121">
        <v>14.496729642530999</v>
      </c>
      <c r="AL5121">
        <v>95.790307787571606</v>
      </c>
      <c r="AM5121">
        <v>89.915481739416904</v>
      </c>
      <c r="AN5121">
        <v>0.99999999302498599</v>
      </c>
    </row>
    <row r="5122" spans="1:40" x14ac:dyDescent="0.25">
      <c r="A5122" t="str">
        <f>"20190303154241277"</f>
        <v>20190303154241277</v>
      </c>
      <c r="B5122" t="str">
        <f>"1551598961265716"</f>
        <v>1551598961265716</v>
      </c>
      <c r="C5122" t="s">
        <v>40</v>
      </c>
      <c r="D5122">
        <v>5.6232189999999997</v>
      </c>
      <c r="E5122">
        <v>0.51932849999999997</v>
      </c>
      <c r="F5122" t="s">
        <v>41</v>
      </c>
      <c r="G5122">
        <v>-240.8372</v>
      </c>
      <c r="H5122" s="1">
        <v>-4.4971569999999998E-6</v>
      </c>
      <c r="I5122">
        <v>142.46899999999999</v>
      </c>
      <c r="J5122">
        <v>-225.71969999999999</v>
      </c>
      <c r="K5122">
        <v>1.120439</v>
      </c>
      <c r="L5122">
        <v>141.75309999999999</v>
      </c>
      <c r="M5122">
        <v>-0.99994249999999996</v>
      </c>
      <c r="N5122">
        <v>-8.8357550000000007E-3</v>
      </c>
      <c r="O5122">
        <v>-6.0686389999999998E-3</v>
      </c>
      <c r="P5122">
        <v>-0.99405279999999996</v>
      </c>
      <c r="Q5122">
        <v>-0.1087721</v>
      </c>
      <c r="R5122">
        <v>-5.2481230000000004E-3</v>
      </c>
      <c r="S5122">
        <v>-2.9947509999999999</v>
      </c>
      <c r="T5122">
        <v>-0.21843099999999999</v>
      </c>
      <c r="U5122">
        <v>0.13922119999999999</v>
      </c>
      <c r="V5122">
        <v>8.2366679999999997E-4</v>
      </c>
      <c r="W5122">
        <v>-9.9984240000000002E-2</v>
      </c>
      <c r="X5122">
        <v>0.99498869999999895</v>
      </c>
      <c r="Y5122">
        <v>5.233169E-2</v>
      </c>
      <c r="Z5122">
        <v>2.5248890000000002E-3</v>
      </c>
      <c r="AA5122">
        <v>0.99862660000000003</v>
      </c>
      <c r="AB5122">
        <v>24</v>
      </c>
      <c r="AC5122">
        <v>-15.1175</v>
      </c>
      <c r="AD5122">
        <v>-1.1204434971570001</v>
      </c>
      <c r="AE5122">
        <v>0.71590000000000398</v>
      </c>
      <c r="AF5122">
        <v>0.80323067330741305</v>
      </c>
      <c r="AG5122">
        <v>-1.1204434971570001</v>
      </c>
      <c r="AH5122">
        <v>15.030497140821501</v>
      </c>
      <c r="AI5122">
        <v>94.257157903627004</v>
      </c>
      <c r="AJ5122">
        <v>86.941019860447298</v>
      </c>
      <c r="AK5122">
        <v>15.093588620507299</v>
      </c>
      <c r="AL5122">
        <v>95.738262832866496</v>
      </c>
      <c r="AM5122">
        <v>89.952569691912004</v>
      </c>
      <c r="AN5122">
        <v>1.00000001990153</v>
      </c>
    </row>
    <row r="5123" spans="1:40" x14ac:dyDescent="0.25">
      <c r="A5123" t="str">
        <f>"20190303154241308"</f>
        <v>20190303154241308</v>
      </c>
      <c r="B5123" t="str">
        <f>"1551598961304756"</f>
        <v>1551598961304756</v>
      </c>
      <c r="C5123" t="s">
        <v>40</v>
      </c>
      <c r="D5123">
        <v>5.5810440000000003</v>
      </c>
      <c r="E5123">
        <v>0.51900820000000003</v>
      </c>
      <c r="F5123" t="s">
        <v>42</v>
      </c>
      <c r="G5123">
        <v>-226.66120000000001</v>
      </c>
      <c r="H5123">
        <v>1.053795</v>
      </c>
      <c r="I5123">
        <v>141.79570000000001</v>
      </c>
      <c r="J5123">
        <v>-226.06319999999999</v>
      </c>
      <c r="K5123">
        <v>1.1203879999999999</v>
      </c>
      <c r="L5123">
        <v>141.75059999999999</v>
      </c>
      <c r="M5123">
        <v>-0.99994349999999999</v>
      </c>
      <c r="N5123">
        <v>-8.4240249999999999E-3</v>
      </c>
      <c r="O5123">
        <v>-6.4965969999999998E-3</v>
      </c>
      <c r="P5123">
        <v>-0.99410969999999999</v>
      </c>
      <c r="Q5123">
        <v>-0.1080902</v>
      </c>
      <c r="R5123">
        <v>-7.8991259999999994E-3</v>
      </c>
      <c r="S5123">
        <v>-2.9954529999999999</v>
      </c>
      <c r="T5123">
        <v>-0.21214369999999999</v>
      </c>
      <c r="U5123">
        <v>0.13476560000000001</v>
      </c>
      <c r="V5123">
        <v>-1.4004340000000001E-3</v>
      </c>
      <c r="W5123">
        <v>-9.9712250000000002E-2</v>
      </c>
      <c r="X5123">
        <v>0.99501530000000005</v>
      </c>
      <c r="Y5123">
        <v>5.1277820000000002E-2</v>
      </c>
      <c r="Z5123">
        <v>2.4336789999999998E-3</v>
      </c>
      <c r="AA5123">
        <v>0.9986815</v>
      </c>
      <c r="AB5123">
        <v>24</v>
      </c>
      <c r="AC5123">
        <v>-0.59800000000001297</v>
      </c>
      <c r="AD5123">
        <v>-6.6592999999999902E-2</v>
      </c>
      <c r="AE5123">
        <v>4.5100000000019201E-2</v>
      </c>
      <c r="AF5123">
        <v>4.8387493757375201E-2</v>
      </c>
      <c r="AG5123">
        <v>-6.6592999999999902E-2</v>
      </c>
      <c r="AH5123">
        <v>0.590414089124222</v>
      </c>
      <c r="AI5123">
        <v>96.413889196894999</v>
      </c>
      <c r="AJ5123">
        <v>85.314784928686905</v>
      </c>
      <c r="AK5123">
        <v>0.59612479720064004</v>
      </c>
      <c r="AL5123">
        <v>95.722600968187905</v>
      </c>
      <c r="AM5123">
        <v>90.080640875275407</v>
      </c>
      <c r="AN5123">
        <v>0.99999997062476997</v>
      </c>
    </row>
    <row r="5124" spans="1:40" x14ac:dyDescent="0.25">
      <c r="A5124" t="str">
        <f>"20190303154241331"</f>
        <v>20190303154241331</v>
      </c>
      <c r="B5124" t="str">
        <f>"1551598961325252"</f>
        <v>1551598961325252</v>
      </c>
      <c r="C5124" t="s">
        <v>40</v>
      </c>
      <c r="D5124">
        <v>5.5858549999999996</v>
      </c>
      <c r="E5124">
        <v>0.51886120000000002</v>
      </c>
      <c r="F5124" t="s">
        <v>41</v>
      </c>
      <c r="G5124">
        <v>-242.43379999999999</v>
      </c>
      <c r="H5124" s="1">
        <v>-3.946927E-6</v>
      </c>
      <c r="I5124">
        <v>142.43010000000001</v>
      </c>
      <c r="J5124">
        <v>-226.3021</v>
      </c>
      <c r="K5124">
        <v>1.1203650000000001</v>
      </c>
      <c r="L5124">
        <v>141.74870000000001</v>
      </c>
      <c r="M5124">
        <v>-0.99994369999999999</v>
      </c>
      <c r="N5124">
        <v>-8.1528109999999994E-3</v>
      </c>
      <c r="O5124">
        <v>-6.7910940000000001E-3</v>
      </c>
      <c r="P5124">
        <v>-0.99404789999999998</v>
      </c>
      <c r="Q5124">
        <v>-0.1085033</v>
      </c>
      <c r="R5124">
        <v>-9.7919649999999997E-3</v>
      </c>
      <c r="S5124">
        <v>-2.9964599999999999</v>
      </c>
      <c r="T5124">
        <v>-0.20507649999999999</v>
      </c>
      <c r="U5124">
        <v>0.1243896</v>
      </c>
      <c r="V5124">
        <v>-2.9996300000000001E-3</v>
      </c>
      <c r="W5124">
        <v>-0.10039629999999999</v>
      </c>
      <c r="X5124">
        <v>0.99494300000000002</v>
      </c>
      <c r="Y5124">
        <v>4.812288E-2</v>
      </c>
      <c r="Z5124">
        <v>2.249404E-3</v>
      </c>
      <c r="AA5124">
        <v>0.99883889999999997</v>
      </c>
      <c r="AB5124">
        <v>24</v>
      </c>
      <c r="AC5124">
        <v>-16.131699999999899</v>
      </c>
      <c r="AD5124">
        <v>-1.120368946927</v>
      </c>
      <c r="AE5124">
        <v>0.68139999999999601</v>
      </c>
      <c r="AF5124">
        <v>0.78714976776958701</v>
      </c>
      <c r="AG5124">
        <v>-1.120368946927</v>
      </c>
      <c r="AH5124">
        <v>16.049423934275499</v>
      </c>
      <c r="AI5124">
        <v>93.988414243599195</v>
      </c>
      <c r="AJ5124">
        <v>87.192157821652998</v>
      </c>
      <c r="AK5124">
        <v>16.107726095145601</v>
      </c>
      <c r="AL5124">
        <v>95.761991676751293</v>
      </c>
      <c r="AM5124">
        <v>90.172739160312801</v>
      </c>
      <c r="AN5124">
        <v>0.99999999404141304</v>
      </c>
    </row>
    <row r="5125" spans="1:40" x14ac:dyDescent="0.25">
      <c r="A5125" t="str">
        <f>"20190303154241540"</f>
        <v>20190303154241540</v>
      </c>
      <c r="B5125" t="str">
        <f>"1551598961535092"</f>
        <v>1551598961535092</v>
      </c>
      <c r="C5125" t="s">
        <v>40</v>
      </c>
      <c r="D5125">
        <v>5.5498279999999998</v>
      </c>
      <c r="E5125">
        <v>0.51886909999999997</v>
      </c>
      <c r="F5125" t="s">
        <v>41</v>
      </c>
      <c r="G5125">
        <v>-242.7773</v>
      </c>
      <c r="H5125" s="1">
        <v>-3.8202069999999901E-6</v>
      </c>
      <c r="I5125">
        <v>142.39510000000001</v>
      </c>
      <c r="J5125">
        <v>-228.6241</v>
      </c>
      <c r="K5125">
        <v>1.12015</v>
      </c>
      <c r="L5125">
        <v>141.72630000000001</v>
      </c>
      <c r="M5125">
        <v>-0.99993359999999998</v>
      </c>
      <c r="N5125">
        <v>-5.3644089999999997E-3</v>
      </c>
      <c r="O5125">
        <v>-1.019743E-2</v>
      </c>
      <c r="P5125">
        <v>-0.9951525</v>
      </c>
      <c r="Q5125">
        <v>-9.7388420000000003E-2</v>
      </c>
      <c r="R5125">
        <v>-1.368348E-2</v>
      </c>
      <c r="S5125">
        <v>-2.9968569999999999</v>
      </c>
      <c r="T5125">
        <v>-0.20379630000000001</v>
      </c>
      <c r="U5125">
        <v>0.1175842</v>
      </c>
      <c r="V5125">
        <v>-3.4673759999999999E-3</v>
      </c>
      <c r="W5125">
        <v>-9.2050690000000004E-2</v>
      </c>
      <c r="X5125">
        <v>0.99574830000000003</v>
      </c>
      <c r="Y5125">
        <v>4.925086E-2</v>
      </c>
      <c r="Z5125">
        <v>2.4421529999999999E-3</v>
      </c>
      <c r="AA5125">
        <v>0.99878350000000005</v>
      </c>
      <c r="AB5125">
        <v>25</v>
      </c>
      <c r="AC5125">
        <v>-14.153199999999901</v>
      </c>
      <c r="AD5125">
        <v>-1.1201538202069901</v>
      </c>
      <c r="AE5125">
        <v>0.66880000000000395</v>
      </c>
      <c r="AF5125">
        <v>0.80804332999268302</v>
      </c>
      <c r="AG5125">
        <v>-1.1201538202069901</v>
      </c>
      <c r="AH5125">
        <v>14.0577833345258</v>
      </c>
      <c r="AI5125">
        <v>94.548346784909796</v>
      </c>
      <c r="AJ5125">
        <v>86.710250557807498</v>
      </c>
      <c r="AK5125">
        <v>14.1254717048509</v>
      </c>
      <c r="AL5125">
        <v>95.281592725644401</v>
      </c>
      <c r="AM5125">
        <v>90.199513479269996</v>
      </c>
      <c r="AN5125">
        <v>1.00000001458934</v>
      </c>
    </row>
    <row r="5126" spans="1:40" x14ac:dyDescent="0.25">
      <c r="A5126" t="str">
        <f>"20190303154241566"</f>
        <v>20190303154241566</v>
      </c>
      <c r="B5126" t="str">
        <f>"1551598961555588"</f>
        <v>1551598961555588</v>
      </c>
      <c r="C5126" t="s">
        <v>40</v>
      </c>
      <c r="D5126">
        <v>5.5524269999999998</v>
      </c>
      <c r="E5126">
        <v>0.51903750000000004</v>
      </c>
      <c r="F5126" t="s">
        <v>41</v>
      </c>
      <c r="G5126">
        <v>-248.47239999999999</v>
      </c>
      <c r="H5126" s="1">
        <v>-1.3865950000000001E-6</v>
      </c>
      <c r="I5126">
        <v>142.43100000000001</v>
      </c>
      <c r="J5126">
        <v>-228.91159999999999</v>
      </c>
      <c r="K5126">
        <v>1.120153</v>
      </c>
      <c r="L5126">
        <v>141.7227</v>
      </c>
      <c r="M5126">
        <v>-0.99992899999999996</v>
      </c>
      <c r="N5126">
        <v>-5.0905300000000002E-3</v>
      </c>
      <c r="O5126">
        <v>-1.0785390000000001E-2</v>
      </c>
      <c r="P5126">
        <v>-0.9951702</v>
      </c>
      <c r="Q5126">
        <v>-9.7195920000000005E-2</v>
      </c>
      <c r="R5126">
        <v>-1.3770289999999999E-2</v>
      </c>
      <c r="S5126">
        <v>-2.9995120000000002</v>
      </c>
      <c r="T5126">
        <v>-0.16927970000000001</v>
      </c>
      <c r="U5126">
        <v>0.1065063</v>
      </c>
      <c r="V5126">
        <v>-2.9616820000000002E-3</v>
      </c>
      <c r="W5126">
        <v>-9.2130680000000006E-2</v>
      </c>
      <c r="X5126">
        <v>0.99574249999999997</v>
      </c>
      <c r="Y5126">
        <v>4.6168010000000002E-2</v>
      </c>
      <c r="Z5126">
        <v>1.9721489999999999E-3</v>
      </c>
      <c r="AA5126">
        <v>0.99893180000000004</v>
      </c>
      <c r="AB5126">
        <v>25</v>
      </c>
      <c r="AC5126">
        <v>-19.5608</v>
      </c>
      <c r="AD5126">
        <v>-1.1201543865950001</v>
      </c>
      <c r="AE5126">
        <v>0.70830000000000803</v>
      </c>
      <c r="AF5126">
        <v>0.91623169216746403</v>
      </c>
      <c r="AG5126">
        <v>-1.1201543865950001</v>
      </c>
      <c r="AH5126">
        <v>19.488198676214001</v>
      </c>
      <c r="AI5126">
        <v>93.286039896370895</v>
      </c>
      <c r="AJ5126">
        <v>87.3082385794971</v>
      </c>
      <c r="AK5126">
        <v>19.541855439213801</v>
      </c>
      <c r="AL5126">
        <v>95.286195556558596</v>
      </c>
      <c r="AM5126">
        <v>90.170416928529605</v>
      </c>
      <c r="AN5126">
        <v>0.99999998003188995</v>
      </c>
    </row>
    <row r="5127" spans="1:40" x14ac:dyDescent="0.25">
      <c r="A5127" t="str">
        <f>"20190303154241585"</f>
        <v>20190303154241585</v>
      </c>
      <c r="B5127" t="str">
        <f>"1551598961575108"</f>
        <v>1551598961575108</v>
      </c>
      <c r="C5127" t="s">
        <v>40</v>
      </c>
      <c r="D5127">
        <v>5.5466240000000004</v>
      </c>
      <c r="E5127">
        <v>0.51901140000000001</v>
      </c>
      <c r="F5127" t="s">
        <v>41</v>
      </c>
      <c r="G5127">
        <v>-249.1566</v>
      </c>
      <c r="H5127" s="1">
        <v>-1.0977230000000001E-6</v>
      </c>
      <c r="I5127">
        <v>142.4485</v>
      </c>
      <c r="J5127">
        <v>-229.1377</v>
      </c>
      <c r="K5127">
        <v>1.12016</v>
      </c>
      <c r="L5127">
        <v>141.71979999999999</v>
      </c>
      <c r="M5127">
        <v>-0.99992440000000005</v>
      </c>
      <c r="N5127">
        <v>-4.8999020000000003E-3</v>
      </c>
      <c r="O5127">
        <v>-1.1283329999999999E-2</v>
      </c>
      <c r="P5127">
        <v>-0.9950814</v>
      </c>
      <c r="Q5127">
        <v>-9.8041989999999996E-2</v>
      </c>
      <c r="R5127">
        <v>-1.4170179999999999E-2</v>
      </c>
      <c r="S5127">
        <v>-2.9998320000000001</v>
      </c>
      <c r="T5127">
        <v>-0.16598089999999999</v>
      </c>
      <c r="U5127">
        <v>0.107543899999999</v>
      </c>
      <c r="V5127">
        <v>-2.8593199999999998E-3</v>
      </c>
      <c r="W5127">
        <v>-9.3167089999999994E-2</v>
      </c>
      <c r="X5127">
        <v>0.99564640000000004</v>
      </c>
      <c r="Y5127">
        <v>4.700841E-2</v>
      </c>
      <c r="Z5127">
        <v>1.982803E-3</v>
      </c>
      <c r="AA5127">
        <v>0.99889249999999996</v>
      </c>
      <c r="AB5127">
        <v>25</v>
      </c>
      <c r="AC5127">
        <v>-20.018899999999999</v>
      </c>
      <c r="AD5127">
        <v>-1.1201610977230001</v>
      </c>
      <c r="AE5127">
        <v>0.72870000000000301</v>
      </c>
      <c r="AF5127">
        <v>0.95156078563135305</v>
      </c>
      <c r="AG5127">
        <v>-1.1201610977230001</v>
      </c>
      <c r="AH5127">
        <v>19.9470321758862</v>
      </c>
      <c r="AI5127">
        <v>93.210527219003197</v>
      </c>
      <c r="AJ5127">
        <v>87.268810951279903</v>
      </c>
      <c r="AK5127">
        <v>20.001108005294199</v>
      </c>
      <c r="AL5127">
        <v>95.345833789580496</v>
      </c>
      <c r="AM5127">
        <v>90.164542871745596</v>
      </c>
      <c r="AN5127">
        <v>1.0000000181014399</v>
      </c>
    </row>
    <row r="5128" spans="1:40" x14ac:dyDescent="0.25">
      <c r="A5128" t="str">
        <f>"20190303154241609"</f>
        <v>20190303154241609</v>
      </c>
      <c r="B5128" t="str">
        <f>"1551598961605363"</f>
        <v>1551598961605363</v>
      </c>
      <c r="C5128" t="s">
        <v>40</v>
      </c>
      <c r="D5128">
        <v>5.5429069999999996</v>
      </c>
      <c r="E5128">
        <v>0.51893509999999998</v>
      </c>
      <c r="F5128" t="s">
        <v>41</v>
      </c>
      <c r="G5128">
        <v>-249.17869999999999</v>
      </c>
      <c r="H5128" s="1">
        <v>-1.083127E-6</v>
      </c>
      <c r="I5128">
        <v>142.42930000000001</v>
      </c>
      <c r="J5128">
        <v>-229.399</v>
      </c>
      <c r="K5128">
        <v>1.120169</v>
      </c>
      <c r="L5128">
        <v>141.71629999999999</v>
      </c>
      <c r="M5128">
        <v>-0.99991830000000004</v>
      </c>
      <c r="N5128">
        <v>-4.7047E-3</v>
      </c>
      <c r="O5128">
        <v>-1.1899440000000001E-2</v>
      </c>
      <c r="P5128">
        <v>-0.99507679999999998</v>
      </c>
      <c r="Q5128">
        <v>-9.7985210000000003E-2</v>
      </c>
      <c r="R5128">
        <v>-1.487549E-2</v>
      </c>
      <c r="S5128">
        <v>-2.9998170000000002</v>
      </c>
      <c r="T5128">
        <v>-0.16767009999999999</v>
      </c>
      <c r="U5128">
        <v>0.1062012</v>
      </c>
      <c r="V5128">
        <v>-2.9437899999999999E-3</v>
      </c>
      <c r="W5128">
        <v>-9.3304960000000006E-2</v>
      </c>
      <c r="X5128">
        <v>0.9956332</v>
      </c>
      <c r="Y5128">
        <v>4.7174689999999998E-2</v>
      </c>
      <c r="Z5128">
        <v>2.0365130000000002E-3</v>
      </c>
      <c r="AA5128">
        <v>0.99888460000000001</v>
      </c>
      <c r="AB5128">
        <v>26</v>
      </c>
      <c r="AC5128">
        <v>-19.779699999999899</v>
      </c>
      <c r="AD5128">
        <v>-1.1201700831270001</v>
      </c>
      <c r="AE5128">
        <v>0.71300000000002195</v>
      </c>
      <c r="AF5128">
        <v>0.94529161405870799</v>
      </c>
      <c r="AG5128">
        <v>-1.1201700831270001</v>
      </c>
      <c r="AH5128">
        <v>19.706693505977999</v>
      </c>
      <c r="AI5128">
        <v>93.249583926430802</v>
      </c>
      <c r="AJ5128">
        <v>87.2537383464973</v>
      </c>
      <c r="AK5128">
        <v>19.761126642711901</v>
      </c>
      <c r="AL5128">
        <v>95.353767948832697</v>
      </c>
      <c r="AM5128">
        <v>90.169406013455401</v>
      </c>
      <c r="AN5128">
        <v>0.99999997520120198</v>
      </c>
    </row>
    <row r="5129" spans="1:40" x14ac:dyDescent="0.25">
      <c r="A5129" t="str">
        <f>"20190303154241630"</f>
        <v>20190303154241630</v>
      </c>
      <c r="B5129" t="str">
        <f>"1551598961624884"</f>
        <v>1551598961624884</v>
      </c>
      <c r="C5129" t="s">
        <v>40</v>
      </c>
      <c r="D5129">
        <v>5.5430299999999999</v>
      </c>
      <c r="E5129">
        <v>0.51889589999999997</v>
      </c>
      <c r="F5129" t="s">
        <v>41</v>
      </c>
      <c r="G5129">
        <v>-249.7022</v>
      </c>
      <c r="H5129" s="1">
        <v>-8.5503189999999996E-7</v>
      </c>
      <c r="I5129">
        <v>142.416</v>
      </c>
      <c r="J5129">
        <v>-229.64490000000001</v>
      </c>
      <c r="K5129">
        <v>1.120179</v>
      </c>
      <c r="L5129">
        <v>141.71270000000001</v>
      </c>
      <c r="M5129">
        <v>-0.99991140000000001</v>
      </c>
      <c r="N5129">
        <v>-4.544144E-3</v>
      </c>
      <c r="O5129">
        <v>-1.2519580000000001E-2</v>
      </c>
      <c r="P5129">
        <v>-0.99505080000000001</v>
      </c>
      <c r="Q5129">
        <v>-9.8123500000000002E-2</v>
      </c>
      <c r="R5129">
        <v>-1.5680860000000001E-2</v>
      </c>
      <c r="S5129">
        <v>-3.000092</v>
      </c>
      <c r="T5129">
        <v>-0.16552159999999999</v>
      </c>
      <c r="U5129">
        <v>0.1034088</v>
      </c>
      <c r="V5129">
        <v>-3.1245840000000001E-3</v>
      </c>
      <c r="W5129">
        <v>-9.3603569999999997E-2</v>
      </c>
      <c r="X5129">
        <v>0.99560459999999995</v>
      </c>
      <c r="Y5129">
        <v>4.6864589999999998E-2</v>
      </c>
      <c r="Z5129">
        <v>2.0312400000000001E-3</v>
      </c>
      <c r="AA5129">
        <v>0.99889919999999999</v>
      </c>
      <c r="AB5129">
        <v>26</v>
      </c>
      <c r="AC5129">
        <v>-20.057300000000001</v>
      </c>
      <c r="AD5129">
        <v>-1.1201798550319</v>
      </c>
      <c r="AE5129">
        <v>0.70329999999998405</v>
      </c>
      <c r="AF5129">
        <v>0.95139256582501996</v>
      </c>
      <c r="AG5129">
        <v>-1.1201798550319</v>
      </c>
      <c r="AH5129">
        <v>19.9846651012999</v>
      </c>
      <c r="AI5129">
        <v>93.204562605231999</v>
      </c>
      <c r="AJ5129">
        <v>87.274427454230704</v>
      </c>
      <c r="AK5129">
        <v>20.038632436696901</v>
      </c>
      <c r="AL5129">
        <v>95.370952354306596</v>
      </c>
      <c r="AM5129">
        <v>90.179815248113499</v>
      </c>
      <c r="AN5129">
        <v>0.99999995544153797</v>
      </c>
    </row>
    <row r="5130" spans="1:40" x14ac:dyDescent="0.25">
      <c r="A5130" t="str">
        <f>"20190303154241656"</f>
        <v>20190303154241656</v>
      </c>
      <c r="B5130" t="str">
        <f>"1551598961645379"</f>
        <v>1551598961645379</v>
      </c>
      <c r="C5130" t="s">
        <v>40</v>
      </c>
      <c r="D5130">
        <v>5.5523199999999999</v>
      </c>
      <c r="E5130">
        <v>0.51881179999999905</v>
      </c>
      <c r="F5130" t="s">
        <v>41</v>
      </c>
      <c r="G5130">
        <v>-250.072</v>
      </c>
      <c r="H5130" s="1">
        <v>-4.7449680000000003E-6</v>
      </c>
      <c r="I5130">
        <v>142.3981</v>
      </c>
      <c r="J5130">
        <v>-229.9435</v>
      </c>
      <c r="K5130">
        <v>1.1202080000000001</v>
      </c>
      <c r="L5130">
        <v>141.70820000000001</v>
      </c>
      <c r="M5130">
        <v>-0.99990179999999995</v>
      </c>
      <c r="N5130">
        <v>-4.3752829999999998E-3</v>
      </c>
      <c r="O5130">
        <v>-1.332143E-2</v>
      </c>
      <c r="P5130">
        <v>-0.99503030000000003</v>
      </c>
      <c r="Q5130">
        <v>-9.8266010000000001E-2</v>
      </c>
      <c r="R5130">
        <v>-1.609064E-2</v>
      </c>
      <c r="S5130">
        <v>-3.0002749999999998</v>
      </c>
      <c r="T5130">
        <v>-0.1645296</v>
      </c>
      <c r="U5130">
        <v>0.1006775</v>
      </c>
      <c r="V5130">
        <v>-2.72667E-3</v>
      </c>
      <c r="W5130">
        <v>-9.3914139999999993E-2</v>
      </c>
      <c r="X5130">
        <v>0.99557660000000003</v>
      </c>
      <c r="Y5130">
        <v>4.675559E-2</v>
      </c>
      <c r="Z5130">
        <v>2.0546370000000002E-3</v>
      </c>
      <c r="AA5130">
        <v>0.99890420000000002</v>
      </c>
      <c r="AB5130">
        <v>26</v>
      </c>
      <c r="AC5130">
        <v>-20.128499999999999</v>
      </c>
      <c r="AD5130">
        <v>-1.1202127449679999</v>
      </c>
      <c r="AE5130">
        <v>0.68989999999999396</v>
      </c>
      <c r="AF5130">
        <v>0.95502722244610305</v>
      </c>
      <c r="AG5130">
        <v>-1.1202127449679999</v>
      </c>
      <c r="AH5130">
        <v>20.055479116488002</v>
      </c>
      <c r="AI5130">
        <v>93.193362628799406</v>
      </c>
      <c r="AJ5130">
        <v>87.273676443308503</v>
      </c>
      <c r="AK5130">
        <v>20.1094305285229</v>
      </c>
      <c r="AL5130">
        <v>95.388825015907102</v>
      </c>
      <c r="AM5130">
        <v>90.156920414271397</v>
      </c>
      <c r="AN5130">
        <v>1.0000000334443899</v>
      </c>
    </row>
    <row r="5131" spans="1:40" x14ac:dyDescent="0.25">
      <c r="A5131" t="str">
        <f>"20190303154241677"</f>
        <v>20190303154241677</v>
      </c>
      <c r="B5131" t="str">
        <f>"1551598961674660"</f>
        <v>1551598961674660</v>
      </c>
      <c r="C5131" t="s">
        <v>40</v>
      </c>
      <c r="D5131">
        <v>5.5614809999999997</v>
      </c>
      <c r="E5131">
        <v>0.51868139999999996</v>
      </c>
      <c r="F5131" t="s">
        <v>41</v>
      </c>
      <c r="G5131">
        <v>-250.46090000000001</v>
      </c>
      <c r="H5131" s="1">
        <v>-4.610117E-6</v>
      </c>
      <c r="I5131">
        <v>142.38390000000001</v>
      </c>
      <c r="J5131">
        <v>-230.19990000000001</v>
      </c>
      <c r="K5131">
        <v>1.1202270000000001</v>
      </c>
      <c r="L5131">
        <v>141.70400000000001</v>
      </c>
      <c r="M5131">
        <v>-0.99989209999999995</v>
      </c>
      <c r="N5131">
        <v>-4.2537399999999998E-3</v>
      </c>
      <c r="O5131">
        <v>-1.406115E-2</v>
      </c>
      <c r="P5131">
        <v>-0.99494669999999996</v>
      </c>
      <c r="Q5131">
        <v>-9.8972870000000004E-2</v>
      </c>
      <c r="R5131">
        <v>-1.6903430000000001E-2</v>
      </c>
      <c r="S5131">
        <v>-3.000397</v>
      </c>
      <c r="T5131">
        <v>-0.1638162</v>
      </c>
      <c r="U5131">
        <v>9.8831180000000005E-2</v>
      </c>
      <c r="V5131">
        <v>-2.7948109999999999E-3</v>
      </c>
      <c r="W5131">
        <v>-9.4742660000000006E-2</v>
      </c>
      <c r="X5131">
        <v>0.99549790000000005</v>
      </c>
      <c r="Y5131">
        <v>4.6878929999999999E-2</v>
      </c>
      <c r="Z5131">
        <v>2.085473E-3</v>
      </c>
      <c r="AA5131">
        <v>0.99889839999999996</v>
      </c>
      <c r="AB5131">
        <v>26</v>
      </c>
      <c r="AC5131">
        <v>-20.260999999999999</v>
      </c>
      <c r="AD5131">
        <v>-1.120231610117</v>
      </c>
      <c r="AE5131">
        <v>0.67990000000000295</v>
      </c>
      <c r="AF5131">
        <v>0.96179143765737496</v>
      </c>
      <c r="AG5131">
        <v>-1.120231610117</v>
      </c>
      <c r="AH5131">
        <v>20.187792196478199</v>
      </c>
      <c r="AI5131">
        <v>93.172525723009102</v>
      </c>
      <c r="AJ5131">
        <v>87.272363763911898</v>
      </c>
      <c r="AK5131">
        <v>20.241712264481102</v>
      </c>
      <c r="AL5131">
        <v>95.436508370337194</v>
      </c>
      <c r="AM5131">
        <v>90.160854637798195</v>
      </c>
      <c r="AN5131">
        <v>1.0000000257484001</v>
      </c>
    </row>
    <row r="5132" spans="1:40" x14ac:dyDescent="0.25">
      <c r="A5132" t="str">
        <f>"20190303154241699"</f>
        <v>20190303154241699</v>
      </c>
      <c r="B5132" t="str">
        <f>"1551598961695155"</f>
        <v>1551598961695155</v>
      </c>
      <c r="C5132" t="s">
        <v>40</v>
      </c>
      <c r="D5132">
        <v>5.5798680000000003</v>
      </c>
      <c r="E5132">
        <v>0.51861349999999995</v>
      </c>
      <c r="F5132" t="s">
        <v>41</v>
      </c>
      <c r="G5132">
        <v>-250.63239999999999</v>
      </c>
      <c r="H5132" s="1">
        <v>-4.546406E-6</v>
      </c>
      <c r="I5132">
        <v>142.3537</v>
      </c>
      <c r="J5132">
        <v>-230.44909999999999</v>
      </c>
      <c r="K5132">
        <v>1.120247</v>
      </c>
      <c r="L5132">
        <v>141.69980000000001</v>
      </c>
      <c r="M5132">
        <v>-0.99988169999999998</v>
      </c>
      <c r="N5132">
        <v>-4.1525420000000004E-3</v>
      </c>
      <c r="O5132">
        <v>-1.4821310000000001E-2</v>
      </c>
      <c r="P5132">
        <v>-0.99484139999999999</v>
      </c>
      <c r="Q5132">
        <v>-9.992579E-2</v>
      </c>
      <c r="R5132">
        <v>-1.7484329999999999E-2</v>
      </c>
      <c r="S5132">
        <v>-3.0004729999999999</v>
      </c>
      <c r="T5132">
        <v>-0.1645044</v>
      </c>
      <c r="U5132">
        <v>9.5413209999999998E-2</v>
      </c>
      <c r="V5132">
        <v>-2.6117900000000001E-3</v>
      </c>
      <c r="W5132">
        <v>-9.579667E-2</v>
      </c>
      <c r="X5132">
        <v>0.99539750000000005</v>
      </c>
      <c r="Y5132">
        <v>4.649971E-2</v>
      </c>
      <c r="Z5132">
        <v>2.1203910000000001E-3</v>
      </c>
      <c r="AA5132">
        <v>0.99891600000000003</v>
      </c>
      <c r="AB5132">
        <v>26</v>
      </c>
      <c r="AC5132">
        <v>-20.183299999999999</v>
      </c>
      <c r="AD5132">
        <v>-1.1202515464060001</v>
      </c>
      <c r="AE5132">
        <v>0.65389999999999204</v>
      </c>
      <c r="AF5132">
        <v>0.950049917420977</v>
      </c>
      <c r="AG5132">
        <v>-1.1202515464060001</v>
      </c>
      <c r="AH5132">
        <v>20.109505242714398</v>
      </c>
      <c r="AI5132">
        <v>93.1849675963241</v>
      </c>
      <c r="AJ5132">
        <v>87.295139503147396</v>
      </c>
      <c r="AK5132">
        <v>20.163079117029099</v>
      </c>
      <c r="AL5132">
        <v>95.497174760914305</v>
      </c>
      <c r="AM5132">
        <v>90.150336122561995</v>
      </c>
      <c r="AN5132">
        <v>1.00000000321817</v>
      </c>
    </row>
    <row r="5133" spans="1:40" x14ac:dyDescent="0.25">
      <c r="A5133" t="str">
        <f>"20190303154241720"</f>
        <v>20190303154241720</v>
      </c>
      <c r="B5133" t="str">
        <f>"1551598961714676"</f>
        <v>1551598961714676</v>
      </c>
      <c r="C5133" t="s">
        <v>40</v>
      </c>
      <c r="D5133">
        <v>5.551177</v>
      </c>
      <c r="E5133">
        <v>0.51852319999999996</v>
      </c>
      <c r="F5133" t="s">
        <v>41</v>
      </c>
      <c r="G5133">
        <v>-250.6378</v>
      </c>
      <c r="H5133" s="1">
        <v>-4.5398059999999999E-6</v>
      </c>
      <c r="I5133">
        <v>142.32679999999999</v>
      </c>
      <c r="J5133">
        <v>-230.7097</v>
      </c>
      <c r="K5133">
        <v>1.120274</v>
      </c>
      <c r="L5133">
        <v>141.6951</v>
      </c>
      <c r="M5133">
        <v>-0.99986940000000002</v>
      </c>
      <c r="N5133">
        <v>-4.0621219999999996E-3</v>
      </c>
      <c r="O5133">
        <v>-1.565122E-2</v>
      </c>
      <c r="P5133">
        <v>-0.99483860000000002</v>
      </c>
      <c r="Q5133">
        <v>-9.992413E-2</v>
      </c>
      <c r="R5133">
        <v>-1.7651980000000001E-2</v>
      </c>
      <c r="S5133">
        <v>-3.0004729999999999</v>
      </c>
      <c r="T5133">
        <v>-0.166493899999999</v>
      </c>
      <c r="U5133">
        <v>9.3200679999999994E-2</v>
      </c>
      <c r="V5133">
        <v>-1.9458500000000001E-3</v>
      </c>
      <c r="W5133">
        <v>-9.5884330000000004E-2</v>
      </c>
      <c r="X5133">
        <v>0.99539060000000001</v>
      </c>
      <c r="Y5133">
        <v>4.6589499999999999E-2</v>
      </c>
      <c r="Z5133">
        <v>2.1901400000000001E-3</v>
      </c>
      <c r="AA5133">
        <v>0.99891169999999996</v>
      </c>
      <c r="AB5133">
        <v>26</v>
      </c>
      <c r="AC5133">
        <v>-19.928100000000001</v>
      </c>
      <c r="AD5133">
        <v>-1.120278539806</v>
      </c>
      <c r="AE5133">
        <v>0.63169999999999504</v>
      </c>
      <c r="AF5133">
        <v>0.94055483382048899</v>
      </c>
      <c r="AG5133">
        <v>-1.120278539806</v>
      </c>
      <c r="AH5133">
        <v>19.853094465202702</v>
      </c>
      <c r="AI5133">
        <v>93.226073940003204</v>
      </c>
      <c r="AJ5133">
        <v>87.287598724956098</v>
      </c>
      <c r="AK5133">
        <v>19.906909032957302</v>
      </c>
      <c r="AL5133">
        <v>95.5022204500181</v>
      </c>
      <c r="AM5133">
        <v>90.112005126980407</v>
      </c>
      <c r="AN5133">
        <v>1.00000001882006</v>
      </c>
    </row>
    <row r="5134" spans="1:40" x14ac:dyDescent="0.25">
      <c r="A5134" t="str">
        <f>"20190303154241742"</f>
        <v>20190303154241742</v>
      </c>
      <c r="B5134" t="str">
        <f>"1551598961735172"</f>
        <v>1551598961735172</v>
      </c>
      <c r="C5134" t="s">
        <v>40</v>
      </c>
      <c r="D5134">
        <v>5.5590719999999996</v>
      </c>
      <c r="E5134">
        <v>0.51842639999999995</v>
      </c>
      <c r="F5134" t="s">
        <v>41</v>
      </c>
      <c r="G5134">
        <v>-250.99469999999999</v>
      </c>
      <c r="H5134" s="1">
        <v>-4.4166729999999999E-6</v>
      </c>
      <c r="I5134">
        <v>142.31739999999999</v>
      </c>
      <c r="J5134">
        <v>-230.9716</v>
      </c>
      <c r="K5134">
        <v>1.120298</v>
      </c>
      <c r="L5134">
        <v>141.6901</v>
      </c>
      <c r="M5134">
        <v>-0.99985559999999996</v>
      </c>
      <c r="N5134">
        <v>-3.98497E-3</v>
      </c>
      <c r="O5134">
        <v>-1.6517750000000001E-2</v>
      </c>
      <c r="P5134">
        <v>-0.99490820000000002</v>
      </c>
      <c r="Q5134">
        <v>-9.9230170000000006E-2</v>
      </c>
      <c r="R5134">
        <v>-1.7639599999999998E-2</v>
      </c>
      <c r="S5134">
        <v>-3.0005649999999999</v>
      </c>
      <c r="T5134">
        <v>-0.1657122</v>
      </c>
      <c r="U5134">
        <v>9.2056269999999996E-2</v>
      </c>
      <c r="V5134">
        <v>-1.063558E-3</v>
      </c>
      <c r="W5134">
        <v>-9.5265730000000007E-2</v>
      </c>
      <c r="X5134">
        <v>0.99545130000000004</v>
      </c>
      <c r="Y5134">
        <v>4.7072650000000001E-2</v>
      </c>
      <c r="Z5134">
        <v>2.2380220000000001E-3</v>
      </c>
      <c r="AA5134">
        <v>0.99888900000000003</v>
      </c>
      <c r="AB5134">
        <v>27</v>
      </c>
      <c r="AC5134">
        <v>-20.023099999999999</v>
      </c>
      <c r="AD5134">
        <v>-1.120302416673</v>
      </c>
      <c r="AE5134">
        <v>0.62729999999999098</v>
      </c>
      <c r="AF5134">
        <v>0.95496706109543295</v>
      </c>
      <c r="AG5134">
        <v>-1.120302416673</v>
      </c>
      <c r="AH5134">
        <v>19.947622621206399</v>
      </c>
      <c r="AI5134">
        <v>93.210810694171499</v>
      </c>
      <c r="AJ5134">
        <v>87.259130081200595</v>
      </c>
      <c r="AK5134">
        <v>20.001867108613801</v>
      </c>
      <c r="AL5134">
        <v>95.466614438921297</v>
      </c>
      <c r="AM5134">
        <v>90.061215813852797</v>
      </c>
      <c r="AN5134">
        <v>0.99999999056987099</v>
      </c>
    </row>
    <row r="5135" spans="1:40" x14ac:dyDescent="0.25">
      <c r="A5135" t="str">
        <f>"20190303154241765"</f>
        <v>20190303154241765</v>
      </c>
      <c r="B5135" t="str">
        <f>"1551598961754695"</f>
        <v>1551598961754695</v>
      </c>
      <c r="C5135" t="s">
        <v>40</v>
      </c>
      <c r="D5135">
        <v>5.5814839999999997</v>
      </c>
      <c r="E5135">
        <v>0.5183451</v>
      </c>
      <c r="F5135" t="s">
        <v>41</v>
      </c>
      <c r="G5135">
        <v>-251.6497</v>
      </c>
      <c r="H5135" s="1">
        <v>-4.1937969999999997E-6</v>
      </c>
      <c r="I5135">
        <v>142.3176</v>
      </c>
      <c r="J5135">
        <v>-231.25190000000001</v>
      </c>
      <c r="K5135">
        <v>1.12032</v>
      </c>
      <c r="L5135">
        <v>141.68450000000001</v>
      </c>
      <c r="M5135">
        <v>-0.9998397</v>
      </c>
      <c r="N5135">
        <v>-3.9173589999999996E-3</v>
      </c>
      <c r="O5135">
        <v>-1.7476200000000001E-2</v>
      </c>
      <c r="P5135">
        <v>-0.99485179999999995</v>
      </c>
      <c r="Q5135">
        <v>-9.9628839999999996E-2</v>
      </c>
      <c r="R5135">
        <v>-1.8558600000000001E-2</v>
      </c>
      <c r="S5135">
        <v>-3.0007320000000002</v>
      </c>
      <c r="T5135">
        <v>-0.16257479999999999</v>
      </c>
      <c r="U5135">
        <v>9.1064450000000005E-2</v>
      </c>
      <c r="V5135">
        <v>-1.0217410000000001E-3</v>
      </c>
      <c r="W5135">
        <v>-9.5731849999999993E-2</v>
      </c>
      <c r="X5135">
        <v>0.99540660000000003</v>
      </c>
      <c r="Y5135">
        <v>4.7700100000000002E-2</v>
      </c>
      <c r="Z5135">
        <v>2.2619889999999998E-3</v>
      </c>
      <c r="AA5135">
        <v>0.99885919999999895</v>
      </c>
      <c r="AB5135">
        <v>27</v>
      </c>
      <c r="AC5135">
        <v>-20.397799999999901</v>
      </c>
      <c r="AD5135">
        <v>-1.1203241937970001</v>
      </c>
      <c r="AE5135">
        <v>0.63309999999998401</v>
      </c>
      <c r="AF5135">
        <v>0.986508985308163</v>
      </c>
      <c r="AG5135">
        <v>-1.1203241937970001</v>
      </c>
      <c r="AH5135">
        <v>20.322374620988601</v>
      </c>
      <c r="AI5135">
        <v>93.151682550742606</v>
      </c>
      <c r="AJ5135">
        <v>87.220872667382693</v>
      </c>
      <c r="AK5135">
        <v>20.377125325057602</v>
      </c>
      <c r="AL5135">
        <v>95.493443910241794</v>
      </c>
      <c r="AM5135">
        <v>90.058811571568299</v>
      </c>
      <c r="AN5135">
        <v>0.99999996519132595</v>
      </c>
    </row>
    <row r="5136" spans="1:40" x14ac:dyDescent="0.25">
      <c r="A5136" t="str">
        <f>"20190303154241786"</f>
        <v>20190303154241786</v>
      </c>
      <c r="B5136" t="str">
        <f>"1551598961775188"</f>
        <v>1551598961775188</v>
      </c>
      <c r="C5136" t="s">
        <v>40</v>
      </c>
      <c r="D5136">
        <v>5.610989</v>
      </c>
      <c r="E5136">
        <v>0.51826309999999998</v>
      </c>
      <c r="F5136" t="s">
        <v>41</v>
      </c>
      <c r="G5136">
        <v>-251.90690000000001</v>
      </c>
      <c r="H5136" s="1">
        <v>-4.1009879999999999E-6</v>
      </c>
      <c r="I5136">
        <v>142.2878</v>
      </c>
      <c r="J5136">
        <v>-231.5103</v>
      </c>
      <c r="K5136">
        <v>1.120333</v>
      </c>
      <c r="L5136">
        <v>141.67910000000001</v>
      </c>
      <c r="M5136">
        <v>-0.99982360000000003</v>
      </c>
      <c r="N5136">
        <v>-3.8694699999999999E-3</v>
      </c>
      <c r="O5136">
        <v>-1.8380179999999999E-2</v>
      </c>
      <c r="P5136">
        <v>-0.99486589999999997</v>
      </c>
      <c r="Q5136">
        <v>-9.912348E-2</v>
      </c>
      <c r="R5136">
        <v>-2.040813E-2</v>
      </c>
      <c r="S5136">
        <v>-3.0008539999999999</v>
      </c>
      <c r="T5136">
        <v>-0.1627662</v>
      </c>
      <c r="U5136">
        <v>8.7661740000000002E-2</v>
      </c>
      <c r="V5136">
        <v>-1.9663739999999999E-3</v>
      </c>
      <c r="W5136">
        <v>-9.5275600000000002E-2</v>
      </c>
      <c r="X5136">
        <v>0.99544900000000003</v>
      </c>
      <c r="Y5136">
        <v>4.7469369999999997E-2</v>
      </c>
      <c r="Z5136">
        <v>2.303046E-3</v>
      </c>
      <c r="AA5136">
        <v>0.99887000000000004</v>
      </c>
      <c r="AB5136">
        <v>27</v>
      </c>
      <c r="AC5136">
        <v>-20.396599999999999</v>
      </c>
      <c r="AD5136">
        <v>-1.1203371009880001</v>
      </c>
      <c r="AE5136">
        <v>0.60869999999999802</v>
      </c>
      <c r="AF5136">
        <v>0.980537456522932</v>
      </c>
      <c r="AG5136">
        <v>-1.1203371009880001</v>
      </c>
      <c r="AH5136">
        <v>20.320712293900598</v>
      </c>
      <c r="AI5136">
        <v>93.152020124092203</v>
      </c>
      <c r="AJ5136">
        <v>87.237443503817701</v>
      </c>
      <c r="AK5136">
        <v>20.3751799269351</v>
      </c>
      <c r="AL5136">
        <v>95.467182430727206</v>
      </c>
      <c r="AM5136">
        <v>90.113179866173695</v>
      </c>
      <c r="AN5136">
        <v>1.00000000909153</v>
      </c>
    </row>
    <row r="5137" spans="1:40" x14ac:dyDescent="0.25">
      <c r="A5137" t="str">
        <f>"20190303154241810"</f>
        <v>20190303154241810</v>
      </c>
      <c r="B5137" t="str">
        <f>"1551598961805444"</f>
        <v>1551598961805444</v>
      </c>
      <c r="C5137" t="s">
        <v>40</v>
      </c>
      <c r="D5137">
        <v>5.6495670000000002</v>
      </c>
      <c r="E5137">
        <v>0.51813699999999996</v>
      </c>
      <c r="F5137" t="s">
        <v>41</v>
      </c>
      <c r="G5137">
        <v>-252.47059999999999</v>
      </c>
      <c r="H5137" s="1">
        <v>-3.9021140000000003E-6</v>
      </c>
      <c r="I5137">
        <v>142.24799999999999</v>
      </c>
      <c r="J5137">
        <v>-231.78399999999999</v>
      </c>
      <c r="K5137">
        <v>1.1203459999999901</v>
      </c>
      <c r="L5137">
        <v>141.67310000000001</v>
      </c>
      <c r="M5137">
        <v>-0.99980550000000001</v>
      </c>
      <c r="N5137">
        <v>-3.8311539999999998E-3</v>
      </c>
      <c r="O5137">
        <v>-1.9351159999999999E-2</v>
      </c>
      <c r="P5137">
        <v>-0.99489640000000001</v>
      </c>
      <c r="Q5137">
        <v>-9.8151909999999995E-2</v>
      </c>
      <c r="R5137">
        <v>-2.3399840000000002E-2</v>
      </c>
      <c r="S5137">
        <v>-3.0011749999999999</v>
      </c>
      <c r="T5137">
        <v>-0.1604151</v>
      </c>
      <c r="U5137">
        <v>8.1466670000000005E-2</v>
      </c>
      <c r="V5137">
        <v>-3.9883319999999998E-3</v>
      </c>
      <c r="W5137">
        <v>-9.4345250000000005E-2</v>
      </c>
      <c r="X5137">
        <v>0.99553159999999896</v>
      </c>
      <c r="Y5137">
        <v>4.6379320000000002E-2</v>
      </c>
      <c r="Z5137">
        <v>2.2866739999999998E-3</v>
      </c>
      <c r="AA5137">
        <v>0.99892130000000001</v>
      </c>
      <c r="AB5137">
        <v>27</v>
      </c>
      <c r="AC5137">
        <v>-20.686599999999899</v>
      </c>
      <c r="AD5137">
        <v>-1.12034990211399</v>
      </c>
      <c r="AE5137">
        <v>0.57489999999998498</v>
      </c>
      <c r="AF5137">
        <v>0.97225541900389001</v>
      </c>
      <c r="AG5137">
        <v>-1.12034990211399</v>
      </c>
      <c r="AH5137">
        <v>20.611192941389099</v>
      </c>
      <c r="AI5137">
        <v>93.107880492223899</v>
      </c>
      <c r="AJ5137">
        <v>87.299289291929796</v>
      </c>
      <c r="AK5137">
        <v>20.6645043243267</v>
      </c>
      <c r="AL5137">
        <v>95.413635872006097</v>
      </c>
      <c r="AM5137">
        <v>90.229539040611797</v>
      </c>
      <c r="AN5137">
        <v>1.0000000497941299</v>
      </c>
    </row>
    <row r="5138" spans="1:40" x14ac:dyDescent="0.25">
      <c r="A5138" t="str">
        <f>"20190303154241831"</f>
        <v>20190303154241831</v>
      </c>
      <c r="B5138" t="str">
        <f>"1551598961824965"</f>
        <v>1551598961824965</v>
      </c>
      <c r="C5138" t="s">
        <v>40</v>
      </c>
      <c r="D5138">
        <v>5.6050120000000003</v>
      </c>
      <c r="E5138">
        <v>0.51806059999999998</v>
      </c>
      <c r="F5138" t="s">
        <v>41</v>
      </c>
      <c r="G5138">
        <v>-253.29580000000001</v>
      </c>
      <c r="H5138" s="1">
        <v>-3.5419790000000002E-6</v>
      </c>
      <c r="I5138">
        <v>142.18530000000001</v>
      </c>
      <c r="J5138">
        <v>-232.05879999999999</v>
      </c>
      <c r="K5138">
        <v>1.1203559999999999</v>
      </c>
      <c r="L5138">
        <v>141.66679999999999</v>
      </c>
      <c r="M5138">
        <v>-0.99978610000000001</v>
      </c>
      <c r="N5138">
        <v>-3.801886E-3</v>
      </c>
      <c r="O5138">
        <v>-2.03331E-2</v>
      </c>
      <c r="P5138">
        <v>-0.99487479999999995</v>
      </c>
      <c r="Q5138">
        <v>-9.768926E-2</v>
      </c>
      <c r="R5138">
        <v>-2.609759E-2</v>
      </c>
      <c r="S5138">
        <v>-3.0016479999999999</v>
      </c>
      <c r="T5138">
        <v>-0.1563282</v>
      </c>
      <c r="U5138">
        <v>7.1487430000000005E-2</v>
      </c>
      <c r="V5138">
        <v>-5.7060469999999997E-3</v>
      </c>
      <c r="W5138">
        <v>-9.3914609999999996E-2</v>
      </c>
      <c r="X5138">
        <v>0.99556389999999995</v>
      </c>
      <c r="Y5138">
        <v>4.4044170000000001E-2</v>
      </c>
      <c r="Z5138">
        <v>2.2106489999999999E-3</v>
      </c>
      <c r="AA5138">
        <v>0.99902709999999995</v>
      </c>
      <c r="AB5138">
        <v>27</v>
      </c>
      <c r="AC5138">
        <v>-21.236999999999998</v>
      </c>
      <c r="AD5138">
        <v>-1.120359541979</v>
      </c>
      <c r="AE5138">
        <v>0.51850000000001695</v>
      </c>
      <c r="AF5138">
        <v>0.94757431960373695</v>
      </c>
      <c r="AG5138">
        <v>-1.120359541979</v>
      </c>
      <c r="AH5138">
        <v>21.163202458044001</v>
      </c>
      <c r="AI5138">
        <v>93.027327190229499</v>
      </c>
      <c r="AJ5138">
        <v>87.436315602945896</v>
      </c>
      <c r="AK5138">
        <v>21.214010485399399</v>
      </c>
      <c r="AL5138">
        <v>95.388852267046204</v>
      </c>
      <c r="AM5138">
        <v>90.328385582269902</v>
      </c>
      <c r="AN5138">
        <v>0.99999999596351397</v>
      </c>
    </row>
    <row r="5139" spans="1:40" x14ac:dyDescent="0.25">
      <c r="A5139" t="str">
        <f>"20190303154241856"</f>
        <v>20190303154241856</v>
      </c>
      <c r="B5139" t="str">
        <f>"1551598961845463"</f>
        <v>1551598961845463</v>
      </c>
      <c r="C5139" t="s">
        <v>40</v>
      </c>
      <c r="D5139">
        <v>5.6140869999999996</v>
      </c>
      <c r="E5139">
        <v>0.5180112</v>
      </c>
      <c r="F5139" t="s">
        <v>41</v>
      </c>
      <c r="G5139">
        <v>-253.90270000000001</v>
      </c>
      <c r="H5139" s="1">
        <v>-3.2647790000000001E-6</v>
      </c>
      <c r="I5139">
        <v>142.12200000000001</v>
      </c>
      <c r="J5139">
        <v>-232.3511</v>
      </c>
      <c r="K5139">
        <v>1.120347</v>
      </c>
      <c r="L5139">
        <v>141.65979999999999</v>
      </c>
      <c r="M5139">
        <v>-0.9997644</v>
      </c>
      <c r="N5139">
        <v>-3.778216E-3</v>
      </c>
      <c r="O5139">
        <v>-2.1373659999999999E-2</v>
      </c>
      <c r="P5139">
        <v>-0.99482720000000002</v>
      </c>
      <c r="Q5139">
        <v>-9.7727549999999996E-2</v>
      </c>
      <c r="R5139">
        <v>-2.7715529999999999E-2</v>
      </c>
      <c r="S5139">
        <v>-3.0019840000000002</v>
      </c>
      <c r="T5139">
        <v>-0.1539702</v>
      </c>
      <c r="U5139">
        <v>6.2576290000000007E-2</v>
      </c>
      <c r="V5139">
        <v>-6.287066E-3</v>
      </c>
      <c r="W5139">
        <v>-9.3977580000000005E-2</v>
      </c>
      <c r="X5139">
        <v>0.99555439999999995</v>
      </c>
      <c r="Y5139">
        <v>4.2121329999999998E-2</v>
      </c>
      <c r="Z5139">
        <v>2.1737089999999998E-3</v>
      </c>
      <c r="AA5139">
        <v>0.99911019999999995</v>
      </c>
      <c r="AB5139">
        <v>27</v>
      </c>
      <c r="AC5139">
        <v>-21.551600000000001</v>
      </c>
      <c r="AD5139">
        <v>-1.120350264779</v>
      </c>
      <c r="AE5139">
        <v>0.46220000000002398</v>
      </c>
      <c r="AF5139">
        <v>0.92024854873605599</v>
      </c>
      <c r="AG5139">
        <v>-1.120350264779</v>
      </c>
      <c r="AH5139">
        <v>21.478780212087099</v>
      </c>
      <c r="AI5139">
        <v>92.983155640417493</v>
      </c>
      <c r="AJ5139">
        <v>87.546688850790105</v>
      </c>
      <c r="AK5139">
        <v>21.527657594508199</v>
      </c>
      <c r="AL5139">
        <v>95.392476523182907</v>
      </c>
      <c r="AM5139">
        <v>90.361826092837205</v>
      </c>
      <c r="AN5139">
        <v>0.99999993805044995</v>
      </c>
    </row>
    <row r="5140" spans="1:40" x14ac:dyDescent="0.25">
      <c r="A5140" t="str">
        <f>"20190303154241999"</f>
        <v>20190303154241999</v>
      </c>
      <c r="B5140" t="str">
        <f>"1551598961994788"</f>
        <v>1551598961994788</v>
      </c>
      <c r="C5140" t="s">
        <v>40</v>
      </c>
      <c r="D5140">
        <v>5.6158989999999998</v>
      </c>
      <c r="E5140">
        <v>0.51848720000000004</v>
      </c>
      <c r="F5140" t="s">
        <v>41</v>
      </c>
      <c r="G5140">
        <v>-254.26599999999999</v>
      </c>
      <c r="H5140" s="1">
        <v>-3.097318E-6</v>
      </c>
      <c r="I5140">
        <v>142.07839999999999</v>
      </c>
      <c r="J5140">
        <v>-234.1576</v>
      </c>
      <c r="K5140">
        <v>1.120187</v>
      </c>
      <c r="L5140">
        <v>141.61070000000001</v>
      </c>
      <c r="M5140">
        <v>-0.99962589999999996</v>
      </c>
      <c r="N5140">
        <v>-3.763452E-3</v>
      </c>
      <c r="O5140">
        <v>-2.7096019999999998E-2</v>
      </c>
      <c r="P5140">
        <v>-0.99474899999999999</v>
      </c>
      <c r="Q5140">
        <v>-9.9036659999999999E-2</v>
      </c>
      <c r="R5140">
        <v>-2.5820409999999999E-2</v>
      </c>
      <c r="S5140">
        <v>-3.0021059999999999</v>
      </c>
      <c r="T5140">
        <v>-0.15347640000000001</v>
      </c>
      <c r="U5140">
        <v>5.7357789999999999E-2</v>
      </c>
      <c r="V5140">
        <v>1.2793769999999999E-3</v>
      </c>
      <c r="W5140">
        <v>-9.5289269999999995E-2</v>
      </c>
      <c r="X5140">
        <v>0.99544880000000002</v>
      </c>
      <c r="Y5140">
        <v>4.6091649999999998E-2</v>
      </c>
      <c r="Z5140">
        <v>2.546347E-3</v>
      </c>
      <c r="AA5140">
        <v>0.99893399999999999</v>
      </c>
      <c r="AB5140">
        <v>28</v>
      </c>
      <c r="AC5140">
        <v>-20.1083999999999</v>
      </c>
      <c r="AD5140">
        <v>-1.1201900973179999</v>
      </c>
      <c r="AE5140">
        <v>0.46769999999997902</v>
      </c>
      <c r="AF5140">
        <v>1.00925928626816</v>
      </c>
      <c r="AG5140">
        <v>-1.1201900973179999</v>
      </c>
      <c r="AH5140">
        <v>20.0262294465658</v>
      </c>
      <c r="AI5140">
        <v>93.197519210375802</v>
      </c>
      <c r="AJ5140">
        <v>87.1149129415424</v>
      </c>
      <c r="AK5140">
        <v>20.0829105462218</v>
      </c>
      <c r="AL5140">
        <v>95.4679693068218</v>
      </c>
      <c r="AM5140">
        <v>89.926361996573405</v>
      </c>
      <c r="AN5140">
        <v>0.99999999760203995</v>
      </c>
    </row>
    <row r="5141" spans="1:40" x14ac:dyDescent="0.25">
      <c r="A5141" t="str">
        <f>"20190303154242022"</f>
        <v>20190303154242022</v>
      </c>
      <c r="B5141" t="str">
        <f>"1551598962015284"</f>
        <v>1551598962015284</v>
      </c>
      <c r="C5141" t="s">
        <v>40</v>
      </c>
      <c r="D5141">
        <v>5.6811809999999996</v>
      </c>
      <c r="E5141">
        <v>0.51864500000000002</v>
      </c>
      <c r="F5141" t="s">
        <v>41</v>
      </c>
      <c r="G5141">
        <v>-256.00760000000002</v>
      </c>
      <c r="H5141" s="1">
        <v>-2.3554119999999998E-6</v>
      </c>
      <c r="I5141">
        <v>142.09809999999999</v>
      </c>
      <c r="J5141">
        <v>-234.44110000000001</v>
      </c>
      <c r="K5141">
        <v>1.120136</v>
      </c>
      <c r="L5141">
        <v>141.60220000000001</v>
      </c>
      <c r="M5141">
        <v>-0.99960629999999995</v>
      </c>
      <c r="N5141">
        <v>-3.7780079999999998E-3</v>
      </c>
      <c r="O5141">
        <v>-2.7802589999999999E-2</v>
      </c>
      <c r="P5141">
        <v>-0.9947684</v>
      </c>
      <c r="Q5141">
        <v>-9.848382E-2</v>
      </c>
      <c r="R5141">
        <v>-2.7149759999999998E-2</v>
      </c>
      <c r="S5141">
        <v>-3.0022739999999999</v>
      </c>
      <c r="T5141">
        <v>-0.1539189</v>
      </c>
      <c r="U5141">
        <v>6.6986080000000003E-2</v>
      </c>
      <c r="V5141">
        <v>6.4428619999999995E-4</v>
      </c>
      <c r="W5141">
        <v>-9.4722680000000004E-2</v>
      </c>
      <c r="X5141">
        <v>0.99550349999999999</v>
      </c>
      <c r="Y5141">
        <v>4.99917E-2</v>
      </c>
      <c r="Z5141">
        <v>2.69425E-3</v>
      </c>
      <c r="AA5141">
        <v>0.99874600000000002</v>
      </c>
      <c r="AB5141">
        <v>29</v>
      </c>
      <c r="AC5141">
        <v>-21.566500000000001</v>
      </c>
      <c r="AD5141">
        <v>-1.1201383554119999</v>
      </c>
      <c r="AE5141">
        <v>0.49589999999997703</v>
      </c>
      <c r="AF5141">
        <v>1.09237186275489</v>
      </c>
      <c r="AG5141">
        <v>-1.1201383554119999</v>
      </c>
      <c r="AH5141">
        <v>21.486443527069699</v>
      </c>
      <c r="AI5141">
        <v>92.980418575562695</v>
      </c>
      <c r="AJ5141">
        <v>87.089585506539606</v>
      </c>
      <c r="AK5141">
        <v>21.5433340424308</v>
      </c>
      <c r="AL5141">
        <v>95.435358515726804</v>
      </c>
      <c r="AM5141">
        <v>89.962918387625507</v>
      </c>
      <c r="AN5141">
        <v>1.0000000098616699</v>
      </c>
    </row>
    <row r="5142" spans="1:40" x14ac:dyDescent="0.25">
      <c r="A5142" t="str">
        <f>"20190303154242044"</f>
        <v>20190303154242044</v>
      </c>
      <c r="B5142" t="str">
        <f>"1551598962034808"</f>
        <v>1551598962034808</v>
      </c>
      <c r="C5142" t="s">
        <v>40</v>
      </c>
      <c r="D5142">
        <v>5.6535140000000004</v>
      </c>
      <c r="E5142">
        <v>0.51871859999999903</v>
      </c>
      <c r="F5142" t="s">
        <v>41</v>
      </c>
      <c r="G5142">
        <v>-256.70890000000003</v>
      </c>
      <c r="H5142" s="1">
        <v>-2.0492639999999999E-6</v>
      </c>
      <c r="I5142">
        <v>142.07820000000001</v>
      </c>
      <c r="J5142">
        <v>-234.7413</v>
      </c>
      <c r="K5142">
        <v>1.120082</v>
      </c>
      <c r="L5142">
        <v>141.5932</v>
      </c>
      <c r="M5142">
        <v>-0.99958749999999996</v>
      </c>
      <c r="N5142">
        <v>-3.7992970000000001E-3</v>
      </c>
      <c r="O5142">
        <v>-2.8470490000000001E-2</v>
      </c>
      <c r="P5142">
        <v>-0.99474600000000002</v>
      </c>
      <c r="Q5142">
        <v>-9.8155629999999994E-2</v>
      </c>
      <c r="R5142">
        <v>-2.9086979999999998E-2</v>
      </c>
      <c r="S5142">
        <v>-3.0025940000000002</v>
      </c>
      <c r="T5142">
        <v>-0.1510396</v>
      </c>
      <c r="U5142">
        <v>6.4193730000000004E-2</v>
      </c>
      <c r="V5142">
        <v>-6.4020820000000003E-4</v>
      </c>
      <c r="W5142">
        <v>-9.4374819999999998E-2</v>
      </c>
      <c r="X5142">
        <v>0.99553650000000005</v>
      </c>
      <c r="Y5142">
        <v>4.9731690000000002E-2</v>
      </c>
      <c r="Z5142">
        <v>2.6673949999999999E-3</v>
      </c>
      <c r="AA5142">
        <v>0.99875899999999995</v>
      </c>
      <c r="AB5142">
        <v>29</v>
      </c>
      <c r="AC5142">
        <v>-21.967600000000001</v>
      </c>
      <c r="AD5142">
        <v>-1.1200840492640001</v>
      </c>
      <c r="AE5142">
        <v>0.48500000000001298</v>
      </c>
      <c r="AF5142">
        <v>1.1073587077438001</v>
      </c>
      <c r="AG5142">
        <v>-1.1200840492640001</v>
      </c>
      <c r="AH5142">
        <v>21.8880104464052</v>
      </c>
      <c r="AI5142">
        <v>92.925729461501206</v>
      </c>
      <c r="AJ5142">
        <v>87.103759999875905</v>
      </c>
      <c r="AK5142">
        <v>21.944608287389698</v>
      </c>
      <c r="AL5142">
        <v>95.415338136621699</v>
      </c>
      <c r="AM5142">
        <v>90.036845683521506</v>
      </c>
      <c r="AN5142">
        <v>0.99999996967440996</v>
      </c>
    </row>
    <row r="5143" spans="1:40" x14ac:dyDescent="0.25">
      <c r="A5143" t="str">
        <f>"20190303154242067"</f>
        <v>20190303154242067</v>
      </c>
      <c r="B5143" t="str">
        <f>"1551598962065061"</f>
        <v>1551598962065061</v>
      </c>
      <c r="C5143" t="s">
        <v>40</v>
      </c>
      <c r="D5143">
        <v>5.6374240000000002</v>
      </c>
      <c r="E5143">
        <v>0.51883259999999998</v>
      </c>
      <c r="F5143" t="s">
        <v>41</v>
      </c>
      <c r="G5143">
        <v>-257.24579999999997</v>
      </c>
      <c r="H5143" s="1">
        <v>-1.807705E-6</v>
      </c>
      <c r="I5143">
        <v>142.036</v>
      </c>
      <c r="J5143">
        <v>-235.041</v>
      </c>
      <c r="K5143">
        <v>1.120015</v>
      </c>
      <c r="L5143">
        <v>141.584</v>
      </c>
      <c r="M5143">
        <v>-0.99957099999999999</v>
      </c>
      <c r="N5143">
        <v>-3.8246320000000001E-3</v>
      </c>
      <c r="O5143">
        <v>-2.903534E-2</v>
      </c>
      <c r="P5143">
        <v>-0.99472389999999999</v>
      </c>
      <c r="Q5143">
        <v>-9.7760299999999994E-2</v>
      </c>
      <c r="R5143">
        <v>-3.110541E-2</v>
      </c>
      <c r="S5143">
        <v>-3.0028229999999998</v>
      </c>
      <c r="T5143">
        <v>-0.14945549999999999</v>
      </c>
      <c r="U5143">
        <v>5.9097289999999997E-2</v>
      </c>
      <c r="V5143">
        <v>-2.110939E-3</v>
      </c>
      <c r="W5143">
        <v>-9.3955579999999997E-2</v>
      </c>
      <c r="X5143">
        <v>0.99557419999999996</v>
      </c>
      <c r="Y5143">
        <v>4.8603019999999997E-2</v>
      </c>
      <c r="Z5143">
        <v>2.6347530000000001E-3</v>
      </c>
      <c r="AA5143">
        <v>0.99881470000000006</v>
      </c>
      <c r="AB5143">
        <v>29</v>
      </c>
      <c r="AC5143">
        <v>-22.204799999999899</v>
      </c>
      <c r="AD5143">
        <v>-1.1200168077049999</v>
      </c>
      <c r="AE5143">
        <v>0.45199999999999801</v>
      </c>
      <c r="AF5143">
        <v>1.0937564959019399</v>
      </c>
      <c r="AG5143">
        <v>-1.1200168077049999</v>
      </c>
      <c r="AH5143">
        <v>22.1260436333176</v>
      </c>
      <c r="AI5143">
        <v>92.894301718075894</v>
      </c>
      <c r="AJ5143">
        <v>87.170001945404394</v>
      </c>
      <c r="AK5143">
        <v>22.1813558599411</v>
      </c>
      <c r="AL5143">
        <v>95.391209822642594</v>
      </c>
      <c r="AM5143">
        <v>90.121485384272404</v>
      </c>
      <c r="AN5143">
        <v>1.0000000473911099</v>
      </c>
    </row>
    <row r="5144" spans="1:40" x14ac:dyDescent="0.25">
      <c r="A5144" t="str">
        <f>"20190303154242090"</f>
        <v>20190303154242090</v>
      </c>
      <c r="B5144" t="str">
        <f>"1551598962085556"</f>
        <v>1551598962085556</v>
      </c>
      <c r="C5144" t="s">
        <v>40</v>
      </c>
      <c r="D5144">
        <v>5.7520579999999999</v>
      </c>
      <c r="E5144">
        <v>0.51877269999999998</v>
      </c>
      <c r="F5144" t="s">
        <v>41</v>
      </c>
      <c r="G5144">
        <v>-257.95979999999997</v>
      </c>
      <c r="H5144" s="1">
        <v>-1.4900239999999999E-6</v>
      </c>
      <c r="I5144">
        <v>141.9933</v>
      </c>
      <c r="J5144">
        <v>-235.32550000000001</v>
      </c>
      <c r="K5144">
        <v>1.1199440000000001</v>
      </c>
      <c r="L5144">
        <v>141.5753</v>
      </c>
      <c r="M5144">
        <v>-0.99955859999999996</v>
      </c>
      <c r="N5144">
        <v>-3.8499760000000002E-3</v>
      </c>
      <c r="O5144">
        <v>-2.946174E-2</v>
      </c>
      <c r="P5144">
        <v>-0.99465990000000004</v>
      </c>
      <c r="Q5144">
        <v>-9.7769869999999995E-2</v>
      </c>
      <c r="R5144">
        <v>-3.3060819999999998E-2</v>
      </c>
      <c r="S5144">
        <v>-3.0031590000000001</v>
      </c>
      <c r="T5144">
        <v>-0.14676110000000001</v>
      </c>
      <c r="U5144">
        <v>5.3634639999999997E-2</v>
      </c>
      <c r="V5144">
        <v>-3.6595E-3</v>
      </c>
      <c r="W5144">
        <v>-9.3940860000000001E-2</v>
      </c>
      <c r="X5144">
        <v>0.99557110000000004</v>
      </c>
      <c r="Y5144">
        <v>4.7215470000000002E-2</v>
      </c>
      <c r="Z5144">
        <v>2.5692269999999999E-3</v>
      </c>
      <c r="AA5144">
        <v>0.99888140000000003</v>
      </c>
      <c r="AB5144">
        <v>29</v>
      </c>
      <c r="AC5144">
        <v>-22.6342999999999</v>
      </c>
      <c r="AD5144">
        <v>-1.119945490024</v>
      </c>
      <c r="AE5144">
        <v>0.41800000000000598</v>
      </c>
      <c r="AF5144">
        <v>1.0820211019688999</v>
      </c>
      <c r="AG5144">
        <v>-1.119945490024</v>
      </c>
      <c r="AH5144">
        <v>22.556952683418299</v>
      </c>
      <c r="AI5144">
        <v>92.839123953430402</v>
      </c>
      <c r="AJ5144">
        <v>87.253717769312004</v>
      </c>
      <c r="AK5144">
        <v>22.610642669497501</v>
      </c>
      <c r="AL5144">
        <v>95.390362688760106</v>
      </c>
      <c r="AM5144">
        <v>90.210605712449293</v>
      </c>
      <c r="AN5144">
        <v>1.00000004613649</v>
      </c>
    </row>
    <row r="5145" spans="1:40" x14ac:dyDescent="0.25">
      <c r="A5145" t="str">
        <f>"20190303154242111"</f>
        <v>20190303154242111</v>
      </c>
      <c r="B5145" t="str">
        <f>"1551598962105077"</f>
        <v>1551598962105077</v>
      </c>
      <c r="C5145" t="s">
        <v>40</v>
      </c>
      <c r="D5145">
        <v>5.7564690000000001</v>
      </c>
      <c r="E5145">
        <v>0.51872180000000001</v>
      </c>
      <c r="F5145" t="s">
        <v>41</v>
      </c>
      <c r="G5145">
        <v>-258.16829999999999</v>
      </c>
      <c r="H5145" s="1">
        <v>-1.3847310000000001E-6</v>
      </c>
      <c r="I5145">
        <v>141.93369999999999</v>
      </c>
      <c r="J5145">
        <v>-235.60820000000001</v>
      </c>
      <c r="K5145">
        <v>1.1198600000000001</v>
      </c>
      <c r="L5145">
        <v>141.56659999999999</v>
      </c>
      <c r="M5145">
        <v>-0.99954940000000003</v>
      </c>
      <c r="N5145">
        <v>-3.875346E-3</v>
      </c>
      <c r="O5145">
        <v>-2.97702E-2</v>
      </c>
      <c r="P5145">
        <v>-0.99458849999999999</v>
      </c>
      <c r="Q5145">
        <v>-9.803249E-2</v>
      </c>
      <c r="R5145">
        <v>-3.4402210000000003E-2</v>
      </c>
      <c r="S5145">
        <v>-3.0031889999999999</v>
      </c>
      <c r="T5145">
        <v>-0.1472415</v>
      </c>
      <c r="U5145">
        <v>4.71344E-2</v>
      </c>
      <c r="V5145">
        <v>-4.7142310000000002E-3</v>
      </c>
      <c r="W5145">
        <v>-9.4178319999999996E-2</v>
      </c>
      <c r="X5145">
        <v>0.99554419999999999</v>
      </c>
      <c r="Y5145">
        <v>4.5363529999999999E-2</v>
      </c>
      <c r="Z5145">
        <v>2.5425130000000002E-3</v>
      </c>
      <c r="AA5145">
        <v>0.9989673</v>
      </c>
      <c r="AB5145">
        <v>29</v>
      </c>
      <c r="AC5145">
        <v>-22.560099999999899</v>
      </c>
      <c r="AD5145">
        <v>-1.1198613847309999</v>
      </c>
      <c r="AE5145">
        <v>0.36709999999999299</v>
      </c>
      <c r="AF5145">
        <v>1.0360088398077401</v>
      </c>
      <c r="AG5145">
        <v>-1.1198613847309999</v>
      </c>
      <c r="AH5145">
        <v>22.483785682448001</v>
      </c>
      <c r="AI5145">
        <v>92.848386531967705</v>
      </c>
      <c r="AJ5145">
        <v>87.361788699058906</v>
      </c>
      <c r="AK5145">
        <v>22.5354836302979</v>
      </c>
      <c r="AL5145">
        <v>95.404028889109796</v>
      </c>
      <c r="AM5145">
        <v>90.271312435033906</v>
      </c>
      <c r="AN5145">
        <v>1.0000000170427901</v>
      </c>
    </row>
    <row r="5146" spans="1:40" x14ac:dyDescent="0.25">
      <c r="A5146" t="str">
        <f>"20190303154242134"</f>
        <v>20190303154242134</v>
      </c>
      <c r="B5146" t="str">
        <f>"1551598962125573"</f>
        <v>1551598962125573</v>
      </c>
      <c r="C5146" t="s">
        <v>40</v>
      </c>
      <c r="D5146">
        <v>5.7545729999999997</v>
      </c>
      <c r="E5146">
        <v>0.51867249999999998</v>
      </c>
      <c r="F5146" t="s">
        <v>41</v>
      </c>
      <c r="G5146">
        <v>-258.20870000000002</v>
      </c>
      <c r="H5146" s="1">
        <v>-1.3553669999999999E-6</v>
      </c>
      <c r="I5146">
        <v>141.88839999999999</v>
      </c>
      <c r="J5146">
        <v>-235.9074</v>
      </c>
      <c r="K5146">
        <v>1.1197680000000001</v>
      </c>
      <c r="L5146">
        <v>141.5574</v>
      </c>
      <c r="M5146">
        <v>-0.99954279999999995</v>
      </c>
      <c r="N5146">
        <v>-3.9020909999999999E-3</v>
      </c>
      <c r="O5146">
        <v>-2.9983159999999998E-2</v>
      </c>
      <c r="P5146">
        <v>-0.99454279999999995</v>
      </c>
      <c r="Q5146">
        <v>-9.8259460000000007E-2</v>
      </c>
      <c r="R5146">
        <v>-3.5066809999999997E-2</v>
      </c>
      <c r="S5146">
        <v>-3.0031430000000001</v>
      </c>
      <c r="T5146">
        <v>-0.14880739999999901</v>
      </c>
      <c r="U5146">
        <v>4.2770389999999998E-2</v>
      </c>
      <c r="V5146">
        <v>-5.1878949999999997E-3</v>
      </c>
      <c r="W5146">
        <v>-9.4377970000000005E-2</v>
      </c>
      <c r="X5146">
        <v>0.99552289999999999</v>
      </c>
      <c r="Y5146">
        <v>4.4124770000000001E-2</v>
      </c>
      <c r="Z5146">
        <v>2.546305E-3</v>
      </c>
      <c r="AA5146">
        <v>0.99902279999999999</v>
      </c>
      <c r="AB5146">
        <v>29</v>
      </c>
      <c r="AC5146">
        <v>-22.301300000000001</v>
      </c>
      <c r="AD5146">
        <v>-1.1197693553670001</v>
      </c>
      <c r="AE5146">
        <v>0.33099999999998803</v>
      </c>
      <c r="AF5146">
        <v>0.99700667099348905</v>
      </c>
      <c r="AG5146">
        <v>-1.1197693553670001</v>
      </c>
      <c r="AH5146">
        <v>22.225327969655901</v>
      </c>
      <c r="AI5146">
        <v>92.881377542358805</v>
      </c>
      <c r="AJ5146">
        <v>87.431488840571106</v>
      </c>
      <c r="AK5146">
        <v>22.2758413773754</v>
      </c>
      <c r="AL5146">
        <v>95.415519371694103</v>
      </c>
      <c r="AM5146">
        <v>90.298578563443101</v>
      </c>
      <c r="AN5146">
        <v>0.99999997995013001</v>
      </c>
    </row>
    <row r="5147" spans="1:40" x14ac:dyDescent="0.25">
      <c r="A5147" t="str">
        <f>"20190303154242156"</f>
        <v>20190303154242156</v>
      </c>
      <c r="B5147" t="str">
        <f>"1551598962145092"</f>
        <v>1551598962145092</v>
      </c>
      <c r="C5147" t="s">
        <v>40</v>
      </c>
      <c r="D5147">
        <v>5.7858090000000004</v>
      </c>
      <c r="E5147">
        <v>0.51864049999999995</v>
      </c>
      <c r="F5147" t="s">
        <v>41</v>
      </c>
      <c r="G5147">
        <v>-258.26400000000001</v>
      </c>
      <c r="H5147" s="1">
        <v>-1.323673E-6</v>
      </c>
      <c r="I5147">
        <v>141.85849999999999</v>
      </c>
      <c r="J5147">
        <v>-236.2003</v>
      </c>
      <c r="K5147">
        <v>1.119678</v>
      </c>
      <c r="L5147">
        <v>141.54849999999999</v>
      </c>
      <c r="M5147">
        <v>-0.99953939999999997</v>
      </c>
      <c r="N5147">
        <v>-3.9315069999999999E-3</v>
      </c>
      <c r="O5147">
        <v>-3.0092009999999999E-2</v>
      </c>
      <c r="P5147">
        <v>-0.99450890000000003</v>
      </c>
      <c r="Q5147">
        <v>-9.8660600000000001E-2</v>
      </c>
      <c r="R5147">
        <v>-3.4903120000000003E-2</v>
      </c>
      <c r="S5147">
        <v>-3.0030359999999998</v>
      </c>
      <c r="T5147">
        <v>-0.1504124</v>
      </c>
      <c r="U5147">
        <v>4.0451050000000002E-2</v>
      </c>
      <c r="V5147">
        <v>-4.9342300000000004E-3</v>
      </c>
      <c r="W5147">
        <v>-9.4748910000000006E-2</v>
      </c>
      <c r="X5147">
        <v>0.99548899999999996</v>
      </c>
      <c r="Y5147">
        <v>4.3461470000000002E-2</v>
      </c>
      <c r="Z5147">
        <v>2.5610530000000002E-3</v>
      </c>
      <c r="AA5147">
        <v>0.99905180000000005</v>
      </c>
      <c r="AB5147">
        <v>29</v>
      </c>
      <c r="AC5147">
        <v>-22.063700000000001</v>
      </c>
      <c r="AD5147">
        <v>-1.119679323673</v>
      </c>
      <c r="AE5147">
        <v>0.310000000000002</v>
      </c>
      <c r="AF5147">
        <v>0.97130489805644904</v>
      </c>
      <c r="AG5147">
        <v>-1.119679323673</v>
      </c>
      <c r="AH5147">
        <v>21.987765046521702</v>
      </c>
      <c r="AI5147">
        <v>92.912310180314407</v>
      </c>
      <c r="AJ5147">
        <v>87.470615421524997</v>
      </c>
      <c r="AK5147">
        <v>22.0376706285825</v>
      </c>
      <c r="AL5147">
        <v>95.436868086601294</v>
      </c>
      <c r="AM5147">
        <v>90.283989314790105</v>
      </c>
      <c r="AN5147">
        <v>1.0000000258464401</v>
      </c>
    </row>
    <row r="5148" spans="1:40" x14ac:dyDescent="0.25">
      <c r="A5148" t="str">
        <f>"20190303154242178"</f>
        <v>20190303154242178</v>
      </c>
      <c r="B5148" t="str">
        <f>"1551598962175349"</f>
        <v>1551598962175349</v>
      </c>
      <c r="C5148" t="s">
        <v>40</v>
      </c>
      <c r="D5148">
        <v>5.783652</v>
      </c>
      <c r="E5148">
        <v>0.51864189999999999</v>
      </c>
      <c r="F5148" t="s">
        <v>41</v>
      </c>
      <c r="G5148">
        <v>-258.23669999999998</v>
      </c>
      <c r="H5148" s="1">
        <v>-1.332761E-6</v>
      </c>
      <c r="I5148">
        <v>141.8486</v>
      </c>
      <c r="J5148">
        <v>-236.4922</v>
      </c>
      <c r="K5148">
        <v>1.1196079999999999</v>
      </c>
      <c r="L5148">
        <v>141.53970000000001</v>
      </c>
      <c r="M5148">
        <v>-0.9995387</v>
      </c>
      <c r="N5148">
        <v>-3.9639319999999999E-3</v>
      </c>
      <c r="O5148">
        <v>-3.01119E-2</v>
      </c>
      <c r="P5148">
        <v>-0.99449399999999999</v>
      </c>
      <c r="Q5148">
        <v>-9.8948960000000002E-2</v>
      </c>
      <c r="R5148">
        <v>-3.4506460000000003E-2</v>
      </c>
      <c r="S5148">
        <v>-3.002869</v>
      </c>
      <c r="T5148">
        <v>-0.1525774</v>
      </c>
      <c r="U5148">
        <v>4.0908809999999997E-2</v>
      </c>
      <c r="V5148">
        <v>-4.5334829999999996E-3</v>
      </c>
      <c r="W5148">
        <v>-9.5004259999999993E-2</v>
      </c>
      <c r="X5148">
        <v>0.99546650000000003</v>
      </c>
      <c r="Y5148">
        <v>4.3631459999999997E-2</v>
      </c>
      <c r="Z5148">
        <v>2.6038010000000002E-3</v>
      </c>
      <c r="AA5148">
        <v>0.9990443</v>
      </c>
      <c r="AB5148">
        <v>30</v>
      </c>
      <c r="AC5148">
        <v>-21.744499999999899</v>
      </c>
      <c r="AD5148">
        <v>-1.1196093327609999</v>
      </c>
      <c r="AE5148">
        <v>0.30889999999999401</v>
      </c>
      <c r="AF5148">
        <v>0.96098605544158</v>
      </c>
      <c r="AG5148">
        <v>-1.1196093327609999</v>
      </c>
      <c r="AH5148">
        <v>21.6679045564631</v>
      </c>
      <c r="AI5148">
        <v>92.955018576791204</v>
      </c>
      <c r="AJ5148">
        <v>87.460558007081403</v>
      </c>
      <c r="AK5148">
        <v>21.718082491894901</v>
      </c>
      <c r="AL5148">
        <v>95.451565235148294</v>
      </c>
      <c r="AM5148">
        <v>90.260930575437897</v>
      </c>
      <c r="AN5148">
        <v>0.99999995725425295</v>
      </c>
    </row>
    <row r="5149" spans="1:40" x14ac:dyDescent="0.25">
      <c r="A5149" t="str">
        <f>"20190303154242200"</f>
        <v>20190303154242200</v>
      </c>
      <c r="B5149" t="str">
        <f>"1551598962194869"</f>
        <v>1551598962194869</v>
      </c>
      <c r="C5149" t="s">
        <v>40</v>
      </c>
      <c r="D5149">
        <v>5.7556260000000004</v>
      </c>
      <c r="E5149">
        <v>0.51865249999999996</v>
      </c>
      <c r="F5149" t="s">
        <v>41</v>
      </c>
      <c r="G5149">
        <v>-258.23360000000002</v>
      </c>
      <c r="H5149" s="1">
        <v>-1.333315E-6</v>
      </c>
      <c r="I5149">
        <v>141.84559999999999</v>
      </c>
      <c r="J5149">
        <v>-236.7912</v>
      </c>
      <c r="K5149">
        <v>1.119553</v>
      </c>
      <c r="L5149">
        <v>141.5307</v>
      </c>
      <c r="M5149">
        <v>-0.99953990000000004</v>
      </c>
      <c r="N5149">
        <v>-3.9975920000000003E-3</v>
      </c>
      <c r="O5149">
        <v>-3.0067969999999999E-2</v>
      </c>
      <c r="P5149">
        <v>-0.99449109999999996</v>
      </c>
      <c r="Q5149">
        <v>-9.9388089999999998E-2</v>
      </c>
      <c r="R5149">
        <v>-3.3314320000000001E-2</v>
      </c>
      <c r="S5149">
        <v>-3.0026700000000002</v>
      </c>
      <c r="T5149">
        <v>-0.15462790000000001</v>
      </c>
      <c r="U5149">
        <v>4.2266850000000002E-2</v>
      </c>
      <c r="V5149">
        <v>-3.396975E-3</v>
      </c>
      <c r="W5149">
        <v>-9.5409480000000005E-2</v>
      </c>
      <c r="X5149">
        <v>0.99543230000000005</v>
      </c>
      <c r="Y5149">
        <v>4.4037119999999999E-2</v>
      </c>
      <c r="Z5149">
        <v>2.6482480000000002E-3</v>
      </c>
      <c r="AA5149">
        <v>0.99902639999999998</v>
      </c>
      <c r="AB5149">
        <v>30</v>
      </c>
      <c r="AC5149">
        <v>-21.442399999999999</v>
      </c>
      <c r="AD5149">
        <v>-1.119554333315</v>
      </c>
      <c r="AE5149">
        <v>0.31489999999999402</v>
      </c>
      <c r="AF5149">
        <v>0.95688417489813304</v>
      </c>
      <c r="AG5149">
        <v>-1.119554333315</v>
      </c>
      <c r="AH5149">
        <v>21.365005500744299</v>
      </c>
      <c r="AI5149">
        <v>92.996631997814802</v>
      </c>
      <c r="AJ5149">
        <v>87.435581733776203</v>
      </c>
      <c r="AK5149">
        <v>21.4157066023106</v>
      </c>
      <c r="AL5149">
        <v>95.474888419768803</v>
      </c>
      <c r="AM5149">
        <v>90.195524673130507</v>
      </c>
      <c r="AN5149">
        <v>0.99999998609815499</v>
      </c>
    </row>
    <row r="5150" spans="1:40" x14ac:dyDescent="0.25">
      <c r="A5150" t="str">
        <f>"20190303154242223"</f>
        <v>20190303154242223</v>
      </c>
      <c r="B5150" t="str">
        <f>"1551598962215365"</f>
        <v>1551598962215365</v>
      </c>
      <c r="C5150" t="s">
        <v>40</v>
      </c>
      <c r="D5150">
        <v>5.7667010000000003</v>
      </c>
      <c r="E5150">
        <v>0.5186442</v>
      </c>
      <c r="F5150" t="s">
        <v>41</v>
      </c>
      <c r="G5150">
        <v>-258.24040000000002</v>
      </c>
      <c r="H5150" s="1">
        <v>-1.3343070000000001E-6</v>
      </c>
      <c r="I5150">
        <v>141.8604</v>
      </c>
      <c r="J5150">
        <v>-237.09190000000001</v>
      </c>
      <c r="K5150">
        <v>1.1195170000000001</v>
      </c>
      <c r="L5150">
        <v>141.52170000000001</v>
      </c>
      <c r="M5150">
        <v>-0.9995425</v>
      </c>
      <c r="N5150">
        <v>-4.0306680000000003E-3</v>
      </c>
      <c r="O5150">
        <v>-2.9976409999999998E-2</v>
      </c>
      <c r="P5150">
        <v>-0.99450919999999998</v>
      </c>
      <c r="Q5150">
        <v>-9.9780980000000005E-2</v>
      </c>
      <c r="R5150">
        <v>-3.1545959999999998E-2</v>
      </c>
      <c r="S5150">
        <v>-3.0025019999999998</v>
      </c>
      <c r="T5150">
        <v>-0.1567183</v>
      </c>
      <c r="U5150">
        <v>4.6157839999999999E-2</v>
      </c>
      <c r="V5150">
        <v>-1.7294329999999901E-3</v>
      </c>
      <c r="W5150">
        <v>-9.5769460000000001E-2</v>
      </c>
      <c r="X5150">
        <v>0.99540200000000001</v>
      </c>
      <c r="Y5150">
        <v>4.5236449999999997E-2</v>
      </c>
      <c r="Z5150">
        <v>2.7135990000000001E-3</v>
      </c>
      <c r="AA5150">
        <v>0.99897259999999999</v>
      </c>
      <c r="AB5150">
        <v>30</v>
      </c>
      <c r="AC5150">
        <v>-21.148499999999999</v>
      </c>
      <c r="AD5150">
        <v>-1.1195183343070001</v>
      </c>
      <c r="AE5150">
        <v>0.33869999999998801</v>
      </c>
      <c r="AF5150">
        <v>0.96979215098484794</v>
      </c>
      <c r="AG5150">
        <v>-1.1195183343070001</v>
      </c>
      <c r="AH5150">
        <v>21.0698154923777</v>
      </c>
      <c r="AI5150">
        <v>93.038269012514405</v>
      </c>
      <c r="AJ5150">
        <v>87.364675155259803</v>
      </c>
      <c r="AK5150">
        <v>21.121812019800799</v>
      </c>
      <c r="AL5150">
        <v>95.495608774344603</v>
      </c>
      <c r="AM5150">
        <v>90.099546828463403</v>
      </c>
      <c r="AN5150">
        <v>0.99999996100559496</v>
      </c>
    </row>
    <row r="5151" spans="1:40" x14ac:dyDescent="0.25">
      <c r="A5151" t="str">
        <f>"20190303154242245"</f>
        <v>20190303154242245</v>
      </c>
      <c r="B5151" t="str">
        <f>"1551598962234888"</f>
        <v>1551598962234888</v>
      </c>
      <c r="C5151" t="s">
        <v>40</v>
      </c>
      <c r="D5151">
        <v>5.7735830000000004</v>
      </c>
      <c r="E5151">
        <v>0.51864409999999905</v>
      </c>
      <c r="F5151" t="s">
        <v>41</v>
      </c>
      <c r="G5151">
        <v>-258.27359999999999</v>
      </c>
      <c r="H5151" s="1">
        <v>-1.3269289999999999E-6</v>
      </c>
      <c r="I5151">
        <v>141.8862</v>
      </c>
      <c r="J5151">
        <v>-237.39269999999999</v>
      </c>
      <c r="K5151">
        <v>1.1194839999999999</v>
      </c>
      <c r="L5151">
        <v>141.5128</v>
      </c>
      <c r="M5151">
        <v>-0.99954609999999999</v>
      </c>
      <c r="N5151">
        <v>-4.0625840000000002E-3</v>
      </c>
      <c r="O5151">
        <v>-2.9853910000000001E-2</v>
      </c>
      <c r="P5151">
        <v>-0.99453139999999995</v>
      </c>
      <c r="Q5151">
        <v>-0.1002396</v>
      </c>
      <c r="R5151">
        <v>-2.9321549999999998E-2</v>
      </c>
      <c r="S5151">
        <v>-3.0022739999999999</v>
      </c>
      <c r="T5151">
        <v>-0.15868009999999999</v>
      </c>
      <c r="U5151">
        <v>5.1666259999999999E-2</v>
      </c>
      <c r="V5151">
        <v>3.6634740000000002E-4</v>
      </c>
      <c r="W5151">
        <v>-9.6196729999999994E-2</v>
      </c>
      <c r="X5151">
        <v>0.99536230000000003</v>
      </c>
      <c r="Y5151">
        <v>4.6942520000000001E-2</v>
      </c>
      <c r="Z5151">
        <v>2.7903939999999999E-3</v>
      </c>
      <c r="AA5151">
        <v>0.9988937</v>
      </c>
      <c r="AB5151">
        <v>30</v>
      </c>
      <c r="AC5151">
        <v>-20.8809</v>
      </c>
      <c r="AD5151">
        <v>-1.1194853269289999</v>
      </c>
      <c r="AE5151">
        <v>0.37340000000000301</v>
      </c>
      <c r="AF5151">
        <v>0.99375967279118005</v>
      </c>
      <c r="AG5151">
        <v>-1.1194853269289999</v>
      </c>
      <c r="AH5151">
        <v>20.8006759836124</v>
      </c>
      <c r="AI5151">
        <v>93.077164242489303</v>
      </c>
      <c r="AJ5151">
        <v>87.264753599218395</v>
      </c>
      <c r="AK5151">
        <v>20.854470193694802</v>
      </c>
      <c r="AL5151">
        <v>95.520202732485899</v>
      </c>
      <c r="AM5151">
        <v>89.978912041466899</v>
      </c>
      <c r="AN5151">
        <v>1.00000002666719</v>
      </c>
    </row>
    <row r="5152" spans="1:40" x14ac:dyDescent="0.25">
      <c r="A5152" t="str">
        <f>"20190303154242270"</f>
        <v>20190303154242270</v>
      </c>
      <c r="B5152" t="str">
        <f>"1551598962265140"</f>
        <v>1551598962265140</v>
      </c>
      <c r="C5152" t="s">
        <v>40</v>
      </c>
      <c r="D5152">
        <v>5.7505790000000001</v>
      </c>
      <c r="E5152">
        <v>0.51858859999999996</v>
      </c>
      <c r="F5152" t="s">
        <v>41</v>
      </c>
      <c r="G5152">
        <v>-258.31569999999999</v>
      </c>
      <c r="H5152" s="1">
        <v>-1.3180360000000001E-6</v>
      </c>
      <c r="I5152">
        <v>141.92060000000001</v>
      </c>
      <c r="J5152">
        <v>-237.72210000000001</v>
      </c>
      <c r="K5152">
        <v>1.1194599999999999</v>
      </c>
      <c r="L5152">
        <v>141.50309999999999</v>
      </c>
      <c r="M5152">
        <v>-0.99955059999999996</v>
      </c>
      <c r="N5152">
        <v>-4.0962759999999898E-3</v>
      </c>
      <c r="O5152">
        <v>-2.970128E-2</v>
      </c>
      <c r="P5152">
        <v>-0.99457589999999996</v>
      </c>
      <c r="Q5152">
        <v>-0.1004819</v>
      </c>
      <c r="R5152">
        <v>-2.6873290000000001E-2</v>
      </c>
      <c r="S5152">
        <v>-3.0020289999999998</v>
      </c>
      <c r="T5152">
        <v>-0.1606243</v>
      </c>
      <c r="U5152">
        <v>5.851746E-2</v>
      </c>
      <c r="V5152">
        <v>2.6573819999999998E-3</v>
      </c>
      <c r="W5152">
        <v>-9.6406099999999995E-2</v>
      </c>
      <c r="X5152">
        <v>0.99533859999999996</v>
      </c>
      <c r="Y5152">
        <v>4.9064480000000001E-2</v>
      </c>
      <c r="Z5152">
        <v>2.8783680000000001E-3</v>
      </c>
      <c r="AA5152">
        <v>0.99879150000000005</v>
      </c>
      <c r="AB5152">
        <v>30</v>
      </c>
      <c r="AC5152">
        <v>-20.593599999999899</v>
      </c>
      <c r="AD5152">
        <v>-1.119461318036</v>
      </c>
      <c r="AE5152">
        <v>0.41750000000001802</v>
      </c>
      <c r="AF5152">
        <v>1.02594670927145</v>
      </c>
      <c r="AG5152">
        <v>-1.119461318036</v>
      </c>
      <c r="AH5152">
        <v>20.5115278465444</v>
      </c>
      <c r="AI5152">
        <v>93.120049999075107</v>
      </c>
      <c r="AJ5152">
        <v>87.136562931337494</v>
      </c>
      <c r="AK5152">
        <v>20.567657496477501</v>
      </c>
      <c r="AL5152">
        <v>95.532254561896096</v>
      </c>
      <c r="AM5152">
        <v>89.847030536749301</v>
      </c>
      <c r="AN5152">
        <v>1.0000000632231201</v>
      </c>
    </row>
    <row r="5153" spans="1:40" x14ac:dyDescent="0.25">
      <c r="A5153" t="str">
        <f>"20190303154242292"</f>
        <v>20190303154242292</v>
      </c>
      <c r="B5153" t="str">
        <f>"1551598962285636"</f>
        <v>1551598962285636</v>
      </c>
      <c r="C5153" t="s">
        <v>40</v>
      </c>
      <c r="D5153">
        <v>5.7647009999999996</v>
      </c>
      <c r="E5153">
        <v>0.51855309999999999</v>
      </c>
      <c r="F5153" t="s">
        <v>41</v>
      </c>
      <c r="G5153">
        <v>-258.41989999999998</v>
      </c>
      <c r="H5153" s="1">
        <v>-1.2825800000000001E-6</v>
      </c>
      <c r="I5153">
        <v>141.9554</v>
      </c>
      <c r="J5153">
        <v>-238.0257</v>
      </c>
      <c r="K5153">
        <v>1.1194459999999999</v>
      </c>
      <c r="L5153">
        <v>141.49420000000001</v>
      </c>
      <c r="M5153">
        <v>-0.99955479999999997</v>
      </c>
      <c r="N5153">
        <v>-4.1289300000000003E-3</v>
      </c>
      <c r="O5153">
        <v>-2.9553579999999999E-2</v>
      </c>
      <c r="P5153">
        <v>-0.99458120000000005</v>
      </c>
      <c r="Q5153">
        <v>-0.10095270000000001</v>
      </c>
      <c r="R5153">
        <v>-2.4840299999999999E-2</v>
      </c>
      <c r="S5153">
        <v>-3.0017399999999999</v>
      </c>
      <c r="T5153">
        <v>-0.16235269999999999</v>
      </c>
      <c r="U5153">
        <v>6.5597530000000001E-2</v>
      </c>
      <c r="V5153">
        <v>4.5392200000000001E-3</v>
      </c>
      <c r="W5153">
        <v>-9.6845189999999998E-2</v>
      </c>
      <c r="X5153">
        <v>0.99528910000000004</v>
      </c>
      <c r="Y5153">
        <v>5.1267720000000003E-2</v>
      </c>
      <c r="Z5153">
        <v>2.966303E-3</v>
      </c>
      <c r="AA5153">
        <v>0.99868049999999997</v>
      </c>
      <c r="AB5153">
        <v>30</v>
      </c>
      <c r="AC5153">
        <v>-20.394199999999898</v>
      </c>
      <c r="AD5153">
        <v>-1.1194472825799999</v>
      </c>
      <c r="AE5153">
        <v>0.46119999999999101</v>
      </c>
      <c r="AF5153">
        <v>1.0605315137781</v>
      </c>
      <c r="AG5153">
        <v>-1.1194472825799999</v>
      </c>
      <c r="AH5153">
        <v>20.310497868637601</v>
      </c>
      <c r="AI5153">
        <v>93.150478058681202</v>
      </c>
      <c r="AJ5153">
        <v>87.010962215548304</v>
      </c>
      <c r="AK5153">
        <v>20.368952181742799</v>
      </c>
      <c r="AL5153">
        <v>95.557531223338401</v>
      </c>
      <c r="AM5153">
        <v>89.738692662169399</v>
      </c>
      <c r="AN5153">
        <v>0.99999999396157702</v>
      </c>
    </row>
    <row r="5154" spans="1:40" x14ac:dyDescent="0.25">
      <c r="A5154" t="str">
        <f>"20190303154242313"</f>
        <v>20190303154242313</v>
      </c>
      <c r="B5154" t="str">
        <f>"1551598962305156"</f>
        <v>1551598962305156</v>
      </c>
      <c r="C5154" t="s">
        <v>40</v>
      </c>
      <c r="D5154">
        <v>5.8007269999999904</v>
      </c>
      <c r="E5154">
        <v>0.51850770000000002</v>
      </c>
      <c r="F5154" t="s">
        <v>41</v>
      </c>
      <c r="G5154">
        <v>-258.49900000000002</v>
      </c>
      <c r="H5154" s="1">
        <v>-1.255444E-6</v>
      </c>
      <c r="I5154">
        <v>141.98089999999999</v>
      </c>
      <c r="J5154">
        <v>-238.32570000000001</v>
      </c>
      <c r="K5154">
        <v>1.119435</v>
      </c>
      <c r="L5154">
        <v>141.4855</v>
      </c>
      <c r="M5154">
        <v>-0.99955890000000003</v>
      </c>
      <c r="N5154">
        <v>-4.1671529999999998E-3</v>
      </c>
      <c r="O5154">
        <v>-2.9406140000000001E-2</v>
      </c>
      <c r="P5154">
        <v>-0.99462629999999996</v>
      </c>
      <c r="Q5154">
        <v>-0.1007953</v>
      </c>
      <c r="R5154">
        <v>-2.3642409999999999E-2</v>
      </c>
      <c r="S5154">
        <v>-3.001465</v>
      </c>
      <c r="T5154">
        <v>-0.16411589999999901</v>
      </c>
      <c r="U5154">
        <v>7.1365360000000003E-2</v>
      </c>
      <c r="V5154">
        <v>5.5889750000000004E-3</v>
      </c>
      <c r="W5154">
        <v>-9.6650130000000001E-2</v>
      </c>
      <c r="X5154">
        <v>0.99530269999999998</v>
      </c>
      <c r="Y5154">
        <v>5.3035239999999997E-2</v>
      </c>
      <c r="Z5154">
        <v>3.0432530000000001E-3</v>
      </c>
      <c r="AA5154">
        <v>0.99858800000000003</v>
      </c>
      <c r="AB5154">
        <v>30</v>
      </c>
      <c r="AC5154">
        <v>-20.173300000000001</v>
      </c>
      <c r="AD5154">
        <v>-1.1194362554440001</v>
      </c>
      <c r="AE5154">
        <v>0.49539999999998902</v>
      </c>
      <c r="AF5154">
        <v>1.0850705803578899</v>
      </c>
      <c r="AG5154">
        <v>-1.1194362554440001</v>
      </c>
      <c r="AH5154">
        <v>20.088188637317302</v>
      </c>
      <c r="AI5154">
        <v>93.184937685991997</v>
      </c>
      <c r="AJ5154">
        <v>86.908152949646094</v>
      </c>
      <c r="AK5154">
        <v>20.148593956472599</v>
      </c>
      <c r="AL5154">
        <v>95.546302542159907</v>
      </c>
      <c r="AM5154">
        <v>89.678267411940098</v>
      </c>
      <c r="AN5154">
        <v>0.99999997444892796</v>
      </c>
    </row>
    <row r="5155" spans="1:40" x14ac:dyDescent="0.25">
      <c r="A5155" t="str">
        <f>"20190303154242335"</f>
        <v>20190303154242335</v>
      </c>
      <c r="B5155" t="str">
        <f>"1551598962325656"</f>
        <v>1551598962325656</v>
      </c>
      <c r="C5155" t="s">
        <v>40</v>
      </c>
      <c r="D5155">
        <v>5.7698039999999997</v>
      </c>
      <c r="E5155">
        <v>0.51846409999999998</v>
      </c>
      <c r="F5155" t="s">
        <v>41</v>
      </c>
      <c r="G5155">
        <v>-258.80380000000002</v>
      </c>
      <c r="H5155" s="1">
        <v>-1.128205E-6</v>
      </c>
      <c r="I5155">
        <v>141.99420000000001</v>
      </c>
      <c r="J5155">
        <v>-238.62219999999999</v>
      </c>
      <c r="K5155">
        <v>1.119426</v>
      </c>
      <c r="L5155">
        <v>141.4769</v>
      </c>
      <c r="M5155">
        <v>-0.99956290000000003</v>
      </c>
      <c r="N5155">
        <v>-4.2092609999999997E-3</v>
      </c>
      <c r="O5155">
        <v>-2.9263259999999999E-2</v>
      </c>
      <c r="P5155">
        <v>-0.99469050000000003</v>
      </c>
      <c r="Q5155">
        <v>-0.1004386</v>
      </c>
      <c r="R5155">
        <v>-2.2431929999999999E-2</v>
      </c>
      <c r="S5155">
        <v>-3.0013580000000002</v>
      </c>
      <c r="T5155">
        <v>-0.16406989999999999</v>
      </c>
      <c r="U5155">
        <v>7.4569700000000003E-2</v>
      </c>
      <c r="V5155">
        <v>6.6573860000000004E-3</v>
      </c>
      <c r="W5155">
        <v>-9.6251809999999993E-2</v>
      </c>
      <c r="X5155">
        <v>0.99533470000000002</v>
      </c>
      <c r="Y5155">
        <v>5.3957579999999998E-2</v>
      </c>
      <c r="Z5155">
        <v>3.062286E-3</v>
      </c>
      <c r="AA5155">
        <v>0.99853860000000005</v>
      </c>
      <c r="AB5155">
        <v>31</v>
      </c>
      <c r="AC5155">
        <v>-20.1816</v>
      </c>
      <c r="AD5155">
        <v>-1.1194271282049999</v>
      </c>
      <c r="AE5155">
        <v>0.51730000000000498</v>
      </c>
      <c r="AF5155">
        <v>1.10426784921307</v>
      </c>
      <c r="AG5155">
        <v>-1.1194271282049999</v>
      </c>
      <c r="AH5155">
        <v>20.096030644132501</v>
      </c>
      <c r="AI5155">
        <v>93.183510266302093</v>
      </c>
      <c r="AJ5155">
        <v>86.854785738622098</v>
      </c>
      <c r="AK5155">
        <v>20.157454507652499</v>
      </c>
      <c r="AL5155">
        <v>95.523373730179699</v>
      </c>
      <c r="AM5155">
        <v>89.616777720751202</v>
      </c>
      <c r="AN5155">
        <v>0.99999994837035799</v>
      </c>
    </row>
    <row r="5156" spans="1:40" x14ac:dyDescent="0.25">
      <c r="A5156" t="str">
        <f>"20190303154242357"</f>
        <v>20190303154242357</v>
      </c>
      <c r="B5156" t="str">
        <f>"1551598962345172"</f>
        <v>1551598962345172</v>
      </c>
      <c r="C5156" t="s">
        <v>40</v>
      </c>
      <c r="D5156">
        <v>5.7866049999999998</v>
      </c>
      <c r="E5156">
        <v>0.51841590000000004</v>
      </c>
      <c r="F5156" t="s">
        <v>41</v>
      </c>
      <c r="G5156">
        <v>-259.16180000000003</v>
      </c>
      <c r="H5156" s="1">
        <v>-9.7888780000000007E-7</v>
      </c>
      <c r="I5156">
        <v>142.01009999999999</v>
      </c>
      <c r="J5156">
        <v>-238.9222</v>
      </c>
      <c r="K5156">
        <v>1.1194299999999999</v>
      </c>
      <c r="L5156">
        <v>141.4683</v>
      </c>
      <c r="M5156">
        <v>-0.99956690000000004</v>
      </c>
      <c r="N5156">
        <v>-4.2563610000000002E-3</v>
      </c>
      <c r="O5156">
        <v>-2.9122550000000001E-2</v>
      </c>
      <c r="P5156">
        <v>-0.99471889999999996</v>
      </c>
      <c r="Q5156">
        <v>-0.1002605</v>
      </c>
      <c r="R5156">
        <v>-2.1966490000000002E-2</v>
      </c>
      <c r="S5156">
        <v>-3.001236</v>
      </c>
      <c r="T5156">
        <v>-0.1635704</v>
      </c>
      <c r="U5156">
        <v>7.7926640000000005E-2</v>
      </c>
      <c r="V5156">
        <v>6.9828140000000004E-3</v>
      </c>
      <c r="W5156">
        <v>-9.6026829999999994E-2</v>
      </c>
      <c r="X5156">
        <v>0.99535419999999997</v>
      </c>
      <c r="Y5156">
        <v>5.4933530000000001E-2</v>
      </c>
      <c r="Z5156">
        <v>3.0745220000000001E-3</v>
      </c>
      <c r="AA5156">
        <v>0.99848530000000002</v>
      </c>
      <c r="AB5156">
        <v>31</v>
      </c>
      <c r="AC5156">
        <v>-20.239599999999999</v>
      </c>
      <c r="AD5156">
        <v>-1.1194309788878001</v>
      </c>
      <c r="AE5156">
        <v>0.54179999999999495</v>
      </c>
      <c r="AF5156">
        <v>1.1275574079945201</v>
      </c>
      <c r="AG5156">
        <v>-1.1194309788878001</v>
      </c>
      <c r="AH5156">
        <v>20.1536290428432</v>
      </c>
      <c r="AI5156">
        <v>93.174266568666596</v>
      </c>
      <c r="AJ5156">
        <v>86.797747993192999</v>
      </c>
      <c r="AK5156">
        <v>20.216163706829999</v>
      </c>
      <c r="AL5156">
        <v>95.510423341504605</v>
      </c>
      <c r="AM5156">
        <v>89.598053428630294</v>
      </c>
      <c r="AN5156">
        <v>0.99999994761442201</v>
      </c>
    </row>
    <row r="5157" spans="1:40" x14ac:dyDescent="0.25">
      <c r="A5157" t="str">
        <f>"20190303154242379"</f>
        <v>20190303154242379</v>
      </c>
      <c r="B5157" t="str">
        <f>"1551598962375429"</f>
        <v>1551598962375429</v>
      </c>
      <c r="C5157" t="s">
        <v>40</v>
      </c>
      <c r="D5157">
        <v>5.7728010000000003</v>
      </c>
      <c r="E5157">
        <v>0.5183297</v>
      </c>
      <c r="F5157" t="s">
        <v>41</v>
      </c>
      <c r="G5157">
        <v>-259.45839999999998</v>
      </c>
      <c r="H5157" s="1">
        <v>-8.5135949999999995E-7</v>
      </c>
      <c r="I5157">
        <v>142.00919999999999</v>
      </c>
      <c r="J5157">
        <v>-239.22659999999999</v>
      </c>
      <c r="K5157">
        <v>1.1194360000000001</v>
      </c>
      <c r="L5157">
        <v>141.45949999999999</v>
      </c>
      <c r="M5157">
        <v>-0.99957059999999998</v>
      </c>
      <c r="N5157">
        <v>-4.3108080000000002E-3</v>
      </c>
      <c r="O5157">
        <v>-2.8984240000000001E-2</v>
      </c>
      <c r="P5157">
        <v>-0.99478529999999998</v>
      </c>
      <c r="Q5157">
        <v>-9.9532430000000005E-2</v>
      </c>
      <c r="R5157">
        <v>-2.2266419999999999E-2</v>
      </c>
      <c r="S5157">
        <v>-3.0011899999999998</v>
      </c>
      <c r="T5157">
        <v>-0.1635953</v>
      </c>
      <c r="U5157">
        <v>7.9055790000000001E-2</v>
      </c>
      <c r="V5157">
        <v>6.5470009999999898E-3</v>
      </c>
      <c r="W5157">
        <v>-9.5244209999999996E-2</v>
      </c>
      <c r="X5157">
        <v>0.9954324</v>
      </c>
      <c r="Y5157">
        <v>5.517093E-2</v>
      </c>
      <c r="Z5157">
        <v>3.0749789999999998E-3</v>
      </c>
      <c r="AA5157">
        <v>0.99847220000000003</v>
      </c>
      <c r="AB5157">
        <v>31</v>
      </c>
      <c r="AC5157">
        <v>-20.2318</v>
      </c>
      <c r="AD5157">
        <v>-1.1194368513594899</v>
      </c>
      <c r="AE5157">
        <v>0.54970000000000097</v>
      </c>
      <c r="AF5157">
        <v>1.1324135354638301</v>
      </c>
      <c r="AG5157">
        <v>-1.1194368513594899</v>
      </c>
      <c r="AH5157">
        <v>20.145736951238799</v>
      </c>
      <c r="AI5157">
        <v>93.175477580354595</v>
      </c>
      <c r="AJ5157">
        <v>86.782728298343699</v>
      </c>
      <c r="AK5157">
        <v>20.2085679004722</v>
      </c>
      <c r="AL5157">
        <v>95.4653757889525</v>
      </c>
      <c r="AM5157">
        <v>89.623168668151806</v>
      </c>
      <c r="AN5157">
        <v>0.99999999286518904</v>
      </c>
    </row>
    <row r="5158" spans="1:40" x14ac:dyDescent="0.25">
      <c r="A5158" t="str">
        <f>"20190303154242399"</f>
        <v>20190303154242399</v>
      </c>
      <c r="B5158" t="str">
        <f>"1551598962394949"</f>
        <v>1551598962394949</v>
      </c>
      <c r="C5158" t="s">
        <v>40</v>
      </c>
      <c r="D5158">
        <v>5.8025120000000001</v>
      </c>
      <c r="E5158">
        <v>0.51831479999999996</v>
      </c>
      <c r="F5158" t="s">
        <v>41</v>
      </c>
      <c r="G5158">
        <v>-259.93459999999999</v>
      </c>
      <c r="H5158" s="1">
        <v>-6.431187E-7</v>
      </c>
      <c r="I5158">
        <v>141.99430000000001</v>
      </c>
      <c r="J5158">
        <v>-239.518</v>
      </c>
      <c r="K5158">
        <v>1.1194409999999999</v>
      </c>
      <c r="L5158">
        <v>141.4512</v>
      </c>
      <c r="M5158">
        <v>-0.99957410000000002</v>
      </c>
      <c r="N5158">
        <v>-4.3663110000000003E-3</v>
      </c>
      <c r="O5158">
        <v>-2.8855249999999999E-2</v>
      </c>
      <c r="P5158">
        <v>-0.99480150000000001</v>
      </c>
      <c r="Q5158">
        <v>-9.9083080000000004E-2</v>
      </c>
      <c r="R5158">
        <v>-2.3506519999999999E-2</v>
      </c>
      <c r="S5158">
        <v>-3.0012210000000001</v>
      </c>
      <c r="T5158">
        <v>-0.16224040000000001</v>
      </c>
      <c r="U5158">
        <v>7.7514650000000004E-2</v>
      </c>
      <c r="V5158">
        <v>5.1792000000000001E-3</v>
      </c>
      <c r="W5158">
        <v>-9.4739000000000004E-2</v>
      </c>
      <c r="X5158">
        <v>0.99548859999999995</v>
      </c>
      <c r="Y5158">
        <v>5.4532650000000002E-2</v>
      </c>
      <c r="Z5158">
        <v>3.024372E-3</v>
      </c>
      <c r="AA5158">
        <v>0.99850740000000004</v>
      </c>
      <c r="AB5158">
        <v>31</v>
      </c>
      <c r="AC5158">
        <v>-20.416599999999899</v>
      </c>
      <c r="AD5158">
        <v>-1.1194416431187</v>
      </c>
      <c r="AE5158">
        <v>0.54310000000000902</v>
      </c>
      <c r="AF5158">
        <v>1.1286149557796601</v>
      </c>
      <c r="AG5158">
        <v>-1.1194416431187</v>
      </c>
      <c r="AH5158">
        <v>20.331347504119201</v>
      </c>
      <c r="AI5158">
        <v>93.146682132317395</v>
      </c>
      <c r="AJ5158">
        <v>86.822710593857195</v>
      </c>
      <c r="AK5158">
        <v>20.393396299881299</v>
      </c>
      <c r="AL5158">
        <v>95.4362982560951</v>
      </c>
      <c r="AM5158">
        <v>89.701911580026504</v>
      </c>
      <c r="AN5158">
        <v>0.999999927481797</v>
      </c>
    </row>
    <row r="5159" spans="1:40" x14ac:dyDescent="0.25">
      <c r="A5159" t="str">
        <f>"20190303154242424"</f>
        <v>20190303154242424</v>
      </c>
      <c r="B5159" t="str">
        <f>"1551598962415448"</f>
        <v>1551598962415448</v>
      </c>
      <c r="C5159" t="s">
        <v>40</v>
      </c>
      <c r="D5159">
        <v>5.811032</v>
      </c>
      <c r="E5159">
        <v>0.5182677</v>
      </c>
      <c r="F5159" t="s">
        <v>41</v>
      </c>
      <c r="G5159">
        <v>-260.39879999999999</v>
      </c>
      <c r="H5159" s="1">
        <v>-4.5567610000000001E-6</v>
      </c>
      <c r="I5159">
        <v>141.9639</v>
      </c>
      <c r="J5159">
        <v>-239.8612</v>
      </c>
      <c r="K5159">
        <v>1.1194470000000001</v>
      </c>
      <c r="L5159">
        <v>141.44149999999999</v>
      </c>
      <c r="M5159">
        <v>-0.99957810000000002</v>
      </c>
      <c r="N5159">
        <v>-4.437084E-3</v>
      </c>
      <c r="O5159">
        <v>-2.8706490000000001E-2</v>
      </c>
      <c r="P5159">
        <v>-0.99485250000000003</v>
      </c>
      <c r="Q5159">
        <v>-9.8200529999999994E-2</v>
      </c>
      <c r="R5159">
        <v>-2.5005349999999999E-2</v>
      </c>
      <c r="S5159">
        <v>-3.0013730000000001</v>
      </c>
      <c r="T5159">
        <v>-0.1609081</v>
      </c>
      <c r="U5159">
        <v>7.369995E-2</v>
      </c>
      <c r="V5159">
        <v>3.5345429999999998E-3</v>
      </c>
      <c r="W5159">
        <v>-9.3785069999999998E-2</v>
      </c>
      <c r="X5159">
        <v>0.99558619999999998</v>
      </c>
      <c r="Y5159">
        <v>5.3118789999999999E-2</v>
      </c>
      <c r="Z5159">
        <v>2.9509760000000001E-3</v>
      </c>
      <c r="AA5159">
        <v>0.99858389999999997</v>
      </c>
      <c r="AB5159">
        <v>31</v>
      </c>
      <c r="AC5159">
        <v>-20.537600000000001</v>
      </c>
      <c r="AD5159">
        <v>-1.1194515567609999</v>
      </c>
      <c r="AE5159">
        <v>0.52240000000000397</v>
      </c>
      <c r="AF5159">
        <v>1.1084617057936399</v>
      </c>
      <c r="AG5159">
        <v>-1.1194515567609999</v>
      </c>
      <c r="AH5159">
        <v>20.453410548906199</v>
      </c>
      <c r="AI5159">
        <v>93.128193011702606</v>
      </c>
      <c r="AJ5159">
        <v>86.897920306998003</v>
      </c>
      <c r="AK5159">
        <v>20.513991864657999</v>
      </c>
      <c r="AL5159">
        <v>95.381397208566398</v>
      </c>
      <c r="AM5159">
        <v>89.796588637344797</v>
      </c>
      <c r="AN5159">
        <v>1.0000000069897801</v>
      </c>
    </row>
    <row r="5160" spans="1:40" x14ac:dyDescent="0.25">
      <c r="A5160" t="str">
        <f>"20190303154242447"</f>
        <v>20190303154242447</v>
      </c>
      <c r="B5160" t="str">
        <f>"1551598962435339"</f>
        <v>1551598962435339</v>
      </c>
      <c r="C5160" t="s">
        <v>40</v>
      </c>
      <c r="D5160">
        <v>5.7995609999999997</v>
      </c>
      <c r="E5160">
        <v>0.51822939999999995</v>
      </c>
      <c r="F5160" t="s">
        <v>41</v>
      </c>
      <c r="G5160">
        <v>-261.0204</v>
      </c>
      <c r="H5160" s="1">
        <v>-4.3385229999999996E-6</v>
      </c>
      <c r="I5160">
        <v>141.92609999999999</v>
      </c>
      <c r="J5160">
        <v>-240.17060000000001</v>
      </c>
      <c r="K5160">
        <v>1.119459</v>
      </c>
      <c r="L5160">
        <v>141.43270000000001</v>
      </c>
      <c r="M5160">
        <v>-0.99958150000000001</v>
      </c>
      <c r="N5160">
        <v>-4.5094219999999999E-3</v>
      </c>
      <c r="O5160">
        <v>-2.8574309999999999E-2</v>
      </c>
      <c r="P5160">
        <v>-0.99479589999999996</v>
      </c>
      <c r="Q5160">
        <v>-9.8433080000000006E-2</v>
      </c>
      <c r="R5160">
        <v>-2.631118E-2</v>
      </c>
      <c r="S5160">
        <v>-3.001541</v>
      </c>
      <c r="T5160">
        <v>-0.1588001</v>
      </c>
      <c r="U5160">
        <v>6.8756100000000001E-2</v>
      </c>
      <c r="V5160">
        <v>2.0959400000000001E-3</v>
      </c>
      <c r="W5160">
        <v>-9.3945249999999994E-2</v>
      </c>
      <c r="X5160">
        <v>0.99557510000000005</v>
      </c>
      <c r="Y5160">
        <v>5.134735E-2</v>
      </c>
      <c r="Z5160">
        <v>2.8547619999999998E-3</v>
      </c>
      <c r="AA5160">
        <v>0.99867680000000003</v>
      </c>
      <c r="AB5160">
        <v>31</v>
      </c>
      <c r="AC5160">
        <v>-20.849799999999899</v>
      </c>
      <c r="AD5160">
        <v>-1.119463338523</v>
      </c>
      <c r="AE5160">
        <v>0.49339999999997902</v>
      </c>
      <c r="AF5160">
        <v>1.08584470064862</v>
      </c>
      <c r="AG5160">
        <v>-1.119463338523</v>
      </c>
      <c r="AH5160">
        <v>20.767352725355099</v>
      </c>
      <c r="AI5160">
        <v>93.08133953123</v>
      </c>
      <c r="AJ5160">
        <v>87.006950403401504</v>
      </c>
      <c r="AK5160">
        <v>20.825830021863201</v>
      </c>
      <c r="AL5160">
        <v>95.390615901058894</v>
      </c>
      <c r="AM5160">
        <v>89.879377920662805</v>
      </c>
      <c r="AN5160">
        <v>0.99999994135102599</v>
      </c>
    </row>
    <row r="5161" spans="1:40" x14ac:dyDescent="0.25">
      <c r="A5161" t="str">
        <f>"20190303154242469"</f>
        <v>20190303154242469</v>
      </c>
      <c r="B5161" t="str">
        <f>"1551598962465591"</f>
        <v>1551598962465591</v>
      </c>
      <c r="C5161" t="s">
        <v>40</v>
      </c>
      <c r="D5161">
        <v>5.8567549999999997</v>
      </c>
      <c r="E5161">
        <v>0.5182274</v>
      </c>
      <c r="F5161" t="s">
        <v>41</v>
      </c>
      <c r="G5161">
        <v>-261.12540000000001</v>
      </c>
      <c r="H5161" s="1">
        <v>-4.2953399999999996E-6</v>
      </c>
      <c r="I5161">
        <v>141.88409999999999</v>
      </c>
      <c r="J5161">
        <v>-240.48609999999999</v>
      </c>
      <c r="K5161">
        <v>1.119472</v>
      </c>
      <c r="L5161">
        <v>141.4238</v>
      </c>
      <c r="M5161">
        <v>-0.99958499999999995</v>
      </c>
      <c r="N5161">
        <v>-4.6015259999999999E-3</v>
      </c>
      <c r="O5161">
        <v>-2.844062E-2</v>
      </c>
      <c r="P5161">
        <v>-0.99478860000000002</v>
      </c>
      <c r="Q5161">
        <v>-9.8332320000000001E-2</v>
      </c>
      <c r="R5161">
        <v>-2.6962119999999999E-2</v>
      </c>
      <c r="S5161">
        <v>-3.001541</v>
      </c>
      <c r="T5161">
        <v>-0.1603512</v>
      </c>
      <c r="U5161">
        <v>6.4666749999999995E-2</v>
      </c>
      <c r="V5161">
        <v>1.311939E-3</v>
      </c>
      <c r="W5161">
        <v>-9.3752470000000004E-2</v>
      </c>
      <c r="X5161">
        <v>0.99559470000000005</v>
      </c>
      <c r="Y5161">
        <v>4.985407E-2</v>
      </c>
      <c r="Z5161">
        <v>2.8326900000000001E-3</v>
      </c>
      <c r="AA5161">
        <v>0.99875250000000004</v>
      </c>
      <c r="AB5161">
        <v>31</v>
      </c>
      <c r="AC5161">
        <v>-20.639299999999999</v>
      </c>
      <c r="AD5161">
        <v>-1.1194762953399999</v>
      </c>
      <c r="AE5161">
        <v>0.460299999999989</v>
      </c>
      <c r="AF5161">
        <v>1.0440444052035001</v>
      </c>
      <c r="AG5161">
        <v>-1.1194762953399999</v>
      </c>
      <c r="AH5161">
        <v>20.5574100930871</v>
      </c>
      <c r="AI5161">
        <v>93.113021541459204</v>
      </c>
      <c r="AJ5161">
        <v>87.092630509864193</v>
      </c>
      <c r="AK5161">
        <v>20.6143242826736</v>
      </c>
      <c r="AL5161">
        <v>95.379520993469399</v>
      </c>
      <c r="AM5161">
        <v>89.924498870705193</v>
      </c>
      <c r="AN5161">
        <v>1.0000000267415601</v>
      </c>
    </row>
    <row r="5162" spans="1:40" x14ac:dyDescent="0.25">
      <c r="A5162" t="str">
        <f>"20190303154242503"</f>
        <v>20190303154242503</v>
      </c>
      <c r="B5162" t="str">
        <f>"1551598962494872"</f>
        <v>1551598962494872</v>
      </c>
      <c r="C5162" t="s">
        <v>40</v>
      </c>
      <c r="D5162">
        <v>5.8647030000000004</v>
      </c>
      <c r="E5162">
        <v>0.51819780000000004</v>
      </c>
      <c r="F5162" t="s">
        <v>41</v>
      </c>
      <c r="G5162">
        <v>-261.40159999999997</v>
      </c>
      <c r="H5162" s="1">
        <v>-4.1975059999999998E-6</v>
      </c>
      <c r="I5162">
        <v>141.86250000000001</v>
      </c>
      <c r="J5162">
        <v>-240.96799999999999</v>
      </c>
      <c r="K5162">
        <v>1.119502</v>
      </c>
      <c r="L5162">
        <v>141.41030000000001</v>
      </c>
      <c r="M5162">
        <v>-0.99958979999999997</v>
      </c>
      <c r="N5162">
        <v>-4.8114270000000001E-3</v>
      </c>
      <c r="O5162">
        <v>-2.8237100000000001E-2</v>
      </c>
      <c r="P5162">
        <v>-0.99468259999999997</v>
      </c>
      <c r="Q5162">
        <v>-9.9810869999999996E-2</v>
      </c>
      <c r="R5162">
        <v>-2.5390869999999999E-2</v>
      </c>
      <c r="S5162">
        <v>-3.0015559999999999</v>
      </c>
      <c r="T5162">
        <v>-0.16065499999999999</v>
      </c>
      <c r="U5162">
        <v>6.2957760000000001E-2</v>
      </c>
      <c r="V5162">
        <v>2.676201E-3</v>
      </c>
      <c r="W5162">
        <v>-9.5023170000000004E-2</v>
      </c>
      <c r="X5162">
        <v>0.99547149999999995</v>
      </c>
      <c r="Y5162">
        <v>4.9083259999999997E-2</v>
      </c>
      <c r="Z5162">
        <v>2.804979E-3</v>
      </c>
      <c r="AA5162">
        <v>0.99879070000000003</v>
      </c>
      <c r="AB5162">
        <v>31</v>
      </c>
      <c r="AC5162">
        <v>-20.433599999999899</v>
      </c>
      <c r="AD5162">
        <v>-1.1195061975059999</v>
      </c>
      <c r="AE5162">
        <v>0.45220000000000399</v>
      </c>
      <c r="AF5162">
        <v>1.02593388576364</v>
      </c>
      <c r="AG5162">
        <v>-1.1195061975059999</v>
      </c>
      <c r="AH5162">
        <v>20.351624030097899</v>
      </c>
      <c r="AI5162">
        <v>93.144579531823695</v>
      </c>
      <c r="AJ5162">
        <v>87.114138645456407</v>
      </c>
      <c r="AK5162">
        <v>20.408195293231401</v>
      </c>
      <c r="AL5162">
        <v>95.452653191065195</v>
      </c>
      <c r="AM5162">
        <v>89.845967812209807</v>
      </c>
      <c r="AN5162">
        <v>1.00000003610044</v>
      </c>
    </row>
    <row r="5163" spans="1:40" x14ac:dyDescent="0.25">
      <c r="A5163" t="str">
        <f>"20190303154242525"</f>
        <v>20190303154242525</v>
      </c>
      <c r="B5163" t="str">
        <f>"1551598962515367"</f>
        <v>1551598962515367</v>
      </c>
      <c r="C5163" t="s">
        <v>40</v>
      </c>
      <c r="D5163">
        <v>5.8872159999999996</v>
      </c>
      <c r="E5163">
        <v>0.51817669999999905</v>
      </c>
      <c r="F5163" t="s">
        <v>41</v>
      </c>
      <c r="G5163">
        <v>-261.18419999999998</v>
      </c>
      <c r="H5163" s="1">
        <v>-4.2721119999999996E-6</v>
      </c>
      <c r="I5163">
        <v>141.86600000000001</v>
      </c>
      <c r="J5163">
        <v>-241.2834</v>
      </c>
      <c r="K5163">
        <v>1.119526</v>
      </c>
      <c r="L5163">
        <v>141.4016</v>
      </c>
      <c r="M5163">
        <v>-0.99959249999999999</v>
      </c>
      <c r="N5163">
        <v>-4.9955609999999999E-3</v>
      </c>
      <c r="O5163">
        <v>-2.810387E-2</v>
      </c>
      <c r="P5163">
        <v>-0.99463670000000004</v>
      </c>
      <c r="Q5163">
        <v>-0.1006128</v>
      </c>
      <c r="R5163">
        <v>-2.3982469999999999E-2</v>
      </c>
      <c r="S5163">
        <v>-3.0010680000000001</v>
      </c>
      <c r="T5163">
        <v>-0.16618939999999999</v>
      </c>
      <c r="U5163">
        <v>6.7657469999999997E-2</v>
      </c>
      <c r="V5163">
        <v>3.9497509999999996E-3</v>
      </c>
      <c r="W5163">
        <v>-9.5642660000000004E-2</v>
      </c>
      <c r="X5163">
        <v>0.99540790000000001</v>
      </c>
      <c r="Y5163">
        <v>5.0506950000000002E-2</v>
      </c>
      <c r="Z5163">
        <v>2.938085E-3</v>
      </c>
      <c r="AA5163">
        <v>0.99871940000000003</v>
      </c>
      <c r="AB5163">
        <v>32</v>
      </c>
      <c r="AC5163">
        <v>-19.900799999999901</v>
      </c>
      <c r="AD5163">
        <v>-1.119530272112</v>
      </c>
      <c r="AE5163">
        <v>0.46440000000001103</v>
      </c>
      <c r="AF5163">
        <v>1.02028592325824</v>
      </c>
      <c r="AG5163">
        <v>-1.119530272112</v>
      </c>
      <c r="AH5163">
        <v>19.8172064504184</v>
      </c>
      <c r="AI5163">
        <v>93.229096760183197</v>
      </c>
      <c r="AJ5163">
        <v>87.052737578033302</v>
      </c>
      <c r="AK5163">
        <v>19.875009506762002</v>
      </c>
      <c r="AL5163">
        <v>95.488309933879904</v>
      </c>
      <c r="AM5163">
        <v>89.772653125684002</v>
      </c>
      <c r="AN5163">
        <v>1.00000000316362</v>
      </c>
    </row>
    <row r="5164" spans="1:40" x14ac:dyDescent="0.25">
      <c r="A5164" t="str">
        <f>"20190303154242547"</f>
        <v>20190303154242547</v>
      </c>
      <c r="B5164" t="str">
        <f>"1551598962535397"</f>
        <v>1551598962535397</v>
      </c>
      <c r="C5164" t="s">
        <v>40</v>
      </c>
      <c r="D5164">
        <v>5.9114719999999998</v>
      </c>
      <c r="E5164">
        <v>0.51816569999999995</v>
      </c>
      <c r="F5164" t="s">
        <v>41</v>
      </c>
      <c r="G5164">
        <v>-261.15890000000002</v>
      </c>
      <c r="H5164" s="1">
        <v>-4.2825199999999998E-6</v>
      </c>
      <c r="I5164">
        <v>141.87620000000001</v>
      </c>
      <c r="J5164">
        <v>-241.5976</v>
      </c>
      <c r="K5164">
        <v>1.119553</v>
      </c>
      <c r="L5164">
        <v>141.3929</v>
      </c>
      <c r="M5164">
        <v>-0.99959529999999996</v>
      </c>
      <c r="N5164">
        <v>-5.2101930000000001E-3</v>
      </c>
      <c r="O5164">
        <v>-2.7970970000000001E-2</v>
      </c>
      <c r="P5164">
        <v>-0.99463699999999999</v>
      </c>
      <c r="Q5164">
        <v>-0.100951899999999</v>
      </c>
      <c r="R5164">
        <v>-2.2494980000000001E-2</v>
      </c>
      <c r="S5164">
        <v>-3.000839</v>
      </c>
      <c r="T5164">
        <v>-0.1690286</v>
      </c>
      <c r="U5164">
        <v>7.1670529999999996E-2</v>
      </c>
      <c r="V5164">
        <v>5.3041470000000004E-3</v>
      </c>
      <c r="W5164">
        <v>-9.5768720000000002E-2</v>
      </c>
      <c r="X5164">
        <v>0.99538950000000004</v>
      </c>
      <c r="Y5164">
        <v>5.1704710000000001E-2</v>
      </c>
      <c r="Z5164">
        <v>3.0180789999999999E-3</v>
      </c>
      <c r="AA5164">
        <v>0.99865789999999999</v>
      </c>
      <c r="AB5164">
        <v>32</v>
      </c>
      <c r="AC5164">
        <v>-19.561299999999999</v>
      </c>
      <c r="AD5164">
        <v>-1.11955728252</v>
      </c>
      <c r="AE5164">
        <v>0.483300000000014</v>
      </c>
      <c r="AF5164">
        <v>1.02690505381193</v>
      </c>
      <c r="AG5164">
        <v>-1.11955728252</v>
      </c>
      <c r="AH5164">
        <v>19.476368802277399</v>
      </c>
      <c r="AI5164">
        <v>93.285351132769904</v>
      </c>
      <c r="AJ5164">
        <v>86.981835046351804</v>
      </c>
      <c r="AK5164">
        <v>19.5355287673693</v>
      </c>
      <c r="AL5164">
        <v>95.495565858843094</v>
      </c>
      <c r="AM5164">
        <v>89.694690007698199</v>
      </c>
      <c r="AN5164">
        <v>1.00000001920804</v>
      </c>
    </row>
    <row r="5165" spans="1:40" x14ac:dyDescent="0.25">
      <c r="A5165" t="str">
        <f>"20190303154242569"</f>
        <v>20190303154242569</v>
      </c>
      <c r="B5165" t="str">
        <f>"1551598962565650"</f>
        <v>1551598962565650</v>
      </c>
      <c r="C5165" t="s">
        <v>40</v>
      </c>
      <c r="D5165">
        <v>5.8221939999999996</v>
      </c>
      <c r="E5165">
        <v>0.51816399999999996</v>
      </c>
      <c r="F5165" t="s">
        <v>41</v>
      </c>
      <c r="G5165">
        <v>-261.28050000000002</v>
      </c>
      <c r="H5165" s="1">
        <v>-4.243832E-6</v>
      </c>
      <c r="I5165">
        <v>141.8914</v>
      </c>
      <c r="J5165">
        <v>-241.9109</v>
      </c>
      <c r="K5165">
        <v>1.1195919999999999</v>
      </c>
      <c r="L5165">
        <v>141.3843</v>
      </c>
      <c r="M5165">
        <v>-0.99959739999999997</v>
      </c>
      <c r="N5165">
        <v>-5.4771689999999996E-3</v>
      </c>
      <c r="O5165">
        <v>-2.7838459999999999E-2</v>
      </c>
      <c r="P5165">
        <v>-0.99463650000000003</v>
      </c>
      <c r="Q5165">
        <v>-0.1012487</v>
      </c>
      <c r="R5165">
        <v>-2.1140889999999999E-2</v>
      </c>
      <c r="S5165">
        <v>-3.0005950000000001</v>
      </c>
      <c r="T5165">
        <v>-0.17067309999999999</v>
      </c>
      <c r="U5165">
        <v>7.600403E-2</v>
      </c>
      <c r="V5165">
        <v>6.5258410000000001E-3</v>
      </c>
      <c r="W5165">
        <v>-9.5800440000000001E-2</v>
      </c>
      <c r="X5165">
        <v>0.99537909999999996</v>
      </c>
      <c r="Y5165">
        <v>5.3011040000000002E-2</v>
      </c>
      <c r="Z5165">
        <v>3.0810529999999998E-3</v>
      </c>
      <c r="AA5165">
        <v>0.99858919999999995</v>
      </c>
      <c r="AB5165">
        <v>32</v>
      </c>
      <c r="AC5165">
        <v>-19.369599999999998</v>
      </c>
      <c r="AD5165">
        <v>-1.119596243832</v>
      </c>
      <c r="AE5165">
        <v>0.50710000000000799</v>
      </c>
      <c r="AF5165">
        <v>1.0426502495286201</v>
      </c>
      <c r="AG5165">
        <v>-1.119596243832</v>
      </c>
      <c r="AH5165">
        <v>19.283592590554299</v>
      </c>
      <c r="AI5165">
        <v>93.317999811948894</v>
      </c>
      <c r="AJ5165">
        <v>86.905071264431001</v>
      </c>
      <c r="AK5165">
        <v>19.344186684648399</v>
      </c>
      <c r="AL5165">
        <v>95.497392157818794</v>
      </c>
      <c r="AM5165">
        <v>89.624366444843304</v>
      </c>
      <c r="AN5165">
        <v>0.99999993181087798</v>
      </c>
    </row>
    <row r="5166" spans="1:40" x14ac:dyDescent="0.25">
      <c r="A5166" t="str">
        <f>"20190303154242591"</f>
        <v>20190303154242591</v>
      </c>
      <c r="B5166" t="str">
        <f>"1551598962585170"</f>
        <v>1551598962585170</v>
      </c>
      <c r="C5166" t="s">
        <v>40</v>
      </c>
      <c r="D5166">
        <v>5.7293949999999896</v>
      </c>
      <c r="E5166">
        <v>0.51817000000000002</v>
      </c>
      <c r="F5166" t="s">
        <v>41</v>
      </c>
      <c r="G5166">
        <v>-261.43709999999999</v>
      </c>
      <c r="H5166" s="1">
        <v>-4.1932480000000004E-6</v>
      </c>
      <c r="I5166">
        <v>141.90649999999999</v>
      </c>
      <c r="J5166">
        <v>-242.2191</v>
      </c>
      <c r="K5166">
        <v>1.1196489999999999</v>
      </c>
      <c r="L5166">
        <v>141.3758</v>
      </c>
      <c r="M5166">
        <v>-0.99959929999999997</v>
      </c>
      <c r="N5166">
        <v>-5.8062419999999997E-3</v>
      </c>
      <c r="O5166">
        <v>-2.770794E-2</v>
      </c>
      <c r="P5166">
        <v>-0.99460119999999996</v>
      </c>
      <c r="Q5166">
        <v>-0.1017289</v>
      </c>
      <c r="R5166">
        <v>-2.048877E-2</v>
      </c>
      <c r="S5166">
        <v>-3.0003660000000001</v>
      </c>
      <c r="T5166">
        <v>-0.17203570000000001</v>
      </c>
      <c r="U5166">
        <v>8.0261230000000003E-2</v>
      </c>
      <c r="V5166">
        <v>7.04662E-3</v>
      </c>
      <c r="W5166">
        <v>-9.5953490000000002E-2</v>
      </c>
      <c r="X5166">
        <v>0.99536089999999999</v>
      </c>
      <c r="Y5166">
        <v>5.4294229999999999E-2</v>
      </c>
      <c r="Z5166">
        <v>3.1392059999999999E-3</v>
      </c>
      <c r="AA5166">
        <v>0.99851999999999996</v>
      </c>
      <c r="AB5166">
        <v>32</v>
      </c>
      <c r="AC5166">
        <v>-19.2179999999999</v>
      </c>
      <c r="AD5166">
        <v>-1.1196531932479901</v>
      </c>
      <c r="AE5166">
        <v>0.53069999999999595</v>
      </c>
      <c r="AF5166">
        <v>1.0594031540928499</v>
      </c>
      <c r="AG5166">
        <v>-1.1196531932479901</v>
      </c>
      <c r="AH5166">
        <v>19.131029331041098</v>
      </c>
      <c r="AI5166">
        <v>93.344331678806199</v>
      </c>
      <c r="AJ5166">
        <v>86.830416327903805</v>
      </c>
      <c r="AK5166">
        <v>19.193025857878901</v>
      </c>
      <c r="AL5166">
        <v>95.506201351963497</v>
      </c>
      <c r="AM5166">
        <v>89.594383463302094</v>
      </c>
      <c r="AN5166">
        <v>1.0000000241727001</v>
      </c>
    </row>
    <row r="5167" spans="1:40" x14ac:dyDescent="0.25">
      <c r="A5167" t="str">
        <f>"20190303154242614"</f>
        <v>20190303154242614</v>
      </c>
      <c r="B5167" t="str">
        <f>"1551598962605666"</f>
        <v>1551598962605666</v>
      </c>
      <c r="C5167" t="s">
        <v>40</v>
      </c>
      <c r="D5167">
        <v>5.7867150000000001</v>
      </c>
      <c r="E5167">
        <v>0.51796880000000001</v>
      </c>
      <c r="F5167" t="s">
        <v>41</v>
      </c>
      <c r="G5167">
        <v>-261.63830000000002</v>
      </c>
      <c r="H5167" s="1">
        <v>-4.1248730000000004E-6</v>
      </c>
      <c r="I5167">
        <v>141.90719999999999</v>
      </c>
      <c r="J5167">
        <v>-242.5599</v>
      </c>
      <c r="K5167">
        <v>1.1197269999999999</v>
      </c>
      <c r="L5167">
        <v>141.3665</v>
      </c>
      <c r="M5167">
        <v>-0.99960059999999995</v>
      </c>
      <c r="N5167">
        <v>-6.2598389999999997E-3</v>
      </c>
      <c r="O5167">
        <v>-2.7563509999999999E-2</v>
      </c>
      <c r="P5167">
        <v>-0.99454399999999998</v>
      </c>
      <c r="Q5167">
        <v>-0.10223980000000001</v>
      </c>
      <c r="R5167">
        <v>-2.072127E-2</v>
      </c>
      <c r="S5167">
        <v>-3.0002749999999998</v>
      </c>
      <c r="T5167">
        <v>-0.17298649999999999</v>
      </c>
      <c r="U5167">
        <v>8.2107540000000007E-2</v>
      </c>
      <c r="V5167">
        <v>6.6687530000000004E-3</v>
      </c>
      <c r="W5167">
        <v>-9.6013100000000004E-2</v>
      </c>
      <c r="X5167">
        <v>0.99535779999999996</v>
      </c>
      <c r="Y5167">
        <v>5.4762650000000003E-2</v>
      </c>
      <c r="Z5167">
        <v>3.163936E-3</v>
      </c>
      <c r="AA5167">
        <v>0.9984944</v>
      </c>
      <c r="AB5167">
        <v>32</v>
      </c>
      <c r="AC5167">
        <v>-19.078399999999998</v>
      </c>
      <c r="AD5167">
        <v>-1.119731124873</v>
      </c>
      <c r="AE5167">
        <v>0.54069999999998597</v>
      </c>
      <c r="AF5167">
        <v>1.0627147215344599</v>
      </c>
      <c r="AG5167">
        <v>-1.119731124873</v>
      </c>
      <c r="AH5167">
        <v>18.9908828643939</v>
      </c>
      <c r="AI5167">
        <v>93.369080297702098</v>
      </c>
      <c r="AJ5167">
        <v>86.797114105811701</v>
      </c>
      <c r="AK5167">
        <v>19.0535244073243</v>
      </c>
      <c r="AL5167">
        <v>95.5096323487342</v>
      </c>
      <c r="AM5167">
        <v>89.6161323249232</v>
      </c>
      <c r="AN5167">
        <v>1.0000000688295101</v>
      </c>
    </row>
    <row r="5168" spans="1:40" x14ac:dyDescent="0.25">
      <c r="A5168" t="str">
        <f>"20190303154242636"</f>
        <v>20190303154242636</v>
      </c>
      <c r="B5168" t="str">
        <f>"1551598962625186"</f>
        <v>1551598962625186</v>
      </c>
      <c r="C5168" t="s">
        <v>40</v>
      </c>
      <c r="D5168">
        <v>5.7744559999999998</v>
      </c>
      <c r="E5168">
        <v>0.51775749999999998</v>
      </c>
      <c r="F5168" t="s">
        <v>41</v>
      </c>
      <c r="G5168">
        <v>-261.81349999999998</v>
      </c>
      <c r="H5168" s="1">
        <v>-4.0601939999999999E-6</v>
      </c>
      <c r="I5168">
        <v>141.87860000000001</v>
      </c>
      <c r="J5168">
        <v>-242.8733</v>
      </c>
      <c r="K5168">
        <v>1.1198159999999999</v>
      </c>
      <c r="L5168">
        <v>141.358</v>
      </c>
      <c r="M5168">
        <v>-0.99960079999999996</v>
      </c>
      <c r="N5168">
        <v>-6.7762369999999897E-3</v>
      </c>
      <c r="O5168">
        <v>-2.7426519999999999E-2</v>
      </c>
      <c r="P5168">
        <v>-0.99447110000000005</v>
      </c>
      <c r="Q5168">
        <v>-0.1028728</v>
      </c>
      <c r="R5168">
        <v>-2.1086509999999999E-2</v>
      </c>
      <c r="S5168">
        <v>-3.0001980000000001</v>
      </c>
      <c r="T5168">
        <v>-0.1744832</v>
      </c>
      <c r="U5168">
        <v>7.9803470000000001E-2</v>
      </c>
      <c r="V5168">
        <v>6.1644339999999999E-3</v>
      </c>
      <c r="W5168">
        <v>-9.6132400000000007E-2</v>
      </c>
      <c r="X5168">
        <v>0.9953495</v>
      </c>
      <c r="Y5168">
        <v>5.3859730000000001E-2</v>
      </c>
      <c r="Z5168">
        <v>3.1549949999999998E-3</v>
      </c>
      <c r="AA5168">
        <v>0.99854350000000003</v>
      </c>
      <c r="AB5168">
        <v>32</v>
      </c>
      <c r="AC5168">
        <v>-18.940199999999901</v>
      </c>
      <c r="AD5168">
        <v>-1.1198200601939901</v>
      </c>
      <c r="AE5168">
        <v>0.52060000000000095</v>
      </c>
      <c r="AF5168">
        <v>1.0362602184202101</v>
      </c>
      <c r="AG5168">
        <v>-1.1198200601939901</v>
      </c>
      <c r="AH5168">
        <v>18.852942766289299</v>
      </c>
      <c r="AI5168">
        <v>93.394128196433201</v>
      </c>
      <c r="AJ5168">
        <v>86.853878304799395</v>
      </c>
      <c r="AK5168">
        <v>18.914578587863801</v>
      </c>
      <c r="AL5168">
        <v>95.516499699062294</v>
      </c>
      <c r="AM5168">
        <v>89.645158272906201</v>
      </c>
      <c r="AN5168">
        <v>1.0000000328632701</v>
      </c>
    </row>
    <row r="5169" spans="1:40" x14ac:dyDescent="0.25">
      <c r="A5169" t="str">
        <f>"20190303154242657"</f>
        <v>20190303154242657</v>
      </c>
      <c r="B5169" t="str">
        <f>"1551598962654965"</f>
        <v>1551598962654965</v>
      </c>
      <c r="C5169" t="s">
        <v>40</v>
      </c>
      <c r="D5169">
        <v>5.7935140000000001</v>
      </c>
      <c r="E5169">
        <v>0.51743139999999999</v>
      </c>
      <c r="F5169" t="s">
        <v>41</v>
      </c>
      <c r="G5169">
        <v>-261.93599999999998</v>
      </c>
      <c r="H5169" s="1">
        <v>-4.0128989999999999E-6</v>
      </c>
      <c r="I5169">
        <v>141.84700000000001</v>
      </c>
      <c r="J5169">
        <v>-243.18199999999999</v>
      </c>
      <c r="K5169">
        <v>1.1199170000000001</v>
      </c>
      <c r="L5169">
        <v>141.34970000000001</v>
      </c>
      <c r="M5169">
        <v>-0.99959980000000004</v>
      </c>
      <c r="N5169">
        <v>-7.3886029999999997E-3</v>
      </c>
      <c r="O5169">
        <v>-2.7305929999999999E-2</v>
      </c>
      <c r="P5169">
        <v>-0.99441860000000004</v>
      </c>
      <c r="Q5169">
        <v>-0.10313990000000001</v>
      </c>
      <c r="R5169">
        <v>-2.2221870000000001E-2</v>
      </c>
      <c r="S5169">
        <v>-3.000092</v>
      </c>
      <c r="T5169">
        <v>-0.17623810000000001</v>
      </c>
      <c r="U5169">
        <v>7.6965329999999998E-2</v>
      </c>
      <c r="V5169">
        <v>4.9070349999999997E-3</v>
      </c>
      <c r="W5169">
        <v>-9.5789689999999997E-2</v>
      </c>
      <c r="X5169">
        <v>0.99538950000000004</v>
      </c>
      <c r="Y5169">
        <v>5.2795630000000003E-2</v>
      </c>
      <c r="Z5169">
        <v>3.145236E-3</v>
      </c>
      <c r="AA5169">
        <v>0.99860040000000005</v>
      </c>
      <c r="AB5169">
        <v>32</v>
      </c>
      <c r="AC5169">
        <v>-18.753999999999898</v>
      </c>
      <c r="AD5169">
        <v>-1.119921012899</v>
      </c>
      <c r="AE5169">
        <v>0.49729999999999502</v>
      </c>
      <c r="AF5169">
        <v>1.00564031711268</v>
      </c>
      <c r="AG5169">
        <v>-1.119921012899</v>
      </c>
      <c r="AH5169">
        <v>18.666906805637598</v>
      </c>
      <c r="AI5169">
        <v>93.428385131282994</v>
      </c>
      <c r="AJ5169">
        <v>86.916291431107098</v>
      </c>
      <c r="AK5169">
        <v>18.727491695710199</v>
      </c>
      <c r="AL5169">
        <v>95.496773005333793</v>
      </c>
      <c r="AM5169">
        <v>89.717547635492494</v>
      </c>
      <c r="AN5169">
        <v>1.0000000002065099</v>
      </c>
    </row>
    <row r="5170" spans="1:40" x14ac:dyDescent="0.25">
      <c r="A5170" t="str">
        <f>"20190303154242681"</f>
        <v>20190303154242681</v>
      </c>
      <c r="B5170" t="str">
        <f>"1551598962675461"</f>
        <v>1551598962675461</v>
      </c>
      <c r="C5170" t="s">
        <v>40</v>
      </c>
      <c r="D5170">
        <v>5.7573249999999998</v>
      </c>
      <c r="E5170">
        <v>0.51722120000000005</v>
      </c>
      <c r="F5170" t="s">
        <v>41</v>
      </c>
      <c r="G5170">
        <v>-262.15699999999998</v>
      </c>
      <c r="H5170" s="1">
        <v>-3.9275939999999997E-6</v>
      </c>
      <c r="I5170">
        <v>141.79859999999999</v>
      </c>
      <c r="J5170">
        <v>-243.5051</v>
      </c>
      <c r="K5170">
        <v>1.120031</v>
      </c>
      <c r="L5170">
        <v>141.34100000000001</v>
      </c>
      <c r="M5170">
        <v>-0.99959810000000004</v>
      </c>
      <c r="N5170">
        <v>-8.0649520000000002E-3</v>
      </c>
      <c r="O5170">
        <v>-2.717522E-2</v>
      </c>
      <c r="P5170">
        <v>-0.99434069999999997</v>
      </c>
      <c r="Q5170">
        <v>-0.103709</v>
      </c>
      <c r="R5170">
        <v>-2.3048989999999998E-2</v>
      </c>
      <c r="S5170">
        <v>-3.0000610000000001</v>
      </c>
      <c r="T5170">
        <v>-0.17706659999999999</v>
      </c>
      <c r="U5170">
        <v>7.0983889999999994E-2</v>
      </c>
      <c r="V5170">
        <v>3.9489549999999997E-3</v>
      </c>
      <c r="W5170">
        <v>-9.5685590000000001E-2</v>
      </c>
      <c r="X5170">
        <v>0.99540379999999995</v>
      </c>
      <c r="Y5170">
        <v>5.0678510000000003E-2</v>
      </c>
      <c r="Z5170">
        <v>3.081926E-3</v>
      </c>
      <c r="AA5170">
        <v>0.99871030000000005</v>
      </c>
      <c r="AB5170">
        <v>32</v>
      </c>
      <c r="AC5170">
        <v>-18.651899999999898</v>
      </c>
      <c r="AD5170">
        <v>-1.120034927594</v>
      </c>
      <c r="AE5170">
        <v>0.45759999999998502</v>
      </c>
      <c r="AF5170">
        <v>0.96085430100814795</v>
      </c>
      <c r="AG5170">
        <v>-1.120034927594</v>
      </c>
      <c r="AH5170">
        <v>18.5656691648167</v>
      </c>
      <c r="AI5170">
        <v>93.447768498935702</v>
      </c>
      <c r="AJ5170">
        <v>87.03733696754</v>
      </c>
      <c r="AK5170">
        <v>18.624225910469999</v>
      </c>
      <c r="AL5170">
        <v>95.490780850479197</v>
      </c>
      <c r="AM5170">
        <v>89.772698006575794</v>
      </c>
      <c r="AN5170">
        <v>1.00000002571683</v>
      </c>
    </row>
    <row r="5171" spans="1:40" x14ac:dyDescent="0.25">
      <c r="A5171" t="str">
        <f>"20190303154242704"</f>
        <v>20190303154242704</v>
      </c>
      <c r="B5171" t="str">
        <f>"1551598962694981"</f>
        <v>1551598962694981</v>
      </c>
      <c r="C5171" t="s">
        <v>40</v>
      </c>
      <c r="D5171">
        <v>5.8036799999999999</v>
      </c>
      <c r="E5171">
        <v>0.51702130000000002</v>
      </c>
      <c r="F5171" t="s">
        <v>41</v>
      </c>
      <c r="G5171">
        <v>-262.31139999999999</v>
      </c>
      <c r="H5171" s="1">
        <v>-3.8508420000000004E-6</v>
      </c>
      <c r="I5171">
        <v>141.75899999999999</v>
      </c>
      <c r="J5171">
        <v>-243.83789999999999</v>
      </c>
      <c r="K5171">
        <v>1.1201380000000001</v>
      </c>
      <c r="L5171">
        <v>141.3321</v>
      </c>
      <c r="M5171">
        <v>-0.99959609999999999</v>
      </c>
      <c r="N5171">
        <v>-8.7656660000000001E-3</v>
      </c>
      <c r="O5171">
        <v>-2.7032830000000001E-2</v>
      </c>
      <c r="P5171">
        <v>-0.99432010000000004</v>
      </c>
      <c r="Q5171">
        <v>-0.1037125</v>
      </c>
      <c r="R5171">
        <v>-2.3899199999999999E-2</v>
      </c>
      <c r="S5171">
        <v>-2.9999690000000001</v>
      </c>
      <c r="T5171">
        <v>-0.17866679999999999</v>
      </c>
      <c r="U5171">
        <v>6.6696169999999999E-2</v>
      </c>
      <c r="V5171">
        <v>2.9581989999999999E-3</v>
      </c>
      <c r="W5171">
        <v>-9.499117E-2</v>
      </c>
      <c r="X5171">
        <v>0.99547370000000002</v>
      </c>
      <c r="Y5171">
        <v>4.9111219999999997E-2</v>
      </c>
      <c r="Z5171">
        <v>3.0480220000000001E-3</v>
      </c>
      <c r="AA5171">
        <v>0.99878869999999997</v>
      </c>
      <c r="AB5171">
        <v>32</v>
      </c>
      <c r="AC5171">
        <v>-18.473500000000001</v>
      </c>
      <c r="AD5171">
        <v>-1.12014185084199</v>
      </c>
      <c r="AE5171">
        <v>0.42689999999998901</v>
      </c>
      <c r="AF5171">
        <v>0.92276332326562904</v>
      </c>
      <c r="AG5171">
        <v>-1.12014185084199</v>
      </c>
      <c r="AH5171">
        <v>18.387639398735001</v>
      </c>
      <c r="AI5171">
        <v>93.481676994031503</v>
      </c>
      <c r="AJ5171">
        <v>87.127084867715595</v>
      </c>
      <c r="AK5171">
        <v>18.444822920664802</v>
      </c>
      <c r="AL5171">
        <v>95.450811699760607</v>
      </c>
      <c r="AM5171">
        <v>89.829737522196197</v>
      </c>
      <c r="AN5171">
        <v>0.99999998035549098</v>
      </c>
    </row>
    <row r="5172" spans="1:40" x14ac:dyDescent="0.25">
      <c r="A5172" t="str">
        <f>"20190303154242726"</f>
        <v>20190303154242726</v>
      </c>
      <c r="B5172" t="str">
        <f>"1551598962715477"</f>
        <v>1551598962715477</v>
      </c>
      <c r="C5172" t="s">
        <v>40</v>
      </c>
      <c r="D5172">
        <v>5.7690190000000001</v>
      </c>
      <c r="E5172">
        <v>0.5167969</v>
      </c>
      <c r="F5172" t="s">
        <v>41</v>
      </c>
      <c r="G5172">
        <v>-262.63130000000001</v>
      </c>
      <c r="H5172" s="1">
        <v>-3.7046469999999999E-6</v>
      </c>
      <c r="I5172">
        <v>141.72540000000001</v>
      </c>
      <c r="J5172">
        <v>-244.15649999999999</v>
      </c>
      <c r="K5172">
        <v>1.12022</v>
      </c>
      <c r="L5172">
        <v>141.3237</v>
      </c>
      <c r="M5172">
        <v>-0.99959410000000004</v>
      </c>
      <c r="N5172">
        <v>-9.407795E-3</v>
      </c>
      <c r="O5172">
        <v>-2.689327E-2</v>
      </c>
      <c r="P5172">
        <v>-0.99427880000000002</v>
      </c>
      <c r="Q5172">
        <v>-0.104043899999999</v>
      </c>
      <c r="R5172">
        <v>-2.4186320000000001E-2</v>
      </c>
      <c r="S5172">
        <v>-3</v>
      </c>
      <c r="T5172">
        <v>-0.17880889999999999</v>
      </c>
      <c r="U5172">
        <v>6.2789919999999999E-2</v>
      </c>
      <c r="V5172">
        <v>2.5327990000000001E-3</v>
      </c>
      <c r="W5172">
        <v>-9.4683439999999994E-2</v>
      </c>
      <c r="X5172">
        <v>0.99550419999999995</v>
      </c>
      <c r="Y5172">
        <v>4.7674599999999998E-2</v>
      </c>
      <c r="Z5172">
        <v>2.9923660000000002E-3</v>
      </c>
      <c r="AA5172">
        <v>0.99885849999999998</v>
      </c>
      <c r="AB5172">
        <v>32</v>
      </c>
      <c r="AC5172">
        <v>-18.474799999999998</v>
      </c>
      <c r="AD5172">
        <v>-1.1202237046470001</v>
      </c>
      <c r="AE5172">
        <v>0.401700000000005</v>
      </c>
      <c r="AF5172">
        <v>0.89513491462422401</v>
      </c>
      <c r="AG5172">
        <v>-1.1202237046470001</v>
      </c>
      <c r="AH5172">
        <v>18.389733454374099</v>
      </c>
      <c r="AI5172">
        <v>93.481793545598407</v>
      </c>
      <c r="AJ5172">
        <v>87.213281822231593</v>
      </c>
      <c r="AK5172">
        <v>18.445554049330099</v>
      </c>
      <c r="AL5172">
        <v>95.433100184205799</v>
      </c>
      <c r="AM5172">
        <v>89.854226250445294</v>
      </c>
      <c r="AN5172">
        <v>0.99999999054932398</v>
      </c>
    </row>
    <row r="5173" spans="1:40" x14ac:dyDescent="0.25">
      <c r="A5173" t="str">
        <f>"20190303154242747"</f>
        <v>20190303154242747</v>
      </c>
      <c r="B5173" t="str">
        <f>"1551598962735505"</f>
        <v>1551598962735505</v>
      </c>
      <c r="C5173" t="s">
        <v>40</v>
      </c>
      <c r="D5173">
        <v>5.7750820000000003</v>
      </c>
      <c r="E5173">
        <v>0.51660079999999997</v>
      </c>
      <c r="F5173" t="s">
        <v>41</v>
      </c>
      <c r="G5173">
        <v>-262.81150000000002</v>
      </c>
      <c r="H5173" s="1">
        <v>-3.6199930000000001E-6</v>
      </c>
      <c r="I5173">
        <v>141.69759999999999</v>
      </c>
      <c r="J5173">
        <v>-244.44710000000001</v>
      </c>
      <c r="K5173">
        <v>1.120279</v>
      </c>
      <c r="L5173">
        <v>141.316</v>
      </c>
      <c r="M5173">
        <v>-0.99959219999999904</v>
      </c>
      <c r="N5173">
        <v>-9.9524020000000008E-3</v>
      </c>
      <c r="O5173">
        <v>-2.676798E-2</v>
      </c>
      <c r="P5173">
        <v>-0.99421119999999996</v>
      </c>
      <c r="Q5173">
        <v>-0.1047302</v>
      </c>
      <c r="R5173">
        <v>-2.400122E-2</v>
      </c>
      <c r="S5173">
        <v>-2.9998779999999998</v>
      </c>
      <c r="T5173">
        <v>-0.18014160000000001</v>
      </c>
      <c r="U5173">
        <v>6.0150149999999999E-2</v>
      </c>
      <c r="V5173">
        <v>2.5916060000000002E-3</v>
      </c>
      <c r="W5173">
        <v>-9.4828259999999998E-2</v>
      </c>
      <c r="X5173">
        <v>0.99549030000000005</v>
      </c>
      <c r="Y5173">
        <v>4.6672030000000003E-2</v>
      </c>
      <c r="Z5173">
        <v>2.972012E-3</v>
      </c>
      <c r="AA5173">
        <v>0.99890579999999995</v>
      </c>
      <c r="AB5173">
        <v>32</v>
      </c>
      <c r="AC5173">
        <v>-18.3644</v>
      </c>
      <c r="AD5173">
        <v>-1.1202826199930001</v>
      </c>
      <c r="AE5173">
        <v>0.381599999999991</v>
      </c>
      <c r="AF5173">
        <v>0.86982990016309802</v>
      </c>
      <c r="AG5173">
        <v>-1.1202826199930001</v>
      </c>
      <c r="AH5173">
        <v>18.2796080830976</v>
      </c>
      <c r="AI5173">
        <v>93.503084350235397</v>
      </c>
      <c r="AJ5173">
        <v>87.275651800522098</v>
      </c>
      <c r="AK5173">
        <v>18.3345495956547</v>
      </c>
      <c r="AL5173">
        <v>95.441435066993705</v>
      </c>
      <c r="AM5173">
        <v>89.850839580750105</v>
      </c>
      <c r="AN5173">
        <v>1.00000002635518</v>
      </c>
    </row>
    <row r="5174" spans="1:40" x14ac:dyDescent="0.25">
      <c r="A5174" t="str">
        <f>"20190303154242770"</f>
        <v>20190303154242770</v>
      </c>
      <c r="B5174" t="str">
        <f>"1551598962764785"</f>
        <v>1551598962764785</v>
      </c>
      <c r="C5174" t="s">
        <v>40</v>
      </c>
      <c r="D5174">
        <v>5.7766109999999999</v>
      </c>
      <c r="E5174">
        <v>0.51632599999999995</v>
      </c>
      <c r="F5174" t="s">
        <v>41</v>
      </c>
      <c r="G5174">
        <v>-262.90699999999998</v>
      </c>
      <c r="H5174" s="1">
        <v>-3.5740270000000001E-6</v>
      </c>
      <c r="I5174">
        <v>141.679</v>
      </c>
      <c r="J5174">
        <v>-244.77359999999999</v>
      </c>
      <c r="K5174">
        <v>1.1203270000000001</v>
      </c>
      <c r="L5174">
        <v>141.3074</v>
      </c>
      <c r="M5174">
        <v>-0.99959019999999998</v>
      </c>
      <c r="N5174">
        <v>-1.05115E-2</v>
      </c>
      <c r="O5174">
        <v>-2.6631200000000001E-2</v>
      </c>
      <c r="P5174">
        <v>-0.9941295</v>
      </c>
      <c r="Q5174">
        <v>-0.1056508</v>
      </c>
      <c r="R5174">
        <v>-2.333402E-2</v>
      </c>
      <c r="S5174">
        <v>-2.9997250000000002</v>
      </c>
      <c r="T5174">
        <v>-0.18204529999999999</v>
      </c>
      <c r="U5174">
        <v>5.9005740000000001E-2</v>
      </c>
      <c r="V5174">
        <v>3.1201290000000001E-3</v>
      </c>
      <c r="W5174">
        <v>-9.5193399999999997E-2</v>
      </c>
      <c r="X5174">
        <v>0.9954539</v>
      </c>
      <c r="Y5174">
        <v>4.6154019999999997E-2</v>
      </c>
      <c r="Z5174">
        <v>2.976715E-3</v>
      </c>
      <c r="AA5174">
        <v>0.99892990000000004</v>
      </c>
      <c r="AB5174">
        <v>32</v>
      </c>
      <c r="AC5174">
        <v>-18.133399999999899</v>
      </c>
      <c r="AD5174">
        <v>-1.120330574027</v>
      </c>
      <c r="AE5174">
        <v>0.37159999999999999</v>
      </c>
      <c r="AF5174">
        <v>0.851161397430098</v>
      </c>
      <c r="AG5174">
        <v>-1.120330574027</v>
      </c>
      <c r="AH5174">
        <v>18.048208205599099</v>
      </c>
      <c r="AI5174">
        <v>93.548106584457898</v>
      </c>
      <c r="AJ5174">
        <v>87.299906543377404</v>
      </c>
      <c r="AK5174">
        <v>18.102967595182498</v>
      </c>
      <c r="AL5174">
        <v>95.462451302846901</v>
      </c>
      <c r="AM5174">
        <v>89.820413946032602</v>
      </c>
      <c r="AN5174">
        <v>0.99999999281687302</v>
      </c>
    </row>
    <row r="5175" spans="1:40" x14ac:dyDescent="0.25">
      <c r="A5175" t="str">
        <f>"20190303154242792"</f>
        <v>20190303154242792</v>
      </c>
      <c r="B5175" t="str">
        <f>"1551598962785281"</f>
        <v>1551598962785281</v>
      </c>
      <c r="C5175" t="s">
        <v>40</v>
      </c>
      <c r="D5175">
        <v>5.7532779999999999</v>
      </c>
      <c r="E5175">
        <v>0.51614249999999995</v>
      </c>
      <c r="F5175" t="s">
        <v>41</v>
      </c>
      <c r="G5175">
        <v>-262.93830000000003</v>
      </c>
      <c r="H5175" s="1">
        <v>-3.5566099999999998E-6</v>
      </c>
      <c r="I5175">
        <v>141.66390000000001</v>
      </c>
      <c r="J5175">
        <v>-245.0908</v>
      </c>
      <c r="K5175">
        <v>1.120368</v>
      </c>
      <c r="L5175">
        <v>141.29910000000001</v>
      </c>
      <c r="M5175">
        <v>-0.99958829999999999</v>
      </c>
      <c r="N5175">
        <v>-1.100079E-2</v>
      </c>
      <c r="O5175">
        <v>-2.650052E-2</v>
      </c>
      <c r="P5175">
        <v>-0.99414409999999998</v>
      </c>
      <c r="Q5175">
        <v>-0.1056628</v>
      </c>
      <c r="R5175">
        <v>-2.265211E-2</v>
      </c>
      <c r="S5175">
        <v>-2.9994350000000001</v>
      </c>
      <c r="T5175">
        <v>-0.18499399999999999</v>
      </c>
      <c r="U5175">
        <v>5.8883669999999999E-2</v>
      </c>
      <c r="V5175">
        <v>3.6725590000000002E-3</v>
      </c>
      <c r="W5175">
        <v>-9.4718490000000002E-2</v>
      </c>
      <c r="X5175">
        <v>0.99549730000000003</v>
      </c>
      <c r="Y5175">
        <v>4.5980979999999998E-2</v>
      </c>
      <c r="Z5175">
        <v>3.0111349999999999E-3</v>
      </c>
      <c r="AA5175">
        <v>0.99893779999999999</v>
      </c>
      <c r="AB5175">
        <v>32</v>
      </c>
      <c r="AC5175">
        <v>-17.8475</v>
      </c>
      <c r="AD5175">
        <v>-1.1203715566099901</v>
      </c>
      <c r="AE5175">
        <v>0.36480000000000201</v>
      </c>
      <c r="AF5175">
        <v>0.83438185816435095</v>
      </c>
      <c r="AG5175">
        <v>-1.1203715566099901</v>
      </c>
      <c r="AH5175">
        <v>17.761599955579602</v>
      </c>
      <c r="AI5175">
        <v>93.605372994700701</v>
      </c>
      <c r="AJ5175">
        <v>87.310409035621703</v>
      </c>
      <c r="AK5175">
        <v>17.8164490988563</v>
      </c>
      <c r="AL5175">
        <v>95.435117540367003</v>
      </c>
      <c r="AM5175">
        <v>89.788627075023498</v>
      </c>
      <c r="AN5175">
        <v>0.99999997717238898</v>
      </c>
    </row>
    <row r="5176" spans="1:40" x14ac:dyDescent="0.25">
      <c r="A5176" t="str">
        <f>"20190303154242816"</f>
        <v>20190303154242816</v>
      </c>
      <c r="B5176" t="str">
        <f>"1551598962804804"</f>
        <v>1551598962804804</v>
      </c>
      <c r="C5176" t="s">
        <v>40</v>
      </c>
      <c r="D5176">
        <v>5.7888650000000004</v>
      </c>
      <c r="E5176">
        <v>0.51596019999999998</v>
      </c>
      <c r="F5176" t="s">
        <v>41</v>
      </c>
      <c r="G5176">
        <v>-263.22800000000001</v>
      </c>
      <c r="H5176" s="1">
        <v>-3.4311559999999999E-6</v>
      </c>
      <c r="I5176">
        <v>141.65950000000001</v>
      </c>
      <c r="J5176">
        <v>-245.42869999999999</v>
      </c>
      <c r="K5176">
        <v>1.1204000000000001</v>
      </c>
      <c r="L5176">
        <v>141.2903</v>
      </c>
      <c r="M5176">
        <v>-0.99958689999999994</v>
      </c>
      <c r="N5176">
        <v>-1.146579E-2</v>
      </c>
      <c r="O5176">
        <v>-2.6361599999999999E-2</v>
      </c>
      <c r="P5176">
        <v>-0.99417940000000005</v>
      </c>
      <c r="Q5176">
        <v>-0.1055186</v>
      </c>
      <c r="R5176">
        <v>-2.176289E-2</v>
      </c>
      <c r="S5176">
        <v>-2.9993590000000001</v>
      </c>
      <c r="T5176">
        <v>-0.18527669999999999</v>
      </c>
      <c r="U5176">
        <v>5.9616089999999997E-2</v>
      </c>
      <c r="V5176">
        <v>4.4243820000000001E-3</v>
      </c>
      <c r="W5176">
        <v>-9.4111399999999998E-2</v>
      </c>
      <c r="X5176">
        <v>0.99555179999999999</v>
      </c>
      <c r="Y5176">
        <v>4.608611E-2</v>
      </c>
      <c r="Z5176">
        <v>3.0111199999999999E-3</v>
      </c>
      <c r="AA5176">
        <v>0.99893299999999996</v>
      </c>
      <c r="AB5176">
        <v>32</v>
      </c>
      <c r="AC5176">
        <v>-17.799299999999999</v>
      </c>
      <c r="AD5176">
        <v>-1.1204034311560001</v>
      </c>
      <c r="AE5176">
        <v>0.36920000000000602</v>
      </c>
      <c r="AF5176">
        <v>0.83501334470113897</v>
      </c>
      <c r="AG5176">
        <v>-1.1204034311560001</v>
      </c>
      <c r="AH5176">
        <v>17.713225874395899</v>
      </c>
      <c r="AI5176">
        <v>93.615267864343707</v>
      </c>
      <c r="AJ5176">
        <v>87.301036603377099</v>
      </c>
      <c r="AK5176">
        <v>17.768256020548101</v>
      </c>
      <c r="AL5176">
        <v>95.400177866328505</v>
      </c>
      <c r="AM5176">
        <v>89.745370610882404</v>
      </c>
      <c r="AN5176">
        <v>0.99999995862463997</v>
      </c>
    </row>
    <row r="5177" spans="1:40" x14ac:dyDescent="0.25">
      <c r="A5177" t="str">
        <f>"20190303154242837"</f>
        <v>20190303154242837</v>
      </c>
      <c r="B5177" t="str">
        <f>"1551598962825297"</f>
        <v>1551598962825297</v>
      </c>
      <c r="C5177" t="s">
        <v>40</v>
      </c>
      <c r="D5177">
        <v>5.7363</v>
      </c>
      <c r="E5177">
        <v>0.51577539999999999</v>
      </c>
      <c r="F5177" t="s">
        <v>41</v>
      </c>
      <c r="G5177">
        <v>-263.59100000000001</v>
      </c>
      <c r="H5177" s="1">
        <v>-3.2752879999999999E-6</v>
      </c>
      <c r="I5177">
        <v>141.65899999999999</v>
      </c>
      <c r="J5177">
        <v>-245.71879999999999</v>
      </c>
      <c r="K5177">
        <v>1.120422</v>
      </c>
      <c r="L5177">
        <v>141.28280000000001</v>
      </c>
      <c r="M5177">
        <v>-0.99958590000000003</v>
      </c>
      <c r="N5177">
        <v>-1.181665E-2</v>
      </c>
      <c r="O5177">
        <v>-2.6240759999999998E-2</v>
      </c>
      <c r="P5177">
        <v>-0.99416179999999998</v>
      </c>
      <c r="Q5177">
        <v>-0.1057994</v>
      </c>
      <c r="R5177">
        <v>-2.118753E-2</v>
      </c>
      <c r="S5177">
        <v>-2.9992679999999998</v>
      </c>
      <c r="T5177">
        <v>-0.18501999999999999</v>
      </c>
      <c r="U5177">
        <v>6.089783E-2</v>
      </c>
      <c r="V5177">
        <v>4.878978E-3</v>
      </c>
      <c r="W5177">
        <v>-9.4043390000000004E-2</v>
      </c>
      <c r="X5177">
        <v>0.99555610000000005</v>
      </c>
      <c r="Y5177">
        <v>4.6392570000000001E-2</v>
      </c>
      <c r="Z5177">
        <v>3.0110760000000001E-3</v>
      </c>
      <c r="AA5177">
        <v>0.9989188</v>
      </c>
      <c r="AB5177">
        <v>32</v>
      </c>
      <c r="AC5177">
        <v>-17.872199999999999</v>
      </c>
      <c r="AD5177">
        <v>-1.120425275288</v>
      </c>
      <c r="AE5177">
        <v>0.37619999999998199</v>
      </c>
      <c r="AF5177">
        <v>0.841776405178846</v>
      </c>
      <c r="AG5177">
        <v>-1.120425275288</v>
      </c>
      <c r="AH5177">
        <v>17.7863004499435</v>
      </c>
      <c r="AI5177">
        <v>93.6004922150548</v>
      </c>
      <c r="AJ5177">
        <v>87.290371092582504</v>
      </c>
      <c r="AK5177">
        <v>17.841424382864801</v>
      </c>
      <c r="AL5177">
        <v>95.396263835506204</v>
      </c>
      <c r="AM5177">
        <v>89.719209585689796</v>
      </c>
      <c r="AN5177">
        <v>0.99999995593811197</v>
      </c>
    </row>
    <row r="5178" spans="1:40" x14ac:dyDescent="0.25">
      <c r="A5178" t="str">
        <f>"20190303154242859"</f>
        <v>20190303154242859</v>
      </c>
      <c r="B5178" t="str">
        <f>"1551598962855553"</f>
        <v>1551598962855553</v>
      </c>
      <c r="C5178" t="s">
        <v>40</v>
      </c>
      <c r="D5178">
        <v>5.7150080000000001</v>
      </c>
      <c r="E5178">
        <v>0.51551629999999904</v>
      </c>
      <c r="F5178" t="s">
        <v>41</v>
      </c>
      <c r="G5178">
        <v>-263.77749999999997</v>
      </c>
      <c r="H5178" s="1">
        <v>-3.1930830000000001E-6</v>
      </c>
      <c r="I5178">
        <v>141.6508</v>
      </c>
      <c r="J5178">
        <v>-246.03809999999999</v>
      </c>
      <c r="K5178">
        <v>1.1204400000000001</v>
      </c>
      <c r="L5178">
        <v>141.27459999999999</v>
      </c>
      <c r="M5178">
        <v>-0.99958519999999895</v>
      </c>
      <c r="N5178">
        <v>-1.215662E-2</v>
      </c>
      <c r="O5178">
        <v>-2.6106799999999999E-2</v>
      </c>
      <c r="P5178">
        <v>-0.99418329999999999</v>
      </c>
      <c r="Q5178">
        <v>-0.10572860000000001</v>
      </c>
      <c r="R5178">
        <v>-2.0518990000000001E-2</v>
      </c>
      <c r="S5178">
        <v>-2.9991460000000001</v>
      </c>
      <c r="T5178">
        <v>-0.1860781</v>
      </c>
      <c r="U5178">
        <v>6.1126710000000001E-2</v>
      </c>
      <c r="V5178">
        <v>5.4148470000000004E-3</v>
      </c>
      <c r="W5178">
        <v>-9.3634289999999995E-2</v>
      </c>
      <c r="X5178">
        <v>0.99559189999999997</v>
      </c>
      <c r="Y5178">
        <v>4.6334519999999997E-2</v>
      </c>
      <c r="Z5178">
        <v>3.0187500000000002E-3</v>
      </c>
      <c r="AA5178">
        <v>0.99892139999999996</v>
      </c>
      <c r="AB5178">
        <v>32</v>
      </c>
      <c r="AC5178">
        <v>-17.7393999999999</v>
      </c>
      <c r="AD5178">
        <v>-1.1204431930830001</v>
      </c>
      <c r="AE5178">
        <v>0.37620000000001103</v>
      </c>
      <c r="AF5178">
        <v>0.835891804036897</v>
      </c>
      <c r="AG5178">
        <v>-1.1204431930830001</v>
      </c>
      <c r="AH5178">
        <v>17.653137856626799</v>
      </c>
      <c r="AI5178">
        <v>93.627633305027004</v>
      </c>
      <c r="AJ5178">
        <v>87.289018690663099</v>
      </c>
      <c r="AK5178">
        <v>17.708398692204</v>
      </c>
      <c r="AL5178">
        <v>95.372720187753202</v>
      </c>
      <c r="AM5178">
        <v>89.688381533901307</v>
      </c>
      <c r="AN5178">
        <v>0.99999996608872299</v>
      </c>
    </row>
    <row r="5179" spans="1:40" x14ac:dyDescent="0.25">
      <c r="A5179" t="str">
        <f>"20190303154242881"</f>
        <v>20190303154242881</v>
      </c>
      <c r="B5179" t="str">
        <f>"1551598962875073"</f>
        <v>1551598962875073</v>
      </c>
      <c r="C5179" t="s">
        <v>40</v>
      </c>
      <c r="D5179">
        <v>5.682264</v>
      </c>
      <c r="E5179">
        <v>0.51533839999999997</v>
      </c>
      <c r="F5179" t="s">
        <v>41</v>
      </c>
      <c r="G5179">
        <v>-264.09410000000003</v>
      </c>
      <c r="H5179" s="1">
        <v>-3.0551530000000002E-6</v>
      </c>
      <c r="I5179">
        <v>141.64269999999999</v>
      </c>
      <c r="J5179">
        <v>-246.3527</v>
      </c>
      <c r="K5179">
        <v>1.1204559999999999</v>
      </c>
      <c r="L5179">
        <v>141.26650000000001</v>
      </c>
      <c r="M5179">
        <v>-0.9995851</v>
      </c>
      <c r="N5179">
        <v>-1.2450370000000001E-2</v>
      </c>
      <c r="O5179">
        <v>-2.597406E-2</v>
      </c>
      <c r="P5179">
        <v>-0.99411210000000005</v>
      </c>
      <c r="Q5179">
        <v>-0.106521699999999</v>
      </c>
      <c r="R5179">
        <v>-1.9854520000000001E-2</v>
      </c>
      <c r="S5179">
        <v>-2.9990389999999998</v>
      </c>
      <c r="T5179">
        <v>-0.18610289999999999</v>
      </c>
      <c r="U5179">
        <v>6.115723E-2</v>
      </c>
      <c r="V5179">
        <v>5.9452359999999996E-3</v>
      </c>
      <c r="W5179">
        <v>-9.4135979999999994E-2</v>
      </c>
      <c r="X5179">
        <v>0.99554160000000003</v>
      </c>
      <c r="Y5179">
        <v>4.6213190000000001E-2</v>
      </c>
      <c r="Z5179">
        <v>3.007324E-3</v>
      </c>
      <c r="AA5179">
        <v>0.99892709999999996</v>
      </c>
      <c r="AB5179">
        <v>32</v>
      </c>
      <c r="AC5179">
        <v>-17.741399999999999</v>
      </c>
      <c r="AD5179">
        <v>-1.12045905515299</v>
      </c>
      <c r="AE5179">
        <v>0.37619999999998199</v>
      </c>
      <c r="AF5179">
        <v>0.83360158068950396</v>
      </c>
      <c r="AG5179">
        <v>-1.12045905515299</v>
      </c>
      <c r="AH5179">
        <v>17.655253827178701</v>
      </c>
      <c r="AI5179">
        <v>93.6272740169386</v>
      </c>
      <c r="AJ5179">
        <v>87.296758893896893</v>
      </c>
      <c r="AK5179">
        <v>17.710401118882299</v>
      </c>
      <c r="AL5179">
        <v>95.401592236677104</v>
      </c>
      <c r="AM5179">
        <v>89.657841639461694</v>
      </c>
      <c r="AN5179">
        <v>1.0000000029461</v>
      </c>
    </row>
    <row r="5180" spans="1:40" x14ac:dyDescent="0.25">
      <c r="A5180" t="str">
        <f>"20190303154242907"</f>
        <v>20190303154242907</v>
      </c>
      <c r="B5180" t="str">
        <f>"1551598962895569"</f>
        <v>1551598962895569</v>
      </c>
      <c r="C5180" t="s">
        <v>40</v>
      </c>
      <c r="D5180">
        <v>5.9157520000000003</v>
      </c>
      <c r="E5180">
        <v>0.51517460000000004</v>
      </c>
      <c r="F5180" t="s">
        <v>41</v>
      </c>
      <c r="G5180">
        <v>-264.16120000000001</v>
      </c>
      <c r="H5180" s="1">
        <v>-3.0238479999999998E-6</v>
      </c>
      <c r="I5180">
        <v>141.63319999999999</v>
      </c>
      <c r="J5180">
        <v>-246.69810000000001</v>
      </c>
      <c r="K5180">
        <v>1.120471</v>
      </c>
      <c r="L5180">
        <v>141.2577</v>
      </c>
      <c r="M5180">
        <v>-0.99958539999999996</v>
      </c>
      <c r="N5180">
        <v>-1.273024E-2</v>
      </c>
      <c r="O5180">
        <v>-2.5828759999999999E-2</v>
      </c>
      <c r="P5180">
        <v>-0.99411780000000005</v>
      </c>
      <c r="Q5180">
        <v>-0.1065783</v>
      </c>
      <c r="R5180">
        <v>-1.9264719999999999E-2</v>
      </c>
      <c r="S5180">
        <v>-2.9987949999999999</v>
      </c>
      <c r="T5180">
        <v>-0.1886766</v>
      </c>
      <c r="U5180">
        <v>6.1767580000000002E-2</v>
      </c>
      <c r="V5180">
        <v>6.3908169999999896E-3</v>
      </c>
      <c r="W5180">
        <v>-9.3914209999999998E-2</v>
      </c>
      <c r="X5180">
        <v>0.99555979999999999</v>
      </c>
      <c r="Y5180">
        <v>4.6269119999999997E-2</v>
      </c>
      <c r="Z5180">
        <v>3.0436230000000001E-3</v>
      </c>
      <c r="AA5180">
        <v>0.99892440000000005</v>
      </c>
      <c r="AB5180">
        <v>32</v>
      </c>
      <c r="AC5180">
        <v>-17.463099999999901</v>
      </c>
      <c r="AD5180">
        <v>-1.120474023848</v>
      </c>
      <c r="AE5180">
        <v>0.37549999999998801</v>
      </c>
      <c r="AF5180">
        <v>0.82307456628507303</v>
      </c>
      <c r="AG5180">
        <v>-1.120474023848</v>
      </c>
      <c r="AH5180">
        <v>17.376072622377499</v>
      </c>
      <c r="AI5180">
        <v>93.685416649584795</v>
      </c>
      <c r="AJ5180">
        <v>87.288024948187896</v>
      </c>
      <c r="AK5180">
        <v>17.431603872217799</v>
      </c>
      <c r="AL5180">
        <v>95.388829125841696</v>
      </c>
      <c r="AM5180">
        <v>89.6322051048693</v>
      </c>
      <c r="AN5180">
        <v>1.0000000183789399</v>
      </c>
    </row>
    <row r="5181" spans="1:40" x14ac:dyDescent="0.25">
      <c r="A5181" t="str">
        <f>"20190303154242927"</f>
        <v>20190303154242927</v>
      </c>
      <c r="B5181" t="str">
        <f>"1551598962924849"</f>
        <v>1551598962924849</v>
      </c>
      <c r="C5181" t="s">
        <v>40</v>
      </c>
      <c r="D5181">
        <v>5.6932580000000002</v>
      </c>
      <c r="E5181">
        <v>0.51492550000000004</v>
      </c>
      <c r="F5181" t="s">
        <v>41</v>
      </c>
      <c r="G5181">
        <v>-264.48520000000002</v>
      </c>
      <c r="H5181" s="1">
        <v>-2.8832670000000001E-6</v>
      </c>
      <c r="I5181">
        <v>141.62729999999999</v>
      </c>
      <c r="J5181">
        <v>-247.0035</v>
      </c>
      <c r="K5181">
        <v>1.1204769999999999</v>
      </c>
      <c r="L5181">
        <v>141.2499</v>
      </c>
      <c r="M5181">
        <v>-0.99958599999999997</v>
      </c>
      <c r="N5181">
        <v>-1.2945119999999999E-2</v>
      </c>
      <c r="O5181">
        <v>-2.5700500000000001E-2</v>
      </c>
      <c r="P5181">
        <v>-0.99415560000000003</v>
      </c>
      <c r="Q5181">
        <v>-0.10627010000000001</v>
      </c>
      <c r="R5181">
        <v>-1.9014969999999999E-2</v>
      </c>
      <c r="S5181">
        <v>-2.998688</v>
      </c>
      <c r="T5181">
        <v>-0.18889819999999999</v>
      </c>
      <c r="U5181">
        <v>6.2332150000000003E-2</v>
      </c>
      <c r="V5181">
        <v>6.5141349999999999E-3</v>
      </c>
      <c r="W5181">
        <v>-9.3391710000000003E-2</v>
      </c>
      <c r="X5181">
        <v>0.99560820000000005</v>
      </c>
      <c r="Y5181">
        <v>4.6329370000000002E-2</v>
      </c>
      <c r="Z5181">
        <v>3.0426450000000001E-3</v>
      </c>
      <c r="AA5181">
        <v>0.99892159999999997</v>
      </c>
      <c r="AB5181">
        <v>32</v>
      </c>
      <c r="AC5181">
        <v>-17.4817</v>
      </c>
      <c r="AD5181">
        <v>-1.120479883267</v>
      </c>
      <c r="AE5181">
        <v>0.37739999999999402</v>
      </c>
      <c r="AF5181">
        <v>0.82322104331165902</v>
      </c>
      <c r="AG5181">
        <v>-1.120479883267</v>
      </c>
      <c r="AH5181">
        <v>17.394798182881399</v>
      </c>
      <c r="AI5181">
        <v>93.681486784667598</v>
      </c>
      <c r="AJ5181">
        <v>87.290458652494095</v>
      </c>
      <c r="AK5181">
        <v>17.450277128978001</v>
      </c>
      <c r="AL5181">
        <v>95.358759664605898</v>
      </c>
      <c r="AM5181">
        <v>89.625126513728603</v>
      </c>
      <c r="AN5181">
        <v>1.00000006667937</v>
      </c>
    </row>
    <row r="5182" spans="1:40" x14ac:dyDescent="0.25">
      <c r="A5182" t="str">
        <f>"20190303154242949"</f>
        <v>20190303154242949</v>
      </c>
      <c r="B5182" t="str">
        <f>"1551598962944877"</f>
        <v>1551598962944877</v>
      </c>
      <c r="C5182" t="s">
        <v>40</v>
      </c>
      <c r="D5182">
        <v>5.7228139999999996</v>
      </c>
      <c r="E5182">
        <v>0.51474979999999904</v>
      </c>
      <c r="F5182" t="s">
        <v>41</v>
      </c>
      <c r="G5182">
        <v>-264.88580000000002</v>
      </c>
      <c r="H5182" s="1">
        <v>-2.7079890000000001E-6</v>
      </c>
      <c r="I5182">
        <v>141.61449999999999</v>
      </c>
      <c r="J5182">
        <v>-247.30670000000001</v>
      </c>
      <c r="K5182">
        <v>1.120493</v>
      </c>
      <c r="L5182">
        <v>141.2423</v>
      </c>
      <c r="M5182">
        <v>-0.9995868</v>
      </c>
      <c r="N5182">
        <v>-1.3131139999999999E-2</v>
      </c>
      <c r="O5182">
        <v>-2.5573390000000001E-2</v>
      </c>
      <c r="P5182">
        <v>-0.99415480000000001</v>
      </c>
      <c r="Q5182">
        <v>-0.10628559999999999</v>
      </c>
      <c r="R5182">
        <v>-1.8967769999999998E-2</v>
      </c>
      <c r="S5182">
        <v>-2.9987490000000001</v>
      </c>
      <c r="T5182">
        <v>-0.18789819999999999</v>
      </c>
      <c r="U5182">
        <v>6.1141969999999997E-2</v>
      </c>
      <c r="V5182">
        <v>6.4351620000000003E-3</v>
      </c>
      <c r="W5182">
        <v>-9.3221960000000006E-2</v>
      </c>
      <c r="X5182">
        <v>0.99562450000000002</v>
      </c>
      <c r="Y5182">
        <v>4.5808550000000003E-2</v>
      </c>
      <c r="Z5182">
        <v>2.999865E-3</v>
      </c>
      <c r="AA5182">
        <v>0.99894570000000005</v>
      </c>
      <c r="AB5182">
        <v>31</v>
      </c>
      <c r="AC5182">
        <v>-17.5791</v>
      </c>
      <c r="AD5182">
        <v>-1.1204957079889999</v>
      </c>
      <c r="AE5182">
        <v>0.37219999999999198</v>
      </c>
      <c r="AF5182">
        <v>0.818350830248051</v>
      </c>
      <c r="AG5182">
        <v>-1.1204957079889999</v>
      </c>
      <c r="AH5182">
        <v>17.4927923376957</v>
      </c>
      <c r="AI5182">
        <v>93.661064170880707</v>
      </c>
      <c r="AJ5182">
        <v>87.321531821495597</v>
      </c>
      <c r="AK5182">
        <v>17.547734682366698</v>
      </c>
      <c r="AL5182">
        <v>95.348991742697905</v>
      </c>
      <c r="AM5182">
        <v>89.629677163605606</v>
      </c>
      <c r="AN5182">
        <v>0.99999994506822698</v>
      </c>
    </row>
    <row r="5183" spans="1:40" x14ac:dyDescent="0.25">
      <c r="A5183" t="str">
        <f>"20190303154242970"</f>
        <v>20190303154242970</v>
      </c>
      <c r="B5183" t="str">
        <f>"1551598962965372"</f>
        <v>1551598962965372</v>
      </c>
      <c r="C5183" t="s">
        <v>40</v>
      </c>
      <c r="D5183">
        <v>5.777533</v>
      </c>
      <c r="E5183">
        <v>0.4628872</v>
      </c>
      <c r="F5183" t="s">
        <v>41</v>
      </c>
      <c r="G5183">
        <v>-265.19380000000001</v>
      </c>
      <c r="H5183" s="1">
        <v>-2.5714239999999999E-6</v>
      </c>
      <c r="I5183">
        <v>141.59780000000001</v>
      </c>
      <c r="J5183">
        <v>-247.6035</v>
      </c>
      <c r="K5183">
        <v>1.1205039999999999</v>
      </c>
      <c r="L5183">
        <v>141.23480000000001</v>
      </c>
      <c r="M5183">
        <v>-0.99958780000000003</v>
      </c>
      <c r="N5183">
        <v>-1.3289759999999999E-2</v>
      </c>
      <c r="O5183">
        <v>-2.5448990000000001E-2</v>
      </c>
      <c r="P5183">
        <v>-0.99412140000000004</v>
      </c>
      <c r="Q5183">
        <v>-0.1064546</v>
      </c>
      <c r="R5183">
        <v>-1.9746690000000001E-2</v>
      </c>
      <c r="S5183">
        <v>-2.998672</v>
      </c>
      <c r="T5183">
        <v>-0.1878456</v>
      </c>
      <c r="U5183">
        <v>5.9616089999999997E-2</v>
      </c>
      <c r="V5183">
        <v>5.5318240000000003E-3</v>
      </c>
      <c r="W5183">
        <v>-9.3232919999999997E-2</v>
      </c>
      <c r="X5183">
        <v>0.99562899999999999</v>
      </c>
      <c r="Y5183">
        <v>4.5178370000000002E-2</v>
      </c>
      <c r="Z5183">
        <v>2.968647E-3</v>
      </c>
      <c r="AA5183">
        <v>0.99897449999999999</v>
      </c>
      <c r="AB5183">
        <v>31</v>
      </c>
      <c r="AC5183">
        <v>-17.590299999999999</v>
      </c>
      <c r="AD5183">
        <v>-1.1205065714239999</v>
      </c>
      <c r="AE5183">
        <v>0.36299999999999899</v>
      </c>
      <c r="AF5183">
        <v>0.80730289230514596</v>
      </c>
      <c r="AG5183">
        <v>-1.1205065714239999</v>
      </c>
      <c r="AH5183">
        <v>17.504365464217098</v>
      </c>
      <c r="AI5183">
        <v>93.658797561496698</v>
      </c>
      <c r="AJ5183">
        <v>87.359384742660396</v>
      </c>
      <c r="AK5183">
        <v>17.558760868620698</v>
      </c>
      <c r="AL5183">
        <v>95.349621931013502</v>
      </c>
      <c r="AM5183">
        <v>89.681661636197006</v>
      </c>
      <c r="AN5183">
        <v>1.0000000420447399</v>
      </c>
    </row>
    <row r="5184" spans="1:40" x14ac:dyDescent="0.25">
      <c r="A5184" t="str">
        <f>"20190303154242994"</f>
        <v>20190303154242994</v>
      </c>
      <c r="B5184" t="str">
        <f>"1551598962985869"</f>
        <v>1551598962985869</v>
      </c>
      <c r="C5184" t="s">
        <v>40</v>
      </c>
      <c r="D5184">
        <v>5.6191360000000001</v>
      </c>
      <c r="E5184">
        <v>0.44298399999999999</v>
      </c>
      <c r="F5184" t="s">
        <v>41</v>
      </c>
      <c r="G5184">
        <v>-260.22710000000001</v>
      </c>
      <c r="H5184" s="1">
        <v>-4.205076E-6</v>
      </c>
      <c r="I5184">
        <v>139.72980000000001</v>
      </c>
      <c r="J5184">
        <v>-247.93510000000001</v>
      </c>
      <c r="K5184">
        <v>1.120512</v>
      </c>
      <c r="L5184">
        <v>141.22649999999999</v>
      </c>
      <c r="M5184">
        <v>-0.99958930000000001</v>
      </c>
      <c r="N5184">
        <v>-1.344362E-2</v>
      </c>
      <c r="O5184">
        <v>-2.5309789999999999E-2</v>
      </c>
      <c r="P5184">
        <v>-0.99406369999999999</v>
      </c>
      <c r="Q5184">
        <v>-0.1069069</v>
      </c>
      <c r="R5184">
        <v>-2.020605E-2</v>
      </c>
      <c r="S5184">
        <v>-2.9823149999999998</v>
      </c>
      <c r="T5184">
        <v>-0.26472119999999999</v>
      </c>
      <c r="U5184">
        <v>-0.355545</v>
      </c>
      <c r="V5184">
        <v>4.9327499999999996E-3</v>
      </c>
      <c r="W5184">
        <v>-9.3532400000000002E-2</v>
      </c>
      <c r="X5184">
        <v>0.99560400000000004</v>
      </c>
      <c r="Y5184">
        <v>-9.2862959999999994E-2</v>
      </c>
      <c r="Z5184">
        <v>-2.8321129999999998E-3</v>
      </c>
      <c r="AA5184">
        <v>0.99567479999999997</v>
      </c>
      <c r="AB5184">
        <v>31</v>
      </c>
      <c r="AC5184">
        <v>-12.292</v>
      </c>
      <c r="AD5184">
        <v>-1.120516205076</v>
      </c>
      <c r="AE5184">
        <v>-1.4966999999999699</v>
      </c>
      <c r="AF5184">
        <v>-1.17545926912847</v>
      </c>
      <c r="AG5184">
        <v>-1.120516205076</v>
      </c>
      <c r="AH5184">
        <v>12.2258360439676</v>
      </c>
      <c r="AI5184">
        <v>95.212710004564499</v>
      </c>
      <c r="AJ5184">
        <v>95.491851433509396</v>
      </c>
      <c r="AK5184">
        <v>12.333220505334101</v>
      </c>
      <c r="AL5184">
        <v>95.366856494990401</v>
      </c>
      <c r="AM5184">
        <v>89.716128657724994</v>
      </c>
      <c r="AN5184">
        <v>0.99999998334416096</v>
      </c>
    </row>
    <row r="5185" spans="1:40" x14ac:dyDescent="0.25">
      <c r="A5185" t="str">
        <f>"20190303154243016"</f>
        <v>20190303154243016</v>
      </c>
      <c r="B5185" t="str">
        <f>"1551598963005391"</f>
        <v>1551598963005391</v>
      </c>
      <c r="C5185" t="s">
        <v>40</v>
      </c>
      <c r="D5185">
        <v>5.7209320000000004</v>
      </c>
      <c r="E5185">
        <v>0.4314171</v>
      </c>
      <c r="F5185" t="s">
        <v>41</v>
      </c>
      <c r="G5185">
        <v>-261.49950000000001</v>
      </c>
      <c r="H5185" s="1">
        <v>-3.7597819999999999E-6</v>
      </c>
      <c r="I5185">
        <v>138.87899999999999</v>
      </c>
      <c r="J5185">
        <v>-248.24189999999999</v>
      </c>
      <c r="K5185">
        <v>1.120519</v>
      </c>
      <c r="L5185">
        <v>141.21889999999999</v>
      </c>
      <c r="M5185">
        <v>-0.99959100000000001</v>
      </c>
      <c r="N5185">
        <v>-1.356578E-2</v>
      </c>
      <c r="O5185">
        <v>-2.5180879999999999E-2</v>
      </c>
      <c r="P5185">
        <v>-0.99403090000000005</v>
      </c>
      <c r="Q5185">
        <v>-0.107166899999999</v>
      </c>
      <c r="R5185">
        <v>-2.0451190000000001E-2</v>
      </c>
      <c r="S5185">
        <v>-2.9809420000000002</v>
      </c>
      <c r="T5185">
        <v>-0.2462482</v>
      </c>
      <c r="U5185">
        <v>-0.51588440000000002</v>
      </c>
      <c r="V5185">
        <v>4.558805E-3</v>
      </c>
      <c r="W5185">
        <v>-9.3670929999999999E-2</v>
      </c>
      <c r="X5185">
        <v>0.99559280000000006</v>
      </c>
      <c r="Y5185">
        <v>-0.14515520000000001</v>
      </c>
      <c r="Z5185">
        <v>-5.2138710000000001E-3</v>
      </c>
      <c r="AA5185">
        <v>0.98939509999999997</v>
      </c>
      <c r="AB5185">
        <v>31</v>
      </c>
      <c r="AC5185">
        <v>-13.2576</v>
      </c>
      <c r="AD5185">
        <v>-1.120522759782</v>
      </c>
      <c r="AE5185">
        <v>-2.3399000000000001</v>
      </c>
      <c r="AF5185">
        <v>-1.99149271919952</v>
      </c>
      <c r="AG5185">
        <v>-1.120522759782</v>
      </c>
      <c r="AH5185">
        <v>13.2207321934942</v>
      </c>
      <c r="AI5185">
        <v>94.790732473628495</v>
      </c>
      <c r="AJ5185">
        <v>98.566292495202603</v>
      </c>
      <c r="AK5185">
        <v>13.4167572176703</v>
      </c>
      <c r="AL5185">
        <v>95.374828457024705</v>
      </c>
      <c r="AM5185">
        <v>89.737645289712901</v>
      </c>
      <c r="AN5185">
        <v>1.0000000246209599</v>
      </c>
    </row>
    <row r="5186" spans="1:40" x14ac:dyDescent="0.25">
      <c r="A5186" t="str">
        <f>"20190303154243037"</f>
        <v>20190303154243037</v>
      </c>
      <c r="B5186" t="str">
        <f>"1551598963024912"</f>
        <v>1551598963024912</v>
      </c>
      <c r="C5186" t="s">
        <v>40</v>
      </c>
      <c r="D5186">
        <v>5.693041</v>
      </c>
      <c r="E5186">
        <v>0.42649579999999998</v>
      </c>
      <c r="F5186" t="s">
        <v>41</v>
      </c>
      <c r="G5186">
        <v>-262.13490000000002</v>
      </c>
      <c r="H5186" s="1">
        <v>-3.5757209999999999E-6</v>
      </c>
      <c r="I5186">
        <v>138.37989999999999</v>
      </c>
      <c r="J5186">
        <v>-248.54339999999999</v>
      </c>
      <c r="K5186">
        <v>1.1205259999999999</v>
      </c>
      <c r="L5186">
        <v>141.2114</v>
      </c>
      <c r="M5186">
        <v>-0.9995927</v>
      </c>
      <c r="N5186">
        <v>-1.3668649999999999E-2</v>
      </c>
      <c r="O5186">
        <v>-2.5053889999999999E-2</v>
      </c>
      <c r="P5186">
        <v>-0.99403839999999999</v>
      </c>
      <c r="Q5186">
        <v>-0.10711229999999999</v>
      </c>
      <c r="R5186">
        <v>-2.0364879999999998E-2</v>
      </c>
      <c r="S5186">
        <v>-2.979584</v>
      </c>
      <c r="T5186">
        <v>-0.2403159</v>
      </c>
      <c r="U5186">
        <v>-0.60887150000000001</v>
      </c>
      <c r="V5186">
        <v>4.5190150000000004E-3</v>
      </c>
      <c r="W5186">
        <v>-9.3513819999999998E-2</v>
      </c>
      <c r="X5186">
        <v>0.99560769999999998</v>
      </c>
      <c r="Y5186">
        <v>-0.17501169999999999</v>
      </c>
      <c r="Z5186">
        <v>-6.5284180000000002E-3</v>
      </c>
      <c r="AA5186">
        <v>0.98454470000000005</v>
      </c>
      <c r="AB5186">
        <v>31</v>
      </c>
      <c r="AC5186">
        <v>-13.5915</v>
      </c>
      <c r="AD5186">
        <v>-1.1205295757210001</v>
      </c>
      <c r="AE5186">
        <v>-2.8315000000000001</v>
      </c>
      <c r="AF5186">
        <v>-2.4739435399167098</v>
      </c>
      <c r="AG5186">
        <v>-1.1205295757210001</v>
      </c>
      <c r="AH5186">
        <v>13.569783373487899</v>
      </c>
      <c r="AI5186">
        <v>94.644299769651795</v>
      </c>
      <c r="AJ5186">
        <v>100.33226995503399</v>
      </c>
      <c r="AK5186">
        <v>13.8388946080296</v>
      </c>
      <c r="AL5186">
        <v>95.365787302424593</v>
      </c>
      <c r="AM5186">
        <v>89.739939025202304</v>
      </c>
      <c r="AN5186">
        <v>0.99999997416342501</v>
      </c>
    </row>
    <row r="5187" spans="1:40" x14ac:dyDescent="0.25">
      <c r="A5187" t="str">
        <f>"20190303154243061"</f>
        <v>20190303154243061</v>
      </c>
      <c r="B5187" t="str">
        <f>"1551598963055164"</f>
        <v>1551598963055164</v>
      </c>
      <c r="C5187" t="s">
        <v>40</v>
      </c>
      <c r="D5187">
        <v>5.6437599999999897</v>
      </c>
      <c r="E5187">
        <v>0.42256949999999999</v>
      </c>
      <c r="F5187" t="s">
        <v>41</v>
      </c>
      <c r="G5187">
        <v>-262.12130000000002</v>
      </c>
      <c r="H5187" s="1">
        <v>-3.603122E-6</v>
      </c>
      <c r="I5187">
        <v>138.25829999999999</v>
      </c>
      <c r="J5187">
        <v>-248.86279999999999</v>
      </c>
      <c r="K5187">
        <v>1.1205290000000001</v>
      </c>
      <c r="L5187">
        <v>141.20359999999999</v>
      </c>
      <c r="M5187">
        <v>-0.99959469999999995</v>
      </c>
      <c r="N5187">
        <v>-1.376228E-2</v>
      </c>
      <c r="O5187">
        <v>-2.4919449999999999E-2</v>
      </c>
      <c r="P5187">
        <v>-0.99402259999999998</v>
      </c>
      <c r="Q5187">
        <v>-0.10737089999999901</v>
      </c>
      <c r="R5187">
        <v>-1.9762559999999998E-2</v>
      </c>
      <c r="S5187">
        <v>-2.9782259999999998</v>
      </c>
      <c r="T5187">
        <v>-0.24578140000000001</v>
      </c>
      <c r="U5187">
        <v>-0.64775090000000002</v>
      </c>
      <c r="V5187">
        <v>4.9871469999999999E-3</v>
      </c>
      <c r="W5187">
        <v>-9.3679730000000003E-2</v>
      </c>
      <c r="X5187">
        <v>0.99558990000000003</v>
      </c>
      <c r="Y5187">
        <v>-0.18745120000000001</v>
      </c>
      <c r="Z5187">
        <v>-7.2511069999999997E-3</v>
      </c>
      <c r="AA5187">
        <v>0.98224719999999999</v>
      </c>
      <c r="AB5187">
        <v>31</v>
      </c>
      <c r="AC5187">
        <v>-13.2585</v>
      </c>
      <c r="AD5187">
        <v>-1.120532603122</v>
      </c>
      <c r="AE5187">
        <v>-2.9453</v>
      </c>
      <c r="AF5187">
        <v>-2.59628705900665</v>
      </c>
      <c r="AG5187">
        <v>-1.120532603122</v>
      </c>
      <c r="AH5187">
        <v>13.2376784242454</v>
      </c>
      <c r="AI5187">
        <v>94.748355300396497</v>
      </c>
      <c r="AJ5187">
        <v>101.096489857259</v>
      </c>
      <c r="AK5187">
        <v>13.5363373876081</v>
      </c>
      <c r="AL5187">
        <v>95.375334985974703</v>
      </c>
      <c r="AM5187">
        <v>89.712994190727798</v>
      </c>
      <c r="AN5187">
        <v>1.00000000621504</v>
      </c>
    </row>
    <row r="5188" spans="1:40" x14ac:dyDescent="0.25">
      <c r="A5188" t="str">
        <f>"20190303154243083"</f>
        <v>20190303154243083</v>
      </c>
      <c r="B5188" t="str">
        <f>"1551598963075661"</f>
        <v>1551598963075661</v>
      </c>
      <c r="C5188" t="s">
        <v>40</v>
      </c>
      <c r="D5188">
        <v>5.6619580000000003</v>
      </c>
      <c r="E5188">
        <v>0.42066150000000002</v>
      </c>
      <c r="F5188" t="s">
        <v>41</v>
      </c>
      <c r="G5188">
        <v>-262.16809999999998</v>
      </c>
      <c r="H5188" s="1">
        <v>-3.5973790000000001E-6</v>
      </c>
      <c r="I5188">
        <v>138.17740000000001</v>
      </c>
      <c r="J5188">
        <v>-249.1798</v>
      </c>
      <c r="K5188">
        <v>1.1205449999999999</v>
      </c>
      <c r="L5188">
        <v>141.19579999999999</v>
      </c>
      <c r="M5188">
        <v>-0.99959710000000002</v>
      </c>
      <c r="N5188">
        <v>-1.384207E-2</v>
      </c>
      <c r="O5188">
        <v>-2.4786590000000001E-2</v>
      </c>
      <c r="P5188">
        <v>-0.99402120000000005</v>
      </c>
      <c r="Q5188">
        <v>-0.107504</v>
      </c>
      <c r="R5188">
        <v>-1.910717E-2</v>
      </c>
      <c r="S5188">
        <v>-2.9775239999999998</v>
      </c>
      <c r="T5188">
        <v>-0.25075809999999998</v>
      </c>
      <c r="U5188">
        <v>-0.67720029999999998</v>
      </c>
      <c r="V5188">
        <v>5.5103039999999997E-3</v>
      </c>
      <c r="W5188">
        <v>-9.3733759999999999E-2</v>
      </c>
      <c r="X5188">
        <v>0.99558199999999997</v>
      </c>
      <c r="Y5188">
        <v>-0.19681679999999999</v>
      </c>
      <c r="Z5188">
        <v>-7.8338829999999998E-3</v>
      </c>
      <c r="AA5188">
        <v>0.98040899999999997</v>
      </c>
      <c r="AB5188">
        <v>31</v>
      </c>
      <c r="AC5188">
        <v>-12.988299999999899</v>
      </c>
      <c r="AD5188">
        <v>-1.1205485973789999</v>
      </c>
      <c r="AE5188">
        <v>-3.0183999999999802</v>
      </c>
      <c r="AF5188">
        <v>-2.6766044521764099</v>
      </c>
      <c r="AG5188">
        <v>-1.1205485973789999</v>
      </c>
      <c r="AH5188">
        <v>12.967557917494799</v>
      </c>
      <c r="AI5188">
        <v>94.837286659491497</v>
      </c>
      <c r="AJ5188">
        <v>101.662509924852</v>
      </c>
      <c r="AK5188">
        <v>13.2882428821903</v>
      </c>
      <c r="AL5188">
        <v>95.378444662061199</v>
      </c>
      <c r="AM5188">
        <v>89.682885046887506</v>
      </c>
      <c r="AN5188">
        <v>0.99999994996895303</v>
      </c>
    </row>
    <row r="5189" spans="1:40" x14ac:dyDescent="0.25">
      <c r="A5189" t="str">
        <f>"20190303154243106"</f>
        <v>20190303154243106</v>
      </c>
      <c r="B5189" t="str">
        <f>"1551598963095179"</f>
        <v>1551598963095179</v>
      </c>
      <c r="C5189" t="s">
        <v>40</v>
      </c>
      <c r="D5189">
        <v>5.6988849999999998</v>
      </c>
      <c r="E5189">
        <v>0.41988160000000002</v>
      </c>
      <c r="F5189" t="s">
        <v>41</v>
      </c>
      <c r="G5189">
        <v>-262.38369999999998</v>
      </c>
      <c r="H5189" s="1">
        <v>-3.512644E-6</v>
      </c>
      <c r="I5189">
        <v>138.1336</v>
      </c>
      <c r="J5189">
        <v>-249.50659999999999</v>
      </c>
      <c r="K5189">
        <v>1.1205560000000001</v>
      </c>
      <c r="L5189">
        <v>141.18790000000001</v>
      </c>
      <c r="M5189">
        <v>-0.99959940000000003</v>
      </c>
      <c r="N5189">
        <v>-1.391266E-2</v>
      </c>
      <c r="O5189">
        <v>-2.465154E-2</v>
      </c>
      <c r="P5189">
        <v>-0.99407140000000005</v>
      </c>
      <c r="Q5189">
        <v>-0.1071706</v>
      </c>
      <c r="R5189">
        <v>-1.8359230000000001E-2</v>
      </c>
      <c r="S5189">
        <v>-2.9774479999999999</v>
      </c>
      <c r="T5189">
        <v>-0.25268109999999999</v>
      </c>
      <c r="U5189">
        <v>-0.69050599999999995</v>
      </c>
      <c r="V5189">
        <v>6.1254389999999999E-3</v>
      </c>
      <c r="W5189">
        <v>-9.3329850000000006E-2</v>
      </c>
      <c r="X5189">
        <v>0.99561639999999996</v>
      </c>
      <c r="Y5189">
        <v>-0.20108719999999999</v>
      </c>
      <c r="Z5189">
        <v>-8.1051649999999992E-3</v>
      </c>
      <c r="AA5189">
        <v>0.97953979999999996</v>
      </c>
      <c r="AB5189">
        <v>31</v>
      </c>
      <c r="AC5189">
        <v>-12.877099999999899</v>
      </c>
      <c r="AD5189">
        <v>-1.12055951264399</v>
      </c>
      <c r="AE5189">
        <v>-3.0543000000000098</v>
      </c>
      <c r="AF5189">
        <v>-2.7164263124929802</v>
      </c>
      <c r="AG5189">
        <v>-1.12055951264399</v>
      </c>
      <c r="AH5189">
        <v>12.856318429082201</v>
      </c>
      <c r="AI5189">
        <v>94.874244718740698</v>
      </c>
      <c r="AJ5189">
        <v>101.93061355479099</v>
      </c>
      <c r="AK5189">
        <v>13.187856121543801</v>
      </c>
      <c r="AL5189">
        <v>95.355200163548801</v>
      </c>
      <c r="AM5189">
        <v>89.647497395334298</v>
      </c>
      <c r="AN5189">
        <v>0.99999999892646196</v>
      </c>
    </row>
    <row r="5190" spans="1:40" x14ac:dyDescent="0.25">
      <c r="A5190" t="str">
        <f>"20190303154243128"</f>
        <v>20190303154243128</v>
      </c>
      <c r="B5190" t="str">
        <f>"1551598963125436"</f>
        <v>1551598963125436</v>
      </c>
      <c r="C5190" t="s">
        <v>40</v>
      </c>
      <c r="D5190">
        <v>5.6953149999999999</v>
      </c>
      <c r="E5190">
        <v>0.41801110000000002</v>
      </c>
      <c r="F5190" t="s">
        <v>41</v>
      </c>
      <c r="G5190">
        <v>-262.9699</v>
      </c>
      <c r="H5190" s="1">
        <v>-3.2763700000000001E-6</v>
      </c>
      <c r="I5190">
        <v>138.048</v>
      </c>
      <c r="J5190">
        <v>-249.80760000000001</v>
      </c>
      <c r="K5190">
        <v>1.1205689999999999</v>
      </c>
      <c r="L5190">
        <v>141.1806</v>
      </c>
      <c r="M5190">
        <v>-0.99960159999999998</v>
      </c>
      <c r="N5190">
        <v>-1.3968410000000001E-2</v>
      </c>
      <c r="O5190">
        <v>-2.4530119999999999E-2</v>
      </c>
      <c r="P5190">
        <v>-0.99403660000000005</v>
      </c>
      <c r="Q5190">
        <v>-0.1075675</v>
      </c>
      <c r="R5190">
        <v>-1.7921050000000001E-2</v>
      </c>
      <c r="S5190">
        <v>-2.978348</v>
      </c>
      <c r="T5190">
        <v>-0.24789079999999999</v>
      </c>
      <c r="U5190">
        <v>-0.69459530000000003</v>
      </c>
      <c r="V5190">
        <v>6.4422239999999999E-3</v>
      </c>
      <c r="W5190">
        <v>-9.3671850000000001E-2</v>
      </c>
      <c r="X5190">
        <v>0.99558230000000003</v>
      </c>
      <c r="Y5190">
        <v>-0.20243659999999999</v>
      </c>
      <c r="Z5190">
        <v>-8.0627530000000006E-3</v>
      </c>
      <c r="AA5190">
        <v>0.97926219999999997</v>
      </c>
      <c r="AB5190">
        <v>31</v>
      </c>
      <c r="AC5190">
        <v>-13.162299999999901</v>
      </c>
      <c r="AD5190">
        <v>-1.1205722763699999</v>
      </c>
      <c r="AE5190">
        <v>-3.1325999999999898</v>
      </c>
      <c r="AF5190">
        <v>-2.7896177387229999</v>
      </c>
      <c r="AG5190">
        <v>-1.1205722763699999</v>
      </c>
      <c r="AH5190">
        <v>13.1450217928766</v>
      </c>
      <c r="AI5190">
        <v>94.766853082075102</v>
      </c>
      <c r="AJ5190">
        <v>101.981470395127</v>
      </c>
      <c r="AK5190">
        <v>13.4844075616976</v>
      </c>
      <c r="AL5190">
        <v>95.374881443536196</v>
      </c>
      <c r="AM5190">
        <v>89.629255065843793</v>
      </c>
      <c r="AN5190">
        <v>1.00000001690288</v>
      </c>
    </row>
    <row r="5191" spans="1:40" x14ac:dyDescent="0.25">
      <c r="A5191" t="str">
        <f>"20190303154243149"</f>
        <v>20190303154243149</v>
      </c>
      <c r="B5191" t="str">
        <f>"1551598963144956"</f>
        <v>1551598963144956</v>
      </c>
      <c r="C5191" t="s">
        <v>40</v>
      </c>
      <c r="D5191">
        <v>5.6311019999999896</v>
      </c>
      <c r="E5191">
        <v>0.4169581</v>
      </c>
      <c r="F5191" t="s">
        <v>41</v>
      </c>
      <c r="G5191">
        <v>-263.08589999999998</v>
      </c>
      <c r="H5191" s="1">
        <v>-3.2310500000000002E-6</v>
      </c>
      <c r="I5191">
        <v>138.023</v>
      </c>
      <c r="J5191">
        <v>-250.09780000000001</v>
      </c>
      <c r="K5191">
        <v>1.120584</v>
      </c>
      <c r="L5191">
        <v>141.17359999999999</v>
      </c>
      <c r="M5191">
        <v>-0.99960360000000004</v>
      </c>
      <c r="N5191">
        <v>-1.401473E-2</v>
      </c>
      <c r="O5191">
        <v>-2.4416630000000002E-2</v>
      </c>
      <c r="P5191">
        <v>-0.99407900000000005</v>
      </c>
      <c r="Q5191">
        <v>-0.1072859</v>
      </c>
      <c r="R5191">
        <v>-1.7228230000000001E-2</v>
      </c>
      <c r="S5191">
        <v>-2.978027</v>
      </c>
      <c r="T5191">
        <v>-0.25132019999999999</v>
      </c>
      <c r="U5191">
        <v>-0.70817569999999996</v>
      </c>
      <c r="V5191">
        <v>7.0236550000000002E-3</v>
      </c>
      <c r="W5191">
        <v>-9.3343979999999993E-2</v>
      </c>
      <c r="X5191">
        <v>0.99560919999999997</v>
      </c>
      <c r="Y5191">
        <v>-0.20676459999999999</v>
      </c>
      <c r="Z5191">
        <v>-8.3718379999999995E-3</v>
      </c>
      <c r="AA5191">
        <v>0.97835490000000003</v>
      </c>
      <c r="AB5191">
        <v>31</v>
      </c>
      <c r="AC5191">
        <v>-12.9880999999999</v>
      </c>
      <c r="AD5191">
        <v>-1.12058723105</v>
      </c>
      <c r="AE5191">
        <v>-3.1505999999999901</v>
      </c>
      <c r="AF5191">
        <v>-2.81272964716901</v>
      </c>
      <c r="AG5191">
        <v>-1.12058723105</v>
      </c>
      <c r="AH5191">
        <v>12.9699799606277</v>
      </c>
      <c r="AI5191">
        <v>94.826368383943901</v>
      </c>
      <c r="AJ5191">
        <v>102.235955016147</v>
      </c>
      <c r="AK5191">
        <v>13.3186915269309</v>
      </c>
      <c r="AL5191">
        <v>95.356013002857694</v>
      </c>
      <c r="AM5191">
        <v>89.595806153152097</v>
      </c>
      <c r="AN5191">
        <v>1.00000005472821</v>
      </c>
    </row>
    <row r="5192" spans="1:40" x14ac:dyDescent="0.25">
      <c r="A5192" t="str">
        <f>"20190303154243172"</f>
        <v>20190303154243172</v>
      </c>
      <c r="B5192" t="str">
        <f>"1551598963165452"</f>
        <v>1551598963165452</v>
      </c>
      <c r="C5192" t="s">
        <v>40</v>
      </c>
      <c r="D5192">
        <v>5.6775479999999998</v>
      </c>
      <c r="E5192">
        <v>0.41592240000000003</v>
      </c>
      <c r="F5192" t="s">
        <v>41</v>
      </c>
      <c r="G5192">
        <v>-263.40679999999998</v>
      </c>
      <c r="H5192" s="1">
        <v>-3.1007729999999999E-6</v>
      </c>
      <c r="I5192">
        <v>137.9812</v>
      </c>
      <c r="J5192">
        <v>-250.4161</v>
      </c>
      <c r="K5192">
        <v>1.1205989999999999</v>
      </c>
      <c r="L5192">
        <v>141.16589999999999</v>
      </c>
      <c r="M5192">
        <v>-0.99960599999999999</v>
      </c>
      <c r="N5192">
        <v>-1.40584E-2</v>
      </c>
      <c r="O5192">
        <v>-2.4298750000000001E-2</v>
      </c>
      <c r="P5192">
        <v>-0.99409899999999995</v>
      </c>
      <c r="Q5192">
        <v>-0.10723729999999999</v>
      </c>
      <c r="R5192">
        <v>-1.6360530000000002E-2</v>
      </c>
      <c r="S5192">
        <v>-2.978424</v>
      </c>
      <c r="T5192">
        <v>-0.25077569999999999</v>
      </c>
      <c r="U5192">
        <v>-0.71441650000000001</v>
      </c>
      <c r="V5192">
        <v>7.7753639999999999E-3</v>
      </c>
      <c r="W5192">
        <v>-9.3252020000000005E-2</v>
      </c>
      <c r="X5192">
        <v>0.99561219999999995</v>
      </c>
      <c r="Y5192">
        <v>-0.20878440000000001</v>
      </c>
      <c r="Z5192">
        <v>-8.4674009999999994E-3</v>
      </c>
      <c r="AA5192">
        <v>0.97792509999999999</v>
      </c>
      <c r="AB5192">
        <v>31</v>
      </c>
      <c r="AC5192">
        <v>-12.990699999999901</v>
      </c>
      <c r="AD5192">
        <v>-1.1206021007729901</v>
      </c>
      <c r="AE5192">
        <v>-3.1846999999999901</v>
      </c>
      <c r="AF5192">
        <v>-2.8480791752485501</v>
      </c>
      <c r="AG5192">
        <v>-1.1206021007729901</v>
      </c>
      <c r="AH5192">
        <v>12.973193338461</v>
      </c>
      <c r="AI5192">
        <v>94.822571203932497</v>
      </c>
      <c r="AJ5192">
        <v>102.382042140916</v>
      </c>
      <c r="AK5192">
        <v>13.3293304203111</v>
      </c>
      <c r="AL5192">
        <v>95.350721164832507</v>
      </c>
      <c r="AM5192">
        <v>89.552550195010795</v>
      </c>
      <c r="AN5192">
        <v>1.00000002415412</v>
      </c>
    </row>
    <row r="5193" spans="1:40" x14ac:dyDescent="0.25">
      <c r="A5193" t="str">
        <f>"20190303154243194"</f>
        <v>20190303154243194</v>
      </c>
      <c r="B5193" t="str">
        <f>"1551598963184972"</f>
        <v>1551598963184972</v>
      </c>
      <c r="C5193" t="s">
        <v>40</v>
      </c>
      <c r="D5193">
        <v>5.6834860000000003</v>
      </c>
      <c r="E5193">
        <v>0.4149544</v>
      </c>
      <c r="F5193" t="s">
        <v>41</v>
      </c>
      <c r="G5193">
        <v>-263.64530000000002</v>
      </c>
      <c r="H5193" s="1">
        <v>-3.0007520000000001E-6</v>
      </c>
      <c r="I5193">
        <v>137.9683</v>
      </c>
      <c r="J5193">
        <v>-250.72450000000001</v>
      </c>
      <c r="K5193">
        <v>1.1206199999999999</v>
      </c>
      <c r="L5193">
        <v>141.15860000000001</v>
      </c>
      <c r="M5193">
        <v>-0.99960800000000005</v>
      </c>
      <c r="N5193">
        <v>-1.409441E-2</v>
      </c>
      <c r="O5193">
        <v>-2.4191810000000001E-2</v>
      </c>
      <c r="P5193">
        <v>-0.99409780000000003</v>
      </c>
      <c r="Q5193">
        <v>-0.1073175</v>
      </c>
      <c r="R5193">
        <v>-1.5901559999999999E-2</v>
      </c>
      <c r="S5193">
        <v>-2.978729</v>
      </c>
      <c r="T5193">
        <v>-0.25231870000000001</v>
      </c>
      <c r="U5193">
        <v>-0.71997069999999996</v>
      </c>
      <c r="V5193">
        <v>8.1291409999999995E-3</v>
      </c>
      <c r="W5193">
        <v>-9.3296489999999996E-2</v>
      </c>
      <c r="X5193">
        <v>0.99560519999999997</v>
      </c>
      <c r="Y5193">
        <v>-0.2105737</v>
      </c>
      <c r="Z5193">
        <v>-8.6057890000000008E-3</v>
      </c>
      <c r="AA5193">
        <v>0.97754010000000002</v>
      </c>
      <c r="AB5193">
        <v>31</v>
      </c>
      <c r="AC5193">
        <v>-12.9208</v>
      </c>
      <c r="AD5193">
        <v>-1.1206230007519999</v>
      </c>
      <c r="AE5193">
        <v>-3.1903000000000001</v>
      </c>
      <c r="AF5193">
        <v>-2.85650525944867</v>
      </c>
      <c r="AG5193">
        <v>-1.1206230007519999</v>
      </c>
      <c r="AH5193">
        <v>12.9027257844137</v>
      </c>
      <c r="AI5193">
        <v>94.846995515289393</v>
      </c>
      <c r="AJ5193">
        <v>102.483237170507</v>
      </c>
      <c r="AK5193">
        <v>13.262569542695999</v>
      </c>
      <c r="AL5193">
        <v>95.353280307715494</v>
      </c>
      <c r="AM5193">
        <v>89.532188943681902</v>
      </c>
      <c r="AN5193">
        <v>1.00000001612337</v>
      </c>
    </row>
    <row r="5194" spans="1:40" x14ac:dyDescent="0.25">
      <c r="A5194" t="str">
        <f>"20190303154243216"</f>
        <v>20190303154243216</v>
      </c>
      <c r="B5194" t="str">
        <f>"1551598963205472"</f>
        <v>1551598963205472</v>
      </c>
      <c r="C5194" t="s">
        <v>40</v>
      </c>
      <c r="D5194">
        <v>5.6737869999999999</v>
      </c>
      <c r="E5194">
        <v>0.41400090000000001</v>
      </c>
      <c r="F5194" t="s">
        <v>41</v>
      </c>
      <c r="G5194">
        <v>-263.84570000000002</v>
      </c>
      <c r="H5194" s="1">
        <v>-2.9165540000000002E-6</v>
      </c>
      <c r="I5194">
        <v>137.95830000000001</v>
      </c>
      <c r="J5194">
        <v>-251.02629999999999</v>
      </c>
      <c r="K5194">
        <v>1.120638</v>
      </c>
      <c r="L5194">
        <v>141.1514</v>
      </c>
      <c r="M5194">
        <v>-0.99960990000000005</v>
      </c>
      <c r="N5194">
        <v>-1.4124309999999999E-2</v>
      </c>
      <c r="O5194">
        <v>-2.4095220000000001E-2</v>
      </c>
      <c r="P5194">
        <v>-0.99406799999999995</v>
      </c>
      <c r="Q5194">
        <v>-0.1076323</v>
      </c>
      <c r="R5194">
        <v>-1.5636480000000001E-2</v>
      </c>
      <c r="S5194">
        <v>-2.978729</v>
      </c>
      <c r="T5194">
        <v>-0.25440119999999999</v>
      </c>
      <c r="U5194">
        <v>-0.72650150000000002</v>
      </c>
      <c r="V5194">
        <v>8.2990419999999995E-3</v>
      </c>
      <c r="W5194">
        <v>-9.3581940000000002E-2</v>
      </c>
      <c r="X5194">
        <v>0.99557700000000005</v>
      </c>
      <c r="Y5194">
        <v>-0.21267130000000001</v>
      </c>
      <c r="Z5194">
        <v>-8.7738669999999994E-3</v>
      </c>
      <c r="AA5194">
        <v>0.97708439999999996</v>
      </c>
      <c r="AB5194">
        <v>31</v>
      </c>
      <c r="AC5194">
        <v>-12.8194</v>
      </c>
      <c r="AD5194">
        <v>-1.1206409165539899</v>
      </c>
      <c r="AE5194">
        <v>-3.1930999999999798</v>
      </c>
      <c r="AF5194">
        <v>-2.8626576816715299</v>
      </c>
      <c r="AG5194">
        <v>-1.1206409165539899</v>
      </c>
      <c r="AH5194">
        <v>12.800518499359301</v>
      </c>
      <c r="AI5194">
        <v>94.883271038655195</v>
      </c>
      <c r="AJ5194">
        <v>102.605980079332</v>
      </c>
      <c r="AK5194">
        <v>13.164494632105299</v>
      </c>
      <c r="AL5194">
        <v>95.369707298238893</v>
      </c>
      <c r="AM5194">
        <v>89.522398501268796</v>
      </c>
      <c r="AN5194">
        <v>1.0000000082606399</v>
      </c>
    </row>
    <row r="5195" spans="1:40" x14ac:dyDescent="0.25">
      <c r="A5195" t="str">
        <f>"20190303154243238"</f>
        <v>20190303154243238</v>
      </c>
      <c r="B5195" t="str">
        <f>"1551598963235725"</f>
        <v>1551598963235725</v>
      </c>
      <c r="C5195" t="s">
        <v>40</v>
      </c>
      <c r="D5195">
        <v>5.645149</v>
      </c>
      <c r="E5195">
        <v>0.41281010000000001</v>
      </c>
      <c r="F5195" t="s">
        <v>41</v>
      </c>
      <c r="G5195">
        <v>-264.01710000000003</v>
      </c>
      <c r="H5195" s="1">
        <v>-2.8439929999999998E-6</v>
      </c>
      <c r="I5195">
        <v>137.953</v>
      </c>
      <c r="J5195">
        <v>-251.34119999999999</v>
      </c>
      <c r="K5195">
        <v>1.1206480000000001</v>
      </c>
      <c r="L5195">
        <v>141.1439</v>
      </c>
      <c r="M5195">
        <v>-0.99961180000000005</v>
      </c>
      <c r="N5195">
        <v>-1.4150670000000001E-2</v>
      </c>
      <c r="O5195">
        <v>-2.4005519999999999E-2</v>
      </c>
      <c r="P5195">
        <v>-0.99403600000000003</v>
      </c>
      <c r="Q5195">
        <v>-0.1079803</v>
      </c>
      <c r="R5195">
        <v>-1.526865E-2</v>
      </c>
      <c r="S5195">
        <v>-2.978561</v>
      </c>
      <c r="T5195">
        <v>-0.2569456</v>
      </c>
      <c r="U5195">
        <v>-0.73332209999999998</v>
      </c>
      <c r="V5195">
        <v>8.5781620000000003E-3</v>
      </c>
      <c r="W5195">
        <v>-9.3904089999999996E-2</v>
      </c>
      <c r="X5195">
        <v>0.99554430000000005</v>
      </c>
      <c r="Y5195">
        <v>-0.2148582</v>
      </c>
      <c r="Z5195">
        <v>-8.9599659999999998E-3</v>
      </c>
      <c r="AA5195">
        <v>0.97660420000000003</v>
      </c>
      <c r="AB5195">
        <v>31</v>
      </c>
      <c r="AC5195">
        <v>-12.6759</v>
      </c>
      <c r="AD5195">
        <v>-1.1206508439930001</v>
      </c>
      <c r="AE5195">
        <v>-3.1908999999999899</v>
      </c>
      <c r="AF5195">
        <v>-2.8646028576163398</v>
      </c>
      <c r="AG5195">
        <v>-1.1206508439930001</v>
      </c>
      <c r="AH5195">
        <v>12.6558303161253</v>
      </c>
      <c r="AI5195">
        <v>94.936016426555796</v>
      </c>
      <c r="AJ5195">
        <v>102.753793421894</v>
      </c>
      <c r="AK5195">
        <v>13.024279206027501</v>
      </c>
      <c r="AL5195">
        <v>95.388246774202599</v>
      </c>
      <c r="AM5195">
        <v>89.506319994500501</v>
      </c>
      <c r="AN5195">
        <v>1.00000000812225</v>
      </c>
    </row>
    <row r="5196" spans="1:40" x14ac:dyDescent="0.25">
      <c r="A5196" t="str">
        <f>"20190303154243262"</f>
        <v>20190303154243262</v>
      </c>
      <c r="B5196" t="str">
        <f>"1551598963255244"</f>
        <v>1551598963255244</v>
      </c>
      <c r="C5196" t="s">
        <v>40</v>
      </c>
      <c r="D5196">
        <v>5.6042290000000001</v>
      </c>
      <c r="E5196">
        <v>0.41203390000000001</v>
      </c>
      <c r="F5196" t="s">
        <v>41</v>
      </c>
      <c r="G5196">
        <v>-264.23500000000001</v>
      </c>
      <c r="H5196" s="1">
        <v>-2.7540019999999999E-6</v>
      </c>
      <c r="I5196">
        <v>137.9332</v>
      </c>
      <c r="J5196">
        <v>-251.65880000000001</v>
      </c>
      <c r="K5196">
        <v>1.120665</v>
      </c>
      <c r="L5196">
        <v>141.13630000000001</v>
      </c>
      <c r="M5196">
        <v>-0.99961350000000004</v>
      </c>
      <c r="N5196">
        <v>-1.4172850000000001E-2</v>
      </c>
      <c r="O5196">
        <v>-2.3922349999999998E-2</v>
      </c>
      <c r="P5196">
        <v>-0.99400189999999999</v>
      </c>
      <c r="Q5196">
        <v>-0.1082987</v>
      </c>
      <c r="R5196">
        <v>-1.523207E-2</v>
      </c>
      <c r="S5196">
        <v>-2.9784700000000002</v>
      </c>
      <c r="T5196">
        <v>-0.25887019999999999</v>
      </c>
      <c r="U5196">
        <v>-0.74165340000000002</v>
      </c>
      <c r="V5196">
        <v>8.5327819999999992E-3</v>
      </c>
      <c r="W5196">
        <v>-9.4200699999999998E-2</v>
      </c>
      <c r="X5196">
        <v>0.99551670000000003</v>
      </c>
      <c r="Y5196">
        <v>-0.21749750000000001</v>
      </c>
      <c r="Z5196">
        <v>-9.1517830000000001E-3</v>
      </c>
      <c r="AA5196">
        <v>0.97601800000000005</v>
      </c>
      <c r="AB5196">
        <v>31</v>
      </c>
      <c r="AC5196">
        <v>-12.5762</v>
      </c>
      <c r="AD5196">
        <v>-1.120667754002</v>
      </c>
      <c r="AE5196">
        <v>-3.2031000000000001</v>
      </c>
      <c r="AF5196">
        <v>-2.8798261385320201</v>
      </c>
      <c r="AG5196">
        <v>-1.120667754002</v>
      </c>
      <c r="AH5196">
        <v>12.5556076538297</v>
      </c>
      <c r="AI5196">
        <v>94.972058472706294</v>
      </c>
      <c r="AJ5196">
        <v>102.91824469324</v>
      </c>
      <c r="AK5196">
        <v>12.9302969169288</v>
      </c>
      <c r="AL5196">
        <v>95.405316769659507</v>
      </c>
      <c r="AM5196">
        <v>89.508917907283205</v>
      </c>
      <c r="AN5196">
        <v>1.0000000401140099</v>
      </c>
    </row>
    <row r="5197" spans="1:40" x14ac:dyDescent="0.25">
      <c r="A5197" t="str">
        <f>"20190303154243286"</f>
        <v>20190303154243286</v>
      </c>
      <c r="B5197" t="str">
        <f>"1551598963275741"</f>
        <v>1551598963275741</v>
      </c>
      <c r="C5197" t="s">
        <v>40</v>
      </c>
      <c r="D5197">
        <v>5.62195</v>
      </c>
      <c r="E5197">
        <v>0.4112228</v>
      </c>
      <c r="F5197" t="s">
        <v>41</v>
      </c>
      <c r="G5197">
        <v>-264.43279999999999</v>
      </c>
      <c r="H5197" s="1">
        <v>-2.669907E-6</v>
      </c>
      <c r="I5197">
        <v>137.9289</v>
      </c>
      <c r="J5197">
        <v>-251.9889</v>
      </c>
      <c r="K5197">
        <v>1.120676</v>
      </c>
      <c r="L5197">
        <v>141.1285</v>
      </c>
      <c r="M5197">
        <v>-0.99961500000000003</v>
      </c>
      <c r="N5197">
        <v>-1.4192150000000001E-2</v>
      </c>
      <c r="O5197">
        <v>-2.3843199999999998E-2</v>
      </c>
      <c r="P5197">
        <v>-0.99403490000000005</v>
      </c>
      <c r="Q5197">
        <v>-0.1079003</v>
      </c>
      <c r="R5197">
        <v>-1.588198E-2</v>
      </c>
      <c r="S5197">
        <v>-2.97818</v>
      </c>
      <c r="T5197">
        <v>-0.2612778</v>
      </c>
      <c r="U5197">
        <v>-0.7477722</v>
      </c>
      <c r="V5197">
        <v>7.8067429999999997E-3</v>
      </c>
      <c r="W5197">
        <v>-9.3782160000000003E-2</v>
      </c>
      <c r="X5197">
        <v>0.99556210000000001</v>
      </c>
      <c r="Y5197">
        <v>-0.21946109999999999</v>
      </c>
      <c r="Z5197">
        <v>-9.3253580000000006E-3</v>
      </c>
      <c r="AA5197">
        <v>0.97557669999999996</v>
      </c>
      <c r="AB5197">
        <v>31</v>
      </c>
      <c r="AC5197">
        <v>-12.4438999999999</v>
      </c>
      <c r="AD5197">
        <v>-1.1206786699069999</v>
      </c>
      <c r="AE5197">
        <v>-3.1996000000000002</v>
      </c>
      <c r="AF5197">
        <v>-2.88004774108233</v>
      </c>
      <c r="AG5197">
        <v>-1.1206786699069999</v>
      </c>
      <c r="AH5197">
        <v>12.422155471468599</v>
      </c>
      <c r="AI5197">
        <v>95.022534058533196</v>
      </c>
      <c r="AJ5197">
        <v>103.053268446237</v>
      </c>
      <c r="AK5197">
        <v>12.800802405686801</v>
      </c>
      <c r="AL5197">
        <v>95.381229956313902</v>
      </c>
      <c r="AM5197">
        <v>89.550721890690994</v>
      </c>
      <c r="AN5197">
        <v>0.99999996686347103</v>
      </c>
    </row>
    <row r="5198" spans="1:40" x14ac:dyDescent="0.25">
      <c r="A5198" t="str">
        <f>"20190303154243307"</f>
        <v>20190303154243307</v>
      </c>
      <c r="B5198" t="str">
        <f>"1551598963295261"</f>
        <v>1551598963295261</v>
      </c>
      <c r="C5198" t="s">
        <v>40</v>
      </c>
      <c r="D5198">
        <v>5.881742</v>
      </c>
      <c r="E5198">
        <v>0.41108309999999998</v>
      </c>
      <c r="F5198" t="s">
        <v>41</v>
      </c>
      <c r="G5198">
        <v>-264.77749999999997</v>
      </c>
      <c r="H5198" s="1">
        <v>-2.5306509999999999E-6</v>
      </c>
      <c r="I5198">
        <v>137.88030000000001</v>
      </c>
      <c r="J5198">
        <v>-252.2893</v>
      </c>
      <c r="K5198">
        <v>1.12069</v>
      </c>
      <c r="L5198">
        <v>141.12139999999999</v>
      </c>
      <c r="M5198">
        <v>-0.99961639999999996</v>
      </c>
      <c r="N5198">
        <v>-1.4206969999999999E-2</v>
      </c>
      <c r="O5198">
        <v>-2.3777220000000002E-2</v>
      </c>
      <c r="P5198">
        <v>-0.99401070000000002</v>
      </c>
      <c r="Q5198">
        <v>-0.1079435</v>
      </c>
      <c r="R5198">
        <v>-1.706852E-2</v>
      </c>
      <c r="S5198">
        <v>-2.9776150000000001</v>
      </c>
      <c r="T5198">
        <v>-0.26093280000000002</v>
      </c>
      <c r="U5198">
        <v>-0.75627140000000004</v>
      </c>
      <c r="V5198">
        <v>6.5554659999999898E-3</v>
      </c>
      <c r="W5198">
        <v>-9.3810249999999998E-2</v>
      </c>
      <c r="X5198">
        <v>0.99556849999999997</v>
      </c>
      <c r="Y5198">
        <v>-0.2221766</v>
      </c>
      <c r="Z5198">
        <v>-9.4581630000000003E-3</v>
      </c>
      <c r="AA5198">
        <v>0.97496059999999996</v>
      </c>
      <c r="AB5198">
        <v>31</v>
      </c>
      <c r="AC5198">
        <v>-12.4881999999999</v>
      </c>
      <c r="AD5198">
        <v>-1.1206925306510001</v>
      </c>
      <c r="AE5198">
        <v>-3.2410999999999799</v>
      </c>
      <c r="AF5198">
        <v>-2.9211783668323399</v>
      </c>
      <c r="AG5198">
        <v>-1.1206925306510001</v>
      </c>
      <c r="AH5198">
        <v>12.467671286982499</v>
      </c>
      <c r="AI5198">
        <v>95.001654365644697</v>
      </c>
      <c r="AJ5198">
        <v>103.186550221478</v>
      </c>
      <c r="AK5198">
        <v>12.854262410553</v>
      </c>
      <c r="AL5198">
        <v>95.3828464092677</v>
      </c>
      <c r="AM5198">
        <v>89.622733035136804</v>
      </c>
      <c r="AN5198">
        <v>0.99999998766589404</v>
      </c>
    </row>
    <row r="5199" spans="1:40" x14ac:dyDescent="0.25">
      <c r="A5199" t="str">
        <f>"20190303154243330"</f>
        <v>20190303154243330</v>
      </c>
      <c r="B5199" t="str">
        <f>"1551598963325517"</f>
        <v>1551598963325517</v>
      </c>
      <c r="C5199" t="s">
        <v>40</v>
      </c>
      <c r="D5199">
        <v>5.6835440000000004</v>
      </c>
      <c r="E5199">
        <v>0.51215310000000003</v>
      </c>
      <c r="F5199" t="s">
        <v>41</v>
      </c>
      <c r="G5199">
        <v>-265.06079999999997</v>
      </c>
      <c r="H5199" s="1">
        <v>-2.4133369999999998E-6</v>
      </c>
      <c r="I5199">
        <v>137.85659999999999</v>
      </c>
      <c r="J5199">
        <v>-252.5925</v>
      </c>
      <c r="K5199">
        <v>1.1207009999999999</v>
      </c>
      <c r="L5199">
        <v>141.11429999999999</v>
      </c>
      <c r="M5199">
        <v>-0.9996176</v>
      </c>
      <c r="N5199">
        <v>-1.42195E-2</v>
      </c>
      <c r="O5199">
        <v>-2.3714800000000001E-2</v>
      </c>
      <c r="P5199">
        <v>-0.99406450000000002</v>
      </c>
      <c r="Q5199">
        <v>-0.1073571</v>
      </c>
      <c r="R5199">
        <v>-1.7630460000000001E-2</v>
      </c>
      <c r="S5199">
        <v>-2.976639</v>
      </c>
      <c r="T5199">
        <v>-0.26120090000000001</v>
      </c>
      <c r="U5199">
        <v>-0.76090999999999998</v>
      </c>
      <c r="V5199">
        <v>5.9340299999999999E-3</v>
      </c>
      <c r="W5199">
        <v>-9.3210230000000005E-2</v>
      </c>
      <c r="X5199">
        <v>0.99562879999999998</v>
      </c>
      <c r="Y5199">
        <v>-0.2237316</v>
      </c>
      <c r="Z5199">
        <v>-9.5515719999999995E-3</v>
      </c>
      <c r="AA5199">
        <v>0.97460400000000003</v>
      </c>
      <c r="AB5199">
        <v>31</v>
      </c>
      <c r="AC5199">
        <v>-12.4682999999999</v>
      </c>
      <c r="AD5199">
        <v>-1.120703413337</v>
      </c>
      <c r="AE5199">
        <v>-3.2576999999999998</v>
      </c>
      <c r="AF5199">
        <v>-2.9388443545796701</v>
      </c>
      <c r="AG5199">
        <v>-1.120703413337</v>
      </c>
      <c r="AH5199">
        <v>12.447914182421901</v>
      </c>
      <c r="AI5199">
        <v>95.007611815979104</v>
      </c>
      <c r="AJ5199">
        <v>103.283791817807</v>
      </c>
      <c r="AK5199">
        <v>12.839133528943901</v>
      </c>
      <c r="AL5199">
        <v>95.348316249519698</v>
      </c>
      <c r="AM5199">
        <v>89.658516458385407</v>
      </c>
      <c r="AN5199">
        <v>1.00000003353906</v>
      </c>
    </row>
    <row r="5200" spans="1:40" x14ac:dyDescent="0.25">
      <c r="A5200" t="str">
        <f>"20190303154243349"</f>
        <v>20190303154243349</v>
      </c>
      <c r="B5200" t="str">
        <f>"1551598963345036"</f>
        <v>1551598963345036</v>
      </c>
      <c r="C5200" t="s">
        <v>40</v>
      </c>
      <c r="D5200">
        <v>5.5795000000000003</v>
      </c>
      <c r="E5200">
        <v>0.51584859999999999</v>
      </c>
      <c r="F5200" t="s">
        <v>41</v>
      </c>
      <c r="G5200">
        <v>-276.54640000000001</v>
      </c>
      <c r="H5200" s="1">
        <v>-1.9517049999999998E-6</v>
      </c>
      <c r="I5200">
        <v>141.4495</v>
      </c>
      <c r="J5200">
        <v>-252.86750000000001</v>
      </c>
      <c r="K5200">
        <v>1.1207119999999999</v>
      </c>
      <c r="L5200">
        <v>141.1078</v>
      </c>
      <c r="M5200">
        <v>-0.99961889999999998</v>
      </c>
      <c r="N5200">
        <v>-1.4228970000000001E-2</v>
      </c>
      <c r="O5200">
        <v>-2.3661149999999999E-2</v>
      </c>
      <c r="P5200">
        <v>-0.99402509999999999</v>
      </c>
      <c r="Q5200">
        <v>-0.10758769999999999</v>
      </c>
      <c r="R5200">
        <v>-1.8416439999999999E-2</v>
      </c>
      <c r="S5200">
        <v>-3.003479</v>
      </c>
      <c r="T5200">
        <v>-0.14052029999999999</v>
      </c>
      <c r="U5200">
        <v>4.2037959999999999E-2</v>
      </c>
      <c r="V5200">
        <v>5.0942950000000004E-3</v>
      </c>
      <c r="W5200">
        <v>-9.3431550000000002E-2</v>
      </c>
      <c r="X5200">
        <v>0.99561270000000002</v>
      </c>
      <c r="Y5200">
        <v>3.7586210000000002E-2</v>
      </c>
      <c r="Z5200">
        <v>1.916112E-3</v>
      </c>
      <c r="AA5200">
        <v>0.9992915</v>
      </c>
      <c r="AB5200">
        <v>31</v>
      </c>
      <c r="AC5200">
        <v>-23.678899999999999</v>
      </c>
      <c r="AD5200">
        <v>-1.120713951705</v>
      </c>
      <c r="AE5200">
        <v>0.341700000000003</v>
      </c>
      <c r="AF5200">
        <v>0.89991549799313897</v>
      </c>
      <c r="AG5200">
        <v>-1.120713951705</v>
      </c>
      <c r="AH5200">
        <v>23.611303023427599</v>
      </c>
      <c r="AI5200">
        <v>92.715544273012995</v>
      </c>
      <c r="AJ5200">
        <v>87.817299001939205</v>
      </c>
      <c r="AK5200">
        <v>23.655009577871599</v>
      </c>
      <c r="AL5200">
        <v>95.361052564170805</v>
      </c>
      <c r="AM5200">
        <v>89.706834740178095</v>
      </c>
      <c r="AN5200">
        <v>1.0000000273891101</v>
      </c>
    </row>
    <row r="5201" spans="1:40" x14ac:dyDescent="0.25">
      <c r="A5201" t="str">
        <f>"20190303154243373"</f>
        <v>20190303154243373</v>
      </c>
      <c r="B5201" t="str">
        <f>"1551598963365533"</f>
        <v>1551598963365533</v>
      </c>
      <c r="C5201" t="s">
        <v>40</v>
      </c>
      <c r="D5201">
        <v>5.5587859999999996</v>
      </c>
      <c r="E5201">
        <v>0.51749440000000002</v>
      </c>
      <c r="F5201" t="s">
        <v>41</v>
      </c>
      <c r="G5201">
        <v>-276.98489999999998</v>
      </c>
      <c r="H5201" s="1">
        <v>-1.8198609999999999E-6</v>
      </c>
      <c r="I5201">
        <v>141.6609</v>
      </c>
      <c r="J5201">
        <v>-253.18770000000001</v>
      </c>
      <c r="K5201">
        <v>1.1207210000000001</v>
      </c>
      <c r="L5201">
        <v>141.1003</v>
      </c>
      <c r="M5201">
        <v>-0.99962030000000002</v>
      </c>
      <c r="N5201">
        <v>-1.423812E-2</v>
      </c>
      <c r="O5201">
        <v>-2.3600469999999998E-2</v>
      </c>
      <c r="P5201">
        <v>-0.99404970000000004</v>
      </c>
      <c r="Q5201">
        <v>-0.1072814</v>
      </c>
      <c r="R5201">
        <v>-1.8880250000000001E-2</v>
      </c>
      <c r="S5201">
        <v>-3.0042110000000002</v>
      </c>
      <c r="T5201">
        <v>-0.1396037</v>
      </c>
      <c r="U5201">
        <v>6.8908689999999995E-2</v>
      </c>
      <c r="V5201">
        <v>4.5717819999999999E-3</v>
      </c>
      <c r="W5201">
        <v>-9.3115429999999999E-2</v>
      </c>
      <c r="X5201">
        <v>0.9956448</v>
      </c>
      <c r="Y5201">
        <v>4.644388E-2</v>
      </c>
      <c r="Z5201">
        <v>2.1694010000000001E-3</v>
      </c>
      <c r="AA5201">
        <v>0.99891850000000004</v>
      </c>
      <c r="AB5201">
        <v>31</v>
      </c>
      <c r="AC5201">
        <v>-23.797199999999901</v>
      </c>
      <c r="AD5201">
        <v>-1.12072281986099</v>
      </c>
      <c r="AE5201">
        <v>0.56059999999999299</v>
      </c>
      <c r="AF5201">
        <v>1.1196438423742401</v>
      </c>
      <c r="AG5201">
        <v>-1.12072281986099</v>
      </c>
      <c r="AH5201">
        <v>23.724748398355199</v>
      </c>
      <c r="AI5201">
        <v>92.701556973455496</v>
      </c>
      <c r="AJ5201">
        <v>87.298040683989299</v>
      </c>
      <c r="AK5201">
        <v>23.777579955453401</v>
      </c>
      <c r="AL5201">
        <v>95.342861191412993</v>
      </c>
      <c r="AM5201">
        <v>89.736912227636594</v>
      </c>
      <c r="AN5201">
        <v>0.99999997613088898</v>
      </c>
    </row>
    <row r="5202" spans="1:40" x14ac:dyDescent="0.25">
      <c r="A5202" t="str">
        <f>"20190303154243395"</f>
        <v>20190303154243395</v>
      </c>
      <c r="B5202" t="str">
        <f>"1551598963385056"</f>
        <v>1551598963385056</v>
      </c>
      <c r="C5202" t="s">
        <v>40</v>
      </c>
      <c r="D5202">
        <v>5.581645</v>
      </c>
      <c r="E5202">
        <v>0.51862710000000001</v>
      </c>
      <c r="F5202" t="s">
        <v>41</v>
      </c>
      <c r="G5202">
        <v>-277.18270000000001</v>
      </c>
      <c r="H5202" s="1">
        <v>-1.7572230000000001E-6</v>
      </c>
      <c r="I5202">
        <v>141.74449999999999</v>
      </c>
      <c r="J5202">
        <v>-253.49780000000001</v>
      </c>
      <c r="K5202">
        <v>1.120725</v>
      </c>
      <c r="L5202">
        <v>141.09299999999999</v>
      </c>
      <c r="M5202">
        <v>-0.99962150000000005</v>
      </c>
      <c r="N5202">
        <v>-1.4245249999999999E-2</v>
      </c>
      <c r="O5202">
        <v>-2.3542380000000002E-2</v>
      </c>
      <c r="P5202">
        <v>-0.99410220000000005</v>
      </c>
      <c r="Q5202">
        <v>-0.10684689999999999</v>
      </c>
      <c r="R5202">
        <v>-1.8575540000000001E-2</v>
      </c>
      <c r="S5202">
        <v>-3.0043639999999998</v>
      </c>
      <c r="T5202">
        <v>-0.14032329999999901</v>
      </c>
      <c r="U5202">
        <v>8.0673220000000004E-2</v>
      </c>
      <c r="V5202">
        <v>4.8203630000000003E-3</v>
      </c>
      <c r="W5202">
        <v>-9.2673320000000003E-2</v>
      </c>
      <c r="X5202">
        <v>0.99568489999999998</v>
      </c>
      <c r="Y5202">
        <v>5.0287270000000002E-2</v>
      </c>
      <c r="Z5202">
        <v>2.2956370000000001E-3</v>
      </c>
      <c r="AA5202">
        <v>0.99873210000000001</v>
      </c>
      <c r="AB5202">
        <v>31</v>
      </c>
      <c r="AC5202">
        <v>-23.684899999999999</v>
      </c>
      <c r="AD5202">
        <v>-1.120726757223</v>
      </c>
      <c r="AE5202">
        <v>0.65149999999999797</v>
      </c>
      <c r="AF5202">
        <v>1.2062759825073599</v>
      </c>
      <c r="AG5202">
        <v>-1.120726757223</v>
      </c>
      <c r="AH5202">
        <v>23.610171259765799</v>
      </c>
      <c r="AI5202">
        <v>92.714139273403006</v>
      </c>
      <c r="AJ5202">
        <v>87.075223267747305</v>
      </c>
      <c r="AK5202">
        <v>23.6675160742694</v>
      </c>
      <c r="AL5202">
        <v>95.317420017742805</v>
      </c>
      <c r="AM5202">
        <v>89.722618774350096</v>
      </c>
      <c r="AN5202">
        <v>1.00000000011364</v>
      </c>
    </row>
    <row r="5203" spans="1:40" x14ac:dyDescent="0.25">
      <c r="A5203" t="str">
        <f>"20190303154243418"</f>
        <v>20190303154243418</v>
      </c>
      <c r="B5203" t="str">
        <f>"1551598963415308"</f>
        <v>1551598963415308</v>
      </c>
      <c r="C5203" t="s">
        <v>40</v>
      </c>
      <c r="D5203">
        <v>5.4920429999999998</v>
      </c>
      <c r="E5203">
        <v>0.51883760000000001</v>
      </c>
      <c r="F5203" t="s">
        <v>41</v>
      </c>
      <c r="G5203">
        <v>-277.51280000000003</v>
      </c>
      <c r="H5203" s="1">
        <v>-1.6350710000000001E-6</v>
      </c>
      <c r="I5203">
        <v>141.8177</v>
      </c>
      <c r="J5203">
        <v>-253.79750000000001</v>
      </c>
      <c r="K5203">
        <v>1.1207309999999999</v>
      </c>
      <c r="L5203">
        <v>141.08600000000001</v>
      </c>
      <c r="M5203">
        <v>-0.99962260000000003</v>
      </c>
      <c r="N5203">
        <v>-1.42506E-2</v>
      </c>
      <c r="O5203">
        <v>-2.3487000000000001E-2</v>
      </c>
      <c r="P5203">
        <v>-0.9941217</v>
      </c>
      <c r="Q5203">
        <v>-0.1066906</v>
      </c>
      <c r="R5203">
        <v>-1.8425219999999999E-2</v>
      </c>
      <c r="S5203">
        <v>-3.00441</v>
      </c>
      <c r="T5203">
        <v>-0.14020929999999901</v>
      </c>
      <c r="U5203">
        <v>9.0667719999999993E-2</v>
      </c>
      <c r="V5203">
        <v>4.9161049999999996E-3</v>
      </c>
      <c r="W5203">
        <v>-9.2511460000000004E-2</v>
      </c>
      <c r="X5203">
        <v>0.99569949999999996</v>
      </c>
      <c r="Y5203">
        <v>5.3546490000000002E-2</v>
      </c>
      <c r="Z5203">
        <v>2.3911499999999999E-3</v>
      </c>
      <c r="AA5203">
        <v>0.99856250000000002</v>
      </c>
      <c r="AB5203">
        <v>31</v>
      </c>
      <c r="AC5203">
        <v>-23.715299999999999</v>
      </c>
      <c r="AD5203">
        <v>-1.1207326350709901</v>
      </c>
      <c r="AE5203">
        <v>0.73169999999998903</v>
      </c>
      <c r="AF5203">
        <v>1.28568732148418</v>
      </c>
      <c r="AG5203">
        <v>-1.1207326350709901</v>
      </c>
      <c r="AH5203">
        <v>23.638827090532502</v>
      </c>
      <c r="AI5203">
        <v>92.7103988172409</v>
      </c>
      <c r="AJ5203">
        <v>86.886818916828105</v>
      </c>
      <c r="AK5203">
        <v>23.7002780520404</v>
      </c>
      <c r="AL5203">
        <v>95.308106025006197</v>
      </c>
      <c r="AM5203">
        <v>89.717113667954493</v>
      </c>
      <c r="AN5203">
        <v>1.00000001630997</v>
      </c>
    </row>
    <row r="5204" spans="1:40" x14ac:dyDescent="0.25">
      <c r="A5204" t="str">
        <f>"20190303154243439"</f>
        <v>20190303154243439</v>
      </c>
      <c r="B5204" t="str">
        <f>"1551598963434828"</f>
        <v>1551598963434828</v>
      </c>
      <c r="C5204" t="s">
        <v>40</v>
      </c>
      <c r="D5204">
        <v>5.468369</v>
      </c>
      <c r="E5204">
        <v>0.51894249999999997</v>
      </c>
      <c r="F5204" t="s">
        <v>41</v>
      </c>
      <c r="G5204">
        <v>-278.09129999999999</v>
      </c>
      <c r="H5204" s="1">
        <v>-1.391585E-6</v>
      </c>
      <c r="I5204">
        <v>141.83519999999999</v>
      </c>
      <c r="J5204">
        <v>-254.08690000000001</v>
      </c>
      <c r="K5204">
        <v>1.120735</v>
      </c>
      <c r="L5204">
        <v>141.07929999999999</v>
      </c>
      <c r="M5204">
        <v>-0.9996237</v>
      </c>
      <c r="N5204">
        <v>-1.425476E-2</v>
      </c>
      <c r="O5204">
        <v>-2.3433519999999999E-2</v>
      </c>
      <c r="P5204">
        <v>-0.99411389999999999</v>
      </c>
      <c r="Q5204">
        <v>-0.1067314</v>
      </c>
      <c r="R5204">
        <v>-1.8604309999999999E-2</v>
      </c>
      <c r="S5204">
        <v>-3.004578</v>
      </c>
      <c r="T5204">
        <v>-0.1386088</v>
      </c>
      <c r="U5204">
        <v>9.266663E-2</v>
      </c>
      <c r="V5204">
        <v>4.6838339999999996E-3</v>
      </c>
      <c r="W5204">
        <v>-9.2548179999999994E-2</v>
      </c>
      <c r="X5204">
        <v>0.99569719999999995</v>
      </c>
      <c r="Y5204">
        <v>5.4156210000000003E-2</v>
      </c>
      <c r="Z5204">
        <v>2.3809870000000002E-3</v>
      </c>
      <c r="AA5204">
        <v>0.99852960000000002</v>
      </c>
      <c r="AB5204">
        <v>31</v>
      </c>
      <c r="AC5204">
        <v>-24.004399999999901</v>
      </c>
      <c r="AD5204">
        <v>-1.1207363915849999</v>
      </c>
      <c r="AE5204">
        <v>0.75589999999999602</v>
      </c>
      <c r="AF5204">
        <v>1.3153926596657901</v>
      </c>
      <c r="AG5204">
        <v>-1.1207363915849999</v>
      </c>
      <c r="AH5204">
        <v>23.9279842084443</v>
      </c>
      <c r="AI5204">
        <v>92.677616839990094</v>
      </c>
      <c r="AJ5204">
        <v>86.853447216899298</v>
      </c>
      <c r="AK5204">
        <v>23.990305045748901</v>
      </c>
      <c r="AL5204">
        <v>95.310219029703106</v>
      </c>
      <c r="AM5204">
        <v>89.730478361608903</v>
      </c>
      <c r="AN5204">
        <v>1.00000000900504</v>
      </c>
    </row>
    <row r="5205" spans="1:40" x14ac:dyDescent="0.25">
      <c r="A5205" t="str">
        <f>"20190303154243462"</f>
        <v>20190303154243462</v>
      </c>
      <c r="B5205" t="str">
        <f>"1551598963455325"</f>
        <v>1551598963455325</v>
      </c>
      <c r="C5205" t="s">
        <v>40</v>
      </c>
      <c r="D5205">
        <v>5.4608299999999996</v>
      </c>
      <c r="E5205">
        <v>0.51907799999999904</v>
      </c>
      <c r="F5205" t="s">
        <v>41</v>
      </c>
      <c r="G5205">
        <v>-278.71660000000003</v>
      </c>
      <c r="H5205" s="1">
        <v>-1.124494E-6</v>
      </c>
      <c r="I5205">
        <v>141.83959999999999</v>
      </c>
      <c r="J5205">
        <v>-254.39320000000001</v>
      </c>
      <c r="K5205">
        <v>1.120741</v>
      </c>
      <c r="L5205">
        <v>141.07210000000001</v>
      </c>
      <c r="M5205">
        <v>-0.99962510000000004</v>
      </c>
      <c r="N5205">
        <v>-1.4258180000000001E-2</v>
      </c>
      <c r="O5205">
        <v>-2.3376689999999999E-2</v>
      </c>
      <c r="P5205">
        <v>-0.99417440000000001</v>
      </c>
      <c r="Q5205">
        <v>-0.10624309999999999</v>
      </c>
      <c r="R5205">
        <v>-1.8165279999999999E-2</v>
      </c>
      <c r="S5205">
        <v>-3.004807</v>
      </c>
      <c r="T5205">
        <v>-0.1367292</v>
      </c>
      <c r="U5205">
        <v>9.2773439999999999E-2</v>
      </c>
      <c r="V5205">
        <v>5.0678299999999997E-3</v>
      </c>
      <c r="W5205">
        <v>-9.2055860000000003E-2</v>
      </c>
      <c r="X5205">
        <v>0.99574099999999999</v>
      </c>
      <c r="Y5205">
        <v>5.4134870000000002E-2</v>
      </c>
      <c r="Z5205">
        <v>2.3468600000000001E-3</v>
      </c>
      <c r="AA5205">
        <v>0.9985309</v>
      </c>
      <c r="AB5205">
        <v>31</v>
      </c>
      <c r="AC5205">
        <v>-24.323399999999999</v>
      </c>
      <c r="AD5205">
        <v>-1.1207421244939999</v>
      </c>
      <c r="AE5205">
        <v>0.76749999999998397</v>
      </c>
      <c r="AF5205">
        <v>1.3331210937406199</v>
      </c>
      <c r="AG5205">
        <v>-1.1207421244939999</v>
      </c>
      <c r="AH5205">
        <v>24.247380801694199</v>
      </c>
      <c r="AI5205">
        <v>92.642408961898894</v>
      </c>
      <c r="AJ5205">
        <v>86.853046132201996</v>
      </c>
      <c r="AK5205">
        <v>24.309848837509499</v>
      </c>
      <c r="AL5205">
        <v>95.281890011486396</v>
      </c>
      <c r="AM5205">
        <v>89.708395292338906</v>
      </c>
      <c r="AN5205">
        <v>1.00000005167112</v>
      </c>
    </row>
    <row r="5206" spans="1:40" x14ac:dyDescent="0.25">
      <c r="A5206" t="str">
        <f>"20190303154243484"</f>
        <v>20190303154243484</v>
      </c>
      <c r="B5206" t="str">
        <f>"1551598963474848"</f>
        <v>1551598963474848</v>
      </c>
      <c r="C5206" t="s">
        <v>40</v>
      </c>
      <c r="D5206">
        <v>5.4797129999999896</v>
      </c>
      <c r="E5206">
        <v>0.51886589999999999</v>
      </c>
      <c r="F5206" t="s">
        <v>41</v>
      </c>
      <c r="G5206">
        <v>-279.59539999999998</v>
      </c>
      <c r="H5206" s="1">
        <v>-7.5568489999999999E-7</v>
      </c>
      <c r="I5206">
        <v>141.87029999999999</v>
      </c>
      <c r="J5206">
        <v>-254.71080000000001</v>
      </c>
      <c r="K5206">
        <v>1.120752</v>
      </c>
      <c r="L5206">
        <v>141.06479999999999</v>
      </c>
      <c r="M5206">
        <v>-0.99962649999999997</v>
      </c>
      <c r="N5206">
        <v>-1.4260780000000001E-2</v>
      </c>
      <c r="O5206">
        <v>-2.3317230000000001E-2</v>
      </c>
      <c r="P5206">
        <v>-0.99417529999999998</v>
      </c>
      <c r="Q5206">
        <v>-0.1063081</v>
      </c>
      <c r="R5206">
        <v>-1.772688E-2</v>
      </c>
      <c r="S5206">
        <v>-3.0050349999999999</v>
      </c>
      <c r="T5206">
        <v>-0.13363459999999999</v>
      </c>
      <c r="U5206">
        <v>9.5184329999999998E-2</v>
      </c>
      <c r="V5206">
        <v>5.4471839999999999E-3</v>
      </c>
      <c r="W5206">
        <v>-9.2118430000000001E-2</v>
      </c>
      <c r="X5206">
        <v>0.99573310000000004</v>
      </c>
      <c r="Y5206">
        <v>5.4876149999999999E-2</v>
      </c>
      <c r="Z5206">
        <v>2.3147699999999998E-3</v>
      </c>
      <c r="AA5206">
        <v>0.99849049999999995</v>
      </c>
      <c r="AB5206">
        <v>30</v>
      </c>
      <c r="AC5206">
        <v>-24.884599999999899</v>
      </c>
      <c r="AD5206">
        <v>-1.12075275568489</v>
      </c>
      <c r="AE5206">
        <v>0.805499999999994</v>
      </c>
      <c r="AF5206">
        <v>1.38277792549737</v>
      </c>
      <c r="AG5206">
        <v>-1.12075275568489</v>
      </c>
      <c r="AH5206">
        <v>24.8087789740656</v>
      </c>
      <c r="AI5206">
        <v>92.582612406133293</v>
      </c>
      <c r="AJ5206">
        <v>86.809780618217303</v>
      </c>
      <c r="AK5206">
        <v>24.872548637295999</v>
      </c>
      <c r="AL5206">
        <v>95.285490888969505</v>
      </c>
      <c r="AM5206">
        <v>89.686565064362398</v>
      </c>
      <c r="AN5206">
        <v>0.99999994169740003</v>
      </c>
    </row>
    <row r="5207" spans="1:40" x14ac:dyDescent="0.25">
      <c r="A5207" t="str">
        <f>"20190303154243507"</f>
        <v>20190303154243507</v>
      </c>
      <c r="B5207" t="str">
        <f>"1551598963495340"</f>
        <v>1551598963495340</v>
      </c>
      <c r="C5207" t="s">
        <v>40</v>
      </c>
      <c r="D5207">
        <v>5.4507339999999997</v>
      </c>
      <c r="E5207">
        <v>0.51857799999999998</v>
      </c>
      <c r="F5207" t="s">
        <v>57</v>
      </c>
      <c r="G5207">
        <v>-280.37049999999999</v>
      </c>
      <c r="H5207" s="1">
        <v>-4.5120799999999998E-6</v>
      </c>
      <c r="I5207">
        <v>141.87289999999999</v>
      </c>
      <c r="J5207">
        <v>-255.00989999999999</v>
      </c>
      <c r="K5207">
        <v>1.120752</v>
      </c>
      <c r="L5207">
        <v>141.05779999999999</v>
      </c>
      <c r="M5207">
        <v>-0.99962779999999996</v>
      </c>
      <c r="N5207">
        <v>-1.4262469999999999E-2</v>
      </c>
      <c r="O5207">
        <v>-2.3260980000000001E-2</v>
      </c>
      <c r="P5207">
        <v>-0.99414279999999999</v>
      </c>
      <c r="Q5207">
        <v>-0.106725399999999</v>
      </c>
      <c r="R5207">
        <v>-1.702909E-2</v>
      </c>
      <c r="S5207">
        <v>-3.0052189999999999</v>
      </c>
      <c r="T5207">
        <v>-0.13126060000000001</v>
      </c>
      <c r="U5207">
        <v>9.4650269999999995E-2</v>
      </c>
      <c r="V5207">
        <v>6.0879899999999997E-3</v>
      </c>
      <c r="W5207">
        <v>-9.2534770000000002E-2</v>
      </c>
      <c r="X5207">
        <v>0.99569079999999999</v>
      </c>
      <c r="Y5207">
        <v>5.4643860000000002E-2</v>
      </c>
      <c r="Z5207">
        <v>2.2662239999999998E-3</v>
      </c>
      <c r="AA5207">
        <v>0.99850329999999998</v>
      </c>
      <c r="AB5207">
        <v>30</v>
      </c>
      <c r="AC5207">
        <v>-25.360600000000002</v>
      </c>
      <c r="AD5207">
        <v>-1.1207565120799901</v>
      </c>
      <c r="AE5207">
        <v>0.81510000000000105</v>
      </c>
      <c r="AF5207">
        <v>1.4021162460137999</v>
      </c>
      <c r="AG5207">
        <v>-1.1207565120799901</v>
      </c>
      <c r="AH5207">
        <v>25.2854431025842</v>
      </c>
      <c r="AI5207">
        <v>92.534039392889099</v>
      </c>
      <c r="AJ5207">
        <v>86.826112389531502</v>
      </c>
      <c r="AK5207">
        <v>25.349076078246402</v>
      </c>
      <c r="AL5207">
        <v>95.309447652328998</v>
      </c>
      <c r="AM5207">
        <v>89.649678609092206</v>
      </c>
      <c r="AN5207">
        <v>0.99999995824291499</v>
      </c>
    </row>
    <row r="5208" spans="1:40" x14ac:dyDescent="0.25">
      <c r="A5208" t="str">
        <f>"20190303154243540"</f>
        <v>20190303154243540</v>
      </c>
      <c r="B5208" t="str">
        <f>"1551598963535357"</f>
        <v>1551598963535357</v>
      </c>
      <c r="C5208" t="s">
        <v>40</v>
      </c>
      <c r="D5208">
        <v>5.4271349999999998</v>
      </c>
      <c r="E5208">
        <v>0.5182369</v>
      </c>
      <c r="F5208" t="s">
        <v>57</v>
      </c>
      <c r="G5208">
        <v>-280.57220000000001</v>
      </c>
      <c r="H5208" s="1">
        <v>-4.5977169999999999E-6</v>
      </c>
      <c r="I5208">
        <v>141.8613</v>
      </c>
      <c r="J5208">
        <v>-255.45410000000001</v>
      </c>
      <c r="K5208">
        <v>1.1207499999999999</v>
      </c>
      <c r="L5208">
        <v>141.04759999999999</v>
      </c>
      <c r="M5208">
        <v>-0.99962969999999896</v>
      </c>
      <c r="N5208">
        <v>-1.426383E-2</v>
      </c>
      <c r="O5208">
        <v>-2.3177070000000001E-2</v>
      </c>
      <c r="P5208">
        <v>-0.99411430000000001</v>
      </c>
      <c r="Q5208">
        <v>-0.1071221</v>
      </c>
      <c r="R5208">
        <v>-1.6181689999999999E-2</v>
      </c>
      <c r="S5208">
        <v>-3.0051570000000001</v>
      </c>
      <c r="T5208">
        <v>-0.13175870000000001</v>
      </c>
      <c r="U5208">
        <v>9.4451900000000005E-2</v>
      </c>
      <c r="V5208">
        <v>6.8510069999999897E-3</v>
      </c>
      <c r="W5208">
        <v>-9.2930819999999997E-2</v>
      </c>
      <c r="X5208">
        <v>0.99564900000000001</v>
      </c>
      <c r="Y5208">
        <v>5.449449E-2</v>
      </c>
      <c r="Z5208">
        <v>2.2678300000000002E-3</v>
      </c>
      <c r="AA5208">
        <v>0.9985115</v>
      </c>
      <c r="AB5208">
        <v>30</v>
      </c>
      <c r="AC5208">
        <v>-25.118099999999998</v>
      </c>
      <c r="AD5208">
        <v>-1.1207545977169999</v>
      </c>
      <c r="AE5208">
        <v>0.81370000000001097</v>
      </c>
      <c r="AF5208">
        <v>1.39293424680654</v>
      </c>
      <c r="AG5208">
        <v>-1.1207545977169999</v>
      </c>
      <c r="AH5208">
        <v>25.0426852050443</v>
      </c>
      <c r="AI5208">
        <v>92.558542749014705</v>
      </c>
      <c r="AJ5208">
        <v>86.816351789426506</v>
      </c>
      <c r="AK5208">
        <v>25.106422265292501</v>
      </c>
      <c r="AL5208">
        <v>95.332237613023295</v>
      </c>
      <c r="AM5208">
        <v>89.605757057419893</v>
      </c>
      <c r="AN5208">
        <v>1.00000000240189</v>
      </c>
    </row>
    <row r="5209" spans="1:40" x14ac:dyDescent="0.25">
      <c r="A5209" t="str">
        <f>"20190303154243563"</f>
        <v>20190303154243563</v>
      </c>
      <c r="B5209" t="str">
        <f>"1551598963554879"</f>
        <v>1551598963554879</v>
      </c>
      <c r="C5209" t="s">
        <v>40</v>
      </c>
      <c r="D5209">
        <v>5.4323059999999996</v>
      </c>
      <c r="E5209">
        <v>0.51829529999999902</v>
      </c>
      <c r="F5209" t="s">
        <v>57</v>
      </c>
      <c r="G5209">
        <v>-280.87369999999999</v>
      </c>
      <c r="H5209" s="1">
        <v>-4.7260250000000002E-6</v>
      </c>
      <c r="I5209">
        <v>141.84460000000001</v>
      </c>
      <c r="J5209">
        <v>-255.77090000000001</v>
      </c>
      <c r="K5209">
        <v>1.1207549999999999</v>
      </c>
      <c r="L5209">
        <v>141.0403</v>
      </c>
      <c r="M5209">
        <v>-0.99963100000000005</v>
      </c>
      <c r="N5209">
        <v>-1.426408E-2</v>
      </c>
      <c r="O5209">
        <v>-2.3116999999999999E-2</v>
      </c>
      <c r="P5209">
        <v>-0.99407659999999998</v>
      </c>
      <c r="Q5209">
        <v>-0.10754519999999999</v>
      </c>
      <c r="R5209">
        <v>-1.5677960000000001E-2</v>
      </c>
      <c r="S5209">
        <v>-3.0050349999999999</v>
      </c>
      <c r="T5209">
        <v>-0.13249279999999999</v>
      </c>
      <c r="U5209">
        <v>9.4223020000000005E-2</v>
      </c>
      <c r="V5209">
        <v>7.293819E-3</v>
      </c>
      <c r="W5209">
        <v>-9.3354439999999997E-2</v>
      </c>
      <c r="X5209">
        <v>0.9956062</v>
      </c>
      <c r="Y5209">
        <v>5.4359129999999999E-2</v>
      </c>
      <c r="Z5209">
        <v>2.2744850000000001E-3</v>
      </c>
      <c r="AA5209">
        <v>0.99851889999999999</v>
      </c>
      <c r="AB5209">
        <v>30</v>
      </c>
      <c r="AC5209">
        <v>-25.102799999999899</v>
      </c>
      <c r="AD5209">
        <v>-1.120759726025</v>
      </c>
      <c r="AE5209">
        <v>0.80430000000001201</v>
      </c>
      <c r="AF5209">
        <v>1.3816941359580399</v>
      </c>
      <c r="AG5209">
        <v>-1.120759726025</v>
      </c>
      <c r="AH5209">
        <v>25.0276580375869</v>
      </c>
      <c r="AI5209">
        <v>92.5601473281544</v>
      </c>
      <c r="AJ5209">
        <v>86.840097337086604</v>
      </c>
      <c r="AK5209">
        <v>25.090812021439401</v>
      </c>
      <c r="AL5209">
        <v>95.356615355314602</v>
      </c>
      <c r="AM5209">
        <v>89.580258169247003</v>
      </c>
      <c r="AN5209">
        <v>0.99999997837087895</v>
      </c>
    </row>
    <row r="5210" spans="1:40" x14ac:dyDescent="0.25">
      <c r="A5210" t="str">
        <f>"20190303154243585"</f>
        <v>20190303154243585</v>
      </c>
      <c r="B5210" t="str">
        <f>"1551598963575376"</f>
        <v>1551598963575376</v>
      </c>
      <c r="C5210" t="s">
        <v>40</v>
      </c>
      <c r="D5210">
        <v>5.4230850000000004</v>
      </c>
      <c r="E5210">
        <v>0.51834690000000005</v>
      </c>
      <c r="F5210" t="s">
        <v>57</v>
      </c>
      <c r="G5210">
        <v>-281.09309999999999</v>
      </c>
      <c r="H5210" s="1">
        <v>-4.8250719999999998E-6</v>
      </c>
      <c r="I5210">
        <v>141.85</v>
      </c>
      <c r="J5210">
        <v>-256.07459999999998</v>
      </c>
      <c r="K5210">
        <v>1.1207579999999999</v>
      </c>
      <c r="L5210">
        <v>141.0333</v>
      </c>
      <c r="M5210">
        <v>-0.99963239999999998</v>
      </c>
      <c r="N5210">
        <v>-1.426383E-2</v>
      </c>
      <c r="O5210">
        <v>-2.3059420000000001E-2</v>
      </c>
      <c r="P5210">
        <v>-0.99402760000000001</v>
      </c>
      <c r="Q5210">
        <v>-0.1080044</v>
      </c>
      <c r="R5210">
        <v>-1.563345E-2</v>
      </c>
      <c r="S5210">
        <v>-3.0049899999999998</v>
      </c>
      <c r="T5210">
        <v>-0.1330006</v>
      </c>
      <c r="U5210">
        <v>9.6084589999999998E-2</v>
      </c>
      <c r="V5210">
        <v>7.28004699999999E-3</v>
      </c>
      <c r="W5210">
        <v>-9.3814590000000003E-2</v>
      </c>
      <c r="X5210">
        <v>0.99556310000000003</v>
      </c>
      <c r="Y5210">
        <v>5.4918750000000002E-2</v>
      </c>
      <c r="Z5210">
        <v>2.2976379999999999E-3</v>
      </c>
      <c r="AA5210">
        <v>0.99848820000000005</v>
      </c>
      <c r="AB5210">
        <v>30</v>
      </c>
      <c r="AC5210">
        <v>-25.0185</v>
      </c>
      <c r="AD5210">
        <v>-1.1207628250720001</v>
      </c>
      <c r="AE5210">
        <v>0.81669999999999698</v>
      </c>
      <c r="AF5210">
        <v>1.3906657292186999</v>
      </c>
      <c r="AG5210">
        <v>-1.1207628250720001</v>
      </c>
      <c r="AH5210">
        <v>24.9430091499169</v>
      </c>
      <c r="AI5210">
        <v>92.568753535213204</v>
      </c>
      <c r="AJ5210">
        <v>86.808850538789102</v>
      </c>
      <c r="AK5210">
        <v>25.006874373526301</v>
      </c>
      <c r="AL5210">
        <v>95.383095939235901</v>
      </c>
      <c r="AM5210">
        <v>89.581032550075605</v>
      </c>
      <c r="AN5210">
        <v>1.0000000312313899</v>
      </c>
    </row>
    <row r="5211" spans="1:40" x14ac:dyDescent="0.25">
      <c r="A5211" t="str">
        <f>"20190303154243607"</f>
        <v>20190303154243607</v>
      </c>
      <c r="B5211" t="str">
        <f>"1551598963594892"</f>
        <v>1551598963594892</v>
      </c>
      <c r="C5211" t="s">
        <v>40</v>
      </c>
      <c r="D5211">
        <v>5.4296740000000003</v>
      </c>
      <c r="E5211">
        <v>0.5183932</v>
      </c>
      <c r="F5211" t="s">
        <v>57</v>
      </c>
      <c r="G5211">
        <v>-281.16829999999999</v>
      </c>
      <c r="H5211" s="1">
        <v>-4.8549029999999998E-6</v>
      </c>
      <c r="I5211">
        <v>141.8391</v>
      </c>
      <c r="J5211">
        <v>-256.36399999999998</v>
      </c>
      <c r="K5211">
        <v>1.1207590000000001</v>
      </c>
      <c r="L5211">
        <v>141.02670000000001</v>
      </c>
      <c r="M5211">
        <v>-0.99963369999999996</v>
      </c>
      <c r="N5211">
        <v>-1.426318E-2</v>
      </c>
      <c r="O5211">
        <v>-2.3003510000000001E-2</v>
      </c>
      <c r="P5211">
        <v>-0.99394550000000004</v>
      </c>
      <c r="Q5211">
        <v>-0.1087518</v>
      </c>
      <c r="R5211">
        <v>-1.566356E-2</v>
      </c>
      <c r="S5211">
        <v>-3.0049739999999998</v>
      </c>
      <c r="T5211">
        <v>-0.13421179999999999</v>
      </c>
      <c r="U5211">
        <v>9.6496579999999998E-2</v>
      </c>
      <c r="V5211">
        <v>7.1919849999999997E-3</v>
      </c>
      <c r="W5211">
        <v>-9.4563629999999996E-2</v>
      </c>
      <c r="X5211">
        <v>0.99549279999999996</v>
      </c>
      <c r="Y5211">
        <v>5.4998320000000003E-2</v>
      </c>
      <c r="Z5211">
        <v>2.3186230000000001E-3</v>
      </c>
      <c r="AA5211">
        <v>0.99848380000000003</v>
      </c>
      <c r="AB5211">
        <v>30</v>
      </c>
      <c r="AC5211">
        <v>-24.804299999999898</v>
      </c>
      <c r="AD5211">
        <v>-1.1207638549029999</v>
      </c>
      <c r="AE5211">
        <v>0.81239999999999601</v>
      </c>
      <c r="AF5211">
        <v>1.3800145136481099</v>
      </c>
      <c r="AG5211">
        <v>-1.1207638549029999</v>
      </c>
      <c r="AH5211">
        <v>24.728612847526399</v>
      </c>
      <c r="AI5211">
        <v>92.590989129360395</v>
      </c>
      <c r="AJ5211">
        <v>86.805842774090394</v>
      </c>
      <c r="AK5211">
        <v>24.792435238176701</v>
      </c>
      <c r="AL5211">
        <v>95.426204804653196</v>
      </c>
      <c r="AM5211">
        <v>89.586071121927304</v>
      </c>
      <c r="AN5211">
        <v>0.99999995980942702</v>
      </c>
    </row>
    <row r="5212" spans="1:40" x14ac:dyDescent="0.25">
      <c r="A5212" t="str">
        <f>"20190303154243630"</f>
        <v>20190303154243630</v>
      </c>
      <c r="B5212" t="str">
        <f>"1551598963625149"</f>
        <v>1551598963625149</v>
      </c>
      <c r="C5212" t="s">
        <v>40</v>
      </c>
      <c r="D5212">
        <v>5.4215049999999998</v>
      </c>
      <c r="E5212">
        <v>0.51845029999999903</v>
      </c>
      <c r="F5212" t="s">
        <v>57</v>
      </c>
      <c r="G5212">
        <v>-281.113</v>
      </c>
      <c r="H5212" s="1">
        <v>-4.8258889999999997E-6</v>
      </c>
      <c r="I5212">
        <v>141.8252</v>
      </c>
      <c r="J5212">
        <v>-256.66250000000002</v>
      </c>
      <c r="K5212">
        <v>1.1207560000000001</v>
      </c>
      <c r="L5212">
        <v>141.01990000000001</v>
      </c>
      <c r="M5212">
        <v>-0.99963519999999995</v>
      </c>
      <c r="N5212">
        <v>-1.4262149999999999E-2</v>
      </c>
      <c r="O5212">
        <v>-2.2941719999999999E-2</v>
      </c>
      <c r="P5212">
        <v>-0.99384899999999998</v>
      </c>
      <c r="Q5212">
        <v>-0.10951610000000001</v>
      </c>
      <c r="R5212">
        <v>-1.6449789999999999E-2</v>
      </c>
      <c r="S5212">
        <v>-3.0049130000000002</v>
      </c>
      <c r="T5212">
        <v>-0.136078</v>
      </c>
      <c r="U5212">
        <v>9.6954349999999995E-2</v>
      </c>
      <c r="V5212">
        <v>6.3419449999999999E-3</v>
      </c>
      <c r="W5212">
        <v>-9.5329899999999995E-2</v>
      </c>
      <c r="X5212">
        <v>0.99542549999999996</v>
      </c>
      <c r="Y5212">
        <v>5.5086900000000001E-2</v>
      </c>
      <c r="Z5212">
        <v>2.3507010000000002E-3</v>
      </c>
      <c r="AA5212">
        <v>0.9984788</v>
      </c>
      <c r="AB5212">
        <v>30</v>
      </c>
      <c r="AC5212">
        <v>-24.450499999999899</v>
      </c>
      <c r="AD5212">
        <v>-1.1207608258889901</v>
      </c>
      <c r="AE5212">
        <v>0.80529999999998803</v>
      </c>
      <c r="AF5212">
        <v>1.3632203316526601</v>
      </c>
      <c r="AG5212">
        <v>-1.1207608258889901</v>
      </c>
      <c r="AH5212">
        <v>24.374428527194102</v>
      </c>
      <c r="AI5212">
        <v>92.6285613937211</v>
      </c>
      <c r="AJ5212">
        <v>86.798879395343803</v>
      </c>
      <c r="AK5212">
        <v>24.438233171176201</v>
      </c>
      <c r="AL5212">
        <v>95.470308042297503</v>
      </c>
      <c r="AM5212">
        <v>89.634968396853495</v>
      </c>
      <c r="AN5212">
        <v>0.99999996807532099</v>
      </c>
    </row>
    <row r="5213" spans="1:40" x14ac:dyDescent="0.25">
      <c r="A5213" t="str">
        <f>"20190303154243651"</f>
        <v>20190303154243651</v>
      </c>
      <c r="B5213" t="str">
        <f>"1551598963644669"</f>
        <v>1551598963644669</v>
      </c>
      <c r="C5213" t="s">
        <v>40</v>
      </c>
      <c r="D5213">
        <v>5.3958190000000004</v>
      </c>
      <c r="E5213">
        <v>0.518432</v>
      </c>
      <c r="F5213" t="s">
        <v>57</v>
      </c>
      <c r="G5213">
        <v>-281.07319999999999</v>
      </c>
      <c r="H5213" s="1">
        <v>-4.7972259999999999E-6</v>
      </c>
      <c r="I5213">
        <v>141.7911</v>
      </c>
      <c r="J5213">
        <v>-256.96440000000001</v>
      </c>
      <c r="K5213">
        <v>1.1207549999999999</v>
      </c>
      <c r="L5213">
        <v>141.01300000000001</v>
      </c>
      <c r="M5213">
        <v>-0.99963679999999999</v>
      </c>
      <c r="N5213">
        <v>-1.4260800000000001E-2</v>
      </c>
      <c r="O5213">
        <v>-2.286877E-2</v>
      </c>
      <c r="P5213">
        <v>-0.99393929999999997</v>
      </c>
      <c r="Q5213">
        <v>-0.1086169</v>
      </c>
      <c r="R5213">
        <v>-1.6955540000000002E-2</v>
      </c>
      <c r="S5213">
        <v>-3.0049440000000001</v>
      </c>
      <c r="T5213">
        <v>-0.13796459999999999</v>
      </c>
      <c r="U5213">
        <v>9.4940189999999994E-2</v>
      </c>
      <c r="V5213">
        <v>5.7646479999999998E-3</v>
      </c>
      <c r="W5213">
        <v>-9.4430689999999998E-2</v>
      </c>
      <c r="X5213">
        <v>0.99551480000000003</v>
      </c>
      <c r="Y5213">
        <v>5.4343900000000001E-2</v>
      </c>
      <c r="Z5213">
        <v>2.3576830000000002E-3</v>
      </c>
      <c r="AA5213">
        <v>0.9985195</v>
      </c>
      <c r="AB5213">
        <v>30</v>
      </c>
      <c r="AC5213">
        <v>-24.108799999999899</v>
      </c>
      <c r="AD5213">
        <v>-1.1207597972259999</v>
      </c>
      <c r="AE5213">
        <v>0.77809999999999402</v>
      </c>
      <c r="AF5213">
        <v>1.3264275637791401</v>
      </c>
      <c r="AG5213">
        <v>-1.1207597972259999</v>
      </c>
      <c r="AH5213">
        <v>24.0328145202656</v>
      </c>
      <c r="AI5213">
        <v>92.665977579774804</v>
      </c>
      <c r="AJ5213">
        <v>86.840916284113902</v>
      </c>
      <c r="AK5213">
        <v>24.095470245889</v>
      </c>
      <c r="AL5213">
        <v>95.418553166163704</v>
      </c>
      <c r="AM5213">
        <v>89.668225616363998</v>
      </c>
      <c r="AN5213">
        <v>1.0000000516997301</v>
      </c>
    </row>
    <row r="5214" spans="1:40" x14ac:dyDescent="0.25">
      <c r="A5214" t="str">
        <f>"20190303154243674"</f>
        <v>20190303154243674</v>
      </c>
      <c r="B5214" t="str">
        <f>"1551598963665164"</f>
        <v>1551598963665164</v>
      </c>
      <c r="C5214" t="s">
        <v>40</v>
      </c>
      <c r="D5214">
        <v>5.4042899999999996</v>
      </c>
      <c r="E5214">
        <v>0.51848240000000001</v>
      </c>
      <c r="F5214" t="s">
        <v>57</v>
      </c>
      <c r="G5214">
        <v>-281.90410000000003</v>
      </c>
      <c r="H5214" s="1">
        <v>-5.1633570000000003E-6</v>
      </c>
      <c r="I5214">
        <v>141.78399999999999</v>
      </c>
      <c r="J5214">
        <v>-257.27350000000001</v>
      </c>
      <c r="K5214">
        <v>1.120744</v>
      </c>
      <c r="L5214">
        <v>141.006</v>
      </c>
      <c r="M5214">
        <v>-0.9996391</v>
      </c>
      <c r="N5214">
        <v>-1.425913E-2</v>
      </c>
      <c r="O5214">
        <v>-2.2772089999999998E-2</v>
      </c>
      <c r="P5214">
        <v>-0.99400630000000001</v>
      </c>
      <c r="Q5214">
        <v>-0.10798629999999999</v>
      </c>
      <c r="R5214">
        <v>-1.704897E-2</v>
      </c>
      <c r="S5214">
        <v>-3.0051269999999999</v>
      </c>
      <c r="T5214">
        <v>-0.13504739999999901</v>
      </c>
      <c r="U5214">
        <v>9.2910770000000004E-2</v>
      </c>
      <c r="V5214">
        <v>5.5734139999999996E-3</v>
      </c>
      <c r="W5214">
        <v>-9.3800949999999994E-2</v>
      </c>
      <c r="X5214">
        <v>0.9955754</v>
      </c>
      <c r="Y5214">
        <v>5.3576249999999999E-2</v>
      </c>
      <c r="Z5214">
        <v>2.2833660000000002E-3</v>
      </c>
      <c r="AA5214">
        <v>0.99856109999999998</v>
      </c>
      <c r="AB5214">
        <v>30</v>
      </c>
      <c r="AC5214">
        <v>-24.630600000000001</v>
      </c>
      <c r="AD5214">
        <v>-1.1207491633569999</v>
      </c>
      <c r="AE5214">
        <v>0.77799999999999103</v>
      </c>
      <c r="AF5214">
        <v>1.3359820768409501</v>
      </c>
      <c r="AG5214">
        <v>-1.1207491633569999</v>
      </c>
      <c r="AH5214">
        <v>24.555702141092599</v>
      </c>
      <c r="AI5214">
        <v>92.609374924802296</v>
      </c>
      <c r="AJ5214">
        <v>86.885825477065396</v>
      </c>
      <c r="AK5214">
        <v>24.6175432250838</v>
      </c>
      <c r="AL5214">
        <v>95.382310974713803</v>
      </c>
      <c r="AM5214">
        <v>89.679251050386</v>
      </c>
      <c r="AN5214">
        <v>1.0000000291248301</v>
      </c>
    </row>
    <row r="5215" spans="1:40" x14ac:dyDescent="0.25">
      <c r="A5215" t="str">
        <f>"20190303154243697"</f>
        <v>20190303154243697</v>
      </c>
      <c r="B5215" t="str">
        <f>"1551598963685664"</f>
        <v>1551598963685664</v>
      </c>
      <c r="C5215" t="s">
        <v>40</v>
      </c>
      <c r="D5215">
        <v>5.4069229999999999</v>
      </c>
      <c r="E5215">
        <v>0.51851000000000003</v>
      </c>
      <c r="F5215" t="s">
        <v>57</v>
      </c>
      <c r="G5215">
        <v>-282.69029999999998</v>
      </c>
      <c r="H5215" s="1">
        <v>-5.5140040000000002E-6</v>
      </c>
      <c r="I5215">
        <v>141.7901</v>
      </c>
      <c r="J5215">
        <v>-257.57479999999998</v>
      </c>
      <c r="K5215">
        <v>1.120719</v>
      </c>
      <c r="L5215">
        <v>140.9992</v>
      </c>
      <c r="M5215">
        <v>-0.99964209999999998</v>
      </c>
      <c r="N5215">
        <v>-1.425733E-2</v>
      </c>
      <c r="O5215">
        <v>-2.2636940000000001E-2</v>
      </c>
      <c r="P5215">
        <v>-0.99407319999999999</v>
      </c>
      <c r="Q5215">
        <v>-0.107376</v>
      </c>
      <c r="R5215">
        <v>-1.699608E-2</v>
      </c>
      <c r="S5215">
        <v>-3.00528</v>
      </c>
      <c r="T5215">
        <v>-0.132517</v>
      </c>
      <c r="U5215">
        <v>9.27124E-2</v>
      </c>
      <c r="V5215">
        <v>5.4877609999999999E-3</v>
      </c>
      <c r="W5215">
        <v>-9.3191910000000003E-2</v>
      </c>
      <c r="X5215">
        <v>0.99563310000000005</v>
      </c>
      <c r="Y5215">
        <v>5.3377069999999999E-2</v>
      </c>
      <c r="Z5215">
        <v>2.2317370000000001E-3</v>
      </c>
      <c r="AA5215">
        <v>0.99857189999999996</v>
      </c>
      <c r="AB5215">
        <v>30</v>
      </c>
      <c r="AC5215">
        <v>-25.115500000000001</v>
      </c>
      <c r="AD5215">
        <v>-1.1207245140040001</v>
      </c>
      <c r="AE5215">
        <v>0.79089999999999305</v>
      </c>
      <c r="AF5215">
        <v>1.35659457232186</v>
      </c>
      <c r="AG5215">
        <v>-1.1207245140040001</v>
      </c>
      <c r="AH5215">
        <v>25.041344673510199</v>
      </c>
      <c r="AI5215">
        <v>92.5588134905407</v>
      </c>
      <c r="AJ5215">
        <v>86.899078737614303</v>
      </c>
      <c r="AK5215">
        <v>25.1030937401644</v>
      </c>
      <c r="AL5215">
        <v>95.347261867055906</v>
      </c>
      <c r="AM5215">
        <v>89.684198566497102</v>
      </c>
      <c r="AN5215">
        <v>1.0000000587129201</v>
      </c>
    </row>
    <row r="5216" spans="1:40" x14ac:dyDescent="0.25">
      <c r="A5216" t="str">
        <f>"20190303154243719"</f>
        <v>20190303154243719</v>
      </c>
      <c r="B5216" t="str">
        <f>"1551598963714941"</f>
        <v>1551598963714941</v>
      </c>
      <c r="C5216" t="s">
        <v>40</v>
      </c>
      <c r="D5216">
        <v>5.4387189999999999</v>
      </c>
      <c r="E5216">
        <v>0.51852019999999999</v>
      </c>
      <c r="F5216" t="s">
        <v>57</v>
      </c>
      <c r="G5216">
        <v>-283.56990000000002</v>
      </c>
      <c r="H5216" s="1">
        <v>-5.9074199999999899E-6</v>
      </c>
      <c r="I5216">
        <v>141.8005</v>
      </c>
      <c r="J5216">
        <v>-257.87479999999999</v>
      </c>
      <c r="K5216">
        <v>1.12069</v>
      </c>
      <c r="L5216">
        <v>140.99260000000001</v>
      </c>
      <c r="M5216">
        <v>-0.99964649999999999</v>
      </c>
      <c r="N5216">
        <v>-1.425537E-2</v>
      </c>
      <c r="O5216">
        <v>-2.2445550000000002E-2</v>
      </c>
      <c r="P5216">
        <v>-0.99417279999999997</v>
      </c>
      <c r="Q5216">
        <v>-0.10638359999999999</v>
      </c>
      <c r="R5216">
        <v>-1.7413809999999998E-2</v>
      </c>
      <c r="S5216">
        <v>-3.0054630000000002</v>
      </c>
      <c r="T5216">
        <v>-0.1295741</v>
      </c>
      <c r="U5216">
        <v>9.2636109999999994E-2</v>
      </c>
      <c r="V5216">
        <v>4.8736279999999996E-3</v>
      </c>
      <c r="W5216">
        <v>-9.2200340000000006E-2</v>
      </c>
      <c r="X5216">
        <v>0.99572859999999996</v>
      </c>
      <c r="Y5216">
        <v>5.3162340000000002E-2</v>
      </c>
      <c r="Z5216">
        <v>2.1716869999999998E-3</v>
      </c>
      <c r="AA5216">
        <v>0.99858349999999996</v>
      </c>
      <c r="AB5216">
        <v>30</v>
      </c>
      <c r="AC5216">
        <v>-25.6951</v>
      </c>
      <c r="AD5216">
        <v>-1.12069590742</v>
      </c>
      <c r="AE5216">
        <v>0.80789999999998896</v>
      </c>
      <c r="AF5216">
        <v>1.38186953296604</v>
      </c>
      <c r="AG5216">
        <v>-1.12069590742</v>
      </c>
      <c r="AH5216">
        <v>25.621797883203701</v>
      </c>
      <c r="AI5216">
        <v>92.500887551093399</v>
      </c>
      <c r="AJ5216">
        <v>86.912837358295505</v>
      </c>
      <c r="AK5216">
        <v>25.683497610154099</v>
      </c>
      <c r="AL5216">
        <v>95.290203470415804</v>
      </c>
      <c r="AM5216">
        <v>89.719566069012899</v>
      </c>
      <c r="AN5216">
        <v>1.0000000499019699</v>
      </c>
    </row>
    <row r="5217" spans="1:40" x14ac:dyDescent="0.25">
      <c r="A5217" t="str">
        <f>"20190303154243743"</f>
        <v>20190303154243743</v>
      </c>
      <c r="B5217" t="str">
        <f>"1551598963735437"</f>
        <v>1551598963735437</v>
      </c>
      <c r="C5217" t="s">
        <v>40</v>
      </c>
      <c r="D5217">
        <v>5.4310720000000003</v>
      </c>
      <c r="E5217">
        <v>0.51853359999999904</v>
      </c>
      <c r="F5217" t="s">
        <v>57</v>
      </c>
      <c r="G5217">
        <v>-284.51979999999998</v>
      </c>
      <c r="H5217" s="1">
        <v>-6.3284640000000003E-6</v>
      </c>
      <c r="I5217">
        <v>141.79990000000001</v>
      </c>
      <c r="J5217">
        <v>-258.19580000000002</v>
      </c>
      <c r="K5217">
        <v>1.120644</v>
      </c>
      <c r="L5217">
        <v>140.98570000000001</v>
      </c>
      <c r="M5217">
        <v>-0.9996524</v>
      </c>
      <c r="N5217">
        <v>-1.4253190000000001E-2</v>
      </c>
      <c r="O5217">
        <v>-2.218142E-2</v>
      </c>
      <c r="P5217">
        <v>-0.99419610000000003</v>
      </c>
      <c r="Q5217">
        <v>-0.1060416</v>
      </c>
      <c r="R5217">
        <v>-1.8150280000000001E-2</v>
      </c>
      <c r="S5217">
        <v>-3.005646</v>
      </c>
      <c r="T5217">
        <v>-0.12641859999999999</v>
      </c>
      <c r="U5217">
        <v>9.1064450000000005E-2</v>
      </c>
      <c r="V5217">
        <v>3.8647210000000002E-3</v>
      </c>
      <c r="W5217">
        <v>-9.1859999999999997E-2</v>
      </c>
      <c r="X5217">
        <v>0.99576439999999999</v>
      </c>
      <c r="Y5217">
        <v>5.2379410000000001E-2</v>
      </c>
      <c r="Z5217">
        <v>2.0907759999999999E-3</v>
      </c>
      <c r="AA5217">
        <v>0.99862499999999998</v>
      </c>
      <c r="AB5217">
        <v>30</v>
      </c>
      <c r="AC5217">
        <v>-26.323999999999899</v>
      </c>
      <c r="AD5217">
        <v>-1.1206503284639999</v>
      </c>
      <c r="AE5217">
        <v>0.81419999999999904</v>
      </c>
      <c r="AF5217">
        <v>1.3954360602402001</v>
      </c>
      <c r="AG5217">
        <v>-1.1206503284639999</v>
      </c>
      <c r="AH5217">
        <v>26.2519284365526</v>
      </c>
      <c r="AI5217">
        <v>92.440933807889905</v>
      </c>
      <c r="AJ5217">
        <v>86.957274128047104</v>
      </c>
      <c r="AK5217">
        <v>26.312864640604701</v>
      </c>
      <c r="AL5217">
        <v>95.270620752056203</v>
      </c>
      <c r="AM5217">
        <v>89.777627026568894</v>
      </c>
      <c r="AN5217">
        <v>0.99999996798788304</v>
      </c>
    </row>
    <row r="5218" spans="1:40" x14ac:dyDescent="0.25">
      <c r="A5218" t="str">
        <f>"20190303154243763"</f>
        <v>20190303154243763</v>
      </c>
      <c r="B5218" t="str">
        <f>"1551598963754961"</f>
        <v>1551598963754961</v>
      </c>
      <c r="C5218" t="s">
        <v>40</v>
      </c>
      <c r="D5218">
        <v>5.4506690000000004</v>
      </c>
      <c r="E5218">
        <v>0.51856939999999996</v>
      </c>
      <c r="F5218" t="s">
        <v>57</v>
      </c>
      <c r="G5218">
        <v>-285.12880000000001</v>
      </c>
      <c r="H5218" s="1">
        <v>-6.622473E-6</v>
      </c>
      <c r="I5218">
        <v>141.7792</v>
      </c>
      <c r="J5218">
        <v>-258.4701</v>
      </c>
      <c r="K5218">
        <v>1.120595</v>
      </c>
      <c r="L5218">
        <v>140.97980000000001</v>
      </c>
      <c r="M5218">
        <v>-0.99965870000000001</v>
      </c>
      <c r="N5218">
        <v>-1.425125E-2</v>
      </c>
      <c r="O5218">
        <v>-2.1893490000000002E-2</v>
      </c>
      <c r="P5218">
        <v>-0.99412469999999997</v>
      </c>
      <c r="Q5218">
        <v>-0.1065531</v>
      </c>
      <c r="R5218">
        <v>-1.904161E-2</v>
      </c>
      <c r="S5218">
        <v>-3.005798</v>
      </c>
      <c r="T5218">
        <v>-0.12506780000000001</v>
      </c>
      <c r="U5218">
        <v>8.8562009999999997E-2</v>
      </c>
      <c r="V5218">
        <v>2.6750939999999998E-3</v>
      </c>
      <c r="W5218">
        <v>-9.2373849999999993E-2</v>
      </c>
      <c r="X5218">
        <v>0.99572079999999996</v>
      </c>
      <c r="Y5218">
        <v>5.1262389999999998E-2</v>
      </c>
      <c r="Z5218">
        <v>2.0299070000000001E-3</v>
      </c>
      <c r="AA5218">
        <v>0.99868319999999999</v>
      </c>
      <c r="AB5218">
        <v>30</v>
      </c>
      <c r="AC5218">
        <v>-26.6587</v>
      </c>
      <c r="AD5218">
        <v>-1.120601622473</v>
      </c>
      <c r="AE5218">
        <v>0.79939999999999101</v>
      </c>
      <c r="AF5218">
        <v>1.38048257579703</v>
      </c>
      <c r="AG5218">
        <v>-1.120601622473</v>
      </c>
      <c r="AH5218">
        <v>26.5878681516939</v>
      </c>
      <c r="AI5218">
        <v>92.410180044538507</v>
      </c>
      <c r="AJ5218">
        <v>87.027784894229299</v>
      </c>
      <c r="AK5218">
        <v>26.647255261850599</v>
      </c>
      <c r="AL5218">
        <v>95.300187744231195</v>
      </c>
      <c r="AM5218">
        <v>89.846070075825693</v>
      </c>
      <c r="AN5218">
        <v>0.99999999792218497</v>
      </c>
    </row>
    <row r="5219" spans="1:40" x14ac:dyDescent="0.25">
      <c r="A5219" t="str">
        <f>"20190303154243787"</f>
        <v>20190303154243787</v>
      </c>
      <c r="B5219" t="str">
        <f>"1551598963775456"</f>
        <v>1551598963775456</v>
      </c>
      <c r="C5219" t="s">
        <v>40</v>
      </c>
      <c r="D5219">
        <v>5.4082699999999999</v>
      </c>
      <c r="E5219">
        <v>0.51846819999999905</v>
      </c>
      <c r="F5219" t="s">
        <v>57</v>
      </c>
      <c r="G5219">
        <v>-285.15050000000002</v>
      </c>
      <c r="H5219" s="1">
        <v>-6.6244980000000002E-6</v>
      </c>
      <c r="I5219">
        <v>141.74369999999999</v>
      </c>
      <c r="J5219">
        <v>-258.77980000000002</v>
      </c>
      <c r="K5219">
        <v>1.1205400000000001</v>
      </c>
      <c r="L5219">
        <v>140.9735</v>
      </c>
      <c r="M5219">
        <v>-0.99966770000000005</v>
      </c>
      <c r="N5219">
        <v>-1.42489E-2</v>
      </c>
      <c r="O5219">
        <v>-2.1480989999999998E-2</v>
      </c>
      <c r="P5219">
        <v>-0.99399740000000003</v>
      </c>
      <c r="Q5219">
        <v>-0.10753890000000001</v>
      </c>
      <c r="R5219">
        <v>-2.0118460000000001E-2</v>
      </c>
      <c r="S5219">
        <v>-3.0058289999999999</v>
      </c>
      <c r="T5219">
        <v>-0.12624749999999901</v>
      </c>
      <c r="U5219">
        <v>8.6059570000000002E-2</v>
      </c>
      <c r="V5219">
        <v>1.1713120000000001E-3</v>
      </c>
      <c r="W5219">
        <v>-9.3362580000000001E-2</v>
      </c>
      <c r="X5219">
        <v>0.9956315</v>
      </c>
      <c r="Y5219">
        <v>5.0019630000000002E-2</v>
      </c>
      <c r="Z5219">
        <v>2.002139E-3</v>
      </c>
      <c r="AA5219">
        <v>0.99874620000000003</v>
      </c>
      <c r="AB5219">
        <v>30</v>
      </c>
      <c r="AC5219">
        <v>-26.370699999999999</v>
      </c>
      <c r="AD5219">
        <v>-1.12054662449799</v>
      </c>
      <c r="AE5219">
        <v>0.77019999999998801</v>
      </c>
      <c r="AF5219">
        <v>1.33414166459738</v>
      </c>
      <c r="AG5219">
        <v>-1.12054662449799</v>
      </c>
      <c r="AH5219">
        <v>26.300620189591299</v>
      </c>
      <c r="AI5219">
        <v>92.436501211356898</v>
      </c>
      <c r="AJ5219">
        <v>87.096067633919901</v>
      </c>
      <c r="AK5219">
        <v>26.358265896603001</v>
      </c>
      <c r="AL5219">
        <v>95.3570835997958</v>
      </c>
      <c r="AM5219">
        <v>89.932594335221793</v>
      </c>
      <c r="AN5219">
        <v>1.00000001355415</v>
      </c>
    </row>
    <row r="5220" spans="1:40" x14ac:dyDescent="0.25">
      <c r="A5220" t="str">
        <f>"20190303154243808"</f>
        <v>20190303154243808</v>
      </c>
      <c r="B5220" t="str">
        <f>"1551598963804734"</f>
        <v>1551598963804734</v>
      </c>
      <c r="C5220" t="s">
        <v>40</v>
      </c>
      <c r="D5220">
        <v>5.4803420000000003</v>
      </c>
      <c r="E5220">
        <v>0.51845149999999995</v>
      </c>
      <c r="F5220" t="s">
        <v>57</v>
      </c>
      <c r="G5220">
        <v>-284.92720000000003</v>
      </c>
      <c r="H5220" s="1">
        <v>-6.4726849999999997E-6</v>
      </c>
      <c r="I5220">
        <v>141.68729999999999</v>
      </c>
      <c r="J5220">
        <v>-259.06630000000001</v>
      </c>
      <c r="K5220">
        <v>1.120476</v>
      </c>
      <c r="L5220">
        <v>140.96780000000001</v>
      </c>
      <c r="M5220">
        <v>-0.99967779999999995</v>
      </c>
      <c r="N5220">
        <v>-1.424666E-2</v>
      </c>
      <c r="O5220">
        <v>-2.101159E-2</v>
      </c>
      <c r="P5220">
        <v>-0.99396549999999995</v>
      </c>
      <c r="Q5220">
        <v>-0.1076313</v>
      </c>
      <c r="R5220">
        <v>-2.1170959999999999E-2</v>
      </c>
      <c r="S5220">
        <v>-3.00589</v>
      </c>
      <c r="T5220">
        <v>-0.1288174</v>
      </c>
      <c r="U5220">
        <v>8.2061770000000006E-2</v>
      </c>
      <c r="V5220">
        <v>-3.6348460000000001E-4</v>
      </c>
      <c r="W5220">
        <v>-9.3456239999999996E-2</v>
      </c>
      <c r="X5220">
        <v>0.99562340000000005</v>
      </c>
      <c r="Y5220">
        <v>4.8222470000000003E-2</v>
      </c>
      <c r="Z5220">
        <v>1.9770949999999999E-3</v>
      </c>
      <c r="AA5220">
        <v>0.99883469999999996</v>
      </c>
      <c r="AB5220">
        <v>30</v>
      </c>
      <c r="AC5220">
        <v>-25.860900000000001</v>
      </c>
      <c r="AD5220">
        <v>-1.120482472685</v>
      </c>
      <c r="AE5220">
        <v>0.71949999999998204</v>
      </c>
      <c r="AF5220">
        <v>1.2604105828797001</v>
      </c>
      <c r="AG5220">
        <v>-1.120482472685</v>
      </c>
      <c r="AH5220">
        <v>25.7916901297456</v>
      </c>
      <c r="AI5220">
        <v>92.484606313429595</v>
      </c>
      <c r="AJ5220">
        <v>87.2022461253259</v>
      </c>
      <c r="AK5220">
        <v>25.846767603664599</v>
      </c>
      <c r="AL5220">
        <v>95.362473142821401</v>
      </c>
      <c r="AM5220">
        <v>90.020917680894897</v>
      </c>
      <c r="AN5220">
        <v>1.0000000777717699</v>
      </c>
    </row>
    <row r="5221" spans="1:40" x14ac:dyDescent="0.25">
      <c r="A5221" t="str">
        <f>"20190303154243831"</f>
        <v>20190303154243831</v>
      </c>
      <c r="B5221" t="str">
        <f>"1551598963825229"</f>
        <v>1551598963825229</v>
      </c>
      <c r="C5221" t="s">
        <v>40</v>
      </c>
      <c r="D5221">
        <v>5.5090560000000002</v>
      </c>
      <c r="E5221">
        <v>0.5185111</v>
      </c>
      <c r="F5221" t="s">
        <v>57</v>
      </c>
      <c r="G5221">
        <v>-284.97899999999998</v>
      </c>
      <c r="H5221" s="1">
        <v>-6.4863939999999997E-6</v>
      </c>
      <c r="I5221">
        <v>141.64689999999999</v>
      </c>
      <c r="J5221">
        <v>-259.36450000000002</v>
      </c>
      <c r="K5221">
        <v>1.120411</v>
      </c>
      <c r="L5221">
        <v>140.96209999999999</v>
      </c>
      <c r="M5221">
        <v>-0.99968979999999996</v>
      </c>
      <c r="N5221">
        <v>-1.4244669999999999E-2</v>
      </c>
      <c r="O5221">
        <v>-2.0433710000000001E-2</v>
      </c>
      <c r="P5221">
        <v>-0.99394300000000002</v>
      </c>
      <c r="Q5221">
        <v>-0.1077183</v>
      </c>
      <c r="R5221">
        <v>-2.178418E-2</v>
      </c>
      <c r="S5221">
        <v>-3.0058289999999999</v>
      </c>
      <c r="T5221">
        <v>-0.12997410000000001</v>
      </c>
      <c r="U5221">
        <v>7.8781130000000005E-2</v>
      </c>
      <c r="V5221">
        <v>-1.567438E-3</v>
      </c>
      <c r="W5221">
        <v>-9.354403E-2</v>
      </c>
      <c r="X5221">
        <v>0.99561390000000005</v>
      </c>
      <c r="Y5221">
        <v>4.6557340000000003E-2</v>
      </c>
      <c r="Z5221">
        <v>1.929896E-3</v>
      </c>
      <c r="AA5221">
        <v>0.99891379999999996</v>
      </c>
      <c r="AB5221">
        <v>30</v>
      </c>
      <c r="AC5221">
        <v>-25.6145</v>
      </c>
      <c r="AD5221">
        <v>-1.120417486394</v>
      </c>
      <c r="AE5221">
        <v>0.68479999999999497</v>
      </c>
      <c r="AF5221">
        <v>1.2058038856742399</v>
      </c>
      <c r="AG5221">
        <v>-1.120417486394</v>
      </c>
      <c r="AH5221">
        <v>25.5463130356218</v>
      </c>
      <c r="AI5221">
        <v>92.508496059095805</v>
      </c>
      <c r="AJ5221">
        <v>87.297604740643294</v>
      </c>
      <c r="AK5221">
        <v>25.599285303861599</v>
      </c>
      <c r="AL5221">
        <v>95.367525742672996</v>
      </c>
      <c r="AM5221">
        <v>90.090203147877702</v>
      </c>
      <c r="AN5221">
        <v>0.99999999014186702</v>
      </c>
    </row>
    <row r="5222" spans="1:40" x14ac:dyDescent="0.25">
      <c r="A5222" t="str">
        <f>"20190303154243852"</f>
        <v>20190303154243852</v>
      </c>
      <c r="B5222" t="str">
        <f>"1551598963844757"</f>
        <v>1551598963844757</v>
      </c>
      <c r="C5222" t="s">
        <v>40</v>
      </c>
      <c r="D5222">
        <v>5.4878559999999998</v>
      </c>
      <c r="E5222">
        <v>0.51858870000000001</v>
      </c>
      <c r="F5222" t="s">
        <v>57</v>
      </c>
      <c r="G5222">
        <v>-285.18130000000002</v>
      </c>
      <c r="H5222" s="1">
        <v>-6.6057759999999997E-6</v>
      </c>
      <c r="I5222">
        <v>141.6266</v>
      </c>
      <c r="J5222">
        <v>-259.65170000000001</v>
      </c>
      <c r="K5222">
        <v>1.120344</v>
      </c>
      <c r="L5222">
        <v>140.95679999999999</v>
      </c>
      <c r="M5222">
        <v>-0.9997028</v>
      </c>
      <c r="N5222">
        <v>-1.4241429999999999E-2</v>
      </c>
      <c r="O5222">
        <v>-1.9793069999999999E-2</v>
      </c>
      <c r="P5222">
        <v>-0.99394229999999995</v>
      </c>
      <c r="Q5222">
        <v>-0.1078235</v>
      </c>
      <c r="R5222">
        <v>-2.1289559999999999E-2</v>
      </c>
      <c r="S5222">
        <v>-3.0058289999999999</v>
      </c>
      <c r="T5222">
        <v>-0.13044939999999999</v>
      </c>
      <c r="U5222">
        <v>7.7377319999999999E-2</v>
      </c>
      <c r="V5222">
        <v>-1.725985E-3</v>
      </c>
      <c r="W5222">
        <v>-9.3652100000000002E-2</v>
      </c>
      <c r="X5222">
        <v>0.99560349999999997</v>
      </c>
      <c r="Y5222">
        <v>4.5452159999999998E-2</v>
      </c>
      <c r="Z5222">
        <v>1.8862880000000001E-3</v>
      </c>
      <c r="AA5222">
        <v>0.99896470000000004</v>
      </c>
      <c r="AB5222">
        <v>30</v>
      </c>
      <c r="AC5222">
        <v>-25.529599999999999</v>
      </c>
      <c r="AD5222">
        <v>-1.120350605776</v>
      </c>
      <c r="AE5222">
        <v>0.66980000000000905</v>
      </c>
      <c r="AF5222">
        <v>1.1727720839401099</v>
      </c>
      <c r="AG5222">
        <v>-1.120350605776</v>
      </c>
      <c r="AH5222">
        <v>25.4623363263089</v>
      </c>
      <c r="AI5222">
        <v>92.516742117510205</v>
      </c>
      <c r="AJ5222">
        <v>87.362872219213401</v>
      </c>
      <c r="AK5222">
        <v>25.5139403274916</v>
      </c>
      <c r="AL5222">
        <v>95.373744881765205</v>
      </c>
      <c r="AM5222">
        <v>90.099328253600603</v>
      </c>
      <c r="AN5222">
        <v>1.00000001203544</v>
      </c>
    </row>
    <row r="5223" spans="1:40" x14ac:dyDescent="0.25">
      <c r="A5223" t="str">
        <f>"20190303154243875"</f>
        <v>20190303154243875</v>
      </c>
      <c r="B5223" t="str">
        <f>"1551598963865249"</f>
        <v>1551598963865249</v>
      </c>
      <c r="C5223" t="s">
        <v>40</v>
      </c>
      <c r="D5223">
        <v>5.5289650000000004</v>
      </c>
      <c r="E5223">
        <v>0.51868239999999999</v>
      </c>
      <c r="F5223" t="s">
        <v>57</v>
      </c>
      <c r="G5223">
        <v>-285.2765</v>
      </c>
      <c r="H5223" s="1">
        <v>-6.6678540000000001E-6</v>
      </c>
      <c r="I5223">
        <v>141.6354</v>
      </c>
      <c r="J5223">
        <v>-259.95830000000001</v>
      </c>
      <c r="K5223">
        <v>1.120271</v>
      </c>
      <c r="L5223">
        <v>140.95160000000001</v>
      </c>
      <c r="M5223">
        <v>-0.99971770000000004</v>
      </c>
      <c r="N5223">
        <v>-1.423146E-2</v>
      </c>
      <c r="O5223">
        <v>-1.9026410000000001E-2</v>
      </c>
      <c r="P5223">
        <v>-0.9939405</v>
      </c>
      <c r="Q5223">
        <v>-0.1080653</v>
      </c>
      <c r="R5223">
        <v>-2.0114170000000001E-2</v>
      </c>
      <c r="S5223">
        <v>-3.0057070000000001</v>
      </c>
      <c r="T5223">
        <v>-0.1314139</v>
      </c>
      <c r="U5223">
        <v>7.9589839999999995E-2</v>
      </c>
      <c r="V5223">
        <v>-1.3295449999999999E-3</v>
      </c>
      <c r="W5223">
        <v>-9.3904500000000002E-2</v>
      </c>
      <c r="X5223">
        <v>0.99558029999999997</v>
      </c>
      <c r="Y5223">
        <v>4.5421410000000002E-2</v>
      </c>
      <c r="Z5223">
        <v>1.8764680000000001E-3</v>
      </c>
      <c r="AA5223">
        <v>0.99896620000000003</v>
      </c>
      <c r="AB5223">
        <v>30</v>
      </c>
      <c r="AC5223">
        <v>-25.318199999999901</v>
      </c>
      <c r="AD5223">
        <v>-1.1202776678540001</v>
      </c>
      <c r="AE5223">
        <v>0.68379999999998997</v>
      </c>
      <c r="AF5223">
        <v>1.1631637598120299</v>
      </c>
      <c r="AG5223">
        <v>-1.1202776678540001</v>
      </c>
      <c r="AH5223">
        <v>25.2512016870777</v>
      </c>
      <c r="AI5223">
        <v>92.537592596257994</v>
      </c>
      <c r="AJ5223">
        <v>87.362608786299504</v>
      </c>
      <c r="AK5223">
        <v>25.3027895423945</v>
      </c>
      <c r="AL5223">
        <v>95.388270531013902</v>
      </c>
      <c r="AM5223">
        <v>90.076515447209403</v>
      </c>
      <c r="AN5223">
        <v>0.99999997827912301</v>
      </c>
    </row>
    <row r="5224" spans="1:40" x14ac:dyDescent="0.25">
      <c r="A5224" t="str">
        <f>"20190303154243898"</f>
        <v>20190303154243898</v>
      </c>
      <c r="B5224" t="str">
        <f>"1551598963895507"</f>
        <v>1551598963895507</v>
      </c>
      <c r="C5224" t="s">
        <v>40</v>
      </c>
      <c r="D5224">
        <v>5.5690670000000004</v>
      </c>
      <c r="E5224">
        <v>0.51868689999999995</v>
      </c>
      <c r="F5224" t="s">
        <v>57</v>
      </c>
      <c r="G5224">
        <v>-285.27480000000003</v>
      </c>
      <c r="H5224" s="1">
        <v>-6.6757299999999999E-6</v>
      </c>
      <c r="I5224">
        <v>141.66299999999899</v>
      </c>
      <c r="J5224">
        <v>-260.26179999999999</v>
      </c>
      <c r="K5224">
        <v>1.1201989999999999</v>
      </c>
      <c r="L5224">
        <v>140.94669999999999</v>
      </c>
      <c r="M5224">
        <v>-0.9997336</v>
      </c>
      <c r="N5224">
        <v>-1.421616E-2</v>
      </c>
      <c r="O5224">
        <v>-1.8188619999999999E-2</v>
      </c>
      <c r="P5224">
        <v>-0.99384839999999997</v>
      </c>
      <c r="Q5224">
        <v>-0.1092325</v>
      </c>
      <c r="R5224">
        <v>-1.8264820000000001E-2</v>
      </c>
      <c r="S5224">
        <v>-3.0055540000000001</v>
      </c>
      <c r="T5224">
        <v>-0.1329987</v>
      </c>
      <c r="U5224">
        <v>8.4457400000000002E-2</v>
      </c>
      <c r="V5224">
        <v>-3.302008E-4</v>
      </c>
      <c r="W5224">
        <v>-9.5090010000000003E-2</v>
      </c>
      <c r="X5224">
        <v>0.99546860000000004</v>
      </c>
      <c r="Y5224">
        <v>4.6200070000000003E-2</v>
      </c>
      <c r="Z5224">
        <v>1.8960719999999999E-3</v>
      </c>
      <c r="AA5224">
        <v>0.9989304</v>
      </c>
      <c r="AB5224">
        <v>30</v>
      </c>
      <c r="AC5224">
        <v>-25.013000000000002</v>
      </c>
      <c r="AD5224">
        <v>-1.1202056757300001</v>
      </c>
      <c r="AE5224">
        <v>0.71629999999998895</v>
      </c>
      <c r="AF5224">
        <v>1.16883696358439</v>
      </c>
      <c r="AG5224">
        <v>-1.1202056757300001</v>
      </c>
      <c r="AH5224">
        <v>24.9458388839248</v>
      </c>
      <c r="AI5224">
        <v>92.568355058321103</v>
      </c>
      <c r="AJ5224">
        <v>87.317368972060706</v>
      </c>
      <c r="AK5224">
        <v>24.998318307960499</v>
      </c>
      <c r="AL5224">
        <v>95.456500588095395</v>
      </c>
      <c r="AM5224">
        <v>90.019005231845497</v>
      </c>
      <c r="AN5224">
        <v>0.99999997631016302</v>
      </c>
    </row>
    <row r="5225" spans="1:40" x14ac:dyDescent="0.25">
      <c r="A5225" t="str">
        <f>"20190303154243919"</f>
        <v>20190303154243919</v>
      </c>
      <c r="B5225" t="str">
        <f>"1551598963915026"</f>
        <v>1551598963915026</v>
      </c>
      <c r="C5225" t="s">
        <v>40</v>
      </c>
      <c r="D5225">
        <v>5.6891040000000004</v>
      </c>
      <c r="E5225">
        <v>0.51862450000000004</v>
      </c>
      <c r="F5225" t="s">
        <v>57</v>
      </c>
      <c r="G5225">
        <v>-284.76650000000001</v>
      </c>
      <c r="H5225" s="1">
        <v>-6.3992560000000003E-6</v>
      </c>
      <c r="I5225">
        <v>141.68049999999999</v>
      </c>
      <c r="J5225">
        <v>-260.55220000000003</v>
      </c>
      <c r="K5225">
        <v>1.1201509999999999</v>
      </c>
      <c r="L5225">
        <v>140.94229999999999</v>
      </c>
      <c r="M5225">
        <v>-0.999749</v>
      </c>
      <c r="N5225">
        <v>-1.420109E-2</v>
      </c>
      <c r="O5225">
        <v>-1.733556E-2</v>
      </c>
      <c r="P5225">
        <v>-0.99367059999999996</v>
      </c>
      <c r="Q5225">
        <v>-0.1111858</v>
      </c>
      <c r="R5225">
        <v>-1.6023630000000001E-2</v>
      </c>
      <c r="S5225">
        <v>-3.0051570000000001</v>
      </c>
      <c r="T5225">
        <v>-0.13737750000000001</v>
      </c>
      <c r="U5225">
        <v>8.9996339999999994E-2</v>
      </c>
      <c r="V5225">
        <v>1.0462270000000001E-3</v>
      </c>
      <c r="W5225">
        <v>-9.7063410000000003E-2</v>
      </c>
      <c r="X5225">
        <v>0.99527759999999998</v>
      </c>
      <c r="Y5225">
        <v>4.718576E-2</v>
      </c>
      <c r="Z5225">
        <v>1.958946E-3</v>
      </c>
      <c r="AA5225">
        <v>0.9988842</v>
      </c>
      <c r="AB5225">
        <v>30</v>
      </c>
      <c r="AC5225">
        <v>-24.214299999999898</v>
      </c>
      <c r="AD5225">
        <v>-1.1201573992560001</v>
      </c>
      <c r="AE5225">
        <v>0.73820000000000596</v>
      </c>
      <c r="AF5225">
        <v>1.15542945167484</v>
      </c>
      <c r="AG5225">
        <v>-1.1201573992560001</v>
      </c>
      <c r="AH5225">
        <v>24.146237107956399</v>
      </c>
      <c r="AI5225">
        <v>92.653047548612093</v>
      </c>
      <c r="AJ5225">
        <v>87.260410719914404</v>
      </c>
      <c r="AK5225">
        <v>24.199804468023199</v>
      </c>
      <c r="AL5225">
        <v>95.570093733625797</v>
      </c>
      <c r="AM5225">
        <v>89.939771206110606</v>
      </c>
      <c r="AN5225">
        <v>0.99999995060675995</v>
      </c>
    </row>
    <row r="5226" spans="1:40" x14ac:dyDescent="0.25">
      <c r="A5226" t="str">
        <f>"20190303154243943"</f>
        <v>20190303154243943</v>
      </c>
      <c r="B5226" t="str">
        <f>"1551598963935521"</f>
        <v>1551598963935521</v>
      </c>
      <c r="C5226" t="s">
        <v>40</v>
      </c>
      <c r="D5226">
        <v>5.5688690000000003</v>
      </c>
      <c r="E5226">
        <v>0.51870590000000005</v>
      </c>
      <c r="F5226" t="s">
        <v>57</v>
      </c>
      <c r="G5226">
        <v>-283.76929999999999</v>
      </c>
      <c r="H5226" s="1">
        <v>-5.9583430000000003E-6</v>
      </c>
      <c r="I5226">
        <v>141.68459999999999</v>
      </c>
      <c r="J5226">
        <v>-260.85989999999998</v>
      </c>
      <c r="K5226">
        <v>1.1201110000000001</v>
      </c>
      <c r="L5226">
        <v>140.93799999999999</v>
      </c>
      <c r="M5226">
        <v>-0.99976509999999996</v>
      </c>
      <c r="N5226">
        <v>-1.417881E-2</v>
      </c>
      <c r="O5226">
        <v>-1.6395259999999998E-2</v>
      </c>
      <c r="P5226">
        <v>-0.99359750000000002</v>
      </c>
      <c r="Q5226">
        <v>-0.11214979999999999</v>
      </c>
      <c r="R5226">
        <v>-1.365676E-2</v>
      </c>
      <c r="S5226">
        <v>-3.0044249999999999</v>
      </c>
      <c r="T5226">
        <v>-0.144955</v>
      </c>
      <c r="U5226">
        <v>9.605408E-2</v>
      </c>
      <c r="V5226">
        <v>2.467655E-3</v>
      </c>
      <c r="W5226">
        <v>-9.8053600000000005E-2</v>
      </c>
      <c r="X5226">
        <v>0.99517809999999995</v>
      </c>
      <c r="Y5226">
        <v>4.8256680000000003E-2</v>
      </c>
      <c r="Z5226">
        <v>2.0636980000000001E-3</v>
      </c>
      <c r="AA5226">
        <v>0.99883279999999997</v>
      </c>
      <c r="AB5226">
        <v>30</v>
      </c>
      <c r="AC5226">
        <v>-22.909400000000002</v>
      </c>
      <c r="AD5226">
        <v>-1.120116958343</v>
      </c>
      <c r="AE5226">
        <v>0.74660000000000004</v>
      </c>
      <c r="AF5226">
        <v>1.1194696225984799</v>
      </c>
      <c r="AG5226">
        <v>-1.120116958343</v>
      </c>
      <c r="AH5226">
        <v>22.839536852355501</v>
      </c>
      <c r="AI5226">
        <v>92.804339978885807</v>
      </c>
      <c r="AJ5226">
        <v>87.193918842733794</v>
      </c>
      <c r="AK5226">
        <v>22.8943730612217</v>
      </c>
      <c r="AL5226">
        <v>95.627098959796001</v>
      </c>
      <c r="AM5226">
        <v>89.857929020920295</v>
      </c>
      <c r="AN5226">
        <v>1.0000000242568801</v>
      </c>
    </row>
    <row r="5227" spans="1:40" x14ac:dyDescent="0.25">
      <c r="A5227" t="str">
        <f>"20190303154243964"</f>
        <v>20190303154243964</v>
      </c>
      <c r="B5227" t="str">
        <f>"1551598963955041"</f>
        <v>1551598963955041</v>
      </c>
      <c r="C5227" t="s">
        <v>40</v>
      </c>
      <c r="D5227">
        <v>5.6258220000000003</v>
      </c>
      <c r="E5227">
        <v>0.51875930000000003</v>
      </c>
      <c r="F5227" t="s">
        <v>57</v>
      </c>
      <c r="G5227">
        <v>-283.61430000000001</v>
      </c>
      <c r="H5227" s="1">
        <v>-5.9025520000000004E-6</v>
      </c>
      <c r="I5227">
        <v>141.72450000000001</v>
      </c>
      <c r="J5227">
        <v>-261.14960000000002</v>
      </c>
      <c r="K5227">
        <v>1.120069</v>
      </c>
      <c r="L5227">
        <v>140.9342</v>
      </c>
      <c r="M5227">
        <v>-0.99978040000000001</v>
      </c>
      <c r="N5227">
        <v>-1.4124329999999999E-2</v>
      </c>
      <c r="O5227">
        <v>-1.5488200000000001E-2</v>
      </c>
      <c r="P5227">
        <v>-0.99358270000000004</v>
      </c>
      <c r="Q5227">
        <v>-0.112538899999999</v>
      </c>
      <c r="R5227">
        <v>-1.133726E-2</v>
      </c>
      <c r="S5227">
        <v>-3.0040279999999999</v>
      </c>
      <c r="T5227">
        <v>-0.14787729999999999</v>
      </c>
      <c r="U5227">
        <v>0.1038361</v>
      </c>
      <c r="V5227">
        <v>3.8795470000000001E-3</v>
      </c>
      <c r="W5227">
        <v>-9.8500270000000001E-2</v>
      </c>
      <c r="X5227">
        <v>0.9951295</v>
      </c>
      <c r="Y5227">
        <v>4.9934029999999997E-2</v>
      </c>
      <c r="Z5227">
        <v>2.1241279999999999E-3</v>
      </c>
      <c r="AA5227">
        <v>0.99875029999999998</v>
      </c>
      <c r="AB5227">
        <v>30</v>
      </c>
      <c r="AC5227">
        <v>-22.464700000000001</v>
      </c>
      <c r="AD5227">
        <v>-1.120074902552</v>
      </c>
      <c r="AE5227">
        <v>0.790300000000002</v>
      </c>
      <c r="AF5227">
        <v>1.1353586638462001</v>
      </c>
      <c r="AG5227">
        <v>-1.120074902552</v>
      </c>
      <c r="AH5227">
        <v>22.394161276842802</v>
      </c>
      <c r="AI5227">
        <v>92.859674695044305</v>
      </c>
      <c r="AJ5227">
        <v>87.097653746350403</v>
      </c>
      <c r="AK5227">
        <v>22.450881193755901</v>
      </c>
      <c r="AL5227">
        <v>95.652815680044299</v>
      </c>
      <c r="AM5227">
        <v>89.7766315405065</v>
      </c>
      <c r="AN5227">
        <v>1.0000000379226199</v>
      </c>
    </row>
    <row r="5228" spans="1:40" x14ac:dyDescent="0.25">
      <c r="A5228" t="str">
        <f>"20190303154243986"</f>
        <v>20190303154243986</v>
      </c>
      <c r="B5228" t="str">
        <f>"1551598963975541"</f>
        <v>1551598963975541</v>
      </c>
      <c r="C5228" t="s">
        <v>40</v>
      </c>
      <c r="D5228">
        <v>5.5731339999999996</v>
      </c>
      <c r="E5228">
        <v>0.51876409999999995</v>
      </c>
      <c r="F5228" t="s">
        <v>57</v>
      </c>
      <c r="G5228">
        <v>-283.75189999999998</v>
      </c>
      <c r="H5228" s="1">
        <v>-5.978661E-6</v>
      </c>
      <c r="I5228">
        <v>141.77119999999999</v>
      </c>
      <c r="J5228">
        <v>-261.43470000000002</v>
      </c>
      <c r="K5228">
        <v>1.1200289999999999</v>
      </c>
      <c r="L5228">
        <v>140.9308</v>
      </c>
      <c r="M5228">
        <v>-0.9997954</v>
      </c>
      <c r="N5228">
        <v>-1.400623E-2</v>
      </c>
      <c r="O5228">
        <v>-1.458596E-2</v>
      </c>
      <c r="P5228">
        <v>-0.99366010000000005</v>
      </c>
      <c r="Q5228">
        <v>-0.1119628</v>
      </c>
      <c r="R5228">
        <v>-1.0195940000000001E-2</v>
      </c>
      <c r="S5228">
        <v>-3.0037539999999998</v>
      </c>
      <c r="T5228">
        <v>-0.14885319999999999</v>
      </c>
      <c r="U5228">
        <v>0.1112366</v>
      </c>
      <c r="V5228">
        <v>4.1223259999999999E-3</v>
      </c>
      <c r="W5228">
        <v>-9.8041409999999996E-2</v>
      </c>
      <c r="X5228">
        <v>0.9951738</v>
      </c>
      <c r="Y5228">
        <v>5.149045E-2</v>
      </c>
      <c r="Z5228">
        <v>2.1536440000000001E-3</v>
      </c>
      <c r="AA5228">
        <v>0.99867119999999998</v>
      </c>
      <c r="AB5228">
        <v>30</v>
      </c>
      <c r="AC5228">
        <v>-22.3171999999999</v>
      </c>
      <c r="AD5228">
        <v>-1.120034978661</v>
      </c>
      <c r="AE5228">
        <v>0.84039999999998805</v>
      </c>
      <c r="AF5228">
        <v>1.1629353515478</v>
      </c>
      <c r="AG5228">
        <v>-1.120034978661</v>
      </c>
      <c r="AH5228">
        <v>22.246612027849402</v>
      </c>
      <c r="AI5228">
        <v>92.878274548635005</v>
      </c>
      <c r="AJ5228">
        <v>87.007603068576799</v>
      </c>
      <c r="AK5228">
        <v>22.3051259512911</v>
      </c>
      <c r="AL5228">
        <v>95.626397268765899</v>
      </c>
      <c r="AM5228">
        <v>89.762664038514401</v>
      </c>
      <c r="AN5228">
        <v>1.0000000019264299</v>
      </c>
    </row>
    <row r="5229" spans="1:40" x14ac:dyDescent="0.25">
      <c r="A5229" t="str">
        <f>"20190303154244009"</f>
        <v>20190303154244009</v>
      </c>
      <c r="B5229" t="str">
        <f>"1551598964004818"</f>
        <v>1551598964004818</v>
      </c>
      <c r="C5229" t="s">
        <v>40</v>
      </c>
      <c r="D5229">
        <v>5.5711149999999998</v>
      </c>
      <c r="E5229">
        <v>0.50574629999999998</v>
      </c>
      <c r="F5229" t="s">
        <v>57</v>
      </c>
      <c r="G5229">
        <v>-284.29939999999999</v>
      </c>
      <c r="H5229" s="1">
        <v>-6.2320380000000004E-6</v>
      </c>
      <c r="I5229">
        <v>141.8039</v>
      </c>
      <c r="J5229">
        <v>-261.74349999999998</v>
      </c>
      <c r="K5229">
        <v>1.119969</v>
      </c>
      <c r="L5229">
        <v>140.9273</v>
      </c>
      <c r="M5229">
        <v>-0.99981249999999999</v>
      </c>
      <c r="N5229">
        <v>-1.3782610000000001E-2</v>
      </c>
      <c r="O5229">
        <v>-1.361037E-2</v>
      </c>
      <c r="P5229">
        <v>-0.99371770000000004</v>
      </c>
      <c r="Q5229">
        <v>-0.1114863</v>
      </c>
      <c r="R5229">
        <v>-9.8208589999999995E-3</v>
      </c>
      <c r="S5229">
        <v>-3.0037539999999998</v>
      </c>
      <c r="T5229">
        <v>-0.14713989999999999</v>
      </c>
      <c r="U5229">
        <v>0.11470030000000001</v>
      </c>
      <c r="V5229">
        <v>3.5268589999999998E-3</v>
      </c>
      <c r="W5229">
        <v>-9.7785720000000007E-2</v>
      </c>
      <c r="X5229">
        <v>0.99520120000000001</v>
      </c>
      <c r="Y5229">
        <v>5.1668329999999998E-2</v>
      </c>
      <c r="Z5229">
        <v>2.0994149999999999E-3</v>
      </c>
      <c r="AA5229">
        <v>0.9986621</v>
      </c>
      <c r="AB5229">
        <v>30</v>
      </c>
      <c r="AC5229">
        <v>-22.555900000000001</v>
      </c>
      <c r="AD5229">
        <v>-1.1199752320379901</v>
      </c>
      <c r="AE5229">
        <v>0.87659999999999605</v>
      </c>
      <c r="AF5229">
        <v>1.1806356493540999</v>
      </c>
      <c r="AG5229">
        <v>-1.1199752320379901</v>
      </c>
      <c r="AH5229">
        <v>22.486522542769102</v>
      </c>
      <c r="AI5229">
        <v>92.847431094997205</v>
      </c>
      <c r="AJ5229">
        <v>86.994493778705603</v>
      </c>
      <c r="AK5229">
        <v>22.545330805365602</v>
      </c>
      <c r="AL5229">
        <v>95.611676829036995</v>
      </c>
      <c r="AM5229">
        <v>89.796952325122106</v>
      </c>
      <c r="AN5229">
        <v>0.99999995712588097</v>
      </c>
    </row>
    <row r="5230" spans="1:40" x14ac:dyDescent="0.25">
      <c r="A5230" t="str">
        <f>"20190303154244030"</f>
        <v>20190303154244030</v>
      </c>
      <c r="B5230" t="str">
        <f>"1551598964025313"</f>
        <v>1551598964025313</v>
      </c>
      <c r="C5230" t="s">
        <v>40</v>
      </c>
      <c r="D5230">
        <v>5.5946020000000001</v>
      </c>
      <c r="E5230">
        <v>0.50567459999999997</v>
      </c>
      <c r="F5230" t="s">
        <v>57</v>
      </c>
      <c r="G5230">
        <v>-282.32499999999999</v>
      </c>
      <c r="H5230" s="1">
        <v>-5.1001459999999997E-6</v>
      </c>
      <c r="I5230">
        <v>141.01179999999999</v>
      </c>
      <c r="J5230">
        <v>-262.01760000000002</v>
      </c>
      <c r="K5230">
        <v>1.1199079999999999</v>
      </c>
      <c r="L5230">
        <v>140.92449999999999</v>
      </c>
      <c r="M5230">
        <v>-0.99982769999999999</v>
      </c>
      <c r="N5230">
        <v>-1.350293E-2</v>
      </c>
      <c r="O5230">
        <v>-1.2744409999999999E-2</v>
      </c>
      <c r="P5230">
        <v>-0.99369189999999996</v>
      </c>
      <c r="Q5230">
        <v>-0.11167829999999999</v>
      </c>
      <c r="R5230">
        <v>-1.0234719999999999E-2</v>
      </c>
      <c r="S5230">
        <v>-3.0007630000000001</v>
      </c>
      <c r="T5230">
        <v>-0.16329099999999999</v>
      </c>
      <c r="U5230">
        <v>1.231384E-2</v>
      </c>
      <c r="V5230">
        <v>2.2513680000000001E-3</v>
      </c>
      <c r="W5230">
        <v>-9.8253980000000005E-2</v>
      </c>
      <c r="X5230">
        <v>0.99515889999999996</v>
      </c>
      <c r="Y5230">
        <v>1.6806970000000001E-2</v>
      </c>
      <c r="Z5230">
        <v>1.09151E-3</v>
      </c>
      <c r="AA5230">
        <v>0.99985809999999997</v>
      </c>
      <c r="AB5230">
        <v>30</v>
      </c>
      <c r="AC5230">
        <v>-20.307399999999902</v>
      </c>
      <c r="AD5230">
        <v>-1.1199131001460001</v>
      </c>
      <c r="AE5230">
        <v>8.7299999999999003E-2</v>
      </c>
      <c r="AF5230">
        <v>0.34507286193476899</v>
      </c>
      <c r="AG5230">
        <v>-1.1199131001460001</v>
      </c>
      <c r="AH5230">
        <v>20.243073553505901</v>
      </c>
      <c r="AI5230">
        <v>93.166103096616595</v>
      </c>
      <c r="AJ5230">
        <v>89.023404037853894</v>
      </c>
      <c r="AK5230">
        <v>20.276964948546301</v>
      </c>
      <c r="AL5230">
        <v>95.638635309650496</v>
      </c>
      <c r="AM5230">
        <v>89.870378826472901</v>
      </c>
      <c r="AN5230">
        <v>1.0000000747464499</v>
      </c>
    </row>
    <row r="5231" spans="1:40" x14ac:dyDescent="0.25">
      <c r="A5231" t="str">
        <f>"20190303154244053"</f>
        <v>20190303154244053</v>
      </c>
      <c r="B5231" t="str">
        <f>"1551598964044833"</f>
        <v>1551598964044833</v>
      </c>
      <c r="C5231" t="s">
        <v>40</v>
      </c>
      <c r="D5231">
        <v>5.605035</v>
      </c>
      <c r="E5231">
        <v>0.50576319999999997</v>
      </c>
      <c r="F5231" t="s">
        <v>57</v>
      </c>
      <c r="G5231">
        <v>-282.67380000000003</v>
      </c>
      <c r="H5231" s="1">
        <v>-5.2501589999999997E-6</v>
      </c>
      <c r="I5231">
        <v>140.9973</v>
      </c>
      <c r="J5231">
        <v>-262.32909999999998</v>
      </c>
      <c r="K5231">
        <v>1.119845</v>
      </c>
      <c r="L5231">
        <v>140.92160000000001</v>
      </c>
      <c r="M5231">
        <v>-0.99984490000000004</v>
      </c>
      <c r="N5231">
        <v>-1.311388E-2</v>
      </c>
      <c r="O5231">
        <v>-1.17602E-2</v>
      </c>
      <c r="P5231">
        <v>-0.99370409999999998</v>
      </c>
      <c r="Q5231">
        <v>-0.1115737</v>
      </c>
      <c r="R5231">
        <v>-1.0191769999999999E-2</v>
      </c>
      <c r="S5231">
        <v>-3.0008539999999999</v>
      </c>
      <c r="T5231">
        <v>-0.16269620000000001</v>
      </c>
      <c r="U5231">
        <v>1.057434E-2</v>
      </c>
      <c r="V5231">
        <v>1.3177130000000001E-3</v>
      </c>
      <c r="W5231">
        <v>-9.8534650000000001E-2</v>
      </c>
      <c r="X5231">
        <v>0.99513269999999998</v>
      </c>
      <c r="Y5231">
        <v>1.5246910000000001E-2</v>
      </c>
      <c r="Z5231">
        <v>9.9605919999999994E-4</v>
      </c>
      <c r="AA5231">
        <v>0.99988319999999997</v>
      </c>
      <c r="AB5231">
        <v>30</v>
      </c>
      <c r="AC5231">
        <v>-20.3447</v>
      </c>
      <c r="AD5231">
        <v>-1.119850250159</v>
      </c>
      <c r="AE5231">
        <v>7.5699999999983406E-2</v>
      </c>
      <c r="AF5231">
        <v>0.31402165182539399</v>
      </c>
      <c r="AG5231">
        <v>-1.119850250159</v>
      </c>
      <c r="AH5231">
        <v>20.280955662105299</v>
      </c>
      <c r="AI5231">
        <v>93.160104391952501</v>
      </c>
      <c r="AJ5231">
        <v>89.112927516050306</v>
      </c>
      <c r="AK5231">
        <v>20.314276673041501</v>
      </c>
      <c r="AL5231">
        <v>95.654795625108093</v>
      </c>
      <c r="AM5231">
        <v>89.924131375259904</v>
      </c>
      <c r="AN5231">
        <v>0.99999995211373005</v>
      </c>
    </row>
    <row r="5232" spans="1:40" x14ac:dyDescent="0.25">
      <c r="A5232" t="str">
        <f>"20190303154244076"</f>
        <v>20190303154244076</v>
      </c>
      <c r="B5232" t="str">
        <f>"1551598964065329"</f>
        <v>1551598964065329</v>
      </c>
      <c r="C5232" t="s">
        <v>40</v>
      </c>
      <c r="D5232">
        <v>5.5875459999999997</v>
      </c>
      <c r="E5232">
        <v>0.50577380000000005</v>
      </c>
      <c r="F5232" t="s">
        <v>57</v>
      </c>
      <c r="G5232">
        <v>-282.98469999999998</v>
      </c>
      <c r="H5232" s="1">
        <v>-5.3888720000000003E-6</v>
      </c>
      <c r="I5232">
        <v>141</v>
      </c>
      <c r="J5232">
        <v>-262.62490000000003</v>
      </c>
      <c r="K5232">
        <v>1.1197859999999999</v>
      </c>
      <c r="L5232">
        <v>140.91909999999999</v>
      </c>
      <c r="M5232">
        <v>-0.99986070000000005</v>
      </c>
      <c r="N5232">
        <v>-1.270254E-2</v>
      </c>
      <c r="O5232">
        <v>-1.083343E-2</v>
      </c>
      <c r="P5232">
        <v>-0.99375709999999995</v>
      </c>
      <c r="Q5232">
        <v>-0.111086</v>
      </c>
      <c r="R5232">
        <v>-1.032623E-2</v>
      </c>
      <c r="S5232">
        <v>-3.0008539999999999</v>
      </c>
      <c r="T5232">
        <v>-0.16269249999999999</v>
      </c>
      <c r="U5232">
        <v>1.138306E-2</v>
      </c>
      <c r="V5232">
        <v>2.653361E-4</v>
      </c>
      <c r="W5232">
        <v>-9.8453750000000007E-2</v>
      </c>
      <c r="X5232">
        <v>0.99514159999999996</v>
      </c>
      <c r="Y5232">
        <v>1.4591460000000001E-2</v>
      </c>
      <c r="Z5232">
        <v>9.3737040000000001E-4</v>
      </c>
      <c r="AA5232">
        <v>0.99989309999999998</v>
      </c>
      <c r="AB5232">
        <v>30</v>
      </c>
      <c r="AC5232">
        <v>-20.3597999999999</v>
      </c>
      <c r="AD5232">
        <v>-1.1197913888719999</v>
      </c>
      <c r="AE5232">
        <v>8.0900000000013905E-2</v>
      </c>
      <c r="AF5232">
        <v>0.300570286950813</v>
      </c>
      <c r="AG5232">
        <v>-1.1197913888719999</v>
      </c>
      <c r="AH5232">
        <v>20.2963328320401</v>
      </c>
      <c r="AI5232">
        <v>93.157581585309302</v>
      </c>
      <c r="AJ5232">
        <v>89.151563474081996</v>
      </c>
      <c r="AK5232">
        <v>20.3294220695261</v>
      </c>
      <c r="AL5232">
        <v>95.650137433044193</v>
      </c>
      <c r="AM5232">
        <v>89.984723140583995</v>
      </c>
      <c r="AN5232">
        <v>1.0000000076714299</v>
      </c>
    </row>
    <row r="5233" spans="1:40" x14ac:dyDescent="0.25">
      <c r="A5233" t="str">
        <f>"20190303154244098"</f>
        <v>20190303154244098</v>
      </c>
      <c r="B5233" t="str">
        <f>"1551598964095586"</f>
        <v>1551598964095586</v>
      </c>
      <c r="C5233" t="s">
        <v>40</v>
      </c>
      <c r="D5233">
        <v>5.5541980000000004</v>
      </c>
      <c r="E5233">
        <v>0.50563779999999903</v>
      </c>
      <c r="F5233" t="s">
        <v>57</v>
      </c>
      <c r="G5233">
        <v>-283.1216</v>
      </c>
      <c r="H5233" s="1">
        <v>-5.4478669999999997E-6</v>
      </c>
      <c r="I5233">
        <v>140.99459999999999</v>
      </c>
      <c r="J5233">
        <v>-262.92320000000001</v>
      </c>
      <c r="K5233">
        <v>1.119731</v>
      </c>
      <c r="L5233">
        <v>140.91679999999999</v>
      </c>
      <c r="M5233">
        <v>-0.99987550000000003</v>
      </c>
      <c r="N5233">
        <v>-1.228516E-2</v>
      </c>
      <c r="O5233">
        <v>-9.9168109999999993E-3</v>
      </c>
      <c r="P5233">
        <v>-0.99384609999999995</v>
      </c>
      <c r="Q5233">
        <v>-0.1102771</v>
      </c>
      <c r="R5233">
        <v>-1.0458E-2</v>
      </c>
      <c r="S5233">
        <v>-3.0006409999999999</v>
      </c>
      <c r="T5233">
        <v>-0.16393350000000001</v>
      </c>
      <c r="U5233">
        <v>1.106262E-2</v>
      </c>
      <c r="V5233">
        <v>-7.7332490000000002E-4</v>
      </c>
      <c r="W5233">
        <v>-9.8057329999999998E-2</v>
      </c>
      <c r="X5233">
        <v>0.99518050000000002</v>
      </c>
      <c r="Y5233">
        <v>1.357036E-2</v>
      </c>
      <c r="Z5233">
        <v>8.7346220000000005E-4</v>
      </c>
      <c r="AA5233">
        <v>0.99990760000000001</v>
      </c>
      <c r="AB5233">
        <v>30</v>
      </c>
      <c r="AC5233">
        <v>-20.1983999999999</v>
      </c>
      <c r="AD5233">
        <v>-1.119736447867</v>
      </c>
      <c r="AE5233">
        <v>7.7799999999996303E-2</v>
      </c>
      <c r="AF5233">
        <v>0.27726289264505399</v>
      </c>
      <c r="AG5233">
        <v>-1.119736447867</v>
      </c>
      <c r="AH5233">
        <v>20.134756857553999</v>
      </c>
      <c r="AI5233">
        <v>93.182759725278999</v>
      </c>
      <c r="AJ5233">
        <v>89.211066233635293</v>
      </c>
      <c r="AK5233">
        <v>20.1677742484672</v>
      </c>
      <c r="AL5233">
        <v>95.6273136597611</v>
      </c>
      <c r="AM5233">
        <v>90.044522821783602</v>
      </c>
      <c r="AN5233">
        <v>1.00000003278918</v>
      </c>
    </row>
    <row r="5234" spans="1:40" x14ac:dyDescent="0.25">
      <c r="A5234" t="str">
        <f>"20190303154244121"</f>
        <v>20190303154244121</v>
      </c>
      <c r="B5234" t="str">
        <f>"1551598964115106"</f>
        <v>1551598964115106</v>
      </c>
      <c r="C5234" t="s">
        <v>40</v>
      </c>
      <c r="D5234">
        <v>5.571294</v>
      </c>
      <c r="E5234">
        <v>0.50548289999999996</v>
      </c>
      <c r="F5234" t="s">
        <v>57</v>
      </c>
      <c r="G5234">
        <v>-284.26209999999998</v>
      </c>
      <c r="H5234" s="1">
        <v>-5.9504300000000002E-6</v>
      </c>
      <c r="I5234">
        <v>140.98480000000001</v>
      </c>
      <c r="J5234">
        <v>-263.23099999999999</v>
      </c>
      <c r="K5234">
        <v>1.119693</v>
      </c>
      <c r="L5234">
        <v>140.91470000000001</v>
      </c>
      <c r="M5234">
        <v>-0.99988900000000003</v>
      </c>
      <c r="N5234">
        <v>-1.1876380000000001E-2</v>
      </c>
      <c r="O5234">
        <v>-8.9885899999999994E-3</v>
      </c>
      <c r="P5234">
        <v>-0.99391450000000003</v>
      </c>
      <c r="Q5234">
        <v>-0.1096905</v>
      </c>
      <c r="R5234">
        <v>-1.0085429999999999E-2</v>
      </c>
      <c r="S5234">
        <v>-3.0011290000000002</v>
      </c>
      <c r="T5234">
        <v>-0.15748119999999999</v>
      </c>
      <c r="U5234">
        <v>9.5672610000000005E-3</v>
      </c>
      <c r="V5234">
        <v>-1.320966E-3</v>
      </c>
      <c r="W5234">
        <v>-9.7875950000000003E-2</v>
      </c>
      <c r="X5234">
        <v>0.99519780000000002</v>
      </c>
      <c r="Y5234">
        <v>1.214902E-2</v>
      </c>
      <c r="Z5234">
        <v>7.5537969999999995E-4</v>
      </c>
      <c r="AA5234">
        <v>0.99992590000000003</v>
      </c>
      <c r="AB5234">
        <v>30</v>
      </c>
      <c r="AC5234">
        <v>-21.031099999999899</v>
      </c>
      <c r="AD5234">
        <v>-1.1196989504299999</v>
      </c>
      <c r="AE5234">
        <v>7.0099999999996498E-2</v>
      </c>
      <c r="AF5234">
        <v>0.25841796865718603</v>
      </c>
      <c r="AG5234">
        <v>-1.1196989504299999</v>
      </c>
      <c r="AH5234">
        <v>20.970180512704399</v>
      </c>
      <c r="AI5234">
        <v>93.056163660159498</v>
      </c>
      <c r="AJ5234">
        <v>89.293973195658296</v>
      </c>
      <c r="AK5234">
        <v>21.001642229157401</v>
      </c>
      <c r="AL5234">
        <v>95.616871001268507</v>
      </c>
      <c r="AM5234">
        <v>90.076050944075405</v>
      </c>
      <c r="AN5234">
        <v>1.0000000538322</v>
      </c>
    </row>
    <row r="5235" spans="1:40" x14ac:dyDescent="0.25">
      <c r="A5235" t="str">
        <f>"20190303154244145"</f>
        <v>20190303154244145</v>
      </c>
      <c r="B5235" t="str">
        <f>"1551598964135602"</f>
        <v>1551598964135602</v>
      </c>
      <c r="C5235" t="s">
        <v>40</v>
      </c>
      <c r="D5235">
        <v>5.5674449999999904</v>
      </c>
      <c r="E5235">
        <v>0.50533170000000005</v>
      </c>
      <c r="F5235" t="s">
        <v>57</v>
      </c>
      <c r="G5235">
        <v>-284.70179999999999</v>
      </c>
      <c r="H5235" s="1">
        <v>-6.14487499999999E-6</v>
      </c>
      <c r="I5235">
        <v>140.98320000000001</v>
      </c>
      <c r="J5235">
        <v>-263.55</v>
      </c>
      <c r="K5235">
        <v>1.1196520000000001</v>
      </c>
      <c r="L5235">
        <v>140.9128</v>
      </c>
      <c r="M5235">
        <v>-0.99990179999999995</v>
      </c>
      <c r="N5235">
        <v>-1.148295E-2</v>
      </c>
      <c r="O5235">
        <v>-8.0465399999999996E-3</v>
      </c>
      <c r="P5235">
        <v>-0.99401839999999997</v>
      </c>
      <c r="Q5235">
        <v>-0.1088452</v>
      </c>
      <c r="R5235">
        <v>-8.9642579999999993E-3</v>
      </c>
      <c r="S5235">
        <v>-3.0012210000000001</v>
      </c>
      <c r="T5235">
        <v>-0.15651329999999999</v>
      </c>
      <c r="U5235">
        <v>9.5672610000000005E-3</v>
      </c>
      <c r="V5235">
        <v>-1.1340460000000001E-3</v>
      </c>
      <c r="W5235">
        <v>-9.7421439999999998E-2</v>
      </c>
      <c r="X5235">
        <v>0.99524259999999998</v>
      </c>
      <c r="Y5235">
        <v>1.1209459999999999E-2</v>
      </c>
      <c r="Z5235">
        <v>6.8348699999999998E-4</v>
      </c>
      <c r="AA5235">
        <v>0.99993690000000002</v>
      </c>
      <c r="AB5235">
        <v>30</v>
      </c>
      <c r="AC5235">
        <v>-21.151799999999898</v>
      </c>
      <c r="AD5235">
        <v>-1.119658144875</v>
      </c>
      <c r="AE5235">
        <v>7.0400000000006402E-2</v>
      </c>
      <c r="AF5235">
        <v>0.239935425098288</v>
      </c>
      <c r="AG5235">
        <v>-1.119658144875</v>
      </c>
      <c r="AH5235">
        <v>21.091449939863999</v>
      </c>
      <c r="AI5235">
        <v>93.038548176958997</v>
      </c>
      <c r="AJ5235">
        <v>89.348233797300495</v>
      </c>
      <c r="AK5235">
        <v>21.122510834069701</v>
      </c>
      <c r="AL5235">
        <v>95.590704591536607</v>
      </c>
      <c r="AM5235">
        <v>90.065286615999298</v>
      </c>
      <c r="AN5235">
        <v>1.0000000279433801</v>
      </c>
    </row>
    <row r="5236" spans="1:40" x14ac:dyDescent="0.25">
      <c r="A5236" t="str">
        <f>"20190303154244165"</f>
        <v>20190303154244165</v>
      </c>
      <c r="B5236" t="str">
        <f>"1551598964155123"</f>
        <v>1551598964155123</v>
      </c>
      <c r="C5236" t="s">
        <v>40</v>
      </c>
      <c r="D5236">
        <v>5.6017929999999998</v>
      </c>
      <c r="E5236">
        <v>0.50514199999999998</v>
      </c>
      <c r="F5236" t="s">
        <v>57</v>
      </c>
      <c r="G5236">
        <v>-285.37650000000002</v>
      </c>
      <c r="H5236" s="1">
        <v>-6.5234909999999998E-6</v>
      </c>
      <c r="I5236">
        <v>140.9967</v>
      </c>
      <c r="J5236">
        <v>-263.82709999999997</v>
      </c>
      <c r="K5236">
        <v>1.119623</v>
      </c>
      <c r="L5236">
        <v>140.91139999999999</v>
      </c>
      <c r="M5236">
        <v>-0.99991160000000001</v>
      </c>
      <c r="N5236">
        <v>-1.11641E-2</v>
      </c>
      <c r="O5236">
        <v>-7.2453219999999898E-3</v>
      </c>
      <c r="P5236">
        <v>-0.99402979999999996</v>
      </c>
      <c r="Q5236">
        <v>-0.1088194</v>
      </c>
      <c r="R5236">
        <v>-7.9703159999999999E-3</v>
      </c>
      <c r="S5236">
        <v>-3.001312</v>
      </c>
      <c r="T5236">
        <v>-0.15396170000000001</v>
      </c>
      <c r="U5236">
        <v>1.153564E-2</v>
      </c>
      <c r="V5236">
        <v>-9.3564899999999999E-4</v>
      </c>
      <c r="W5236">
        <v>-9.7713289999999994E-2</v>
      </c>
      <c r="X5236">
        <v>0.99521420000000005</v>
      </c>
      <c r="Y5236">
        <v>1.106557E-2</v>
      </c>
      <c r="Z5236">
        <v>6.3603019999999995E-4</v>
      </c>
      <c r="AA5236">
        <v>0.99993849999999995</v>
      </c>
      <c r="AB5236">
        <v>30</v>
      </c>
      <c r="AC5236">
        <v>-21.549399999999999</v>
      </c>
      <c r="AD5236">
        <v>-1.1196295234909901</v>
      </c>
      <c r="AE5236">
        <v>8.5300000000017903E-2</v>
      </c>
      <c r="AF5236">
        <v>0.24078981262336799</v>
      </c>
      <c r="AG5236">
        <v>-1.1196295234909901</v>
      </c>
      <c r="AH5236">
        <v>21.490205013523699</v>
      </c>
      <c r="AI5236">
        <v>92.982199702430904</v>
      </c>
      <c r="AJ5236">
        <v>89.358048808563595</v>
      </c>
      <c r="AK5236">
        <v>21.5206984442191</v>
      </c>
      <c r="AL5236">
        <v>95.6075064982399</v>
      </c>
      <c r="AM5236">
        <v>90.053866517390006</v>
      </c>
      <c r="AN5236">
        <v>1.0000000331816501</v>
      </c>
    </row>
    <row r="5237" spans="1:40" x14ac:dyDescent="0.25">
      <c r="A5237" t="str">
        <f>"20190303154244188"</f>
        <v>20190303154244188</v>
      </c>
      <c r="B5237" t="str">
        <f>"1551598964185378"</f>
        <v>1551598964185378</v>
      </c>
      <c r="C5237" t="s">
        <v>40</v>
      </c>
      <c r="D5237">
        <v>5.573664</v>
      </c>
      <c r="E5237">
        <v>0.50491330000000001</v>
      </c>
      <c r="F5237" t="s">
        <v>57</v>
      </c>
      <c r="G5237">
        <v>-285.69189999999998</v>
      </c>
      <c r="H5237" s="1">
        <v>-6.7232880000000002E-6</v>
      </c>
      <c r="I5237">
        <v>141.00749999999999</v>
      </c>
      <c r="J5237">
        <v>-264.13099999999997</v>
      </c>
      <c r="K5237">
        <v>1.119605</v>
      </c>
      <c r="L5237">
        <v>140.9101</v>
      </c>
      <c r="M5237">
        <v>-0.9999209</v>
      </c>
      <c r="N5237">
        <v>-1.084018E-2</v>
      </c>
      <c r="O5237">
        <v>-6.3827469999999898E-3</v>
      </c>
      <c r="P5237">
        <v>-0.99410050000000005</v>
      </c>
      <c r="Q5237">
        <v>-0.10828989999999999</v>
      </c>
      <c r="R5237">
        <v>-6.1553249999999997E-3</v>
      </c>
      <c r="S5237">
        <v>-3.0012819999999998</v>
      </c>
      <c r="T5237">
        <v>-0.15368699999999999</v>
      </c>
      <c r="U5237">
        <v>1.318359E-2</v>
      </c>
      <c r="V5237" s="1">
        <v>2.3705939999999999E-5</v>
      </c>
      <c r="W5237">
        <v>-9.750731E-2</v>
      </c>
      <c r="X5237">
        <v>0.99523479999999998</v>
      </c>
      <c r="Y5237">
        <v>1.075331E-2</v>
      </c>
      <c r="Z5237">
        <v>5.9094330000000002E-4</v>
      </c>
      <c r="AA5237">
        <v>0.999942</v>
      </c>
      <c r="AB5237">
        <v>30</v>
      </c>
      <c r="AC5237">
        <v>-21.5609</v>
      </c>
      <c r="AD5237">
        <v>-1.1196117232879901</v>
      </c>
      <c r="AE5237">
        <v>9.73999999999932E-2</v>
      </c>
      <c r="AF5237">
        <v>0.234391842443884</v>
      </c>
      <c r="AG5237">
        <v>-1.1196117232879901</v>
      </c>
      <c r="AH5237">
        <v>21.501860364190499</v>
      </c>
      <c r="AI5237">
        <v>92.980548762143101</v>
      </c>
      <c r="AJ5237">
        <v>89.3754432789774</v>
      </c>
      <c r="AK5237">
        <v>21.532265767166201</v>
      </c>
      <c r="AL5237">
        <v>95.595648320059396</v>
      </c>
      <c r="AM5237">
        <v>89.998635246364799</v>
      </c>
      <c r="AN5237">
        <v>0.99999999159822295</v>
      </c>
    </row>
    <row r="5238" spans="1:40" x14ac:dyDescent="0.25">
      <c r="A5238" t="str">
        <f>"20190303154244211"</f>
        <v>20190303154244211</v>
      </c>
      <c r="B5238" t="str">
        <f>"1551598964204899"</f>
        <v>1551598964204899</v>
      </c>
      <c r="C5238" t="s">
        <v>40</v>
      </c>
      <c r="D5238">
        <v>5.5607709999999999</v>
      </c>
      <c r="E5238">
        <v>0.50479589999999996</v>
      </c>
      <c r="F5238" t="s">
        <v>57</v>
      </c>
      <c r="G5238">
        <v>-286.24110000000002</v>
      </c>
      <c r="H5238" s="1">
        <v>-7.0740390000000004E-6</v>
      </c>
      <c r="I5238">
        <v>141.03489999999999</v>
      </c>
      <c r="J5238">
        <v>-264.43680000000001</v>
      </c>
      <c r="K5238">
        <v>1.119588</v>
      </c>
      <c r="L5238">
        <v>140.90899999999999</v>
      </c>
      <c r="M5238">
        <v>-0.99992919999999996</v>
      </c>
      <c r="N5238">
        <v>-1.054276E-2</v>
      </c>
      <c r="O5238">
        <v>-5.5276079999999998E-3</v>
      </c>
      <c r="P5238">
        <v>-0.99420989999999998</v>
      </c>
      <c r="Q5238">
        <v>-0.10735889999999999</v>
      </c>
      <c r="R5238">
        <v>-4.5727629999999997E-3</v>
      </c>
      <c r="S5238">
        <v>-3.0013429999999999</v>
      </c>
      <c r="T5238">
        <v>-0.1519827</v>
      </c>
      <c r="U5238">
        <v>1.6937259999999999E-2</v>
      </c>
      <c r="V5238">
        <v>7.5914089999999895E-4</v>
      </c>
      <c r="W5238">
        <v>-9.6872570000000005E-2</v>
      </c>
      <c r="X5238">
        <v>0.99529650000000003</v>
      </c>
      <c r="Y5238">
        <v>1.114917E-2</v>
      </c>
      <c r="Z5238">
        <v>5.624022E-4</v>
      </c>
      <c r="AA5238">
        <v>0.99993770000000004</v>
      </c>
      <c r="AB5238">
        <v>30</v>
      </c>
      <c r="AC5238">
        <v>-21.804300000000001</v>
      </c>
      <c r="AD5238">
        <v>-1.1195950740389999</v>
      </c>
      <c r="AE5238">
        <v>0.12590000000000101</v>
      </c>
      <c r="AF5238">
        <v>0.24578239323114001</v>
      </c>
      <c r="AG5238">
        <v>-1.1195950740389999</v>
      </c>
      <c r="AH5238">
        <v>21.745938326892801</v>
      </c>
      <c r="AI5238">
        <v>92.947097323173196</v>
      </c>
      <c r="AJ5238">
        <v>89.352444856796794</v>
      </c>
      <c r="AK5238">
        <v>21.776127659243301</v>
      </c>
      <c r="AL5238">
        <v>95.559107375727393</v>
      </c>
      <c r="AM5238">
        <v>89.956298890640895</v>
      </c>
      <c r="AN5238">
        <v>0.99999999701277997</v>
      </c>
    </row>
    <row r="5239" spans="1:40" x14ac:dyDescent="0.25">
      <c r="A5239" t="str">
        <f>"20190303154244232"</f>
        <v>20190303154244232</v>
      </c>
      <c r="B5239" t="str">
        <f>"1551598964225394"</f>
        <v>1551598964225394</v>
      </c>
      <c r="C5239" t="s">
        <v>40</v>
      </c>
      <c r="D5239">
        <v>5.5467740000000001</v>
      </c>
      <c r="E5239">
        <v>0.50461899999999904</v>
      </c>
      <c r="F5239" t="s">
        <v>57</v>
      </c>
      <c r="G5239">
        <v>-286.92349999999999</v>
      </c>
      <c r="H5239" s="1">
        <v>-7.5086779999999996E-6</v>
      </c>
      <c r="I5239">
        <v>141.0652</v>
      </c>
      <c r="J5239">
        <v>-264.72230000000002</v>
      </c>
      <c r="K5239">
        <v>1.11958</v>
      </c>
      <c r="L5239">
        <v>140.9083</v>
      </c>
      <c r="M5239">
        <v>-0.99993580000000004</v>
      </c>
      <c r="N5239">
        <v>-1.0291120000000001E-2</v>
      </c>
      <c r="O5239">
        <v>-4.737415E-3</v>
      </c>
      <c r="P5239">
        <v>-0.99429299999999998</v>
      </c>
      <c r="Q5239">
        <v>-0.1066202</v>
      </c>
      <c r="R5239">
        <v>-3.6776949999999999E-3</v>
      </c>
      <c r="S5239">
        <v>-3.001465</v>
      </c>
      <c r="T5239">
        <v>-0.14944079999999901</v>
      </c>
      <c r="U5239">
        <v>2.0843509999999999E-2</v>
      </c>
      <c r="V5239">
        <v>8.7067440000000002E-4</v>
      </c>
      <c r="W5239">
        <v>-9.6383730000000001E-2</v>
      </c>
      <c r="X5239">
        <v>0.99534389999999995</v>
      </c>
      <c r="Y5239">
        <v>1.166063E-2</v>
      </c>
      <c r="Z5239">
        <v>5.3714539999999997E-4</v>
      </c>
      <c r="AA5239">
        <v>0.99993189999999998</v>
      </c>
      <c r="AB5239">
        <v>30</v>
      </c>
      <c r="AC5239">
        <v>-22.201199999999901</v>
      </c>
      <c r="AD5239">
        <v>-1.1195875086780001</v>
      </c>
      <c r="AE5239">
        <v>0.15690000000000701</v>
      </c>
      <c r="AF5239">
        <v>0.26141533757956298</v>
      </c>
      <c r="AG5239">
        <v>-1.1195875086780001</v>
      </c>
      <c r="AH5239">
        <v>22.143896202661502</v>
      </c>
      <c r="AI5239">
        <v>92.894188281307805</v>
      </c>
      <c r="AJ5239">
        <v>89.323637554065499</v>
      </c>
      <c r="AK5239">
        <v>22.1737221323474</v>
      </c>
      <c r="AL5239">
        <v>95.530967041020702</v>
      </c>
      <c r="AM5239">
        <v>89.949880683725297</v>
      </c>
      <c r="AN5239">
        <v>1.0000000303749099</v>
      </c>
    </row>
    <row r="5240" spans="1:40" x14ac:dyDescent="0.25">
      <c r="A5240" t="str">
        <f>"20190303154244256"</f>
        <v>20190303154244256</v>
      </c>
      <c r="B5240" t="str">
        <f>"1551598964244854"</f>
        <v>1551598964244854</v>
      </c>
      <c r="C5240" t="s">
        <v>40</v>
      </c>
      <c r="D5240">
        <v>5.5611930000000003</v>
      </c>
      <c r="E5240">
        <v>0.50448630000000005</v>
      </c>
      <c r="F5240" t="s">
        <v>57</v>
      </c>
      <c r="G5240">
        <v>-287.40050000000002</v>
      </c>
      <c r="H5240" s="1">
        <v>-7.8089719999999993E-6</v>
      </c>
      <c r="I5240">
        <v>141.07550000000001</v>
      </c>
      <c r="J5240">
        <v>-265.0471</v>
      </c>
      <c r="K5240">
        <v>1.119561</v>
      </c>
      <c r="L5240">
        <v>140.90770000000001</v>
      </c>
      <c r="M5240">
        <v>-0.99994240000000001</v>
      </c>
      <c r="N5240">
        <v>-1.0034990000000001E-2</v>
      </c>
      <c r="O5240">
        <v>-3.8451729999999999E-3</v>
      </c>
      <c r="P5240">
        <v>-0.99435189999999996</v>
      </c>
      <c r="Q5240">
        <v>-0.1060995</v>
      </c>
      <c r="R5240">
        <v>-2.7379169999999999E-3</v>
      </c>
      <c r="S5240">
        <v>-3.001404</v>
      </c>
      <c r="T5240">
        <v>-0.14817439999999901</v>
      </c>
      <c r="U5240">
        <v>2.2125240000000001E-2</v>
      </c>
      <c r="V5240">
        <v>9.2446290000000001E-4</v>
      </c>
      <c r="W5240">
        <v>-9.611749E-2</v>
      </c>
      <c r="X5240">
        <v>0.99536959999999997</v>
      </c>
      <c r="Y5240">
        <v>1.1197250000000001E-2</v>
      </c>
      <c r="Z5240">
        <v>4.8359279999999998E-4</v>
      </c>
      <c r="AA5240">
        <v>0.99993719999999997</v>
      </c>
      <c r="AB5240">
        <v>30</v>
      </c>
      <c r="AC5240">
        <v>-22.353400000000001</v>
      </c>
      <c r="AD5240">
        <v>-1.119568808972</v>
      </c>
      <c r="AE5240">
        <v>0.16779999999999901</v>
      </c>
      <c r="AF5240">
        <v>0.25312084685450698</v>
      </c>
      <c r="AG5240">
        <v>-1.119568808972</v>
      </c>
      <c r="AH5240">
        <v>22.296661417094601</v>
      </c>
      <c r="AI5240">
        <v>92.874359283075606</v>
      </c>
      <c r="AJ5240">
        <v>89.349582747682703</v>
      </c>
      <c r="AK5240">
        <v>22.326186750757302</v>
      </c>
      <c r="AL5240">
        <v>95.515641440824595</v>
      </c>
      <c r="AM5240">
        <v>89.946785789664006</v>
      </c>
      <c r="AN5240">
        <v>1.00000003355985</v>
      </c>
    </row>
    <row r="5241" spans="1:40" x14ac:dyDescent="0.25">
      <c r="A5241" t="str">
        <f>"20190303154244278"</f>
        <v>20190303154244278</v>
      </c>
      <c r="B5241" t="str">
        <f>"1551598964275110"</f>
        <v>1551598964275110</v>
      </c>
      <c r="C5241" t="s">
        <v>40</v>
      </c>
      <c r="D5241">
        <v>5.5700129999999897</v>
      </c>
      <c r="E5241">
        <v>0.50416070000000002</v>
      </c>
      <c r="F5241" t="s">
        <v>57</v>
      </c>
      <c r="G5241">
        <v>-287.81240000000003</v>
      </c>
      <c r="H5241" s="1">
        <v>-8.0700099999999997E-6</v>
      </c>
      <c r="I5241">
        <v>141.08969999999999</v>
      </c>
      <c r="J5241">
        <v>-265.3458</v>
      </c>
      <c r="K5241">
        <v>1.119551</v>
      </c>
      <c r="L5241">
        <v>140.90729999999999</v>
      </c>
      <c r="M5241">
        <v>-0.99994709999999998</v>
      </c>
      <c r="N5241">
        <v>-9.8310150000000002E-3</v>
      </c>
      <c r="O5241">
        <v>-3.029557E-3</v>
      </c>
      <c r="P5241">
        <v>-0.99435410000000002</v>
      </c>
      <c r="Q5241">
        <v>-0.10610509999999999</v>
      </c>
      <c r="R5241">
        <v>-1.3313349999999999E-3</v>
      </c>
      <c r="S5241">
        <v>-3.0013429999999999</v>
      </c>
      <c r="T5241">
        <v>-0.14760229999999999</v>
      </c>
      <c r="U5241">
        <v>2.4002079999999999E-2</v>
      </c>
      <c r="V5241">
        <v>1.5196490000000001E-3</v>
      </c>
      <c r="W5241">
        <v>-9.6327189999999993E-2</v>
      </c>
      <c r="X5241">
        <v>0.99534860000000003</v>
      </c>
      <c r="Y5241">
        <v>1.100812E-2</v>
      </c>
      <c r="Z5241">
        <v>4.4379519999999999E-4</v>
      </c>
      <c r="AA5241">
        <v>0.99993929999999998</v>
      </c>
      <c r="AB5241">
        <v>30</v>
      </c>
      <c r="AC5241">
        <v>-22.4666</v>
      </c>
      <c r="AD5241">
        <v>-1.11955907001</v>
      </c>
      <c r="AE5241">
        <v>0.18240000000000101</v>
      </c>
      <c r="AF5241">
        <v>0.24984590917338201</v>
      </c>
      <c r="AG5241">
        <v>-1.11955907001</v>
      </c>
      <c r="AH5241">
        <v>22.410297710483299</v>
      </c>
      <c r="AI5241">
        <v>92.859790181819307</v>
      </c>
      <c r="AJ5241">
        <v>89.3612524358077</v>
      </c>
      <c r="AK5241">
        <v>22.4396363375627</v>
      </c>
      <c r="AL5241">
        <v>95.527712361564198</v>
      </c>
      <c r="AM5241">
        <v>89.912523706378494</v>
      </c>
      <c r="AN5241">
        <v>1.0000000361941599</v>
      </c>
    </row>
    <row r="5242" spans="1:40" x14ac:dyDescent="0.25">
      <c r="A5242" t="str">
        <f>"20190303154244300"</f>
        <v>20190303154244300</v>
      </c>
      <c r="B5242" t="str">
        <f>"1551598964295606"</f>
        <v>1551598964295606</v>
      </c>
      <c r="C5242" t="s">
        <v>40</v>
      </c>
      <c r="D5242">
        <v>5.5199109999999996</v>
      </c>
      <c r="E5242">
        <v>0.50394419999999995</v>
      </c>
      <c r="F5242" t="s">
        <v>57</v>
      </c>
      <c r="G5242">
        <v>-287.78269999999998</v>
      </c>
      <c r="H5242" s="1">
        <v>-8.0546329999999994E-6</v>
      </c>
      <c r="I5242">
        <v>141.09950000000001</v>
      </c>
      <c r="J5242">
        <v>-265.65320000000003</v>
      </c>
      <c r="K5242">
        <v>1.1195489999999999</v>
      </c>
      <c r="L5242">
        <v>140.90729999999999</v>
      </c>
      <c r="M5242">
        <v>-0.99995120000000004</v>
      </c>
      <c r="N5242">
        <v>-9.6468609999999996E-3</v>
      </c>
      <c r="O5242">
        <v>-2.1924470000000001E-3</v>
      </c>
      <c r="P5242">
        <v>-0.99436970000000002</v>
      </c>
      <c r="Q5242">
        <v>-0.105967699999999</v>
      </c>
      <c r="R5242">
        <v>-2.8582070000000002E-4</v>
      </c>
      <c r="S5242">
        <v>-3.0010680000000001</v>
      </c>
      <c r="T5242">
        <v>-0.14974770000000001</v>
      </c>
      <c r="U5242">
        <v>2.5695800000000001E-2</v>
      </c>
      <c r="V5242">
        <v>1.7321599999999999E-3</v>
      </c>
      <c r="W5242">
        <v>-9.6373319999999998E-2</v>
      </c>
      <c r="X5242">
        <v>0.99534370000000005</v>
      </c>
      <c r="Y5242">
        <v>1.073663E-2</v>
      </c>
      <c r="Z5242">
        <v>4.0771509999999999E-4</v>
      </c>
      <c r="AA5242">
        <v>0.99994229999999995</v>
      </c>
      <c r="AB5242">
        <v>30</v>
      </c>
      <c r="AC5242">
        <v>-22.129499999999901</v>
      </c>
      <c r="AD5242">
        <v>-1.11955705463299</v>
      </c>
      <c r="AE5242">
        <v>0.192200000000013</v>
      </c>
      <c r="AF5242">
        <v>0.24010505085365699</v>
      </c>
      <c r="AG5242">
        <v>-1.11955705463299</v>
      </c>
      <c r="AH5242">
        <v>22.0725357709679</v>
      </c>
      <c r="AI5242">
        <v>92.903480832242707</v>
      </c>
      <c r="AJ5242">
        <v>89.376761074998598</v>
      </c>
      <c r="AK5242">
        <v>22.102214680766298</v>
      </c>
      <c r="AL5242">
        <v>95.530368252931297</v>
      </c>
      <c r="AM5242">
        <v>89.900290364772701</v>
      </c>
      <c r="AN5242">
        <v>0.99999994915788704</v>
      </c>
    </row>
    <row r="5243" spans="1:40" x14ac:dyDescent="0.25">
      <c r="A5243" t="str">
        <f>"20190303154244322"</f>
        <v>20190303154244322</v>
      </c>
      <c r="B5243" t="str">
        <f>"1551598964315126"</f>
        <v>1551598964315126</v>
      </c>
      <c r="C5243" t="s">
        <v>40</v>
      </c>
      <c r="D5243">
        <v>5.5585040000000001</v>
      </c>
      <c r="E5243">
        <v>0.4981102</v>
      </c>
      <c r="F5243" t="s">
        <v>57</v>
      </c>
      <c r="G5243">
        <v>-287.91609999999997</v>
      </c>
      <c r="H5243" s="1">
        <v>-8.1412049999999996E-6</v>
      </c>
      <c r="I5243">
        <v>141.11009999999999</v>
      </c>
      <c r="J5243">
        <v>-265.94920000000002</v>
      </c>
      <c r="K5243">
        <v>1.1195469999999901</v>
      </c>
      <c r="L5243">
        <v>140.9075</v>
      </c>
      <c r="M5243">
        <v>-0.99995420000000002</v>
      </c>
      <c r="N5243">
        <v>-9.4917279999999996E-3</v>
      </c>
      <c r="O5243">
        <v>-1.3870480000000001E-3</v>
      </c>
      <c r="P5243">
        <v>-0.99440189999999995</v>
      </c>
      <c r="Q5243">
        <v>-0.1056637</v>
      </c>
      <c r="R5243">
        <v>5.8481319999999996E-4</v>
      </c>
      <c r="S5243">
        <v>-3.0009459999999999</v>
      </c>
      <c r="T5243">
        <v>-0.1509112</v>
      </c>
      <c r="U5243">
        <v>2.734375E-2</v>
      </c>
      <c r="V5243">
        <v>1.801565E-3</v>
      </c>
      <c r="W5243">
        <v>-9.622356E-2</v>
      </c>
      <c r="X5243">
        <v>0.99535810000000002</v>
      </c>
      <c r="Y5243">
        <v>1.048148E-2</v>
      </c>
      <c r="Z5243">
        <v>3.6970440000000002E-4</v>
      </c>
      <c r="AA5243">
        <v>0.99994499999999997</v>
      </c>
      <c r="AB5243">
        <v>30</v>
      </c>
      <c r="AC5243">
        <v>-21.9668999999999</v>
      </c>
      <c r="AD5243">
        <v>-1.11955514120499</v>
      </c>
      <c r="AE5243">
        <v>0.20259999999998901</v>
      </c>
      <c r="AF5243">
        <v>0.23246653851907201</v>
      </c>
      <c r="AG5243">
        <v>-1.11955514120499</v>
      </c>
      <c r="AH5243">
        <v>21.909692531129402</v>
      </c>
      <c r="AI5243">
        <v>92.925026952541003</v>
      </c>
      <c r="AJ5243">
        <v>89.392102297465399</v>
      </c>
      <c r="AK5243">
        <v>21.939509365853102</v>
      </c>
      <c r="AL5243">
        <v>95.521747383500397</v>
      </c>
      <c r="AM5243">
        <v>89.896296661170496</v>
      </c>
      <c r="AN5243">
        <v>0.99999998318556604</v>
      </c>
    </row>
    <row r="5244" spans="1:40" x14ac:dyDescent="0.25">
      <c r="A5244" t="str">
        <f>"20190303154244346"</f>
        <v>20190303154244346</v>
      </c>
      <c r="B5244" t="str">
        <f>"1551598964335622"</f>
        <v>1551598964335622</v>
      </c>
      <c r="C5244" t="s">
        <v>40</v>
      </c>
      <c r="D5244">
        <v>5.5291189999999997</v>
      </c>
      <c r="E5244">
        <v>0.4985368</v>
      </c>
      <c r="F5244" t="s">
        <v>57</v>
      </c>
      <c r="G5244">
        <v>-285.83440000000002</v>
      </c>
      <c r="H5244" s="1">
        <v>-6.7448229999999998E-6</v>
      </c>
      <c r="I5244">
        <v>140.7998</v>
      </c>
      <c r="J5244">
        <v>-266.28289999999998</v>
      </c>
      <c r="K5244">
        <v>1.119534</v>
      </c>
      <c r="L5244">
        <v>140.90790000000001</v>
      </c>
      <c r="M5244">
        <v>-0.99995630000000002</v>
      </c>
      <c r="N5244">
        <v>-9.3406960000000008E-3</v>
      </c>
      <c r="O5244">
        <v>-4.7927290000000002E-4</v>
      </c>
      <c r="P5244">
        <v>-0.99442920000000001</v>
      </c>
      <c r="Q5244">
        <v>-0.10540190000000001</v>
      </c>
      <c r="R5244">
        <v>1.1150369999999999E-3</v>
      </c>
      <c r="S5244">
        <v>-2.9989620000000001</v>
      </c>
      <c r="T5244">
        <v>-0.1688442</v>
      </c>
      <c r="U5244">
        <v>-1.6235349999999999E-2</v>
      </c>
      <c r="V5244">
        <v>1.428545E-3</v>
      </c>
      <c r="W5244">
        <v>-9.6111210000000002E-2</v>
      </c>
      <c r="X5244">
        <v>0.99536959999999997</v>
      </c>
      <c r="Y5244">
        <v>-4.9257220000000004E-3</v>
      </c>
      <c r="Z5244">
        <v>-1.390892E-4</v>
      </c>
      <c r="AA5244">
        <v>0.99998779999999998</v>
      </c>
      <c r="AB5244">
        <v>31</v>
      </c>
      <c r="AC5244">
        <v>-19.551500000000001</v>
      </c>
      <c r="AD5244">
        <v>-1.1195407448229999</v>
      </c>
      <c r="AE5244">
        <v>-0.108100000000007</v>
      </c>
      <c r="AF5244">
        <v>-9.8406426414418297E-2</v>
      </c>
      <c r="AG5244">
        <v>-1.1195407448229999</v>
      </c>
      <c r="AH5244">
        <v>19.487654702949001</v>
      </c>
      <c r="AI5244">
        <v>93.287913188737804</v>
      </c>
      <c r="AJ5244">
        <v>90.289322911003794</v>
      </c>
      <c r="AK5244">
        <v>19.520034352568299</v>
      </c>
      <c r="AL5244">
        <v>95.515280008076601</v>
      </c>
      <c r="AM5244">
        <v>89.917769697660603</v>
      </c>
      <c r="AN5244">
        <v>1.00000002301632</v>
      </c>
    </row>
    <row r="5245" spans="1:40" x14ac:dyDescent="0.25">
      <c r="A5245" t="str">
        <f>"20190303154244367"</f>
        <v>20190303154244367</v>
      </c>
      <c r="B5245" t="str">
        <f>"1551598964365878"</f>
        <v>1551598964365878</v>
      </c>
      <c r="C5245" t="s">
        <v>40</v>
      </c>
      <c r="D5245">
        <v>5.5301799999999997</v>
      </c>
      <c r="E5245">
        <v>0.49864770000000003</v>
      </c>
      <c r="F5245" t="s">
        <v>57</v>
      </c>
      <c r="G5245">
        <v>-285.91410000000002</v>
      </c>
      <c r="H5245" s="1">
        <v>-6.8056919999999997E-6</v>
      </c>
      <c r="I5245">
        <v>140.83459999999999</v>
      </c>
      <c r="J5245">
        <v>-266.58069999999998</v>
      </c>
      <c r="K5245">
        <v>1.119529</v>
      </c>
      <c r="L5245">
        <v>140.90860000000001</v>
      </c>
      <c r="M5245">
        <v>-0.9999574</v>
      </c>
      <c r="N5245">
        <v>-9.2244279999999998E-3</v>
      </c>
      <c r="O5245">
        <v>3.3162019999999999E-4</v>
      </c>
      <c r="P5245">
        <v>-0.99449549999999998</v>
      </c>
      <c r="Q5245">
        <v>-0.1047686</v>
      </c>
      <c r="R5245">
        <v>1.607776E-3</v>
      </c>
      <c r="S5245">
        <v>-2.9987180000000002</v>
      </c>
      <c r="T5245">
        <v>-0.1710129</v>
      </c>
      <c r="U5245">
        <v>-1.119995E-2</v>
      </c>
      <c r="V5245">
        <v>1.115121E-3</v>
      </c>
      <c r="W5245">
        <v>-9.5592510000000006E-2</v>
      </c>
      <c r="X5245">
        <v>0.99541990000000002</v>
      </c>
      <c r="Y5245">
        <v>-4.0584779999999999E-3</v>
      </c>
      <c r="Z5245">
        <v>-1.5020659999999999E-4</v>
      </c>
      <c r="AA5245">
        <v>0.99999179999999999</v>
      </c>
      <c r="AB5245">
        <v>31</v>
      </c>
      <c r="AC5245">
        <v>-19.333400000000001</v>
      </c>
      <c r="AD5245">
        <v>-1.119535805692</v>
      </c>
      <c r="AE5245">
        <v>-7.4000000000012195E-2</v>
      </c>
      <c r="AF5245">
        <v>-8.0142883479597193E-2</v>
      </c>
      <c r="AG5245">
        <v>-1.119535805692</v>
      </c>
      <c r="AH5245">
        <v>19.2687633185149</v>
      </c>
      <c r="AI5245">
        <v>93.325179205727196</v>
      </c>
      <c r="AJ5245">
        <v>90.238303954828496</v>
      </c>
      <c r="AK5245">
        <v>19.3014254169723</v>
      </c>
      <c r="AL5245">
        <v>95.485423482834406</v>
      </c>
      <c r="AM5245">
        <v>89.935814322961406</v>
      </c>
      <c r="AN5245">
        <v>0.99999997438947696</v>
      </c>
    </row>
    <row r="5246" spans="1:40" x14ac:dyDescent="0.25">
      <c r="A5246" t="str">
        <f>"20190303154244388"</f>
        <v>20190303154244388</v>
      </c>
      <c r="B5246" t="str">
        <f>"1551598964385398"</f>
        <v>1551598964385398</v>
      </c>
      <c r="C5246" t="s">
        <v>40</v>
      </c>
      <c r="D5246">
        <v>5.5228339999999996</v>
      </c>
      <c r="E5246">
        <v>0.49889440000000002</v>
      </c>
      <c r="F5246" t="s">
        <v>57</v>
      </c>
      <c r="G5246">
        <v>-286.25420000000003</v>
      </c>
      <c r="H5246" s="1">
        <v>-7.0224839999999997E-6</v>
      </c>
      <c r="I5246">
        <v>140.8502</v>
      </c>
      <c r="J5246">
        <v>-266.8612</v>
      </c>
      <c r="K5246">
        <v>1.119521</v>
      </c>
      <c r="L5246">
        <v>140.90950000000001</v>
      </c>
      <c r="M5246">
        <v>-0.99995789999999996</v>
      </c>
      <c r="N5246">
        <v>-9.1293499999999996E-3</v>
      </c>
      <c r="O5246">
        <v>1.0957569999999999E-3</v>
      </c>
      <c r="P5246">
        <v>-0.99450249999999996</v>
      </c>
      <c r="Q5246">
        <v>-0.1046962</v>
      </c>
      <c r="R5246">
        <v>1.9836229999999999E-3</v>
      </c>
      <c r="S5246">
        <v>-2.9986570000000001</v>
      </c>
      <c r="T5246">
        <v>-0.1706405</v>
      </c>
      <c r="U5246">
        <v>-8.8958739999999998E-3</v>
      </c>
      <c r="V5246">
        <v>7.3043539999999903E-4</v>
      </c>
      <c r="W5246">
        <v>-9.5614009999999999E-2</v>
      </c>
      <c r="X5246">
        <v>0.99541820000000003</v>
      </c>
      <c r="Y5246">
        <v>-4.0535409999999999E-3</v>
      </c>
      <c r="Z5246">
        <v>-1.8606929999999999E-4</v>
      </c>
      <c r="AA5246">
        <v>0.99999179999999999</v>
      </c>
      <c r="AB5246">
        <v>31</v>
      </c>
      <c r="AC5246">
        <v>-19.393000000000001</v>
      </c>
      <c r="AD5246">
        <v>-1.1195280224840001</v>
      </c>
      <c r="AE5246">
        <v>-5.9300000000007402E-2</v>
      </c>
      <c r="AF5246">
        <v>-8.02833141318023E-2</v>
      </c>
      <c r="AG5246">
        <v>-1.1195280224840001</v>
      </c>
      <c r="AH5246">
        <v>19.328510266137801</v>
      </c>
      <c r="AI5246">
        <v>93.314900682585403</v>
      </c>
      <c r="AJ5246">
        <v>90.237983608083297</v>
      </c>
      <c r="AK5246">
        <v>19.361071703597599</v>
      </c>
      <c r="AL5246">
        <v>95.4866609650404</v>
      </c>
      <c r="AM5246">
        <v>89.957956507008504</v>
      </c>
      <c r="AN5246">
        <v>0.99999998266769596</v>
      </c>
    </row>
    <row r="5247" spans="1:40" x14ac:dyDescent="0.25">
      <c r="A5247" t="str">
        <f>"20190303154244410"</f>
        <v>20190303154244410</v>
      </c>
      <c r="B5247" t="str">
        <f>"1551598964404918"</f>
        <v>1551598964404918</v>
      </c>
      <c r="C5247" t="s">
        <v>40</v>
      </c>
      <c r="D5247">
        <v>5.5428089999999903</v>
      </c>
      <c r="E5247">
        <v>0.49915490000000001</v>
      </c>
      <c r="F5247" t="s">
        <v>57</v>
      </c>
      <c r="G5247">
        <v>-286.47890000000001</v>
      </c>
      <c r="H5247" s="1">
        <v>-7.1692279999999998E-6</v>
      </c>
      <c r="I5247">
        <v>140.87139999999999</v>
      </c>
      <c r="J5247">
        <v>-267.1712</v>
      </c>
      <c r="K5247">
        <v>1.1195139999999999</v>
      </c>
      <c r="L5247">
        <v>140.91059999999999</v>
      </c>
      <c r="M5247">
        <v>-0.99995719999999999</v>
      </c>
      <c r="N5247">
        <v>-9.0385139999999992E-3</v>
      </c>
      <c r="O5247">
        <v>1.9403980000000001E-3</v>
      </c>
      <c r="P5247">
        <v>-0.99455789999999999</v>
      </c>
      <c r="Q5247">
        <v>-0.1041618</v>
      </c>
      <c r="R5247">
        <v>2.2783970000000001E-3</v>
      </c>
      <c r="S5247">
        <v>-2.998596</v>
      </c>
      <c r="T5247">
        <v>-0.17112149999999901</v>
      </c>
      <c r="U5247">
        <v>-5.813599E-3</v>
      </c>
      <c r="V5247">
        <v>1.8529789999999999E-4</v>
      </c>
      <c r="W5247">
        <v>-9.5168710000000004E-2</v>
      </c>
      <c r="X5247">
        <v>0.99546120000000005</v>
      </c>
      <c r="Y5247">
        <v>-3.8697089999999998E-3</v>
      </c>
      <c r="Z5247">
        <v>-2.2094820000000001E-4</v>
      </c>
      <c r="AA5247">
        <v>0.99999249999999995</v>
      </c>
      <c r="AB5247">
        <v>31</v>
      </c>
      <c r="AC5247">
        <v>-19.307700000000001</v>
      </c>
      <c r="AD5247">
        <v>-1.1195211692279901</v>
      </c>
      <c r="AE5247">
        <v>-3.9199999999993899E-2</v>
      </c>
      <c r="AF5247">
        <v>-7.6409191587602995E-2</v>
      </c>
      <c r="AG5247">
        <v>-1.1195211692279901</v>
      </c>
      <c r="AH5247">
        <v>19.242892376650602</v>
      </c>
      <c r="AI5247">
        <v>93.329598774880907</v>
      </c>
      <c r="AJ5247">
        <v>90.227507440124697</v>
      </c>
      <c r="AK5247">
        <v>19.275582300731401</v>
      </c>
      <c r="AL5247">
        <v>95.461029854652097</v>
      </c>
      <c r="AM5247">
        <v>89.9893348053143</v>
      </c>
      <c r="AN5247">
        <v>1.0000000592019</v>
      </c>
    </row>
    <row r="5248" spans="1:40" x14ac:dyDescent="0.25">
      <c r="A5248" t="str">
        <f>"20190303154244434"</f>
        <v>20190303154244434</v>
      </c>
      <c r="B5248" t="str">
        <f>"1551598964425418"</f>
        <v>1551598964425418</v>
      </c>
      <c r="C5248" t="s">
        <v>40</v>
      </c>
      <c r="D5248">
        <v>5.549461</v>
      </c>
      <c r="E5248">
        <v>0.49940509999999999</v>
      </c>
      <c r="F5248" t="s">
        <v>57</v>
      </c>
      <c r="G5248">
        <v>-286.59570000000002</v>
      </c>
      <c r="H5248" s="1">
        <v>-7.2487800000000002E-6</v>
      </c>
      <c r="I5248">
        <v>140.89269999999999</v>
      </c>
      <c r="J5248">
        <v>-267.4846</v>
      </c>
      <c r="K5248">
        <v>1.11951</v>
      </c>
      <c r="L5248">
        <v>140.91210000000001</v>
      </c>
      <c r="M5248">
        <v>-0.99995599999999996</v>
      </c>
      <c r="N5248">
        <v>-8.9598070000000002E-3</v>
      </c>
      <c r="O5248">
        <v>2.791899E-3</v>
      </c>
      <c r="P5248">
        <v>-0.9945735</v>
      </c>
      <c r="Q5248">
        <v>-0.10402160000000001</v>
      </c>
      <c r="R5248">
        <v>1.833409E-3</v>
      </c>
      <c r="S5248">
        <v>-2.9983219999999999</v>
      </c>
      <c r="T5248">
        <v>-0.17280670000000001</v>
      </c>
      <c r="U5248">
        <v>-2.7770999999999998E-3</v>
      </c>
      <c r="V5248">
        <v>-1.107245E-3</v>
      </c>
      <c r="W5248">
        <v>-9.5104499999999995E-2</v>
      </c>
      <c r="X5248">
        <v>0.99546659999999998</v>
      </c>
      <c r="Y5248">
        <v>-3.7078079999999999E-3</v>
      </c>
      <c r="Z5248">
        <v>-2.5916539999999998E-4</v>
      </c>
      <c r="AA5248">
        <v>0.99999309999999997</v>
      </c>
      <c r="AB5248">
        <v>31</v>
      </c>
      <c r="AC5248">
        <v>-19.1111</v>
      </c>
      <c r="AD5248">
        <v>-1.11951724877999</v>
      </c>
      <c r="AE5248">
        <v>-1.9400000000018701E-2</v>
      </c>
      <c r="AF5248">
        <v>-7.2509505501679603E-2</v>
      </c>
      <c r="AG5248">
        <v>-1.11951724877999</v>
      </c>
      <c r="AH5248">
        <v>19.045615450320401</v>
      </c>
      <c r="AI5248">
        <v>93.363998767883402</v>
      </c>
      <c r="AJ5248">
        <v>90.218132544919897</v>
      </c>
      <c r="AK5248">
        <v>19.078627948051899</v>
      </c>
      <c r="AL5248">
        <v>95.457334881947901</v>
      </c>
      <c r="AM5248">
        <v>90.063729349859102</v>
      </c>
      <c r="AN5248">
        <v>0.99999992181364605</v>
      </c>
    </row>
    <row r="5249" spans="1:40" x14ac:dyDescent="0.25">
      <c r="A5249" t="str">
        <f>"20190303154244456"</f>
        <v>20190303154244456</v>
      </c>
      <c r="B5249" t="str">
        <f>"1551598964445315"</f>
        <v>1551598964445315</v>
      </c>
      <c r="C5249" t="s">
        <v>40</v>
      </c>
      <c r="D5249">
        <v>5.5520459999999998</v>
      </c>
      <c r="E5249">
        <v>0.49948769999999998</v>
      </c>
      <c r="F5249" t="s">
        <v>57</v>
      </c>
      <c r="G5249">
        <v>-286.6585</v>
      </c>
      <c r="H5249" s="1">
        <v>-7.2899570000000004E-6</v>
      </c>
      <c r="I5249">
        <v>140.899</v>
      </c>
      <c r="J5249">
        <v>-267.78590000000003</v>
      </c>
      <c r="K5249">
        <v>1.1194980000000001</v>
      </c>
      <c r="L5249">
        <v>140.91370000000001</v>
      </c>
      <c r="M5249">
        <v>-0.99995400000000001</v>
      </c>
      <c r="N5249">
        <v>-8.8956409999999993E-3</v>
      </c>
      <c r="O5249">
        <v>3.605596E-3</v>
      </c>
      <c r="P5249">
        <v>-0.99453689999999995</v>
      </c>
      <c r="Q5249">
        <v>-0.10437490000000001</v>
      </c>
      <c r="R5249">
        <v>1.5900249999999999E-3</v>
      </c>
      <c r="S5249">
        <v>-2.9980769999999999</v>
      </c>
      <c r="T5249">
        <v>-0.17504990000000001</v>
      </c>
      <c r="U5249">
        <v>-2.0446779999999999E-3</v>
      </c>
      <c r="V5249">
        <v>-2.1599879999999998E-3</v>
      </c>
      <c r="W5249">
        <v>-9.5520179999999996E-2</v>
      </c>
      <c r="X5249">
        <v>0.99542520000000001</v>
      </c>
      <c r="Y5249">
        <v>-4.2749260000000001E-3</v>
      </c>
      <c r="Z5249">
        <v>-3.2201799999999998E-4</v>
      </c>
      <c r="AA5249">
        <v>0.99999079999999996</v>
      </c>
      <c r="AB5249">
        <v>31</v>
      </c>
      <c r="AC5249">
        <v>-18.872599999999899</v>
      </c>
      <c r="AD5249">
        <v>-1.1195052899569999</v>
      </c>
      <c r="AE5249">
        <v>-1.47000000000048E-2</v>
      </c>
      <c r="AF5249">
        <v>-8.2459409291694097E-2</v>
      </c>
      <c r="AG5249">
        <v>-1.1195052899569999</v>
      </c>
      <c r="AH5249">
        <v>18.806249795678699</v>
      </c>
      <c r="AI5249">
        <v>93.4066711359755</v>
      </c>
      <c r="AJ5249">
        <v>90.251222115408495</v>
      </c>
      <c r="AK5249">
        <v>18.839721946618202</v>
      </c>
      <c r="AL5249">
        <v>95.481259814715202</v>
      </c>
      <c r="AM5249">
        <v>90.1243267720766</v>
      </c>
      <c r="AN5249">
        <v>1.0000000495652099</v>
      </c>
    </row>
    <row r="5250" spans="1:40" x14ac:dyDescent="0.25">
      <c r="A5250" t="str">
        <f>"20190303154244478"</f>
        <v>20190303154244478</v>
      </c>
      <c r="B5250" t="str">
        <f>"1551598964475568"</f>
        <v>1551598964475568</v>
      </c>
      <c r="C5250" t="s">
        <v>40</v>
      </c>
      <c r="D5250">
        <v>5.5398129999999997</v>
      </c>
      <c r="E5250">
        <v>0.51195279999999999</v>
      </c>
      <c r="F5250" t="s">
        <v>57</v>
      </c>
      <c r="G5250">
        <v>-286.51650000000001</v>
      </c>
      <c r="H5250" s="1">
        <v>-7.2022320000000003E-6</v>
      </c>
      <c r="I5250">
        <v>140.90119999999999</v>
      </c>
      <c r="J5250">
        <v>-268.09550000000002</v>
      </c>
      <c r="K5250">
        <v>1.119502</v>
      </c>
      <c r="L5250">
        <v>140.91569999999999</v>
      </c>
      <c r="M5250">
        <v>-0.99995109999999998</v>
      </c>
      <c r="N5250">
        <v>-8.8397790000000007E-3</v>
      </c>
      <c r="O5250">
        <v>4.4264309999999998E-3</v>
      </c>
      <c r="P5250">
        <v>-0.99454019999999999</v>
      </c>
      <c r="Q5250">
        <v>-0.10434549999999999</v>
      </c>
      <c r="R5250">
        <v>1.323919E-3</v>
      </c>
      <c r="S5250">
        <v>-2.997681</v>
      </c>
      <c r="T5250">
        <v>-0.17916770000000001</v>
      </c>
      <c r="U5250">
        <v>-2.0141600000000001E-3</v>
      </c>
      <c r="V5250">
        <v>-3.2417190000000001E-3</v>
      </c>
      <c r="W5250">
        <v>-9.5544550000000006E-2</v>
      </c>
      <c r="X5250">
        <v>0.99541990000000002</v>
      </c>
      <c r="Y5250">
        <v>-5.0823539999999999E-3</v>
      </c>
      <c r="Z5250">
        <v>-3.9946079999999998E-4</v>
      </c>
      <c r="AA5250">
        <v>0.99998699999999996</v>
      </c>
      <c r="AB5250">
        <v>31</v>
      </c>
      <c r="AC5250">
        <v>-18.4209999999999</v>
      </c>
      <c r="AD5250">
        <v>-1.1195092022319999</v>
      </c>
      <c r="AE5250">
        <v>-1.4499999999998099E-2</v>
      </c>
      <c r="AF5250">
        <v>-9.5688912621932895E-2</v>
      </c>
      <c r="AG5250">
        <v>-1.1195092022319999</v>
      </c>
      <c r="AH5250">
        <v>18.352970113850901</v>
      </c>
      <c r="AI5250">
        <v>93.490601510808105</v>
      </c>
      <c r="AJ5250">
        <v>90.298726643543503</v>
      </c>
      <c r="AK5250">
        <v>18.387331759170099</v>
      </c>
      <c r="AL5250">
        <v>95.482662671438703</v>
      </c>
      <c r="AM5250">
        <v>90.186590764812294</v>
      </c>
      <c r="AN5250">
        <v>1.0000000235463899</v>
      </c>
    </row>
    <row r="5251" spans="1:40" x14ac:dyDescent="0.25">
      <c r="A5251" t="str">
        <f>"20190303154244499"</f>
        <v>20190303154244499</v>
      </c>
      <c r="B5251" t="str">
        <f>"1551598964495088"</f>
        <v>1551598964495088</v>
      </c>
      <c r="C5251" t="s">
        <v>40</v>
      </c>
      <c r="D5251">
        <v>5.4665520000000001</v>
      </c>
      <c r="E5251">
        <v>0.51354940000000004</v>
      </c>
      <c r="F5251" t="s">
        <v>57</v>
      </c>
      <c r="G5251">
        <v>-290.63690000000003</v>
      </c>
      <c r="H5251" s="1">
        <v>-9.4154800000000002E-6</v>
      </c>
      <c r="I5251">
        <v>141.63679999999999</v>
      </c>
      <c r="J5251">
        <v>-268.40379999999999</v>
      </c>
      <c r="K5251">
        <v>1.1195120000000001</v>
      </c>
      <c r="L5251">
        <v>140.9179</v>
      </c>
      <c r="M5251">
        <v>-0.99994780000000005</v>
      </c>
      <c r="N5251">
        <v>-8.79283199999999E-3</v>
      </c>
      <c r="O5251">
        <v>5.2217870000000003E-3</v>
      </c>
      <c r="P5251">
        <v>-0.99451769999999995</v>
      </c>
      <c r="Q5251">
        <v>-0.1045663</v>
      </c>
      <c r="R5251">
        <v>7.8256240000000002E-4</v>
      </c>
      <c r="S5251">
        <v>-3.0007320000000002</v>
      </c>
      <c r="T5251">
        <v>-0.14903039999999901</v>
      </c>
      <c r="U5251">
        <v>9.5993040000000002E-2</v>
      </c>
      <c r="V5251">
        <v>-4.5715770000000003E-3</v>
      </c>
      <c r="W5251">
        <v>-9.5810220000000001E-2</v>
      </c>
      <c r="X5251">
        <v>0.99538910000000003</v>
      </c>
      <c r="Y5251">
        <v>2.6719380000000001E-2</v>
      </c>
      <c r="Z5251">
        <v>5.6728879999999897E-4</v>
      </c>
      <c r="AA5251">
        <v>0.99964280000000005</v>
      </c>
      <c r="AB5251">
        <v>31</v>
      </c>
      <c r="AC5251">
        <v>-22.2331</v>
      </c>
      <c r="AD5251">
        <v>-1.1195214154799999</v>
      </c>
      <c r="AE5251">
        <v>0.71889999999998999</v>
      </c>
      <c r="AF5251">
        <v>0.60126628549516403</v>
      </c>
      <c r="AG5251">
        <v>-1.1195214154799999</v>
      </c>
      <c r="AH5251">
        <v>22.180371203451401</v>
      </c>
      <c r="AI5251">
        <v>92.888408365822997</v>
      </c>
      <c r="AJ5251">
        <v>88.447204267081204</v>
      </c>
      <c r="AK5251">
        <v>22.216744047422601</v>
      </c>
      <c r="AL5251">
        <v>95.497954839900402</v>
      </c>
      <c r="AM5251">
        <v>90.263143554780996</v>
      </c>
      <c r="AN5251">
        <v>0.99999997898576198</v>
      </c>
    </row>
    <row r="5252" spans="1:40" x14ac:dyDescent="0.25">
      <c r="A5252" t="str">
        <f>"20190303154244523"</f>
        <v>20190303154244523</v>
      </c>
      <c r="B5252" t="str">
        <f>"1551598964515583"</f>
        <v>1551598964515583</v>
      </c>
      <c r="C5252" t="s">
        <v>40</v>
      </c>
      <c r="D5252">
        <v>5.5068190000000001</v>
      </c>
      <c r="E5252">
        <v>0.51405449999999997</v>
      </c>
      <c r="F5252" t="s">
        <v>57</v>
      </c>
      <c r="G5252">
        <v>-292.05220000000003</v>
      </c>
      <c r="H5252" s="1">
        <v>-9.3112029999999998E-6</v>
      </c>
      <c r="I5252">
        <v>141.7621</v>
      </c>
      <c r="J5252">
        <v>-268.72789999999998</v>
      </c>
      <c r="K5252">
        <v>1.1195280000000001</v>
      </c>
      <c r="L5252">
        <v>140.9204</v>
      </c>
      <c r="M5252">
        <v>-0.99994349999999999</v>
      </c>
      <c r="N5252">
        <v>-8.7512140000000002E-3</v>
      </c>
      <c r="O5252">
        <v>6.0339529999999999E-3</v>
      </c>
      <c r="P5252">
        <v>-0.99452689999999999</v>
      </c>
      <c r="Q5252">
        <v>-0.1044794</v>
      </c>
      <c r="R5252">
        <v>7.5115740000000005E-4</v>
      </c>
      <c r="S5252">
        <v>-3.0015559999999999</v>
      </c>
      <c r="T5252">
        <v>-0.142094</v>
      </c>
      <c r="U5252">
        <v>0.1071472</v>
      </c>
      <c r="V5252">
        <v>-5.4069629999999999E-3</v>
      </c>
      <c r="W5252">
        <v>-9.5763470000000003E-2</v>
      </c>
      <c r="X5252">
        <v>0.99538950000000004</v>
      </c>
      <c r="Y5252">
        <v>2.9608740000000001E-2</v>
      </c>
      <c r="Z5252">
        <v>5.9728919999999896E-4</v>
      </c>
      <c r="AA5252">
        <v>0.99956140000000004</v>
      </c>
      <c r="AB5252">
        <v>31</v>
      </c>
      <c r="AC5252">
        <v>-23.324300000000001</v>
      </c>
      <c r="AD5252">
        <v>-1.119537311203</v>
      </c>
      <c r="AE5252">
        <v>0.841700000000003</v>
      </c>
      <c r="AF5252">
        <v>0.69933247358964401</v>
      </c>
      <c r="AG5252">
        <v>-1.119537311203</v>
      </c>
      <c r="AH5252">
        <v>23.275400339358299</v>
      </c>
      <c r="AI5252">
        <v>92.752541110857393</v>
      </c>
      <c r="AJ5252">
        <v>88.279009270230304</v>
      </c>
      <c r="AK5252">
        <v>23.3128010041092</v>
      </c>
      <c r="AL5252">
        <v>95.495263403253603</v>
      </c>
      <c r="AM5252">
        <v>90.311228029747397</v>
      </c>
      <c r="AN5252">
        <v>1.00000006707278</v>
      </c>
    </row>
    <row r="5253" spans="1:40" x14ac:dyDescent="0.25">
      <c r="A5253" t="str">
        <f>"20190303154244546"</f>
        <v>20190303154244546</v>
      </c>
      <c r="B5253" t="str">
        <f>"1551598964535103"</f>
        <v>1551598964535103</v>
      </c>
      <c r="C5253" t="s">
        <v>40</v>
      </c>
      <c r="D5253">
        <v>5.5456539999999999</v>
      </c>
      <c r="E5253">
        <v>0.51460399999999995</v>
      </c>
      <c r="F5253" t="s">
        <v>57</v>
      </c>
      <c r="G5253">
        <v>-293.36509999999998</v>
      </c>
      <c r="H5253" s="1">
        <v>-9.2137859999999998E-6</v>
      </c>
      <c r="I5253">
        <v>141.83189999999999</v>
      </c>
      <c r="J5253">
        <v>-269.04899999999998</v>
      </c>
      <c r="K5253">
        <v>1.11954</v>
      </c>
      <c r="L5253">
        <v>140.92310000000001</v>
      </c>
      <c r="M5253">
        <v>-0.99993889999999996</v>
      </c>
      <c r="N5253">
        <v>-8.7166339999999991E-3</v>
      </c>
      <c r="O5253">
        <v>6.801161E-3</v>
      </c>
      <c r="P5253">
        <v>-0.99466100000000002</v>
      </c>
      <c r="Q5253">
        <v>-0.1031922</v>
      </c>
      <c r="R5253">
        <v>9.858178E-4</v>
      </c>
      <c r="S5253">
        <v>-3.0021059999999999</v>
      </c>
      <c r="T5253">
        <v>-0.13641879999999901</v>
      </c>
      <c r="U5253">
        <v>0.11106870000000001</v>
      </c>
      <c r="V5253">
        <v>-5.9293050000000002E-3</v>
      </c>
      <c r="W5253">
        <v>-9.4509029999999994E-2</v>
      </c>
      <c r="X5253">
        <v>0.99550629999999996</v>
      </c>
      <c r="Y5253">
        <v>3.0141560000000001E-2</v>
      </c>
      <c r="Z5253">
        <v>5.6620589999999897E-4</v>
      </c>
      <c r="AA5253">
        <v>0.99954549999999998</v>
      </c>
      <c r="AB5253">
        <v>31</v>
      </c>
      <c r="AC5253">
        <v>-24.316099999999899</v>
      </c>
      <c r="AD5253">
        <v>-1.1195492137859999</v>
      </c>
      <c r="AE5253">
        <v>0.90879999999998495</v>
      </c>
      <c r="AF5253">
        <v>0.74182464916741397</v>
      </c>
      <c r="AG5253">
        <v>-1.1195492137859999</v>
      </c>
      <c r="AH5253">
        <v>24.270341763319301</v>
      </c>
      <c r="AI5253">
        <v>92.639852719950696</v>
      </c>
      <c r="AJ5253">
        <v>88.249295643719705</v>
      </c>
      <c r="AK5253">
        <v>24.307471764058899</v>
      </c>
      <c r="AL5253">
        <v>95.423062416347605</v>
      </c>
      <c r="AM5253">
        <v>90.341253626239805</v>
      </c>
      <c r="AN5253">
        <v>0.99999995337450498</v>
      </c>
    </row>
    <row r="5254" spans="1:40" x14ac:dyDescent="0.25">
      <c r="A5254" t="str">
        <f>"20190303154244579"</f>
        <v>20190303154244579</v>
      </c>
      <c r="B5254" t="str">
        <f>"1551598964575626"</f>
        <v>1551598964575626</v>
      </c>
      <c r="C5254" t="s">
        <v>40</v>
      </c>
      <c r="D5254">
        <v>5.519495</v>
      </c>
      <c r="E5254">
        <v>0.51495079999999904</v>
      </c>
      <c r="F5254" t="s">
        <v>57</v>
      </c>
      <c r="G5254">
        <v>-294.92739999999998</v>
      </c>
      <c r="H5254" s="1">
        <v>-9.1005000000000004E-6</v>
      </c>
      <c r="I5254">
        <v>141.9228</v>
      </c>
      <c r="J5254">
        <v>-269.50450000000001</v>
      </c>
      <c r="K5254">
        <v>1.119586</v>
      </c>
      <c r="L5254">
        <v>140.9273</v>
      </c>
      <c r="M5254">
        <v>-0.99993200000000004</v>
      </c>
      <c r="N5254">
        <v>-8.6774009999999995E-3</v>
      </c>
      <c r="O5254">
        <v>7.7936790000000004E-3</v>
      </c>
      <c r="P5254">
        <v>-0.99483779999999999</v>
      </c>
      <c r="Q5254">
        <v>-0.1014415</v>
      </c>
      <c r="R5254">
        <v>2.756531E-3</v>
      </c>
      <c r="S5254">
        <v>-3.0025330000000001</v>
      </c>
      <c r="T5254">
        <v>-0.1298956</v>
      </c>
      <c r="U5254">
        <v>0.1159821</v>
      </c>
      <c r="V5254">
        <v>-5.1331199999999997E-3</v>
      </c>
      <c r="W5254">
        <v>-9.2797699999999997E-2</v>
      </c>
      <c r="X5254">
        <v>0.99567169999999905</v>
      </c>
      <c r="Y5254">
        <v>3.0780080000000001E-2</v>
      </c>
      <c r="Z5254">
        <v>5.2962849999999896E-4</v>
      </c>
      <c r="AA5254">
        <v>0.99952600000000003</v>
      </c>
      <c r="AB5254">
        <v>31</v>
      </c>
      <c r="AC5254">
        <v>-25.422899999999899</v>
      </c>
      <c r="AD5254">
        <v>-1.1195951005</v>
      </c>
      <c r="AE5254">
        <v>0.99549999999999195</v>
      </c>
      <c r="AF5254">
        <v>0.79578339047838598</v>
      </c>
      <c r="AG5254">
        <v>-1.1195951005</v>
      </c>
      <c r="AH5254">
        <v>25.380738174915798</v>
      </c>
      <c r="AI5254">
        <v>92.524554951249698</v>
      </c>
      <c r="AJ5254">
        <v>88.204146102912205</v>
      </c>
      <c r="AK5254">
        <v>25.417880216439201</v>
      </c>
      <c r="AL5254">
        <v>95.324577586839297</v>
      </c>
      <c r="AM5254">
        <v>90.295382008087998</v>
      </c>
      <c r="AN5254">
        <v>0.99999994811355497</v>
      </c>
    </row>
    <row r="5255" spans="1:40" x14ac:dyDescent="0.25">
      <c r="A5255" t="str">
        <f>"20190303154244600"</f>
        <v>20190303154244600</v>
      </c>
      <c r="B5255" t="str">
        <f>"1551598964595146"</f>
        <v>1551598964595146</v>
      </c>
      <c r="C5255" t="s">
        <v>40</v>
      </c>
      <c r="D5255">
        <v>5.5319269999999996</v>
      </c>
      <c r="E5255">
        <v>0.51512369999999996</v>
      </c>
      <c r="F5255" t="s">
        <v>57</v>
      </c>
      <c r="G5255">
        <v>-296.14999999999998</v>
      </c>
      <c r="H5255" s="1">
        <v>-9.0205719999999997E-6</v>
      </c>
      <c r="I5255">
        <v>142.02690000000001</v>
      </c>
      <c r="J5255">
        <v>-269.80509999999998</v>
      </c>
      <c r="K5255">
        <v>1.1196299999999999</v>
      </c>
      <c r="L5255">
        <v>140.93029999999999</v>
      </c>
      <c r="M5255">
        <v>-0.99992749999999997</v>
      </c>
      <c r="N5255">
        <v>-8.6572449999999992E-3</v>
      </c>
      <c r="O5255">
        <v>8.3658919999999998E-3</v>
      </c>
      <c r="P5255">
        <v>-0.99491050000000003</v>
      </c>
      <c r="Q5255">
        <v>-0.1006904</v>
      </c>
      <c r="R5255">
        <v>3.848728E-3</v>
      </c>
      <c r="S5255">
        <v>-3.0024109999999999</v>
      </c>
      <c r="T5255">
        <v>-0.12615570000000001</v>
      </c>
      <c r="U5255">
        <v>0.12390139999999999</v>
      </c>
      <c r="V5255">
        <v>-4.5993129999999998E-3</v>
      </c>
      <c r="W5255">
        <v>-9.2067319999999994E-2</v>
      </c>
      <c r="X5255">
        <v>0.99574209999999996</v>
      </c>
      <c r="Y5255">
        <v>3.2841410000000001E-2</v>
      </c>
      <c r="Z5255">
        <v>5.5284500000000005E-4</v>
      </c>
      <c r="AA5255">
        <v>0.99946040000000003</v>
      </c>
      <c r="AB5255">
        <v>31</v>
      </c>
      <c r="AC5255">
        <v>-26.344899999999999</v>
      </c>
      <c r="AD5255">
        <v>-1.1196390205719999</v>
      </c>
      <c r="AE5255">
        <v>1.09660000000002</v>
      </c>
      <c r="AF5255">
        <v>0.87457784788399895</v>
      </c>
      <c r="AG5255">
        <v>-1.1196390205719999</v>
      </c>
      <c r="AH5255">
        <v>26.305721482921399</v>
      </c>
      <c r="AI5255">
        <v>92.4358402020668</v>
      </c>
      <c r="AJ5255">
        <v>88.095807063949295</v>
      </c>
      <c r="AK5255">
        <v>26.344059305380899</v>
      </c>
      <c r="AL5255">
        <v>95.282550026739102</v>
      </c>
      <c r="AM5255">
        <v>90.264646186508003</v>
      </c>
      <c r="AN5255">
        <v>0.99999993740223003</v>
      </c>
    </row>
    <row r="5256" spans="1:40" x14ac:dyDescent="0.25">
      <c r="A5256" t="str">
        <f>"20190303154244623"</f>
        <v>20190303154244623</v>
      </c>
      <c r="B5256" t="str">
        <f>"1551598964615645"</f>
        <v>1551598964615645</v>
      </c>
      <c r="C5256" t="s">
        <v>40</v>
      </c>
      <c r="D5256">
        <v>5.5388919999999997</v>
      </c>
      <c r="E5256">
        <v>0.51511320000000005</v>
      </c>
      <c r="F5256" t="s">
        <v>57</v>
      </c>
      <c r="G5256">
        <v>-296.5043</v>
      </c>
      <c r="H5256" s="1">
        <v>-9.0028679999999905E-6</v>
      </c>
      <c r="I5256">
        <v>142.0778</v>
      </c>
      <c r="J5256">
        <v>-270.12849999999997</v>
      </c>
      <c r="K5256">
        <v>1.119677</v>
      </c>
      <c r="L5256">
        <v>140.93360000000001</v>
      </c>
      <c r="M5256">
        <v>-0.99992300000000001</v>
      </c>
      <c r="N5256">
        <v>-8.6396230000000008E-3</v>
      </c>
      <c r="O5256">
        <v>8.9148449999999994E-3</v>
      </c>
      <c r="P5256">
        <v>-0.99479289999999998</v>
      </c>
      <c r="Q5256">
        <v>-0.10176259999999999</v>
      </c>
      <c r="R5256">
        <v>5.6235180000000001E-3</v>
      </c>
      <c r="S5256">
        <v>-3.0021059999999999</v>
      </c>
      <c r="T5256">
        <v>-0.12589449999999999</v>
      </c>
      <c r="U5256">
        <v>0.12902830000000001</v>
      </c>
      <c r="V5256">
        <v>-3.3592460000000002E-3</v>
      </c>
      <c r="W5256">
        <v>-9.316004E-2</v>
      </c>
      <c r="X5256">
        <v>0.99564549999999996</v>
      </c>
      <c r="Y5256">
        <v>3.3999920000000003E-2</v>
      </c>
      <c r="Z5256">
        <v>5.6275529999999995E-4</v>
      </c>
      <c r="AA5256">
        <v>0.99942169999999997</v>
      </c>
      <c r="AB5256">
        <v>31</v>
      </c>
      <c r="AC5256">
        <v>-26.375800000000002</v>
      </c>
      <c r="AD5256">
        <v>-1.119686002868</v>
      </c>
      <c r="AE5256">
        <v>1.1441999999999799</v>
      </c>
      <c r="AF5256">
        <v>0.90737747574286598</v>
      </c>
      <c r="AG5256">
        <v>-1.119686002868</v>
      </c>
      <c r="AH5256">
        <v>26.337578493168301</v>
      </c>
      <c r="AI5256">
        <v>92.432900389387996</v>
      </c>
      <c r="AJ5256">
        <v>88.026836620108597</v>
      </c>
      <c r="AK5256">
        <v>26.3769799543524</v>
      </c>
      <c r="AL5256">
        <v>95.345428081694394</v>
      </c>
      <c r="AM5256">
        <v>90.193311663462694</v>
      </c>
      <c r="AN5256">
        <v>1.00000001962836</v>
      </c>
    </row>
    <row r="5257" spans="1:40" x14ac:dyDescent="0.25">
      <c r="A5257" t="str">
        <f>"20190303154244645"</f>
        <v>20190303154244645</v>
      </c>
      <c r="B5257" t="str">
        <f>"1551598964635162"</f>
        <v>1551598964635162</v>
      </c>
      <c r="C5257" t="s">
        <v>40</v>
      </c>
      <c r="D5257">
        <v>5.4891180000000004</v>
      </c>
      <c r="E5257">
        <v>0.51503540000000003</v>
      </c>
      <c r="F5257" t="s">
        <v>57</v>
      </c>
      <c r="G5257">
        <v>-295.80529999999999</v>
      </c>
      <c r="H5257" s="1">
        <v>-9.0654070000000005E-6</v>
      </c>
      <c r="I5257">
        <v>142.0821</v>
      </c>
      <c r="J5257">
        <v>-270.44049999999999</v>
      </c>
      <c r="K5257">
        <v>1.119718</v>
      </c>
      <c r="L5257">
        <v>140.93680000000001</v>
      </c>
      <c r="M5257">
        <v>-0.99991890000000005</v>
      </c>
      <c r="N5257">
        <v>-8.6259690000000007E-3</v>
      </c>
      <c r="O5257">
        <v>9.3673130000000004E-3</v>
      </c>
      <c r="P5257">
        <v>-0.99470780000000003</v>
      </c>
      <c r="Q5257">
        <v>-0.1025383</v>
      </c>
      <c r="R5257">
        <v>6.4961979999999999E-3</v>
      </c>
      <c r="S5257">
        <v>-3.0015559999999999</v>
      </c>
      <c r="T5257">
        <v>-0.1308888</v>
      </c>
      <c r="U5257">
        <v>0.1342621</v>
      </c>
      <c r="V5257">
        <v>-2.9241470000000002E-3</v>
      </c>
      <c r="W5257">
        <v>-9.3950980000000003E-2</v>
      </c>
      <c r="X5257">
        <v>0.99557249999999997</v>
      </c>
      <c r="Y5257">
        <v>3.5291490000000002E-2</v>
      </c>
      <c r="Z5257">
        <v>5.9378649999999996E-4</v>
      </c>
      <c r="AA5257">
        <v>0.99937690000000001</v>
      </c>
      <c r="AB5257">
        <v>31</v>
      </c>
      <c r="AC5257">
        <v>-25.364799999999999</v>
      </c>
      <c r="AD5257">
        <v>-1.119727065407</v>
      </c>
      <c r="AE5257">
        <v>1.14529999999999</v>
      </c>
      <c r="AF5257">
        <v>0.90587911977925095</v>
      </c>
      <c r="AG5257">
        <v>-1.119727065407</v>
      </c>
      <c r="AH5257">
        <v>25.325163236666</v>
      </c>
      <c r="AI5257">
        <v>92.530011516876598</v>
      </c>
      <c r="AJ5257">
        <v>87.951407839936905</v>
      </c>
      <c r="AK5257">
        <v>25.366085599564599</v>
      </c>
      <c r="AL5257">
        <v>95.390945509410201</v>
      </c>
      <c r="AM5257">
        <v>90.168285885752596</v>
      </c>
      <c r="AN5257">
        <v>0.99999997001744301</v>
      </c>
    </row>
    <row r="5258" spans="1:40" x14ac:dyDescent="0.25">
      <c r="A5258" t="str">
        <f>"20190303154244667"</f>
        <v>20190303154244667</v>
      </c>
      <c r="B5258" t="str">
        <f>"1551598964654976"</f>
        <v>1551598964654976</v>
      </c>
      <c r="C5258" t="s">
        <v>40</v>
      </c>
      <c r="D5258">
        <v>5.543253</v>
      </c>
      <c r="E5258">
        <v>0.51467259999999904</v>
      </c>
      <c r="F5258" t="s">
        <v>57</v>
      </c>
      <c r="G5258">
        <v>-295.66390000000001</v>
      </c>
      <c r="H5258" s="1">
        <v>-9.0770120000000008E-6</v>
      </c>
      <c r="I5258">
        <v>142.07900000000001</v>
      </c>
      <c r="J5258">
        <v>-270.75409999999999</v>
      </c>
      <c r="K5258">
        <v>1.119772</v>
      </c>
      <c r="L5258">
        <v>140.9402</v>
      </c>
      <c r="M5258">
        <v>-0.99991560000000002</v>
      </c>
      <c r="N5258">
        <v>-8.6176740000000005E-3</v>
      </c>
      <c r="O5258">
        <v>9.7379370000000003E-3</v>
      </c>
      <c r="P5258">
        <v>-0.99469269999999999</v>
      </c>
      <c r="Q5258">
        <v>-0.10260950000000001</v>
      </c>
      <c r="R5258">
        <v>7.6251269999999998E-3</v>
      </c>
      <c r="S5258">
        <v>-3.0013429999999999</v>
      </c>
      <c r="T5258">
        <v>-0.13323660000000001</v>
      </c>
      <c r="U5258">
        <v>0.13591</v>
      </c>
      <c r="V5258">
        <v>-2.1498509999999999E-3</v>
      </c>
      <c r="W5258">
        <v>-9.4031489999999995E-2</v>
      </c>
      <c r="X5258">
        <v>0.99556690000000003</v>
      </c>
      <c r="Y5258">
        <v>3.547082E-2</v>
      </c>
      <c r="Z5258">
        <v>5.9155739999999996E-4</v>
      </c>
      <c r="AA5258">
        <v>0.99937050000000005</v>
      </c>
      <c r="AB5258">
        <v>31</v>
      </c>
      <c r="AC5258">
        <v>-24.909800000000001</v>
      </c>
      <c r="AD5258">
        <v>-1.119781077012</v>
      </c>
      <c r="AE5258">
        <v>1.1388</v>
      </c>
      <c r="AF5258">
        <v>0.89436339536537601</v>
      </c>
      <c r="AG5258">
        <v>-1.119781077012</v>
      </c>
      <c r="AH5258">
        <v>24.869556928507301</v>
      </c>
      <c r="AI5258">
        <v>92.576405420455899</v>
      </c>
      <c r="AJ5258">
        <v>87.940406635000301</v>
      </c>
      <c r="AK5258">
        <v>24.910814064652101</v>
      </c>
      <c r="AL5258">
        <v>95.395578755023607</v>
      </c>
      <c r="AM5258">
        <v>90.123725685756696</v>
      </c>
      <c r="AN5258">
        <v>0.99999999767327596</v>
      </c>
    </row>
    <row r="5259" spans="1:40" x14ac:dyDescent="0.25">
      <c r="A5259" t="str">
        <f>"20190303154244690"</f>
        <v>20190303154244690</v>
      </c>
      <c r="B5259" t="str">
        <f>"1551598964685232"</f>
        <v>1551598964685232</v>
      </c>
      <c r="C5259" t="s">
        <v>40</v>
      </c>
      <c r="D5259">
        <v>5.5631559999999904</v>
      </c>
      <c r="E5259">
        <v>0.5143297</v>
      </c>
      <c r="F5259" t="s">
        <v>57</v>
      </c>
      <c r="G5259">
        <v>-295.86059999999998</v>
      </c>
      <c r="H5259" s="1">
        <v>-9.0603470000000005E-6</v>
      </c>
      <c r="I5259">
        <v>142.0813</v>
      </c>
      <c r="J5259">
        <v>-271.0729</v>
      </c>
      <c r="K5259">
        <v>1.119839</v>
      </c>
      <c r="L5259">
        <v>140.9436</v>
      </c>
      <c r="M5259">
        <v>-0.99991260000000004</v>
      </c>
      <c r="N5259">
        <v>-8.6195119999999993E-3</v>
      </c>
      <c r="O5259">
        <v>1.00295E-2</v>
      </c>
      <c r="P5259">
        <v>-0.99475020000000003</v>
      </c>
      <c r="Q5259">
        <v>-0.1020017</v>
      </c>
      <c r="R5259">
        <v>8.2528069999999992E-3</v>
      </c>
      <c r="S5259">
        <v>-3.00116</v>
      </c>
      <c r="T5259">
        <v>-0.13385520000000001</v>
      </c>
      <c r="U5259">
        <v>0.1364136</v>
      </c>
      <c r="V5259">
        <v>-1.7977100000000001E-3</v>
      </c>
      <c r="W5259">
        <v>-9.3421939999999995E-2</v>
      </c>
      <c r="X5259">
        <v>0.99562499999999998</v>
      </c>
      <c r="Y5259">
        <v>3.5349539999999999E-2</v>
      </c>
      <c r="Z5259">
        <v>5.7957150000000003E-4</v>
      </c>
      <c r="AA5259">
        <v>0.99937489999999995</v>
      </c>
      <c r="AB5259">
        <v>32</v>
      </c>
      <c r="AC5259">
        <v>-24.787699999999901</v>
      </c>
      <c r="AD5259">
        <v>-1.119848060347</v>
      </c>
      <c r="AE5259">
        <v>1.1376999999999899</v>
      </c>
      <c r="AF5259">
        <v>0.88721829470401303</v>
      </c>
      <c r="AG5259">
        <v>-1.119848060347</v>
      </c>
      <c r="AH5259">
        <v>24.747460449088901</v>
      </c>
      <c r="AI5259">
        <v>92.589264354747698</v>
      </c>
      <c r="AJ5259">
        <v>87.946775104582201</v>
      </c>
      <c r="AK5259">
        <v>24.788667060976501</v>
      </c>
      <c r="AL5259">
        <v>95.360499596092893</v>
      </c>
      <c r="AM5259">
        <v>90.1034536937631</v>
      </c>
      <c r="AN5259">
        <v>1.0000000156297999</v>
      </c>
    </row>
    <row r="5260" spans="1:40" x14ac:dyDescent="0.25">
      <c r="A5260" t="str">
        <f>"20190303154244712"</f>
        <v>20190303154244712</v>
      </c>
      <c r="B5260" t="str">
        <f>"1551598964705728"</f>
        <v>1551598964705728</v>
      </c>
      <c r="C5260" t="s">
        <v>40</v>
      </c>
      <c r="D5260">
        <v>5.547917</v>
      </c>
      <c r="E5260">
        <v>0.51415089999999997</v>
      </c>
      <c r="F5260" t="s">
        <v>57</v>
      </c>
      <c r="G5260">
        <v>-296.29039999999998</v>
      </c>
      <c r="H5260" s="1">
        <v>-9.0231459999999992E-6</v>
      </c>
      <c r="I5260">
        <v>142.08349999999999</v>
      </c>
      <c r="J5260">
        <v>-271.38780000000003</v>
      </c>
      <c r="K5260">
        <v>1.119907</v>
      </c>
      <c r="L5260">
        <v>140.947</v>
      </c>
      <c r="M5260">
        <v>-0.99991039999999998</v>
      </c>
      <c r="N5260">
        <v>-8.6368899999999995E-3</v>
      </c>
      <c r="O5260">
        <v>1.023629E-2</v>
      </c>
      <c r="P5260">
        <v>-0.99484910000000004</v>
      </c>
      <c r="Q5260">
        <v>-0.10107969999999999</v>
      </c>
      <c r="R5260">
        <v>7.6598129999999997E-3</v>
      </c>
      <c r="S5260">
        <v>-3.0010680000000001</v>
      </c>
      <c r="T5260">
        <v>-0.1332701</v>
      </c>
      <c r="U5260">
        <v>0.13565060000000001</v>
      </c>
      <c r="V5260">
        <v>-2.5822250000000001E-3</v>
      </c>
      <c r="W5260">
        <v>-9.2481740000000007E-2</v>
      </c>
      <c r="X5260">
        <v>0.99571100000000001</v>
      </c>
      <c r="Y5260">
        <v>3.4891610000000003E-2</v>
      </c>
      <c r="Z5260">
        <v>5.5905159999999996E-4</v>
      </c>
      <c r="AA5260">
        <v>0.99939100000000003</v>
      </c>
      <c r="AB5260">
        <v>32</v>
      </c>
      <c r="AC5260">
        <v>-24.9025999999999</v>
      </c>
      <c r="AD5260">
        <v>-1.1199160231459999</v>
      </c>
      <c r="AE5260">
        <v>1.1364999999999801</v>
      </c>
      <c r="AF5260">
        <v>0.87974517419244003</v>
      </c>
      <c r="AG5260">
        <v>-1.1199160231459999</v>
      </c>
      <c r="AH5260">
        <v>24.8627495914624</v>
      </c>
      <c r="AI5260">
        <v>92.577473047963807</v>
      </c>
      <c r="AJ5260">
        <v>87.9734878228507</v>
      </c>
      <c r="AK5260">
        <v>24.903503382419501</v>
      </c>
      <c r="AL5260">
        <v>95.3063961210473</v>
      </c>
      <c r="AM5260">
        <v>90.148587554597896</v>
      </c>
      <c r="AN5260">
        <v>0.99999996782018796</v>
      </c>
    </row>
    <row r="5261" spans="1:40" x14ac:dyDescent="0.25">
      <c r="A5261" t="str">
        <f>"20190303154244735"</f>
        <v>20190303154244735</v>
      </c>
      <c r="B5261" t="str">
        <f>"1551598964725248"</f>
        <v>1551598964725248</v>
      </c>
      <c r="C5261" t="s">
        <v>40</v>
      </c>
      <c r="D5261">
        <v>5.5473759999999999</v>
      </c>
      <c r="E5261">
        <v>0.51401629999999998</v>
      </c>
      <c r="F5261" t="s">
        <v>57</v>
      </c>
      <c r="G5261">
        <v>-296.96609999999998</v>
      </c>
      <c r="H5261" s="1">
        <v>-8.961328E-6</v>
      </c>
      <c r="I5261">
        <v>142.07409999999999</v>
      </c>
      <c r="J5261">
        <v>-271.71960000000001</v>
      </c>
      <c r="K5261">
        <v>1.11998</v>
      </c>
      <c r="L5261">
        <v>140.95050000000001</v>
      </c>
      <c r="M5261">
        <v>-0.99990860000000004</v>
      </c>
      <c r="N5261">
        <v>-8.6853030000000001E-3</v>
      </c>
      <c r="O5261">
        <v>1.037486E-2</v>
      </c>
      <c r="P5261">
        <v>-0.99485520000000005</v>
      </c>
      <c r="Q5261">
        <v>-0.10111009999999999</v>
      </c>
      <c r="R5261">
        <v>6.3172039999999999E-3</v>
      </c>
      <c r="S5261">
        <v>-3.0011899999999998</v>
      </c>
      <c r="T5261">
        <v>-0.13140389999999999</v>
      </c>
      <c r="U5261">
        <v>0.1322479</v>
      </c>
      <c r="V5261">
        <v>-4.0483869999999996E-3</v>
      </c>
      <c r="W5261">
        <v>-9.2463719999999999E-2</v>
      </c>
      <c r="X5261">
        <v>0.99570780000000003</v>
      </c>
      <c r="Y5261">
        <v>3.362271E-2</v>
      </c>
      <c r="Z5261">
        <v>5.1778320000000003E-4</v>
      </c>
      <c r="AA5261">
        <v>0.9994345</v>
      </c>
      <c r="AB5261">
        <v>32</v>
      </c>
      <c r="AC5261">
        <v>-25.246499999999902</v>
      </c>
      <c r="AD5261">
        <v>-1.1199889613280001</v>
      </c>
      <c r="AE5261">
        <v>1.1235999999999799</v>
      </c>
      <c r="AF5261">
        <v>0.85991181568358899</v>
      </c>
      <c r="AG5261">
        <v>-1.1199889613280001</v>
      </c>
      <c r="AH5261">
        <v>25.207288870798099</v>
      </c>
      <c r="AI5261">
        <v>92.542567387263105</v>
      </c>
      <c r="AJ5261">
        <v>88.046191354770599</v>
      </c>
      <c r="AK5261">
        <v>25.246806447947201</v>
      </c>
      <c r="AL5261">
        <v>95.305359164773805</v>
      </c>
      <c r="AM5261">
        <v>90.232954096365404</v>
      </c>
      <c r="AN5261">
        <v>0.99999997596718904</v>
      </c>
    </row>
    <row r="5262" spans="1:40" x14ac:dyDescent="0.25">
      <c r="A5262" t="str">
        <f>"20190303154244759"</f>
        <v>20190303154244759</v>
      </c>
      <c r="B5262" t="str">
        <f>"1551598964755035"</f>
        <v>1551598964755035</v>
      </c>
      <c r="C5262" t="s">
        <v>40</v>
      </c>
      <c r="D5262">
        <v>5.5716809999999999</v>
      </c>
      <c r="E5262">
        <v>0.51389659999999904</v>
      </c>
      <c r="F5262" t="s">
        <v>57</v>
      </c>
      <c r="G5262">
        <v>-297.02999999999997</v>
      </c>
      <c r="H5262" s="1">
        <v>-8.9417919999999994E-6</v>
      </c>
      <c r="I5262">
        <v>142.0213</v>
      </c>
      <c r="J5262">
        <v>-272.04930000000002</v>
      </c>
      <c r="K5262">
        <v>1.1200600000000001</v>
      </c>
      <c r="L5262">
        <v>140.95410000000001</v>
      </c>
      <c r="M5262">
        <v>-0.99990679999999998</v>
      </c>
      <c r="N5262">
        <v>-8.8031240000000007E-3</v>
      </c>
      <c r="O5262">
        <v>1.044307E-2</v>
      </c>
      <c r="P5262">
        <v>-0.99479309999999999</v>
      </c>
      <c r="Q5262">
        <v>-0.10183250000000001</v>
      </c>
      <c r="R5262">
        <v>4.1335779999999997E-3</v>
      </c>
      <c r="S5262">
        <v>-3.0012210000000001</v>
      </c>
      <c r="T5262">
        <v>-0.13280459999999999</v>
      </c>
      <c r="U5262">
        <v>0.12696840000000001</v>
      </c>
      <c r="V5262">
        <v>-6.2871309999999996E-3</v>
      </c>
      <c r="W5262">
        <v>-9.3069269999999996E-2</v>
      </c>
      <c r="X5262">
        <v>0.99563979999999996</v>
      </c>
      <c r="Y5262">
        <v>3.1800620000000002E-2</v>
      </c>
      <c r="Z5262">
        <v>4.7327209999999998E-4</v>
      </c>
      <c r="AA5262">
        <v>0.99949410000000005</v>
      </c>
      <c r="AB5262">
        <v>32</v>
      </c>
      <c r="AC5262">
        <v>-24.980699999999899</v>
      </c>
      <c r="AD5262">
        <v>-1.120068941792</v>
      </c>
      <c r="AE5262">
        <v>1.0671999999999799</v>
      </c>
      <c r="AF5262">
        <v>0.80464181731474704</v>
      </c>
      <c r="AG5262">
        <v>-1.120068941792</v>
      </c>
      <c r="AH5262">
        <v>24.940434308491</v>
      </c>
      <c r="AI5262">
        <v>92.570076521517905</v>
      </c>
      <c r="AJ5262">
        <v>88.152133441569305</v>
      </c>
      <c r="AK5262">
        <v>24.9785361137256</v>
      </c>
      <c r="AL5262">
        <v>95.340204679260395</v>
      </c>
      <c r="AM5262">
        <v>90.361798798779901</v>
      </c>
      <c r="AN5262">
        <v>1.00000001418929</v>
      </c>
    </row>
    <row r="5263" spans="1:40" x14ac:dyDescent="0.25">
      <c r="A5263" t="str">
        <f>"20190303154244780"</f>
        <v>20190303154244780</v>
      </c>
      <c r="B5263" t="str">
        <f>"1551598964775531"</f>
        <v>1551598964775531</v>
      </c>
      <c r="C5263" t="s">
        <v>40</v>
      </c>
      <c r="D5263">
        <v>5.5679349999999896</v>
      </c>
      <c r="E5263">
        <v>0.51379149999999996</v>
      </c>
      <c r="F5263" t="s">
        <v>57</v>
      </c>
      <c r="G5263">
        <v>-296.76069999999999</v>
      </c>
      <c r="H5263" s="1">
        <v>-8.9437549999999992E-6</v>
      </c>
      <c r="I5263">
        <v>141.93899999999999</v>
      </c>
      <c r="J5263">
        <v>-272.34249999999997</v>
      </c>
      <c r="K5263">
        <v>1.1201380000000001</v>
      </c>
      <c r="L5263">
        <v>140.9572</v>
      </c>
      <c r="M5263">
        <v>-0.99990480000000004</v>
      </c>
      <c r="N5263">
        <v>-8.9877959999999993E-3</v>
      </c>
      <c r="O5263">
        <v>1.046769E-2</v>
      </c>
      <c r="P5263">
        <v>-0.99478160000000004</v>
      </c>
      <c r="Q5263">
        <v>-0.102004</v>
      </c>
      <c r="R5263">
        <v>2.2035650000000002E-3</v>
      </c>
      <c r="S5263">
        <v>-3.0012819999999998</v>
      </c>
      <c r="T5263">
        <v>-0.1360365</v>
      </c>
      <c r="U5263">
        <v>0.1196289</v>
      </c>
      <c r="V5263">
        <v>-8.2326859999999995E-3</v>
      </c>
      <c r="W5263">
        <v>-9.3057269999999997E-2</v>
      </c>
      <c r="X5263">
        <v>0.99562669999999998</v>
      </c>
      <c r="Y5263">
        <v>2.933651E-2</v>
      </c>
      <c r="Z5263">
        <v>4.1623829999999998E-4</v>
      </c>
      <c r="AA5263">
        <v>0.9995695</v>
      </c>
      <c r="AB5263">
        <v>32</v>
      </c>
      <c r="AC5263">
        <v>-24.418199999999999</v>
      </c>
      <c r="AD5263">
        <v>-1.12014694375499</v>
      </c>
      <c r="AE5263">
        <v>0.98179999999999201</v>
      </c>
      <c r="AF5263">
        <v>0.72461133647805998</v>
      </c>
      <c r="AG5263">
        <v>-1.12014694375499</v>
      </c>
      <c r="AH5263">
        <v>24.3759264216324</v>
      </c>
      <c r="AI5263">
        <v>92.629901916646006</v>
      </c>
      <c r="AJ5263">
        <v>88.297297586579106</v>
      </c>
      <c r="AK5263">
        <v>24.412406265614099</v>
      </c>
      <c r="AL5263">
        <v>95.339514320526504</v>
      </c>
      <c r="AM5263">
        <v>90.473759303251896</v>
      </c>
      <c r="AN5263">
        <v>0.999999979185758</v>
      </c>
    </row>
    <row r="5264" spans="1:40" x14ac:dyDescent="0.25">
      <c r="A5264" t="str">
        <f>"20190303154244801"</f>
        <v>20190303154244801</v>
      </c>
      <c r="B5264" t="str">
        <f>"1551598964795051"</f>
        <v>1551598964795051</v>
      </c>
      <c r="C5264" t="s">
        <v>40</v>
      </c>
      <c r="D5264">
        <v>5.5766850000000003</v>
      </c>
      <c r="E5264">
        <v>0.51357399999999997</v>
      </c>
      <c r="F5264" t="s">
        <v>57</v>
      </c>
      <c r="G5264">
        <v>-296.89120000000003</v>
      </c>
      <c r="H5264" s="1">
        <v>-8.9169639999999994E-6</v>
      </c>
      <c r="I5264">
        <v>141.8809</v>
      </c>
      <c r="J5264">
        <v>-272.65649999999999</v>
      </c>
      <c r="K5264">
        <v>1.1202179999999999</v>
      </c>
      <c r="L5264">
        <v>140.9605</v>
      </c>
      <c r="M5264">
        <v>-0.99990259999999997</v>
      </c>
      <c r="N5264">
        <v>-9.2409160000000001E-3</v>
      </c>
      <c r="O5264">
        <v>1.0462559999999999E-2</v>
      </c>
      <c r="P5264">
        <v>-0.99472729999999998</v>
      </c>
      <c r="Q5264">
        <v>-0.1025573</v>
      </c>
      <c r="R5264" s="1">
        <v>-3.3940889999999998E-5</v>
      </c>
      <c r="S5264">
        <v>-3.001465</v>
      </c>
      <c r="T5264">
        <v>-0.13695550000000001</v>
      </c>
      <c r="U5264">
        <v>0.11294559999999999</v>
      </c>
      <c r="V5264">
        <v>-1.0458E-2</v>
      </c>
      <c r="W5264">
        <v>-9.3359410000000004E-2</v>
      </c>
      <c r="X5264">
        <v>0.99557759999999995</v>
      </c>
      <c r="Y5264">
        <v>2.711889E-2</v>
      </c>
      <c r="Z5264">
        <v>3.6326069999999998E-4</v>
      </c>
      <c r="AA5264">
        <v>0.99963210000000002</v>
      </c>
      <c r="AB5264">
        <v>32</v>
      </c>
      <c r="AC5264">
        <v>-24.2347</v>
      </c>
      <c r="AD5264">
        <v>-1.120226916964</v>
      </c>
      <c r="AE5264">
        <v>0.9204</v>
      </c>
      <c r="AF5264">
        <v>0.665362188116848</v>
      </c>
      <c r="AG5264">
        <v>-1.120226916964</v>
      </c>
      <c r="AH5264">
        <v>24.1913890941318</v>
      </c>
      <c r="AI5264">
        <v>92.650291994106297</v>
      </c>
      <c r="AJ5264">
        <v>88.424528804607206</v>
      </c>
      <c r="AK5264">
        <v>24.2264508645105</v>
      </c>
      <c r="AL5264">
        <v>95.356900961275002</v>
      </c>
      <c r="AM5264">
        <v>90.601838796236805</v>
      </c>
      <c r="AN5264">
        <v>1.0000000534106499</v>
      </c>
    </row>
    <row r="5265" spans="1:40" x14ac:dyDescent="0.25">
      <c r="A5265" t="str">
        <f>"20190303154244825"</f>
        <v>20190303154244825</v>
      </c>
      <c r="B5265" t="str">
        <f>"1551598964815546"</f>
        <v>1551598964815546</v>
      </c>
      <c r="C5265" t="s">
        <v>40</v>
      </c>
      <c r="D5265">
        <v>5.5836990000000002</v>
      </c>
      <c r="E5265">
        <v>0.51345799999999997</v>
      </c>
      <c r="F5265" t="s">
        <v>57</v>
      </c>
      <c r="G5265">
        <v>-296.78640000000001</v>
      </c>
      <c r="H5265" s="1">
        <v>-8.9046049999999998E-6</v>
      </c>
      <c r="I5265">
        <v>141.79920000000001</v>
      </c>
      <c r="J5265">
        <v>-272.99540000000002</v>
      </c>
      <c r="K5265">
        <v>1.120304</v>
      </c>
      <c r="L5265">
        <v>140.964</v>
      </c>
      <c r="M5265">
        <v>-0.99989969999999995</v>
      </c>
      <c r="N5265">
        <v>-9.6021869999999999E-3</v>
      </c>
      <c r="O5265">
        <v>1.0422499999999999E-2</v>
      </c>
      <c r="P5265">
        <v>-0.99471160000000003</v>
      </c>
      <c r="Q5265">
        <v>-0.1026997</v>
      </c>
      <c r="R5265">
        <v>-1.452037E-3</v>
      </c>
      <c r="S5265">
        <v>-3.0014949999999998</v>
      </c>
      <c r="T5265">
        <v>-0.139344</v>
      </c>
      <c r="U5265">
        <v>0.10432429999999999</v>
      </c>
      <c r="V5265">
        <v>-1.183067E-2</v>
      </c>
      <c r="W5265">
        <v>-9.314277E-2</v>
      </c>
      <c r="X5265">
        <v>0.99558250000000004</v>
      </c>
      <c r="Y5265">
        <v>2.4293410000000001E-2</v>
      </c>
      <c r="Z5265">
        <v>2.9676989999999999E-4</v>
      </c>
      <c r="AA5265">
        <v>0.99970479999999995</v>
      </c>
      <c r="AB5265">
        <v>32</v>
      </c>
      <c r="AC5265">
        <v>-23.791</v>
      </c>
      <c r="AD5265">
        <v>-1.120312904605</v>
      </c>
      <c r="AE5265">
        <v>0.83520000000001404</v>
      </c>
      <c r="AF5265">
        <v>0.58588396398309595</v>
      </c>
      <c r="AG5265">
        <v>-1.120312904605</v>
      </c>
      <c r="AH5265">
        <v>23.7458226334379</v>
      </c>
      <c r="AI5265">
        <v>92.700355082109994</v>
      </c>
      <c r="AJ5265">
        <v>88.586620070926998</v>
      </c>
      <c r="AK5265">
        <v>23.7794544420634</v>
      </c>
      <c r="AL5265">
        <v>95.344434221144496</v>
      </c>
      <c r="AM5265">
        <v>90.680823092339494</v>
      </c>
      <c r="AN5265">
        <v>1.0000000273310801</v>
      </c>
    </row>
    <row r="5266" spans="1:40" x14ac:dyDescent="0.25">
      <c r="A5266" t="str">
        <f>"20190303154244846"</f>
        <v>20190303154244846</v>
      </c>
      <c r="B5266" t="str">
        <f>"1551598964835067"</f>
        <v>1551598964835067</v>
      </c>
      <c r="C5266" t="s">
        <v>40</v>
      </c>
      <c r="D5266">
        <v>5.6052269999999904</v>
      </c>
      <c r="E5266">
        <v>0.51334559999999996</v>
      </c>
      <c r="F5266" t="s">
        <v>57</v>
      </c>
      <c r="G5266">
        <v>-296.87279999999998</v>
      </c>
      <c r="H5266" s="1">
        <v>-8.8846770000000002E-6</v>
      </c>
      <c r="I5266">
        <v>141.75239999999999</v>
      </c>
      <c r="J5266">
        <v>-273.29820000000001</v>
      </c>
      <c r="K5266">
        <v>1.120411</v>
      </c>
      <c r="L5266">
        <v>140.96709999999999</v>
      </c>
      <c r="M5266">
        <v>-0.99989629999999996</v>
      </c>
      <c r="N5266">
        <v>-1.000556E-2</v>
      </c>
      <c r="O5266">
        <v>1.036455E-2</v>
      </c>
      <c r="P5266">
        <v>-0.99474059999999997</v>
      </c>
      <c r="Q5266">
        <v>-0.1024139</v>
      </c>
      <c r="R5266">
        <v>-1.682376E-3</v>
      </c>
      <c r="S5266">
        <v>-3.0015559999999999</v>
      </c>
      <c r="T5266">
        <v>-0.14083099999999901</v>
      </c>
      <c r="U5266">
        <v>9.9105830000000006E-2</v>
      </c>
      <c r="V5266">
        <v>-1.199808E-2</v>
      </c>
      <c r="W5266">
        <v>-9.2455919999999997E-2</v>
      </c>
      <c r="X5266">
        <v>0.99564450000000004</v>
      </c>
      <c r="Y5266">
        <v>2.2615860000000002E-2</v>
      </c>
      <c r="Z5266">
        <v>2.6114349999999998E-4</v>
      </c>
      <c r="AA5266">
        <v>0.99974419999999997</v>
      </c>
      <c r="AB5266">
        <v>32</v>
      </c>
      <c r="AC5266">
        <v>-23.574599999999901</v>
      </c>
      <c r="AD5266">
        <v>-1.1204198846769999</v>
      </c>
      <c r="AE5266">
        <v>0.78530000000000599</v>
      </c>
      <c r="AF5266">
        <v>0.53968779848275505</v>
      </c>
      <c r="AG5266">
        <v>-1.1204198846769999</v>
      </c>
      <c r="AH5266">
        <v>23.528386867165601</v>
      </c>
      <c r="AI5266">
        <v>92.725644967656294</v>
      </c>
      <c r="AJ5266">
        <v>88.685995264873895</v>
      </c>
      <c r="AK5266">
        <v>23.561230702338602</v>
      </c>
      <c r="AL5266">
        <v>95.304910150175502</v>
      </c>
      <c r="AM5266">
        <v>90.690413167947995</v>
      </c>
      <c r="AN5266">
        <v>1.0000000107234901</v>
      </c>
    </row>
    <row r="5267" spans="1:40" x14ac:dyDescent="0.25">
      <c r="A5267" t="str">
        <f>"20190303154244868"</f>
        <v>20190303154244868</v>
      </c>
      <c r="B5267" t="str">
        <f>"1551598964865323"</f>
        <v>1551598964865323</v>
      </c>
      <c r="C5267" t="s">
        <v>40</v>
      </c>
      <c r="D5267">
        <v>5.6407259999999999</v>
      </c>
      <c r="E5267">
        <v>0.51264009999999904</v>
      </c>
      <c r="F5267" t="s">
        <v>57</v>
      </c>
      <c r="G5267">
        <v>-297.1807</v>
      </c>
      <c r="H5267" s="1">
        <v>-8.8551820000000003E-6</v>
      </c>
      <c r="I5267">
        <v>141.7431</v>
      </c>
      <c r="J5267">
        <v>-273.60539999999997</v>
      </c>
      <c r="K5267">
        <v>1.120514</v>
      </c>
      <c r="L5267">
        <v>140.97030000000001</v>
      </c>
      <c r="M5267">
        <v>-0.99989269999999997</v>
      </c>
      <c r="N5267">
        <v>-1.044258E-2</v>
      </c>
      <c r="O5267">
        <v>1.0288129999999999E-2</v>
      </c>
      <c r="P5267">
        <v>-0.99471370000000003</v>
      </c>
      <c r="Q5267">
        <v>-0.1026668</v>
      </c>
      <c r="R5267">
        <v>-2.1057319999999999E-3</v>
      </c>
      <c r="S5267">
        <v>-3.0015260000000001</v>
      </c>
      <c r="T5267">
        <v>-0.14081299999999999</v>
      </c>
      <c r="U5267">
        <v>9.7518919999999995E-2</v>
      </c>
      <c r="V5267">
        <v>-1.233821E-2</v>
      </c>
      <c r="W5267">
        <v>-9.2274839999999997E-2</v>
      </c>
      <c r="X5267">
        <v>0.99565709999999996</v>
      </c>
      <c r="Y5267">
        <v>2.2164719999999999E-2</v>
      </c>
      <c r="Z5267">
        <v>2.6046560000000002E-4</v>
      </c>
      <c r="AA5267">
        <v>0.99975429999999998</v>
      </c>
      <c r="AB5267">
        <v>32</v>
      </c>
      <c r="AC5267">
        <v>-23.575299999999999</v>
      </c>
      <c r="AD5267">
        <v>-1.1205228551819999</v>
      </c>
      <c r="AE5267">
        <v>0.77279999999998905</v>
      </c>
      <c r="AF5267">
        <v>0.52900638363936603</v>
      </c>
      <c r="AG5267">
        <v>-1.1205228551819999</v>
      </c>
      <c r="AH5267">
        <v>23.528907195607701</v>
      </c>
      <c r="AI5267">
        <v>92.725862973107894</v>
      </c>
      <c r="AJ5267">
        <v>88.712021461892704</v>
      </c>
      <c r="AK5267">
        <v>23.561512961659201</v>
      </c>
      <c r="AL5267">
        <v>95.294490709082993</v>
      </c>
      <c r="AM5267">
        <v>90.709974525640305</v>
      </c>
      <c r="AN5267">
        <v>0.99999996915171896</v>
      </c>
    </row>
    <row r="5268" spans="1:40" x14ac:dyDescent="0.25">
      <c r="A5268" t="str">
        <f>"20190303154244891"</f>
        <v>20190303154244891</v>
      </c>
      <c r="B5268" t="str">
        <f>"1551598964885819"</f>
        <v>1551598964885819</v>
      </c>
      <c r="C5268" t="s">
        <v>40</v>
      </c>
      <c r="D5268">
        <v>5.6751519999999998</v>
      </c>
      <c r="E5268">
        <v>0.51172299999999904</v>
      </c>
      <c r="F5268" t="s">
        <v>57</v>
      </c>
      <c r="G5268">
        <v>-296.99779999999998</v>
      </c>
      <c r="H5268" s="1">
        <v>-8.8533039999999997E-6</v>
      </c>
      <c r="I5268">
        <v>141.67509999999999</v>
      </c>
      <c r="J5268">
        <v>-273.92320000000001</v>
      </c>
      <c r="K5268">
        <v>1.1206050000000001</v>
      </c>
      <c r="L5268">
        <v>140.9735</v>
      </c>
      <c r="M5268">
        <v>-0.99988889999999997</v>
      </c>
      <c r="N5268">
        <v>-1.087978E-2</v>
      </c>
      <c r="O5268">
        <v>1.0192140000000001E-2</v>
      </c>
      <c r="P5268">
        <v>-0.99465939999999997</v>
      </c>
      <c r="Q5268">
        <v>-0.1031982</v>
      </c>
      <c r="R5268">
        <v>-1.6917449999999999E-3</v>
      </c>
      <c r="S5268">
        <v>-3.001312</v>
      </c>
      <c r="T5268">
        <v>-0.14376630000000001</v>
      </c>
      <c r="U5268">
        <v>9.0423580000000003E-2</v>
      </c>
      <c r="V5268">
        <v>-1.182156E-2</v>
      </c>
      <c r="W5268">
        <v>-9.2372280000000001E-2</v>
      </c>
      <c r="X5268">
        <v>0.99565429999999999</v>
      </c>
      <c r="Y5268">
        <v>1.9903649999999998E-2</v>
      </c>
      <c r="Z5268">
        <v>2.077236E-4</v>
      </c>
      <c r="AA5268">
        <v>0.99980190000000002</v>
      </c>
      <c r="AB5268">
        <v>32</v>
      </c>
      <c r="AC5268">
        <v>-23.074599999999901</v>
      </c>
      <c r="AD5268">
        <v>-1.12061385330399</v>
      </c>
      <c r="AE5268">
        <v>0.70159999999998401</v>
      </c>
      <c r="AF5268">
        <v>0.46527373300862201</v>
      </c>
      <c r="AG5268">
        <v>-1.12061385330399</v>
      </c>
      <c r="AH5268">
        <v>23.026294244588598</v>
      </c>
      <c r="AI5268">
        <v>92.785630772714796</v>
      </c>
      <c r="AJ5268">
        <v>88.842427976983601</v>
      </c>
      <c r="AK5268">
        <v>23.058241079779201</v>
      </c>
      <c r="AL5268">
        <v>95.300097731402502</v>
      </c>
      <c r="AM5268">
        <v>90.680249831700806</v>
      </c>
      <c r="AN5268">
        <v>0.99999993625085803</v>
      </c>
    </row>
    <row r="5269" spans="1:40" x14ac:dyDescent="0.25">
      <c r="A5269" t="str">
        <f>"20190303154244914"</f>
        <v>20190303154244914</v>
      </c>
      <c r="B5269" t="str">
        <f>"1551598964905342"</f>
        <v>1551598964905342</v>
      </c>
      <c r="C5269" t="s">
        <v>40</v>
      </c>
      <c r="D5269">
        <v>5.6863250000000001</v>
      </c>
      <c r="E5269">
        <v>0.51087289999999996</v>
      </c>
      <c r="F5269" t="s">
        <v>57</v>
      </c>
      <c r="G5269">
        <v>-296.92380000000003</v>
      </c>
      <c r="H5269" s="1">
        <v>-8.845152E-6</v>
      </c>
      <c r="I5269">
        <v>141.61949999999999</v>
      </c>
      <c r="J5269">
        <v>-274.25060000000002</v>
      </c>
      <c r="K5269">
        <v>1.120673</v>
      </c>
      <c r="L5269">
        <v>140.97669999999999</v>
      </c>
      <c r="M5269">
        <v>-0.99988540000000004</v>
      </c>
      <c r="N5269">
        <v>-1.129934E-2</v>
      </c>
      <c r="O5269">
        <v>1.007653E-2</v>
      </c>
      <c r="P5269">
        <v>-0.99457879999999999</v>
      </c>
      <c r="Q5269">
        <v>-0.10397820000000001</v>
      </c>
      <c r="R5269">
        <v>-1.2933630000000001E-3</v>
      </c>
      <c r="S5269">
        <v>-3.0010680000000001</v>
      </c>
      <c r="T5269">
        <v>-0.1462156</v>
      </c>
      <c r="U5269">
        <v>8.4289550000000005E-2</v>
      </c>
      <c r="V5269">
        <v>-1.13012999999999E-2</v>
      </c>
      <c r="W5269">
        <v>-9.2736009999999994E-2</v>
      </c>
      <c r="X5269">
        <v>0.99562660000000003</v>
      </c>
      <c r="Y5269">
        <v>1.79815999999999E-2</v>
      </c>
      <c r="Z5269">
        <v>1.626477E-4</v>
      </c>
      <c r="AA5269">
        <v>0.99983829999999996</v>
      </c>
      <c r="AB5269">
        <v>32</v>
      </c>
      <c r="AC5269">
        <v>-22.673200000000001</v>
      </c>
      <c r="AD5269">
        <v>-1.120681845152</v>
      </c>
      <c r="AE5269">
        <v>0.64279999999999404</v>
      </c>
      <c r="AF5269">
        <v>0.41327673744960403</v>
      </c>
      <c r="AG5269">
        <v>-1.120681845152</v>
      </c>
      <c r="AH5269">
        <v>22.6233000379831</v>
      </c>
      <c r="AI5269">
        <v>92.835448879160694</v>
      </c>
      <c r="AJ5269">
        <v>88.953451559450997</v>
      </c>
      <c r="AK5269">
        <v>22.654810307490401</v>
      </c>
      <c r="AL5269">
        <v>95.321027389343598</v>
      </c>
      <c r="AM5269">
        <v>90.650333152643299</v>
      </c>
      <c r="AN5269">
        <v>1.0000000067799799</v>
      </c>
    </row>
    <row r="5270" spans="1:40" x14ac:dyDescent="0.25">
      <c r="A5270" t="str">
        <f>"20190303154244936"</f>
        <v>20190303154244936</v>
      </c>
      <c r="B5270" t="str">
        <f>"1551598964925841"</f>
        <v>1551598964925841</v>
      </c>
      <c r="C5270" t="s">
        <v>40</v>
      </c>
      <c r="D5270">
        <v>5.6761470000000003</v>
      </c>
      <c r="E5270">
        <v>0.51012209999999902</v>
      </c>
      <c r="F5270" t="s">
        <v>57</v>
      </c>
      <c r="G5270">
        <v>-296.6438</v>
      </c>
      <c r="H5270" s="1">
        <v>-8.8550349999999998E-6</v>
      </c>
      <c r="I5270">
        <v>141.56370000000001</v>
      </c>
      <c r="J5270">
        <v>-274.56569999999999</v>
      </c>
      <c r="K5270">
        <v>1.120719</v>
      </c>
      <c r="L5270">
        <v>140.97970000000001</v>
      </c>
      <c r="M5270">
        <v>-0.99988250000000001</v>
      </c>
      <c r="N5270">
        <v>-1.1669860000000001E-2</v>
      </c>
      <c r="O5270">
        <v>9.9490340000000007E-3</v>
      </c>
      <c r="P5270">
        <v>-0.99451849999999997</v>
      </c>
      <c r="Q5270">
        <v>-0.1045547</v>
      </c>
      <c r="R5270">
        <v>-1.270604E-3</v>
      </c>
      <c r="S5270">
        <v>-3.0007320000000002</v>
      </c>
      <c r="T5270">
        <v>-0.15017339999999901</v>
      </c>
      <c r="U5270">
        <v>7.8659060000000003E-2</v>
      </c>
      <c r="V5270">
        <v>-1.114774E-2</v>
      </c>
      <c r="W5270">
        <v>-9.2944609999999997E-2</v>
      </c>
      <c r="X5270">
        <v>0.99560890000000002</v>
      </c>
      <c r="Y5270">
        <v>1.623896E-2</v>
      </c>
      <c r="Z5270">
        <v>1.194174E-4</v>
      </c>
      <c r="AA5270">
        <v>0.99986819999999998</v>
      </c>
      <c r="AB5270">
        <v>32</v>
      </c>
      <c r="AC5270">
        <v>-22.078099999999999</v>
      </c>
      <c r="AD5270">
        <v>-1.1207278550349999</v>
      </c>
      <c r="AE5270">
        <v>0.58400000000000296</v>
      </c>
      <c r="AF5270">
        <v>0.36336473080111198</v>
      </c>
      <c r="AG5270">
        <v>-1.1207278550349999</v>
      </c>
      <c r="AH5270">
        <v>22.026101093362399</v>
      </c>
      <c r="AI5270">
        <v>92.912405302062197</v>
      </c>
      <c r="AJ5270">
        <v>89.054876891008703</v>
      </c>
      <c r="AK5270">
        <v>22.057588132605499</v>
      </c>
      <c r="AL5270">
        <v>95.333031023719002</v>
      </c>
      <c r="AM5270">
        <v>90.641508691735496</v>
      </c>
      <c r="AN5270">
        <v>1.0000000271971801</v>
      </c>
    </row>
    <row r="5271" spans="1:40" x14ac:dyDescent="0.25">
      <c r="A5271" t="str">
        <f>"20190303154244959"</f>
        <v>20190303154244959</v>
      </c>
      <c r="B5271" t="str">
        <f>"1551598964955115"</f>
        <v>1551598964955115</v>
      </c>
      <c r="C5271" t="s">
        <v>40</v>
      </c>
      <c r="D5271">
        <v>5.6793399999999998</v>
      </c>
      <c r="E5271">
        <v>0.50914959999999998</v>
      </c>
      <c r="F5271" t="s">
        <v>57</v>
      </c>
      <c r="G5271">
        <v>-296.49279999999999</v>
      </c>
      <c r="H5271" s="1">
        <v>-8.8548599999999994E-6</v>
      </c>
      <c r="I5271">
        <v>141.5127</v>
      </c>
      <c r="J5271">
        <v>-274.88720000000001</v>
      </c>
      <c r="K5271">
        <v>1.1207579999999999</v>
      </c>
      <c r="L5271">
        <v>140.9828</v>
      </c>
      <c r="M5271">
        <v>-0.99987979999999999</v>
      </c>
      <c r="N5271">
        <v>-1.2011050000000001E-2</v>
      </c>
      <c r="O5271">
        <v>9.8079110000000008E-3</v>
      </c>
      <c r="P5271">
        <v>-0.99447850000000004</v>
      </c>
      <c r="Q5271">
        <v>-0.1049375</v>
      </c>
      <c r="R5271">
        <v>-9.96673E-4</v>
      </c>
      <c r="S5271">
        <v>-3.0005190000000002</v>
      </c>
      <c r="T5271">
        <v>-0.15336129999999901</v>
      </c>
      <c r="U5271">
        <v>7.2937009999999997E-2</v>
      </c>
      <c r="V5271">
        <v>-1.0731350000000001E-2</v>
      </c>
      <c r="W5271">
        <v>-9.2988210000000002E-2</v>
      </c>
      <c r="X5271">
        <v>0.99560939999999998</v>
      </c>
      <c r="Y5271">
        <v>1.447822E-2</v>
      </c>
      <c r="Z5271" s="1">
        <v>7.3601969999999894E-5</v>
      </c>
      <c r="AA5271">
        <v>0.99989519999999998</v>
      </c>
      <c r="AB5271">
        <v>32</v>
      </c>
      <c r="AC5271">
        <v>-21.6055999999999</v>
      </c>
      <c r="AD5271">
        <v>-1.1207668548599901</v>
      </c>
      <c r="AE5271">
        <v>0.52989999999999704</v>
      </c>
      <c r="AF5271">
        <v>0.31710065402244803</v>
      </c>
      <c r="AG5271">
        <v>-1.1207668548599901</v>
      </c>
      <c r="AH5271">
        <v>21.551799317486999</v>
      </c>
      <c r="AI5271">
        <v>92.976572191856505</v>
      </c>
      <c r="AJ5271">
        <v>89.157044013381807</v>
      </c>
      <c r="AK5271">
        <v>21.583251029188499</v>
      </c>
      <c r="AL5271">
        <v>95.335540006615503</v>
      </c>
      <c r="AM5271">
        <v>90.617548662811402</v>
      </c>
      <c r="AN5271">
        <v>1.0000000232200901</v>
      </c>
    </row>
    <row r="5272" spans="1:40" x14ac:dyDescent="0.25">
      <c r="A5272" t="str">
        <f>"20190303154244982"</f>
        <v>20190303154244982</v>
      </c>
      <c r="B5272" t="str">
        <f>"1551598964975611"</f>
        <v>1551598964975611</v>
      </c>
      <c r="C5272" t="s">
        <v>40</v>
      </c>
      <c r="D5272">
        <v>5.7000640000000002</v>
      </c>
      <c r="E5272">
        <v>0.50850699999999904</v>
      </c>
      <c r="F5272" t="s">
        <v>57</v>
      </c>
      <c r="G5272">
        <v>-296.37990000000002</v>
      </c>
      <c r="H5272" s="1">
        <v>-8.8500130000000005E-6</v>
      </c>
      <c r="I5272">
        <v>141.45679999999999</v>
      </c>
      <c r="J5272">
        <v>-275.21109999999999</v>
      </c>
      <c r="K5272">
        <v>1.1207849999999999</v>
      </c>
      <c r="L5272">
        <v>140.98580000000001</v>
      </c>
      <c r="M5272">
        <v>-0.99987760000000003</v>
      </c>
      <c r="N5272">
        <v>-1.231816E-2</v>
      </c>
      <c r="O5272">
        <v>9.6615099999999999E-3</v>
      </c>
      <c r="P5272">
        <v>-0.99445899999999998</v>
      </c>
      <c r="Q5272">
        <v>-0.10512639999999999</v>
      </c>
      <c r="R5272">
        <v>-4.7330229999999998E-4</v>
      </c>
      <c r="S5272">
        <v>-3.0002439999999999</v>
      </c>
      <c r="T5272">
        <v>-0.15645220000000001</v>
      </c>
      <c r="U5272">
        <v>6.6162109999999996E-2</v>
      </c>
      <c r="V5272">
        <v>-1.006112E-2</v>
      </c>
      <c r="W5272">
        <v>-9.2871380000000003E-2</v>
      </c>
      <c r="X5272">
        <v>0.99562729999999999</v>
      </c>
      <c r="Y5272">
        <v>1.237283E-2</v>
      </c>
      <c r="Z5272" s="1">
        <v>1.417669E-5</v>
      </c>
      <c r="AA5272">
        <v>0.99992349999999997</v>
      </c>
      <c r="AB5272">
        <v>31</v>
      </c>
      <c r="AC5272">
        <v>-21.168800000000001</v>
      </c>
      <c r="AD5272">
        <v>-1.1207938500129999</v>
      </c>
      <c r="AE5272">
        <v>0.47099999999997499</v>
      </c>
      <c r="AF5272">
        <v>0.26569551478030401</v>
      </c>
      <c r="AG5272">
        <v>-1.1207938500129999</v>
      </c>
      <c r="AH5272">
        <v>21.1132068187435</v>
      </c>
      <c r="AI5272">
        <v>93.038452114538899</v>
      </c>
      <c r="AJ5272">
        <v>89.279009189417494</v>
      </c>
      <c r="AK5272">
        <v>21.1446039246858</v>
      </c>
      <c r="AL5272">
        <v>95.328817065918599</v>
      </c>
      <c r="AM5272">
        <v>90.578971762042499</v>
      </c>
      <c r="AN5272">
        <v>1.00000001993202</v>
      </c>
    </row>
    <row r="5273" spans="1:40" x14ac:dyDescent="0.25">
      <c r="A5273" t="str">
        <f>"20190303154245003"</f>
        <v>20190303154245003</v>
      </c>
      <c r="B5273" t="str">
        <f>"1551598964995131"</f>
        <v>1551598964995131</v>
      </c>
      <c r="C5273" t="s">
        <v>40</v>
      </c>
      <c r="D5273">
        <v>5.6937199999999999</v>
      </c>
      <c r="E5273">
        <v>0.50790170000000001</v>
      </c>
      <c r="F5273" t="s">
        <v>57</v>
      </c>
      <c r="G5273">
        <v>-296.47199999999998</v>
      </c>
      <c r="H5273" s="1">
        <v>-8.8351029999999994E-6</v>
      </c>
      <c r="I5273">
        <v>141.43090000000001</v>
      </c>
      <c r="J5273">
        <v>-275.51240000000001</v>
      </c>
      <c r="K5273">
        <v>1.1208049999999901</v>
      </c>
      <c r="L5273">
        <v>140.98859999999999</v>
      </c>
      <c r="M5273">
        <v>-0.99987550000000003</v>
      </c>
      <c r="N5273">
        <v>-1.2572730000000001E-2</v>
      </c>
      <c r="O5273">
        <v>9.5261540000000002E-3</v>
      </c>
      <c r="P5273">
        <v>-0.99444270000000001</v>
      </c>
      <c r="Q5273">
        <v>-0.1052801</v>
      </c>
      <c r="R5273" s="1">
        <v>5.8471109999999997E-5</v>
      </c>
      <c r="S5273">
        <v>-3</v>
      </c>
      <c r="T5273">
        <v>-0.15814790000000001</v>
      </c>
      <c r="U5273">
        <v>6.2805180000000002E-2</v>
      </c>
      <c r="V5273">
        <v>-9.3941749999999994E-3</v>
      </c>
      <c r="W5273">
        <v>-9.2771619999999999E-2</v>
      </c>
      <c r="X5273">
        <v>0.9956431</v>
      </c>
      <c r="Y5273">
        <v>1.139278E-2</v>
      </c>
      <c r="Z5273" s="1">
        <v>-1.031575E-5</v>
      </c>
      <c r="AA5273">
        <v>0.99993509999999997</v>
      </c>
      <c r="AB5273">
        <v>31</v>
      </c>
      <c r="AC5273">
        <v>-20.959599999999899</v>
      </c>
      <c r="AD5273">
        <v>-1.1208138351029999</v>
      </c>
      <c r="AE5273">
        <v>0.44230000000001701</v>
      </c>
      <c r="AF5273">
        <v>0.24190830492207399</v>
      </c>
      <c r="AG5273">
        <v>-1.1208138351029999</v>
      </c>
      <c r="AH5273">
        <v>20.903115212745099</v>
      </c>
      <c r="AI5273">
        <v>93.069024731168199</v>
      </c>
      <c r="AJ5273">
        <v>89.336954992765897</v>
      </c>
      <c r="AK5273">
        <v>20.934540092350801</v>
      </c>
      <c r="AL5273">
        <v>95.323076544349703</v>
      </c>
      <c r="AM5273">
        <v>90.540585886618501</v>
      </c>
      <c r="AN5273">
        <v>1.00000000328948</v>
      </c>
    </row>
    <row r="5274" spans="1:40" x14ac:dyDescent="0.25">
      <c r="A5274" t="str">
        <f>"20190303154245025"</f>
        <v>20190303154245025</v>
      </c>
      <c r="B5274" t="str">
        <f>"1551598965015631"</f>
        <v>1551598965015631</v>
      </c>
      <c r="C5274" t="s">
        <v>40</v>
      </c>
      <c r="D5274">
        <v>5.7021709999999999</v>
      </c>
      <c r="E5274">
        <v>0.50731530000000002</v>
      </c>
      <c r="F5274" t="s">
        <v>57</v>
      </c>
      <c r="G5274">
        <v>-296.5598</v>
      </c>
      <c r="H5274" s="1">
        <v>-8.821135E-6</v>
      </c>
      <c r="I5274">
        <v>141.40719999999999</v>
      </c>
      <c r="J5274">
        <v>-275.81990000000002</v>
      </c>
      <c r="K5274">
        <v>1.1208229999999999</v>
      </c>
      <c r="L5274">
        <v>140.9914</v>
      </c>
      <c r="M5274">
        <v>-0.99987409999999999</v>
      </c>
      <c r="N5274">
        <v>-1.280267E-2</v>
      </c>
      <c r="O5274">
        <v>9.3903979999999995E-3</v>
      </c>
      <c r="P5274">
        <v>-0.99447209999999997</v>
      </c>
      <c r="Q5274">
        <v>-0.10500230000000001</v>
      </c>
      <c r="R5274">
        <v>5.1686339999999905E-4</v>
      </c>
      <c r="S5274">
        <v>-2.999908</v>
      </c>
      <c r="T5274">
        <v>-0.1597507</v>
      </c>
      <c r="U5274">
        <v>5.9661869999999999E-2</v>
      </c>
      <c r="V5274">
        <v>-8.8006649999999992E-3</v>
      </c>
      <c r="W5274">
        <v>-9.2264299999999994E-2</v>
      </c>
      <c r="X5274">
        <v>0.99569569999999996</v>
      </c>
      <c r="Y5274">
        <v>1.0483030000000001E-2</v>
      </c>
      <c r="Z5274" s="1">
        <v>-3.3412140000000001E-5</v>
      </c>
      <c r="AA5274">
        <v>0.99994499999999997</v>
      </c>
      <c r="AB5274">
        <v>31</v>
      </c>
      <c r="AC5274">
        <v>-20.739899999999899</v>
      </c>
      <c r="AD5274">
        <v>-1.1208318211349999</v>
      </c>
      <c r="AE5274">
        <v>0.41579999999999001</v>
      </c>
      <c r="AF5274">
        <v>0.220366478048796</v>
      </c>
      <c r="AG5274">
        <v>-1.1208318211349999</v>
      </c>
      <c r="AH5274">
        <v>20.682509815013098</v>
      </c>
      <c r="AI5274">
        <v>93.101777480757704</v>
      </c>
      <c r="AJ5274">
        <v>89.389552259375407</v>
      </c>
      <c r="AK5274">
        <v>20.7140299701441</v>
      </c>
      <c r="AL5274">
        <v>95.293883848833502</v>
      </c>
      <c r="AM5274">
        <v>90.506407561186805</v>
      </c>
      <c r="AN5274">
        <v>1.0000000398787099</v>
      </c>
    </row>
    <row r="5275" spans="1:40" x14ac:dyDescent="0.25">
      <c r="A5275" t="str">
        <f>"20190303154245047"</f>
        <v>20190303154245047</v>
      </c>
      <c r="B5275" t="str">
        <f>"1551598965035147"</f>
        <v>1551598965035147</v>
      </c>
      <c r="C5275" t="s">
        <v>40</v>
      </c>
      <c r="D5275">
        <v>5.6638900000000003</v>
      </c>
      <c r="E5275">
        <v>0.50682709999999997</v>
      </c>
      <c r="F5275" t="s">
        <v>57</v>
      </c>
      <c r="G5275">
        <v>-296.8261</v>
      </c>
      <c r="H5275" s="1">
        <v>-8.7921579999999902E-6</v>
      </c>
      <c r="I5275">
        <v>141.386</v>
      </c>
      <c r="J5275">
        <v>-276.12540000000001</v>
      </c>
      <c r="K5275">
        <v>1.1208340000000001</v>
      </c>
      <c r="L5275">
        <v>140.9941</v>
      </c>
      <c r="M5275">
        <v>-0.9998726</v>
      </c>
      <c r="N5275">
        <v>-1.300371E-2</v>
      </c>
      <c r="O5275">
        <v>9.2583349999999995E-3</v>
      </c>
      <c r="P5275">
        <v>-0.99453530000000001</v>
      </c>
      <c r="Q5275">
        <v>-0.10440049999999999</v>
      </c>
      <c r="R5275">
        <v>5.2884030000000003E-4</v>
      </c>
      <c r="S5275">
        <v>-2.9997560000000001</v>
      </c>
      <c r="T5275">
        <v>-0.1600586</v>
      </c>
      <c r="U5275">
        <v>5.6350709999999998E-2</v>
      </c>
      <c r="V5275">
        <v>-8.6583990000000007E-3</v>
      </c>
      <c r="W5275">
        <v>-9.1461550000000003E-2</v>
      </c>
      <c r="X5275">
        <v>0.99577099999999996</v>
      </c>
      <c r="Y5275">
        <v>9.514191E-3</v>
      </c>
      <c r="Z5275" s="1">
        <v>-5.7716680000000001E-5</v>
      </c>
      <c r="AA5275">
        <v>0.99995480000000003</v>
      </c>
      <c r="AB5275">
        <v>31</v>
      </c>
      <c r="AC5275">
        <v>-20.700699999999902</v>
      </c>
      <c r="AD5275">
        <v>-1.120842792158</v>
      </c>
      <c r="AE5275">
        <v>0.39189999999999198</v>
      </c>
      <c r="AF5275">
        <v>0.19962794271676601</v>
      </c>
      <c r="AG5275">
        <v>-1.120842792158</v>
      </c>
      <c r="AH5275">
        <v>20.642944069904399</v>
      </c>
      <c r="AI5275">
        <v>93.107772307112398</v>
      </c>
      <c r="AJ5275">
        <v>89.445937458316905</v>
      </c>
      <c r="AK5275">
        <v>20.674314492951101</v>
      </c>
      <c r="AL5275">
        <v>95.247694390027704</v>
      </c>
      <c r="AM5275">
        <v>90.498184038453402</v>
      </c>
      <c r="AN5275">
        <v>1.00000003372132</v>
      </c>
    </row>
    <row r="5276" spans="1:40" x14ac:dyDescent="0.25">
      <c r="A5276" t="str">
        <f>"20190303154245069"</f>
        <v>20190303154245069</v>
      </c>
      <c r="B5276" t="str">
        <f>"1551598965065403"</f>
        <v>1551598965065403</v>
      </c>
      <c r="C5276" t="s">
        <v>40</v>
      </c>
      <c r="D5276">
        <v>5.661683</v>
      </c>
      <c r="E5276">
        <v>0.5062082</v>
      </c>
      <c r="F5276" t="s">
        <v>57</v>
      </c>
      <c r="G5276">
        <v>-297.25810000000001</v>
      </c>
      <c r="H5276" s="1">
        <v>-8.7480989999999906E-6</v>
      </c>
      <c r="I5276">
        <v>141.36279999999999</v>
      </c>
      <c r="J5276">
        <v>-276.42860000000002</v>
      </c>
      <c r="K5276">
        <v>1.1208419999999999</v>
      </c>
      <c r="L5276">
        <v>140.99680000000001</v>
      </c>
      <c r="M5276">
        <v>-0.99987150000000002</v>
      </c>
      <c r="N5276">
        <v>-1.3178789999999999E-2</v>
      </c>
      <c r="O5276">
        <v>9.1284039999999997E-3</v>
      </c>
      <c r="P5276">
        <v>-0.99456929999999999</v>
      </c>
      <c r="Q5276">
        <v>-0.10407669999999999</v>
      </c>
      <c r="R5276">
        <v>-2.273811E-4</v>
      </c>
      <c r="S5276">
        <v>-2.9997560000000001</v>
      </c>
      <c r="T5276">
        <v>-0.15910179999999999</v>
      </c>
      <c r="U5276">
        <v>5.2337649999999999E-2</v>
      </c>
      <c r="V5276">
        <v>-9.2855860000000002E-3</v>
      </c>
      <c r="W5276">
        <v>-9.0963240000000001E-2</v>
      </c>
      <c r="X5276">
        <v>0.995811</v>
      </c>
      <c r="Y5276">
        <v>8.3087760000000004E-3</v>
      </c>
      <c r="Z5276" s="1">
        <v>-8.8551359999999998E-5</v>
      </c>
      <c r="AA5276">
        <v>0.99996549999999995</v>
      </c>
      <c r="AB5276">
        <v>31</v>
      </c>
      <c r="AC5276">
        <v>-20.829499999999999</v>
      </c>
      <c r="AD5276">
        <v>-1.120850748099</v>
      </c>
      <c r="AE5276">
        <v>0.365999999999985</v>
      </c>
      <c r="AF5276">
        <v>0.17532064436134401</v>
      </c>
      <c r="AG5276">
        <v>-1.120850748099</v>
      </c>
      <c r="AH5276">
        <v>20.771844984579101</v>
      </c>
      <c r="AI5276">
        <v>93.088580513394703</v>
      </c>
      <c r="AJ5276">
        <v>89.516417801740303</v>
      </c>
      <c r="AK5276">
        <v>20.802802402350402</v>
      </c>
      <c r="AL5276">
        <v>95.219023781294695</v>
      </c>
      <c r="AM5276">
        <v>90.534247431717006</v>
      </c>
      <c r="AN5276">
        <v>1.0000000404298199</v>
      </c>
    </row>
    <row r="5277" spans="1:40" x14ac:dyDescent="0.25">
      <c r="A5277" t="str">
        <f>"20190303154245092"</f>
        <v>20190303154245092</v>
      </c>
      <c r="B5277" t="str">
        <f>"1551598965084923"</f>
        <v>1551598965084923</v>
      </c>
      <c r="C5277" t="s">
        <v>40</v>
      </c>
      <c r="D5277">
        <v>5.685276</v>
      </c>
      <c r="E5277">
        <v>0.50577620000000001</v>
      </c>
      <c r="F5277" t="s">
        <v>57</v>
      </c>
      <c r="G5277">
        <v>-297.4409</v>
      </c>
      <c r="H5277" s="1">
        <v>-8.7189149999999999E-6</v>
      </c>
      <c r="I5277">
        <v>141.31309999999999</v>
      </c>
      <c r="J5277">
        <v>-276.75779999999997</v>
      </c>
      <c r="K5277">
        <v>1.120843</v>
      </c>
      <c r="L5277">
        <v>140.99959999999999</v>
      </c>
      <c r="M5277">
        <v>-0.9998707</v>
      </c>
      <c r="N5277">
        <v>-1.3344470000000001E-2</v>
      </c>
      <c r="O5277">
        <v>8.9878630000000004E-3</v>
      </c>
      <c r="P5277">
        <v>-0.9945174</v>
      </c>
      <c r="Q5277">
        <v>-0.104563</v>
      </c>
      <c r="R5277">
        <v>-1.4923929999999901E-3</v>
      </c>
      <c r="S5277">
        <v>-2.9996640000000001</v>
      </c>
      <c r="T5277">
        <v>-0.1600094</v>
      </c>
      <c r="U5277">
        <v>4.5150759999999998E-2</v>
      </c>
      <c r="V5277">
        <v>-1.0409689999999999E-2</v>
      </c>
      <c r="W5277">
        <v>-9.1285619999999998E-2</v>
      </c>
      <c r="X5277">
        <v>0.9957703</v>
      </c>
      <c r="Y5277">
        <v>6.0583919999999897E-3</v>
      </c>
      <c r="Z5277">
        <v>-1.572539E-4</v>
      </c>
      <c r="AA5277">
        <v>0.99998160000000003</v>
      </c>
      <c r="AB5277">
        <v>31</v>
      </c>
      <c r="AC5277">
        <v>-20.6831</v>
      </c>
      <c r="AD5277">
        <v>-1.120851718915</v>
      </c>
      <c r="AE5277">
        <v>0.313500000000004</v>
      </c>
      <c r="AF5277">
        <v>0.127200468638234</v>
      </c>
      <c r="AG5277">
        <v>-1.120851718915</v>
      </c>
      <c r="AH5277">
        <v>20.6245274706903</v>
      </c>
      <c r="AI5277">
        <v>93.110652774846599</v>
      </c>
      <c r="AJ5277">
        <v>89.646636384195105</v>
      </c>
      <c r="AK5277">
        <v>20.655353347843601</v>
      </c>
      <c r="AL5277">
        <v>95.237572395288396</v>
      </c>
      <c r="AM5277">
        <v>90.598942926527201</v>
      </c>
      <c r="AN5277">
        <v>0.99999995821338405</v>
      </c>
    </row>
    <row r="5278" spans="1:40" x14ac:dyDescent="0.25">
      <c r="A5278" t="str">
        <f>"20190303154245115"</f>
        <v>20190303154245115</v>
      </c>
      <c r="B5278" t="str">
        <f>"1551598965105422"</f>
        <v>1551598965105422</v>
      </c>
      <c r="C5278" t="s">
        <v>40</v>
      </c>
      <c r="D5278">
        <v>5.7030580000000004</v>
      </c>
      <c r="E5278">
        <v>0.50538549999999904</v>
      </c>
      <c r="F5278" t="s">
        <v>57</v>
      </c>
      <c r="G5278">
        <v>-297.42410000000001</v>
      </c>
      <c r="H5278" s="1">
        <v>-8.7063940000000005E-6</v>
      </c>
      <c r="I5278">
        <v>141.26</v>
      </c>
      <c r="J5278">
        <v>-277.06760000000003</v>
      </c>
      <c r="K5278">
        <v>1.120851</v>
      </c>
      <c r="L5278">
        <v>141.00229999999999</v>
      </c>
      <c r="M5278">
        <v>-0.99987000000000004</v>
      </c>
      <c r="N5278">
        <v>-1.347931E-2</v>
      </c>
      <c r="O5278">
        <v>8.8553350000000006E-3</v>
      </c>
      <c r="P5278">
        <v>-0.99451849999999997</v>
      </c>
      <c r="Q5278">
        <v>-0.10451199999999999</v>
      </c>
      <c r="R5278">
        <v>-3.2347729999999998E-3</v>
      </c>
      <c r="S5278">
        <v>-2.9994510000000001</v>
      </c>
      <c r="T5278">
        <v>-0.16267779999999901</v>
      </c>
      <c r="U5278">
        <v>3.7780759999999997E-2</v>
      </c>
      <c r="V5278">
        <v>-1.202047E-2</v>
      </c>
      <c r="W5278">
        <v>-9.1100890000000004E-2</v>
      </c>
      <c r="X5278">
        <v>0.99576909999999996</v>
      </c>
      <c r="Y5278">
        <v>3.7394490000000002E-3</v>
      </c>
      <c r="Z5278">
        <v>-2.3403669999999999E-4</v>
      </c>
      <c r="AA5278">
        <v>0.99999300000000002</v>
      </c>
      <c r="AB5278">
        <v>31</v>
      </c>
      <c r="AC5278">
        <v>-20.356499999999901</v>
      </c>
      <c r="AD5278">
        <v>-1.120859706394</v>
      </c>
      <c r="AE5278">
        <v>0.25769999999999899</v>
      </c>
      <c r="AF5278">
        <v>7.7175957614708496E-2</v>
      </c>
      <c r="AG5278">
        <v>-1.120859706394</v>
      </c>
      <c r="AH5278">
        <v>20.296459575406999</v>
      </c>
      <c r="AI5278">
        <v>93.1608912648623</v>
      </c>
      <c r="AJ5278">
        <v>89.782137602678404</v>
      </c>
      <c r="AK5278">
        <v>20.327531918705201</v>
      </c>
      <c r="AL5278">
        <v>95.226943732986499</v>
      </c>
      <c r="AM5278">
        <v>90.691614901144206</v>
      </c>
      <c r="AN5278">
        <v>0.99999998218631103</v>
      </c>
    </row>
    <row r="5279" spans="1:40" x14ac:dyDescent="0.25">
      <c r="A5279" t="str">
        <f>"20190303154245136"</f>
        <v>20190303154245136</v>
      </c>
      <c r="B5279" t="str">
        <f>"1551598965124939"</f>
        <v>1551598965124939</v>
      </c>
      <c r="C5279" t="s">
        <v>40</v>
      </c>
      <c r="D5279">
        <v>5.6619169999999999</v>
      </c>
      <c r="E5279">
        <v>0.50500270000000003</v>
      </c>
      <c r="F5279" t="s">
        <v>57</v>
      </c>
      <c r="G5279">
        <v>-297.6001</v>
      </c>
      <c r="H5279" s="1">
        <v>-8.6763580000000006E-6</v>
      </c>
      <c r="I5279">
        <v>141.2047</v>
      </c>
      <c r="J5279">
        <v>-277.36380000000003</v>
      </c>
      <c r="K5279">
        <v>1.120851</v>
      </c>
      <c r="L5279">
        <v>141.00479999999999</v>
      </c>
      <c r="M5279">
        <v>-0.99986960000000003</v>
      </c>
      <c r="N5279">
        <v>-1.359103E-2</v>
      </c>
      <c r="O5279">
        <v>8.7286869999999902E-3</v>
      </c>
      <c r="P5279">
        <v>-0.99452850000000004</v>
      </c>
      <c r="Q5279">
        <v>-0.1043782</v>
      </c>
      <c r="R5279">
        <v>-4.3034570000000001E-3</v>
      </c>
      <c r="S5279">
        <v>-2.9994510000000001</v>
      </c>
      <c r="T5279">
        <v>-0.16373850000000001</v>
      </c>
      <c r="U5279">
        <v>2.9571529999999999E-2</v>
      </c>
      <c r="V5279">
        <v>-1.2963270000000001E-2</v>
      </c>
      <c r="W5279">
        <v>-9.0856019999999996E-2</v>
      </c>
      <c r="X5279">
        <v>0.99577959999999999</v>
      </c>
      <c r="Y5279">
        <v>1.134279E-3</v>
      </c>
      <c r="Z5279">
        <v>-3.188965E-4</v>
      </c>
      <c r="AA5279">
        <v>0.99999930000000004</v>
      </c>
      <c r="AB5279">
        <v>31</v>
      </c>
      <c r="AC5279">
        <v>-20.2362999999999</v>
      </c>
      <c r="AD5279">
        <v>-1.1208596763580001</v>
      </c>
      <c r="AE5279">
        <v>0.19990000000001301</v>
      </c>
      <c r="AF5279">
        <v>2.31686772506671E-2</v>
      </c>
      <c r="AG5279">
        <v>-1.1208596763580001</v>
      </c>
      <c r="AH5279">
        <v>20.1753840774997</v>
      </c>
      <c r="AI5279">
        <v>93.179842198461003</v>
      </c>
      <c r="AJ5279">
        <v>89.9342036397058</v>
      </c>
      <c r="AK5279">
        <v>20.2065085028641</v>
      </c>
      <c r="AL5279">
        <v>95.212855523285299</v>
      </c>
      <c r="AM5279">
        <v>90.745846476050104</v>
      </c>
      <c r="AN5279">
        <v>0.99999993725774405</v>
      </c>
    </row>
    <row r="5280" spans="1:40" x14ac:dyDescent="0.25">
      <c r="A5280" t="str">
        <f>"20190303154245161"</f>
        <v>20190303154245161</v>
      </c>
      <c r="B5280" t="str">
        <f>"1551598965155195"</f>
        <v>1551598965155195</v>
      </c>
      <c r="C5280" t="s">
        <v>40</v>
      </c>
      <c r="D5280">
        <v>5.6383190000000001</v>
      </c>
      <c r="E5280">
        <v>0.50451749999999995</v>
      </c>
      <c r="F5280" t="s">
        <v>57</v>
      </c>
      <c r="G5280">
        <v>-297.81979999999999</v>
      </c>
      <c r="H5280" s="1">
        <v>-8.6461509999999996E-6</v>
      </c>
      <c r="I5280">
        <v>141.1634</v>
      </c>
      <c r="J5280">
        <v>-277.70479999999998</v>
      </c>
      <c r="K5280">
        <v>1.1208560000000001</v>
      </c>
      <c r="L5280">
        <v>141.0076</v>
      </c>
      <c r="M5280">
        <v>-0.99986940000000002</v>
      </c>
      <c r="N5280">
        <v>-1.3700530000000001E-2</v>
      </c>
      <c r="O5280">
        <v>8.5829119999999998E-3</v>
      </c>
      <c r="P5280">
        <v>-0.99439880000000003</v>
      </c>
      <c r="Q5280">
        <v>-0.105536</v>
      </c>
      <c r="R5280">
        <v>-5.7722779999999996E-3</v>
      </c>
      <c r="S5280">
        <v>-2.9994200000000002</v>
      </c>
      <c r="T5280">
        <v>-0.164349</v>
      </c>
      <c r="U5280">
        <v>2.325439E-2</v>
      </c>
      <c r="V5280">
        <v>-1.428569E-2</v>
      </c>
      <c r="W5280">
        <v>-9.1906860000000007E-2</v>
      </c>
      <c r="X5280">
        <v>0.99566509999999997</v>
      </c>
      <c r="Y5280">
        <v>-8.2223319999999997E-4</v>
      </c>
      <c r="Z5280">
        <v>-3.8053799999999998E-4</v>
      </c>
      <c r="AA5280">
        <v>0.99999959999999999</v>
      </c>
      <c r="AB5280">
        <v>31</v>
      </c>
      <c r="AC5280">
        <v>-20.114999999999998</v>
      </c>
      <c r="AD5280">
        <v>-1.1208646461509999</v>
      </c>
      <c r="AE5280">
        <v>0.15579999999999899</v>
      </c>
      <c r="AF5280">
        <v>-1.6814995883389899E-2</v>
      </c>
      <c r="AG5280">
        <v>-1.1208646461509999</v>
      </c>
      <c r="AH5280">
        <v>20.053333756172599</v>
      </c>
      <c r="AI5280">
        <v>93.199170686666605</v>
      </c>
      <c r="AJ5280">
        <v>90.048043287094501</v>
      </c>
      <c r="AK5280">
        <v>20.084641272263902</v>
      </c>
      <c r="AL5280">
        <v>95.273317019148294</v>
      </c>
      <c r="AM5280">
        <v>90.822016945984103</v>
      </c>
      <c r="AN5280">
        <v>0.99999997160592202</v>
      </c>
    </row>
    <row r="5281" spans="1:40" x14ac:dyDescent="0.25">
      <c r="A5281" t="str">
        <f>"20190303154245182"</f>
        <v>20190303154245182</v>
      </c>
      <c r="B5281" t="str">
        <f>"1551598965175691"</f>
        <v>1551598965175691</v>
      </c>
      <c r="C5281" t="s">
        <v>40</v>
      </c>
      <c r="D5281">
        <v>5.6717139999999997</v>
      </c>
      <c r="E5281">
        <v>0.50422630000000002</v>
      </c>
      <c r="F5281" t="s">
        <v>57</v>
      </c>
      <c r="G5281">
        <v>-297.51819999999998</v>
      </c>
      <c r="H5281" s="1">
        <v>-8.6581840000000008E-6</v>
      </c>
      <c r="I5281">
        <v>141.10849999999999</v>
      </c>
      <c r="J5281">
        <v>-278.00670000000002</v>
      </c>
      <c r="K5281">
        <v>1.1208579999999999</v>
      </c>
      <c r="L5281">
        <v>141.01</v>
      </c>
      <c r="M5281">
        <v>-0.99986929999999996</v>
      </c>
      <c r="N5281">
        <v>-1.3784319999999999E-2</v>
      </c>
      <c r="O5281">
        <v>8.4540610000000006E-3</v>
      </c>
      <c r="P5281">
        <v>-0.99435569999999895</v>
      </c>
      <c r="Q5281">
        <v>-0.1059389</v>
      </c>
      <c r="R5281">
        <v>-5.8376640000000002E-3</v>
      </c>
      <c r="S5281">
        <v>-2.998993</v>
      </c>
      <c r="T5281">
        <v>-0.1696559</v>
      </c>
      <c r="U5281">
        <v>1.5274050000000001E-2</v>
      </c>
      <c r="V5281">
        <v>-1.42226E-2</v>
      </c>
      <c r="W5281">
        <v>-9.2226879999999997E-2</v>
      </c>
      <c r="X5281">
        <v>0.99563650000000004</v>
      </c>
      <c r="Y5281">
        <v>-3.347554E-3</v>
      </c>
      <c r="Z5281">
        <v>-4.7909990000000001E-4</v>
      </c>
      <c r="AA5281">
        <v>0.9999943</v>
      </c>
      <c r="AB5281">
        <v>31</v>
      </c>
      <c r="AC5281">
        <v>-19.511499999999899</v>
      </c>
      <c r="AD5281">
        <v>-1.1208666581840001</v>
      </c>
      <c r="AE5281">
        <v>9.8500000000001295E-2</v>
      </c>
      <c r="AF5281">
        <v>-6.6251964947441094E-2</v>
      </c>
      <c r="AG5281">
        <v>-1.1208666581840001</v>
      </c>
      <c r="AH5281">
        <v>19.447458558281799</v>
      </c>
      <c r="AI5281">
        <v>93.298610333489506</v>
      </c>
      <c r="AJ5281">
        <v>90.195189684026303</v>
      </c>
      <c r="AK5281">
        <v>19.479845373215198</v>
      </c>
      <c r="AL5281">
        <v>95.291730553814602</v>
      </c>
      <c r="AM5281">
        <v>90.818410666469205</v>
      </c>
      <c r="AN5281">
        <v>1.0000000599387699</v>
      </c>
    </row>
    <row r="5282" spans="1:40" x14ac:dyDescent="0.25">
      <c r="A5282" t="str">
        <f>"20190303154245204"</f>
        <v>20190303154245204</v>
      </c>
      <c r="B5282" t="str">
        <f>"1551598965195211"</f>
        <v>1551598965195211</v>
      </c>
      <c r="C5282" t="s">
        <v>40</v>
      </c>
      <c r="D5282">
        <v>5.6489830000000003</v>
      </c>
      <c r="E5282">
        <v>0.50391809999999904</v>
      </c>
      <c r="F5282" t="s">
        <v>57</v>
      </c>
      <c r="G5282">
        <v>-297.57690000000002</v>
      </c>
      <c r="H5282" s="1">
        <v>-8.6492800000000006E-6</v>
      </c>
      <c r="I5282">
        <v>141.0943</v>
      </c>
      <c r="J5282">
        <v>-278.31400000000002</v>
      </c>
      <c r="K5282">
        <v>1.1208659999999999</v>
      </c>
      <c r="L5282">
        <v>141.01249999999999</v>
      </c>
      <c r="M5282">
        <v>-0.99986929999999996</v>
      </c>
      <c r="N5282">
        <v>-1.3857939999999999E-2</v>
      </c>
      <c r="O5282">
        <v>8.3227749999999993E-3</v>
      </c>
      <c r="P5282">
        <v>-0.9943495</v>
      </c>
      <c r="Q5282">
        <v>-0.1060262</v>
      </c>
      <c r="R5282">
        <v>-5.267061E-3</v>
      </c>
      <c r="S5282">
        <v>-2.9988100000000002</v>
      </c>
      <c r="T5282">
        <v>-0.17175499999999999</v>
      </c>
      <c r="U5282">
        <v>1.2908940000000001E-2</v>
      </c>
      <c r="V5282">
        <v>-1.352136E-2</v>
      </c>
      <c r="W5282">
        <v>-9.2240719999999998E-2</v>
      </c>
      <c r="X5282">
        <v>0.99564490000000005</v>
      </c>
      <c r="Y5282">
        <v>-4.0030140000000001E-3</v>
      </c>
      <c r="Z5282">
        <v>-5.0331870000000002E-4</v>
      </c>
      <c r="AA5282">
        <v>0.99999179999999999</v>
      </c>
      <c r="AB5282">
        <v>31</v>
      </c>
      <c r="AC5282">
        <v>-19.262899999999998</v>
      </c>
      <c r="AD5282">
        <v>-1.1208746492799999</v>
      </c>
      <c r="AE5282">
        <v>8.1800000000015402E-2</v>
      </c>
      <c r="AF5282">
        <v>-7.8273997315873103E-2</v>
      </c>
      <c r="AG5282">
        <v>-1.1208746492799999</v>
      </c>
      <c r="AH5282">
        <v>19.197913035109</v>
      </c>
      <c r="AI5282">
        <v>93.341406442434106</v>
      </c>
      <c r="AJ5282">
        <v>90.233605852508504</v>
      </c>
      <c r="AK5282">
        <v>19.230765759627499</v>
      </c>
      <c r="AL5282">
        <v>95.292527387395396</v>
      </c>
      <c r="AM5282">
        <v>90.778057758855795</v>
      </c>
      <c r="AN5282">
        <v>0.99999997224918802</v>
      </c>
    </row>
    <row r="5283" spans="1:40" x14ac:dyDescent="0.25">
      <c r="A5283" t="str">
        <f>"20190303154245226"</f>
        <v>20190303154245226</v>
      </c>
      <c r="B5283" t="str">
        <f>"1551598965215710"</f>
        <v>1551598965215710</v>
      </c>
      <c r="C5283" t="s">
        <v>40</v>
      </c>
      <c r="D5283">
        <v>5.6721050000000002</v>
      </c>
      <c r="E5283">
        <v>0.5036062</v>
      </c>
      <c r="F5283" t="s">
        <v>57</v>
      </c>
      <c r="G5283">
        <v>-297.76940000000002</v>
      </c>
      <c r="H5283" s="1">
        <v>-8.6317939999999995E-6</v>
      </c>
      <c r="I5283">
        <v>141.09209999999999</v>
      </c>
      <c r="J5283">
        <v>-278.61970000000002</v>
      </c>
      <c r="K5283">
        <v>1.120876</v>
      </c>
      <c r="L5283">
        <v>141.01490000000001</v>
      </c>
      <c r="M5283">
        <v>-0.99986960000000003</v>
      </c>
      <c r="N5283">
        <v>-1.3920979999999999E-2</v>
      </c>
      <c r="O5283">
        <v>8.1922169999999999E-3</v>
      </c>
      <c r="P5283">
        <v>-0.99439</v>
      </c>
      <c r="Q5283">
        <v>-0.105701</v>
      </c>
      <c r="R5283">
        <v>-3.9974229999999999E-3</v>
      </c>
      <c r="S5283">
        <v>-2.9986269999999999</v>
      </c>
      <c r="T5283">
        <v>-0.172758299999999</v>
      </c>
      <c r="U5283">
        <v>1.2268070000000001E-2</v>
      </c>
      <c r="V5283">
        <v>-1.212267E-2</v>
      </c>
      <c r="W5283">
        <v>-9.1851699999999994E-2</v>
      </c>
      <c r="X5283">
        <v>0.99569890000000005</v>
      </c>
      <c r="Y5283">
        <v>-4.0856590000000002E-3</v>
      </c>
      <c r="Z5283">
        <v>-5.0365999999999996E-4</v>
      </c>
      <c r="AA5283">
        <v>0.99999150000000003</v>
      </c>
      <c r="AB5283">
        <v>31</v>
      </c>
      <c r="AC5283">
        <v>-19.149699999999999</v>
      </c>
      <c r="AD5283">
        <v>-1.120884631794</v>
      </c>
      <c r="AE5283">
        <v>7.7199999999976399E-2</v>
      </c>
      <c r="AF5283">
        <v>-7.9424173163959902E-2</v>
      </c>
      <c r="AG5283">
        <v>-1.120884631794</v>
      </c>
      <c r="AH5283">
        <v>19.084306418615</v>
      </c>
      <c r="AI5283">
        <v>93.361280666471401</v>
      </c>
      <c r="AJ5283">
        <v>90.238449516646995</v>
      </c>
      <c r="AK5283">
        <v>19.117359703595699</v>
      </c>
      <c r="AL5283">
        <v>95.270143026340605</v>
      </c>
      <c r="AM5283">
        <v>90.697543716321704</v>
      </c>
      <c r="AN5283">
        <v>0.99999999669101403</v>
      </c>
    </row>
    <row r="5284" spans="1:40" x14ac:dyDescent="0.25">
      <c r="A5284" t="str">
        <f>"20190303154245248"</f>
        <v>20190303154245248</v>
      </c>
      <c r="B5284" t="str">
        <f>"1551598965244987"</f>
        <v>1551598965244987</v>
      </c>
      <c r="C5284" t="s">
        <v>40</v>
      </c>
      <c r="D5284">
        <v>5.6531630000000002</v>
      </c>
      <c r="E5284">
        <v>0.50344829999999996</v>
      </c>
      <c r="F5284" t="s">
        <v>57</v>
      </c>
      <c r="G5284">
        <v>-298.108</v>
      </c>
      <c r="H5284" s="1">
        <v>-8.6052069999999993E-6</v>
      </c>
      <c r="I5284">
        <v>141.10409999999999</v>
      </c>
      <c r="J5284">
        <v>-278.91950000000003</v>
      </c>
      <c r="K5284">
        <v>1.1208750000000001</v>
      </c>
      <c r="L5284">
        <v>141.01730000000001</v>
      </c>
      <c r="M5284">
        <v>-0.99986980000000003</v>
      </c>
      <c r="N5284">
        <v>-1.397405E-2</v>
      </c>
      <c r="O5284">
        <v>8.0642919999999903E-3</v>
      </c>
      <c r="P5284">
        <v>-0.99442109999999995</v>
      </c>
      <c r="Q5284">
        <v>-0.10545259999999999</v>
      </c>
      <c r="R5284">
        <v>-2.519931E-3</v>
      </c>
      <c r="S5284">
        <v>-2.9986269999999999</v>
      </c>
      <c r="T5284">
        <v>-0.17246829999999999</v>
      </c>
      <c r="U5284">
        <v>1.371765E-2</v>
      </c>
      <c r="V5284">
        <v>-1.051817E-2</v>
      </c>
      <c r="W5284">
        <v>-9.1549459999999999E-2</v>
      </c>
      <c r="X5284">
        <v>0.99574499999999999</v>
      </c>
      <c r="Y5284">
        <v>-3.4757690000000001E-3</v>
      </c>
      <c r="Z5284">
        <v>-4.7499020000000002E-4</v>
      </c>
      <c r="AA5284">
        <v>0.99999389999999999</v>
      </c>
      <c r="AB5284">
        <v>31</v>
      </c>
      <c r="AC5284">
        <v>-19.188499999999902</v>
      </c>
      <c r="AD5284">
        <v>-1.1208836052069999</v>
      </c>
      <c r="AE5284">
        <v>8.6799999999982405E-2</v>
      </c>
      <c r="AF5284">
        <v>-6.7728505814568907E-2</v>
      </c>
      <c r="AG5284">
        <v>-1.1208836052069999</v>
      </c>
      <c r="AH5284">
        <v>19.1233240283679</v>
      </c>
      <c r="AI5284">
        <v>93.354443198808099</v>
      </c>
      <c r="AJ5284">
        <v>90.202921903383697</v>
      </c>
      <c r="AK5284">
        <v>19.1562650091523</v>
      </c>
      <c r="AL5284">
        <v>95.252752553531394</v>
      </c>
      <c r="AM5284">
        <v>90.605199460079106</v>
      </c>
      <c r="AN5284">
        <v>1.00000002027572</v>
      </c>
    </row>
    <row r="5285" spans="1:40" x14ac:dyDescent="0.25">
      <c r="A5285" t="str">
        <f>"20190303154245271"</f>
        <v>20190303154245271</v>
      </c>
      <c r="B5285" t="str">
        <f>"1551598965265483"</f>
        <v>1551598965265483</v>
      </c>
      <c r="C5285" t="s">
        <v>40</v>
      </c>
      <c r="D5285">
        <v>5.6678540000000002</v>
      </c>
      <c r="E5285">
        <v>0.50365569999999904</v>
      </c>
      <c r="F5285" t="s">
        <v>57</v>
      </c>
      <c r="G5285">
        <v>-298.49009999999998</v>
      </c>
      <c r="H5285" s="1">
        <v>-8.5779800000000002E-6</v>
      </c>
      <c r="I5285">
        <v>141.12809999999999</v>
      </c>
      <c r="J5285">
        <v>-279.23329999999999</v>
      </c>
      <c r="K5285">
        <v>1.120881</v>
      </c>
      <c r="L5285">
        <v>141.0197</v>
      </c>
      <c r="M5285">
        <v>-0.99987029999999999</v>
      </c>
      <c r="N5285">
        <v>-1.402163E-2</v>
      </c>
      <c r="O5285">
        <v>7.9299709999999992E-3</v>
      </c>
      <c r="P5285">
        <v>-0.99436219999999997</v>
      </c>
      <c r="Q5285">
        <v>-0.10603029999999999</v>
      </c>
      <c r="R5285">
        <v>-1.2817E-3</v>
      </c>
      <c r="S5285">
        <v>-2.9986269999999999</v>
      </c>
      <c r="T5285">
        <v>-0.17174329999999999</v>
      </c>
      <c r="U5285">
        <v>1.698303E-2</v>
      </c>
      <c r="V5285">
        <v>-9.1459899999999997E-3</v>
      </c>
      <c r="W5285">
        <v>-9.2080099999999998E-2</v>
      </c>
      <c r="X5285">
        <v>0.99570959999999997</v>
      </c>
      <c r="Y5285">
        <v>-2.2552760000000001E-3</v>
      </c>
      <c r="Z5285">
        <v>-4.2303019999999998E-4</v>
      </c>
      <c r="AA5285">
        <v>0.99999740000000004</v>
      </c>
      <c r="AB5285">
        <v>31</v>
      </c>
      <c r="AC5285">
        <v>-19.256799999999998</v>
      </c>
      <c r="AD5285">
        <v>-1.1208895779799899</v>
      </c>
      <c r="AE5285">
        <v>0.10839999999998801</v>
      </c>
      <c r="AF5285">
        <v>-4.4174616389630397E-2</v>
      </c>
      <c r="AG5285">
        <v>-1.1208895779799899</v>
      </c>
      <c r="AH5285">
        <v>19.1920314469</v>
      </c>
      <c r="AI5285">
        <v>93.342491429421202</v>
      </c>
      <c r="AJ5285">
        <v>90.131878410998695</v>
      </c>
      <c r="AK5285">
        <v>19.2247864982048</v>
      </c>
      <c r="AL5285">
        <v>95.283285054943704</v>
      </c>
      <c r="AM5285">
        <v>90.526269797506899</v>
      </c>
      <c r="AN5285">
        <v>1.00000000074062</v>
      </c>
    </row>
    <row r="5286" spans="1:40" x14ac:dyDescent="0.25">
      <c r="A5286" t="str">
        <f>"20190303154245295"</f>
        <v>20190303154245295</v>
      </c>
      <c r="B5286" t="str">
        <f>"1551598965285003"</f>
        <v>1551598965285003</v>
      </c>
      <c r="C5286" t="s">
        <v>40</v>
      </c>
      <c r="D5286">
        <v>5.7369839999999996</v>
      </c>
      <c r="E5286">
        <v>0.5037007</v>
      </c>
      <c r="F5286" t="s">
        <v>57</v>
      </c>
      <c r="G5286">
        <v>-298.65410000000003</v>
      </c>
      <c r="H5286" s="1">
        <v>-8.5731239999999999E-6</v>
      </c>
      <c r="I5286">
        <v>141.1643</v>
      </c>
      <c r="J5286">
        <v>-279.5686</v>
      </c>
      <c r="K5286">
        <v>1.1208830000000001</v>
      </c>
      <c r="L5286">
        <v>141.0222</v>
      </c>
      <c r="M5286">
        <v>-0.99987090000000001</v>
      </c>
      <c r="N5286">
        <v>-1.40652E-2</v>
      </c>
      <c r="O5286">
        <v>7.7864379999999997E-3</v>
      </c>
      <c r="P5286">
        <v>-0.99433059999999995</v>
      </c>
      <c r="Q5286">
        <v>-0.106332</v>
      </c>
      <c r="R5286">
        <v>-6.3586350000000003E-4</v>
      </c>
      <c r="S5286">
        <v>-2.998596</v>
      </c>
      <c r="T5286">
        <v>-0.1730671</v>
      </c>
      <c r="U5286">
        <v>2.233887E-2</v>
      </c>
      <c r="V5286">
        <v>-8.3571549999999998E-3</v>
      </c>
      <c r="W5286">
        <v>-9.2338470000000006E-2</v>
      </c>
      <c r="X5286">
        <v>0.99569260000000004</v>
      </c>
      <c r="Y5286">
        <v>-3.2955700000000002E-4</v>
      </c>
      <c r="Z5286">
        <v>-3.5138379999999998E-4</v>
      </c>
      <c r="AA5286">
        <v>0.99999990000000005</v>
      </c>
      <c r="AB5286">
        <v>31</v>
      </c>
      <c r="AC5286">
        <v>-19.0855</v>
      </c>
      <c r="AD5286">
        <v>-1.1208915731239999</v>
      </c>
      <c r="AE5286">
        <v>0.142099999999999</v>
      </c>
      <c r="AF5286">
        <v>-6.5046177417286896E-3</v>
      </c>
      <c r="AG5286">
        <v>-1.1208915731239999</v>
      </c>
      <c r="AH5286">
        <v>19.0204259947234</v>
      </c>
      <c r="AI5286">
        <v>93.372593350270094</v>
      </c>
      <c r="AJ5286">
        <v>90.019594047447796</v>
      </c>
      <c r="AK5286">
        <v>19.053426076417399</v>
      </c>
      <c r="AL5286">
        <v>95.298151937279897</v>
      </c>
      <c r="AM5286">
        <v>90.480889851519706</v>
      </c>
      <c r="AN5286">
        <v>0.99999999438819698</v>
      </c>
    </row>
    <row r="5287" spans="1:40" x14ac:dyDescent="0.25">
      <c r="A5287" t="str">
        <f>"20190303154245318"</f>
        <v>20190303154245318</v>
      </c>
      <c r="B5287" t="str">
        <f>"1551598965305499"</f>
        <v>1551598965305499</v>
      </c>
      <c r="C5287" t="s">
        <v>40</v>
      </c>
      <c r="D5287">
        <v>5.7026370000000002</v>
      </c>
      <c r="E5287">
        <v>0.50375219999999998</v>
      </c>
      <c r="F5287" t="s">
        <v>57</v>
      </c>
      <c r="G5287">
        <v>-298.7638</v>
      </c>
      <c r="H5287" s="1">
        <v>-8.5675750000000007E-6</v>
      </c>
      <c r="I5287">
        <v>141.1798</v>
      </c>
      <c r="J5287">
        <v>-279.86959999999999</v>
      </c>
      <c r="K5287">
        <v>1.120895</v>
      </c>
      <c r="L5287">
        <v>141.02440000000001</v>
      </c>
      <c r="M5287">
        <v>-0.99987139999999997</v>
      </c>
      <c r="N5287">
        <v>-1.409827E-2</v>
      </c>
      <c r="O5287">
        <v>7.6574049999999999E-3</v>
      </c>
      <c r="P5287">
        <v>-0.99426210000000004</v>
      </c>
      <c r="Q5287">
        <v>-0.10697130000000001</v>
      </c>
      <c r="R5287" s="1">
        <v>-3.5487000000000001E-5</v>
      </c>
      <c r="S5287">
        <v>-2.9983520000000001</v>
      </c>
      <c r="T5287">
        <v>-0.17508750000000001</v>
      </c>
      <c r="U5287">
        <v>2.4627690000000001E-2</v>
      </c>
      <c r="V5287">
        <v>-7.6284050000000004E-3</v>
      </c>
      <c r="W5287">
        <v>-9.2945459999999994E-2</v>
      </c>
      <c r="X5287">
        <v>0.99564200000000003</v>
      </c>
      <c r="Y5287">
        <v>5.6163250000000001E-4</v>
      </c>
      <c r="Z5287">
        <v>-3.1851690000000001E-4</v>
      </c>
      <c r="AA5287">
        <v>0.99999979999999999</v>
      </c>
      <c r="AB5287">
        <v>31</v>
      </c>
      <c r="AC5287">
        <v>-18.894200000000001</v>
      </c>
      <c r="AD5287">
        <v>-1.1209035675750001</v>
      </c>
      <c r="AE5287">
        <v>0.15539999999998599</v>
      </c>
      <c r="AF5287">
        <v>1.06630105457043E-2</v>
      </c>
      <c r="AG5287">
        <v>-1.1209035675750001</v>
      </c>
      <c r="AH5287">
        <v>18.828573566047901</v>
      </c>
      <c r="AI5287">
        <v>93.4069136406263</v>
      </c>
      <c r="AJ5287">
        <v>89.9675522187745</v>
      </c>
      <c r="AK5287">
        <v>18.861911913686601</v>
      </c>
      <c r="AL5287">
        <v>95.333079966635907</v>
      </c>
      <c r="AM5287">
        <v>90.438979933205403</v>
      </c>
      <c r="AN5287">
        <v>1.0000000216307201</v>
      </c>
    </row>
    <row r="5288" spans="1:40" x14ac:dyDescent="0.25">
      <c r="A5288" t="str">
        <f>"20190303154245337"</f>
        <v>20190303154245337</v>
      </c>
      <c r="B5288" t="str">
        <f>"1551598965325021"</f>
        <v>1551598965325021</v>
      </c>
      <c r="C5288" t="s">
        <v>40</v>
      </c>
      <c r="D5288">
        <v>5.7318439999999997</v>
      </c>
      <c r="E5288">
        <v>0.50382709999999997</v>
      </c>
      <c r="F5288" t="s">
        <v>57</v>
      </c>
      <c r="G5288">
        <v>-298.73809999999997</v>
      </c>
      <c r="H5288" s="1">
        <v>-8.5737170000000004E-6</v>
      </c>
      <c r="I5288">
        <v>141.19450000000001</v>
      </c>
      <c r="J5288">
        <v>-280.14890000000003</v>
      </c>
      <c r="K5288">
        <v>1.1209</v>
      </c>
      <c r="L5288">
        <v>141.0264</v>
      </c>
      <c r="M5288">
        <v>-0.99987199999999998</v>
      </c>
      <c r="N5288">
        <v>-1.412455E-2</v>
      </c>
      <c r="O5288">
        <v>7.5377789999999997E-3</v>
      </c>
      <c r="P5288">
        <v>-0.99425799999999998</v>
      </c>
      <c r="Q5288">
        <v>-0.10701090000000001</v>
      </c>
      <c r="R5288">
        <v>-2.0932899999999999E-4</v>
      </c>
      <c r="S5288">
        <v>-2.998138</v>
      </c>
      <c r="T5288">
        <v>-0.17810819999999999</v>
      </c>
      <c r="U5288">
        <v>2.7038570000000001E-2</v>
      </c>
      <c r="V5288">
        <v>-7.6829929999999999E-3</v>
      </c>
      <c r="W5288">
        <v>-9.2958979999999997E-2</v>
      </c>
      <c r="X5288">
        <v>0.99564030000000003</v>
      </c>
      <c r="Y5288">
        <v>1.484087E-3</v>
      </c>
      <c r="Z5288">
        <v>-2.864443E-4</v>
      </c>
      <c r="AA5288">
        <v>0.99999890000000002</v>
      </c>
      <c r="AB5288">
        <v>31</v>
      </c>
      <c r="AC5288">
        <v>-18.589199999999899</v>
      </c>
      <c r="AD5288">
        <v>-1.1209085737169999</v>
      </c>
      <c r="AE5288">
        <v>0.16810000000000899</v>
      </c>
      <c r="AF5288">
        <v>2.7858701469231001E-2</v>
      </c>
      <c r="AG5288">
        <v>-1.1209085737169999</v>
      </c>
      <c r="AH5288">
        <v>18.5225971148976</v>
      </c>
      <c r="AI5288">
        <v>93.463068972290401</v>
      </c>
      <c r="AJ5288">
        <v>89.913824999625703</v>
      </c>
      <c r="AK5288">
        <v>18.556503334914499</v>
      </c>
      <c r="AL5288">
        <v>95.333858069994903</v>
      </c>
      <c r="AM5288">
        <v>90.442121854377802</v>
      </c>
      <c r="AN5288">
        <v>1.0000000036640799</v>
      </c>
    </row>
    <row r="5289" spans="1:40" x14ac:dyDescent="0.25">
      <c r="A5289" t="str">
        <f>"20190303154245361"</f>
        <v>20190303154245361</v>
      </c>
      <c r="B5289" t="str">
        <f>"1551598965355275"</f>
        <v>1551598965355275</v>
      </c>
      <c r="C5289" t="s">
        <v>40</v>
      </c>
      <c r="D5289">
        <v>5.728898</v>
      </c>
      <c r="E5289">
        <v>0.50387579999999998</v>
      </c>
      <c r="F5289" t="s">
        <v>57</v>
      </c>
      <c r="G5289">
        <v>-298.88099999999997</v>
      </c>
      <c r="H5289" s="1">
        <v>-8.5622010000000002E-6</v>
      </c>
      <c r="I5289">
        <v>141.1985</v>
      </c>
      <c r="J5289">
        <v>-280.46440000000001</v>
      </c>
      <c r="K5289">
        <v>1.12090499999999</v>
      </c>
      <c r="L5289">
        <v>141.02860000000001</v>
      </c>
      <c r="M5289">
        <v>-0.99987250000000005</v>
      </c>
      <c r="N5289">
        <v>-1.414982E-2</v>
      </c>
      <c r="O5289">
        <v>7.4026029999999998E-3</v>
      </c>
      <c r="P5289">
        <v>-0.99418039999999996</v>
      </c>
      <c r="Q5289">
        <v>-0.1077284</v>
      </c>
      <c r="R5289">
        <v>-2.0290210000000001E-4</v>
      </c>
      <c r="S5289">
        <v>-2.9980159999999998</v>
      </c>
      <c r="T5289">
        <v>-0.17939849999999999</v>
      </c>
      <c r="U5289">
        <v>2.7542110000000002E-2</v>
      </c>
      <c r="V5289">
        <v>-7.541023E-3</v>
      </c>
      <c r="W5289">
        <v>-9.3652349999999995E-2</v>
      </c>
      <c r="X5289">
        <v>0.99557640000000003</v>
      </c>
      <c r="Y5289">
        <v>1.78687299999999E-3</v>
      </c>
      <c r="Z5289">
        <v>-2.71804E-4</v>
      </c>
      <c r="AA5289">
        <v>0.99999839999999995</v>
      </c>
      <c r="AB5289">
        <v>31</v>
      </c>
      <c r="AC5289">
        <v>-18.416599999999899</v>
      </c>
      <c r="AD5289">
        <v>-1.12091356220099</v>
      </c>
      <c r="AE5289">
        <v>0.16989999999998401</v>
      </c>
      <c r="AF5289">
        <v>3.3427098772947299E-2</v>
      </c>
      <c r="AG5289">
        <v>-1.12091356220099</v>
      </c>
      <c r="AH5289">
        <v>18.3493842766574</v>
      </c>
      <c r="AI5289">
        <v>93.495692324927603</v>
      </c>
      <c r="AJ5289">
        <v>89.895624314496899</v>
      </c>
      <c r="AK5289">
        <v>18.3836195543016</v>
      </c>
      <c r="AL5289">
        <v>95.373759339398504</v>
      </c>
      <c r="AM5289">
        <v>90.433980283477894</v>
      </c>
      <c r="AN5289">
        <v>0.99999999896268399</v>
      </c>
    </row>
    <row r="5290" spans="1:40" x14ac:dyDescent="0.25">
      <c r="A5290" t="str">
        <f>"20190303154245384"</f>
        <v>20190303154245384</v>
      </c>
      <c r="B5290" t="str">
        <f>"1551598965375771"</f>
        <v>1551598965375771</v>
      </c>
      <c r="C5290" t="s">
        <v>40</v>
      </c>
      <c r="D5290">
        <v>5.746893</v>
      </c>
      <c r="E5290">
        <v>0.50386260000000005</v>
      </c>
      <c r="F5290" t="s">
        <v>57</v>
      </c>
      <c r="G5290">
        <v>-298.82659999999998</v>
      </c>
      <c r="H5290" s="1">
        <v>-8.5673149999999995E-6</v>
      </c>
      <c r="I5290">
        <v>141.19980000000001</v>
      </c>
      <c r="J5290">
        <v>-280.7894</v>
      </c>
      <c r="K5290">
        <v>1.120911</v>
      </c>
      <c r="L5290">
        <v>141.0309</v>
      </c>
      <c r="M5290">
        <v>-0.99987329999999996</v>
      </c>
      <c r="N5290">
        <v>-1.417182E-2</v>
      </c>
      <c r="O5290">
        <v>7.2628600000000003E-3</v>
      </c>
      <c r="P5290">
        <v>-0.99417440000000001</v>
      </c>
      <c r="Q5290">
        <v>-0.107783</v>
      </c>
      <c r="R5290">
        <v>-7.3431549999999999E-4</v>
      </c>
      <c r="S5290">
        <v>-2.9977719999999999</v>
      </c>
      <c r="T5290">
        <v>-0.1829982</v>
      </c>
      <c r="U5290">
        <v>2.793884E-2</v>
      </c>
      <c r="V5290">
        <v>-7.933598E-3</v>
      </c>
      <c r="W5290">
        <v>-9.3685229999999994E-2</v>
      </c>
      <c r="X5290">
        <v>0.99557019999999996</v>
      </c>
      <c r="Y5290">
        <v>2.0591889999999999E-3</v>
      </c>
      <c r="Z5290">
        <v>-2.6267130000000001E-4</v>
      </c>
      <c r="AA5290">
        <v>0.9999979</v>
      </c>
      <c r="AB5290">
        <v>31</v>
      </c>
      <c r="AC5290">
        <v>-18.037199999999899</v>
      </c>
      <c r="AD5290">
        <v>-1.1209195673150001</v>
      </c>
      <c r="AE5290">
        <v>0.16890000000000699</v>
      </c>
      <c r="AF5290">
        <v>3.7735022925478798E-2</v>
      </c>
      <c r="AG5290">
        <v>-1.1209195673150001</v>
      </c>
      <c r="AH5290">
        <v>17.968562747239801</v>
      </c>
      <c r="AI5290">
        <v>93.569606763755303</v>
      </c>
      <c r="AJ5290">
        <v>89.8796757200071</v>
      </c>
      <c r="AK5290">
        <v>18.003531092811698</v>
      </c>
      <c r="AL5290">
        <v>95.375651841749999</v>
      </c>
      <c r="AM5290">
        <v>90.456574594194905</v>
      </c>
      <c r="AN5290">
        <v>0.99999994371270695</v>
      </c>
    </row>
    <row r="5291" spans="1:40" x14ac:dyDescent="0.25">
      <c r="A5291" t="str">
        <f>"20190303154245406"</f>
        <v>20190303154245406</v>
      </c>
      <c r="B5291" t="str">
        <f>"1551598965395291"</f>
        <v>1551598965395291</v>
      </c>
      <c r="C5291" t="s">
        <v>40</v>
      </c>
      <c r="D5291">
        <v>5.7292360000000002</v>
      </c>
      <c r="E5291">
        <v>0.50386730000000002</v>
      </c>
      <c r="F5291" t="s">
        <v>57</v>
      </c>
      <c r="G5291">
        <v>-299.0308</v>
      </c>
      <c r="H5291" s="1">
        <v>-8.5467159999999994E-6</v>
      </c>
      <c r="I5291">
        <v>141.18969999999999</v>
      </c>
      <c r="J5291">
        <v>-281.08519999999999</v>
      </c>
      <c r="K5291">
        <v>1.120916</v>
      </c>
      <c r="L5291">
        <v>141.03290000000001</v>
      </c>
      <c r="M5291">
        <v>-0.99987389999999998</v>
      </c>
      <c r="N5291">
        <v>-1.4188610000000001E-2</v>
      </c>
      <c r="O5291">
        <v>7.1360879999999996E-3</v>
      </c>
      <c r="P5291">
        <v>-0.99416599999999999</v>
      </c>
      <c r="Q5291">
        <v>-0.1078561</v>
      </c>
      <c r="R5291">
        <v>-1.1254639999999901E-3</v>
      </c>
      <c r="S5291">
        <v>-2.9976500000000001</v>
      </c>
      <c r="T5291">
        <v>-0.1842039</v>
      </c>
      <c r="U5291">
        <v>2.6092529999999999E-2</v>
      </c>
      <c r="V5291">
        <v>-8.1989230000000003E-3</v>
      </c>
      <c r="W5291">
        <v>-9.3741770000000002E-2</v>
      </c>
      <c r="X5291">
        <v>0.99556279999999997</v>
      </c>
      <c r="Y5291">
        <v>1.5715499999999999E-3</v>
      </c>
      <c r="Z5291">
        <v>-2.774966E-4</v>
      </c>
      <c r="AA5291">
        <v>0.99999870000000002</v>
      </c>
      <c r="AB5291">
        <v>31</v>
      </c>
      <c r="AC5291">
        <v>-17.945599999999999</v>
      </c>
      <c r="AD5291">
        <v>-1.1209245467160001</v>
      </c>
      <c r="AE5291">
        <v>0.15679999999997499</v>
      </c>
      <c r="AF5291">
        <v>2.8610121924695101E-2</v>
      </c>
      <c r="AG5291">
        <v>-1.1209245467160001</v>
      </c>
      <c r="AH5291">
        <v>17.8765212691976</v>
      </c>
      <c r="AI5291">
        <v>93.587957041753199</v>
      </c>
      <c r="AJ5291">
        <v>89.908302190712206</v>
      </c>
      <c r="AK5291">
        <v>17.911652717339599</v>
      </c>
      <c r="AL5291">
        <v>95.378905278717099</v>
      </c>
      <c r="AM5291">
        <v>90.471846743009294</v>
      </c>
      <c r="AN5291">
        <v>1.00000001526246</v>
      </c>
    </row>
    <row r="5292" spans="1:40" x14ac:dyDescent="0.25">
      <c r="A5292" t="str">
        <f>"20190303154245428"</f>
        <v>20190303154245428</v>
      </c>
      <c r="B5292" t="str">
        <f>"1551598965425547"</f>
        <v>1551598965425547</v>
      </c>
      <c r="C5292" t="s">
        <v>40</v>
      </c>
      <c r="D5292">
        <v>5.7303160000000002</v>
      </c>
      <c r="E5292">
        <v>0.50387079999999995</v>
      </c>
      <c r="F5292" t="s">
        <v>57</v>
      </c>
      <c r="G5292">
        <v>-299.2106</v>
      </c>
      <c r="H5292" s="1">
        <v>-8.5296720000000008E-6</v>
      </c>
      <c r="I5292">
        <v>141.1849</v>
      </c>
      <c r="J5292">
        <v>-281.39139999999998</v>
      </c>
      <c r="K5292">
        <v>1.1209199999999999</v>
      </c>
      <c r="L5292">
        <v>141.03489999999999</v>
      </c>
      <c r="M5292">
        <v>-0.99987470000000001</v>
      </c>
      <c r="N5292">
        <v>-1.4203210000000001E-2</v>
      </c>
      <c r="O5292">
        <v>7.0046240000000001E-3</v>
      </c>
      <c r="P5292">
        <v>-0.99413410000000002</v>
      </c>
      <c r="Q5292">
        <v>-0.1081493</v>
      </c>
      <c r="R5292">
        <v>-1.313956E-3</v>
      </c>
      <c r="S5292">
        <v>-2.997528</v>
      </c>
      <c r="T5292">
        <v>-0.18537519999999999</v>
      </c>
      <c r="U5292">
        <v>2.5146479999999999E-2</v>
      </c>
      <c r="V5292">
        <v>-8.2561479999999996E-3</v>
      </c>
      <c r="W5292">
        <v>-9.4020930000000003E-2</v>
      </c>
      <c r="X5292">
        <v>0.99553599999999998</v>
      </c>
      <c r="Y5292">
        <v>1.388167E-3</v>
      </c>
      <c r="Z5292">
        <v>-2.8058580000000003E-4</v>
      </c>
      <c r="AA5292">
        <v>0.99999899999999997</v>
      </c>
      <c r="AB5292">
        <v>31</v>
      </c>
      <c r="AC5292">
        <v>-17.819199999999999</v>
      </c>
      <c r="AD5292">
        <v>-1.120928529672</v>
      </c>
      <c r="AE5292">
        <v>0.15000000000000499</v>
      </c>
      <c r="AF5292">
        <v>2.5067755822889701E-2</v>
      </c>
      <c r="AG5292">
        <v>-1.120928529672</v>
      </c>
      <c r="AH5292">
        <v>17.749581276612901</v>
      </c>
      <c r="AI5292">
        <v>93.613563175101902</v>
      </c>
      <c r="AJ5292">
        <v>89.919081152777395</v>
      </c>
      <c r="AK5292">
        <v>17.784958382186399</v>
      </c>
      <c r="AL5292">
        <v>95.394970934720902</v>
      </c>
      <c r="AM5292">
        <v>90.475152672655994</v>
      </c>
      <c r="AN5292">
        <v>1.00000001327693</v>
      </c>
    </row>
    <row r="5293" spans="1:40" x14ac:dyDescent="0.25">
      <c r="A5293" t="str">
        <f>"20190303154245449"</f>
        <v>20190303154245449</v>
      </c>
      <c r="B5293" t="str">
        <f>"1551598965445068"</f>
        <v>1551598965445068</v>
      </c>
      <c r="C5293" t="s">
        <v>40</v>
      </c>
      <c r="D5293">
        <v>5.7237019999999896</v>
      </c>
      <c r="E5293">
        <v>0.50387199999999999</v>
      </c>
      <c r="F5293" t="s">
        <v>57</v>
      </c>
      <c r="G5293">
        <v>-299.3143</v>
      </c>
      <c r="H5293" s="1">
        <v>-8.5198639999999994E-6</v>
      </c>
      <c r="I5293">
        <v>141.1823</v>
      </c>
      <c r="J5293">
        <v>-281.68270000000001</v>
      </c>
      <c r="K5293">
        <v>1.120927</v>
      </c>
      <c r="L5293">
        <v>141.0368</v>
      </c>
      <c r="M5293">
        <v>-0.99987539999999997</v>
      </c>
      <c r="N5293">
        <v>-1.421466E-2</v>
      </c>
      <c r="O5293">
        <v>6.8797390000000002E-3</v>
      </c>
      <c r="P5293">
        <v>-0.99406419999999995</v>
      </c>
      <c r="Q5293">
        <v>-0.1087809</v>
      </c>
      <c r="R5293">
        <v>-1.7810689999999999E-3</v>
      </c>
      <c r="S5293">
        <v>-2.9973139999999998</v>
      </c>
      <c r="T5293">
        <v>-0.18745719999999999</v>
      </c>
      <c r="U5293">
        <v>2.4642939999999999E-2</v>
      </c>
      <c r="V5293">
        <v>-8.5988519999999902E-3</v>
      </c>
      <c r="W5293">
        <v>-9.4642180000000006E-2</v>
      </c>
      <c r="X5293">
        <v>0.99547419999999998</v>
      </c>
      <c r="Y5293">
        <v>1.3457979999999901E-3</v>
      </c>
      <c r="Z5293">
        <v>-2.8049450000000001E-4</v>
      </c>
      <c r="AA5293">
        <v>0.99999899999999997</v>
      </c>
      <c r="AB5293">
        <v>31</v>
      </c>
      <c r="AC5293">
        <v>-17.631599999999899</v>
      </c>
      <c r="AD5293">
        <v>-1.1209355198639901</v>
      </c>
      <c r="AE5293">
        <v>0.14549999999999799</v>
      </c>
      <c r="AF5293">
        <v>2.4086159952233399E-2</v>
      </c>
      <c r="AG5293">
        <v>-1.1209355198639901</v>
      </c>
      <c r="AH5293">
        <v>17.561209203655</v>
      </c>
      <c r="AI5293">
        <v>93.652242986639706</v>
      </c>
      <c r="AJ5293">
        <v>89.921415750556804</v>
      </c>
      <c r="AK5293">
        <v>17.5969640926306</v>
      </c>
      <c r="AL5293">
        <v>95.430725539406396</v>
      </c>
      <c r="AM5293">
        <v>90.494905518628201</v>
      </c>
      <c r="AN5293">
        <v>0.99999998267825496</v>
      </c>
    </row>
    <row r="5294" spans="1:40" x14ac:dyDescent="0.25">
      <c r="A5294" t="str">
        <f>"20190303154245472"</f>
        <v>20190303154245472</v>
      </c>
      <c r="B5294" t="str">
        <f>"1551598965465563"</f>
        <v>1551598965465563</v>
      </c>
      <c r="C5294" t="s">
        <v>40</v>
      </c>
      <c r="D5294">
        <v>5.7498750000000003</v>
      </c>
      <c r="E5294">
        <v>0.50388999999999995</v>
      </c>
      <c r="F5294" t="s">
        <v>57</v>
      </c>
      <c r="G5294">
        <v>-299.37130000000002</v>
      </c>
      <c r="H5294" s="1">
        <v>-8.5127650000000001E-6</v>
      </c>
      <c r="I5294">
        <v>141.17439999999999</v>
      </c>
      <c r="J5294">
        <v>-281.99709999999999</v>
      </c>
      <c r="K5294">
        <v>1.12093</v>
      </c>
      <c r="L5294">
        <v>141.03890000000001</v>
      </c>
      <c r="M5294">
        <v>-0.99987610000000005</v>
      </c>
      <c r="N5294">
        <v>-1.422489E-2</v>
      </c>
      <c r="O5294">
        <v>6.7447899999999996E-3</v>
      </c>
      <c r="P5294">
        <v>-0.99404139999999996</v>
      </c>
      <c r="Q5294">
        <v>-0.108984999999999</v>
      </c>
      <c r="R5294">
        <v>-1.9871369999999999E-3</v>
      </c>
      <c r="S5294">
        <v>-2.9971619999999999</v>
      </c>
      <c r="T5294">
        <v>-0.18993160000000001</v>
      </c>
      <c r="U5294">
        <v>2.3300169999999999E-2</v>
      </c>
      <c r="V5294">
        <v>-8.6708419999999998E-3</v>
      </c>
      <c r="W5294">
        <v>-9.4836409999999996E-2</v>
      </c>
      <c r="X5294">
        <v>0.99545510000000004</v>
      </c>
      <c r="Y5294">
        <v>1.0339920000000001E-3</v>
      </c>
      <c r="Z5294">
        <v>-2.9101419999999999E-4</v>
      </c>
      <c r="AA5294">
        <v>0.99999939999999998</v>
      </c>
      <c r="AB5294">
        <v>31</v>
      </c>
      <c r="AC5294">
        <v>-17.374199999999998</v>
      </c>
      <c r="AD5294">
        <v>-1.120938512765</v>
      </c>
      <c r="AE5294">
        <v>0.135499999999979</v>
      </c>
      <c r="AF5294">
        <v>1.8223879939867901E-2</v>
      </c>
      <c r="AG5294">
        <v>-1.120938512765</v>
      </c>
      <c r="AH5294">
        <v>17.302700670073499</v>
      </c>
      <c r="AI5294">
        <v>93.706669093181304</v>
      </c>
      <c r="AJ5294">
        <v>89.939653870183506</v>
      </c>
      <c r="AK5294">
        <v>17.338981681095401</v>
      </c>
      <c r="AL5294">
        <v>95.441904328343398</v>
      </c>
      <c r="AM5294">
        <v>90.499058257468405</v>
      </c>
      <c r="AN5294">
        <v>0.99999999213934299</v>
      </c>
    </row>
    <row r="5295" spans="1:40" x14ac:dyDescent="0.25">
      <c r="A5295" t="str">
        <f>"20190303154245494"</f>
        <v>20190303154245494</v>
      </c>
      <c r="B5295" t="str">
        <f>"1551598965485083"</f>
        <v>1551598965485083</v>
      </c>
      <c r="C5295" t="s">
        <v>40</v>
      </c>
      <c r="D5295">
        <v>5.7297140000000004</v>
      </c>
      <c r="E5295">
        <v>0.50389719999999905</v>
      </c>
      <c r="F5295" t="s">
        <v>57</v>
      </c>
      <c r="G5295">
        <v>-299.58749999999998</v>
      </c>
      <c r="H5295" s="1">
        <v>-8.4933299999999992E-6</v>
      </c>
      <c r="I5295">
        <v>141.17269999999999</v>
      </c>
      <c r="J5295">
        <v>-282.30270000000002</v>
      </c>
      <c r="K5295">
        <v>1.1209340000000001</v>
      </c>
      <c r="L5295">
        <v>141.04079999999999</v>
      </c>
      <c r="M5295">
        <v>-0.99987700000000002</v>
      </c>
      <c r="N5295">
        <v>-1.4232989999999999E-2</v>
      </c>
      <c r="O5295">
        <v>6.6131380000000002E-3</v>
      </c>
      <c r="P5295">
        <v>-0.9940156</v>
      </c>
      <c r="Q5295">
        <v>-0.109219</v>
      </c>
      <c r="R5295">
        <v>-2.1496829999999999E-3</v>
      </c>
      <c r="S5295">
        <v>-2.9971009999999998</v>
      </c>
      <c r="T5295">
        <v>-0.1909884</v>
      </c>
      <c r="U5295">
        <v>2.2796629999999998E-2</v>
      </c>
      <c r="V5295">
        <v>-8.7019819999999901E-3</v>
      </c>
      <c r="W5295">
        <v>-9.506262E-2</v>
      </c>
      <c r="X5295">
        <v>0.99543329999999997</v>
      </c>
      <c r="Y5295">
        <v>9.9783860000000001E-4</v>
      </c>
      <c r="Z5295">
        <v>-2.8805390000000001E-4</v>
      </c>
      <c r="AA5295">
        <v>0.99999950000000004</v>
      </c>
      <c r="AB5295">
        <v>31</v>
      </c>
      <c r="AC5295">
        <v>-17.284799999999901</v>
      </c>
      <c r="AD5295">
        <v>-1.1209424933299901</v>
      </c>
      <c r="AE5295">
        <v>0.13190000000000099</v>
      </c>
      <c r="AF5295">
        <v>1.7505169208195299E-2</v>
      </c>
      <c r="AG5295">
        <v>-1.1209424933299901</v>
      </c>
      <c r="AH5295">
        <v>17.212906269724801</v>
      </c>
      <c r="AI5295">
        <v>93.725964642822504</v>
      </c>
      <c r="AJ5295">
        <v>89.941731398881601</v>
      </c>
      <c r="AK5295">
        <v>17.2493756627489</v>
      </c>
      <c r="AL5295">
        <v>95.454923764108301</v>
      </c>
      <c r="AM5295">
        <v>90.500861425638604</v>
      </c>
      <c r="AN5295">
        <v>1.0000000404804399</v>
      </c>
    </row>
    <row r="5296" spans="1:40" x14ac:dyDescent="0.25">
      <c r="A5296" t="str">
        <f>"20190303154245517"</f>
        <v>20190303154245517</v>
      </c>
      <c r="B5296" t="str">
        <f>"1551598965505579"</f>
        <v>1551598965505579</v>
      </c>
      <c r="C5296" t="s">
        <v>40</v>
      </c>
      <c r="D5296">
        <v>5.7296500000000004</v>
      </c>
      <c r="E5296">
        <v>0.50392939999999997</v>
      </c>
      <c r="F5296" t="s">
        <v>57</v>
      </c>
      <c r="G5296">
        <v>-299.77890000000002</v>
      </c>
      <c r="H5296" s="1">
        <v>-8.4761339999999997E-6</v>
      </c>
      <c r="I5296">
        <v>141.1712</v>
      </c>
      <c r="J5296">
        <v>-282.59969999999998</v>
      </c>
      <c r="K5296">
        <v>1.120932</v>
      </c>
      <c r="L5296">
        <v>141.04259999999999</v>
      </c>
      <c r="M5296">
        <v>-0.99987769999999998</v>
      </c>
      <c r="N5296">
        <v>-1.4239450000000001E-2</v>
      </c>
      <c r="O5296">
        <v>6.4856069999999896E-3</v>
      </c>
      <c r="P5296">
        <v>-0.99410319999999996</v>
      </c>
      <c r="Q5296">
        <v>-0.1084181</v>
      </c>
      <c r="R5296">
        <v>-2.0736439999999999E-3</v>
      </c>
      <c r="S5296">
        <v>-2.9969790000000001</v>
      </c>
      <c r="T5296">
        <v>-0.1922287</v>
      </c>
      <c r="U5296">
        <v>2.2369380000000001E-2</v>
      </c>
      <c r="V5296">
        <v>-8.4999569999999903E-3</v>
      </c>
      <c r="W5296">
        <v>-9.4254110000000002E-2</v>
      </c>
      <c r="X5296">
        <v>0.99551190000000001</v>
      </c>
      <c r="Y5296">
        <v>9.831257999999999E-4</v>
      </c>
      <c r="Z5296">
        <v>-2.847673E-4</v>
      </c>
      <c r="AA5296">
        <v>0.99999950000000004</v>
      </c>
      <c r="AB5296">
        <v>31</v>
      </c>
      <c r="AC5296">
        <v>-17.179200000000002</v>
      </c>
      <c r="AD5296">
        <v>-1.1209404761340001</v>
      </c>
      <c r="AE5296">
        <v>0.12860000000000499</v>
      </c>
      <c r="AF5296">
        <v>1.70956894436801E-2</v>
      </c>
      <c r="AG5296">
        <v>-1.1209404761340001</v>
      </c>
      <c r="AH5296">
        <v>17.106843678336201</v>
      </c>
      <c r="AI5296">
        <v>93.748993319804001</v>
      </c>
      <c r="AJ5296">
        <v>89.9427415983141</v>
      </c>
      <c r="AK5296">
        <v>17.143538154321099</v>
      </c>
      <c r="AL5296">
        <v>95.4083907509916</v>
      </c>
      <c r="AM5296">
        <v>90.489195385732899</v>
      </c>
      <c r="AN5296">
        <v>1.00000001478125</v>
      </c>
    </row>
    <row r="5297" spans="1:40" x14ac:dyDescent="0.25">
      <c r="A5297" t="str">
        <f>"20190303154245538"</f>
        <v>20190303154245538</v>
      </c>
      <c r="B5297" t="str">
        <f>"1551598965535836"</f>
        <v>1551598965535836</v>
      </c>
      <c r="C5297" t="s">
        <v>40</v>
      </c>
      <c r="D5297">
        <v>5.7275519999999904</v>
      </c>
      <c r="E5297">
        <v>0.50396339999999995</v>
      </c>
      <c r="F5297" t="s">
        <v>57</v>
      </c>
      <c r="G5297">
        <v>-300.25009999999997</v>
      </c>
      <c r="H5297" s="1">
        <v>-8.5139759999999995E-6</v>
      </c>
      <c r="I5297">
        <v>141.17769999999999</v>
      </c>
      <c r="J5297">
        <v>-282.89569999999998</v>
      </c>
      <c r="K5297">
        <v>1.120938</v>
      </c>
      <c r="L5297">
        <v>141.0444</v>
      </c>
      <c r="M5297">
        <v>-0.9998783</v>
      </c>
      <c r="N5297">
        <v>-1.4244369999999999E-2</v>
      </c>
      <c r="O5297">
        <v>6.3585050000000004E-3</v>
      </c>
      <c r="P5297">
        <v>-0.99412140000000004</v>
      </c>
      <c r="Q5297">
        <v>-0.10825559999999999</v>
      </c>
      <c r="R5297">
        <v>-1.93334E-3</v>
      </c>
      <c r="S5297">
        <v>-2.9970400000000001</v>
      </c>
      <c r="T5297">
        <v>-0.19033620000000001</v>
      </c>
      <c r="U5297">
        <v>2.293396E-2</v>
      </c>
      <c r="V5297">
        <v>-8.2333100000000006E-3</v>
      </c>
      <c r="W5297">
        <v>-9.4086340000000004E-2</v>
      </c>
      <c r="X5297">
        <v>0.99553000000000003</v>
      </c>
      <c r="Y5297">
        <v>1.297367E-3</v>
      </c>
      <c r="Z5297">
        <v>-2.6248649999999999E-4</v>
      </c>
      <c r="AA5297">
        <v>0.99999910000000003</v>
      </c>
      <c r="AB5297">
        <v>30</v>
      </c>
      <c r="AC5297">
        <v>-17.354399999999998</v>
      </c>
      <c r="AD5297">
        <v>-1.120946513976</v>
      </c>
      <c r="AE5297">
        <v>0.13329999999999101</v>
      </c>
      <c r="AF5297">
        <v>2.28427702370247E-2</v>
      </c>
      <c r="AG5297">
        <v>-1.120946513976</v>
      </c>
      <c r="AH5297">
        <v>17.282796162095998</v>
      </c>
      <c r="AI5297">
        <v>93.710951358062303</v>
      </c>
      <c r="AJ5297">
        <v>89.924271885603403</v>
      </c>
      <c r="AK5297">
        <v>17.319124864146801</v>
      </c>
      <c r="AL5297">
        <v>95.398735389847303</v>
      </c>
      <c r="AM5297">
        <v>90.473841230022103</v>
      </c>
      <c r="AN5297">
        <v>1.00000000383407</v>
      </c>
    </row>
    <row r="5298" spans="1:40" x14ac:dyDescent="0.25">
      <c r="A5298" t="str">
        <f>"20190303154245561"</f>
        <v>20190303154245561</v>
      </c>
      <c r="B5298" t="str">
        <f>"1551598965555356"</f>
        <v>1551598965555356</v>
      </c>
      <c r="C5298" t="s">
        <v>40</v>
      </c>
      <c r="D5298">
        <v>5.7208410000000001</v>
      </c>
      <c r="E5298">
        <v>0.50401070000000003</v>
      </c>
      <c r="F5298" t="s">
        <v>57</v>
      </c>
      <c r="G5298">
        <v>-300.51510000000002</v>
      </c>
      <c r="H5298" s="1">
        <v>-8.5623620000000006E-6</v>
      </c>
      <c r="I5298">
        <v>141.18289999999999</v>
      </c>
      <c r="J5298">
        <v>-283.20549999999997</v>
      </c>
      <c r="K5298">
        <v>1.120943</v>
      </c>
      <c r="L5298">
        <v>141.0462</v>
      </c>
      <c r="M5298">
        <v>-0.99987919999999997</v>
      </c>
      <c r="N5298">
        <v>-1.424833E-2</v>
      </c>
      <c r="O5298">
        <v>6.2255679999999999E-3</v>
      </c>
      <c r="P5298">
        <v>-0.99409559999999997</v>
      </c>
      <c r="Q5298">
        <v>-0.1084917</v>
      </c>
      <c r="R5298">
        <v>-2.0170309999999999E-3</v>
      </c>
      <c r="S5298">
        <v>-2.9969790000000001</v>
      </c>
      <c r="T5298">
        <v>-0.19066830000000001</v>
      </c>
      <c r="U5298">
        <v>2.3559569999999998E-2</v>
      </c>
      <c r="V5298">
        <v>-8.1847090000000001E-3</v>
      </c>
      <c r="W5298">
        <v>-9.4318810000000003E-2</v>
      </c>
      <c r="X5298">
        <v>0.99550839999999996</v>
      </c>
      <c r="Y5298">
        <v>1.6382279999999901E-3</v>
      </c>
      <c r="Z5298">
        <v>-2.432779E-4</v>
      </c>
      <c r="AA5298">
        <v>0.99999859999999896</v>
      </c>
      <c r="AB5298">
        <v>30</v>
      </c>
      <c r="AC5298">
        <v>-17.3096</v>
      </c>
      <c r="AD5298">
        <v>-1.1209515623620001</v>
      </c>
      <c r="AE5298">
        <v>0.13669999999999</v>
      </c>
      <c r="AF5298">
        <v>2.8803541752534401E-2</v>
      </c>
      <c r="AG5298">
        <v>-1.1209515623620001</v>
      </c>
      <c r="AH5298">
        <v>17.237829455246299</v>
      </c>
      <c r="AI5298">
        <v>93.720619383512101</v>
      </c>
      <c r="AJ5298">
        <v>89.904261737488596</v>
      </c>
      <c r="AK5298">
        <v>17.274261963318001</v>
      </c>
      <c r="AL5298">
        <v>95.412114451427698</v>
      </c>
      <c r="AM5298">
        <v>90.471054504826199</v>
      </c>
      <c r="AN5298">
        <v>1.00000000092589</v>
      </c>
    </row>
    <row r="5299" spans="1:40" x14ac:dyDescent="0.25">
      <c r="A5299" t="str">
        <f>"20190303154245584"</f>
        <v>20190303154245584</v>
      </c>
      <c r="B5299" t="str">
        <f>"1551598965575851"</f>
        <v>1551598965575851</v>
      </c>
      <c r="C5299" t="s">
        <v>40</v>
      </c>
      <c r="D5299">
        <v>5.7248109999999999</v>
      </c>
      <c r="E5299">
        <v>0.50405390000000005</v>
      </c>
      <c r="F5299" t="s">
        <v>57</v>
      </c>
      <c r="G5299">
        <v>-300.69869999999997</v>
      </c>
      <c r="H5299" s="1">
        <v>-8.5956210000000003E-6</v>
      </c>
      <c r="I5299">
        <v>141.18549999999999</v>
      </c>
      <c r="J5299">
        <v>-283.52179999999998</v>
      </c>
      <c r="K5299">
        <v>1.1209439999999999</v>
      </c>
      <c r="L5299">
        <v>141.048</v>
      </c>
      <c r="M5299">
        <v>-0.99987999999999999</v>
      </c>
      <c r="N5299">
        <v>-1.4248500000000001E-2</v>
      </c>
      <c r="O5299">
        <v>6.0896199999999996E-3</v>
      </c>
      <c r="P5299">
        <v>-0.99403560000000002</v>
      </c>
      <c r="Q5299">
        <v>-0.1090317</v>
      </c>
      <c r="R5299">
        <v>-2.3279749999999999E-3</v>
      </c>
      <c r="S5299">
        <v>-2.996918</v>
      </c>
      <c r="T5299">
        <v>-0.19204089999999999</v>
      </c>
      <c r="U5299">
        <v>2.3864750000000001E-2</v>
      </c>
      <c r="V5299">
        <v>-8.3599139999999995E-3</v>
      </c>
      <c r="W5299">
        <v>-9.4859470000000001E-2</v>
      </c>
      <c r="X5299">
        <v>0.9954556</v>
      </c>
      <c r="Y5299">
        <v>1.8754990000000001E-3</v>
      </c>
      <c r="Z5299">
        <v>-2.2969970000000001E-4</v>
      </c>
      <c r="AA5299">
        <v>0.99999819999999995</v>
      </c>
      <c r="AB5299">
        <v>30</v>
      </c>
      <c r="AC5299">
        <v>-17.1768999999999</v>
      </c>
      <c r="AD5299">
        <v>-1.120952595621</v>
      </c>
      <c r="AE5299">
        <v>0.13749999999998799</v>
      </c>
      <c r="AF5299">
        <v>3.27465912154759E-2</v>
      </c>
      <c r="AG5299">
        <v>-1.120952595621</v>
      </c>
      <c r="AH5299">
        <v>17.104578927512101</v>
      </c>
      <c r="AI5299">
        <v>93.749523732024699</v>
      </c>
      <c r="AJ5299">
        <v>89.890307783329504</v>
      </c>
      <c r="AK5299">
        <v>17.141301798532002</v>
      </c>
      <c r="AL5299">
        <v>95.443231349076299</v>
      </c>
      <c r="AM5299">
        <v>90.481163126843896</v>
      </c>
      <c r="AN5299">
        <v>1.00000002939106</v>
      </c>
    </row>
    <row r="5300" spans="1:40" x14ac:dyDescent="0.25">
      <c r="A5300" t="str">
        <f>"20190303154245617"</f>
        <v>20190303154245617</v>
      </c>
      <c r="B5300" t="str">
        <f>"1551598965605132"</f>
        <v>1551598965605132</v>
      </c>
      <c r="C5300" t="s">
        <v>40</v>
      </c>
      <c r="D5300">
        <v>5.720853</v>
      </c>
      <c r="E5300">
        <v>0.50411039999999996</v>
      </c>
      <c r="F5300" t="s">
        <v>57</v>
      </c>
      <c r="G5300">
        <v>-300.82679999999999</v>
      </c>
      <c r="H5300" s="1">
        <v>-8.6175459999999992E-6</v>
      </c>
      <c r="I5300">
        <v>141.1825</v>
      </c>
      <c r="J5300">
        <v>-283.9665</v>
      </c>
      <c r="K5300">
        <v>1.1209279999999999</v>
      </c>
      <c r="L5300">
        <v>141.0505</v>
      </c>
      <c r="M5300">
        <v>-0.99988180000000004</v>
      </c>
      <c r="N5300">
        <v>-1.420133E-2</v>
      </c>
      <c r="O5300">
        <v>5.8982219999999998E-3</v>
      </c>
      <c r="P5300">
        <v>-0.99387859999999995</v>
      </c>
      <c r="Q5300">
        <v>-0.1104349</v>
      </c>
      <c r="R5300">
        <v>-3.1214260000000001E-3</v>
      </c>
      <c r="S5300">
        <v>-2.9967649999999999</v>
      </c>
      <c r="T5300">
        <v>-0.19411919999999999</v>
      </c>
      <c r="U5300">
        <v>2.3284909999999999E-2</v>
      </c>
      <c r="V5300">
        <v>-8.9624379999999997E-3</v>
      </c>
      <c r="W5300">
        <v>-9.6311869999999994E-2</v>
      </c>
      <c r="X5300">
        <v>0.99531080000000005</v>
      </c>
      <c r="Y5300">
        <v>1.873752E-3</v>
      </c>
      <c r="Z5300">
        <v>-2.2401159999999999E-4</v>
      </c>
      <c r="AA5300">
        <v>0.99999819999999995</v>
      </c>
      <c r="AB5300">
        <v>30</v>
      </c>
      <c r="AC5300">
        <v>-16.860299999999899</v>
      </c>
      <c r="AD5300">
        <v>-1.120936617546</v>
      </c>
      <c r="AE5300">
        <v>0.132000000000005</v>
      </c>
      <c r="AF5300">
        <v>3.2398689074090298E-2</v>
      </c>
      <c r="AG5300">
        <v>-1.120936617546</v>
      </c>
      <c r="AH5300">
        <v>16.786591538499302</v>
      </c>
      <c r="AI5300">
        <v>93.820287939758998</v>
      </c>
      <c r="AJ5300">
        <v>89.889417346188694</v>
      </c>
      <c r="AK5300">
        <v>16.824006777697999</v>
      </c>
      <c r="AL5300">
        <v>95.526830995006094</v>
      </c>
      <c r="AM5300">
        <v>90.515915222749101</v>
      </c>
      <c r="AN5300">
        <v>0.99999994509721801</v>
      </c>
    </row>
    <row r="5301" spans="1:40" x14ac:dyDescent="0.25">
      <c r="A5301" t="str">
        <f>"20190303154245638"</f>
        <v>20190303154245638</v>
      </c>
      <c r="B5301" t="str">
        <f>"1551598965635388"</f>
        <v>1551598965635388</v>
      </c>
      <c r="C5301" t="s">
        <v>40</v>
      </c>
      <c r="D5301">
        <v>5.7189230000000002</v>
      </c>
      <c r="E5301">
        <v>0.50416909999999904</v>
      </c>
      <c r="F5301" t="s">
        <v>57</v>
      </c>
      <c r="G5301">
        <v>-300.85180000000003</v>
      </c>
      <c r="H5301" s="1">
        <v>-8.6188260000000007E-6</v>
      </c>
      <c r="I5301">
        <v>141.1705</v>
      </c>
      <c r="J5301">
        <v>-284.24900000000002</v>
      </c>
      <c r="K5301">
        <v>1.120906</v>
      </c>
      <c r="L5301">
        <v>141.0521</v>
      </c>
      <c r="M5301">
        <v>-0.99988379999999999</v>
      </c>
      <c r="N5301">
        <v>-1.4110640000000001E-2</v>
      </c>
      <c r="O5301">
        <v>5.7763110000000001E-3</v>
      </c>
      <c r="P5301">
        <v>-0.99389519999999998</v>
      </c>
      <c r="Q5301">
        <v>-0.110289</v>
      </c>
      <c r="R5301">
        <v>-2.981039E-3</v>
      </c>
      <c r="S5301">
        <v>-2.9963989999999998</v>
      </c>
      <c r="T5301">
        <v>-0.1989167</v>
      </c>
      <c r="U5301">
        <v>2.1286010000000001E-2</v>
      </c>
      <c r="V5301">
        <v>-8.7005050000000007E-3</v>
      </c>
      <c r="W5301">
        <v>-9.6256060000000004E-2</v>
      </c>
      <c r="X5301">
        <v>0.99531860000000005</v>
      </c>
      <c r="Y5301">
        <v>1.3311550000000001E-3</v>
      </c>
      <c r="Z5301">
        <v>-2.48051E-4</v>
      </c>
      <c r="AA5301">
        <v>0.99999910000000003</v>
      </c>
      <c r="AB5301">
        <v>30</v>
      </c>
      <c r="AC5301">
        <v>-16.602799999999998</v>
      </c>
      <c r="AD5301">
        <v>-1.120914618826</v>
      </c>
      <c r="AE5301">
        <v>0.118400000000008</v>
      </c>
      <c r="AF5301">
        <v>2.2383522501456001E-2</v>
      </c>
      <c r="AG5301">
        <v>-1.120914618826</v>
      </c>
      <c r="AH5301">
        <v>16.527875318241001</v>
      </c>
      <c r="AI5301">
        <v>93.879834652066904</v>
      </c>
      <c r="AJ5301">
        <v>89.922404993914199</v>
      </c>
      <c r="AK5301">
        <v>16.5658568489558</v>
      </c>
      <c r="AL5301">
        <v>95.523617966930203</v>
      </c>
      <c r="AM5301">
        <v>90.500834124309193</v>
      </c>
      <c r="AN5301">
        <v>1.0000000216899601</v>
      </c>
    </row>
    <row r="5302" spans="1:40" x14ac:dyDescent="0.25">
      <c r="A5302" t="str">
        <f>"20190303154245661"</f>
        <v>20190303154245661</v>
      </c>
      <c r="B5302" t="str">
        <f>"1551598965654907"</f>
        <v>1551598965654907</v>
      </c>
      <c r="C5302" t="s">
        <v>40</v>
      </c>
      <c r="D5302">
        <v>5.6186769999999999</v>
      </c>
      <c r="E5302">
        <v>0.50429349999999995</v>
      </c>
      <c r="F5302" t="s">
        <v>57</v>
      </c>
      <c r="G5302">
        <v>-301.11810000000003</v>
      </c>
      <c r="H5302" s="1">
        <v>-8.6680170000000005E-6</v>
      </c>
      <c r="I5302">
        <v>141.17789999999999</v>
      </c>
      <c r="J5302">
        <v>-284.56549999999999</v>
      </c>
      <c r="K5302">
        <v>1.1208929999999999</v>
      </c>
      <c r="L5302">
        <v>141.05369999999999</v>
      </c>
      <c r="M5302">
        <v>-0.99988630000000001</v>
      </c>
      <c r="N5302">
        <v>-1.3980060000000001E-2</v>
      </c>
      <c r="O5302">
        <v>5.6482320000000004E-3</v>
      </c>
      <c r="P5302">
        <v>-0.99394340000000003</v>
      </c>
      <c r="Q5302">
        <v>-0.10985590000000001</v>
      </c>
      <c r="R5302">
        <v>-2.922399E-3</v>
      </c>
      <c r="S5302">
        <v>-2.9963989999999998</v>
      </c>
      <c r="T5302">
        <v>-0.1991038</v>
      </c>
      <c r="U5302">
        <v>2.235413E-2</v>
      </c>
      <c r="V5302">
        <v>-8.5132869999999996E-3</v>
      </c>
      <c r="W5302">
        <v>-9.5952280000000001E-2</v>
      </c>
      <c r="X5302">
        <v>0.9953495</v>
      </c>
      <c r="Y5302">
        <v>1.8142970000000001E-3</v>
      </c>
      <c r="Z5302">
        <v>-2.230822E-4</v>
      </c>
      <c r="AA5302">
        <v>0.99999830000000001</v>
      </c>
      <c r="AB5302">
        <v>30</v>
      </c>
      <c r="AC5302">
        <v>-16.552600000000002</v>
      </c>
      <c r="AD5302">
        <v>-1.1209016680169901</v>
      </c>
      <c r="AE5302">
        <v>0.124200000000001</v>
      </c>
      <c r="AF5302">
        <v>3.0555842839324499E-2</v>
      </c>
      <c r="AG5302">
        <v>-1.1209016680169901</v>
      </c>
      <c r="AH5302">
        <v>16.477481487864399</v>
      </c>
      <c r="AI5302">
        <v>93.8916161824733</v>
      </c>
      <c r="AJ5302">
        <v>89.893750824198506</v>
      </c>
      <c r="AK5302">
        <v>16.515591130559301</v>
      </c>
      <c r="AL5302">
        <v>95.506131992949705</v>
      </c>
      <c r="AM5302">
        <v>90.490042463497005</v>
      </c>
      <c r="AN5302">
        <v>0.99999997162149601</v>
      </c>
    </row>
    <row r="5303" spans="1:40" x14ac:dyDescent="0.25">
      <c r="A5303" t="str">
        <f>"20190303154245684"</f>
        <v>20190303154245684</v>
      </c>
      <c r="B5303" t="str">
        <f>"1551598965675407"</f>
        <v>1551598965675407</v>
      </c>
      <c r="C5303" t="s">
        <v>40</v>
      </c>
      <c r="D5303">
        <v>5.6778959999999996</v>
      </c>
      <c r="E5303">
        <v>0.50424799999999903</v>
      </c>
      <c r="F5303" t="s">
        <v>57</v>
      </c>
      <c r="G5303">
        <v>-301.5865</v>
      </c>
      <c r="H5303" s="1">
        <v>-8.7515189999999994E-6</v>
      </c>
      <c r="I5303">
        <v>141.18690000000001</v>
      </c>
      <c r="J5303">
        <v>-284.87439999999998</v>
      </c>
      <c r="K5303">
        <v>1.1208670000000001</v>
      </c>
      <c r="L5303">
        <v>141.05529999999999</v>
      </c>
      <c r="M5303">
        <v>-0.99988940000000004</v>
      </c>
      <c r="N5303">
        <v>-1.3815630000000001E-2</v>
      </c>
      <c r="O5303">
        <v>5.5158899999999999E-3</v>
      </c>
      <c r="P5303">
        <v>-0.9939595</v>
      </c>
      <c r="Q5303">
        <v>-0.109719899999999</v>
      </c>
      <c r="R5303">
        <v>-2.4531319999999998E-3</v>
      </c>
      <c r="S5303">
        <v>-2.9965820000000001</v>
      </c>
      <c r="T5303">
        <v>-0.19733609999999999</v>
      </c>
      <c r="U5303">
        <v>2.345276E-2</v>
      </c>
      <c r="V5303">
        <v>-7.9128700000000007E-3</v>
      </c>
      <c r="W5303">
        <v>-9.5979590000000004E-2</v>
      </c>
      <c r="X5303">
        <v>0.99535189999999996</v>
      </c>
      <c r="Y5303">
        <v>2.3112979999999998E-3</v>
      </c>
      <c r="Z5303">
        <v>-1.9468830000000001E-4</v>
      </c>
      <c r="AA5303">
        <v>0.99999729999999998</v>
      </c>
      <c r="AB5303">
        <v>30</v>
      </c>
      <c r="AC5303">
        <v>-16.7121</v>
      </c>
      <c r="AD5303">
        <v>-1.120875751519</v>
      </c>
      <c r="AE5303">
        <v>0.13160000000002001</v>
      </c>
      <c r="AF5303">
        <v>3.9230636601882897E-2</v>
      </c>
      <c r="AG5303">
        <v>-1.120875751519</v>
      </c>
      <c r="AH5303">
        <v>16.637734026194899</v>
      </c>
      <c r="AI5303">
        <v>93.854153233048294</v>
      </c>
      <c r="AJ5303">
        <v>89.864900728929499</v>
      </c>
      <c r="AK5303">
        <v>16.6754938463481</v>
      </c>
      <c r="AL5303">
        <v>95.507703562991296</v>
      </c>
      <c r="AM5303">
        <v>90.455481628325302</v>
      </c>
      <c r="AN5303">
        <v>1.0000000500209001</v>
      </c>
    </row>
    <row r="5304" spans="1:40" x14ac:dyDescent="0.25">
      <c r="A5304" t="str">
        <f>"20190303154245706"</f>
        <v>20190303154245706</v>
      </c>
      <c r="B5304" t="str">
        <f>"1551598965694923"</f>
        <v>1551598965694923</v>
      </c>
      <c r="C5304" t="s">
        <v>40</v>
      </c>
      <c r="D5304">
        <v>5.6495600000000001</v>
      </c>
      <c r="E5304">
        <v>0.49284650000000002</v>
      </c>
      <c r="F5304" t="s">
        <v>57</v>
      </c>
      <c r="G5304">
        <v>-301.98</v>
      </c>
      <c r="H5304" s="1">
        <v>-8.8105850000000006E-6</v>
      </c>
      <c r="I5304">
        <v>141.19550000000001</v>
      </c>
      <c r="J5304">
        <v>-285.17970000000003</v>
      </c>
      <c r="K5304">
        <v>1.120827</v>
      </c>
      <c r="L5304">
        <v>141.05680000000001</v>
      </c>
      <c r="M5304">
        <v>-0.99989280000000003</v>
      </c>
      <c r="N5304">
        <v>-1.3619249999999999E-2</v>
      </c>
      <c r="O5304">
        <v>5.3793740000000001E-3</v>
      </c>
      <c r="P5304">
        <v>-0.9939983</v>
      </c>
      <c r="Q5304">
        <v>-0.10938870000000001</v>
      </c>
      <c r="R5304">
        <v>-1.3758279999999999E-3</v>
      </c>
      <c r="S5304">
        <v>-2.996613</v>
      </c>
      <c r="T5304">
        <v>-0.19635830000000001</v>
      </c>
      <c r="U5304">
        <v>2.4566649999999999E-2</v>
      </c>
      <c r="V5304">
        <v>-6.7007719999999998E-3</v>
      </c>
      <c r="W5304">
        <v>-9.584289E-2</v>
      </c>
      <c r="X5304">
        <v>0.99537390000000003</v>
      </c>
      <c r="Y5304">
        <v>2.8179910000000002E-3</v>
      </c>
      <c r="Z5304">
        <v>-1.6746059999999999E-4</v>
      </c>
      <c r="AA5304">
        <v>0.999996</v>
      </c>
      <c r="AB5304">
        <v>30</v>
      </c>
      <c r="AC5304">
        <v>-16.800299999999901</v>
      </c>
      <c r="AD5304">
        <v>-1.120835810585</v>
      </c>
      <c r="AE5304">
        <v>0.13869999999999999</v>
      </c>
      <c r="AF5304">
        <v>4.8100437863381501E-2</v>
      </c>
      <c r="AG5304">
        <v>-1.120835810585</v>
      </c>
      <c r="AH5304">
        <v>16.726360419580999</v>
      </c>
      <c r="AI5304">
        <v>93.833651272029897</v>
      </c>
      <c r="AJ5304">
        <v>89.835233462860501</v>
      </c>
      <c r="AK5304">
        <v>16.763941047741</v>
      </c>
      <c r="AL5304">
        <v>95.499835339508806</v>
      </c>
      <c r="AM5304">
        <v>90.385704462981707</v>
      </c>
      <c r="AN5304">
        <v>0.99999998035507898</v>
      </c>
    </row>
    <row r="5305" spans="1:40" x14ac:dyDescent="0.25">
      <c r="A5305" t="str">
        <f>"20190303154245729"</f>
        <v>20190303154245729</v>
      </c>
      <c r="B5305" t="str">
        <f>"1551598965725180"</f>
        <v>1551598965725180</v>
      </c>
      <c r="C5305" t="s">
        <v>40</v>
      </c>
      <c r="D5305">
        <v>5.6609350000000003</v>
      </c>
      <c r="E5305">
        <v>0.49283670000000002</v>
      </c>
      <c r="F5305" t="s">
        <v>57</v>
      </c>
      <c r="G5305">
        <v>-313.59640000000002</v>
      </c>
      <c r="H5305" s="1">
        <v>-8.3370800000000005E-6</v>
      </c>
      <c r="I5305">
        <v>140.4511</v>
      </c>
      <c r="J5305">
        <v>-285.47160000000002</v>
      </c>
      <c r="K5305">
        <v>1.1207860000000001</v>
      </c>
      <c r="L5305">
        <v>141.0583</v>
      </c>
      <c r="M5305">
        <v>-0.99989629999999996</v>
      </c>
      <c r="N5305">
        <v>-1.3410500000000001E-2</v>
      </c>
      <c r="O5305">
        <v>5.2460190000000002E-3</v>
      </c>
      <c r="P5305">
        <v>-0.99402939999999995</v>
      </c>
      <c r="Q5305">
        <v>-0.1091133</v>
      </c>
      <c r="R5305">
        <v>-1.631193E-4</v>
      </c>
      <c r="S5305">
        <v>-3.0049739999999998</v>
      </c>
      <c r="T5305">
        <v>-0.1185247</v>
      </c>
      <c r="U5305">
        <v>-6.4056399999999999E-2</v>
      </c>
      <c r="V5305">
        <v>-5.3571209999999899E-3</v>
      </c>
      <c r="W5305">
        <v>-9.5774429999999994E-2</v>
      </c>
      <c r="X5305">
        <v>0.99538859999999996</v>
      </c>
      <c r="Y5305">
        <v>-2.6527539999999999E-2</v>
      </c>
      <c r="Z5305">
        <v>-8.3738050000000004E-4</v>
      </c>
      <c r="AA5305">
        <v>0.99964770000000003</v>
      </c>
      <c r="AB5305">
        <v>30</v>
      </c>
      <c r="AC5305">
        <v>-28.1248</v>
      </c>
      <c r="AD5305">
        <v>-1.12079433708</v>
      </c>
      <c r="AE5305">
        <v>-0.60720000000000596</v>
      </c>
      <c r="AF5305">
        <v>-0.75355200433065295</v>
      </c>
      <c r="AG5305">
        <v>-1.12079433708</v>
      </c>
      <c r="AH5305">
        <v>28.076659981057599</v>
      </c>
      <c r="AI5305">
        <v>92.285158837244794</v>
      </c>
      <c r="AJ5305">
        <v>91.537397506286396</v>
      </c>
      <c r="AK5305">
        <v>28.109124074954401</v>
      </c>
      <c r="AL5305">
        <v>95.495894895726593</v>
      </c>
      <c r="AM5305">
        <v>90.308359428825</v>
      </c>
      <c r="AN5305">
        <v>0.99999995259859498</v>
      </c>
    </row>
    <row r="5306" spans="1:40" x14ac:dyDescent="0.25">
      <c r="A5306" t="str">
        <f>"20190303154245750"</f>
        <v>20190303154245750</v>
      </c>
      <c r="B5306" t="str">
        <f>"1551598965745676"</f>
        <v>1551598965745676</v>
      </c>
      <c r="C5306" t="s">
        <v>40</v>
      </c>
      <c r="D5306">
        <v>5.7243950000000003</v>
      </c>
      <c r="E5306">
        <v>0.4927436</v>
      </c>
      <c r="F5306" t="s">
        <v>57</v>
      </c>
      <c r="G5306">
        <v>-314.1429</v>
      </c>
      <c r="H5306" s="1">
        <v>-8.1393739999999992E-6</v>
      </c>
      <c r="I5306">
        <v>140.48150000000001</v>
      </c>
      <c r="J5306">
        <v>-285.77179999999998</v>
      </c>
      <c r="K5306">
        <v>1.1207530000000001</v>
      </c>
      <c r="L5306">
        <v>141.05969999999999</v>
      </c>
      <c r="M5306">
        <v>-0.99990000000000001</v>
      </c>
      <c r="N5306">
        <v>-1.318772E-2</v>
      </c>
      <c r="O5306">
        <v>5.1098970000000004E-3</v>
      </c>
      <c r="P5306">
        <v>-0.99408390000000002</v>
      </c>
      <c r="Q5306">
        <v>-0.1086134</v>
      </c>
      <c r="R5306">
        <v>8.2875949999999896E-4</v>
      </c>
      <c r="S5306">
        <v>-3.0051269999999999</v>
      </c>
      <c r="T5306">
        <v>-0.1174738</v>
      </c>
      <c r="U5306">
        <v>-6.045532E-2</v>
      </c>
      <c r="V5306">
        <v>-4.2304400000000002E-3</v>
      </c>
      <c r="W5306">
        <v>-9.5495289999999997E-2</v>
      </c>
      <c r="X5306">
        <v>0.99542090000000005</v>
      </c>
      <c r="Y5306">
        <v>-2.5194919999999999E-2</v>
      </c>
      <c r="Z5306">
        <v>-7.9074289999999997E-4</v>
      </c>
      <c r="AA5306">
        <v>0.99968219999999997</v>
      </c>
      <c r="AB5306">
        <v>30</v>
      </c>
      <c r="AC5306">
        <v>-28.371099999999998</v>
      </c>
      <c r="AD5306">
        <v>-1.120761139374</v>
      </c>
      <c r="AE5306">
        <v>-0.57819999999998095</v>
      </c>
      <c r="AF5306">
        <v>-0.722052133756658</v>
      </c>
      <c r="AG5306">
        <v>-1.120761139374</v>
      </c>
      <c r="AH5306">
        <v>28.323593099274799</v>
      </c>
      <c r="AI5306">
        <v>92.265269643688001</v>
      </c>
      <c r="AJ5306">
        <v>91.460322533551107</v>
      </c>
      <c r="AK5306">
        <v>28.354953550811601</v>
      </c>
      <c r="AL5306">
        <v>95.479827404474506</v>
      </c>
      <c r="AM5306">
        <v>90.243499908630994</v>
      </c>
      <c r="AN5306">
        <v>1.00000000759579</v>
      </c>
    </row>
    <row r="5307" spans="1:40" x14ac:dyDescent="0.25">
      <c r="A5307" t="str">
        <f>"20190303154245773"</f>
        <v>20190303154245773</v>
      </c>
      <c r="B5307" t="str">
        <f>"1551598965765195"</f>
        <v>1551598965765195</v>
      </c>
      <c r="C5307" t="s">
        <v>40</v>
      </c>
      <c r="D5307">
        <v>5.6999899999999997</v>
      </c>
      <c r="E5307">
        <v>0.49284020000000001</v>
      </c>
      <c r="F5307" t="s">
        <v>57</v>
      </c>
      <c r="G5307">
        <v>-314.7312</v>
      </c>
      <c r="H5307" s="1">
        <v>-7.9222009999999995E-6</v>
      </c>
      <c r="I5307">
        <v>140.49770000000001</v>
      </c>
      <c r="J5307">
        <v>-286.08679999999998</v>
      </c>
      <c r="K5307">
        <v>1.120725</v>
      </c>
      <c r="L5307">
        <v>141.06120000000001</v>
      </c>
      <c r="M5307">
        <v>-0.99990380000000001</v>
      </c>
      <c r="N5307">
        <v>-1.295925E-2</v>
      </c>
      <c r="O5307">
        <v>4.9705259999999899E-3</v>
      </c>
      <c r="P5307">
        <v>-0.99409820000000004</v>
      </c>
      <c r="Q5307">
        <v>-0.10847859999999999</v>
      </c>
      <c r="R5307">
        <v>1.2028099999999999E-3</v>
      </c>
      <c r="S5307">
        <v>-3.0051570000000001</v>
      </c>
      <c r="T5307">
        <v>-0.11630269999999999</v>
      </c>
      <c r="U5307">
        <v>-5.8319089999999997E-2</v>
      </c>
      <c r="V5307">
        <v>-3.7182539999999998E-3</v>
      </c>
      <c r="W5307">
        <v>-9.5587580000000005E-2</v>
      </c>
      <c r="X5307">
        <v>0.99541409999999997</v>
      </c>
      <c r="Y5307">
        <v>-2.4346469999999999E-2</v>
      </c>
      <c r="Z5307">
        <v>-7.5663460000000005E-4</v>
      </c>
      <c r="AA5307">
        <v>0.99970329999999996</v>
      </c>
      <c r="AB5307">
        <v>30</v>
      </c>
      <c r="AC5307">
        <v>-28.644400000000001</v>
      </c>
      <c r="AD5307">
        <v>-1.1207329222010001</v>
      </c>
      <c r="AE5307">
        <v>-0.563500000000004</v>
      </c>
      <c r="AF5307">
        <v>-0.704804198919049</v>
      </c>
      <c r="AG5307">
        <v>-1.1207329222010001</v>
      </c>
      <c r="AH5307">
        <v>28.597484232789199</v>
      </c>
      <c r="AI5307">
        <v>92.243587550443806</v>
      </c>
      <c r="AJ5307">
        <v>91.411807151893797</v>
      </c>
      <c r="AK5307">
        <v>28.628113729101099</v>
      </c>
      <c r="AL5307">
        <v>95.485139460563005</v>
      </c>
      <c r="AM5307">
        <v>90.214020748258406</v>
      </c>
      <c r="AN5307">
        <v>1.0000000206709301</v>
      </c>
    </row>
    <row r="5308" spans="1:40" x14ac:dyDescent="0.25">
      <c r="A5308" t="str">
        <f>"20190303154245797"</f>
        <v>20190303154245797</v>
      </c>
      <c r="B5308" t="str">
        <f>"1551598965785691"</f>
        <v>1551598965785691</v>
      </c>
      <c r="C5308" t="s">
        <v>40</v>
      </c>
      <c r="D5308">
        <v>5.7181610000000003</v>
      </c>
      <c r="E5308">
        <v>0.49285630000000002</v>
      </c>
      <c r="F5308" t="s">
        <v>57</v>
      </c>
      <c r="G5308">
        <v>-314.58699999999999</v>
      </c>
      <c r="H5308" s="1">
        <v>-7.9838609999999999E-6</v>
      </c>
      <c r="I5308">
        <v>140.5257</v>
      </c>
      <c r="J5308">
        <v>-286.39789999999999</v>
      </c>
      <c r="K5308">
        <v>1.1206969999999901</v>
      </c>
      <c r="L5308">
        <v>141.0626</v>
      </c>
      <c r="M5308">
        <v>-0.99990710000000005</v>
      </c>
      <c r="N5308">
        <v>-1.2744190000000001E-2</v>
      </c>
      <c r="O5308">
        <v>4.8361990000000002E-3</v>
      </c>
      <c r="P5308">
        <v>-0.99418479999999998</v>
      </c>
      <c r="Q5308">
        <v>-0.1076737</v>
      </c>
      <c r="R5308">
        <v>1.7886460000000001E-3</v>
      </c>
      <c r="S5308">
        <v>-3.0049739999999998</v>
      </c>
      <c r="T5308">
        <v>-0.1181664</v>
      </c>
      <c r="U5308">
        <v>-5.6457519999999997E-2</v>
      </c>
      <c r="V5308">
        <v>-2.998854E-3</v>
      </c>
      <c r="W5308">
        <v>-9.4995570000000001E-2</v>
      </c>
      <c r="X5308">
        <v>0.99547319999999995</v>
      </c>
      <c r="Y5308">
        <v>-2.3594380000000002E-2</v>
      </c>
      <c r="Z5308">
        <v>-7.4260419999999997E-4</v>
      </c>
      <c r="AA5308">
        <v>0.99972130000000003</v>
      </c>
      <c r="AB5308">
        <v>30</v>
      </c>
      <c r="AC5308">
        <v>-28.1891</v>
      </c>
      <c r="AD5308">
        <v>-1.1207049838609999</v>
      </c>
      <c r="AE5308">
        <v>-0.53690000000000204</v>
      </c>
      <c r="AF5308">
        <v>-0.67217084522538695</v>
      </c>
      <c r="AG5308">
        <v>-1.1207049838609999</v>
      </c>
      <c r="AH5308">
        <v>28.141709051795601</v>
      </c>
      <c r="AI5308">
        <v>92.279871248616899</v>
      </c>
      <c r="AJ5308">
        <v>91.368262003135797</v>
      </c>
      <c r="AK5308">
        <v>28.172035454718898</v>
      </c>
      <c r="AL5308">
        <v>95.451064720447405</v>
      </c>
      <c r="AM5308">
        <v>90.172602494785707</v>
      </c>
      <c r="AN5308">
        <v>1.0000000216815801</v>
      </c>
    </row>
    <row r="5309" spans="1:40" x14ac:dyDescent="0.25">
      <c r="A5309" t="str">
        <f>"20190303154245819"</f>
        <v>20190303154245819</v>
      </c>
      <c r="B5309" t="str">
        <f>"1551598965814972"</f>
        <v>1551598965814972</v>
      </c>
      <c r="C5309" t="s">
        <v>40</v>
      </c>
      <c r="D5309">
        <v>5.7340249999999999</v>
      </c>
      <c r="E5309">
        <v>0.49266850000000001</v>
      </c>
      <c r="F5309" t="s">
        <v>57</v>
      </c>
      <c r="G5309">
        <v>-314.95170000000002</v>
      </c>
      <c r="H5309" s="1">
        <v>-7.8515829999999997E-6</v>
      </c>
      <c r="I5309">
        <v>140.5446</v>
      </c>
      <c r="J5309">
        <v>-286.70679999999999</v>
      </c>
      <c r="K5309">
        <v>1.1206910000000001</v>
      </c>
      <c r="L5309">
        <v>141.06389999999999</v>
      </c>
      <c r="M5309">
        <v>-0.99991039999999998</v>
      </c>
      <c r="N5309">
        <v>-1.254576E-2</v>
      </c>
      <c r="O5309">
        <v>4.703886E-3</v>
      </c>
      <c r="P5309">
        <v>-0.99420299999999995</v>
      </c>
      <c r="Q5309">
        <v>-0.1075067</v>
      </c>
      <c r="R5309">
        <v>1.707936E-3</v>
      </c>
      <c r="S5309">
        <v>-3.004883</v>
      </c>
      <c r="T5309">
        <v>-0.1179384</v>
      </c>
      <c r="U5309">
        <v>-5.450439E-2</v>
      </c>
      <c r="V5309">
        <v>-2.9480560000000001E-3</v>
      </c>
      <c r="W5309">
        <v>-9.502592E-2</v>
      </c>
      <c r="X5309">
        <v>0.99547039999999998</v>
      </c>
      <c r="Y5309">
        <v>-2.2814049999999999E-2</v>
      </c>
      <c r="Z5309">
        <v>-7.1624660000000001E-4</v>
      </c>
      <c r="AA5309">
        <v>0.9997395</v>
      </c>
      <c r="AB5309">
        <v>30</v>
      </c>
      <c r="AC5309">
        <v>-28.244900000000001</v>
      </c>
      <c r="AD5309">
        <v>-1.1206988515830001</v>
      </c>
      <c r="AE5309">
        <v>-0.51929999999998699</v>
      </c>
      <c r="AF5309">
        <v>-0.65114071006757701</v>
      </c>
      <c r="AG5309">
        <v>-1.1206988515830001</v>
      </c>
      <c r="AH5309">
        <v>28.197766754870699</v>
      </c>
      <c r="AI5309">
        <v>92.275373481488501</v>
      </c>
      <c r="AJ5309">
        <v>91.322834738452201</v>
      </c>
      <c r="AK5309">
        <v>28.2275397458287</v>
      </c>
      <c r="AL5309">
        <v>95.452811849208601</v>
      </c>
      <c r="AM5309">
        <v>90.169679251909301</v>
      </c>
      <c r="AN5309">
        <v>0.99999996689109205</v>
      </c>
    </row>
    <row r="5310" spans="1:40" x14ac:dyDescent="0.25">
      <c r="A5310" t="str">
        <f>"20190303154245839"</f>
        <v>20190303154245839</v>
      </c>
      <c r="B5310" t="str">
        <f>"1551598965835468"</f>
        <v>1551598965835468</v>
      </c>
      <c r="C5310" t="s">
        <v>40</v>
      </c>
      <c r="D5310">
        <v>5.6799039999999996</v>
      </c>
      <c r="E5310">
        <v>0.49246790000000001</v>
      </c>
      <c r="F5310" t="s">
        <v>57</v>
      </c>
      <c r="G5310">
        <v>-315.16860000000003</v>
      </c>
      <c r="H5310" s="1">
        <v>-7.7517859999999992E-6</v>
      </c>
      <c r="I5310">
        <v>140.52940000000001</v>
      </c>
      <c r="J5310">
        <v>-286.97550000000001</v>
      </c>
      <c r="K5310">
        <v>1.1206830000000001</v>
      </c>
      <c r="L5310">
        <v>141.065</v>
      </c>
      <c r="M5310">
        <v>-0.99991289999999999</v>
      </c>
      <c r="N5310">
        <v>-1.238709E-2</v>
      </c>
      <c r="O5310">
        <v>4.5880010000000004E-3</v>
      </c>
      <c r="P5310">
        <v>-0.99421809999999999</v>
      </c>
      <c r="Q5310">
        <v>-0.1073762</v>
      </c>
      <c r="R5310">
        <v>1.0886509999999999E-3</v>
      </c>
      <c r="S5310">
        <v>-3.004791</v>
      </c>
      <c r="T5310">
        <v>-0.1183152</v>
      </c>
      <c r="U5310">
        <v>-5.6426999999999998E-2</v>
      </c>
      <c r="V5310">
        <v>-3.4516780000000001E-3</v>
      </c>
      <c r="W5310">
        <v>-9.5053369999999998E-2</v>
      </c>
      <c r="X5310">
        <v>0.99546619999999997</v>
      </c>
      <c r="Y5310">
        <v>-2.33376E-2</v>
      </c>
      <c r="Z5310">
        <v>-7.2763799999999996E-4</v>
      </c>
      <c r="AA5310">
        <v>0.99972740000000004</v>
      </c>
      <c r="AB5310">
        <v>30</v>
      </c>
      <c r="AC5310">
        <v>-28.193100000000001</v>
      </c>
      <c r="AD5310">
        <v>-1.1206907517860001</v>
      </c>
      <c r="AE5310">
        <v>-0.53559999999998797</v>
      </c>
      <c r="AF5310">
        <v>-0.66390557664563998</v>
      </c>
      <c r="AG5310">
        <v>-1.1206907517860001</v>
      </c>
      <c r="AH5310">
        <v>28.145888292312399</v>
      </c>
      <c r="AI5310">
        <v>92.279520216583805</v>
      </c>
      <c r="AJ5310">
        <v>91.351243016515497</v>
      </c>
      <c r="AK5310">
        <v>28.1760136665776</v>
      </c>
      <c r="AL5310">
        <v>95.454391554412297</v>
      </c>
      <c r="AM5310">
        <v>90.198666503263496</v>
      </c>
      <c r="AN5310">
        <v>1.0000000062859</v>
      </c>
    </row>
    <row r="5311" spans="1:40" x14ac:dyDescent="0.25">
      <c r="A5311" t="str">
        <f>"20190303154245863"</f>
        <v>20190303154245863</v>
      </c>
      <c r="B5311" t="str">
        <f>"1551598965855386"</f>
        <v>1551598965855386</v>
      </c>
      <c r="C5311" t="s">
        <v>40</v>
      </c>
      <c r="D5311">
        <v>5.7007309999999896</v>
      </c>
      <c r="E5311">
        <v>0.49231069999999999</v>
      </c>
      <c r="F5311" t="s">
        <v>57</v>
      </c>
      <c r="G5311">
        <v>-315.11939999999998</v>
      </c>
      <c r="H5311" s="1">
        <v>-7.7670950000000002E-6</v>
      </c>
      <c r="I5311">
        <v>140.50479999999999</v>
      </c>
      <c r="J5311">
        <v>-287.3048</v>
      </c>
      <c r="K5311">
        <v>1.1206769999999999</v>
      </c>
      <c r="L5311">
        <v>141.06639999999999</v>
      </c>
      <c r="M5311">
        <v>-0.99991560000000002</v>
      </c>
      <c r="N5311">
        <v>-1.221129E-2</v>
      </c>
      <c r="O5311">
        <v>4.4451550000000001E-3</v>
      </c>
      <c r="P5311">
        <v>-0.9942531</v>
      </c>
      <c r="Q5311">
        <v>-0.1070538</v>
      </c>
      <c r="R5311">
        <v>-5.0855129999999998E-4</v>
      </c>
      <c r="S5311">
        <v>-3.0046080000000002</v>
      </c>
      <c r="T5311">
        <v>-0.1196436</v>
      </c>
      <c r="U5311">
        <v>-5.9814449999999998E-2</v>
      </c>
      <c r="V5311">
        <v>-4.9066229999999997E-3</v>
      </c>
      <c r="W5311">
        <v>-9.4905929999999999E-2</v>
      </c>
      <c r="X5311">
        <v>0.99547419999999998</v>
      </c>
      <c r="Y5311">
        <v>-2.4321160000000001E-2</v>
      </c>
      <c r="Z5311">
        <v>-7.5524629999999999E-4</v>
      </c>
      <c r="AA5311">
        <v>0.99970389999999998</v>
      </c>
      <c r="AB5311">
        <v>30</v>
      </c>
      <c r="AC5311">
        <v>-27.814599999999899</v>
      </c>
      <c r="AD5311">
        <v>-1.120684767095</v>
      </c>
      <c r="AE5311">
        <v>-0.56159999999999799</v>
      </c>
      <c r="AF5311">
        <v>-0.68413371401682899</v>
      </c>
      <c r="AG5311">
        <v>-1.120684767095</v>
      </c>
      <c r="AH5311">
        <v>27.766770805843802</v>
      </c>
      <c r="AI5311">
        <v>92.310539696434304</v>
      </c>
      <c r="AJ5311">
        <v>91.411400906638093</v>
      </c>
      <c r="AK5311">
        <v>27.797797291694099</v>
      </c>
      <c r="AL5311">
        <v>95.445905280439604</v>
      </c>
      <c r="AM5311">
        <v>90.2824046198091</v>
      </c>
      <c r="AN5311">
        <v>1.00000004668203</v>
      </c>
    </row>
    <row r="5312" spans="1:40" x14ac:dyDescent="0.25">
      <c r="A5312" t="str">
        <f>"20190303154245884"</f>
        <v>20190303154245884</v>
      </c>
      <c r="B5312" t="str">
        <f>"1551598965874902"</f>
        <v>1551598965874902</v>
      </c>
      <c r="C5312" t="s">
        <v>40</v>
      </c>
      <c r="D5312">
        <v>5.7201909999999998</v>
      </c>
      <c r="E5312">
        <v>0.49233900000000003</v>
      </c>
      <c r="F5312" t="s">
        <v>57</v>
      </c>
      <c r="G5312">
        <v>-315.24149999999997</v>
      </c>
      <c r="H5312" s="1">
        <v>-7.6998759999999999E-6</v>
      </c>
      <c r="I5312">
        <v>140.45529999999999</v>
      </c>
      <c r="J5312">
        <v>-287.60270000000003</v>
      </c>
      <c r="K5312">
        <v>1.120668</v>
      </c>
      <c r="L5312">
        <v>141.0676</v>
      </c>
      <c r="M5312">
        <v>-0.99991799999999997</v>
      </c>
      <c r="N5312">
        <v>-1.2062369999999999E-2</v>
      </c>
      <c r="O5312">
        <v>4.3150080000000004E-3</v>
      </c>
      <c r="P5312">
        <v>-0.99427989999999999</v>
      </c>
      <c r="Q5312">
        <v>-0.1067935</v>
      </c>
      <c r="R5312">
        <v>-1.6858859999999999E-3</v>
      </c>
      <c r="S5312">
        <v>-3.0043030000000002</v>
      </c>
      <c r="T5312">
        <v>-0.120518</v>
      </c>
      <c r="U5312">
        <v>-6.5719600000000003E-2</v>
      </c>
      <c r="V5312">
        <v>-5.9552490000000001E-3</v>
      </c>
      <c r="W5312">
        <v>-9.4793929999999998E-2</v>
      </c>
      <c r="X5312">
        <v>0.99547909999999995</v>
      </c>
      <c r="Y5312">
        <v>-2.6154960000000001E-2</v>
      </c>
      <c r="Z5312">
        <v>-8.0316220000000002E-4</v>
      </c>
      <c r="AA5312">
        <v>0.99965760000000004</v>
      </c>
      <c r="AB5312">
        <v>30</v>
      </c>
      <c r="AC5312">
        <v>-27.6387999999999</v>
      </c>
      <c r="AD5312">
        <v>-1.1206756998759999</v>
      </c>
      <c r="AE5312">
        <v>-0.61230000000000395</v>
      </c>
      <c r="AF5312">
        <v>-0.73036442703559401</v>
      </c>
      <c r="AG5312">
        <v>-1.1206756998759999</v>
      </c>
      <c r="AH5312">
        <v>27.5905616897907</v>
      </c>
      <c r="AI5312">
        <v>92.325152461156506</v>
      </c>
      <c r="AJ5312">
        <v>91.516352916282202</v>
      </c>
      <c r="AK5312">
        <v>27.622969438109202</v>
      </c>
      <c r="AL5312">
        <v>95.439459365946504</v>
      </c>
      <c r="AM5312">
        <v>90.342756129525</v>
      </c>
      <c r="AN5312">
        <v>0.999999996346153</v>
      </c>
    </row>
    <row r="5313" spans="1:40" x14ac:dyDescent="0.25">
      <c r="A5313" t="str">
        <f>"20190303154245908"</f>
        <v>20190303154245908</v>
      </c>
      <c r="B5313" t="str">
        <f>"1551598965905159"</f>
        <v>1551598965905159</v>
      </c>
      <c r="C5313" t="s">
        <v>40</v>
      </c>
      <c r="D5313">
        <v>5.6994720000000001</v>
      </c>
      <c r="E5313">
        <v>0.49219049999999998</v>
      </c>
      <c r="F5313" t="s">
        <v>57</v>
      </c>
      <c r="G5313">
        <v>-315.4667</v>
      </c>
      <c r="H5313" s="1">
        <v>-7.5925209999999997E-6</v>
      </c>
      <c r="I5313">
        <v>140.42689999999999</v>
      </c>
      <c r="J5313">
        <v>-287.9067</v>
      </c>
      <c r="K5313">
        <v>1.1206579999999999</v>
      </c>
      <c r="L5313">
        <v>141.06880000000001</v>
      </c>
      <c r="M5313">
        <v>-0.99992040000000004</v>
      </c>
      <c r="N5313">
        <v>-1.191359E-2</v>
      </c>
      <c r="O5313">
        <v>4.1818719999999997E-3</v>
      </c>
      <c r="P5313">
        <v>-0.99433369999999999</v>
      </c>
      <c r="Q5313">
        <v>-0.1062564</v>
      </c>
      <c r="R5313">
        <v>-3.2195959999999999E-3</v>
      </c>
      <c r="S5313">
        <v>-3.0041199999999999</v>
      </c>
      <c r="T5313">
        <v>-0.120824</v>
      </c>
      <c r="U5313">
        <v>-6.9076540000000006E-2</v>
      </c>
      <c r="V5313">
        <v>-7.3567779999999996E-3</v>
      </c>
      <c r="W5313">
        <v>-9.4404710000000003E-2</v>
      </c>
      <c r="X5313">
        <v>0.99550669999999997</v>
      </c>
      <c r="Y5313">
        <v>-2.7138619999999999E-2</v>
      </c>
      <c r="Z5313">
        <v>-8.2553050000000005E-4</v>
      </c>
      <c r="AA5313">
        <v>0.9996313</v>
      </c>
      <c r="AB5313">
        <v>30</v>
      </c>
      <c r="AC5313">
        <v>-27.56</v>
      </c>
      <c r="AD5313">
        <v>-1.1206655925209901</v>
      </c>
      <c r="AE5313">
        <v>-0.64190000000002101</v>
      </c>
      <c r="AF5313">
        <v>-0.75590576335842796</v>
      </c>
      <c r="AG5313">
        <v>-1.1206655925209901</v>
      </c>
      <c r="AH5313">
        <v>27.5116097670731</v>
      </c>
      <c r="AI5313">
        <v>92.331733691180105</v>
      </c>
      <c r="AJ5313">
        <v>91.573856150537907</v>
      </c>
      <c r="AK5313">
        <v>27.544799089284599</v>
      </c>
      <c r="AL5313">
        <v>95.417058328541103</v>
      </c>
      <c r="AM5313">
        <v>90.423407152634994</v>
      </c>
      <c r="AN5313">
        <v>0.99999998059880701</v>
      </c>
    </row>
    <row r="5314" spans="1:40" x14ac:dyDescent="0.25">
      <c r="A5314" t="str">
        <f>"20190303154245929"</f>
        <v>20190303154245929</v>
      </c>
      <c r="B5314" t="str">
        <f>"1551598965925655"</f>
        <v>1551598965925655</v>
      </c>
      <c r="C5314" t="s">
        <v>40</v>
      </c>
      <c r="D5314">
        <v>5.7367839999999903</v>
      </c>
      <c r="E5314">
        <v>0.4921642</v>
      </c>
      <c r="F5314" t="s">
        <v>57</v>
      </c>
      <c r="G5314">
        <v>-315.35860000000002</v>
      </c>
      <c r="H5314" s="1">
        <v>-7.6291859999999998E-6</v>
      </c>
      <c r="I5314">
        <v>140.38399999999999</v>
      </c>
      <c r="J5314">
        <v>-288.2004</v>
      </c>
      <c r="K5314">
        <v>1.120638</v>
      </c>
      <c r="L5314">
        <v>141.06979999999999</v>
      </c>
      <c r="M5314">
        <v>-0.99992250000000005</v>
      </c>
      <c r="N5314">
        <v>-1.17702E-2</v>
      </c>
      <c r="O5314">
        <v>4.0535199999999997E-3</v>
      </c>
      <c r="P5314">
        <v>-0.9943514</v>
      </c>
      <c r="Q5314">
        <v>-0.106071</v>
      </c>
      <c r="R5314">
        <v>-3.8004010000000001E-3</v>
      </c>
      <c r="S5314">
        <v>-3.0037229999999999</v>
      </c>
      <c r="T5314">
        <v>-0.1226211</v>
      </c>
      <c r="U5314">
        <v>-7.4920650000000005E-2</v>
      </c>
      <c r="V5314">
        <v>-7.8096669999999898E-3</v>
      </c>
      <c r="W5314">
        <v>-9.4361959999999995E-2</v>
      </c>
      <c r="X5314">
        <v>0.99550729999999998</v>
      </c>
      <c r="Y5314">
        <v>-2.895441E-2</v>
      </c>
      <c r="Z5314">
        <v>-8.7888259999999998E-4</v>
      </c>
      <c r="AA5314">
        <v>0.99958029999999998</v>
      </c>
      <c r="AB5314">
        <v>30</v>
      </c>
      <c r="AC5314">
        <v>-27.158200000000001</v>
      </c>
      <c r="AD5314">
        <v>-1.1206456291859901</v>
      </c>
      <c r="AE5314">
        <v>-0.68579999999999997</v>
      </c>
      <c r="AF5314">
        <v>-0.79453631562070803</v>
      </c>
      <c r="AG5314">
        <v>-1.1206456291859901</v>
      </c>
      <c r="AH5314">
        <v>27.109067929517099</v>
      </c>
      <c r="AI5314">
        <v>92.366153461428496</v>
      </c>
      <c r="AJ5314">
        <v>91.678794317630505</v>
      </c>
      <c r="AK5314">
        <v>27.143851948281501</v>
      </c>
      <c r="AL5314">
        <v>95.414597968133194</v>
      </c>
      <c r="AM5314">
        <v>90.449471118425393</v>
      </c>
      <c r="AN5314">
        <v>0.999999977373491</v>
      </c>
    </row>
    <row r="5315" spans="1:40" x14ac:dyDescent="0.25">
      <c r="A5315" t="str">
        <f>"20190303154245963"</f>
        <v>20190303154245963</v>
      </c>
      <c r="B5315" t="str">
        <f>"1551598965955910"</f>
        <v>1551598965955910</v>
      </c>
      <c r="C5315" t="s">
        <v>40</v>
      </c>
      <c r="D5315">
        <v>5.7509489999999897</v>
      </c>
      <c r="E5315">
        <v>0.49204150000000002</v>
      </c>
      <c r="F5315" t="s">
        <v>57</v>
      </c>
      <c r="G5315">
        <v>-315.34679999999997</v>
      </c>
      <c r="H5315" s="1">
        <v>-7.6319269999999994E-6</v>
      </c>
      <c r="I5315">
        <v>140.37459999999999</v>
      </c>
      <c r="J5315">
        <v>-288.67149999999998</v>
      </c>
      <c r="K5315">
        <v>1.1206130000000001</v>
      </c>
      <c r="L5315">
        <v>141.07149999999999</v>
      </c>
      <c r="M5315">
        <v>-0.99992599999999998</v>
      </c>
      <c r="N5315">
        <v>-1.1543640000000001E-2</v>
      </c>
      <c r="O5315">
        <v>3.8473909999999999E-3</v>
      </c>
      <c r="P5315">
        <v>-0.99422809999999995</v>
      </c>
      <c r="Q5315">
        <v>-0.1072316</v>
      </c>
      <c r="R5315">
        <v>-3.4760870000000001E-3</v>
      </c>
      <c r="S5315">
        <v>-3.0035099999999999</v>
      </c>
      <c r="T5315">
        <v>-0.12398960000000001</v>
      </c>
      <c r="U5315">
        <v>-7.6919559999999998E-2</v>
      </c>
      <c r="V5315">
        <v>-7.2794130000000002E-3</v>
      </c>
      <c r="W5315">
        <v>-9.5749360000000006E-2</v>
      </c>
      <c r="X5315">
        <v>0.99537889999999996</v>
      </c>
      <c r="Y5315">
        <v>-2.9413950000000001E-2</v>
      </c>
      <c r="Z5315">
        <v>-8.9100840000000002E-4</v>
      </c>
      <c r="AA5315">
        <v>0.99956690000000004</v>
      </c>
      <c r="AB5315">
        <v>30</v>
      </c>
      <c r="AC5315">
        <v>-26.6753</v>
      </c>
      <c r="AD5315">
        <v>-1.12062063192699</v>
      </c>
      <c r="AE5315">
        <v>-0.69689999999999896</v>
      </c>
      <c r="AF5315">
        <v>-0.79812440667238504</v>
      </c>
      <c r="AG5315">
        <v>-1.12062063192699</v>
      </c>
      <c r="AH5315">
        <v>26.625464212128001</v>
      </c>
      <c r="AI5315">
        <v>92.408978990657403</v>
      </c>
      <c r="AJ5315">
        <v>91.716983045059493</v>
      </c>
      <c r="AK5315">
        <v>26.660985309634199</v>
      </c>
      <c r="AL5315">
        <v>95.494451364942805</v>
      </c>
      <c r="AM5315">
        <v>90.419008487032102</v>
      </c>
      <c r="AN5315">
        <v>1.00000004217962</v>
      </c>
    </row>
    <row r="5316" spans="1:40" x14ac:dyDescent="0.25">
      <c r="A5316" t="str">
        <f>"20190303154245987"</f>
        <v>20190303154245987</v>
      </c>
      <c r="B5316" t="str">
        <f>"1551598965975430"</f>
        <v>1551598965975430</v>
      </c>
      <c r="C5316" t="s">
        <v>40</v>
      </c>
      <c r="D5316">
        <v>5.7701409999999997</v>
      </c>
      <c r="E5316">
        <v>0.49192089999999999</v>
      </c>
      <c r="F5316" t="s">
        <v>57</v>
      </c>
      <c r="G5316">
        <v>-314.52769999999998</v>
      </c>
      <c r="H5316" s="1">
        <v>-7.9751260000000004E-6</v>
      </c>
      <c r="I5316">
        <v>140.40790000000001</v>
      </c>
      <c r="J5316">
        <v>-288.98050000000001</v>
      </c>
      <c r="K5316">
        <v>1.120587</v>
      </c>
      <c r="L5316">
        <v>141.07249999999999</v>
      </c>
      <c r="M5316">
        <v>-0.99992829999999999</v>
      </c>
      <c r="N5316">
        <v>-1.139601E-2</v>
      </c>
      <c r="O5316">
        <v>3.7123009999999999E-3</v>
      </c>
      <c r="P5316">
        <v>-0.99420609999999998</v>
      </c>
      <c r="Q5316">
        <v>-0.107444899999999</v>
      </c>
      <c r="R5316">
        <v>-3.2084539999999999E-3</v>
      </c>
      <c r="S5316">
        <v>-3.0031430000000001</v>
      </c>
      <c r="T5316">
        <v>-0.13015789999999999</v>
      </c>
      <c r="U5316">
        <v>-7.7072139999999997E-2</v>
      </c>
      <c r="V5316">
        <v>-6.8771559999999997E-3</v>
      </c>
      <c r="W5316">
        <v>-9.6109749999999994E-2</v>
      </c>
      <c r="X5316">
        <v>0.99534699999999998</v>
      </c>
      <c r="Y5316">
        <v>-2.9329870000000001E-2</v>
      </c>
      <c r="Z5316">
        <v>-9.2094569999999997E-4</v>
      </c>
      <c r="AA5316">
        <v>0.99956940000000005</v>
      </c>
      <c r="AB5316">
        <v>31</v>
      </c>
      <c r="AC5316">
        <v>-25.547199999999901</v>
      </c>
      <c r="AD5316">
        <v>-1.120594975126</v>
      </c>
      <c r="AE5316">
        <v>-0.66459999999997799</v>
      </c>
      <c r="AF5316">
        <v>-0.75798307069496895</v>
      </c>
      <c r="AG5316">
        <v>-1.120594975126</v>
      </c>
      <c r="AH5316">
        <v>25.4955357117144</v>
      </c>
      <c r="AI5316">
        <v>92.515568422093494</v>
      </c>
      <c r="AJ5316">
        <v>91.702903709573107</v>
      </c>
      <c r="AK5316">
        <v>25.531404439651201</v>
      </c>
      <c r="AL5316">
        <v>95.515196012286694</v>
      </c>
      <c r="AM5316">
        <v>90.395867716351603</v>
      </c>
      <c r="AN5316">
        <v>1.00000001486435</v>
      </c>
    </row>
    <row r="5317" spans="1:40" x14ac:dyDescent="0.25">
      <c r="A5317" t="str">
        <f>"20190303154246008"</f>
        <v>20190303154246008</v>
      </c>
      <c r="B5317" t="str">
        <f>"1551598966005686"</f>
        <v>1551598966005686</v>
      </c>
      <c r="C5317" t="s">
        <v>40</v>
      </c>
      <c r="D5317">
        <v>5.7561650000000002</v>
      </c>
      <c r="E5317">
        <v>0.49037140000000001</v>
      </c>
      <c r="F5317" t="s">
        <v>57</v>
      </c>
      <c r="G5317">
        <v>-314.35860000000002</v>
      </c>
      <c r="H5317" s="1">
        <v>-8.0414969999999993E-6</v>
      </c>
      <c r="I5317">
        <v>140.41820000000001</v>
      </c>
      <c r="J5317">
        <v>-289.28550000000001</v>
      </c>
      <c r="K5317">
        <v>1.1205750000000001</v>
      </c>
      <c r="L5317">
        <v>141.0735</v>
      </c>
      <c r="M5317">
        <v>-0.99993030000000005</v>
      </c>
      <c r="N5317">
        <v>-1.125257E-2</v>
      </c>
      <c r="O5317">
        <v>3.578725E-3</v>
      </c>
      <c r="P5317">
        <v>-0.99416230000000005</v>
      </c>
      <c r="Q5317">
        <v>-0.10783909999999999</v>
      </c>
      <c r="R5317">
        <v>-3.4972359999999999E-3</v>
      </c>
      <c r="S5317">
        <v>-3.002869</v>
      </c>
      <c r="T5317">
        <v>-0.13259479999999901</v>
      </c>
      <c r="U5317">
        <v>-7.7423099999999995E-2</v>
      </c>
      <c r="V5317">
        <v>-7.0329390000000002E-3</v>
      </c>
      <c r="W5317">
        <v>-9.6647230000000001E-2</v>
      </c>
      <c r="X5317">
        <v>0.99529389999999995</v>
      </c>
      <c r="Y5317">
        <v>-2.931431E-2</v>
      </c>
      <c r="Z5317">
        <v>-9.2951500000000001E-4</v>
      </c>
      <c r="AA5317">
        <v>0.99956979999999995</v>
      </c>
      <c r="AB5317">
        <v>31</v>
      </c>
      <c r="AC5317">
        <v>-25.0731</v>
      </c>
      <c r="AD5317">
        <v>-1.1205830414969999</v>
      </c>
      <c r="AE5317">
        <v>-0.65529999999998201</v>
      </c>
      <c r="AF5317">
        <v>-0.74354704189488197</v>
      </c>
      <c r="AG5317">
        <v>-1.1205830414969999</v>
      </c>
      <c r="AH5317">
        <v>25.0206511956901</v>
      </c>
      <c r="AI5317">
        <v>92.563223779701602</v>
      </c>
      <c r="AJ5317">
        <v>91.702176844020897</v>
      </c>
      <c r="AK5317">
        <v>25.056766647211099</v>
      </c>
      <c r="AL5317">
        <v>95.5461351917982</v>
      </c>
      <c r="AM5317">
        <v>90.404856310048899</v>
      </c>
      <c r="AN5317">
        <v>1.0000000483374201</v>
      </c>
    </row>
    <row r="5318" spans="1:40" x14ac:dyDescent="0.25">
      <c r="A5318" t="str">
        <f>"20190303154246030"</f>
        <v>20190303154246030</v>
      </c>
      <c r="B5318" t="str">
        <f>"1551598966025207"</f>
        <v>1551598966025207</v>
      </c>
      <c r="C5318" t="s">
        <v>40</v>
      </c>
      <c r="D5318">
        <v>5.7651589999999997</v>
      </c>
      <c r="E5318">
        <v>0.49086010000000002</v>
      </c>
      <c r="F5318" t="s">
        <v>57</v>
      </c>
      <c r="G5318">
        <v>-309.31049999999999</v>
      </c>
      <c r="H5318" s="1">
        <v>-9.6478060000000008E-6</v>
      </c>
      <c r="I5318">
        <v>140.47120000000001</v>
      </c>
      <c r="J5318">
        <v>-289.5772</v>
      </c>
      <c r="K5318">
        <v>1.1205689999999999</v>
      </c>
      <c r="L5318">
        <v>141.0744</v>
      </c>
      <c r="M5318">
        <v>-0.9999323</v>
      </c>
      <c r="N5318">
        <v>-1.111209E-2</v>
      </c>
      <c r="O5318">
        <v>3.4509639999999999E-3</v>
      </c>
      <c r="P5318">
        <v>-0.99422679999999997</v>
      </c>
      <c r="Q5318">
        <v>-0.1072294</v>
      </c>
      <c r="R5318">
        <v>-3.8861529999999998E-3</v>
      </c>
      <c r="S5318">
        <v>-2.9991460000000001</v>
      </c>
      <c r="T5318">
        <v>-0.1678306</v>
      </c>
      <c r="U5318">
        <v>-9.0209960000000006E-2</v>
      </c>
      <c r="V5318">
        <v>-7.29524699999999E-3</v>
      </c>
      <c r="W5318">
        <v>-9.6176719999999993E-2</v>
      </c>
      <c r="X5318">
        <v>0.99533749999999999</v>
      </c>
      <c r="Y5318">
        <v>-3.3448239999999997E-2</v>
      </c>
      <c r="Z5318">
        <v>-1.2755990000000001E-3</v>
      </c>
      <c r="AA5318">
        <v>0.99943970000000004</v>
      </c>
      <c r="AB5318">
        <v>31</v>
      </c>
      <c r="AC5318">
        <v>-19.7332999999999</v>
      </c>
      <c r="AD5318">
        <v>-1.120578647806</v>
      </c>
      <c r="AE5318">
        <v>-0.60319999999998597</v>
      </c>
      <c r="AF5318">
        <v>-0.66914376727566205</v>
      </c>
      <c r="AG5318">
        <v>-1.120578647806</v>
      </c>
      <c r="AH5318">
        <v>19.6677379760341</v>
      </c>
      <c r="AI5318">
        <v>93.259046965763602</v>
      </c>
      <c r="AJ5318">
        <v>91.948588660689296</v>
      </c>
      <c r="AK5318">
        <v>19.7109960930729</v>
      </c>
      <c r="AL5318">
        <v>95.519051269590904</v>
      </c>
      <c r="AM5318">
        <v>90.419937336872195</v>
      </c>
      <c r="AN5318">
        <v>0.99999996050249795</v>
      </c>
    </row>
    <row r="5319" spans="1:40" x14ac:dyDescent="0.25">
      <c r="A5319" t="str">
        <f>"20190303154246052"</f>
        <v>20190303154246052</v>
      </c>
      <c r="B5319" t="str">
        <f>"1551598966045706"</f>
        <v>1551598966045706</v>
      </c>
      <c r="C5319" t="s">
        <v>40</v>
      </c>
      <c r="D5319">
        <v>5.7846989999999998</v>
      </c>
      <c r="E5319">
        <v>0.4907106</v>
      </c>
      <c r="F5319" t="s">
        <v>57</v>
      </c>
      <c r="G5319">
        <v>-310.05630000000002</v>
      </c>
      <c r="H5319" s="1">
        <v>-9.6990720000000001E-6</v>
      </c>
      <c r="I5319">
        <v>140.47799999999901</v>
      </c>
      <c r="J5319">
        <v>-289.88810000000001</v>
      </c>
      <c r="K5319">
        <v>1.120547</v>
      </c>
      <c r="L5319">
        <v>141.0753</v>
      </c>
      <c r="M5319">
        <v>-0.99993460000000001</v>
      </c>
      <c r="N5319">
        <v>-1.095875E-2</v>
      </c>
      <c r="O5319">
        <v>3.3148000000000001E-3</v>
      </c>
      <c r="P5319">
        <v>-0.99429719999999999</v>
      </c>
      <c r="Q5319">
        <v>-0.106561</v>
      </c>
      <c r="R5319">
        <v>-4.2099040000000004E-3</v>
      </c>
      <c r="S5319">
        <v>-2.9993590000000001</v>
      </c>
      <c r="T5319">
        <v>-0.1641194</v>
      </c>
      <c r="U5319">
        <v>-8.7356569999999995E-2</v>
      </c>
      <c r="V5319">
        <v>-7.4840430000000001E-3</v>
      </c>
      <c r="W5319">
        <v>-9.5660270000000006E-2</v>
      </c>
      <c r="X5319">
        <v>0.99538590000000005</v>
      </c>
      <c r="Y5319">
        <v>-3.2364919999999998E-2</v>
      </c>
      <c r="Z5319">
        <v>-1.207077E-3</v>
      </c>
      <c r="AA5319">
        <v>0.99947540000000001</v>
      </c>
      <c r="AB5319">
        <v>31</v>
      </c>
      <c r="AC5319">
        <v>-20.168199999999999</v>
      </c>
      <c r="AD5319">
        <v>-1.120556699072</v>
      </c>
      <c r="AE5319">
        <v>-0.59730000000001804</v>
      </c>
      <c r="AF5319">
        <v>-0.66211213878893305</v>
      </c>
      <c r="AG5319">
        <v>-1.120556699072</v>
      </c>
      <c r="AH5319">
        <v>20.104102618413499</v>
      </c>
      <c r="AI5319">
        <v>93.188509560016698</v>
      </c>
      <c r="AJ5319">
        <v>91.886307724472303</v>
      </c>
      <c r="AK5319">
        <v>20.146190257511901</v>
      </c>
      <c r="AL5319">
        <v>95.489323610395203</v>
      </c>
      <c r="AM5319">
        <v>90.4307836765351</v>
      </c>
      <c r="AN5319">
        <v>0.99999999403745399</v>
      </c>
    </row>
    <row r="5320" spans="1:40" x14ac:dyDescent="0.25">
      <c r="A5320" t="str">
        <f>"20190303154246075"</f>
        <v>20190303154246075</v>
      </c>
      <c r="B5320" t="str">
        <f>"1551598966065588"</f>
        <v>1551598966065588</v>
      </c>
      <c r="C5320" t="s">
        <v>40</v>
      </c>
      <c r="D5320">
        <v>5.7778019999999897</v>
      </c>
      <c r="E5320">
        <v>0.49053340000000001</v>
      </c>
      <c r="F5320" t="s">
        <v>57</v>
      </c>
      <c r="G5320">
        <v>-310.77330000000001</v>
      </c>
      <c r="H5320" s="1">
        <v>-9.4004560000000005E-6</v>
      </c>
      <c r="I5320">
        <v>140.45359999999999</v>
      </c>
      <c r="J5320">
        <v>-290.19909999999999</v>
      </c>
      <c r="K5320">
        <v>1.1205290000000001</v>
      </c>
      <c r="L5320">
        <v>141.0762</v>
      </c>
      <c r="M5320">
        <v>-0.99993670000000001</v>
      </c>
      <c r="N5320">
        <v>-1.0806130000000001E-2</v>
      </c>
      <c r="O5320">
        <v>3.1786789999999998E-3</v>
      </c>
      <c r="P5320">
        <v>-0.99428510000000003</v>
      </c>
      <c r="Q5320">
        <v>-0.1066708</v>
      </c>
      <c r="R5320">
        <v>-4.321559E-3</v>
      </c>
      <c r="S5320">
        <v>-2.9995729999999998</v>
      </c>
      <c r="T5320">
        <v>-0.1609362</v>
      </c>
      <c r="U5320">
        <v>-8.9294429999999994E-2</v>
      </c>
      <c r="V5320">
        <v>-7.4601219999999996E-3</v>
      </c>
      <c r="W5320">
        <v>-9.5922149999999998E-2</v>
      </c>
      <c r="X5320">
        <v>0.99536089999999999</v>
      </c>
      <c r="Y5320">
        <v>-3.2873489999999998E-2</v>
      </c>
      <c r="Z5320">
        <v>-1.194933E-3</v>
      </c>
      <c r="AA5320">
        <v>0.99945879999999998</v>
      </c>
      <c r="AB5320">
        <v>31</v>
      </c>
      <c r="AC5320">
        <v>-20.574200000000001</v>
      </c>
      <c r="AD5320">
        <v>-1.120538400456</v>
      </c>
      <c r="AE5320">
        <v>-0.62260000000000504</v>
      </c>
      <c r="AF5320">
        <v>-0.68596655541288598</v>
      </c>
      <c r="AG5320">
        <v>-1.120538400456</v>
      </c>
      <c r="AH5320">
        <v>20.511330839899099</v>
      </c>
      <c r="AI5320">
        <v>93.125228655445994</v>
      </c>
      <c r="AJ5320">
        <v>91.915445944490102</v>
      </c>
      <c r="AK5320">
        <v>20.5533658860499</v>
      </c>
      <c r="AL5320">
        <v>95.504397422055206</v>
      </c>
      <c r="AM5320">
        <v>90.429417613307905</v>
      </c>
      <c r="AN5320">
        <v>1.00000001676484</v>
      </c>
    </row>
    <row r="5321" spans="1:40" x14ac:dyDescent="0.25">
      <c r="A5321" t="str">
        <f>"20190303154246097"</f>
        <v>20190303154246097</v>
      </c>
      <c r="B5321" t="str">
        <f>"1551598966085105"</f>
        <v>1551598966085105</v>
      </c>
      <c r="C5321" t="s">
        <v>40</v>
      </c>
      <c r="D5321">
        <v>5.7947600000000001</v>
      </c>
      <c r="E5321">
        <v>0.49045499999999997</v>
      </c>
      <c r="F5321" t="s">
        <v>57</v>
      </c>
      <c r="G5321">
        <v>-310.89460000000003</v>
      </c>
      <c r="H5321" s="1">
        <v>-9.3530770000000007E-6</v>
      </c>
      <c r="I5321">
        <v>140.44710000000001</v>
      </c>
      <c r="J5321">
        <v>-290.50349999999997</v>
      </c>
      <c r="K5321">
        <v>1.1205099999999999</v>
      </c>
      <c r="L5321">
        <v>141.0771</v>
      </c>
      <c r="M5321">
        <v>-0.99993860000000001</v>
      </c>
      <c r="N5321">
        <v>-1.0660050000000001E-2</v>
      </c>
      <c r="O5321">
        <v>3.045491E-3</v>
      </c>
      <c r="P5321">
        <v>-0.99425850000000005</v>
      </c>
      <c r="Q5321">
        <v>-0.1069176</v>
      </c>
      <c r="R5321">
        <v>-4.3215379999999998E-3</v>
      </c>
      <c r="S5321">
        <v>-2.9994809999999998</v>
      </c>
      <c r="T5321">
        <v>-0.16240360000000001</v>
      </c>
      <c r="U5321">
        <v>-9.1186519999999993E-2</v>
      </c>
      <c r="V5321">
        <v>-7.3274229999999996E-3</v>
      </c>
      <c r="W5321">
        <v>-9.6314640000000007E-2</v>
      </c>
      <c r="X5321">
        <v>0.99532399999999999</v>
      </c>
      <c r="Y5321">
        <v>-3.3369500000000003E-2</v>
      </c>
      <c r="Z5321">
        <v>-1.2128690000000001E-3</v>
      </c>
      <c r="AA5321">
        <v>0.99944230000000001</v>
      </c>
      <c r="AB5321">
        <v>31</v>
      </c>
      <c r="AC5321">
        <v>-20.391100000000002</v>
      </c>
      <c r="AD5321">
        <v>-1.1205193530769999</v>
      </c>
      <c r="AE5321">
        <v>-0.62999999999999501</v>
      </c>
      <c r="AF5321">
        <v>-0.69001987937748399</v>
      </c>
      <c r="AG5321">
        <v>-1.1205193530769999</v>
      </c>
      <c r="AH5321">
        <v>20.327762352548898</v>
      </c>
      <c r="AI5321">
        <v>93.153287519158795</v>
      </c>
      <c r="AJ5321">
        <v>91.944141806836598</v>
      </c>
      <c r="AK5321">
        <v>20.370312057409901</v>
      </c>
      <c r="AL5321">
        <v>95.526989958297506</v>
      </c>
      <c r="AM5321">
        <v>90.421795142452694</v>
      </c>
      <c r="AN5321">
        <v>1.0000000329910701</v>
      </c>
    </row>
    <row r="5322" spans="1:40" x14ac:dyDescent="0.25">
      <c r="A5322" t="str">
        <f>"20190303154246119"</f>
        <v>20190303154246119</v>
      </c>
      <c r="B5322" t="str">
        <f>"1551598966115361"</f>
        <v>1551598966115361</v>
      </c>
      <c r="C5322" t="s">
        <v>40</v>
      </c>
      <c r="D5322">
        <v>5.9180630000000001</v>
      </c>
      <c r="E5322">
        <v>0.49069950000000001</v>
      </c>
      <c r="F5322" t="s">
        <v>57</v>
      </c>
      <c r="G5322">
        <v>-311.09989999999999</v>
      </c>
      <c r="H5322" s="1">
        <v>-9.2754340000000007E-6</v>
      </c>
      <c r="I5322">
        <v>140.44569999999999</v>
      </c>
      <c r="J5322">
        <v>-290.80180000000001</v>
      </c>
      <c r="K5322">
        <v>1.120487</v>
      </c>
      <c r="L5322">
        <v>141.0778</v>
      </c>
      <c r="M5322">
        <v>-0.99994050000000001</v>
      </c>
      <c r="N5322">
        <v>-1.052548E-2</v>
      </c>
      <c r="O5322">
        <v>2.91509E-3</v>
      </c>
      <c r="P5322">
        <v>-0.99425490000000005</v>
      </c>
      <c r="Q5322">
        <v>-0.10694289999999899</v>
      </c>
      <c r="R5322">
        <v>-4.5483520000000003E-3</v>
      </c>
      <c r="S5322">
        <v>-2.99939</v>
      </c>
      <c r="T5322">
        <v>-0.16317779999999901</v>
      </c>
      <c r="U5322">
        <v>-9.1949459999999997E-2</v>
      </c>
      <c r="V5322">
        <v>-7.4241280000000003E-3</v>
      </c>
      <c r="W5322">
        <v>-9.647385E-2</v>
      </c>
      <c r="X5322">
        <v>0.99530779999999996</v>
      </c>
      <c r="Y5322">
        <v>-3.3493540000000002E-2</v>
      </c>
      <c r="Z5322">
        <v>-1.2144499999999999E-3</v>
      </c>
      <c r="AA5322">
        <v>0.99943820000000005</v>
      </c>
      <c r="AB5322">
        <v>31</v>
      </c>
      <c r="AC5322">
        <v>-20.298099999999899</v>
      </c>
      <c r="AD5322">
        <v>-1.120496275434</v>
      </c>
      <c r="AE5322">
        <v>-0.63210000000000799</v>
      </c>
      <c r="AF5322">
        <v>-0.68917331340697396</v>
      </c>
      <c r="AG5322">
        <v>-1.120496275434</v>
      </c>
      <c r="AH5322">
        <v>20.234570677406399</v>
      </c>
      <c r="AI5322">
        <v>93.167703285202094</v>
      </c>
      <c r="AJ5322">
        <v>91.950694426660107</v>
      </c>
      <c r="AK5322">
        <v>20.2772858701091</v>
      </c>
      <c r="AL5322">
        <v>95.536155052073497</v>
      </c>
      <c r="AM5322">
        <v>90.427368611208294</v>
      </c>
      <c r="AN5322">
        <v>0.99999996907561095</v>
      </c>
    </row>
    <row r="5323" spans="1:40" x14ac:dyDescent="0.25">
      <c r="A5323" t="str">
        <f>"20190303154246141"</f>
        <v>20190303154246141</v>
      </c>
      <c r="B5323" t="str">
        <f>"1551598966135857"</f>
        <v>1551598966135857</v>
      </c>
      <c r="C5323" t="s">
        <v>40</v>
      </c>
      <c r="D5323">
        <v>5.906879</v>
      </c>
      <c r="E5323">
        <v>0.51810929999999999</v>
      </c>
      <c r="F5323" t="s">
        <v>57</v>
      </c>
      <c r="G5323">
        <v>-311.43770000000001</v>
      </c>
      <c r="H5323" s="1">
        <v>-9.1506869999999998E-6</v>
      </c>
      <c r="I5323">
        <v>140.45490000000001</v>
      </c>
      <c r="J5323">
        <v>-291.11680000000001</v>
      </c>
      <c r="K5323">
        <v>1.120471</v>
      </c>
      <c r="L5323">
        <v>141.07859999999999</v>
      </c>
      <c r="M5323">
        <v>-0.99994209999999994</v>
      </c>
      <c r="N5323">
        <v>-1.039614E-2</v>
      </c>
      <c r="O5323">
        <v>2.7775579999999998E-3</v>
      </c>
      <c r="P5323">
        <v>-0.99420129999999995</v>
      </c>
      <c r="Q5323">
        <v>-0.1074087</v>
      </c>
      <c r="R5323">
        <v>-5.2427630000000001E-3</v>
      </c>
      <c r="S5323">
        <v>-2.9993590000000001</v>
      </c>
      <c r="T5323">
        <v>-0.1628598</v>
      </c>
      <c r="U5323">
        <v>-9.0545650000000005E-2</v>
      </c>
      <c r="V5323">
        <v>-7.9813179999999994E-3</v>
      </c>
      <c r="W5323">
        <v>-9.7069069999999993E-2</v>
      </c>
      <c r="X5323">
        <v>0.99524559999999995</v>
      </c>
      <c r="Y5323">
        <v>-3.2890540000000003E-2</v>
      </c>
      <c r="Z5323">
        <v>-1.185069E-3</v>
      </c>
      <c r="AA5323">
        <v>0.99945830000000002</v>
      </c>
      <c r="AB5323">
        <v>31</v>
      </c>
      <c r="AC5323">
        <v>-20.320899999999899</v>
      </c>
      <c r="AD5323">
        <v>-1.1204801506869999</v>
      </c>
      <c r="AE5323">
        <v>-0.62369999999998504</v>
      </c>
      <c r="AF5323">
        <v>-0.67808345724658203</v>
      </c>
      <c r="AG5323">
        <v>-1.1204801506869999</v>
      </c>
      <c r="AH5323">
        <v>20.257557209123998</v>
      </c>
      <c r="AI5323">
        <v>93.164133133790699</v>
      </c>
      <c r="AJ5323">
        <v>91.917152166691693</v>
      </c>
      <c r="AK5323">
        <v>20.299849679837699</v>
      </c>
      <c r="AL5323">
        <v>95.570419541512507</v>
      </c>
      <c r="AM5323">
        <v>90.4594705403386</v>
      </c>
      <c r="AN5323">
        <v>0.99999995505352002</v>
      </c>
    </row>
    <row r="5324" spans="1:40" x14ac:dyDescent="0.25">
      <c r="A5324" t="str">
        <f>"20190303154246164"</f>
        <v>20190303154246164</v>
      </c>
      <c r="B5324" t="str">
        <f>"1551598966155380"</f>
        <v>1551598966155380</v>
      </c>
      <c r="C5324" t="s">
        <v>40</v>
      </c>
      <c r="D5324">
        <v>5.8825059999999896</v>
      </c>
      <c r="E5324">
        <v>0.51903869999999996</v>
      </c>
      <c r="F5324" t="s">
        <v>57</v>
      </c>
      <c r="G5324">
        <v>-308.6506</v>
      </c>
      <c r="H5324" s="1">
        <v>-9.9536010000000001E-6</v>
      </c>
      <c r="I5324">
        <v>141.8176</v>
      </c>
      <c r="J5324">
        <v>-291.42259999999999</v>
      </c>
      <c r="K5324">
        <v>1.120457</v>
      </c>
      <c r="L5324">
        <v>141.07929999999999</v>
      </c>
      <c r="M5324">
        <v>-0.99994369999999999</v>
      </c>
      <c r="N5324">
        <v>-1.0283509999999999E-2</v>
      </c>
      <c r="O5324">
        <v>2.6439829999999999E-3</v>
      </c>
      <c r="P5324">
        <v>-0.99421760000000003</v>
      </c>
      <c r="Q5324">
        <v>-0.1072367</v>
      </c>
      <c r="R5324">
        <v>-5.6474719999999997E-3</v>
      </c>
      <c r="S5324">
        <v>-2.9974669999999999</v>
      </c>
      <c r="T5324">
        <v>-0.19155040000000001</v>
      </c>
      <c r="U5324">
        <v>0.12634280000000001</v>
      </c>
      <c r="V5324">
        <v>-8.2532950000000008E-3</v>
      </c>
      <c r="W5324">
        <v>-9.7009120000000004E-2</v>
      </c>
      <c r="X5324">
        <v>0.9952493</v>
      </c>
      <c r="Y5324">
        <v>3.9381190000000003E-2</v>
      </c>
      <c r="Z5324">
        <v>1.317737E-3</v>
      </c>
      <c r="AA5324">
        <v>0.99922339999999998</v>
      </c>
      <c r="AB5324">
        <v>31</v>
      </c>
      <c r="AC5324">
        <v>-17.228000000000002</v>
      </c>
      <c r="AD5324">
        <v>-1.1204669536009999</v>
      </c>
      <c r="AE5324">
        <v>0.73830000000000895</v>
      </c>
      <c r="AF5324">
        <v>0.68983191513172104</v>
      </c>
      <c r="AG5324">
        <v>-1.1204669536009999</v>
      </c>
      <c r="AH5324">
        <v>17.1574509571962</v>
      </c>
      <c r="AI5324">
        <v>93.733386265205894</v>
      </c>
      <c r="AJ5324">
        <v>87.697607838976197</v>
      </c>
      <c r="AK5324">
        <v>17.2078307062175</v>
      </c>
      <c r="AL5324">
        <v>95.566967966146507</v>
      </c>
      <c r="AM5324">
        <v>90.475125309068005</v>
      </c>
      <c r="AN5324">
        <v>1.0000000276960099</v>
      </c>
    </row>
    <row r="5325" spans="1:40" x14ac:dyDescent="0.25">
      <c r="A5325" t="str">
        <f>"20190303154246188"</f>
        <v>20190303154246188</v>
      </c>
      <c r="B5325" t="str">
        <f>"1551598966175876"</f>
        <v>1551598966175876</v>
      </c>
      <c r="C5325" t="s">
        <v>40</v>
      </c>
      <c r="D5325">
        <v>5.904744</v>
      </c>
      <c r="E5325">
        <v>0.51957439999999999</v>
      </c>
      <c r="F5325" t="s">
        <v>57</v>
      </c>
      <c r="G5325">
        <v>-307.2217</v>
      </c>
      <c r="H5325" s="1">
        <v>-9.7372069999999997E-6</v>
      </c>
      <c r="I5325">
        <v>141.78</v>
      </c>
      <c r="J5325">
        <v>-291.75490000000002</v>
      </c>
      <c r="K5325">
        <v>1.1204430000000001</v>
      </c>
      <c r="L5325">
        <v>141.08009999999999</v>
      </c>
      <c r="M5325">
        <v>-0.99994519999999998</v>
      </c>
      <c r="N5325">
        <v>-1.017215E-2</v>
      </c>
      <c r="O5325">
        <v>2.498891E-3</v>
      </c>
      <c r="P5325">
        <v>-0.99425010000000003</v>
      </c>
      <c r="Q5325">
        <v>-0.10690769999999999</v>
      </c>
      <c r="R5325">
        <v>-6.1294919999999899E-3</v>
      </c>
      <c r="S5325">
        <v>-2.9952700000000001</v>
      </c>
      <c r="T5325">
        <v>-0.21242420000000001</v>
      </c>
      <c r="U5325">
        <v>0.13284299999999999</v>
      </c>
      <c r="V5325">
        <v>-8.5913719999999999E-3</v>
      </c>
      <c r="W5325">
        <v>-9.6790719999999997E-2</v>
      </c>
      <c r="X5325">
        <v>0.99526769999999998</v>
      </c>
      <c r="Y5325">
        <v>4.1695700000000002E-2</v>
      </c>
      <c r="Z5325">
        <v>1.536901E-3</v>
      </c>
      <c r="AA5325">
        <v>0.99912920000000005</v>
      </c>
      <c r="AB5325">
        <v>31</v>
      </c>
      <c r="AC5325">
        <v>-15.4667999999999</v>
      </c>
      <c r="AD5325">
        <v>-1.1204527372069999</v>
      </c>
      <c r="AE5325">
        <v>0.69990000000001296</v>
      </c>
      <c r="AF5325">
        <v>0.65780094592020899</v>
      </c>
      <c r="AG5325">
        <v>-1.1204527372069999</v>
      </c>
      <c r="AH5325">
        <v>15.3879114618556</v>
      </c>
      <c r="AI5325">
        <v>94.160788838285896</v>
      </c>
      <c r="AJ5325">
        <v>87.5522158647167</v>
      </c>
      <c r="AK5325">
        <v>15.4426660774193</v>
      </c>
      <c r="AL5325">
        <v>95.554395418919995</v>
      </c>
      <c r="AM5325">
        <v>90.494577619344994</v>
      </c>
      <c r="AN5325">
        <v>1.0000000249071199</v>
      </c>
    </row>
    <row r="5326" spans="1:40" x14ac:dyDescent="0.25">
      <c r="A5326" t="str">
        <f>"20190303154246210"</f>
        <v>20190303154246210</v>
      </c>
      <c r="B5326" t="str">
        <f>"1551598966205153"</f>
        <v>1551598966205153</v>
      </c>
      <c r="C5326" t="s">
        <v>40</v>
      </c>
      <c r="D5326">
        <v>5.9080789999999999</v>
      </c>
      <c r="E5326">
        <v>0.52027920000000005</v>
      </c>
      <c r="F5326" t="s">
        <v>57</v>
      </c>
      <c r="G5326">
        <v>-307.10610000000003</v>
      </c>
      <c r="H5326" s="1">
        <v>-9.719437E-6</v>
      </c>
      <c r="I5326">
        <v>141.77610000000001</v>
      </c>
      <c r="J5326">
        <v>-292.06569999999999</v>
      </c>
      <c r="K5326">
        <v>1.1204339999999999</v>
      </c>
      <c r="L5326">
        <v>141.08070000000001</v>
      </c>
      <c r="M5326">
        <v>-0.99994649999999996</v>
      </c>
      <c r="N5326">
        <v>-1.0075489999999999E-2</v>
      </c>
      <c r="O5326">
        <v>2.3630159999999999E-3</v>
      </c>
      <c r="P5326">
        <v>-0.99429179999999995</v>
      </c>
      <c r="Q5326">
        <v>-0.1064927</v>
      </c>
      <c r="R5326">
        <v>-6.563831E-3</v>
      </c>
      <c r="S5326">
        <v>-2.9946899999999999</v>
      </c>
      <c r="T5326">
        <v>-0.21857570000000001</v>
      </c>
      <c r="U5326">
        <v>0.1357727</v>
      </c>
      <c r="V5326">
        <v>-8.8906339999999997E-3</v>
      </c>
      <c r="W5326">
        <v>-9.6471639999999997E-2</v>
      </c>
      <c r="X5326">
        <v>0.99529599999999996</v>
      </c>
      <c r="Y5326">
        <v>4.280573E-2</v>
      </c>
      <c r="Z5326">
        <v>1.626979E-3</v>
      </c>
      <c r="AA5326">
        <v>0.99908209999999997</v>
      </c>
      <c r="AB5326">
        <v>31</v>
      </c>
      <c r="AC5326">
        <v>-15.0404</v>
      </c>
      <c r="AD5326">
        <v>-1.1204437194369901</v>
      </c>
      <c r="AE5326">
        <v>0.69540000000000601</v>
      </c>
      <c r="AF5326">
        <v>0.65622155451669695</v>
      </c>
      <c r="AG5326">
        <v>-1.1204437194369901</v>
      </c>
      <c r="AH5326">
        <v>14.9591611262698</v>
      </c>
      <c r="AI5326">
        <v>94.279365241578404</v>
      </c>
      <c r="AJ5326">
        <v>87.488185657410398</v>
      </c>
      <c r="AK5326">
        <v>15.0154095002014</v>
      </c>
      <c r="AL5326">
        <v>95.536027806792603</v>
      </c>
      <c r="AM5326">
        <v>90.511789716249496</v>
      </c>
      <c r="AN5326">
        <v>0.99999997415660502</v>
      </c>
    </row>
    <row r="5327" spans="1:40" x14ac:dyDescent="0.25">
      <c r="A5327" t="str">
        <f>"20190303154246232"</f>
        <v>20190303154246232</v>
      </c>
      <c r="B5327" t="str">
        <f>"1551598966225649"</f>
        <v>1551598966225649</v>
      </c>
      <c r="C5327" t="s">
        <v>40</v>
      </c>
      <c r="D5327">
        <v>5.8983759999999998</v>
      </c>
      <c r="E5327">
        <v>0.52058819999999995</v>
      </c>
      <c r="F5327" t="s">
        <v>57</v>
      </c>
      <c r="G5327">
        <v>-306.90899999999999</v>
      </c>
      <c r="H5327" s="1">
        <v>-9.691099E-6</v>
      </c>
      <c r="I5327">
        <v>141.77600000000001</v>
      </c>
      <c r="J5327">
        <v>-292.36630000000002</v>
      </c>
      <c r="K5327">
        <v>1.1204320000000001</v>
      </c>
      <c r="L5327">
        <v>141.0812</v>
      </c>
      <c r="M5327">
        <v>-0.99994769999999999</v>
      </c>
      <c r="N5327">
        <v>-9.9910109999999993E-3</v>
      </c>
      <c r="O5327">
        <v>2.2317819999999999E-3</v>
      </c>
      <c r="P5327">
        <v>-0.99428669999999997</v>
      </c>
      <c r="Q5327">
        <v>-0.106534199999999</v>
      </c>
      <c r="R5327">
        <v>-6.6553080000000004E-3</v>
      </c>
      <c r="S5327">
        <v>-2.9939580000000001</v>
      </c>
      <c r="T5327">
        <v>-0.22599859999999999</v>
      </c>
      <c r="U5327">
        <v>0.14024349999999999</v>
      </c>
      <c r="V5327">
        <v>-8.8516089999999999E-3</v>
      </c>
      <c r="W5327">
        <v>-9.6597260000000004E-2</v>
      </c>
      <c r="X5327">
        <v>0.99528419999999895</v>
      </c>
      <c r="Y5327">
        <v>4.4423219999999999E-2</v>
      </c>
      <c r="Z5327">
        <v>1.7498730000000001E-3</v>
      </c>
      <c r="AA5327">
        <v>0.99901130000000005</v>
      </c>
      <c r="AB5327">
        <v>31</v>
      </c>
      <c r="AC5327">
        <v>-14.5426999999999</v>
      </c>
      <c r="AD5327">
        <v>-1.1204416910989901</v>
      </c>
      <c r="AE5327">
        <v>0.69480000000001496</v>
      </c>
      <c r="AF5327">
        <v>0.65844096141145303</v>
      </c>
      <c r="AG5327">
        <v>-1.1204416910989901</v>
      </c>
      <c r="AH5327">
        <v>14.4585848758348</v>
      </c>
      <c r="AI5327">
        <v>94.426606707066995</v>
      </c>
      <c r="AJ5327">
        <v>87.392563566150798</v>
      </c>
      <c r="AK5327">
        <v>14.516873309860401</v>
      </c>
      <c r="AL5327">
        <v>95.543258875008704</v>
      </c>
      <c r="AM5327">
        <v>90.509549399989098</v>
      </c>
      <c r="AN5327">
        <v>1.00000001019551</v>
      </c>
    </row>
    <row r="5328" spans="1:40" x14ac:dyDescent="0.25">
      <c r="A5328" t="str">
        <f>"20190303154246254"</f>
        <v>20190303154246254</v>
      </c>
      <c r="B5328" t="str">
        <f>"1551598966245168"</f>
        <v>1551598966245168</v>
      </c>
      <c r="C5328" t="s">
        <v>40</v>
      </c>
      <c r="D5328">
        <v>5.91547</v>
      </c>
      <c r="E5328">
        <v>0.52065070000000002</v>
      </c>
      <c r="F5328" t="s">
        <v>57</v>
      </c>
      <c r="G5328">
        <v>-307.0403</v>
      </c>
      <c r="H5328" s="1">
        <v>-9.7110510000000002E-6</v>
      </c>
      <c r="I5328">
        <v>141.77969999999999</v>
      </c>
      <c r="J5328">
        <v>-292.69119999999998</v>
      </c>
      <c r="K5328">
        <v>1.12042</v>
      </c>
      <c r="L5328">
        <v>141.08179999999999</v>
      </c>
      <c r="M5328">
        <v>-0.99994890000000003</v>
      </c>
      <c r="N5328">
        <v>-9.9018189999999992E-3</v>
      </c>
      <c r="O5328">
        <v>2.0897810000000002E-3</v>
      </c>
      <c r="P5328">
        <v>-0.99430750000000001</v>
      </c>
      <c r="Q5328">
        <v>-0.1063269</v>
      </c>
      <c r="R5328">
        <v>-6.8683980000000004E-3</v>
      </c>
      <c r="S5328">
        <v>-2.9936829999999999</v>
      </c>
      <c r="T5328">
        <v>-0.22858419999999999</v>
      </c>
      <c r="U5328">
        <v>0.14248659999999999</v>
      </c>
      <c r="V5328">
        <v>-8.9233769999999997E-3</v>
      </c>
      <c r="W5328">
        <v>-9.6478530000000007E-2</v>
      </c>
      <c r="X5328">
        <v>0.99529500000000004</v>
      </c>
      <c r="Y5328">
        <v>4.5310160000000002E-2</v>
      </c>
      <c r="Z5328">
        <v>1.812592E-3</v>
      </c>
      <c r="AA5328">
        <v>0.99897130000000001</v>
      </c>
      <c r="AB5328">
        <v>31</v>
      </c>
      <c r="AC5328">
        <v>-14.3491</v>
      </c>
      <c r="AD5328">
        <v>-1.120429711051</v>
      </c>
      <c r="AE5328">
        <v>0.69790000000000396</v>
      </c>
      <c r="AF5328">
        <v>0.66387242017885095</v>
      </c>
      <c r="AG5328">
        <v>-1.120429711051</v>
      </c>
      <c r="AH5328">
        <v>14.2637655132012</v>
      </c>
      <c r="AI5328">
        <v>94.486567941956196</v>
      </c>
      <c r="AJ5328">
        <v>87.335229749907199</v>
      </c>
      <c r="AK5328">
        <v>14.3230965905865</v>
      </c>
      <c r="AL5328">
        <v>95.536424641050502</v>
      </c>
      <c r="AM5328">
        <v>90.513674983670398</v>
      </c>
      <c r="AN5328">
        <v>0.99999993521651998</v>
      </c>
    </row>
    <row r="5329" spans="1:40" x14ac:dyDescent="0.25">
      <c r="A5329" t="str">
        <f>"20190303154246279"</f>
        <v>20190303154246279</v>
      </c>
      <c r="B5329" t="str">
        <f>"1551598966275425"</f>
        <v>1551598966275425</v>
      </c>
      <c r="C5329" t="s">
        <v>40</v>
      </c>
      <c r="D5329">
        <v>5.9169549999999997</v>
      </c>
      <c r="E5329">
        <v>0.52084209999999997</v>
      </c>
      <c r="F5329" t="s">
        <v>57</v>
      </c>
      <c r="G5329">
        <v>-307.22899999999998</v>
      </c>
      <c r="H5329" s="1">
        <v>-9.7361759999999994E-6</v>
      </c>
      <c r="I5329">
        <v>141.773</v>
      </c>
      <c r="J5329">
        <v>-293.0172</v>
      </c>
      <c r="K5329">
        <v>1.120411</v>
      </c>
      <c r="L5329">
        <v>141.08240000000001</v>
      </c>
      <c r="M5329">
        <v>-0.99995009999999995</v>
      </c>
      <c r="N5329">
        <v>-9.8081360000000003E-3</v>
      </c>
      <c r="O5329">
        <v>1.9474410000000001E-3</v>
      </c>
      <c r="P5329">
        <v>-0.99436500000000005</v>
      </c>
      <c r="Q5329">
        <v>-0.1057998</v>
      </c>
      <c r="R5329">
        <v>-6.6698859999999999E-3</v>
      </c>
      <c r="S5329">
        <v>-2.9935</v>
      </c>
      <c r="T5329">
        <v>-0.23070860000000001</v>
      </c>
      <c r="U5329">
        <v>0.14231869999999999</v>
      </c>
      <c r="V5329">
        <v>-8.5834540000000008E-3</v>
      </c>
      <c r="W5329">
        <v>-9.6044039999999997E-2</v>
      </c>
      <c r="X5329">
        <v>0.99534</v>
      </c>
      <c r="Y5329">
        <v>4.539642E-2</v>
      </c>
      <c r="Z5329">
        <v>1.83819E-3</v>
      </c>
      <c r="AA5329">
        <v>0.9989673</v>
      </c>
      <c r="AB5329">
        <v>31</v>
      </c>
      <c r="AC5329">
        <v>-14.2118</v>
      </c>
      <c r="AD5329">
        <v>-1.1204207361759999</v>
      </c>
      <c r="AE5329">
        <v>0.690599999999989</v>
      </c>
      <c r="AF5329">
        <v>0.65883548709707995</v>
      </c>
      <c r="AG5329">
        <v>-1.1204207361759999</v>
      </c>
      <c r="AH5329">
        <v>14.1255300265031</v>
      </c>
      <c r="AI5329">
        <v>94.530235696482194</v>
      </c>
      <c r="AJ5329">
        <v>87.329575925302194</v>
      </c>
      <c r="AK5329">
        <v>14.1852037473825</v>
      </c>
      <c r="AL5329">
        <v>95.511414108798405</v>
      </c>
      <c r="AM5329">
        <v>90.494085937707197</v>
      </c>
      <c r="AN5329">
        <v>0.99999992445104302</v>
      </c>
    </row>
    <row r="5330" spans="1:40" x14ac:dyDescent="0.25">
      <c r="A5330" t="str">
        <f>"20190303154246299"</f>
        <v>20190303154246299</v>
      </c>
      <c r="B5330" t="str">
        <f>"1551598966294946"</f>
        <v>1551598966294946</v>
      </c>
      <c r="C5330" t="s">
        <v>40</v>
      </c>
      <c r="D5330">
        <v>5.9333030000000004</v>
      </c>
      <c r="E5330">
        <v>0.52091589999999999</v>
      </c>
      <c r="F5330" t="s">
        <v>42</v>
      </c>
      <c r="G5330">
        <v>-293.98809999999997</v>
      </c>
      <c r="H5330">
        <v>1.043339</v>
      </c>
      <c r="I5330">
        <v>141.12950000000001</v>
      </c>
      <c r="J5330">
        <v>-293.31330000000003</v>
      </c>
      <c r="K5330">
        <v>1.120401</v>
      </c>
      <c r="L5330">
        <v>141.08279999999999</v>
      </c>
      <c r="M5330">
        <v>-0.99995120000000004</v>
      </c>
      <c r="N5330">
        <v>-9.7220150000000005E-3</v>
      </c>
      <c r="O5330">
        <v>1.8181720000000001E-3</v>
      </c>
      <c r="P5330">
        <v>-0.99442280000000005</v>
      </c>
      <c r="Q5330">
        <v>-0.10526629999999999</v>
      </c>
      <c r="R5330">
        <v>-6.5201950000000003E-3</v>
      </c>
      <c r="S5330">
        <v>-2.9926759999999999</v>
      </c>
      <c r="T5330">
        <v>-0.23762259999999999</v>
      </c>
      <c r="U5330">
        <v>0.14465329999999901</v>
      </c>
      <c r="V5330">
        <v>-8.3047390000000002E-3</v>
      </c>
      <c r="W5330">
        <v>-9.5595680000000002E-2</v>
      </c>
      <c r="X5330">
        <v>0.99538559999999998</v>
      </c>
      <c r="Y5330">
        <v>4.63043E-2</v>
      </c>
      <c r="Z5330">
        <v>1.933567E-3</v>
      </c>
      <c r="AA5330">
        <v>0.99892550000000002</v>
      </c>
      <c r="AB5330">
        <v>31</v>
      </c>
      <c r="AC5330">
        <v>-0.674799999999947</v>
      </c>
      <c r="AD5330">
        <v>-7.7061999999999894E-2</v>
      </c>
      <c r="AE5330">
        <v>4.67000000000155E-2</v>
      </c>
      <c r="AF5330">
        <v>4.4890312191650301E-2</v>
      </c>
      <c r="AG5330">
        <v>-7.7061999999999894E-2</v>
      </c>
      <c r="AH5330">
        <v>0.66623643345252204</v>
      </c>
      <c r="AI5330">
        <v>96.5831524239739</v>
      </c>
      <c r="AJ5330">
        <v>86.1452967702119</v>
      </c>
      <c r="AK5330">
        <v>0.67217905146783696</v>
      </c>
      <c r="AL5330">
        <v>95.485605817771898</v>
      </c>
      <c r="AM5330">
        <v>90.478021235607699</v>
      </c>
      <c r="AN5330">
        <v>0.99999999770593995</v>
      </c>
    </row>
    <row r="5331" spans="1:40" x14ac:dyDescent="0.25">
      <c r="A5331" t="str">
        <f>"20190303154246321"</f>
        <v>20190303154246321</v>
      </c>
      <c r="B5331" t="str">
        <f>"1551598966315441"</f>
        <v>1551598966315441</v>
      </c>
      <c r="C5331" t="s">
        <v>40</v>
      </c>
      <c r="D5331">
        <v>5.9339729999999999</v>
      </c>
      <c r="E5331">
        <v>0.52095420000000003</v>
      </c>
      <c r="F5331" t="s">
        <v>42</v>
      </c>
      <c r="G5331">
        <v>-294.2688</v>
      </c>
      <c r="H5331">
        <v>1.0446150000000001</v>
      </c>
      <c r="I5331">
        <v>141.1293</v>
      </c>
      <c r="J5331">
        <v>-293.61290000000002</v>
      </c>
      <c r="K5331">
        <v>1.1203939999999999</v>
      </c>
      <c r="L5331">
        <v>141.08320000000001</v>
      </c>
      <c r="M5331">
        <v>-0.99995230000000002</v>
      </c>
      <c r="N5331">
        <v>-9.6390299999999998E-3</v>
      </c>
      <c r="O5331">
        <v>1.6872149999999999E-3</v>
      </c>
      <c r="P5331">
        <v>-0.99451750000000005</v>
      </c>
      <c r="Q5331">
        <v>-0.10435990000000001</v>
      </c>
      <c r="R5331">
        <v>-6.6602789999999999E-3</v>
      </c>
      <c r="S5331">
        <v>-2.9926759999999999</v>
      </c>
      <c r="T5331">
        <v>-0.23734469999999999</v>
      </c>
      <c r="U5331">
        <v>0.14582819999999999</v>
      </c>
      <c r="V5331">
        <v>-8.3148919999999904E-3</v>
      </c>
      <c r="W5331">
        <v>-9.4771049999999996E-2</v>
      </c>
      <c r="X5331">
        <v>0.99546440000000003</v>
      </c>
      <c r="Y5331">
        <v>4.6824749999999998E-2</v>
      </c>
      <c r="Z5331">
        <v>1.9617160000000001E-3</v>
      </c>
      <c r="AA5331">
        <v>0.99890120000000004</v>
      </c>
      <c r="AB5331">
        <v>31</v>
      </c>
      <c r="AC5331">
        <v>-0.65589999999997395</v>
      </c>
      <c r="AD5331">
        <v>-7.5778999999999999E-2</v>
      </c>
      <c r="AE5331">
        <v>4.6099999999995499E-2</v>
      </c>
      <c r="AF5331">
        <v>4.4403446639661802E-2</v>
      </c>
      <c r="AG5331">
        <v>-7.5778999999999999E-2</v>
      </c>
      <c r="AH5331">
        <v>0.64737800229568898</v>
      </c>
      <c r="AI5331">
        <v>96.660881106676001</v>
      </c>
      <c r="AJ5331">
        <v>86.076246572476705</v>
      </c>
      <c r="AK5331">
        <v>0.65330880965347404</v>
      </c>
      <c r="AL5331">
        <v>95.438142323696098</v>
      </c>
      <c r="AM5331">
        <v>90.478567731484304</v>
      </c>
      <c r="AN5331">
        <v>1.0000000305072101</v>
      </c>
    </row>
    <row r="5332" spans="1:40" x14ac:dyDescent="0.25">
      <c r="A5332" t="str">
        <f>"20190303154246344"</f>
        <v>20190303154246344</v>
      </c>
      <c r="B5332" t="str">
        <f>"1551598966334961"</f>
        <v>1551598966334961</v>
      </c>
      <c r="C5332" t="s">
        <v>40</v>
      </c>
      <c r="D5332">
        <v>5.9248310000000002</v>
      </c>
      <c r="E5332">
        <v>0.52104459999999997</v>
      </c>
      <c r="F5332" t="s">
        <v>42</v>
      </c>
      <c r="G5332">
        <v>-294.55090000000001</v>
      </c>
      <c r="H5332">
        <v>1.04664</v>
      </c>
      <c r="I5332">
        <v>141.12909999999999</v>
      </c>
      <c r="J5332">
        <v>-293.9366</v>
      </c>
      <c r="K5332">
        <v>1.1203809999999901</v>
      </c>
      <c r="L5332">
        <v>141.08359999999999</v>
      </c>
      <c r="M5332">
        <v>-0.99995330000000004</v>
      </c>
      <c r="N5332">
        <v>-9.5574690000000007E-3</v>
      </c>
      <c r="O5332">
        <v>1.5455779999999999E-3</v>
      </c>
      <c r="P5332">
        <v>-0.99454469999999995</v>
      </c>
      <c r="Q5332">
        <v>-0.10408580000000001</v>
      </c>
      <c r="R5332">
        <v>-6.8828369999999897E-3</v>
      </c>
      <c r="S5332">
        <v>-2.9927980000000001</v>
      </c>
      <c r="T5332">
        <v>-0.235351</v>
      </c>
      <c r="U5332">
        <v>0.14558409999999999</v>
      </c>
      <c r="V5332">
        <v>-8.3966900000000001E-3</v>
      </c>
      <c r="W5332">
        <v>-9.4577900000000006E-2</v>
      </c>
      <c r="X5332">
        <v>0.99548199999999998</v>
      </c>
      <c r="Y5332">
        <v>4.6885120000000002E-2</v>
      </c>
      <c r="Z5332">
        <v>1.9576139999999999E-3</v>
      </c>
      <c r="AA5332">
        <v>0.99889839999999996</v>
      </c>
      <c r="AB5332">
        <v>31</v>
      </c>
      <c r="AC5332">
        <v>-0.61430000000001395</v>
      </c>
      <c r="AD5332">
        <v>-7.3740999999999807E-2</v>
      </c>
      <c r="AE5332">
        <v>4.5500000000004003E-2</v>
      </c>
      <c r="AF5332">
        <v>4.3921015344513599E-2</v>
      </c>
      <c r="AG5332">
        <v>-7.3740999999999807E-2</v>
      </c>
      <c r="AH5332">
        <v>0.60568936974246101</v>
      </c>
      <c r="AI5332">
        <v>96.923438701682102</v>
      </c>
      <c r="AJ5332">
        <v>85.852507922050407</v>
      </c>
      <c r="AK5332">
        <v>0.61174047053379799</v>
      </c>
      <c r="AL5332">
        <v>95.427026160940301</v>
      </c>
      <c r="AM5332">
        <v>90.483266889877399</v>
      </c>
      <c r="AN5332">
        <v>0.99999994794768099</v>
      </c>
    </row>
    <row r="5333" spans="1:40" x14ac:dyDescent="0.25">
      <c r="A5333" t="str">
        <f>"20190303154246365"</f>
        <v>20190303154246365</v>
      </c>
      <c r="B5333" t="str">
        <f>"1551598966355457"</f>
        <v>1551598966355457</v>
      </c>
      <c r="C5333" t="s">
        <v>40</v>
      </c>
      <c r="D5333">
        <v>5.9426639999999997</v>
      </c>
      <c r="E5333">
        <v>0.52107999999999999</v>
      </c>
      <c r="F5333" t="s">
        <v>42</v>
      </c>
      <c r="G5333">
        <v>-294.83420000000001</v>
      </c>
      <c r="H5333">
        <v>1.0491029999999999</v>
      </c>
      <c r="I5333">
        <v>141.1275</v>
      </c>
      <c r="J5333">
        <v>-294.23649999999998</v>
      </c>
      <c r="K5333">
        <v>1.1203700000000001</v>
      </c>
      <c r="L5333">
        <v>141.084</v>
      </c>
      <c r="M5333">
        <v>-0.99995400000000001</v>
      </c>
      <c r="N5333">
        <v>-9.4897409999999995E-3</v>
      </c>
      <c r="O5333">
        <v>1.414539E-3</v>
      </c>
      <c r="P5333">
        <v>-0.99456580000000006</v>
      </c>
      <c r="Q5333">
        <v>-0.10389569999999999</v>
      </c>
      <c r="R5333">
        <v>-6.6933699999999997E-3</v>
      </c>
      <c r="S5333">
        <v>-2.9925839999999999</v>
      </c>
      <c r="T5333">
        <v>-0.237708</v>
      </c>
      <c r="U5333">
        <v>0.14569089999999901</v>
      </c>
      <c r="V5333">
        <v>-8.0773230000000008E-3</v>
      </c>
      <c r="W5333">
        <v>-9.4454960000000004E-2</v>
      </c>
      <c r="X5333">
        <v>0.99549639999999995</v>
      </c>
      <c r="Y5333">
        <v>4.7051250000000003E-2</v>
      </c>
      <c r="Z5333">
        <v>1.9897209999999999E-3</v>
      </c>
      <c r="AA5333">
        <v>0.99889050000000001</v>
      </c>
      <c r="AB5333">
        <v>31</v>
      </c>
      <c r="AC5333">
        <v>-0.59770000000003098</v>
      </c>
      <c r="AD5333">
        <v>-7.12669999999999E-2</v>
      </c>
      <c r="AE5333">
        <v>4.3499999999994501E-2</v>
      </c>
      <c r="AF5333">
        <v>4.20596338422781E-2</v>
      </c>
      <c r="AG5333">
        <v>-7.12669999999999E-2</v>
      </c>
      <c r="AH5333">
        <v>0.58942518415070899</v>
      </c>
      <c r="AI5333">
        <v>96.876811191347699</v>
      </c>
      <c r="AJ5333">
        <v>85.918461136869396</v>
      </c>
      <c r="AK5333">
        <v>0.59520588521875695</v>
      </c>
      <c r="AL5333">
        <v>95.4199500823036</v>
      </c>
      <c r="AM5333">
        <v>90.464879995574606</v>
      </c>
      <c r="AN5333">
        <v>1.0000000325142</v>
      </c>
    </row>
    <row r="5334" spans="1:40" x14ac:dyDescent="0.25">
      <c r="A5334" t="str">
        <f>"20190303154246388"</f>
        <v>20190303154246388</v>
      </c>
      <c r="B5334" t="str">
        <f>"1551598966385714"</f>
        <v>1551598966385714</v>
      </c>
      <c r="C5334" t="s">
        <v>40</v>
      </c>
      <c r="D5334">
        <v>5.9406330000000001</v>
      </c>
      <c r="E5334">
        <v>0.52113929999999997</v>
      </c>
      <c r="F5334" t="s">
        <v>42</v>
      </c>
      <c r="G5334">
        <v>-295.11660000000001</v>
      </c>
      <c r="H5334">
        <v>1.050206</v>
      </c>
      <c r="I5334">
        <v>141.12729999999999</v>
      </c>
      <c r="J5334">
        <v>-294.56330000000003</v>
      </c>
      <c r="K5334">
        <v>1.1203620000000001</v>
      </c>
      <c r="L5334">
        <v>141.08430000000001</v>
      </c>
      <c r="M5334">
        <v>-0.99995489999999998</v>
      </c>
      <c r="N5334">
        <v>-9.4240230000000001E-3</v>
      </c>
      <c r="O5334">
        <v>1.2719840000000001E-3</v>
      </c>
      <c r="P5334">
        <v>-0.99456469999999997</v>
      </c>
      <c r="Q5334">
        <v>-0.1039191</v>
      </c>
      <c r="R5334">
        <v>-6.4913380000000001E-3</v>
      </c>
      <c r="S5334">
        <v>-2.9924620000000002</v>
      </c>
      <c r="T5334">
        <v>-0.2385565</v>
      </c>
      <c r="U5334">
        <v>0.1465912</v>
      </c>
      <c r="V5334">
        <v>-7.7335829999999996E-3</v>
      </c>
      <c r="W5334">
        <v>-9.4543719999999998E-2</v>
      </c>
      <c r="X5334">
        <v>0.99549069999999995</v>
      </c>
      <c r="Y5334">
        <v>4.7492550000000001E-2</v>
      </c>
      <c r="Z5334">
        <v>2.024011E-3</v>
      </c>
      <c r="AA5334">
        <v>0.99886949999999997</v>
      </c>
      <c r="AB5334">
        <v>31</v>
      </c>
      <c r="AC5334">
        <v>-0.55329999999997803</v>
      </c>
      <c r="AD5334">
        <v>-7.0156000000000093E-2</v>
      </c>
      <c r="AE5334">
        <v>4.2999999999977903E-2</v>
      </c>
      <c r="AF5334">
        <v>4.1630859036432703E-2</v>
      </c>
      <c r="AG5334">
        <v>-7.0156000000000093E-2</v>
      </c>
      <c r="AH5334">
        <v>0.54465040783824104</v>
      </c>
      <c r="AI5334">
        <v>97.318693787270306</v>
      </c>
      <c r="AJ5334">
        <v>85.6290431017771</v>
      </c>
      <c r="AK5334">
        <v>0.55072593866502595</v>
      </c>
      <c r="AL5334">
        <v>95.425058537770994</v>
      </c>
      <c r="AM5334">
        <v>90.445099841522307</v>
      </c>
      <c r="AN5334">
        <v>1.0000000285419699</v>
      </c>
    </row>
    <row r="5335" spans="1:40" x14ac:dyDescent="0.25">
      <c r="A5335" t="str">
        <f>"20190303154246412"</f>
        <v>20190303154246412</v>
      </c>
      <c r="B5335" t="str">
        <f>"1551598966405233"</f>
        <v>1551598966405233</v>
      </c>
      <c r="C5335" t="s">
        <v>40</v>
      </c>
      <c r="D5335">
        <v>5.9316680000000002</v>
      </c>
      <c r="E5335">
        <v>0.52115940000000005</v>
      </c>
      <c r="F5335" t="s">
        <v>42</v>
      </c>
      <c r="G5335">
        <v>-295.40129999999999</v>
      </c>
      <c r="H5335">
        <v>1.0532319999999999</v>
      </c>
      <c r="I5335">
        <v>141.1258</v>
      </c>
      <c r="J5335">
        <v>-294.88869999999997</v>
      </c>
      <c r="K5335">
        <v>1.1203540000000001</v>
      </c>
      <c r="L5335">
        <v>141.08459999999999</v>
      </c>
      <c r="M5335">
        <v>-0.9999555</v>
      </c>
      <c r="N5335">
        <v>-9.3666080000000002E-3</v>
      </c>
      <c r="O5335">
        <v>1.1322560000000001E-3</v>
      </c>
      <c r="P5335">
        <v>-0.99458690000000005</v>
      </c>
      <c r="Q5335">
        <v>-0.10371950000000001</v>
      </c>
      <c r="R5335">
        <v>-6.2608500000000001E-3</v>
      </c>
      <c r="S5335">
        <v>-2.9923099999999998</v>
      </c>
      <c r="T5335">
        <v>-0.2397292</v>
      </c>
      <c r="U5335">
        <v>0.1477203</v>
      </c>
      <c r="V5335">
        <v>-7.3634249999999998E-3</v>
      </c>
      <c r="W5335">
        <v>-9.4400910000000005E-2</v>
      </c>
      <c r="X5335">
        <v>0.99550700000000003</v>
      </c>
      <c r="Y5335">
        <v>4.8007000000000001E-2</v>
      </c>
      <c r="Z5335">
        <v>2.0642519999999999E-3</v>
      </c>
      <c r="AA5335">
        <v>0.99884490000000004</v>
      </c>
      <c r="AB5335">
        <v>31</v>
      </c>
      <c r="AC5335">
        <v>-0.51260000000002004</v>
      </c>
      <c r="AD5335">
        <v>-6.7122000000000098E-2</v>
      </c>
      <c r="AE5335">
        <v>4.1200000000003401E-2</v>
      </c>
      <c r="AF5335">
        <v>3.9939137412978699E-2</v>
      </c>
      <c r="AG5335">
        <v>-6.7122000000000098E-2</v>
      </c>
      <c r="AH5335">
        <v>0.50405900720046104</v>
      </c>
      <c r="AI5335">
        <v>97.561629139224493</v>
      </c>
      <c r="AJ5335">
        <v>85.469631432873896</v>
      </c>
      <c r="AK5335">
        <v>0.51007448507174602</v>
      </c>
      <c r="AL5335">
        <v>95.416839688486704</v>
      </c>
      <c r="AM5335">
        <v>90.423789568039993</v>
      </c>
      <c r="AN5335">
        <v>0.99999996944277803</v>
      </c>
    </row>
    <row r="5336" spans="1:40" x14ac:dyDescent="0.25">
      <c r="A5336" t="str">
        <f>"20190303154246432"</f>
        <v>20190303154246432</v>
      </c>
      <c r="B5336" t="str">
        <f>"1551598966425729"</f>
        <v>1551598966425729</v>
      </c>
      <c r="C5336" t="s">
        <v>40</v>
      </c>
      <c r="D5336">
        <v>5.8336489999999896</v>
      </c>
      <c r="E5336">
        <v>0.52099719999999905</v>
      </c>
      <c r="F5336" t="s">
        <v>57</v>
      </c>
      <c r="G5336">
        <v>-308.85539999999997</v>
      </c>
      <c r="H5336" s="1">
        <v>-9.9711050000000005E-6</v>
      </c>
      <c r="I5336">
        <v>141.77760000000001</v>
      </c>
      <c r="J5336">
        <v>-295.18689999999998</v>
      </c>
      <c r="K5336">
        <v>1.1203479999999999</v>
      </c>
      <c r="L5336">
        <v>141.0848</v>
      </c>
      <c r="M5336">
        <v>-0.99995610000000001</v>
      </c>
      <c r="N5336">
        <v>-9.3208340000000001E-3</v>
      </c>
      <c r="O5336">
        <v>1.0069639999999999E-3</v>
      </c>
      <c r="P5336">
        <v>-0.99453130000000001</v>
      </c>
      <c r="Q5336">
        <v>-0.1042661</v>
      </c>
      <c r="R5336">
        <v>-6.0212729999999997E-3</v>
      </c>
      <c r="S5336">
        <v>-2.9922179999999998</v>
      </c>
      <c r="T5336">
        <v>-0.2400273</v>
      </c>
      <c r="U5336">
        <v>0.14848329999999901</v>
      </c>
      <c r="V5336">
        <v>-6.9998869999999998E-3</v>
      </c>
      <c r="W5336">
        <v>-9.4993460000000002E-2</v>
      </c>
      <c r="X5336">
        <v>0.99545329999999999</v>
      </c>
      <c r="Y5336">
        <v>4.8385730000000002E-2</v>
      </c>
      <c r="Z5336">
        <v>2.091201E-3</v>
      </c>
      <c r="AA5336">
        <v>0.99882660000000001</v>
      </c>
      <c r="AB5336">
        <v>32</v>
      </c>
      <c r="AC5336">
        <v>-13.6684999999999</v>
      </c>
      <c r="AD5336">
        <v>-1.12035797110499</v>
      </c>
      <c r="AE5336">
        <v>0.69280000000000497</v>
      </c>
      <c r="AF5336">
        <v>0.67451525012186198</v>
      </c>
      <c r="AG5336">
        <v>-1.12035797110499</v>
      </c>
      <c r="AH5336">
        <v>13.5781994415564</v>
      </c>
      <c r="AI5336">
        <v>94.711094126110396</v>
      </c>
      <c r="AJ5336">
        <v>87.156093186690697</v>
      </c>
      <c r="AK5336">
        <v>13.6410290257278</v>
      </c>
      <c r="AL5336">
        <v>95.450943318228596</v>
      </c>
      <c r="AM5336">
        <v>90.402889188161097</v>
      </c>
      <c r="AN5336">
        <v>1.0000000141708301</v>
      </c>
    </row>
    <row r="5337" spans="1:40" x14ac:dyDescent="0.25">
      <c r="A5337" t="str">
        <f>"20190303154246454"</f>
        <v>20190303154246454</v>
      </c>
      <c r="B5337" t="str">
        <f>"1551598966445249"</f>
        <v>1551598966445249</v>
      </c>
      <c r="C5337" t="s">
        <v>40</v>
      </c>
      <c r="D5337">
        <v>5.8320860000000003</v>
      </c>
      <c r="E5337">
        <v>0.5012257</v>
      </c>
      <c r="F5337" t="s">
        <v>57</v>
      </c>
      <c r="G5337">
        <v>-309.02550000000002</v>
      </c>
      <c r="H5337" s="1">
        <v>-9.9930200000000004E-6</v>
      </c>
      <c r="I5337">
        <v>141.76920000000001</v>
      </c>
      <c r="J5337">
        <v>-295.5016</v>
      </c>
      <c r="K5337">
        <v>1.120339</v>
      </c>
      <c r="L5337">
        <v>141.08500000000001</v>
      </c>
      <c r="M5337">
        <v>-0.99995659999999997</v>
      </c>
      <c r="N5337">
        <v>-9.2788360000000004E-3</v>
      </c>
      <c r="O5337">
        <v>8.796435E-4</v>
      </c>
      <c r="P5337">
        <v>-0.9944944</v>
      </c>
      <c r="Q5337">
        <v>-0.1046208</v>
      </c>
      <c r="R5337">
        <v>-5.9674150000000002E-3</v>
      </c>
      <c r="S5337">
        <v>-2.992035</v>
      </c>
      <c r="T5337">
        <v>-0.24223169999999999</v>
      </c>
      <c r="U5337">
        <v>0.1479645</v>
      </c>
      <c r="V5337">
        <v>-6.8202019999999896E-3</v>
      </c>
      <c r="W5337">
        <v>-9.539019E-2</v>
      </c>
      <c r="X5337">
        <v>0.99541659999999998</v>
      </c>
      <c r="Y5337">
        <v>4.8340099999999997E-2</v>
      </c>
      <c r="Z5337">
        <v>2.1143070000000002E-3</v>
      </c>
      <c r="AA5337">
        <v>0.99882870000000001</v>
      </c>
      <c r="AB5337">
        <v>32</v>
      </c>
      <c r="AC5337">
        <v>-13.523899999999999</v>
      </c>
      <c r="AD5337">
        <v>-1.1203489930199999</v>
      </c>
      <c r="AE5337">
        <v>0.68420000000000403</v>
      </c>
      <c r="AF5337">
        <v>0.66773218471361395</v>
      </c>
      <c r="AG5337">
        <v>-1.1203489930199999</v>
      </c>
      <c r="AH5337">
        <v>13.4325468127478</v>
      </c>
      <c r="AI5337">
        <v>94.761898191035002</v>
      </c>
      <c r="AJ5337">
        <v>87.154168150702105</v>
      </c>
      <c r="AK5337">
        <v>13.495716432013699</v>
      </c>
      <c r="AL5337">
        <v>95.473778013440196</v>
      </c>
      <c r="AM5337">
        <v>90.392561943796906</v>
      </c>
      <c r="AN5337">
        <v>1.0000000055295499</v>
      </c>
    </row>
    <row r="5338" spans="1:40" x14ac:dyDescent="0.25">
      <c r="A5338" t="str">
        <f>"20190303154246477"</f>
        <v>20190303154246477</v>
      </c>
      <c r="B5338" t="str">
        <f>"1551598966465275"</f>
        <v>1551598966465275</v>
      </c>
      <c r="C5338" t="s">
        <v>40</v>
      </c>
      <c r="D5338">
        <v>5.8716290000000004</v>
      </c>
      <c r="E5338">
        <v>0.49999100000000002</v>
      </c>
      <c r="F5338" t="s">
        <v>57</v>
      </c>
      <c r="G5338">
        <v>-316.01609999999999</v>
      </c>
      <c r="H5338" s="1">
        <v>-7.5025499999999999E-6</v>
      </c>
      <c r="I5338">
        <v>141.00890000000001</v>
      </c>
      <c r="J5338">
        <v>-295.82089999999999</v>
      </c>
      <c r="K5338">
        <v>1.1203270000000001</v>
      </c>
      <c r="L5338">
        <v>141.08510000000001</v>
      </c>
      <c r="M5338">
        <v>-0.99995699999999998</v>
      </c>
      <c r="N5338">
        <v>-9.2530619999999994E-3</v>
      </c>
      <c r="O5338">
        <v>7.5846959999999999E-4</v>
      </c>
      <c r="P5338">
        <v>-0.99446380000000001</v>
      </c>
      <c r="Q5338">
        <v>-0.104921</v>
      </c>
      <c r="R5338">
        <v>-5.7824510000000001E-3</v>
      </c>
      <c r="S5338">
        <v>-2.9993289999999999</v>
      </c>
      <c r="T5338">
        <v>-0.163801</v>
      </c>
      <c r="U5338">
        <v>-1.112366E-2</v>
      </c>
      <c r="V5338">
        <v>-6.5152700000000001E-3</v>
      </c>
      <c r="W5338">
        <v>-9.5716220000000005E-2</v>
      </c>
      <c r="X5338">
        <v>0.99538729999999997</v>
      </c>
      <c r="Y5338">
        <v>-4.4586349999999999E-3</v>
      </c>
      <c r="Z5338">
        <v>-1.766812E-4</v>
      </c>
      <c r="AA5338">
        <v>0.99999000000000005</v>
      </c>
      <c r="AB5338">
        <v>32</v>
      </c>
      <c r="AC5338">
        <v>-20.1952</v>
      </c>
      <c r="AD5338">
        <v>-1.12033450255</v>
      </c>
      <c r="AE5338">
        <v>-7.6200000000000004E-2</v>
      </c>
      <c r="AF5338">
        <v>-9.1237298155801699E-2</v>
      </c>
      <c r="AG5338">
        <v>-1.12033450255</v>
      </c>
      <c r="AH5338">
        <v>20.133177272927998</v>
      </c>
      <c r="AI5338">
        <v>93.184974151798002</v>
      </c>
      <c r="AJ5338">
        <v>90.259644876894498</v>
      </c>
      <c r="AK5338">
        <v>20.1645307593637</v>
      </c>
      <c r="AL5338">
        <v>95.492544273018595</v>
      </c>
      <c r="AM5338">
        <v>90.375022006463695</v>
      </c>
      <c r="AN5338">
        <v>0.99999996025777405</v>
      </c>
    </row>
    <row r="5339" spans="1:40" x14ac:dyDescent="0.25">
      <c r="A5339" t="str">
        <f>"20190303154246499"</f>
        <v>20190303154246499</v>
      </c>
      <c r="B5339" t="str">
        <f>"1551598966495530"</f>
        <v>1551598966495530</v>
      </c>
      <c r="C5339" t="s">
        <v>40</v>
      </c>
      <c r="D5339">
        <v>5.870152</v>
      </c>
      <c r="E5339">
        <v>0.4995637</v>
      </c>
      <c r="F5339" t="s">
        <v>57</v>
      </c>
      <c r="G5339">
        <v>-316.38049999999998</v>
      </c>
      <c r="H5339" s="1">
        <v>-7.3240940000000001E-6</v>
      </c>
      <c r="I5339">
        <v>140.9451</v>
      </c>
      <c r="J5339">
        <v>-296.12279999999998</v>
      </c>
      <c r="K5339">
        <v>1.1203190000000001</v>
      </c>
      <c r="L5339">
        <v>141.08529999999999</v>
      </c>
      <c r="M5339">
        <v>-0.99995710000000004</v>
      </c>
      <c r="N5339">
        <v>-9.2455390000000005E-3</v>
      </c>
      <c r="O5339">
        <v>6.526018E-4</v>
      </c>
      <c r="P5339">
        <v>-0.99447529999999995</v>
      </c>
      <c r="Q5339">
        <v>-0.10482279999999999</v>
      </c>
      <c r="R5339">
        <v>-5.59313E-3</v>
      </c>
      <c r="S5339">
        <v>-2.9993289999999999</v>
      </c>
      <c r="T5339">
        <v>-0.16343920000000001</v>
      </c>
      <c r="U5339">
        <v>-2.0431520000000002E-2</v>
      </c>
      <c r="V5339">
        <v>-6.2224740000000004E-3</v>
      </c>
      <c r="W5339">
        <v>-9.5625169999999995E-2</v>
      </c>
      <c r="X5339">
        <v>0.99539800000000001</v>
      </c>
      <c r="Y5339">
        <v>-7.4508869999999998E-3</v>
      </c>
      <c r="Z5339">
        <v>-2.6683320000000003E-4</v>
      </c>
      <c r="AA5339">
        <v>0.99997219999999998</v>
      </c>
      <c r="AB5339">
        <v>32</v>
      </c>
      <c r="AC5339">
        <v>-20.2577</v>
      </c>
      <c r="AD5339">
        <v>-1.120326324094</v>
      </c>
      <c r="AE5339">
        <v>-0.140199999999993</v>
      </c>
      <c r="AF5339">
        <v>-0.15295296140478401</v>
      </c>
      <c r="AG5339">
        <v>-1.120326324094</v>
      </c>
      <c r="AH5339">
        <v>20.195838128388701</v>
      </c>
      <c r="AI5339">
        <v>93.175031039964196</v>
      </c>
      <c r="AJ5339">
        <v>90.433920669691005</v>
      </c>
      <c r="AK5339">
        <v>20.227466558838799</v>
      </c>
      <c r="AL5339">
        <v>95.487303039259004</v>
      </c>
      <c r="AM5339">
        <v>90.358165130315896</v>
      </c>
      <c r="AN5339">
        <v>1.0000000353620999</v>
      </c>
    </row>
    <row r="5340" spans="1:40" x14ac:dyDescent="0.25">
      <c r="A5340" t="str">
        <f>"20190303154246522"</f>
        <v>20190303154246522</v>
      </c>
      <c r="B5340" t="str">
        <f>"1551598966515051"</f>
        <v>1551598966515051</v>
      </c>
      <c r="C5340" t="s">
        <v>40</v>
      </c>
      <c r="D5340">
        <v>5.8704010000000002</v>
      </c>
      <c r="E5340">
        <v>0.49940499999999999</v>
      </c>
      <c r="F5340" t="s">
        <v>57</v>
      </c>
      <c r="G5340">
        <v>-316.74759999999998</v>
      </c>
      <c r="H5340" s="1">
        <v>-7.1560569999999998E-6</v>
      </c>
      <c r="I5340">
        <v>140.92519999999999</v>
      </c>
      <c r="J5340">
        <v>-296.4615</v>
      </c>
      <c r="K5340">
        <v>1.120314</v>
      </c>
      <c r="L5340">
        <v>141.08529999999999</v>
      </c>
      <c r="M5340">
        <v>-0.99995710000000004</v>
      </c>
      <c r="N5340">
        <v>-9.2487360000000005E-3</v>
      </c>
      <c r="O5340">
        <v>5.42582E-4</v>
      </c>
      <c r="P5340">
        <v>-0.99446159999999995</v>
      </c>
      <c r="Q5340">
        <v>-0.10494879999999999</v>
      </c>
      <c r="R5340">
        <v>-5.6303150000000003E-3</v>
      </c>
      <c r="S5340">
        <v>-2.9993590000000001</v>
      </c>
      <c r="T5340">
        <v>-0.1629235</v>
      </c>
      <c r="U5340">
        <v>-2.3269649999999999E-2</v>
      </c>
      <c r="V5340">
        <v>-6.1516790000000002E-3</v>
      </c>
      <c r="W5340">
        <v>-9.5748E-2</v>
      </c>
      <c r="X5340">
        <v>0.99538660000000001</v>
      </c>
      <c r="Y5340">
        <v>-8.2857160000000003E-3</v>
      </c>
      <c r="Z5340">
        <v>-2.8765460000000002E-4</v>
      </c>
      <c r="AA5340">
        <v>0.99996560000000001</v>
      </c>
      <c r="AB5340">
        <v>32</v>
      </c>
      <c r="AC5340">
        <v>-20.286099999999902</v>
      </c>
      <c r="AD5340">
        <v>-1.1203211560569999</v>
      </c>
      <c r="AE5340">
        <v>-0.16009999999999899</v>
      </c>
      <c r="AF5340">
        <v>-0.17058707580175</v>
      </c>
      <c r="AG5340">
        <v>-1.1203211560569999</v>
      </c>
      <c r="AH5340">
        <v>20.224331461895598</v>
      </c>
      <c r="AI5340">
        <v>93.170530579130997</v>
      </c>
      <c r="AJ5340">
        <v>90.483263821253303</v>
      </c>
      <c r="AK5340">
        <v>20.256055946895501</v>
      </c>
      <c r="AL5340">
        <v>95.494373298627195</v>
      </c>
      <c r="AM5340">
        <v>90.354094335086103</v>
      </c>
      <c r="AN5340">
        <v>1.0000000030590299</v>
      </c>
    </row>
    <row r="5341" spans="1:40" x14ac:dyDescent="0.25">
      <c r="A5341" t="str">
        <f>"20190303154246544"</f>
        <v>20190303154246544</v>
      </c>
      <c r="B5341" t="str">
        <f>"1551598966535550"</f>
        <v>1551598966535550</v>
      </c>
      <c r="C5341" t="s">
        <v>40</v>
      </c>
      <c r="D5341">
        <v>5.8737120000000003</v>
      </c>
      <c r="E5341">
        <v>0.49923960000000001</v>
      </c>
      <c r="F5341" t="s">
        <v>57</v>
      </c>
      <c r="G5341">
        <v>-317.44830000000002</v>
      </c>
      <c r="H5341" s="1">
        <v>-6.8417890000000002E-6</v>
      </c>
      <c r="I5341">
        <v>140.9119</v>
      </c>
      <c r="J5341">
        <v>-296.7722</v>
      </c>
      <c r="K5341">
        <v>1.1203099999999999</v>
      </c>
      <c r="L5341">
        <v>141.08539999999999</v>
      </c>
      <c r="M5341">
        <v>-0.99995699999999998</v>
      </c>
      <c r="N5341">
        <v>-9.2622020000000006E-3</v>
      </c>
      <c r="O5341">
        <v>4.5194080000000001E-4</v>
      </c>
      <c r="P5341">
        <v>-0.99443789999999999</v>
      </c>
      <c r="Q5341">
        <v>-0.10517</v>
      </c>
      <c r="R5341">
        <v>-5.7372719999999999E-3</v>
      </c>
      <c r="S5341">
        <v>-2.9996640000000001</v>
      </c>
      <c r="T5341">
        <v>-0.16012850000000001</v>
      </c>
      <c r="U5341">
        <v>-2.479553E-2</v>
      </c>
      <c r="V5341">
        <v>-6.1695910000000003E-3</v>
      </c>
      <c r="W5341">
        <v>-9.5955869999999999E-2</v>
      </c>
      <c r="X5341">
        <v>0.99536650000000004</v>
      </c>
      <c r="Y5341">
        <v>-8.7027830000000004E-3</v>
      </c>
      <c r="Z5341">
        <v>-2.9238050000000002E-4</v>
      </c>
      <c r="AA5341">
        <v>0.99996209999999996</v>
      </c>
      <c r="AB5341">
        <v>32</v>
      </c>
      <c r="AC5341">
        <v>-20.676100000000002</v>
      </c>
      <c r="AD5341">
        <v>-1.1203168417889999</v>
      </c>
      <c r="AE5341">
        <v>-0.173499999999989</v>
      </c>
      <c r="AF5341">
        <v>-0.18230954743980801</v>
      </c>
      <c r="AG5341">
        <v>-1.1203168417889999</v>
      </c>
      <c r="AH5341">
        <v>20.615498244315098</v>
      </c>
      <c r="AI5341">
        <v>93.110468011226601</v>
      </c>
      <c r="AJ5341">
        <v>90.506671981719805</v>
      </c>
      <c r="AK5341">
        <v>20.6467216394866</v>
      </c>
      <c r="AL5341">
        <v>95.506338309896805</v>
      </c>
      <c r="AM5341">
        <v>90.3551325052522</v>
      </c>
      <c r="AN5341">
        <v>1.0000000310813999</v>
      </c>
    </row>
    <row r="5342" spans="1:40" x14ac:dyDescent="0.25">
      <c r="A5342" t="str">
        <f>"20190303154246566"</f>
        <v>20190303154246566</v>
      </c>
      <c r="B5342" t="str">
        <f>"1551598966555084"</f>
        <v>1551598966555084</v>
      </c>
      <c r="C5342" t="s">
        <v>40</v>
      </c>
      <c r="D5342">
        <v>5.8295839999999997</v>
      </c>
      <c r="E5342">
        <v>0.49859550000000002</v>
      </c>
      <c r="F5342" t="s">
        <v>57</v>
      </c>
      <c r="G5342">
        <v>-317.69979999999998</v>
      </c>
      <c r="H5342" s="1">
        <v>-6.7273230000000004E-6</v>
      </c>
      <c r="I5342">
        <v>140.9006</v>
      </c>
      <c r="J5342">
        <v>-297.09109999999998</v>
      </c>
      <c r="K5342">
        <v>1.1203069999999999</v>
      </c>
      <c r="L5342">
        <v>141.0855</v>
      </c>
      <c r="M5342">
        <v>-0.99995679999999998</v>
      </c>
      <c r="N5342">
        <v>-9.2881749999999992E-3</v>
      </c>
      <c r="O5342">
        <v>3.7234730000000003E-4</v>
      </c>
      <c r="P5342">
        <v>-0.99436610000000003</v>
      </c>
      <c r="Q5342">
        <v>-0.1058138</v>
      </c>
      <c r="R5342">
        <v>-6.3015440000000001E-3</v>
      </c>
      <c r="S5342">
        <v>-2.999603</v>
      </c>
      <c r="T5342">
        <v>-0.16057769999999999</v>
      </c>
      <c r="U5342">
        <v>-2.6489260000000001E-2</v>
      </c>
      <c r="V5342">
        <v>-6.6571080000000001E-3</v>
      </c>
      <c r="W5342">
        <v>-9.6574480000000004E-2</v>
      </c>
      <c r="X5342">
        <v>0.99530350000000001</v>
      </c>
      <c r="Y5342">
        <v>-9.1871220000000007E-3</v>
      </c>
      <c r="Z5342">
        <v>-3.0489139999999998E-4</v>
      </c>
      <c r="AA5342">
        <v>0.99995769999999995</v>
      </c>
      <c r="AB5342">
        <v>32</v>
      </c>
      <c r="AC5342">
        <v>-20.608699999999999</v>
      </c>
      <c r="AD5342">
        <v>-1.1203137273229999</v>
      </c>
      <c r="AE5342">
        <v>-0.18489999999999801</v>
      </c>
      <c r="AF5342">
        <v>-0.192006551316206</v>
      </c>
      <c r="AG5342">
        <v>-1.1203137273229999</v>
      </c>
      <c r="AH5342">
        <v>20.5479126417912</v>
      </c>
      <c r="AI5342">
        <v>93.120655837409601</v>
      </c>
      <c r="AJ5342">
        <v>90.535375297878701</v>
      </c>
      <c r="AK5342">
        <v>20.579326599722901</v>
      </c>
      <c r="AL5342">
        <v>95.541947590738104</v>
      </c>
      <c r="AM5342">
        <v>90.383218289173797</v>
      </c>
      <c r="AN5342">
        <v>1.0000000021932201</v>
      </c>
    </row>
    <row r="5343" spans="1:40" x14ac:dyDescent="0.25">
      <c r="A5343" t="str">
        <f>"20190303154246589"</f>
        <v>20190303154246589</v>
      </c>
      <c r="B5343" t="str">
        <f>"1551598966585323"</f>
        <v>1551598966585323</v>
      </c>
      <c r="C5343" t="s">
        <v>40</v>
      </c>
      <c r="D5343">
        <v>5.8777599999999897</v>
      </c>
      <c r="E5343">
        <v>0.49799520000000003</v>
      </c>
      <c r="F5343" t="s">
        <v>57</v>
      </c>
      <c r="G5343">
        <v>-317.1499</v>
      </c>
      <c r="H5343" s="1">
        <v>-6.9613060000000003E-6</v>
      </c>
      <c r="I5343">
        <v>140.86320000000001</v>
      </c>
      <c r="J5343">
        <v>-297.40609999999998</v>
      </c>
      <c r="K5343">
        <v>1.120293</v>
      </c>
      <c r="L5343">
        <v>141.0856</v>
      </c>
      <c r="M5343">
        <v>-0.99995650000000003</v>
      </c>
      <c r="N5343">
        <v>-9.3283129999999995E-3</v>
      </c>
      <c r="O5343">
        <v>3.111414E-4</v>
      </c>
      <c r="P5343">
        <v>-0.99437149999999996</v>
      </c>
      <c r="Q5343">
        <v>-0.105721</v>
      </c>
      <c r="R5343">
        <v>-6.987297E-3</v>
      </c>
      <c r="S5343">
        <v>-2.9989620000000001</v>
      </c>
      <c r="T5343">
        <v>-0.16749700000000001</v>
      </c>
      <c r="U5343">
        <v>-3.3233640000000002E-2</v>
      </c>
      <c r="V5343">
        <v>-7.2846179999999996E-3</v>
      </c>
      <c r="W5343">
        <v>-9.6441479999999996E-2</v>
      </c>
      <c r="X5343">
        <v>0.99531199999999997</v>
      </c>
      <c r="Y5343">
        <v>-1.137115E-2</v>
      </c>
      <c r="Z5343">
        <v>-3.8484279999999999E-4</v>
      </c>
      <c r="AA5343">
        <v>0.99993529999999997</v>
      </c>
      <c r="AB5343">
        <v>32</v>
      </c>
      <c r="AC5343">
        <v>-19.7438</v>
      </c>
      <c r="AD5343">
        <v>-1.1202999613060001</v>
      </c>
      <c r="AE5343">
        <v>-0.22239999999999299</v>
      </c>
      <c r="AF5343">
        <v>-0.22780999688977699</v>
      </c>
      <c r="AG5343">
        <v>-1.1202999613060001</v>
      </c>
      <c r="AH5343">
        <v>19.680374185402702</v>
      </c>
      <c r="AI5343">
        <v>93.257812823190903</v>
      </c>
      <c r="AJ5343">
        <v>90.663197167769496</v>
      </c>
      <c r="AK5343">
        <v>19.713551112761198</v>
      </c>
      <c r="AL5343">
        <v>95.534291521562196</v>
      </c>
      <c r="AM5343">
        <v>90.419336262883306</v>
      </c>
      <c r="AN5343">
        <v>1.00000000103399</v>
      </c>
    </row>
    <row r="5344" spans="1:40" x14ac:dyDescent="0.25">
      <c r="A5344" t="str">
        <f>"20190303154246612"</f>
        <v>20190303154246612</v>
      </c>
      <c r="B5344" t="str">
        <f>"1551598966605819"</f>
        <v>1551598966605819</v>
      </c>
      <c r="C5344" t="s">
        <v>40</v>
      </c>
      <c r="D5344">
        <v>5.8914330000000001</v>
      </c>
      <c r="E5344">
        <v>0.4975695</v>
      </c>
      <c r="F5344" t="s">
        <v>57</v>
      </c>
      <c r="G5344">
        <v>-316.85039999999998</v>
      </c>
      <c r="H5344" s="1">
        <v>-7.0844880000000002E-6</v>
      </c>
      <c r="I5344">
        <v>140.82679999999999</v>
      </c>
      <c r="J5344">
        <v>-297.74090000000001</v>
      </c>
      <c r="K5344">
        <v>1.120288</v>
      </c>
      <c r="L5344">
        <v>141.0856</v>
      </c>
      <c r="M5344">
        <v>-0.99995590000000001</v>
      </c>
      <c r="N5344">
        <v>-9.3870010000000007E-3</v>
      </c>
      <c r="O5344">
        <v>2.6604299999999999E-4</v>
      </c>
      <c r="P5344">
        <v>-0.9943746</v>
      </c>
      <c r="Q5344">
        <v>-0.1056412</v>
      </c>
      <c r="R5344">
        <v>-7.6922659999999997E-3</v>
      </c>
      <c r="S5344">
        <v>-2.998291</v>
      </c>
      <c r="T5344">
        <v>-0.1727494</v>
      </c>
      <c r="U5344">
        <v>-3.9901730000000003E-2</v>
      </c>
      <c r="V5344">
        <v>-7.9486920000000003E-3</v>
      </c>
      <c r="W5344">
        <v>-9.6303050000000001E-2</v>
      </c>
      <c r="X5344">
        <v>0.99532030000000005</v>
      </c>
      <c r="Y5344">
        <v>-1.3546570000000001E-2</v>
      </c>
      <c r="Z5344">
        <v>-4.6637460000000002E-4</v>
      </c>
      <c r="AA5344">
        <v>0.99990809999999997</v>
      </c>
      <c r="AB5344">
        <v>32</v>
      </c>
      <c r="AC5344">
        <v>-19.109499999999901</v>
      </c>
      <c r="AD5344">
        <v>-1.120295084488</v>
      </c>
      <c r="AE5344">
        <v>-0.25880000000000702</v>
      </c>
      <c r="AF5344">
        <v>-0.26298049309061</v>
      </c>
      <c r="AG5344">
        <v>-1.120295084488</v>
      </c>
      <c r="AH5344">
        <v>19.043990284008899</v>
      </c>
      <c r="AI5344">
        <v>93.366321431257902</v>
      </c>
      <c r="AJ5344">
        <v>90.791153244387701</v>
      </c>
      <c r="AK5344">
        <v>19.078725999224901</v>
      </c>
      <c r="AL5344">
        <v>95.526323096205104</v>
      </c>
      <c r="AM5344">
        <v>90.457558057113602</v>
      </c>
      <c r="AN5344">
        <v>0.99999997936795104</v>
      </c>
    </row>
    <row r="5345" spans="1:40" x14ac:dyDescent="0.25">
      <c r="A5345" t="str">
        <f>"20190303154246634"</f>
        <v>20190303154246634</v>
      </c>
      <c r="B5345" t="str">
        <f>"1551598966625339"</f>
        <v>1551598966625339</v>
      </c>
      <c r="C5345" t="s">
        <v>40</v>
      </c>
      <c r="D5345">
        <v>5.8863669999999999</v>
      </c>
      <c r="E5345">
        <v>0.49721599999999999</v>
      </c>
      <c r="F5345" t="s">
        <v>57</v>
      </c>
      <c r="G5345">
        <v>-316.92360000000002</v>
      </c>
      <c r="H5345" s="1">
        <v>-7.0435679999999997E-6</v>
      </c>
      <c r="I5345">
        <v>140.79470000000001</v>
      </c>
      <c r="J5345">
        <v>-298.05250000000001</v>
      </c>
      <c r="K5345">
        <v>1.120282</v>
      </c>
      <c r="L5345">
        <v>141.0856</v>
      </c>
      <c r="M5345">
        <v>-0.99995520000000004</v>
      </c>
      <c r="N5345">
        <v>-9.4608890000000001E-3</v>
      </c>
      <c r="O5345">
        <v>2.396962E-4</v>
      </c>
      <c r="P5345">
        <v>-0.99438919999999997</v>
      </c>
      <c r="Q5345">
        <v>-0.1054972</v>
      </c>
      <c r="R5345">
        <v>-7.7907619999999997E-3</v>
      </c>
      <c r="S5345">
        <v>-2.9980159999999998</v>
      </c>
      <c r="T5345">
        <v>-0.17508840000000001</v>
      </c>
      <c r="U5345">
        <v>-4.5471190000000002E-2</v>
      </c>
      <c r="V5345">
        <v>-8.0238489999999996E-3</v>
      </c>
      <c r="W5345">
        <v>-9.6085080000000003E-2</v>
      </c>
      <c r="X5345">
        <v>0.99534080000000003</v>
      </c>
      <c r="Y5345">
        <v>-1.53743E-2</v>
      </c>
      <c r="Z5345">
        <v>-5.3305729999999997E-4</v>
      </c>
      <c r="AA5345">
        <v>0.99988169999999998</v>
      </c>
      <c r="AB5345">
        <v>32</v>
      </c>
      <c r="AC5345">
        <v>-18.871099999999998</v>
      </c>
      <c r="AD5345">
        <v>-1.120289043568</v>
      </c>
      <c r="AE5345">
        <v>-0.290899999999993</v>
      </c>
      <c r="AF5345">
        <v>-0.29438628304494002</v>
      </c>
      <c r="AG5345">
        <v>-1.120289043568</v>
      </c>
      <c r="AH5345">
        <v>18.804772897510301</v>
      </c>
      <c r="AI5345">
        <v>93.408933581060694</v>
      </c>
      <c r="AJ5345">
        <v>90.896884740851505</v>
      </c>
      <c r="AK5345">
        <v>18.8404138635997</v>
      </c>
      <c r="AL5345">
        <v>95.513775944541393</v>
      </c>
      <c r="AM5345">
        <v>90.461874691323402</v>
      </c>
      <c r="AN5345">
        <v>1.0000000164480101</v>
      </c>
    </row>
    <row r="5346" spans="1:40" x14ac:dyDescent="0.25">
      <c r="A5346" t="str">
        <f>"20190303154246657"</f>
        <v>20190303154246657</v>
      </c>
      <c r="B5346" t="str">
        <f>"1551598966645835"</f>
        <v>1551598966645835</v>
      </c>
      <c r="C5346" t="s">
        <v>40</v>
      </c>
      <c r="D5346">
        <v>5.9299619999999997</v>
      </c>
      <c r="E5346">
        <v>0.49700949999999999</v>
      </c>
      <c r="F5346" t="s">
        <v>57</v>
      </c>
      <c r="G5346">
        <v>-317.02359999999999</v>
      </c>
      <c r="H5346" s="1">
        <v>-6.9949639999999998E-6</v>
      </c>
      <c r="I5346">
        <v>140.77860000000001</v>
      </c>
      <c r="J5346">
        <v>-298.37549999999999</v>
      </c>
      <c r="K5346">
        <v>1.12029</v>
      </c>
      <c r="L5346">
        <v>141.0857</v>
      </c>
      <c r="M5346">
        <v>-0.99995420000000002</v>
      </c>
      <c r="N5346">
        <v>-9.5685270000000003E-3</v>
      </c>
      <c r="O5346">
        <v>2.2640210000000001E-4</v>
      </c>
      <c r="P5346">
        <v>-0.99433859999999996</v>
      </c>
      <c r="Q5346">
        <v>-0.1060236</v>
      </c>
      <c r="R5346">
        <v>-7.0686100000000003E-3</v>
      </c>
      <c r="S5346">
        <v>-2.9978030000000002</v>
      </c>
      <c r="T5346">
        <v>-0.17702760000000001</v>
      </c>
      <c r="U5346">
        <v>-4.8522950000000002E-2</v>
      </c>
      <c r="V5346">
        <v>-7.2916939999999996E-3</v>
      </c>
      <c r="W5346">
        <v>-9.6504569999999998E-2</v>
      </c>
      <c r="X5346">
        <v>0.99530580000000002</v>
      </c>
      <c r="Y5346">
        <v>-1.6376999999999999E-2</v>
      </c>
      <c r="Z5346">
        <v>-5.7272910000000005E-4</v>
      </c>
      <c r="AA5346">
        <v>0.99986569999999997</v>
      </c>
      <c r="AB5346">
        <v>32</v>
      </c>
      <c r="AC5346">
        <v>-18.648099999999999</v>
      </c>
      <c r="AD5346">
        <v>-1.120296994964</v>
      </c>
      <c r="AE5346">
        <v>-0.30709999999999099</v>
      </c>
      <c r="AF5346">
        <v>-0.31020290913409598</v>
      </c>
      <c r="AG5346">
        <v>-1.120296994964</v>
      </c>
      <c r="AH5346">
        <v>18.580987800137098</v>
      </c>
      <c r="AI5346">
        <v>93.449857973427299</v>
      </c>
      <c r="AJ5346">
        <v>90.956443583453506</v>
      </c>
      <c r="AK5346">
        <v>18.6173144902966</v>
      </c>
      <c r="AL5346">
        <v>95.537923434685496</v>
      </c>
      <c r="AM5346">
        <v>90.4197461901542</v>
      </c>
      <c r="AN5346">
        <v>0.999999968172956</v>
      </c>
    </row>
    <row r="5347" spans="1:40" x14ac:dyDescent="0.25">
      <c r="A5347" t="str">
        <f>"20190303154246678"</f>
        <v>20190303154246678</v>
      </c>
      <c r="B5347" t="str">
        <f>"1551598966665355"</f>
        <v>1551598966665355</v>
      </c>
      <c r="C5347" t="s">
        <v>40</v>
      </c>
      <c r="D5347">
        <v>5.8940890000000001</v>
      </c>
      <c r="E5347">
        <v>0.496726</v>
      </c>
      <c r="F5347" t="s">
        <v>57</v>
      </c>
      <c r="G5347">
        <v>-316.94929999999999</v>
      </c>
      <c r="H5347" s="1">
        <v>-7.03049E-6</v>
      </c>
      <c r="I5347">
        <v>140.7884</v>
      </c>
      <c r="J5347">
        <v>-298.68079999999998</v>
      </c>
      <c r="K5347">
        <v>1.1202989999999999</v>
      </c>
      <c r="L5347">
        <v>141.08580000000001</v>
      </c>
      <c r="M5347">
        <v>-0.99995299999999998</v>
      </c>
      <c r="N5347">
        <v>-9.7010359999999997E-3</v>
      </c>
      <c r="O5347">
        <v>2.363612E-4</v>
      </c>
      <c r="P5347">
        <v>-0.99427829999999995</v>
      </c>
      <c r="Q5347">
        <v>-0.10663</v>
      </c>
      <c r="R5347">
        <v>-6.4372650000000002E-3</v>
      </c>
      <c r="S5347">
        <v>-2.9974669999999999</v>
      </c>
      <c r="T5347">
        <v>-0.1807947</v>
      </c>
      <c r="U5347">
        <v>-4.7973630000000003E-2</v>
      </c>
      <c r="V5347">
        <v>-6.6739290000000003E-3</v>
      </c>
      <c r="W5347">
        <v>-9.6979330000000002E-2</v>
      </c>
      <c r="X5347">
        <v>0.99526400000000004</v>
      </c>
      <c r="Y5347">
        <v>-1.6204530000000002E-2</v>
      </c>
      <c r="Z5347">
        <v>-5.7886150000000002E-4</v>
      </c>
      <c r="AA5347">
        <v>0.99986850000000005</v>
      </c>
      <c r="AB5347">
        <v>32</v>
      </c>
      <c r="AC5347">
        <v>-18.2685</v>
      </c>
      <c r="AD5347">
        <v>-1.1203060304900001</v>
      </c>
      <c r="AE5347">
        <v>-0.29740000000000999</v>
      </c>
      <c r="AF5347">
        <v>-0.300588040086957</v>
      </c>
      <c r="AG5347">
        <v>-1.1203060304900001</v>
      </c>
      <c r="AH5347">
        <v>18.200002753221199</v>
      </c>
      <c r="AI5347">
        <v>93.521933529137897</v>
      </c>
      <c r="AJ5347">
        <v>90.946200977244004</v>
      </c>
      <c r="AK5347">
        <v>18.236927893399599</v>
      </c>
      <c r="AL5347">
        <v>95.565253301115703</v>
      </c>
      <c r="AM5347">
        <v>90.384201812894105</v>
      </c>
      <c r="AN5347">
        <v>0.99999998073577201</v>
      </c>
    </row>
    <row r="5348" spans="1:40" x14ac:dyDescent="0.25">
      <c r="A5348" t="str">
        <f>"20190303154246712"</f>
        <v>20190303154246712</v>
      </c>
      <c r="B5348" t="str">
        <f>"1551598966705370"</f>
        <v>1551598966705370</v>
      </c>
      <c r="C5348" t="s">
        <v>40</v>
      </c>
      <c r="D5348">
        <v>5.9505270000000001</v>
      </c>
      <c r="E5348">
        <v>0.49624740000000001</v>
      </c>
      <c r="F5348" t="s">
        <v>57</v>
      </c>
      <c r="G5348">
        <v>-316.85340000000002</v>
      </c>
      <c r="H5348" s="1">
        <v>-7.0745209999999997E-6</v>
      </c>
      <c r="I5348">
        <v>140.79409999999999</v>
      </c>
      <c r="J5348">
        <v>-299.16820000000001</v>
      </c>
      <c r="K5348">
        <v>1.1203019999999999</v>
      </c>
      <c r="L5348">
        <v>141.08590000000001</v>
      </c>
      <c r="M5348">
        <v>-0.99995060000000002</v>
      </c>
      <c r="N5348">
        <v>-9.9343910000000007E-3</v>
      </c>
      <c r="O5348">
        <v>2.9788859999999999E-4</v>
      </c>
      <c r="P5348">
        <v>-0.99423790000000001</v>
      </c>
      <c r="Q5348">
        <v>-0.10703849999999999</v>
      </c>
      <c r="R5348">
        <v>-5.8142539999999996E-3</v>
      </c>
      <c r="S5348">
        <v>-2.9971009999999998</v>
      </c>
      <c r="T5348">
        <v>-0.18476509999999999</v>
      </c>
      <c r="U5348">
        <v>-4.8110960000000001E-2</v>
      </c>
      <c r="V5348">
        <v>-6.1185659999999998E-3</v>
      </c>
      <c r="W5348">
        <v>-9.7155560000000002E-2</v>
      </c>
      <c r="X5348">
        <v>0.99525039999999998</v>
      </c>
      <c r="Y5348">
        <v>-1.631194E-2</v>
      </c>
      <c r="Z5348">
        <v>-5.987996E-4</v>
      </c>
      <c r="AA5348">
        <v>0.99986679999999994</v>
      </c>
      <c r="AB5348">
        <v>32</v>
      </c>
      <c r="AC5348">
        <v>-17.685199999999998</v>
      </c>
      <c r="AD5348">
        <v>-1.120309074521</v>
      </c>
      <c r="AE5348">
        <v>-0.29180000000002299</v>
      </c>
      <c r="AF5348">
        <v>-0.29588145407031602</v>
      </c>
      <c r="AG5348">
        <v>-1.120309074521</v>
      </c>
      <c r="AH5348">
        <v>17.614446930932299</v>
      </c>
      <c r="AI5348">
        <v>93.638696238371296</v>
      </c>
      <c r="AJ5348">
        <v>90.962344399452903</v>
      </c>
      <c r="AK5348">
        <v>17.652517637434801</v>
      </c>
      <c r="AL5348">
        <v>95.575398340640803</v>
      </c>
      <c r="AM5348">
        <v>90.352236574833199</v>
      </c>
      <c r="AN5348">
        <v>0.99999999919448401</v>
      </c>
    </row>
    <row r="5349" spans="1:40" x14ac:dyDescent="0.25">
      <c r="A5349" t="str">
        <f>"20190303154246734"</f>
        <v>20190303154246734</v>
      </c>
      <c r="B5349" t="str">
        <f>"1551598966725870"</f>
        <v>1551598966725870</v>
      </c>
      <c r="C5349" t="s">
        <v>40</v>
      </c>
      <c r="D5349">
        <v>5.9447619999999999</v>
      </c>
      <c r="E5349">
        <v>0.49605929999999998</v>
      </c>
      <c r="F5349" t="s">
        <v>57</v>
      </c>
      <c r="G5349">
        <v>-316.91609999999997</v>
      </c>
      <c r="H5349" s="1">
        <v>-7.04531799999999E-6</v>
      </c>
      <c r="I5349">
        <v>140.78870000000001</v>
      </c>
      <c r="J5349">
        <v>-299.49</v>
      </c>
      <c r="K5349">
        <v>1.120298</v>
      </c>
      <c r="L5349">
        <v>141.08609999999999</v>
      </c>
      <c r="M5349">
        <v>-0.99994879999999997</v>
      </c>
      <c r="N5349">
        <v>-1.010899E-2</v>
      </c>
      <c r="O5349">
        <v>3.7959220000000001E-4</v>
      </c>
      <c r="P5349">
        <v>-0.99418770000000001</v>
      </c>
      <c r="Q5349">
        <v>-0.10750469999999999</v>
      </c>
      <c r="R5349">
        <v>-5.7829369999999897E-3</v>
      </c>
      <c r="S5349">
        <v>-2.9967039999999998</v>
      </c>
      <c r="T5349">
        <v>-0.18916289999999999</v>
      </c>
      <c r="U5349">
        <v>-5.018616E-2</v>
      </c>
      <c r="V5349">
        <v>-6.1743859999999996E-3</v>
      </c>
      <c r="W5349">
        <v>-9.7448160000000006E-2</v>
      </c>
      <c r="X5349">
        <v>0.99522140000000003</v>
      </c>
      <c r="Y5349">
        <v>-1.708434E-2</v>
      </c>
      <c r="Z5349">
        <v>-6.452017E-4</v>
      </c>
      <c r="AA5349">
        <v>0.99985380000000001</v>
      </c>
      <c r="AB5349">
        <v>32</v>
      </c>
      <c r="AC5349">
        <v>-17.426099999999899</v>
      </c>
      <c r="AD5349">
        <v>-1.1203050453179999</v>
      </c>
      <c r="AE5349">
        <v>-0.29739999999998101</v>
      </c>
      <c r="AF5349">
        <v>-0.30276414904034299</v>
      </c>
      <c r="AG5349">
        <v>-1.1203050453179999</v>
      </c>
      <c r="AH5349">
        <v>17.3542803732499</v>
      </c>
      <c r="AI5349">
        <v>93.693041748962699</v>
      </c>
      <c r="AJ5349">
        <v>90.999485309756494</v>
      </c>
      <c r="AK5349">
        <v>17.393038745368099</v>
      </c>
      <c r="AL5349">
        <v>95.592243285716705</v>
      </c>
      <c r="AM5349">
        <v>90.355460322864801</v>
      </c>
      <c r="AN5349">
        <v>0.99999995097391003</v>
      </c>
    </row>
    <row r="5350" spans="1:40" x14ac:dyDescent="0.25">
      <c r="A5350" t="str">
        <f>"20190303154246757"</f>
        <v>20190303154246757</v>
      </c>
      <c r="B5350" t="str">
        <f>"1551598966745391"</f>
        <v>1551598966745391</v>
      </c>
      <c r="C5350" t="s">
        <v>40</v>
      </c>
      <c r="D5350">
        <v>5.901675</v>
      </c>
      <c r="E5350">
        <v>0.4958765</v>
      </c>
      <c r="F5350" t="s">
        <v>57</v>
      </c>
      <c r="G5350">
        <v>-316.97730000000001</v>
      </c>
      <c r="H5350" s="1">
        <v>-7.0174979999999997E-6</v>
      </c>
      <c r="I5350">
        <v>140.78620000000001</v>
      </c>
      <c r="J5350">
        <v>-299.8075</v>
      </c>
      <c r="K5350">
        <v>1.12029</v>
      </c>
      <c r="L5350">
        <v>141.08629999999999</v>
      </c>
      <c r="M5350">
        <v>-0.99994660000000002</v>
      </c>
      <c r="N5350">
        <v>-1.032638E-2</v>
      </c>
      <c r="O5350">
        <v>5.0978709999999997E-4</v>
      </c>
      <c r="P5350">
        <v>-0.99415089999999995</v>
      </c>
      <c r="Q5350">
        <v>-0.107860999999999</v>
      </c>
      <c r="R5350">
        <v>-5.4859280000000002E-3</v>
      </c>
      <c r="S5350">
        <v>-2.9964599999999999</v>
      </c>
      <c r="T5350">
        <v>-0.19196460000000001</v>
      </c>
      <c r="U5350">
        <v>-5.1391600000000003E-2</v>
      </c>
      <c r="V5350">
        <v>-6.0158010000000003E-3</v>
      </c>
      <c r="W5350">
        <v>-9.758791E-2</v>
      </c>
      <c r="X5350">
        <v>0.99520869999999995</v>
      </c>
      <c r="Y5350">
        <v>-1.761532E-2</v>
      </c>
      <c r="Z5350">
        <v>-6.820652E-4</v>
      </c>
      <c r="AA5350">
        <v>0.99984459999999997</v>
      </c>
      <c r="AB5350">
        <v>32</v>
      </c>
      <c r="AC5350">
        <v>-17.169799999999999</v>
      </c>
      <c r="AD5350">
        <v>-1.120297017498</v>
      </c>
      <c r="AE5350">
        <v>-0.30009999999998599</v>
      </c>
      <c r="AF5350">
        <v>-0.30754445577699102</v>
      </c>
      <c r="AG5350">
        <v>-1.120297017498</v>
      </c>
      <c r="AH5350">
        <v>17.0968801810012</v>
      </c>
      <c r="AI5350">
        <v>93.748421900771007</v>
      </c>
      <c r="AJ5350">
        <v>91.030544690512201</v>
      </c>
      <c r="AK5350">
        <v>17.136305346345999</v>
      </c>
      <c r="AL5350">
        <v>95.600288592364095</v>
      </c>
      <c r="AM5350">
        <v>90.346335205546595</v>
      </c>
      <c r="AN5350">
        <v>0.99999997329776402</v>
      </c>
    </row>
    <row r="5351" spans="1:40" x14ac:dyDescent="0.25">
      <c r="A5351" t="str">
        <f>"20190303154246778"</f>
        <v>20190303154246778</v>
      </c>
      <c r="B5351" t="str">
        <f>"1551598966765883"</f>
        <v>1551598966765883</v>
      </c>
      <c r="C5351" t="s">
        <v>40</v>
      </c>
      <c r="D5351">
        <v>6.0068460000000004</v>
      </c>
      <c r="E5351">
        <v>0.51732849999999997</v>
      </c>
      <c r="F5351" t="s">
        <v>57</v>
      </c>
      <c r="G5351">
        <v>-317.11239999999998</v>
      </c>
      <c r="H5351" s="1">
        <v>-6.9582079999999999E-6</v>
      </c>
      <c r="I5351">
        <v>140.7885</v>
      </c>
      <c r="J5351">
        <v>-300.12560000000002</v>
      </c>
      <c r="K5351">
        <v>1.120287</v>
      </c>
      <c r="L5351">
        <v>141.08670000000001</v>
      </c>
      <c r="M5351">
        <v>-0.99994360000000004</v>
      </c>
      <c r="N5351">
        <v>-1.060739E-2</v>
      </c>
      <c r="O5351">
        <v>6.8901399999999995E-4</v>
      </c>
      <c r="P5351">
        <v>-0.9940483</v>
      </c>
      <c r="Q5351">
        <v>-0.10881159999999999</v>
      </c>
      <c r="R5351">
        <v>-5.3052960000000001E-3</v>
      </c>
      <c r="S5351">
        <v>-2.9963679999999999</v>
      </c>
      <c r="T5351">
        <v>-0.19398109999999999</v>
      </c>
      <c r="U5351">
        <v>-5.155945E-2</v>
      </c>
      <c r="V5351">
        <v>-6.0239430000000004E-3</v>
      </c>
      <c r="W5351">
        <v>-9.8259139999999995E-2</v>
      </c>
      <c r="X5351">
        <v>0.99514259999999999</v>
      </c>
      <c r="Y5351">
        <v>-1.7849210000000001E-2</v>
      </c>
      <c r="Z5351">
        <v>-7.0916659999999999E-4</v>
      </c>
      <c r="AA5351">
        <v>0.99984039999999996</v>
      </c>
      <c r="AB5351">
        <v>32</v>
      </c>
      <c r="AC5351">
        <v>-16.986799999999899</v>
      </c>
      <c r="AD5351">
        <v>-1.120293958208</v>
      </c>
      <c r="AE5351">
        <v>-0.29820000000000801</v>
      </c>
      <c r="AF5351">
        <v>-0.308563043455024</v>
      </c>
      <c r="AG5351">
        <v>-1.120293958208</v>
      </c>
      <c r="AH5351">
        <v>16.913049590867899</v>
      </c>
      <c r="AI5351">
        <v>93.789018224016701</v>
      </c>
      <c r="AJ5351">
        <v>91.045192878792093</v>
      </c>
      <c r="AK5351">
        <v>16.952920579290701</v>
      </c>
      <c r="AL5351">
        <v>95.638932983664105</v>
      </c>
      <c r="AM5351">
        <v>90.346826971617006</v>
      </c>
      <c r="AN5351">
        <v>0.99999997040878297</v>
      </c>
    </row>
    <row r="5352" spans="1:40" x14ac:dyDescent="0.25">
      <c r="A5352" t="str">
        <f>"20190303154246801"</f>
        <v>20190303154246801</v>
      </c>
      <c r="B5352" t="str">
        <f>"1551598966795164"</f>
        <v>1551598966795164</v>
      </c>
      <c r="C5352" t="s">
        <v>40</v>
      </c>
      <c r="D5352">
        <v>5.9423360000000001</v>
      </c>
      <c r="E5352">
        <v>0.52055180000000001</v>
      </c>
      <c r="F5352" t="s">
        <v>41</v>
      </c>
      <c r="G5352">
        <v>-320.5453</v>
      </c>
      <c r="H5352" s="1">
        <v>-4.4956060000000004E-6</v>
      </c>
      <c r="I5352">
        <v>141.90049999999999</v>
      </c>
      <c r="J5352">
        <v>-300.4529</v>
      </c>
      <c r="K5352">
        <v>1.1202890000000001</v>
      </c>
      <c r="L5352">
        <v>141.08709999999999</v>
      </c>
      <c r="M5352">
        <v>-0.99994000000000005</v>
      </c>
      <c r="N5352">
        <v>-1.092187E-2</v>
      </c>
      <c r="O5352">
        <v>9.1677540000000002E-4</v>
      </c>
      <c r="P5352">
        <v>-0.99403070000000004</v>
      </c>
      <c r="Q5352">
        <v>-0.1090042</v>
      </c>
      <c r="R5352">
        <v>-4.6158220000000003E-3</v>
      </c>
      <c r="S5352">
        <v>-3.0005799999999998</v>
      </c>
      <c r="T5352">
        <v>-0.16462209999999999</v>
      </c>
      <c r="U5352">
        <v>0.11959839999999999</v>
      </c>
      <c r="V5352">
        <v>-5.5703669999999997E-3</v>
      </c>
      <c r="W5352">
        <v>-9.8138610000000001E-2</v>
      </c>
      <c r="X5352">
        <v>0.99515719999999996</v>
      </c>
      <c r="Y5352">
        <v>3.8841609999999999E-2</v>
      </c>
      <c r="Z5352">
        <v>1.2364260000000001E-3</v>
      </c>
      <c r="AA5352">
        <v>0.99924460000000004</v>
      </c>
      <c r="AB5352">
        <v>32</v>
      </c>
      <c r="AC5352">
        <v>-20.092400000000001</v>
      </c>
      <c r="AD5352">
        <v>-1.12029349560599</v>
      </c>
      <c r="AE5352">
        <v>0.81340000000000101</v>
      </c>
      <c r="AF5352">
        <v>0.79251855123144999</v>
      </c>
      <c r="AG5352">
        <v>-1.12029349560599</v>
      </c>
      <c r="AH5352">
        <v>20.030965894567</v>
      </c>
      <c r="AI5352">
        <v>93.198610864724799</v>
      </c>
      <c r="AJ5352">
        <v>87.734293127980294</v>
      </c>
      <c r="AK5352">
        <v>20.0779166708015</v>
      </c>
      <c r="AL5352">
        <v>95.631993223074801</v>
      </c>
      <c r="AM5352">
        <v>90.320708312455295</v>
      </c>
      <c r="AN5352">
        <v>1.00000003423654</v>
      </c>
    </row>
    <row r="5353" spans="1:40" x14ac:dyDescent="0.25">
      <c r="A5353" t="str">
        <f>"20190303154246825"</f>
        <v>20190303154246825</v>
      </c>
      <c r="B5353" t="str">
        <f>"1551598966815660"</f>
        <v>1551598966815660</v>
      </c>
      <c r="C5353" t="s">
        <v>40</v>
      </c>
      <c r="D5353">
        <v>5.9652649999999996</v>
      </c>
      <c r="E5353">
        <v>0.5199667</v>
      </c>
      <c r="F5353" t="s">
        <v>41</v>
      </c>
      <c r="G5353">
        <v>-322.16730000000001</v>
      </c>
      <c r="H5353" s="1">
        <v>-3.9880669999999997E-6</v>
      </c>
      <c r="I5353">
        <v>142.15090000000001</v>
      </c>
      <c r="J5353">
        <v>-300.78879999999998</v>
      </c>
      <c r="K5353">
        <v>1.1202989999999999</v>
      </c>
      <c r="L5353">
        <v>141.08770000000001</v>
      </c>
      <c r="M5353">
        <v>-0.99993580000000004</v>
      </c>
      <c r="N5353">
        <v>-1.127177E-2</v>
      </c>
      <c r="O5353">
        <v>1.197778E-3</v>
      </c>
      <c r="P5353">
        <v>-0.99394660000000001</v>
      </c>
      <c r="Q5353">
        <v>-0.10978540000000001</v>
      </c>
      <c r="R5353">
        <v>-4.1770599999999998E-3</v>
      </c>
      <c r="S5353">
        <v>-3.001709</v>
      </c>
      <c r="T5353">
        <v>-0.1548649</v>
      </c>
      <c r="U5353">
        <v>0.14706420000000001</v>
      </c>
      <c r="V5353">
        <v>-5.4201830000000003E-3</v>
      </c>
      <c r="W5353">
        <v>-9.8572080000000006E-2</v>
      </c>
      <c r="X5353">
        <v>0.99511519999999998</v>
      </c>
      <c r="Y5353">
        <v>4.7662219999999998E-2</v>
      </c>
      <c r="Z5353">
        <v>1.4487230000000001E-3</v>
      </c>
      <c r="AA5353">
        <v>0.99886240000000004</v>
      </c>
      <c r="AB5353">
        <v>32</v>
      </c>
      <c r="AC5353">
        <v>-21.378499999999999</v>
      </c>
      <c r="AD5353">
        <v>-1.1203029880669999</v>
      </c>
      <c r="AE5353">
        <v>1.0631999999999899</v>
      </c>
      <c r="AF5353">
        <v>1.0347563795357699</v>
      </c>
      <c r="AG5353">
        <v>-1.1203029880669999</v>
      </c>
      <c r="AH5353">
        <v>21.321352087080399</v>
      </c>
      <c r="AI5353">
        <v>93.004237620033393</v>
      </c>
      <c r="AJ5353">
        <v>87.221532087488796</v>
      </c>
      <c r="AK5353">
        <v>21.3758240629762</v>
      </c>
      <c r="AL5353">
        <v>95.656950157383804</v>
      </c>
      <c r="AM5353">
        <v>90.312074962803507</v>
      </c>
      <c r="AN5353">
        <v>1.00000004730515</v>
      </c>
    </row>
    <row r="5354" spans="1:40" x14ac:dyDescent="0.25">
      <c r="A5354" t="str">
        <f>"20190303154246845"</f>
        <v>20190303154246845</v>
      </c>
      <c r="B5354" t="str">
        <f>"1551598966835179"</f>
        <v>1551598966835179</v>
      </c>
      <c r="C5354" t="s">
        <v>40</v>
      </c>
      <c r="D5354">
        <v>5.9297139999999997</v>
      </c>
      <c r="E5354">
        <v>0.52045609999999998</v>
      </c>
      <c r="F5354" t="s">
        <v>41</v>
      </c>
      <c r="G5354">
        <v>-320.49950000000001</v>
      </c>
      <c r="H5354" s="1">
        <v>-4.5348439999999997E-6</v>
      </c>
      <c r="I5354">
        <v>142.03370000000001</v>
      </c>
      <c r="J5354">
        <v>-301.0917</v>
      </c>
      <c r="K5354">
        <v>1.120312</v>
      </c>
      <c r="L5354">
        <v>141.08840000000001</v>
      </c>
      <c r="M5354">
        <v>-0.99993180000000004</v>
      </c>
      <c r="N5354">
        <v>-1.159285E-2</v>
      </c>
      <c r="O5354">
        <v>1.488332E-3</v>
      </c>
      <c r="P5354">
        <v>-0.99395350000000005</v>
      </c>
      <c r="Q5354">
        <v>-0.10973670000000001</v>
      </c>
      <c r="R5354">
        <v>-3.7972750000000001E-3</v>
      </c>
      <c r="S5354">
        <v>-3</v>
      </c>
      <c r="T5354">
        <v>-0.1705132</v>
      </c>
      <c r="U5354">
        <v>0.1439819</v>
      </c>
      <c r="V5354">
        <v>-5.3349670000000004E-3</v>
      </c>
      <c r="W5354">
        <v>-9.820342E-2</v>
      </c>
      <c r="X5354">
        <v>0.99515209999999998</v>
      </c>
      <c r="Y5354">
        <v>4.636361E-2</v>
      </c>
      <c r="Z5354">
        <v>1.517708E-3</v>
      </c>
      <c r="AA5354">
        <v>0.99892349999999996</v>
      </c>
      <c r="AB5354">
        <v>32</v>
      </c>
      <c r="AC5354">
        <v>-19.407800000000002</v>
      </c>
      <c r="AD5354">
        <v>-1.1203165348440001</v>
      </c>
      <c r="AE5354">
        <v>0.94530000000000303</v>
      </c>
      <c r="AF5354">
        <v>0.91337543403728405</v>
      </c>
      <c r="AG5354">
        <v>-1.1203165348440001</v>
      </c>
      <c r="AH5354">
        <v>19.3448774042262</v>
      </c>
      <c r="AI5354">
        <v>93.310778344434894</v>
      </c>
      <c r="AJ5354">
        <v>87.296766468883504</v>
      </c>
      <c r="AK5354">
        <v>19.398805262342599</v>
      </c>
      <c r="AL5354">
        <v>95.635724566096997</v>
      </c>
      <c r="AM5354">
        <v>90.307157232224</v>
      </c>
      <c r="AN5354">
        <v>1.0000000378534899</v>
      </c>
    </row>
    <row r="5355" spans="1:40" x14ac:dyDescent="0.25">
      <c r="A5355" t="str">
        <f>"20190303154246867"</f>
        <v>20190303154246867</v>
      </c>
      <c r="B5355" t="str">
        <f>"1551598966855675"</f>
        <v>1551598966855675</v>
      </c>
      <c r="C5355" t="s">
        <v>40</v>
      </c>
      <c r="D5355">
        <v>5.9602890000000004</v>
      </c>
      <c r="E5355">
        <v>0.52058119999999997</v>
      </c>
      <c r="F5355" t="s">
        <v>41</v>
      </c>
      <c r="G5355">
        <v>-321.14060000000001</v>
      </c>
      <c r="H5355" s="1">
        <v>-4.3258119999999996E-6</v>
      </c>
      <c r="I5355">
        <v>142.08529999999999</v>
      </c>
      <c r="J5355">
        <v>-301.40660000000003</v>
      </c>
      <c r="K5355">
        <v>1.120322</v>
      </c>
      <c r="L5355">
        <v>141.08920000000001</v>
      </c>
      <c r="M5355">
        <v>-0.99992749999999997</v>
      </c>
      <c r="N5355">
        <v>-1.1911079999999999E-2</v>
      </c>
      <c r="O5355">
        <v>1.8209140000000001E-3</v>
      </c>
      <c r="P5355">
        <v>-0.99391620000000003</v>
      </c>
      <c r="Q5355">
        <v>-0.1100608</v>
      </c>
      <c r="R5355">
        <v>-4.1382190000000003E-3</v>
      </c>
      <c r="S5355">
        <v>-3.000305</v>
      </c>
      <c r="T5355">
        <v>-0.1676552</v>
      </c>
      <c r="U5355">
        <v>0.14920039999999901</v>
      </c>
      <c r="V5355">
        <v>-6.0130579999999999E-3</v>
      </c>
      <c r="W5355">
        <v>-9.8210599999999995E-2</v>
      </c>
      <c r="X5355">
        <v>0.99514749999999996</v>
      </c>
      <c r="Y5355">
        <v>4.7759700000000002E-2</v>
      </c>
      <c r="Z5355">
        <v>1.537474E-3</v>
      </c>
      <c r="AA5355">
        <v>0.99885769999999996</v>
      </c>
      <c r="AB5355">
        <v>32</v>
      </c>
      <c r="AC5355">
        <v>-19.733999999999899</v>
      </c>
      <c r="AD5355">
        <v>-1.120326325812</v>
      </c>
      <c r="AE5355">
        <v>0.996099999999984</v>
      </c>
      <c r="AF5355">
        <v>0.95708505035423597</v>
      </c>
      <c r="AG5355">
        <v>-1.120326325812</v>
      </c>
      <c r="AH5355">
        <v>19.6725379797372</v>
      </c>
      <c r="AI5355">
        <v>93.255559903527995</v>
      </c>
      <c r="AJ5355">
        <v>87.214709618814197</v>
      </c>
      <c r="AK5355">
        <v>19.727642875775199</v>
      </c>
      <c r="AL5355">
        <v>95.636138089795907</v>
      </c>
      <c r="AM5355">
        <v>90.346198581192397</v>
      </c>
      <c r="AN5355">
        <v>1.0000000127875599</v>
      </c>
    </row>
    <row r="5356" spans="1:40" x14ac:dyDescent="0.25">
      <c r="A5356" t="str">
        <f>"20190303154246889"</f>
        <v>20190303154246889</v>
      </c>
      <c r="B5356" t="str">
        <f>"1551598966885931"</f>
        <v>1551598966885931</v>
      </c>
      <c r="C5356" t="s">
        <v>40</v>
      </c>
      <c r="D5356">
        <v>5.9565299999999999</v>
      </c>
      <c r="E5356">
        <v>0.5207444</v>
      </c>
      <c r="F5356" t="s">
        <v>41</v>
      </c>
      <c r="G5356">
        <v>-321.3956</v>
      </c>
      <c r="H5356" s="1">
        <v>-4.2384290000000001E-6</v>
      </c>
      <c r="I5356">
        <v>142.08179999999999</v>
      </c>
      <c r="J5356">
        <v>-301.72000000000003</v>
      </c>
      <c r="K5356">
        <v>1.1203369999999999</v>
      </c>
      <c r="L5356">
        <v>141.09010000000001</v>
      </c>
      <c r="M5356">
        <v>-0.99992320000000001</v>
      </c>
      <c r="N5356">
        <v>-1.2203E-2</v>
      </c>
      <c r="O5356">
        <v>2.1716750000000001E-3</v>
      </c>
      <c r="P5356">
        <v>-0.99386969999999997</v>
      </c>
      <c r="Q5356">
        <v>-0.11049249999999999</v>
      </c>
      <c r="R5356">
        <v>-3.8248459999999998E-3</v>
      </c>
      <c r="S5356">
        <v>-3.0003660000000001</v>
      </c>
      <c r="T5356">
        <v>-0.16816320000000001</v>
      </c>
      <c r="U5356">
        <v>0.1490021</v>
      </c>
      <c r="V5356">
        <v>-6.0533080000000003E-3</v>
      </c>
      <c r="W5356">
        <v>-9.8351960000000002E-2</v>
      </c>
      <c r="X5356">
        <v>0.9951333</v>
      </c>
      <c r="Y5356">
        <v>4.734265E-2</v>
      </c>
      <c r="Z5356">
        <v>1.5191149999999999E-3</v>
      </c>
      <c r="AA5356">
        <v>0.99887749999999997</v>
      </c>
      <c r="AB5356">
        <v>32</v>
      </c>
      <c r="AC5356">
        <v>-19.6755999999999</v>
      </c>
      <c r="AD5356">
        <v>-1.1203412384289999</v>
      </c>
      <c r="AE5356">
        <v>0.99169999999998004</v>
      </c>
      <c r="AF5356">
        <v>0.945906390669493</v>
      </c>
      <c r="AG5356">
        <v>-1.1203412384289999</v>
      </c>
      <c r="AH5356">
        <v>19.6142744386209</v>
      </c>
      <c r="AI5356">
        <v>93.2653198917411</v>
      </c>
      <c r="AJ5356">
        <v>87.239026710326399</v>
      </c>
      <c r="AK5356">
        <v>19.669002647413802</v>
      </c>
      <c r="AL5356">
        <v>95.644276795683695</v>
      </c>
      <c r="AM5356">
        <v>90.348520869335005</v>
      </c>
      <c r="AN5356">
        <v>1.00000001767123</v>
      </c>
    </row>
    <row r="5357" spans="1:40" x14ac:dyDescent="0.25">
      <c r="A5357" t="str">
        <f>"20190303154246913"</f>
        <v>20190303154246913</v>
      </c>
      <c r="B5357" t="str">
        <f>"1551598966905455"</f>
        <v>1551598966905455</v>
      </c>
      <c r="C5357" t="s">
        <v>40</v>
      </c>
      <c r="D5357">
        <v>5.9567110000000003</v>
      </c>
      <c r="E5357">
        <v>0.52084900000000001</v>
      </c>
      <c r="F5357" t="s">
        <v>41</v>
      </c>
      <c r="G5357">
        <v>-321.68079999999998</v>
      </c>
      <c r="H5357" s="1">
        <v>-4.1439869999999999E-6</v>
      </c>
      <c r="I5357">
        <v>142.09649999999999</v>
      </c>
      <c r="J5357">
        <v>-302.04880000000003</v>
      </c>
      <c r="K5357">
        <v>1.12035</v>
      </c>
      <c r="L5357">
        <v>141.09119999999999</v>
      </c>
      <c r="M5357">
        <v>-0.99991890000000005</v>
      </c>
      <c r="N5357">
        <v>-1.24817E-2</v>
      </c>
      <c r="O5357">
        <v>2.5510379999999998E-3</v>
      </c>
      <c r="P5357">
        <v>-0.99377610000000005</v>
      </c>
      <c r="Q5357">
        <v>-0.11136840000000001</v>
      </c>
      <c r="R5357">
        <v>-2.4947390000000002E-3</v>
      </c>
      <c r="S5357">
        <v>-3.0003660000000001</v>
      </c>
      <c r="T5357">
        <v>-0.1684021</v>
      </c>
      <c r="U5357">
        <v>0.15129089999999901</v>
      </c>
      <c r="V5357">
        <v>-5.1044419999999998E-3</v>
      </c>
      <c r="W5357">
        <v>-9.8952010000000007E-2</v>
      </c>
      <c r="X5357">
        <v>0.99507909999999999</v>
      </c>
      <c r="Y5357">
        <v>4.7722769999999998E-2</v>
      </c>
      <c r="Z5357">
        <v>1.5245149999999999E-3</v>
      </c>
      <c r="AA5357">
        <v>0.99885950000000001</v>
      </c>
      <c r="AB5357">
        <v>32</v>
      </c>
      <c r="AC5357">
        <v>-19.631999999999898</v>
      </c>
      <c r="AD5357">
        <v>-1.120354143987</v>
      </c>
      <c r="AE5357">
        <v>1.0053000000000001</v>
      </c>
      <c r="AF5357">
        <v>0.95211817049897995</v>
      </c>
      <c r="AG5357">
        <v>-1.120354143987</v>
      </c>
      <c r="AH5357">
        <v>19.570930353558499</v>
      </c>
      <c r="AI5357">
        <v>93.2725066293156</v>
      </c>
      <c r="AJ5357">
        <v>87.214778505470903</v>
      </c>
      <c r="AK5357">
        <v>19.626080538976201</v>
      </c>
      <c r="AL5357">
        <v>95.678825841280002</v>
      </c>
      <c r="AM5357">
        <v>90.293906703650094</v>
      </c>
      <c r="AN5357">
        <v>0.99999998543399005</v>
      </c>
    </row>
    <row r="5358" spans="1:40" x14ac:dyDescent="0.25">
      <c r="A5358" t="str">
        <f>"20190303154246933"</f>
        <v>20190303154246933</v>
      </c>
      <c r="B5358" t="str">
        <f>"1551598966925948"</f>
        <v>1551598966925948</v>
      </c>
      <c r="C5358" t="s">
        <v>40</v>
      </c>
      <c r="D5358">
        <v>5.9468730000000001</v>
      </c>
      <c r="E5358">
        <v>0.52097740000000003</v>
      </c>
      <c r="F5358" t="s">
        <v>41</v>
      </c>
      <c r="G5358">
        <v>-321.75450000000001</v>
      </c>
      <c r="H5358" s="1">
        <v>-4.1226839999999999E-6</v>
      </c>
      <c r="I5358">
        <v>142.11779999999999</v>
      </c>
      <c r="J5358">
        <v>-302.34219999999999</v>
      </c>
      <c r="K5358">
        <v>1.120355</v>
      </c>
      <c r="L5358">
        <v>141.09229999999999</v>
      </c>
      <c r="M5358">
        <v>-0.99991509999999995</v>
      </c>
      <c r="N5358">
        <v>-1.270543E-2</v>
      </c>
      <c r="O5358">
        <v>2.8954340000000001E-3</v>
      </c>
      <c r="P5358">
        <v>-0.99373100000000003</v>
      </c>
      <c r="Q5358">
        <v>-0.11179269999999999</v>
      </c>
      <c r="R5358">
        <v>-1.069122E-3</v>
      </c>
      <c r="S5358">
        <v>-3.000092</v>
      </c>
      <c r="T5358">
        <v>-0.1705692</v>
      </c>
      <c r="U5358">
        <v>0.15629579999999901</v>
      </c>
      <c r="V5358">
        <v>-4.0239430000000003E-3</v>
      </c>
      <c r="W5358">
        <v>-9.9154889999999996E-2</v>
      </c>
      <c r="X5358">
        <v>0.9950639</v>
      </c>
      <c r="Y5358">
        <v>4.9040599999999997E-2</v>
      </c>
      <c r="Z5358">
        <v>1.576469E-3</v>
      </c>
      <c r="AA5358">
        <v>0.99879560000000001</v>
      </c>
      <c r="AB5358">
        <v>32</v>
      </c>
      <c r="AC5358">
        <v>-19.412299999999998</v>
      </c>
      <c r="AD5358">
        <v>-1.120359122684</v>
      </c>
      <c r="AE5358">
        <v>1.0254999999999901</v>
      </c>
      <c r="AF5358">
        <v>0.96607519384013896</v>
      </c>
      <c r="AG5358">
        <v>-1.120359122684</v>
      </c>
      <c r="AH5358">
        <v>19.3509117074932</v>
      </c>
      <c r="AI5358">
        <v>93.309440337175602</v>
      </c>
      <c r="AJ5358">
        <v>87.141937590181001</v>
      </c>
      <c r="AK5358">
        <v>19.4073771992799</v>
      </c>
      <c r="AL5358">
        <v>95.690507233862803</v>
      </c>
      <c r="AM5358">
        <v>90.231697375561595</v>
      </c>
      <c r="AN5358">
        <v>1.0000000247056899</v>
      </c>
    </row>
    <row r="5359" spans="1:40" x14ac:dyDescent="0.25">
      <c r="A5359" t="str">
        <f>"20190303154246958"</f>
        <v>20190303154246958</v>
      </c>
      <c r="B5359" t="str">
        <f>"1551598966945467"</f>
        <v>1551598966945467</v>
      </c>
      <c r="C5359" t="s">
        <v>40</v>
      </c>
      <c r="D5359">
        <v>5.9415190000000004</v>
      </c>
      <c r="E5359">
        <v>0.52107479999999995</v>
      </c>
      <c r="F5359" t="s">
        <v>41</v>
      </c>
      <c r="G5359">
        <v>-321.87619999999998</v>
      </c>
      <c r="H5359" s="1">
        <v>-4.0860889999999996E-6</v>
      </c>
      <c r="I5359">
        <v>142.14500000000001</v>
      </c>
      <c r="J5359">
        <v>-302.67959999999999</v>
      </c>
      <c r="K5359">
        <v>1.1203620000000001</v>
      </c>
      <c r="L5359">
        <v>141.09370000000001</v>
      </c>
      <c r="M5359">
        <v>-0.99991110000000005</v>
      </c>
      <c r="N5359">
        <v>-1.2935E-2</v>
      </c>
      <c r="O5359">
        <v>3.2949170000000001E-3</v>
      </c>
      <c r="P5359">
        <v>-0.9937646</v>
      </c>
      <c r="Q5359">
        <v>-0.11149870000000001</v>
      </c>
      <c r="R5359">
        <v>4.4909140000000001E-4</v>
      </c>
      <c r="S5359">
        <v>-2.9997560000000001</v>
      </c>
      <c r="T5359">
        <v>-0.17204949999999999</v>
      </c>
      <c r="U5359">
        <v>0.161666899999999</v>
      </c>
      <c r="V5359">
        <v>-2.9043110000000001E-3</v>
      </c>
      <c r="W5359">
        <v>-9.8632810000000001E-2</v>
      </c>
      <c r="X5359">
        <v>0.99511959999999999</v>
      </c>
      <c r="Y5359">
        <v>5.0426430000000001E-2</v>
      </c>
      <c r="Z5359">
        <v>1.6244530000000001E-3</v>
      </c>
      <c r="AA5359">
        <v>0.99872640000000001</v>
      </c>
      <c r="AB5359">
        <v>32</v>
      </c>
      <c r="AC5359">
        <v>-19.196599999999901</v>
      </c>
      <c r="AD5359">
        <v>-1.1203660860889999</v>
      </c>
      <c r="AE5359">
        <v>1.0512999999999899</v>
      </c>
      <c r="AF5359">
        <v>0.98469376532973496</v>
      </c>
      <c r="AG5359">
        <v>-1.1203660860889999</v>
      </c>
      <c r="AH5359">
        <v>19.134977180954301</v>
      </c>
      <c r="AI5359">
        <v>93.346463685255102</v>
      </c>
      <c r="AJ5359">
        <v>87.054134266502899</v>
      </c>
      <c r="AK5359">
        <v>19.1930246103625</v>
      </c>
      <c r="AL5359">
        <v>95.660447365730207</v>
      </c>
      <c r="AM5359">
        <v>90.167220392623506</v>
      </c>
      <c r="AN5359">
        <v>0.99999994226751798</v>
      </c>
    </row>
    <row r="5360" spans="1:40" x14ac:dyDescent="0.25">
      <c r="A5360" t="str">
        <f>"20190303154246979"</f>
        <v>20190303154246979</v>
      </c>
      <c r="B5360" t="str">
        <f>"1551598966975724"</f>
        <v>1551598966975724</v>
      </c>
      <c r="C5360" t="s">
        <v>40</v>
      </c>
      <c r="D5360">
        <v>5.9113920000000002</v>
      </c>
      <c r="E5360">
        <v>0.52119420000000005</v>
      </c>
      <c r="F5360" t="s">
        <v>41</v>
      </c>
      <c r="G5360">
        <v>-322.44760000000002</v>
      </c>
      <c r="H5360" s="1">
        <v>-3.900004E-6</v>
      </c>
      <c r="I5360">
        <v>142.19210000000001</v>
      </c>
      <c r="J5360">
        <v>-302.98849999999999</v>
      </c>
      <c r="K5360">
        <v>1.120376</v>
      </c>
      <c r="L5360">
        <v>141.09520000000001</v>
      </c>
      <c r="M5360">
        <v>-0.9999074</v>
      </c>
      <c r="N5360">
        <v>-1.311933E-2</v>
      </c>
      <c r="O5360">
        <v>3.662233E-3</v>
      </c>
      <c r="P5360">
        <v>-0.99384910000000004</v>
      </c>
      <c r="Q5360">
        <v>-0.11074150000000001</v>
      </c>
      <c r="R5360">
        <v>7.9871339999999997E-4</v>
      </c>
      <c r="S5360">
        <v>-2.9996339999999999</v>
      </c>
      <c r="T5360">
        <v>-0.17000750000000001</v>
      </c>
      <c r="U5360">
        <v>0.166687</v>
      </c>
      <c r="V5360">
        <v>-2.9197670000000002E-3</v>
      </c>
      <c r="W5360">
        <v>-9.7691070000000005E-2</v>
      </c>
      <c r="X5360">
        <v>0.99521250000000006</v>
      </c>
      <c r="Y5360">
        <v>5.1727719999999998E-2</v>
      </c>
      <c r="Z5360">
        <v>1.6442399999999999E-3</v>
      </c>
      <c r="AA5360">
        <v>0.99865979999999999</v>
      </c>
      <c r="AB5360">
        <v>32</v>
      </c>
      <c r="AC5360">
        <v>-19.459099999999999</v>
      </c>
      <c r="AD5360">
        <v>-1.120379900004</v>
      </c>
      <c r="AE5360">
        <v>1.0969</v>
      </c>
      <c r="AF5360">
        <v>1.0222447431836399</v>
      </c>
      <c r="AG5360">
        <v>-1.120379900004</v>
      </c>
      <c r="AH5360">
        <v>19.398883092552801</v>
      </c>
      <c r="AI5360">
        <v>93.300868393052397</v>
      </c>
      <c r="AJ5360">
        <v>86.983528116434897</v>
      </c>
      <c r="AK5360">
        <v>19.458080600969598</v>
      </c>
      <c r="AL5360">
        <v>95.606227479573704</v>
      </c>
      <c r="AM5360">
        <v>90.168094599187398</v>
      </c>
      <c r="AN5360">
        <v>0.99999999517666405</v>
      </c>
    </row>
    <row r="5361" spans="1:40" x14ac:dyDescent="0.25">
      <c r="A5361" t="str">
        <f>"20190303154247002"</f>
        <v>20190303154247002</v>
      </c>
      <c r="B5361" t="str">
        <f>"1551598966995243"</f>
        <v>1551598966995243</v>
      </c>
      <c r="C5361" t="s">
        <v>40</v>
      </c>
      <c r="D5361">
        <v>5.8927420000000001</v>
      </c>
      <c r="E5361">
        <v>0.52129650000000005</v>
      </c>
      <c r="F5361" t="s">
        <v>41</v>
      </c>
      <c r="G5361">
        <v>-323.02249999999998</v>
      </c>
      <c r="H5361" s="1">
        <v>-3.668827E-6</v>
      </c>
      <c r="I5361">
        <v>142.2216</v>
      </c>
      <c r="J5361">
        <v>-303.31020000000001</v>
      </c>
      <c r="K5361">
        <v>1.120384</v>
      </c>
      <c r="L5361">
        <v>141.0968</v>
      </c>
      <c r="M5361">
        <v>-0.9999036</v>
      </c>
      <c r="N5361">
        <v>-1.328795E-2</v>
      </c>
      <c r="O5361">
        <v>4.0437909999999997E-3</v>
      </c>
      <c r="P5361">
        <v>-0.99386059999999998</v>
      </c>
      <c r="Q5361">
        <v>-0.11063829999999999</v>
      </c>
      <c r="R5361">
        <v>4.9918559999999996E-4</v>
      </c>
      <c r="S5361">
        <v>-2.9997250000000002</v>
      </c>
      <c r="T5361">
        <v>-0.16775699999999999</v>
      </c>
      <c r="U5361">
        <v>0.16867070000000001</v>
      </c>
      <c r="V5361">
        <v>-3.5989500000000001E-3</v>
      </c>
      <c r="W5361">
        <v>-9.7419370000000005E-2</v>
      </c>
      <c r="X5361">
        <v>0.99523689999999998</v>
      </c>
      <c r="Y5361">
        <v>5.2005129999999997E-2</v>
      </c>
      <c r="Z5361">
        <v>1.6259130000000001E-3</v>
      </c>
      <c r="AA5361">
        <v>0.99864549999999996</v>
      </c>
      <c r="AB5361">
        <v>32</v>
      </c>
      <c r="AC5361">
        <v>-19.7122999999999</v>
      </c>
      <c r="AD5361">
        <v>-1.120387668827</v>
      </c>
      <c r="AE5361">
        <v>1.12479999999999</v>
      </c>
      <c r="AF5361">
        <v>1.0417170614885101</v>
      </c>
      <c r="AG5361">
        <v>-1.120387668827</v>
      </c>
      <c r="AH5361">
        <v>19.6534045072327</v>
      </c>
      <c r="AI5361">
        <v>93.258182908197597</v>
      </c>
      <c r="AJ5361">
        <v>86.965910420118803</v>
      </c>
      <c r="AK5361">
        <v>19.712857522175</v>
      </c>
      <c r="AL5361">
        <v>95.590585654258007</v>
      </c>
      <c r="AM5361">
        <v>90.207190616484496</v>
      </c>
      <c r="AN5361">
        <v>0.99999998660695399</v>
      </c>
    </row>
    <row r="5362" spans="1:40" x14ac:dyDescent="0.25">
      <c r="A5362" t="str">
        <f>"20190303154247025"</f>
        <v>20190303154247025</v>
      </c>
      <c r="B5362" t="str">
        <f>"1551598967015740"</f>
        <v>1551598967015740</v>
      </c>
      <c r="C5362" t="s">
        <v>40</v>
      </c>
      <c r="D5362">
        <v>5.8757519999999896</v>
      </c>
      <c r="E5362">
        <v>0.52140850000000005</v>
      </c>
      <c r="F5362" t="s">
        <v>41</v>
      </c>
      <c r="G5362">
        <v>-323.416</v>
      </c>
      <c r="H5362" s="1">
        <v>-3.50198E-6</v>
      </c>
      <c r="I5362">
        <v>142.22890000000001</v>
      </c>
      <c r="J5362">
        <v>-303.6431</v>
      </c>
      <c r="K5362">
        <v>1.120385</v>
      </c>
      <c r="L5362">
        <v>141.0985</v>
      </c>
      <c r="M5362">
        <v>-0.99989989999999995</v>
      </c>
      <c r="N5362">
        <v>-1.34401E-2</v>
      </c>
      <c r="O5362">
        <v>4.4369880000000002E-3</v>
      </c>
      <c r="P5362">
        <v>-0.99380800000000002</v>
      </c>
      <c r="Q5362">
        <v>-0.1111125</v>
      </c>
      <c r="R5362" s="1">
        <v>9.3468459999999999E-5</v>
      </c>
      <c r="S5362">
        <v>-2.9998170000000002</v>
      </c>
      <c r="T5362">
        <v>-0.16716429999999999</v>
      </c>
      <c r="U5362">
        <v>0.1689301</v>
      </c>
      <c r="V5362">
        <v>-4.3956050000000003E-3</v>
      </c>
      <c r="W5362">
        <v>-9.7742209999999996E-2</v>
      </c>
      <c r="X5362">
        <v>0.99520209999999998</v>
      </c>
      <c r="Y5362">
        <v>5.169808E-2</v>
      </c>
      <c r="Z5362">
        <v>1.5989190000000001E-3</v>
      </c>
      <c r="AA5362">
        <v>0.99866149999999998</v>
      </c>
      <c r="AB5362">
        <v>32</v>
      </c>
      <c r="AC5362">
        <v>-19.7729</v>
      </c>
      <c r="AD5362">
        <v>-1.12038850198</v>
      </c>
      <c r="AE5362">
        <v>1.1304000000000001</v>
      </c>
      <c r="AF5362">
        <v>1.03932277327958</v>
      </c>
      <c r="AG5362">
        <v>-1.12038850198</v>
      </c>
      <c r="AH5362">
        <v>19.714630256433502</v>
      </c>
      <c r="AI5362">
        <v>93.248137279646699</v>
      </c>
      <c r="AJ5362">
        <v>86.9822546506728</v>
      </c>
      <c r="AK5362">
        <v>19.773773245648101</v>
      </c>
      <c r="AL5362">
        <v>95.609171421370306</v>
      </c>
      <c r="AM5362">
        <v>90.253062144085206</v>
      </c>
      <c r="AN5362">
        <v>1.0000000404017</v>
      </c>
    </row>
    <row r="5363" spans="1:40" x14ac:dyDescent="0.25">
      <c r="A5363" t="str">
        <f>"20190303154247045"</f>
        <v>20190303154247045</v>
      </c>
      <c r="B5363" t="str">
        <f>"1551598967035259"</f>
        <v>1551598967035259</v>
      </c>
      <c r="C5363" t="s">
        <v>40</v>
      </c>
      <c r="D5363">
        <v>5.8562240000000001</v>
      </c>
      <c r="E5363">
        <v>0.52145640000000004</v>
      </c>
      <c r="F5363" t="s">
        <v>41</v>
      </c>
      <c r="G5363">
        <v>-323.58350000000002</v>
      </c>
      <c r="H5363" s="1">
        <v>-3.4271799999999999E-6</v>
      </c>
      <c r="I5363">
        <v>142.21789999999999</v>
      </c>
      <c r="J5363">
        <v>-303.93450000000001</v>
      </c>
      <c r="K5363">
        <v>1.1203829999999999</v>
      </c>
      <c r="L5363">
        <v>141.1002</v>
      </c>
      <c r="M5363">
        <v>-0.99989669999999997</v>
      </c>
      <c r="N5363">
        <v>-1.355638E-2</v>
      </c>
      <c r="O5363">
        <v>4.7794939999999996E-3</v>
      </c>
      <c r="P5363">
        <v>-0.99378100000000003</v>
      </c>
      <c r="Q5363">
        <v>-0.11135299999999999</v>
      </c>
      <c r="R5363">
        <v>-1.2232200000000001E-4</v>
      </c>
      <c r="S5363">
        <v>-2.9998170000000002</v>
      </c>
      <c r="T5363">
        <v>-0.1685507</v>
      </c>
      <c r="U5363">
        <v>0.16841130000000001</v>
      </c>
      <c r="V5363">
        <v>-4.9512410000000003E-3</v>
      </c>
      <c r="W5363">
        <v>-9.7866889999999998E-2</v>
      </c>
      <c r="X5363">
        <v>0.99518720000000005</v>
      </c>
      <c r="Y5363">
        <v>5.118354E-2</v>
      </c>
      <c r="Z5363">
        <v>1.5798190000000001E-3</v>
      </c>
      <c r="AA5363">
        <v>0.99868800000000002</v>
      </c>
      <c r="AB5363">
        <v>32</v>
      </c>
      <c r="AC5363">
        <v>-19.649000000000001</v>
      </c>
      <c r="AD5363">
        <v>-1.1203864271799999</v>
      </c>
      <c r="AE5363">
        <v>1.1176999999999799</v>
      </c>
      <c r="AF5363">
        <v>1.02045922376676</v>
      </c>
      <c r="AG5363">
        <v>-1.1203864271799999</v>
      </c>
      <c r="AH5363">
        <v>19.5906288166384</v>
      </c>
      <c r="AI5363">
        <v>93.268753557381203</v>
      </c>
      <c r="AJ5363">
        <v>87.018206350774904</v>
      </c>
      <c r="AK5363">
        <v>19.649156221193898</v>
      </c>
      <c r="AL5363">
        <v>95.616349683788201</v>
      </c>
      <c r="AM5363">
        <v>90.285054783713207</v>
      </c>
      <c r="AN5363">
        <v>1.00000000299477</v>
      </c>
    </row>
    <row r="5364" spans="1:40" x14ac:dyDescent="0.25">
      <c r="A5364" t="str">
        <f>"20190303154247069"</f>
        <v>20190303154247069</v>
      </c>
      <c r="B5364" t="str">
        <f>"1551598967065516"</f>
        <v>1551598967065516</v>
      </c>
      <c r="C5364" t="s">
        <v>40</v>
      </c>
      <c r="D5364">
        <v>5.8270010000000001</v>
      </c>
      <c r="E5364">
        <v>0.52158269999999995</v>
      </c>
      <c r="F5364" t="s">
        <v>41</v>
      </c>
      <c r="G5364">
        <v>-323.85719999999998</v>
      </c>
      <c r="H5364" s="1">
        <v>-3.3095409999999999E-6</v>
      </c>
      <c r="I5364">
        <v>142.21719999999999</v>
      </c>
      <c r="J5364">
        <v>-304.25839999999999</v>
      </c>
      <c r="K5364">
        <v>1.1203890000000001</v>
      </c>
      <c r="L5364">
        <v>141.10220000000001</v>
      </c>
      <c r="M5364">
        <v>-0.99989329999999998</v>
      </c>
      <c r="N5364">
        <v>-1.36691E-2</v>
      </c>
      <c r="O5364">
        <v>5.1595010000000004E-3</v>
      </c>
      <c r="P5364">
        <v>-0.99375740000000001</v>
      </c>
      <c r="Q5364">
        <v>-0.1115631</v>
      </c>
      <c r="R5364">
        <v>-1.2392619999999999E-4</v>
      </c>
      <c r="S5364">
        <v>-2.9998779999999998</v>
      </c>
      <c r="T5364">
        <v>-0.16870299999999999</v>
      </c>
      <c r="U5364">
        <v>0.1681976</v>
      </c>
      <c r="V5364">
        <v>-5.3308219999999998E-3</v>
      </c>
      <c r="W5364">
        <v>-9.7964770000000007E-2</v>
      </c>
      <c r="X5364">
        <v>0.99517560000000005</v>
      </c>
      <c r="Y5364">
        <v>5.0732850000000003E-2</v>
      </c>
      <c r="Z5364">
        <v>1.55239299999999E-3</v>
      </c>
      <c r="AA5364">
        <v>0.99871100000000002</v>
      </c>
      <c r="AB5364">
        <v>32</v>
      </c>
      <c r="AC5364">
        <v>-19.598799999999901</v>
      </c>
      <c r="AD5364">
        <v>-1.12039230954099</v>
      </c>
      <c r="AE5364">
        <v>1.11499999999998</v>
      </c>
      <c r="AF5364">
        <v>1.01056382148903</v>
      </c>
      <c r="AG5364">
        <v>-1.12039230954099</v>
      </c>
      <c r="AH5364">
        <v>19.540639787743501</v>
      </c>
      <c r="AI5364">
        <v>93.277177837071804</v>
      </c>
      <c r="AJ5364">
        <v>87.039528615465599</v>
      </c>
      <c r="AK5364">
        <v>19.598804082875201</v>
      </c>
      <c r="AL5364">
        <v>95.621984922322099</v>
      </c>
      <c r="AM5364">
        <v>90.306911343716394</v>
      </c>
      <c r="AN5364">
        <v>0.99999999432985398</v>
      </c>
    </row>
    <row r="5365" spans="1:40" x14ac:dyDescent="0.25">
      <c r="A5365" t="str">
        <f>"20190303154247090"</f>
        <v>20190303154247090</v>
      </c>
      <c r="B5365" t="str">
        <f>"1551598967086012"</f>
        <v>1551598967086012</v>
      </c>
      <c r="C5365" t="s">
        <v>40</v>
      </c>
      <c r="D5365">
        <v>5.8281850000000004</v>
      </c>
      <c r="E5365">
        <v>0.52164079999999902</v>
      </c>
      <c r="F5365" t="s">
        <v>41</v>
      </c>
      <c r="G5365">
        <v>-324.1189</v>
      </c>
      <c r="H5365" s="1">
        <v>-3.1988779999999998E-6</v>
      </c>
      <c r="I5365">
        <v>142.22309999999999</v>
      </c>
      <c r="J5365">
        <v>-304.56950000000001</v>
      </c>
      <c r="K5365">
        <v>1.1203959999999999</v>
      </c>
      <c r="L5365">
        <v>141.10419999999999</v>
      </c>
      <c r="M5365">
        <v>-0.9998901</v>
      </c>
      <c r="N5365">
        <v>-1.3762659999999999E-2</v>
      </c>
      <c r="O5365">
        <v>5.5241860000000004E-3</v>
      </c>
      <c r="P5365">
        <v>-0.9938323</v>
      </c>
      <c r="Q5365">
        <v>-0.1108932</v>
      </c>
      <c r="R5365">
        <v>4.7839360000000001E-4</v>
      </c>
      <c r="S5365">
        <v>-2.9998779999999998</v>
      </c>
      <c r="T5365">
        <v>-0.1692331</v>
      </c>
      <c r="U5365">
        <v>0.169326799999999</v>
      </c>
      <c r="V5365">
        <v>-5.0906160000000001E-3</v>
      </c>
      <c r="W5365">
        <v>-9.7201070000000001E-2</v>
      </c>
      <c r="X5365">
        <v>0.99525180000000002</v>
      </c>
      <c r="Y5365">
        <v>5.0742950000000002E-2</v>
      </c>
      <c r="Z5365">
        <v>1.5436339999999999E-3</v>
      </c>
      <c r="AA5365">
        <v>0.9987106</v>
      </c>
      <c r="AB5365">
        <v>32</v>
      </c>
      <c r="AC5365">
        <v>-19.549399999999899</v>
      </c>
      <c r="AD5365">
        <v>-1.120399198878</v>
      </c>
      <c r="AE5365">
        <v>1.11889999999999</v>
      </c>
      <c r="AF5365">
        <v>1.0075795195263599</v>
      </c>
      <c r="AG5365">
        <v>-1.120399198878</v>
      </c>
      <c r="AH5365">
        <v>19.491471152258399</v>
      </c>
      <c r="AI5365">
        <v>93.285450653788303</v>
      </c>
      <c r="AJ5365">
        <v>87.040822947998393</v>
      </c>
      <c r="AK5365">
        <v>19.549628091918699</v>
      </c>
      <c r="AL5365">
        <v>95.578017965666803</v>
      </c>
      <c r="AM5365">
        <v>90.293059774798195</v>
      </c>
      <c r="AN5365">
        <v>1.0000000538918199</v>
      </c>
    </row>
    <row r="5366" spans="1:40" x14ac:dyDescent="0.25">
      <c r="A5366" t="str">
        <f>"20190303154247113"</f>
        <v>20190303154247113</v>
      </c>
      <c r="B5366" t="str">
        <f>"1551598967105531"</f>
        <v>1551598967105531</v>
      </c>
      <c r="C5366" t="s">
        <v>40</v>
      </c>
      <c r="D5366">
        <v>5.8066659999999999</v>
      </c>
      <c r="E5366">
        <v>0.52169920000000003</v>
      </c>
      <c r="F5366" t="s">
        <v>41</v>
      </c>
      <c r="G5366">
        <v>-324.63839999999999</v>
      </c>
      <c r="H5366" s="1">
        <v>-2.9839150000000001E-6</v>
      </c>
      <c r="I5366">
        <v>142.25280000000001</v>
      </c>
      <c r="J5366">
        <v>-304.88529999999997</v>
      </c>
      <c r="K5366">
        <v>1.120404</v>
      </c>
      <c r="L5366">
        <v>141.1063</v>
      </c>
      <c r="M5366">
        <v>-0.99988679999999996</v>
      </c>
      <c r="N5366">
        <v>-1.3845059999999999E-2</v>
      </c>
      <c r="O5366">
        <v>5.895501E-3</v>
      </c>
      <c r="P5366">
        <v>-0.99377749999999998</v>
      </c>
      <c r="Q5366">
        <v>-0.11137759999999999</v>
      </c>
      <c r="R5366">
        <v>1.2981850000000001E-3</v>
      </c>
      <c r="S5366">
        <v>-2.9998469999999999</v>
      </c>
      <c r="T5366">
        <v>-0.1674747</v>
      </c>
      <c r="U5366">
        <v>0.1717072</v>
      </c>
      <c r="V5366">
        <v>-4.640061E-3</v>
      </c>
      <c r="W5366">
        <v>-9.7604419999999997E-2</v>
      </c>
      <c r="X5366">
        <v>0.9952145</v>
      </c>
      <c r="Y5366">
        <v>5.116366E-2</v>
      </c>
      <c r="Z5366">
        <v>1.533656E-3</v>
      </c>
      <c r="AA5366">
        <v>0.9986891</v>
      </c>
      <c r="AB5366">
        <v>32</v>
      </c>
      <c r="AC5366">
        <v>-19.7531</v>
      </c>
      <c r="AD5366">
        <v>-1.1204069839149999</v>
      </c>
      <c r="AE5366">
        <v>1.1465000000000001</v>
      </c>
      <c r="AF5366">
        <v>1.02672238728548</v>
      </c>
      <c r="AG5366">
        <v>-1.1204069839149999</v>
      </c>
      <c r="AH5366">
        <v>19.696361672531399</v>
      </c>
      <c r="AI5366">
        <v>93.251297227931801</v>
      </c>
      <c r="AJ5366">
        <v>87.016014214739599</v>
      </c>
      <c r="AK5366">
        <v>19.754901513430099</v>
      </c>
      <c r="AL5366">
        <v>95.601238781554201</v>
      </c>
      <c r="AM5366">
        <v>90.267132347490104</v>
      </c>
      <c r="AN5366">
        <v>1.0000000269899301</v>
      </c>
    </row>
    <row r="5367" spans="1:40" x14ac:dyDescent="0.25">
      <c r="A5367" t="str">
        <f>"20190303154247135"</f>
        <v>20190303154247135</v>
      </c>
      <c r="B5367" t="str">
        <f>"1551598967126028"</f>
        <v>1551598967126028</v>
      </c>
      <c r="C5367" t="s">
        <v>40</v>
      </c>
      <c r="D5367">
        <v>5.81107</v>
      </c>
      <c r="E5367">
        <v>0.52171529999999999</v>
      </c>
      <c r="F5367" t="s">
        <v>41</v>
      </c>
      <c r="G5367">
        <v>-324.7654</v>
      </c>
      <c r="H5367" s="1">
        <v>-2.9325669999999998E-6</v>
      </c>
      <c r="I5367">
        <v>142.2646</v>
      </c>
      <c r="J5367">
        <v>-305.19920000000002</v>
      </c>
      <c r="K5367">
        <v>1.1204069999999999</v>
      </c>
      <c r="L5367">
        <v>141.10849999999999</v>
      </c>
      <c r="M5367">
        <v>-0.99988350000000004</v>
      </c>
      <c r="N5367">
        <v>-1.3915749999999999E-2</v>
      </c>
      <c r="O5367">
        <v>6.2701989999999997E-3</v>
      </c>
      <c r="P5367">
        <v>-0.99372479999999996</v>
      </c>
      <c r="Q5367">
        <v>-0.1118074</v>
      </c>
      <c r="R5367">
        <v>3.1741819999999998E-3</v>
      </c>
      <c r="S5367">
        <v>-2.9995729999999998</v>
      </c>
      <c r="T5367">
        <v>-0.1690509</v>
      </c>
      <c r="U5367">
        <v>0.17477419999999999</v>
      </c>
      <c r="V5367">
        <v>-3.1365529999999998E-3</v>
      </c>
      <c r="W5367">
        <v>-9.7965629999999998E-2</v>
      </c>
      <c r="X5367">
        <v>0.99518479999999998</v>
      </c>
      <c r="Y5367">
        <v>5.1809729999999998E-2</v>
      </c>
      <c r="Z5367">
        <v>1.5530850000000001E-3</v>
      </c>
      <c r="AA5367">
        <v>0.99865579999999998</v>
      </c>
      <c r="AB5367">
        <v>31</v>
      </c>
      <c r="AC5367">
        <v>-19.566199999999899</v>
      </c>
      <c r="AD5367">
        <v>-1.1204099325669901</v>
      </c>
      <c r="AE5367">
        <v>1.1560999999999999</v>
      </c>
      <c r="AF5367">
        <v>1.0300157520307101</v>
      </c>
      <c r="AG5367">
        <v>-1.1204099325669901</v>
      </c>
      <c r="AH5367">
        <v>19.5093165580845</v>
      </c>
      <c r="AI5367">
        <v>93.282295185602194</v>
      </c>
      <c r="AJ5367">
        <v>86.977812477081201</v>
      </c>
      <c r="AK5367">
        <v>19.568589203874101</v>
      </c>
      <c r="AL5367">
        <v>95.622034716532397</v>
      </c>
      <c r="AM5367">
        <v>90.180580183775803</v>
      </c>
      <c r="AN5367">
        <v>0.99999994438852702</v>
      </c>
    </row>
    <row r="5368" spans="1:40" x14ac:dyDescent="0.25">
      <c r="A5368" t="str">
        <f>"20190303154247159"</f>
        <v>20190303154247159</v>
      </c>
      <c r="B5368" t="str">
        <f>"1551598967155307"</f>
        <v>1551598967155307</v>
      </c>
      <c r="C5368" t="s">
        <v>40</v>
      </c>
      <c r="D5368">
        <v>5.7797929999999997</v>
      </c>
      <c r="E5368">
        <v>0.5217579</v>
      </c>
      <c r="F5368" t="s">
        <v>41</v>
      </c>
      <c r="G5368">
        <v>-324.86110000000002</v>
      </c>
      <c r="H5368" s="1">
        <v>-2.898706E-6</v>
      </c>
      <c r="I5368">
        <v>142.29169999999999</v>
      </c>
      <c r="J5368">
        <v>-305.5138</v>
      </c>
      <c r="K5368">
        <v>1.1204000000000001</v>
      </c>
      <c r="L5368">
        <v>141.11089999999999</v>
      </c>
      <c r="M5368">
        <v>-0.99988030000000006</v>
      </c>
      <c r="N5368">
        <v>-1.3975639999999999E-2</v>
      </c>
      <c r="O5368">
        <v>6.6600740000000002E-3</v>
      </c>
      <c r="P5368">
        <v>-0.99367879999999997</v>
      </c>
      <c r="Q5368">
        <v>-0.1121607</v>
      </c>
      <c r="R5368">
        <v>4.7488290000000004E-3</v>
      </c>
      <c r="S5368">
        <v>-2.9991150000000002</v>
      </c>
      <c r="T5368">
        <v>-0.17090079999999999</v>
      </c>
      <c r="U5368">
        <v>0.180481</v>
      </c>
      <c r="V5368">
        <v>-1.9510899999999999E-3</v>
      </c>
      <c r="W5368">
        <v>-9.8260719999999996E-2</v>
      </c>
      <c r="X5368">
        <v>0.99515880000000001</v>
      </c>
      <c r="Y5368">
        <v>5.3318089999999999E-2</v>
      </c>
      <c r="Z5368">
        <v>1.6039419999999999E-3</v>
      </c>
      <c r="AA5368">
        <v>0.99857629999999997</v>
      </c>
      <c r="AB5368">
        <v>31</v>
      </c>
      <c r="AC5368">
        <v>-19.347300000000001</v>
      </c>
      <c r="AD5368">
        <v>-1.120402898706</v>
      </c>
      <c r="AE5368">
        <v>1.1808000000000001</v>
      </c>
      <c r="AF5368">
        <v>1.0484039386939601</v>
      </c>
      <c r="AG5368">
        <v>-1.120402898706</v>
      </c>
      <c r="AH5368">
        <v>19.2902845069544</v>
      </c>
      <c r="AI5368">
        <v>93.319185722629399</v>
      </c>
      <c r="AJ5368">
        <v>86.889103342276002</v>
      </c>
      <c r="AK5368">
        <v>19.351215203013599</v>
      </c>
      <c r="AL5368">
        <v>95.639023746848594</v>
      </c>
      <c r="AM5368">
        <v>90.112332905276702</v>
      </c>
      <c r="AN5368">
        <v>1.0000000065322701</v>
      </c>
    </row>
    <row r="5369" spans="1:40" x14ac:dyDescent="0.25">
      <c r="A5369" t="str">
        <f>"20190303154247180"</f>
        <v>20190303154247180</v>
      </c>
      <c r="B5369" t="str">
        <f>"1551598967175804"</f>
        <v>1551598967175804</v>
      </c>
      <c r="C5369" t="s">
        <v>40</v>
      </c>
      <c r="D5369">
        <v>5.9053309999999897</v>
      </c>
      <c r="E5369">
        <v>0.52175729999999998</v>
      </c>
      <c r="F5369" t="s">
        <v>41</v>
      </c>
      <c r="G5369">
        <v>-324.99099999999999</v>
      </c>
      <c r="H5369" s="1">
        <v>-2.8494580000000001E-6</v>
      </c>
      <c r="I5369">
        <v>142.316</v>
      </c>
      <c r="J5369">
        <v>-305.82679999999999</v>
      </c>
      <c r="K5369">
        <v>1.1203959999999999</v>
      </c>
      <c r="L5369">
        <v>141.11349999999999</v>
      </c>
      <c r="M5369">
        <v>-0.99987669999999995</v>
      </c>
      <c r="N5369">
        <v>-1.402695E-2</v>
      </c>
      <c r="O5369">
        <v>7.0706830000000003E-3</v>
      </c>
      <c r="P5369">
        <v>-0.99373699999999998</v>
      </c>
      <c r="Q5369">
        <v>-0.11158460000000001</v>
      </c>
      <c r="R5369">
        <v>5.9915709999999898E-3</v>
      </c>
      <c r="S5369">
        <v>-2.9987180000000002</v>
      </c>
      <c r="T5369">
        <v>-0.1724976</v>
      </c>
      <c r="U5369">
        <v>0.18554689999999999</v>
      </c>
      <c r="V5369">
        <v>-1.1202600000000001E-3</v>
      </c>
      <c r="W5369">
        <v>-9.7633319999999996E-2</v>
      </c>
      <c r="X5369">
        <v>0.99522189999999999</v>
      </c>
      <c r="Y5369">
        <v>5.4592599999999901E-2</v>
      </c>
      <c r="Z5369">
        <v>1.644106E-3</v>
      </c>
      <c r="AA5369">
        <v>0.99850740000000004</v>
      </c>
      <c r="AB5369">
        <v>31</v>
      </c>
      <c r="AC5369">
        <v>-19.164199999999902</v>
      </c>
      <c r="AD5369">
        <v>-1.1203988494579999</v>
      </c>
      <c r="AE5369">
        <v>1.2025000000000099</v>
      </c>
      <c r="AF5369">
        <v>1.0633324809795099</v>
      </c>
      <c r="AG5369">
        <v>-1.1203988494579999</v>
      </c>
      <c r="AH5369">
        <v>19.107173204536402</v>
      </c>
      <c r="AI5369">
        <v>93.350671807659396</v>
      </c>
      <c r="AJ5369">
        <v>86.814720607911198</v>
      </c>
      <c r="AK5369">
        <v>19.1695080118173</v>
      </c>
      <c r="AL5369">
        <v>95.602902305061605</v>
      </c>
      <c r="AM5369">
        <v>90.064494303077595</v>
      </c>
      <c r="AN5369">
        <v>1.0000000751981399</v>
      </c>
    </row>
    <row r="5370" spans="1:40" x14ac:dyDescent="0.25">
      <c r="A5370" t="str">
        <f>"20190303154247203"</f>
        <v>20190303154247203</v>
      </c>
      <c r="B5370" t="str">
        <f>"1551598967195329"</f>
        <v>1551598967195329</v>
      </c>
      <c r="C5370" t="s">
        <v>40</v>
      </c>
      <c r="D5370">
        <v>5.8943390000000004</v>
      </c>
      <c r="E5370">
        <v>0.52213469999999995</v>
      </c>
      <c r="F5370" t="s">
        <v>41</v>
      </c>
      <c r="G5370">
        <v>-325.52589999999998</v>
      </c>
      <c r="H5370" s="1">
        <v>-2.630581E-6</v>
      </c>
      <c r="I5370">
        <v>142.35579999999999</v>
      </c>
      <c r="J5370">
        <v>-306.14240000000001</v>
      </c>
      <c r="K5370">
        <v>1.120385</v>
      </c>
      <c r="L5370">
        <v>141.11619999999999</v>
      </c>
      <c r="M5370">
        <v>-0.99987280000000001</v>
      </c>
      <c r="N5370">
        <v>-1.407136E-2</v>
      </c>
      <c r="O5370">
        <v>7.5085859999999898E-3</v>
      </c>
      <c r="P5370">
        <v>-0.99378639999999996</v>
      </c>
      <c r="Q5370">
        <v>-0.111143699999999</v>
      </c>
      <c r="R5370">
        <v>5.9911770000000003E-3</v>
      </c>
      <c r="S5370">
        <v>-2.9986570000000001</v>
      </c>
      <c r="T5370">
        <v>-0.1705507</v>
      </c>
      <c r="U5370">
        <v>0.18911739999999999</v>
      </c>
      <c r="V5370">
        <v>-1.56025E-3</v>
      </c>
      <c r="W5370">
        <v>-9.7147090000000005E-2</v>
      </c>
      <c r="X5370">
        <v>0.99526879999999995</v>
      </c>
      <c r="Y5370">
        <v>5.5341719999999997E-2</v>
      </c>
      <c r="Z5370">
        <v>1.6403749999999999E-3</v>
      </c>
      <c r="AA5370">
        <v>0.99846610000000002</v>
      </c>
      <c r="AB5370">
        <v>31</v>
      </c>
      <c r="AC5370">
        <v>-19.383499999999898</v>
      </c>
      <c r="AD5370">
        <v>-1.1203876305810001</v>
      </c>
      <c r="AE5370">
        <v>1.23959999999999</v>
      </c>
      <c r="AF5370">
        <v>1.09037987562557</v>
      </c>
      <c r="AG5370">
        <v>-1.1203876305810001</v>
      </c>
      <c r="AH5370">
        <v>19.327951005687702</v>
      </c>
      <c r="AI5370">
        <v>93.312309653115705</v>
      </c>
      <c r="AJ5370">
        <v>86.771100354316403</v>
      </c>
      <c r="AK5370">
        <v>19.391077504723398</v>
      </c>
      <c r="AL5370">
        <v>95.574910802210894</v>
      </c>
      <c r="AM5370">
        <v>90.089820626099197</v>
      </c>
      <c r="AN5370">
        <v>0.99999998786448496</v>
      </c>
    </row>
    <row r="5371" spans="1:40" x14ac:dyDescent="0.25">
      <c r="A5371" t="str">
        <f>"20190303154247226"</f>
        <v>20190303154247226</v>
      </c>
      <c r="B5371" t="str">
        <f>"1551598967215819"</f>
        <v>1551598967215819</v>
      </c>
      <c r="C5371" t="s">
        <v>40</v>
      </c>
      <c r="D5371">
        <v>5.8747499999999997</v>
      </c>
      <c r="E5371">
        <v>0.54528669999999901</v>
      </c>
      <c r="F5371" t="s">
        <v>41</v>
      </c>
      <c r="G5371">
        <v>-325.5754</v>
      </c>
      <c r="H5371" s="1">
        <v>-2.610814E-6</v>
      </c>
      <c r="I5371">
        <v>142.3613</v>
      </c>
      <c r="J5371">
        <v>-306.4751</v>
      </c>
      <c r="K5371">
        <v>1.120366</v>
      </c>
      <c r="L5371">
        <v>141.11920000000001</v>
      </c>
      <c r="M5371">
        <v>-0.99986850000000005</v>
      </c>
      <c r="N5371">
        <v>-1.411132E-2</v>
      </c>
      <c r="O5371">
        <v>8.0064560000000003E-3</v>
      </c>
      <c r="P5371">
        <v>-0.99380310000000005</v>
      </c>
      <c r="Q5371">
        <v>-0.11097990000000001</v>
      </c>
      <c r="R5371">
        <v>6.2623649999999998E-3</v>
      </c>
      <c r="S5371">
        <v>-2.9981990000000001</v>
      </c>
      <c r="T5371">
        <v>-0.17285819999999999</v>
      </c>
      <c r="U5371">
        <v>0.19210820000000001</v>
      </c>
      <c r="V5371">
        <v>-1.7895090000000001E-3</v>
      </c>
      <c r="W5371">
        <v>-9.6943009999999996E-2</v>
      </c>
      <c r="X5371">
        <v>0.99528830000000001</v>
      </c>
      <c r="Y5371">
        <v>5.5842959999999997E-2</v>
      </c>
      <c r="Z5371">
        <v>1.653737E-3</v>
      </c>
      <c r="AA5371">
        <v>0.99843820000000005</v>
      </c>
      <c r="AB5371">
        <v>31</v>
      </c>
      <c r="AC5371">
        <v>-19.100300000000001</v>
      </c>
      <c r="AD5371">
        <v>-1.1203686108140001</v>
      </c>
      <c r="AE5371">
        <v>1.24209999999999</v>
      </c>
      <c r="AF5371">
        <v>1.0854004941128901</v>
      </c>
      <c r="AG5371">
        <v>-1.1203686108140001</v>
      </c>
      <c r="AH5371">
        <v>19.044384205810701</v>
      </c>
      <c r="AI5371">
        <v>93.361350361237399</v>
      </c>
      <c r="AJ5371">
        <v>86.738058675832804</v>
      </c>
      <c r="AK5371">
        <v>19.108162911050599</v>
      </c>
      <c r="AL5371">
        <v>95.563162499690705</v>
      </c>
      <c r="AM5371">
        <v>90.103016585863003</v>
      </c>
      <c r="AN5371">
        <v>0.99999997482360503</v>
      </c>
    </row>
    <row r="5372" spans="1:40" x14ac:dyDescent="0.25">
      <c r="A5372" t="str">
        <f>"20190303154247248"</f>
        <v>20190303154247248</v>
      </c>
      <c r="B5372" t="str">
        <f>"1551598967245100"</f>
        <v>1551598967245100</v>
      </c>
      <c r="C5372" t="s">
        <v>40</v>
      </c>
      <c r="D5372">
        <v>5.8583249999999998</v>
      </c>
      <c r="E5372">
        <v>0.54531249999999998</v>
      </c>
      <c r="F5372" t="s">
        <v>41</v>
      </c>
      <c r="G5372">
        <v>-321.06189999999998</v>
      </c>
      <c r="H5372" s="1">
        <v>-4.5086250000000004E-6</v>
      </c>
      <c r="I5372">
        <v>142.9649</v>
      </c>
      <c r="J5372">
        <v>-306.7679</v>
      </c>
      <c r="K5372">
        <v>1.1203449999999999</v>
      </c>
      <c r="L5372">
        <v>141.12200000000001</v>
      </c>
      <c r="M5372">
        <v>-0.99986399999999998</v>
      </c>
      <c r="N5372">
        <v>-1.414137E-2</v>
      </c>
      <c r="O5372">
        <v>8.4859559999999994E-3</v>
      </c>
      <c r="P5372">
        <v>-0.99375119999999895</v>
      </c>
      <c r="Q5372">
        <v>-0.1114808</v>
      </c>
      <c r="R5372">
        <v>5.5283669999999898E-3</v>
      </c>
      <c r="S5372">
        <v>-2.9906619999999999</v>
      </c>
      <c r="T5372">
        <v>-0.22970550000000001</v>
      </c>
      <c r="U5372">
        <v>0.37843320000000003</v>
      </c>
      <c r="V5372">
        <v>-3.006693E-3</v>
      </c>
      <c r="W5372">
        <v>-9.7413470000000002E-2</v>
      </c>
      <c r="X5372">
        <v>0.9952394</v>
      </c>
      <c r="Y5372">
        <v>0.11672780000000001</v>
      </c>
      <c r="Z5372">
        <v>4.7598299999999996E-3</v>
      </c>
      <c r="AA5372">
        <v>0.99315260000000005</v>
      </c>
      <c r="AB5372">
        <v>31</v>
      </c>
      <c r="AC5372">
        <v>-14.293999999999899</v>
      </c>
      <c r="AD5372">
        <v>-1.1203495086249999</v>
      </c>
      <c r="AE5372">
        <v>1.84289999999998</v>
      </c>
      <c r="AF5372">
        <v>1.71118287248414</v>
      </c>
      <c r="AG5372">
        <v>-1.1203495086249999</v>
      </c>
      <c r="AH5372">
        <v>14.223177427191199</v>
      </c>
      <c r="AI5372">
        <v>94.471733766049198</v>
      </c>
      <c r="AJ5372">
        <v>83.139747869502301</v>
      </c>
      <c r="AK5372">
        <v>14.369485236775899</v>
      </c>
      <c r="AL5372">
        <v>95.590246233545798</v>
      </c>
      <c r="AM5372">
        <v>90.173094327952796</v>
      </c>
      <c r="AN5372">
        <v>0.99999994382629698</v>
      </c>
    </row>
    <row r="5373" spans="1:40" x14ac:dyDescent="0.25">
      <c r="A5373" t="str">
        <f>"20190303154247269"</f>
        <v>20190303154247269</v>
      </c>
      <c r="B5373" t="str">
        <f>"1551598967265595"</f>
        <v>1551598967265595</v>
      </c>
      <c r="C5373" t="s">
        <v>40</v>
      </c>
      <c r="D5373">
        <v>5.8490390000000003</v>
      </c>
      <c r="E5373">
        <v>0.54508570000000001</v>
      </c>
      <c r="F5373" t="s">
        <v>41</v>
      </c>
      <c r="G5373">
        <v>-321.11110000000002</v>
      </c>
      <c r="H5373" s="1">
        <v>-4.4851179999999997E-6</v>
      </c>
      <c r="I5373">
        <v>142.92679999999999</v>
      </c>
      <c r="J5373">
        <v>-307.06560000000002</v>
      </c>
      <c r="K5373">
        <v>1.1203129999999999</v>
      </c>
      <c r="L5373">
        <v>141.1251</v>
      </c>
      <c r="M5373">
        <v>-0.9998591</v>
      </c>
      <c r="N5373">
        <v>-1.4167620000000001E-2</v>
      </c>
      <c r="O5373">
        <v>9.0212629999999999E-3</v>
      </c>
      <c r="P5373">
        <v>-0.99373579999999995</v>
      </c>
      <c r="Q5373">
        <v>-0.11164300000000001</v>
      </c>
      <c r="R5373">
        <v>5.0303049999999997E-3</v>
      </c>
      <c r="S5373">
        <v>-2.9906009999999998</v>
      </c>
      <c r="T5373">
        <v>-0.2335962</v>
      </c>
      <c r="U5373">
        <v>0.37632749999999998</v>
      </c>
      <c r="V5373">
        <v>-4.04499E-3</v>
      </c>
      <c r="W5373">
        <v>-9.7548399999999993E-2</v>
      </c>
      <c r="X5373">
        <v>0.99522259999999996</v>
      </c>
      <c r="Y5373">
        <v>0.1155035</v>
      </c>
      <c r="Z5373">
        <v>4.7358929999999997E-3</v>
      </c>
      <c r="AA5373">
        <v>0.99329579999999995</v>
      </c>
      <c r="AB5373">
        <v>31</v>
      </c>
      <c r="AC5373">
        <v>-14.045500000000001</v>
      </c>
      <c r="AD5373">
        <v>-1.120317485118</v>
      </c>
      <c r="AE5373">
        <v>1.8016999999999801</v>
      </c>
      <c r="AF5373">
        <v>1.6644874397693401</v>
      </c>
      <c r="AG5373">
        <v>-1.120317485118</v>
      </c>
      <c r="AH5373">
        <v>13.973719083861299</v>
      </c>
      <c r="AI5373">
        <v>94.551739625759197</v>
      </c>
      <c r="AJ5373">
        <v>83.207186858402807</v>
      </c>
      <c r="AK5373">
        <v>14.117027121149899</v>
      </c>
      <c r="AL5373">
        <v>95.598013620640103</v>
      </c>
      <c r="AM5373">
        <v>90.232872102182199</v>
      </c>
      <c r="AN5373">
        <v>1.0000000379187</v>
      </c>
    </row>
    <row r="5374" spans="1:40" x14ac:dyDescent="0.25">
      <c r="A5374" t="str">
        <f>"20190303154247293"</f>
        <v>20190303154247293</v>
      </c>
      <c r="B5374" t="str">
        <f>"1551598967285116"</f>
        <v>1551598967285116</v>
      </c>
      <c r="C5374" t="s">
        <v>40</v>
      </c>
      <c r="D5374">
        <v>5.8300330000000002</v>
      </c>
      <c r="E5374">
        <v>0.54528730000000003</v>
      </c>
      <c r="F5374" t="s">
        <v>41</v>
      </c>
      <c r="G5374">
        <v>-321.19779999999997</v>
      </c>
      <c r="H5374" s="1">
        <v>-4.4487719999999997E-6</v>
      </c>
      <c r="I5374">
        <v>142.88820000000001</v>
      </c>
      <c r="J5374">
        <v>-307.40050000000002</v>
      </c>
      <c r="K5374">
        <v>1.1202730000000001</v>
      </c>
      <c r="L5374">
        <v>141.12880000000001</v>
      </c>
      <c r="M5374">
        <v>-0.99985250000000003</v>
      </c>
      <c r="N5374">
        <v>-1.419287E-2</v>
      </c>
      <c r="O5374">
        <v>9.6863990000000001E-3</v>
      </c>
      <c r="P5374">
        <v>-0.9937028</v>
      </c>
      <c r="Q5374">
        <v>-0.11196589999999999</v>
      </c>
      <c r="R5374">
        <v>4.3294400000000004E-3</v>
      </c>
      <c r="S5374">
        <v>-2.9903870000000001</v>
      </c>
      <c r="T5374">
        <v>-0.23706070000000001</v>
      </c>
      <c r="U5374">
        <v>0.3730927</v>
      </c>
      <c r="V5374">
        <v>-5.4186759999999999E-3</v>
      </c>
      <c r="W5374">
        <v>-9.7844589999999995E-2</v>
      </c>
      <c r="X5374">
        <v>0.99518689999999999</v>
      </c>
      <c r="Y5374">
        <v>0.1137903</v>
      </c>
      <c r="Z5374">
        <v>4.6712780000000001E-3</v>
      </c>
      <c r="AA5374">
        <v>0.99349379999999998</v>
      </c>
      <c r="AB5374">
        <v>31</v>
      </c>
      <c r="AC5374">
        <v>-13.7972999999999</v>
      </c>
      <c r="AD5374">
        <v>-1.12027744877199</v>
      </c>
      <c r="AE5374">
        <v>1.7593999999999901</v>
      </c>
      <c r="AF5374">
        <v>1.6151798385501099</v>
      </c>
      <c r="AG5374">
        <v>-1.12027744877199</v>
      </c>
      <c r="AH5374">
        <v>13.7246618103032</v>
      </c>
      <c r="AI5374">
        <v>94.634588220902302</v>
      </c>
      <c r="AJ5374">
        <v>83.288047778019603</v>
      </c>
      <c r="AK5374">
        <v>13.8647094913771</v>
      </c>
      <c r="AL5374">
        <v>95.615066147871502</v>
      </c>
      <c r="AM5374">
        <v>90.311965719492903</v>
      </c>
      <c r="AN5374">
        <v>0.99999994588673402</v>
      </c>
    </row>
    <row r="5375" spans="1:40" x14ac:dyDescent="0.25">
      <c r="A5375" t="str">
        <f>"20190303154247315"</f>
        <v>20190303154247315</v>
      </c>
      <c r="B5375" t="str">
        <f>"1551598967305613"</f>
        <v>1551598967305613</v>
      </c>
      <c r="C5375" t="s">
        <v>40</v>
      </c>
      <c r="D5375">
        <v>5.8203519999999997</v>
      </c>
      <c r="E5375">
        <v>0.54534519999999997</v>
      </c>
      <c r="F5375" t="s">
        <v>41</v>
      </c>
      <c r="G5375">
        <v>-321.56299999999999</v>
      </c>
      <c r="H5375" s="1">
        <v>-4.3253139999999999E-6</v>
      </c>
      <c r="I5375">
        <v>142.8929</v>
      </c>
      <c r="J5375">
        <v>-307.71190000000001</v>
      </c>
      <c r="K5375">
        <v>1.12022</v>
      </c>
      <c r="L5375">
        <v>141.13249999999999</v>
      </c>
      <c r="M5375">
        <v>-0.99984530000000005</v>
      </c>
      <c r="N5375">
        <v>-1.4212590000000001E-2</v>
      </c>
      <c r="O5375">
        <v>1.037187E-2</v>
      </c>
      <c r="P5375">
        <v>-0.99365429999999999</v>
      </c>
      <c r="Q5375">
        <v>-0.11237900000000001</v>
      </c>
      <c r="R5375">
        <v>4.7437310000000002E-3</v>
      </c>
      <c r="S5375">
        <v>-2.9906619999999999</v>
      </c>
      <c r="T5375">
        <v>-0.236567</v>
      </c>
      <c r="U5375">
        <v>0.37252809999999997</v>
      </c>
      <c r="V5375">
        <v>-5.6970110000000001E-3</v>
      </c>
      <c r="W5375">
        <v>-9.8237660000000004E-2</v>
      </c>
      <c r="X5375">
        <v>0.99514669999999905</v>
      </c>
      <c r="Y5375">
        <v>0.1129193</v>
      </c>
      <c r="Z5375">
        <v>4.5798590000000004E-3</v>
      </c>
      <c r="AA5375">
        <v>0.99359359999999997</v>
      </c>
      <c r="AB5375">
        <v>31</v>
      </c>
      <c r="AC5375">
        <v>-13.851099999999899</v>
      </c>
      <c r="AD5375">
        <v>-1.1202243253139901</v>
      </c>
      <c r="AE5375">
        <v>1.7604</v>
      </c>
      <c r="AF5375">
        <v>1.60628932718618</v>
      </c>
      <c r="AG5375">
        <v>-1.1202243253139901</v>
      </c>
      <c r="AH5375">
        <v>13.779914220411801</v>
      </c>
      <c r="AI5375">
        <v>94.616460950641994</v>
      </c>
      <c r="AJ5375">
        <v>83.351183930853793</v>
      </c>
      <c r="AK5375">
        <v>13.918372888508401</v>
      </c>
      <c r="AL5375">
        <v>95.637695983098098</v>
      </c>
      <c r="AM5375">
        <v>90.328003017360601</v>
      </c>
      <c r="AN5375">
        <v>1.0000000241487399</v>
      </c>
    </row>
    <row r="5376" spans="1:40" x14ac:dyDescent="0.25">
      <c r="A5376" t="str">
        <f>"20190303154247337"</f>
        <v>20190303154247337</v>
      </c>
      <c r="B5376" t="str">
        <f>"1551598967325133"</f>
        <v>1551598967325133</v>
      </c>
      <c r="C5376" t="s">
        <v>40</v>
      </c>
      <c r="D5376">
        <v>5.8168089999999903</v>
      </c>
      <c r="E5376">
        <v>0.54542270000000004</v>
      </c>
      <c r="F5376" t="s">
        <v>41</v>
      </c>
      <c r="G5376">
        <v>-321.79360000000003</v>
      </c>
      <c r="H5376" s="1">
        <v>-4.2471719999999998E-6</v>
      </c>
      <c r="I5376">
        <v>142.8947</v>
      </c>
      <c r="J5376">
        <v>-308.01280000000003</v>
      </c>
      <c r="K5376">
        <v>1.1201730000000001</v>
      </c>
      <c r="L5376">
        <v>141.13640000000001</v>
      </c>
      <c r="M5376">
        <v>-0.99983719999999998</v>
      </c>
      <c r="N5376">
        <v>-1.422855E-2</v>
      </c>
      <c r="O5376">
        <v>1.110328E-2</v>
      </c>
      <c r="P5376">
        <v>-0.99359739999999996</v>
      </c>
      <c r="Q5376">
        <v>-0.1128426</v>
      </c>
      <c r="R5376">
        <v>5.5742219999999898E-3</v>
      </c>
      <c r="S5376">
        <v>-2.9904790000000001</v>
      </c>
      <c r="T5376">
        <v>-0.23789930000000001</v>
      </c>
      <c r="U5376">
        <v>0.37423709999999999</v>
      </c>
      <c r="V5376">
        <v>-5.6056530000000004E-3</v>
      </c>
      <c r="W5376">
        <v>-9.8685529999999994E-2</v>
      </c>
      <c r="X5376">
        <v>0.99510290000000001</v>
      </c>
      <c r="Y5376">
        <v>0.1127571</v>
      </c>
      <c r="Z5376">
        <v>4.5463509999999997E-3</v>
      </c>
      <c r="AA5376">
        <v>0.99361219999999995</v>
      </c>
      <c r="AB5376">
        <v>31</v>
      </c>
      <c r="AC5376">
        <v>-13.780799999999999</v>
      </c>
      <c r="AD5376">
        <v>-1.120177247172</v>
      </c>
      <c r="AE5376">
        <v>1.75829999999999</v>
      </c>
      <c r="AF5376">
        <v>1.5947955163133201</v>
      </c>
      <c r="AG5376">
        <v>-1.120177247172</v>
      </c>
      <c r="AH5376">
        <v>13.710337861990199</v>
      </c>
      <c r="AI5376">
        <v>94.639723077282397</v>
      </c>
      <c r="AJ5376">
        <v>83.365134375323393</v>
      </c>
      <c r="AK5376">
        <v>13.848159953360399</v>
      </c>
      <c r="AL5376">
        <v>95.663482370299903</v>
      </c>
      <c r="AM5376">
        <v>90.322757436442302</v>
      </c>
      <c r="AN5376">
        <v>1.0000000193826699</v>
      </c>
    </row>
    <row r="5377" spans="1:40" x14ac:dyDescent="0.25">
      <c r="A5377" t="str">
        <f>"20190303154247359"</f>
        <v>20190303154247359</v>
      </c>
      <c r="B5377" t="str">
        <f>"1551598967355388"</f>
        <v>1551598967355388</v>
      </c>
      <c r="C5377" t="s">
        <v>40</v>
      </c>
      <c r="D5377">
        <v>5.8145790000000002</v>
      </c>
      <c r="E5377">
        <v>0.54560989999999998</v>
      </c>
      <c r="F5377" t="s">
        <v>42</v>
      </c>
      <c r="G5377">
        <v>-308.99970000000002</v>
      </c>
      <c r="H5377">
        <v>1.04192</v>
      </c>
      <c r="I5377">
        <v>141.261</v>
      </c>
      <c r="J5377">
        <v>-308.31240000000003</v>
      </c>
      <c r="K5377">
        <v>1.1201289999999999</v>
      </c>
      <c r="L5377">
        <v>141.14060000000001</v>
      </c>
      <c r="M5377">
        <v>-0.99982789999999999</v>
      </c>
      <c r="N5377">
        <v>-1.424198E-2</v>
      </c>
      <c r="O5377">
        <v>1.189489E-2</v>
      </c>
      <c r="P5377">
        <v>-0.99357340000000005</v>
      </c>
      <c r="Q5377">
        <v>-0.1129657</v>
      </c>
      <c r="R5377">
        <v>7.1394149999999997E-3</v>
      </c>
      <c r="S5377">
        <v>-2.9902950000000001</v>
      </c>
      <c r="T5377">
        <v>-0.23707249999999999</v>
      </c>
      <c r="U5377">
        <v>0.37736510000000001</v>
      </c>
      <c r="V5377">
        <v>-4.8397509999999998E-3</v>
      </c>
      <c r="W5377">
        <v>-9.8795939999999999E-2</v>
      </c>
      <c r="X5377">
        <v>0.99509599999999998</v>
      </c>
      <c r="Y5377">
        <v>0.1130043</v>
      </c>
      <c r="Z5377">
        <v>4.495219E-3</v>
      </c>
      <c r="AA5377">
        <v>0.99358429999999998</v>
      </c>
      <c r="AB5377">
        <v>31</v>
      </c>
      <c r="AC5377">
        <v>-0.68729999999999303</v>
      </c>
      <c r="AD5377">
        <v>-7.8208999999999904E-2</v>
      </c>
      <c r="AE5377">
        <v>0.120399999999989</v>
      </c>
      <c r="AF5377">
        <v>0.11082302278395301</v>
      </c>
      <c r="AG5377">
        <v>-7.8208999999999904E-2</v>
      </c>
      <c r="AH5377">
        <v>0.68013906006427705</v>
      </c>
      <c r="AI5377">
        <v>96.474962465196</v>
      </c>
      <c r="AJ5377">
        <v>80.745458355995495</v>
      </c>
      <c r="AK5377">
        <v>0.69353264601249398</v>
      </c>
      <c r="AL5377">
        <v>95.669839260000799</v>
      </c>
      <c r="AM5377">
        <v>90.278661676632794</v>
      </c>
      <c r="AN5377">
        <v>1.0000000550831101</v>
      </c>
    </row>
    <row r="5378" spans="1:40" x14ac:dyDescent="0.25">
      <c r="A5378" t="str">
        <f>"20190303154247381"</f>
        <v>20190303154247381</v>
      </c>
      <c r="B5378" t="str">
        <f>"1551598967375884"</f>
        <v>1551598967375884</v>
      </c>
      <c r="C5378" t="s">
        <v>40</v>
      </c>
      <c r="D5378">
        <v>5.7772670000000002</v>
      </c>
      <c r="E5378">
        <v>0.54566740000000002</v>
      </c>
      <c r="F5378" t="s">
        <v>42</v>
      </c>
      <c r="G5378">
        <v>-309.27850000000001</v>
      </c>
      <c r="H5378">
        <v>1.043785</v>
      </c>
      <c r="I5378">
        <v>141.26480000000001</v>
      </c>
      <c r="J5378">
        <v>-308.62369999999999</v>
      </c>
      <c r="K5378">
        <v>1.1200870000000001</v>
      </c>
      <c r="L5378">
        <v>141.14519999999999</v>
      </c>
      <c r="M5378">
        <v>-0.99981690000000001</v>
      </c>
      <c r="N5378">
        <v>-1.425367E-2</v>
      </c>
      <c r="O5378">
        <v>1.277006E-2</v>
      </c>
      <c r="P5378">
        <v>-0.99363109999999999</v>
      </c>
      <c r="Q5378">
        <v>-0.112322699999999</v>
      </c>
      <c r="R5378">
        <v>8.9845559999999994E-3</v>
      </c>
      <c r="S5378">
        <v>-2.9897770000000001</v>
      </c>
      <c r="T5378">
        <v>-0.23628089999999999</v>
      </c>
      <c r="U5378">
        <v>0.38352969999999997</v>
      </c>
      <c r="V5378">
        <v>-3.8748699999999999E-3</v>
      </c>
      <c r="W5378">
        <v>-9.8141439999999996E-2</v>
      </c>
      <c r="X5378">
        <v>0.99516490000000002</v>
      </c>
      <c r="Y5378">
        <v>0.1141718</v>
      </c>
      <c r="Z5378">
        <v>4.4824549999999998E-3</v>
      </c>
      <c r="AA5378">
        <v>0.99345090000000003</v>
      </c>
      <c r="AB5378">
        <v>31</v>
      </c>
      <c r="AC5378">
        <v>-0.65480000000002203</v>
      </c>
      <c r="AD5378">
        <v>-7.6301999999999995E-2</v>
      </c>
      <c r="AE5378">
        <v>0.119600000000019</v>
      </c>
      <c r="AF5378">
        <v>0.109784963970546</v>
      </c>
      <c r="AG5378">
        <v>-7.6301999999999995E-2</v>
      </c>
      <c r="AH5378">
        <v>0.64776231903622505</v>
      </c>
      <c r="AI5378">
        <v>96.624484126160198</v>
      </c>
      <c r="AJ5378">
        <v>80.380724430470096</v>
      </c>
      <c r="AK5378">
        <v>0.66141572061843401</v>
      </c>
      <c r="AL5378">
        <v>95.632156533599399</v>
      </c>
      <c r="AM5378">
        <v>90.223091243670595</v>
      </c>
      <c r="AN5378">
        <v>0.99999996752739895</v>
      </c>
    </row>
    <row r="5379" spans="1:40" x14ac:dyDescent="0.25">
      <c r="A5379" t="str">
        <f>"20190303154247404"</f>
        <v>20190303154247404</v>
      </c>
      <c r="B5379" t="str">
        <f>"1551598967395404"</f>
        <v>1551598967395404</v>
      </c>
      <c r="C5379" t="s">
        <v>40</v>
      </c>
      <c r="D5379">
        <v>5.8103280000000002</v>
      </c>
      <c r="E5379">
        <v>0.54576990000000003</v>
      </c>
      <c r="F5379" t="s">
        <v>42</v>
      </c>
      <c r="G5379">
        <v>-309.55790000000002</v>
      </c>
      <c r="H5379">
        <v>1.046837</v>
      </c>
      <c r="I5379">
        <v>141.267</v>
      </c>
      <c r="J5379">
        <v>-308.93860000000001</v>
      </c>
      <c r="K5379">
        <v>1.120052</v>
      </c>
      <c r="L5379">
        <v>141.15020000000001</v>
      </c>
      <c r="M5379">
        <v>-0.99980460000000004</v>
      </c>
      <c r="N5379">
        <v>-1.4263400000000001E-2</v>
      </c>
      <c r="O5379">
        <v>1.370503E-2</v>
      </c>
      <c r="P5379">
        <v>-0.99363710000000005</v>
      </c>
      <c r="Q5379">
        <v>-0.1121687</v>
      </c>
      <c r="R5379">
        <v>1.019312E-2</v>
      </c>
      <c r="S5379">
        <v>-2.9892270000000001</v>
      </c>
      <c r="T5379">
        <v>-0.23436129999999999</v>
      </c>
      <c r="U5379">
        <v>0.3894958</v>
      </c>
      <c r="V5379">
        <v>-3.6044470000000002E-3</v>
      </c>
      <c r="W5379">
        <v>-9.7977610000000007E-2</v>
      </c>
      <c r="X5379">
        <v>0.99518209999999996</v>
      </c>
      <c r="Y5379">
        <v>0.1152198</v>
      </c>
      <c r="Z5379">
        <v>4.4439709999999997E-3</v>
      </c>
      <c r="AA5379">
        <v>0.99333009999999999</v>
      </c>
      <c r="AB5379">
        <v>31</v>
      </c>
      <c r="AC5379">
        <v>-0.61930000000000895</v>
      </c>
      <c r="AD5379">
        <v>-7.3215000000000002E-2</v>
      </c>
      <c r="AE5379">
        <v>0.116799999999983</v>
      </c>
      <c r="AF5379">
        <v>0.106858435571497</v>
      </c>
      <c r="AG5379">
        <v>-7.3215000000000002E-2</v>
      </c>
      <c r="AH5379">
        <v>0.61257516397484202</v>
      </c>
      <c r="AI5379">
        <v>96.715203314721194</v>
      </c>
      <c r="AJ5379">
        <v>80.104814871382004</v>
      </c>
      <c r="AK5379">
        <v>0.62612098910401703</v>
      </c>
      <c r="AL5379">
        <v>95.622724078560495</v>
      </c>
      <c r="AM5379">
        <v>90.207518500920401</v>
      </c>
      <c r="AN5379">
        <v>1.0000000081299401</v>
      </c>
    </row>
    <row r="5380" spans="1:40" x14ac:dyDescent="0.25">
      <c r="A5380" t="str">
        <f>"20190303154247427"</f>
        <v>20190303154247427</v>
      </c>
      <c r="B5380" t="str">
        <f>"1551598967415899"</f>
        <v>1551598967415899</v>
      </c>
      <c r="C5380" t="s">
        <v>40</v>
      </c>
      <c r="D5380">
        <v>5.7796949999999896</v>
      </c>
      <c r="E5380">
        <v>0.54581109999999999</v>
      </c>
      <c r="F5380" t="s">
        <v>42</v>
      </c>
      <c r="G5380">
        <v>-309.84550000000002</v>
      </c>
      <c r="H5380">
        <v>1.0489310000000001</v>
      </c>
      <c r="I5380">
        <v>141.27010000000001</v>
      </c>
      <c r="J5380">
        <v>-309.26319999999998</v>
      </c>
      <c r="K5380">
        <v>1.1200209999999999</v>
      </c>
      <c r="L5380">
        <v>141.1558</v>
      </c>
      <c r="M5380">
        <v>-0.99978999999999996</v>
      </c>
      <c r="N5380">
        <v>-1.427051E-2</v>
      </c>
      <c r="O5380">
        <v>1.471691E-2</v>
      </c>
      <c r="P5380">
        <v>-0.9936488</v>
      </c>
      <c r="Q5380">
        <v>-0.1119851</v>
      </c>
      <c r="R5380">
        <v>1.1034800000000001E-2</v>
      </c>
      <c r="S5380">
        <v>-2.9887079999999999</v>
      </c>
      <c r="T5380">
        <v>-0.23436750000000001</v>
      </c>
      <c r="U5380">
        <v>0.3939819</v>
      </c>
      <c r="V5380">
        <v>-3.7772499999999998E-3</v>
      </c>
      <c r="W5380">
        <v>-9.7785999999999998E-2</v>
      </c>
      <c r="X5380">
        <v>0.99520030000000004</v>
      </c>
      <c r="Y5380">
        <v>0.1157026</v>
      </c>
      <c r="Z5380">
        <v>4.402703E-3</v>
      </c>
      <c r="AA5380">
        <v>0.9932742</v>
      </c>
      <c r="AB5380">
        <v>31</v>
      </c>
      <c r="AC5380">
        <v>-0.58230000000003201</v>
      </c>
      <c r="AD5380">
        <v>-7.1089999999999806E-2</v>
      </c>
      <c r="AE5380">
        <v>0.114300000000014</v>
      </c>
      <c r="AF5380">
        <v>0.104221333653238</v>
      </c>
      <c r="AG5380">
        <v>-7.1089999999999806E-2</v>
      </c>
      <c r="AH5380">
        <v>0.57565755355423398</v>
      </c>
      <c r="AI5380">
        <v>96.928500918143598</v>
      </c>
      <c r="AJ5380">
        <v>79.737905747729201</v>
      </c>
      <c r="AK5380">
        <v>0.589319517284559</v>
      </c>
      <c r="AL5380">
        <v>95.611692689351798</v>
      </c>
      <c r="AM5380">
        <v>90.217463202085597</v>
      </c>
      <c r="AN5380">
        <v>1.0000000032668199</v>
      </c>
    </row>
    <row r="5381" spans="1:40" x14ac:dyDescent="0.25">
      <c r="A5381" t="str">
        <f>"20190303154247449"</f>
        <v>20190303154247449</v>
      </c>
      <c r="B5381" t="str">
        <f>"1551598967445180"</f>
        <v>1551598967445180</v>
      </c>
      <c r="C5381" t="s">
        <v>40</v>
      </c>
      <c r="D5381">
        <v>5.766826</v>
      </c>
      <c r="E5381">
        <v>0.54584080000000001</v>
      </c>
      <c r="F5381" t="s">
        <v>41</v>
      </c>
      <c r="G5381">
        <v>-323.59870000000001</v>
      </c>
      <c r="H5381" s="1">
        <v>-3.6444959999999999E-6</v>
      </c>
      <c r="I5381">
        <v>143.0591</v>
      </c>
      <c r="J5381">
        <v>-309.55959999999999</v>
      </c>
      <c r="K5381">
        <v>1.1199840000000001</v>
      </c>
      <c r="L5381">
        <v>141.1611</v>
      </c>
      <c r="M5381">
        <v>-0.99977559999999999</v>
      </c>
      <c r="N5381">
        <v>-1.424245E-2</v>
      </c>
      <c r="O5381">
        <v>1.568317E-2</v>
      </c>
      <c r="P5381">
        <v>-0.99355570000000004</v>
      </c>
      <c r="Q5381">
        <v>-0.112814899999999</v>
      </c>
      <c r="R5381">
        <v>1.095721E-2</v>
      </c>
      <c r="S5381">
        <v>-2.9884949999999999</v>
      </c>
      <c r="T5381">
        <v>-0.2334918</v>
      </c>
      <c r="U5381">
        <v>0.39680480000000001</v>
      </c>
      <c r="V5381">
        <v>-4.8232179999999998E-3</v>
      </c>
      <c r="W5381">
        <v>-9.8642729999999998E-2</v>
      </c>
      <c r="X5381">
        <v>0.99511119999999997</v>
      </c>
      <c r="Y5381">
        <v>0.1156787</v>
      </c>
      <c r="Z5381">
        <v>4.3257800000000004E-3</v>
      </c>
      <c r="AA5381">
        <v>0.99327730000000003</v>
      </c>
      <c r="AB5381">
        <v>31</v>
      </c>
      <c r="AC5381">
        <v>-14.039099999999999</v>
      </c>
      <c r="AD5381">
        <v>-1.119987644496</v>
      </c>
      <c r="AE5381">
        <v>1.8979999999999899</v>
      </c>
      <c r="AF5381">
        <v>1.66714688890286</v>
      </c>
      <c r="AG5381">
        <v>-1.119987644496</v>
      </c>
      <c r="AH5381">
        <v>13.979768757568401</v>
      </c>
      <c r="AI5381">
        <v>94.548370425121007</v>
      </c>
      <c r="AJ5381">
        <v>83.199351865844704</v>
      </c>
      <c r="AK5381">
        <v>14.123302927718001</v>
      </c>
      <c r="AL5381">
        <v>95.661018333685007</v>
      </c>
      <c r="AM5381">
        <v>90.277705517779694</v>
      </c>
      <c r="AN5381">
        <v>0.99999997598958301</v>
      </c>
    </row>
    <row r="5382" spans="1:40" x14ac:dyDescent="0.25">
      <c r="A5382" t="str">
        <f>"20190303154247469"</f>
        <v>20190303154247469</v>
      </c>
      <c r="B5382" t="str">
        <f>"1551598967465741"</f>
        <v>1551598967465741</v>
      </c>
      <c r="C5382" t="s">
        <v>40</v>
      </c>
      <c r="D5382">
        <v>5.6579670000000002</v>
      </c>
      <c r="E5382">
        <v>0.51809759999999905</v>
      </c>
      <c r="F5382" t="s">
        <v>41</v>
      </c>
      <c r="G5382">
        <v>-323.84339999999997</v>
      </c>
      <c r="H5382" s="1">
        <v>-3.53911E-6</v>
      </c>
      <c r="I5382">
        <v>143.05770000000001</v>
      </c>
      <c r="J5382">
        <v>-309.84789999999998</v>
      </c>
      <c r="K5382">
        <v>1.119928</v>
      </c>
      <c r="L5382">
        <v>141.16669999999999</v>
      </c>
      <c r="M5382">
        <v>-0.99976120000000002</v>
      </c>
      <c r="N5382">
        <v>-1.4157009999999999E-2</v>
      </c>
      <c r="O5382">
        <v>1.665618E-2</v>
      </c>
      <c r="P5382">
        <v>-0.99348959999999997</v>
      </c>
      <c r="Q5382">
        <v>-0.113361</v>
      </c>
      <c r="R5382">
        <v>1.1295879999999999E-2</v>
      </c>
      <c r="S5382">
        <v>-2.9884949999999999</v>
      </c>
      <c r="T5382">
        <v>-0.2343278</v>
      </c>
      <c r="U5382">
        <v>0.39682010000000001</v>
      </c>
      <c r="V5382">
        <v>-5.4596599999999999E-3</v>
      </c>
      <c r="W5382">
        <v>-9.9273020000000003E-2</v>
      </c>
      <c r="X5382">
        <v>0.99504519999999996</v>
      </c>
      <c r="Y5382">
        <v>0.1147204</v>
      </c>
      <c r="Z5382">
        <v>4.2249059999999996E-3</v>
      </c>
      <c r="AA5382">
        <v>0.99338879999999996</v>
      </c>
      <c r="AB5382">
        <v>31</v>
      </c>
      <c r="AC5382">
        <v>-13.9954999999999</v>
      </c>
      <c r="AD5382">
        <v>-1.11993153911</v>
      </c>
      <c r="AE5382">
        <v>1.89100000000002</v>
      </c>
      <c r="AF5382">
        <v>1.64724398268507</v>
      </c>
      <c r="AG5382">
        <v>-1.11993153911</v>
      </c>
      <c r="AH5382">
        <v>13.9374122582869</v>
      </c>
      <c r="AI5382">
        <v>94.562474052545298</v>
      </c>
      <c r="AJ5382">
        <v>83.259557683951002</v>
      </c>
      <c r="AK5382">
        <v>14.079031211281199</v>
      </c>
      <c r="AL5382">
        <v>95.697309598293501</v>
      </c>
      <c r="AM5382">
        <v>90.314369976840794</v>
      </c>
      <c r="AN5382">
        <v>0.99999994521513602</v>
      </c>
    </row>
    <row r="5383" spans="1:40" x14ac:dyDescent="0.25">
      <c r="A5383" t="str">
        <f>"20190303154247493"</f>
        <v>20190303154247493</v>
      </c>
      <c r="B5383" t="str">
        <f>"1551598967485260"</f>
        <v>1551598967485260</v>
      </c>
      <c r="C5383" t="s">
        <v>40</v>
      </c>
      <c r="D5383">
        <v>5.6568699999999996</v>
      </c>
      <c r="E5383">
        <v>0.50512429999999997</v>
      </c>
      <c r="F5383" t="s">
        <v>41</v>
      </c>
      <c r="G5383">
        <v>-325.68430000000001</v>
      </c>
      <c r="H5383" s="1">
        <v>-2.4944420000000001E-6</v>
      </c>
      <c r="I5383">
        <v>142.09950000000001</v>
      </c>
      <c r="J5383">
        <v>-310.1696</v>
      </c>
      <c r="K5383">
        <v>1.119864</v>
      </c>
      <c r="L5383">
        <v>141.17320000000001</v>
      </c>
      <c r="M5383">
        <v>-0.99974379999999996</v>
      </c>
      <c r="N5383">
        <v>-1.4023809999999999E-2</v>
      </c>
      <c r="O5383">
        <v>1.776755E-2</v>
      </c>
      <c r="P5383">
        <v>-0.99344600000000005</v>
      </c>
      <c r="Q5383">
        <v>-0.1136548</v>
      </c>
      <c r="R5383">
        <v>1.21642E-2</v>
      </c>
      <c r="S5383">
        <v>-2.9935299999999998</v>
      </c>
      <c r="T5383">
        <v>-0.21169969999999999</v>
      </c>
      <c r="U5383">
        <v>0.1763458</v>
      </c>
      <c r="V5383">
        <v>-5.7047199999999999E-3</v>
      </c>
      <c r="W5383">
        <v>-9.9698880000000004E-2</v>
      </c>
      <c r="X5383">
        <v>0.99500129999999998</v>
      </c>
      <c r="Y5383">
        <v>4.0965349999999998E-2</v>
      </c>
      <c r="Z5383">
        <v>7.28515E-4</v>
      </c>
      <c r="AA5383">
        <v>0.9991603</v>
      </c>
      <c r="AB5383">
        <v>31</v>
      </c>
      <c r="AC5383">
        <v>-15.514699999999999</v>
      </c>
      <c r="AD5383">
        <v>-1.119866494442</v>
      </c>
      <c r="AE5383">
        <v>0.92629999999999701</v>
      </c>
      <c r="AF5383">
        <v>0.64710890981221303</v>
      </c>
      <c r="AG5383">
        <v>-1.119866494442</v>
      </c>
      <c r="AH5383">
        <v>15.448507821432001</v>
      </c>
      <c r="AI5383">
        <v>94.142514218892202</v>
      </c>
      <c r="AJ5383">
        <v>87.601389882056793</v>
      </c>
      <c r="AK5383">
        <v>15.5025560736086</v>
      </c>
      <c r="AL5383">
        <v>95.7218309257849</v>
      </c>
      <c r="AM5383">
        <v>90.328494845121696</v>
      </c>
      <c r="AN5383">
        <v>0.99999999875261103</v>
      </c>
    </row>
    <row r="5384" spans="1:40" x14ac:dyDescent="0.25">
      <c r="A5384" t="str">
        <f>"20190303154247515"</f>
        <v>20190303154247515</v>
      </c>
      <c r="B5384" t="str">
        <f>"1551598967505760"</f>
        <v>1551598967505760</v>
      </c>
      <c r="C5384" t="s">
        <v>40</v>
      </c>
      <c r="D5384">
        <v>5.6652630000000004</v>
      </c>
      <c r="E5384">
        <v>0.50092289999999995</v>
      </c>
      <c r="F5384" t="s">
        <v>41</v>
      </c>
      <c r="G5384">
        <v>-327.26670000000001</v>
      </c>
      <c r="H5384" s="1">
        <v>-1.683843E-6</v>
      </c>
      <c r="I5384">
        <v>141.60429999999999</v>
      </c>
      <c r="J5384">
        <v>-310.47859999999997</v>
      </c>
      <c r="K5384">
        <v>1.1198129999999999</v>
      </c>
      <c r="L5384">
        <v>141.1799</v>
      </c>
      <c r="M5384">
        <v>-0.99972559999999999</v>
      </c>
      <c r="N5384">
        <v>-1.3891519999999999E-2</v>
      </c>
      <c r="O5384">
        <v>1.8855380000000001E-2</v>
      </c>
      <c r="P5384">
        <v>-0.99339820000000001</v>
      </c>
      <c r="Q5384">
        <v>-0.11400589999999999</v>
      </c>
      <c r="R5384">
        <v>1.274342E-2</v>
      </c>
      <c r="S5384">
        <v>-2.9963989999999998</v>
      </c>
      <c r="T5384">
        <v>-0.1962663</v>
      </c>
      <c r="U5384">
        <v>7.5561519999999993E-2</v>
      </c>
      <c r="V5384">
        <v>-6.2130299999999996E-3</v>
      </c>
      <c r="W5384">
        <v>-0.1001807</v>
      </c>
      <c r="X5384">
        <v>0.99494990000000005</v>
      </c>
      <c r="Y5384">
        <v>6.3622770000000004E-3</v>
      </c>
      <c r="Z5384">
        <v>-7.1931999999999996E-4</v>
      </c>
      <c r="AA5384">
        <v>0.99997950000000002</v>
      </c>
      <c r="AB5384">
        <v>31</v>
      </c>
      <c r="AC5384">
        <v>-16.7881</v>
      </c>
      <c r="AD5384">
        <v>-1.1198146838430001</v>
      </c>
      <c r="AE5384">
        <v>0.42439999999999101</v>
      </c>
      <c r="AF5384">
        <v>0.10727097536251901</v>
      </c>
      <c r="AG5384">
        <v>-1.1198146838430001</v>
      </c>
      <c r="AH5384">
        <v>16.7187789241678</v>
      </c>
      <c r="AI5384">
        <v>93.831837921087498</v>
      </c>
      <c r="AJ5384">
        <v>89.632384049011904</v>
      </c>
      <c r="AK5384">
        <v>16.756582608142399</v>
      </c>
      <c r="AL5384">
        <v>95.749575853185306</v>
      </c>
      <c r="AM5384">
        <v>90.357782607940294</v>
      </c>
      <c r="AN5384">
        <v>1.00000003895213</v>
      </c>
    </row>
    <row r="5385" spans="1:40" x14ac:dyDescent="0.25">
      <c r="A5385" t="str">
        <f>"20190303154247537"</f>
        <v>20190303154247537</v>
      </c>
      <c r="B5385" t="str">
        <f>"1551598967536013"</f>
        <v>1551598967536013</v>
      </c>
      <c r="C5385" t="s">
        <v>40</v>
      </c>
      <c r="D5385">
        <v>5.6894650000000002</v>
      </c>
      <c r="E5385">
        <v>0.49676399999999998</v>
      </c>
      <c r="F5385" t="s">
        <v>41</v>
      </c>
      <c r="G5385">
        <v>-328.26139999999998</v>
      </c>
      <c r="H5385" s="1">
        <v>-1.212744E-6</v>
      </c>
      <c r="I5385">
        <v>141.4376</v>
      </c>
      <c r="J5385">
        <v>-310.78660000000002</v>
      </c>
      <c r="K5385">
        <v>1.1197760000000001</v>
      </c>
      <c r="L5385">
        <v>141.18690000000001</v>
      </c>
      <c r="M5385">
        <v>-0.99970599999999998</v>
      </c>
      <c r="N5385">
        <v>-1.3765929999999999E-2</v>
      </c>
      <c r="O5385">
        <v>1.995955E-2</v>
      </c>
      <c r="P5385">
        <v>-0.99335180000000001</v>
      </c>
      <c r="Q5385">
        <v>-0.1142391</v>
      </c>
      <c r="R5385">
        <v>1.419989E-2</v>
      </c>
      <c r="S5385">
        <v>-2.9977109999999998</v>
      </c>
      <c r="T5385">
        <v>-0.18877140000000001</v>
      </c>
      <c r="U5385">
        <v>4.3457030000000001E-2</v>
      </c>
      <c r="V5385">
        <v>-5.8574689999999997E-3</v>
      </c>
      <c r="W5385">
        <v>-0.1005398</v>
      </c>
      <c r="X5385">
        <v>0.99491580000000002</v>
      </c>
      <c r="Y5385">
        <v>-5.429784E-3</v>
      </c>
      <c r="Z5385">
        <v>-1.1891060000000001E-3</v>
      </c>
      <c r="AA5385">
        <v>0.9999846</v>
      </c>
      <c r="AB5385">
        <v>31</v>
      </c>
      <c r="AC5385">
        <v>-17.474799999999899</v>
      </c>
      <c r="AD5385">
        <v>-1.119777212744</v>
      </c>
      <c r="AE5385">
        <v>0.25069999999999398</v>
      </c>
      <c r="AF5385">
        <v>-9.7770771311441906E-2</v>
      </c>
      <c r="AG5385">
        <v>-1.119777212744</v>
      </c>
      <c r="AH5385">
        <v>17.404869530521601</v>
      </c>
      <c r="AI5385">
        <v>93.681107553257107</v>
      </c>
      <c r="AJ5385">
        <v>90.321852089950497</v>
      </c>
      <c r="AK5385">
        <v>17.441127930967699</v>
      </c>
      <c r="AL5385">
        <v>95.770255368766001</v>
      </c>
      <c r="AM5385">
        <v>90.337319374008899</v>
      </c>
      <c r="AN5385">
        <v>1.0000000052083799</v>
      </c>
    </row>
    <row r="5386" spans="1:40" x14ac:dyDescent="0.25">
      <c r="A5386" t="str">
        <f>"20190303154247560"</f>
        <v>20190303154247560</v>
      </c>
      <c r="B5386" t="str">
        <f>"1551598967555533"</f>
        <v>1551598967555533</v>
      </c>
      <c r="C5386" t="s">
        <v>40</v>
      </c>
      <c r="D5386">
        <v>5.6582350000000003</v>
      </c>
      <c r="E5386">
        <v>0.49517509999999998</v>
      </c>
      <c r="F5386" t="s">
        <v>41</v>
      </c>
      <c r="G5386">
        <v>-329.00869999999998</v>
      </c>
      <c r="H5386" s="1">
        <v>-8.4938090000000004E-7</v>
      </c>
      <c r="I5386">
        <v>141.27680000000001</v>
      </c>
      <c r="J5386">
        <v>-311.08949999999999</v>
      </c>
      <c r="K5386">
        <v>1.1197459999999999</v>
      </c>
      <c r="L5386">
        <v>141.1942</v>
      </c>
      <c r="M5386">
        <v>-0.99968500000000005</v>
      </c>
      <c r="N5386">
        <v>-1.3653800000000001E-2</v>
      </c>
      <c r="O5386">
        <v>2.1056310000000002E-2</v>
      </c>
      <c r="P5386">
        <v>-0.99320229999999998</v>
      </c>
      <c r="Q5386">
        <v>-0.1153</v>
      </c>
      <c r="R5386">
        <v>1.596908E-2</v>
      </c>
      <c r="S5386">
        <v>-2.998688</v>
      </c>
      <c r="T5386">
        <v>-0.18427489999999999</v>
      </c>
      <c r="U5386">
        <v>1.480103E-2</v>
      </c>
      <c r="V5386">
        <v>-5.1793840000000004E-3</v>
      </c>
      <c r="W5386">
        <v>-0.10171529999999999</v>
      </c>
      <c r="X5386">
        <v>0.99480009999999996</v>
      </c>
      <c r="Y5386">
        <v>-1.606227E-2</v>
      </c>
      <c r="Z5386">
        <v>-1.608162E-3</v>
      </c>
      <c r="AA5386">
        <v>0.99986969999999997</v>
      </c>
      <c r="AB5386">
        <v>31</v>
      </c>
      <c r="AC5386">
        <v>-17.919199999999901</v>
      </c>
      <c r="AD5386">
        <v>-1.1197468493809</v>
      </c>
      <c r="AE5386">
        <v>8.2600000000013496E-2</v>
      </c>
      <c r="AF5386">
        <v>-0.29361923243528798</v>
      </c>
      <c r="AG5386">
        <v>-1.1197468493809</v>
      </c>
      <c r="AH5386">
        <v>17.8472766759728</v>
      </c>
      <c r="AI5386">
        <v>93.589575030957505</v>
      </c>
      <c r="AJ5386">
        <v>90.942531769232204</v>
      </c>
      <c r="AK5386">
        <v>17.884779283208299</v>
      </c>
      <c r="AL5386">
        <v>95.837953452046904</v>
      </c>
      <c r="AM5386">
        <v>90.298305320140102</v>
      </c>
      <c r="AN5386">
        <v>1.0000000336163499</v>
      </c>
    </row>
    <row r="5387" spans="1:40" x14ac:dyDescent="0.25">
      <c r="A5387" t="str">
        <f>"20190303154247581"</f>
        <v>20190303154247581</v>
      </c>
      <c r="B5387" t="str">
        <f>"1551598967576029"</f>
        <v>1551598967576029</v>
      </c>
      <c r="C5387" t="s">
        <v>40</v>
      </c>
      <c r="D5387">
        <v>5.6526889999999996</v>
      </c>
      <c r="E5387">
        <v>0.49399779999999999</v>
      </c>
      <c r="F5387" t="s">
        <v>41</v>
      </c>
      <c r="G5387">
        <v>-329.15550000000002</v>
      </c>
      <c r="H5387" s="1">
        <v>-7.7630849999999895E-7</v>
      </c>
      <c r="I5387">
        <v>141.2388</v>
      </c>
      <c r="J5387">
        <v>-311.39690000000002</v>
      </c>
      <c r="K5387">
        <v>1.1197280000000001</v>
      </c>
      <c r="L5387">
        <v>141.20179999999999</v>
      </c>
      <c r="M5387">
        <v>-0.9996623</v>
      </c>
      <c r="N5387">
        <v>-1.355259E-2</v>
      </c>
      <c r="O5387">
        <v>2.217326E-2</v>
      </c>
      <c r="P5387">
        <v>-0.99311419999999995</v>
      </c>
      <c r="Q5387">
        <v>-0.11583880000000001</v>
      </c>
      <c r="R5387">
        <v>1.7481989999999999E-2</v>
      </c>
      <c r="S5387">
        <v>-2.9988709999999998</v>
      </c>
      <c r="T5387">
        <v>-0.18587300000000001</v>
      </c>
      <c r="U5387">
        <v>7.4310299999999999E-3</v>
      </c>
      <c r="V5387">
        <v>-4.7763390000000001E-3</v>
      </c>
      <c r="W5387">
        <v>-0.1023564</v>
      </c>
      <c r="X5387">
        <v>0.99473630000000002</v>
      </c>
      <c r="Y5387">
        <v>-1.9626029999999999E-2</v>
      </c>
      <c r="Z5387">
        <v>-1.8133839999999999E-3</v>
      </c>
      <c r="AA5387">
        <v>0.99980570000000002</v>
      </c>
      <c r="AB5387">
        <v>31</v>
      </c>
      <c r="AC5387">
        <v>-17.758600000000001</v>
      </c>
      <c r="AD5387">
        <v>-1.1197287763085</v>
      </c>
      <c r="AE5387">
        <v>3.7000000000006097E-2</v>
      </c>
      <c r="AF5387">
        <v>-0.35539837881011799</v>
      </c>
      <c r="AG5387">
        <v>-1.1197287763085</v>
      </c>
      <c r="AH5387">
        <v>17.6847455415725</v>
      </c>
      <c r="AI5387">
        <v>93.622178633008801</v>
      </c>
      <c r="AJ5387">
        <v>91.1512795877548</v>
      </c>
      <c r="AK5387">
        <v>17.7237221093743</v>
      </c>
      <c r="AL5387">
        <v>95.874878835762701</v>
      </c>
      <c r="AM5387">
        <v>90.275110059922199</v>
      </c>
      <c r="AN5387">
        <v>0.99999997628644599</v>
      </c>
    </row>
    <row r="5388" spans="1:40" x14ac:dyDescent="0.25">
      <c r="A5388" t="str">
        <f>"20190303154247604"</f>
        <v>20190303154247604</v>
      </c>
      <c r="B5388" t="str">
        <f>"1551598967595552"</f>
        <v>1551598967595552</v>
      </c>
      <c r="C5388" t="s">
        <v>40</v>
      </c>
      <c r="D5388">
        <v>5.6693429999999996</v>
      </c>
      <c r="E5388">
        <v>0.49314039999999998</v>
      </c>
      <c r="F5388" t="s">
        <v>41</v>
      </c>
      <c r="G5388">
        <v>-329.38529999999997</v>
      </c>
      <c r="H5388" s="1">
        <v>-6.7208969999999905E-7</v>
      </c>
      <c r="I5388">
        <v>141.21770000000001</v>
      </c>
      <c r="J5388">
        <v>-311.70089999999999</v>
      </c>
      <c r="K5388">
        <v>1.119726</v>
      </c>
      <c r="L5388">
        <v>141.2098</v>
      </c>
      <c r="M5388">
        <v>-0.99963849999999999</v>
      </c>
      <c r="N5388">
        <v>-1.3469210000000001E-2</v>
      </c>
      <c r="O5388">
        <v>2.3271409999999999E-2</v>
      </c>
      <c r="P5388">
        <v>-0.99306349999999999</v>
      </c>
      <c r="Q5388">
        <v>-0.1162231</v>
      </c>
      <c r="R5388">
        <v>1.7810159999999998E-2</v>
      </c>
      <c r="S5388">
        <v>-2.998993</v>
      </c>
      <c r="T5388">
        <v>-0.18668000000000001</v>
      </c>
      <c r="U5388">
        <v>2.6550290000000002E-3</v>
      </c>
      <c r="V5388">
        <v>-5.5392619999999997E-3</v>
      </c>
      <c r="W5388">
        <v>-0.1028225</v>
      </c>
      <c r="X5388">
        <v>0.99468429999999997</v>
      </c>
      <c r="Y5388">
        <v>-2.230826E-2</v>
      </c>
      <c r="Z5388">
        <v>-1.9779060000000002E-3</v>
      </c>
      <c r="AA5388">
        <v>0.9997492</v>
      </c>
      <c r="AB5388">
        <v>31</v>
      </c>
      <c r="AC5388">
        <v>-17.684399999999901</v>
      </c>
      <c r="AD5388">
        <v>-1.1197266720896999</v>
      </c>
      <c r="AE5388">
        <v>7.9000000000064505E-3</v>
      </c>
      <c r="AF5388">
        <v>-0.40206845698520999</v>
      </c>
      <c r="AG5388">
        <v>-1.1197266720896999</v>
      </c>
      <c r="AH5388">
        <v>17.609197325221299</v>
      </c>
      <c r="AI5388">
        <v>93.637457308774202</v>
      </c>
      <c r="AJ5388">
        <v>91.307999629336706</v>
      </c>
      <c r="AK5388">
        <v>17.649342120964999</v>
      </c>
      <c r="AL5388">
        <v>95.901725891234904</v>
      </c>
      <c r="AM5388">
        <v>90.319069129196805</v>
      </c>
      <c r="AN5388">
        <v>1.00000000329812</v>
      </c>
    </row>
    <row r="5389" spans="1:40" x14ac:dyDescent="0.25">
      <c r="A5389" t="str">
        <f>"20190303154247628"</f>
        <v>20190303154247628</v>
      </c>
      <c r="B5389" t="str">
        <f>"1551598967625805"</f>
        <v>1551598967625805</v>
      </c>
      <c r="C5389" t="s">
        <v>40</v>
      </c>
      <c r="D5389">
        <v>5.6732250000000004</v>
      </c>
      <c r="E5389">
        <v>0.4921181</v>
      </c>
      <c r="F5389" t="s">
        <v>41</v>
      </c>
      <c r="G5389">
        <v>-329.73200000000003</v>
      </c>
      <c r="H5389" s="1">
        <v>-5.1601180000000004E-7</v>
      </c>
      <c r="I5389">
        <v>141.19</v>
      </c>
      <c r="J5389">
        <v>-312.03070000000002</v>
      </c>
      <c r="K5389">
        <v>1.119742</v>
      </c>
      <c r="L5389">
        <v>141.21879999999999</v>
      </c>
      <c r="M5389">
        <v>-0.99961160000000004</v>
      </c>
      <c r="N5389">
        <v>-1.340091E-2</v>
      </c>
      <c r="O5389">
        <v>2.444377E-2</v>
      </c>
      <c r="P5389">
        <v>-0.99307480000000004</v>
      </c>
      <c r="Q5389">
        <v>-0.11606320000000001</v>
      </c>
      <c r="R5389">
        <v>1.8230779999999999E-2</v>
      </c>
      <c r="S5389">
        <v>-2.9991759999999998</v>
      </c>
      <c r="T5389">
        <v>-0.186249</v>
      </c>
      <c r="U5389">
        <v>-3.28064E-3</v>
      </c>
      <c r="V5389">
        <v>-6.2811309999999997E-3</v>
      </c>
      <c r="W5389">
        <v>-0.1027288</v>
      </c>
      <c r="X5389">
        <v>0.99468959999999995</v>
      </c>
      <c r="Y5389">
        <v>-2.5450899999999999E-2</v>
      </c>
      <c r="Z5389">
        <v>-2.149261E-3</v>
      </c>
      <c r="AA5389">
        <v>0.99967379999999995</v>
      </c>
      <c r="AB5389">
        <v>31</v>
      </c>
      <c r="AC5389">
        <v>-17.7012999999999</v>
      </c>
      <c r="AD5389">
        <v>-1.1197425160118</v>
      </c>
      <c r="AE5389">
        <v>-2.8799999999989698E-2</v>
      </c>
      <c r="AF5389">
        <v>-0.45967725529564102</v>
      </c>
      <c r="AG5389">
        <v>-1.1197425160118</v>
      </c>
      <c r="AH5389">
        <v>17.6247800846796</v>
      </c>
      <c r="AI5389">
        <v>93.634013421709199</v>
      </c>
      <c r="AJ5389">
        <v>91.4940099717344</v>
      </c>
      <c r="AK5389">
        <v>17.666295579846899</v>
      </c>
      <c r="AL5389">
        <v>95.896328540256306</v>
      </c>
      <c r="AM5389">
        <v>90.361798809949605</v>
      </c>
      <c r="AN5389">
        <v>1.0000000296521101</v>
      </c>
    </row>
    <row r="5390" spans="1:40" x14ac:dyDescent="0.25">
      <c r="A5390" t="str">
        <f>"20190303154247650"</f>
        <v>20190303154247650</v>
      </c>
      <c r="B5390" t="str">
        <f>"1551598967645324"</f>
        <v>1551598967645324</v>
      </c>
      <c r="C5390" t="s">
        <v>40</v>
      </c>
      <c r="D5390">
        <v>5.7364459999999999</v>
      </c>
      <c r="E5390">
        <v>0.49151210000000001</v>
      </c>
      <c r="F5390" t="s">
        <v>41</v>
      </c>
      <c r="G5390">
        <v>-330.38650000000001</v>
      </c>
      <c r="H5390" s="1">
        <v>-4.8361129999999999E-6</v>
      </c>
      <c r="I5390">
        <v>141.1568</v>
      </c>
      <c r="J5390">
        <v>-312.33179999999999</v>
      </c>
      <c r="K5390">
        <v>1.1197709999999901</v>
      </c>
      <c r="L5390">
        <v>141.22720000000001</v>
      </c>
      <c r="M5390">
        <v>-0.99958599999999997</v>
      </c>
      <c r="N5390">
        <v>-1.336154E-2</v>
      </c>
      <c r="O5390">
        <v>2.548665E-2</v>
      </c>
      <c r="P5390">
        <v>-0.99314780000000003</v>
      </c>
      <c r="Q5390">
        <v>-0.1154838</v>
      </c>
      <c r="R5390">
        <v>1.7921630000000001E-2</v>
      </c>
      <c r="S5390">
        <v>-2.9997560000000001</v>
      </c>
      <c r="T5390">
        <v>-0.18299209999999999</v>
      </c>
      <c r="U5390">
        <v>-1.013184E-2</v>
      </c>
      <c r="V5390">
        <v>-7.6233630000000002E-3</v>
      </c>
      <c r="W5390">
        <v>-0.1021852</v>
      </c>
      <c r="X5390">
        <v>0.99473619999999996</v>
      </c>
      <c r="Y5390">
        <v>-2.8771100000000001E-2</v>
      </c>
      <c r="Z5390">
        <v>-2.2820290000000001E-3</v>
      </c>
      <c r="AA5390">
        <v>0.99958340000000001</v>
      </c>
      <c r="AB5390">
        <v>31</v>
      </c>
      <c r="AC5390">
        <v>-18.0547</v>
      </c>
      <c r="AD5390">
        <v>-1.1197758361129999</v>
      </c>
      <c r="AE5390">
        <v>-7.0400000000006402E-2</v>
      </c>
      <c r="AF5390">
        <v>-0.52853889759046802</v>
      </c>
      <c r="AG5390">
        <v>-1.1197758361129999</v>
      </c>
      <c r="AH5390">
        <v>17.977886273018001</v>
      </c>
      <c r="AI5390">
        <v>93.562601848704503</v>
      </c>
      <c r="AJ5390">
        <v>91.683975936463696</v>
      </c>
      <c r="AK5390">
        <v>18.020478521253999</v>
      </c>
      <c r="AL5390">
        <v>95.865017841768704</v>
      </c>
      <c r="AM5390">
        <v>90.439089252740203</v>
      </c>
      <c r="AN5390">
        <v>1.00000001917645</v>
      </c>
    </row>
    <row r="5391" spans="1:40" x14ac:dyDescent="0.25">
      <c r="A5391" t="str">
        <f>"20190303154247672"</f>
        <v>20190303154247672</v>
      </c>
      <c r="B5391" t="str">
        <f>"1551598967665821"</f>
        <v>1551598967665821</v>
      </c>
      <c r="C5391" t="s">
        <v>40</v>
      </c>
      <c r="D5391">
        <v>5.7073830000000001</v>
      </c>
      <c r="E5391">
        <v>0.49101159999999999</v>
      </c>
      <c r="F5391" t="s">
        <v>41</v>
      </c>
      <c r="G5391">
        <v>-331.0213</v>
      </c>
      <c r="H5391" s="1">
        <v>-4.5871739999999996E-6</v>
      </c>
      <c r="I5391">
        <v>141.1277</v>
      </c>
      <c r="J5391">
        <v>-312.63139999999999</v>
      </c>
      <c r="K5391">
        <v>1.1198079999999999</v>
      </c>
      <c r="L5391">
        <v>141.23599999999999</v>
      </c>
      <c r="M5391">
        <v>-0.99956009999999995</v>
      </c>
      <c r="N5391">
        <v>-1.3348580000000001E-2</v>
      </c>
      <c r="O5391">
        <v>2.648961E-2</v>
      </c>
      <c r="P5391">
        <v>-0.99316230000000005</v>
      </c>
      <c r="Q5391">
        <v>-0.1153947</v>
      </c>
      <c r="R5391">
        <v>1.7691330000000002E-2</v>
      </c>
      <c r="S5391">
        <v>-3.0000610000000001</v>
      </c>
      <c r="T5391">
        <v>-0.17974709999999999</v>
      </c>
      <c r="U5391">
        <v>-1.5975949999999999E-2</v>
      </c>
      <c r="V5391">
        <v>-8.8448190000000003E-3</v>
      </c>
      <c r="W5391">
        <v>-0.1021068</v>
      </c>
      <c r="X5391">
        <v>0.99473409999999995</v>
      </c>
      <c r="Y5391">
        <v>-3.1716599999999998E-2</v>
      </c>
      <c r="Z5391">
        <v>-2.3933890000000001E-3</v>
      </c>
      <c r="AA5391">
        <v>0.99949399999999999</v>
      </c>
      <c r="AB5391">
        <v>31</v>
      </c>
      <c r="AC5391">
        <v>-18.389900000000001</v>
      </c>
      <c r="AD5391">
        <v>-1.1198125871739999</v>
      </c>
      <c r="AE5391">
        <v>-0.10829999999998501</v>
      </c>
      <c r="AF5391">
        <v>-0.59324696310873903</v>
      </c>
      <c r="AG5391">
        <v>-1.1198125871739999</v>
      </c>
      <c r="AH5391">
        <v>18.312676712674101</v>
      </c>
      <c r="AI5391">
        <v>93.497425770769695</v>
      </c>
      <c r="AJ5391">
        <v>91.855472282701697</v>
      </c>
      <c r="AK5391">
        <v>18.356471626446901</v>
      </c>
      <c r="AL5391">
        <v>95.860502466430205</v>
      </c>
      <c r="AM5391">
        <v>90.509440105223206</v>
      </c>
      <c r="AN5391">
        <v>0.99999997956609599</v>
      </c>
    </row>
    <row r="5392" spans="1:40" x14ac:dyDescent="0.25">
      <c r="A5392" t="str">
        <f>"20190303154247695"</f>
        <v>20190303154247695</v>
      </c>
      <c r="B5392" t="str">
        <f>"1551598967685340"</f>
        <v>1551598967685340</v>
      </c>
      <c r="C5392" t="s">
        <v>40</v>
      </c>
      <c r="D5392">
        <v>5.7177239999999996</v>
      </c>
      <c r="E5392">
        <v>0.49054999999999999</v>
      </c>
      <c r="F5392" t="s">
        <v>41</v>
      </c>
      <c r="G5392">
        <v>-331.44639999999998</v>
      </c>
      <c r="H5392" s="1">
        <v>-4.4201820000000004E-6</v>
      </c>
      <c r="I5392">
        <v>141.10640000000001</v>
      </c>
      <c r="J5392">
        <v>-312.94819999999999</v>
      </c>
      <c r="K5392">
        <v>1.119858</v>
      </c>
      <c r="L5392">
        <v>141.24549999999999</v>
      </c>
      <c r="M5392">
        <v>-0.99953230000000004</v>
      </c>
      <c r="N5392">
        <v>-1.336787E-2</v>
      </c>
      <c r="O5392">
        <v>2.750234E-2</v>
      </c>
      <c r="P5392">
        <v>-0.99321090000000001</v>
      </c>
      <c r="Q5392">
        <v>-0.1149106</v>
      </c>
      <c r="R5392">
        <v>1.810024E-2</v>
      </c>
      <c r="S5392">
        <v>-3.0002439999999999</v>
      </c>
      <c r="T5392">
        <v>-0.17856629999999901</v>
      </c>
      <c r="U5392">
        <v>-2.0660399999999999E-2</v>
      </c>
      <c r="V5392">
        <v>-9.4334729999999995E-3</v>
      </c>
      <c r="W5392">
        <v>-0.1016025</v>
      </c>
      <c r="X5392">
        <v>0.99478040000000001</v>
      </c>
      <c r="Y5392">
        <v>-3.4284050000000003E-2</v>
      </c>
      <c r="Z5392">
        <v>-2.516594E-3</v>
      </c>
      <c r="AA5392">
        <v>0.99940899999999999</v>
      </c>
      <c r="AB5392">
        <v>31</v>
      </c>
      <c r="AC5392">
        <v>-18.498200000000001</v>
      </c>
      <c r="AD5392">
        <v>-1.119862420182</v>
      </c>
      <c r="AE5392">
        <v>-0.13909999999998399</v>
      </c>
      <c r="AF5392">
        <v>-0.64547115021283996</v>
      </c>
      <c r="AG5392">
        <v>-1.119862420182</v>
      </c>
      <c r="AH5392">
        <v>18.419871230427798</v>
      </c>
      <c r="AI5392">
        <v>93.476967730275504</v>
      </c>
      <c r="AJ5392">
        <v>92.006943790583804</v>
      </c>
      <c r="AK5392">
        <v>18.465166692760601</v>
      </c>
      <c r="AL5392">
        <v>95.831456727778402</v>
      </c>
      <c r="AM5392">
        <v>90.543317890240402</v>
      </c>
      <c r="AN5392">
        <v>1.0000000513216201</v>
      </c>
    </row>
    <row r="5393" spans="1:40" x14ac:dyDescent="0.25">
      <c r="A5393" t="str">
        <f>"20190303154247717"</f>
        <v>20190303154247717</v>
      </c>
      <c r="B5393" t="str">
        <f>"1551598967705836"</f>
        <v>1551598967705836</v>
      </c>
      <c r="C5393" t="s">
        <v>40</v>
      </c>
      <c r="D5393">
        <v>5.7167940000000002</v>
      </c>
      <c r="E5393">
        <v>0.49010789999999999</v>
      </c>
      <c r="F5393" t="s">
        <v>41</v>
      </c>
      <c r="G5393">
        <v>-331.92500000000001</v>
      </c>
      <c r="H5393" s="1">
        <v>-4.1920779999999999E-6</v>
      </c>
      <c r="I5393">
        <v>141.09899999999999</v>
      </c>
      <c r="J5393">
        <v>-313.24450000000002</v>
      </c>
      <c r="K5393">
        <v>1.1199170000000001</v>
      </c>
      <c r="L5393">
        <v>141.25460000000001</v>
      </c>
      <c r="M5393">
        <v>-0.99950669999999997</v>
      </c>
      <c r="N5393">
        <v>-1.3421880000000001E-2</v>
      </c>
      <c r="O5393">
        <v>2.8392110000000002E-2</v>
      </c>
      <c r="P5393">
        <v>-0.99318499999999998</v>
      </c>
      <c r="Q5393">
        <v>-0.1150444</v>
      </c>
      <c r="R5393">
        <v>1.8659060000000002E-2</v>
      </c>
      <c r="S5393">
        <v>-3.0004580000000001</v>
      </c>
      <c r="T5393">
        <v>-0.17706369999999999</v>
      </c>
      <c r="U5393">
        <v>-2.3162840000000001E-2</v>
      </c>
      <c r="V5393">
        <v>-9.7474099999999998E-3</v>
      </c>
      <c r="W5393">
        <v>-0.1016831</v>
      </c>
      <c r="X5393">
        <v>0.99476909999999996</v>
      </c>
      <c r="Y5393">
        <v>-3.600387E-2</v>
      </c>
      <c r="Z5393">
        <v>-2.596306E-3</v>
      </c>
      <c r="AA5393">
        <v>0.99934829999999997</v>
      </c>
      <c r="AB5393">
        <v>31</v>
      </c>
      <c r="AC5393">
        <v>-18.680499999999899</v>
      </c>
      <c r="AD5393">
        <v>-1.1199211920779999</v>
      </c>
      <c r="AE5393">
        <v>-0.155600000000021</v>
      </c>
      <c r="AF5393">
        <v>-0.68350740931776199</v>
      </c>
      <c r="AG5393">
        <v>-1.1199211920779999</v>
      </c>
      <c r="AH5393">
        <v>18.601696709889598</v>
      </c>
      <c r="AI5393">
        <v>93.443034339464802</v>
      </c>
      <c r="AJ5393">
        <v>92.104349932351695</v>
      </c>
      <c r="AK5393">
        <v>18.647909436228399</v>
      </c>
      <c r="AL5393">
        <v>95.836099029976793</v>
      </c>
      <c r="AM5393">
        <v>90.561404230489202</v>
      </c>
      <c r="AN5393">
        <v>1.0000000135710601</v>
      </c>
    </row>
    <row r="5394" spans="1:40" x14ac:dyDescent="0.25">
      <c r="A5394" t="str">
        <f>"20190303154247749"</f>
        <v>20190303154247749</v>
      </c>
      <c r="B5394" t="str">
        <f>"1551598967745852"</f>
        <v>1551598967745852</v>
      </c>
      <c r="C5394" t="s">
        <v>40</v>
      </c>
      <c r="D5394">
        <v>5.7179779999999996</v>
      </c>
      <c r="E5394">
        <v>0.48915409999999998</v>
      </c>
      <c r="F5394" t="s">
        <v>41</v>
      </c>
      <c r="G5394">
        <v>-332.18380000000002</v>
      </c>
      <c r="H5394" s="1">
        <v>-4.0695340000000003E-6</v>
      </c>
      <c r="I5394">
        <v>141.09819999999999</v>
      </c>
      <c r="J5394">
        <v>-313.69380000000001</v>
      </c>
      <c r="K5394">
        <v>1.1200159999999999</v>
      </c>
      <c r="L5394">
        <v>141.2689</v>
      </c>
      <c r="M5394">
        <v>-0.99946950000000001</v>
      </c>
      <c r="N5394">
        <v>-1.353322E-2</v>
      </c>
      <c r="O5394">
        <v>2.9625100000000001E-2</v>
      </c>
      <c r="P5394">
        <v>-0.99297080000000004</v>
      </c>
      <c r="Q5394">
        <v>-0.11655459999999999</v>
      </c>
      <c r="R5394">
        <v>2.059476E-2</v>
      </c>
      <c r="S5394">
        <v>-3.0004879999999998</v>
      </c>
      <c r="T5394">
        <v>-0.1774249</v>
      </c>
      <c r="U5394">
        <v>-2.478027E-2</v>
      </c>
      <c r="V5394">
        <v>-9.0160819999999999E-3</v>
      </c>
      <c r="W5394">
        <v>-0.1030877</v>
      </c>
      <c r="X5394">
        <v>0.99463140000000005</v>
      </c>
      <c r="Y5394">
        <v>-3.7769789999999998E-2</v>
      </c>
      <c r="Z5394">
        <v>-2.7209700000000001E-3</v>
      </c>
      <c r="AA5394">
        <v>0.99928280000000003</v>
      </c>
      <c r="AB5394">
        <v>31</v>
      </c>
      <c r="AC5394">
        <v>-18.489999999999998</v>
      </c>
      <c r="AD5394">
        <v>-1.1200200695339999</v>
      </c>
      <c r="AE5394">
        <v>-0.17070000000001001</v>
      </c>
      <c r="AF5394">
        <v>-0.71581701840864698</v>
      </c>
      <c r="AG5394">
        <v>-1.1200200695339999</v>
      </c>
      <c r="AH5394">
        <v>18.409282842965901</v>
      </c>
      <c r="AI5394">
        <v>93.478959085242806</v>
      </c>
      <c r="AJ5394">
        <v>92.226737644331493</v>
      </c>
      <c r="AK5394">
        <v>18.4572081787122</v>
      </c>
      <c r="AL5394">
        <v>95.917001971306803</v>
      </c>
      <c r="AM5394">
        <v>90.519357520668507</v>
      </c>
      <c r="AN5394">
        <v>0.99999999274593998</v>
      </c>
    </row>
    <row r="5395" spans="1:40" x14ac:dyDescent="0.25">
      <c r="A5395" t="str">
        <f>"20190303154247772"</f>
        <v>20190303154247772</v>
      </c>
      <c r="B5395" t="str">
        <f>"1551598967765376"</f>
        <v>1551598967765376</v>
      </c>
      <c r="C5395" t="s">
        <v>40</v>
      </c>
      <c r="D5395">
        <v>5.7602349999999998</v>
      </c>
      <c r="E5395">
        <v>0.48909429999999998</v>
      </c>
      <c r="F5395" t="s">
        <v>41</v>
      </c>
      <c r="G5395">
        <v>-331.94560000000001</v>
      </c>
      <c r="H5395" s="1">
        <v>-4.1839220000000001E-6</v>
      </c>
      <c r="I5395">
        <v>141.10480000000001</v>
      </c>
      <c r="J5395">
        <v>-314.00279999999998</v>
      </c>
      <c r="K5395">
        <v>1.120074</v>
      </c>
      <c r="L5395">
        <v>141.27889999999999</v>
      </c>
      <c r="M5395">
        <v>-0.99944500000000003</v>
      </c>
      <c r="N5395">
        <v>-1.361061E-2</v>
      </c>
      <c r="O5395">
        <v>3.0402289999999998E-2</v>
      </c>
      <c r="P5395">
        <v>-0.99282289999999995</v>
      </c>
      <c r="Q5395">
        <v>-0.11765929999999999</v>
      </c>
      <c r="R5395">
        <v>2.142581E-2</v>
      </c>
      <c r="S5395">
        <v>-3.0001829999999998</v>
      </c>
      <c r="T5395">
        <v>-0.18410599999999999</v>
      </c>
      <c r="U5395">
        <v>-2.6962280000000002E-2</v>
      </c>
      <c r="V5395">
        <v>-8.9430289999999999E-3</v>
      </c>
      <c r="W5395">
        <v>-0.10411819999999999</v>
      </c>
      <c r="X5395">
        <v>0.99452470000000004</v>
      </c>
      <c r="Y5395">
        <v>-3.9261360000000002E-2</v>
      </c>
      <c r="Z5395">
        <v>-2.9211440000000001E-3</v>
      </c>
      <c r="AA5395">
        <v>0.99922469999999997</v>
      </c>
      <c r="AB5395">
        <v>31</v>
      </c>
      <c r="AC5395">
        <v>-17.942799999999998</v>
      </c>
      <c r="AD5395">
        <v>-1.120078183922</v>
      </c>
      <c r="AE5395">
        <v>-0.17409999999998099</v>
      </c>
      <c r="AF5395">
        <v>-0.71677935323748299</v>
      </c>
      <c r="AG5395">
        <v>-1.120078183922</v>
      </c>
      <c r="AH5395">
        <v>17.8596206367672</v>
      </c>
      <c r="AI5395">
        <v>93.585764287938801</v>
      </c>
      <c r="AJ5395">
        <v>92.298279658921302</v>
      </c>
      <c r="AK5395">
        <v>17.909059078258899</v>
      </c>
      <c r="AL5395">
        <v>95.976364809626304</v>
      </c>
      <c r="AM5395">
        <v>90.515204908901893</v>
      </c>
      <c r="AN5395">
        <v>0.99999997812451202</v>
      </c>
    </row>
    <row r="5396" spans="1:40" x14ac:dyDescent="0.25">
      <c r="A5396" t="str">
        <f>"20190303154247794"</f>
        <v>20190303154247794</v>
      </c>
      <c r="B5396" t="str">
        <f>"1551598967785872"</f>
        <v>1551598967785872</v>
      </c>
      <c r="C5396" t="s">
        <v>40</v>
      </c>
      <c r="D5396">
        <v>5.7412179999999999</v>
      </c>
      <c r="E5396">
        <v>0.50894700000000004</v>
      </c>
      <c r="F5396" t="s">
        <v>41</v>
      </c>
      <c r="G5396">
        <v>-331.95319999999998</v>
      </c>
      <c r="H5396" s="1">
        <v>-4.1871699999999999E-6</v>
      </c>
      <c r="I5396">
        <v>141.13069999999999</v>
      </c>
      <c r="J5396">
        <v>-314.3116</v>
      </c>
      <c r="K5396">
        <v>1.1201319999999999</v>
      </c>
      <c r="L5396">
        <v>141.28909999999999</v>
      </c>
      <c r="M5396">
        <v>-0.9994227</v>
      </c>
      <c r="N5396">
        <v>-1.3684730000000001E-2</v>
      </c>
      <c r="O5396">
        <v>3.1099789999999999E-2</v>
      </c>
      <c r="P5396">
        <v>-0.99271580000000004</v>
      </c>
      <c r="Q5396">
        <v>-0.1183627</v>
      </c>
      <c r="R5396">
        <v>2.249549E-2</v>
      </c>
      <c r="S5396">
        <v>-3.0000610000000001</v>
      </c>
      <c r="T5396">
        <v>-0.18719939999999999</v>
      </c>
      <c r="U5396">
        <v>-2.476501E-2</v>
      </c>
      <c r="V5396">
        <v>-8.55122E-3</v>
      </c>
      <c r="W5396">
        <v>-0.1047506</v>
      </c>
      <c r="X5396">
        <v>0.99446179999999995</v>
      </c>
      <c r="Y5396">
        <v>-3.9222310000000003E-2</v>
      </c>
      <c r="Z5396">
        <v>-3.004376E-3</v>
      </c>
      <c r="AA5396">
        <v>0.99922599999999995</v>
      </c>
      <c r="AB5396">
        <v>31</v>
      </c>
      <c r="AC5396">
        <v>-17.641599999999901</v>
      </c>
      <c r="AD5396">
        <v>-1.12013618717</v>
      </c>
      <c r="AE5396">
        <v>-0.15840000000000001</v>
      </c>
      <c r="AF5396">
        <v>-0.70418605450431104</v>
      </c>
      <c r="AG5396">
        <v>-1.12013618717</v>
      </c>
      <c r="AH5396">
        <v>17.557361578288099</v>
      </c>
      <c r="AI5396">
        <v>93.647522049263301</v>
      </c>
      <c r="AJ5396">
        <v>92.296773075987105</v>
      </c>
      <c r="AK5396">
        <v>17.6071442507839</v>
      </c>
      <c r="AL5396">
        <v>96.012797503055793</v>
      </c>
      <c r="AM5396">
        <v>90.492665219120894</v>
      </c>
      <c r="AN5396">
        <v>1.00000004161154</v>
      </c>
    </row>
    <row r="5397" spans="1:40" x14ac:dyDescent="0.25">
      <c r="A5397" t="str">
        <f>"20190303154247818"</f>
        <v>20190303154247818</v>
      </c>
      <c r="B5397" t="str">
        <f>"1551598967805388"</f>
        <v>1551598967805388</v>
      </c>
      <c r="C5397" t="s">
        <v>40</v>
      </c>
      <c r="D5397">
        <v>5.885427</v>
      </c>
      <c r="E5397">
        <v>0.50810999999999995</v>
      </c>
      <c r="F5397" t="s">
        <v>41</v>
      </c>
      <c r="G5397">
        <v>-357.19670000000002</v>
      </c>
      <c r="H5397" s="1">
        <v>-2.1444429999999999E-6</v>
      </c>
      <c r="I5397">
        <v>143.22239999999999</v>
      </c>
      <c r="J5397">
        <v>-314.62189999999998</v>
      </c>
      <c r="K5397">
        <v>1.120198</v>
      </c>
      <c r="L5397">
        <v>141.29949999999999</v>
      </c>
      <c r="M5397">
        <v>-0.99940260000000003</v>
      </c>
      <c r="N5397">
        <v>-1.3754509999999999E-2</v>
      </c>
      <c r="O5397">
        <v>3.1705820000000003E-2</v>
      </c>
      <c r="P5397">
        <v>-0.99269620000000003</v>
      </c>
      <c r="Q5397">
        <v>-0.1185296</v>
      </c>
      <c r="R5397">
        <v>2.2478080000000001E-2</v>
      </c>
      <c r="S5397">
        <v>-3.0095209999999999</v>
      </c>
      <c r="T5397">
        <v>-7.8607079999999996E-2</v>
      </c>
      <c r="U5397">
        <v>0.1356812</v>
      </c>
      <c r="V5397">
        <v>-9.1547739999999992E-3</v>
      </c>
      <c r="W5397">
        <v>-0.10484889999999999</v>
      </c>
      <c r="X5397">
        <v>0.99444600000000005</v>
      </c>
      <c r="Y5397">
        <v>1.333441E-2</v>
      </c>
      <c r="Z5397">
        <v>-1.255261E-4</v>
      </c>
      <c r="AA5397">
        <v>0.99991110000000005</v>
      </c>
      <c r="AB5397">
        <v>31</v>
      </c>
      <c r="AC5397">
        <v>-42.574800000000003</v>
      </c>
      <c r="AD5397">
        <v>-1.1202001444429901</v>
      </c>
      <c r="AE5397">
        <v>1.9228999999999901</v>
      </c>
      <c r="AF5397">
        <v>0.57154155224262704</v>
      </c>
      <c r="AG5397">
        <v>-1.1202001444429901</v>
      </c>
      <c r="AH5397">
        <v>42.584943130434198</v>
      </c>
      <c r="AI5397">
        <v>91.506686687995696</v>
      </c>
      <c r="AJ5397">
        <v>89.231067359899299</v>
      </c>
      <c r="AK5397">
        <v>42.603507948663797</v>
      </c>
      <c r="AL5397">
        <v>96.018461270630496</v>
      </c>
      <c r="AM5397">
        <v>90.527444522491507</v>
      </c>
      <c r="AN5397">
        <v>0.99999997431709997</v>
      </c>
    </row>
    <row r="5398" spans="1:40" x14ac:dyDescent="0.25">
      <c r="A5398" t="str">
        <f>"20190303154247839"</f>
        <v>20190303154247839</v>
      </c>
      <c r="B5398" t="str">
        <f>"1551598967835644"</f>
        <v>1551598967835644</v>
      </c>
      <c r="C5398" t="s">
        <v>40</v>
      </c>
      <c r="D5398">
        <v>5.8451129999999996</v>
      </c>
      <c r="E5398">
        <v>0.50714510000000002</v>
      </c>
      <c r="F5398" t="s">
        <v>41</v>
      </c>
      <c r="G5398">
        <v>-351.93310000000002</v>
      </c>
      <c r="H5398" s="1">
        <v>-4.2010019999999997E-6</v>
      </c>
      <c r="I5398">
        <v>142.90190000000001</v>
      </c>
      <c r="J5398">
        <v>-314.92259999999999</v>
      </c>
      <c r="K5398">
        <v>1.1202780000000001</v>
      </c>
      <c r="L5398">
        <v>141.30959999999999</v>
      </c>
      <c r="M5398">
        <v>-0.99938579999999999</v>
      </c>
      <c r="N5398">
        <v>-1.381655E-2</v>
      </c>
      <c r="O5398">
        <v>3.2205600000000001E-2</v>
      </c>
      <c r="P5398">
        <v>-0.9926741</v>
      </c>
      <c r="Q5398">
        <v>-0.1185469</v>
      </c>
      <c r="R5398">
        <v>2.33382E-2</v>
      </c>
      <c r="S5398">
        <v>-3.008362</v>
      </c>
      <c r="T5398">
        <v>-9.0320709999999998E-2</v>
      </c>
      <c r="U5398">
        <v>0.1292114</v>
      </c>
      <c r="V5398">
        <v>-8.7735669999999995E-3</v>
      </c>
      <c r="W5398">
        <v>-0.1048065</v>
      </c>
      <c r="X5398">
        <v>0.9944539</v>
      </c>
      <c r="Y5398">
        <v>1.0707110000000001E-2</v>
      </c>
      <c r="Z5398">
        <v>-2.8644340000000002E-4</v>
      </c>
      <c r="AA5398">
        <v>0.99994269999999996</v>
      </c>
      <c r="AB5398">
        <v>30</v>
      </c>
      <c r="AC5398">
        <v>-37.0105</v>
      </c>
      <c r="AD5398">
        <v>-1.1202822010019999</v>
      </c>
      <c r="AE5398">
        <v>1.59230000000002</v>
      </c>
      <c r="AF5398">
        <v>0.39904981464414502</v>
      </c>
      <c r="AG5398">
        <v>-1.1202822010019999</v>
      </c>
      <c r="AH5398">
        <v>37.008737664183599</v>
      </c>
      <c r="AI5398">
        <v>91.733755967399205</v>
      </c>
      <c r="AJ5398">
        <v>89.382227397720996</v>
      </c>
      <c r="AK5398">
        <v>37.027840018840102</v>
      </c>
      <c r="AL5398">
        <v>96.016018505348299</v>
      </c>
      <c r="AM5398">
        <v>90.505478754208596</v>
      </c>
      <c r="AN5398">
        <v>0.99999996857268103</v>
      </c>
    </row>
    <row r="5399" spans="1:40" x14ac:dyDescent="0.25">
      <c r="A5399" t="str">
        <f>"20190303154247862"</f>
        <v>20190303154247862</v>
      </c>
      <c r="B5399" t="str">
        <f>"1551598967855165"</f>
        <v>1551598967855165</v>
      </c>
      <c r="C5399" t="s">
        <v>40</v>
      </c>
      <c r="D5399">
        <v>5.7783089999999904</v>
      </c>
      <c r="E5399">
        <v>0.50658309999999995</v>
      </c>
      <c r="F5399" t="s">
        <v>41</v>
      </c>
      <c r="G5399">
        <v>-346.19220000000001</v>
      </c>
      <c r="H5399" s="1">
        <v>-2.4104069999999998E-6</v>
      </c>
      <c r="I5399">
        <v>142.6026</v>
      </c>
      <c r="J5399">
        <v>-315.22930000000002</v>
      </c>
      <c r="K5399">
        <v>1.120349</v>
      </c>
      <c r="L5399">
        <v>141.3201</v>
      </c>
      <c r="M5399">
        <v>-0.99937089999999995</v>
      </c>
      <c r="N5399">
        <v>-1.38736E-2</v>
      </c>
      <c r="O5399">
        <v>3.2642869999999997E-2</v>
      </c>
      <c r="P5399">
        <v>-0.99273599999999995</v>
      </c>
      <c r="Q5399">
        <v>-0.1177661</v>
      </c>
      <c r="R5399">
        <v>2.46333E-2</v>
      </c>
      <c r="S5399">
        <v>-3.006348</v>
      </c>
      <c r="T5399">
        <v>-0.107707</v>
      </c>
      <c r="U5399">
        <v>0.1243134</v>
      </c>
      <c r="V5399">
        <v>-7.8965279999999999E-3</v>
      </c>
      <c r="W5399">
        <v>-0.10397000000000001</v>
      </c>
      <c r="X5399">
        <v>0.99454909999999996</v>
      </c>
      <c r="Y5399">
        <v>8.6749519999999997E-3</v>
      </c>
      <c r="Z5399">
        <v>-4.9999150000000004E-4</v>
      </c>
      <c r="AA5399">
        <v>0.99996229999999997</v>
      </c>
      <c r="AB5399">
        <v>30</v>
      </c>
      <c r="AC5399">
        <v>-30.962899999999902</v>
      </c>
      <c r="AD5399">
        <v>-1.120351410407</v>
      </c>
      <c r="AE5399">
        <v>1.28249999999999</v>
      </c>
      <c r="AF5399">
        <v>0.27064756998552297</v>
      </c>
      <c r="AG5399">
        <v>-1.120351410407</v>
      </c>
      <c r="AH5399">
        <v>30.947815287558299</v>
      </c>
      <c r="AI5399">
        <v>92.073197600624994</v>
      </c>
      <c r="AJ5399">
        <v>89.498944657477296</v>
      </c>
      <c r="AK5399">
        <v>30.969270389577598</v>
      </c>
      <c r="AL5399">
        <v>95.967827022848098</v>
      </c>
      <c r="AM5399">
        <v>90.454907877610793</v>
      </c>
      <c r="AN5399">
        <v>1.00000001418263</v>
      </c>
    </row>
    <row r="5400" spans="1:40" x14ac:dyDescent="0.25">
      <c r="A5400" t="str">
        <f>"20190303154247884"</f>
        <v>20190303154247884</v>
      </c>
      <c r="B5400" t="str">
        <f>"1551598967875660"</f>
        <v>1551598967875660</v>
      </c>
      <c r="C5400" t="s">
        <v>40</v>
      </c>
      <c r="D5400">
        <v>5.817571</v>
      </c>
      <c r="E5400">
        <v>0.50622860000000003</v>
      </c>
      <c r="F5400" t="s">
        <v>41</v>
      </c>
      <c r="G5400">
        <v>-344.64960000000002</v>
      </c>
      <c r="H5400" s="1">
        <v>-3.0533920000000001E-6</v>
      </c>
      <c r="I5400">
        <v>142.53200000000001</v>
      </c>
      <c r="J5400">
        <v>-315.53199999999998</v>
      </c>
      <c r="K5400">
        <v>1.1204259999999999</v>
      </c>
      <c r="L5400">
        <v>141.3304</v>
      </c>
      <c r="M5400">
        <v>-0.99935850000000004</v>
      </c>
      <c r="N5400">
        <v>-1.3923710000000001E-2</v>
      </c>
      <c r="O5400">
        <v>3.2995099999999999E-2</v>
      </c>
      <c r="P5400">
        <v>-0.99264439999999998</v>
      </c>
      <c r="Q5400">
        <v>-0.118297</v>
      </c>
      <c r="R5400">
        <v>2.5751110000000001E-2</v>
      </c>
      <c r="S5400">
        <v>-3.0053100000000001</v>
      </c>
      <c r="T5400">
        <v>-0.11444500000000001</v>
      </c>
      <c r="U5400">
        <v>0.1238098</v>
      </c>
      <c r="V5400">
        <v>-7.1098769999999997E-3</v>
      </c>
      <c r="W5400">
        <v>-0.1044538</v>
      </c>
      <c r="X5400">
        <v>0.99450430000000001</v>
      </c>
      <c r="Y5400">
        <v>8.1708679999999995E-3</v>
      </c>
      <c r="Z5400">
        <v>-5.8344159999999996E-4</v>
      </c>
      <c r="AA5400">
        <v>0.99996640000000003</v>
      </c>
      <c r="AB5400">
        <v>30</v>
      </c>
      <c r="AC5400">
        <v>-29.117599999999999</v>
      </c>
      <c r="AD5400">
        <v>-1.1204290533919901</v>
      </c>
      <c r="AE5400">
        <v>1.20160000000001</v>
      </c>
      <c r="AF5400">
        <v>0.239759930253551</v>
      </c>
      <c r="AG5400">
        <v>-1.1204290533919901</v>
      </c>
      <c r="AH5400">
        <v>29.098381756641601</v>
      </c>
      <c r="AI5400">
        <v>92.205001734635104</v>
      </c>
      <c r="AJ5400">
        <v>89.527914598588097</v>
      </c>
      <c r="AK5400">
        <v>29.120931766396001</v>
      </c>
      <c r="AL5400">
        <v>95.995698715266101</v>
      </c>
      <c r="AM5400">
        <v>90.409610099154705</v>
      </c>
      <c r="AN5400">
        <v>0.99999997470194202</v>
      </c>
    </row>
    <row r="5401" spans="1:40" x14ac:dyDescent="0.25">
      <c r="A5401" t="str">
        <f>"20190303154247906"</f>
        <v>20190303154247906</v>
      </c>
      <c r="B5401" t="str">
        <f>"1551598967895181"</f>
        <v>1551598967895181</v>
      </c>
      <c r="C5401" t="s">
        <v>40</v>
      </c>
      <c r="D5401">
        <v>5.9531780000000003</v>
      </c>
      <c r="E5401">
        <v>0.5061175</v>
      </c>
      <c r="F5401" t="s">
        <v>41</v>
      </c>
      <c r="G5401">
        <v>-343.3544</v>
      </c>
      <c r="H5401" s="1">
        <v>-3.5950939999999999E-6</v>
      </c>
      <c r="I5401">
        <v>142.4796</v>
      </c>
      <c r="J5401">
        <v>-315.82810000000001</v>
      </c>
      <c r="K5401">
        <v>1.1204889999999901</v>
      </c>
      <c r="L5401">
        <v>141.34049999999999</v>
      </c>
      <c r="M5401">
        <v>-0.9993495</v>
      </c>
      <c r="N5401">
        <v>-1.396697E-2</v>
      </c>
      <c r="O5401">
        <v>3.3253669999999999E-2</v>
      </c>
      <c r="P5401">
        <v>-0.99255789999999999</v>
      </c>
      <c r="Q5401">
        <v>-0.1187848</v>
      </c>
      <c r="R5401">
        <v>2.6817919999999999E-2</v>
      </c>
      <c r="S5401">
        <v>-3.004578</v>
      </c>
      <c r="T5401">
        <v>-0.1209968</v>
      </c>
      <c r="U5401">
        <v>0.124115</v>
      </c>
      <c r="V5401">
        <v>-6.2811219999999897E-3</v>
      </c>
      <c r="W5401">
        <v>-0.10490099999999999</v>
      </c>
      <c r="X5401">
        <v>0.99446279999999998</v>
      </c>
      <c r="Y5401">
        <v>8.0247469999999901E-3</v>
      </c>
      <c r="Z5401">
        <v>-6.5578149999999998E-4</v>
      </c>
      <c r="AA5401">
        <v>0.99996759999999996</v>
      </c>
      <c r="AB5401">
        <v>30</v>
      </c>
      <c r="AC5401">
        <v>-27.5262999999999</v>
      </c>
      <c r="AD5401">
        <v>-1.1204925950939999</v>
      </c>
      <c r="AE5401">
        <v>1.13910000000001</v>
      </c>
      <c r="AF5401">
        <v>0.22266191993440901</v>
      </c>
      <c r="AG5401">
        <v>-1.1204925950939999</v>
      </c>
      <c r="AH5401">
        <v>27.503461083671802</v>
      </c>
      <c r="AI5401">
        <v>92.332866874722697</v>
      </c>
      <c r="AJ5401">
        <v>89.536156212304107</v>
      </c>
      <c r="AK5401">
        <v>27.527176636322501</v>
      </c>
      <c r="AL5401">
        <v>96.021462981352798</v>
      </c>
      <c r="AM5401">
        <v>90.3618808021033</v>
      </c>
      <c r="AN5401">
        <v>0.99999996643920797</v>
      </c>
    </row>
    <row r="5402" spans="1:40" x14ac:dyDescent="0.25">
      <c r="A5402" t="str">
        <f>"20190303154247928"</f>
        <v>20190303154247928</v>
      </c>
      <c r="B5402" t="str">
        <f>"1551598967925437"</f>
        <v>1551598967925437</v>
      </c>
      <c r="C5402" t="s">
        <v>40</v>
      </c>
      <c r="D5402">
        <v>5.9137490000000001</v>
      </c>
      <c r="E5402">
        <v>0.50647509999999996</v>
      </c>
      <c r="F5402" t="s">
        <v>41</v>
      </c>
      <c r="G5402">
        <v>-342.40190000000001</v>
      </c>
      <c r="H5402" s="1">
        <v>-3.9626089999999996E-6</v>
      </c>
      <c r="I5402">
        <v>142.45740000000001</v>
      </c>
      <c r="J5402">
        <v>-316.12509999999997</v>
      </c>
      <c r="K5402">
        <v>1.1205579999999999</v>
      </c>
      <c r="L5402">
        <v>141.35059999999999</v>
      </c>
      <c r="M5402">
        <v>-0.99934319999999999</v>
      </c>
      <c r="N5402">
        <v>-1.400505E-2</v>
      </c>
      <c r="O5402">
        <v>3.3426129999999998E-2</v>
      </c>
      <c r="P5402">
        <v>-0.99243979999999998</v>
      </c>
      <c r="Q5402">
        <v>-0.1197595</v>
      </c>
      <c r="R5402">
        <v>2.6858440000000001E-2</v>
      </c>
      <c r="S5402">
        <v>-3.0039060000000002</v>
      </c>
      <c r="T5402">
        <v>-0.12666089999999999</v>
      </c>
      <c r="U5402">
        <v>0.1262665</v>
      </c>
      <c r="V5402">
        <v>-6.3904950000000004E-3</v>
      </c>
      <c r="W5402">
        <v>-0.1058403</v>
      </c>
      <c r="X5402">
        <v>0.99436259999999999</v>
      </c>
      <c r="Y5402">
        <v>8.5766990000000001E-3</v>
      </c>
      <c r="Z5402">
        <v>-6.9899229999999897E-4</v>
      </c>
      <c r="AA5402">
        <v>0.99996300000000005</v>
      </c>
      <c r="AB5402">
        <v>30</v>
      </c>
      <c r="AC5402">
        <v>-26.276800000000001</v>
      </c>
      <c r="AD5402">
        <v>-1.120561962609</v>
      </c>
      <c r="AE5402">
        <v>1.10680000000002</v>
      </c>
      <c r="AF5402">
        <v>0.22735090899199201</v>
      </c>
      <c r="AG5402">
        <v>-1.120561962609</v>
      </c>
      <c r="AH5402">
        <v>26.251457857319298</v>
      </c>
      <c r="AI5402">
        <v>92.444135347297703</v>
      </c>
      <c r="AJ5402">
        <v>89.503801961627502</v>
      </c>
      <c r="AK5402">
        <v>26.276346534144999</v>
      </c>
      <c r="AL5402">
        <v>96.0755820241489</v>
      </c>
      <c r="AM5402">
        <v>90.368219150278193</v>
      </c>
      <c r="AN5402">
        <v>0.99999999390459704</v>
      </c>
    </row>
    <row r="5403" spans="1:40" x14ac:dyDescent="0.25">
      <c r="A5403" t="str">
        <f>"20190303154247950"</f>
        <v>20190303154247950</v>
      </c>
      <c r="B5403" t="str">
        <f>"1551598967945933"</f>
        <v>1551598967945933</v>
      </c>
      <c r="C5403" t="s">
        <v>40</v>
      </c>
      <c r="D5403">
        <v>5.8167809999999998</v>
      </c>
      <c r="E5403">
        <v>0.50708599999999904</v>
      </c>
      <c r="F5403" t="s">
        <v>41</v>
      </c>
      <c r="G5403">
        <v>-343.0677</v>
      </c>
      <c r="H5403" s="1">
        <v>-3.7255090000000002E-6</v>
      </c>
      <c r="I5403">
        <v>142.50749999999999</v>
      </c>
      <c r="J5403">
        <v>-316.42779999999999</v>
      </c>
      <c r="K5403">
        <v>1.1206320000000001</v>
      </c>
      <c r="L5403">
        <v>141.36089999999999</v>
      </c>
      <c r="M5403">
        <v>-0.99933930000000004</v>
      </c>
      <c r="N5403">
        <v>-1.40389E-2</v>
      </c>
      <c r="O5403">
        <v>3.3526670000000001E-2</v>
      </c>
      <c r="P5403">
        <v>-0.99249989999999999</v>
      </c>
      <c r="Q5403">
        <v>-0.1194385</v>
      </c>
      <c r="R5403">
        <v>2.6053880000000001E-2</v>
      </c>
      <c r="S5403">
        <v>-3.0043030000000002</v>
      </c>
      <c r="T5403">
        <v>-0.12495100000000001</v>
      </c>
      <c r="U5403">
        <v>0.12901309999999999</v>
      </c>
      <c r="V5403">
        <v>-7.2793240000000002E-3</v>
      </c>
      <c r="W5403">
        <v>-0.10548589999999999</v>
      </c>
      <c r="X5403">
        <v>0.99439409999999895</v>
      </c>
      <c r="Y5403">
        <v>9.3818440000000003E-3</v>
      </c>
      <c r="Z5403">
        <v>-6.6135520000000004E-4</v>
      </c>
      <c r="AA5403">
        <v>0.99995579999999995</v>
      </c>
      <c r="AB5403">
        <v>30</v>
      </c>
      <c r="AC5403">
        <v>-26.639900000000001</v>
      </c>
      <c r="AD5403">
        <v>-1.120635725509</v>
      </c>
      <c r="AE5403">
        <v>1.1466000000000001</v>
      </c>
      <c r="AF5403">
        <v>0.25227460204161301</v>
      </c>
      <c r="AG5403">
        <v>-1.120635725509</v>
      </c>
      <c r="AH5403">
        <v>26.616354202231602</v>
      </c>
      <c r="AI5403">
        <v>92.410807973564204</v>
      </c>
      <c r="AJ5403">
        <v>89.456956536895206</v>
      </c>
      <c r="AK5403">
        <v>26.641129441575298</v>
      </c>
      <c r="AL5403">
        <v>96.055162386490196</v>
      </c>
      <c r="AM5403">
        <v>90.419418310232899</v>
      </c>
      <c r="AN5403">
        <v>0.99999994488575605</v>
      </c>
    </row>
    <row r="5404" spans="1:40" x14ac:dyDescent="0.25">
      <c r="A5404" t="str">
        <f>"20190303154247973"</f>
        <v>20190303154247973</v>
      </c>
      <c r="B5404" t="str">
        <f>"1551598967965685"</f>
        <v>1551598967965685</v>
      </c>
      <c r="C5404" t="s">
        <v>40</v>
      </c>
      <c r="D5404">
        <v>5.7667900000000003</v>
      </c>
      <c r="E5404">
        <v>0.50753619999999999</v>
      </c>
      <c r="F5404" t="s">
        <v>41</v>
      </c>
      <c r="G5404">
        <v>-345.55220000000003</v>
      </c>
      <c r="H5404" s="1">
        <v>-2.6931110000000002E-6</v>
      </c>
      <c r="I5404">
        <v>142.63319999999999</v>
      </c>
      <c r="J5404">
        <v>-316.72669999999999</v>
      </c>
      <c r="K5404">
        <v>1.1206929999999999</v>
      </c>
      <c r="L5404">
        <v>141.37100000000001</v>
      </c>
      <c r="M5404">
        <v>-0.99933780000000005</v>
      </c>
      <c r="N5404">
        <v>-1.406782E-2</v>
      </c>
      <c r="O5404">
        <v>3.3557240000000002E-2</v>
      </c>
      <c r="P5404">
        <v>-0.99256869999999997</v>
      </c>
      <c r="Q5404">
        <v>-0.11903759999999999</v>
      </c>
      <c r="R5404">
        <v>2.5246830000000001E-2</v>
      </c>
      <c r="S5404">
        <v>-3.005341</v>
      </c>
      <c r="T5404">
        <v>-0.11563809999999999</v>
      </c>
      <c r="U5404">
        <v>0.1313019</v>
      </c>
      <c r="V5404">
        <v>-8.1018919999999994E-3</v>
      </c>
      <c r="W5404">
        <v>-0.1050567</v>
      </c>
      <c r="X5404">
        <v>0.99443320000000002</v>
      </c>
      <c r="Y5404">
        <v>1.0094499999999999E-2</v>
      </c>
      <c r="Z5404">
        <v>-5.5265390000000005E-4</v>
      </c>
      <c r="AA5404">
        <v>0.99994890000000003</v>
      </c>
      <c r="AB5404">
        <v>30</v>
      </c>
      <c r="AC5404">
        <v>-28.825500000000002</v>
      </c>
      <c r="AD5404">
        <v>-1.1206956931109999</v>
      </c>
      <c r="AE5404">
        <v>1.26219999999997</v>
      </c>
      <c r="AF5404">
        <v>0.29364603671000999</v>
      </c>
      <c r="AG5404">
        <v>-1.1206956931109999</v>
      </c>
      <c r="AH5404">
        <v>28.8081607610264</v>
      </c>
      <c r="AI5404">
        <v>92.227682672596899</v>
      </c>
      <c r="AJ5404">
        <v>89.415995486377497</v>
      </c>
      <c r="AK5404">
        <v>28.831446603744599</v>
      </c>
      <c r="AL5404">
        <v>96.030433479601399</v>
      </c>
      <c r="AM5404">
        <v>90.4667924875761</v>
      </c>
      <c r="AN5404">
        <v>0.99999997006555397</v>
      </c>
    </row>
    <row r="5405" spans="1:40" x14ac:dyDescent="0.25">
      <c r="A5405" t="str">
        <f>"20190303154247995"</f>
        <v>20190303154247995</v>
      </c>
      <c r="B5405" t="str">
        <f>"1551598967985202"</f>
        <v>1551598967985202</v>
      </c>
      <c r="C5405" t="s">
        <v>40</v>
      </c>
      <c r="D5405">
        <v>5.7810790000000001</v>
      </c>
      <c r="E5405">
        <v>0.50789459999999997</v>
      </c>
      <c r="F5405" t="s">
        <v>41</v>
      </c>
      <c r="G5405">
        <v>-348.15469999999999</v>
      </c>
      <c r="H5405" s="1">
        <v>-1.6086050000000001E-6</v>
      </c>
      <c r="I5405">
        <v>142.7533</v>
      </c>
      <c r="J5405">
        <v>-317.0335</v>
      </c>
      <c r="K5405">
        <v>1.1207530000000001</v>
      </c>
      <c r="L5405">
        <v>141.38130000000001</v>
      </c>
      <c r="M5405">
        <v>-0.99933899999999998</v>
      </c>
      <c r="N5405">
        <v>-1.4093369999999999E-2</v>
      </c>
      <c r="O5405">
        <v>3.3511050000000001E-2</v>
      </c>
      <c r="P5405">
        <v>-0.99262899999999998</v>
      </c>
      <c r="Q5405">
        <v>-0.1187612</v>
      </c>
      <c r="R5405">
        <v>2.4157910000000001E-2</v>
      </c>
      <c r="S5405">
        <v>-3.0062869999999999</v>
      </c>
      <c r="T5405">
        <v>-0.1072018</v>
      </c>
      <c r="U5405">
        <v>0.13223270000000001</v>
      </c>
      <c r="V5405">
        <v>-9.1302060000000001E-3</v>
      </c>
      <c r="W5405">
        <v>-0.10475569999999999</v>
      </c>
      <c r="X5405">
        <v>0.99445609999999995</v>
      </c>
      <c r="Y5405">
        <v>1.043473E-2</v>
      </c>
      <c r="Z5405">
        <v>-4.6199190000000001E-4</v>
      </c>
      <c r="AA5405">
        <v>0.99994550000000004</v>
      </c>
      <c r="AB5405">
        <v>30</v>
      </c>
      <c r="AC5405">
        <v>-31.121199999999899</v>
      </c>
      <c r="AD5405">
        <v>-1.120754608605</v>
      </c>
      <c r="AE5405">
        <v>1.3719999999999799</v>
      </c>
      <c r="AF5405">
        <v>0.32779731071196</v>
      </c>
      <c r="AG5405">
        <v>-1.120754608605</v>
      </c>
      <c r="AH5405">
        <v>31.109431203216101</v>
      </c>
      <c r="AI5405">
        <v>92.063142499679699</v>
      </c>
      <c r="AJ5405">
        <v>89.396301806825406</v>
      </c>
      <c r="AK5405">
        <v>31.131338740202899</v>
      </c>
      <c r="AL5405">
        <v>96.013091421772401</v>
      </c>
      <c r="AM5405">
        <v>90.526023795486793</v>
      </c>
      <c r="AN5405">
        <v>1.0000000260856501</v>
      </c>
    </row>
    <row r="5406" spans="1:40" x14ac:dyDescent="0.25">
      <c r="A5406" t="str">
        <f>"20190303154248018"</f>
        <v>20190303154248018</v>
      </c>
      <c r="B5406" t="str">
        <f>"1551598968005698"</f>
        <v>1551598968005698</v>
      </c>
      <c r="C5406" t="s">
        <v>40</v>
      </c>
      <c r="D5406">
        <v>5.9026019999999999</v>
      </c>
      <c r="E5406">
        <v>0.50758300000000001</v>
      </c>
      <c r="F5406" t="s">
        <v>41</v>
      </c>
      <c r="G5406">
        <v>-350.6223</v>
      </c>
      <c r="H5406" s="1">
        <v>-4.6381819999999998E-6</v>
      </c>
      <c r="I5406">
        <v>142.85169999999999</v>
      </c>
      <c r="J5406">
        <v>-317.3288</v>
      </c>
      <c r="K5406">
        <v>1.120827</v>
      </c>
      <c r="L5406">
        <v>141.39109999999999</v>
      </c>
      <c r="M5406">
        <v>-0.99934319999999999</v>
      </c>
      <c r="N5406">
        <v>-1.4114160000000001E-2</v>
      </c>
      <c r="O5406">
        <v>3.3379409999999998E-2</v>
      </c>
      <c r="P5406">
        <v>-0.9927011</v>
      </c>
      <c r="Q5406">
        <v>-0.1182158</v>
      </c>
      <c r="R5406">
        <v>2.3875179999999999E-2</v>
      </c>
      <c r="S5406">
        <v>-3.0071110000000001</v>
      </c>
      <c r="T5406">
        <v>-0.1003386</v>
      </c>
      <c r="U5406">
        <v>0.13165279999999999</v>
      </c>
      <c r="V5406">
        <v>-9.2682760000000006E-3</v>
      </c>
      <c r="W5406">
        <v>-0.1041902</v>
      </c>
      <c r="X5406">
        <v>0.99451420000000001</v>
      </c>
      <c r="Y5406">
        <v>1.036142E-2</v>
      </c>
      <c r="Z5406">
        <v>-3.9565379999999999E-4</v>
      </c>
      <c r="AA5406">
        <v>0.99994620000000001</v>
      </c>
      <c r="AB5406">
        <v>30</v>
      </c>
      <c r="AC5406">
        <v>-33.293499999999902</v>
      </c>
      <c r="AD5406">
        <v>-1.120831638182</v>
      </c>
      <c r="AE5406">
        <v>1.4605999999999899</v>
      </c>
      <c r="AF5406">
        <v>0.34796434570804502</v>
      </c>
      <c r="AG5406">
        <v>-1.120831638182</v>
      </c>
      <c r="AH5406">
        <v>33.286050306601602</v>
      </c>
      <c r="AI5406">
        <v>91.928470396698103</v>
      </c>
      <c r="AJ5406">
        <v>89.401065549906207</v>
      </c>
      <c r="AK5406">
        <v>33.306733369705398</v>
      </c>
      <c r="AL5406">
        <v>95.980512555915197</v>
      </c>
      <c r="AM5406">
        <v>90.533946850973805</v>
      </c>
      <c r="AN5406">
        <v>0.99999999635884596</v>
      </c>
    </row>
    <row r="5407" spans="1:40" x14ac:dyDescent="0.25">
      <c r="A5407" t="str">
        <f>"20190303154248040"</f>
        <v>20190303154248040</v>
      </c>
      <c r="B5407" t="str">
        <f>"1551598968034979"</f>
        <v>1551598968034979</v>
      </c>
      <c r="C5407" t="s">
        <v>40</v>
      </c>
      <c r="D5407">
        <v>5.9241890000000001</v>
      </c>
      <c r="E5407">
        <v>0.50722509999999998</v>
      </c>
      <c r="F5407" t="s">
        <v>41</v>
      </c>
      <c r="G5407">
        <v>-350.63240000000002</v>
      </c>
      <c r="H5407" s="1">
        <v>-4.6272399999999998E-6</v>
      </c>
      <c r="I5407">
        <v>142.80959999999999</v>
      </c>
      <c r="J5407">
        <v>-317.6327</v>
      </c>
      <c r="K5407">
        <v>1.1208959999999999</v>
      </c>
      <c r="L5407">
        <v>141.40100000000001</v>
      </c>
      <c r="M5407">
        <v>-0.99935010000000002</v>
      </c>
      <c r="N5407">
        <v>-1.413244E-2</v>
      </c>
      <c r="O5407">
        <v>3.3165170000000001E-2</v>
      </c>
      <c r="P5407">
        <v>-0.99272470000000002</v>
      </c>
      <c r="Q5407">
        <v>-0.1181733</v>
      </c>
      <c r="R5407">
        <v>2.309489E-2</v>
      </c>
      <c r="S5407">
        <v>-3.0069270000000001</v>
      </c>
      <c r="T5407">
        <v>-0.101198</v>
      </c>
      <c r="U5407">
        <v>0.12808230000000001</v>
      </c>
      <c r="V5407">
        <v>-9.8193810000000003E-3</v>
      </c>
      <c r="W5407">
        <v>-0.1041311</v>
      </c>
      <c r="X5407">
        <v>0.99451509999999999</v>
      </c>
      <c r="Y5407">
        <v>9.394052E-3</v>
      </c>
      <c r="Z5407">
        <v>-4.2201199999999998E-4</v>
      </c>
      <c r="AA5407">
        <v>0.99995579999999995</v>
      </c>
      <c r="AB5407">
        <v>30</v>
      </c>
      <c r="AC5407">
        <v>-32.999699999999997</v>
      </c>
      <c r="AD5407">
        <v>-1.1209006272399999</v>
      </c>
      <c r="AE5407">
        <v>1.4085999999999701</v>
      </c>
      <c r="AF5407">
        <v>0.31291476229389498</v>
      </c>
      <c r="AG5407">
        <v>-1.1209006272399999</v>
      </c>
      <c r="AH5407">
        <v>32.9902703263676</v>
      </c>
      <c r="AI5407">
        <v>91.945885648263896</v>
      </c>
      <c r="AJ5407">
        <v>89.456562270682596</v>
      </c>
      <c r="AK5407">
        <v>33.010790206709899</v>
      </c>
      <c r="AL5407">
        <v>95.977107862491195</v>
      </c>
      <c r="AM5407">
        <v>90.565693580213406</v>
      </c>
      <c r="AN5407">
        <v>0.999999995179221</v>
      </c>
    </row>
    <row r="5408" spans="1:40" x14ac:dyDescent="0.25">
      <c r="A5408" t="str">
        <f>"20190303154248063"</f>
        <v>20190303154248063</v>
      </c>
      <c r="B5408" t="str">
        <f>"1551598968055474"</f>
        <v>1551598968055474</v>
      </c>
      <c r="C5408" t="s">
        <v>40</v>
      </c>
      <c r="D5408">
        <v>5.8544</v>
      </c>
      <c r="E5408">
        <v>0.50732959999999905</v>
      </c>
      <c r="F5408" t="s">
        <v>41</v>
      </c>
      <c r="G5408">
        <v>-349.88780000000003</v>
      </c>
      <c r="H5408" s="1">
        <v>-8.5533279999999996E-7</v>
      </c>
      <c r="I5408">
        <v>142.71639999999999</v>
      </c>
      <c r="J5408">
        <v>-317.9443</v>
      </c>
      <c r="K5408">
        <v>1.120965</v>
      </c>
      <c r="L5408">
        <v>141.4111</v>
      </c>
      <c r="M5408">
        <v>-0.99935929999999995</v>
      </c>
      <c r="N5408">
        <v>-1.4148290000000001E-2</v>
      </c>
      <c r="O5408">
        <v>3.2880800000000002E-2</v>
      </c>
      <c r="P5408">
        <v>-0.99280139999999995</v>
      </c>
      <c r="Q5408">
        <v>-0.1176797</v>
      </c>
      <c r="R5408">
        <v>2.2302820000000001E-2</v>
      </c>
      <c r="S5408">
        <v>-3.006653</v>
      </c>
      <c r="T5408">
        <v>-0.1044846</v>
      </c>
      <c r="U5408">
        <v>0.1226196</v>
      </c>
      <c r="V5408">
        <v>-1.0315970000000001E-2</v>
      </c>
      <c r="W5408">
        <v>-0.103622699999999</v>
      </c>
      <c r="X5408">
        <v>0.99456319999999998</v>
      </c>
      <c r="Y5408">
        <v>7.8703619999999901E-3</v>
      </c>
      <c r="Z5408">
        <v>-4.8400579999999997E-4</v>
      </c>
      <c r="AA5408">
        <v>0.99996890000000005</v>
      </c>
      <c r="AB5408">
        <v>30</v>
      </c>
      <c r="AC5408">
        <v>-31.9435</v>
      </c>
      <c r="AD5408">
        <v>-1.1209658553327999</v>
      </c>
      <c r="AE5408">
        <v>1.3052999999999799</v>
      </c>
      <c r="AF5408">
        <v>0.25384917326134898</v>
      </c>
      <c r="AG5408">
        <v>-1.1209658553327999</v>
      </c>
      <c r="AH5408">
        <v>31.929892873867601</v>
      </c>
      <c r="AI5408">
        <v>92.010599236169995</v>
      </c>
      <c r="AJ5408">
        <v>89.544496441058598</v>
      </c>
      <c r="AK5408">
        <v>31.950572182485999</v>
      </c>
      <c r="AL5408">
        <v>95.947820092357404</v>
      </c>
      <c r="AM5408">
        <v>90.594271281424597</v>
      </c>
      <c r="AN5408">
        <v>1.00000002099328</v>
      </c>
    </row>
    <row r="5409" spans="1:40" x14ac:dyDescent="0.25">
      <c r="A5409" t="str">
        <f>"20190303154248085"</f>
        <v>20190303154248085</v>
      </c>
      <c r="B5409" t="str">
        <f>"1551598968075504"</f>
        <v>1551598968075504</v>
      </c>
      <c r="C5409" t="s">
        <v>40</v>
      </c>
      <c r="D5409">
        <v>5.7478980000000002</v>
      </c>
      <c r="E5409">
        <v>0.50764359999999997</v>
      </c>
      <c r="F5409" t="s">
        <v>41</v>
      </c>
      <c r="G5409">
        <v>-351.0258</v>
      </c>
      <c r="H5409" s="1">
        <v>-4.4811199999999999E-6</v>
      </c>
      <c r="I5409">
        <v>142.7406</v>
      </c>
      <c r="J5409">
        <v>-318.22919999999999</v>
      </c>
      <c r="K5409">
        <v>1.121014</v>
      </c>
      <c r="L5409">
        <v>141.42019999999999</v>
      </c>
      <c r="M5409">
        <v>-0.99936930000000002</v>
      </c>
      <c r="N5409">
        <v>-1.416049E-2</v>
      </c>
      <c r="O5409">
        <v>3.2568189999999997E-2</v>
      </c>
      <c r="P5409">
        <v>-0.99291059999999998</v>
      </c>
      <c r="Q5409">
        <v>-0.1169805</v>
      </c>
      <c r="R5409">
        <v>2.1081880000000001E-2</v>
      </c>
      <c r="S5409">
        <v>-3.006958</v>
      </c>
      <c r="T5409">
        <v>-0.101891</v>
      </c>
      <c r="U5409">
        <v>0.1208496</v>
      </c>
      <c r="V5409">
        <v>-1.121691E-2</v>
      </c>
      <c r="W5409">
        <v>-0.1029122</v>
      </c>
      <c r="X5409">
        <v>0.99462720000000004</v>
      </c>
      <c r="Y5409">
        <v>7.5912239999999997E-3</v>
      </c>
      <c r="Z5409">
        <v>-4.5908990000000002E-4</v>
      </c>
      <c r="AA5409">
        <v>0.9999711</v>
      </c>
      <c r="AB5409">
        <v>30</v>
      </c>
      <c r="AC5409">
        <v>-32.796599999999998</v>
      </c>
      <c r="AD5409">
        <v>-1.1210184811199999</v>
      </c>
      <c r="AE5409">
        <v>1.3204</v>
      </c>
      <c r="AF5409">
        <v>0.25117353082765198</v>
      </c>
      <c r="AG5409">
        <v>-1.1210184811199999</v>
      </c>
      <c r="AH5409">
        <v>32.783965065767298</v>
      </c>
      <c r="AI5409">
        <v>91.958357664304799</v>
      </c>
      <c r="AJ5409">
        <v>89.561038402645295</v>
      </c>
      <c r="AK5409">
        <v>32.804087184542297</v>
      </c>
      <c r="AL5409">
        <v>95.9068927312304</v>
      </c>
      <c r="AM5409">
        <v>90.646125863442407</v>
      </c>
      <c r="AN5409">
        <v>1.00000000347931</v>
      </c>
    </row>
    <row r="5410" spans="1:40" x14ac:dyDescent="0.25">
      <c r="A5410" t="str">
        <f>"20190303154248106"</f>
        <v>20190303154248106</v>
      </c>
      <c r="B5410" t="str">
        <f>"1551598968095998"</f>
        <v>1551598968095998</v>
      </c>
      <c r="C5410" t="s">
        <v>40</v>
      </c>
      <c r="D5410">
        <v>5.8703560000000001</v>
      </c>
      <c r="E5410">
        <v>0.5075402</v>
      </c>
      <c r="F5410" t="s">
        <v>41</v>
      </c>
      <c r="G5410">
        <v>-353.46170000000001</v>
      </c>
      <c r="H5410" s="1">
        <v>-3.6389999999999998E-6</v>
      </c>
      <c r="I5410">
        <v>142.8175</v>
      </c>
      <c r="J5410">
        <v>-318.52260000000001</v>
      </c>
      <c r="K5410">
        <v>1.1210629999999999</v>
      </c>
      <c r="L5410">
        <v>141.42930000000001</v>
      </c>
      <c r="M5410">
        <v>-0.99938110000000002</v>
      </c>
      <c r="N5410">
        <v>-1.417101E-2</v>
      </c>
      <c r="O5410">
        <v>3.219603E-2</v>
      </c>
      <c r="P5410">
        <v>-0.99307230000000002</v>
      </c>
      <c r="Q5410">
        <v>-0.1159398</v>
      </c>
      <c r="R5410">
        <v>1.911943E-2</v>
      </c>
      <c r="S5410">
        <v>-3.0075989999999999</v>
      </c>
      <c r="T5410">
        <v>-9.5694899999999999E-2</v>
      </c>
      <c r="U5410">
        <v>0.1192932</v>
      </c>
      <c r="V5410">
        <v>-1.2803790000000001E-2</v>
      </c>
      <c r="W5410">
        <v>-0.1018618</v>
      </c>
      <c r="X5410">
        <v>0.99471620000000005</v>
      </c>
      <c r="Y5410">
        <v>7.4378200000000004E-3</v>
      </c>
      <c r="Z5410">
        <v>-3.9629079999999999E-4</v>
      </c>
      <c r="AA5410">
        <v>0.99997230000000004</v>
      </c>
      <c r="AB5410">
        <v>30</v>
      </c>
      <c r="AC5410">
        <v>-34.939100000000003</v>
      </c>
      <c r="AD5410">
        <v>-1.1210666389999999</v>
      </c>
      <c r="AE5410">
        <v>1.3881999999999799</v>
      </c>
      <c r="AF5410">
        <v>0.26219737366504903</v>
      </c>
      <c r="AG5410">
        <v>-1.1210666389999999</v>
      </c>
      <c r="AH5410">
        <v>34.929777412118803</v>
      </c>
      <c r="AI5410">
        <v>91.838217784682598</v>
      </c>
      <c r="AJ5410">
        <v>89.569922230446295</v>
      </c>
      <c r="AK5410">
        <v>34.948746585993597</v>
      </c>
      <c r="AL5410">
        <v>95.846391065206802</v>
      </c>
      <c r="AM5410">
        <v>90.737459204484196</v>
      </c>
      <c r="AN5410">
        <v>1.00000004094002</v>
      </c>
    </row>
    <row r="5411" spans="1:40" x14ac:dyDescent="0.25">
      <c r="A5411" t="str">
        <f>"20190303154248130"</f>
        <v>20190303154248130</v>
      </c>
      <c r="B5411" t="str">
        <f>"1551598968125277"</f>
        <v>1551598968125277</v>
      </c>
      <c r="C5411" t="s">
        <v>40</v>
      </c>
      <c r="D5411">
        <v>5.755039</v>
      </c>
      <c r="E5411">
        <v>0.50766940000000005</v>
      </c>
      <c r="F5411" t="s">
        <v>41</v>
      </c>
      <c r="G5411">
        <v>-354.19060000000002</v>
      </c>
      <c r="H5411" s="1">
        <v>-3.311224E-6</v>
      </c>
      <c r="I5411">
        <v>142.76079999999999</v>
      </c>
      <c r="J5411">
        <v>-318.82600000000002</v>
      </c>
      <c r="K5411">
        <v>1.1211070000000001</v>
      </c>
      <c r="L5411">
        <v>141.43860000000001</v>
      </c>
      <c r="M5411">
        <v>-0.99939480000000003</v>
      </c>
      <c r="N5411">
        <v>-1.418006E-2</v>
      </c>
      <c r="O5411">
        <v>3.1768440000000002E-2</v>
      </c>
      <c r="P5411">
        <v>-0.99320520000000001</v>
      </c>
      <c r="Q5411">
        <v>-0.11501939999999999</v>
      </c>
      <c r="R5411">
        <v>1.7735669999999999E-2</v>
      </c>
      <c r="S5411">
        <v>-3.0077210000000001</v>
      </c>
      <c r="T5411">
        <v>-9.4534400000000005E-2</v>
      </c>
      <c r="U5411">
        <v>0.1122894</v>
      </c>
      <c r="V5411">
        <v>-1.3757520000000001E-2</v>
      </c>
      <c r="W5411">
        <v>-0.10093299999999999</v>
      </c>
      <c r="X5411">
        <v>0.99479810000000002</v>
      </c>
      <c r="Y5411">
        <v>5.5401340000000004E-3</v>
      </c>
      <c r="Z5411">
        <v>-4.2090330000000003E-4</v>
      </c>
      <c r="AA5411">
        <v>0.9999846</v>
      </c>
      <c r="AB5411">
        <v>30</v>
      </c>
      <c r="AC5411">
        <v>-35.364600000000003</v>
      </c>
      <c r="AD5411">
        <v>-1.121110311224</v>
      </c>
      <c r="AE5411">
        <v>1.3221999999999801</v>
      </c>
      <c r="AF5411">
        <v>0.19774305443208801</v>
      </c>
      <c r="AG5411">
        <v>-1.121110311224</v>
      </c>
      <c r="AH5411">
        <v>35.353274899731801</v>
      </c>
      <c r="AI5411">
        <v>91.8163060268908</v>
      </c>
      <c r="AJ5411">
        <v>89.679528294675507</v>
      </c>
      <c r="AK5411">
        <v>35.371599296349501</v>
      </c>
      <c r="AL5411">
        <v>95.792899286749304</v>
      </c>
      <c r="AM5411">
        <v>90.792319151489707</v>
      </c>
      <c r="AN5411">
        <v>0.99999999980457999</v>
      </c>
    </row>
    <row r="5412" spans="1:40" x14ac:dyDescent="0.25">
      <c r="A5412" t="str">
        <f>"20190303154248152"</f>
        <v>20190303154248152</v>
      </c>
      <c r="B5412" t="str">
        <f>"1551598968145773"</f>
        <v>1551598968145773</v>
      </c>
      <c r="C5412" t="s">
        <v>40</v>
      </c>
      <c r="D5412">
        <v>5.7861760000000002</v>
      </c>
      <c r="E5412">
        <v>0.50782550000000004</v>
      </c>
      <c r="F5412" t="s">
        <v>41</v>
      </c>
      <c r="G5412">
        <v>-355.76339999999999</v>
      </c>
      <c r="H5412" s="1">
        <v>-2.639189E-6</v>
      </c>
      <c r="I5412">
        <v>142.77099999999999</v>
      </c>
      <c r="J5412">
        <v>-319.12209999999999</v>
      </c>
      <c r="K5412">
        <v>1.1211409999999999</v>
      </c>
      <c r="L5412">
        <v>141.44759999999999</v>
      </c>
      <c r="M5412">
        <v>-0.99940870000000004</v>
      </c>
      <c r="N5412">
        <v>-1.4187180000000001E-2</v>
      </c>
      <c r="O5412">
        <v>3.1324459999999998E-2</v>
      </c>
      <c r="P5412">
        <v>-0.99322949999999999</v>
      </c>
      <c r="Q5412">
        <v>-0.1150776</v>
      </c>
      <c r="R5412">
        <v>1.5889750000000001E-2</v>
      </c>
      <c r="S5412">
        <v>-3.0079959999999999</v>
      </c>
      <c r="T5412">
        <v>-9.1297630000000005E-2</v>
      </c>
      <c r="U5412">
        <v>0.1085052</v>
      </c>
      <c r="V5412">
        <v>-1.515583E-2</v>
      </c>
      <c r="W5412">
        <v>-0.10098650000000001</v>
      </c>
      <c r="X5412">
        <v>0.9947724</v>
      </c>
      <c r="Y5412">
        <v>4.7247840000000001E-3</v>
      </c>
      <c r="Z5412">
        <v>-4.004217E-4</v>
      </c>
      <c r="AA5412">
        <v>0.99998869999999895</v>
      </c>
      <c r="AB5412">
        <v>30</v>
      </c>
      <c r="AC5412">
        <v>-36.641300000000001</v>
      </c>
      <c r="AD5412">
        <v>-1.121143639189</v>
      </c>
      <c r="AE5412">
        <v>1.3234000000000199</v>
      </c>
      <c r="AF5412">
        <v>0.17470276659540701</v>
      </c>
      <c r="AG5412">
        <v>-1.121143639189</v>
      </c>
      <c r="AH5412">
        <v>36.630524531996997</v>
      </c>
      <c r="AI5412">
        <v>91.753074039706206</v>
      </c>
      <c r="AJ5412">
        <v>89.726740050030003</v>
      </c>
      <c r="AK5412">
        <v>36.6480942424785</v>
      </c>
      <c r="AL5412">
        <v>95.795980061217904</v>
      </c>
      <c r="AM5412">
        <v>90.872860882709702</v>
      </c>
      <c r="AN5412">
        <v>1.00000005008349</v>
      </c>
    </row>
    <row r="5413" spans="1:40" x14ac:dyDescent="0.25">
      <c r="A5413" t="str">
        <f>"20190303154248175"</f>
        <v>20190303154248175</v>
      </c>
      <c r="B5413" t="str">
        <f>"1551598968165293"</f>
        <v>1551598968165293</v>
      </c>
      <c r="C5413" t="s">
        <v>40</v>
      </c>
      <c r="D5413">
        <v>5.7510269999999997</v>
      </c>
      <c r="E5413">
        <v>0.50805100000000003</v>
      </c>
      <c r="F5413" t="s">
        <v>41</v>
      </c>
      <c r="G5413">
        <v>-356.35809999999998</v>
      </c>
      <c r="H5413" s="1">
        <v>-2.3743610000000001E-6</v>
      </c>
      <c r="I5413">
        <v>142.73439999999999</v>
      </c>
      <c r="J5413">
        <v>-319.4282</v>
      </c>
      <c r="K5413">
        <v>1.121162</v>
      </c>
      <c r="L5413">
        <v>141.45670000000001</v>
      </c>
      <c r="M5413">
        <v>-0.99942330000000001</v>
      </c>
      <c r="N5413">
        <v>-1.4193249999999999E-2</v>
      </c>
      <c r="O5413">
        <v>3.0849629999999999E-2</v>
      </c>
      <c r="P5413">
        <v>-0.99314970000000002</v>
      </c>
      <c r="Q5413">
        <v>-0.115914</v>
      </c>
      <c r="R5413">
        <v>1.476124E-2</v>
      </c>
      <c r="S5413">
        <v>-3.0083310000000001</v>
      </c>
      <c r="T5413">
        <v>-9.0578320000000004E-2</v>
      </c>
      <c r="U5413">
        <v>0.10397339999999999</v>
      </c>
      <c r="V5413">
        <v>-1.5804329999999998E-2</v>
      </c>
      <c r="W5413">
        <v>-0.10181949999999999</v>
      </c>
      <c r="X5413">
        <v>0.99467740000000004</v>
      </c>
      <c r="Y5413">
        <v>3.6918530000000001E-3</v>
      </c>
      <c r="Z5413">
        <v>-4.0856109999999997E-4</v>
      </c>
      <c r="AA5413">
        <v>0.99999309999999997</v>
      </c>
      <c r="AB5413">
        <v>30</v>
      </c>
      <c r="AC5413">
        <v>-36.929899999999897</v>
      </c>
      <c r="AD5413">
        <v>-1.121164374361</v>
      </c>
      <c r="AE5413">
        <v>1.2776999999999801</v>
      </c>
      <c r="AF5413">
        <v>0.137576614030538</v>
      </c>
      <c r="AG5413">
        <v>-1.121164374361</v>
      </c>
      <c r="AH5413">
        <v>36.917753888255199</v>
      </c>
      <c r="AI5413">
        <v>91.739482948145096</v>
      </c>
      <c r="AJ5413">
        <v>89.786484224403594</v>
      </c>
      <c r="AK5413">
        <v>36.935030648868299</v>
      </c>
      <c r="AL5413">
        <v>95.8439546825158</v>
      </c>
      <c r="AM5413">
        <v>90.910290328087797</v>
      </c>
      <c r="AN5413">
        <v>1.00000005874887</v>
      </c>
    </row>
    <row r="5414" spans="1:40" x14ac:dyDescent="0.25">
      <c r="A5414" t="str">
        <f>"20190303154248197"</f>
        <v>20190303154248197</v>
      </c>
      <c r="B5414" t="str">
        <f>"1551598968185803"</f>
        <v>1551598968185803</v>
      </c>
      <c r="C5414" t="s">
        <v>40</v>
      </c>
      <c r="D5414">
        <v>5.7296620000000003</v>
      </c>
      <c r="E5414">
        <v>0.50823770000000001</v>
      </c>
      <c r="F5414" t="s">
        <v>41</v>
      </c>
      <c r="G5414">
        <v>-355.93599999999998</v>
      </c>
      <c r="H5414" s="1">
        <v>-2.5464159999999999E-6</v>
      </c>
      <c r="I5414">
        <v>142.70050000000001</v>
      </c>
      <c r="J5414">
        <v>-319.72230000000002</v>
      </c>
      <c r="K5414">
        <v>1.12117</v>
      </c>
      <c r="L5414">
        <v>141.46520000000001</v>
      </c>
      <c r="M5414">
        <v>-0.99943749999999998</v>
      </c>
      <c r="N5414">
        <v>-1.4197660000000001E-2</v>
      </c>
      <c r="O5414">
        <v>3.0385539999999999E-2</v>
      </c>
      <c r="P5414">
        <v>-0.993093</v>
      </c>
      <c r="Q5414">
        <v>-0.1165592</v>
      </c>
      <c r="R5414">
        <v>1.342107E-2</v>
      </c>
      <c r="S5414">
        <v>-3.0083920000000002</v>
      </c>
      <c r="T5414">
        <v>-9.2388629999999999E-2</v>
      </c>
      <c r="U5414">
        <v>0.1025085</v>
      </c>
      <c r="V5414">
        <v>-1.6677819999999999E-2</v>
      </c>
      <c r="W5414">
        <v>-0.1024627</v>
      </c>
      <c r="X5414">
        <v>0.99459699999999995</v>
      </c>
      <c r="Y5414">
        <v>3.6693339999999998E-3</v>
      </c>
      <c r="Z5414">
        <v>-4.1869949999999998E-4</v>
      </c>
      <c r="AA5414">
        <v>0.99999320000000003</v>
      </c>
      <c r="AB5414">
        <v>30</v>
      </c>
      <c r="AC5414">
        <v>-36.213699999999903</v>
      </c>
      <c r="AD5414">
        <v>-1.1211725464160001</v>
      </c>
      <c r="AE5414">
        <v>1.2352999999999901</v>
      </c>
      <c r="AF5414">
        <v>0.13411742904320501</v>
      </c>
      <c r="AG5414">
        <v>-1.1211725464160001</v>
      </c>
      <c r="AH5414">
        <v>36.199856303236999</v>
      </c>
      <c r="AI5414">
        <v>91.773970747811902</v>
      </c>
      <c r="AJ5414">
        <v>89.787724917477902</v>
      </c>
      <c r="AK5414">
        <v>36.217462800955801</v>
      </c>
      <c r="AL5414">
        <v>95.881001585144602</v>
      </c>
      <c r="AM5414">
        <v>90.960669648458804</v>
      </c>
      <c r="AN5414">
        <v>0.99999997349012004</v>
      </c>
    </row>
    <row r="5415" spans="1:40" x14ac:dyDescent="0.25">
      <c r="A5415" t="str">
        <f>"20190303154248217"</f>
        <v>20190303154248217</v>
      </c>
      <c r="B5415" t="str">
        <f>"1551598968215068"</f>
        <v>1551598968215068</v>
      </c>
      <c r="C5415" t="s">
        <v>40</v>
      </c>
      <c r="D5415">
        <v>5.7547540000000001</v>
      </c>
      <c r="E5415">
        <v>0.50851950000000001</v>
      </c>
      <c r="F5415" t="s">
        <v>41</v>
      </c>
      <c r="G5415">
        <v>-355.495</v>
      </c>
      <c r="H5415" s="1">
        <v>-2.7241279999999998E-6</v>
      </c>
      <c r="I5415">
        <v>142.6574</v>
      </c>
      <c r="J5415">
        <v>-320.00450000000001</v>
      </c>
      <c r="K5415">
        <v>1.12117</v>
      </c>
      <c r="L5415">
        <v>141.47329999999999</v>
      </c>
      <c r="M5415">
        <v>-0.99945090000000003</v>
      </c>
      <c r="N5415">
        <v>-1.4200910000000001E-2</v>
      </c>
      <c r="O5415">
        <v>2.9938349999999999E-2</v>
      </c>
      <c r="P5415">
        <v>-0.9930928</v>
      </c>
      <c r="Q5415">
        <v>-0.1165853</v>
      </c>
      <c r="R5415">
        <v>1.321378E-2</v>
      </c>
      <c r="S5415">
        <v>-3.0084529999999998</v>
      </c>
      <c r="T5415">
        <v>-9.4289899999999899E-2</v>
      </c>
      <c r="U5415">
        <v>0.10026549999999999</v>
      </c>
      <c r="V5415">
        <v>-1.6439229999999999E-2</v>
      </c>
      <c r="W5415">
        <v>-0.10248549999999999</v>
      </c>
      <c r="X5415">
        <v>0.9945986</v>
      </c>
      <c r="Y5415">
        <v>3.3717230000000001E-3</v>
      </c>
      <c r="Z5415">
        <v>-4.3573869999999999E-4</v>
      </c>
      <c r="AA5415">
        <v>0.99999420000000006</v>
      </c>
      <c r="AB5415">
        <v>30</v>
      </c>
      <c r="AC5415">
        <v>-35.490499999999997</v>
      </c>
      <c r="AD5415">
        <v>-1.1211727241280001</v>
      </c>
      <c r="AE5415">
        <v>1.1840999999999999</v>
      </c>
      <c r="AF5415">
        <v>0.120814554333926</v>
      </c>
      <c r="AG5415">
        <v>-1.1211727241280001</v>
      </c>
      <c r="AH5415">
        <v>35.474678076510799</v>
      </c>
      <c r="AI5415">
        <v>91.810212826329405</v>
      </c>
      <c r="AJ5415">
        <v>89.804871032511699</v>
      </c>
      <c r="AK5415">
        <v>35.492596538798701</v>
      </c>
      <c r="AL5415">
        <v>95.882314977740407</v>
      </c>
      <c r="AM5415">
        <v>90.946927472650003</v>
      </c>
      <c r="AN5415">
        <v>0.99999995055760005</v>
      </c>
    </row>
    <row r="5416" spans="1:40" x14ac:dyDescent="0.25">
      <c r="A5416" t="str">
        <f>"20190303154248242"</f>
        <v>20190303154248242</v>
      </c>
      <c r="B5416" t="str">
        <f>"1551598968235565"</f>
        <v>1551598968235565</v>
      </c>
      <c r="C5416" t="s">
        <v>40</v>
      </c>
      <c r="D5416">
        <v>5.838832</v>
      </c>
      <c r="E5416">
        <v>0.50843450000000001</v>
      </c>
      <c r="F5416" t="s">
        <v>41</v>
      </c>
      <c r="G5416">
        <v>-356.12299999999999</v>
      </c>
      <c r="H5416" s="1">
        <v>-2.4641100000000001E-6</v>
      </c>
      <c r="I5416">
        <v>142.6927</v>
      </c>
      <c r="J5416">
        <v>-320.31630000000001</v>
      </c>
      <c r="K5416">
        <v>1.121175</v>
      </c>
      <c r="L5416">
        <v>141.4821</v>
      </c>
      <c r="M5416">
        <v>-0.99946559999999995</v>
      </c>
      <c r="N5416">
        <v>-1.4203449999999999E-2</v>
      </c>
      <c r="O5416">
        <v>2.9445929999999999E-2</v>
      </c>
      <c r="P5416">
        <v>-0.99319679999999999</v>
      </c>
      <c r="Q5416">
        <v>-0.1156968</v>
      </c>
      <c r="R5416">
        <v>1.321481E-2</v>
      </c>
      <c r="S5416">
        <v>-3.0085449999999998</v>
      </c>
      <c r="T5416">
        <v>-9.338987E-2</v>
      </c>
      <c r="U5416">
        <v>0.1015778</v>
      </c>
      <c r="V5416">
        <v>-1.5952210000000001E-2</v>
      </c>
      <c r="W5416">
        <v>-0.10159260000000001</v>
      </c>
      <c r="X5416">
        <v>0.99469819999999998</v>
      </c>
      <c r="Y5416">
        <v>4.2982460000000004E-3</v>
      </c>
      <c r="Z5416">
        <v>-3.979527E-4</v>
      </c>
      <c r="AA5416">
        <v>0.99999070000000001</v>
      </c>
      <c r="AB5416">
        <v>30</v>
      </c>
      <c r="AC5416">
        <v>-35.806699999999999</v>
      </c>
      <c r="AD5416">
        <v>-1.1211774641100001</v>
      </c>
      <c r="AE5416">
        <v>1.2105999999999899</v>
      </c>
      <c r="AF5416">
        <v>0.15545490820011601</v>
      </c>
      <c r="AG5416">
        <v>-1.1211774641100001</v>
      </c>
      <c r="AH5416">
        <v>35.791769466143599</v>
      </c>
      <c r="AI5416">
        <v>91.794187134018102</v>
      </c>
      <c r="AJ5416">
        <v>89.751147979824196</v>
      </c>
      <c r="AK5416">
        <v>35.8096630346067</v>
      </c>
      <c r="AL5416">
        <v>95.830886737014097</v>
      </c>
      <c r="AM5416">
        <v>90.918787187276095</v>
      </c>
      <c r="AN5416">
        <v>1.00000001923094</v>
      </c>
    </row>
    <row r="5417" spans="1:40" x14ac:dyDescent="0.25">
      <c r="A5417" t="str">
        <f>"20190303154248264"</f>
        <v>20190303154248264</v>
      </c>
      <c r="B5417" t="str">
        <f>"1551598968255086"</f>
        <v>1551598968255086</v>
      </c>
      <c r="C5417" t="s">
        <v>40</v>
      </c>
      <c r="D5417">
        <v>5.7205409999999999</v>
      </c>
      <c r="E5417">
        <v>0.50849529999999998</v>
      </c>
      <c r="F5417" t="s">
        <v>41</v>
      </c>
      <c r="G5417">
        <v>-356.36279999999999</v>
      </c>
      <c r="H5417" s="1">
        <v>-2.361156E-6</v>
      </c>
      <c r="I5417">
        <v>142.69239999999999</v>
      </c>
      <c r="J5417">
        <v>-320.61799999999999</v>
      </c>
      <c r="K5417">
        <v>1.1211819999999999</v>
      </c>
      <c r="L5417">
        <v>141.4905</v>
      </c>
      <c r="M5417">
        <v>-0.99947940000000002</v>
      </c>
      <c r="N5417">
        <v>-1.4205280000000001E-2</v>
      </c>
      <c r="O5417">
        <v>2.8973209999999999E-2</v>
      </c>
      <c r="P5417">
        <v>-0.9932609</v>
      </c>
      <c r="Q5417">
        <v>-0.1151117</v>
      </c>
      <c r="R5417">
        <v>1.350209E-2</v>
      </c>
      <c r="S5417">
        <v>-3.0083310000000001</v>
      </c>
      <c r="T5417">
        <v>-9.3570230000000004E-2</v>
      </c>
      <c r="U5417">
        <v>0.1010132</v>
      </c>
      <c r="V5417">
        <v>-1.5197550000000001E-2</v>
      </c>
      <c r="W5417">
        <v>-0.101004</v>
      </c>
      <c r="X5417">
        <v>0.99476989999999998</v>
      </c>
      <c r="Y5417">
        <v>4.5859009999999999E-3</v>
      </c>
      <c r="Z5417">
        <v>-3.8510539999999998E-4</v>
      </c>
      <c r="AA5417">
        <v>0.99998940000000003</v>
      </c>
      <c r="AB5417">
        <v>30</v>
      </c>
      <c r="AC5417">
        <v>-35.744799999999998</v>
      </c>
      <c r="AD5417">
        <v>-1.121184361156</v>
      </c>
      <c r="AE5417">
        <v>1.20189999999999</v>
      </c>
      <c r="AF5417">
        <v>0.16548675252616801</v>
      </c>
      <c r="AG5417">
        <v>-1.121184361156</v>
      </c>
      <c r="AH5417">
        <v>35.729504576120803</v>
      </c>
      <c r="AI5417">
        <v>91.797320493988593</v>
      </c>
      <c r="AJ5417">
        <v>89.734627591474293</v>
      </c>
      <c r="AK5417">
        <v>35.747474561037201</v>
      </c>
      <c r="AL5417">
        <v>95.796988392656104</v>
      </c>
      <c r="AM5417">
        <v>90.875265464391902</v>
      </c>
      <c r="AN5417">
        <v>0.99999996374400502</v>
      </c>
    </row>
    <row r="5418" spans="1:40" x14ac:dyDescent="0.25">
      <c r="A5418" t="str">
        <f>"20190303154248287"</f>
        <v>20190303154248287</v>
      </c>
      <c r="B5418" t="str">
        <f>"1551598968275581"</f>
        <v>1551598968275581</v>
      </c>
      <c r="C5418" t="s">
        <v>40</v>
      </c>
      <c r="D5418">
        <v>5.7481479999999996</v>
      </c>
      <c r="E5418">
        <v>0.50816759999999905</v>
      </c>
      <c r="F5418" t="s">
        <v>41</v>
      </c>
      <c r="G5418">
        <v>-357.49869999999999</v>
      </c>
      <c r="H5418" s="1">
        <v>-1.8878379999999999E-6</v>
      </c>
      <c r="I5418">
        <v>142.745</v>
      </c>
      <c r="J5418">
        <v>-320.9101</v>
      </c>
      <c r="K5418">
        <v>1.1211880000000001</v>
      </c>
      <c r="L5418">
        <v>141.49850000000001</v>
      </c>
      <c r="M5418">
        <v>-0.9994923</v>
      </c>
      <c r="N5418">
        <v>-1.420629E-2</v>
      </c>
      <c r="O5418">
        <v>2.851886E-2</v>
      </c>
      <c r="P5418">
        <v>-0.99327330000000003</v>
      </c>
      <c r="Q5418">
        <v>-0.114997</v>
      </c>
      <c r="R5418">
        <v>1.35707E-2</v>
      </c>
      <c r="S5418">
        <v>-3.0083920000000002</v>
      </c>
      <c r="T5418">
        <v>-9.1455819999999993E-2</v>
      </c>
      <c r="U5418">
        <v>0.10234070000000001</v>
      </c>
      <c r="V5418">
        <v>-1.467831E-2</v>
      </c>
      <c r="W5418">
        <v>-0.1008875</v>
      </c>
      <c r="X5418">
        <v>0.99478949999999999</v>
      </c>
      <c r="Y5418">
        <v>5.479668E-3</v>
      </c>
      <c r="Z5418">
        <v>-3.3904739999999898E-4</v>
      </c>
      <c r="AA5418">
        <v>0.99998489999999995</v>
      </c>
      <c r="AB5418">
        <v>30</v>
      </c>
      <c r="AC5418">
        <v>-36.5885999999999</v>
      </c>
      <c r="AD5418">
        <v>-1.12118988783799</v>
      </c>
      <c r="AE5418">
        <v>1.2464999999999899</v>
      </c>
      <c r="AF5418">
        <v>0.20223274120342699</v>
      </c>
      <c r="AG5418">
        <v>-1.12118988783799</v>
      </c>
      <c r="AH5418">
        <v>36.574962928791699</v>
      </c>
      <c r="AI5418">
        <v>91.755801011336104</v>
      </c>
      <c r="AJ5418">
        <v>89.683199556705603</v>
      </c>
      <c r="AK5418">
        <v>36.592702525075801</v>
      </c>
      <c r="AL5418">
        <v>95.790279272517296</v>
      </c>
      <c r="AM5418">
        <v>90.8453488783436</v>
      </c>
      <c r="AN5418">
        <v>0.99999994487547605</v>
      </c>
    </row>
    <row r="5419" spans="1:40" x14ac:dyDescent="0.25">
      <c r="A5419" t="str">
        <f>"20190303154248309"</f>
        <v>20190303154248309</v>
      </c>
      <c r="B5419" t="str">
        <f>"1551598968305838"</f>
        <v>1551598968305838</v>
      </c>
      <c r="C5419" t="s">
        <v>40</v>
      </c>
      <c r="D5419">
        <v>5.7324320000000002</v>
      </c>
      <c r="E5419">
        <v>0.507552</v>
      </c>
      <c r="F5419" t="s">
        <v>41</v>
      </c>
      <c r="G5419">
        <v>-358.28379999999999</v>
      </c>
      <c r="H5419" s="1">
        <v>-1.5488140000000001E-6</v>
      </c>
      <c r="I5419">
        <v>142.73660000000001</v>
      </c>
      <c r="J5419">
        <v>-321.20650000000001</v>
      </c>
      <c r="K5419">
        <v>1.121189</v>
      </c>
      <c r="L5419">
        <v>141.50640000000001</v>
      </c>
      <c r="M5419">
        <v>-0.99950530000000004</v>
      </c>
      <c r="N5419">
        <v>-1.4206770000000001E-2</v>
      </c>
      <c r="O5419">
        <v>2.806024E-2</v>
      </c>
      <c r="P5419">
        <v>-0.99326420000000004</v>
      </c>
      <c r="Q5419">
        <v>-0.1150805</v>
      </c>
      <c r="R5419">
        <v>1.3522670000000001E-2</v>
      </c>
      <c r="S5419">
        <v>-3.0085139999999999</v>
      </c>
      <c r="T5419">
        <v>-9.0253949999999999E-2</v>
      </c>
      <c r="U5419">
        <v>9.9670410000000001E-2</v>
      </c>
      <c r="V5419">
        <v>-1.4270720000000001E-2</v>
      </c>
      <c r="W5419">
        <v>-0.1009702</v>
      </c>
      <c r="X5419">
        <v>0.99478710000000004</v>
      </c>
      <c r="Y5419">
        <v>5.0506939999999997E-3</v>
      </c>
      <c r="Z5419">
        <v>-3.309764E-4</v>
      </c>
      <c r="AA5419">
        <v>0.99998719999999996</v>
      </c>
      <c r="AB5419">
        <v>30</v>
      </c>
      <c r="AC5419">
        <v>-37.077299999999902</v>
      </c>
      <c r="AD5419">
        <v>-1.1211905488139999</v>
      </c>
      <c r="AE5419">
        <v>1.23019999999999</v>
      </c>
      <c r="AF5419">
        <v>0.18903990339535601</v>
      </c>
      <c r="AG5419">
        <v>-1.1211905488139999</v>
      </c>
      <c r="AH5419">
        <v>37.063366485111203</v>
      </c>
      <c r="AI5419">
        <v>91.732683058943095</v>
      </c>
      <c r="AJ5419">
        <v>89.707768189192905</v>
      </c>
      <c r="AK5419">
        <v>37.080802843809799</v>
      </c>
      <c r="AL5419">
        <v>95.795041606788402</v>
      </c>
      <c r="AM5419">
        <v>90.821880324345202</v>
      </c>
      <c r="AN5419">
        <v>1.00000000453188</v>
      </c>
    </row>
    <row r="5420" spans="1:40" x14ac:dyDescent="0.25">
      <c r="A5420" t="str">
        <f>"20190303154248332"</f>
        <v>20190303154248332</v>
      </c>
      <c r="B5420" t="str">
        <f>"1551598968325358"</f>
        <v>1551598968325358</v>
      </c>
      <c r="C5420" t="s">
        <v>40</v>
      </c>
      <c r="D5420">
        <v>5.7369949999999896</v>
      </c>
      <c r="E5420">
        <v>0.50718099999999999</v>
      </c>
      <c r="F5420" t="s">
        <v>41</v>
      </c>
      <c r="G5420">
        <v>-358.96080000000001</v>
      </c>
      <c r="H5420" s="1">
        <v>-1.246522E-6</v>
      </c>
      <c r="I5420">
        <v>142.69210000000001</v>
      </c>
      <c r="J5420">
        <v>-321.50150000000002</v>
      </c>
      <c r="K5420">
        <v>1.121183</v>
      </c>
      <c r="L5420">
        <v>141.51419999999999</v>
      </c>
      <c r="M5420">
        <v>-0.99951800000000002</v>
      </c>
      <c r="N5420">
        <v>-1.4206689999999999E-2</v>
      </c>
      <c r="O5420">
        <v>2.7605500000000002E-2</v>
      </c>
      <c r="P5420">
        <v>-0.9931565</v>
      </c>
      <c r="Q5420">
        <v>-0.1160147</v>
      </c>
      <c r="R5420">
        <v>1.3449300000000001E-2</v>
      </c>
      <c r="S5420">
        <v>-3.0086979999999999</v>
      </c>
      <c r="T5420">
        <v>-8.9349269999999995E-2</v>
      </c>
      <c r="U5420">
        <v>9.4497680000000001E-2</v>
      </c>
      <c r="V5420">
        <v>-1.388848E-2</v>
      </c>
      <c r="W5420">
        <v>-0.1019055</v>
      </c>
      <c r="X5420">
        <v>0.99469719999999995</v>
      </c>
      <c r="Y5420">
        <v>3.7868810000000002E-3</v>
      </c>
      <c r="Z5420">
        <v>-3.4399069999999999E-4</v>
      </c>
      <c r="AA5420">
        <v>0.99999280000000002</v>
      </c>
      <c r="AB5420">
        <v>30</v>
      </c>
      <c r="AC5420">
        <v>-37.459299999999899</v>
      </c>
      <c r="AD5420">
        <v>-1.1211842465219899</v>
      </c>
      <c r="AE5420">
        <v>1.1779000000000199</v>
      </c>
      <c r="AF5420">
        <v>0.143135893804131</v>
      </c>
      <c r="AG5420">
        <v>-1.1211842465219899</v>
      </c>
      <c r="AH5420">
        <v>37.444029962296398</v>
      </c>
      <c r="AI5420">
        <v>91.715078968374897</v>
      </c>
      <c r="AJ5420">
        <v>89.7809786320108</v>
      </c>
      <c r="AK5420">
        <v>37.461085432967501</v>
      </c>
      <c r="AL5420">
        <v>95.848907815909996</v>
      </c>
      <c r="AM5420">
        <v>90.799941512657298</v>
      </c>
      <c r="AN5420">
        <v>1.0000000702473899</v>
      </c>
    </row>
    <row r="5421" spans="1:40" x14ac:dyDescent="0.25">
      <c r="A5421" t="str">
        <f>"20190303154248353"</f>
        <v>20190303154248353</v>
      </c>
      <c r="B5421" t="str">
        <f>"1551598968345857"</f>
        <v>1551598968345857</v>
      </c>
      <c r="C5421" t="s">
        <v>40</v>
      </c>
      <c r="D5421">
        <v>5.7284480000000002</v>
      </c>
      <c r="E5421">
        <v>0.50684099999999999</v>
      </c>
      <c r="F5421" t="s">
        <v>41</v>
      </c>
      <c r="G5421">
        <v>-358.41120000000001</v>
      </c>
      <c r="H5421" s="1">
        <v>-1.467273E-6</v>
      </c>
      <c r="I5421">
        <v>142.63550000000001</v>
      </c>
      <c r="J5421">
        <v>-321.79250000000002</v>
      </c>
      <c r="K5421">
        <v>1.121178</v>
      </c>
      <c r="L5421">
        <v>141.52170000000001</v>
      </c>
      <c r="M5421">
        <v>-0.99953040000000004</v>
      </c>
      <c r="N5421">
        <v>-1.4200600000000001E-2</v>
      </c>
      <c r="O5421">
        <v>2.7156650000000001E-2</v>
      </c>
      <c r="P5421">
        <v>-0.99314849999999999</v>
      </c>
      <c r="Q5421">
        <v>-0.1161025</v>
      </c>
      <c r="R5421">
        <v>1.3285160000000001E-2</v>
      </c>
      <c r="S5421">
        <v>-3.008759</v>
      </c>
      <c r="T5421">
        <v>-9.1395379999999998E-2</v>
      </c>
      <c r="U5421">
        <v>9.1415410000000002E-2</v>
      </c>
      <c r="V5421">
        <v>-1.3606139999999999E-2</v>
      </c>
      <c r="W5421">
        <v>-0.1019991</v>
      </c>
      <c r="X5421">
        <v>0.9946914</v>
      </c>
      <c r="Y5421">
        <v>3.2123949999999998E-3</v>
      </c>
      <c r="Z5421">
        <v>-3.6719070000000001E-4</v>
      </c>
      <c r="AA5421">
        <v>0.99999479999999996</v>
      </c>
      <c r="AB5421">
        <v>30</v>
      </c>
      <c r="AC5421">
        <v>-36.618699999999897</v>
      </c>
      <c r="AD5421">
        <v>-1.121179467273</v>
      </c>
      <c r="AE5421">
        <v>1.1137999999999899</v>
      </c>
      <c r="AF5421">
        <v>0.118736508713968</v>
      </c>
      <c r="AG5421">
        <v>-1.121179467273</v>
      </c>
      <c r="AH5421">
        <v>36.601162311036397</v>
      </c>
      <c r="AI5421">
        <v>91.754546261821901</v>
      </c>
      <c r="AJ5421">
        <v>89.814129483085694</v>
      </c>
      <c r="AK5421">
        <v>36.618522966869797</v>
      </c>
      <c r="AL5421">
        <v>95.854299425239702</v>
      </c>
      <c r="AM5421">
        <v>90.783686057100894</v>
      </c>
      <c r="AN5421">
        <v>0.99999996234023403</v>
      </c>
    </row>
    <row r="5422" spans="1:40" x14ac:dyDescent="0.25">
      <c r="A5422" t="str">
        <f>"20190303154248376"</f>
        <v>20190303154248376</v>
      </c>
      <c r="B5422" t="str">
        <f>"1551598968365376"</f>
        <v>1551598968365376</v>
      </c>
      <c r="C5422" t="s">
        <v>40</v>
      </c>
      <c r="D5422">
        <v>5.7322119999999996</v>
      </c>
      <c r="E5422">
        <v>0.50651820000000003</v>
      </c>
      <c r="F5422" t="s">
        <v>41</v>
      </c>
      <c r="G5422">
        <v>-358.83850000000001</v>
      </c>
      <c r="H5422" s="1">
        <v>-1.276487E-6</v>
      </c>
      <c r="I5422">
        <v>142.60749999999999</v>
      </c>
      <c r="J5422">
        <v>-322.08609999999999</v>
      </c>
      <c r="K5422">
        <v>1.121175</v>
      </c>
      <c r="L5422">
        <v>141.5292</v>
      </c>
      <c r="M5422">
        <v>-0.99954339999999997</v>
      </c>
      <c r="N5422">
        <v>-1.41443E-2</v>
      </c>
      <c r="O5422">
        <v>2.6701119999999998E-2</v>
      </c>
      <c r="P5422">
        <v>-0.99323050000000002</v>
      </c>
      <c r="Q5422">
        <v>-0.11548219999999999</v>
      </c>
      <c r="R5422">
        <v>1.2533509999999999E-2</v>
      </c>
      <c r="S5422">
        <v>-3.0088810000000001</v>
      </c>
      <c r="T5422">
        <v>-9.106243E-2</v>
      </c>
      <c r="U5422">
        <v>8.8195800000000005E-2</v>
      </c>
      <c r="V5422">
        <v>-1.3907650000000001E-2</v>
      </c>
      <c r="W5422">
        <v>-0.1014342</v>
      </c>
      <c r="X5422">
        <v>0.99474499999999999</v>
      </c>
      <c r="Y5422">
        <v>2.5981839999999999E-3</v>
      </c>
      <c r="Z5422">
        <v>-3.7227240000000002E-4</v>
      </c>
      <c r="AA5422">
        <v>0.99999649999999995</v>
      </c>
      <c r="AB5422">
        <v>30</v>
      </c>
      <c r="AC5422">
        <v>-36.752400000000002</v>
      </c>
      <c r="AD5422">
        <v>-1.1211762764869999</v>
      </c>
      <c r="AE5422">
        <v>1.0782999999999801</v>
      </c>
      <c r="AF5422">
        <v>9.6397423691087697E-2</v>
      </c>
      <c r="AG5422">
        <v>-1.1211762764869999</v>
      </c>
      <c r="AH5422">
        <v>36.733932185947403</v>
      </c>
      <c r="AI5422">
        <v>91.748206837187993</v>
      </c>
      <c r="AJ5422">
        <v>89.849644387995895</v>
      </c>
      <c r="AK5422">
        <v>36.751164642063102</v>
      </c>
      <c r="AL5422">
        <v>95.821764262134394</v>
      </c>
      <c r="AM5422">
        <v>90.801007025423502</v>
      </c>
      <c r="AN5422">
        <v>0.99999996734158003</v>
      </c>
    </row>
    <row r="5423" spans="1:40" x14ac:dyDescent="0.25">
      <c r="A5423" t="str">
        <f>"20190303154248397"</f>
        <v>20190303154248397</v>
      </c>
      <c r="B5423" t="str">
        <f>"1551598968385870"</f>
        <v>1551598968385870</v>
      </c>
      <c r="C5423" t="s">
        <v>40</v>
      </c>
      <c r="D5423">
        <v>5.6851529999999997</v>
      </c>
      <c r="E5423">
        <v>0.50620750000000003</v>
      </c>
      <c r="F5423" t="s">
        <v>41</v>
      </c>
      <c r="G5423">
        <v>-360.0462</v>
      </c>
      <c r="H5423" s="1">
        <v>-4.7856049999999999E-6</v>
      </c>
      <c r="I5423">
        <v>142.57769999999999</v>
      </c>
      <c r="J5423">
        <v>-322.37139999999999</v>
      </c>
      <c r="K5423">
        <v>1.121156</v>
      </c>
      <c r="L5423">
        <v>141.53630000000001</v>
      </c>
      <c r="M5423">
        <v>-0.99955709999999998</v>
      </c>
      <c r="N5423">
        <v>-1.4008430000000001E-2</v>
      </c>
      <c r="O5423">
        <v>2.625535E-2</v>
      </c>
      <c r="P5423">
        <v>-0.99341049999999997</v>
      </c>
      <c r="Q5423">
        <v>-0.11401749999999999</v>
      </c>
      <c r="R5423">
        <v>1.16475E-2</v>
      </c>
      <c r="S5423">
        <v>-3.009064</v>
      </c>
      <c r="T5423">
        <v>-8.8875170000000003E-2</v>
      </c>
      <c r="U5423">
        <v>8.311462E-2</v>
      </c>
      <c r="V5423">
        <v>-1.435499E-2</v>
      </c>
      <c r="W5423">
        <v>-0.1001032</v>
      </c>
      <c r="X5423">
        <v>0.99487349999999997</v>
      </c>
      <c r="Y5423">
        <v>1.3557420000000001E-3</v>
      </c>
      <c r="Z5423">
        <v>-3.7773789999999999E-4</v>
      </c>
      <c r="AA5423">
        <v>0.99999899999999997</v>
      </c>
      <c r="AB5423">
        <v>29</v>
      </c>
      <c r="AC5423">
        <v>-37.674799999999998</v>
      </c>
      <c r="AD5423">
        <v>-1.1211607856049901</v>
      </c>
      <c r="AE5423">
        <v>1.0413999999999799</v>
      </c>
      <c r="AF5423">
        <v>5.1733005694067302E-2</v>
      </c>
      <c r="AG5423">
        <v>-1.1211607856049901</v>
      </c>
      <c r="AH5423">
        <v>37.655832519970602</v>
      </c>
      <c r="AI5423">
        <v>91.705413065013602</v>
      </c>
      <c r="AJ5423">
        <v>89.921284942474898</v>
      </c>
      <c r="AK5423">
        <v>37.672555004712997</v>
      </c>
      <c r="AL5423">
        <v>95.745113228440104</v>
      </c>
      <c r="AM5423">
        <v>90.826661148726103</v>
      </c>
      <c r="AN5423">
        <v>0.99999999869519496</v>
      </c>
    </row>
    <row r="5424" spans="1:40" x14ac:dyDescent="0.25">
      <c r="A5424" t="str">
        <f>"20190303154248419"</f>
        <v>20190303154248419</v>
      </c>
      <c r="B5424" t="str">
        <f>"1551598968415150"</f>
        <v>1551598968415150</v>
      </c>
      <c r="C5424" t="s">
        <v>40</v>
      </c>
      <c r="D5424">
        <v>5.7132649999999998</v>
      </c>
      <c r="E5424">
        <v>0.50577910000000004</v>
      </c>
      <c r="F5424" t="s">
        <v>41</v>
      </c>
      <c r="G5424">
        <v>-362.52339999999998</v>
      </c>
      <c r="H5424" s="1">
        <v>-3.9420319999999997E-6</v>
      </c>
      <c r="I5424">
        <v>142.5746</v>
      </c>
      <c r="J5424">
        <v>-322.6551</v>
      </c>
      <c r="K5424">
        <v>1.1211310000000001</v>
      </c>
      <c r="L5424">
        <v>141.54329999999999</v>
      </c>
      <c r="M5424">
        <v>-0.99957110000000005</v>
      </c>
      <c r="N5424">
        <v>-1.3828790000000001E-2</v>
      </c>
      <c r="O5424">
        <v>2.581526E-2</v>
      </c>
      <c r="P5424">
        <v>-0.99353809999999998</v>
      </c>
      <c r="Q5424">
        <v>-0.1129918</v>
      </c>
      <c r="R5424">
        <v>1.0732739999999999E-2</v>
      </c>
      <c r="S5424">
        <v>-3.009369</v>
      </c>
      <c r="T5424">
        <v>-8.4030389999999996E-2</v>
      </c>
      <c r="U5424">
        <v>7.7819819999999998E-2</v>
      </c>
      <c r="V5424">
        <v>-1.483539E-2</v>
      </c>
      <c r="W5424">
        <v>-9.9255289999999996E-2</v>
      </c>
      <c r="X5424">
        <v>0.99495140000000004</v>
      </c>
      <c r="Y5424" s="1">
        <v>3.5364500000000003E-5</v>
      </c>
      <c r="Z5424">
        <v>-3.6274279999999999E-4</v>
      </c>
      <c r="AA5424">
        <v>0.99999990000000005</v>
      </c>
      <c r="AB5424">
        <v>29</v>
      </c>
      <c r="AC5424">
        <v>-39.868299999999898</v>
      </c>
      <c r="AD5424">
        <v>-1.12113494203199</v>
      </c>
      <c r="AE5424">
        <v>1.0313000000000101</v>
      </c>
      <c r="AF5424">
        <v>1.6460018831620999E-3</v>
      </c>
      <c r="AG5424">
        <v>-1.12113494203199</v>
      </c>
      <c r="AH5424">
        <v>39.850144435784799</v>
      </c>
      <c r="AI5424">
        <v>91.611521400161095</v>
      </c>
      <c r="AJ5424">
        <v>89.997633409809197</v>
      </c>
      <c r="AK5424">
        <v>39.865912228625596</v>
      </c>
      <c r="AL5424">
        <v>95.696288418162993</v>
      </c>
      <c r="AM5424">
        <v>90.854255041507898</v>
      </c>
      <c r="AN5424">
        <v>0.99999999487569802</v>
      </c>
    </row>
    <row r="5425" spans="1:40" x14ac:dyDescent="0.25">
      <c r="A5425" t="str">
        <f>"20190303154248443"</f>
        <v>20190303154248443</v>
      </c>
      <c r="B5425" t="str">
        <f>"1551598968435645"</f>
        <v>1551598968435645</v>
      </c>
      <c r="C5425" t="s">
        <v>40</v>
      </c>
      <c r="D5425">
        <v>5.7074350000000003</v>
      </c>
      <c r="E5425">
        <v>0.50554319999999997</v>
      </c>
      <c r="F5425" t="s">
        <v>41</v>
      </c>
      <c r="G5425">
        <v>-364.584</v>
      </c>
      <c r="H5425" s="1">
        <v>-3.0850749999999999E-6</v>
      </c>
      <c r="I5425">
        <v>142.54509999999999</v>
      </c>
      <c r="J5425">
        <v>-322.96980000000002</v>
      </c>
      <c r="K5425">
        <v>1.1210929999999999</v>
      </c>
      <c r="L5425">
        <v>141.55080000000001</v>
      </c>
      <c r="M5425">
        <v>-0.99958659999999999</v>
      </c>
      <c r="N5425">
        <v>-1.362323E-2</v>
      </c>
      <c r="O5425">
        <v>2.532131E-2</v>
      </c>
      <c r="P5425">
        <v>-0.99356500000000003</v>
      </c>
      <c r="Q5425">
        <v>-0.11279699999999999</v>
      </c>
      <c r="R5425">
        <v>1.0293790000000001E-2</v>
      </c>
      <c r="S5425">
        <v>-3.0095830000000001</v>
      </c>
      <c r="T5425">
        <v>-8.0473299999999998E-2</v>
      </c>
      <c r="U5425">
        <v>7.191467E-2</v>
      </c>
      <c r="V5425">
        <v>-1.478462E-2</v>
      </c>
      <c r="W5425">
        <v>-9.9264549999999993E-2</v>
      </c>
      <c r="X5425">
        <v>0.99495120000000004</v>
      </c>
      <c r="Y5425">
        <v>-1.4327350000000001E-3</v>
      </c>
      <c r="Z5425">
        <v>-3.607083E-4</v>
      </c>
      <c r="AA5425">
        <v>0.99999890000000002</v>
      </c>
      <c r="AB5425">
        <v>29</v>
      </c>
      <c r="AC5425">
        <v>-41.614199999999897</v>
      </c>
      <c r="AD5425">
        <v>-1.121096085075</v>
      </c>
      <c r="AE5425">
        <v>0.99429999999998098</v>
      </c>
      <c r="AF5425">
        <v>-5.9799275586217802E-2</v>
      </c>
      <c r="AG5425">
        <v>-1.121096085075</v>
      </c>
      <c r="AH5425">
        <v>41.595861785723599</v>
      </c>
      <c r="AI5425">
        <v>91.543866582832095</v>
      </c>
      <c r="AJ5425">
        <v>90.082369822418002</v>
      </c>
      <c r="AK5425">
        <v>41.611009962296599</v>
      </c>
      <c r="AL5425">
        <v>95.696821791689104</v>
      </c>
      <c r="AM5425">
        <v>90.851332193109002</v>
      </c>
      <c r="AN5425">
        <v>0.99999996312834205</v>
      </c>
    </row>
    <row r="5426" spans="1:40" x14ac:dyDescent="0.25">
      <c r="A5426" t="str">
        <f>"20190303154248465"</f>
        <v>20190303154248465</v>
      </c>
      <c r="B5426" t="str">
        <f>"1551598968455165"</f>
        <v>1551598968455165</v>
      </c>
      <c r="C5426" t="s">
        <v>40</v>
      </c>
      <c r="D5426">
        <v>5.7014199999999997</v>
      </c>
      <c r="E5426">
        <v>0.50534619999999997</v>
      </c>
      <c r="F5426" t="s">
        <v>41</v>
      </c>
      <c r="G5426">
        <v>-365.28050000000002</v>
      </c>
      <c r="H5426" s="1">
        <v>-2.777597E-6</v>
      </c>
      <c r="I5426">
        <v>142.51259999999999</v>
      </c>
      <c r="J5426">
        <v>-323.26440000000002</v>
      </c>
      <c r="K5426">
        <v>1.1210639999999901</v>
      </c>
      <c r="L5426">
        <v>141.55779999999999</v>
      </c>
      <c r="M5426">
        <v>-0.99960079999999996</v>
      </c>
      <c r="N5426">
        <v>-1.343957E-2</v>
      </c>
      <c r="O5426">
        <v>2.4853009999999998E-2</v>
      </c>
      <c r="P5426">
        <v>-0.99364410000000003</v>
      </c>
      <c r="Q5426">
        <v>-0.11216810000000001</v>
      </c>
      <c r="R5426">
        <v>9.4760550000000006E-3</v>
      </c>
      <c r="S5426">
        <v>-3.009674</v>
      </c>
      <c r="T5426">
        <v>-7.9746479999999995E-2</v>
      </c>
      <c r="U5426">
        <v>6.8420410000000001E-2</v>
      </c>
      <c r="V5426">
        <v>-1.5139690000000001E-2</v>
      </c>
      <c r="W5426">
        <v>-9.8817699999999994E-2</v>
      </c>
      <c r="X5426">
        <v>0.99499029999999999</v>
      </c>
      <c r="Y5426">
        <v>-2.1249960000000001E-3</v>
      </c>
      <c r="Z5426">
        <v>-3.666489E-4</v>
      </c>
      <c r="AA5426">
        <v>0.99999769999999999</v>
      </c>
      <c r="AB5426">
        <v>29</v>
      </c>
      <c r="AC5426">
        <v>-42.016100000000002</v>
      </c>
      <c r="AD5426">
        <v>-1.12106677759699</v>
      </c>
      <c r="AE5426">
        <v>0.95480000000000598</v>
      </c>
      <c r="AF5426">
        <v>-8.9751955666234506E-2</v>
      </c>
      <c r="AG5426">
        <v>-1.12106677759699</v>
      </c>
      <c r="AH5426">
        <v>41.996968291455303</v>
      </c>
      <c r="AI5426">
        <v>91.529086521888203</v>
      </c>
      <c r="AJ5426">
        <v>90.122446944222602</v>
      </c>
      <c r="AK5426">
        <v>42.012024371682898</v>
      </c>
      <c r="AL5426">
        <v>95.671092900884304</v>
      </c>
      <c r="AM5426">
        <v>90.871740563677903</v>
      </c>
      <c r="AN5426">
        <v>0.99999992257033499</v>
      </c>
    </row>
    <row r="5427" spans="1:40" x14ac:dyDescent="0.25">
      <c r="A5427" t="str">
        <f>"20190303154248488"</f>
        <v>20190303154248488</v>
      </c>
      <c r="B5427" t="str">
        <f>"1551598968485421"</f>
        <v>1551598968485421</v>
      </c>
      <c r="C5427" t="s">
        <v>40</v>
      </c>
      <c r="D5427">
        <v>5.7141739999999999</v>
      </c>
      <c r="E5427">
        <v>0.50509579999999998</v>
      </c>
      <c r="F5427" t="s">
        <v>41</v>
      </c>
      <c r="G5427">
        <v>-366.69650000000001</v>
      </c>
      <c r="H5427" s="1">
        <v>-2.163358E-6</v>
      </c>
      <c r="I5427">
        <v>142.4871</v>
      </c>
      <c r="J5427">
        <v>-323.56319999999999</v>
      </c>
      <c r="K5427">
        <v>1.121046</v>
      </c>
      <c r="L5427">
        <v>141.56469999999999</v>
      </c>
      <c r="M5427">
        <v>-0.99961480000000003</v>
      </c>
      <c r="N5427">
        <v>-1.326364E-2</v>
      </c>
      <c r="O5427">
        <v>2.438019E-2</v>
      </c>
      <c r="P5427">
        <v>-0.99374390000000001</v>
      </c>
      <c r="Q5427">
        <v>-0.1113307</v>
      </c>
      <c r="R5427">
        <v>8.8839629999999999E-3</v>
      </c>
      <c r="S5427">
        <v>-3.009827</v>
      </c>
      <c r="T5427">
        <v>-7.7689530000000007E-2</v>
      </c>
      <c r="U5427">
        <v>6.4407350000000002E-2</v>
      </c>
      <c r="V5427">
        <v>-1.5265000000000001E-2</v>
      </c>
      <c r="W5427">
        <v>-9.8154320000000003E-2</v>
      </c>
      <c r="X5427">
        <v>0.99505410000000005</v>
      </c>
      <c r="Y5427">
        <v>-2.9855699999999999E-3</v>
      </c>
      <c r="Z5427">
        <v>-3.6399860000000002E-4</v>
      </c>
      <c r="AA5427">
        <v>0.99999550000000004</v>
      </c>
      <c r="AB5427">
        <v>29</v>
      </c>
      <c r="AC5427">
        <v>-43.133299999999998</v>
      </c>
      <c r="AD5427">
        <v>-1.1210481633580001</v>
      </c>
      <c r="AE5427">
        <v>0.92240000000000999</v>
      </c>
      <c r="AF5427">
        <v>-0.12947732928658601</v>
      </c>
      <c r="AG5427">
        <v>-1.1210481633580001</v>
      </c>
      <c r="AH5427">
        <v>43.113857072142899</v>
      </c>
      <c r="AI5427">
        <v>91.489464720684396</v>
      </c>
      <c r="AJ5427">
        <v>90.172067235742702</v>
      </c>
      <c r="AK5427">
        <v>43.128623731815701</v>
      </c>
      <c r="AL5427">
        <v>95.6328980337654</v>
      </c>
      <c r="AM5427">
        <v>90.878898415891697</v>
      </c>
      <c r="AN5427">
        <v>0.99999997634323601</v>
      </c>
    </row>
    <row r="5428" spans="1:40" x14ac:dyDescent="0.25">
      <c r="A5428" t="str">
        <f>"20190303154248508"</f>
        <v>20190303154248508</v>
      </c>
      <c r="B5428" t="str">
        <f>"1551598968504941"</f>
        <v>1551598968504941</v>
      </c>
      <c r="C5428" t="s">
        <v>40</v>
      </c>
      <c r="D5428">
        <v>5.6735309999999997</v>
      </c>
      <c r="E5428">
        <v>0.50493520000000003</v>
      </c>
      <c r="F5428" t="s">
        <v>41</v>
      </c>
      <c r="G5428">
        <v>-368.39049999999997</v>
      </c>
      <c r="H5428" s="1">
        <v>-1.431509E-6</v>
      </c>
      <c r="I5428">
        <v>142.46770000000001</v>
      </c>
      <c r="J5428">
        <v>-323.83589999999998</v>
      </c>
      <c r="K5428">
        <v>1.121032</v>
      </c>
      <c r="L5428">
        <v>141.57089999999999</v>
      </c>
      <c r="M5428">
        <v>-0.99962700000000004</v>
      </c>
      <c r="N5428">
        <v>-1.3110460000000001E-2</v>
      </c>
      <c r="O5428">
        <v>2.3958819999999999E-2</v>
      </c>
      <c r="P5428">
        <v>-0.99381569999999997</v>
      </c>
      <c r="Q5428">
        <v>-0.11068989999999999</v>
      </c>
      <c r="R5428">
        <v>8.8398069999999999E-3</v>
      </c>
      <c r="S5428">
        <v>-3.0099179999999999</v>
      </c>
      <c r="T5428">
        <v>-7.5272679999999995E-2</v>
      </c>
      <c r="U5428">
        <v>6.063843E-2</v>
      </c>
      <c r="V5428">
        <v>-1.489326E-2</v>
      </c>
      <c r="W5428">
        <v>-9.7664559999999997E-2</v>
      </c>
      <c r="X5428">
        <v>0.99510790000000005</v>
      </c>
      <c r="Y5428">
        <v>-3.8161710000000001E-3</v>
      </c>
      <c r="Z5428">
        <v>-3.5755390000000002E-4</v>
      </c>
      <c r="AA5428">
        <v>0.99999269999999996</v>
      </c>
      <c r="AB5428">
        <v>29</v>
      </c>
      <c r="AC5428">
        <v>-44.554599999999901</v>
      </c>
      <c r="AD5428">
        <v>-1.121033431509</v>
      </c>
      <c r="AE5428">
        <v>0.89680000000001303</v>
      </c>
      <c r="AF5428">
        <v>-0.17091668422006701</v>
      </c>
      <c r="AG5428">
        <v>-1.121033431509</v>
      </c>
      <c r="AH5428">
        <v>44.535113907669</v>
      </c>
      <c r="AI5428">
        <v>91.4419285171833</v>
      </c>
      <c r="AJ5428">
        <v>90.219888436718705</v>
      </c>
      <c r="AK5428">
        <v>44.549548810695597</v>
      </c>
      <c r="AL5428">
        <v>95.604701501450293</v>
      </c>
      <c r="AM5428">
        <v>90.857451977234604</v>
      </c>
      <c r="AN5428">
        <v>0.99999995405791398</v>
      </c>
    </row>
    <row r="5429" spans="1:40" x14ac:dyDescent="0.25">
      <c r="A5429" t="str">
        <f>"20190303154248532"</f>
        <v>20190303154248532</v>
      </c>
      <c r="B5429" t="str">
        <f>"1551598968525441"</f>
        <v>1551598968525441</v>
      </c>
      <c r="C5429" t="s">
        <v>40</v>
      </c>
      <c r="D5429">
        <v>5.6723980000000003</v>
      </c>
      <c r="E5429">
        <v>0.50479819999999997</v>
      </c>
      <c r="F5429" t="s">
        <v>41</v>
      </c>
      <c r="G5429">
        <v>-369.71230000000003</v>
      </c>
      <c r="H5429" s="1">
        <v>-8.657849E-7</v>
      </c>
      <c r="I5429">
        <v>142.4727</v>
      </c>
      <c r="J5429">
        <v>-324.13799999999998</v>
      </c>
      <c r="K5429">
        <v>1.1209990000000001</v>
      </c>
      <c r="L5429">
        <v>141.57759999999999</v>
      </c>
      <c r="M5429">
        <v>-0.99963990000000003</v>
      </c>
      <c r="N5429">
        <v>-1.294243E-2</v>
      </c>
      <c r="O5429">
        <v>2.3509120000000001E-2</v>
      </c>
      <c r="P5429">
        <v>-0.99379810000000002</v>
      </c>
      <c r="Q5429">
        <v>-0.1108456</v>
      </c>
      <c r="R5429">
        <v>8.8770540000000005E-3</v>
      </c>
      <c r="S5429">
        <v>-3.0099490000000002</v>
      </c>
      <c r="T5429">
        <v>-7.3551060000000001E-2</v>
      </c>
      <c r="U5429">
        <v>5.9173580000000003E-2</v>
      </c>
      <c r="V5429">
        <v>-1.441023E-2</v>
      </c>
      <c r="W5429">
        <v>-9.7986870000000004E-2</v>
      </c>
      <c r="X5429">
        <v>0.99508339999999995</v>
      </c>
      <c r="Y5429">
        <v>-3.853141E-3</v>
      </c>
      <c r="Z5429">
        <v>-3.4199859999999998E-4</v>
      </c>
      <c r="AA5429">
        <v>0.99999249999999995</v>
      </c>
      <c r="AB5429">
        <v>30</v>
      </c>
      <c r="AC5429">
        <v>-45.574300000000001</v>
      </c>
      <c r="AD5429">
        <v>-1.1209998657848901</v>
      </c>
      <c r="AE5429">
        <v>0.895100000000013</v>
      </c>
      <c r="AF5429">
        <v>-0.17654202789796899</v>
      </c>
      <c r="AG5429">
        <v>-1.1209998657848901</v>
      </c>
      <c r="AH5429">
        <v>45.555195688121302</v>
      </c>
      <c r="AI5429">
        <v>91.409611324953204</v>
      </c>
      <c r="AJ5429">
        <v>90.222039710633993</v>
      </c>
      <c r="AK5429">
        <v>45.569328083369001</v>
      </c>
      <c r="AL5429">
        <v>95.6232570952656</v>
      </c>
      <c r="AM5429">
        <v>90.829666791965707</v>
      </c>
      <c r="AN5429">
        <v>1.0000000271883001</v>
      </c>
    </row>
    <row r="5430" spans="1:40" x14ac:dyDescent="0.25">
      <c r="A5430" t="str">
        <f>"20190303154248554"</f>
        <v>20190303154248554</v>
      </c>
      <c r="B5430" t="str">
        <f>"1551598968545933"</f>
        <v>1551598968545933</v>
      </c>
      <c r="C5430" t="s">
        <v>40</v>
      </c>
      <c r="D5430">
        <v>5.6677030000000004</v>
      </c>
      <c r="E5430">
        <v>0.50466390000000005</v>
      </c>
      <c r="F5430" t="s">
        <v>41</v>
      </c>
      <c r="G5430">
        <v>-369.49689999999998</v>
      </c>
      <c r="H5430" s="1">
        <v>-9.5416579999999993E-7</v>
      </c>
      <c r="I5430">
        <v>142.45750000000001</v>
      </c>
      <c r="J5430">
        <v>-324.43729999999999</v>
      </c>
      <c r="K5430">
        <v>1.120968</v>
      </c>
      <c r="L5430">
        <v>141.58420000000001</v>
      </c>
      <c r="M5430">
        <v>-0.99965190000000004</v>
      </c>
      <c r="N5430">
        <v>-1.277549E-2</v>
      </c>
      <c r="O5430">
        <v>2.3083179999999998E-2</v>
      </c>
      <c r="P5430">
        <v>-0.99384720000000004</v>
      </c>
      <c r="Q5430">
        <v>-0.11041869999999999</v>
      </c>
      <c r="R5430">
        <v>8.6898610000000001E-3</v>
      </c>
      <c r="S5430">
        <v>-3.0099490000000002</v>
      </c>
      <c r="T5430">
        <v>-7.4388029999999994E-2</v>
      </c>
      <c r="U5430">
        <v>5.8395389999999998E-2</v>
      </c>
      <c r="V5430">
        <v>-1.4178090000000001E-2</v>
      </c>
      <c r="W5430">
        <v>-9.7724820000000004E-2</v>
      </c>
      <c r="X5430">
        <v>0.99511249999999996</v>
      </c>
      <c r="Y5430">
        <v>-3.6853979999999999E-3</v>
      </c>
      <c r="Z5430">
        <v>-3.4445E-4</v>
      </c>
      <c r="AA5430">
        <v>0.99999309999999997</v>
      </c>
      <c r="AB5430">
        <v>30</v>
      </c>
      <c r="AC5430">
        <v>-45.059599999999897</v>
      </c>
      <c r="AD5430">
        <v>-1.1209689541657999</v>
      </c>
      <c r="AE5430">
        <v>0.87329999999999997</v>
      </c>
      <c r="AF5430">
        <v>-0.16703315985755199</v>
      </c>
      <c r="AG5430">
        <v>-1.1209689541657999</v>
      </c>
      <c r="AH5430">
        <v>45.039887793111703</v>
      </c>
      <c r="AI5430">
        <v>91.425693876625402</v>
      </c>
      <c r="AJ5430">
        <v>90.212483904669597</v>
      </c>
      <c r="AK5430">
        <v>45.054144802545999</v>
      </c>
      <c r="AL5430">
        <v>95.6081703517996</v>
      </c>
      <c r="AM5430">
        <v>90.816279322405293</v>
      </c>
      <c r="AN5430">
        <v>1.0000000231681601</v>
      </c>
    </row>
    <row r="5431" spans="1:40" x14ac:dyDescent="0.25">
      <c r="A5431" t="str">
        <f>"20190303154248576"</f>
        <v>20190303154248576</v>
      </c>
      <c r="B5431" t="str">
        <f>"1551598968565457"</f>
        <v>1551598968565457</v>
      </c>
      <c r="C5431" t="s">
        <v>40</v>
      </c>
      <c r="D5431">
        <v>5.6866629999999896</v>
      </c>
      <c r="E5431">
        <v>0.50452399999999997</v>
      </c>
      <c r="F5431" t="s">
        <v>41</v>
      </c>
      <c r="G5431">
        <v>-370.33569999999997</v>
      </c>
      <c r="H5431" s="1">
        <v>-4.6640900000000001E-6</v>
      </c>
      <c r="I5431">
        <v>142.44810000000001</v>
      </c>
      <c r="J5431">
        <v>-324.72449999999998</v>
      </c>
      <c r="K5431">
        <v>1.120941</v>
      </c>
      <c r="L5431">
        <v>141.59039999999999</v>
      </c>
      <c r="M5431">
        <v>-0.99966299999999997</v>
      </c>
      <c r="N5431">
        <v>-1.2613259999999999E-2</v>
      </c>
      <c r="O5431">
        <v>2.2694679999999998E-2</v>
      </c>
      <c r="P5431">
        <v>-0.99391870000000004</v>
      </c>
      <c r="Q5431">
        <v>-0.1097866</v>
      </c>
      <c r="R5431">
        <v>8.5417389999999996E-3</v>
      </c>
      <c r="S5431">
        <v>-3.0098880000000001</v>
      </c>
      <c r="T5431">
        <v>-7.3510290000000006E-2</v>
      </c>
      <c r="U5431">
        <v>5.6655879999999999E-2</v>
      </c>
      <c r="V5431">
        <v>-1.394623E-2</v>
      </c>
      <c r="W5431">
        <v>-9.7252459999999999E-2</v>
      </c>
      <c r="X5431">
        <v>0.99516199999999999</v>
      </c>
      <c r="Y5431">
        <v>-3.874059E-3</v>
      </c>
      <c r="Z5431">
        <v>-3.395583E-4</v>
      </c>
      <c r="AA5431">
        <v>0.9999924</v>
      </c>
      <c r="AB5431">
        <v>30</v>
      </c>
      <c r="AC5431">
        <v>-45.611199999999997</v>
      </c>
      <c r="AD5431">
        <v>-1.12094566409</v>
      </c>
      <c r="AE5431">
        <v>0.857700000000022</v>
      </c>
      <c r="AF5431">
        <v>-0.17762750296941199</v>
      </c>
      <c r="AG5431">
        <v>-1.12094566409</v>
      </c>
      <c r="AH5431">
        <v>45.5913906231971</v>
      </c>
      <c r="AI5431">
        <v>91.408424499362596</v>
      </c>
      <c r="AJ5431">
        <v>90.223227557040801</v>
      </c>
      <c r="AK5431">
        <v>45.605514684833899</v>
      </c>
      <c r="AL5431">
        <v>95.580976868924594</v>
      </c>
      <c r="AM5431">
        <v>90.802892207836393</v>
      </c>
      <c r="AN5431">
        <v>0.99999997227563098</v>
      </c>
    </row>
    <row r="5432" spans="1:40" x14ac:dyDescent="0.25">
      <c r="A5432" t="str">
        <f>"20190303154248597"</f>
        <v>20190303154248597</v>
      </c>
      <c r="B5432" t="str">
        <f>"1551598968595709"</f>
        <v>1551598968595709</v>
      </c>
      <c r="C5432" t="s">
        <v>40</v>
      </c>
      <c r="D5432">
        <v>5.8029289999999998</v>
      </c>
      <c r="E5432">
        <v>0.50465109999999902</v>
      </c>
      <c r="F5432" t="s">
        <v>41</v>
      </c>
      <c r="G5432">
        <v>-371.56259999999997</v>
      </c>
      <c r="H5432" s="1">
        <v>-4.2465989999999999E-6</v>
      </c>
      <c r="I5432">
        <v>142.44820000000001</v>
      </c>
      <c r="J5432">
        <v>-325.01170000000002</v>
      </c>
      <c r="K5432">
        <v>1.1209089999999999</v>
      </c>
      <c r="L5432">
        <v>141.59649999999999</v>
      </c>
      <c r="M5432">
        <v>-0.99967300000000003</v>
      </c>
      <c r="N5432">
        <v>-1.245777E-2</v>
      </c>
      <c r="O5432">
        <v>2.233274E-2</v>
      </c>
      <c r="P5432">
        <v>-0.99401879999999998</v>
      </c>
      <c r="Q5432">
        <v>-0.1088831</v>
      </c>
      <c r="R5432">
        <v>8.4380510000000002E-3</v>
      </c>
      <c r="S5432">
        <v>-3.0099490000000002</v>
      </c>
      <c r="T5432">
        <v>-7.2035189999999999E-2</v>
      </c>
      <c r="U5432">
        <v>5.5129999999999998E-2</v>
      </c>
      <c r="V5432">
        <v>-1.3698109999999999E-2</v>
      </c>
      <c r="W5432">
        <v>-9.6501610000000002E-2</v>
      </c>
      <c r="X5432">
        <v>0.99523850000000003</v>
      </c>
      <c r="Y5432">
        <v>-4.0192279999999997E-3</v>
      </c>
      <c r="Z5432">
        <v>-3.2920520000000002E-4</v>
      </c>
      <c r="AA5432">
        <v>0.99999190000000004</v>
      </c>
      <c r="AB5432">
        <v>30</v>
      </c>
      <c r="AC5432">
        <v>-46.550899999999899</v>
      </c>
      <c r="AD5432">
        <v>-1.1209132465989999</v>
      </c>
      <c r="AE5432">
        <v>0.851700000000022</v>
      </c>
      <c r="AF5432">
        <v>-0.18809322957249999</v>
      </c>
      <c r="AG5432">
        <v>-1.1209132465989999</v>
      </c>
      <c r="AH5432">
        <v>46.531339919640203</v>
      </c>
      <c r="AI5432">
        <v>91.379944254160606</v>
      </c>
      <c r="AJ5432">
        <v>90.231604968389107</v>
      </c>
      <c r="AK5432">
        <v>46.545219091615799</v>
      </c>
      <c r="AL5432">
        <v>95.537753225871</v>
      </c>
      <c r="AM5432">
        <v>90.788549012323799</v>
      </c>
      <c r="AN5432">
        <v>0.99999993541620502</v>
      </c>
    </row>
    <row r="5433" spans="1:40" x14ac:dyDescent="0.25">
      <c r="A5433" t="str">
        <f>"20190303154248620"</f>
        <v>20190303154248620</v>
      </c>
      <c r="B5433" t="str">
        <f>"1551598968615229"</f>
        <v>1551598968615229</v>
      </c>
      <c r="C5433" t="s">
        <v>40</v>
      </c>
      <c r="D5433">
        <v>5.8009740000000001</v>
      </c>
      <c r="E5433">
        <v>0.50484110000000004</v>
      </c>
      <c r="F5433" t="s">
        <v>41</v>
      </c>
      <c r="G5433">
        <v>-373.23779999999999</v>
      </c>
      <c r="H5433" s="1">
        <v>-3.6481639999999999E-6</v>
      </c>
      <c r="I5433">
        <v>142.49100000000001</v>
      </c>
      <c r="J5433">
        <v>-325.30779999999999</v>
      </c>
      <c r="K5433">
        <v>1.1208720000000001</v>
      </c>
      <c r="L5433">
        <v>141.6028</v>
      </c>
      <c r="M5433">
        <v>-0.99968250000000003</v>
      </c>
      <c r="N5433">
        <v>-1.230974E-2</v>
      </c>
      <c r="O5433">
        <v>2.1984480000000001E-2</v>
      </c>
      <c r="P5433">
        <v>-0.99406070000000002</v>
      </c>
      <c r="Q5433">
        <v>-0.1085691</v>
      </c>
      <c r="R5433">
        <v>7.4768209999999998E-3</v>
      </c>
      <c r="S5433">
        <v>-3.0099179999999999</v>
      </c>
      <c r="T5433">
        <v>-6.9959160000000006E-2</v>
      </c>
      <c r="U5433">
        <v>5.5831909999999998E-2</v>
      </c>
      <c r="V5433">
        <v>-1.4318600000000001E-2</v>
      </c>
      <c r="W5433">
        <v>-9.6334459999999997E-2</v>
      </c>
      <c r="X5433">
        <v>0.99524610000000002</v>
      </c>
      <c r="Y5433">
        <v>-3.4379979999999998E-3</v>
      </c>
      <c r="Z5433">
        <v>-3.013027E-4</v>
      </c>
      <c r="AA5433">
        <v>0.99999400000000005</v>
      </c>
      <c r="AB5433">
        <v>30</v>
      </c>
      <c r="AC5433">
        <v>-47.93</v>
      </c>
      <c r="AD5433">
        <v>-1.1208756481640001</v>
      </c>
      <c r="AE5433">
        <v>0.88820000000001098</v>
      </c>
      <c r="AF5433">
        <v>-0.165720097763291</v>
      </c>
      <c r="AG5433">
        <v>-1.1208756481640001</v>
      </c>
      <c r="AH5433">
        <v>47.911748775422801</v>
      </c>
      <c r="AI5433">
        <v>91.340158713856297</v>
      </c>
      <c r="AJ5433">
        <v>90.198177369014005</v>
      </c>
      <c r="AK5433">
        <v>47.925144716408298</v>
      </c>
      <c r="AL5433">
        <v>95.528130632747803</v>
      </c>
      <c r="AM5433">
        <v>90.824257188470099</v>
      </c>
      <c r="AN5433">
        <v>1.0000000750273199</v>
      </c>
    </row>
    <row r="5434" spans="1:40" x14ac:dyDescent="0.25">
      <c r="A5434" t="str">
        <f>"20190303154248644"</f>
        <v>20190303154248644</v>
      </c>
      <c r="B5434" t="str">
        <f>"1551598968635725"</f>
        <v>1551598968635725</v>
      </c>
      <c r="C5434" t="s">
        <v>40</v>
      </c>
      <c r="D5434">
        <v>5.8422340000000004</v>
      </c>
      <c r="E5434">
        <v>0.50504039999999994</v>
      </c>
      <c r="F5434" t="s">
        <v>41</v>
      </c>
      <c r="G5434">
        <v>-373.35300000000001</v>
      </c>
      <c r="H5434" s="1">
        <v>-3.5945219999999998E-6</v>
      </c>
      <c r="I5434">
        <v>142.4751</v>
      </c>
      <c r="J5434">
        <v>-325.6259</v>
      </c>
      <c r="K5434">
        <v>1.120835</v>
      </c>
      <c r="L5434">
        <v>141.60939999999999</v>
      </c>
      <c r="M5434">
        <v>-0.99969200000000003</v>
      </c>
      <c r="N5434">
        <v>-1.21613E-2</v>
      </c>
      <c r="O5434">
        <v>2.1638069999999999E-2</v>
      </c>
      <c r="P5434">
        <v>-0.99405679999999996</v>
      </c>
      <c r="Q5434">
        <v>-0.1086578</v>
      </c>
      <c r="R5434">
        <v>6.6879679999999999E-3</v>
      </c>
      <c r="S5434">
        <v>-3.0098569999999998</v>
      </c>
      <c r="T5434">
        <v>-7.0218799999999998E-2</v>
      </c>
      <c r="U5434">
        <v>5.4656980000000001E-2</v>
      </c>
      <c r="V5434">
        <v>-1.4767199999999999E-2</v>
      </c>
      <c r="W5434">
        <v>-9.6570630000000005E-2</v>
      </c>
      <c r="X5434">
        <v>0.99521660000000001</v>
      </c>
      <c r="Y5434">
        <v>-3.4812369999999999E-3</v>
      </c>
      <c r="Z5434">
        <v>-3.0327110000000001E-4</v>
      </c>
      <c r="AA5434">
        <v>0.99999389999999999</v>
      </c>
      <c r="AB5434">
        <v>30</v>
      </c>
      <c r="AC5434">
        <v>-47.7271</v>
      </c>
      <c r="AD5434">
        <v>-1.1208385945219901</v>
      </c>
      <c r="AE5434">
        <v>0.86570000000000302</v>
      </c>
      <c r="AF5434">
        <v>-0.16720913413149499</v>
      </c>
      <c r="AG5434">
        <v>-1.1208385945219901</v>
      </c>
      <c r="AH5434">
        <v>47.708354300371703</v>
      </c>
      <c r="AI5434">
        <v>91.345825409625604</v>
      </c>
      <c r="AJ5434">
        <v>90.200810499437296</v>
      </c>
      <c r="AK5434">
        <v>47.721811659861601</v>
      </c>
      <c r="AL5434">
        <v>95.541725873533906</v>
      </c>
      <c r="AM5434">
        <v>90.850102528289995</v>
      </c>
      <c r="AN5434">
        <v>1.00000001884499</v>
      </c>
    </row>
    <row r="5435" spans="1:40" x14ac:dyDescent="0.25">
      <c r="A5435" t="str">
        <f>"20190303154248666"</f>
        <v>20190303154248666</v>
      </c>
      <c r="B5435" t="str">
        <f>"1551598968655245"</f>
        <v>1551598968655245</v>
      </c>
      <c r="C5435" t="s">
        <v>40</v>
      </c>
      <c r="D5435">
        <v>5.8264199999999997</v>
      </c>
      <c r="E5435">
        <v>0.50521819999999995</v>
      </c>
      <c r="F5435" t="s">
        <v>41</v>
      </c>
      <c r="G5435">
        <v>-372.63080000000002</v>
      </c>
      <c r="H5435" s="1">
        <v>-3.8835399999999996E-6</v>
      </c>
      <c r="I5435">
        <v>142.45070000000001</v>
      </c>
      <c r="J5435">
        <v>-325.91919999999999</v>
      </c>
      <c r="K5435">
        <v>1.120806</v>
      </c>
      <c r="L5435">
        <v>141.61539999999999</v>
      </c>
      <c r="M5435">
        <v>-0.99970000000000003</v>
      </c>
      <c r="N5435">
        <v>-1.203533E-2</v>
      </c>
      <c r="O5435">
        <v>2.1340789999999998E-2</v>
      </c>
      <c r="P5435">
        <v>-0.9940774</v>
      </c>
      <c r="Q5435">
        <v>-0.1085134</v>
      </c>
      <c r="R5435">
        <v>5.9259330000000004E-3</v>
      </c>
      <c r="S5435">
        <v>-3.0097659999999999</v>
      </c>
      <c r="T5435">
        <v>-7.1768280000000004E-2</v>
      </c>
      <c r="U5435">
        <v>5.3878780000000001E-2</v>
      </c>
      <c r="V5435">
        <v>-1.523704E-2</v>
      </c>
      <c r="W5435">
        <v>-9.6551289999999998E-2</v>
      </c>
      <c r="X5435">
        <v>0.99521139999999997</v>
      </c>
      <c r="Y5435">
        <v>-3.4415819999999999E-3</v>
      </c>
      <c r="Z5435">
        <v>-3.1360729999999997E-4</v>
      </c>
      <c r="AA5435">
        <v>0.99999400000000005</v>
      </c>
      <c r="AB5435">
        <v>30</v>
      </c>
      <c r="AC5435">
        <v>-46.711599999999997</v>
      </c>
      <c r="AD5435">
        <v>-1.12080988354</v>
      </c>
      <c r="AE5435">
        <v>0.83530000000001703</v>
      </c>
      <c r="AF5435">
        <v>-0.16173164381798899</v>
      </c>
      <c r="AG5435">
        <v>-1.12080988354</v>
      </c>
      <c r="AH5435">
        <v>46.691914517161202</v>
      </c>
      <c r="AI5435">
        <v>91.3750766400006</v>
      </c>
      <c r="AJ5435">
        <v>90.198460560908202</v>
      </c>
      <c r="AK5435">
        <v>46.705644768031497</v>
      </c>
      <c r="AL5435">
        <v>95.540612537480101</v>
      </c>
      <c r="AM5435">
        <v>90.877150201476198</v>
      </c>
      <c r="AN5435">
        <v>1.00000002483929</v>
      </c>
    </row>
    <row r="5436" spans="1:40" x14ac:dyDescent="0.25">
      <c r="A5436" t="str">
        <f>"20190303154248688"</f>
        <v>20190303154248688</v>
      </c>
      <c r="B5436" t="str">
        <f>"1551598968675742"</f>
        <v>1551598968675742</v>
      </c>
      <c r="C5436" t="s">
        <v>40</v>
      </c>
      <c r="D5436">
        <v>5.8336750000000004</v>
      </c>
      <c r="E5436">
        <v>0.50541069999999999</v>
      </c>
      <c r="F5436" t="s">
        <v>41</v>
      </c>
      <c r="G5436">
        <v>-372.32889999999998</v>
      </c>
      <c r="H5436" s="1">
        <v>-3.9831269999999997E-6</v>
      </c>
      <c r="I5436">
        <v>142.43299999999999</v>
      </c>
      <c r="J5436">
        <v>-326.20479999999998</v>
      </c>
      <c r="K5436">
        <v>1.120795</v>
      </c>
      <c r="L5436">
        <v>141.62119999999999</v>
      </c>
      <c r="M5436">
        <v>-0.99970700000000001</v>
      </c>
      <c r="N5436">
        <v>-1.1924830000000001E-2</v>
      </c>
      <c r="O5436">
        <v>2.1066109999999999E-2</v>
      </c>
      <c r="P5436">
        <v>-0.99403660000000005</v>
      </c>
      <c r="Q5436">
        <v>-0.1089111</v>
      </c>
      <c r="R5436">
        <v>5.4676630000000002E-3</v>
      </c>
      <c r="S5436">
        <v>-3.0096129999999999</v>
      </c>
      <c r="T5436">
        <v>-7.2683220000000007E-2</v>
      </c>
      <c r="U5436">
        <v>5.3024290000000002E-2</v>
      </c>
      <c r="V5436">
        <v>-1.5423249999999999E-2</v>
      </c>
      <c r="W5436">
        <v>-9.7059290000000006E-2</v>
      </c>
      <c r="X5436">
        <v>0.99515909999999996</v>
      </c>
      <c r="Y5436">
        <v>-3.4496029999999999E-3</v>
      </c>
      <c r="Z5436">
        <v>-3.1960229999999999E-4</v>
      </c>
      <c r="AA5436">
        <v>0.99999400000000005</v>
      </c>
      <c r="AB5436">
        <v>30</v>
      </c>
      <c r="AC5436">
        <v>-46.124099999999999</v>
      </c>
      <c r="AD5436">
        <v>-1.120798983127</v>
      </c>
      <c r="AE5436">
        <v>0.81180000000000496</v>
      </c>
      <c r="AF5436">
        <v>-0.16001014781487799</v>
      </c>
      <c r="AG5436">
        <v>-1.120798983127</v>
      </c>
      <c r="AH5436">
        <v>46.103751028308103</v>
      </c>
      <c r="AI5436">
        <v>91.392598591475405</v>
      </c>
      <c r="AJ5436">
        <v>90.198853002941405</v>
      </c>
      <c r="AK5436">
        <v>46.117650118888399</v>
      </c>
      <c r="AL5436">
        <v>95.569856232421998</v>
      </c>
      <c r="AM5436">
        <v>90.887914694951107</v>
      </c>
      <c r="AN5436">
        <v>1.0000000083643299</v>
      </c>
    </row>
    <row r="5437" spans="1:40" x14ac:dyDescent="0.25">
      <c r="A5437" t="str">
        <f>"20190303154248710"</f>
        <v>20190303154248710</v>
      </c>
      <c r="B5437" t="str">
        <f>"1551598968705998"</f>
        <v>1551598968705998</v>
      </c>
      <c r="C5437" t="s">
        <v>40</v>
      </c>
      <c r="D5437">
        <v>5.8417329999999996</v>
      </c>
      <c r="E5437">
        <v>0.50567209999999996</v>
      </c>
      <c r="F5437" t="s">
        <v>41</v>
      </c>
      <c r="G5437">
        <v>-371.01839999999999</v>
      </c>
      <c r="H5437" s="1">
        <v>-4.4258759999999996E-6</v>
      </c>
      <c r="I5437">
        <v>142.41470000000001</v>
      </c>
      <c r="J5437">
        <v>-326.49650000000003</v>
      </c>
      <c r="K5437">
        <v>1.1207819999999999</v>
      </c>
      <c r="L5437">
        <v>141.62700000000001</v>
      </c>
      <c r="M5437">
        <v>-0.99971390000000004</v>
      </c>
      <c r="N5437">
        <v>-1.1824309999999999E-2</v>
      </c>
      <c r="O5437">
        <v>2.0793470000000001E-2</v>
      </c>
      <c r="P5437">
        <v>-0.99403249999999999</v>
      </c>
      <c r="Q5437">
        <v>-0.10895059999999999</v>
      </c>
      <c r="R5437">
        <v>5.4096980000000001E-3</v>
      </c>
      <c r="S5437">
        <v>-3.0094910000000001</v>
      </c>
      <c r="T5437">
        <v>-7.5268150000000006E-2</v>
      </c>
      <c r="U5437">
        <v>5.3298949999999998E-2</v>
      </c>
      <c r="V5437">
        <v>-1.52114E-2</v>
      </c>
      <c r="W5437">
        <v>-9.7198309999999996E-2</v>
      </c>
      <c r="X5437">
        <v>0.99514879999999994</v>
      </c>
      <c r="Y5437">
        <v>-3.0847560000000001E-3</v>
      </c>
      <c r="Z5437">
        <v>-3.3082389999999998E-4</v>
      </c>
      <c r="AA5437">
        <v>0.99999519999999997</v>
      </c>
      <c r="AB5437">
        <v>30</v>
      </c>
      <c r="AC5437">
        <v>-44.521899999999903</v>
      </c>
      <c r="AD5437">
        <v>-1.1207864258760001</v>
      </c>
      <c r="AE5437">
        <v>0.78770000000000095</v>
      </c>
      <c r="AF5437">
        <v>-0.138212256332608</v>
      </c>
      <c r="AG5437">
        <v>-1.1207864258760001</v>
      </c>
      <c r="AH5437">
        <v>44.500460775765497</v>
      </c>
      <c r="AI5437">
        <v>91.442736733392493</v>
      </c>
      <c r="AJ5437">
        <v>90.177952168669506</v>
      </c>
      <c r="AK5437">
        <v>44.514787139732199</v>
      </c>
      <c r="AL5437">
        <v>95.577859288161093</v>
      </c>
      <c r="AM5437">
        <v>90.8757294903006</v>
      </c>
      <c r="AN5437">
        <v>1.00000001614912</v>
      </c>
    </row>
    <row r="5438" spans="1:40" x14ac:dyDescent="0.25">
      <c r="A5438" t="str">
        <f>"20190303154248733"</f>
        <v>20190303154248733</v>
      </c>
      <c r="B5438" t="str">
        <f>"1551598968725517"</f>
        <v>1551598968725517</v>
      </c>
      <c r="C5438" t="s">
        <v>40</v>
      </c>
      <c r="D5438">
        <v>5.8478399999999997</v>
      </c>
      <c r="E5438">
        <v>0.50585170000000002</v>
      </c>
      <c r="F5438" t="s">
        <v>41</v>
      </c>
      <c r="G5438">
        <v>-370.10789999999997</v>
      </c>
      <c r="H5438" s="1">
        <v>-4.7382300000000002E-6</v>
      </c>
      <c r="I5438">
        <v>142.429</v>
      </c>
      <c r="J5438">
        <v>-326.80399999999997</v>
      </c>
      <c r="K5438">
        <v>1.1207670000000001</v>
      </c>
      <c r="L5438">
        <v>141.63310000000001</v>
      </c>
      <c r="M5438">
        <v>-0.99972099999999997</v>
      </c>
      <c r="N5438">
        <v>-1.1730819999999999E-2</v>
      </c>
      <c r="O5438">
        <v>2.0509889999999999E-2</v>
      </c>
      <c r="P5438">
        <v>-0.99402840000000003</v>
      </c>
      <c r="Q5438">
        <v>-0.1090082</v>
      </c>
      <c r="R5438">
        <v>4.9950799999999998E-3</v>
      </c>
      <c r="S5438">
        <v>-3.0092469999999998</v>
      </c>
      <c r="T5438">
        <v>-7.7335829999999994E-2</v>
      </c>
      <c r="U5438">
        <v>5.5343629999999998E-2</v>
      </c>
      <c r="V5438">
        <v>-1.534546E-2</v>
      </c>
      <c r="W5438">
        <v>-9.7348989999999996E-2</v>
      </c>
      <c r="X5438">
        <v>0.99513200000000002</v>
      </c>
      <c r="Y5438">
        <v>-2.1206010000000002E-3</v>
      </c>
      <c r="Z5438">
        <v>-3.2600450000000003E-4</v>
      </c>
      <c r="AA5438">
        <v>0.99999769999999999</v>
      </c>
      <c r="AB5438">
        <v>30</v>
      </c>
      <c r="AC5438">
        <v>-43.303899999999899</v>
      </c>
      <c r="AD5438">
        <v>-1.12077173823</v>
      </c>
      <c r="AE5438">
        <v>0.79589999999998895</v>
      </c>
      <c r="AF5438">
        <v>-9.2424739351946505E-2</v>
      </c>
      <c r="AG5438">
        <v>-1.12077173823</v>
      </c>
      <c r="AH5438">
        <v>43.282131789876402</v>
      </c>
      <c r="AI5438">
        <v>91.4833141168872</v>
      </c>
      <c r="AJ5438">
        <v>90.122349321056205</v>
      </c>
      <c r="AK5438">
        <v>43.296738952233902</v>
      </c>
      <c r="AL5438">
        <v>95.586533825742904</v>
      </c>
      <c r="AM5438">
        <v>90.883461099775502</v>
      </c>
      <c r="AN5438">
        <v>1.00000000321031</v>
      </c>
    </row>
    <row r="5439" spans="1:40" x14ac:dyDescent="0.25">
      <c r="A5439" t="str">
        <f>"20190303154248754"</f>
        <v>20190303154248754</v>
      </c>
      <c r="B5439" t="str">
        <f>"1551598968746013"</f>
        <v>1551598968746013</v>
      </c>
      <c r="C5439" t="s">
        <v>40</v>
      </c>
      <c r="D5439">
        <v>5.8503299999999996</v>
      </c>
      <c r="E5439">
        <v>0.50600670000000003</v>
      </c>
      <c r="F5439" t="s">
        <v>41</v>
      </c>
      <c r="G5439">
        <v>-369.56650000000002</v>
      </c>
      <c r="H5439" s="1">
        <v>-9.1514749999999997E-7</v>
      </c>
      <c r="I5439">
        <v>142.42320000000001</v>
      </c>
      <c r="J5439">
        <v>-327.08850000000001</v>
      </c>
      <c r="K5439">
        <v>1.1207560000000001</v>
      </c>
      <c r="L5439">
        <v>141.6386</v>
      </c>
      <c r="M5439">
        <v>-0.99972700000000003</v>
      </c>
      <c r="N5439">
        <v>-1.1663710000000001E-2</v>
      </c>
      <c r="O5439">
        <v>2.0249219999999998E-2</v>
      </c>
      <c r="P5439">
        <v>-0.99398560000000002</v>
      </c>
      <c r="Q5439">
        <v>-0.10940999999999999</v>
      </c>
      <c r="R5439">
        <v>4.7308649999999999E-3</v>
      </c>
      <c r="S5439">
        <v>-3.0090940000000002</v>
      </c>
      <c r="T5439">
        <v>-7.8865770000000002E-2</v>
      </c>
      <c r="U5439">
        <v>5.5603029999999998E-2</v>
      </c>
      <c r="V5439">
        <v>-1.53495E-2</v>
      </c>
      <c r="W5439">
        <v>-9.7818009999999997E-2</v>
      </c>
      <c r="X5439">
        <v>0.99508600000000003</v>
      </c>
      <c r="Y5439">
        <v>-1.772739E-3</v>
      </c>
      <c r="Z5439">
        <v>-3.2792379999999999E-4</v>
      </c>
      <c r="AA5439">
        <v>0.99999839999999995</v>
      </c>
      <c r="AB5439">
        <v>30</v>
      </c>
      <c r="AC5439">
        <v>-42.478000000000002</v>
      </c>
      <c r="AD5439">
        <v>-1.1207569151475001</v>
      </c>
      <c r="AE5439">
        <v>0.78460000000001096</v>
      </c>
      <c r="AF5439">
        <v>-7.5713022546300898E-2</v>
      </c>
      <c r="AG5439">
        <v>-1.1207569151475001</v>
      </c>
      <c r="AH5439">
        <v>42.455633036049598</v>
      </c>
      <c r="AI5439">
        <v>91.512158087549196</v>
      </c>
      <c r="AJ5439">
        <v>90.1021780088317</v>
      </c>
      <c r="AK5439">
        <v>42.470490990996801</v>
      </c>
      <c r="AL5439">
        <v>95.613535249365498</v>
      </c>
      <c r="AM5439">
        <v>90.883734495912805</v>
      </c>
      <c r="AN5439">
        <v>1.0000000588133</v>
      </c>
    </row>
    <row r="5440" spans="1:40" x14ac:dyDescent="0.25">
      <c r="A5440" t="str">
        <f>"20190303154248777"</f>
        <v>20190303154248777</v>
      </c>
      <c r="B5440" t="str">
        <f>"1551598968765534"</f>
        <v>1551598968765534</v>
      </c>
      <c r="C5440" t="s">
        <v>40</v>
      </c>
      <c r="D5440">
        <v>5.837313</v>
      </c>
      <c r="E5440">
        <v>0.50614359999999903</v>
      </c>
      <c r="F5440" t="s">
        <v>41</v>
      </c>
      <c r="G5440">
        <v>-368.51530000000002</v>
      </c>
      <c r="H5440" s="1">
        <v>-1.3624289999999901E-6</v>
      </c>
      <c r="I5440">
        <v>142.4093</v>
      </c>
      <c r="J5440">
        <v>-327.38459999999998</v>
      </c>
      <c r="K5440">
        <v>1.1207640000000001</v>
      </c>
      <c r="L5440">
        <v>141.64429999999999</v>
      </c>
      <c r="M5440">
        <v>-0.99973290000000004</v>
      </c>
      <c r="N5440">
        <v>-1.1618389999999999E-2</v>
      </c>
      <c r="O5440">
        <v>1.9977660000000001E-2</v>
      </c>
      <c r="P5440">
        <v>-0.99398699999999995</v>
      </c>
      <c r="Q5440">
        <v>-0.1094397</v>
      </c>
      <c r="R5440">
        <v>3.6041060000000001E-3</v>
      </c>
      <c r="S5440">
        <v>-3.0089419999999998</v>
      </c>
      <c r="T5440">
        <v>-8.140385E-2</v>
      </c>
      <c r="U5440">
        <v>5.59845E-2</v>
      </c>
      <c r="V5440">
        <v>-1.6206310000000002E-2</v>
      </c>
      <c r="W5440">
        <v>-9.7893450000000007E-2</v>
      </c>
      <c r="X5440">
        <v>0.99506490000000003</v>
      </c>
      <c r="Y5440">
        <v>-1.3733510000000001E-3</v>
      </c>
      <c r="Z5440">
        <v>-3.3473699999999999E-4</v>
      </c>
      <c r="AA5440">
        <v>0.99999899999999997</v>
      </c>
      <c r="AB5440">
        <v>30</v>
      </c>
      <c r="AC5440">
        <v>-41.130699999999997</v>
      </c>
      <c r="AD5440">
        <v>-1.1207653624289999</v>
      </c>
      <c r="AE5440">
        <v>0.765000000000014</v>
      </c>
      <c r="AF5440">
        <v>-5.6861108539227802E-2</v>
      </c>
      <c r="AG5440">
        <v>-1.1207653624289999</v>
      </c>
      <c r="AH5440">
        <v>41.107262601356702</v>
      </c>
      <c r="AI5440">
        <v>91.561747373474702</v>
      </c>
      <c r="AJ5440">
        <v>90.079253622200497</v>
      </c>
      <c r="AK5440">
        <v>41.1225775792348</v>
      </c>
      <c r="AL5440">
        <v>95.617879024086506</v>
      </c>
      <c r="AM5440">
        <v>90.933075898933097</v>
      </c>
      <c r="AN5440">
        <v>0.99999996362436305</v>
      </c>
    </row>
    <row r="5441" spans="1:40" x14ac:dyDescent="0.25">
      <c r="A5441" t="str">
        <f>"20190303154248799"</f>
        <v>20190303154248799</v>
      </c>
      <c r="B5441" t="str">
        <f>"1551598968795789"</f>
        <v>1551598968795789</v>
      </c>
      <c r="C5441" t="s">
        <v>40</v>
      </c>
      <c r="D5441">
        <v>5.8265609999999999</v>
      </c>
      <c r="E5441">
        <v>0.50632239999999995</v>
      </c>
      <c r="F5441" t="s">
        <v>41</v>
      </c>
      <c r="G5441">
        <v>-368.05489999999998</v>
      </c>
      <c r="H5441" s="1">
        <v>-1.5498810000000001E-6</v>
      </c>
      <c r="I5441">
        <v>142.3715</v>
      </c>
      <c r="J5441">
        <v>-327.6816</v>
      </c>
      <c r="K5441">
        <v>1.120768</v>
      </c>
      <c r="L5441">
        <v>141.65</v>
      </c>
      <c r="M5441">
        <v>-0.99973869999999998</v>
      </c>
      <c r="N5441">
        <v>-1.1598890000000001E-2</v>
      </c>
      <c r="O5441">
        <v>1.9703539999999999E-2</v>
      </c>
      <c r="P5441">
        <v>-0.99407780000000001</v>
      </c>
      <c r="Q5441">
        <v>-0.10865669999999999</v>
      </c>
      <c r="R5441">
        <v>1.855766E-3</v>
      </c>
      <c r="S5441">
        <v>-3.0088200000000001</v>
      </c>
      <c r="T5441">
        <v>-8.2915310000000006E-2</v>
      </c>
      <c r="U5441">
        <v>5.3802490000000001E-2</v>
      </c>
      <c r="V5441">
        <v>-1.768374E-2</v>
      </c>
      <c r="W5441">
        <v>-9.7129960000000001E-2</v>
      </c>
      <c r="X5441">
        <v>0.99511459999999996</v>
      </c>
      <c r="Y5441">
        <v>-1.8229590000000001E-3</v>
      </c>
      <c r="Z5441">
        <v>-3.4994479999999998E-4</v>
      </c>
      <c r="AA5441">
        <v>0.99999830000000001</v>
      </c>
      <c r="AB5441">
        <v>30</v>
      </c>
      <c r="AC5441">
        <v>-40.373299999999901</v>
      </c>
      <c r="AD5441">
        <v>-1.120769549881</v>
      </c>
      <c r="AE5441">
        <v>0.72149999999999104</v>
      </c>
      <c r="AF5441">
        <v>-7.4133330672724193E-2</v>
      </c>
      <c r="AG5441">
        <v>-1.120769549881</v>
      </c>
      <c r="AH5441">
        <v>40.348594408291</v>
      </c>
      <c r="AI5441">
        <v>91.591102483887099</v>
      </c>
      <c r="AJ5441">
        <v>90.1052706358564</v>
      </c>
      <c r="AK5441">
        <v>40.364225384112402</v>
      </c>
      <c r="AL5441">
        <v>95.573924563515703</v>
      </c>
      <c r="AM5441">
        <v>91.018070716792906</v>
      </c>
      <c r="AN5441">
        <v>1.0000000054615701</v>
      </c>
    </row>
    <row r="5442" spans="1:40" x14ac:dyDescent="0.25">
      <c r="A5442" t="str">
        <f>"20190303154248823"</f>
        <v>20190303154248823</v>
      </c>
      <c r="B5442" t="str">
        <f>"1551598968815310"</f>
        <v>1551598968815310</v>
      </c>
      <c r="C5442" t="s">
        <v>40</v>
      </c>
      <c r="D5442">
        <v>5.8361989999999997</v>
      </c>
      <c r="E5442">
        <v>0.50645260000000003</v>
      </c>
      <c r="F5442" t="s">
        <v>41</v>
      </c>
      <c r="G5442">
        <v>-368.61250000000001</v>
      </c>
      <c r="H5442" s="1">
        <v>-1.2987449999999999E-6</v>
      </c>
      <c r="I5442">
        <v>142.32679999999999</v>
      </c>
      <c r="J5442">
        <v>-327.98750000000001</v>
      </c>
      <c r="K5442">
        <v>1.1207819999999999</v>
      </c>
      <c r="L5442">
        <v>141.6557</v>
      </c>
      <c r="M5442">
        <v>-0.99974410000000002</v>
      </c>
      <c r="N5442">
        <v>-1.160429E-2</v>
      </c>
      <c r="O5442">
        <v>1.941857E-2</v>
      </c>
      <c r="P5442">
        <v>-0.99411179999999999</v>
      </c>
      <c r="Q5442">
        <v>-0.10835939999999999</v>
      </c>
      <c r="R5442">
        <v>-2.5731579999999999E-4</v>
      </c>
      <c r="S5442">
        <v>-3.008759</v>
      </c>
      <c r="T5442">
        <v>-8.2385780000000006E-2</v>
      </c>
      <c r="U5442">
        <v>4.9758910000000003E-2</v>
      </c>
      <c r="V5442">
        <v>-1.9513510000000001E-2</v>
      </c>
      <c r="W5442">
        <v>-9.6828369999999997E-2</v>
      </c>
      <c r="X5442">
        <v>0.99510980000000004</v>
      </c>
      <c r="Y5442">
        <v>-2.8806330000000001E-3</v>
      </c>
      <c r="Z5442">
        <v>-3.6235919999999999E-4</v>
      </c>
      <c r="AA5442">
        <v>0.99999579999999999</v>
      </c>
      <c r="AB5442">
        <v>30</v>
      </c>
      <c r="AC5442">
        <v>-40.625</v>
      </c>
      <c r="AD5442">
        <v>-1.1207832987449999</v>
      </c>
      <c r="AE5442">
        <v>0.67109999999999503</v>
      </c>
      <c r="AF5442">
        <v>-0.117869393833998</v>
      </c>
      <c r="AG5442">
        <v>-1.1207832987449999</v>
      </c>
      <c r="AH5442">
        <v>40.599478582842004</v>
      </c>
      <c r="AI5442">
        <v>91.581290680495897</v>
      </c>
      <c r="AJ5442">
        <v>90.166342033495894</v>
      </c>
      <c r="AK5442">
        <v>40.615116762055401</v>
      </c>
      <c r="AL5442">
        <v>95.556562856173898</v>
      </c>
      <c r="AM5442">
        <v>91.123392105223004</v>
      </c>
      <c r="AN5442">
        <v>1.0000000121827</v>
      </c>
    </row>
    <row r="5443" spans="1:40" x14ac:dyDescent="0.25">
      <c r="A5443" t="str">
        <f>"20190303154248856"</f>
        <v>20190303154248856</v>
      </c>
      <c r="B5443" t="str">
        <f>"1551598968845565"</f>
        <v>1551598968845565</v>
      </c>
      <c r="C5443" t="s">
        <v>40</v>
      </c>
      <c r="D5443">
        <v>5.8426220000000004</v>
      </c>
      <c r="E5443">
        <v>0.50664589999999998</v>
      </c>
      <c r="F5443" t="s">
        <v>41</v>
      </c>
      <c r="G5443">
        <v>-368.76260000000002</v>
      </c>
      <c r="H5443" s="1">
        <v>-1.217108E-6</v>
      </c>
      <c r="I5443">
        <v>142.2619</v>
      </c>
      <c r="J5443">
        <v>-328.42649999999998</v>
      </c>
      <c r="K5443">
        <v>1.1208260000000001</v>
      </c>
      <c r="L5443">
        <v>141.66370000000001</v>
      </c>
      <c r="M5443">
        <v>-0.99975040000000004</v>
      </c>
      <c r="N5443">
        <v>-1.174124E-2</v>
      </c>
      <c r="O5443">
        <v>1.901241E-2</v>
      </c>
      <c r="P5443">
        <v>-0.99406030000000001</v>
      </c>
      <c r="Q5443">
        <v>-0.108829</v>
      </c>
      <c r="R5443">
        <v>-8.0742689999999996E-4</v>
      </c>
      <c r="S5443">
        <v>-3.0087890000000002</v>
      </c>
      <c r="T5443">
        <v>-8.2702639999999994E-2</v>
      </c>
      <c r="U5443">
        <v>4.4738769999999997E-2</v>
      </c>
      <c r="V5443">
        <v>-1.9657589999999999E-2</v>
      </c>
      <c r="W5443">
        <v>-9.716255E-2</v>
      </c>
      <c r="X5443">
        <v>0.99507440000000003</v>
      </c>
      <c r="Y5443">
        <v>-4.1420049999999998E-3</v>
      </c>
      <c r="Z5443">
        <v>-3.8044309999999998E-4</v>
      </c>
      <c r="AA5443">
        <v>0.99999139999999997</v>
      </c>
      <c r="AB5443">
        <v>30</v>
      </c>
      <c r="AC5443">
        <v>-40.336100000000002</v>
      </c>
      <c r="AD5443">
        <v>-1.120827217108</v>
      </c>
      <c r="AE5443">
        <v>0.59819999999999096</v>
      </c>
      <c r="AF5443">
        <v>-0.168717161725016</v>
      </c>
      <c r="AG5443">
        <v>-1.120827217108</v>
      </c>
      <c r="AH5443">
        <v>40.309065233567303</v>
      </c>
      <c r="AI5443">
        <v>91.592732646812806</v>
      </c>
      <c r="AJ5443">
        <v>90.2398151579944</v>
      </c>
      <c r="AK5443">
        <v>40.324997943400497</v>
      </c>
      <c r="AL5443">
        <v>95.575800615783393</v>
      </c>
      <c r="AM5443">
        <v>91.131724886132503</v>
      </c>
      <c r="AN5443">
        <v>1.0000000217512299</v>
      </c>
    </row>
    <row r="5444" spans="1:40" x14ac:dyDescent="0.25">
      <c r="A5444" t="str">
        <f>"20190303154248878"</f>
        <v>20190303154248878</v>
      </c>
      <c r="B5444" t="str">
        <f>"1551598968875821"</f>
        <v>1551598968875821</v>
      </c>
      <c r="C5444" t="s">
        <v>40</v>
      </c>
      <c r="D5444">
        <v>5.8351050000000004</v>
      </c>
      <c r="E5444">
        <v>0.50684979999999902</v>
      </c>
      <c r="F5444" t="s">
        <v>41</v>
      </c>
      <c r="G5444">
        <v>-367.64229999999998</v>
      </c>
      <c r="H5444" s="1">
        <v>-1.696663E-6</v>
      </c>
      <c r="I5444">
        <v>142.25799999999899</v>
      </c>
      <c r="J5444">
        <v>-328.72919999999999</v>
      </c>
      <c r="K5444">
        <v>1.1208659999999999</v>
      </c>
      <c r="L5444">
        <v>141.66919999999999</v>
      </c>
      <c r="M5444">
        <v>-0.99975320000000001</v>
      </c>
      <c r="N5444">
        <v>-1.19513E-2</v>
      </c>
      <c r="O5444">
        <v>1.873447E-2</v>
      </c>
      <c r="P5444">
        <v>-0.99387230000000004</v>
      </c>
      <c r="Q5444">
        <v>-0.1105361</v>
      </c>
      <c r="R5444">
        <v>2.7749939999999998E-4</v>
      </c>
      <c r="S5444">
        <v>-3.0085449999999998</v>
      </c>
      <c r="T5444">
        <v>-8.5987450000000007E-2</v>
      </c>
      <c r="U5444">
        <v>4.5593259999999997E-2</v>
      </c>
      <c r="V5444">
        <v>-1.829308E-2</v>
      </c>
      <c r="W5444">
        <v>-9.8661520000000003E-2</v>
      </c>
      <c r="X5444">
        <v>0.99495290000000003</v>
      </c>
      <c r="Y5444">
        <v>-3.57881E-3</v>
      </c>
      <c r="Z5444">
        <v>-3.839049E-4</v>
      </c>
      <c r="AA5444">
        <v>0.99999349999999998</v>
      </c>
      <c r="AB5444">
        <v>30</v>
      </c>
      <c r="AC5444">
        <v>-38.913099999999901</v>
      </c>
      <c r="AD5444">
        <v>-1.120867696663</v>
      </c>
      <c r="AE5444">
        <v>0.588799999999992</v>
      </c>
      <c r="AF5444">
        <v>-0.14025528426461201</v>
      </c>
      <c r="AG5444">
        <v>-1.120867696663</v>
      </c>
      <c r="AH5444">
        <v>38.885045964818502</v>
      </c>
      <c r="AI5444">
        <v>91.651092120919799</v>
      </c>
      <c r="AJ5444">
        <v>90.206660447335693</v>
      </c>
      <c r="AK5444">
        <v>38.901450045264802</v>
      </c>
      <c r="AL5444">
        <v>95.662100046685296</v>
      </c>
      <c r="AM5444">
        <v>91.053314383381306</v>
      </c>
      <c r="AN5444">
        <v>1.0000000027614999</v>
      </c>
    </row>
    <row r="5445" spans="1:40" x14ac:dyDescent="0.25">
      <c r="A5445" t="str">
        <f>"20190303154248899"</f>
        <v>20190303154248899</v>
      </c>
      <c r="B5445" t="str">
        <f>"1551598968895342"</f>
        <v>1551598968895342</v>
      </c>
      <c r="C5445" t="s">
        <v>40</v>
      </c>
      <c r="D5445">
        <v>5.8636699999999999</v>
      </c>
      <c r="E5445">
        <v>0.50698759999999998</v>
      </c>
      <c r="F5445" t="s">
        <v>41</v>
      </c>
      <c r="G5445">
        <v>-364.9776</v>
      </c>
      <c r="H5445" s="1">
        <v>-2.846416E-6</v>
      </c>
      <c r="I5445">
        <v>142.28290000000001</v>
      </c>
      <c r="J5445">
        <v>-328.99810000000002</v>
      </c>
      <c r="K5445">
        <v>1.1208979999999999</v>
      </c>
      <c r="L5445">
        <v>141.67400000000001</v>
      </c>
      <c r="M5445">
        <v>-0.99975550000000002</v>
      </c>
      <c r="N5445">
        <v>-1.215392E-2</v>
      </c>
      <c r="O5445">
        <v>1.8476039999999999E-2</v>
      </c>
      <c r="P5445">
        <v>-0.99381620000000004</v>
      </c>
      <c r="Q5445">
        <v>-0.11102819999999999</v>
      </c>
      <c r="R5445">
        <v>1.435511E-3</v>
      </c>
      <c r="S5445">
        <v>-3.0081180000000001</v>
      </c>
      <c r="T5445">
        <v>-9.3016740000000001E-2</v>
      </c>
      <c r="U5445">
        <v>5.0933840000000001E-2</v>
      </c>
      <c r="V5445">
        <v>-1.6878299999999999E-2</v>
      </c>
      <c r="W5445">
        <v>-9.8951499999999998E-2</v>
      </c>
      <c r="X5445">
        <v>0.99494910000000003</v>
      </c>
      <c r="Y5445">
        <v>-1.54367E-3</v>
      </c>
      <c r="Z5445">
        <v>-3.7980030000000001E-4</v>
      </c>
      <c r="AA5445">
        <v>0.99999870000000002</v>
      </c>
      <c r="AB5445">
        <v>30</v>
      </c>
      <c r="AC5445">
        <v>-35.979499999999902</v>
      </c>
      <c r="AD5445">
        <v>-1.120900846416</v>
      </c>
      <c r="AE5445">
        <v>0.60890000000000499</v>
      </c>
      <c r="AF5445">
        <v>-5.5957395698219399E-2</v>
      </c>
      <c r="AG5445">
        <v>-1.120900846416</v>
      </c>
      <c r="AH5445">
        <v>35.949726888332897</v>
      </c>
      <c r="AI5445">
        <v>91.785883115485703</v>
      </c>
      <c r="AJ5445">
        <v>90.089183431816096</v>
      </c>
      <c r="AK5445">
        <v>35.9672408350065</v>
      </c>
      <c r="AL5445">
        <v>95.678796427642197</v>
      </c>
      <c r="AM5445">
        <v>90.971871431439496</v>
      </c>
      <c r="AN5445">
        <v>0.99999999397697503</v>
      </c>
    </row>
    <row r="5446" spans="1:40" x14ac:dyDescent="0.25">
      <c r="A5446" t="str">
        <f>"20190303154248922"</f>
        <v>20190303154248922</v>
      </c>
      <c r="B5446" t="str">
        <f>"1551598968915842"</f>
        <v>1551598968915842</v>
      </c>
      <c r="C5446" t="s">
        <v>40</v>
      </c>
      <c r="D5446">
        <v>5.7399319999999996</v>
      </c>
      <c r="E5446">
        <v>0.50698559999999904</v>
      </c>
      <c r="F5446" t="s">
        <v>41</v>
      </c>
      <c r="G5446">
        <v>-364.22949999999997</v>
      </c>
      <c r="H5446" s="1">
        <v>-3.177744E-6</v>
      </c>
      <c r="I5446">
        <v>142.3219</v>
      </c>
      <c r="J5446">
        <v>-329.30759999999998</v>
      </c>
      <c r="K5446">
        <v>1.12093</v>
      </c>
      <c r="L5446">
        <v>141.67939999999999</v>
      </c>
      <c r="M5446">
        <v>-0.99975820000000004</v>
      </c>
      <c r="N5446">
        <v>-1.2377839999999999E-2</v>
      </c>
      <c r="O5446">
        <v>1.8169769999999998E-2</v>
      </c>
      <c r="P5446">
        <v>-0.99378820000000001</v>
      </c>
      <c r="Q5446">
        <v>-0.11124920000000001</v>
      </c>
      <c r="R5446">
        <v>2.9030499999999999E-3</v>
      </c>
      <c r="S5446">
        <v>-3.0079039999999999</v>
      </c>
      <c r="T5446">
        <v>-9.5697760000000007E-2</v>
      </c>
      <c r="U5446">
        <v>5.5328370000000002E-2</v>
      </c>
      <c r="V5446">
        <v>-1.510628E-2</v>
      </c>
      <c r="W5446">
        <v>-9.8948759999999997E-2</v>
      </c>
      <c r="X5446">
        <v>0.99497780000000002</v>
      </c>
      <c r="Y5446">
        <v>2.233615E-4</v>
      </c>
      <c r="Z5446">
        <v>-3.480251E-4</v>
      </c>
      <c r="AA5446">
        <v>0.99999990000000005</v>
      </c>
      <c r="AB5446">
        <v>30</v>
      </c>
      <c r="AC5446">
        <v>-34.921899999999901</v>
      </c>
      <c r="AD5446">
        <v>-1.1209331777439999</v>
      </c>
      <c r="AE5446">
        <v>0.64250000000001195</v>
      </c>
      <c r="AF5446">
        <v>7.8143041847040795E-3</v>
      </c>
      <c r="AG5446">
        <v>-1.1209331777439999</v>
      </c>
      <c r="AH5446">
        <v>34.891872111834999</v>
      </c>
      <c r="AI5446">
        <v>91.840046219360204</v>
      </c>
      <c r="AJ5446">
        <v>89.987168167970594</v>
      </c>
      <c r="AK5446">
        <v>34.909873842810804</v>
      </c>
      <c r="AL5446">
        <v>95.678638972493403</v>
      </c>
      <c r="AM5446">
        <v>90.869828043829898</v>
      </c>
      <c r="AN5446">
        <v>0.99999993964690603</v>
      </c>
    </row>
    <row r="5447" spans="1:40" x14ac:dyDescent="0.25">
      <c r="A5447" t="str">
        <f>"20190303154248945"</f>
        <v>20190303154248945</v>
      </c>
      <c r="B5447" t="str">
        <f>"1551598968935361"</f>
        <v>1551598968935361</v>
      </c>
      <c r="C5447" t="s">
        <v>40</v>
      </c>
      <c r="D5447">
        <v>5.7061080000000004</v>
      </c>
      <c r="E5447">
        <v>0.49017690000000003</v>
      </c>
      <c r="F5447" t="s">
        <v>41</v>
      </c>
      <c r="G5447">
        <v>-364.12490000000003</v>
      </c>
      <c r="H5447" s="1">
        <v>-3.2362859999999999E-6</v>
      </c>
      <c r="I5447">
        <v>142.3733</v>
      </c>
      <c r="J5447">
        <v>-329.6019</v>
      </c>
      <c r="K5447">
        <v>1.12096</v>
      </c>
      <c r="L5447">
        <v>141.68440000000001</v>
      </c>
      <c r="M5447">
        <v>-0.99976100000000001</v>
      </c>
      <c r="N5447">
        <v>-1.257956E-2</v>
      </c>
      <c r="O5447">
        <v>1.787385E-2</v>
      </c>
      <c r="P5447">
        <v>-0.9937918</v>
      </c>
      <c r="Q5447">
        <v>-0.1111811</v>
      </c>
      <c r="R5447">
        <v>4.085155E-3</v>
      </c>
      <c r="S5447">
        <v>-3.0077210000000001</v>
      </c>
      <c r="T5447">
        <v>-9.6832870000000001E-2</v>
      </c>
      <c r="U5447">
        <v>5.9951780000000003E-2</v>
      </c>
      <c r="V5447">
        <v>-1.362827E-2</v>
      </c>
      <c r="W5447">
        <v>-9.8679009999999998E-2</v>
      </c>
      <c r="X5447">
        <v>0.99502599999999997</v>
      </c>
      <c r="Y5447">
        <v>2.0557209999999999E-3</v>
      </c>
      <c r="Z5447">
        <v>-3.0435789999999998E-4</v>
      </c>
      <c r="AA5447">
        <v>0.9999979</v>
      </c>
      <c r="AB5447">
        <v>30</v>
      </c>
      <c r="AC5447">
        <v>-34.523000000000003</v>
      </c>
      <c r="AD5447">
        <v>-1.120963236286</v>
      </c>
      <c r="AE5447">
        <v>0.68889999999998897</v>
      </c>
      <c r="AF5447">
        <v>7.1606644156643404E-2</v>
      </c>
      <c r="AG5447">
        <v>-1.120963236286</v>
      </c>
      <c r="AH5447">
        <v>34.493446258236297</v>
      </c>
      <c r="AI5447">
        <v>91.861331220012403</v>
      </c>
      <c r="AJ5447">
        <v>89.881057039912207</v>
      </c>
      <c r="AK5447">
        <v>34.511730192188701</v>
      </c>
      <c r="AL5447">
        <v>95.663107030089705</v>
      </c>
      <c r="AM5447">
        <v>90.784696613112999</v>
      </c>
      <c r="AN5447">
        <v>1.0000000087168801</v>
      </c>
    </row>
    <row r="5448" spans="1:40" x14ac:dyDescent="0.25">
      <c r="A5448" t="str">
        <f>"20190303154248967"</f>
        <v>20190303154248967</v>
      </c>
      <c r="B5448" t="str">
        <f>"1551598968955854"</f>
        <v>1551598968955854</v>
      </c>
      <c r="C5448" t="s">
        <v>40</v>
      </c>
      <c r="D5448">
        <v>5.7312269999999996</v>
      </c>
      <c r="E5448">
        <v>0.48846620000000002</v>
      </c>
      <c r="F5448" t="s">
        <v>41</v>
      </c>
      <c r="G5448">
        <v>-357.68970000000002</v>
      </c>
      <c r="H5448" s="1">
        <v>-1.3495299999999999E-6</v>
      </c>
      <c r="I5448">
        <v>141.02979999999999</v>
      </c>
      <c r="J5448">
        <v>-329.89789999999999</v>
      </c>
      <c r="K5448">
        <v>1.1209910000000001</v>
      </c>
      <c r="L5448">
        <v>141.68940000000001</v>
      </c>
      <c r="M5448">
        <v>-0.99976410000000004</v>
      </c>
      <c r="N5448">
        <v>-1.277038E-2</v>
      </c>
      <c r="O5448">
        <v>1.7570829999999999E-2</v>
      </c>
      <c r="P5448">
        <v>-0.99384700000000004</v>
      </c>
      <c r="Q5448">
        <v>-0.11068359999999999</v>
      </c>
      <c r="R5448">
        <v>4.1972190000000003E-3</v>
      </c>
      <c r="S5448">
        <v>-3.005646</v>
      </c>
      <c r="T5448">
        <v>-0.119953</v>
      </c>
      <c r="U5448">
        <v>-7.0037840000000004E-2</v>
      </c>
      <c r="V5448">
        <v>-1.3214490000000001E-2</v>
      </c>
      <c r="W5448">
        <v>-9.7990999999999995E-2</v>
      </c>
      <c r="X5448">
        <v>0.99509950000000003</v>
      </c>
      <c r="Y5448">
        <v>-4.0810329999999999E-2</v>
      </c>
      <c r="Z5448">
        <v>-1.5512569999999999E-3</v>
      </c>
      <c r="AA5448">
        <v>0.99916570000000005</v>
      </c>
      <c r="AB5448">
        <v>30</v>
      </c>
      <c r="AC5448">
        <v>-27.791799999999999</v>
      </c>
      <c r="AD5448">
        <v>-1.12099234953</v>
      </c>
      <c r="AE5448">
        <v>-0.65960000000001096</v>
      </c>
      <c r="AF5448">
        <v>-1.14599952950871</v>
      </c>
      <c r="AG5448">
        <v>-1.12099234953</v>
      </c>
      <c r="AH5448">
        <v>27.730827132052301</v>
      </c>
      <c r="AI5448">
        <v>92.312895088021904</v>
      </c>
      <c r="AJ5448">
        <v>92.366449265646906</v>
      </c>
      <c r="AK5448">
        <v>27.777125700783099</v>
      </c>
      <c r="AL5448">
        <v>95.623495380701598</v>
      </c>
      <c r="AM5448">
        <v>90.760818394564595</v>
      </c>
      <c r="AN5448">
        <v>0.999999936863603</v>
      </c>
    </row>
    <row r="5449" spans="1:40" x14ac:dyDescent="0.25">
      <c r="A5449" t="str">
        <f>"20190303154248989"</f>
        <v>20190303154248989</v>
      </c>
      <c r="B5449" t="str">
        <f>"1551598968986110"</f>
        <v>1551598968986110</v>
      </c>
      <c r="C5449" t="s">
        <v>40</v>
      </c>
      <c r="D5449">
        <v>5.716418</v>
      </c>
      <c r="E5449">
        <v>0.48750399999999999</v>
      </c>
      <c r="F5449" t="s">
        <v>41</v>
      </c>
      <c r="G5449">
        <v>-358.02210000000002</v>
      </c>
      <c r="H5449" s="1">
        <v>-1.1747149999999999E-6</v>
      </c>
      <c r="I5449">
        <v>140.90870000000001</v>
      </c>
      <c r="J5449">
        <v>-330.18189999999998</v>
      </c>
      <c r="K5449">
        <v>1.1210290000000001</v>
      </c>
      <c r="L5449">
        <v>141.69399999999999</v>
      </c>
      <c r="M5449">
        <v>-0.99976719999999997</v>
      </c>
      <c r="N5449">
        <v>-1.293913E-2</v>
      </c>
      <c r="O5449">
        <v>1.7270259999999999E-2</v>
      </c>
      <c r="P5449">
        <v>-0.99391989999999997</v>
      </c>
      <c r="Q5449">
        <v>-0.11005040000000001</v>
      </c>
      <c r="R5449">
        <v>3.5498510000000001E-3</v>
      </c>
      <c r="S5449">
        <v>-3.005646</v>
      </c>
      <c r="T5449">
        <v>-0.1198013</v>
      </c>
      <c r="U5449">
        <v>-8.3419800000000002E-2</v>
      </c>
      <c r="V5449">
        <v>-1.356242E-2</v>
      </c>
      <c r="W5449">
        <v>-9.7189490000000003E-2</v>
      </c>
      <c r="X5449">
        <v>0.99517350000000004</v>
      </c>
      <c r="Y5449">
        <v>-4.4951089999999999E-2</v>
      </c>
      <c r="Z5449">
        <v>-1.6509719999999999E-3</v>
      </c>
      <c r="AA5449">
        <v>0.99898790000000004</v>
      </c>
      <c r="AB5449">
        <v>29</v>
      </c>
      <c r="AC5449">
        <v>-27.840199999999999</v>
      </c>
      <c r="AD5449">
        <v>-1.121030174715</v>
      </c>
      <c r="AE5449">
        <v>-0.78529999999997802</v>
      </c>
      <c r="AF5449">
        <v>-1.26398278123295</v>
      </c>
      <c r="AG5449">
        <v>-1.121030174715</v>
      </c>
      <c r="AH5449">
        <v>27.777481116986799</v>
      </c>
      <c r="AI5449">
        <v>92.308674911427403</v>
      </c>
      <c r="AJ5449">
        <v>92.605382234264695</v>
      </c>
      <c r="AK5449">
        <v>27.828812736594301</v>
      </c>
      <c r="AL5449">
        <v>95.577351538199594</v>
      </c>
      <c r="AM5449">
        <v>90.780789805557902</v>
      </c>
      <c r="AN5449">
        <v>1.00000001565248</v>
      </c>
    </row>
    <row r="5450" spans="1:40" x14ac:dyDescent="0.25">
      <c r="A5450" t="str">
        <f>"20190303154249011"</f>
        <v>20190303154249011</v>
      </c>
      <c r="B5450" t="str">
        <f>"1551598969005633"</f>
        <v>1551598969005633</v>
      </c>
      <c r="C5450" t="s">
        <v>40</v>
      </c>
      <c r="D5450">
        <v>5.7306730000000003</v>
      </c>
      <c r="E5450">
        <v>0.48699759999999997</v>
      </c>
      <c r="F5450" t="s">
        <v>41</v>
      </c>
      <c r="G5450">
        <v>-358.47059999999999</v>
      </c>
      <c r="H5450" s="1">
        <v>-9.583485999999999E-7</v>
      </c>
      <c r="I5450">
        <v>140.81870000000001</v>
      </c>
      <c r="J5450">
        <v>-330.4812</v>
      </c>
      <c r="K5450">
        <v>1.1210500000000001</v>
      </c>
      <c r="L5450">
        <v>141.69880000000001</v>
      </c>
      <c r="M5450">
        <v>-0.99977070000000001</v>
      </c>
      <c r="N5450">
        <v>-1.3099939999999999E-2</v>
      </c>
      <c r="O5450">
        <v>1.6941250000000001E-2</v>
      </c>
      <c r="P5450">
        <v>-0.99398609999999998</v>
      </c>
      <c r="Q5450">
        <v>-0.10946939999999999</v>
      </c>
      <c r="R5450">
        <v>2.9199130000000001E-3</v>
      </c>
      <c r="S5450">
        <v>-3.0055540000000001</v>
      </c>
      <c r="T5450">
        <v>-0.11910469999999999</v>
      </c>
      <c r="U5450">
        <v>-9.2987059999999996E-2</v>
      </c>
      <c r="V5450">
        <v>-1.386475E-2</v>
      </c>
      <c r="W5450">
        <v>-9.6448210000000006E-2</v>
      </c>
      <c r="X5450">
        <v>0.9952415</v>
      </c>
      <c r="Y5450">
        <v>-4.7797930000000002E-2</v>
      </c>
      <c r="Z5450">
        <v>-1.7089290000000001E-3</v>
      </c>
      <c r="AA5450">
        <v>0.99885559999999995</v>
      </c>
      <c r="AB5450">
        <v>29</v>
      </c>
      <c r="AC5450">
        <v>-27.9893999999999</v>
      </c>
      <c r="AD5450">
        <v>-1.1210509583485999</v>
      </c>
      <c r="AE5450">
        <v>-0.880099999999998</v>
      </c>
      <c r="AF5450">
        <v>-1.35202297270857</v>
      </c>
      <c r="AG5450">
        <v>-1.1210509583485999</v>
      </c>
      <c r="AH5450">
        <v>27.925716485330302</v>
      </c>
      <c r="AI5450">
        <v>92.296162791842605</v>
      </c>
      <c r="AJ5450">
        <v>92.771809588141707</v>
      </c>
      <c r="AK5450">
        <v>27.980892812578201</v>
      </c>
      <c r="AL5450">
        <v>95.534678567911001</v>
      </c>
      <c r="AM5450">
        <v>90.798138215456504</v>
      </c>
      <c r="AN5450">
        <v>1.0000000659135</v>
      </c>
    </row>
    <row r="5451" spans="1:40" x14ac:dyDescent="0.25">
      <c r="A5451" t="str">
        <f>"20190303154249034"</f>
        <v>20190303154249034</v>
      </c>
      <c r="B5451" t="str">
        <f>"1551598969026126"</f>
        <v>1551598969026126</v>
      </c>
      <c r="C5451" t="s">
        <v>40</v>
      </c>
      <c r="D5451">
        <v>5.7380509999999996</v>
      </c>
      <c r="E5451">
        <v>0.48675020000000002</v>
      </c>
      <c r="F5451" t="s">
        <v>41</v>
      </c>
      <c r="G5451">
        <v>-358.89550000000003</v>
      </c>
      <c r="H5451" s="1">
        <v>-7.6177550000000002E-7</v>
      </c>
      <c r="I5451">
        <v>140.76490000000001</v>
      </c>
      <c r="J5451">
        <v>-330.779</v>
      </c>
      <c r="K5451">
        <v>1.1210629999999999</v>
      </c>
      <c r="L5451">
        <v>141.70349999999999</v>
      </c>
      <c r="M5451">
        <v>-0.99977450000000001</v>
      </c>
      <c r="N5451">
        <v>-1.3242500000000001E-2</v>
      </c>
      <c r="O5451">
        <v>1.6601959999999999E-2</v>
      </c>
      <c r="P5451">
        <v>-0.99413490000000004</v>
      </c>
      <c r="Q5451">
        <v>-0.1081415</v>
      </c>
      <c r="R5451">
        <v>1.210961E-3</v>
      </c>
      <c r="S5451">
        <v>-3.005341</v>
      </c>
      <c r="T5451">
        <v>-0.1185721</v>
      </c>
      <c r="U5451">
        <v>-9.8770140000000006E-2</v>
      </c>
      <c r="V5451">
        <v>-1.523793E-2</v>
      </c>
      <c r="W5451">
        <v>-9.4977989999999998E-2</v>
      </c>
      <c r="X5451">
        <v>0.99536279999999999</v>
      </c>
      <c r="Y5451">
        <v>-4.9380090000000001E-2</v>
      </c>
      <c r="Z5451">
        <v>-1.735569E-3</v>
      </c>
      <c r="AA5451">
        <v>0.99877850000000001</v>
      </c>
      <c r="AB5451">
        <v>29</v>
      </c>
      <c r="AC5451">
        <v>-28.116499999999998</v>
      </c>
      <c r="AD5451">
        <v>-1.1210637617754999</v>
      </c>
      <c r="AE5451">
        <v>-0.93859999999997901</v>
      </c>
      <c r="AF5451">
        <v>-1.40307245183914</v>
      </c>
      <c r="AG5451">
        <v>-1.1210637617754999</v>
      </c>
      <c r="AH5451">
        <v>28.052492522222799</v>
      </c>
      <c r="AI5451">
        <v>92.285643509378602</v>
      </c>
      <c r="AJ5451">
        <v>92.863317605552794</v>
      </c>
      <c r="AK5451">
        <v>28.109922322419202</v>
      </c>
      <c r="AL5451">
        <v>95.4500526851876</v>
      </c>
      <c r="AM5451">
        <v>90.877068021892796</v>
      </c>
      <c r="AN5451">
        <v>1.0000000583594799</v>
      </c>
    </row>
    <row r="5452" spans="1:40" x14ac:dyDescent="0.25">
      <c r="A5452" t="str">
        <f>"20190303154249057"</f>
        <v>20190303154249057</v>
      </c>
      <c r="B5452" t="str">
        <f>"1551598969045646"</f>
        <v>1551598969045646</v>
      </c>
      <c r="C5452" t="s">
        <v>40</v>
      </c>
      <c r="D5452">
        <v>5.7566519999999999</v>
      </c>
      <c r="E5452">
        <v>0.4865546</v>
      </c>
      <c r="F5452" t="s">
        <v>41</v>
      </c>
      <c r="G5452">
        <v>-359.70119999999997</v>
      </c>
      <c r="H5452" s="1">
        <v>-3.949794E-7</v>
      </c>
      <c r="I5452">
        <v>140.68539999999999</v>
      </c>
      <c r="J5452">
        <v>-331.07420000000002</v>
      </c>
      <c r="K5452">
        <v>1.1210690000000001</v>
      </c>
      <c r="L5452">
        <v>141.708</v>
      </c>
      <c r="M5452">
        <v>-0.99977859999999996</v>
      </c>
      <c r="N5452">
        <v>-1.336703E-2</v>
      </c>
      <c r="O5452">
        <v>1.6257939999999999E-2</v>
      </c>
      <c r="P5452">
        <v>-0.99418150000000005</v>
      </c>
      <c r="Q5452">
        <v>-0.10771409999999999</v>
      </c>
      <c r="R5452">
        <v>-9.4761159999999999E-4</v>
      </c>
      <c r="S5452">
        <v>-3.0051269999999999</v>
      </c>
      <c r="T5452">
        <v>-0.116483</v>
      </c>
      <c r="U5452">
        <v>-0.1057739</v>
      </c>
      <c r="V5452">
        <v>-1.705425E-2</v>
      </c>
      <c r="W5452">
        <v>-9.4427730000000001E-2</v>
      </c>
      <c r="X5452">
        <v>0.99538559999999998</v>
      </c>
      <c r="Y5452">
        <v>-5.1363640000000002E-2</v>
      </c>
      <c r="Z5452">
        <v>-1.750939E-3</v>
      </c>
      <c r="AA5452">
        <v>0.99867850000000002</v>
      </c>
      <c r="AB5452">
        <v>29</v>
      </c>
      <c r="AC5452">
        <v>-28.626999999999899</v>
      </c>
      <c r="AD5452">
        <v>-1.1210693949793999</v>
      </c>
      <c r="AE5452">
        <v>-1.0226000000000099</v>
      </c>
      <c r="AF5452">
        <v>-1.4856469050417</v>
      </c>
      <c r="AG5452">
        <v>-1.1210693949793999</v>
      </c>
      <c r="AH5452">
        <v>28.562840597580902</v>
      </c>
      <c r="AI5452">
        <v>92.244630186632804</v>
      </c>
      <c r="AJ5452">
        <v>92.977458062471499</v>
      </c>
      <c r="AK5452">
        <v>28.623413603510599</v>
      </c>
      <c r="AL5452">
        <v>95.418383263435004</v>
      </c>
      <c r="AM5452">
        <v>90.981570309722898</v>
      </c>
      <c r="AN5452">
        <v>0.99999996816168701</v>
      </c>
    </row>
    <row r="5453" spans="1:40" x14ac:dyDescent="0.25">
      <c r="A5453" t="str">
        <f>"20190303154249078"</f>
        <v>20190303154249078</v>
      </c>
      <c r="B5453" t="str">
        <f>"1551598969075901"</f>
        <v>1551598969075901</v>
      </c>
      <c r="C5453" t="s">
        <v>40</v>
      </c>
      <c r="D5453">
        <v>5.7440389999999999</v>
      </c>
      <c r="E5453">
        <v>0.48631649999999998</v>
      </c>
      <c r="F5453" t="s">
        <v>41</v>
      </c>
      <c r="G5453">
        <v>-360.38639999999998</v>
      </c>
      <c r="H5453" s="1">
        <v>-4.318184E-6</v>
      </c>
      <c r="I5453">
        <v>140.59540000000001</v>
      </c>
      <c r="J5453">
        <v>-331.36470000000003</v>
      </c>
      <c r="K5453">
        <v>1.1210739999999999</v>
      </c>
      <c r="L5453">
        <v>141.7124</v>
      </c>
      <c r="M5453">
        <v>-0.99978259999999997</v>
      </c>
      <c r="N5453">
        <v>-1.3474079999999999E-2</v>
      </c>
      <c r="O5453">
        <v>1.591538E-2</v>
      </c>
      <c r="P5453">
        <v>-0.99418629999999997</v>
      </c>
      <c r="Q5453">
        <v>-0.1076448</v>
      </c>
      <c r="R5453">
        <v>-2.5100130000000002E-3</v>
      </c>
      <c r="S5453">
        <v>-3.0050050000000001</v>
      </c>
      <c r="T5453">
        <v>-0.1149293</v>
      </c>
      <c r="U5453">
        <v>-0.11405940000000001</v>
      </c>
      <c r="V5453">
        <v>-1.8275300000000001E-2</v>
      </c>
      <c r="W5453">
        <v>-9.4252900000000001E-2</v>
      </c>
      <c r="X5453">
        <v>0.9953805</v>
      </c>
      <c r="Y5453">
        <v>-5.3771760000000002E-2</v>
      </c>
      <c r="Z5453">
        <v>-1.784087E-3</v>
      </c>
      <c r="AA5453">
        <v>0.99855170000000004</v>
      </c>
      <c r="AB5453">
        <v>29</v>
      </c>
      <c r="AC5453">
        <v>-29.0216999999999</v>
      </c>
      <c r="AD5453">
        <v>-1.1210783181839901</v>
      </c>
      <c r="AE5453">
        <v>-1.11699999999999</v>
      </c>
      <c r="AF5453">
        <v>-1.5764429089348899</v>
      </c>
      <c r="AG5453">
        <v>-1.1210783181839901</v>
      </c>
      <c r="AH5453">
        <v>28.9570986330816</v>
      </c>
      <c r="AI5453">
        <v>92.213832268838203</v>
      </c>
      <c r="AJ5453">
        <v>93.116142666922002</v>
      </c>
      <c r="AK5453">
        <v>29.021639341819601</v>
      </c>
      <c r="AL5453">
        <v>95.408321368127702</v>
      </c>
      <c r="AM5453">
        <v>91.051838896206903</v>
      </c>
      <c r="AN5453">
        <v>0.99999996776437405</v>
      </c>
    </row>
    <row r="5454" spans="1:40" x14ac:dyDescent="0.25">
      <c r="A5454" t="str">
        <f>"20190303154249101"</f>
        <v>20190303154249101</v>
      </c>
      <c r="B5454" t="str">
        <f>"1551598969095421"</f>
        <v>1551598969095421</v>
      </c>
      <c r="C5454" t="s">
        <v>40</v>
      </c>
      <c r="D5454">
        <v>5.7587780000000004</v>
      </c>
      <c r="E5454">
        <v>0.48616860000000001</v>
      </c>
      <c r="F5454" t="s">
        <v>41</v>
      </c>
      <c r="G5454">
        <v>-360.43770000000001</v>
      </c>
      <c r="H5454" s="1">
        <v>-4.2920419999999996E-6</v>
      </c>
      <c r="I5454">
        <v>140.54640000000001</v>
      </c>
      <c r="J5454">
        <v>-331.65640000000002</v>
      </c>
      <c r="K5454">
        <v>1.121073</v>
      </c>
      <c r="L5454">
        <v>141.7166</v>
      </c>
      <c r="M5454">
        <v>-0.99978670000000003</v>
      </c>
      <c r="N5454">
        <v>-1.356809E-2</v>
      </c>
      <c r="O5454">
        <v>1.5570189999999999E-2</v>
      </c>
      <c r="P5454">
        <v>-0.99412009999999995</v>
      </c>
      <c r="Q5454">
        <v>-0.10825269999999999</v>
      </c>
      <c r="R5454">
        <v>-2.5961859999999999E-3</v>
      </c>
      <c r="S5454">
        <v>-3.0047000000000001</v>
      </c>
      <c r="T5454">
        <v>-0.1158638</v>
      </c>
      <c r="U5454">
        <v>-0.1204987</v>
      </c>
      <c r="V5454">
        <v>-1.8017169999999999E-2</v>
      </c>
      <c r="W5454">
        <v>-9.4767770000000001E-2</v>
      </c>
      <c r="X5454">
        <v>0.99533640000000001</v>
      </c>
      <c r="Y5454">
        <v>-5.5564809999999999E-2</v>
      </c>
      <c r="Z5454">
        <v>-1.836641E-3</v>
      </c>
      <c r="AA5454">
        <v>0.99845340000000005</v>
      </c>
      <c r="AB5454">
        <v>29</v>
      </c>
      <c r="AC5454">
        <v>-28.781299999999899</v>
      </c>
      <c r="AD5454">
        <v>-1.121077292042</v>
      </c>
      <c r="AE5454">
        <v>-1.1701999999999899</v>
      </c>
      <c r="AF5454">
        <v>-1.6157822288182799</v>
      </c>
      <c r="AG5454">
        <v>-1.121077292042</v>
      </c>
      <c r="AH5454">
        <v>28.716091596699599</v>
      </c>
      <c r="AI5454">
        <v>92.232166834278402</v>
      </c>
      <c r="AJ5454">
        <v>93.220493504319407</v>
      </c>
      <c r="AK5454">
        <v>28.783354271101501</v>
      </c>
      <c r="AL5454">
        <v>95.437953443545297</v>
      </c>
      <c r="AM5454">
        <v>91.037031370187805</v>
      </c>
      <c r="AN5454">
        <v>1.0000000489052601</v>
      </c>
    </row>
    <row r="5455" spans="1:40" x14ac:dyDescent="0.25">
      <c r="A5455" t="str">
        <f>"20190303154249123"</f>
        <v>20190303154249123</v>
      </c>
      <c r="B5455" t="str">
        <f>"1551598969115918"</f>
        <v>1551598969115918</v>
      </c>
      <c r="C5455" t="s">
        <v>40</v>
      </c>
      <c r="D5455">
        <v>5.7687589999999904</v>
      </c>
      <c r="E5455">
        <v>0.48617650000000001</v>
      </c>
      <c r="F5455" t="s">
        <v>41</v>
      </c>
      <c r="G5455">
        <v>-360.08240000000001</v>
      </c>
      <c r="H5455" s="1">
        <v>-4.4163819999999997E-6</v>
      </c>
      <c r="I5455">
        <v>140.56569999999999</v>
      </c>
      <c r="J5455">
        <v>-331.94279999999998</v>
      </c>
      <c r="K5455">
        <v>1.1210830000000001</v>
      </c>
      <c r="L5455">
        <v>141.72069999999999</v>
      </c>
      <c r="M5455">
        <v>-0.99979079999999998</v>
      </c>
      <c r="N5455">
        <v>-1.3648810000000001E-2</v>
      </c>
      <c r="O5455">
        <v>1.523118E-2</v>
      </c>
      <c r="P5455">
        <v>-0.99407259999999997</v>
      </c>
      <c r="Q5455">
        <v>-0.1086975</v>
      </c>
      <c r="R5455">
        <v>-2.126139E-3</v>
      </c>
      <c r="S5455">
        <v>-3.004486</v>
      </c>
      <c r="T5455">
        <v>-0.1184924</v>
      </c>
      <c r="U5455">
        <v>-0.1216431</v>
      </c>
      <c r="V5455">
        <v>-1.7208770000000002E-2</v>
      </c>
      <c r="W5455">
        <v>-9.5132220000000003E-2</v>
      </c>
      <c r="X5455">
        <v>0.99531590000000003</v>
      </c>
      <c r="Y5455">
        <v>-5.5606259999999998E-2</v>
      </c>
      <c r="Z5455">
        <v>-1.867985E-3</v>
      </c>
      <c r="AA5455">
        <v>0.99845110000000004</v>
      </c>
      <c r="AB5455">
        <v>29</v>
      </c>
      <c r="AC5455">
        <v>-28.139600000000002</v>
      </c>
      <c r="AD5455">
        <v>-1.1210874163819999</v>
      </c>
      <c r="AE5455">
        <v>-1.155</v>
      </c>
      <c r="AF5455">
        <v>-1.58100004156258</v>
      </c>
      <c r="AG5455">
        <v>-1.1210874163819999</v>
      </c>
      <c r="AH5455">
        <v>28.074255824287501</v>
      </c>
      <c r="AI5455">
        <v>92.283159923244696</v>
      </c>
      <c r="AJ5455">
        <v>93.223203954455599</v>
      </c>
      <c r="AK5455">
        <v>28.141077417436101</v>
      </c>
      <c r="AL5455">
        <v>95.458929867101801</v>
      </c>
      <c r="AM5455">
        <v>90.990531408207502</v>
      </c>
      <c r="AN5455">
        <v>1.0000000109199201</v>
      </c>
    </row>
    <row r="5456" spans="1:40" x14ac:dyDescent="0.25">
      <c r="A5456" t="str">
        <f>"20190303154249146"</f>
        <v>20190303154249146</v>
      </c>
      <c r="B5456" t="str">
        <f>"1551598969135441"</f>
        <v>1551598969135441</v>
      </c>
      <c r="C5456" t="s">
        <v>40</v>
      </c>
      <c r="D5456">
        <v>5.7551730000000001</v>
      </c>
      <c r="E5456">
        <v>0.48621510000000001</v>
      </c>
      <c r="F5456" t="s">
        <v>41</v>
      </c>
      <c r="G5456">
        <v>-359.87509999999997</v>
      </c>
      <c r="H5456" s="1">
        <v>-2.9842650000000002E-7</v>
      </c>
      <c r="I5456">
        <v>140.60299999999901</v>
      </c>
      <c r="J5456">
        <v>-332.24279999999999</v>
      </c>
      <c r="K5456">
        <v>1.1210910000000001</v>
      </c>
      <c r="L5456">
        <v>141.72489999999999</v>
      </c>
      <c r="M5456">
        <v>-0.99979530000000005</v>
      </c>
      <c r="N5456">
        <v>-1.372199E-2</v>
      </c>
      <c r="O5456">
        <v>1.487662E-2</v>
      </c>
      <c r="P5456">
        <v>-0.99411139999999998</v>
      </c>
      <c r="Q5456">
        <v>-0.1083628</v>
      </c>
      <c r="R5456">
        <v>-7.3217789999999996E-4</v>
      </c>
      <c r="S5456">
        <v>-3.0044559999999998</v>
      </c>
      <c r="T5456">
        <v>-0.120585999999999</v>
      </c>
      <c r="U5456">
        <v>-0.120224</v>
      </c>
      <c r="V5456">
        <v>-1.5463279999999999E-2</v>
      </c>
      <c r="W5456">
        <v>-9.4722689999999998E-2</v>
      </c>
      <c r="X5456">
        <v>0.99538360000000004</v>
      </c>
      <c r="Y5456">
        <v>-5.4780620000000002E-2</v>
      </c>
      <c r="Z5456">
        <v>-1.867301E-3</v>
      </c>
      <c r="AA5456">
        <v>0.99849670000000001</v>
      </c>
      <c r="AB5456">
        <v>29</v>
      </c>
      <c r="AC5456">
        <v>-27.632299999999901</v>
      </c>
      <c r="AD5456">
        <v>-1.1210912984265</v>
      </c>
      <c r="AE5456">
        <v>-1.1219000000000099</v>
      </c>
      <c r="AF5456">
        <v>-1.5303747503990699</v>
      </c>
      <c r="AG5456">
        <v>-1.1210912984265</v>
      </c>
      <c r="AH5456">
        <v>27.567247004790001</v>
      </c>
      <c r="AI5456">
        <v>92.325217172675394</v>
      </c>
      <c r="AJ5456">
        <v>93.177470158139698</v>
      </c>
      <c r="AK5456">
        <v>27.632444698201599</v>
      </c>
      <c r="AL5456">
        <v>95.435359111839603</v>
      </c>
      <c r="AM5456">
        <v>90.890018098257698</v>
      </c>
      <c r="AN5456">
        <v>1.0000000060890699</v>
      </c>
    </row>
    <row r="5457" spans="1:40" x14ac:dyDescent="0.25">
      <c r="A5457" t="str">
        <f>"20190303154249167"</f>
        <v>20190303154249167</v>
      </c>
      <c r="B5457" t="str">
        <f>"1551598969155935"</f>
        <v>1551598969155935</v>
      </c>
      <c r="C5457" t="s">
        <v>40</v>
      </c>
      <c r="D5457">
        <v>5.7763030000000004</v>
      </c>
      <c r="E5457">
        <v>0.4861856</v>
      </c>
      <c r="F5457" t="s">
        <v>41</v>
      </c>
      <c r="G5457">
        <v>-360.19560000000001</v>
      </c>
      <c r="H5457" s="1">
        <v>-4.3923799999999999E-6</v>
      </c>
      <c r="I5457">
        <v>140.64750000000001</v>
      </c>
      <c r="J5457">
        <v>-332.5215</v>
      </c>
      <c r="K5457">
        <v>1.1210929999999999</v>
      </c>
      <c r="L5457">
        <v>141.7287</v>
      </c>
      <c r="M5457">
        <v>-0.99979910000000005</v>
      </c>
      <c r="N5457">
        <v>-1.3780850000000001E-2</v>
      </c>
      <c r="O5457">
        <v>1.454857E-2</v>
      </c>
      <c r="P5457">
        <v>-0.99414270000000005</v>
      </c>
      <c r="Q5457">
        <v>-0.1080755</v>
      </c>
      <c r="R5457">
        <v>1.23915E-4</v>
      </c>
      <c r="S5457">
        <v>-3.0045470000000001</v>
      </c>
      <c r="T5457">
        <v>-0.1205027</v>
      </c>
      <c r="U5457">
        <v>-0.115799</v>
      </c>
      <c r="V5457">
        <v>-1.4282380000000001E-2</v>
      </c>
      <c r="W5457">
        <v>-9.437545E-2</v>
      </c>
      <c r="X5457">
        <v>0.99543419999999905</v>
      </c>
      <c r="Y5457">
        <v>-5.298551E-2</v>
      </c>
      <c r="Z5457">
        <v>-1.8098669999999999E-3</v>
      </c>
      <c r="AA5457">
        <v>0.99859359999999997</v>
      </c>
      <c r="AB5457">
        <v>29</v>
      </c>
      <c r="AC5457">
        <v>-27.674099999999999</v>
      </c>
      <c r="AD5457">
        <v>-1.1210973923799901</v>
      </c>
      <c r="AE5457">
        <v>-1.0811999999999899</v>
      </c>
      <c r="AF5457">
        <v>-1.4813150963541</v>
      </c>
      <c r="AG5457">
        <v>-1.1210973923799901</v>
      </c>
      <c r="AH5457">
        <v>27.610196597784601</v>
      </c>
      <c r="AI5457">
        <v>92.321851861632894</v>
      </c>
      <c r="AJ5457">
        <v>93.071032449825694</v>
      </c>
      <c r="AK5457">
        <v>27.6726238355925</v>
      </c>
      <c r="AL5457">
        <v>95.415374342863601</v>
      </c>
      <c r="AM5457">
        <v>90.822017114424995</v>
      </c>
      <c r="AN5457">
        <v>0.99999997923540296</v>
      </c>
    </row>
    <row r="5458" spans="1:40" x14ac:dyDescent="0.25">
      <c r="A5458" t="str">
        <f>"20190303154249190"</f>
        <v>20190303154249190</v>
      </c>
      <c r="B5458" t="str">
        <f>"1551598969185344"</f>
        <v>1551598969185344</v>
      </c>
      <c r="C5458" t="s">
        <v>40</v>
      </c>
      <c r="D5458">
        <v>5.7866530000000003</v>
      </c>
      <c r="E5458">
        <v>0.4861625</v>
      </c>
      <c r="F5458" t="s">
        <v>41</v>
      </c>
      <c r="G5458">
        <v>-360.5301</v>
      </c>
      <c r="H5458" s="1">
        <v>-4.2829540000000003E-6</v>
      </c>
      <c r="I5458">
        <v>140.67240000000001</v>
      </c>
      <c r="J5458">
        <v>-332.8073</v>
      </c>
      <c r="K5458">
        <v>1.1210910000000001</v>
      </c>
      <c r="L5458">
        <v>141.73249999999999</v>
      </c>
      <c r="M5458">
        <v>-0.99980349999999996</v>
      </c>
      <c r="N5458">
        <v>-1.3833059999999999E-2</v>
      </c>
      <c r="O5458">
        <v>1.4212519999999999E-2</v>
      </c>
      <c r="P5458">
        <v>-0.99419800000000003</v>
      </c>
      <c r="Q5458">
        <v>-0.1075657</v>
      </c>
      <c r="R5458">
        <v>7.1470769999999999E-4</v>
      </c>
      <c r="S5458">
        <v>-3.004578</v>
      </c>
      <c r="T5458">
        <v>-0.1202642</v>
      </c>
      <c r="U5458">
        <v>-0.1133118</v>
      </c>
      <c r="V5458">
        <v>-1.3358449999999999E-2</v>
      </c>
      <c r="W5458">
        <v>-9.3812119999999999E-2</v>
      </c>
      <c r="X5458">
        <v>0.9955003</v>
      </c>
      <c r="Y5458">
        <v>-5.182556E-2</v>
      </c>
      <c r="Z5458">
        <v>-1.767214E-3</v>
      </c>
      <c r="AA5458">
        <v>0.99865459999999995</v>
      </c>
      <c r="AB5458">
        <v>29</v>
      </c>
      <c r="AC5458">
        <v>-27.722799999999999</v>
      </c>
      <c r="AD5458">
        <v>-1.121095282954</v>
      </c>
      <c r="AE5458">
        <v>-1.0600999999999701</v>
      </c>
      <c r="AF5458">
        <v>-1.4516708579395701</v>
      </c>
      <c r="AG5458">
        <v>-1.121095282954</v>
      </c>
      <c r="AH5458">
        <v>27.659763883937298</v>
      </c>
      <c r="AI5458">
        <v>92.317834292670995</v>
      </c>
      <c r="AJ5458">
        <v>93.004305176081004</v>
      </c>
      <c r="AK5458">
        <v>27.720511197097601</v>
      </c>
      <c r="AL5458">
        <v>95.382953935152898</v>
      </c>
      <c r="AM5458">
        <v>90.768796223610295</v>
      </c>
      <c r="AN5458">
        <v>1.00000000467269</v>
      </c>
    </row>
    <row r="5459" spans="1:40" x14ac:dyDescent="0.25">
      <c r="A5459" t="str">
        <f>"20190303154249212"</f>
        <v>20190303154249212</v>
      </c>
      <c r="B5459" t="str">
        <f>"1551598969205843"</f>
        <v>1551598969205843</v>
      </c>
      <c r="C5459" t="s">
        <v>40</v>
      </c>
      <c r="D5459">
        <v>5.7884120000000001</v>
      </c>
      <c r="E5459">
        <v>0.48597380000000001</v>
      </c>
      <c r="F5459" t="s">
        <v>41</v>
      </c>
      <c r="G5459">
        <v>-360.8175</v>
      </c>
      <c r="H5459" s="1">
        <v>-4.1884940000000001E-6</v>
      </c>
      <c r="I5459">
        <v>140.69120000000001</v>
      </c>
      <c r="J5459">
        <v>-333.10140000000001</v>
      </c>
      <c r="K5459">
        <v>1.121095</v>
      </c>
      <c r="L5459">
        <v>141.7363</v>
      </c>
      <c r="M5459">
        <v>-0.99980760000000002</v>
      </c>
      <c r="N5459">
        <v>-1.3879519999999999E-2</v>
      </c>
      <c r="O5459">
        <v>1.386722E-2</v>
      </c>
      <c r="P5459">
        <v>-0.99419740000000001</v>
      </c>
      <c r="Q5459">
        <v>-0.1075681</v>
      </c>
      <c r="R5459">
        <v>9.5274140000000003E-4</v>
      </c>
      <c r="S5459">
        <v>-3.0046080000000002</v>
      </c>
      <c r="T5459">
        <v>-0.120258199999999</v>
      </c>
      <c r="U5459">
        <v>-0.1116943</v>
      </c>
      <c r="V5459">
        <v>-1.2777480000000001E-2</v>
      </c>
      <c r="W5459">
        <v>-9.3767790000000004E-2</v>
      </c>
      <c r="X5459">
        <v>0.99551210000000001</v>
      </c>
      <c r="Y5459">
        <v>-5.0944469999999999E-2</v>
      </c>
      <c r="Z5459">
        <v>-1.7349119999999999E-3</v>
      </c>
      <c r="AA5459">
        <v>0.99870000000000003</v>
      </c>
      <c r="AB5459">
        <v>29</v>
      </c>
      <c r="AC5459">
        <v>-27.716099999999901</v>
      </c>
      <c r="AD5459">
        <v>-1.121099188494</v>
      </c>
      <c r="AE5459">
        <v>-1.0450999999999899</v>
      </c>
      <c r="AF5459">
        <v>-1.4270501803868301</v>
      </c>
      <c r="AG5459">
        <v>-1.121099188494</v>
      </c>
      <c r="AH5459">
        <v>27.653758900571301</v>
      </c>
      <c r="AI5459">
        <v>92.318450773362301</v>
      </c>
      <c r="AJ5459">
        <v>92.954082646233502</v>
      </c>
      <c r="AK5459">
        <v>27.713240823453098</v>
      </c>
      <c r="AL5459">
        <v>95.380402783008407</v>
      </c>
      <c r="AM5459">
        <v>90.735355681896806</v>
      </c>
      <c r="AN5459">
        <v>1.00000000184152</v>
      </c>
    </row>
    <row r="5460" spans="1:40" x14ac:dyDescent="0.25">
      <c r="A5460" t="str">
        <f>"20190303154249235"</f>
        <v>20190303154249235</v>
      </c>
      <c r="B5460" t="str">
        <f>"1551598969225362"</f>
        <v>1551598969225362</v>
      </c>
      <c r="C5460" t="s">
        <v>40</v>
      </c>
      <c r="D5460">
        <v>5.7958769999999999</v>
      </c>
      <c r="E5460">
        <v>0.48576330000000001</v>
      </c>
      <c r="F5460" t="s">
        <v>41</v>
      </c>
      <c r="G5460">
        <v>-360.94380000000001</v>
      </c>
      <c r="H5460" s="1">
        <v>-4.1463249999999996E-6</v>
      </c>
      <c r="I5460">
        <v>140.69569999999999</v>
      </c>
      <c r="J5460">
        <v>-333.38889999999998</v>
      </c>
      <c r="K5460">
        <v>1.121097</v>
      </c>
      <c r="L5460">
        <v>141.73990000000001</v>
      </c>
      <c r="M5460">
        <v>-0.99981169999999997</v>
      </c>
      <c r="N5460">
        <v>-1.391857E-2</v>
      </c>
      <c r="O5460">
        <v>1.352972E-2</v>
      </c>
      <c r="P5460">
        <v>-0.99412509999999998</v>
      </c>
      <c r="Q5460">
        <v>-0.1082364</v>
      </c>
      <c r="R5460">
        <v>7.3974489999999995E-4</v>
      </c>
      <c r="S5460">
        <v>-3.0045470000000001</v>
      </c>
      <c r="T5460">
        <v>-0.120981199999999</v>
      </c>
      <c r="U5460">
        <v>-0.1122894</v>
      </c>
      <c r="V5460">
        <v>-1.265377E-2</v>
      </c>
      <c r="W5460">
        <v>-9.4398070000000001E-2</v>
      </c>
      <c r="X5460">
        <v>0.99545410000000001</v>
      </c>
      <c r="Y5460">
        <v>-5.0805219999999998E-2</v>
      </c>
      <c r="Z5460">
        <v>-1.732192E-3</v>
      </c>
      <c r="AA5460">
        <v>0.99870709999999996</v>
      </c>
      <c r="AB5460">
        <v>29</v>
      </c>
      <c r="AC5460">
        <v>-27.5549</v>
      </c>
      <c r="AD5460">
        <v>-1.121101146325</v>
      </c>
      <c r="AE5460">
        <v>-1.04420000000001</v>
      </c>
      <c r="AF5460">
        <v>-1.4146122316977501</v>
      </c>
      <c r="AG5460">
        <v>-1.121101146325</v>
      </c>
      <c r="AH5460">
        <v>27.492803119406499</v>
      </c>
      <c r="AI5460">
        <v>92.332031191698405</v>
      </c>
      <c r="AJ5460">
        <v>92.945494341406004</v>
      </c>
      <c r="AK5460">
        <v>27.551991196804799</v>
      </c>
      <c r="AL5460">
        <v>95.416676130352997</v>
      </c>
      <c r="AM5460">
        <v>90.728279254587704</v>
      </c>
      <c r="AN5460">
        <v>0.99999998936087298</v>
      </c>
    </row>
    <row r="5461" spans="1:40" x14ac:dyDescent="0.25">
      <c r="A5461" t="str">
        <f>"20190303154249258"</f>
        <v>20190303154249258</v>
      </c>
      <c r="B5461" t="str">
        <f>"1551598969255615"</f>
        <v>1551598969255615</v>
      </c>
      <c r="C5461" t="s">
        <v>40</v>
      </c>
      <c r="D5461">
        <v>5.7889540000000004</v>
      </c>
      <c r="E5461">
        <v>0.48561650000000001</v>
      </c>
      <c r="F5461" t="s">
        <v>41</v>
      </c>
      <c r="G5461">
        <v>-360.69659999999999</v>
      </c>
      <c r="H5461" s="1">
        <v>-4.2313880000000004E-6</v>
      </c>
      <c r="I5461">
        <v>140.7011</v>
      </c>
      <c r="J5461">
        <v>-333.6875</v>
      </c>
      <c r="K5461">
        <v>1.1211</v>
      </c>
      <c r="L5461">
        <v>141.74359999999999</v>
      </c>
      <c r="M5461">
        <v>-0.99981589999999998</v>
      </c>
      <c r="N5461">
        <v>-1.395269E-2</v>
      </c>
      <c r="O5461">
        <v>1.317957E-2</v>
      </c>
      <c r="P5461">
        <v>-0.99409729999999996</v>
      </c>
      <c r="Q5461">
        <v>-0.10849109999999999</v>
      </c>
      <c r="R5461">
        <v>8.7050399999999905E-4</v>
      </c>
      <c r="S5461">
        <v>-3.0043950000000001</v>
      </c>
      <c r="T5461">
        <v>-0.12334389999999899</v>
      </c>
      <c r="U5461">
        <v>-0.1142883</v>
      </c>
      <c r="V5461">
        <v>-1.2174569999999999E-2</v>
      </c>
      <c r="W5461">
        <v>-9.4618709999999995E-2</v>
      </c>
      <c r="X5461">
        <v>0.99543910000000002</v>
      </c>
      <c r="Y5461">
        <v>-5.1118429999999999E-2</v>
      </c>
      <c r="Z5461">
        <v>-1.76237299999999E-3</v>
      </c>
      <c r="AA5461">
        <v>0.998691</v>
      </c>
      <c r="AB5461">
        <v>29</v>
      </c>
      <c r="AC5461">
        <v>-27.009099999999901</v>
      </c>
      <c r="AD5461">
        <v>-1.121104231388</v>
      </c>
      <c r="AE5461">
        <v>-1.04249999999998</v>
      </c>
      <c r="AF5461">
        <v>-1.39601070408812</v>
      </c>
      <c r="AG5461">
        <v>-1.121104231388</v>
      </c>
      <c r="AH5461">
        <v>26.946654075219001</v>
      </c>
      <c r="AI5461">
        <v>92.3792059226719</v>
      </c>
      <c r="AJ5461">
        <v>92.965640124840803</v>
      </c>
      <c r="AK5461">
        <v>27.006071288380401</v>
      </c>
      <c r="AL5461">
        <v>95.429374863095404</v>
      </c>
      <c r="AM5461">
        <v>90.700712581255104</v>
      </c>
      <c r="AN5461">
        <v>0.999999961122778</v>
      </c>
    </row>
    <row r="5462" spans="1:40" x14ac:dyDescent="0.25">
      <c r="A5462" t="str">
        <f>"20190303154249280"</f>
        <v>20190303154249280</v>
      </c>
      <c r="B5462" t="str">
        <f>"1551598969275136"</f>
        <v>1551598969275136</v>
      </c>
      <c r="C5462" t="s">
        <v>40</v>
      </c>
      <c r="D5462">
        <v>5.761781</v>
      </c>
      <c r="E5462">
        <v>0.48546729999999999</v>
      </c>
      <c r="F5462" t="s">
        <v>41</v>
      </c>
      <c r="G5462">
        <v>-360.58109999999999</v>
      </c>
      <c r="H5462" s="1">
        <v>-4.2732300000000004E-6</v>
      </c>
      <c r="I5462">
        <v>140.71539999999999</v>
      </c>
      <c r="J5462">
        <v>-333.98360000000002</v>
      </c>
      <c r="K5462">
        <v>1.121105</v>
      </c>
      <c r="L5462">
        <v>141.74709999999999</v>
      </c>
      <c r="M5462">
        <v>-0.99981989999999998</v>
      </c>
      <c r="N5462">
        <v>-1.398106E-2</v>
      </c>
      <c r="O5462">
        <v>1.283201E-2</v>
      </c>
      <c r="P5462">
        <v>-0.99415880000000001</v>
      </c>
      <c r="Q5462">
        <v>-0.1079261</v>
      </c>
      <c r="R5462">
        <v>6.9661279999999896E-4</v>
      </c>
      <c r="S5462">
        <v>-3.0042719999999998</v>
      </c>
      <c r="T5462">
        <v>-0.12523819999999999</v>
      </c>
      <c r="U5462">
        <v>-0.11485289999999999</v>
      </c>
      <c r="V5462">
        <v>-1.200438E-2</v>
      </c>
      <c r="W5462">
        <v>-9.4024529999999995E-2</v>
      </c>
      <c r="X5462">
        <v>0.99549750000000004</v>
      </c>
      <c r="Y5462">
        <v>-5.0958730000000001E-2</v>
      </c>
      <c r="Z5462">
        <v>-1.7731139999999999E-3</v>
      </c>
      <c r="AA5462">
        <v>0.99869920000000001</v>
      </c>
      <c r="AB5462">
        <v>29</v>
      </c>
      <c r="AC5462">
        <v>-26.597499999999901</v>
      </c>
      <c r="AD5462">
        <v>-1.1211092732300001</v>
      </c>
      <c r="AE5462">
        <v>-1.0317000000000001</v>
      </c>
      <c r="AF5462">
        <v>-1.3705164546644599</v>
      </c>
      <c r="AG5462">
        <v>-1.1211092732300001</v>
      </c>
      <c r="AH5462">
        <v>26.5349957086957</v>
      </c>
      <c r="AI5462">
        <v>92.416103425443495</v>
      </c>
      <c r="AJ5462">
        <v>92.956665046749706</v>
      </c>
      <c r="AK5462">
        <v>26.5940068176183</v>
      </c>
      <c r="AL5462">
        <v>95.3951782165379</v>
      </c>
      <c r="AM5462">
        <v>90.690877651150799</v>
      </c>
      <c r="AN5462">
        <v>0.99999999494357705</v>
      </c>
    </row>
    <row r="5463" spans="1:40" x14ac:dyDescent="0.25">
      <c r="A5463" t="str">
        <f>"20190303154249303"</f>
        <v>20190303154249303</v>
      </c>
      <c r="B5463" t="str">
        <f>"1551598969295632"</f>
        <v>1551598969295632</v>
      </c>
      <c r="C5463" t="s">
        <v>40</v>
      </c>
      <c r="D5463">
        <v>5.7747330000000003</v>
      </c>
      <c r="E5463">
        <v>0.48538890000000001</v>
      </c>
      <c r="F5463" t="s">
        <v>41</v>
      </c>
      <c r="G5463">
        <v>-361.07870000000003</v>
      </c>
      <c r="H5463" s="1">
        <v>-4.0968609999999997E-6</v>
      </c>
      <c r="I5463">
        <v>140.6962</v>
      </c>
      <c r="J5463">
        <v>-334.27010000000001</v>
      </c>
      <c r="K5463">
        <v>1.121108</v>
      </c>
      <c r="L5463">
        <v>141.75040000000001</v>
      </c>
      <c r="M5463">
        <v>-0.99982400000000005</v>
      </c>
      <c r="N5463">
        <v>-1.400449E-2</v>
      </c>
      <c r="O5463">
        <v>1.249552E-2</v>
      </c>
      <c r="P5463">
        <v>-0.9942008</v>
      </c>
      <c r="Q5463">
        <v>-0.10753840000000001</v>
      </c>
      <c r="R5463">
        <v>7.7997989999999996E-4</v>
      </c>
      <c r="S5463">
        <v>-3.004181</v>
      </c>
      <c r="T5463">
        <v>-0.1243037</v>
      </c>
      <c r="U5463">
        <v>-0.1165161</v>
      </c>
      <c r="V5463">
        <v>-1.1587099999999999E-2</v>
      </c>
      <c r="W5463">
        <v>-9.3612600000000004E-2</v>
      </c>
      <c r="X5463">
        <v>0.99554129999999996</v>
      </c>
      <c r="Y5463">
        <v>-5.1176609999999997E-2</v>
      </c>
      <c r="Z5463">
        <v>-1.7583760000000001E-3</v>
      </c>
      <c r="AA5463">
        <v>0.99868800000000002</v>
      </c>
      <c r="AB5463">
        <v>29</v>
      </c>
      <c r="AC5463">
        <v>-26.808599999999998</v>
      </c>
      <c r="AD5463">
        <v>-1.121112096861</v>
      </c>
      <c r="AE5463">
        <v>-1.0542</v>
      </c>
      <c r="AF5463">
        <v>-1.3867164835641399</v>
      </c>
      <c r="AG5463">
        <v>-1.121112096861</v>
      </c>
      <c r="AH5463">
        <v>26.7466291924163</v>
      </c>
      <c r="AI5463">
        <v>92.396990011143203</v>
      </c>
      <c r="AJ5463">
        <v>92.967922601394093</v>
      </c>
      <c r="AK5463">
        <v>26.806007686638601</v>
      </c>
      <c r="AL5463">
        <v>95.371471615944799</v>
      </c>
      <c r="AM5463">
        <v>90.666835168894494</v>
      </c>
      <c r="AN5463">
        <v>1.0000000298854199</v>
      </c>
    </row>
    <row r="5464" spans="1:40" x14ac:dyDescent="0.25">
      <c r="A5464" t="str">
        <f>"20190303154249325"</f>
        <v>20190303154249325</v>
      </c>
      <c r="B5464" t="str">
        <f>"1551598969316129"</f>
        <v>1551598969316129</v>
      </c>
      <c r="C5464" t="s">
        <v>40</v>
      </c>
      <c r="D5464">
        <v>5.9161010000000003</v>
      </c>
      <c r="E5464">
        <v>0.48572120000000002</v>
      </c>
      <c r="F5464" t="s">
        <v>41</v>
      </c>
      <c r="G5464">
        <v>-361.55630000000002</v>
      </c>
      <c r="H5464" s="1">
        <v>-3.8899270000000003E-6</v>
      </c>
      <c r="I5464">
        <v>140.6885</v>
      </c>
      <c r="J5464">
        <v>-334.56290000000001</v>
      </c>
      <c r="K5464">
        <v>1.1211070000000001</v>
      </c>
      <c r="L5464">
        <v>141.75370000000001</v>
      </c>
      <c r="M5464">
        <v>-0.99982789999999999</v>
      </c>
      <c r="N5464">
        <v>-1.4024750000000001E-2</v>
      </c>
      <c r="O5464">
        <v>1.2151779999999999E-2</v>
      </c>
      <c r="P5464">
        <v>-0.99419389999999996</v>
      </c>
      <c r="Q5464">
        <v>-0.107605199999999</v>
      </c>
      <c r="R5464">
        <v>1.4984490000000001E-4</v>
      </c>
      <c r="S5464">
        <v>-3.0042719999999998</v>
      </c>
      <c r="T5464">
        <v>-0.1234373</v>
      </c>
      <c r="U5464">
        <v>-0.1169128</v>
      </c>
      <c r="V5464">
        <v>-1.187567E-2</v>
      </c>
      <c r="W5464">
        <v>-9.3659500000000007E-2</v>
      </c>
      <c r="X5464">
        <v>0.99553349999999996</v>
      </c>
      <c r="Y5464">
        <v>-5.0964929999999999E-2</v>
      </c>
      <c r="Z5464">
        <v>-1.732496E-3</v>
      </c>
      <c r="AA5464">
        <v>0.99869889999999995</v>
      </c>
      <c r="AB5464">
        <v>29</v>
      </c>
      <c r="AC5464">
        <v>-26.993400000000001</v>
      </c>
      <c r="AD5464">
        <v>-1.1211108899269999</v>
      </c>
      <c r="AE5464">
        <v>-1.0651999999999999</v>
      </c>
      <c r="AF5464">
        <v>-1.3907761070308999</v>
      </c>
      <c r="AG5464">
        <v>-1.1211108899269999</v>
      </c>
      <c r="AH5464">
        <v>26.932076348994698</v>
      </c>
      <c r="AI5464">
        <v>92.380526774961197</v>
      </c>
      <c r="AJ5464">
        <v>92.956136045258603</v>
      </c>
      <c r="AK5464">
        <v>26.9912557002353</v>
      </c>
      <c r="AL5464">
        <v>95.374170583256401</v>
      </c>
      <c r="AM5464">
        <v>90.683446109863695</v>
      </c>
      <c r="AN5464">
        <v>1.0000000415502199</v>
      </c>
    </row>
    <row r="5465" spans="1:40" x14ac:dyDescent="0.25">
      <c r="A5465" t="str">
        <f>"20190303154249346"</f>
        <v>20190303154249346</v>
      </c>
      <c r="B5465" t="str">
        <f>"1551598969335648"</f>
        <v>1551598969335648</v>
      </c>
      <c r="C5465" t="s">
        <v>40</v>
      </c>
      <c r="D5465">
        <v>5.9528749999999997</v>
      </c>
      <c r="E5465">
        <v>0.51616309999999999</v>
      </c>
      <c r="F5465" t="s">
        <v>41</v>
      </c>
      <c r="G5465">
        <v>-361.29239999999999</v>
      </c>
      <c r="H5465" s="1">
        <v>-4.0113780000000001E-6</v>
      </c>
      <c r="I5465">
        <v>140.71940000000001</v>
      </c>
      <c r="J5465">
        <v>-334.83479999999997</v>
      </c>
      <c r="K5465">
        <v>1.121102</v>
      </c>
      <c r="L5465">
        <v>141.75659999999999</v>
      </c>
      <c r="M5465">
        <v>-0.99983149999999998</v>
      </c>
      <c r="N5465">
        <v>-1.404066E-2</v>
      </c>
      <c r="O5465">
        <v>1.183262E-2</v>
      </c>
      <c r="P5465">
        <v>-0.99413249999999997</v>
      </c>
      <c r="Q5465">
        <v>-0.1081675</v>
      </c>
      <c r="R5465">
        <v>-7.4920550000000003E-4</v>
      </c>
      <c r="S5465">
        <v>-3.0039060000000002</v>
      </c>
      <c r="T5465">
        <v>-0.12599299999999999</v>
      </c>
      <c r="U5465">
        <v>-0.1162262</v>
      </c>
      <c r="V5465">
        <v>-1.245654E-2</v>
      </c>
      <c r="W5465">
        <v>-9.4207250000000006E-2</v>
      </c>
      <c r="X5465">
        <v>0.99547470000000005</v>
      </c>
      <c r="Y5465">
        <v>-5.0421269999999997E-2</v>
      </c>
      <c r="Z5465">
        <v>-1.7407670000000001E-3</v>
      </c>
      <c r="AA5465">
        <v>0.99872649999999996</v>
      </c>
      <c r="AB5465">
        <v>29</v>
      </c>
      <c r="AC5465">
        <v>-26.457599999999999</v>
      </c>
      <c r="AD5465">
        <v>-1.121106011378</v>
      </c>
      <c r="AE5465">
        <v>-1.0371999999999799</v>
      </c>
      <c r="AF5465">
        <v>-1.3478046263902901</v>
      </c>
      <c r="AG5465">
        <v>-1.121106011378</v>
      </c>
      <c r="AH5465">
        <v>26.396151058202399</v>
      </c>
      <c r="AI5465">
        <v>92.428863128489795</v>
      </c>
      <c r="AJ5465">
        <v>92.923021208421503</v>
      </c>
      <c r="AK5465">
        <v>26.454304880058899</v>
      </c>
      <c r="AL5465">
        <v>95.405693816197697</v>
      </c>
      <c r="AM5465">
        <v>90.716914173952304</v>
      </c>
      <c r="AN5465">
        <v>1.0000000248407099</v>
      </c>
    </row>
    <row r="5466" spans="1:40" x14ac:dyDescent="0.25">
      <c r="A5466" t="str">
        <f>"20190303154249367"</f>
        <v>20190303154249367</v>
      </c>
      <c r="B5466" t="str">
        <f>"1551598969365903"</f>
        <v>1551598969365903</v>
      </c>
      <c r="C5466" t="s">
        <v>40</v>
      </c>
      <c r="D5466">
        <v>5.9504330000000003</v>
      </c>
      <c r="E5466">
        <v>0.5165476</v>
      </c>
      <c r="F5466" t="s">
        <v>42</v>
      </c>
      <c r="G5466">
        <v>-335.6474</v>
      </c>
      <c r="H5466">
        <v>0.97788160000000002</v>
      </c>
      <c r="I5466">
        <v>141.79230000000001</v>
      </c>
      <c r="J5466">
        <v>-335.11169999999998</v>
      </c>
      <c r="K5466">
        <v>1.121103</v>
      </c>
      <c r="L5466">
        <v>141.7595</v>
      </c>
      <c r="M5466">
        <v>-0.99983509999999998</v>
      </c>
      <c r="N5466">
        <v>-1.405434E-2</v>
      </c>
      <c r="O5466">
        <v>1.1507409999999999E-2</v>
      </c>
      <c r="P5466">
        <v>-0.99407630000000002</v>
      </c>
      <c r="Q5466">
        <v>-0.1086729</v>
      </c>
      <c r="R5466">
        <v>-1.6314669999999999E-3</v>
      </c>
      <c r="S5466">
        <v>-2.9610289999999999</v>
      </c>
      <c r="T5466">
        <v>-0.52191659999999995</v>
      </c>
      <c r="U5466">
        <v>0.12927249999999901</v>
      </c>
      <c r="V5466">
        <v>-1.301509E-2</v>
      </c>
      <c r="W5466">
        <v>-9.4700090000000001E-2</v>
      </c>
      <c r="X5466">
        <v>0.99542079999999999</v>
      </c>
      <c r="Y5466">
        <v>3.1737950000000001E-2</v>
      </c>
      <c r="Z5466">
        <v>1.148224E-3</v>
      </c>
      <c r="AA5466">
        <v>0.99949560000000004</v>
      </c>
      <c r="AB5466">
        <v>29</v>
      </c>
      <c r="AC5466">
        <v>-0.53570000000001905</v>
      </c>
      <c r="AD5466">
        <v>-0.1432214</v>
      </c>
      <c r="AE5466">
        <v>3.2800000000008801E-2</v>
      </c>
      <c r="AF5466">
        <v>2.4862233851390001E-2</v>
      </c>
      <c r="AG5466">
        <v>-0.1432214</v>
      </c>
      <c r="AH5466">
        <v>0.50040745765554695</v>
      </c>
      <c r="AI5466">
        <v>105.952953416947</v>
      </c>
      <c r="AJ5466">
        <v>87.155656547019305</v>
      </c>
      <c r="AK5466">
        <v>0.52109320065351905</v>
      </c>
      <c r="AL5466">
        <v>95.434058226149503</v>
      </c>
      <c r="AM5466">
        <v>90.749097504450702</v>
      </c>
      <c r="AN5466">
        <v>1.0000000343431701</v>
      </c>
    </row>
    <row r="5467" spans="1:40" x14ac:dyDescent="0.25">
      <c r="A5467" t="str">
        <f>"20190303154249391"</f>
        <v>20190303154249391</v>
      </c>
      <c r="B5467" t="str">
        <f>"1551598969386104"</f>
        <v>1551598969386104</v>
      </c>
      <c r="C5467" t="s">
        <v>40</v>
      </c>
      <c r="D5467">
        <v>5.9380519999999999</v>
      </c>
      <c r="E5467">
        <v>0.51636170000000003</v>
      </c>
      <c r="F5467" t="s">
        <v>42</v>
      </c>
      <c r="G5467">
        <v>-335.89069999999998</v>
      </c>
      <c r="H5467">
        <v>0.95008210000000004</v>
      </c>
      <c r="I5467">
        <v>141.7946</v>
      </c>
      <c r="J5467">
        <v>-335.40929999999997</v>
      </c>
      <c r="K5467">
        <v>1.1211009999999999</v>
      </c>
      <c r="L5467">
        <v>141.76259999999999</v>
      </c>
      <c r="M5467">
        <v>-0.99983909999999998</v>
      </c>
      <c r="N5467">
        <v>-1.405006E-2</v>
      </c>
      <c r="O5467">
        <v>1.115711E-2</v>
      </c>
      <c r="P5467">
        <v>-0.9940542</v>
      </c>
      <c r="Q5467">
        <v>-0.1088636</v>
      </c>
      <c r="R5467">
        <v>-2.3124859999999999E-3</v>
      </c>
      <c r="S5467">
        <v>-2.9473569999999998</v>
      </c>
      <c r="T5467">
        <v>-0.64707009999999998</v>
      </c>
      <c r="U5467">
        <v>0.13171389999999999</v>
      </c>
      <c r="V5467">
        <v>-1.3347100000000001E-2</v>
      </c>
      <c r="W5467">
        <v>-9.4895590000000002E-2</v>
      </c>
      <c r="X5467">
        <v>0.99539770000000005</v>
      </c>
      <c r="Y5467">
        <v>3.2893579999999999E-2</v>
      </c>
      <c r="Z5467">
        <v>1.5363519999999999E-3</v>
      </c>
      <c r="AA5467">
        <v>0.9994577</v>
      </c>
      <c r="AB5467">
        <v>29</v>
      </c>
      <c r="AC5467">
        <v>-0.48140000000000699</v>
      </c>
      <c r="AD5467">
        <v>-0.1710189</v>
      </c>
      <c r="AE5467">
        <v>3.2000000000010603E-2</v>
      </c>
      <c r="AF5467">
        <v>2.36542916934992E-2</v>
      </c>
      <c r="AG5467">
        <v>-0.1710189</v>
      </c>
      <c r="AH5467">
        <v>0.42795473086757302</v>
      </c>
      <c r="AI5467">
        <v>111.75249851567401</v>
      </c>
      <c r="AJ5467">
        <v>86.836316253249507</v>
      </c>
      <c r="AK5467">
        <v>0.46146748676875199</v>
      </c>
      <c r="AL5467">
        <v>95.445310686271498</v>
      </c>
      <c r="AM5467">
        <v>90.768222260989603</v>
      </c>
      <c r="AN5467">
        <v>0.99999994962257199</v>
      </c>
    </row>
    <row r="5468" spans="1:40" x14ac:dyDescent="0.25">
      <c r="A5468" t="str">
        <f>"20190303154249413"</f>
        <v>20190303154249413</v>
      </c>
      <c r="B5468" t="str">
        <f>"1551598969405628"</f>
        <v>1551598969405628</v>
      </c>
      <c r="C5468" t="s">
        <v>40</v>
      </c>
      <c r="D5468">
        <v>5.8634620000000002</v>
      </c>
      <c r="E5468">
        <v>0.51733929999999995</v>
      </c>
      <c r="F5468" t="s">
        <v>42</v>
      </c>
      <c r="G5468">
        <v>-336.14789999999999</v>
      </c>
      <c r="H5468">
        <v>0.95104909999999998</v>
      </c>
      <c r="I5468">
        <v>141.79490000000001</v>
      </c>
      <c r="J5468">
        <v>-335.69310000000002</v>
      </c>
      <c r="K5468">
        <v>1.1210819999999999</v>
      </c>
      <c r="L5468">
        <v>141.7654</v>
      </c>
      <c r="M5468">
        <v>-0.99984399999999996</v>
      </c>
      <c r="N5468">
        <v>-1.397467E-2</v>
      </c>
      <c r="O5468">
        <v>1.081562E-2</v>
      </c>
      <c r="P5468">
        <v>-0.99405739999999998</v>
      </c>
      <c r="Q5468">
        <v>-0.1088272</v>
      </c>
      <c r="R5468">
        <v>-2.6664380000000001E-3</v>
      </c>
      <c r="S5468">
        <v>-2.9439700000000002</v>
      </c>
      <c r="T5468">
        <v>-0.67782589999999998</v>
      </c>
      <c r="U5468">
        <v>0.1286774</v>
      </c>
      <c r="V5468">
        <v>-1.3360820000000001E-2</v>
      </c>
      <c r="W5468">
        <v>-9.4934320000000003E-2</v>
      </c>
      <c r="X5468">
        <v>0.99539390000000005</v>
      </c>
      <c r="Y5468">
        <v>3.2213690000000003E-2</v>
      </c>
      <c r="Z5468">
        <v>1.5797109999999999E-3</v>
      </c>
      <c r="AA5468">
        <v>0.99947980000000003</v>
      </c>
      <c r="AB5468">
        <v>29</v>
      </c>
      <c r="AC5468">
        <v>-0.454799999999977</v>
      </c>
      <c r="AD5468">
        <v>-0.17003289999999899</v>
      </c>
      <c r="AE5468">
        <v>2.9500000000012901E-2</v>
      </c>
      <c r="AF5468">
        <v>2.1575764164602201E-2</v>
      </c>
      <c r="AG5468">
        <v>-0.17003289999999899</v>
      </c>
      <c r="AH5468">
        <v>0.39948849977503897</v>
      </c>
      <c r="AI5468">
        <v>113.025837378581</v>
      </c>
      <c r="AJ5468">
        <v>86.908545896616005</v>
      </c>
      <c r="AK5468">
        <v>0.434704223736333</v>
      </c>
      <c r="AL5468">
        <v>95.447539396121996</v>
      </c>
      <c r="AM5468">
        <v>90.769014786974793</v>
      </c>
      <c r="AN5468">
        <v>1.00000002639107</v>
      </c>
    </row>
    <row r="5469" spans="1:40" x14ac:dyDescent="0.25">
      <c r="A5469" t="str">
        <f>"20190303154249436"</f>
        <v>20190303154249436</v>
      </c>
      <c r="B5469" t="str">
        <f>"1551598969426121"</f>
        <v>1551598969426121</v>
      </c>
      <c r="C5469" t="s">
        <v>40</v>
      </c>
      <c r="D5469">
        <v>5.8479960000000002</v>
      </c>
      <c r="E5469">
        <v>0.51815370000000005</v>
      </c>
      <c r="F5469" t="s">
        <v>42</v>
      </c>
      <c r="G5469">
        <v>-336.4067</v>
      </c>
      <c r="H5469">
        <v>0.95593950000000005</v>
      </c>
      <c r="I5469">
        <v>141.79849999999999</v>
      </c>
      <c r="J5469">
        <v>-335.98349999999999</v>
      </c>
      <c r="K5469">
        <v>1.1210420000000001</v>
      </c>
      <c r="L5469">
        <v>141.7681</v>
      </c>
      <c r="M5469">
        <v>-0.99985000000000002</v>
      </c>
      <c r="N5469">
        <v>-1.379702E-2</v>
      </c>
      <c r="O5469">
        <v>1.047797E-2</v>
      </c>
      <c r="P5469">
        <v>-0.99405399999999999</v>
      </c>
      <c r="Q5469">
        <v>-0.1088591</v>
      </c>
      <c r="R5469">
        <v>-2.5610860000000002E-3</v>
      </c>
      <c r="S5469">
        <v>-2.9437259999999998</v>
      </c>
      <c r="T5469">
        <v>-0.68142000000000003</v>
      </c>
      <c r="U5469">
        <v>0.13525390000000001</v>
      </c>
      <c r="V5469">
        <v>-1.291819E-2</v>
      </c>
      <c r="W5469">
        <v>-9.5143039999999998E-2</v>
      </c>
      <c r="X5469">
        <v>0.99537980000000004</v>
      </c>
      <c r="Y5469">
        <v>3.4700399999999999E-2</v>
      </c>
      <c r="Z5469">
        <v>1.954983E-3</v>
      </c>
      <c r="AA5469">
        <v>0.99939579999999995</v>
      </c>
      <c r="AB5469">
        <v>29</v>
      </c>
      <c r="AC5469">
        <v>-0.42320000000000801</v>
      </c>
      <c r="AD5469">
        <v>-0.16510250000000001</v>
      </c>
      <c r="AE5469">
        <v>3.03999999999859E-2</v>
      </c>
      <c r="AF5469">
        <v>2.25492451046789E-2</v>
      </c>
      <c r="AG5469">
        <v>-0.16510250000000001</v>
      </c>
      <c r="AH5469">
        <v>0.36780292487106703</v>
      </c>
      <c r="AI5469">
        <v>114.134634305804</v>
      </c>
      <c r="AJ5469">
        <v>86.491704044055396</v>
      </c>
      <c r="AK5469">
        <v>0.40378991506073098</v>
      </c>
      <c r="AL5469">
        <v>95.459552626457594</v>
      </c>
      <c r="AM5469">
        <v>90.743551571596896</v>
      </c>
      <c r="AN5469">
        <v>1.00000001197067</v>
      </c>
    </row>
    <row r="5470" spans="1:40" x14ac:dyDescent="0.25">
      <c r="A5470" t="str">
        <f>"20190303154249457"</f>
        <v>20190303154249457</v>
      </c>
      <c r="B5470" t="str">
        <f>"1551598969445640"</f>
        <v>1551598969445640</v>
      </c>
      <c r="C5470" t="s">
        <v>40</v>
      </c>
      <c r="D5470">
        <v>5.8297160000000003</v>
      </c>
      <c r="E5470">
        <v>0.51877220000000002</v>
      </c>
      <c r="F5470" t="s">
        <v>42</v>
      </c>
      <c r="G5470">
        <v>-336.89749999999998</v>
      </c>
      <c r="H5470">
        <v>0.90809139999999999</v>
      </c>
      <c r="I5470">
        <v>141.8126</v>
      </c>
      <c r="J5470">
        <v>-336.25970000000001</v>
      </c>
      <c r="K5470">
        <v>1.120989</v>
      </c>
      <c r="L5470">
        <v>141.7706</v>
      </c>
      <c r="M5470">
        <v>-0.99985619999999997</v>
      </c>
      <c r="N5470">
        <v>-1.357503E-2</v>
      </c>
      <c r="O5470">
        <v>1.015424E-2</v>
      </c>
      <c r="P5470">
        <v>-0.99400929999999998</v>
      </c>
      <c r="Q5470">
        <v>-0.1092577</v>
      </c>
      <c r="R5470">
        <v>-2.9155930000000002E-3</v>
      </c>
      <c r="S5470">
        <v>-2.9432070000000001</v>
      </c>
      <c r="T5470">
        <v>-0.68585989999999997</v>
      </c>
      <c r="U5470">
        <v>0.14199829999999999</v>
      </c>
      <c r="V5470">
        <v>-1.2950639999999999E-2</v>
      </c>
      <c r="W5470">
        <v>-9.5763130000000002E-2</v>
      </c>
      <c r="X5470">
        <v>0.99531990000000004</v>
      </c>
      <c r="Y5470">
        <v>3.7230100000000002E-2</v>
      </c>
      <c r="Z5470">
        <v>2.3371149999999999E-3</v>
      </c>
      <c r="AA5470">
        <v>0.99930399999999997</v>
      </c>
      <c r="AB5470">
        <v>29</v>
      </c>
      <c r="AC5470">
        <v>-0.63779999999996995</v>
      </c>
      <c r="AD5470">
        <v>-0.21289759999999899</v>
      </c>
      <c r="AE5470">
        <v>4.2000000000001501E-2</v>
      </c>
      <c r="AF5470">
        <v>3.1973662492862202E-2</v>
      </c>
      <c r="AG5470">
        <v>-0.21289759999999899</v>
      </c>
      <c r="AH5470">
        <v>0.57446205509817505</v>
      </c>
      <c r="AI5470">
        <v>110.306021229122</v>
      </c>
      <c r="AJ5470">
        <v>86.8142931408713</v>
      </c>
      <c r="AK5470">
        <v>0.61347726602261798</v>
      </c>
      <c r="AL5470">
        <v>95.495244203895794</v>
      </c>
      <c r="AM5470">
        <v>90.745463989758903</v>
      </c>
      <c r="AN5470">
        <v>0.99999999973990805</v>
      </c>
    </row>
    <row r="5471" spans="1:40" x14ac:dyDescent="0.25">
      <c r="A5471" t="str">
        <f>"20190303154249481"</f>
        <v>20190303154249481</v>
      </c>
      <c r="B5471" t="str">
        <f>"1551598969475473"</f>
        <v>1551598969475473</v>
      </c>
      <c r="C5471" t="s">
        <v>40</v>
      </c>
      <c r="D5471">
        <v>6.0536289999999999</v>
      </c>
      <c r="E5471">
        <v>0.51965680000000003</v>
      </c>
      <c r="F5471" t="s">
        <v>42</v>
      </c>
      <c r="G5471">
        <v>-337.15550000000002</v>
      </c>
      <c r="H5471">
        <v>0.91052290000000002</v>
      </c>
      <c r="I5471">
        <v>141.8152</v>
      </c>
      <c r="J5471">
        <v>-336.56049999999999</v>
      </c>
      <c r="K5471">
        <v>1.120943</v>
      </c>
      <c r="L5471">
        <v>141.77330000000001</v>
      </c>
      <c r="M5471">
        <v>-0.99986330000000001</v>
      </c>
      <c r="N5471">
        <v>-1.333281E-2</v>
      </c>
      <c r="O5471">
        <v>9.7922640000000002E-3</v>
      </c>
      <c r="P5471">
        <v>-0.99403920000000001</v>
      </c>
      <c r="Q5471">
        <v>-0.108968</v>
      </c>
      <c r="R5471">
        <v>-3.4549559999999999E-3</v>
      </c>
      <c r="S5471">
        <v>-2.9425349999999999</v>
      </c>
      <c r="T5471">
        <v>-0.69142019999999904</v>
      </c>
      <c r="U5471">
        <v>0.14576720000000001</v>
      </c>
      <c r="V5471">
        <v>-1.3132E-2</v>
      </c>
      <c r="W5471">
        <v>-9.5713980000000004E-2</v>
      </c>
      <c r="X5471">
        <v>0.99532220000000005</v>
      </c>
      <c r="Y5471">
        <v>3.8814370000000001E-2</v>
      </c>
      <c r="Z5471">
        <v>2.6191949999999999E-3</v>
      </c>
      <c r="AA5471">
        <v>0.99924299999999999</v>
      </c>
      <c r="AB5471">
        <v>29</v>
      </c>
      <c r="AC5471">
        <v>-0.59500000000002695</v>
      </c>
      <c r="AD5471">
        <v>-0.2104201</v>
      </c>
      <c r="AE5471">
        <v>4.1899999999998203E-2</v>
      </c>
      <c r="AF5471">
        <v>3.2078884446877599E-2</v>
      </c>
      <c r="AG5471">
        <v>-0.2104201</v>
      </c>
      <c r="AH5471">
        <v>0.52948749530267503</v>
      </c>
      <c r="AI5471">
        <v>111.63703977278701</v>
      </c>
      <c r="AJ5471">
        <v>86.532985458203498</v>
      </c>
      <c r="AK5471">
        <v>0.57066862625631198</v>
      </c>
      <c r="AL5471">
        <v>95.492415402713704</v>
      </c>
      <c r="AM5471">
        <v>90.755900474083106</v>
      </c>
      <c r="AN5471">
        <v>0.99999994860213803</v>
      </c>
    </row>
    <row r="5472" spans="1:40" x14ac:dyDescent="0.25">
      <c r="A5472" t="str">
        <f>"20190303154249503"</f>
        <v>20190303154249503</v>
      </c>
      <c r="B5472" t="str">
        <f>"1551598969495969"</f>
        <v>1551598969495969</v>
      </c>
      <c r="C5472" t="s">
        <v>40</v>
      </c>
      <c r="D5472">
        <v>5.8092810000000004</v>
      </c>
      <c r="E5472">
        <v>0.52021660000000003</v>
      </c>
      <c r="F5472" t="s">
        <v>42</v>
      </c>
      <c r="G5472">
        <v>-337.41649999999998</v>
      </c>
      <c r="H5472">
        <v>0.91945759999999999</v>
      </c>
      <c r="I5472">
        <v>141.8177</v>
      </c>
      <c r="J5472">
        <v>-336.84870000000001</v>
      </c>
      <c r="K5472">
        <v>1.120906</v>
      </c>
      <c r="L5472">
        <v>141.7757</v>
      </c>
      <c r="M5472">
        <v>-0.99986949999999997</v>
      </c>
      <c r="N5472">
        <v>-1.3110739999999999E-2</v>
      </c>
      <c r="O5472">
        <v>9.4417700000000004E-3</v>
      </c>
      <c r="P5472">
        <v>-0.99401220000000001</v>
      </c>
      <c r="Q5472">
        <v>-0.1092103</v>
      </c>
      <c r="R5472">
        <v>-3.6365149999999999E-3</v>
      </c>
      <c r="S5472">
        <v>-2.9426269999999999</v>
      </c>
      <c r="T5472">
        <v>-0.69269539999999996</v>
      </c>
      <c r="U5472">
        <v>0.15148929999999999</v>
      </c>
      <c r="V5472">
        <v>-1.2965310000000001E-2</v>
      </c>
      <c r="W5472">
        <v>-9.6177380000000007E-2</v>
      </c>
      <c r="X5472">
        <v>0.99527980000000005</v>
      </c>
      <c r="Y5472">
        <v>4.1027460000000002E-2</v>
      </c>
      <c r="Z5472">
        <v>2.964838E-3</v>
      </c>
      <c r="AA5472">
        <v>0.99915359999999998</v>
      </c>
      <c r="AB5472">
        <v>29</v>
      </c>
      <c r="AC5472">
        <v>-0.56779999999997699</v>
      </c>
      <c r="AD5472">
        <v>-0.2014484</v>
      </c>
      <c r="AE5472">
        <v>4.2000000000001501E-2</v>
      </c>
      <c r="AF5472">
        <v>3.2560415351901698E-2</v>
      </c>
      <c r="AG5472">
        <v>-0.2014484</v>
      </c>
      <c r="AH5472">
        <v>0.50495618067256498</v>
      </c>
      <c r="AI5472">
        <v>111.708270005285</v>
      </c>
      <c r="AJ5472">
        <v>86.310580468523995</v>
      </c>
      <c r="AK5472">
        <v>0.54463050126656798</v>
      </c>
      <c r="AL5472">
        <v>95.519088854095898</v>
      </c>
      <c r="AM5472">
        <v>90.746338393486894</v>
      </c>
      <c r="AN5472">
        <v>1.0000000339875399</v>
      </c>
    </row>
    <row r="5473" spans="1:40" x14ac:dyDescent="0.25">
      <c r="A5473" t="str">
        <f>"20190303154249526"</f>
        <v>20190303154249526</v>
      </c>
      <c r="B5473" t="str">
        <f>"1551598969515490"</f>
        <v>1551598969515490</v>
      </c>
      <c r="C5473" t="s">
        <v>40</v>
      </c>
      <c r="D5473">
        <v>5.8259270000000001</v>
      </c>
      <c r="E5473">
        <v>0.52037789999999995</v>
      </c>
      <c r="F5473" t="s">
        <v>42</v>
      </c>
      <c r="G5473">
        <v>-337.6764</v>
      </c>
      <c r="H5473">
        <v>0.92557730000000005</v>
      </c>
      <c r="I5473">
        <v>141.81979999999999</v>
      </c>
      <c r="J5473">
        <v>-337.13569999999999</v>
      </c>
      <c r="K5473">
        <v>1.120884</v>
      </c>
      <c r="L5473">
        <v>141.77809999999999</v>
      </c>
      <c r="M5473">
        <v>-0.99987550000000003</v>
      </c>
      <c r="N5473">
        <v>-1.289614E-2</v>
      </c>
      <c r="O5473">
        <v>9.0949519999999999E-3</v>
      </c>
      <c r="P5473">
        <v>-0.99397869999999999</v>
      </c>
      <c r="Q5473">
        <v>-0.1095187</v>
      </c>
      <c r="R5473">
        <v>-3.4678690000000002E-3</v>
      </c>
      <c r="S5473">
        <v>-2.9423520000000001</v>
      </c>
      <c r="T5473">
        <v>-0.69442700000000002</v>
      </c>
      <c r="U5473">
        <v>0.15544129999999901</v>
      </c>
      <c r="V5473">
        <v>-1.245165E-2</v>
      </c>
      <c r="W5473">
        <v>-9.6699400000000005E-2</v>
      </c>
      <c r="X5473">
        <v>0.99523569999999995</v>
      </c>
      <c r="Y5473">
        <v>4.2658370000000001E-2</v>
      </c>
      <c r="Z5473">
        <v>3.241444E-3</v>
      </c>
      <c r="AA5473">
        <v>0.99908450000000004</v>
      </c>
      <c r="AB5473">
        <v>29</v>
      </c>
      <c r="AC5473">
        <v>-0.54070000000001495</v>
      </c>
      <c r="AD5473">
        <v>-0.195306699999999</v>
      </c>
      <c r="AE5473">
        <v>4.1699999999991598E-2</v>
      </c>
      <c r="AF5473">
        <v>3.2557463237587202E-2</v>
      </c>
      <c r="AG5473">
        <v>-0.195306699999999</v>
      </c>
      <c r="AH5473">
        <v>0.47893781593437601</v>
      </c>
      <c r="AI5473">
        <v>112.139067186411</v>
      </c>
      <c r="AJ5473">
        <v>86.111103106842293</v>
      </c>
      <c r="AK5473">
        <v>0.51825295658524395</v>
      </c>
      <c r="AL5473">
        <v>95.549138881482605</v>
      </c>
      <c r="AM5473">
        <v>90.716804845179894</v>
      </c>
      <c r="AN5473">
        <v>0.99999995805128505</v>
      </c>
    </row>
    <row r="5474" spans="1:40" x14ac:dyDescent="0.25">
      <c r="A5474" t="str">
        <f>"20190303154249547"</f>
        <v>20190303154249547</v>
      </c>
      <c r="B5474" t="str">
        <f>"1551598969535986"</f>
        <v>1551598969535986</v>
      </c>
      <c r="C5474" t="s">
        <v>40</v>
      </c>
      <c r="D5474">
        <v>6.0263400000000003</v>
      </c>
      <c r="E5474">
        <v>0.52192740000000004</v>
      </c>
      <c r="F5474" t="s">
        <v>42</v>
      </c>
      <c r="G5474">
        <v>-337.93650000000002</v>
      </c>
      <c r="H5474">
        <v>0.93133469999999996</v>
      </c>
      <c r="I5474">
        <v>141.821</v>
      </c>
      <c r="J5474">
        <v>-337.41320000000002</v>
      </c>
      <c r="K5474">
        <v>1.120868</v>
      </c>
      <c r="L5474">
        <v>141.78030000000001</v>
      </c>
      <c r="M5474">
        <v>-0.99988109999999997</v>
      </c>
      <c r="N5474">
        <v>-1.269692E-2</v>
      </c>
      <c r="O5474">
        <v>8.7641109999999998E-3</v>
      </c>
      <c r="P5474">
        <v>-0.99399570000000004</v>
      </c>
      <c r="Q5474">
        <v>-0.10935739999999899</v>
      </c>
      <c r="R5474">
        <v>-3.712632E-3</v>
      </c>
      <c r="S5474">
        <v>-2.941986</v>
      </c>
      <c r="T5474">
        <v>-0.69644450000000002</v>
      </c>
      <c r="U5474">
        <v>0.1565704</v>
      </c>
      <c r="V5474">
        <v>-1.2367609999999999E-2</v>
      </c>
      <c r="W5474">
        <v>-9.6736139999999998E-2</v>
      </c>
      <c r="X5474">
        <v>0.99523320000000004</v>
      </c>
      <c r="Y5474">
        <v>4.3345380000000003E-2</v>
      </c>
      <c r="Z5474">
        <v>3.4013440000000002E-3</v>
      </c>
      <c r="AA5474">
        <v>0.99905440000000001</v>
      </c>
      <c r="AB5474">
        <v>29</v>
      </c>
      <c r="AC5474">
        <v>-0.52330000000000598</v>
      </c>
      <c r="AD5474">
        <v>-0.18953329999999999</v>
      </c>
      <c r="AE5474">
        <v>4.0699999999986802E-2</v>
      </c>
      <c r="AF5474">
        <v>3.1946274565301698E-2</v>
      </c>
      <c r="AG5474">
        <v>-0.18953329999999999</v>
      </c>
      <c r="AH5474">
        <v>0.46323461246519299</v>
      </c>
      <c r="AI5474">
        <v>112.204416050059</v>
      </c>
      <c r="AJ5474">
        <v>86.054929496509303</v>
      </c>
      <c r="AK5474">
        <v>0.50152740947357</v>
      </c>
      <c r="AL5474">
        <v>95.551253718930994</v>
      </c>
      <c r="AM5474">
        <v>90.711969197662896</v>
      </c>
      <c r="AN5474">
        <v>0.99999998047072503</v>
      </c>
    </row>
    <row r="5475" spans="1:40" x14ac:dyDescent="0.25">
      <c r="A5475" t="str">
        <f>"20190303154249570"</f>
        <v>20190303154249570</v>
      </c>
      <c r="B5475" t="str">
        <f>"1551598969565266"</f>
        <v>1551598969565266</v>
      </c>
      <c r="C5475" t="s">
        <v>40</v>
      </c>
      <c r="D5475">
        <v>5.9855280000000004</v>
      </c>
      <c r="E5475">
        <v>0.52276809999999996</v>
      </c>
      <c r="F5475" t="s">
        <v>42</v>
      </c>
      <c r="G5475">
        <v>-338.19369999999998</v>
      </c>
      <c r="H5475">
        <v>0.93107119999999999</v>
      </c>
      <c r="I5475">
        <v>141.82499999999999</v>
      </c>
      <c r="J5475">
        <v>-337.69839999999999</v>
      </c>
      <c r="K5475">
        <v>1.120852</v>
      </c>
      <c r="L5475">
        <v>141.7824</v>
      </c>
      <c r="M5475">
        <v>-0.99988650000000001</v>
      </c>
      <c r="N5475">
        <v>-1.2497589999999999E-2</v>
      </c>
      <c r="O5475">
        <v>8.4272159999999995E-3</v>
      </c>
      <c r="P5475">
        <v>-0.99403889999999995</v>
      </c>
      <c r="Q5475">
        <v>-0.1089778</v>
      </c>
      <c r="R5475">
        <v>-3.3052820000000001E-3</v>
      </c>
      <c r="S5475">
        <v>-2.9400940000000002</v>
      </c>
      <c r="T5475">
        <v>-0.71492769999999894</v>
      </c>
      <c r="U5475">
        <v>0.16793820000000001</v>
      </c>
      <c r="V5475">
        <v>-1.162464E-2</v>
      </c>
      <c r="W5475">
        <v>-9.6553940000000005E-2</v>
      </c>
      <c r="X5475">
        <v>0.99525989999999998</v>
      </c>
      <c r="Y5475">
        <v>4.7381960000000001E-2</v>
      </c>
      <c r="Z5475">
        <v>4.0602069999999997E-3</v>
      </c>
      <c r="AA5475">
        <v>0.9988686</v>
      </c>
      <c r="AB5475">
        <v>29</v>
      </c>
      <c r="AC5475">
        <v>-0.49529999999998597</v>
      </c>
      <c r="AD5475">
        <v>-0.1897808</v>
      </c>
      <c r="AE5475">
        <v>4.2599999999992998E-2</v>
      </c>
      <c r="AF5475">
        <v>3.35366604891877E-2</v>
      </c>
      <c r="AG5475">
        <v>-0.1897808</v>
      </c>
      <c r="AH5475">
        <v>0.43259652188935499</v>
      </c>
      <c r="AI5475">
        <v>113.624051379044</v>
      </c>
      <c r="AJ5475">
        <v>85.567062113862093</v>
      </c>
      <c r="AK5475">
        <v>0.47358337217028001</v>
      </c>
      <c r="AL5475">
        <v>95.540765043838704</v>
      </c>
      <c r="AM5475">
        <v>90.669184526670406</v>
      </c>
      <c r="AN5475">
        <v>1.00000003206633</v>
      </c>
    </row>
    <row r="5476" spans="1:40" x14ac:dyDescent="0.25">
      <c r="A5476" t="str">
        <f>"20190303154249593"</f>
        <v>20190303154249593</v>
      </c>
      <c r="B5476" t="str">
        <f>"1551598969585765"</f>
        <v>1551598969585765</v>
      </c>
      <c r="C5476" t="s">
        <v>40</v>
      </c>
      <c r="D5476">
        <v>5.9499500000000003</v>
      </c>
      <c r="E5476">
        <v>0.52332429999999996</v>
      </c>
      <c r="F5476" t="s">
        <v>42</v>
      </c>
      <c r="G5476">
        <v>-338.45190000000002</v>
      </c>
      <c r="H5476">
        <v>0.93235170000000001</v>
      </c>
      <c r="I5476">
        <v>141.828</v>
      </c>
      <c r="J5476">
        <v>-337.99810000000002</v>
      </c>
      <c r="K5476">
        <v>1.1208309999999999</v>
      </c>
      <c r="L5476">
        <v>141.78460000000001</v>
      </c>
      <c r="M5476">
        <v>-0.999892</v>
      </c>
      <c r="N5476">
        <v>-1.2283560000000001E-2</v>
      </c>
      <c r="O5476">
        <v>8.0731789999999998E-3</v>
      </c>
      <c r="P5476">
        <v>-0.99406689999999998</v>
      </c>
      <c r="Q5476">
        <v>-0.1087216</v>
      </c>
      <c r="R5476">
        <v>-3.3282009999999998E-3</v>
      </c>
      <c r="S5476">
        <v>-2.9380190000000002</v>
      </c>
      <c r="T5476">
        <v>-0.73495749999999904</v>
      </c>
      <c r="U5476">
        <v>0.1767273</v>
      </c>
      <c r="V5476">
        <v>-1.129581E-2</v>
      </c>
      <c r="W5476">
        <v>-9.6510250000000006E-2</v>
      </c>
      <c r="X5476">
        <v>0.99526789999999998</v>
      </c>
      <c r="Y5476">
        <v>5.0574699999999903E-2</v>
      </c>
      <c r="Z5476">
        <v>4.650843E-3</v>
      </c>
      <c r="AA5476">
        <v>0.99870939999999997</v>
      </c>
      <c r="AB5476">
        <v>29</v>
      </c>
      <c r="AC5476">
        <v>-0.45380000000000098</v>
      </c>
      <c r="AD5476">
        <v>-0.18847929999999899</v>
      </c>
      <c r="AE5476">
        <v>4.3399999999991203E-2</v>
      </c>
      <c r="AF5476">
        <v>3.3934014022009198E-2</v>
      </c>
      <c r="AG5476">
        <v>-0.18847929999999899</v>
      </c>
      <c r="AH5476">
        <v>0.38783843856198202</v>
      </c>
      <c r="AI5476">
        <v>115.832747187847</v>
      </c>
      <c r="AJ5476">
        <v>84.999626533443802</v>
      </c>
      <c r="AK5476">
        <v>0.43254435409831898</v>
      </c>
      <c r="AL5476">
        <v>95.538250178406003</v>
      </c>
      <c r="AM5476">
        <v>90.650251507449099</v>
      </c>
      <c r="AN5476">
        <v>1.00000000822451</v>
      </c>
    </row>
    <row r="5477" spans="1:40" x14ac:dyDescent="0.25">
      <c r="A5477" t="str">
        <f>"20190303154249614"</f>
        <v>20190303154249614</v>
      </c>
      <c r="B5477" t="str">
        <f>"1551598969605282"</f>
        <v>1551598969605282</v>
      </c>
      <c r="C5477" t="s">
        <v>40</v>
      </c>
      <c r="D5477">
        <v>5.9291210000000003</v>
      </c>
      <c r="E5477">
        <v>0.52379779999999998</v>
      </c>
      <c r="F5477" t="s">
        <v>42</v>
      </c>
      <c r="G5477">
        <v>-338.71319999999997</v>
      </c>
      <c r="H5477">
        <v>0.93940259999999998</v>
      </c>
      <c r="I5477">
        <v>141.8289</v>
      </c>
      <c r="J5477">
        <v>-338.27659999999997</v>
      </c>
      <c r="K5477">
        <v>1.120806</v>
      </c>
      <c r="L5477">
        <v>141.78649999999999</v>
      </c>
      <c r="M5477">
        <v>-0.99989709999999998</v>
      </c>
      <c r="N5477">
        <v>-1.2077320000000001E-2</v>
      </c>
      <c r="O5477">
        <v>7.7425109999999997E-3</v>
      </c>
      <c r="P5477">
        <v>-0.99414930000000001</v>
      </c>
      <c r="Q5477">
        <v>-0.107936</v>
      </c>
      <c r="R5477">
        <v>-4.1370080000000002E-3</v>
      </c>
      <c r="S5477">
        <v>-2.9370419999999999</v>
      </c>
      <c r="T5477">
        <v>-0.74517</v>
      </c>
      <c r="U5477">
        <v>0.1812897</v>
      </c>
      <c r="V5477">
        <v>-1.1776750000000001E-2</v>
      </c>
      <c r="W5477">
        <v>-9.5929390000000003E-2</v>
      </c>
      <c r="X5477">
        <v>0.99531849999999999</v>
      </c>
      <c r="Y5477">
        <v>5.236524E-2</v>
      </c>
      <c r="Z5477">
        <v>5.0152410000000001E-3</v>
      </c>
      <c r="AA5477">
        <v>0.99861540000000004</v>
      </c>
      <c r="AB5477">
        <v>29</v>
      </c>
      <c r="AC5477">
        <v>-0.43659999999999799</v>
      </c>
      <c r="AD5477">
        <v>-0.18140339999999999</v>
      </c>
      <c r="AE5477">
        <v>4.2400000000014801E-2</v>
      </c>
      <c r="AF5477">
        <v>3.3319759663939401E-2</v>
      </c>
      <c r="AG5477">
        <v>-0.18140339999999999</v>
      </c>
      <c r="AH5477">
        <v>0.37310656525838198</v>
      </c>
      <c r="AI5477">
        <v>115.83951748787</v>
      </c>
      <c r="AJ5477">
        <v>84.896818047264304</v>
      </c>
      <c r="AK5477">
        <v>0.416204167392075</v>
      </c>
      <c r="AL5477">
        <v>95.504814102858703</v>
      </c>
      <c r="AM5477">
        <v>90.677900175077596</v>
      </c>
      <c r="AN5477">
        <v>1.00000002807429</v>
      </c>
    </row>
    <row r="5478" spans="1:40" x14ac:dyDescent="0.25">
      <c r="A5478" t="str">
        <f>"20190303154249637"</f>
        <v>20190303154249637</v>
      </c>
      <c r="B5478" t="str">
        <f>"1551598969625778"</f>
        <v>1551598969625778</v>
      </c>
      <c r="C5478" t="s">
        <v>40</v>
      </c>
      <c r="D5478">
        <v>5.8914200000000001</v>
      </c>
      <c r="E5478">
        <v>0.52412099999999995</v>
      </c>
      <c r="F5478" t="s">
        <v>42</v>
      </c>
      <c r="G5478">
        <v>-338.97269999999997</v>
      </c>
      <c r="H5478">
        <v>0.94221469999999896</v>
      </c>
      <c r="I5478">
        <v>141.83000000000001</v>
      </c>
      <c r="J5478">
        <v>-338.56630000000001</v>
      </c>
      <c r="K5478">
        <v>1.120781</v>
      </c>
      <c r="L5478">
        <v>141.78829999999999</v>
      </c>
      <c r="M5478">
        <v>-0.99990239999999997</v>
      </c>
      <c r="N5478">
        <v>-1.185372E-2</v>
      </c>
      <c r="O5478">
        <v>7.3965039999999999E-3</v>
      </c>
      <c r="P5478">
        <v>-0.99419970000000002</v>
      </c>
      <c r="Q5478">
        <v>-0.1074292</v>
      </c>
      <c r="R5478">
        <v>-5.086803E-3</v>
      </c>
      <c r="S5478">
        <v>-2.9366150000000002</v>
      </c>
      <c r="T5478">
        <v>-0.75342980000000004</v>
      </c>
      <c r="U5478">
        <v>0.18254090000000001</v>
      </c>
      <c r="V5478">
        <v>-1.238268E-2</v>
      </c>
      <c r="W5478">
        <v>-9.5644950000000006E-2</v>
      </c>
      <c r="X5478">
        <v>0.99533850000000001</v>
      </c>
      <c r="Y5478">
        <v>5.3078790000000001E-2</v>
      </c>
      <c r="Z5478">
        <v>5.2351979999999999E-3</v>
      </c>
      <c r="AA5478">
        <v>0.99857660000000004</v>
      </c>
      <c r="AB5478">
        <v>29</v>
      </c>
      <c r="AC5478">
        <v>-0.40639999999996201</v>
      </c>
      <c r="AD5478">
        <v>-0.17856630000000001</v>
      </c>
      <c r="AE5478">
        <v>4.1700000000019999E-2</v>
      </c>
      <c r="AF5478">
        <v>3.24862648667993E-2</v>
      </c>
      <c r="AG5478">
        <v>-0.17856630000000001</v>
      </c>
      <c r="AH5478">
        <v>0.34146168220188999</v>
      </c>
      <c r="AI5478">
        <v>117.501307904501</v>
      </c>
      <c r="AJ5478">
        <v>84.565304388830896</v>
      </c>
      <c r="AK5478">
        <v>0.38670060940323098</v>
      </c>
      <c r="AL5478">
        <v>95.488441716642399</v>
      </c>
      <c r="AM5478">
        <v>90.712761241077203</v>
      </c>
      <c r="AN5478">
        <v>1.00000000840336</v>
      </c>
    </row>
    <row r="5479" spans="1:40" x14ac:dyDescent="0.25">
      <c r="A5479" t="str">
        <f>"20190303154249659"</f>
        <v>20190303154249659</v>
      </c>
      <c r="B5479" t="str">
        <f>"1551598969656034"</f>
        <v>1551598969656034</v>
      </c>
      <c r="C5479" t="s">
        <v>40</v>
      </c>
      <c r="D5479">
        <v>5.8215059999999896</v>
      </c>
      <c r="E5479">
        <v>0.52444460000000004</v>
      </c>
      <c r="F5479" t="s">
        <v>42</v>
      </c>
      <c r="G5479">
        <v>-339.4649</v>
      </c>
      <c r="H5479">
        <v>0.88770830000000001</v>
      </c>
      <c r="I5479">
        <v>141.84469999999999</v>
      </c>
      <c r="J5479">
        <v>-338.85579999999999</v>
      </c>
      <c r="K5479">
        <v>1.120752</v>
      </c>
      <c r="L5479">
        <v>141.7901</v>
      </c>
      <c r="M5479">
        <v>-0.99990760000000001</v>
      </c>
      <c r="N5479">
        <v>-1.1625969999999999E-2</v>
      </c>
      <c r="O5479">
        <v>7.0500169999999996E-3</v>
      </c>
      <c r="P5479">
        <v>-0.99418819999999997</v>
      </c>
      <c r="Q5479">
        <v>-0.10749980000000001</v>
      </c>
      <c r="R5479">
        <v>-5.8191600000000003E-3</v>
      </c>
      <c r="S5479">
        <v>-2.9361269999999999</v>
      </c>
      <c r="T5479">
        <v>-0.76163219999999898</v>
      </c>
      <c r="U5479">
        <v>0.18261720000000001</v>
      </c>
      <c r="V5479">
        <v>-1.277054E-2</v>
      </c>
      <c r="W5479">
        <v>-9.5942609999999998E-2</v>
      </c>
      <c r="X5479">
        <v>0.99530490000000005</v>
      </c>
      <c r="Y5479">
        <v>5.3407740000000002E-2</v>
      </c>
      <c r="Z5479">
        <v>5.4073819999999996E-3</v>
      </c>
      <c r="AA5479">
        <v>0.99855819999999995</v>
      </c>
      <c r="AB5479">
        <v>29</v>
      </c>
      <c r="AC5479">
        <v>-0.60910000000001197</v>
      </c>
      <c r="AD5479">
        <v>-0.23304369999999999</v>
      </c>
      <c r="AE5479">
        <v>5.4599999999993501E-2</v>
      </c>
      <c r="AF5479">
        <v>4.3925408491929503E-2</v>
      </c>
      <c r="AG5479">
        <v>-0.23304369999999999</v>
      </c>
      <c r="AH5479">
        <v>0.53218652454300297</v>
      </c>
      <c r="AI5479">
        <v>113.57715577752499</v>
      </c>
      <c r="AJ5479">
        <v>85.281637944937302</v>
      </c>
      <c r="AK5479">
        <v>0.58263307881207105</v>
      </c>
      <c r="AL5479">
        <v>95.505575452528007</v>
      </c>
      <c r="AM5479">
        <v>90.735109306878996</v>
      </c>
      <c r="AN5479">
        <v>0.99999995753475501</v>
      </c>
    </row>
    <row r="5480" spans="1:40" x14ac:dyDescent="0.25">
      <c r="A5480" t="str">
        <f>"20190303154249682"</f>
        <v>20190303154249682</v>
      </c>
      <c r="B5480" t="str">
        <f>"1551598969675459"</f>
        <v>1551598969675459</v>
      </c>
      <c r="C5480" t="s">
        <v>40</v>
      </c>
      <c r="D5480">
        <v>5.8065660000000001</v>
      </c>
      <c r="E5480">
        <v>0.52489269999999999</v>
      </c>
      <c r="F5480" t="s">
        <v>42</v>
      </c>
      <c r="G5480">
        <v>-339.72579999999999</v>
      </c>
      <c r="H5480">
        <v>0.89138479999999998</v>
      </c>
      <c r="I5480">
        <v>141.84479999999999</v>
      </c>
      <c r="J5480">
        <v>-339.15300000000002</v>
      </c>
      <c r="K5480">
        <v>1.1207260000000001</v>
      </c>
      <c r="L5480">
        <v>141.79179999999999</v>
      </c>
      <c r="M5480">
        <v>-0.99991269999999999</v>
      </c>
      <c r="N5480">
        <v>-1.140039E-2</v>
      </c>
      <c r="O5480">
        <v>6.6947200000000004E-3</v>
      </c>
      <c r="P5480">
        <v>-0.99418439999999997</v>
      </c>
      <c r="Q5480">
        <v>-0.1074787</v>
      </c>
      <c r="R5480">
        <v>-6.7686969999999997E-3</v>
      </c>
      <c r="S5480">
        <v>-2.9349370000000001</v>
      </c>
      <c r="T5480">
        <v>-0.77384049999999904</v>
      </c>
      <c r="U5480">
        <v>0.1833649</v>
      </c>
      <c r="V5480">
        <v>-1.336685E-2</v>
      </c>
      <c r="W5480">
        <v>-9.6146490000000001E-2</v>
      </c>
      <c r="X5480">
        <v>0.99527750000000004</v>
      </c>
      <c r="Y5480">
        <v>5.3960769999999998E-2</v>
      </c>
      <c r="Z5480">
        <v>5.6423009999999997E-3</v>
      </c>
      <c r="AA5480">
        <v>0.9985271</v>
      </c>
      <c r="AB5480">
        <v>29</v>
      </c>
      <c r="AC5480">
        <v>-0.572799999999972</v>
      </c>
      <c r="AD5480">
        <v>-0.2293412</v>
      </c>
      <c r="AE5480">
        <v>5.2999999999997202E-2</v>
      </c>
      <c r="AF5480">
        <v>4.2421071880514298E-2</v>
      </c>
      <c r="AG5480">
        <v>-0.2293412</v>
      </c>
      <c r="AH5480">
        <v>0.49453631573062101</v>
      </c>
      <c r="AI5480">
        <v>114.799447162503</v>
      </c>
      <c r="AJ5480">
        <v>85.097199006868294</v>
      </c>
      <c r="AK5480">
        <v>0.54677518317252505</v>
      </c>
      <c r="AL5480">
        <v>95.517310597132095</v>
      </c>
      <c r="AM5480">
        <v>90.769451784537495</v>
      </c>
      <c r="AN5480">
        <v>1.0000000611122399</v>
      </c>
    </row>
    <row r="5481" spans="1:40" x14ac:dyDescent="0.25">
      <c r="A5481" t="str">
        <f>"20190303154249704"</f>
        <v>20190303154249704</v>
      </c>
      <c r="B5481" t="str">
        <f>"1551598969695955"</f>
        <v>1551598969695955</v>
      </c>
      <c r="C5481" t="s">
        <v>40</v>
      </c>
      <c r="D5481">
        <v>5.7397359999999997</v>
      </c>
      <c r="E5481">
        <v>0.52493080000000003</v>
      </c>
      <c r="F5481" t="s">
        <v>42</v>
      </c>
      <c r="G5481">
        <v>-339.9889</v>
      </c>
      <c r="H5481">
        <v>0.89905100000000004</v>
      </c>
      <c r="I5481">
        <v>141.84460000000001</v>
      </c>
      <c r="J5481">
        <v>-339.44150000000002</v>
      </c>
      <c r="K5481">
        <v>1.1207049999999901</v>
      </c>
      <c r="L5481">
        <v>141.79339999999999</v>
      </c>
      <c r="M5481">
        <v>-0.99991739999999996</v>
      </c>
      <c r="N5481">
        <v>-1.1183790000000001E-2</v>
      </c>
      <c r="O5481">
        <v>6.3497090000000003E-3</v>
      </c>
      <c r="P5481">
        <v>-0.99428130000000003</v>
      </c>
      <c r="Q5481">
        <v>-0.1065463</v>
      </c>
      <c r="R5481">
        <v>-7.2573069999999898E-3</v>
      </c>
      <c r="S5481">
        <v>-2.9346920000000001</v>
      </c>
      <c r="T5481">
        <v>-0.77830949999999999</v>
      </c>
      <c r="U5481">
        <v>0.18409729999999999</v>
      </c>
      <c r="V5481">
        <v>-1.3513010000000001E-2</v>
      </c>
      <c r="W5481">
        <v>-9.5428810000000003E-2</v>
      </c>
      <c r="X5481">
        <v>0.99534449999999997</v>
      </c>
      <c r="Y5481">
        <v>5.4510780000000002E-2</v>
      </c>
      <c r="Z5481">
        <v>5.8255009999999899E-3</v>
      </c>
      <c r="AA5481">
        <v>0.99849619999999994</v>
      </c>
      <c r="AB5481">
        <v>29</v>
      </c>
      <c r="AC5481">
        <v>-0.54739999999998101</v>
      </c>
      <c r="AD5481">
        <v>-0.22165399999999899</v>
      </c>
      <c r="AE5481">
        <v>5.12000000000227E-2</v>
      </c>
      <c r="AF5481">
        <v>4.1050582396247197E-2</v>
      </c>
      <c r="AG5481">
        <v>-0.22165399999999899</v>
      </c>
      <c r="AH5481">
        <v>0.47113593109697699</v>
      </c>
      <c r="AI5481">
        <v>115.11208435093501</v>
      </c>
      <c r="AJ5481">
        <v>85.020333040618894</v>
      </c>
      <c r="AK5481">
        <v>0.52228795850726495</v>
      </c>
      <c r="AL5481">
        <v>95.476001131739096</v>
      </c>
      <c r="AM5481">
        <v>90.777811982909</v>
      </c>
      <c r="AN5481">
        <v>0.99999996644876199</v>
      </c>
    </row>
    <row r="5482" spans="1:40" x14ac:dyDescent="0.25">
      <c r="A5482" t="str">
        <f>"20190303154249727"</f>
        <v>20190303154249727</v>
      </c>
      <c r="B5482" t="str">
        <f>"1551598969715475"</f>
        <v>1551598969715475</v>
      </c>
      <c r="C5482" t="s">
        <v>40</v>
      </c>
      <c r="D5482">
        <v>5.6967840000000001</v>
      </c>
      <c r="E5482">
        <v>0.52499340000000005</v>
      </c>
      <c r="F5482" t="s">
        <v>42</v>
      </c>
      <c r="G5482">
        <v>-340.25139999999999</v>
      </c>
      <c r="H5482">
        <v>0.90457810000000005</v>
      </c>
      <c r="I5482">
        <v>141.8441</v>
      </c>
      <c r="J5482">
        <v>-339.73779999999999</v>
      </c>
      <c r="K5482">
        <v>1.12069</v>
      </c>
      <c r="L5482">
        <v>141.79490000000001</v>
      </c>
      <c r="M5482">
        <v>-0.99992199999999998</v>
      </c>
      <c r="N5482">
        <v>-1.09577999999999E-2</v>
      </c>
      <c r="O5482">
        <v>5.9959050000000002E-3</v>
      </c>
      <c r="P5482">
        <v>-0.99431550000000002</v>
      </c>
      <c r="Q5482">
        <v>-0.10620590000000001</v>
      </c>
      <c r="R5482">
        <v>-7.5461039999999997E-3</v>
      </c>
      <c r="S5482">
        <v>-2.9346920000000001</v>
      </c>
      <c r="T5482">
        <v>-0.78322159999999996</v>
      </c>
      <c r="U5482">
        <v>0.18293760000000001</v>
      </c>
      <c r="V5482">
        <v>-1.345004E-2</v>
      </c>
      <c r="W5482">
        <v>-9.5312939999999999E-2</v>
      </c>
      <c r="X5482">
        <v>0.99535649999999998</v>
      </c>
      <c r="Y5482">
        <v>5.4442839999999999E-2</v>
      </c>
      <c r="Z5482">
        <v>5.9307450000000003E-3</v>
      </c>
      <c r="AA5482">
        <v>0.99849929999999998</v>
      </c>
      <c r="AB5482">
        <v>29</v>
      </c>
      <c r="AC5482">
        <v>-0.51359999999999595</v>
      </c>
      <c r="AD5482">
        <v>-0.2161119</v>
      </c>
      <c r="AE5482">
        <v>4.9199999999984798E-2</v>
      </c>
      <c r="AF5482">
        <v>3.9235733555290003E-2</v>
      </c>
      <c r="AG5482">
        <v>-0.2161119</v>
      </c>
      <c r="AH5482">
        <v>0.43718415379518299</v>
      </c>
      <c r="AI5482">
        <v>116.213242159996</v>
      </c>
      <c r="AJ5482">
        <v>84.871645378561595</v>
      </c>
      <c r="AK5482">
        <v>0.48925839843465402</v>
      </c>
      <c r="AL5482">
        <v>95.469331624815993</v>
      </c>
      <c r="AM5482">
        <v>90.774178524869995</v>
      </c>
      <c r="AN5482">
        <v>1.0000000110998399</v>
      </c>
    </row>
    <row r="5483" spans="1:40" x14ac:dyDescent="0.25">
      <c r="A5483" t="str">
        <f>"20190303154249748"</f>
        <v>20190303154249748</v>
      </c>
      <c r="B5483" t="str">
        <f>"1551598969735971"</f>
        <v>1551598969735971</v>
      </c>
      <c r="C5483" t="s">
        <v>40</v>
      </c>
      <c r="D5483">
        <v>5.6904430000000001</v>
      </c>
      <c r="E5483">
        <v>0.52501540000000002</v>
      </c>
      <c r="F5483" t="s">
        <v>42</v>
      </c>
      <c r="G5483">
        <v>-340.51519999999999</v>
      </c>
      <c r="H5483">
        <v>0.91165779999999996</v>
      </c>
      <c r="I5483">
        <v>141.84379999999999</v>
      </c>
      <c r="J5483">
        <v>-340.01519999999999</v>
      </c>
      <c r="K5483">
        <v>1.1206640000000001</v>
      </c>
      <c r="L5483">
        <v>141.7962</v>
      </c>
      <c r="M5483">
        <v>-0.99992619999999999</v>
      </c>
      <c r="N5483">
        <v>-1.074665E-2</v>
      </c>
      <c r="O5483">
        <v>5.6646400000000003E-3</v>
      </c>
      <c r="P5483">
        <v>-0.99438419999999905</v>
      </c>
      <c r="Q5483">
        <v>-0.105575</v>
      </c>
      <c r="R5483">
        <v>-7.349871E-3</v>
      </c>
      <c r="S5483">
        <v>-2.9342649999999999</v>
      </c>
      <c r="T5483">
        <v>-0.78905979999999998</v>
      </c>
      <c r="U5483">
        <v>0.18276980000000001</v>
      </c>
      <c r="V5483">
        <v>-1.2924679999999999E-2</v>
      </c>
      <c r="W5483">
        <v>-9.4891149999999994E-2</v>
      </c>
      <c r="X5483">
        <v>0.99540379999999995</v>
      </c>
      <c r="Y5483">
        <v>5.4681920000000002E-2</v>
      </c>
      <c r="Z5483">
        <v>6.0813459999999996E-3</v>
      </c>
      <c r="AA5483">
        <v>0.99848530000000002</v>
      </c>
      <c r="AB5483">
        <v>29</v>
      </c>
      <c r="AC5483">
        <v>-0.5</v>
      </c>
      <c r="AD5483">
        <v>-0.209006199999999</v>
      </c>
      <c r="AE5483">
        <v>4.7599999999988499E-2</v>
      </c>
      <c r="AF5483">
        <v>3.8158957975066403E-2</v>
      </c>
      <c r="AG5483">
        <v>-0.209006199999999</v>
      </c>
      <c r="AH5483">
        <v>0.42642053257866303</v>
      </c>
      <c r="AI5483">
        <v>116.02117911725</v>
      </c>
      <c r="AJ5483">
        <v>84.886411499935093</v>
      </c>
      <c r="AK5483">
        <v>0.47641806044361301</v>
      </c>
      <c r="AL5483">
        <v>95.445054584092006</v>
      </c>
      <c r="AM5483">
        <v>90.743907149630004</v>
      </c>
      <c r="AN5483">
        <v>1.0000000513779299</v>
      </c>
    </row>
    <row r="5484" spans="1:40" x14ac:dyDescent="0.25">
      <c r="A5484" t="str">
        <f>"20190303154249771"</f>
        <v>20190303154249771</v>
      </c>
      <c r="B5484" t="str">
        <f>"1551598969765251"</f>
        <v>1551598969765251</v>
      </c>
      <c r="C5484" t="s">
        <v>40</v>
      </c>
      <c r="D5484">
        <v>5.4032030000000004</v>
      </c>
      <c r="E5484">
        <v>0.525505</v>
      </c>
      <c r="F5484" t="s">
        <v>42</v>
      </c>
      <c r="G5484">
        <v>-340.77749999999997</v>
      </c>
      <c r="H5484">
        <v>0.91454740000000001</v>
      </c>
      <c r="I5484">
        <v>141.84399999999999</v>
      </c>
      <c r="J5484">
        <v>-340.30590000000001</v>
      </c>
      <c r="K5484">
        <v>1.1206419999999999</v>
      </c>
      <c r="L5484">
        <v>141.79750000000001</v>
      </c>
      <c r="M5484">
        <v>-0.99993050000000006</v>
      </c>
      <c r="N5484">
        <v>-1.053278E-2</v>
      </c>
      <c r="O5484">
        <v>5.3176309999999997E-3</v>
      </c>
      <c r="P5484">
        <v>-0.99440629999999997</v>
      </c>
      <c r="Q5484">
        <v>-0.1053871</v>
      </c>
      <c r="R5484">
        <v>-7.069143E-3</v>
      </c>
      <c r="S5484">
        <v>-2.9340820000000001</v>
      </c>
      <c r="T5484">
        <v>-0.79328169999999898</v>
      </c>
      <c r="U5484">
        <v>0.1835938</v>
      </c>
      <c r="V5484">
        <v>-1.2299060000000001E-2</v>
      </c>
      <c r="W5484">
        <v>-9.4915529999999998E-2</v>
      </c>
      <c r="X5484">
        <v>0.9954094</v>
      </c>
      <c r="Y5484">
        <v>5.5261449999999997E-2</v>
      </c>
      <c r="Z5484">
        <v>6.2725790000000003E-3</v>
      </c>
      <c r="AA5484">
        <v>0.99845220000000001</v>
      </c>
      <c r="AB5484">
        <v>29</v>
      </c>
      <c r="AC5484">
        <v>-0.47159999999996599</v>
      </c>
      <c r="AD5484">
        <v>-0.20609459999999899</v>
      </c>
      <c r="AE5484">
        <v>4.6499999999980397E-2</v>
      </c>
      <c r="AF5484">
        <v>3.6994300387461702E-2</v>
      </c>
      <c r="AG5484">
        <v>-0.20609459999999899</v>
      </c>
      <c r="AH5484">
        <v>0.39679141675545698</v>
      </c>
      <c r="AI5484">
        <v>117.346198156944</v>
      </c>
      <c r="AJ5484">
        <v>84.673504954349198</v>
      </c>
      <c r="AK5484">
        <v>0.44865018758618702</v>
      </c>
      <c r="AL5484">
        <v>95.446457800613501</v>
      </c>
      <c r="AM5484">
        <v>90.707898049770904</v>
      </c>
      <c r="AN5484">
        <v>1.0000000491602099</v>
      </c>
    </row>
    <row r="5485" spans="1:40" x14ac:dyDescent="0.25">
      <c r="A5485" t="str">
        <f>"20190303154249793"</f>
        <v>20190303154249793</v>
      </c>
      <c r="B5485" t="str">
        <f>"1551598969785747"</f>
        <v>1551598969785747</v>
      </c>
      <c r="C5485" t="s">
        <v>40</v>
      </c>
      <c r="D5485">
        <v>5.6841569999999999</v>
      </c>
      <c r="E5485">
        <v>0.52542959999999905</v>
      </c>
      <c r="F5485" t="s">
        <v>42</v>
      </c>
      <c r="G5485">
        <v>-341.0419</v>
      </c>
      <c r="H5485">
        <v>0.92111379999999998</v>
      </c>
      <c r="I5485">
        <v>141.84479999999999</v>
      </c>
      <c r="J5485">
        <v>-340.60719999999998</v>
      </c>
      <c r="K5485">
        <v>1.1206259999999999</v>
      </c>
      <c r="L5485">
        <v>141.7988</v>
      </c>
      <c r="M5485">
        <v>-0.99993449999999995</v>
      </c>
      <c r="N5485">
        <v>-1.032397E-2</v>
      </c>
      <c r="O5485">
        <v>4.9579350000000001E-3</v>
      </c>
      <c r="P5485">
        <v>-0.99443459999999995</v>
      </c>
      <c r="Q5485">
        <v>-0.10510849999999999</v>
      </c>
      <c r="R5485">
        <v>-7.2407950000000004E-3</v>
      </c>
      <c r="S5485">
        <v>-2.933929</v>
      </c>
      <c r="T5485">
        <v>-0.79536059999999997</v>
      </c>
      <c r="U5485">
        <v>0.187912</v>
      </c>
      <c r="V5485">
        <v>-1.211213E-2</v>
      </c>
      <c r="W5485">
        <v>-9.4844419999999999E-2</v>
      </c>
      <c r="X5485">
        <v>0.99541840000000004</v>
      </c>
      <c r="Y5485">
        <v>5.7002820000000003E-2</v>
      </c>
      <c r="Z5485">
        <v>6.6134710000000001E-3</v>
      </c>
      <c r="AA5485">
        <v>0.99835209999999996</v>
      </c>
      <c r="AB5485">
        <v>29</v>
      </c>
      <c r="AC5485">
        <v>-0.43470000000002001</v>
      </c>
      <c r="AD5485">
        <v>-0.1995122</v>
      </c>
      <c r="AE5485">
        <v>4.59999999999922E-2</v>
      </c>
      <c r="AF5485">
        <v>3.6285285262359898E-2</v>
      </c>
      <c r="AG5485">
        <v>-0.1995122</v>
      </c>
      <c r="AH5485">
        <v>0.35994109740983499</v>
      </c>
      <c r="AI5485">
        <v>118.876562344731</v>
      </c>
      <c r="AJ5485">
        <v>84.243519847427095</v>
      </c>
      <c r="AK5485">
        <v>0.41313355404760699</v>
      </c>
      <c r="AL5485">
        <v>95.442365415240403</v>
      </c>
      <c r="AM5485">
        <v>90.697133671290601</v>
      </c>
      <c r="AN5485">
        <v>0.999999979378416</v>
      </c>
    </row>
    <row r="5486" spans="1:40" x14ac:dyDescent="0.25">
      <c r="A5486" t="str">
        <f>"20190303154249817"</f>
        <v>20190303154249817</v>
      </c>
      <c r="B5486" t="str">
        <f>"1551598969805267"</f>
        <v>1551598969805267</v>
      </c>
      <c r="C5486" t="s">
        <v>40</v>
      </c>
      <c r="D5486">
        <v>5.6305319999999996</v>
      </c>
      <c r="E5486">
        <v>0.56564930000000002</v>
      </c>
      <c r="F5486" t="s">
        <v>42</v>
      </c>
      <c r="G5486">
        <v>-341.30790000000002</v>
      </c>
      <c r="H5486">
        <v>0.92956830000000001</v>
      </c>
      <c r="I5486">
        <v>141.84360000000001</v>
      </c>
      <c r="J5486">
        <v>-340.90789999999998</v>
      </c>
      <c r="K5486">
        <v>1.120608</v>
      </c>
      <c r="L5486">
        <v>141.79990000000001</v>
      </c>
      <c r="M5486">
        <v>-0.99993810000000005</v>
      </c>
      <c r="N5486">
        <v>-1.012677E-2</v>
      </c>
      <c r="O5486">
        <v>4.5989289999999999E-3</v>
      </c>
      <c r="P5486">
        <v>-0.99446990000000002</v>
      </c>
      <c r="Q5486">
        <v>-0.104763</v>
      </c>
      <c r="R5486">
        <v>-7.3759619999999998E-3</v>
      </c>
      <c r="S5486">
        <v>-2.9335629999999999</v>
      </c>
      <c r="T5486">
        <v>-0.79993990000000004</v>
      </c>
      <c r="U5486">
        <v>0.18736269999999999</v>
      </c>
      <c r="V5486">
        <v>-1.189016E-2</v>
      </c>
      <c r="W5486">
        <v>-9.4694799999999996E-2</v>
      </c>
      <c r="X5486">
        <v>0.99543539999999997</v>
      </c>
      <c r="Y5486">
        <v>5.7145029999999999E-2</v>
      </c>
      <c r="Z5486">
        <v>6.7546430000000003E-3</v>
      </c>
      <c r="AA5486">
        <v>0.99834310000000004</v>
      </c>
      <c r="AB5486">
        <v>29</v>
      </c>
      <c r="AC5486">
        <v>-0.400000000000034</v>
      </c>
      <c r="AD5486">
        <v>-0.19103969999999901</v>
      </c>
      <c r="AE5486">
        <v>4.3700000000001099E-2</v>
      </c>
      <c r="AF5486">
        <v>3.4159872948490003E-2</v>
      </c>
      <c r="AG5486">
        <v>-0.19103969999999901</v>
      </c>
      <c r="AH5486">
        <v>0.32658175120976402</v>
      </c>
      <c r="AI5486">
        <v>120.190565809134</v>
      </c>
      <c r="AJ5486">
        <v>84.028676731139697</v>
      </c>
      <c r="AK5486">
        <v>0.37989301667598802</v>
      </c>
      <c r="AL5486">
        <v>95.433753632625098</v>
      </c>
      <c r="AM5486">
        <v>90.684347360972197</v>
      </c>
      <c r="AN5486">
        <v>1.0000000583125099</v>
      </c>
    </row>
    <row r="5487" spans="1:40" x14ac:dyDescent="0.25">
      <c r="A5487" t="str">
        <f>"20190303154249838"</f>
        <v>20190303154249838</v>
      </c>
      <c r="B5487" t="str">
        <f>"1551598969835523"</f>
        <v>1551598969835523</v>
      </c>
      <c r="C5487" t="s">
        <v>40</v>
      </c>
      <c r="D5487">
        <v>5.468979</v>
      </c>
      <c r="E5487">
        <v>0.57280769999999903</v>
      </c>
      <c r="F5487" t="s">
        <v>42</v>
      </c>
      <c r="G5487">
        <v>-341.81279999999998</v>
      </c>
      <c r="H5487">
        <v>0.87719579999999997</v>
      </c>
      <c r="I5487">
        <v>141.95650000000001</v>
      </c>
      <c r="J5487">
        <v>-341.19</v>
      </c>
      <c r="K5487">
        <v>1.120592</v>
      </c>
      <c r="L5487">
        <v>141.80080000000001</v>
      </c>
      <c r="M5487">
        <v>-0.99994150000000004</v>
      </c>
      <c r="N5487">
        <v>-9.9513589999999999E-3</v>
      </c>
      <c r="O5487">
        <v>4.2622579999999997E-3</v>
      </c>
      <c r="P5487">
        <v>-0.99448060000000005</v>
      </c>
      <c r="Q5487">
        <v>-0.1046274</v>
      </c>
      <c r="R5487">
        <v>-7.8684889999999993E-3</v>
      </c>
      <c r="S5487">
        <v>-2.9372250000000002</v>
      </c>
      <c r="T5487">
        <v>-0.79011009999999904</v>
      </c>
      <c r="U5487">
        <v>0.50764469999999995</v>
      </c>
      <c r="V5487">
        <v>-1.204771E-2</v>
      </c>
      <c r="W5487">
        <v>-9.4733730000000002E-2</v>
      </c>
      <c r="X5487">
        <v>0.99542980000000003</v>
      </c>
      <c r="Y5487">
        <v>0.16048299999999999</v>
      </c>
      <c r="Z5487">
        <v>2.0801090000000001E-2</v>
      </c>
      <c r="AA5487">
        <v>0.98681940000000001</v>
      </c>
      <c r="AB5487">
        <v>29</v>
      </c>
      <c r="AC5487">
        <v>-0.62279999999998303</v>
      </c>
      <c r="AD5487">
        <v>-0.24339619999999901</v>
      </c>
      <c r="AE5487">
        <v>0.15569999999999501</v>
      </c>
      <c r="AF5487">
        <v>0.133809140214383</v>
      </c>
      <c r="AG5487">
        <v>-0.24339619999999901</v>
      </c>
      <c r="AH5487">
        <v>0.54510090985566195</v>
      </c>
      <c r="AI5487">
        <v>113.44356524919</v>
      </c>
      <c r="AJ5487">
        <v>76.207978734673404</v>
      </c>
      <c r="AK5487">
        <v>0.61178558180527798</v>
      </c>
      <c r="AL5487">
        <v>95.435994237923595</v>
      </c>
      <c r="AM5487">
        <v>90.693418294102699</v>
      </c>
      <c r="AN5487">
        <v>1.00000005682199</v>
      </c>
    </row>
    <row r="5488" spans="1:40" x14ac:dyDescent="0.25">
      <c r="A5488" t="str">
        <f>"20190303154249854"</f>
        <v>20190303154249854</v>
      </c>
      <c r="B5488" t="str">
        <f>"1551598969845284"</f>
        <v>1551598969845284</v>
      </c>
      <c r="C5488" t="s">
        <v>40</v>
      </c>
      <c r="D5488">
        <v>5.4468189999999996</v>
      </c>
      <c r="E5488">
        <v>0.5732526</v>
      </c>
      <c r="F5488" t="s">
        <v>42</v>
      </c>
      <c r="G5488">
        <v>-342.0797</v>
      </c>
      <c r="H5488">
        <v>0.88295699999999999</v>
      </c>
      <c r="I5488">
        <v>141.9718</v>
      </c>
      <c r="J5488">
        <v>-341.40280000000001</v>
      </c>
      <c r="K5488">
        <v>1.1205769999999999</v>
      </c>
      <c r="L5488">
        <v>141.8015</v>
      </c>
      <c r="M5488">
        <v>-0.99994380000000005</v>
      </c>
      <c r="N5488">
        <v>-9.8266970000000006E-3</v>
      </c>
      <c r="O5488">
        <v>4.0086949999999996E-3</v>
      </c>
      <c r="P5488">
        <v>-0.9945155</v>
      </c>
      <c r="Q5488">
        <v>-0.1042714</v>
      </c>
      <c r="R5488">
        <v>-8.1413159999999991E-3</v>
      </c>
      <c r="S5488">
        <v>-2.938507</v>
      </c>
      <c r="T5488">
        <v>-0.78494390000000003</v>
      </c>
      <c r="U5488">
        <v>0.56301880000000004</v>
      </c>
      <c r="V5488">
        <v>-1.2068860000000001E-2</v>
      </c>
      <c r="W5488">
        <v>-9.4501559999999998E-2</v>
      </c>
      <c r="X5488">
        <v>0.99545159999999999</v>
      </c>
      <c r="Y5488">
        <v>0.1781026</v>
      </c>
      <c r="Z5488">
        <v>2.307085E-2</v>
      </c>
      <c r="AA5488">
        <v>0.98374139999999999</v>
      </c>
      <c r="AB5488">
        <v>29</v>
      </c>
      <c r="AC5488">
        <v>-0.67689999999998895</v>
      </c>
      <c r="AD5488">
        <v>-0.237619999999999</v>
      </c>
      <c r="AE5488">
        <v>0.17029999999999701</v>
      </c>
      <c r="AF5488">
        <v>0.150179991741069</v>
      </c>
      <c r="AG5488">
        <v>-0.237619999999999</v>
      </c>
      <c r="AH5488">
        <v>0.607205538925088</v>
      </c>
      <c r="AI5488">
        <v>110.801130834071</v>
      </c>
      <c r="AJ5488">
        <v>76.107841374394397</v>
      </c>
      <c r="AK5488">
        <v>0.66911573051353002</v>
      </c>
      <c r="AL5488">
        <v>95.422631993877005</v>
      </c>
      <c r="AM5488">
        <v>90.6946202740953</v>
      </c>
      <c r="AN5488">
        <v>1.00000004508334</v>
      </c>
    </row>
    <row r="5489" spans="1:40" x14ac:dyDescent="0.25">
      <c r="A5489" t="str">
        <f>"20190303154249873"</f>
        <v>20190303154249873</v>
      </c>
      <c r="B5489" t="str">
        <f>"1551598969865780"</f>
        <v>1551598969865780</v>
      </c>
      <c r="C5489" t="s">
        <v>40</v>
      </c>
      <c r="D5489">
        <v>5.4255060000000004</v>
      </c>
      <c r="E5489">
        <v>0.5737643</v>
      </c>
      <c r="F5489" t="s">
        <v>42</v>
      </c>
      <c r="G5489">
        <v>-342.10039999999998</v>
      </c>
      <c r="H5489">
        <v>0.93489120000000003</v>
      </c>
      <c r="I5489">
        <v>141.93620000000001</v>
      </c>
      <c r="J5489">
        <v>-341.64010000000002</v>
      </c>
      <c r="K5489">
        <v>1.120563</v>
      </c>
      <c r="L5489">
        <v>141.8021</v>
      </c>
      <c r="M5489">
        <v>-0.99994620000000001</v>
      </c>
      <c r="N5489">
        <v>-9.6956060000000007E-3</v>
      </c>
      <c r="O5489">
        <v>3.7257129999999999E-3</v>
      </c>
      <c r="P5489">
        <v>-0.99451750000000005</v>
      </c>
      <c r="Q5489">
        <v>-0.104243</v>
      </c>
      <c r="R5489">
        <v>-8.2716819999999903E-3</v>
      </c>
      <c r="S5489">
        <v>-2.9391780000000001</v>
      </c>
      <c r="T5489">
        <v>-0.78241939999999999</v>
      </c>
      <c r="U5489">
        <v>0.56570430000000005</v>
      </c>
      <c r="V5489">
        <v>-1.191732E-2</v>
      </c>
      <c r="W5489">
        <v>-9.4603610000000005E-2</v>
      </c>
      <c r="X5489">
        <v>0.99544370000000004</v>
      </c>
      <c r="Y5489">
        <v>0.1792039</v>
      </c>
      <c r="Z5489">
        <v>2.3201909999999999E-2</v>
      </c>
      <c r="AA5489">
        <v>0.98353829999999998</v>
      </c>
      <c r="AB5489">
        <v>29</v>
      </c>
      <c r="AC5489">
        <v>-0.46029999999996102</v>
      </c>
      <c r="AD5489">
        <v>-0.185671799999999</v>
      </c>
      <c r="AE5489">
        <v>0.13410000000001701</v>
      </c>
      <c r="AF5489">
        <v>0.115118657340975</v>
      </c>
      <c r="AG5489">
        <v>-0.185671799999999</v>
      </c>
      <c r="AH5489">
        <v>0.40069986514079903</v>
      </c>
      <c r="AI5489">
        <v>114.005984714897</v>
      </c>
      <c r="AJ5489">
        <v>73.970960399900505</v>
      </c>
      <c r="AK5489">
        <v>0.45638438240926199</v>
      </c>
      <c r="AL5489">
        <v>95.428505517573299</v>
      </c>
      <c r="AM5489">
        <v>90.685904708044404</v>
      </c>
      <c r="AN5489">
        <v>1.0000000127053501</v>
      </c>
    </row>
    <row r="5490" spans="1:40" x14ac:dyDescent="0.25">
      <c r="A5490" t="str">
        <f>"20190303154249895"</f>
        <v>20190303154249895</v>
      </c>
      <c r="B5490" t="str">
        <f>"1551598969885808"</f>
        <v>1551598969885808</v>
      </c>
      <c r="C5490" t="s">
        <v>40</v>
      </c>
      <c r="D5490">
        <v>5.4278449999999996</v>
      </c>
      <c r="E5490">
        <v>0.57392600000000005</v>
      </c>
      <c r="F5490" t="s">
        <v>42</v>
      </c>
      <c r="G5490">
        <v>-342.36219999999997</v>
      </c>
      <c r="H5490">
        <v>0.92911100000000002</v>
      </c>
      <c r="I5490">
        <v>141.94229999999999</v>
      </c>
      <c r="J5490">
        <v>-341.94189999999998</v>
      </c>
      <c r="K5490">
        <v>1.1205459999999901</v>
      </c>
      <c r="L5490">
        <v>141.80289999999999</v>
      </c>
      <c r="M5490">
        <v>-0.99994899999999998</v>
      </c>
      <c r="N5490">
        <v>-9.5193810000000004E-3</v>
      </c>
      <c r="O5490">
        <v>3.3656440000000001E-3</v>
      </c>
      <c r="P5490">
        <v>-0.99453460000000005</v>
      </c>
      <c r="Q5490">
        <v>-0.1040425</v>
      </c>
      <c r="R5490">
        <v>-8.7247890000000002E-3</v>
      </c>
      <c r="S5490">
        <v>-2.939575</v>
      </c>
      <c r="T5490">
        <v>-0.7794797</v>
      </c>
      <c r="U5490">
        <v>0.56939700000000004</v>
      </c>
      <c r="V5490">
        <v>-1.201181E-2</v>
      </c>
      <c r="W5490">
        <v>-9.4578389999999998E-2</v>
      </c>
      <c r="X5490">
        <v>0.99544500000000002</v>
      </c>
      <c r="Y5490">
        <v>0.1807126</v>
      </c>
      <c r="Z5490">
        <v>2.3390689999999999E-2</v>
      </c>
      <c r="AA5490">
        <v>0.98325779999999996</v>
      </c>
      <c r="AB5490">
        <v>30</v>
      </c>
      <c r="AC5490">
        <v>-0.42029999999999701</v>
      </c>
      <c r="AD5490">
        <v>-0.19143499999999899</v>
      </c>
      <c r="AE5490">
        <v>0.139399999999994</v>
      </c>
      <c r="AF5490">
        <v>0.116256681198495</v>
      </c>
      <c r="AG5490">
        <v>-0.19143499999999899</v>
      </c>
      <c r="AH5490">
        <v>0.35451032264882598</v>
      </c>
      <c r="AI5490">
        <v>117.162913483971</v>
      </c>
      <c r="AJ5490">
        <v>71.843822672887597</v>
      </c>
      <c r="AK5490">
        <v>0.41933345205559702</v>
      </c>
      <c r="AL5490">
        <v>95.427053797366696</v>
      </c>
      <c r="AM5490">
        <v>90.6913416780571</v>
      </c>
      <c r="AN5490">
        <v>1.0000000517297301</v>
      </c>
    </row>
    <row r="5491" spans="1:40" x14ac:dyDescent="0.25">
      <c r="A5491" t="str">
        <f>"20190303154249918"</f>
        <v>20190303154249918</v>
      </c>
      <c r="B5491" t="str">
        <f>"1551598969905327"</f>
        <v>1551598969905327</v>
      </c>
      <c r="C5491" t="s">
        <v>40</v>
      </c>
      <c r="D5491">
        <v>5.4101059999999999</v>
      </c>
      <c r="E5491">
        <v>0.5739841</v>
      </c>
      <c r="F5491" t="s">
        <v>42</v>
      </c>
      <c r="G5491">
        <v>-342.63080000000002</v>
      </c>
      <c r="H5491">
        <v>0.93810510000000003</v>
      </c>
      <c r="I5491">
        <v>141.9367</v>
      </c>
      <c r="J5491">
        <v>-342.24439999999998</v>
      </c>
      <c r="K5491">
        <v>1.1205160000000001</v>
      </c>
      <c r="L5491">
        <v>141.80350000000001</v>
      </c>
      <c r="M5491">
        <v>-0.99995199999999995</v>
      </c>
      <c r="N5491">
        <v>-9.3212160000000002E-3</v>
      </c>
      <c r="O5491">
        <v>3.0047170000000001E-3</v>
      </c>
      <c r="P5491">
        <v>-0.99454719999999996</v>
      </c>
      <c r="Q5491">
        <v>-0.1039129</v>
      </c>
      <c r="R5491">
        <v>-8.8158779999999992E-3</v>
      </c>
      <c r="S5491">
        <v>-2.939972</v>
      </c>
      <c r="T5491">
        <v>-0.77868999999999999</v>
      </c>
      <c r="U5491">
        <v>0.56906129999999999</v>
      </c>
      <c r="V5491">
        <v>-1.1744030000000001E-2</v>
      </c>
      <c r="W5491">
        <v>-9.4645880000000002E-2</v>
      </c>
      <c r="X5491">
        <v>0.99544169999999998</v>
      </c>
      <c r="Y5491">
        <v>0.1809336</v>
      </c>
      <c r="Z5491">
        <v>2.346637E-2</v>
      </c>
      <c r="AA5491">
        <v>0.98321530000000001</v>
      </c>
      <c r="AB5491">
        <v>30</v>
      </c>
      <c r="AC5491">
        <v>-0.38640000000003699</v>
      </c>
      <c r="AD5491">
        <v>-0.18241089999999999</v>
      </c>
      <c r="AE5491">
        <v>0.13319999999998799</v>
      </c>
      <c r="AF5491">
        <v>0.110106476951962</v>
      </c>
      <c r="AG5491">
        <v>-0.18241089999999999</v>
      </c>
      <c r="AH5491">
        <v>0.322550442065281</v>
      </c>
      <c r="AI5491">
        <v>118.155811586742</v>
      </c>
      <c r="AJ5491">
        <v>71.152043210204894</v>
      </c>
      <c r="AK5491">
        <v>0.38656947678533998</v>
      </c>
      <c r="AL5491">
        <v>95.430938550742894</v>
      </c>
      <c r="AM5491">
        <v>90.675933243428304</v>
      </c>
      <c r="AN5491">
        <v>0.99999997147025199</v>
      </c>
    </row>
    <row r="5492" spans="1:40" x14ac:dyDescent="0.25">
      <c r="A5492" t="str">
        <f>"20190303154249939"</f>
        <v>20190303154249939</v>
      </c>
      <c r="B5492" t="str">
        <f>"1551598969925825"</f>
        <v>1551598969925825</v>
      </c>
      <c r="C5492" t="s">
        <v>40</v>
      </c>
      <c r="D5492">
        <v>5.4050710000000004</v>
      </c>
      <c r="E5492">
        <v>0.5741001</v>
      </c>
      <c r="F5492" t="s">
        <v>42</v>
      </c>
      <c r="G5492">
        <v>-343.14069999999998</v>
      </c>
      <c r="H5492">
        <v>0.88352869999999994</v>
      </c>
      <c r="I5492">
        <v>141.97739999999999</v>
      </c>
      <c r="J5492">
        <v>-342.524</v>
      </c>
      <c r="K5492">
        <v>1.1204860000000001</v>
      </c>
      <c r="L5492">
        <v>141.804</v>
      </c>
      <c r="M5492">
        <v>-0.99995489999999998</v>
      </c>
      <c r="N5492">
        <v>-9.124722E-3</v>
      </c>
      <c r="O5492">
        <v>2.670885E-3</v>
      </c>
      <c r="P5492">
        <v>-0.99455950000000004</v>
      </c>
      <c r="Q5492">
        <v>-0.1038168</v>
      </c>
      <c r="R5492">
        <v>-8.5834859999999995E-3</v>
      </c>
      <c r="S5492">
        <v>-2.9402469999999998</v>
      </c>
      <c r="T5492">
        <v>-0.77747769999999905</v>
      </c>
      <c r="U5492">
        <v>0.56904600000000005</v>
      </c>
      <c r="V5492">
        <v>-1.117859E-2</v>
      </c>
      <c r="W5492">
        <v>-9.4744800000000004E-2</v>
      </c>
      <c r="X5492">
        <v>0.99543879999999996</v>
      </c>
      <c r="Y5492">
        <v>0.18124290000000001</v>
      </c>
      <c r="Z5492">
        <v>2.3535850000000001E-2</v>
      </c>
      <c r="AA5492">
        <v>0.98315669999999999</v>
      </c>
      <c r="AB5492">
        <v>30</v>
      </c>
      <c r="AC5492">
        <v>-0.61669999999998004</v>
      </c>
      <c r="AD5492">
        <v>-0.23695730000000001</v>
      </c>
      <c r="AE5492">
        <v>0.17339999999998601</v>
      </c>
      <c r="AF5492">
        <v>0.15108134370821399</v>
      </c>
      <c r="AG5492">
        <v>-0.23695730000000001</v>
      </c>
      <c r="AH5492">
        <v>0.54288397782758402</v>
      </c>
      <c r="AI5492">
        <v>112.80670645893299</v>
      </c>
      <c r="AJ5492">
        <v>74.448435008527596</v>
      </c>
      <c r="AK5492">
        <v>0.61130789936158203</v>
      </c>
      <c r="AL5492">
        <v>95.436631834397303</v>
      </c>
      <c r="AM5492">
        <v>90.643393753921998</v>
      </c>
      <c r="AN5492">
        <v>0.99999997127343299</v>
      </c>
    </row>
    <row r="5493" spans="1:40" x14ac:dyDescent="0.25">
      <c r="A5493" t="str">
        <f>"20190303154249959"</f>
        <v>20190303154249959</v>
      </c>
      <c r="B5493" t="str">
        <f>"1551598969956081"</f>
        <v>1551598969956081</v>
      </c>
      <c r="C5493" t="s">
        <v>40</v>
      </c>
      <c r="D5493">
        <v>5.4211320000000001</v>
      </c>
      <c r="E5493">
        <v>0.57442579999999999</v>
      </c>
      <c r="F5493" t="s">
        <v>42</v>
      </c>
      <c r="G5493">
        <v>-343.40890000000002</v>
      </c>
      <c r="H5493">
        <v>0.88677899999999998</v>
      </c>
      <c r="I5493">
        <v>141.976</v>
      </c>
      <c r="J5493">
        <v>-342.80509999999998</v>
      </c>
      <c r="K5493">
        <v>1.1204620000000001</v>
      </c>
      <c r="L5493">
        <v>141.80439999999999</v>
      </c>
      <c r="M5493">
        <v>-0.99995730000000005</v>
      </c>
      <c r="N5493">
        <v>-8.9292639999999993E-3</v>
      </c>
      <c r="O5493">
        <v>2.3355979999999999E-3</v>
      </c>
      <c r="P5493">
        <v>-0.99455289999999996</v>
      </c>
      <c r="Q5493">
        <v>-0.1039066</v>
      </c>
      <c r="R5493">
        <v>-8.2626519999999901E-3</v>
      </c>
      <c r="S5493">
        <v>-2.940277</v>
      </c>
      <c r="T5493">
        <v>-0.77646400000000004</v>
      </c>
      <c r="U5493">
        <v>0.57077029999999995</v>
      </c>
      <c r="V5493">
        <v>-1.0524220000000001E-2</v>
      </c>
      <c r="W5493">
        <v>-9.5028870000000001E-2</v>
      </c>
      <c r="X5493">
        <v>0.9954189</v>
      </c>
      <c r="Y5493">
        <v>0.1821072</v>
      </c>
      <c r="Z5493">
        <v>2.3685660000000001E-2</v>
      </c>
      <c r="AA5493">
        <v>0.98299340000000002</v>
      </c>
      <c r="AB5493">
        <v>30</v>
      </c>
      <c r="AC5493">
        <v>-0.60380000000003498</v>
      </c>
      <c r="AD5493">
        <v>-0.233683</v>
      </c>
      <c r="AE5493">
        <v>0.17160000000001199</v>
      </c>
      <c r="AF5493">
        <v>0.149473559016225</v>
      </c>
      <c r="AG5493">
        <v>-0.233683</v>
      </c>
      <c r="AH5493">
        <v>0.53065515577097699</v>
      </c>
      <c r="AI5493">
        <v>112.9707484409</v>
      </c>
      <c r="AJ5493">
        <v>74.268672103419505</v>
      </c>
      <c r="AK5493">
        <v>0.59878625876041702</v>
      </c>
      <c r="AL5493">
        <v>95.452981372023999</v>
      </c>
      <c r="AM5493">
        <v>90.605745905000504</v>
      </c>
      <c r="AN5493">
        <v>1.00000001590864</v>
      </c>
    </row>
    <row r="5494" spans="1:40" x14ac:dyDescent="0.25">
      <c r="A5494" t="str">
        <f>"20190303154249983"</f>
        <v>20190303154249983</v>
      </c>
      <c r="B5494" t="str">
        <f>"1551598969975599"</f>
        <v>1551598969975599</v>
      </c>
      <c r="C5494" t="s">
        <v>40</v>
      </c>
      <c r="D5494">
        <v>5.4048429999999996</v>
      </c>
      <c r="E5494">
        <v>0.57431319999999997</v>
      </c>
      <c r="F5494" t="s">
        <v>42</v>
      </c>
      <c r="G5494">
        <v>-343.67790000000002</v>
      </c>
      <c r="H5494">
        <v>0.88983259999999897</v>
      </c>
      <c r="I5494">
        <v>141.9753</v>
      </c>
      <c r="J5494">
        <v>-343.11950000000002</v>
      </c>
      <c r="K5494">
        <v>1.120433</v>
      </c>
      <c r="L5494">
        <v>141.8048</v>
      </c>
      <c r="M5494">
        <v>-0.99996010000000002</v>
      </c>
      <c r="N5494">
        <v>-8.7135289999999994E-3</v>
      </c>
      <c r="O5494">
        <v>1.9605690000000001E-3</v>
      </c>
      <c r="P5494">
        <v>-0.99463690000000005</v>
      </c>
      <c r="Q5494">
        <v>-0.1031069</v>
      </c>
      <c r="R5494">
        <v>-8.1669989999999994E-3</v>
      </c>
      <c r="S5494">
        <v>-2.9400330000000001</v>
      </c>
      <c r="T5494">
        <v>-0.77694030000000003</v>
      </c>
      <c r="U5494">
        <v>0.57440190000000002</v>
      </c>
      <c r="V5494">
        <v>-1.0056300000000001E-2</v>
      </c>
      <c r="W5494">
        <v>-9.4442830000000005E-2</v>
      </c>
      <c r="X5494">
        <v>0.99547949999999996</v>
      </c>
      <c r="Y5494">
        <v>0.18359639999999999</v>
      </c>
      <c r="Z5494">
        <v>2.396968E-2</v>
      </c>
      <c r="AA5494">
        <v>0.98270939999999996</v>
      </c>
      <c r="AB5494">
        <v>30</v>
      </c>
      <c r="AC5494">
        <v>-0.558400000000006</v>
      </c>
      <c r="AD5494">
        <v>-0.23060040000000001</v>
      </c>
      <c r="AE5494">
        <v>0.17050000000000401</v>
      </c>
      <c r="AF5494">
        <v>0.146544307526525</v>
      </c>
      <c r="AG5494">
        <v>-0.23060040000000001</v>
      </c>
      <c r="AH5494">
        <v>0.48333428934942302</v>
      </c>
      <c r="AI5494">
        <v>114.540429999105</v>
      </c>
      <c r="AJ5494">
        <v>73.132984054018394</v>
      </c>
      <c r="AK5494">
        <v>0.55521510589095102</v>
      </c>
      <c r="AL5494">
        <v>95.419252107226001</v>
      </c>
      <c r="AM5494">
        <v>90.578780325389204</v>
      </c>
      <c r="AN5494">
        <v>1.0000000061141701</v>
      </c>
    </row>
    <row r="5495" spans="1:40" x14ac:dyDescent="0.25">
      <c r="A5495" t="str">
        <f>"20190303154250004"</f>
        <v>20190303154250004</v>
      </c>
      <c r="B5495" t="str">
        <f>"1551598969996095"</f>
        <v>1551598969996095</v>
      </c>
      <c r="C5495" t="s">
        <v>40</v>
      </c>
      <c r="D5495">
        <v>5.6111170000000001</v>
      </c>
      <c r="E5495">
        <v>0.55564080000000005</v>
      </c>
      <c r="F5495" t="s">
        <v>42</v>
      </c>
      <c r="G5495">
        <v>-343.95030000000003</v>
      </c>
      <c r="H5495">
        <v>0.90010190000000001</v>
      </c>
      <c r="I5495">
        <v>141.96690000000001</v>
      </c>
      <c r="J5495">
        <v>-343.41579999999999</v>
      </c>
      <c r="K5495">
        <v>1.120411</v>
      </c>
      <c r="L5495">
        <v>141.80500000000001</v>
      </c>
      <c r="M5495">
        <v>-0.99996249999999998</v>
      </c>
      <c r="N5495">
        <v>-8.5124080000000008E-3</v>
      </c>
      <c r="O5495">
        <v>1.609776E-3</v>
      </c>
      <c r="P5495">
        <v>-0.99469269999999999</v>
      </c>
      <c r="Q5495">
        <v>-0.1025939</v>
      </c>
      <c r="R5495">
        <v>-7.8192739999999993E-3</v>
      </c>
      <c r="S5495">
        <v>-2.9400629999999999</v>
      </c>
      <c r="T5495">
        <v>-0.77970640000000002</v>
      </c>
      <c r="U5495">
        <v>0.57385249999999999</v>
      </c>
      <c r="V5495">
        <v>-9.3597430000000002E-3</v>
      </c>
      <c r="W5495">
        <v>-9.4129110000000002E-2</v>
      </c>
      <c r="X5495">
        <v>0.99551599999999996</v>
      </c>
      <c r="Y5495">
        <v>0.18370909999999999</v>
      </c>
      <c r="Z5495">
        <v>2.413303E-2</v>
      </c>
      <c r="AA5495">
        <v>0.98268440000000001</v>
      </c>
      <c r="AB5495">
        <v>30</v>
      </c>
      <c r="AC5495">
        <v>-0.53450000000003595</v>
      </c>
      <c r="AD5495">
        <v>-0.22030910000000001</v>
      </c>
      <c r="AE5495">
        <v>0.16190000000000199</v>
      </c>
      <c r="AF5495">
        <v>0.13935398981135899</v>
      </c>
      <c r="AG5495">
        <v>-0.22030910000000001</v>
      </c>
      <c r="AH5495">
        <v>0.46274987245555799</v>
      </c>
      <c r="AI5495">
        <v>114.506570212689</v>
      </c>
      <c r="AJ5495">
        <v>73.240681045564799</v>
      </c>
      <c r="AK5495">
        <v>0.53112435311967099</v>
      </c>
      <c r="AL5495">
        <v>95.401196873958895</v>
      </c>
      <c r="AM5495">
        <v>90.538673382070499</v>
      </c>
      <c r="AN5495">
        <v>1.0000000001972</v>
      </c>
    </row>
    <row r="5496" spans="1:40" x14ac:dyDescent="0.25">
      <c r="A5496" t="str">
        <f>"20190303154250027"</f>
        <v>20190303154250027</v>
      </c>
      <c r="B5496" t="str">
        <f>"1551598970025375"</f>
        <v>1551598970025375</v>
      </c>
      <c r="C5496" t="s">
        <v>40</v>
      </c>
      <c r="D5496">
        <v>5.5713929999999996</v>
      </c>
      <c r="E5496">
        <v>0.56047760000000002</v>
      </c>
      <c r="F5496" t="s">
        <v>42</v>
      </c>
      <c r="G5496">
        <v>-344.20159999999998</v>
      </c>
      <c r="H5496">
        <v>0.86350629999999995</v>
      </c>
      <c r="I5496">
        <v>141.9205</v>
      </c>
      <c r="J5496">
        <v>-343.71719999999999</v>
      </c>
      <c r="K5496">
        <v>1.1203829999999999</v>
      </c>
      <c r="L5496">
        <v>141.80520000000001</v>
      </c>
      <c r="M5496">
        <v>-0.99996470000000004</v>
      </c>
      <c r="N5496">
        <v>-8.3190769999999994E-3</v>
      </c>
      <c r="O5496">
        <v>1.2597870000000001E-3</v>
      </c>
      <c r="P5496">
        <v>-0.99473109999999998</v>
      </c>
      <c r="Q5496">
        <v>-0.1022146</v>
      </c>
      <c r="R5496">
        <v>-7.8900269999999904E-3</v>
      </c>
      <c r="S5496">
        <v>-2.9208980000000002</v>
      </c>
      <c r="T5496">
        <v>-0.95493870000000003</v>
      </c>
      <c r="U5496">
        <v>0.42816159999999998</v>
      </c>
      <c r="V5496">
        <v>-9.0831539999999995E-3</v>
      </c>
      <c r="W5496">
        <v>-9.3941759999999999E-2</v>
      </c>
      <c r="X5496">
        <v>0.99553630000000004</v>
      </c>
      <c r="Y5496">
        <v>0.13668739999999999</v>
      </c>
      <c r="Z5496">
        <v>2.1866239999999999E-2</v>
      </c>
      <c r="AA5496">
        <v>0.9903729</v>
      </c>
      <c r="AB5496">
        <v>30</v>
      </c>
      <c r="AC5496">
        <v>-0.484399999999993</v>
      </c>
      <c r="AD5496">
        <v>-0.25687669999999901</v>
      </c>
      <c r="AE5496">
        <v>0.11529999999998999</v>
      </c>
      <c r="AF5496">
        <v>9.0582246162128094E-2</v>
      </c>
      <c r="AG5496">
        <v>-0.25687669999999901</v>
      </c>
      <c r="AH5496">
        <v>0.38269507624191001</v>
      </c>
      <c r="AI5496">
        <v>123.15188095324299</v>
      </c>
      <c r="AJ5496">
        <v>76.683416504074401</v>
      </c>
      <c r="AK5496">
        <v>0.46973003278741698</v>
      </c>
      <c r="AL5496">
        <v>95.390414510223806</v>
      </c>
      <c r="AM5496">
        <v>90.522745326906204</v>
      </c>
      <c r="AN5496">
        <v>1.0000000412880801</v>
      </c>
    </row>
    <row r="5497" spans="1:40" x14ac:dyDescent="0.25">
      <c r="A5497" t="str">
        <f>"20190303154250049"</f>
        <v>20190303154250049</v>
      </c>
      <c r="B5497" t="str">
        <f>"1551598970045872"</f>
        <v>1551598970045872</v>
      </c>
      <c r="C5497" t="s">
        <v>40</v>
      </c>
      <c r="D5497">
        <v>5.5775790000000001</v>
      </c>
      <c r="E5497">
        <v>0.5592608</v>
      </c>
      <c r="F5497" t="s">
        <v>42</v>
      </c>
      <c r="G5497">
        <v>-344.48059999999998</v>
      </c>
      <c r="H5497">
        <v>0.88419799999999904</v>
      </c>
      <c r="I5497">
        <v>141.92689999999999</v>
      </c>
      <c r="J5497">
        <v>-344.01819999999998</v>
      </c>
      <c r="K5497">
        <v>1.120358</v>
      </c>
      <c r="L5497">
        <v>141.80520000000001</v>
      </c>
      <c r="M5497">
        <v>-0.99996649999999998</v>
      </c>
      <c r="N5497">
        <v>-8.1435129999999998E-3</v>
      </c>
      <c r="O5497">
        <v>9.2279600000000003E-4</v>
      </c>
      <c r="P5497">
        <v>-0.99477199999999999</v>
      </c>
      <c r="Q5497">
        <v>-0.10177750000000001</v>
      </c>
      <c r="R5497">
        <v>-8.399175E-3</v>
      </c>
      <c r="S5497">
        <v>-2.9265140000000001</v>
      </c>
      <c r="T5497">
        <v>-0.90549500000000005</v>
      </c>
      <c r="U5497">
        <v>0.46609499999999998</v>
      </c>
      <c r="V5497">
        <v>-9.2580779999999994E-3</v>
      </c>
      <c r="W5497">
        <v>-9.3679059999999995E-2</v>
      </c>
      <c r="X5497">
        <v>0.99555939999999998</v>
      </c>
      <c r="Y5497">
        <v>0.14940239999999999</v>
      </c>
      <c r="Z5497">
        <v>2.2809059999999999E-2</v>
      </c>
      <c r="AA5497">
        <v>0.98851339999999999</v>
      </c>
      <c r="AB5497">
        <v>30</v>
      </c>
      <c r="AC5497">
        <v>-0.46240000000000198</v>
      </c>
      <c r="AD5497">
        <v>-0.23616000000000001</v>
      </c>
      <c r="AE5497">
        <v>0.12169999999997499</v>
      </c>
      <c r="AF5497">
        <v>9.7490933151508696E-2</v>
      </c>
      <c r="AG5497">
        <v>-0.23616000000000001</v>
      </c>
      <c r="AH5497">
        <v>0.37181112531034299</v>
      </c>
      <c r="AI5497">
        <v>121.566232391235</v>
      </c>
      <c r="AJ5497">
        <v>75.307481498797003</v>
      </c>
      <c r="AK5497">
        <v>0.45113140053790901</v>
      </c>
      <c r="AL5497">
        <v>95.375296469244006</v>
      </c>
      <c r="AM5497">
        <v>90.532799455080294</v>
      </c>
      <c r="AN5497">
        <v>0.99999999860954802</v>
      </c>
    </row>
    <row r="5498" spans="1:40" x14ac:dyDescent="0.25">
      <c r="A5498" t="str">
        <f>"20190303154250072"</f>
        <v>20190303154250072</v>
      </c>
      <c r="B5498" t="str">
        <f>"1551598970065391"</f>
        <v>1551598970065391</v>
      </c>
      <c r="C5498" t="s">
        <v>40</v>
      </c>
      <c r="D5498">
        <v>5.5699160000000001</v>
      </c>
      <c r="E5498">
        <v>0.55831969999999997</v>
      </c>
      <c r="F5498" t="s">
        <v>42</v>
      </c>
      <c r="G5498">
        <v>-344.75369999999998</v>
      </c>
      <c r="H5498">
        <v>0.89059719999999998</v>
      </c>
      <c r="I5498">
        <v>141.9196</v>
      </c>
      <c r="J5498">
        <v>-344.32229999999998</v>
      </c>
      <c r="K5498">
        <v>1.120328</v>
      </c>
      <c r="L5498">
        <v>141.80510000000001</v>
      </c>
      <c r="M5498">
        <v>-0.99996790000000002</v>
      </c>
      <c r="N5498">
        <v>-7.9848109999999996E-3</v>
      </c>
      <c r="O5498">
        <v>6.0054420000000002E-4</v>
      </c>
      <c r="P5498">
        <v>-0.99489910000000004</v>
      </c>
      <c r="Q5498">
        <v>-0.10044549999999999</v>
      </c>
      <c r="R5498">
        <v>-9.3102489999999996E-3</v>
      </c>
      <c r="S5498">
        <v>-2.926056</v>
      </c>
      <c r="T5498">
        <v>-0.914022</v>
      </c>
      <c r="U5498">
        <v>0.45498660000000002</v>
      </c>
      <c r="V5498">
        <v>-9.8520880000000002E-3</v>
      </c>
      <c r="W5498">
        <v>-9.2504230000000007E-2</v>
      </c>
      <c r="X5498">
        <v>0.99566350000000003</v>
      </c>
      <c r="Y5498">
        <v>0.14609510000000001</v>
      </c>
      <c r="Z5498">
        <v>2.2585729999999998E-2</v>
      </c>
      <c r="AA5498">
        <v>0.98901269999999997</v>
      </c>
      <c r="AB5498">
        <v>30</v>
      </c>
      <c r="AC5498">
        <v>-0.43139999999999601</v>
      </c>
      <c r="AD5498">
        <v>-0.22973080000000001</v>
      </c>
      <c r="AE5498">
        <v>0.114499999999992</v>
      </c>
      <c r="AF5498">
        <v>9.0314762796512696E-2</v>
      </c>
      <c r="AG5498">
        <v>-0.22973080000000001</v>
      </c>
      <c r="AH5498">
        <v>0.34110369711385202</v>
      </c>
      <c r="AI5498">
        <v>123.066465219552</v>
      </c>
      <c r="AJ5498">
        <v>75.169971297822102</v>
      </c>
      <c r="AK5498">
        <v>0.42105193151483</v>
      </c>
      <c r="AL5498">
        <v>95.307690341697196</v>
      </c>
      <c r="AM5498">
        <v>90.566923101875304</v>
      </c>
      <c r="AN5498">
        <v>0.99999995071905001</v>
      </c>
    </row>
    <row r="5499" spans="1:40" x14ac:dyDescent="0.25">
      <c r="A5499" t="str">
        <f>"20190303154250096"</f>
        <v>20190303154250096</v>
      </c>
      <c r="B5499" t="str">
        <f>"1551598970085887"</f>
        <v>1551598970085887</v>
      </c>
      <c r="C5499" t="s">
        <v>40</v>
      </c>
      <c r="D5499">
        <v>5.5519879999999997</v>
      </c>
      <c r="E5499">
        <v>0.55777679999999996</v>
      </c>
      <c r="F5499" t="s">
        <v>42</v>
      </c>
      <c r="G5499">
        <v>-345.02850000000001</v>
      </c>
      <c r="H5499">
        <v>0.89904569999999995</v>
      </c>
      <c r="I5499">
        <v>141.9126</v>
      </c>
      <c r="J5499">
        <v>-344.6422</v>
      </c>
      <c r="K5499">
        <v>1.1203000000000001</v>
      </c>
      <c r="L5499">
        <v>141.80500000000001</v>
      </c>
      <c r="M5499">
        <v>-0.99996940000000001</v>
      </c>
      <c r="N5499">
        <v>-7.836684E-3</v>
      </c>
      <c r="O5499">
        <v>2.8651309999999999E-4</v>
      </c>
      <c r="P5499">
        <v>-0.99493580000000004</v>
      </c>
      <c r="Q5499">
        <v>-9.9965209999999999E-2</v>
      </c>
      <c r="R5499">
        <v>-1.048663E-2</v>
      </c>
      <c r="S5499">
        <v>-2.9269409999999998</v>
      </c>
      <c r="T5499">
        <v>-0.91714949999999995</v>
      </c>
      <c r="U5499">
        <v>0.4448395</v>
      </c>
      <c r="V5499">
        <v>-1.0719350000000001E-2</v>
      </c>
      <c r="W5499">
        <v>-9.2171240000000002E-2</v>
      </c>
      <c r="X5499">
        <v>0.9956855</v>
      </c>
      <c r="Y5499">
        <v>0.14309720000000001</v>
      </c>
      <c r="Z5499">
        <v>2.2270189999999999E-2</v>
      </c>
      <c r="AA5499">
        <v>0.98945810000000001</v>
      </c>
      <c r="AB5499">
        <v>30</v>
      </c>
      <c r="AC5499">
        <v>-0.38630000000000497</v>
      </c>
      <c r="AD5499">
        <v>-0.22125429999999999</v>
      </c>
      <c r="AE5499">
        <v>0.10759999999999</v>
      </c>
      <c r="AF5499">
        <v>8.2403492575474996E-2</v>
      </c>
      <c r="AG5499">
        <v>-0.22125429999999999</v>
      </c>
      <c r="AH5499">
        <v>0.29616905816731098</v>
      </c>
      <c r="AI5499">
        <v>125.74315957838</v>
      </c>
      <c r="AJ5499">
        <v>74.451770005083702</v>
      </c>
      <c r="AK5499">
        <v>0.37876102211399498</v>
      </c>
      <c r="AL5499">
        <v>95.288529147152403</v>
      </c>
      <c r="AM5499">
        <v>90.616811018846903</v>
      </c>
      <c r="AN5499">
        <v>1.0000000284288999</v>
      </c>
    </row>
    <row r="5500" spans="1:40" x14ac:dyDescent="0.25">
      <c r="A5500" t="str">
        <f>"20190303154250118"</f>
        <v>20190303154250118</v>
      </c>
      <c r="B5500" t="str">
        <f>"1551598970105408"</f>
        <v>1551598970105408</v>
      </c>
      <c r="C5500" t="s">
        <v>40</v>
      </c>
      <c r="D5500">
        <v>5.5498089999999998</v>
      </c>
      <c r="E5500">
        <v>0.55769250000000004</v>
      </c>
      <c r="F5500" t="s">
        <v>42</v>
      </c>
      <c r="G5500">
        <v>-345.54880000000003</v>
      </c>
      <c r="H5500">
        <v>0.83537890000000004</v>
      </c>
      <c r="I5500">
        <v>141.94069999999999</v>
      </c>
      <c r="J5500">
        <v>-344.93610000000001</v>
      </c>
      <c r="K5500">
        <v>1.120268</v>
      </c>
      <c r="L5500">
        <v>141.8048</v>
      </c>
      <c r="M5500">
        <v>-0.99997020000000003</v>
      </c>
      <c r="N5500">
        <v>-7.7188469999999896E-3</v>
      </c>
      <c r="O5500" s="1">
        <v>3.0428590000000001E-5</v>
      </c>
      <c r="P5500">
        <v>-0.99487559999999997</v>
      </c>
      <c r="Q5500">
        <v>-0.1004697</v>
      </c>
      <c r="R5500">
        <v>-1.1333309999999999E-2</v>
      </c>
      <c r="S5500">
        <v>-2.92746</v>
      </c>
      <c r="T5500">
        <v>-0.92008259999999997</v>
      </c>
      <c r="U5500">
        <v>0.43739319999999998</v>
      </c>
      <c r="V5500">
        <v>-1.1315479999999999E-2</v>
      </c>
      <c r="W5500">
        <v>-9.2793319999999999E-2</v>
      </c>
      <c r="X5500">
        <v>0.99562110000000004</v>
      </c>
      <c r="Y5500">
        <v>0.1409165</v>
      </c>
      <c r="Z5500">
        <v>2.2062579999999998E-2</v>
      </c>
      <c r="AA5500">
        <v>0.98977559999999998</v>
      </c>
      <c r="AB5500">
        <v>30</v>
      </c>
      <c r="AC5500">
        <v>-0.61270000000001801</v>
      </c>
      <c r="AD5500">
        <v>-0.28488909999999901</v>
      </c>
      <c r="AE5500">
        <v>0.135899999999992</v>
      </c>
      <c r="AF5500">
        <v>0.112665282626145</v>
      </c>
      <c r="AG5500">
        <v>-0.28488909999999901</v>
      </c>
      <c r="AH5500">
        <v>0.50802028098018104</v>
      </c>
      <c r="AI5500">
        <v>118.699869378359</v>
      </c>
      <c r="AJ5500">
        <v>77.495711093778596</v>
      </c>
      <c r="AK5500">
        <v>0.59324520317927698</v>
      </c>
      <c r="AL5500">
        <v>95.324325226448593</v>
      </c>
      <c r="AM5500">
        <v>90.651152667095005</v>
      </c>
      <c r="AN5500">
        <v>1.00000000754473</v>
      </c>
    </row>
    <row r="5501" spans="1:40" x14ac:dyDescent="0.25">
      <c r="A5501" t="str">
        <f>"20190303154250139"</f>
        <v>20190303154250139</v>
      </c>
      <c r="B5501" t="str">
        <f>"1551598970135663"</f>
        <v>1551598970135663</v>
      </c>
      <c r="C5501" t="s">
        <v>40</v>
      </c>
      <c r="D5501">
        <v>5.5506190000000002</v>
      </c>
      <c r="E5501">
        <v>0.55708749999999996</v>
      </c>
      <c r="F5501" t="s">
        <v>42</v>
      </c>
      <c r="G5501">
        <v>-345.82470000000001</v>
      </c>
      <c r="H5501">
        <v>0.84046719999999897</v>
      </c>
      <c r="I5501">
        <v>141.93690000000001</v>
      </c>
      <c r="J5501">
        <v>-345.23660000000001</v>
      </c>
      <c r="K5501">
        <v>1.1202399999999999</v>
      </c>
      <c r="L5501">
        <v>141.80459999999999</v>
      </c>
      <c r="M5501">
        <v>-0.9999711</v>
      </c>
      <c r="N5501">
        <v>-7.6135319999999897E-3</v>
      </c>
      <c r="O5501">
        <v>-2.0574969999999999E-4</v>
      </c>
      <c r="P5501">
        <v>-0.99485389999999996</v>
      </c>
      <c r="Q5501">
        <v>-0.1006031</v>
      </c>
      <c r="R5501">
        <v>-1.204584E-2</v>
      </c>
      <c r="S5501">
        <v>-2.9272770000000001</v>
      </c>
      <c r="T5501">
        <v>-0.92164780000000002</v>
      </c>
      <c r="U5501">
        <v>0.43396000000000001</v>
      </c>
      <c r="V5501">
        <v>-1.179709E-2</v>
      </c>
      <c r="W5501">
        <v>-9.3031409999999995E-2</v>
      </c>
      <c r="X5501">
        <v>0.99559330000000001</v>
      </c>
      <c r="Y5501">
        <v>0.1400333</v>
      </c>
      <c r="Z5501">
        <v>2.2024820000000001E-2</v>
      </c>
      <c r="AA5501">
        <v>0.98990180000000005</v>
      </c>
      <c r="AB5501">
        <v>31</v>
      </c>
      <c r="AC5501">
        <v>-0.58809999999999696</v>
      </c>
      <c r="AD5501">
        <v>-0.27977279999999999</v>
      </c>
      <c r="AE5501">
        <v>0.13230000000001399</v>
      </c>
      <c r="AF5501">
        <v>0.10895161813779999</v>
      </c>
      <c r="AG5501">
        <v>-0.27977279999999999</v>
      </c>
      <c r="AH5501">
        <v>0.483846810057947</v>
      </c>
      <c r="AI5501">
        <v>119.427406393623</v>
      </c>
      <c r="AJ5501">
        <v>77.309914036927495</v>
      </c>
      <c r="AK5501">
        <v>0.56943042623127904</v>
      </c>
      <c r="AL5501">
        <v>95.338025994777198</v>
      </c>
      <c r="AM5501">
        <v>90.678883471410401</v>
      </c>
      <c r="AN5501">
        <v>1.00000001679197</v>
      </c>
    </row>
    <row r="5502" spans="1:40" x14ac:dyDescent="0.25">
      <c r="A5502" t="str">
        <f>"20190303154250162"</f>
        <v>20190303154250162</v>
      </c>
      <c r="B5502" t="str">
        <f>"1551598970155183"</f>
        <v>1551598970155183</v>
      </c>
      <c r="C5502" t="s">
        <v>40</v>
      </c>
      <c r="D5502">
        <v>5.2405599999999897</v>
      </c>
      <c r="E5502">
        <v>0.55750040000000001</v>
      </c>
      <c r="F5502" t="s">
        <v>42</v>
      </c>
      <c r="G5502">
        <v>-346.10129999999998</v>
      </c>
      <c r="H5502">
        <v>0.84563310000000003</v>
      </c>
      <c r="I5502">
        <v>141.93100000000001</v>
      </c>
      <c r="J5502">
        <v>-345.54969999999997</v>
      </c>
      <c r="K5502">
        <v>1.120206</v>
      </c>
      <c r="L5502">
        <v>141.80430000000001</v>
      </c>
      <c r="M5502">
        <v>-0.99997170000000002</v>
      </c>
      <c r="N5502">
        <v>-7.5189250000000001E-3</v>
      </c>
      <c r="O5502">
        <v>-4.2320859999999999E-4</v>
      </c>
      <c r="P5502">
        <v>-0.99496359999999995</v>
      </c>
      <c r="Q5502">
        <v>-9.9378129999999995E-2</v>
      </c>
      <c r="R5502">
        <v>-1.310185E-2</v>
      </c>
      <c r="S5502">
        <v>-2.926666</v>
      </c>
      <c r="T5502">
        <v>-0.92944059999999995</v>
      </c>
      <c r="U5502">
        <v>0.42724609999999902</v>
      </c>
      <c r="V5502">
        <v>-1.264203E-2</v>
      </c>
      <c r="W5502">
        <v>-9.1899540000000002E-2</v>
      </c>
      <c r="X5502">
        <v>0.99568800000000002</v>
      </c>
      <c r="Y5502">
        <v>0.13802929999999999</v>
      </c>
      <c r="Z5502">
        <v>2.1947669999999999E-2</v>
      </c>
      <c r="AA5502">
        <v>0.99018499999999998</v>
      </c>
      <c r="AB5502">
        <v>31</v>
      </c>
      <c r="AC5502">
        <v>-0.55160000000000697</v>
      </c>
      <c r="AD5502">
        <v>-0.27457290000000001</v>
      </c>
      <c r="AE5502">
        <v>0.12669999999999901</v>
      </c>
      <c r="AF5502">
        <v>0.102749943224712</v>
      </c>
      <c r="AG5502">
        <v>-0.27457290000000001</v>
      </c>
      <c r="AH5502">
        <v>0.44646513352776102</v>
      </c>
      <c r="AI5502">
        <v>120.935356351585</v>
      </c>
      <c r="AJ5502">
        <v>77.039561577839194</v>
      </c>
      <c r="AK5502">
        <v>0.53411510342158797</v>
      </c>
      <c r="AL5502">
        <v>95.272895840776997</v>
      </c>
      <c r="AM5502">
        <v>90.727432734284207</v>
      </c>
      <c r="AN5502">
        <v>0.99999996985936501</v>
      </c>
    </row>
    <row r="5503" spans="1:40" x14ac:dyDescent="0.25">
      <c r="A5503" t="str">
        <f>"20190303154250184"</f>
        <v>20190303154250184</v>
      </c>
      <c r="B5503" t="str">
        <f>"1551598970175682"</f>
        <v>1551598970175682</v>
      </c>
      <c r="C5503" t="s">
        <v>40</v>
      </c>
      <c r="D5503">
        <v>5.2179479999999998</v>
      </c>
      <c r="E5503">
        <v>0.5413173</v>
      </c>
      <c r="F5503" t="s">
        <v>42</v>
      </c>
      <c r="G5503">
        <v>-346.38240000000002</v>
      </c>
      <c r="H5503">
        <v>0.85973999999999995</v>
      </c>
      <c r="I5503">
        <v>141.9263</v>
      </c>
      <c r="J5503">
        <v>-345.85379999999998</v>
      </c>
      <c r="K5503">
        <v>1.1201760000000001</v>
      </c>
      <c r="L5503">
        <v>141.804</v>
      </c>
      <c r="M5503">
        <v>-0.99997219999999998</v>
      </c>
      <c r="N5503">
        <v>-7.4398340000000002E-3</v>
      </c>
      <c r="O5503">
        <v>-6.0449899999999999E-4</v>
      </c>
      <c r="P5503">
        <v>-0.99503609999999998</v>
      </c>
      <c r="Q5503">
        <v>-9.857979E-2</v>
      </c>
      <c r="R5503">
        <v>-1.360869E-2</v>
      </c>
      <c r="S5503">
        <v>-2.9293520000000002</v>
      </c>
      <c r="T5503">
        <v>-0.91627879999999995</v>
      </c>
      <c r="U5503">
        <v>0.42819210000000002</v>
      </c>
      <c r="V5503">
        <v>-1.2973810000000001E-2</v>
      </c>
      <c r="W5503">
        <v>-9.117894E-2</v>
      </c>
      <c r="X5503">
        <v>0.99575000000000002</v>
      </c>
      <c r="Y5503">
        <v>0.13855819999999999</v>
      </c>
      <c r="Z5503">
        <v>2.1769650000000001E-2</v>
      </c>
      <c r="AA5503">
        <v>0.99011499999999997</v>
      </c>
      <c r="AB5503">
        <v>31</v>
      </c>
      <c r="AC5503">
        <v>-0.52860000000003904</v>
      </c>
      <c r="AD5503">
        <v>-0.260436</v>
      </c>
      <c r="AE5503">
        <v>0.122299999999995</v>
      </c>
      <c r="AF5503">
        <v>9.9657476405169698E-2</v>
      </c>
      <c r="AG5503">
        <v>-0.260436</v>
      </c>
      <c r="AH5503">
        <v>0.42955283548295198</v>
      </c>
      <c r="AI5503">
        <v>120.566484137467</v>
      </c>
      <c r="AJ5503">
        <v>76.938294679418902</v>
      </c>
      <c r="AK5503">
        <v>0.51212709474396201</v>
      </c>
      <c r="AL5503">
        <v>95.231434313684602</v>
      </c>
      <c r="AM5503">
        <v>90.746475017010098</v>
      </c>
      <c r="AN5503">
        <v>0.99999999067271905</v>
      </c>
    </row>
    <row r="5504" spans="1:40" x14ac:dyDescent="0.25">
      <c r="A5504" t="str">
        <f>"20190303154250206"</f>
        <v>20190303154250206</v>
      </c>
      <c r="B5504" t="str">
        <f>"1551598970195199"</f>
        <v>1551598970195199</v>
      </c>
      <c r="C5504" t="s">
        <v>40</v>
      </c>
      <c r="D5504">
        <v>5.2163329999999997</v>
      </c>
      <c r="E5504">
        <v>0.50095119999999904</v>
      </c>
      <c r="F5504" t="s">
        <v>42</v>
      </c>
      <c r="G5504">
        <v>-346.702</v>
      </c>
      <c r="H5504">
        <v>0.96050119999999894</v>
      </c>
      <c r="I5504">
        <v>141.8879</v>
      </c>
      <c r="J5504">
        <v>-346.16359999999997</v>
      </c>
      <c r="K5504">
        <v>1.1201449999999999</v>
      </c>
      <c r="L5504">
        <v>141.80359999999999</v>
      </c>
      <c r="M5504">
        <v>-0.99997270000000005</v>
      </c>
      <c r="N5504">
        <v>-7.3710619999999899E-3</v>
      </c>
      <c r="O5504">
        <v>-7.5732679999999995E-4</v>
      </c>
      <c r="P5504">
        <v>-0.99505509999999997</v>
      </c>
      <c r="Q5504">
        <v>-9.8455609999999999E-2</v>
      </c>
      <c r="R5504">
        <v>-1.311113E-2</v>
      </c>
      <c r="S5504">
        <v>-2.9637150000000001</v>
      </c>
      <c r="T5504">
        <v>-0.55791619999999997</v>
      </c>
      <c r="U5504">
        <v>0.29251100000000002</v>
      </c>
      <c r="V5504">
        <v>-1.23286E-2</v>
      </c>
      <c r="W5504">
        <v>-9.11222E-2</v>
      </c>
      <c r="X5504">
        <v>0.99576339999999997</v>
      </c>
      <c r="Y5504">
        <v>9.7202789999999997E-2</v>
      </c>
      <c r="Z5504">
        <v>9.5458959999999999E-3</v>
      </c>
      <c r="AA5504">
        <v>0.99521879999999996</v>
      </c>
      <c r="AB5504">
        <v>31</v>
      </c>
      <c r="AC5504">
        <v>-0.53840000000002397</v>
      </c>
      <c r="AD5504">
        <v>-0.1596438</v>
      </c>
      <c r="AE5504">
        <v>8.4300000000013101E-2</v>
      </c>
      <c r="AF5504">
        <v>7.8012869605405502E-2</v>
      </c>
      <c r="AG5504">
        <v>-0.1596438</v>
      </c>
      <c r="AH5504">
        <v>0.49578870169070499</v>
      </c>
      <c r="AI5504">
        <v>107.64513619581599</v>
      </c>
      <c r="AJ5504">
        <v>81.057769522498802</v>
      </c>
      <c r="AK5504">
        <v>0.52666743532011295</v>
      </c>
      <c r="AL5504">
        <v>95.228169716247294</v>
      </c>
      <c r="AM5504">
        <v>90.709345871732495</v>
      </c>
      <c r="AN5504">
        <v>0.99999999924517902</v>
      </c>
    </row>
    <row r="5505" spans="1:40" x14ac:dyDescent="0.25">
      <c r="A5505" t="str">
        <f>"20190303154250228"</f>
        <v>20190303154250228</v>
      </c>
      <c r="B5505" t="str">
        <f>"1551598970225455"</f>
        <v>1551598970225455</v>
      </c>
      <c r="C5505" t="s">
        <v>40</v>
      </c>
      <c r="D5505">
        <v>5.1734830000000001</v>
      </c>
      <c r="E5505">
        <v>0.4970329</v>
      </c>
      <c r="F5505" t="s">
        <v>41</v>
      </c>
      <c r="G5505">
        <v>-361.76299999999998</v>
      </c>
      <c r="H5505" s="1">
        <v>-4.033792E-6</v>
      </c>
      <c r="I5505">
        <v>141.63299999999899</v>
      </c>
      <c r="J5505">
        <v>-346.4674</v>
      </c>
      <c r="K5505">
        <v>1.120117</v>
      </c>
      <c r="L5505">
        <v>141.80330000000001</v>
      </c>
      <c r="M5505">
        <v>-0.999973</v>
      </c>
      <c r="N5505">
        <v>-7.3137059999999997E-3</v>
      </c>
      <c r="O5505">
        <v>-8.7729780000000003E-4</v>
      </c>
      <c r="P5505">
        <v>-0.99494709999999997</v>
      </c>
      <c r="Q5505">
        <v>-9.9666920000000006E-2</v>
      </c>
      <c r="R5505">
        <v>-1.2129849999999999E-2</v>
      </c>
      <c r="S5505">
        <v>-2.9932249999999998</v>
      </c>
      <c r="T5505">
        <v>-0.21493570000000001</v>
      </c>
      <c r="U5505">
        <v>-3.2730099999999998E-2</v>
      </c>
      <c r="V5505">
        <v>-1.1232829999999999E-2</v>
      </c>
      <c r="W5505">
        <v>-9.2390390000000003E-2</v>
      </c>
      <c r="X5505">
        <v>0.99565950000000003</v>
      </c>
      <c r="Y5505">
        <v>-1.003016E-2</v>
      </c>
      <c r="Z5505">
        <v>-3.3987379999999998E-4</v>
      </c>
      <c r="AA5505">
        <v>0.99994959999999999</v>
      </c>
      <c r="AB5505">
        <v>31</v>
      </c>
      <c r="AC5505">
        <v>-15.2956</v>
      </c>
      <c r="AD5505">
        <v>-1.120121033792</v>
      </c>
      <c r="AE5505">
        <v>-0.17030000000002499</v>
      </c>
      <c r="AF5505">
        <v>-0.156044041664404</v>
      </c>
      <c r="AG5505">
        <v>-1.120121033792</v>
      </c>
      <c r="AH5505">
        <v>15.214162135921599</v>
      </c>
      <c r="AI5505">
        <v>94.210502547106302</v>
      </c>
      <c r="AJ5505">
        <v>90.587633511376893</v>
      </c>
      <c r="AK5505">
        <v>15.256138121143</v>
      </c>
      <c r="AL5505">
        <v>95.301139473856594</v>
      </c>
      <c r="AM5505">
        <v>90.646372025530894</v>
      </c>
      <c r="AN5505">
        <v>1.0000000002872</v>
      </c>
    </row>
    <row r="5506" spans="1:40" x14ac:dyDescent="0.25">
      <c r="A5506" t="str">
        <f>"20190303154250263"</f>
        <v>20190303154250263</v>
      </c>
      <c r="B5506" t="str">
        <f>"1551598970255711"</f>
        <v>1551598970255711</v>
      </c>
      <c r="C5506" t="s">
        <v>40</v>
      </c>
      <c r="D5506">
        <v>5.2067220000000001</v>
      </c>
      <c r="E5506">
        <v>0.49582710000000002</v>
      </c>
      <c r="F5506" t="s">
        <v>41</v>
      </c>
      <c r="G5506">
        <v>-364.09820000000002</v>
      </c>
      <c r="H5506" s="1">
        <v>-3.0000480000000001E-6</v>
      </c>
      <c r="I5506">
        <v>141.44239999999999</v>
      </c>
      <c r="J5506">
        <v>-346.94380000000001</v>
      </c>
      <c r="K5506">
        <v>1.1200760000000001</v>
      </c>
      <c r="L5506">
        <v>141.80269999999999</v>
      </c>
      <c r="M5506">
        <v>-0.99997329999999995</v>
      </c>
      <c r="N5506">
        <v>-7.2414200000000001E-3</v>
      </c>
      <c r="O5506">
        <v>-1.015843E-3</v>
      </c>
      <c r="P5506">
        <v>-0.9949675</v>
      </c>
      <c r="Q5506">
        <v>-9.9600240000000007E-2</v>
      </c>
      <c r="R5506">
        <v>-1.0956179999999999E-2</v>
      </c>
      <c r="S5506">
        <v>-2.9954529999999999</v>
      </c>
      <c r="T5506">
        <v>-0.1903079</v>
      </c>
      <c r="U5506">
        <v>-6.1309809999999999E-2</v>
      </c>
      <c r="V5506">
        <v>-9.9281530000000003E-3</v>
      </c>
      <c r="W5506">
        <v>-9.2394420000000005E-2</v>
      </c>
      <c r="X5506">
        <v>0.99567300000000003</v>
      </c>
      <c r="Y5506">
        <v>-1.940571E-2</v>
      </c>
      <c r="Z5506">
        <v>-6.2899050000000001E-4</v>
      </c>
      <c r="AA5506">
        <v>0.99981149999999996</v>
      </c>
      <c r="AB5506">
        <v>31</v>
      </c>
      <c r="AC5506">
        <v>-17.154399999999999</v>
      </c>
      <c r="AD5506">
        <v>-1.1200790000480001</v>
      </c>
      <c r="AE5506">
        <v>-0.36029999999999501</v>
      </c>
      <c r="AF5506">
        <v>-0.34141825284476901</v>
      </c>
      <c r="AG5506">
        <v>-1.1200790000480001</v>
      </c>
      <c r="AH5506">
        <v>17.0819636838762</v>
      </c>
      <c r="AI5506">
        <v>93.750815882283504</v>
      </c>
      <c r="AJ5506">
        <v>91.145021793350793</v>
      </c>
      <c r="AK5506">
        <v>17.122050890211401</v>
      </c>
      <c r="AL5506">
        <v>95.301371316100003</v>
      </c>
      <c r="AM5506">
        <v>90.571294404584407</v>
      </c>
      <c r="AN5506">
        <v>1.00000000999906</v>
      </c>
    </row>
    <row r="5507" spans="1:40" x14ac:dyDescent="0.25">
      <c r="A5507" t="str">
        <f>"20190303154250285"</f>
        <v>20190303154250285</v>
      </c>
      <c r="B5507" t="str">
        <f>"1551598970275232"</f>
        <v>1551598970275232</v>
      </c>
      <c r="C5507" t="s">
        <v>40</v>
      </c>
      <c r="D5507">
        <v>5.1583310000000004</v>
      </c>
      <c r="E5507">
        <v>0.49598819999999999</v>
      </c>
      <c r="F5507" t="s">
        <v>41</v>
      </c>
      <c r="G5507">
        <v>-363.94319999999999</v>
      </c>
      <c r="H5507" s="1">
        <v>-3.060365E-6</v>
      </c>
      <c r="I5507">
        <v>141.41919999999999</v>
      </c>
      <c r="J5507">
        <v>-347.26119999999997</v>
      </c>
      <c r="K5507">
        <v>1.120045</v>
      </c>
      <c r="L5507">
        <v>141.8023</v>
      </c>
      <c r="M5507">
        <v>-0.99997340000000001</v>
      </c>
      <c r="N5507">
        <v>-7.2033409999999898E-3</v>
      </c>
      <c r="O5507">
        <v>-1.0837380000000001E-3</v>
      </c>
      <c r="P5507">
        <v>-0.99496700000000005</v>
      </c>
      <c r="Q5507">
        <v>-9.9681759999999994E-2</v>
      </c>
      <c r="R5507">
        <v>-1.0207620000000001E-2</v>
      </c>
      <c r="S5507">
        <v>-2.9947509999999999</v>
      </c>
      <c r="T5507">
        <v>-0.1973231</v>
      </c>
      <c r="U5507">
        <v>-6.7550659999999998E-2</v>
      </c>
      <c r="V5507">
        <v>-9.1161860000000001E-3</v>
      </c>
      <c r="W5507">
        <v>-9.2513339999999999E-2</v>
      </c>
      <c r="X5507">
        <v>0.99566969999999999</v>
      </c>
      <c r="Y5507">
        <v>-2.1417470000000001E-2</v>
      </c>
      <c r="Z5507">
        <v>-7.1846110000000003E-4</v>
      </c>
      <c r="AA5507">
        <v>0.9997703</v>
      </c>
      <c r="AB5507">
        <v>31</v>
      </c>
      <c r="AC5507">
        <v>-16.681999999999999</v>
      </c>
      <c r="AD5507">
        <v>-1.120048060365</v>
      </c>
      <c r="AE5507">
        <v>-0.38310000000001299</v>
      </c>
      <c r="AF5507">
        <v>-0.36338314538407901</v>
      </c>
      <c r="AG5507">
        <v>-1.120048060365</v>
      </c>
      <c r="AH5507">
        <v>16.607579066238699</v>
      </c>
      <c r="AI5507">
        <v>93.857377849993597</v>
      </c>
      <c r="AJ5507">
        <v>91.253463783586</v>
      </c>
      <c r="AK5507">
        <v>16.6492713777284</v>
      </c>
      <c r="AL5507">
        <v>95.308214359900106</v>
      </c>
      <c r="AM5507">
        <v>90.524575959859902</v>
      </c>
      <c r="AN5507">
        <v>0.99999998721161598</v>
      </c>
    </row>
    <row r="5508" spans="1:40" x14ac:dyDescent="0.25">
      <c r="A5508" t="str">
        <f>"20190303154250309"</f>
        <v>20190303154250309</v>
      </c>
      <c r="B5508" t="str">
        <f>"1551598970295727"</f>
        <v>1551598970295727</v>
      </c>
      <c r="C5508" t="s">
        <v>40</v>
      </c>
      <c r="D5508">
        <v>5.153524</v>
      </c>
      <c r="E5508">
        <v>0.49591000000000002</v>
      </c>
      <c r="F5508" t="s">
        <v>41</v>
      </c>
      <c r="G5508">
        <v>-364.6397</v>
      </c>
      <c r="H5508" s="1">
        <v>-2.7648530000000002E-6</v>
      </c>
      <c r="I5508">
        <v>141.4315</v>
      </c>
      <c r="J5508">
        <v>-347.58969999999999</v>
      </c>
      <c r="K5508">
        <v>1.1200209999999999</v>
      </c>
      <c r="L5508">
        <v>141.80189999999999</v>
      </c>
      <c r="M5508">
        <v>-0.99997369999999997</v>
      </c>
      <c r="N5508">
        <v>-7.1709259999999898E-3</v>
      </c>
      <c r="O5508">
        <v>-1.1412099999999999E-3</v>
      </c>
      <c r="P5508">
        <v>-0.9949384</v>
      </c>
      <c r="Q5508">
        <v>-0.10001939999999999</v>
      </c>
      <c r="R5508">
        <v>-9.6930850000000006E-3</v>
      </c>
      <c r="S5508">
        <v>-2.995209</v>
      </c>
      <c r="T5508">
        <v>-0.19304289999999999</v>
      </c>
      <c r="U5508">
        <v>-6.3903810000000005E-2</v>
      </c>
      <c r="V5508">
        <v>-8.5471109999999996E-3</v>
      </c>
      <c r="W5508">
        <v>-9.2883110000000005E-2</v>
      </c>
      <c r="X5508">
        <v>0.99564030000000003</v>
      </c>
      <c r="Y5508">
        <v>-2.0144929999999998E-2</v>
      </c>
      <c r="Z5508">
        <v>-6.5545929999999896E-4</v>
      </c>
      <c r="AA5508">
        <v>0.99979689999999999</v>
      </c>
      <c r="AB5508">
        <v>31</v>
      </c>
      <c r="AC5508">
        <v>-17.05</v>
      </c>
      <c r="AD5508">
        <v>-1.120023764853</v>
      </c>
      <c r="AE5508">
        <v>-0.37039999999998902</v>
      </c>
      <c r="AF5508">
        <v>-0.34943444441433502</v>
      </c>
      <c r="AG5508">
        <v>-1.120023764853</v>
      </c>
      <c r="AH5508">
        <v>16.977185413946199</v>
      </c>
      <c r="AI5508">
        <v>93.773667136321293</v>
      </c>
      <c r="AJ5508">
        <v>91.179129039518998</v>
      </c>
      <c r="AK5508">
        <v>17.017678521005401</v>
      </c>
      <c r="AL5508">
        <v>95.329492350719306</v>
      </c>
      <c r="AM5508">
        <v>90.491845657684394</v>
      </c>
      <c r="AN5508">
        <v>0.999999966106903</v>
      </c>
    </row>
    <row r="5509" spans="1:40" x14ac:dyDescent="0.25">
      <c r="A5509" t="str">
        <f>"20190303154250333"</f>
        <v>20190303154250333</v>
      </c>
      <c r="B5509" t="str">
        <f>"1551598970325983"</f>
        <v>1551598970325983</v>
      </c>
      <c r="C5509" t="s">
        <v>40</v>
      </c>
      <c r="D5509">
        <v>5.1746259999999999</v>
      </c>
      <c r="E5509">
        <v>0.49585279999999998</v>
      </c>
      <c r="F5509" t="s">
        <v>41</v>
      </c>
      <c r="G5509">
        <v>-365.24149999999997</v>
      </c>
      <c r="H5509" s="1">
        <v>-2.5065640000000001E-6</v>
      </c>
      <c r="I5509">
        <v>141.43109999999999</v>
      </c>
      <c r="J5509">
        <v>-347.92540000000002</v>
      </c>
      <c r="K5509">
        <v>1.120007</v>
      </c>
      <c r="L5509">
        <v>141.8015</v>
      </c>
      <c r="M5509">
        <v>-0.99997389999999997</v>
      </c>
      <c r="N5509">
        <v>-7.1442019999999997E-3</v>
      </c>
      <c r="O5509">
        <v>-1.1917119999999999E-3</v>
      </c>
      <c r="P5509">
        <v>-0.99485730000000006</v>
      </c>
      <c r="Q5509">
        <v>-0.1007863</v>
      </c>
      <c r="R5509">
        <v>-1.0080459999999999E-2</v>
      </c>
      <c r="S5509">
        <v>-2.9955750000000001</v>
      </c>
      <c r="T5509">
        <v>-0.19007189999999999</v>
      </c>
      <c r="U5509">
        <v>-6.2911990000000001E-2</v>
      </c>
      <c r="V5509">
        <v>-8.8858989999999992E-3</v>
      </c>
      <c r="W5509">
        <v>-9.367702E-2</v>
      </c>
      <c r="X5509">
        <v>0.99556299999999998</v>
      </c>
      <c r="Y5509">
        <v>-1.976319E-2</v>
      </c>
      <c r="Z5509">
        <v>-6.2995610000000002E-4</v>
      </c>
      <c r="AA5509">
        <v>0.99980449999999998</v>
      </c>
      <c r="AB5509">
        <v>31</v>
      </c>
      <c r="AC5509">
        <v>-17.316099999999899</v>
      </c>
      <c r="AD5509">
        <v>-1.1200095065639999</v>
      </c>
      <c r="AE5509">
        <v>-0.37040000000001699</v>
      </c>
      <c r="AF5509">
        <v>-0.34830692160980897</v>
      </c>
      <c r="AG5509">
        <v>-1.1200095065639999</v>
      </c>
      <c r="AH5509">
        <v>17.2444195125905</v>
      </c>
      <c r="AI5509">
        <v>93.715334139387707</v>
      </c>
      <c r="AJ5509">
        <v>91.157116558991703</v>
      </c>
      <c r="AK5509">
        <v>17.2842628808013</v>
      </c>
      <c r="AL5509">
        <v>95.375178980569302</v>
      </c>
      <c r="AM5509">
        <v>90.511379983784295</v>
      </c>
      <c r="AN5509">
        <v>1.0000000151230499</v>
      </c>
    </row>
    <row r="5510" spans="1:40" x14ac:dyDescent="0.25">
      <c r="A5510" t="str">
        <f>"20190303154250352"</f>
        <v>20190303154250352</v>
      </c>
      <c r="B5510" t="str">
        <f>"1551598970345507"</f>
        <v>1551598970345507</v>
      </c>
      <c r="C5510" t="s">
        <v>40</v>
      </c>
      <c r="D5510">
        <v>5.1366969999999998</v>
      </c>
      <c r="E5510">
        <v>0.49602410000000002</v>
      </c>
      <c r="F5510" t="s">
        <v>41</v>
      </c>
      <c r="G5510">
        <v>-365.61529999999999</v>
      </c>
      <c r="H5510" s="1">
        <v>-2.3429949999999999E-6</v>
      </c>
      <c r="I5510">
        <v>141.41890000000001</v>
      </c>
      <c r="J5510">
        <v>-348.20729999999998</v>
      </c>
      <c r="K5510">
        <v>1.1199889999999999</v>
      </c>
      <c r="L5510">
        <v>141.80109999999999</v>
      </c>
      <c r="M5510">
        <v>-0.99997389999999997</v>
      </c>
      <c r="N5510">
        <v>-7.1263809999999898E-3</v>
      </c>
      <c r="O5510">
        <v>-1.230835E-3</v>
      </c>
      <c r="P5510">
        <v>-0.99473690000000003</v>
      </c>
      <c r="Q5510">
        <v>-0.10188510000000001</v>
      </c>
      <c r="R5510">
        <v>-1.086529E-2</v>
      </c>
      <c r="S5510">
        <v>-2.9956360000000002</v>
      </c>
      <c r="T5510">
        <v>-0.18966540000000001</v>
      </c>
      <c r="U5510">
        <v>-6.4773559999999994E-2</v>
      </c>
      <c r="V5510">
        <v>-9.6325590000000006E-3</v>
      </c>
      <c r="W5510">
        <v>-9.4794370000000003E-2</v>
      </c>
      <c r="X5510">
        <v>0.99545030000000001</v>
      </c>
      <c r="Y5510">
        <v>-2.034362E-2</v>
      </c>
      <c r="Z5510">
        <v>-6.4679739999999998E-4</v>
      </c>
      <c r="AA5510">
        <v>0.99979280000000004</v>
      </c>
      <c r="AB5510">
        <v>31</v>
      </c>
      <c r="AC5510">
        <v>-17.408000000000001</v>
      </c>
      <c r="AD5510">
        <v>-1.1199913429949999</v>
      </c>
      <c r="AE5510">
        <v>-0.382199999999983</v>
      </c>
      <c r="AF5510">
        <v>-0.35928629856094801</v>
      </c>
      <c r="AG5510">
        <v>-1.1199913429949999</v>
      </c>
      <c r="AH5510">
        <v>17.3367291311841</v>
      </c>
      <c r="AI5510">
        <v>93.695507371727402</v>
      </c>
      <c r="AJ5510">
        <v>91.187227537997799</v>
      </c>
      <c r="AK5510">
        <v>17.376583214796899</v>
      </c>
      <c r="AL5510">
        <v>95.43948451048</v>
      </c>
      <c r="AM5510">
        <v>90.554410151332704</v>
      </c>
      <c r="AN5510">
        <v>1.00000002927333</v>
      </c>
    </row>
    <row r="5511" spans="1:40" x14ac:dyDescent="0.25">
      <c r="A5511" t="str">
        <f>"20190303154250373"</f>
        <v>20190303154250373</v>
      </c>
      <c r="B5511" t="str">
        <f>"1551598970366003"</f>
        <v>1551598970366003</v>
      </c>
      <c r="C5511" t="s">
        <v>40</v>
      </c>
      <c r="D5511">
        <v>5.176577</v>
      </c>
      <c r="E5511">
        <v>0.49601319999999999</v>
      </c>
      <c r="F5511" t="s">
        <v>41</v>
      </c>
      <c r="G5511">
        <v>-365.97379999999998</v>
      </c>
      <c r="H5511" s="1">
        <v>-2.1871179999999999E-6</v>
      </c>
      <c r="I5511">
        <v>141.4111</v>
      </c>
      <c r="J5511">
        <v>-348.50689999999997</v>
      </c>
      <c r="K5511">
        <v>1.119977</v>
      </c>
      <c r="L5511">
        <v>141.80070000000001</v>
      </c>
      <c r="M5511">
        <v>-0.99997400000000003</v>
      </c>
      <c r="N5511">
        <v>-7.1110469999999997E-3</v>
      </c>
      <c r="O5511">
        <v>-1.2720050000000001E-3</v>
      </c>
      <c r="P5511">
        <v>-0.99472269999999896</v>
      </c>
      <c r="Q5511">
        <v>-0.1019588</v>
      </c>
      <c r="R5511">
        <v>-1.145377E-2</v>
      </c>
      <c r="S5511">
        <v>-2.9958499999999999</v>
      </c>
      <c r="T5511">
        <v>-0.1888582</v>
      </c>
      <c r="U5511">
        <v>-6.5750119999999995E-2</v>
      </c>
      <c r="V5511">
        <v>-1.0180710000000001E-2</v>
      </c>
      <c r="W5511">
        <v>-9.4883469999999998E-2</v>
      </c>
      <c r="X5511">
        <v>0.99543630000000005</v>
      </c>
      <c r="Y5511">
        <v>-2.0626470000000001E-2</v>
      </c>
      <c r="Z5511">
        <v>-6.5179039999999999E-4</v>
      </c>
      <c r="AA5511">
        <v>0.99978699999999998</v>
      </c>
      <c r="AB5511">
        <v>32</v>
      </c>
      <c r="AC5511">
        <v>-17.466899999999999</v>
      </c>
      <c r="AD5511">
        <v>-1.119979187118</v>
      </c>
      <c r="AE5511">
        <v>-0.389600000000001</v>
      </c>
      <c r="AF5511">
        <v>-0.365877624890038</v>
      </c>
      <c r="AG5511">
        <v>-1.119979187118</v>
      </c>
      <c r="AH5511">
        <v>17.395895779718099</v>
      </c>
      <c r="AI5511">
        <v>93.682909420439202</v>
      </c>
      <c r="AJ5511">
        <v>91.204890722146203</v>
      </c>
      <c r="AK5511">
        <v>17.4357509099776</v>
      </c>
      <c r="AL5511">
        <v>95.444612983157896</v>
      </c>
      <c r="AM5511">
        <v>90.585965549683905</v>
      </c>
      <c r="AN5511">
        <v>0.99999997354651704</v>
      </c>
    </row>
    <row r="5512" spans="1:40" x14ac:dyDescent="0.25">
      <c r="A5512" t="str">
        <f>"20190303154250397"</f>
        <v>20190303154250397</v>
      </c>
      <c r="B5512" t="str">
        <f>"1551598970385520"</f>
        <v>1551598970385520</v>
      </c>
      <c r="C5512" t="s">
        <v>40</v>
      </c>
      <c r="D5512">
        <v>5.1736959999999996</v>
      </c>
      <c r="E5512">
        <v>0.4959771</v>
      </c>
      <c r="F5512" t="s">
        <v>41</v>
      </c>
      <c r="G5512">
        <v>-366.42149999999998</v>
      </c>
      <c r="H5512" s="1">
        <v>-1.9910539999999999E-6</v>
      </c>
      <c r="I5512">
        <v>141.39609999999999</v>
      </c>
      <c r="J5512">
        <v>-348.82839999999999</v>
      </c>
      <c r="K5512">
        <v>1.119972</v>
      </c>
      <c r="L5512">
        <v>141.80019999999999</v>
      </c>
      <c r="M5512">
        <v>-0.99997389999999997</v>
      </c>
      <c r="N5512">
        <v>-7.098516E-3</v>
      </c>
      <c r="O5512">
        <v>-1.317124E-3</v>
      </c>
      <c r="P5512">
        <v>-0.99473630000000002</v>
      </c>
      <c r="Q5512">
        <v>-0.1017299</v>
      </c>
      <c r="R5512">
        <v>-1.2292239999999999E-2</v>
      </c>
      <c r="S5512">
        <v>-2.9959410000000002</v>
      </c>
      <c r="T5512">
        <v>-0.18729999999999999</v>
      </c>
      <c r="U5512">
        <v>-6.7642209999999994E-2</v>
      </c>
      <c r="V5512">
        <v>-1.0974569999999999E-2</v>
      </c>
      <c r="W5512">
        <v>-9.4666910000000007E-2</v>
      </c>
      <c r="X5512">
        <v>0.99544849999999996</v>
      </c>
      <c r="Y5512">
        <v>-2.1211279999999999E-2</v>
      </c>
      <c r="Z5512">
        <v>-6.6477589999999905E-4</v>
      </c>
      <c r="AA5512">
        <v>0.99977479999999996</v>
      </c>
      <c r="AB5512">
        <v>32</v>
      </c>
      <c r="AC5512">
        <v>-17.5930999999999</v>
      </c>
      <c r="AD5512">
        <v>-1.1199739910540001</v>
      </c>
      <c r="AE5512">
        <v>-0.40409999999999902</v>
      </c>
      <c r="AF5512">
        <v>-0.37939007426420202</v>
      </c>
      <c r="AG5512">
        <v>-1.1199739910540001</v>
      </c>
      <c r="AH5512">
        <v>17.522642612142</v>
      </c>
      <c r="AI5512">
        <v>93.6562772290184</v>
      </c>
      <c r="AJ5512">
        <v>91.240341126516796</v>
      </c>
      <c r="AK5512">
        <v>17.562496482047798</v>
      </c>
      <c r="AL5512">
        <v>95.432148811359596</v>
      </c>
      <c r="AM5512">
        <v>90.631646005912899</v>
      </c>
      <c r="AN5512">
        <v>0.99999999059394096</v>
      </c>
    </row>
    <row r="5513" spans="1:40" x14ac:dyDescent="0.25">
      <c r="A5513" t="str">
        <f>"20190303154250417"</f>
        <v>20190303154250417</v>
      </c>
      <c r="B5513" t="str">
        <f>"1551598970406015"</f>
        <v>1551598970406015</v>
      </c>
      <c r="C5513" t="s">
        <v>40</v>
      </c>
      <c r="D5513">
        <v>5.1458360000000001</v>
      </c>
      <c r="E5513">
        <v>0.49592890000000001</v>
      </c>
      <c r="F5513" t="s">
        <v>41</v>
      </c>
      <c r="G5513">
        <v>-366.87</v>
      </c>
      <c r="H5513" s="1">
        <v>-1.7931189999999999E-6</v>
      </c>
      <c r="I5513">
        <v>141.37530000000001</v>
      </c>
      <c r="J5513">
        <v>-349.13510000000002</v>
      </c>
      <c r="K5513">
        <v>1.1199709999999901</v>
      </c>
      <c r="L5513">
        <v>141.7998</v>
      </c>
      <c r="M5513">
        <v>-0.99997400000000003</v>
      </c>
      <c r="N5513">
        <v>-7.0899149999999996E-3</v>
      </c>
      <c r="O5513">
        <v>-1.3613080000000001E-3</v>
      </c>
      <c r="P5513">
        <v>-0.99476540000000002</v>
      </c>
      <c r="Q5513">
        <v>-0.10136829999999999</v>
      </c>
      <c r="R5513">
        <v>-1.2898939999999999E-2</v>
      </c>
      <c r="S5513">
        <v>-2.9959410000000002</v>
      </c>
      <c r="T5513">
        <v>-0.1859807</v>
      </c>
      <c r="U5513">
        <v>-7.0556640000000004E-2</v>
      </c>
      <c r="V5513">
        <v>-1.153791E-2</v>
      </c>
      <c r="W5513">
        <v>-9.4313729999999998E-2</v>
      </c>
      <c r="X5513">
        <v>0.99547560000000002</v>
      </c>
      <c r="Y5513">
        <v>-2.2137819999999999E-2</v>
      </c>
      <c r="Z5513">
        <v>-6.9017759999999895E-4</v>
      </c>
      <c r="AA5513">
        <v>0.9997547</v>
      </c>
      <c r="AB5513">
        <v>32</v>
      </c>
      <c r="AC5513">
        <v>-17.7348999999999</v>
      </c>
      <c r="AD5513">
        <v>-1.11997279311899</v>
      </c>
      <c r="AE5513">
        <v>-0.42449999999999399</v>
      </c>
      <c r="AF5513">
        <v>-0.39876695955483499</v>
      </c>
      <c r="AG5513">
        <v>-1.11997279311899</v>
      </c>
      <c r="AH5513">
        <v>17.665053188302402</v>
      </c>
      <c r="AI5513">
        <v>93.626802761938706</v>
      </c>
      <c r="AJ5513">
        <v>91.293162486713499</v>
      </c>
      <c r="AK5513">
        <v>17.705012236395401</v>
      </c>
      <c r="AL5513">
        <v>95.411822434664899</v>
      </c>
      <c r="AM5513">
        <v>90.664048368188702</v>
      </c>
      <c r="AN5513">
        <v>0.99999993661451803</v>
      </c>
    </row>
    <row r="5514" spans="1:40" x14ac:dyDescent="0.25">
      <c r="A5514" t="str">
        <f>"20190303154250441"</f>
        <v>20190303154250441</v>
      </c>
      <c r="B5514" t="str">
        <f>"1551598970435295"</f>
        <v>1551598970435295</v>
      </c>
      <c r="C5514" t="s">
        <v>40</v>
      </c>
      <c r="D5514">
        <v>5.1789149999999999</v>
      </c>
      <c r="E5514">
        <v>0.4958862</v>
      </c>
      <c r="F5514" t="s">
        <v>41</v>
      </c>
      <c r="G5514">
        <v>-367.46629999999999</v>
      </c>
      <c r="H5514" s="1">
        <v>-1.5316530000000001E-6</v>
      </c>
      <c r="I5514">
        <v>141.35409999999999</v>
      </c>
      <c r="J5514">
        <v>-349.45960000000002</v>
      </c>
      <c r="K5514">
        <v>1.1199709999999901</v>
      </c>
      <c r="L5514">
        <v>141.79929999999999</v>
      </c>
      <c r="M5514">
        <v>-0.99997409999999998</v>
      </c>
      <c r="N5514">
        <v>-7.0835999999999998E-3</v>
      </c>
      <c r="O5514">
        <v>-1.40884E-3</v>
      </c>
      <c r="P5514">
        <v>-0.99478759999999999</v>
      </c>
      <c r="Q5514">
        <v>-0.10107339999999999</v>
      </c>
      <c r="R5514">
        <v>-1.3497540000000001E-2</v>
      </c>
      <c r="S5514">
        <v>-2.9961850000000001</v>
      </c>
      <c r="T5514">
        <v>-0.1830572</v>
      </c>
      <c r="U5514">
        <v>-7.2830199999999998E-2</v>
      </c>
      <c r="V5514">
        <v>-1.2089340000000001E-2</v>
      </c>
      <c r="W5514">
        <v>-9.4024869999999997E-2</v>
      </c>
      <c r="X5514">
        <v>0.99549650000000001</v>
      </c>
      <c r="Y5514">
        <v>-2.284651E-2</v>
      </c>
      <c r="Z5514">
        <v>-7.0217360000000004E-4</v>
      </c>
      <c r="AA5514">
        <v>0.99973880000000004</v>
      </c>
      <c r="AB5514">
        <v>32</v>
      </c>
      <c r="AC5514">
        <v>-18.006699999999899</v>
      </c>
      <c r="AD5514">
        <v>-1.11997253165299</v>
      </c>
      <c r="AE5514">
        <v>-0.44519999999999899</v>
      </c>
      <c r="AF5514">
        <v>-0.41821348209375098</v>
      </c>
      <c r="AG5514">
        <v>-1.11997253165299</v>
      </c>
      <c r="AH5514">
        <v>17.937958141804199</v>
      </c>
      <c r="AI5514">
        <v>93.571707819858702</v>
      </c>
      <c r="AJ5514">
        <v>91.335577164859998</v>
      </c>
      <c r="AK5514">
        <v>17.977752453668401</v>
      </c>
      <c r="AL5514">
        <v>95.395197459264693</v>
      </c>
      <c r="AM5514">
        <v>90.695767500062999</v>
      </c>
      <c r="AN5514">
        <v>1.00000005491619</v>
      </c>
    </row>
    <row r="5515" spans="1:40" x14ac:dyDescent="0.25">
      <c r="A5515" t="str">
        <f>"20190303154250463"</f>
        <v>20190303154250463</v>
      </c>
      <c r="B5515" t="str">
        <f>"1551598970455791"</f>
        <v>1551598970455791</v>
      </c>
      <c r="C5515" t="s">
        <v>40</v>
      </c>
      <c r="D5515">
        <v>5.1782079999999997</v>
      </c>
      <c r="E5515">
        <v>0.49580249999999998</v>
      </c>
      <c r="F5515" t="s">
        <v>41</v>
      </c>
      <c r="G5515">
        <v>-367.98899999999998</v>
      </c>
      <c r="H5515" s="1">
        <v>-1.3028390000000001E-6</v>
      </c>
      <c r="I5515">
        <v>141.33690000000001</v>
      </c>
      <c r="J5515">
        <v>-349.78449999999998</v>
      </c>
      <c r="K5515">
        <v>1.1199669999999999</v>
      </c>
      <c r="L5515">
        <v>141.7988</v>
      </c>
      <c r="M5515">
        <v>-0.99997400000000003</v>
      </c>
      <c r="N5515">
        <v>-7.0800869999999997E-3</v>
      </c>
      <c r="O5515">
        <v>-1.457339E-3</v>
      </c>
      <c r="P5515">
        <v>-0.99477349999999998</v>
      </c>
      <c r="Q5515">
        <v>-0.10117760000000001</v>
      </c>
      <c r="R5515">
        <v>-1.375153E-2</v>
      </c>
      <c r="S5515">
        <v>-2.9963069999999998</v>
      </c>
      <c r="T5515">
        <v>-0.18110560000000001</v>
      </c>
      <c r="U5515">
        <v>-7.4752810000000003E-2</v>
      </c>
      <c r="V5515">
        <v>-1.2295230000000001E-2</v>
      </c>
      <c r="W5515">
        <v>-9.4132649999999998E-2</v>
      </c>
      <c r="X5515">
        <v>0.99548380000000003</v>
      </c>
      <c r="Y5515">
        <v>-2.3437909999999999E-2</v>
      </c>
      <c r="Z5515">
        <v>-7.1295919999999995E-4</v>
      </c>
      <c r="AA5515">
        <v>0.99972499999999997</v>
      </c>
      <c r="AB5515">
        <v>32</v>
      </c>
      <c r="AC5515">
        <v>-18.204499999999999</v>
      </c>
      <c r="AD5515">
        <v>-1.119968302839</v>
      </c>
      <c r="AE5515">
        <v>-0.46189999999998499</v>
      </c>
      <c r="AF5515">
        <v>-0.43372816019910998</v>
      </c>
      <c r="AG5515">
        <v>-1.119968302839</v>
      </c>
      <c r="AH5515">
        <v>18.136553025608901</v>
      </c>
      <c r="AI5515">
        <v>93.532634068447194</v>
      </c>
      <c r="AJ5515">
        <v>91.369943735956397</v>
      </c>
      <c r="AK5515">
        <v>18.176275877281299</v>
      </c>
      <c r="AL5515">
        <v>95.401400269346695</v>
      </c>
      <c r="AM5515">
        <v>90.707624743856101</v>
      </c>
      <c r="AN5515">
        <v>1.0000000622695999</v>
      </c>
    </row>
    <row r="5516" spans="1:40" x14ac:dyDescent="0.25">
      <c r="A5516" t="str">
        <f>"20190303154250486"</f>
        <v>20190303154250486</v>
      </c>
      <c r="B5516" t="str">
        <f>"1551598970475311"</f>
        <v>1551598970475311</v>
      </c>
      <c r="C5516" t="s">
        <v>40</v>
      </c>
      <c r="D5516">
        <v>5.1819569999999997</v>
      </c>
      <c r="E5516">
        <v>0.49569740000000001</v>
      </c>
      <c r="F5516" t="s">
        <v>41</v>
      </c>
      <c r="G5516">
        <v>-368.32690000000002</v>
      </c>
      <c r="H5516" s="1">
        <v>-1.155255E-6</v>
      </c>
      <c r="I5516">
        <v>141.32689999999999</v>
      </c>
      <c r="J5516">
        <v>-350.10789999999997</v>
      </c>
      <c r="K5516">
        <v>1.119958</v>
      </c>
      <c r="L5516">
        <v>141.79830000000001</v>
      </c>
      <c r="M5516">
        <v>-0.99997389999999997</v>
      </c>
      <c r="N5516">
        <v>-7.0807700000000001E-3</v>
      </c>
      <c r="O5516">
        <v>-1.5059730000000001E-3</v>
      </c>
      <c r="P5516">
        <v>-0.99472550000000004</v>
      </c>
      <c r="Q5516">
        <v>-0.10172340000000001</v>
      </c>
      <c r="R5516">
        <v>-1.318895E-2</v>
      </c>
      <c r="S5516">
        <v>-2.9962770000000001</v>
      </c>
      <c r="T5516">
        <v>-0.1809769</v>
      </c>
      <c r="U5516">
        <v>-7.6232910000000001E-2</v>
      </c>
      <c r="V5516">
        <v>-1.1684180000000001E-2</v>
      </c>
      <c r="W5516">
        <v>-9.4678120000000004E-2</v>
      </c>
      <c r="X5516">
        <v>0.99543939999999997</v>
      </c>
      <c r="Y5516">
        <v>-2.388229E-2</v>
      </c>
      <c r="Z5516">
        <v>-7.2492219999999998E-4</v>
      </c>
      <c r="AA5516">
        <v>0.99971449999999995</v>
      </c>
      <c r="AB5516">
        <v>32</v>
      </c>
      <c r="AC5516">
        <v>-18.219000000000001</v>
      </c>
      <c r="AD5516">
        <v>-1.1199591552549999</v>
      </c>
      <c r="AE5516">
        <v>-0.47140000000001597</v>
      </c>
      <c r="AF5516">
        <v>-0.44229124097814199</v>
      </c>
      <c r="AG5516">
        <v>-1.1199591552549999</v>
      </c>
      <c r="AH5516">
        <v>18.1511453926069</v>
      </c>
      <c r="AI5516">
        <v>93.529734039517905</v>
      </c>
      <c r="AJ5516">
        <v>91.395857237351393</v>
      </c>
      <c r="AK5516">
        <v>18.191042001898602</v>
      </c>
      <c r="AL5516">
        <v>95.432793765088206</v>
      </c>
      <c r="AM5516">
        <v>90.672490418987493</v>
      </c>
      <c r="AN5516">
        <v>1.0000000327706799</v>
      </c>
    </row>
    <row r="5517" spans="1:40" x14ac:dyDescent="0.25">
      <c r="A5517" t="str">
        <f>"20190303154250508"</f>
        <v>20190303154250508</v>
      </c>
      <c r="B5517" t="str">
        <f>"1551598970495807"</f>
        <v>1551598970495807</v>
      </c>
      <c r="C5517" t="s">
        <v>40</v>
      </c>
      <c r="D5517">
        <v>5.2039269999999904</v>
      </c>
      <c r="E5517">
        <v>0.4955504</v>
      </c>
      <c r="F5517" t="s">
        <v>41</v>
      </c>
      <c r="G5517">
        <v>-368.4665</v>
      </c>
      <c r="H5517" s="1">
        <v>-1.0978019999999999E-6</v>
      </c>
      <c r="I5517">
        <v>141.33609999999999</v>
      </c>
      <c r="J5517">
        <v>-350.42649999999998</v>
      </c>
      <c r="K5517">
        <v>1.119956</v>
      </c>
      <c r="L5517">
        <v>141.79769999999999</v>
      </c>
      <c r="M5517">
        <v>-0.99997369999999997</v>
      </c>
      <c r="N5517">
        <v>-7.0876460000000004E-3</v>
      </c>
      <c r="O5517">
        <v>-1.553678E-3</v>
      </c>
      <c r="P5517">
        <v>-0.99470340000000002</v>
      </c>
      <c r="Q5517">
        <v>-0.1019862</v>
      </c>
      <c r="R5517">
        <v>-1.281063E-2</v>
      </c>
      <c r="S5517">
        <v>-2.9962460000000002</v>
      </c>
      <c r="T5517">
        <v>-0.18278549999999999</v>
      </c>
      <c r="U5517">
        <v>-7.5408939999999994E-2</v>
      </c>
      <c r="V5517">
        <v>-1.1258600000000001E-2</v>
      </c>
      <c r="W5517">
        <v>-9.4934180000000007E-2</v>
      </c>
      <c r="X5517">
        <v>0.99541990000000002</v>
      </c>
      <c r="Y5517">
        <v>-2.355997E-2</v>
      </c>
      <c r="Z5517">
        <v>-7.177714E-4</v>
      </c>
      <c r="AA5517">
        <v>0.99972220000000001</v>
      </c>
      <c r="AB5517">
        <v>32</v>
      </c>
      <c r="AC5517">
        <v>-18.04</v>
      </c>
      <c r="AD5517">
        <v>-1.1199570978019999</v>
      </c>
      <c r="AE5517">
        <v>-0.46160000000000401</v>
      </c>
      <c r="AF5517">
        <v>-0.43190683961527598</v>
      </c>
      <c r="AG5517">
        <v>-1.1199570978019999</v>
      </c>
      <c r="AH5517">
        <v>17.9714758030408</v>
      </c>
      <c r="AI5517">
        <v>93.564954162684401</v>
      </c>
      <c r="AJ5517">
        <v>91.376719231024197</v>
      </c>
      <c r="AK5517">
        <v>18.0115182580011</v>
      </c>
      <c r="AL5517">
        <v>95.447531395309696</v>
      </c>
      <c r="AM5517">
        <v>90.648010712283906</v>
      </c>
      <c r="AN5517">
        <v>1.00000001596112</v>
      </c>
    </row>
    <row r="5518" spans="1:40" x14ac:dyDescent="0.25">
      <c r="A5518" t="str">
        <f>"20190303154250530"</f>
        <v>20190303154250530</v>
      </c>
      <c r="B5518" t="str">
        <f>"1551598970526063"</f>
        <v>1551598970526063</v>
      </c>
      <c r="C5518" t="s">
        <v>40</v>
      </c>
      <c r="D5518">
        <v>5.2313789999999996</v>
      </c>
      <c r="E5518">
        <v>0.49561149999999998</v>
      </c>
      <c r="F5518" t="s">
        <v>41</v>
      </c>
      <c r="G5518">
        <v>-368.59649999999999</v>
      </c>
      <c r="H5518" s="1">
        <v>-1.0431560000000001E-6</v>
      </c>
      <c r="I5518">
        <v>141.34030000000001</v>
      </c>
      <c r="J5518">
        <v>-350.75110000000001</v>
      </c>
      <c r="K5518">
        <v>1.1199490000000001</v>
      </c>
      <c r="L5518">
        <v>141.7972</v>
      </c>
      <c r="M5518">
        <v>-0.99997360000000002</v>
      </c>
      <c r="N5518">
        <v>-7.0985149999999997E-3</v>
      </c>
      <c r="O5518">
        <v>-1.602355E-3</v>
      </c>
      <c r="P5518">
        <v>-0.99469370000000001</v>
      </c>
      <c r="Q5518">
        <v>-0.1021305</v>
      </c>
      <c r="R5518">
        <v>-1.2410559999999999E-2</v>
      </c>
      <c r="S5518">
        <v>-2.9960629999999999</v>
      </c>
      <c r="T5518">
        <v>-0.18467069999999999</v>
      </c>
      <c r="U5518">
        <v>-7.5408939999999994E-2</v>
      </c>
      <c r="V5518">
        <v>-1.081039E-2</v>
      </c>
      <c r="W5518">
        <v>-9.5067650000000004E-2</v>
      </c>
      <c r="X5518">
        <v>0.99541210000000002</v>
      </c>
      <c r="Y5518">
        <v>-2.3512100000000001E-2</v>
      </c>
      <c r="Z5518">
        <v>-7.2007579999999998E-4</v>
      </c>
      <c r="AA5518">
        <v>0.99972329999999998</v>
      </c>
      <c r="AB5518">
        <v>32</v>
      </c>
      <c r="AC5518">
        <v>-17.845399999999898</v>
      </c>
      <c r="AD5518">
        <v>-1.1199500431559899</v>
      </c>
      <c r="AE5518">
        <v>-0.45689999999998998</v>
      </c>
      <c r="AF5518">
        <v>-0.42662481453393603</v>
      </c>
      <c r="AG5518">
        <v>-1.1199500431559899</v>
      </c>
      <c r="AH5518">
        <v>17.776141518835299</v>
      </c>
      <c r="AI5518">
        <v>93.604005411243605</v>
      </c>
      <c r="AJ5518">
        <v>91.374826463362197</v>
      </c>
      <c r="AK5518">
        <v>17.816495281878598</v>
      </c>
      <c r="AL5518">
        <v>95.455213572687597</v>
      </c>
      <c r="AM5518">
        <v>90.622220055848899</v>
      </c>
      <c r="AN5518">
        <v>0.99999998571744197</v>
      </c>
    </row>
    <row r="5519" spans="1:40" x14ac:dyDescent="0.25">
      <c r="A5519" t="str">
        <f>"20190303154250553"</f>
        <v>20190303154250553</v>
      </c>
      <c r="B5519" t="str">
        <f>"1551598970545583"</f>
        <v>1551598970545583</v>
      </c>
      <c r="C5519" t="s">
        <v>40</v>
      </c>
      <c r="D5519">
        <v>5.291461</v>
      </c>
      <c r="E5519">
        <v>0.4957472</v>
      </c>
      <c r="F5519" t="s">
        <v>41</v>
      </c>
      <c r="G5519">
        <v>-369.24849999999998</v>
      </c>
      <c r="H5519" s="1">
        <v>-7.6401930000000004E-7</v>
      </c>
      <c r="I5519">
        <v>141.3424</v>
      </c>
      <c r="J5519">
        <v>-351.0797</v>
      </c>
      <c r="K5519">
        <v>1.1199399999999999</v>
      </c>
      <c r="L5519">
        <v>141.79660000000001</v>
      </c>
      <c r="M5519">
        <v>-0.99997349999999996</v>
      </c>
      <c r="N5519">
        <v>-7.1146250000000003E-3</v>
      </c>
      <c r="O5519">
        <v>-1.6515290000000001E-3</v>
      </c>
      <c r="P5519">
        <v>-0.99468020000000001</v>
      </c>
      <c r="Q5519">
        <v>-0.1023148</v>
      </c>
      <c r="R5519">
        <v>-1.197994E-2</v>
      </c>
      <c r="S5519">
        <v>-2.9964599999999999</v>
      </c>
      <c r="T5519">
        <v>-0.18142559999999999</v>
      </c>
      <c r="U5519">
        <v>-7.3654170000000005E-2</v>
      </c>
      <c r="V5519">
        <v>-1.033035E-2</v>
      </c>
      <c r="W5519">
        <v>-9.5236039999999994E-2</v>
      </c>
      <c r="X5519">
        <v>0.99540110000000004</v>
      </c>
      <c r="Y5519">
        <v>-2.2877419999999999E-2</v>
      </c>
      <c r="Z5519">
        <v>-6.8516780000000004E-4</v>
      </c>
      <c r="AA5519">
        <v>0.99973800000000002</v>
      </c>
      <c r="AB5519">
        <v>32</v>
      </c>
      <c r="AC5519">
        <v>-18.168799999999901</v>
      </c>
      <c r="AD5519">
        <v>-1.1199407640193</v>
      </c>
      <c r="AE5519">
        <v>-0.45420000000001398</v>
      </c>
      <c r="AF5519">
        <v>-0.42258766588354302</v>
      </c>
      <c r="AG5519">
        <v>-1.1199407640193</v>
      </c>
      <c r="AH5519">
        <v>18.100792588177399</v>
      </c>
      <c r="AI5519">
        <v>93.539556079741303</v>
      </c>
      <c r="AJ5519">
        <v>91.337405089990696</v>
      </c>
      <c r="AK5519">
        <v>18.140329103147099</v>
      </c>
      <c r="AL5519">
        <v>95.464905589812204</v>
      </c>
      <c r="AM5519">
        <v>90.594598707687595</v>
      </c>
      <c r="AN5519">
        <v>0.99999998466360596</v>
      </c>
    </row>
    <row r="5520" spans="1:40" x14ac:dyDescent="0.25">
      <c r="A5520" t="str">
        <f>"20190303154250574"</f>
        <v>20190303154250574</v>
      </c>
      <c r="B5520" t="str">
        <f>"1551598970566084"</f>
        <v>1551598970566084</v>
      </c>
      <c r="C5520" t="s">
        <v>40</v>
      </c>
      <c r="D5520">
        <v>5.3044359999999999</v>
      </c>
      <c r="E5520">
        <v>0.49584889999999998</v>
      </c>
      <c r="F5520" t="s">
        <v>41</v>
      </c>
      <c r="G5520">
        <v>-369.80470000000003</v>
      </c>
      <c r="H5520" s="1">
        <v>-5.27725E-7</v>
      </c>
      <c r="I5520">
        <v>141.35120000000001</v>
      </c>
      <c r="J5520">
        <v>-351.39339999999999</v>
      </c>
      <c r="K5520">
        <v>1.119934</v>
      </c>
      <c r="L5520">
        <v>141.7961</v>
      </c>
      <c r="M5520">
        <v>-0.99997320000000001</v>
      </c>
      <c r="N5520">
        <v>-7.1345540000000004E-3</v>
      </c>
      <c r="O5520">
        <v>-1.697975E-3</v>
      </c>
      <c r="P5520">
        <v>-0.99463570000000001</v>
      </c>
      <c r="Q5520">
        <v>-0.1027608</v>
      </c>
      <c r="R5520">
        <v>-1.185228E-2</v>
      </c>
      <c r="S5520">
        <v>-2.9967959999999998</v>
      </c>
      <c r="T5520">
        <v>-0.17923819999999999</v>
      </c>
      <c r="U5520">
        <v>-7.1273799999999998E-2</v>
      </c>
      <c r="V5520">
        <v>-1.0156689999999999E-2</v>
      </c>
      <c r="W5520">
        <v>-9.5662479999999994E-2</v>
      </c>
      <c r="X5520">
        <v>0.99536199999999997</v>
      </c>
      <c r="Y5520">
        <v>-2.2037330000000001E-2</v>
      </c>
      <c r="Z5520">
        <v>-6.4770140000000001E-4</v>
      </c>
      <c r="AA5520">
        <v>0.99975689999999995</v>
      </c>
      <c r="AB5520">
        <v>32</v>
      </c>
      <c r="AC5520">
        <v>-18.411300000000001</v>
      </c>
      <c r="AD5520">
        <v>-1.1199345277249999</v>
      </c>
      <c r="AE5520">
        <v>-0.44489999999998903</v>
      </c>
      <c r="AF5520">
        <v>-0.41211266038510502</v>
      </c>
      <c r="AG5520">
        <v>-1.1199345277249999</v>
      </c>
      <c r="AH5520">
        <v>18.3441927166878</v>
      </c>
      <c r="AI5520">
        <v>93.492759335498704</v>
      </c>
      <c r="AJ5520">
        <v>91.286965597212401</v>
      </c>
      <c r="AK5520">
        <v>18.382967568328699</v>
      </c>
      <c r="AL5520">
        <v>95.489450841124096</v>
      </c>
      <c r="AM5520">
        <v>90.584626773642398</v>
      </c>
      <c r="AN5520">
        <v>0.99999998973775295</v>
      </c>
    </row>
    <row r="5521" spans="1:40" x14ac:dyDescent="0.25">
      <c r="A5521" t="str">
        <f>"20190303154250597"</f>
        <v>20190303154250597</v>
      </c>
      <c r="B5521" t="str">
        <f>"1551598970585599"</f>
        <v>1551598970585599</v>
      </c>
      <c r="C5521" t="s">
        <v>40</v>
      </c>
      <c r="D5521">
        <v>5.2875290000000001</v>
      </c>
      <c r="E5521">
        <v>0.49590030000000002</v>
      </c>
      <c r="F5521" t="s">
        <v>41</v>
      </c>
      <c r="G5521">
        <v>-370.35059999999999</v>
      </c>
      <c r="H5521" s="1">
        <v>-4.4648699999999998E-6</v>
      </c>
      <c r="I5521">
        <v>141.3536</v>
      </c>
      <c r="J5521">
        <v>-351.71719999999999</v>
      </c>
      <c r="K5521">
        <v>1.119931</v>
      </c>
      <c r="L5521">
        <v>141.7955</v>
      </c>
      <c r="M5521">
        <v>-0.99997290000000005</v>
      </c>
      <c r="N5521">
        <v>-7.1572090000000003E-3</v>
      </c>
      <c r="O5521">
        <v>-1.74609999999999E-3</v>
      </c>
      <c r="P5521">
        <v>-0.99458279999999999</v>
      </c>
      <c r="Q5521">
        <v>-0.10332710000000001</v>
      </c>
      <c r="R5521">
        <v>-1.135339E-2</v>
      </c>
      <c r="S5521">
        <v>-2.9970400000000001</v>
      </c>
      <c r="T5521">
        <v>-0.17705699999999999</v>
      </c>
      <c r="U5521">
        <v>-6.9946289999999994E-2</v>
      </c>
      <c r="V5521">
        <v>-9.6103649999999992E-3</v>
      </c>
      <c r="W5521">
        <v>-9.62065E-2</v>
      </c>
      <c r="X5521">
        <v>0.99531499999999995</v>
      </c>
      <c r="Y5521">
        <v>-2.1546639999999999E-2</v>
      </c>
      <c r="Z5521">
        <v>-6.2244749999999999E-4</v>
      </c>
      <c r="AA5521">
        <v>0.99976770000000004</v>
      </c>
      <c r="AB5521">
        <v>32</v>
      </c>
      <c r="AC5521">
        <v>-18.633399999999899</v>
      </c>
      <c r="AD5521">
        <v>-1.11993546487</v>
      </c>
      <c r="AE5521">
        <v>-0.44190000000000401</v>
      </c>
      <c r="AF5521">
        <v>-0.40789006045953402</v>
      </c>
      <c r="AG5521">
        <v>-1.11993546487</v>
      </c>
      <c r="AH5521">
        <v>18.5671081764673</v>
      </c>
      <c r="AI5521">
        <v>93.450968340265803</v>
      </c>
      <c r="AJ5521">
        <v>91.258495411937204</v>
      </c>
      <c r="AK5521">
        <v>18.605325468358</v>
      </c>
      <c r="AL5521">
        <v>95.520765271164606</v>
      </c>
      <c r="AM5521">
        <v>90.553208022656804</v>
      </c>
      <c r="AN5521">
        <v>0.999999999491341</v>
      </c>
    </row>
    <row r="5522" spans="1:40" x14ac:dyDescent="0.25">
      <c r="A5522" t="str">
        <f>"20190303154250619"</f>
        <v>20190303154250619</v>
      </c>
      <c r="B5522" t="str">
        <f>"1551598970615857"</f>
        <v>1551598970615857</v>
      </c>
      <c r="C5522" t="s">
        <v>40</v>
      </c>
      <c r="D5522">
        <v>5.3710170000000002</v>
      </c>
      <c r="E5522">
        <v>0.4959731</v>
      </c>
      <c r="F5522" t="s">
        <v>41</v>
      </c>
      <c r="G5522">
        <v>-370.82709999999997</v>
      </c>
      <c r="H5522" s="1">
        <v>-4.3040650000000001E-6</v>
      </c>
      <c r="I5522">
        <v>141.36109999999999</v>
      </c>
      <c r="J5522">
        <v>-352.04289999999997</v>
      </c>
      <c r="K5522">
        <v>1.1199330000000001</v>
      </c>
      <c r="L5522">
        <v>141.79490000000001</v>
      </c>
      <c r="M5522">
        <v>-0.99997259999999999</v>
      </c>
      <c r="N5522">
        <v>-7.1802219999999896E-3</v>
      </c>
      <c r="O5522">
        <v>-1.7943449999999999E-3</v>
      </c>
      <c r="P5522">
        <v>-0.99459739999999996</v>
      </c>
      <c r="Q5522">
        <v>-0.1032902</v>
      </c>
      <c r="R5522">
        <v>-1.0346569999999999E-2</v>
      </c>
      <c r="S5522">
        <v>-2.9973139999999998</v>
      </c>
      <c r="T5522">
        <v>-0.17565739999999999</v>
      </c>
      <c r="U5522">
        <v>-6.8115229999999999E-2</v>
      </c>
      <c r="V5522">
        <v>-8.5553669999999995E-3</v>
      </c>
      <c r="W5522">
        <v>-9.6146609999999993E-2</v>
      </c>
      <c r="X5522">
        <v>0.99533039999999995</v>
      </c>
      <c r="Y5522">
        <v>-2.0887739999999998E-2</v>
      </c>
      <c r="Z5522">
        <v>-5.9435049999999995E-4</v>
      </c>
      <c r="AA5522">
        <v>0.9997817</v>
      </c>
      <c r="AB5522">
        <v>33</v>
      </c>
      <c r="AC5522">
        <v>-18.784199999999998</v>
      </c>
      <c r="AD5522">
        <v>-1.119937304065</v>
      </c>
      <c r="AE5522">
        <v>-0.433800000000019</v>
      </c>
      <c r="AF5522">
        <v>-0.39867667946820301</v>
      </c>
      <c r="AG5522">
        <v>-1.119937304065</v>
      </c>
      <c r="AH5522">
        <v>18.718445320032799</v>
      </c>
      <c r="AI5522">
        <v>93.423189221991393</v>
      </c>
      <c r="AJ5522">
        <v>91.220135414950207</v>
      </c>
      <c r="AK5522">
        <v>18.756156265579801</v>
      </c>
      <c r="AL5522">
        <v>95.517317925634501</v>
      </c>
      <c r="AM5522">
        <v>90.492474006341993</v>
      </c>
      <c r="AN5522">
        <v>0.99999998504157805</v>
      </c>
    </row>
    <row r="5523" spans="1:40" x14ac:dyDescent="0.25">
      <c r="A5523" t="str">
        <f>"20190303154250642"</f>
        <v>20190303154250642</v>
      </c>
      <c r="B5523" t="str">
        <f>"1551598970635379"</f>
        <v>1551598970635379</v>
      </c>
      <c r="C5523" t="s">
        <v>40</v>
      </c>
      <c r="D5523">
        <v>5.3790500000000003</v>
      </c>
      <c r="E5523">
        <v>0.49593159999999997</v>
      </c>
      <c r="F5523" t="s">
        <v>41</v>
      </c>
      <c r="G5523">
        <v>-371.65719999999999</v>
      </c>
      <c r="H5523" s="1">
        <v>-4.0236659999999996E-6</v>
      </c>
      <c r="I5523">
        <v>141.37289999999999</v>
      </c>
      <c r="J5523">
        <v>-352.3818</v>
      </c>
      <c r="K5523">
        <v>1.1199349999999999</v>
      </c>
      <c r="L5523">
        <v>141.79419999999999</v>
      </c>
      <c r="M5523">
        <v>-0.99997239999999998</v>
      </c>
      <c r="N5523">
        <v>-7.2049899999999997E-3</v>
      </c>
      <c r="O5523">
        <v>-1.84486E-3</v>
      </c>
      <c r="P5523">
        <v>-0.99459730000000002</v>
      </c>
      <c r="Q5523">
        <v>-0.1033488</v>
      </c>
      <c r="R5523">
        <v>-9.7667889999999997E-3</v>
      </c>
      <c r="S5523">
        <v>-2.9978030000000002</v>
      </c>
      <c r="T5523">
        <v>-0.17116879999999901</v>
      </c>
      <c r="U5523">
        <v>-6.4483639999999995E-2</v>
      </c>
      <c r="V5523">
        <v>-7.9250559999999998E-3</v>
      </c>
      <c r="W5523">
        <v>-9.6180470000000004E-2</v>
      </c>
      <c r="X5523">
        <v>0.99533240000000001</v>
      </c>
      <c r="Y5523">
        <v>-1.962711E-2</v>
      </c>
      <c r="Z5523">
        <v>-5.3863709999999896E-4</v>
      </c>
      <c r="AA5523">
        <v>0.99980720000000001</v>
      </c>
      <c r="AB5523">
        <v>33</v>
      </c>
      <c r="AC5523">
        <v>-19.275399999999902</v>
      </c>
      <c r="AD5523">
        <v>-1.1199390236660001</v>
      </c>
      <c r="AE5523">
        <v>-0.42130000000000201</v>
      </c>
      <c r="AF5523">
        <v>-0.38444075650408399</v>
      </c>
      <c r="AG5523">
        <v>-1.1199390236660001</v>
      </c>
      <c r="AH5523">
        <v>19.2113210622115</v>
      </c>
      <c r="AI5523">
        <v>93.335660117434202</v>
      </c>
      <c r="AJ5523">
        <v>91.146401815201898</v>
      </c>
      <c r="AK5523">
        <v>19.247776886366999</v>
      </c>
      <c r="AL5523">
        <v>95.519266700942694</v>
      </c>
      <c r="AM5523">
        <v>90.456191987691994</v>
      </c>
      <c r="AN5523">
        <v>1.00000003790589</v>
      </c>
    </row>
    <row r="5524" spans="1:40" x14ac:dyDescent="0.25">
      <c r="A5524" t="str">
        <f>"20190303154250664"</f>
        <v>20190303154250664</v>
      </c>
      <c r="B5524" t="str">
        <f>"1551598970655875"</f>
        <v>1551598970655875</v>
      </c>
      <c r="C5524" t="s">
        <v>40</v>
      </c>
      <c r="D5524">
        <v>5.3581789999999998</v>
      </c>
      <c r="E5524">
        <v>0.49596899999999999</v>
      </c>
      <c r="F5524" t="s">
        <v>41</v>
      </c>
      <c r="G5524">
        <v>-372.19330000000002</v>
      </c>
      <c r="H5524" s="1">
        <v>-3.799837E-6</v>
      </c>
      <c r="I5524">
        <v>141.37700000000001</v>
      </c>
      <c r="J5524">
        <v>-352.69880000000001</v>
      </c>
      <c r="K5524">
        <v>1.119936</v>
      </c>
      <c r="L5524">
        <v>141.7936</v>
      </c>
      <c r="M5524">
        <v>-0.99997219999999998</v>
      </c>
      <c r="N5524">
        <v>-7.2318909999999998E-3</v>
      </c>
      <c r="O5524">
        <v>-1.892403E-3</v>
      </c>
      <c r="P5524">
        <v>-0.99459160000000002</v>
      </c>
      <c r="Q5524">
        <v>-0.1034226</v>
      </c>
      <c r="R5524">
        <v>-9.5699340000000004E-3</v>
      </c>
      <c r="S5524">
        <v>-2.9981080000000002</v>
      </c>
      <c r="T5524">
        <v>-0.16948250000000001</v>
      </c>
      <c r="U5524">
        <v>-6.3125609999999999E-2</v>
      </c>
      <c r="V5524">
        <v>-7.6810699999999999E-3</v>
      </c>
      <c r="W5524">
        <v>-9.6227560000000004E-2</v>
      </c>
      <c r="X5524">
        <v>0.99532969999999998</v>
      </c>
      <c r="Y5524">
        <v>-1.9126279999999999E-2</v>
      </c>
      <c r="Z5524">
        <v>-5.1613750000000002E-4</v>
      </c>
      <c r="AA5524">
        <v>0.99981699999999996</v>
      </c>
      <c r="AB5524">
        <v>33</v>
      </c>
      <c r="AC5524">
        <v>-19.494499999999999</v>
      </c>
      <c r="AD5524">
        <v>-1.119939799837</v>
      </c>
      <c r="AE5524">
        <v>-0.41659999999998798</v>
      </c>
      <c r="AF5524">
        <v>-0.37845835446943299</v>
      </c>
      <c r="AG5524">
        <v>-1.119939799837</v>
      </c>
      <c r="AH5524">
        <v>19.431152395561501</v>
      </c>
      <c r="AI5524">
        <v>93.2980433994192</v>
      </c>
      <c r="AJ5524">
        <v>91.115802329748604</v>
      </c>
      <c r="AK5524">
        <v>19.467079372645099</v>
      </c>
      <c r="AL5524">
        <v>95.521977669792804</v>
      </c>
      <c r="AM5524">
        <v>90.442149126118196</v>
      </c>
      <c r="AN5524">
        <v>0.99999997692099396</v>
      </c>
    </row>
    <row r="5525" spans="1:40" x14ac:dyDescent="0.25">
      <c r="A5525" t="str">
        <f>"20190303154250687"</f>
        <v>20190303154250687</v>
      </c>
      <c r="B5525" t="str">
        <f>"1551598970675392"</f>
        <v>1551598970675392</v>
      </c>
      <c r="C5525" t="s">
        <v>40</v>
      </c>
      <c r="D5525">
        <v>5.4300470000000001</v>
      </c>
      <c r="E5525">
        <v>0.49598009999999898</v>
      </c>
      <c r="F5525" t="s">
        <v>41</v>
      </c>
      <c r="G5525">
        <v>-372.79160000000002</v>
      </c>
      <c r="H5525" s="1">
        <v>-3.542939E-6</v>
      </c>
      <c r="I5525">
        <v>141.37610000000001</v>
      </c>
      <c r="J5525">
        <v>-353.03480000000002</v>
      </c>
      <c r="K5525">
        <v>1.1199380000000001</v>
      </c>
      <c r="L5525">
        <v>141.7929</v>
      </c>
      <c r="M5525">
        <v>-0.99997170000000002</v>
      </c>
      <c r="N5525">
        <v>-7.2624209999999998E-3</v>
      </c>
      <c r="O5525">
        <v>-1.942582E-3</v>
      </c>
      <c r="P5525">
        <v>-0.99463979999999996</v>
      </c>
      <c r="Q5525">
        <v>-0.10294159999999999</v>
      </c>
      <c r="R5525">
        <v>-9.7353439999999999E-3</v>
      </c>
      <c r="S5525">
        <v>-2.9983219999999999</v>
      </c>
      <c r="T5525">
        <v>-0.16712179999999999</v>
      </c>
      <c r="U5525">
        <v>-6.2286380000000002E-2</v>
      </c>
      <c r="V5525">
        <v>-7.796313E-3</v>
      </c>
      <c r="W5525">
        <v>-9.5715819999999993E-2</v>
      </c>
      <c r="X5525">
        <v>0.99537819999999999</v>
      </c>
      <c r="Y5525">
        <v>-1.8796319999999998E-2</v>
      </c>
      <c r="Z5525">
        <v>-4.9761459999999897E-4</v>
      </c>
      <c r="AA5525">
        <v>0.99982320000000002</v>
      </c>
      <c r="AB5525">
        <v>33</v>
      </c>
      <c r="AC5525">
        <v>-19.756799999999998</v>
      </c>
      <c r="AD5525">
        <v>-1.1199415429389901</v>
      </c>
      <c r="AE5525">
        <v>-0.41679999999999401</v>
      </c>
      <c r="AF5525">
        <v>-0.37720743691602299</v>
      </c>
      <c r="AG5525">
        <v>-1.1199415429389901</v>
      </c>
      <c r="AH5525">
        <v>19.694315910482299</v>
      </c>
      <c r="AI5525">
        <v>93.254094290623897</v>
      </c>
      <c r="AJ5525">
        <v>91.097258317588597</v>
      </c>
      <c r="AK5525">
        <v>19.729739828288199</v>
      </c>
      <c r="AL5525">
        <v>95.492520859991501</v>
      </c>
      <c r="AM5525">
        <v>90.448760778895704</v>
      </c>
      <c r="AN5525">
        <v>1.0000000308649499</v>
      </c>
    </row>
    <row r="5526" spans="1:40" x14ac:dyDescent="0.25">
      <c r="A5526" t="str">
        <f>"20190303154250709"</f>
        <v>20190303154250709</v>
      </c>
      <c r="B5526" t="str">
        <f>"1551598970705647"</f>
        <v>1551598970705647</v>
      </c>
      <c r="C5526" t="s">
        <v>40</v>
      </c>
      <c r="D5526">
        <v>5.4084519999999996</v>
      </c>
      <c r="E5526">
        <v>0.49591829999999998</v>
      </c>
      <c r="F5526" t="s">
        <v>41</v>
      </c>
      <c r="G5526">
        <v>-373.64859999999999</v>
      </c>
      <c r="H5526" s="1">
        <v>-3.1713250000000001E-6</v>
      </c>
      <c r="I5526">
        <v>141.3612</v>
      </c>
      <c r="J5526">
        <v>-353.36739999999998</v>
      </c>
      <c r="K5526">
        <v>1.1199399999999999</v>
      </c>
      <c r="L5526">
        <v>141.79220000000001</v>
      </c>
      <c r="M5526">
        <v>-0.99997150000000001</v>
      </c>
      <c r="N5526">
        <v>-7.2921390000000004E-3</v>
      </c>
      <c r="O5526">
        <v>-1.9922820000000002E-3</v>
      </c>
      <c r="P5526">
        <v>-0.99468679999999998</v>
      </c>
      <c r="Q5526">
        <v>-0.10242859999999999</v>
      </c>
      <c r="R5526">
        <v>-1.033879E-2</v>
      </c>
      <c r="S5526">
        <v>-2.9986570000000001</v>
      </c>
      <c r="T5526">
        <v>-0.16291610000000001</v>
      </c>
      <c r="U5526">
        <v>-6.2789919999999999E-2</v>
      </c>
      <c r="V5526">
        <v>-8.350171E-3</v>
      </c>
      <c r="W5526">
        <v>-9.5172939999999998E-2</v>
      </c>
      <c r="X5526">
        <v>0.99542569999999997</v>
      </c>
      <c r="Y5526">
        <v>-1.8913389999999999E-2</v>
      </c>
      <c r="Z5526">
        <v>-4.8873949999999895E-4</v>
      </c>
      <c r="AA5526">
        <v>0.99982099999999996</v>
      </c>
      <c r="AB5526">
        <v>33</v>
      </c>
      <c r="AC5526">
        <v>-20.281199999999998</v>
      </c>
      <c r="AD5526">
        <v>-1.1199431713250001</v>
      </c>
      <c r="AE5526">
        <v>-0.43100000000001099</v>
      </c>
      <c r="AF5526">
        <v>-0.389405313518838</v>
      </c>
      <c r="AG5526">
        <v>-1.1199431713250001</v>
      </c>
      <c r="AH5526">
        <v>20.2203876074886</v>
      </c>
      <c r="AI5526">
        <v>93.169606007199803</v>
      </c>
      <c r="AJ5526">
        <v>91.103268830286595</v>
      </c>
      <c r="AK5526">
        <v>20.2551224188419</v>
      </c>
      <c r="AL5526">
        <v>95.461273814772298</v>
      </c>
      <c r="AM5526">
        <v>90.480616820520694</v>
      </c>
      <c r="AN5526">
        <v>0.99999996904223099</v>
      </c>
    </row>
    <row r="5527" spans="1:40" x14ac:dyDescent="0.25">
      <c r="A5527" t="str">
        <f>"20190303154250732"</f>
        <v>20190303154250732</v>
      </c>
      <c r="B5527" t="str">
        <f>"1551598970725167"</f>
        <v>1551598970725167</v>
      </c>
      <c r="C5527" t="s">
        <v>40</v>
      </c>
      <c r="D5527">
        <v>5.3971410000000004</v>
      </c>
      <c r="E5527">
        <v>0.49588009999999899</v>
      </c>
      <c r="F5527" t="s">
        <v>41</v>
      </c>
      <c r="G5527">
        <v>-374.50639999999999</v>
      </c>
      <c r="H5527" s="1">
        <v>-2.795922E-6</v>
      </c>
      <c r="I5527">
        <v>141.33330000000001</v>
      </c>
      <c r="J5527">
        <v>-353.70100000000002</v>
      </c>
      <c r="K5527">
        <v>1.119937</v>
      </c>
      <c r="L5527">
        <v>141.79150000000001</v>
      </c>
      <c r="M5527">
        <v>-0.99997119999999995</v>
      </c>
      <c r="N5527">
        <v>-7.3206119999999998E-3</v>
      </c>
      <c r="O5527">
        <v>-2.0422169999999998E-3</v>
      </c>
      <c r="P5527">
        <v>-0.9946815</v>
      </c>
      <c r="Q5527">
        <v>-0.1023744</v>
      </c>
      <c r="R5527">
        <v>-1.132596E-2</v>
      </c>
      <c r="S5527">
        <v>-2.9990230000000002</v>
      </c>
      <c r="T5527">
        <v>-0.15888829999999901</v>
      </c>
      <c r="U5527">
        <v>-6.5093990000000004E-2</v>
      </c>
      <c r="V5527">
        <v>-9.2876850000000004E-3</v>
      </c>
      <c r="W5527">
        <v>-9.5090519999999998E-2</v>
      </c>
      <c r="X5527">
        <v>0.99542529999999996</v>
      </c>
      <c r="Y5527">
        <v>-1.9628920000000001E-2</v>
      </c>
      <c r="Z5527">
        <v>-4.9829180000000005E-4</v>
      </c>
      <c r="AA5527">
        <v>0.99980720000000001</v>
      </c>
      <c r="AB5527">
        <v>33</v>
      </c>
      <c r="AC5527">
        <v>-20.805399999999999</v>
      </c>
      <c r="AD5527">
        <v>-1.1199397959219899</v>
      </c>
      <c r="AE5527">
        <v>-0.45820000000000499</v>
      </c>
      <c r="AF5527">
        <v>-0.41450827422417302</v>
      </c>
      <c r="AG5527">
        <v>-1.1199397959219899</v>
      </c>
      <c r="AH5527">
        <v>20.746207480566198</v>
      </c>
      <c r="AI5527">
        <v>93.089375928426605</v>
      </c>
      <c r="AJ5527">
        <v>91.144614754280695</v>
      </c>
      <c r="AK5527">
        <v>20.7805487675998</v>
      </c>
      <c r="AL5527">
        <v>95.456529823337206</v>
      </c>
      <c r="AM5527">
        <v>90.534575231963601</v>
      </c>
      <c r="AN5527">
        <v>0.99999999798330896</v>
      </c>
    </row>
    <row r="5528" spans="1:40" x14ac:dyDescent="0.25">
      <c r="A5528" t="str">
        <f>"20190303154250754"</f>
        <v>20190303154250754</v>
      </c>
      <c r="B5528" t="str">
        <f>"1551598970745667"</f>
        <v>1551598970745667</v>
      </c>
      <c r="C5528" t="s">
        <v>40</v>
      </c>
      <c r="D5528">
        <v>5.4237570000000002</v>
      </c>
      <c r="E5528">
        <v>0.49581750000000002</v>
      </c>
      <c r="F5528" t="s">
        <v>41</v>
      </c>
      <c r="G5528">
        <v>-375.12959999999998</v>
      </c>
      <c r="H5528" s="1">
        <v>-2.5205720000000001E-6</v>
      </c>
      <c r="I5528">
        <v>141.30330000000001</v>
      </c>
      <c r="J5528">
        <v>-354.02949999999998</v>
      </c>
      <c r="K5528">
        <v>1.119936</v>
      </c>
      <c r="L5528">
        <v>141.79079999999999</v>
      </c>
      <c r="M5528">
        <v>-0.99997100000000005</v>
      </c>
      <c r="N5528">
        <v>-7.3471739999999997E-3</v>
      </c>
      <c r="O5528">
        <v>-2.0910740000000001E-3</v>
      </c>
      <c r="P5528">
        <v>-0.99465919999999997</v>
      </c>
      <c r="Q5528">
        <v>-0.102505</v>
      </c>
      <c r="R5528">
        <v>-1.208069E-2</v>
      </c>
      <c r="S5528">
        <v>-2.9991460000000001</v>
      </c>
      <c r="T5528">
        <v>-0.15674649999999901</v>
      </c>
      <c r="U5528">
        <v>-6.8313600000000002E-2</v>
      </c>
      <c r="V5528">
        <v>-9.9938709999999997E-3</v>
      </c>
      <c r="W5528">
        <v>-9.5194799999999996E-2</v>
      </c>
      <c r="X5528">
        <v>0.99540850000000003</v>
      </c>
      <c r="Y5528">
        <v>-2.065111E-2</v>
      </c>
      <c r="Z5528">
        <v>-5.2130250000000003E-4</v>
      </c>
      <c r="AA5528">
        <v>0.99978659999999997</v>
      </c>
      <c r="AB5528">
        <v>33</v>
      </c>
      <c r="AC5528">
        <v>-21.100100000000001</v>
      </c>
      <c r="AD5528">
        <v>-1.1199385205720001</v>
      </c>
      <c r="AE5528">
        <v>-0.487499999999983</v>
      </c>
      <c r="AF5528">
        <v>-0.44213096893005699</v>
      </c>
      <c r="AG5528">
        <v>-1.1199385205720001</v>
      </c>
      <c r="AH5528">
        <v>21.041825661238601</v>
      </c>
      <c r="AI5528">
        <v>93.045987625461805</v>
      </c>
      <c r="AJ5528">
        <v>91.203722139348201</v>
      </c>
      <c r="AK5528">
        <v>21.0762465643555</v>
      </c>
      <c r="AL5528">
        <v>95.462531818102505</v>
      </c>
      <c r="AM5528">
        <v>90.575228552589607</v>
      </c>
      <c r="AN5528">
        <v>1.0000000046384201</v>
      </c>
    </row>
    <row r="5529" spans="1:40" x14ac:dyDescent="0.25">
      <c r="A5529" t="str">
        <f>"20190303154250776"</f>
        <v>20190303154250776</v>
      </c>
      <c r="B5529" t="str">
        <f>"1551598970765184"</f>
        <v>1551598970765184</v>
      </c>
      <c r="C5529" t="s">
        <v>40</v>
      </c>
      <c r="D5529">
        <v>5.4386039999999998</v>
      </c>
      <c r="E5529">
        <v>0.49575979999999997</v>
      </c>
      <c r="F5529" t="s">
        <v>41</v>
      </c>
      <c r="G5529">
        <v>-375.60989999999998</v>
      </c>
      <c r="H5529" s="1">
        <v>-2.3080549999999998E-6</v>
      </c>
      <c r="I5529">
        <v>141.27889999999999</v>
      </c>
      <c r="J5529">
        <v>-354.35860000000002</v>
      </c>
      <c r="K5529">
        <v>1.119931</v>
      </c>
      <c r="L5529">
        <v>141.79</v>
      </c>
      <c r="M5529">
        <v>-0.99997060000000004</v>
      </c>
      <c r="N5529">
        <v>-7.372595E-3</v>
      </c>
      <c r="O5529">
        <v>-2.1396890000000002E-3</v>
      </c>
      <c r="P5529">
        <v>-0.99463109999999999</v>
      </c>
      <c r="Q5529">
        <v>-0.1027164</v>
      </c>
      <c r="R5529">
        <v>-1.258107E-2</v>
      </c>
      <c r="S5529">
        <v>-2.9992070000000002</v>
      </c>
      <c r="T5529">
        <v>-0.15564749999999999</v>
      </c>
      <c r="U5529">
        <v>-7.1121219999999999E-2</v>
      </c>
      <c r="V5529">
        <v>-1.044602E-2</v>
      </c>
      <c r="W5529">
        <v>-9.5381140000000003E-2</v>
      </c>
      <c r="X5529">
        <v>0.99538599999999999</v>
      </c>
      <c r="Y5529">
        <v>-2.1536509999999998E-2</v>
      </c>
      <c r="Z5529">
        <v>-5.4265430000000005E-4</v>
      </c>
      <c r="AA5529">
        <v>0.99976790000000004</v>
      </c>
      <c r="AB5529">
        <v>33</v>
      </c>
      <c r="AC5529">
        <v>-21.251299999999901</v>
      </c>
      <c r="AD5529">
        <v>-1.119933308055</v>
      </c>
      <c r="AE5529">
        <v>-0.511099999999999</v>
      </c>
      <c r="AF5529">
        <v>-0.46433759314155099</v>
      </c>
      <c r="AG5529">
        <v>-1.119933308055</v>
      </c>
      <c r="AH5529">
        <v>21.1935195230581</v>
      </c>
      <c r="AI5529">
        <v>93.024154248963796</v>
      </c>
      <c r="AJ5529">
        <v>91.255116150983397</v>
      </c>
      <c r="AK5529">
        <v>21.228168309798601</v>
      </c>
      <c r="AL5529">
        <v>95.473257223694503</v>
      </c>
      <c r="AM5529">
        <v>90.601265125384302</v>
      </c>
      <c r="AN5529">
        <v>0.99999998509876897</v>
      </c>
    </row>
    <row r="5530" spans="1:40" x14ac:dyDescent="0.25">
      <c r="A5530" t="str">
        <f>"20190303154250798"</f>
        <v>20190303154250798</v>
      </c>
      <c r="B5530" t="str">
        <f>"1551598970785679"</f>
        <v>1551598970785679</v>
      </c>
      <c r="C5530" t="s">
        <v>40</v>
      </c>
      <c r="D5530">
        <v>5.4312329999999998</v>
      </c>
      <c r="E5530">
        <v>0.495699</v>
      </c>
      <c r="F5530" t="s">
        <v>41</v>
      </c>
      <c r="G5530">
        <v>-376.0575</v>
      </c>
      <c r="H5530" s="1">
        <v>-2.1111539999999998E-6</v>
      </c>
      <c r="I5530">
        <v>141.26050000000001</v>
      </c>
      <c r="J5530">
        <v>-354.6798</v>
      </c>
      <c r="K5530">
        <v>1.1199269999999999</v>
      </c>
      <c r="L5530">
        <v>141.7893</v>
      </c>
      <c r="M5530">
        <v>-0.99997029999999998</v>
      </c>
      <c r="N5530">
        <v>-7.4005859999999998E-3</v>
      </c>
      <c r="O5530">
        <v>-2.1868830000000001E-3</v>
      </c>
      <c r="P5530">
        <v>-0.99463310000000005</v>
      </c>
      <c r="Q5530">
        <v>-0.102657</v>
      </c>
      <c r="R5530">
        <v>-1.292046E-2</v>
      </c>
      <c r="S5530">
        <v>-2.9992679999999998</v>
      </c>
      <c r="T5530">
        <v>-0.15479970000000001</v>
      </c>
      <c r="U5530">
        <v>-7.318115E-2</v>
      </c>
      <c r="V5530">
        <v>-1.0738009999999999E-2</v>
      </c>
      <c r="W5530">
        <v>-9.5293859999999994E-2</v>
      </c>
      <c r="X5530">
        <v>0.99539120000000003</v>
      </c>
      <c r="Y5530">
        <v>-2.217446E-2</v>
      </c>
      <c r="Z5530">
        <v>-5.57297E-4</v>
      </c>
      <c r="AA5530">
        <v>0.99975400000000003</v>
      </c>
      <c r="AB5530">
        <v>33</v>
      </c>
      <c r="AC5530">
        <v>-21.377700000000001</v>
      </c>
      <c r="AD5530">
        <v>-1.119929111154</v>
      </c>
      <c r="AE5530">
        <v>-0.52879999999998895</v>
      </c>
      <c r="AF5530">
        <v>-0.48072839024708403</v>
      </c>
      <c r="AG5530">
        <v>-1.119929111154</v>
      </c>
      <c r="AH5530">
        <v>21.320328029505401</v>
      </c>
      <c r="AI5530">
        <v>93.006146541675605</v>
      </c>
      <c r="AJ5530">
        <v>91.291680007510294</v>
      </c>
      <c r="AK5530">
        <v>21.355133534701</v>
      </c>
      <c r="AL5530">
        <v>95.468233851967099</v>
      </c>
      <c r="AM5530">
        <v>90.618067337474997</v>
      </c>
      <c r="AN5530">
        <v>0.99999993282494704</v>
      </c>
    </row>
    <row r="5531" spans="1:40" x14ac:dyDescent="0.25">
      <c r="A5531" t="str">
        <f>"20190303154250821"</f>
        <v>20190303154250821</v>
      </c>
      <c r="B5531" t="str">
        <f>"1551598970815936"</f>
        <v>1551598970815936</v>
      </c>
      <c r="C5531" t="s">
        <v>40</v>
      </c>
      <c r="D5531">
        <v>5.4431710000000004</v>
      </c>
      <c r="E5531">
        <v>0.49563659999999998</v>
      </c>
      <c r="F5531" t="s">
        <v>41</v>
      </c>
      <c r="G5531">
        <v>-376.62599999999998</v>
      </c>
      <c r="H5531" s="1">
        <v>-1.8625139999999999E-6</v>
      </c>
      <c r="I5531">
        <v>141.24270000000001</v>
      </c>
      <c r="J5531">
        <v>-355.03199999999998</v>
      </c>
      <c r="K5531">
        <v>1.1199349999999999</v>
      </c>
      <c r="L5531">
        <v>141.7885</v>
      </c>
      <c r="M5531">
        <v>-0.99996989999999997</v>
      </c>
      <c r="N5531">
        <v>-7.4343259999999998E-3</v>
      </c>
      <c r="O5531">
        <v>-2.2387470000000001E-3</v>
      </c>
      <c r="P5531">
        <v>-0.99462360000000005</v>
      </c>
      <c r="Q5531">
        <v>-0.1027637</v>
      </c>
      <c r="R5531">
        <v>-1.2791159999999999E-2</v>
      </c>
      <c r="S5531">
        <v>-2.9994200000000002</v>
      </c>
      <c r="T5531">
        <v>-0.15306259999999999</v>
      </c>
      <c r="U5531">
        <v>-7.4691770000000005E-2</v>
      </c>
      <c r="V5531">
        <v>-1.05571E-2</v>
      </c>
      <c r="W5531">
        <v>-9.5367060000000003E-2</v>
      </c>
      <c r="X5531">
        <v>0.9953862</v>
      </c>
      <c r="Y5531">
        <v>-2.262459E-2</v>
      </c>
      <c r="Z5531">
        <v>-5.6346599999999999E-4</v>
      </c>
      <c r="AA5531">
        <v>0.99974390000000002</v>
      </c>
      <c r="AB5531">
        <v>33</v>
      </c>
      <c r="AC5531">
        <v>-21.593999999999902</v>
      </c>
      <c r="AD5531">
        <v>-1.119936862514</v>
      </c>
      <c r="AE5531">
        <v>-0.54579999999998496</v>
      </c>
      <c r="AF5531">
        <v>-0.49612018057818302</v>
      </c>
      <c r="AG5531">
        <v>-1.119936862514</v>
      </c>
      <c r="AH5531">
        <v>21.5372737317626</v>
      </c>
      <c r="AI5531">
        <v>92.975907799604499</v>
      </c>
      <c r="AJ5531">
        <v>91.319599063573193</v>
      </c>
      <c r="AK5531">
        <v>21.572078101250799</v>
      </c>
      <c r="AL5531">
        <v>95.472446680082001</v>
      </c>
      <c r="AM5531">
        <v>90.607658208399897</v>
      </c>
      <c r="AN5531">
        <v>1.00000000782194</v>
      </c>
    </row>
    <row r="5532" spans="1:40" x14ac:dyDescent="0.25">
      <c r="A5532" t="str">
        <f>"20190303154250843"</f>
        <v>20190303154250843</v>
      </c>
      <c r="B5532" t="str">
        <f>"1551598970835459"</f>
        <v>1551598970835459</v>
      </c>
      <c r="C5532" t="s">
        <v>40</v>
      </c>
      <c r="D5532">
        <v>5.4825419999999996</v>
      </c>
      <c r="E5532">
        <v>0.49559789999999998</v>
      </c>
      <c r="F5532" t="s">
        <v>41</v>
      </c>
      <c r="G5532">
        <v>-377.18849999999998</v>
      </c>
      <c r="H5532" s="1">
        <v>-1.619379E-6</v>
      </c>
      <c r="I5532">
        <v>141.23580000000001</v>
      </c>
      <c r="J5532">
        <v>-355.35750000000002</v>
      </c>
      <c r="K5532">
        <v>1.119939</v>
      </c>
      <c r="L5532">
        <v>141.7877</v>
      </c>
      <c r="M5532">
        <v>-0.99996949999999996</v>
      </c>
      <c r="N5532">
        <v>-7.4708659999999996E-3</v>
      </c>
      <c r="O5532">
        <v>-2.2868070000000001E-3</v>
      </c>
      <c r="P5532">
        <v>-0.99463330000000005</v>
      </c>
      <c r="Q5532">
        <v>-0.102704</v>
      </c>
      <c r="R5532">
        <v>-1.2500799999999999E-2</v>
      </c>
      <c r="S5532">
        <v>-2.9995729999999998</v>
      </c>
      <c r="T5532">
        <v>-0.15161859999999999</v>
      </c>
      <c r="U5532">
        <v>-7.4813840000000006E-2</v>
      </c>
      <c r="V5532">
        <v>-1.0219249999999999E-2</v>
      </c>
      <c r="W5532">
        <v>-9.527091E-2</v>
      </c>
      <c r="X5532">
        <v>0.99539889999999998</v>
      </c>
      <c r="Y5532">
        <v>-2.2616509999999999E-2</v>
      </c>
      <c r="Z5532">
        <v>-5.5727550000000004E-4</v>
      </c>
      <c r="AA5532">
        <v>0.99974410000000002</v>
      </c>
      <c r="AB5532">
        <v>33</v>
      </c>
      <c r="AC5532">
        <v>-21.8309999999999</v>
      </c>
      <c r="AD5532">
        <v>-1.119940619379</v>
      </c>
      <c r="AE5532">
        <v>-0.55189999999998895</v>
      </c>
      <c r="AF5532">
        <v>-0.50065712398606899</v>
      </c>
      <c r="AG5532">
        <v>-1.119940619379</v>
      </c>
      <c r="AH5532">
        <v>21.774935702897501</v>
      </c>
      <c r="AI5532">
        <v>92.943497531420604</v>
      </c>
      <c r="AJ5532">
        <v>91.317133025112</v>
      </c>
      <c r="AK5532">
        <v>21.809464675045401</v>
      </c>
      <c r="AL5532">
        <v>95.466912673943696</v>
      </c>
      <c r="AM5532">
        <v>90.588205718005398</v>
      </c>
      <c r="AN5532">
        <v>0.99999997474199998</v>
      </c>
    </row>
    <row r="5533" spans="1:40" x14ac:dyDescent="0.25">
      <c r="A5533" t="str">
        <f>"20190303154250866"</f>
        <v>20190303154250866</v>
      </c>
      <c r="B5533" t="str">
        <f>"1551598970855952"</f>
        <v>1551598970855952</v>
      </c>
      <c r="C5533" t="s">
        <v>40</v>
      </c>
      <c r="D5533">
        <v>5.4521379999999997</v>
      </c>
      <c r="E5533">
        <v>0.4955212</v>
      </c>
      <c r="F5533" t="s">
        <v>41</v>
      </c>
      <c r="G5533">
        <v>-377.67349999999999</v>
      </c>
      <c r="H5533" s="1">
        <v>-1.41101E-6</v>
      </c>
      <c r="I5533">
        <v>141.2346</v>
      </c>
      <c r="J5533">
        <v>-355.7088</v>
      </c>
      <c r="K5533">
        <v>1.1199440000000001</v>
      </c>
      <c r="L5533">
        <v>141.7869</v>
      </c>
      <c r="M5533">
        <v>-0.99996910000000006</v>
      </c>
      <c r="N5533">
        <v>-7.5206569999999896E-3</v>
      </c>
      <c r="O5533">
        <v>-2.3384959999999998E-3</v>
      </c>
      <c r="P5533">
        <v>-0.99462700000000004</v>
      </c>
      <c r="Q5533">
        <v>-0.10281469999999999</v>
      </c>
      <c r="R5533">
        <v>-1.2100049999999999E-2</v>
      </c>
      <c r="S5533">
        <v>-2.999695</v>
      </c>
      <c r="T5533">
        <v>-0.15054189999999901</v>
      </c>
      <c r="U5533">
        <v>-7.4340820000000002E-2</v>
      </c>
      <c r="V5533">
        <v>-9.7668589999999993E-3</v>
      </c>
      <c r="W5533">
        <v>-9.5332120000000006E-2</v>
      </c>
      <c r="X5533">
        <v>0.99539759999999999</v>
      </c>
      <c r="Y5533">
        <v>-2.2407E-2</v>
      </c>
      <c r="Z5533">
        <v>-5.4645780000000003E-4</v>
      </c>
      <c r="AA5533">
        <v>0.99974879999999999</v>
      </c>
      <c r="AB5533">
        <v>33</v>
      </c>
      <c r="AC5533">
        <v>-21.964700000000001</v>
      </c>
      <c r="AD5533">
        <v>-1.11994541101</v>
      </c>
      <c r="AE5533">
        <v>-0.55230000000000201</v>
      </c>
      <c r="AF5533">
        <v>-0.49963454119082601</v>
      </c>
      <c r="AG5533">
        <v>-1.11994541101</v>
      </c>
      <c r="AH5533">
        <v>21.909008056147002</v>
      </c>
      <c r="AI5533">
        <v>92.925541180658001</v>
      </c>
      <c r="AJ5533">
        <v>91.306402797316807</v>
      </c>
      <c r="AK5533">
        <v>21.9433029966482</v>
      </c>
      <c r="AL5533">
        <v>95.470435682131793</v>
      </c>
      <c r="AM5533">
        <v>90.562169169603195</v>
      </c>
      <c r="AN5533">
        <v>0.99999999336209</v>
      </c>
    </row>
    <row r="5534" spans="1:40" x14ac:dyDescent="0.25">
      <c r="A5534" t="str">
        <f>"20190303154250888"</f>
        <v>20190303154250888</v>
      </c>
      <c r="B5534" t="str">
        <f>"1551598970875472"</f>
        <v>1551598970875472</v>
      </c>
      <c r="C5534" t="s">
        <v>40</v>
      </c>
      <c r="D5534">
        <v>5.5070489999999896</v>
      </c>
      <c r="E5534">
        <v>0.49548880000000001</v>
      </c>
      <c r="F5534" t="s">
        <v>41</v>
      </c>
      <c r="G5534">
        <v>-378.03570000000002</v>
      </c>
      <c r="H5534" s="1">
        <v>-1.256585E-6</v>
      </c>
      <c r="I5534">
        <v>141.23830000000001</v>
      </c>
      <c r="J5534">
        <v>-356.03399999999999</v>
      </c>
      <c r="K5534">
        <v>1.1199520000000001</v>
      </c>
      <c r="L5534">
        <v>141.7861</v>
      </c>
      <c r="M5534">
        <v>-0.99996839999999998</v>
      </c>
      <c r="N5534">
        <v>-7.5838879999999996E-3</v>
      </c>
      <c r="O5534">
        <v>-2.3863019999999999E-3</v>
      </c>
      <c r="P5534">
        <v>-0.99461619999999995</v>
      </c>
      <c r="Q5534">
        <v>-0.1029837</v>
      </c>
      <c r="R5534">
        <v>-1.153733E-2</v>
      </c>
      <c r="S5534">
        <v>-2.9997250000000002</v>
      </c>
      <c r="T5534">
        <v>-0.15047049999999901</v>
      </c>
      <c r="U5534">
        <v>-7.369995E-2</v>
      </c>
      <c r="V5534">
        <v>-9.1563730000000006E-3</v>
      </c>
      <c r="W5534">
        <v>-9.5438170000000003E-2</v>
      </c>
      <c r="X5534">
        <v>0.99539330000000004</v>
      </c>
      <c r="Y5534">
        <v>-2.2145890000000001E-2</v>
      </c>
      <c r="Z5534">
        <v>-5.375321E-4</v>
      </c>
      <c r="AA5534">
        <v>0.99975460000000005</v>
      </c>
      <c r="AB5534">
        <v>34</v>
      </c>
      <c r="AC5534">
        <v>-22.0017</v>
      </c>
      <c r="AD5534">
        <v>-1.1199532565849999</v>
      </c>
      <c r="AE5534">
        <v>-0.54779999999999496</v>
      </c>
      <c r="AF5534">
        <v>-0.49401497142721601</v>
      </c>
      <c r="AG5534">
        <v>-1.1199532565849999</v>
      </c>
      <c r="AH5534">
        <v>21.946114846443599</v>
      </c>
      <c r="AI5534">
        <v>92.9206430841962</v>
      </c>
      <c r="AJ5534">
        <v>91.289530910860293</v>
      </c>
      <c r="AK5534">
        <v>21.9802252705067</v>
      </c>
      <c r="AL5534">
        <v>95.476539406100102</v>
      </c>
      <c r="AM5534">
        <v>90.527034622397096</v>
      </c>
      <c r="AN5534">
        <v>1.00000005257217</v>
      </c>
    </row>
    <row r="5535" spans="1:40" x14ac:dyDescent="0.25">
      <c r="A5535" t="str">
        <f>"20190303154250910"</f>
        <v>20190303154250910</v>
      </c>
      <c r="B5535" t="str">
        <f>"1551598970905727"</f>
        <v>1551598970905727</v>
      </c>
      <c r="C5535" t="s">
        <v>40</v>
      </c>
      <c r="D5535">
        <v>5.4775729999999996</v>
      </c>
      <c r="E5535">
        <v>0.50720129999999997</v>
      </c>
      <c r="F5535" t="s">
        <v>41</v>
      </c>
      <c r="G5535">
        <v>-378.32010000000002</v>
      </c>
      <c r="H5535" s="1">
        <v>-1.1374530000000001E-6</v>
      </c>
      <c r="I5535">
        <v>141.2491</v>
      </c>
      <c r="J5535">
        <v>-356.36930000000001</v>
      </c>
      <c r="K5535">
        <v>1.1199589999999999</v>
      </c>
      <c r="L5535">
        <v>141.7852</v>
      </c>
      <c r="M5535">
        <v>-0.99996759999999996</v>
      </c>
      <c r="N5535">
        <v>-7.6793919999999898E-3</v>
      </c>
      <c r="O5535">
        <v>-2.435666E-3</v>
      </c>
      <c r="P5535">
        <v>-0.99454690000000001</v>
      </c>
      <c r="Q5535">
        <v>-0.10368139999999899</v>
      </c>
      <c r="R5535">
        <v>-1.1260859999999999E-2</v>
      </c>
      <c r="S5535">
        <v>-2.9997859999999998</v>
      </c>
      <c r="T5535">
        <v>-0.15074979999999999</v>
      </c>
      <c r="U5535">
        <v>-7.2265629999999997E-2</v>
      </c>
      <c r="V5535">
        <v>-8.831205E-3</v>
      </c>
      <c r="W5535">
        <v>-9.6041319999999999E-2</v>
      </c>
      <c r="X5535">
        <v>0.9953381</v>
      </c>
      <c r="Y5535">
        <v>-2.161894E-2</v>
      </c>
      <c r="Z5535">
        <v>-5.2226360000000001E-4</v>
      </c>
      <c r="AA5535">
        <v>0.99976620000000005</v>
      </c>
      <c r="AB5535">
        <v>34</v>
      </c>
      <c r="AC5535">
        <v>-21.950800000000001</v>
      </c>
      <c r="AD5535">
        <v>-1.1199601374529999</v>
      </c>
      <c r="AE5535">
        <v>-0.53610000000000402</v>
      </c>
      <c r="AF5535">
        <v>-0.48137964724495702</v>
      </c>
      <c r="AG5535">
        <v>-1.1199601374529999</v>
      </c>
      <c r="AH5535">
        <v>21.895077802389199</v>
      </c>
      <c r="AI5535">
        <v>92.927491270507304</v>
      </c>
      <c r="AJ5535">
        <v>91.259487620613299</v>
      </c>
      <c r="AK5535">
        <v>21.9289869589761</v>
      </c>
      <c r="AL5535">
        <v>95.511257513565795</v>
      </c>
      <c r="AM5535">
        <v>90.508347362095805</v>
      </c>
      <c r="AN5535">
        <v>0.99999992932034898</v>
      </c>
    </row>
    <row r="5536" spans="1:40" x14ac:dyDescent="0.25">
      <c r="A5536" t="str">
        <f>"20190303154250934"</f>
        <v>20190303154250934</v>
      </c>
      <c r="B5536" t="str">
        <f>"1551598970926223"</f>
        <v>1551598970926223</v>
      </c>
      <c r="C5536" t="s">
        <v>40</v>
      </c>
      <c r="D5536">
        <v>5.4803160000000002</v>
      </c>
      <c r="E5536">
        <v>0.50764370000000003</v>
      </c>
      <c r="F5536" t="s">
        <v>41</v>
      </c>
      <c r="G5536">
        <v>-393.03149999999999</v>
      </c>
      <c r="H5536" s="1">
        <v>-3.619278E-6</v>
      </c>
      <c r="I5536">
        <v>142.0497</v>
      </c>
      <c r="J5536">
        <v>-356.7149</v>
      </c>
      <c r="K5536">
        <v>1.119985</v>
      </c>
      <c r="L5536">
        <v>141.7843</v>
      </c>
      <c r="M5536">
        <v>-0.99996629999999997</v>
      </c>
      <c r="N5536">
        <v>-7.8222109999999904E-3</v>
      </c>
      <c r="O5536">
        <v>-2.4861739999999998E-3</v>
      </c>
      <c r="P5536">
        <v>-0.99447090000000005</v>
      </c>
      <c r="Q5536">
        <v>-0.1044465</v>
      </c>
      <c r="R5536">
        <v>-1.089098E-2</v>
      </c>
      <c r="S5536">
        <v>-3.0071110000000001</v>
      </c>
      <c r="T5536">
        <v>-9.1861719999999994E-2</v>
      </c>
      <c r="U5536">
        <v>2.1697999999999999E-2</v>
      </c>
      <c r="V5536">
        <v>-8.4111350000000001E-3</v>
      </c>
      <c r="W5536">
        <v>-9.6664849999999997E-2</v>
      </c>
      <c r="X5536">
        <v>0.99528150000000004</v>
      </c>
      <c r="Y5536">
        <v>9.6952159999999996E-3</v>
      </c>
      <c r="Z5536">
        <v>2.4246580000000001E-4</v>
      </c>
      <c r="AA5536">
        <v>0.99995299999999998</v>
      </c>
      <c r="AB5536">
        <v>34</v>
      </c>
      <c r="AC5536">
        <v>-36.316600000000001</v>
      </c>
      <c r="AD5536">
        <v>-1.119988619278</v>
      </c>
      <c r="AE5536">
        <v>0.26539999999999903</v>
      </c>
      <c r="AF5536">
        <v>0.35535337890485902</v>
      </c>
      <c r="AG5536">
        <v>-1.119988619278</v>
      </c>
      <c r="AH5536">
        <v>36.281323321890198</v>
      </c>
      <c r="AI5536">
        <v>91.768049470013196</v>
      </c>
      <c r="AJ5536">
        <v>89.438840814857102</v>
      </c>
      <c r="AK5536">
        <v>36.3003453498551</v>
      </c>
      <c r="AL5536">
        <v>95.547149470282207</v>
      </c>
      <c r="AM5536">
        <v>90.484195741609994</v>
      </c>
      <c r="AN5536">
        <v>1.00000005232987</v>
      </c>
    </row>
    <row r="5537" spans="1:40" x14ac:dyDescent="0.25">
      <c r="A5537" t="str">
        <f>"20190303154250955"</f>
        <v>20190303154250955</v>
      </c>
      <c r="B5537" t="str">
        <f>"1551598970945743"</f>
        <v>1551598970945743</v>
      </c>
      <c r="C5537" t="s">
        <v>40</v>
      </c>
      <c r="D5537">
        <v>5.4704179999999996</v>
      </c>
      <c r="E5537">
        <v>0.50784090000000004</v>
      </c>
      <c r="F5537" t="s">
        <v>41</v>
      </c>
      <c r="G5537">
        <v>-393.90469999999999</v>
      </c>
      <c r="H5537" s="1">
        <v>-3.2602070000000001E-6</v>
      </c>
      <c r="I5537">
        <v>142.108</v>
      </c>
      <c r="J5537">
        <v>-357.04250000000002</v>
      </c>
      <c r="K5537">
        <v>1.1200220000000001</v>
      </c>
      <c r="L5537">
        <v>141.7835</v>
      </c>
      <c r="M5537">
        <v>-0.99996470000000004</v>
      </c>
      <c r="N5537">
        <v>-8.0119319999999994E-3</v>
      </c>
      <c r="O5537">
        <v>-2.5340200000000001E-3</v>
      </c>
      <c r="P5537">
        <v>-0.9943978</v>
      </c>
      <c r="Q5537">
        <v>-0.1051786</v>
      </c>
      <c r="R5537">
        <v>-1.0517739999999999E-2</v>
      </c>
      <c r="S5537">
        <v>-3.0074160000000001</v>
      </c>
      <c r="T5537">
        <v>-9.0569730000000001E-2</v>
      </c>
      <c r="U5537">
        <v>2.6184079999999998E-2</v>
      </c>
      <c r="V5537">
        <v>-7.9902240000000006E-3</v>
      </c>
      <c r="W5537">
        <v>-9.7208569999999994E-2</v>
      </c>
      <c r="X5537">
        <v>0.99523200000000001</v>
      </c>
      <c r="Y5537">
        <v>1.1233089999999999E-2</v>
      </c>
      <c r="Z5537">
        <v>2.7011290000000001E-4</v>
      </c>
      <c r="AA5537">
        <v>0.99993690000000002</v>
      </c>
      <c r="AB5537">
        <v>34</v>
      </c>
      <c r="AC5537">
        <v>-36.862199999999902</v>
      </c>
      <c r="AD5537">
        <v>-1.12002526020699</v>
      </c>
      <c r="AE5537">
        <v>0.32450000000000001</v>
      </c>
      <c r="AF5537">
        <v>0.41752607982122197</v>
      </c>
      <c r="AG5537">
        <v>-1.12002526020699</v>
      </c>
      <c r="AH5537">
        <v>36.8272632390333</v>
      </c>
      <c r="AI5537">
        <v>91.741884141279698</v>
      </c>
      <c r="AJ5537">
        <v>89.350441623666399</v>
      </c>
      <c r="AK5537">
        <v>36.846656595787401</v>
      </c>
      <c r="AL5537">
        <v>95.578449796356693</v>
      </c>
      <c r="AM5537">
        <v>90.459989506661799</v>
      </c>
      <c r="AN5537">
        <v>1.0000000417924999</v>
      </c>
    </row>
    <row r="5538" spans="1:40" x14ac:dyDescent="0.25">
      <c r="A5538" t="str">
        <f>"20190303154250977"</f>
        <v>20190303154250977</v>
      </c>
      <c r="B5538" t="str">
        <f>"1551598970966240"</f>
        <v>1551598970966240</v>
      </c>
      <c r="C5538" t="s">
        <v>40</v>
      </c>
      <c r="D5538">
        <v>5.5110049999999999</v>
      </c>
      <c r="E5538">
        <v>0.50774520000000001</v>
      </c>
      <c r="F5538" t="s">
        <v>41</v>
      </c>
      <c r="G5538">
        <v>-393.87139999999999</v>
      </c>
      <c r="H5538" s="1">
        <v>-3.2819470000000001E-6</v>
      </c>
      <c r="I5538">
        <v>142.136</v>
      </c>
      <c r="J5538">
        <v>-357.37920000000003</v>
      </c>
      <c r="K5538">
        <v>1.1200669999999999</v>
      </c>
      <c r="L5538">
        <v>141.7826</v>
      </c>
      <c r="M5538">
        <v>-0.99996240000000003</v>
      </c>
      <c r="N5538">
        <v>-8.2718659999999992E-3</v>
      </c>
      <c r="O5538">
        <v>-2.5828919999999998E-3</v>
      </c>
      <c r="P5538">
        <v>-0.99430770000000002</v>
      </c>
      <c r="Q5538">
        <v>-0.1060266</v>
      </c>
      <c r="R5538">
        <v>-1.051187E-2</v>
      </c>
      <c r="S5538">
        <v>-3.0075379999999998</v>
      </c>
      <c r="T5538">
        <v>-9.1464279999999995E-2</v>
      </c>
      <c r="U5538">
        <v>2.8793329999999999E-2</v>
      </c>
      <c r="V5538">
        <v>-7.9356640000000003E-3</v>
      </c>
      <c r="W5538">
        <v>-9.7798609999999994E-2</v>
      </c>
      <c r="X5538">
        <v>0.99517460000000002</v>
      </c>
      <c r="Y5538">
        <v>1.2148340000000001E-2</v>
      </c>
      <c r="Z5538">
        <v>2.9210899999999998E-4</v>
      </c>
      <c r="AA5538">
        <v>0.99992610000000004</v>
      </c>
      <c r="AB5538">
        <v>34</v>
      </c>
      <c r="AC5538">
        <v>-36.492199999999897</v>
      </c>
      <c r="AD5538">
        <v>-1.1200702819470001</v>
      </c>
      <c r="AE5538">
        <v>0.353399999999993</v>
      </c>
      <c r="AF5538">
        <v>0.44723616690421902</v>
      </c>
      <c r="AG5538">
        <v>-1.1200702819470001</v>
      </c>
      <c r="AH5538">
        <v>36.456823205814203</v>
      </c>
      <c r="AI5538">
        <v>91.759623846042103</v>
      </c>
      <c r="AJ5538">
        <v>89.297155999229204</v>
      </c>
      <c r="AK5538">
        <v>36.4767670700884</v>
      </c>
      <c r="AL5538">
        <v>95.612418610212899</v>
      </c>
      <c r="AM5538">
        <v>90.456875022697105</v>
      </c>
      <c r="AN5538">
        <v>1.0000000136831</v>
      </c>
    </row>
    <row r="5539" spans="1:40" x14ac:dyDescent="0.25">
      <c r="A5539" t="str">
        <f>"20190303154250999"</f>
        <v>20190303154250999</v>
      </c>
      <c r="B5539" t="str">
        <f>"1551598970995520"</f>
        <v>1551598970995520</v>
      </c>
      <c r="C5539" t="s">
        <v>40</v>
      </c>
      <c r="D5539">
        <v>5.5231510000000004</v>
      </c>
      <c r="E5539">
        <v>0.50762209999999997</v>
      </c>
      <c r="F5539" t="s">
        <v>41</v>
      </c>
      <c r="G5539">
        <v>-393.8698</v>
      </c>
      <c r="H5539" s="1">
        <v>-3.279542E-6</v>
      </c>
      <c r="I5539">
        <v>142.12440000000001</v>
      </c>
      <c r="J5539">
        <v>-357.71120000000002</v>
      </c>
      <c r="K5539">
        <v>1.120117</v>
      </c>
      <c r="L5539">
        <v>141.7817</v>
      </c>
      <c r="M5539">
        <v>-0.99995979999999995</v>
      </c>
      <c r="N5539">
        <v>-8.5778299999999998E-3</v>
      </c>
      <c r="O5539">
        <v>-2.6317570000000002E-3</v>
      </c>
      <c r="P5539">
        <v>-0.99424950000000001</v>
      </c>
      <c r="Q5539">
        <v>-0.10657320000000001</v>
      </c>
      <c r="R5539">
        <v>-1.052438E-2</v>
      </c>
      <c r="S5539">
        <v>-3.0075989999999999</v>
      </c>
      <c r="T5539">
        <v>-9.2317700000000003E-2</v>
      </c>
      <c r="U5539">
        <v>2.818298E-2</v>
      </c>
      <c r="V5539">
        <v>-7.8994100000000008E-3</v>
      </c>
      <c r="W5539">
        <v>-9.804119E-2</v>
      </c>
      <c r="X5539">
        <v>0.99515100000000001</v>
      </c>
      <c r="Y5539">
        <v>1.1994019999999999E-2</v>
      </c>
      <c r="Z5539">
        <v>2.9367850000000002E-4</v>
      </c>
      <c r="AA5539">
        <v>0.99992800000000004</v>
      </c>
      <c r="AB5539">
        <v>34</v>
      </c>
      <c r="AC5539">
        <v>-36.1585999999999</v>
      </c>
      <c r="AD5539">
        <v>-1.120120279542</v>
      </c>
      <c r="AE5539">
        <v>0.342700000000007</v>
      </c>
      <c r="AF5539">
        <v>0.43744320966556599</v>
      </c>
      <c r="AG5539">
        <v>-1.120120279542</v>
      </c>
      <c r="AH5539">
        <v>36.122911136031398</v>
      </c>
      <c r="AI5539">
        <v>91.775961677344199</v>
      </c>
      <c r="AJ5539">
        <v>89.306190342162793</v>
      </c>
      <c r="AK5539">
        <v>36.142920952019701</v>
      </c>
      <c r="AL5539">
        <v>95.626384646240794</v>
      </c>
      <c r="AM5539">
        <v>90.454798666527395</v>
      </c>
      <c r="AN5539">
        <v>0.99999999420798202</v>
      </c>
    </row>
    <row r="5540" spans="1:40" x14ac:dyDescent="0.25">
      <c r="A5540" t="str">
        <f>"20190303154251033"</f>
        <v>20190303154251033</v>
      </c>
      <c r="B5540" t="str">
        <f>"1551598971025779"</f>
        <v>1551598971025779</v>
      </c>
      <c r="C5540" t="s">
        <v>40</v>
      </c>
      <c r="D5540">
        <v>5.4883220000000001</v>
      </c>
      <c r="E5540">
        <v>0.50746819999999904</v>
      </c>
      <c r="F5540" t="s">
        <v>41</v>
      </c>
      <c r="G5540">
        <v>-393.94389999999999</v>
      </c>
      <c r="H5540" s="1">
        <v>-3.2430900000000001E-6</v>
      </c>
      <c r="I5540">
        <v>142.1069</v>
      </c>
      <c r="J5540">
        <v>-358.2285</v>
      </c>
      <c r="K5540">
        <v>1.120198</v>
      </c>
      <c r="L5540">
        <v>141.78020000000001</v>
      </c>
      <c r="M5540">
        <v>-0.99995520000000004</v>
      </c>
      <c r="N5540">
        <v>-9.0881179999999992E-3</v>
      </c>
      <c r="O5540">
        <v>-2.707835E-3</v>
      </c>
      <c r="P5540">
        <v>-0.99421020000000004</v>
      </c>
      <c r="Q5540">
        <v>-0.1068258</v>
      </c>
      <c r="R5540">
        <v>-1.1592130000000001E-2</v>
      </c>
      <c r="S5540">
        <v>-3.00766</v>
      </c>
      <c r="T5540">
        <v>-9.2980740000000006E-2</v>
      </c>
      <c r="U5540">
        <v>2.700806E-2</v>
      </c>
      <c r="V5540">
        <v>-8.8913859999999994E-3</v>
      </c>
      <c r="W5540">
        <v>-9.7786429999999994E-2</v>
      </c>
      <c r="X5540">
        <v>0.99516769999999999</v>
      </c>
      <c r="Y5540">
        <v>1.167934E-2</v>
      </c>
      <c r="Z5540">
        <v>2.9265999999999998E-4</v>
      </c>
      <c r="AA5540">
        <v>0.99993180000000004</v>
      </c>
      <c r="AB5540">
        <v>34</v>
      </c>
      <c r="AC5540">
        <v>-35.715399999999903</v>
      </c>
      <c r="AD5540">
        <v>-1.1202012430899999</v>
      </c>
      <c r="AE5540">
        <v>0.326699999999988</v>
      </c>
      <c r="AF5540">
        <v>0.42299810453081899</v>
      </c>
      <c r="AG5540">
        <v>-1.1202012430899999</v>
      </c>
      <c r="AH5540">
        <v>35.679288098139502</v>
      </c>
      <c r="AI5540">
        <v>91.798164273712999</v>
      </c>
      <c r="AJ5540">
        <v>89.320758007609001</v>
      </c>
      <c r="AK5540">
        <v>35.699375028303997</v>
      </c>
      <c r="AL5540">
        <v>95.6117174811355</v>
      </c>
      <c r="AM5540">
        <v>90.511898986390193</v>
      </c>
      <c r="AN5540">
        <v>0.99999999688021701</v>
      </c>
    </row>
    <row r="5541" spans="1:40" x14ac:dyDescent="0.25">
      <c r="A5541" t="str">
        <f>"20190303154251055"</f>
        <v>20190303154251055</v>
      </c>
      <c r="B5541" t="str">
        <f>"1551598971045298"</f>
        <v>1551598971045298</v>
      </c>
      <c r="C5541" t="s">
        <v>40</v>
      </c>
      <c r="D5541">
        <v>5.5238880000000004</v>
      </c>
      <c r="E5541">
        <v>0.50733919999999999</v>
      </c>
      <c r="F5541" t="s">
        <v>41</v>
      </c>
      <c r="G5541">
        <v>-393.71910000000003</v>
      </c>
      <c r="H5541" s="1">
        <v>-3.3228850000000002E-6</v>
      </c>
      <c r="I5541">
        <v>142.04429999999999</v>
      </c>
      <c r="J5541">
        <v>-358.55430000000001</v>
      </c>
      <c r="K5541">
        <v>1.1202540000000001</v>
      </c>
      <c r="L5541">
        <v>141.77930000000001</v>
      </c>
      <c r="M5541">
        <v>-0.99995160000000005</v>
      </c>
      <c r="N5541">
        <v>-9.4376770000000002E-3</v>
      </c>
      <c r="O5541">
        <v>-2.7540640000000001E-3</v>
      </c>
      <c r="P5541">
        <v>-0.99417250000000001</v>
      </c>
      <c r="Q5541">
        <v>-0.1070889</v>
      </c>
      <c r="R5541">
        <v>-1.2371E-2</v>
      </c>
      <c r="S5541">
        <v>-3.0075069999999999</v>
      </c>
      <c r="T5541">
        <v>-9.4927189999999995E-2</v>
      </c>
      <c r="U5541">
        <v>2.2384640000000001E-2</v>
      </c>
      <c r="V5541">
        <v>-9.6246179999999997E-3</v>
      </c>
      <c r="W5541">
        <v>-9.7702029999999995E-2</v>
      </c>
      <c r="X5541">
        <v>0.99516919999999998</v>
      </c>
      <c r="Y5541">
        <v>1.018953E-2</v>
      </c>
      <c r="Z5541">
        <v>2.6978339999999998E-4</v>
      </c>
      <c r="AA5541">
        <v>0.99994799999999995</v>
      </c>
      <c r="AB5541">
        <v>34</v>
      </c>
      <c r="AC5541">
        <v>-35.1648</v>
      </c>
      <c r="AD5541">
        <v>-1.1202573228849999</v>
      </c>
      <c r="AE5541">
        <v>0.26499999999998602</v>
      </c>
      <c r="AF5541">
        <v>0.36148258042388898</v>
      </c>
      <c r="AG5541">
        <v>-1.1202573228849999</v>
      </c>
      <c r="AH5541">
        <v>35.128287419921698</v>
      </c>
      <c r="AI5541">
        <v>91.826473215872397</v>
      </c>
      <c r="AJ5541">
        <v>89.410426845735103</v>
      </c>
      <c r="AK5541">
        <v>35.148004540543397</v>
      </c>
      <c r="AL5541">
        <v>95.606858273553399</v>
      </c>
      <c r="AM5541">
        <v>90.554109591151303</v>
      </c>
      <c r="AN5541">
        <v>1.0000000282832</v>
      </c>
    </row>
    <row r="5542" spans="1:40" x14ac:dyDescent="0.25">
      <c r="A5542" t="str">
        <f>"20190303154251077"</f>
        <v>20190303154251077</v>
      </c>
      <c r="B5542" t="str">
        <f>"1551598971065792"</f>
        <v>1551598971065792</v>
      </c>
      <c r="C5542" t="s">
        <v>40</v>
      </c>
      <c r="D5542">
        <v>5.5149629999999998</v>
      </c>
      <c r="E5542">
        <v>0.50720509999999996</v>
      </c>
      <c r="F5542" t="s">
        <v>41</v>
      </c>
      <c r="G5542">
        <v>-393.69260000000003</v>
      </c>
      <c r="H5542" s="1">
        <v>-3.322916E-6</v>
      </c>
      <c r="I5542">
        <v>142.0017</v>
      </c>
      <c r="J5542">
        <v>-358.8954</v>
      </c>
      <c r="K5542">
        <v>1.1203190000000001</v>
      </c>
      <c r="L5542">
        <v>141.7783</v>
      </c>
      <c r="M5542">
        <v>-0.99994769999999999</v>
      </c>
      <c r="N5542">
        <v>-9.852085E-3</v>
      </c>
      <c r="O5542">
        <v>-2.7992339999999998E-3</v>
      </c>
      <c r="P5542">
        <v>-0.9941856</v>
      </c>
      <c r="Q5542">
        <v>-0.106877</v>
      </c>
      <c r="R5542">
        <v>-1.313565E-2</v>
      </c>
      <c r="S5542">
        <v>-3.0075379999999998</v>
      </c>
      <c r="T5542">
        <v>-9.588468E-2</v>
      </c>
      <c r="U5542">
        <v>1.9042969999999999E-2</v>
      </c>
      <c r="V5542">
        <v>-1.034417E-2</v>
      </c>
      <c r="W5542">
        <v>-9.7077629999999998E-2</v>
      </c>
      <c r="X5542">
        <v>0.99522299999999997</v>
      </c>
      <c r="Y5542">
        <v>9.1241629999999994E-3</v>
      </c>
      <c r="Z5542">
        <v>2.5201629999999997E-4</v>
      </c>
      <c r="AA5542">
        <v>0.99995829999999997</v>
      </c>
      <c r="AB5542">
        <v>34</v>
      </c>
      <c r="AC5542">
        <v>-34.797199999999997</v>
      </c>
      <c r="AD5542">
        <v>-1.120322322916</v>
      </c>
      <c r="AE5542">
        <v>0.22339999999999799</v>
      </c>
      <c r="AF5542">
        <v>0.32047716054675501</v>
      </c>
      <c r="AG5542">
        <v>-1.120322322916</v>
      </c>
      <c r="AH5542">
        <v>34.7604082697801</v>
      </c>
      <c r="AI5542">
        <v>91.845916281633905</v>
      </c>
      <c r="AJ5542">
        <v>89.471770631957199</v>
      </c>
      <c r="AK5542">
        <v>34.779934025231498</v>
      </c>
      <c r="AL5542">
        <v>95.570912382942495</v>
      </c>
      <c r="AM5542">
        <v>90.595500648939606</v>
      </c>
      <c r="AN5542">
        <v>0.99999994391420099</v>
      </c>
    </row>
    <row r="5543" spans="1:40" x14ac:dyDescent="0.25">
      <c r="A5543" t="str">
        <f>"20190303154251099"</f>
        <v>20190303154251099</v>
      </c>
      <c r="B5543" t="str">
        <f>"1551598971096047"</f>
        <v>1551598971096047</v>
      </c>
      <c r="C5543" t="s">
        <v>40</v>
      </c>
      <c r="D5543">
        <v>5.5381809999999998</v>
      </c>
      <c r="E5543">
        <v>0.50709219999999999</v>
      </c>
      <c r="F5543" t="s">
        <v>41</v>
      </c>
      <c r="G5543">
        <v>-394.4264</v>
      </c>
      <c r="H5543" s="1">
        <v>-2.9984279999999999E-6</v>
      </c>
      <c r="I5543">
        <v>141.96530000000001</v>
      </c>
      <c r="J5543">
        <v>-359.22829999999999</v>
      </c>
      <c r="K5543">
        <v>1.1203890000000001</v>
      </c>
      <c r="L5543">
        <v>141.7773</v>
      </c>
      <c r="M5543">
        <v>-0.99994300000000003</v>
      </c>
      <c r="N5543">
        <v>-1.0300729999999999E-2</v>
      </c>
      <c r="O5543">
        <v>-2.8459409999999998E-3</v>
      </c>
      <c r="P5543">
        <v>-0.99408030000000003</v>
      </c>
      <c r="Q5543">
        <v>-0.1078242</v>
      </c>
      <c r="R5543">
        <v>-1.335632E-2</v>
      </c>
      <c r="S5543">
        <v>-3.0075989999999999</v>
      </c>
      <c r="T5543">
        <v>-9.4832299999999994E-2</v>
      </c>
      <c r="U5543">
        <v>1.5838620000000001E-2</v>
      </c>
      <c r="V5543">
        <v>-1.051876E-2</v>
      </c>
      <c r="W5543">
        <v>-9.7579230000000003E-2</v>
      </c>
      <c r="X5543">
        <v>0.9951721</v>
      </c>
      <c r="Y5543">
        <v>8.1061740000000007E-3</v>
      </c>
      <c r="Z5543">
        <v>2.2993110000000001E-4</v>
      </c>
      <c r="AA5543">
        <v>0.9999671</v>
      </c>
      <c r="AB5543">
        <v>34</v>
      </c>
      <c r="AC5543">
        <v>-35.198099999999997</v>
      </c>
      <c r="AD5543">
        <v>-1.12039199842799</v>
      </c>
      <c r="AE5543">
        <v>0.18800000000001599</v>
      </c>
      <c r="AF5543">
        <v>0.287884578255451</v>
      </c>
      <c r="AG5543">
        <v>-1.12039199842799</v>
      </c>
      <c r="AH5543">
        <v>35.161796938755799</v>
      </c>
      <c r="AI5543">
        <v>91.8249883953563</v>
      </c>
      <c r="AJ5543">
        <v>89.530905579166401</v>
      </c>
      <c r="AK5543">
        <v>35.180820338969298</v>
      </c>
      <c r="AL5543">
        <v>95.599789125904493</v>
      </c>
      <c r="AM5543">
        <v>90.605581799670105</v>
      </c>
      <c r="AN5543">
        <v>0.99999992952886696</v>
      </c>
    </row>
    <row r="5544" spans="1:40" x14ac:dyDescent="0.25">
      <c r="A5544" t="str">
        <f>"20190303154251123"</f>
        <v>20190303154251123</v>
      </c>
      <c r="B5544" t="str">
        <f>"1551598971115567"</f>
        <v>1551598971115567</v>
      </c>
      <c r="C5544" t="s">
        <v>40</v>
      </c>
      <c r="D5544">
        <v>5.529293</v>
      </c>
      <c r="E5544">
        <v>0.50704059999999995</v>
      </c>
      <c r="F5544" t="s">
        <v>41</v>
      </c>
      <c r="G5544">
        <v>-393.57100000000003</v>
      </c>
      <c r="H5544" s="1">
        <v>-3.3580049999999998E-6</v>
      </c>
      <c r="I5544">
        <v>141.9375</v>
      </c>
      <c r="J5544">
        <v>-359.584</v>
      </c>
      <c r="K5544">
        <v>1.1204540000000001</v>
      </c>
      <c r="L5544">
        <v>141.77619999999999</v>
      </c>
      <c r="M5544">
        <v>-0.99993770000000004</v>
      </c>
      <c r="N5544">
        <v>-1.078085E-2</v>
      </c>
      <c r="O5544">
        <v>-2.8991049999999999E-3</v>
      </c>
      <c r="P5544">
        <v>-0.99410900000000002</v>
      </c>
      <c r="Q5544">
        <v>-0.10753890000000001</v>
      </c>
      <c r="R5544">
        <v>-1.3529609999999999E-2</v>
      </c>
      <c r="S5544">
        <v>-3.0074160000000001</v>
      </c>
      <c r="T5544">
        <v>-9.8113660000000005E-2</v>
      </c>
      <c r="U5544">
        <v>1.403809E-2</v>
      </c>
      <c r="V5544">
        <v>-1.064009E-2</v>
      </c>
      <c r="W5544">
        <v>-9.6815739999999997E-2</v>
      </c>
      <c r="X5544">
        <v>0.99524550000000001</v>
      </c>
      <c r="Y5544">
        <v>7.5609509999999998E-3</v>
      </c>
      <c r="Z5544">
        <v>2.273775E-4</v>
      </c>
      <c r="AA5544">
        <v>0.99997139999999995</v>
      </c>
      <c r="AB5544">
        <v>34</v>
      </c>
      <c r="AC5544">
        <v>-33.986999999999902</v>
      </c>
      <c r="AD5544">
        <v>-1.1204573580049999</v>
      </c>
      <c r="AE5544">
        <v>0.16130000000001099</v>
      </c>
      <c r="AF5544">
        <v>0.25955484064745998</v>
      </c>
      <c r="AG5544">
        <v>-1.1204573580049999</v>
      </c>
      <c r="AH5544">
        <v>33.949492719456501</v>
      </c>
      <c r="AI5544">
        <v>91.890228833867198</v>
      </c>
      <c r="AJ5544">
        <v>89.561963788231694</v>
      </c>
      <c r="AK5544">
        <v>33.968968917452301</v>
      </c>
      <c r="AL5544">
        <v>95.555835571797004</v>
      </c>
      <c r="AM5544">
        <v>90.612521258426</v>
      </c>
      <c r="AN5544">
        <v>1.0000000521486001</v>
      </c>
    </row>
    <row r="5545" spans="1:40" x14ac:dyDescent="0.25">
      <c r="A5545" t="str">
        <f>"20190303154251145"</f>
        <v>20190303154251145</v>
      </c>
      <c r="B5545" t="str">
        <f>"1551598971136064"</f>
        <v>1551598971136064</v>
      </c>
      <c r="C5545" t="s">
        <v>40</v>
      </c>
      <c r="D5545">
        <v>5.532845</v>
      </c>
      <c r="E5545">
        <v>0.50699159999999999</v>
      </c>
      <c r="F5545" t="s">
        <v>41</v>
      </c>
      <c r="G5545">
        <v>-393.99</v>
      </c>
      <c r="H5545" s="1">
        <v>-3.1757049999999999E-6</v>
      </c>
      <c r="I5545">
        <v>141.928</v>
      </c>
      <c r="J5545">
        <v>-359.92829999999998</v>
      </c>
      <c r="K5545">
        <v>1.1205050000000001</v>
      </c>
      <c r="L5545">
        <v>141.77520000000001</v>
      </c>
      <c r="M5545">
        <v>-0.99993270000000001</v>
      </c>
      <c r="N5545">
        <v>-1.12213E-2</v>
      </c>
      <c r="O5545">
        <v>-2.951338E-3</v>
      </c>
      <c r="P5545">
        <v>-0.99407469999999998</v>
      </c>
      <c r="Q5545">
        <v>-0.1078915</v>
      </c>
      <c r="R5545">
        <v>-1.322125E-2</v>
      </c>
      <c r="S5545">
        <v>-3.007355</v>
      </c>
      <c r="T5545">
        <v>-9.7936629999999997E-2</v>
      </c>
      <c r="U5545">
        <v>1.3275149999999999E-2</v>
      </c>
      <c r="V5545">
        <v>-1.028045E-2</v>
      </c>
      <c r="W5545">
        <v>-9.6730209999999997E-2</v>
      </c>
      <c r="X5545">
        <v>0.99525759999999996</v>
      </c>
      <c r="Y5545">
        <v>7.35974099999999E-3</v>
      </c>
      <c r="Z5545">
        <v>2.2408789999999999E-4</v>
      </c>
      <c r="AA5545">
        <v>0.99997290000000005</v>
      </c>
      <c r="AB5545">
        <v>34</v>
      </c>
      <c r="AC5545">
        <v>-34.061700000000002</v>
      </c>
      <c r="AD5545">
        <v>-1.1205081757049999</v>
      </c>
      <c r="AE5545">
        <v>0.152799999999984</v>
      </c>
      <c r="AF5545">
        <v>0.25305940305383101</v>
      </c>
      <c r="AG5545">
        <v>-1.1205081757049999</v>
      </c>
      <c r="AH5545">
        <v>34.024281163695797</v>
      </c>
      <c r="AI5545">
        <v>91.886165376699694</v>
      </c>
      <c r="AJ5545">
        <v>89.573864078314799</v>
      </c>
      <c r="AK5545">
        <v>34.0436673456242</v>
      </c>
      <c r="AL5545">
        <v>95.550911934787194</v>
      </c>
      <c r="AM5545">
        <v>90.591812058174497</v>
      </c>
      <c r="AN5545">
        <v>1.0000000557683</v>
      </c>
    </row>
    <row r="5546" spans="1:40" x14ac:dyDescent="0.25">
      <c r="A5546" t="str">
        <f>"20190303154251167"</f>
        <v>20190303154251167</v>
      </c>
      <c r="B5546" t="str">
        <f>"1551598971155584"</f>
        <v>1551598971155584</v>
      </c>
      <c r="C5546" t="s">
        <v>40</v>
      </c>
      <c r="D5546">
        <v>5.5054689999999997</v>
      </c>
      <c r="E5546">
        <v>0.50690950000000001</v>
      </c>
      <c r="F5546" t="s">
        <v>41</v>
      </c>
      <c r="G5546">
        <v>-393.92469999999997</v>
      </c>
      <c r="H5546" s="1">
        <v>-3.204962E-6</v>
      </c>
      <c r="I5546">
        <v>141.93260000000001</v>
      </c>
      <c r="J5546">
        <v>-360.24149999999997</v>
      </c>
      <c r="K5546">
        <v>1.1205419999999999</v>
      </c>
      <c r="L5546">
        <v>141.77420000000001</v>
      </c>
      <c r="M5546">
        <v>-0.99992829999999999</v>
      </c>
      <c r="N5546">
        <v>-1.159223E-2</v>
      </c>
      <c r="O5546">
        <v>-2.997441E-3</v>
      </c>
      <c r="P5546">
        <v>-0.99402749999999995</v>
      </c>
      <c r="Q5546">
        <v>-0.1082994</v>
      </c>
      <c r="R5546">
        <v>-1.344009E-2</v>
      </c>
      <c r="S5546">
        <v>-3.0072939999999999</v>
      </c>
      <c r="T5546">
        <v>-9.9119310000000002E-2</v>
      </c>
      <c r="U5546">
        <v>1.3931270000000001E-2</v>
      </c>
      <c r="V5546">
        <v>-1.045363E-2</v>
      </c>
      <c r="W5546">
        <v>-9.6769480000000005E-2</v>
      </c>
      <c r="X5546">
        <v>0.99525189999999997</v>
      </c>
      <c r="Y5546">
        <v>7.6237550000000003E-3</v>
      </c>
      <c r="Z5546">
        <v>2.3383480000000001E-4</v>
      </c>
      <c r="AA5546">
        <v>0.9999709</v>
      </c>
      <c r="AB5546">
        <v>34</v>
      </c>
      <c r="AC5546">
        <v>-33.683199999999999</v>
      </c>
      <c r="AD5546">
        <v>-1.1205452049619999</v>
      </c>
      <c r="AE5546">
        <v>0.15840000000000001</v>
      </c>
      <c r="AF5546">
        <v>0.25908275697384597</v>
      </c>
      <c r="AG5546">
        <v>-1.1205452049619999</v>
      </c>
      <c r="AH5546">
        <v>33.645339177771298</v>
      </c>
      <c r="AI5546">
        <v>91.907452541812006</v>
      </c>
      <c r="AJ5546">
        <v>89.558807980905996</v>
      </c>
      <c r="AK5546">
        <v>33.664990625553401</v>
      </c>
      <c r="AL5546">
        <v>95.553172980799602</v>
      </c>
      <c r="AM5546">
        <v>90.601784186489994</v>
      </c>
      <c r="AN5546">
        <v>0.99999997754662795</v>
      </c>
    </row>
    <row r="5547" spans="1:40" x14ac:dyDescent="0.25">
      <c r="A5547" t="str">
        <f>"20190303154251189"</f>
        <v>20190303154251189</v>
      </c>
      <c r="B5547" t="str">
        <f>"1551598971185334"</f>
        <v>1551598971185334</v>
      </c>
      <c r="C5547" t="s">
        <v>40</v>
      </c>
      <c r="D5547">
        <v>5.5302239999999996</v>
      </c>
      <c r="E5547">
        <v>0.50683350000000005</v>
      </c>
      <c r="F5547" t="s">
        <v>41</v>
      </c>
      <c r="G5547">
        <v>-393.779</v>
      </c>
      <c r="H5547" s="1">
        <v>-3.2623129999999998E-6</v>
      </c>
      <c r="I5547">
        <v>141.91329999999999</v>
      </c>
      <c r="J5547">
        <v>-360.5752</v>
      </c>
      <c r="K5547">
        <v>1.120568</v>
      </c>
      <c r="L5547">
        <v>141.7732</v>
      </c>
      <c r="M5547">
        <v>-0.99992389999999998</v>
      </c>
      <c r="N5547">
        <v>-1.195304E-2</v>
      </c>
      <c r="O5547">
        <v>-3.0445189999999999E-3</v>
      </c>
      <c r="P5547">
        <v>-0.99395009999999995</v>
      </c>
      <c r="Q5547">
        <v>-0.1090073</v>
      </c>
      <c r="R5547">
        <v>-1.344452E-2</v>
      </c>
      <c r="S5547">
        <v>-3.0072329999999998</v>
      </c>
      <c r="T5547">
        <v>-0.1004767</v>
      </c>
      <c r="U5547">
        <v>1.248169E-2</v>
      </c>
      <c r="V5547">
        <v>-1.0411510000000001E-2</v>
      </c>
      <c r="W5547">
        <v>-9.7119079999999997E-2</v>
      </c>
      <c r="X5547">
        <v>0.9952183</v>
      </c>
      <c r="Y5547">
        <v>7.1890640000000002E-3</v>
      </c>
      <c r="Z5547">
        <v>2.2835689999999999E-4</v>
      </c>
      <c r="AA5547">
        <v>0.99997409999999998</v>
      </c>
      <c r="AB5547">
        <v>34</v>
      </c>
      <c r="AC5547">
        <v>-33.203800000000001</v>
      </c>
      <c r="AD5547">
        <v>-1.120571262313</v>
      </c>
      <c r="AE5547">
        <v>0.14009999999998901</v>
      </c>
      <c r="AF5547">
        <v>0.240921783299854</v>
      </c>
      <c r="AG5547">
        <v>-1.120571262313</v>
      </c>
      <c r="AH5547">
        <v>33.165446523627097</v>
      </c>
      <c r="AI5547">
        <v>91.935083167477401</v>
      </c>
      <c r="AJ5547">
        <v>89.583796992796294</v>
      </c>
      <c r="AK5547">
        <v>33.185246215316198</v>
      </c>
      <c r="AL5547">
        <v>95.5732983109922</v>
      </c>
      <c r="AM5547">
        <v>90.599379875184198</v>
      </c>
      <c r="AN5547">
        <v>0.999999989947708</v>
      </c>
    </row>
    <row r="5548" spans="1:40" x14ac:dyDescent="0.25">
      <c r="A5548" t="str">
        <f>"20190303154251210"</f>
        <v>20190303154251210</v>
      </c>
      <c r="B5548" t="str">
        <f>"1551598971205833"</f>
        <v>1551598971205833</v>
      </c>
      <c r="C5548" t="s">
        <v>40</v>
      </c>
      <c r="D5548">
        <v>5.5184959999999998</v>
      </c>
      <c r="E5548">
        <v>0.50681730000000003</v>
      </c>
      <c r="F5548" t="s">
        <v>41</v>
      </c>
      <c r="G5548">
        <v>-393.26280000000003</v>
      </c>
      <c r="H5548" s="1">
        <v>-3.4808580000000001E-6</v>
      </c>
      <c r="I5548">
        <v>141.9025</v>
      </c>
      <c r="J5548">
        <v>-360.90269999999998</v>
      </c>
      <c r="K5548">
        <v>1.120587</v>
      </c>
      <c r="L5548">
        <v>141.77209999999999</v>
      </c>
      <c r="M5548">
        <v>-0.99992000000000003</v>
      </c>
      <c r="N5548">
        <v>-1.2272470000000001E-2</v>
      </c>
      <c r="O5548">
        <v>-3.0898589999999999E-3</v>
      </c>
      <c r="P5548">
        <v>-0.99397060000000004</v>
      </c>
      <c r="Q5548">
        <v>-0.10877779999999999</v>
      </c>
      <c r="R5548">
        <v>-1.379295E-2</v>
      </c>
      <c r="S5548">
        <v>-3.0071110000000001</v>
      </c>
      <c r="T5548">
        <v>-0.10308730000000001</v>
      </c>
      <c r="U5548">
        <v>1.190186E-2</v>
      </c>
      <c r="V5548">
        <v>-1.0714380000000001E-2</v>
      </c>
      <c r="W5548">
        <v>-9.6571400000000002E-2</v>
      </c>
      <c r="X5548">
        <v>0.99526840000000005</v>
      </c>
      <c r="Y5548">
        <v>7.0415570000000004E-3</v>
      </c>
      <c r="Z5548">
        <v>2.3186640000000001E-4</v>
      </c>
      <c r="AA5548">
        <v>0.99997519999999995</v>
      </c>
      <c r="AB5548">
        <v>34</v>
      </c>
      <c r="AC5548">
        <v>-32.360100000000003</v>
      </c>
      <c r="AD5548">
        <v>-1.1205904808580001</v>
      </c>
      <c r="AE5548">
        <v>0.13040000000000801</v>
      </c>
      <c r="AF5548">
        <v>0.23011910268180899</v>
      </c>
      <c r="AG5548">
        <v>-1.1205904808580001</v>
      </c>
      <c r="AH5548">
        <v>32.320785656282602</v>
      </c>
      <c r="AI5548">
        <v>91.985650121322394</v>
      </c>
      <c r="AJ5548">
        <v>89.592069613466194</v>
      </c>
      <c r="AK5548">
        <v>32.341024462230202</v>
      </c>
      <c r="AL5548">
        <v>95.541770244079203</v>
      </c>
      <c r="AM5548">
        <v>90.616783413203294</v>
      </c>
      <c r="AN5548">
        <v>1.0000000106376501</v>
      </c>
    </row>
    <row r="5549" spans="1:40" x14ac:dyDescent="0.25">
      <c r="A5549" t="str">
        <f>"20190303154251234"</f>
        <v>20190303154251234</v>
      </c>
      <c r="B5549" t="str">
        <f>"1551598971225351"</f>
        <v>1551598971225351</v>
      </c>
      <c r="C5549" t="s">
        <v>40</v>
      </c>
      <c r="D5549">
        <v>5.5344930000000003</v>
      </c>
      <c r="E5549">
        <v>0.50676860000000001</v>
      </c>
      <c r="F5549" t="s">
        <v>41</v>
      </c>
      <c r="G5549">
        <v>-393.80770000000001</v>
      </c>
      <c r="H5549" s="1">
        <v>-3.2440900000000001E-6</v>
      </c>
      <c r="I5549">
        <v>141.89109999999999</v>
      </c>
      <c r="J5549">
        <v>-361.24740000000003</v>
      </c>
      <c r="K5549">
        <v>1.1206050000000001</v>
      </c>
      <c r="L5549">
        <v>141.77099999999999</v>
      </c>
      <c r="M5549">
        <v>-0.99991620000000003</v>
      </c>
      <c r="N5549">
        <v>-1.257255E-2</v>
      </c>
      <c r="O5549">
        <v>-3.1381019999999998E-3</v>
      </c>
      <c r="P5549">
        <v>-0.99396379999999995</v>
      </c>
      <c r="Q5549">
        <v>-0.10868</v>
      </c>
      <c r="R5549">
        <v>-1.4988309999999999E-2</v>
      </c>
      <c r="S5549">
        <v>-3.0071409999999998</v>
      </c>
      <c r="T5549">
        <v>-0.1024094</v>
      </c>
      <c r="U5549">
        <v>1.087952E-2</v>
      </c>
      <c r="V5549">
        <v>-1.1862370000000001E-2</v>
      </c>
      <c r="W5549">
        <v>-9.6175070000000001E-2</v>
      </c>
      <c r="X5549">
        <v>0.99529369999999995</v>
      </c>
      <c r="Y5549">
        <v>6.7500989999999999E-3</v>
      </c>
      <c r="Z5549">
        <v>2.2474640000000001E-4</v>
      </c>
      <c r="AA5549">
        <v>0.99997720000000001</v>
      </c>
      <c r="AB5549">
        <v>34</v>
      </c>
      <c r="AC5549">
        <v>-32.560299999999899</v>
      </c>
      <c r="AD5549">
        <v>-1.12060824408999</v>
      </c>
      <c r="AE5549">
        <v>0.120099999999979</v>
      </c>
      <c r="AF5549">
        <v>0.22202203211399199</v>
      </c>
      <c r="AG5549">
        <v>-1.12060824408999</v>
      </c>
      <c r="AH5549">
        <v>32.521242224983297</v>
      </c>
      <c r="AI5549">
        <v>91.973455832201296</v>
      </c>
      <c r="AJ5549">
        <v>89.608848650815702</v>
      </c>
      <c r="AK5549">
        <v>32.541300718863504</v>
      </c>
      <c r="AL5549">
        <v>95.518956324021502</v>
      </c>
      <c r="AM5549">
        <v>90.682845231259606</v>
      </c>
      <c r="AN5549">
        <v>0.99999995458560398</v>
      </c>
    </row>
    <row r="5550" spans="1:40" x14ac:dyDescent="0.25">
      <c r="A5550" t="str">
        <f>"20190303154251257"</f>
        <v>20190303154251257</v>
      </c>
      <c r="B5550" t="str">
        <f>"1551598971245846"</f>
        <v>1551598971245846</v>
      </c>
      <c r="C5550" t="s">
        <v>40</v>
      </c>
      <c r="D5550">
        <v>5.517576</v>
      </c>
      <c r="E5550">
        <v>0.50670800000000005</v>
      </c>
      <c r="F5550" t="s">
        <v>41</v>
      </c>
      <c r="G5550">
        <v>-394.29989999999998</v>
      </c>
      <c r="H5550" s="1">
        <v>-3.021218E-6</v>
      </c>
      <c r="I5550">
        <v>141.84710000000001</v>
      </c>
      <c r="J5550">
        <v>-361.58420000000001</v>
      </c>
      <c r="K5550">
        <v>1.1206130000000001</v>
      </c>
      <c r="L5550">
        <v>141.76990000000001</v>
      </c>
      <c r="M5550">
        <v>-0.99991269999999999</v>
      </c>
      <c r="N5550">
        <v>-1.2830350000000001E-2</v>
      </c>
      <c r="O5550">
        <v>-3.1857550000000002E-3</v>
      </c>
      <c r="P5550">
        <v>-0.99395750000000005</v>
      </c>
      <c r="Q5550">
        <v>-0.1086212</v>
      </c>
      <c r="R5550">
        <v>-1.5807999999999999E-2</v>
      </c>
      <c r="S5550">
        <v>-3.0071409999999998</v>
      </c>
      <c r="T5550">
        <v>-0.10195369999999999</v>
      </c>
      <c r="U5550">
        <v>6.9274899999999997E-3</v>
      </c>
      <c r="V5550">
        <v>-1.263444E-2</v>
      </c>
      <c r="W5550">
        <v>-9.5859760000000002E-2</v>
      </c>
      <c r="X5550">
        <v>0.9953147</v>
      </c>
      <c r="Y5550">
        <v>5.4846189999999996E-3</v>
      </c>
      <c r="Z5550">
        <v>1.9525790000000001E-4</v>
      </c>
      <c r="AA5550">
        <v>0.99998489999999995</v>
      </c>
      <c r="AB5550">
        <v>34</v>
      </c>
      <c r="AC5550">
        <v>-32.715699999999899</v>
      </c>
      <c r="AD5550">
        <v>-1.1206160212180001</v>
      </c>
      <c r="AE5550">
        <v>7.7200000000004806E-2</v>
      </c>
      <c r="AF5550">
        <v>0.18121976345967</v>
      </c>
      <c r="AG5550">
        <v>-1.1206160212180001</v>
      </c>
      <c r="AH5550">
        <v>32.676949037589402</v>
      </c>
      <c r="AI5550">
        <v>91.964088802594205</v>
      </c>
      <c r="AJ5550">
        <v>89.682252429588203</v>
      </c>
      <c r="AK5550">
        <v>32.696660674675798</v>
      </c>
      <c r="AL5550">
        <v>95.500806075897103</v>
      </c>
      <c r="AM5550">
        <v>90.727268682232506</v>
      </c>
      <c r="AN5550">
        <v>1.0000000373487199</v>
      </c>
    </row>
    <row r="5551" spans="1:40" x14ac:dyDescent="0.25">
      <c r="A5551" t="str">
        <f>"20190303154251279"</f>
        <v>20190303154251279</v>
      </c>
      <c r="B5551" t="str">
        <f>"1551598971276103"</f>
        <v>1551598971276103</v>
      </c>
      <c r="C5551" t="s">
        <v>40</v>
      </c>
      <c r="D5551">
        <v>5.5440379999999996</v>
      </c>
      <c r="E5551">
        <v>0.50664480000000001</v>
      </c>
      <c r="F5551" t="s">
        <v>41</v>
      </c>
      <c r="G5551">
        <v>-394.56760000000003</v>
      </c>
      <c r="H5551" s="1">
        <v>-2.8979050000000002E-6</v>
      </c>
      <c r="I5551">
        <v>141.8152</v>
      </c>
      <c r="J5551">
        <v>-361.91129999999998</v>
      </c>
      <c r="K5551">
        <v>1.12063</v>
      </c>
      <c r="L5551">
        <v>141.7688</v>
      </c>
      <c r="M5551">
        <v>-0.99990970000000001</v>
      </c>
      <c r="N5551">
        <v>-1.3049160000000001E-2</v>
      </c>
      <c r="O5551">
        <v>-3.232707E-3</v>
      </c>
      <c r="P5551">
        <v>-0.99393949999999998</v>
      </c>
      <c r="Q5551">
        <v>-0.108761</v>
      </c>
      <c r="R5551">
        <v>-1.5988369999999998E-2</v>
      </c>
      <c r="S5551">
        <v>-3.0071110000000001</v>
      </c>
      <c r="T5551">
        <v>-0.1021672</v>
      </c>
      <c r="U5551">
        <v>4.1351319999999997E-3</v>
      </c>
      <c r="V5551">
        <v>-1.27679E-2</v>
      </c>
      <c r="W5551">
        <v>-9.5782010000000001E-2</v>
      </c>
      <c r="X5551">
        <v>0.99532039999999999</v>
      </c>
      <c r="Y5551">
        <v>4.6037040000000001E-3</v>
      </c>
      <c r="Z5551">
        <v>1.758556E-4</v>
      </c>
      <c r="AA5551">
        <v>0.99998940000000003</v>
      </c>
      <c r="AB5551">
        <v>33</v>
      </c>
      <c r="AC5551">
        <v>-32.656300000000002</v>
      </c>
      <c r="AD5551">
        <v>-1.120632897905</v>
      </c>
      <c r="AE5551">
        <v>4.6400000000005499E-2</v>
      </c>
      <c r="AF5551">
        <v>0.15179823385200999</v>
      </c>
      <c r="AG5551">
        <v>-1.120632897905</v>
      </c>
      <c r="AH5551">
        <v>32.617569395969298</v>
      </c>
      <c r="AI5551">
        <v>91.967700132528904</v>
      </c>
      <c r="AJ5551">
        <v>89.733354277832404</v>
      </c>
      <c r="AK5551">
        <v>32.6371673724381</v>
      </c>
      <c r="AL5551">
        <v>95.496331186589103</v>
      </c>
      <c r="AM5551">
        <v>90.734945913352703</v>
      </c>
      <c r="AN5551">
        <v>0.99999995568310396</v>
      </c>
    </row>
    <row r="5552" spans="1:40" x14ac:dyDescent="0.25">
      <c r="A5552" t="str">
        <f>"20190303154251301"</f>
        <v>20190303154251301</v>
      </c>
      <c r="B5552" t="str">
        <f>"1551598971296130"</f>
        <v>1551598971296130</v>
      </c>
      <c r="C5552" t="s">
        <v>40</v>
      </c>
      <c r="D5552">
        <v>5.5610019999999896</v>
      </c>
      <c r="E5552">
        <v>0.50662479999999999</v>
      </c>
      <c r="F5552" t="s">
        <v>41</v>
      </c>
      <c r="G5552">
        <v>-394.60680000000002</v>
      </c>
      <c r="H5552" s="1">
        <v>-2.878282E-6</v>
      </c>
      <c r="I5552">
        <v>141.8047</v>
      </c>
      <c r="J5552">
        <v>-362.25029999999998</v>
      </c>
      <c r="K5552">
        <v>1.1206400000000001</v>
      </c>
      <c r="L5552">
        <v>141.76769999999999</v>
      </c>
      <c r="M5552">
        <v>-0.99990690000000004</v>
      </c>
      <c r="N5552">
        <v>-1.324761E-2</v>
      </c>
      <c r="O5552">
        <v>-3.2818119999999998E-3</v>
      </c>
      <c r="P5552">
        <v>-0.99390129999999999</v>
      </c>
      <c r="Q5552">
        <v>-0.1091742</v>
      </c>
      <c r="R5552">
        <v>-1.5535480000000001E-2</v>
      </c>
      <c r="S5552">
        <v>-3.0070800000000002</v>
      </c>
      <c r="T5552">
        <v>-0.10306700000000001</v>
      </c>
      <c r="U5552">
        <v>3.3111569999999999E-3</v>
      </c>
      <c r="V5552">
        <v>-1.226646E-2</v>
      </c>
      <c r="W5552">
        <v>-9.5998100000000003E-2</v>
      </c>
      <c r="X5552">
        <v>0.99530600000000002</v>
      </c>
      <c r="Y5552">
        <v>4.378921E-3</v>
      </c>
      <c r="Z5552">
        <v>1.73019399999999E-4</v>
      </c>
      <c r="AA5552">
        <v>0.99999039999999995</v>
      </c>
      <c r="AB5552">
        <v>33</v>
      </c>
      <c r="AC5552">
        <v>-32.356499999999997</v>
      </c>
      <c r="AD5552">
        <v>-1.1206428782819999</v>
      </c>
      <c r="AE5552">
        <v>3.7000000000006097E-2</v>
      </c>
      <c r="AF5552">
        <v>0.14302550245043</v>
      </c>
      <c r="AG5552">
        <v>-1.1206428782819999</v>
      </c>
      <c r="AH5552">
        <v>32.317438575313403</v>
      </c>
      <c r="AI5552">
        <v>91.985979251823295</v>
      </c>
      <c r="AJ5552">
        <v>89.746430889535603</v>
      </c>
      <c r="AK5552">
        <v>32.337178801252101</v>
      </c>
      <c r="AL5552">
        <v>95.508768931440002</v>
      </c>
      <c r="AM5552">
        <v>90.706095218492607</v>
      </c>
      <c r="AN5552">
        <v>1.00000006744026</v>
      </c>
    </row>
    <row r="5553" spans="1:40" x14ac:dyDescent="0.25">
      <c r="A5553" t="str">
        <f>"20190303154251327"</f>
        <v>20190303154251327</v>
      </c>
      <c r="B5553" t="str">
        <f>"1551598971315651"</f>
        <v>1551598971315651</v>
      </c>
      <c r="C5553" t="s">
        <v>40</v>
      </c>
      <c r="D5553">
        <v>5.5631969999999997</v>
      </c>
      <c r="E5553">
        <v>0.50662079999999998</v>
      </c>
      <c r="F5553" t="s">
        <v>41</v>
      </c>
      <c r="G5553">
        <v>-394.40800000000002</v>
      </c>
      <c r="H5553" s="1">
        <v>-2.9662180000000002E-6</v>
      </c>
      <c r="I5553">
        <v>141.81460000000001</v>
      </c>
      <c r="J5553">
        <v>-362.62240000000003</v>
      </c>
      <c r="K5553">
        <v>1.120649</v>
      </c>
      <c r="L5553">
        <v>141.7664</v>
      </c>
      <c r="M5553">
        <v>-0.99990420000000002</v>
      </c>
      <c r="N5553">
        <v>-1.343605E-2</v>
      </c>
      <c r="O5553">
        <v>-3.3356380000000001E-3</v>
      </c>
      <c r="P5553">
        <v>-0.99388370000000004</v>
      </c>
      <c r="Q5553">
        <v>-0.10940759999999999</v>
      </c>
      <c r="R5553">
        <v>-1.5005259999999999E-2</v>
      </c>
      <c r="S5553">
        <v>-3.0069889999999999</v>
      </c>
      <c r="T5553">
        <v>-0.1047889</v>
      </c>
      <c r="U5553">
        <v>4.3945310000000001E-3</v>
      </c>
      <c r="V5553">
        <v>-1.168312E-2</v>
      </c>
      <c r="W5553">
        <v>-9.6044069999999995E-2</v>
      </c>
      <c r="X5553">
        <v>0.99530850000000004</v>
      </c>
      <c r="Y5553">
        <v>4.792569E-3</v>
      </c>
      <c r="Z5553">
        <v>1.8708799999999999E-4</v>
      </c>
      <c r="AA5553">
        <v>0.99998849999999995</v>
      </c>
      <c r="AB5553">
        <v>33</v>
      </c>
      <c r="AC5553">
        <v>-31.785599999999899</v>
      </c>
      <c r="AD5553">
        <v>-1.1206519662179999</v>
      </c>
      <c r="AE5553">
        <v>4.8200000000008403E-2</v>
      </c>
      <c r="AF5553">
        <v>0.15404307588208899</v>
      </c>
      <c r="AG5553">
        <v>-1.1206519662179999</v>
      </c>
      <c r="AH5553">
        <v>31.7458015353149</v>
      </c>
      <c r="AI5553">
        <v>92.021723148091198</v>
      </c>
      <c r="AJ5553">
        <v>89.721980595424498</v>
      </c>
      <c r="AK5553">
        <v>31.765948832330199</v>
      </c>
      <c r="AL5553">
        <v>95.511415504097599</v>
      </c>
      <c r="AM5553">
        <v>90.672517843400399</v>
      </c>
      <c r="AN5553">
        <v>0.99999998442367399</v>
      </c>
    </row>
    <row r="5554" spans="1:40" x14ac:dyDescent="0.25">
      <c r="A5554" t="str">
        <f>"20190303154251347"</f>
        <v>20190303154251347</v>
      </c>
      <c r="B5554" t="str">
        <f>"1551598971336146"</f>
        <v>1551598971336146</v>
      </c>
      <c r="C5554" t="s">
        <v>40</v>
      </c>
      <c r="D5554">
        <v>5.5497930000000002</v>
      </c>
      <c r="E5554">
        <v>0.50661889999999998</v>
      </c>
      <c r="F5554" t="s">
        <v>41</v>
      </c>
      <c r="G5554">
        <v>-394.36779999999999</v>
      </c>
      <c r="H5554" s="1">
        <v>-2.9873160000000002E-6</v>
      </c>
      <c r="I5554">
        <v>141.82910000000001</v>
      </c>
      <c r="J5554">
        <v>-362.94409999999999</v>
      </c>
      <c r="K5554">
        <v>1.1206659999999999</v>
      </c>
      <c r="L5554">
        <v>141.7653</v>
      </c>
      <c r="M5554">
        <v>-0.99990219999999996</v>
      </c>
      <c r="N5554">
        <v>-1.3576980000000001E-2</v>
      </c>
      <c r="O5554">
        <v>-3.3820080000000001E-3</v>
      </c>
      <c r="P5554">
        <v>-0.99392740000000002</v>
      </c>
      <c r="Q5554">
        <v>-0.1091159</v>
      </c>
      <c r="R5554">
        <v>-1.4226539999999999E-2</v>
      </c>
      <c r="S5554">
        <v>-3.006866</v>
      </c>
      <c r="T5554">
        <v>-0.1061463</v>
      </c>
      <c r="U5554">
        <v>5.9509280000000003E-3</v>
      </c>
      <c r="V5554">
        <v>-1.085824E-2</v>
      </c>
      <c r="W5554">
        <v>-9.5611559999999998E-2</v>
      </c>
      <c r="X5554">
        <v>0.99535949999999995</v>
      </c>
      <c r="Y5554">
        <v>5.3559920000000004E-3</v>
      </c>
      <c r="Z5554">
        <v>2.0432490000000001E-4</v>
      </c>
      <c r="AA5554">
        <v>0.99998560000000003</v>
      </c>
      <c r="AB5554">
        <v>33</v>
      </c>
      <c r="AC5554">
        <v>-31.4237</v>
      </c>
      <c r="AD5554">
        <v>-1.1206689873159901</v>
      </c>
      <c r="AE5554">
        <v>6.3800000000014706E-2</v>
      </c>
      <c r="AF5554">
        <v>0.16986857808513001</v>
      </c>
      <c r="AG5554">
        <v>-1.1206689873159901</v>
      </c>
      <c r="AH5554">
        <v>31.3833892799389</v>
      </c>
      <c r="AI5554">
        <v>92.045075254034998</v>
      </c>
      <c r="AJ5554">
        <v>89.689878697820305</v>
      </c>
      <c r="AK5554">
        <v>31.403851308543999</v>
      </c>
      <c r="AL5554">
        <v>95.486519832350396</v>
      </c>
      <c r="AM5554">
        <v>90.625006993096804</v>
      </c>
      <c r="AN5554">
        <v>1.00000000301089</v>
      </c>
    </row>
    <row r="5555" spans="1:40" x14ac:dyDescent="0.25">
      <c r="A5555" t="str">
        <f>"20190303154251368"</f>
        <v>20190303154251368</v>
      </c>
      <c r="B5555" t="str">
        <f>"1551598971355667"</f>
        <v>1551598971355667</v>
      </c>
      <c r="C5555" t="s">
        <v>40</v>
      </c>
      <c r="D5555">
        <v>5.5865200000000002</v>
      </c>
      <c r="E5555">
        <v>0.50660130000000003</v>
      </c>
      <c r="F5555" t="s">
        <v>41</v>
      </c>
      <c r="G5555">
        <v>-394.86799999999999</v>
      </c>
      <c r="H5555" s="1">
        <v>-2.7792480000000001E-6</v>
      </c>
      <c r="I5555">
        <v>141.8536</v>
      </c>
      <c r="J5555">
        <v>-363.24689999999998</v>
      </c>
      <c r="K5555">
        <v>1.120671</v>
      </c>
      <c r="L5555">
        <v>141.76419999999999</v>
      </c>
      <c r="M5555">
        <v>-0.99990049999999997</v>
      </c>
      <c r="N5555">
        <v>-1.369284E-2</v>
      </c>
      <c r="O5555">
        <v>-3.4253550000000002E-3</v>
      </c>
      <c r="P5555">
        <v>-0.9939886</v>
      </c>
      <c r="Q5555">
        <v>-0.1085767</v>
      </c>
      <c r="R5555">
        <v>-1.407535E-2</v>
      </c>
      <c r="S5555">
        <v>-3.0068969999999999</v>
      </c>
      <c r="T5555">
        <v>-0.1055553</v>
      </c>
      <c r="U5555">
        <v>8.3312990000000003E-3</v>
      </c>
      <c r="V5555">
        <v>-1.066337E-2</v>
      </c>
      <c r="W5555">
        <v>-9.4956150000000003E-2</v>
      </c>
      <c r="X5555">
        <v>0.99542430000000004</v>
      </c>
      <c r="Y5555">
        <v>6.1902789999999999E-3</v>
      </c>
      <c r="Z5555">
        <v>2.2433239999999999E-4</v>
      </c>
      <c r="AA5555">
        <v>0.9999808</v>
      </c>
      <c r="AB5555">
        <v>33</v>
      </c>
      <c r="AC5555">
        <v>-31.621099999999998</v>
      </c>
      <c r="AD5555">
        <v>-1.1206737792479999</v>
      </c>
      <c r="AE5555">
        <v>8.9400000000011901E-2</v>
      </c>
      <c r="AF5555">
        <v>0.197475075894641</v>
      </c>
      <c r="AG5555">
        <v>-1.1206737792479999</v>
      </c>
      <c r="AH5555">
        <v>31.580941502813001</v>
      </c>
      <c r="AI5555">
        <v>92.032291930014793</v>
      </c>
      <c r="AJ5555">
        <v>89.641735160253802</v>
      </c>
      <c r="AK5555">
        <v>31.601436238392601</v>
      </c>
      <c r="AL5555">
        <v>95.448796215686002</v>
      </c>
      <c r="AM5555">
        <v>90.613751068240404</v>
      </c>
      <c r="AN5555">
        <v>0.99999995745653303</v>
      </c>
    </row>
    <row r="5556" spans="1:40" x14ac:dyDescent="0.25">
      <c r="A5556" t="str">
        <f>"20190303154251390"</f>
        <v>20190303154251390</v>
      </c>
      <c r="B5556" t="str">
        <f>"1551598971386313"</f>
        <v>1551598971386313</v>
      </c>
      <c r="C5556" t="s">
        <v>40</v>
      </c>
      <c r="D5556">
        <v>5.5680120000000004</v>
      </c>
      <c r="E5556">
        <v>0.50656540000000005</v>
      </c>
      <c r="F5556" t="s">
        <v>41</v>
      </c>
      <c r="G5556">
        <v>-395.52629999999999</v>
      </c>
      <c r="H5556" s="1">
        <v>-2.497568E-6</v>
      </c>
      <c r="I5556">
        <v>141.8563</v>
      </c>
      <c r="J5556">
        <v>-363.56939999999997</v>
      </c>
      <c r="K5556">
        <v>1.1206860000000001</v>
      </c>
      <c r="L5556">
        <v>141.76300000000001</v>
      </c>
      <c r="M5556">
        <v>-0.99989870000000003</v>
      </c>
      <c r="N5556">
        <v>-1.3800400000000001E-2</v>
      </c>
      <c r="O5556">
        <v>-3.471511E-3</v>
      </c>
      <c r="P5556">
        <v>-0.99397789999999997</v>
      </c>
      <c r="Q5556">
        <v>-0.1086737</v>
      </c>
      <c r="R5556">
        <v>-1.406725E-2</v>
      </c>
      <c r="S5556">
        <v>-3.006866</v>
      </c>
      <c r="T5556">
        <v>-0.1043921</v>
      </c>
      <c r="U5556">
        <v>8.5906980000000008E-3</v>
      </c>
      <c r="V5556">
        <v>-1.0609739999999999E-2</v>
      </c>
      <c r="W5556">
        <v>-9.4946299999999997E-2</v>
      </c>
      <c r="X5556">
        <v>0.99542589999999997</v>
      </c>
      <c r="Y5556">
        <v>6.3227419999999897E-3</v>
      </c>
      <c r="Z5556">
        <v>2.259568E-4</v>
      </c>
      <c r="AA5556">
        <v>0.99997999999999998</v>
      </c>
      <c r="AB5556">
        <v>33</v>
      </c>
      <c r="AC5556">
        <v>-31.956900000000001</v>
      </c>
      <c r="AD5556">
        <v>-1.120688497568</v>
      </c>
      <c r="AE5556">
        <v>9.3299999999999203E-2</v>
      </c>
      <c r="AF5556">
        <v>0.20399786019502</v>
      </c>
      <c r="AG5556">
        <v>-1.120688497568</v>
      </c>
      <c r="AH5556">
        <v>31.917131576468101</v>
      </c>
      <c r="AI5556">
        <v>92.010927655181604</v>
      </c>
      <c r="AJ5556">
        <v>89.633799884678595</v>
      </c>
      <c r="AK5556">
        <v>31.937452088498201</v>
      </c>
      <c r="AL5556">
        <v>95.448228815547495</v>
      </c>
      <c r="AM5556">
        <v>90.610663541809004</v>
      </c>
      <c r="AN5556">
        <v>1.0000000444286801</v>
      </c>
    </row>
    <row r="5557" spans="1:40" x14ac:dyDescent="0.25">
      <c r="A5557" t="str">
        <f>"20190303154251412"</f>
        <v>20190303154251412</v>
      </c>
      <c r="B5557" t="str">
        <f>"1551598971405833"</f>
        <v>1551598971405833</v>
      </c>
      <c r="C5557" t="s">
        <v>40</v>
      </c>
      <c r="D5557">
        <v>5.5846460000000002</v>
      </c>
      <c r="E5557">
        <v>0.50653139999999997</v>
      </c>
      <c r="F5557" t="s">
        <v>41</v>
      </c>
      <c r="G5557">
        <v>-395.61880000000002</v>
      </c>
      <c r="H5557" s="1">
        <v>-2.4565850000000001E-6</v>
      </c>
      <c r="I5557">
        <v>141.85140000000001</v>
      </c>
      <c r="J5557">
        <v>-363.90440000000001</v>
      </c>
      <c r="K5557">
        <v>1.1206969999999901</v>
      </c>
      <c r="L5557">
        <v>141.76179999999999</v>
      </c>
      <c r="M5557">
        <v>-0.99989740000000005</v>
      </c>
      <c r="N5557">
        <v>-1.3897039999999999E-2</v>
      </c>
      <c r="O5557">
        <v>-3.519978E-3</v>
      </c>
      <c r="P5557">
        <v>-0.99396870000000004</v>
      </c>
      <c r="Q5557">
        <v>-0.10872039999999999</v>
      </c>
      <c r="R5557">
        <v>-1.4377859999999999E-2</v>
      </c>
      <c r="S5557">
        <v>-3.0068359999999998</v>
      </c>
      <c r="T5557">
        <v>-0.1051416</v>
      </c>
      <c r="U5557">
        <v>8.3007810000000001E-3</v>
      </c>
      <c r="V5557">
        <v>-1.087228E-2</v>
      </c>
      <c r="W5557">
        <v>-9.4896789999999995E-2</v>
      </c>
      <c r="X5557">
        <v>0.99542770000000003</v>
      </c>
      <c r="Y5557">
        <v>6.274773E-3</v>
      </c>
      <c r="Z5557">
        <v>2.274307E-4</v>
      </c>
      <c r="AA5557">
        <v>0.99998030000000004</v>
      </c>
      <c r="AB5557">
        <v>33</v>
      </c>
      <c r="AC5557">
        <v>-31.714400000000001</v>
      </c>
      <c r="AD5557">
        <v>-1.1206994565849999</v>
      </c>
      <c r="AE5557">
        <v>8.9600000000018498E-2</v>
      </c>
      <c r="AF5557">
        <v>0.20099321572831999</v>
      </c>
      <c r="AG5557">
        <v>-1.1206994565849999</v>
      </c>
      <c r="AH5557">
        <v>31.6743359820127</v>
      </c>
      <c r="AI5557">
        <v>92.026349754159</v>
      </c>
      <c r="AJ5557">
        <v>89.636427787772007</v>
      </c>
      <c r="AK5557">
        <v>31.694793349163501</v>
      </c>
      <c r="AL5557">
        <v>95.445379714917607</v>
      </c>
      <c r="AM5557">
        <v>90.625772206702095</v>
      </c>
      <c r="AN5557">
        <v>0.99999995657599505</v>
      </c>
    </row>
    <row r="5558" spans="1:40" x14ac:dyDescent="0.25">
      <c r="A5558" t="str">
        <f>"20190303154251435"</f>
        <v>20190303154251435</v>
      </c>
      <c r="B5558" t="str">
        <f>"1551598971425353"</f>
        <v>1551598971425353</v>
      </c>
      <c r="C5558" t="s">
        <v>40</v>
      </c>
      <c r="D5558">
        <v>5.5866619999999996</v>
      </c>
      <c r="E5558">
        <v>0.5064824</v>
      </c>
      <c r="F5558" t="s">
        <v>41</v>
      </c>
      <c r="G5558">
        <v>-395.7278</v>
      </c>
      <c r="H5558" s="1">
        <v>-2.4056610000000001E-6</v>
      </c>
      <c r="I5558">
        <v>141.83590000000001</v>
      </c>
      <c r="J5558">
        <v>-364.23349999999999</v>
      </c>
      <c r="K5558">
        <v>1.120706</v>
      </c>
      <c r="L5558">
        <v>141.76060000000001</v>
      </c>
      <c r="M5558">
        <v>-0.99989600000000001</v>
      </c>
      <c r="N5558">
        <v>-1.397876E-2</v>
      </c>
      <c r="O5558">
        <v>-3.5673929999999999E-3</v>
      </c>
      <c r="P5558">
        <v>-0.99392610000000003</v>
      </c>
      <c r="Q5558">
        <v>-0.10903069999999999</v>
      </c>
      <c r="R5558">
        <v>-1.495786E-2</v>
      </c>
      <c r="S5558">
        <v>-3.0067750000000002</v>
      </c>
      <c r="T5558">
        <v>-0.1058871</v>
      </c>
      <c r="U5558">
        <v>7.0037839999999999E-3</v>
      </c>
      <c r="V5558">
        <v>-1.1404589999999999E-2</v>
      </c>
      <c r="W5558">
        <v>-9.5126299999999997E-2</v>
      </c>
      <c r="X5558">
        <v>0.9953999</v>
      </c>
      <c r="Y5558">
        <v>5.8911390000000001E-3</v>
      </c>
      <c r="Z5558">
        <v>2.2062460000000001E-4</v>
      </c>
      <c r="AA5558">
        <v>0.99998260000000005</v>
      </c>
      <c r="AB5558">
        <v>33</v>
      </c>
      <c r="AC5558">
        <v>-31.494299999999999</v>
      </c>
      <c r="AD5558">
        <v>-1.1207084056609999</v>
      </c>
      <c r="AE5558">
        <v>7.5299999999998493E-2</v>
      </c>
      <c r="AF5558">
        <v>0.18742570939268999</v>
      </c>
      <c r="AG5558">
        <v>-1.1207084056609999</v>
      </c>
      <c r="AH5558">
        <v>31.4540023312627</v>
      </c>
      <c r="AI5558">
        <v>92.040553404204104</v>
      </c>
      <c r="AJ5558">
        <v>89.658594320921296</v>
      </c>
      <c r="AK5558">
        <v>31.474519509948699</v>
      </c>
      <c r="AL5558">
        <v>95.458589085096307</v>
      </c>
      <c r="AM5558">
        <v>90.656425909108094</v>
      </c>
      <c r="AN5558">
        <v>1.0000000192723799</v>
      </c>
    </row>
    <row r="5559" spans="1:40" x14ac:dyDescent="0.25">
      <c r="A5559" t="str">
        <f>"20190303154251457"</f>
        <v>20190303154251457</v>
      </c>
      <c r="B5559" t="str">
        <f>"1551598971445849"</f>
        <v>1551598971445849</v>
      </c>
      <c r="C5559" t="s">
        <v>40</v>
      </c>
      <c r="D5559">
        <v>5.5513519999999996</v>
      </c>
      <c r="E5559">
        <v>0.50646080000000004</v>
      </c>
      <c r="F5559" t="s">
        <v>41</v>
      </c>
      <c r="G5559">
        <v>-395.58909999999997</v>
      </c>
      <c r="H5559" s="1">
        <v>-2.4590789999999999E-6</v>
      </c>
      <c r="I5559">
        <v>141.81290000000001</v>
      </c>
      <c r="J5559">
        <v>-364.5641</v>
      </c>
      <c r="K5559">
        <v>1.1207119999999999</v>
      </c>
      <c r="L5559">
        <v>141.7594</v>
      </c>
      <c r="M5559">
        <v>-0.99989490000000003</v>
      </c>
      <c r="N5559">
        <v>-1.404878E-2</v>
      </c>
      <c r="O5559">
        <v>-3.6144940000000002E-3</v>
      </c>
      <c r="P5559">
        <v>-0.99395529999999999</v>
      </c>
      <c r="Q5559">
        <v>-0.1087225</v>
      </c>
      <c r="R5559">
        <v>-1.5259160000000001E-2</v>
      </c>
      <c r="S5559">
        <v>-3.0066220000000001</v>
      </c>
      <c r="T5559">
        <v>-0.10746260000000001</v>
      </c>
      <c r="U5559">
        <v>5.020142E-3</v>
      </c>
      <c r="V5559">
        <v>-1.165895E-2</v>
      </c>
      <c r="W5559">
        <v>-9.4748009999999994E-2</v>
      </c>
      <c r="X5559">
        <v>0.99543300000000001</v>
      </c>
      <c r="Y5559">
        <v>5.27898E-3</v>
      </c>
      <c r="Z5559">
        <v>2.0978619999999999E-4</v>
      </c>
      <c r="AA5559">
        <v>0.99998609999999999</v>
      </c>
      <c r="AB5559">
        <v>33</v>
      </c>
      <c r="AC5559">
        <v>-31.024999999999899</v>
      </c>
      <c r="AD5559">
        <v>-1.1207144590789999</v>
      </c>
      <c r="AE5559">
        <v>5.35000000000138E-2</v>
      </c>
      <c r="AF5559">
        <v>0.16543451171597601</v>
      </c>
      <c r="AG5559">
        <v>-1.1207144590789999</v>
      </c>
      <c r="AH5559">
        <v>30.984173783782001</v>
      </c>
      <c r="AI5559">
        <v>92.071487003460703</v>
      </c>
      <c r="AJ5559">
        <v>89.694082233700001</v>
      </c>
      <c r="AK5559">
        <v>31.0048769476684</v>
      </c>
      <c r="AL5559">
        <v>95.436816499197803</v>
      </c>
      <c r="AM5559">
        <v>90.671042737158501</v>
      </c>
      <c r="AN5559">
        <v>0.99999998700153103</v>
      </c>
    </row>
    <row r="5560" spans="1:40" x14ac:dyDescent="0.25">
      <c r="A5560" t="str">
        <f>"20190303154251479"</f>
        <v>20190303154251479</v>
      </c>
      <c r="B5560" t="str">
        <f>"1551598971476105"</f>
        <v>1551598971476105</v>
      </c>
      <c r="C5560" t="s">
        <v>40</v>
      </c>
      <c r="D5560">
        <v>5.5574719999999997</v>
      </c>
      <c r="E5560">
        <v>0.50637779999999999</v>
      </c>
      <c r="F5560" t="s">
        <v>41</v>
      </c>
      <c r="G5560">
        <v>-396.08019999999999</v>
      </c>
      <c r="H5560" s="1">
        <v>-2.2451450000000001E-6</v>
      </c>
      <c r="I5560">
        <v>141.80070000000001</v>
      </c>
      <c r="J5560">
        <v>-364.88780000000003</v>
      </c>
      <c r="K5560">
        <v>1.1207210000000001</v>
      </c>
      <c r="L5560">
        <v>141.75810000000001</v>
      </c>
      <c r="M5560">
        <v>-0.9998937</v>
      </c>
      <c r="N5560">
        <v>-1.4107410000000001E-2</v>
      </c>
      <c r="O5560">
        <v>-3.661035E-3</v>
      </c>
      <c r="P5560">
        <v>-0.99396289999999998</v>
      </c>
      <c r="Q5560">
        <v>-0.1086023</v>
      </c>
      <c r="R5560">
        <v>-1.559585E-2</v>
      </c>
      <c r="S5560">
        <v>-3.0065919999999999</v>
      </c>
      <c r="T5560">
        <v>-0.1069148</v>
      </c>
      <c r="U5560">
        <v>3.952026E-3</v>
      </c>
      <c r="V5560">
        <v>-1.195011E-2</v>
      </c>
      <c r="W5560">
        <v>-9.4569379999999995E-2</v>
      </c>
      <c r="X5560">
        <v>0.99544659999999996</v>
      </c>
      <c r="Y5560">
        <v>4.9706100000000003E-3</v>
      </c>
      <c r="Z5560">
        <v>2.019333E-4</v>
      </c>
      <c r="AA5560">
        <v>0.99998759999999998</v>
      </c>
      <c r="AB5560">
        <v>33</v>
      </c>
      <c r="AC5560">
        <v>-31.1923999999999</v>
      </c>
      <c r="AD5560">
        <v>-1.12072324514499</v>
      </c>
      <c r="AE5560">
        <v>4.2599999999992998E-2</v>
      </c>
      <c r="AF5560">
        <v>0.15660539284377401</v>
      </c>
      <c r="AG5560">
        <v>-1.12072324514499</v>
      </c>
      <c r="AH5560">
        <v>31.151820524378</v>
      </c>
      <c r="AI5560">
        <v>92.060368185220796</v>
      </c>
      <c r="AJ5560">
        <v>89.711966995163294</v>
      </c>
      <c r="AK5560">
        <v>31.172367055203502</v>
      </c>
      <c r="AL5560">
        <v>95.426535230661003</v>
      </c>
      <c r="AM5560">
        <v>90.687789761150697</v>
      </c>
      <c r="AN5560">
        <v>1.0000000531070701</v>
      </c>
    </row>
    <row r="5561" spans="1:40" x14ac:dyDescent="0.25">
      <c r="A5561" t="str">
        <f>"20190303154251502"</f>
        <v>20190303154251502</v>
      </c>
      <c r="B5561" t="str">
        <f>"1551598971495628"</f>
        <v>1551598971495628</v>
      </c>
      <c r="C5561" t="s">
        <v>40</v>
      </c>
      <c r="D5561">
        <v>5.5861589999999897</v>
      </c>
      <c r="E5561">
        <v>0.50631919999999997</v>
      </c>
      <c r="F5561" t="s">
        <v>41</v>
      </c>
      <c r="G5561">
        <v>-396.10149999999999</v>
      </c>
      <c r="H5561" s="1">
        <v>-2.2306479999999999E-6</v>
      </c>
      <c r="I5561">
        <v>141.78059999999999</v>
      </c>
      <c r="J5561">
        <v>-365.22989999999999</v>
      </c>
      <c r="K5561">
        <v>1.1207279999999999</v>
      </c>
      <c r="L5561">
        <v>141.7569</v>
      </c>
      <c r="M5561">
        <v>-0.99989289999999997</v>
      </c>
      <c r="N5561">
        <v>-1.416034E-2</v>
      </c>
      <c r="O5561">
        <v>-3.7102810000000002E-3</v>
      </c>
      <c r="P5561">
        <v>-0.99396410000000002</v>
      </c>
      <c r="Q5561">
        <v>-0.1085454</v>
      </c>
      <c r="R5561">
        <v>-1.591791E-2</v>
      </c>
      <c r="S5561">
        <v>-3.0064700000000002</v>
      </c>
      <c r="T5561">
        <v>-0.1079468</v>
      </c>
      <c r="U5561">
        <v>2.166748E-3</v>
      </c>
      <c r="V5561">
        <v>-1.222318E-2</v>
      </c>
      <c r="W5561">
        <v>-9.4459790000000002E-2</v>
      </c>
      <c r="X5561">
        <v>0.9954537</v>
      </c>
      <c r="Y5561">
        <v>4.4264869999999998E-3</v>
      </c>
      <c r="Z5561">
        <v>1.9143900000000001E-4</v>
      </c>
      <c r="AA5561">
        <v>0.99999020000000005</v>
      </c>
      <c r="AB5561">
        <v>33</v>
      </c>
      <c r="AC5561">
        <v>-30.871600000000001</v>
      </c>
      <c r="AD5561">
        <v>-1.120730230648</v>
      </c>
      <c r="AE5561">
        <v>2.3699999999990898E-2</v>
      </c>
      <c r="AF5561">
        <v>0.138071662762106</v>
      </c>
      <c r="AG5561">
        <v>-1.120730230648</v>
      </c>
      <c r="AH5561">
        <v>30.830667674545602</v>
      </c>
      <c r="AI5561">
        <v>92.081829960200906</v>
      </c>
      <c r="AJ5561">
        <v>89.743409038567094</v>
      </c>
      <c r="AK5561">
        <v>30.8513398297743</v>
      </c>
      <c r="AL5561">
        <v>95.420227895610097</v>
      </c>
      <c r="AM5561">
        <v>90.703499752834603</v>
      </c>
      <c r="AN5561">
        <v>1.00000006344992</v>
      </c>
    </row>
    <row r="5562" spans="1:40" x14ac:dyDescent="0.25">
      <c r="A5562" t="str">
        <f>"20190303154251524"</f>
        <v>20190303154251524</v>
      </c>
      <c r="B5562" t="str">
        <f>"1551598971516120"</f>
        <v>1551598971516120</v>
      </c>
      <c r="C5562" t="s">
        <v>40</v>
      </c>
      <c r="D5562">
        <v>5.5818919999999999</v>
      </c>
      <c r="E5562">
        <v>0.50634049999999997</v>
      </c>
      <c r="F5562" t="s">
        <v>41</v>
      </c>
      <c r="G5562">
        <v>-396.29219999999998</v>
      </c>
      <c r="H5562" s="1">
        <v>-2.1450589999999999E-6</v>
      </c>
      <c r="I5562">
        <v>141.7664</v>
      </c>
      <c r="J5562">
        <v>-365.56029999999998</v>
      </c>
      <c r="K5562">
        <v>1.1207370000000001</v>
      </c>
      <c r="L5562">
        <v>141.75559999999999</v>
      </c>
      <c r="M5562">
        <v>-0.99989209999999995</v>
      </c>
      <c r="N5562">
        <v>-1.420417E-2</v>
      </c>
      <c r="O5562">
        <v>-3.7577940000000001E-3</v>
      </c>
      <c r="P5562">
        <v>-0.99400089999999997</v>
      </c>
      <c r="Q5562">
        <v>-0.10818659999999999</v>
      </c>
      <c r="R5562">
        <v>-1.6063930000000001E-2</v>
      </c>
      <c r="S5562">
        <v>-3.006348</v>
      </c>
      <c r="T5562">
        <v>-0.10846939999999999</v>
      </c>
      <c r="U5562">
        <v>9.307861E-4</v>
      </c>
      <c r="V5562">
        <v>-1.232143E-2</v>
      </c>
      <c r="W5562">
        <v>-9.4056780000000006E-2</v>
      </c>
      <c r="X5562">
        <v>0.9954906</v>
      </c>
      <c r="Y5562">
        <v>4.0631950000000003E-3</v>
      </c>
      <c r="Z5562">
        <v>1.843169E-4</v>
      </c>
      <c r="AA5562">
        <v>0.99999170000000004</v>
      </c>
      <c r="AB5562">
        <v>33</v>
      </c>
      <c r="AC5562">
        <v>-30.7319</v>
      </c>
      <c r="AD5562">
        <v>-1.1207391450589901</v>
      </c>
      <c r="AE5562">
        <v>1.08000000000174E-2</v>
      </c>
      <c r="AF5562">
        <v>0.12612797768067499</v>
      </c>
      <c r="AG5562">
        <v>-1.1207391450589901</v>
      </c>
      <c r="AH5562">
        <v>30.6908256009186</v>
      </c>
      <c r="AI5562">
        <v>92.091327297199001</v>
      </c>
      <c r="AJ5562">
        <v>89.764536796419705</v>
      </c>
      <c r="AK5562">
        <v>30.711540836695601</v>
      </c>
      <c r="AL5562">
        <v>95.397034121547307</v>
      </c>
      <c r="AM5562">
        <v>90.709127629586703</v>
      </c>
      <c r="AN5562">
        <v>1.0000000150947801</v>
      </c>
    </row>
    <row r="5563" spans="1:40" x14ac:dyDescent="0.25">
      <c r="A5563" t="str">
        <f>"20190303154251547"</f>
        <v>20190303154251547</v>
      </c>
      <c r="B5563" t="str">
        <f>"1551598971535642"</f>
        <v>1551598971535642</v>
      </c>
      <c r="C5563" t="s">
        <v>40</v>
      </c>
      <c r="D5563">
        <v>5.6722830000000002</v>
      </c>
      <c r="E5563">
        <v>0.50657719999999995</v>
      </c>
      <c r="F5563" t="s">
        <v>41</v>
      </c>
      <c r="G5563">
        <v>-396.96640000000002</v>
      </c>
      <c r="H5563" s="1">
        <v>-1.8546720000000001E-6</v>
      </c>
      <c r="I5563">
        <v>141.762</v>
      </c>
      <c r="J5563">
        <v>-365.8879</v>
      </c>
      <c r="K5563">
        <v>1.120746</v>
      </c>
      <c r="L5563">
        <v>141.7543</v>
      </c>
      <c r="M5563">
        <v>-0.99989130000000004</v>
      </c>
      <c r="N5563">
        <v>-1.424129E-2</v>
      </c>
      <c r="O5563">
        <v>-3.8050229999999998E-3</v>
      </c>
      <c r="P5563">
        <v>-0.9940059</v>
      </c>
      <c r="Q5563">
        <v>-0.1080996</v>
      </c>
      <c r="R5563">
        <v>-1.6337919999999999E-2</v>
      </c>
      <c r="S5563">
        <v>-3.0064389999999999</v>
      </c>
      <c r="T5563">
        <v>-0.10728600000000001</v>
      </c>
      <c r="U5563">
        <v>6.256104E-4</v>
      </c>
      <c r="V5563">
        <v>-1.254895E-2</v>
      </c>
      <c r="W5563">
        <v>-9.3932790000000002E-2</v>
      </c>
      <c r="X5563">
        <v>0.99549940000000003</v>
      </c>
      <c r="Y5563">
        <v>4.0090539999999997E-3</v>
      </c>
      <c r="Z5563">
        <v>1.8163019999999999E-4</v>
      </c>
      <c r="AA5563">
        <v>0.99999199999999999</v>
      </c>
      <c r="AB5563">
        <v>33</v>
      </c>
      <c r="AC5563">
        <v>-31.078499999999998</v>
      </c>
      <c r="AD5563">
        <v>-1.120747854672</v>
      </c>
      <c r="AE5563">
        <v>7.6999999999998103E-3</v>
      </c>
      <c r="AF5563">
        <v>0.12580274992143001</v>
      </c>
      <c r="AG5563">
        <v>-1.120747854672</v>
      </c>
      <c r="AH5563">
        <v>31.0378822671846</v>
      </c>
      <c r="AI5563">
        <v>92.067979627902901</v>
      </c>
      <c r="AJ5563">
        <v>89.767770008014196</v>
      </c>
      <c r="AK5563">
        <v>31.058365020027299</v>
      </c>
      <c r="AL5563">
        <v>95.389898776325694</v>
      </c>
      <c r="AM5563">
        <v>90.722214189220495</v>
      </c>
      <c r="AN5563">
        <v>0.99999995029182198</v>
      </c>
    </row>
    <row r="5564" spans="1:40" x14ac:dyDescent="0.25">
      <c r="A5564" t="str">
        <f>"20190303154251568"</f>
        <v>20190303154251568</v>
      </c>
      <c r="B5564" t="str">
        <f>"1551598971565897"</f>
        <v>1551598971565897</v>
      </c>
      <c r="C5564" t="s">
        <v>40</v>
      </c>
      <c r="D5564">
        <v>5.6769360000000004</v>
      </c>
      <c r="E5564">
        <v>0.50680670000000005</v>
      </c>
      <c r="F5564" t="s">
        <v>41</v>
      </c>
      <c r="G5564">
        <v>-396.63850000000002</v>
      </c>
      <c r="H5564" s="1">
        <v>-1.997608E-6</v>
      </c>
      <c r="I5564">
        <v>141.7706</v>
      </c>
      <c r="J5564">
        <v>-366.20420000000001</v>
      </c>
      <c r="K5564">
        <v>1.120757</v>
      </c>
      <c r="L5564">
        <v>141.75299999999999</v>
      </c>
      <c r="M5564">
        <v>-0.99989070000000002</v>
      </c>
      <c r="N5564">
        <v>-1.427176E-2</v>
      </c>
      <c r="O5564">
        <v>-3.8506550000000001E-3</v>
      </c>
      <c r="P5564">
        <v>-0.99404910000000002</v>
      </c>
      <c r="Q5564">
        <v>-0.1076476</v>
      </c>
      <c r="R5564">
        <v>-1.668619E-2</v>
      </c>
      <c r="S5564">
        <v>-3.0062259999999998</v>
      </c>
      <c r="T5564">
        <v>-0.10956589999999999</v>
      </c>
      <c r="U5564">
        <v>1.6021729999999999E-3</v>
      </c>
      <c r="V5564">
        <v>-1.285144E-2</v>
      </c>
      <c r="W5564">
        <v>-9.344993E-2</v>
      </c>
      <c r="X5564">
        <v>0.99554100000000001</v>
      </c>
      <c r="Y5564">
        <v>4.3790010000000004E-3</v>
      </c>
      <c r="Z5564">
        <v>1.963848E-4</v>
      </c>
      <c r="AA5564">
        <v>0.99999039999999995</v>
      </c>
      <c r="AB5564">
        <v>33</v>
      </c>
      <c r="AC5564">
        <v>-30.4343</v>
      </c>
      <c r="AD5564">
        <v>-1.1207589976079999</v>
      </c>
      <c r="AE5564">
        <v>1.7600000000015801E-2</v>
      </c>
      <c r="AF5564">
        <v>0.13462123796030001</v>
      </c>
      <c r="AG5564">
        <v>-1.1207589976079999</v>
      </c>
      <c r="AH5564">
        <v>30.392790312032901</v>
      </c>
      <c r="AI5564">
        <v>92.111851115070706</v>
      </c>
      <c r="AJ5564">
        <v>89.746216841351199</v>
      </c>
      <c r="AK5564">
        <v>30.4137456844702</v>
      </c>
      <c r="AL5564">
        <v>95.362110619471594</v>
      </c>
      <c r="AM5564">
        <v>90.739590208065806</v>
      </c>
      <c r="AN5564">
        <v>0.99999996580403805</v>
      </c>
    </row>
    <row r="5565" spans="1:40" x14ac:dyDescent="0.25">
      <c r="A5565" t="str">
        <f>"20190303154251591"</f>
        <v>20190303154251591</v>
      </c>
      <c r="B5565" t="str">
        <f>"1551598971585420"</f>
        <v>1551598971585420</v>
      </c>
      <c r="C5565" t="s">
        <v>40</v>
      </c>
      <c r="D5565">
        <v>5.6658309999999998</v>
      </c>
      <c r="E5565">
        <v>0.50695199999999996</v>
      </c>
      <c r="F5565" t="s">
        <v>41</v>
      </c>
      <c r="G5565">
        <v>-396.36590000000001</v>
      </c>
      <c r="H5565" s="1">
        <v>-2.1167840000000002E-6</v>
      </c>
      <c r="I5565">
        <v>141.779</v>
      </c>
      <c r="J5565">
        <v>-366.53730000000002</v>
      </c>
      <c r="K5565">
        <v>1.1207640000000001</v>
      </c>
      <c r="L5565">
        <v>141.7517</v>
      </c>
      <c r="M5565">
        <v>-0.99989019999999995</v>
      </c>
      <c r="N5565">
        <v>-1.4299050000000001E-2</v>
      </c>
      <c r="O5565">
        <v>-3.8986509999999999E-3</v>
      </c>
      <c r="P5565">
        <v>-0.99406289999999997</v>
      </c>
      <c r="Q5565">
        <v>-0.1075555</v>
      </c>
      <c r="R5565">
        <v>-1.6465999999999901E-2</v>
      </c>
      <c r="S5565">
        <v>-3.0059200000000001</v>
      </c>
      <c r="T5565">
        <v>-0.11169510000000001</v>
      </c>
      <c r="U5565">
        <v>2.5939940000000001E-3</v>
      </c>
      <c r="V5565">
        <v>-1.258337E-2</v>
      </c>
      <c r="W5565">
        <v>-9.3330430000000006E-2</v>
      </c>
      <c r="X5565">
        <v>0.99555570000000004</v>
      </c>
      <c r="Y5565">
        <v>4.7564390000000003E-3</v>
      </c>
      <c r="Z5565">
        <v>2.1144370000000001E-4</v>
      </c>
      <c r="AA5565">
        <v>0.99998869999999895</v>
      </c>
      <c r="AB5565">
        <v>33</v>
      </c>
      <c r="AC5565">
        <v>-29.828599999999899</v>
      </c>
      <c r="AD5565">
        <v>-1.120766116784</v>
      </c>
      <c r="AE5565">
        <v>2.7299999999996698E-2</v>
      </c>
      <c r="AF5565">
        <v>0.14340053128831801</v>
      </c>
      <c r="AG5565">
        <v>-1.120766116784</v>
      </c>
      <c r="AH5565">
        <v>29.786215540190899</v>
      </c>
      <c r="AI5565">
        <v>92.154827145779194</v>
      </c>
      <c r="AJ5565">
        <v>89.724161609769297</v>
      </c>
      <c r="AK5565">
        <v>29.807638561409298</v>
      </c>
      <c r="AL5565">
        <v>95.355233368073598</v>
      </c>
      <c r="AM5565">
        <v>90.724153960372703</v>
      </c>
      <c r="AN5565">
        <v>1.00000003108351</v>
      </c>
    </row>
    <row r="5566" spans="1:40" x14ac:dyDescent="0.25">
      <c r="A5566" t="str">
        <f>"20190303154251613"</f>
        <v>20190303154251613</v>
      </c>
      <c r="B5566" t="str">
        <f>"1551598971605917"</f>
        <v>1551598971605917</v>
      </c>
      <c r="C5566" t="s">
        <v>40</v>
      </c>
      <c r="D5566">
        <v>5.6869620000000003</v>
      </c>
      <c r="E5566">
        <v>0.50709780000000004</v>
      </c>
      <c r="F5566" t="s">
        <v>41</v>
      </c>
      <c r="G5566">
        <v>-396.18959999999998</v>
      </c>
      <c r="H5566" s="1">
        <v>-2.1971850000000001E-6</v>
      </c>
      <c r="I5566">
        <v>141.79679999999999</v>
      </c>
      <c r="J5566">
        <v>-366.86559999999997</v>
      </c>
      <c r="K5566">
        <v>1.1207689999999999</v>
      </c>
      <c r="L5566">
        <v>141.75040000000001</v>
      </c>
      <c r="M5566">
        <v>-0.99988980000000005</v>
      </c>
      <c r="N5566">
        <v>-1.432161E-2</v>
      </c>
      <c r="O5566">
        <v>-3.9460160000000001E-3</v>
      </c>
      <c r="P5566">
        <v>-0.99409590000000003</v>
      </c>
      <c r="Q5566">
        <v>-0.1072444</v>
      </c>
      <c r="R5566">
        <v>-1.650372E-2</v>
      </c>
      <c r="S5566">
        <v>-3.0056759999999998</v>
      </c>
      <c r="T5566">
        <v>-0.1136055</v>
      </c>
      <c r="U5566">
        <v>4.5776369999999999E-3</v>
      </c>
      <c r="V5566">
        <v>-1.257427E-2</v>
      </c>
      <c r="W5566">
        <v>-9.2996369999999995E-2</v>
      </c>
      <c r="X5566">
        <v>0.99558709999999995</v>
      </c>
      <c r="Y5566">
        <v>5.4629329999999997E-3</v>
      </c>
      <c r="Z5566">
        <v>2.3493489999999999E-4</v>
      </c>
      <c r="AA5566">
        <v>0.99998500000000001</v>
      </c>
      <c r="AB5566">
        <v>33</v>
      </c>
      <c r="AC5566">
        <v>-29.324000000000002</v>
      </c>
      <c r="AD5566">
        <v>-1.1207711971850001</v>
      </c>
      <c r="AE5566">
        <v>4.6399999999977098E-2</v>
      </c>
      <c r="AF5566">
        <v>0.16188798006764701</v>
      </c>
      <c r="AG5566">
        <v>-1.1207711971850001</v>
      </c>
      <c r="AH5566">
        <v>29.280815548536001</v>
      </c>
      <c r="AI5566">
        <v>92.191986289354901</v>
      </c>
      <c r="AJ5566">
        <v>89.683225916713397</v>
      </c>
      <c r="AK5566">
        <v>29.3027045677002</v>
      </c>
      <c r="AL5566">
        <v>95.336009402713202</v>
      </c>
      <c r="AM5566">
        <v>90.7236075045288</v>
      </c>
      <c r="AN5566">
        <v>1.0000000553927999</v>
      </c>
    </row>
    <row r="5567" spans="1:40" x14ac:dyDescent="0.25">
      <c r="A5567" t="str">
        <f>"20190303154251636"</f>
        <v>20190303154251636</v>
      </c>
      <c r="B5567" t="str">
        <f>"1551598971625433"</f>
        <v>1551598971625433</v>
      </c>
      <c r="C5567" t="s">
        <v>40</v>
      </c>
      <c r="D5567">
        <v>5.5351650000000001</v>
      </c>
      <c r="E5567">
        <v>0.50731749999999998</v>
      </c>
      <c r="F5567" t="s">
        <v>41</v>
      </c>
      <c r="G5567">
        <v>-396.21940000000001</v>
      </c>
      <c r="H5567" s="1">
        <v>-2.186802E-6</v>
      </c>
      <c r="I5567">
        <v>141.80590000000001</v>
      </c>
      <c r="J5567">
        <v>-367.1925</v>
      </c>
      <c r="K5567">
        <v>1.1207750000000001</v>
      </c>
      <c r="L5567">
        <v>141.7491</v>
      </c>
      <c r="M5567">
        <v>-0.99988909999999998</v>
      </c>
      <c r="N5567">
        <v>-1.434056E-2</v>
      </c>
      <c r="O5567">
        <v>-3.9932329999999997E-3</v>
      </c>
      <c r="P5567">
        <v>-0.99409809999999998</v>
      </c>
      <c r="Q5567">
        <v>-0.1072217</v>
      </c>
      <c r="R5567">
        <v>-1.6513090000000001E-2</v>
      </c>
      <c r="S5567">
        <v>-3.005585</v>
      </c>
      <c r="T5567">
        <v>-0.11475779999999999</v>
      </c>
      <c r="U5567">
        <v>5.6915280000000004E-3</v>
      </c>
      <c r="V5567">
        <v>-1.2536820000000001E-2</v>
      </c>
      <c r="W5567">
        <v>-9.2954800000000004E-2</v>
      </c>
      <c r="X5567">
        <v>0.99559140000000002</v>
      </c>
      <c r="Y5567">
        <v>5.8802419999999999E-3</v>
      </c>
      <c r="Z5567">
        <v>2.4956030000000001E-4</v>
      </c>
      <c r="AA5567">
        <v>0.9999827</v>
      </c>
      <c r="AB5567">
        <v>33</v>
      </c>
      <c r="AC5567">
        <v>-29.026900000000001</v>
      </c>
      <c r="AD5567">
        <v>-1.120777186802</v>
      </c>
      <c r="AE5567">
        <v>5.6800000000009697E-2</v>
      </c>
      <c r="AF5567">
        <v>0.17246553232378301</v>
      </c>
      <c r="AG5567">
        <v>-1.120777186802</v>
      </c>
      <c r="AH5567">
        <v>28.9832318680137</v>
      </c>
      <c r="AI5567">
        <v>92.214476558851203</v>
      </c>
      <c r="AJ5567">
        <v>89.659063884596407</v>
      </c>
      <c r="AK5567">
        <v>29.005406657679099</v>
      </c>
      <c r="AL5567">
        <v>95.333617545180502</v>
      </c>
      <c r="AM5567">
        <v>90.721449493802893</v>
      </c>
      <c r="AN5567">
        <v>1.0000000012263499</v>
      </c>
    </row>
    <row r="5568" spans="1:40" x14ac:dyDescent="0.25">
      <c r="A5568" t="str">
        <f>"20190303154251658"</f>
        <v>20190303154251658</v>
      </c>
      <c r="B5568" t="str">
        <f>"1551598971645929"</f>
        <v>1551598971645929</v>
      </c>
      <c r="C5568" t="s">
        <v>40</v>
      </c>
      <c r="D5568">
        <v>5.6697449999999998</v>
      </c>
      <c r="E5568">
        <v>0.50742909999999997</v>
      </c>
      <c r="F5568" t="s">
        <v>41</v>
      </c>
      <c r="G5568">
        <v>-396.45209999999997</v>
      </c>
      <c r="H5568" s="1">
        <v>-2.0907039999999998E-6</v>
      </c>
      <c r="I5568">
        <v>141.81979999999999</v>
      </c>
      <c r="J5568">
        <v>-367.51990000000001</v>
      </c>
      <c r="K5568">
        <v>1.120787</v>
      </c>
      <c r="L5568">
        <v>141.74770000000001</v>
      </c>
      <c r="M5568">
        <v>-0.99988880000000002</v>
      </c>
      <c r="N5568">
        <v>-1.4356310000000001E-2</v>
      </c>
      <c r="O5568">
        <v>-4.0403130000000002E-3</v>
      </c>
      <c r="P5568">
        <v>-0.9941198</v>
      </c>
      <c r="Q5568">
        <v>-0.10707369999999999</v>
      </c>
      <c r="R5568">
        <v>-1.61736E-2</v>
      </c>
      <c r="S5568">
        <v>-3.0055540000000001</v>
      </c>
      <c r="T5568">
        <v>-0.1151268</v>
      </c>
      <c r="U5568">
        <v>7.27844199999999E-3</v>
      </c>
      <c r="V5568">
        <v>-1.2150090000000001E-2</v>
      </c>
      <c r="W5568">
        <v>-9.2790810000000001E-2</v>
      </c>
      <c r="X5568">
        <v>0.99561149999999998</v>
      </c>
      <c r="Y5568">
        <v>6.4546880000000001E-3</v>
      </c>
      <c r="Z5568">
        <v>2.6664769999999998E-4</v>
      </c>
      <c r="AA5568">
        <v>0.99997910000000001</v>
      </c>
      <c r="AB5568">
        <v>33</v>
      </c>
      <c r="AC5568">
        <v>-28.932199999999899</v>
      </c>
      <c r="AD5568">
        <v>-1.1207890907039999</v>
      </c>
      <c r="AE5568">
        <v>7.2099999999977599E-2</v>
      </c>
      <c r="AF5568">
        <v>0.188723391383987</v>
      </c>
      <c r="AG5568">
        <v>-1.1207890907039999</v>
      </c>
      <c r="AH5568">
        <v>28.888320932652601</v>
      </c>
      <c r="AI5568">
        <v>92.221760323181499</v>
      </c>
      <c r="AJ5568">
        <v>89.625699949008805</v>
      </c>
      <c r="AK5568">
        <v>28.910670538959</v>
      </c>
      <c r="AL5568">
        <v>95.3241807830006</v>
      </c>
      <c r="AM5568">
        <v>90.699182685094001</v>
      </c>
      <c r="AN5568">
        <v>1.00000000901985</v>
      </c>
    </row>
    <row r="5569" spans="1:40" x14ac:dyDescent="0.25">
      <c r="A5569" t="str">
        <f>"20190303154251680"</f>
        <v>20190303154251680</v>
      </c>
      <c r="B5569" t="str">
        <f>"1551598971676185"</f>
        <v>1551598971676185</v>
      </c>
      <c r="C5569" t="s">
        <v>40</v>
      </c>
      <c r="D5569">
        <v>5.6612809999999998</v>
      </c>
      <c r="E5569">
        <v>0.50755130000000004</v>
      </c>
      <c r="F5569" t="s">
        <v>41</v>
      </c>
      <c r="G5569">
        <v>-396.39550000000003</v>
      </c>
      <c r="H5569" s="1">
        <v>-2.1193129999999999E-6</v>
      </c>
      <c r="I5569">
        <v>141.83619999999999</v>
      </c>
      <c r="J5569">
        <v>-367.83539999999999</v>
      </c>
      <c r="K5569">
        <v>1.1207940000000001</v>
      </c>
      <c r="L5569">
        <v>141.74639999999999</v>
      </c>
      <c r="M5569">
        <v>-0.99988840000000001</v>
      </c>
      <c r="N5569">
        <v>-1.4369059999999999E-2</v>
      </c>
      <c r="O5569">
        <v>-4.0858190000000001E-3</v>
      </c>
      <c r="P5569">
        <v>-0.9941508</v>
      </c>
      <c r="Q5569">
        <v>-0.106752399999999</v>
      </c>
      <c r="R5569">
        <v>-1.6371380000000001E-2</v>
      </c>
      <c r="S5569">
        <v>-3.005341</v>
      </c>
      <c r="T5569">
        <v>-0.1166505</v>
      </c>
      <c r="U5569">
        <v>9.2163090000000007E-3</v>
      </c>
      <c r="V5569">
        <v>-1.230287E-2</v>
      </c>
      <c r="W5569">
        <v>-9.2456389999999999E-2</v>
      </c>
      <c r="X5569">
        <v>0.99564079999999999</v>
      </c>
      <c r="Y5569">
        <v>7.1442329999999998E-3</v>
      </c>
      <c r="Z5569">
        <v>2.8978419999999998E-4</v>
      </c>
      <c r="AA5569">
        <v>0.99997440000000004</v>
      </c>
      <c r="AB5569">
        <v>33</v>
      </c>
      <c r="AC5569">
        <v>-28.560099999999998</v>
      </c>
      <c r="AD5569">
        <v>-1.120796119313</v>
      </c>
      <c r="AE5569">
        <v>8.9799999999996702E-2</v>
      </c>
      <c r="AF5569">
        <v>0.20618516781415999</v>
      </c>
      <c r="AG5569">
        <v>-1.120796119313</v>
      </c>
      <c r="AH5569">
        <v>28.515579735247599</v>
      </c>
      <c r="AI5569">
        <v>92.250775675480597</v>
      </c>
      <c r="AJ5569">
        <v>89.585723518426605</v>
      </c>
      <c r="AK5569">
        <v>28.538342346775501</v>
      </c>
      <c r="AL5569">
        <v>95.304936860288294</v>
      </c>
      <c r="AM5569">
        <v>90.707952760926702</v>
      </c>
      <c r="AN5569">
        <v>1.0000000736433501</v>
      </c>
    </row>
    <row r="5570" spans="1:40" x14ac:dyDescent="0.25">
      <c r="A5570" t="str">
        <f>"20190303154251703"</f>
        <v>20190303154251703</v>
      </c>
      <c r="B5570" t="str">
        <f>"1551598971695710"</f>
        <v>1551598971695710</v>
      </c>
      <c r="C5570" t="s">
        <v>40</v>
      </c>
      <c r="D5570">
        <v>5.6545740000000002</v>
      </c>
      <c r="E5570">
        <v>0.50765740000000004</v>
      </c>
      <c r="F5570" t="s">
        <v>41</v>
      </c>
      <c r="G5570">
        <v>-396.32530000000003</v>
      </c>
      <c r="H5570" s="1">
        <v>-2.1495750000000001E-6</v>
      </c>
      <c r="I5570">
        <v>141.83670000000001</v>
      </c>
      <c r="J5570">
        <v>-368.16550000000001</v>
      </c>
      <c r="K5570">
        <v>1.120797</v>
      </c>
      <c r="L5570">
        <v>141.745</v>
      </c>
      <c r="M5570">
        <v>-0.9998882</v>
      </c>
      <c r="N5570">
        <v>-1.438011E-2</v>
      </c>
      <c r="O5570">
        <v>-4.133935E-3</v>
      </c>
      <c r="P5570">
        <v>-0.9941759</v>
      </c>
      <c r="Q5570">
        <v>-0.106512</v>
      </c>
      <c r="R5570">
        <v>-1.6432450000000001E-2</v>
      </c>
      <c r="S5570">
        <v>-3.0051269999999999</v>
      </c>
      <c r="T5570">
        <v>-0.1182222</v>
      </c>
      <c r="U5570">
        <v>9.5367430000000003E-3</v>
      </c>
      <c r="V5570">
        <v>-1.2315980000000001E-2</v>
      </c>
      <c r="W5570">
        <v>-9.2204629999999996E-2</v>
      </c>
      <c r="X5570">
        <v>0.99566390000000005</v>
      </c>
      <c r="Y5570">
        <v>7.2987900000000003E-3</v>
      </c>
      <c r="Z5570">
        <v>2.9915280000000001E-4</v>
      </c>
      <c r="AA5570">
        <v>0.99997329999999995</v>
      </c>
      <c r="AB5570">
        <v>33</v>
      </c>
      <c r="AC5570">
        <v>-28.159800000000001</v>
      </c>
      <c r="AD5570">
        <v>-1.120799149575</v>
      </c>
      <c r="AE5570">
        <v>9.1700000000003001E-2</v>
      </c>
      <c r="AF5570">
        <v>0.20779284859587699</v>
      </c>
      <c r="AG5570">
        <v>-1.120799149575</v>
      </c>
      <c r="AH5570">
        <v>28.1146428562148</v>
      </c>
      <c r="AI5570">
        <v>92.282843276411199</v>
      </c>
      <c r="AJ5570">
        <v>89.576539651556701</v>
      </c>
      <c r="AK5570">
        <v>28.137741763228298</v>
      </c>
      <c r="AL5570">
        <v>95.290450641488704</v>
      </c>
      <c r="AM5570">
        <v>90.708690641283496</v>
      </c>
      <c r="AN5570">
        <v>0.99999998946000301</v>
      </c>
    </row>
    <row r="5571" spans="1:40" x14ac:dyDescent="0.25">
      <c r="A5571" t="str">
        <f>"20190303154251725"</f>
        <v>20190303154251725</v>
      </c>
      <c r="B5571" t="str">
        <f>"1551598971716201"</f>
        <v>1551598971716201</v>
      </c>
      <c r="C5571" t="s">
        <v>40</v>
      </c>
      <c r="D5571">
        <v>5.6631289999999996</v>
      </c>
      <c r="E5571">
        <v>0.5077277</v>
      </c>
      <c r="F5571" t="s">
        <v>41</v>
      </c>
      <c r="G5571">
        <v>-396.4513</v>
      </c>
      <c r="H5571" s="1">
        <v>-2.0963749999999999E-6</v>
      </c>
      <c r="I5571">
        <v>141.8398</v>
      </c>
      <c r="J5571">
        <v>-368.49939999999998</v>
      </c>
      <c r="K5571">
        <v>1.120803</v>
      </c>
      <c r="L5571">
        <v>141.74350000000001</v>
      </c>
      <c r="M5571">
        <v>-0.99988770000000005</v>
      </c>
      <c r="N5571">
        <v>-1.4389259999999999E-2</v>
      </c>
      <c r="O5571">
        <v>-4.1818000000000003E-3</v>
      </c>
      <c r="P5571">
        <v>-0.99414809999999998</v>
      </c>
      <c r="Q5571">
        <v>-0.10665040000000001</v>
      </c>
      <c r="R5571">
        <v>-1.7185699999999901E-2</v>
      </c>
      <c r="S5571">
        <v>-3.0050050000000001</v>
      </c>
      <c r="T5571">
        <v>-0.119071</v>
      </c>
      <c r="U5571">
        <v>1.0086060000000001E-2</v>
      </c>
      <c r="V5571">
        <v>-1.3021329999999999E-2</v>
      </c>
      <c r="W5571">
        <v>-9.2334289999999999E-2</v>
      </c>
      <c r="X5571">
        <v>0.9956429</v>
      </c>
      <c r="Y5571">
        <v>7.5291960000000002E-3</v>
      </c>
      <c r="Z5571">
        <v>3.0878619999999998E-4</v>
      </c>
      <c r="AA5571">
        <v>0.99997159999999996</v>
      </c>
      <c r="AB5571">
        <v>33</v>
      </c>
      <c r="AC5571">
        <v>-27.951899999999998</v>
      </c>
      <c r="AD5571">
        <v>-1.120805096375</v>
      </c>
      <c r="AE5571">
        <v>9.6299999999985106E-2</v>
      </c>
      <c r="AF5571">
        <v>0.21285828515579</v>
      </c>
      <c r="AG5571">
        <v>-1.120805096375</v>
      </c>
      <c r="AH5571">
        <v>27.9063848740503</v>
      </c>
      <c r="AI5571">
        <v>92.299869413862396</v>
      </c>
      <c r="AJ5571">
        <v>89.562980123789103</v>
      </c>
      <c r="AK5571">
        <v>27.929694403130199</v>
      </c>
      <c r="AL5571">
        <v>95.297911488580596</v>
      </c>
      <c r="AM5571">
        <v>90.749289449724102</v>
      </c>
      <c r="AN5571">
        <v>0.99999998023259096</v>
      </c>
    </row>
    <row r="5572" spans="1:40" x14ac:dyDescent="0.25">
      <c r="A5572" t="str">
        <f>"20190303154251748"</f>
        <v>20190303154251748</v>
      </c>
      <c r="B5572" t="str">
        <f>"1551598971735721"</f>
        <v>1551598971735721</v>
      </c>
      <c r="C5572" t="s">
        <v>40</v>
      </c>
      <c r="D5572">
        <v>5.6609179999999997</v>
      </c>
      <c r="E5572">
        <v>0.50779470000000004</v>
      </c>
      <c r="F5572" t="s">
        <v>41</v>
      </c>
      <c r="G5572">
        <v>-396.33640000000003</v>
      </c>
      <c r="H5572" s="1">
        <v>-2.14082E-6</v>
      </c>
      <c r="I5572">
        <v>141.82159999999999</v>
      </c>
      <c r="J5572">
        <v>-368.81979999999999</v>
      </c>
      <c r="K5572">
        <v>1.1208089999999999</v>
      </c>
      <c r="L5572">
        <v>141.74209999999999</v>
      </c>
      <c r="M5572">
        <v>-0.99988759999999999</v>
      </c>
      <c r="N5572">
        <v>-1.4396290000000001E-2</v>
      </c>
      <c r="O5572">
        <v>-4.2281020000000001E-3</v>
      </c>
      <c r="P5572">
        <v>-0.99412909999999999</v>
      </c>
      <c r="Q5572">
        <v>-0.1067259</v>
      </c>
      <c r="R5572">
        <v>-1.781311E-2</v>
      </c>
      <c r="S5572">
        <v>-3.0048219999999999</v>
      </c>
      <c r="T5572">
        <v>-0.12098399999999999</v>
      </c>
      <c r="U5572">
        <v>8.4381100000000004E-3</v>
      </c>
      <c r="V5572">
        <v>-1.3603290000000001E-2</v>
      </c>
      <c r="W5572">
        <v>-9.2403020000000002E-2</v>
      </c>
      <c r="X5572">
        <v>0.99562879999999998</v>
      </c>
      <c r="Y5572">
        <v>7.0275310000000001E-3</v>
      </c>
      <c r="Z5572">
        <v>3.0134550000000002E-4</v>
      </c>
      <c r="AA5572">
        <v>0.99997530000000001</v>
      </c>
      <c r="AB5572">
        <v>33</v>
      </c>
      <c r="AC5572">
        <v>-27.5166</v>
      </c>
      <c r="AD5572">
        <v>-1.1208111408200001</v>
      </c>
      <c r="AE5572">
        <v>7.9499999999995893E-2</v>
      </c>
      <c r="AF5572">
        <v>0.195529915853527</v>
      </c>
      <c r="AG5572">
        <v>-1.1208111408200001</v>
      </c>
      <c r="AH5572">
        <v>27.4704417036214</v>
      </c>
      <c r="AI5572">
        <v>92.336348502410104</v>
      </c>
      <c r="AJ5572">
        <v>89.592185306718406</v>
      </c>
      <c r="AK5572">
        <v>27.493992379307901</v>
      </c>
      <c r="AL5572">
        <v>95.301866030563005</v>
      </c>
      <c r="AM5572">
        <v>90.782784317109801</v>
      </c>
      <c r="AN5572">
        <v>1.00000003749669</v>
      </c>
    </row>
    <row r="5573" spans="1:40" x14ac:dyDescent="0.25">
      <c r="A5573" t="str">
        <f>"20190303154251769"</f>
        <v>20190303154251769</v>
      </c>
      <c r="B5573" t="str">
        <f>"1551598971765977"</f>
        <v>1551598971765977</v>
      </c>
      <c r="C5573" t="s">
        <v>40</v>
      </c>
      <c r="D5573">
        <v>5.6297050000000004</v>
      </c>
      <c r="E5573">
        <v>0.50786260000000005</v>
      </c>
      <c r="F5573" t="s">
        <v>41</v>
      </c>
      <c r="G5573">
        <v>-396.2715</v>
      </c>
      <c r="H5573" s="1">
        <v>-2.1643880000000001E-6</v>
      </c>
      <c r="I5573">
        <v>141.8056</v>
      </c>
      <c r="J5573">
        <v>-369.13409999999999</v>
      </c>
      <c r="K5573">
        <v>1.1208129999999901</v>
      </c>
      <c r="L5573">
        <v>141.74080000000001</v>
      </c>
      <c r="M5573">
        <v>-0.99988719999999998</v>
      </c>
      <c r="N5573">
        <v>-1.4401829999999999E-2</v>
      </c>
      <c r="O5573">
        <v>-4.2734369999999997E-3</v>
      </c>
      <c r="P5573">
        <v>-0.99414899999999995</v>
      </c>
      <c r="Q5573">
        <v>-0.10639510000000001</v>
      </c>
      <c r="R5573">
        <v>-1.8664320000000002E-2</v>
      </c>
      <c r="S5573">
        <v>-3.0047000000000001</v>
      </c>
      <c r="T5573">
        <v>-0.1226773</v>
      </c>
      <c r="U5573">
        <v>6.9580079999999999E-3</v>
      </c>
      <c r="V5573">
        <v>-1.4409389999999999E-2</v>
      </c>
      <c r="W5573">
        <v>-9.2066410000000001E-2</v>
      </c>
      <c r="X5573">
        <v>0.99564859999999999</v>
      </c>
      <c r="Y5573">
        <v>6.5806399999999996E-3</v>
      </c>
      <c r="Z5573">
        <v>2.9457149999999999E-4</v>
      </c>
      <c r="AA5573">
        <v>0.99997829999999999</v>
      </c>
      <c r="AB5573">
        <v>33</v>
      </c>
      <c r="AC5573">
        <v>-27.1374</v>
      </c>
      <c r="AD5573">
        <v>-1.12081516438799</v>
      </c>
      <c r="AE5573">
        <v>6.4799999999991004E-2</v>
      </c>
      <c r="AF5573">
        <v>0.180473548584315</v>
      </c>
      <c r="AG5573">
        <v>-1.12081516438799</v>
      </c>
      <c r="AH5573">
        <v>27.0906638506825</v>
      </c>
      <c r="AI5573">
        <v>92.369080109272005</v>
      </c>
      <c r="AJ5573">
        <v>89.618310583308897</v>
      </c>
      <c r="AK5573">
        <v>27.114440160275102</v>
      </c>
      <c r="AL5573">
        <v>95.282497362572698</v>
      </c>
      <c r="AM5573">
        <v>90.829147551990303</v>
      </c>
      <c r="AN5573">
        <v>0.99999999452621002</v>
      </c>
    </row>
    <row r="5574" spans="1:40" x14ac:dyDescent="0.25">
      <c r="A5574" t="str">
        <f>"20190303154251792"</f>
        <v>20190303154251792</v>
      </c>
      <c r="B5574" t="str">
        <f>"1551598971785497"</f>
        <v>1551598971785497</v>
      </c>
      <c r="C5574" t="s">
        <v>40</v>
      </c>
      <c r="D5574">
        <v>5.632352</v>
      </c>
      <c r="E5574">
        <v>0.50789680000000004</v>
      </c>
      <c r="F5574" t="s">
        <v>41</v>
      </c>
      <c r="G5574">
        <v>-396.34609999999998</v>
      </c>
      <c r="H5574" s="1">
        <v>-2.1273139999999999E-6</v>
      </c>
      <c r="I5574">
        <v>141.78649999999999</v>
      </c>
      <c r="J5574">
        <v>-369.46480000000003</v>
      </c>
      <c r="K5574">
        <v>1.120814</v>
      </c>
      <c r="L5574">
        <v>141.73929999999999</v>
      </c>
      <c r="M5574">
        <v>-0.99988690000000002</v>
      </c>
      <c r="N5574">
        <v>-1.440663E-2</v>
      </c>
      <c r="O5574">
        <v>-4.321269E-3</v>
      </c>
      <c r="P5574">
        <v>-0.9941643</v>
      </c>
      <c r="Q5574">
        <v>-0.10608480000000001</v>
      </c>
      <c r="R5574">
        <v>-1.9580259999999999E-2</v>
      </c>
      <c r="S5574">
        <v>-3.0045470000000001</v>
      </c>
      <c r="T5574">
        <v>-0.12375220000000001</v>
      </c>
      <c r="U5574">
        <v>5.065918E-3</v>
      </c>
      <c r="V5574">
        <v>-1.52777E-2</v>
      </c>
      <c r="W5574">
        <v>-9.1751139999999995E-2</v>
      </c>
      <c r="X5574">
        <v>0.99566480000000002</v>
      </c>
      <c r="Y5574">
        <v>5.9993599999999996E-3</v>
      </c>
      <c r="Z5574">
        <v>2.8241060000000002E-4</v>
      </c>
      <c r="AA5574">
        <v>0.99998189999999998</v>
      </c>
      <c r="AB5574">
        <v>32</v>
      </c>
      <c r="AC5574">
        <v>-26.8812999999999</v>
      </c>
      <c r="AD5574">
        <v>-1.120816127314</v>
      </c>
      <c r="AE5574">
        <v>4.72000000000036E-2</v>
      </c>
      <c r="AF5574">
        <v>0.16308941616231901</v>
      </c>
      <c r="AG5574">
        <v>-1.120816127314</v>
      </c>
      <c r="AH5574">
        <v>26.834194572956498</v>
      </c>
      <c r="AI5574">
        <v>92.391707493354403</v>
      </c>
      <c r="AJ5574">
        <v>89.6517793685763</v>
      </c>
      <c r="AK5574">
        <v>26.858086777136599</v>
      </c>
      <c r="AL5574">
        <v>95.264356717793106</v>
      </c>
      <c r="AM5574">
        <v>90.879090072877503</v>
      </c>
      <c r="AN5574">
        <v>1.00000003688381</v>
      </c>
    </row>
    <row r="5575" spans="1:40" x14ac:dyDescent="0.25">
      <c r="A5575" t="str">
        <f>"20190303154251815"</f>
        <v>20190303154251815</v>
      </c>
      <c r="B5575" t="str">
        <f>"1551598971805996"</f>
        <v>1551598971805996</v>
      </c>
      <c r="C5575" t="s">
        <v>40</v>
      </c>
      <c r="D5575">
        <v>5.6332459999999998</v>
      </c>
      <c r="E5575">
        <v>0.50791070000000005</v>
      </c>
      <c r="F5575" t="s">
        <v>41</v>
      </c>
      <c r="G5575">
        <v>-396.56450000000001</v>
      </c>
      <c r="H5575" s="1">
        <v>-2.0269349999999999E-6</v>
      </c>
      <c r="I5575">
        <v>141.76140000000001</v>
      </c>
      <c r="J5575">
        <v>-369.79599999999999</v>
      </c>
      <c r="K5575">
        <v>1.1208290000000001</v>
      </c>
      <c r="L5575">
        <v>141.73779999999999</v>
      </c>
      <c r="M5575">
        <v>-0.99988670000000002</v>
      </c>
      <c r="N5575">
        <v>-1.44104E-2</v>
      </c>
      <c r="O5575">
        <v>-4.3688570000000003E-3</v>
      </c>
      <c r="P5575">
        <v>-0.99420310000000001</v>
      </c>
      <c r="Q5575">
        <v>-0.1056652</v>
      </c>
      <c r="R5575">
        <v>-1.9883809999999998E-2</v>
      </c>
      <c r="S5575">
        <v>-3.0043950000000001</v>
      </c>
      <c r="T5575">
        <v>-0.1242592</v>
      </c>
      <c r="U5575">
        <v>2.4566649999999998E-3</v>
      </c>
      <c r="V5575">
        <v>-1.553326E-2</v>
      </c>
      <c r="W5575">
        <v>-9.1327290000000005E-2</v>
      </c>
      <c r="X5575">
        <v>0.99569980000000002</v>
      </c>
      <c r="Y5575">
        <v>5.1794349999999996E-3</v>
      </c>
      <c r="Z5575">
        <v>2.6207690000000001E-4</v>
      </c>
      <c r="AA5575">
        <v>0.9999865</v>
      </c>
      <c r="AB5575">
        <v>32</v>
      </c>
      <c r="AC5575">
        <v>-26.7685</v>
      </c>
      <c r="AD5575">
        <v>-1.1208310269349999</v>
      </c>
      <c r="AE5575">
        <v>2.3600000000016001E-2</v>
      </c>
      <c r="AF5575">
        <v>0.14031366041702001</v>
      </c>
      <c r="AG5575">
        <v>-1.1208310269349999</v>
      </c>
      <c r="AH5575">
        <v>26.721293549078101</v>
      </c>
      <c r="AI5575">
        <v>92.401844091004193</v>
      </c>
      <c r="AJ5575">
        <v>89.699142309623596</v>
      </c>
      <c r="AK5575">
        <v>26.745158048705601</v>
      </c>
      <c r="AL5575">
        <v>95.239969580265793</v>
      </c>
      <c r="AM5575">
        <v>90.893761404212697</v>
      </c>
      <c r="AN5575">
        <v>1.0000000238925</v>
      </c>
    </row>
    <row r="5576" spans="1:40" x14ac:dyDescent="0.25">
      <c r="A5576" t="str">
        <f>"20190303154251842"</f>
        <v>20190303154251842</v>
      </c>
      <c r="B5576" t="str">
        <f>"1551598971836250"</f>
        <v>1551598971836250</v>
      </c>
      <c r="C5576" t="s">
        <v>40</v>
      </c>
      <c r="D5576">
        <v>5.6227689999999999</v>
      </c>
      <c r="E5576">
        <v>0.50814939999999997</v>
      </c>
      <c r="F5576" t="s">
        <v>41</v>
      </c>
      <c r="G5576">
        <v>-396.82909999999998</v>
      </c>
      <c r="H5576" s="1">
        <v>-1.911361E-6</v>
      </c>
      <c r="I5576">
        <v>141.75360000000001</v>
      </c>
      <c r="J5576">
        <v>-370.16930000000002</v>
      </c>
      <c r="K5576">
        <v>1.1208340000000001</v>
      </c>
      <c r="L5576">
        <v>141.73609999999999</v>
      </c>
      <c r="M5576">
        <v>-0.99988630000000001</v>
      </c>
      <c r="N5576">
        <v>-1.441336E-2</v>
      </c>
      <c r="O5576">
        <v>-4.4228729999999999E-3</v>
      </c>
      <c r="P5576">
        <v>-0.99425419999999998</v>
      </c>
      <c r="Q5576">
        <v>-0.1051134</v>
      </c>
      <c r="R5576">
        <v>-2.0246139999999999E-2</v>
      </c>
      <c r="S5576">
        <v>-3.0043329999999999</v>
      </c>
      <c r="T5576">
        <v>-0.1245642</v>
      </c>
      <c r="U5576">
        <v>1.77002E-3</v>
      </c>
      <c r="V5576">
        <v>-1.5842200000000001E-2</v>
      </c>
      <c r="W5576">
        <v>-9.0771850000000001E-2</v>
      </c>
      <c r="X5576">
        <v>0.99574569999999996</v>
      </c>
      <c r="Y5576">
        <v>5.005069E-3</v>
      </c>
      <c r="Z5576">
        <v>2.5937269999999998E-4</v>
      </c>
      <c r="AA5576">
        <v>0.99998739999999997</v>
      </c>
      <c r="AB5576">
        <v>32</v>
      </c>
      <c r="AC5576">
        <v>-26.659799999999901</v>
      </c>
      <c r="AD5576">
        <v>-1.120835911361</v>
      </c>
      <c r="AE5576">
        <v>1.7500000000012499E-2</v>
      </c>
      <c r="AF5576">
        <v>0.135186045736508</v>
      </c>
      <c r="AG5576">
        <v>-1.120835911361</v>
      </c>
      <c r="AH5576">
        <v>26.612423163442202</v>
      </c>
      <c r="AI5576">
        <v>92.411670991025005</v>
      </c>
      <c r="AJ5576">
        <v>89.708950846015696</v>
      </c>
      <c r="AK5576">
        <v>26.636358892259899</v>
      </c>
      <c r="AL5576">
        <v>95.208012591198596</v>
      </c>
      <c r="AM5576">
        <v>90.9114923856079</v>
      </c>
      <c r="AN5576">
        <v>1.0000000015608701</v>
      </c>
    </row>
    <row r="5577" spans="1:40" x14ac:dyDescent="0.25">
      <c r="A5577" t="str">
        <f>"20190303154251859"</f>
        <v>20190303154251859</v>
      </c>
      <c r="B5577" t="str">
        <f>"1551598971855769"</f>
        <v>1551598971855769</v>
      </c>
      <c r="C5577" t="s">
        <v>40</v>
      </c>
      <c r="D5577">
        <v>5.6520950000000001</v>
      </c>
      <c r="E5577">
        <v>0.50821079999999996</v>
      </c>
      <c r="F5577" t="s">
        <v>41</v>
      </c>
      <c r="G5577">
        <v>-397.6524</v>
      </c>
      <c r="H5577" s="1">
        <v>-1.560212E-6</v>
      </c>
      <c r="I5577">
        <v>141.76130000000001</v>
      </c>
      <c r="J5577">
        <v>-370.42610000000002</v>
      </c>
      <c r="K5577">
        <v>1.120841</v>
      </c>
      <c r="L5577">
        <v>141.73500000000001</v>
      </c>
      <c r="M5577">
        <v>-0.99988619999999995</v>
      </c>
      <c r="N5577">
        <v>-1.441485E-2</v>
      </c>
      <c r="O5577">
        <v>-4.4598370000000003E-3</v>
      </c>
      <c r="P5577">
        <v>-0.99428059999999996</v>
      </c>
      <c r="Q5577">
        <v>-0.1047563</v>
      </c>
      <c r="R5577">
        <v>-2.080044E-2</v>
      </c>
      <c r="S5577">
        <v>-3.0044249999999999</v>
      </c>
      <c r="T5577">
        <v>-0.122529</v>
      </c>
      <c r="U5577">
        <v>2.7618410000000001E-3</v>
      </c>
      <c r="V5577">
        <v>-1.6359329999999998E-2</v>
      </c>
      <c r="W5577">
        <v>-9.0412859999999998E-2</v>
      </c>
      <c r="X5577">
        <v>0.99577000000000004</v>
      </c>
      <c r="Y5577">
        <v>5.3719519999999897E-3</v>
      </c>
      <c r="Z5577">
        <v>2.657728E-4</v>
      </c>
      <c r="AA5577">
        <v>0.99998549999999997</v>
      </c>
      <c r="AB5577">
        <v>32</v>
      </c>
      <c r="AC5577">
        <v>-27.226299999999899</v>
      </c>
      <c r="AD5577">
        <v>-1.120842560212</v>
      </c>
      <c r="AE5577">
        <v>2.6299999999992E-2</v>
      </c>
      <c r="AF5577">
        <v>0.14748725281687899</v>
      </c>
      <c r="AG5577">
        <v>-1.120842560212</v>
      </c>
      <c r="AH5577">
        <v>27.179848192500199</v>
      </c>
      <c r="AI5577">
        <v>92.361390602884995</v>
      </c>
      <c r="AJ5577">
        <v>89.689096343779596</v>
      </c>
      <c r="AK5577">
        <v>27.2033488435134</v>
      </c>
      <c r="AL5577">
        <v>95.187359046043198</v>
      </c>
      <c r="AM5577">
        <v>90.941217599199007</v>
      </c>
      <c r="AN5577">
        <v>1.0000000029157099</v>
      </c>
    </row>
    <row r="5578" spans="1:40" x14ac:dyDescent="0.25">
      <c r="A5578" t="str">
        <f>"20190303154251882"</f>
        <v>20190303154251882</v>
      </c>
      <c r="B5578" t="str">
        <f>"1551598971875289"</f>
        <v>1551598971875289</v>
      </c>
      <c r="C5578" t="s">
        <v>40</v>
      </c>
      <c r="D5578">
        <v>5.6371599999999997</v>
      </c>
      <c r="E5578">
        <v>0.50825980000000004</v>
      </c>
      <c r="F5578" t="s">
        <v>41</v>
      </c>
      <c r="G5578">
        <v>-397.87490000000003</v>
      </c>
      <c r="H5578" s="1">
        <v>-1.4613380000000001E-6</v>
      </c>
      <c r="I5578">
        <v>141.74850000000001</v>
      </c>
      <c r="J5578">
        <v>-370.75450000000001</v>
      </c>
      <c r="K5578">
        <v>1.120846</v>
      </c>
      <c r="L5578">
        <v>141.73339999999999</v>
      </c>
      <c r="M5578">
        <v>-0.99988589999999999</v>
      </c>
      <c r="N5578">
        <v>-1.4416150000000001E-2</v>
      </c>
      <c r="O5578">
        <v>-4.5071679999999998E-3</v>
      </c>
      <c r="P5578">
        <v>-0.9943014</v>
      </c>
      <c r="Q5578">
        <v>-0.104536</v>
      </c>
      <c r="R5578">
        <v>-2.090678E-2</v>
      </c>
      <c r="S5578">
        <v>-3.0043329999999999</v>
      </c>
      <c r="T5578">
        <v>-0.1226788</v>
      </c>
      <c r="U5578">
        <v>1.495361E-3</v>
      </c>
      <c r="V5578">
        <v>-1.6418539999999999E-2</v>
      </c>
      <c r="W5578">
        <v>-9.0190980000000004E-2</v>
      </c>
      <c r="X5578">
        <v>0.99578920000000004</v>
      </c>
      <c r="Y5578">
        <v>4.9981560000000001E-3</v>
      </c>
      <c r="Z5578">
        <v>2.5706029999999998E-4</v>
      </c>
      <c r="AA5578">
        <v>0.99998750000000003</v>
      </c>
      <c r="AB5578">
        <v>32</v>
      </c>
      <c r="AC5578">
        <v>-27.1204</v>
      </c>
      <c r="AD5578">
        <v>-1.120847461338</v>
      </c>
      <c r="AE5578">
        <v>1.5100000000018101E-2</v>
      </c>
      <c r="AF5578">
        <v>0.137114553784456</v>
      </c>
      <c r="AG5578">
        <v>-1.120847461338</v>
      </c>
      <c r="AH5578">
        <v>27.073812966464601</v>
      </c>
      <c r="AI5578">
        <v>92.370643362826399</v>
      </c>
      <c r="AJ5578">
        <v>89.709829639221397</v>
      </c>
      <c r="AK5578">
        <v>27.097351309225001</v>
      </c>
      <c r="AL5578">
        <v>95.174593830645307</v>
      </c>
      <c r="AM5578">
        <v>90.944605360676803</v>
      </c>
      <c r="AN5578">
        <v>1.0000000560828599</v>
      </c>
    </row>
    <row r="5579" spans="1:40" x14ac:dyDescent="0.25">
      <c r="A5579" t="str">
        <f>"20190303154251903"</f>
        <v>20190303154251903</v>
      </c>
      <c r="B5579" t="str">
        <f>"1551598971895789"</f>
        <v>1551598971895789</v>
      </c>
      <c r="C5579" t="s">
        <v>40</v>
      </c>
      <c r="D5579">
        <v>5.4867039999999996</v>
      </c>
      <c r="E5579">
        <v>0.50833709999999999</v>
      </c>
      <c r="F5579" t="s">
        <v>41</v>
      </c>
      <c r="G5579">
        <v>-398.05399999999997</v>
      </c>
      <c r="H5579" s="1">
        <v>-1.38433E-6</v>
      </c>
      <c r="I5579">
        <v>141.74789999999999</v>
      </c>
      <c r="J5579">
        <v>-371.0677</v>
      </c>
      <c r="K5579">
        <v>1.1208480000000001</v>
      </c>
      <c r="L5579">
        <v>141.732</v>
      </c>
      <c r="M5579">
        <v>-0.99988589999999999</v>
      </c>
      <c r="N5579">
        <v>-1.4416709999999999E-2</v>
      </c>
      <c r="O5579">
        <v>-4.5524659999999998E-3</v>
      </c>
      <c r="P5579">
        <v>-0.99437419999999999</v>
      </c>
      <c r="Q5579">
        <v>-0.103867</v>
      </c>
      <c r="R5579">
        <v>-2.078259E-2</v>
      </c>
      <c r="S5579">
        <v>-3.0042420000000001</v>
      </c>
      <c r="T5579">
        <v>-0.1233462</v>
      </c>
      <c r="U5579">
        <v>1.6021729999999999E-3</v>
      </c>
      <c r="V5579">
        <v>-1.6249530000000002E-2</v>
      </c>
      <c r="W5579">
        <v>-8.9520470000000005E-2</v>
      </c>
      <c r="X5579">
        <v>0.99585239999999997</v>
      </c>
      <c r="Y5579">
        <v>5.0788389999999999E-3</v>
      </c>
      <c r="Z5579">
        <v>2.6206660000000002E-4</v>
      </c>
      <c r="AA5579">
        <v>0.99998710000000002</v>
      </c>
      <c r="AB5579">
        <v>32</v>
      </c>
      <c r="AC5579">
        <v>-26.9863</v>
      </c>
      <c r="AD5579">
        <v>-1.12084938433</v>
      </c>
      <c r="AE5579">
        <v>1.5899999999987799E-2</v>
      </c>
      <c r="AF5579">
        <v>0.13852782347586201</v>
      </c>
      <c r="AG5579">
        <v>-1.12084938433</v>
      </c>
      <c r="AH5579">
        <v>26.939475321228301</v>
      </c>
      <c r="AI5579">
        <v>92.3824544745422</v>
      </c>
      <c r="AJ5579">
        <v>89.705376976377906</v>
      </c>
      <c r="AK5579">
        <v>26.9631382424839</v>
      </c>
      <c r="AL5579">
        <v>95.136020782013802</v>
      </c>
      <c r="AM5579">
        <v>90.934824148651998</v>
      </c>
      <c r="AN5579">
        <v>0.99999998217999997</v>
      </c>
    </row>
    <row r="5580" spans="1:40" x14ac:dyDescent="0.25">
      <c r="A5580" t="str">
        <f>"20190303154251927"</f>
        <v>20190303154251927</v>
      </c>
      <c r="B5580" t="str">
        <f>"1551598971915306"</f>
        <v>1551598971915306</v>
      </c>
      <c r="C5580" t="s">
        <v>40</v>
      </c>
      <c r="D5580">
        <v>5.5456250000000002</v>
      </c>
      <c r="E5580">
        <v>0.50815250000000001</v>
      </c>
      <c r="F5580" t="s">
        <v>41</v>
      </c>
      <c r="G5580">
        <v>-398.74860000000001</v>
      </c>
      <c r="H5580" s="1">
        <v>-1.0886639999999999E-6</v>
      </c>
      <c r="I5580">
        <v>141.75649999999999</v>
      </c>
      <c r="J5580">
        <v>-371.40309999999999</v>
      </c>
      <c r="K5580">
        <v>1.1208400000000001</v>
      </c>
      <c r="L5580">
        <v>141.7304</v>
      </c>
      <c r="M5580">
        <v>-0.99988540000000004</v>
      </c>
      <c r="N5580">
        <v>-1.441664E-2</v>
      </c>
      <c r="O5580">
        <v>-4.6007419999999997E-3</v>
      </c>
      <c r="P5580">
        <v>-0.99441670000000004</v>
      </c>
      <c r="Q5580">
        <v>-0.103559</v>
      </c>
      <c r="R5580">
        <v>-2.0275359999999999E-2</v>
      </c>
      <c r="S5580">
        <v>-3.0043329999999999</v>
      </c>
      <c r="T5580">
        <v>-0.1216508</v>
      </c>
      <c r="U5580">
        <v>2.6702879999999998E-3</v>
      </c>
      <c r="V5580">
        <v>-1.5693909999999998E-2</v>
      </c>
      <c r="W5580">
        <v>-8.9211910000000005E-2</v>
      </c>
      <c r="X5580">
        <v>0.99588900000000002</v>
      </c>
      <c r="Y5580">
        <v>5.4823659999999998E-3</v>
      </c>
      <c r="Z5580">
        <v>2.7039479999999997E-4</v>
      </c>
      <c r="AA5580">
        <v>0.99998489999999995</v>
      </c>
      <c r="AB5580">
        <v>32</v>
      </c>
      <c r="AC5580">
        <v>-27.345500000000001</v>
      </c>
      <c r="AD5580">
        <v>-1.1208410886639999</v>
      </c>
      <c r="AE5580">
        <v>2.6099999999985302E-2</v>
      </c>
      <c r="AF5580">
        <v>0.15166759609896599</v>
      </c>
      <c r="AG5580">
        <v>-1.1208410886639999</v>
      </c>
      <c r="AH5580">
        <v>27.299227031675201</v>
      </c>
      <c r="AI5580">
        <v>92.351071161829793</v>
      </c>
      <c r="AJ5580">
        <v>89.681682425352903</v>
      </c>
      <c r="AK5580">
        <v>27.322647827995901</v>
      </c>
      <c r="AL5580">
        <v>95.118270575308102</v>
      </c>
      <c r="AM5580">
        <v>90.902831925916502</v>
      </c>
      <c r="AN5580">
        <v>0.999999982008967</v>
      </c>
    </row>
    <row r="5581" spans="1:40" x14ac:dyDescent="0.25">
      <c r="A5581" t="str">
        <f>"20190303154251949"</f>
        <v>20190303154251949</v>
      </c>
      <c r="B5581" t="str">
        <f>"1551598971945561"</f>
        <v>1551598971945561</v>
      </c>
      <c r="C5581" t="s">
        <v>40</v>
      </c>
      <c r="D5581">
        <v>5.5973730000000002</v>
      </c>
      <c r="E5581">
        <v>0.50769640000000005</v>
      </c>
      <c r="F5581" t="s">
        <v>41</v>
      </c>
      <c r="G5581">
        <v>-399.33260000000001</v>
      </c>
      <c r="H5581" s="1">
        <v>-8.3800609999999996E-7</v>
      </c>
      <c r="I5581">
        <v>141.7561</v>
      </c>
      <c r="J5581">
        <v>-371.71899999999999</v>
      </c>
      <c r="K5581">
        <v>1.1208400000000001</v>
      </c>
      <c r="L5581">
        <v>141.72890000000001</v>
      </c>
      <c r="M5581">
        <v>-0.99988540000000004</v>
      </c>
      <c r="N5581">
        <v>-1.441607E-2</v>
      </c>
      <c r="O5581">
        <v>-4.6467459999999898E-3</v>
      </c>
      <c r="P5581">
        <v>-0.99446950000000001</v>
      </c>
      <c r="Q5581">
        <v>-0.10312159999999999</v>
      </c>
      <c r="R5581">
        <v>-1.991573E-2</v>
      </c>
      <c r="S5581">
        <v>-3.0042719999999998</v>
      </c>
      <c r="T5581">
        <v>-0.1205645</v>
      </c>
      <c r="U5581">
        <v>2.7770999999999998E-3</v>
      </c>
      <c r="V5581">
        <v>-1.5288009999999999E-2</v>
      </c>
      <c r="W5581">
        <v>-8.8774389999999995E-2</v>
      </c>
      <c r="X5581">
        <v>0.9959344</v>
      </c>
      <c r="Y5581">
        <v>5.563976E-3</v>
      </c>
      <c r="Z5581">
        <v>2.7115739999999998E-4</v>
      </c>
      <c r="AA5581">
        <v>0.99998450000000005</v>
      </c>
      <c r="AB5581">
        <v>32</v>
      </c>
      <c r="AC5581">
        <v>-27.613600000000002</v>
      </c>
      <c r="AD5581">
        <v>-1.1208408380060999</v>
      </c>
      <c r="AE5581">
        <v>2.71999999999934E-2</v>
      </c>
      <c r="AF5581">
        <v>0.15527059456428299</v>
      </c>
      <c r="AG5581">
        <v>-1.1208408380060999</v>
      </c>
      <c r="AH5581">
        <v>27.567755862145798</v>
      </c>
      <c r="AI5581">
        <v>92.328193926034899</v>
      </c>
      <c r="AJ5581">
        <v>89.677294890304495</v>
      </c>
      <c r="AK5581">
        <v>27.590968747337499</v>
      </c>
      <c r="AL5581">
        <v>95.093102714310703</v>
      </c>
      <c r="AM5581">
        <v>90.879445131316501</v>
      </c>
      <c r="AN5581">
        <v>0.99999997233649496</v>
      </c>
    </row>
    <row r="5582" spans="1:40" x14ac:dyDescent="0.25">
      <c r="A5582" t="str">
        <f>"20190303154251971"</f>
        <v>20190303154251971</v>
      </c>
      <c r="B5582" t="str">
        <f>"1551598971966057"</f>
        <v>1551598971966057</v>
      </c>
      <c r="C5582" t="s">
        <v>40</v>
      </c>
      <c r="D5582">
        <v>5.5717080000000001</v>
      </c>
      <c r="E5582">
        <v>0.50741539999999996</v>
      </c>
      <c r="F5582" t="s">
        <v>41</v>
      </c>
      <c r="G5582">
        <v>-399.90320000000003</v>
      </c>
      <c r="H5582" s="1">
        <v>-5.8651819999999997E-7</v>
      </c>
      <c r="I5582">
        <v>141.73079999999999</v>
      </c>
      <c r="J5582">
        <v>-372.04</v>
      </c>
      <c r="K5582">
        <v>1.120843</v>
      </c>
      <c r="L5582">
        <v>141.72739999999999</v>
      </c>
      <c r="M5582">
        <v>-0.99988509999999997</v>
      </c>
      <c r="N5582">
        <v>-1.441516E-2</v>
      </c>
      <c r="O5582">
        <v>-4.6931100000000003E-3</v>
      </c>
      <c r="P5582">
        <v>-0.99442419999999998</v>
      </c>
      <c r="Q5582">
        <v>-0.1036195</v>
      </c>
      <c r="R5582">
        <v>-1.9595729999999999E-2</v>
      </c>
      <c r="S5582">
        <v>-3.0043030000000002</v>
      </c>
      <c r="T5582">
        <v>-0.1194766</v>
      </c>
      <c r="U5582">
        <v>2.13623E-4</v>
      </c>
      <c r="V5582">
        <v>-1.492214E-2</v>
      </c>
      <c r="W5582">
        <v>-8.9273710000000006E-2</v>
      </c>
      <c r="X5582">
        <v>0.99589530000000004</v>
      </c>
      <c r="Y5582">
        <v>4.7580690000000002E-3</v>
      </c>
      <c r="Z5582">
        <v>2.478127E-4</v>
      </c>
      <c r="AA5582">
        <v>0.99998869999999895</v>
      </c>
      <c r="AB5582">
        <v>32</v>
      </c>
      <c r="AC5582">
        <v>-27.863199999999999</v>
      </c>
      <c r="AD5582">
        <v>-1.12084358651819</v>
      </c>
      <c r="AE5582">
        <v>3.3999999999991802E-3</v>
      </c>
      <c r="AF5582">
        <v>0.133961836227801</v>
      </c>
      <c r="AG5582">
        <v>-1.12084358651819</v>
      </c>
      <c r="AH5582">
        <v>27.817862695258299</v>
      </c>
      <c r="AI5582">
        <v>92.307299642677194</v>
      </c>
      <c r="AJ5582">
        <v>89.724084176290901</v>
      </c>
      <c r="AK5582">
        <v>27.8407564741198</v>
      </c>
      <c r="AL5582">
        <v>95.121825767730996</v>
      </c>
      <c r="AM5582">
        <v>90.858435287842696</v>
      </c>
      <c r="AN5582">
        <v>0.99999995706071598</v>
      </c>
    </row>
    <row r="5583" spans="1:40" x14ac:dyDescent="0.25">
      <c r="A5583" t="str">
        <f>"20190303154251994"</f>
        <v>20190303154251994</v>
      </c>
      <c r="B5583" t="str">
        <f>"1551598971985581"</f>
        <v>1551598971985581</v>
      </c>
      <c r="C5583" t="s">
        <v>40</v>
      </c>
      <c r="D5583">
        <v>5.5550639999999998</v>
      </c>
      <c r="E5583">
        <v>0.50714519999999996</v>
      </c>
      <c r="F5583" t="s">
        <v>41</v>
      </c>
      <c r="G5583">
        <v>-399.86040000000003</v>
      </c>
      <c r="H5583" s="1">
        <v>-6.0141309999999995E-7</v>
      </c>
      <c r="I5583">
        <v>141.71780000000001</v>
      </c>
      <c r="J5583">
        <v>-372.3657</v>
      </c>
      <c r="K5583">
        <v>1.1208480000000001</v>
      </c>
      <c r="L5583">
        <v>141.72579999999999</v>
      </c>
      <c r="M5583">
        <v>-0.99988500000000002</v>
      </c>
      <c r="N5583">
        <v>-1.44139E-2</v>
      </c>
      <c r="O5583">
        <v>-4.7403030000000004E-3</v>
      </c>
      <c r="P5583">
        <v>-0.9944115</v>
      </c>
      <c r="Q5583">
        <v>-0.1038089</v>
      </c>
      <c r="R5583">
        <v>-1.9229960000000001E-2</v>
      </c>
      <c r="S5583">
        <v>-3.004181</v>
      </c>
      <c r="T5583">
        <v>-0.1210345</v>
      </c>
      <c r="U5583">
        <v>-1.0223389999999999E-3</v>
      </c>
      <c r="V5583">
        <v>-1.45097E-2</v>
      </c>
      <c r="W5583">
        <v>-8.9464500000000002E-2</v>
      </c>
      <c r="X5583">
        <v>0.99588429999999994</v>
      </c>
      <c r="Y5583">
        <v>4.3940659999999899E-3</v>
      </c>
      <c r="Z5583">
        <v>2.4275690000000001E-4</v>
      </c>
      <c r="AA5583">
        <v>0.9999903</v>
      </c>
      <c r="AB5583">
        <v>32</v>
      </c>
      <c r="AC5583">
        <v>-27.494700000000002</v>
      </c>
      <c r="AD5583">
        <v>-1.1208486014131001</v>
      </c>
      <c r="AE5583">
        <v>-7.9999999999813502E-3</v>
      </c>
      <c r="AF5583">
        <v>0.122143837390121</v>
      </c>
      <c r="AG5583">
        <v>-1.1208486014131001</v>
      </c>
      <c r="AH5583">
        <v>27.448812713153799</v>
      </c>
      <c r="AI5583">
        <v>92.338301547946998</v>
      </c>
      <c r="AJ5583">
        <v>89.745042517596701</v>
      </c>
      <c r="AK5583">
        <v>27.471959159588401</v>
      </c>
      <c r="AL5583">
        <v>95.132801010708803</v>
      </c>
      <c r="AM5583">
        <v>90.8347212170153</v>
      </c>
      <c r="AN5583">
        <v>0.99999998357041398</v>
      </c>
    </row>
    <row r="5584" spans="1:40" x14ac:dyDescent="0.25">
      <c r="A5584" t="str">
        <f>"20190303154252016"</f>
        <v>20190303154252016</v>
      </c>
      <c r="B5584" t="str">
        <f>"1551598972006073"</f>
        <v>1551598972006073</v>
      </c>
      <c r="C5584" t="s">
        <v>40</v>
      </c>
      <c r="D5584">
        <v>5.5631449999999996</v>
      </c>
      <c r="E5584">
        <v>0.50688299999999997</v>
      </c>
      <c r="F5584" t="s">
        <v>57</v>
      </c>
      <c r="G5584">
        <v>-400.00139999999999</v>
      </c>
      <c r="H5584" s="1">
        <v>-6.2263710000000001E-6</v>
      </c>
      <c r="I5584">
        <v>141.7081</v>
      </c>
      <c r="J5584">
        <v>-372.68150000000003</v>
      </c>
      <c r="K5584">
        <v>1.1208499999999999</v>
      </c>
      <c r="L5584">
        <v>141.7242</v>
      </c>
      <c r="M5584">
        <v>-0.99988469999999996</v>
      </c>
      <c r="N5584">
        <v>-1.4412400000000001E-2</v>
      </c>
      <c r="O5584">
        <v>-4.7859460000000001E-3</v>
      </c>
      <c r="P5584">
        <v>-0.99440260000000003</v>
      </c>
      <c r="Q5584">
        <v>-0.1039283</v>
      </c>
      <c r="R5584">
        <v>-1.9040209999999998E-2</v>
      </c>
      <c r="S5584">
        <v>-3.0041199999999999</v>
      </c>
      <c r="T5584">
        <v>-0.1218417</v>
      </c>
      <c r="U5584">
        <v>-1.922607E-3</v>
      </c>
      <c r="V5584">
        <v>-1.4274480000000001E-2</v>
      </c>
      <c r="W5584">
        <v>-8.9585509999999993E-2</v>
      </c>
      <c r="X5584">
        <v>0.99587680000000001</v>
      </c>
      <c r="Y5584">
        <v>4.1402089999999997E-3</v>
      </c>
      <c r="Z5584">
        <v>2.3884500000000001E-4</v>
      </c>
      <c r="AA5584">
        <v>0.99999139999999997</v>
      </c>
      <c r="AB5584">
        <v>32</v>
      </c>
      <c r="AC5584">
        <v>-27.319899999999901</v>
      </c>
      <c r="AD5584">
        <v>-1.12085622637099</v>
      </c>
      <c r="AE5584">
        <v>-1.60999999999944E-2</v>
      </c>
      <c r="AF5584">
        <v>0.114472647100062</v>
      </c>
      <c r="AG5584">
        <v>-1.12085622637099</v>
      </c>
      <c r="AH5584">
        <v>27.2737563172976</v>
      </c>
      <c r="AI5584">
        <v>92.353311658137798</v>
      </c>
      <c r="AJ5584">
        <v>89.759521169038706</v>
      </c>
      <c r="AK5584">
        <v>27.297018267980501</v>
      </c>
      <c r="AL5584">
        <v>95.139762433923295</v>
      </c>
      <c r="AM5584">
        <v>90.821197416128797</v>
      </c>
      <c r="AN5584">
        <v>0.999999962579734</v>
      </c>
    </row>
    <row r="5585" spans="1:40" x14ac:dyDescent="0.25">
      <c r="A5585" t="str">
        <f>"20190303154252037"</f>
        <v>20190303154252037</v>
      </c>
      <c r="B5585" t="str">
        <f>"1551598972025593"</f>
        <v>1551598972025593</v>
      </c>
      <c r="C5585" t="s">
        <v>40</v>
      </c>
      <c r="D5585">
        <v>5.5401339999999903</v>
      </c>
      <c r="E5585">
        <v>0.50656880000000004</v>
      </c>
      <c r="F5585" t="s">
        <v>57</v>
      </c>
      <c r="G5585">
        <v>-400.22460000000001</v>
      </c>
      <c r="H5585" s="1">
        <v>-6.3192030000000003E-6</v>
      </c>
      <c r="I5585">
        <v>141.69319999999999</v>
      </c>
      <c r="J5585">
        <v>-372.98649999999998</v>
      </c>
      <c r="K5585">
        <v>1.120851</v>
      </c>
      <c r="L5585">
        <v>141.7227</v>
      </c>
      <c r="M5585">
        <v>-0.99988449999999995</v>
      </c>
      <c r="N5585">
        <v>-1.4410630000000001E-2</v>
      </c>
      <c r="O5585">
        <v>-4.8301560000000004E-3</v>
      </c>
      <c r="P5585">
        <v>-0.9943864</v>
      </c>
      <c r="Q5585">
        <v>-0.1041176</v>
      </c>
      <c r="R5585">
        <v>-1.8861659999999999E-2</v>
      </c>
      <c r="S5585">
        <v>-3.0040589999999998</v>
      </c>
      <c r="T5585">
        <v>-0.122249</v>
      </c>
      <c r="U5585">
        <v>-3.3874510000000001E-3</v>
      </c>
      <c r="V5585">
        <v>-1.4052E-2</v>
      </c>
      <c r="W5585">
        <v>-8.9776789999999995E-2</v>
      </c>
      <c r="X5585">
        <v>0.99586280000000005</v>
      </c>
      <c r="Y5585">
        <v>3.697231E-3</v>
      </c>
      <c r="Z5585">
        <v>2.2874200000000001E-4</v>
      </c>
      <c r="AA5585">
        <v>0.99999309999999997</v>
      </c>
      <c r="AB5585">
        <v>32</v>
      </c>
      <c r="AC5585">
        <v>-27.238099999999999</v>
      </c>
      <c r="AD5585">
        <v>-1.120857319203</v>
      </c>
      <c r="AE5585">
        <v>-2.9500000000012901E-2</v>
      </c>
      <c r="AF5585">
        <v>0.101905716573488</v>
      </c>
      <c r="AG5585">
        <v>-1.120857319203</v>
      </c>
      <c r="AH5585">
        <v>27.191879350588199</v>
      </c>
      <c r="AI5585">
        <v>92.360396177675099</v>
      </c>
      <c r="AJ5585">
        <v>89.785276329822594</v>
      </c>
      <c r="AK5585">
        <v>27.215161372331099</v>
      </c>
      <c r="AL5585">
        <v>95.150765995857796</v>
      </c>
      <c r="AM5585">
        <v>90.808411425963001</v>
      </c>
      <c r="AN5585">
        <v>1.00000002357527</v>
      </c>
    </row>
    <row r="5586" spans="1:40" x14ac:dyDescent="0.25">
      <c r="A5586" t="str">
        <f>"20190303154252060"</f>
        <v>20190303154252060</v>
      </c>
      <c r="B5586" t="str">
        <f>"1551598972055850"</f>
        <v>1551598972055850</v>
      </c>
      <c r="C5586" t="s">
        <v>40</v>
      </c>
      <c r="D5586">
        <v>5.5830609999999998</v>
      </c>
      <c r="E5586">
        <v>0.50617219999999996</v>
      </c>
      <c r="F5586" t="s">
        <v>57</v>
      </c>
      <c r="G5586">
        <v>-400.23309999999998</v>
      </c>
      <c r="H5586" s="1">
        <v>-6.314757E-6</v>
      </c>
      <c r="I5586">
        <v>141.67320000000001</v>
      </c>
      <c r="J5586">
        <v>-373.30900000000003</v>
      </c>
      <c r="K5586">
        <v>1.1208530000000001</v>
      </c>
      <c r="L5586">
        <v>141.72110000000001</v>
      </c>
      <c r="M5586">
        <v>-0.99988440000000001</v>
      </c>
      <c r="N5586">
        <v>-1.4408519999999999E-2</v>
      </c>
      <c r="O5586">
        <v>-4.8767469999999999E-3</v>
      </c>
      <c r="P5586">
        <v>-0.99439299999999997</v>
      </c>
      <c r="Q5586">
        <v>-0.1040958</v>
      </c>
      <c r="R5586">
        <v>-1.8629570000000002E-2</v>
      </c>
      <c r="S5586">
        <v>-3.003876</v>
      </c>
      <c r="T5586">
        <v>-0.1235719</v>
      </c>
      <c r="U5586">
        <v>-5.4626459999999998E-3</v>
      </c>
      <c r="V5586">
        <v>-1.377375E-2</v>
      </c>
      <c r="W5586">
        <v>-8.9757050000000005E-2</v>
      </c>
      <c r="X5586">
        <v>0.99586839999999999</v>
      </c>
      <c r="Y5586">
        <v>3.0535079999999999E-3</v>
      </c>
      <c r="Z5586">
        <v>2.150722E-4</v>
      </c>
      <c r="AA5586">
        <v>0.99999530000000003</v>
      </c>
      <c r="AB5586">
        <v>32</v>
      </c>
      <c r="AC5586">
        <v>-26.9240999999999</v>
      </c>
      <c r="AD5586">
        <v>-1.1208593147570001</v>
      </c>
      <c r="AE5586">
        <v>-4.7899999999998499E-2</v>
      </c>
      <c r="AF5586">
        <v>8.3271895216693301E-2</v>
      </c>
      <c r="AG5586">
        <v>-1.1208593147570001</v>
      </c>
      <c r="AH5586">
        <v>26.8774326653269</v>
      </c>
      <c r="AI5586">
        <v>92.387988885246997</v>
      </c>
      <c r="AJ5586">
        <v>89.822486286483795</v>
      </c>
      <c r="AK5586">
        <v>26.9009227814064</v>
      </c>
      <c r="AL5586">
        <v>95.149630735446195</v>
      </c>
      <c r="AM5586">
        <v>90.792401312550098</v>
      </c>
      <c r="AN5586">
        <v>0.99999995716616097</v>
      </c>
    </row>
    <row r="5587" spans="1:40" x14ac:dyDescent="0.25">
      <c r="A5587" t="str">
        <f>"20190303154252093"</f>
        <v>20190303154252093</v>
      </c>
      <c r="B5587" t="str">
        <f>"1551598972086105"</f>
        <v>1551598972086105</v>
      </c>
      <c r="C5587" t="s">
        <v>40</v>
      </c>
      <c r="D5587">
        <v>5.5303069999999996</v>
      </c>
      <c r="E5587">
        <v>0.505803</v>
      </c>
      <c r="F5587" t="s">
        <v>57</v>
      </c>
      <c r="G5587">
        <v>-400.51589999999999</v>
      </c>
      <c r="H5587" s="1">
        <v>-6.4304500000000004E-6</v>
      </c>
      <c r="I5587">
        <v>141.64949999999999</v>
      </c>
      <c r="J5587">
        <v>-373.78559999999999</v>
      </c>
      <c r="K5587">
        <v>1.12086</v>
      </c>
      <c r="L5587">
        <v>141.71870000000001</v>
      </c>
      <c r="M5587">
        <v>-0.99988410000000005</v>
      </c>
      <c r="N5587">
        <v>-1.4405090000000001E-2</v>
      </c>
      <c r="O5587">
        <v>-4.9457379999999999E-3</v>
      </c>
      <c r="P5587">
        <v>-0.99436340000000001</v>
      </c>
      <c r="Q5587">
        <v>-0.1043134</v>
      </c>
      <c r="R5587">
        <v>-1.899153E-2</v>
      </c>
      <c r="S5587">
        <v>-3.0038149999999999</v>
      </c>
      <c r="T5587">
        <v>-0.1237499</v>
      </c>
      <c r="U5587">
        <v>-7.9040529999999994E-3</v>
      </c>
      <c r="V5587">
        <v>-1.406693E-2</v>
      </c>
      <c r="W5587">
        <v>-8.99784E-2</v>
      </c>
      <c r="X5587">
        <v>0.99584439999999996</v>
      </c>
      <c r="Y5587">
        <v>2.3105170000000002E-3</v>
      </c>
      <c r="Z5587">
        <v>1.966622E-4</v>
      </c>
      <c r="AA5587">
        <v>0.99999729999999998</v>
      </c>
      <c r="AB5587">
        <v>32</v>
      </c>
      <c r="AC5587">
        <v>-26.7303</v>
      </c>
      <c r="AD5587">
        <v>-1.12086643045</v>
      </c>
      <c r="AE5587">
        <v>-6.9200000000023396E-2</v>
      </c>
      <c r="AF5587">
        <v>6.2905006539628494E-2</v>
      </c>
      <c r="AG5587">
        <v>-1.12086643045</v>
      </c>
      <c r="AH5587">
        <v>26.683397426439601</v>
      </c>
      <c r="AI5587">
        <v>92.4053535500436</v>
      </c>
      <c r="AJ5587">
        <v>89.864927818205103</v>
      </c>
      <c r="AK5587">
        <v>26.707002767290799</v>
      </c>
      <c r="AL5587">
        <v>95.162364305050303</v>
      </c>
      <c r="AM5587">
        <v>90.809285185270397</v>
      </c>
      <c r="AN5587">
        <v>1.0000000299987699</v>
      </c>
    </row>
    <row r="5588" spans="1:40" x14ac:dyDescent="0.25">
      <c r="A5588" t="str">
        <f>"20190303154252117"</f>
        <v>20190303154252117</v>
      </c>
      <c r="B5588" t="str">
        <f>"1551598972105625"</f>
        <v>1551598972105625</v>
      </c>
      <c r="C5588" t="s">
        <v>40</v>
      </c>
      <c r="D5588">
        <v>5.5552359999999998</v>
      </c>
      <c r="E5588">
        <v>0.50554650000000001</v>
      </c>
      <c r="F5588" t="s">
        <v>57</v>
      </c>
      <c r="G5588">
        <v>-400.82659999999998</v>
      </c>
      <c r="H5588" s="1">
        <v>-6.5520320000000002E-6</v>
      </c>
      <c r="I5588">
        <v>141.61009999999999</v>
      </c>
      <c r="J5588">
        <v>-374.11290000000002</v>
      </c>
      <c r="K5588">
        <v>1.120862</v>
      </c>
      <c r="L5588">
        <v>141.71709999999999</v>
      </c>
      <c r="M5588">
        <v>-0.99988390000000005</v>
      </c>
      <c r="N5588">
        <v>-1.440248E-2</v>
      </c>
      <c r="O5588">
        <v>-4.9930410000000001E-3</v>
      </c>
      <c r="P5588">
        <v>-0.99431760000000002</v>
      </c>
      <c r="Q5588">
        <v>-0.104585999999999</v>
      </c>
      <c r="R5588">
        <v>-1.986986E-2</v>
      </c>
      <c r="S5588">
        <v>-3.0036930000000002</v>
      </c>
      <c r="T5588">
        <v>-0.12450460000000001</v>
      </c>
      <c r="U5588">
        <v>-1.2069699999999999E-2</v>
      </c>
      <c r="V5588">
        <v>-1.48985E-2</v>
      </c>
      <c r="W5588">
        <v>-9.0254139999999997E-2</v>
      </c>
      <c r="X5588">
        <v>0.99580729999999995</v>
      </c>
      <c r="Y5588">
        <v>9.7236209999999998E-4</v>
      </c>
      <c r="Z5588">
        <v>1.621277E-4</v>
      </c>
      <c r="AA5588">
        <v>0.99999950000000004</v>
      </c>
      <c r="AB5588">
        <v>32</v>
      </c>
      <c r="AC5588">
        <v>-26.7136999999999</v>
      </c>
      <c r="AD5588">
        <v>-1.1208685520319901</v>
      </c>
      <c r="AE5588">
        <v>-0.106999999999999</v>
      </c>
      <c r="AF5588">
        <v>2.6351366354063301E-2</v>
      </c>
      <c r="AG5588">
        <v>-1.1208685520319901</v>
      </c>
      <c r="AH5588">
        <v>26.666954259893899</v>
      </c>
      <c r="AI5588">
        <v>92.406845033335202</v>
      </c>
      <c r="AJ5588">
        <v>89.943382301167802</v>
      </c>
      <c r="AK5588">
        <v>26.690513112428501</v>
      </c>
      <c r="AL5588">
        <v>95.178227862218407</v>
      </c>
      <c r="AM5588">
        <v>90.857151266694999</v>
      </c>
      <c r="AN5588">
        <v>0.99999997691133902</v>
      </c>
    </row>
    <row r="5589" spans="1:40" x14ac:dyDescent="0.25">
      <c r="A5589" t="str">
        <f>"20190303154252138"</f>
        <v>20190303154252138</v>
      </c>
      <c r="B5589" t="str">
        <f>"1551598972135881"</f>
        <v>1551598972135881</v>
      </c>
      <c r="C5589" t="s">
        <v>40</v>
      </c>
      <c r="D5589">
        <v>5.5261959999999997</v>
      </c>
      <c r="E5589">
        <v>0.50517159999999905</v>
      </c>
      <c r="F5589" t="s">
        <v>57</v>
      </c>
      <c r="G5589">
        <v>-400.90429999999998</v>
      </c>
      <c r="H5589" s="1">
        <v>-6.569477E-6</v>
      </c>
      <c r="I5589">
        <v>141.56870000000001</v>
      </c>
      <c r="J5589">
        <v>-374.43119999999999</v>
      </c>
      <c r="K5589">
        <v>1.1208629999999999</v>
      </c>
      <c r="L5589">
        <v>141.71539999999999</v>
      </c>
      <c r="M5589">
        <v>-0.99988379999999999</v>
      </c>
      <c r="N5589">
        <v>-1.4399800000000001E-2</v>
      </c>
      <c r="O5589">
        <v>-5.0389149999999997E-3</v>
      </c>
      <c r="P5589">
        <v>-0.99427080000000001</v>
      </c>
      <c r="Q5589">
        <v>-0.10486810000000001</v>
      </c>
      <c r="R5589">
        <v>-2.070284E-2</v>
      </c>
      <c r="S5589">
        <v>-3.0036010000000002</v>
      </c>
      <c r="T5589">
        <v>-0.12566140000000001</v>
      </c>
      <c r="U5589">
        <v>-1.663208E-2</v>
      </c>
      <c r="V5589">
        <v>-1.568632E-2</v>
      </c>
      <c r="W5589">
        <v>-9.0539649999999999E-2</v>
      </c>
      <c r="X5589">
        <v>0.99576929999999997</v>
      </c>
      <c r="Y5589">
        <v>-4.9917389999999998E-4</v>
      </c>
      <c r="Z5589">
        <v>1.2414149999999901E-4</v>
      </c>
      <c r="AA5589">
        <v>0.99999990000000005</v>
      </c>
      <c r="AB5589">
        <v>32</v>
      </c>
      <c r="AC5589">
        <v>-26.473099999999899</v>
      </c>
      <c r="AD5589">
        <v>-1.1208695694769999</v>
      </c>
      <c r="AE5589">
        <v>-0.14669999999998101</v>
      </c>
      <c r="AF5589">
        <v>-1.3264849411302401E-2</v>
      </c>
      <c r="AG5589">
        <v>-1.1208695694769999</v>
      </c>
      <c r="AH5589">
        <v>26.426131228357601</v>
      </c>
      <c r="AI5589">
        <v>92.428755700346798</v>
      </c>
      <c r="AJ5589">
        <v>90.028760162308402</v>
      </c>
      <c r="AK5589">
        <v>26.449894824864401</v>
      </c>
      <c r="AL5589">
        <v>95.194653542546405</v>
      </c>
      <c r="AM5589">
        <v>90.902503821872898</v>
      </c>
      <c r="AN5589">
        <v>0.99999999383987703</v>
      </c>
    </row>
    <row r="5590" spans="1:40" x14ac:dyDescent="0.25">
      <c r="A5590" t="str">
        <f>"20190303154252161"</f>
        <v>20190303154252161</v>
      </c>
      <c r="B5590" t="str">
        <f>"1551598972155402"</f>
        <v>1551598972155402</v>
      </c>
      <c r="C5590" t="s">
        <v>40</v>
      </c>
      <c r="D5590">
        <v>5.5565879999999996</v>
      </c>
      <c r="E5590">
        <v>0.50490769999999996</v>
      </c>
      <c r="F5590" t="s">
        <v>57</v>
      </c>
      <c r="G5590">
        <v>-401.0258</v>
      </c>
      <c r="H5590" s="1">
        <v>-6.6031700000000002E-6</v>
      </c>
      <c r="I5590">
        <v>141.5196</v>
      </c>
      <c r="J5590">
        <v>-374.7432</v>
      </c>
      <c r="K5590">
        <v>1.120857</v>
      </c>
      <c r="L5590">
        <v>141.71379999999999</v>
      </c>
      <c r="M5590">
        <v>-0.99988350000000004</v>
      </c>
      <c r="N5590">
        <v>-1.4397099999999999E-2</v>
      </c>
      <c r="O5590">
        <v>-5.0841890000000002E-3</v>
      </c>
      <c r="P5590">
        <v>-0.99426029999999999</v>
      </c>
      <c r="Q5590">
        <v>-0.1049682</v>
      </c>
      <c r="R5590">
        <v>-2.069876E-2</v>
      </c>
      <c r="S5590">
        <v>-3.003479</v>
      </c>
      <c r="T5590">
        <v>-0.12658610000000001</v>
      </c>
      <c r="U5590">
        <v>-2.210999E-2</v>
      </c>
      <c r="V5590">
        <v>-1.5637270000000002E-2</v>
      </c>
      <c r="W5590">
        <v>-9.0642539999999994E-2</v>
      </c>
      <c r="X5590">
        <v>0.99576070000000005</v>
      </c>
      <c r="Y5590">
        <v>-2.2758320000000002E-3</v>
      </c>
      <c r="Z5590" s="1">
        <v>7.6670710000000005E-5</v>
      </c>
      <c r="AA5590">
        <v>0.99999740000000004</v>
      </c>
      <c r="AB5590">
        <v>32</v>
      </c>
      <c r="AC5590">
        <v>-26.282599999999999</v>
      </c>
      <c r="AD5590">
        <v>-1.1208636031699999</v>
      </c>
      <c r="AE5590">
        <v>-0.19419999999999499</v>
      </c>
      <c r="AF5590">
        <v>-6.0448009350996403E-2</v>
      </c>
      <c r="AG5590">
        <v>-1.1208636031699999</v>
      </c>
      <c r="AH5590">
        <v>26.235534868967498</v>
      </c>
      <c r="AI5590">
        <v>92.446359622530295</v>
      </c>
      <c r="AJ5590">
        <v>90.132012162298494</v>
      </c>
      <c r="AK5590">
        <v>26.259536915938799</v>
      </c>
      <c r="AL5590">
        <v>95.200573102007795</v>
      </c>
      <c r="AM5590">
        <v>90.899689990530305</v>
      </c>
      <c r="AN5590">
        <v>0.99999998296759696</v>
      </c>
    </row>
    <row r="5591" spans="1:40" x14ac:dyDescent="0.25">
      <c r="A5591" t="str">
        <f>"20190303154252183"</f>
        <v>20190303154252183</v>
      </c>
      <c r="B5591" t="str">
        <f>"1551598972175902"</f>
        <v>1551598972175902</v>
      </c>
      <c r="C5591" t="s">
        <v>40</v>
      </c>
      <c r="D5591">
        <v>5.5131769999999998</v>
      </c>
      <c r="E5591">
        <v>0.50466520000000004</v>
      </c>
      <c r="F5591" t="s">
        <v>57</v>
      </c>
      <c r="G5591">
        <v>-401.22309999999999</v>
      </c>
      <c r="H5591" s="1">
        <v>-6.6824749999999898E-6</v>
      </c>
      <c r="I5591">
        <v>141.49959999999999</v>
      </c>
      <c r="J5591">
        <v>-375.0557</v>
      </c>
      <c r="K5591">
        <v>1.120849</v>
      </c>
      <c r="L5591">
        <v>141.71209999999999</v>
      </c>
      <c r="M5591">
        <v>-0.99988319999999997</v>
      </c>
      <c r="N5591">
        <v>-1.439431E-2</v>
      </c>
      <c r="O5591">
        <v>-5.1297019999999999E-3</v>
      </c>
      <c r="P5591">
        <v>-0.99424310000000005</v>
      </c>
      <c r="Q5591">
        <v>-0.1051801</v>
      </c>
      <c r="R5591">
        <v>-2.0440489999999999E-2</v>
      </c>
      <c r="S5591">
        <v>-3.0033259999999999</v>
      </c>
      <c r="T5591">
        <v>-0.1271272</v>
      </c>
      <c r="U5591">
        <v>-2.4291989999999999E-2</v>
      </c>
      <c r="V5591">
        <v>-1.533403E-2</v>
      </c>
      <c r="W5591">
        <v>-9.0857380000000001E-2</v>
      </c>
      <c r="X5591">
        <v>0.99574580000000001</v>
      </c>
      <c r="Y5591">
        <v>-2.9563760000000001E-3</v>
      </c>
      <c r="Z5591" s="1">
        <v>5.9378939999999998E-5</v>
      </c>
      <c r="AA5591">
        <v>0.99999559999999998</v>
      </c>
      <c r="AB5591">
        <v>32</v>
      </c>
      <c r="AC5591">
        <v>-26.167399999999901</v>
      </c>
      <c r="AD5591">
        <v>-1.120855682475</v>
      </c>
      <c r="AE5591">
        <v>-0.21250000000000499</v>
      </c>
      <c r="AF5591">
        <v>-7.8109024554723502E-2</v>
      </c>
      <c r="AG5591">
        <v>-1.120855682475</v>
      </c>
      <c r="AH5591">
        <v>26.120224747186999</v>
      </c>
      <c r="AI5591">
        <v>92.457124292285101</v>
      </c>
      <c r="AJ5591">
        <v>90.171334823968706</v>
      </c>
      <c r="AK5591">
        <v>26.144379115293901</v>
      </c>
      <c r="AL5591">
        <v>95.212933717743397</v>
      </c>
      <c r="AM5591">
        <v>90.882259068161105</v>
      </c>
      <c r="AN5591">
        <v>0.99999994709707096</v>
      </c>
    </row>
    <row r="5592" spans="1:40" x14ac:dyDescent="0.25">
      <c r="A5592" t="str">
        <f>"20190303154252206"</f>
        <v>20190303154252206</v>
      </c>
      <c r="B5592" t="str">
        <f>"1551598972195417"</f>
        <v>1551598972195417</v>
      </c>
      <c r="C5592" t="s">
        <v>40</v>
      </c>
      <c r="D5592">
        <v>5.4997470000000002</v>
      </c>
      <c r="E5592">
        <v>0.50443789999999999</v>
      </c>
      <c r="F5592" t="s">
        <v>57</v>
      </c>
      <c r="G5592">
        <v>-401.35739999999998</v>
      </c>
      <c r="H5592" s="1">
        <v>-6.7380660000000002E-6</v>
      </c>
      <c r="I5592">
        <v>141.49010000000001</v>
      </c>
      <c r="J5592">
        <v>-375.37889999999999</v>
      </c>
      <c r="K5592">
        <v>1.120852</v>
      </c>
      <c r="L5592">
        <v>141.71039999999999</v>
      </c>
      <c r="M5592">
        <v>-0.99988299999999997</v>
      </c>
      <c r="N5592">
        <v>-1.4391340000000001E-2</v>
      </c>
      <c r="O5592">
        <v>-5.1766449999999997E-3</v>
      </c>
      <c r="P5592">
        <v>-0.99419749999999996</v>
      </c>
      <c r="Q5592">
        <v>-0.1056786</v>
      </c>
      <c r="R5592">
        <v>-2.008099E-2</v>
      </c>
      <c r="S5592">
        <v>-3.0032960000000002</v>
      </c>
      <c r="T5592">
        <v>-0.1279864</v>
      </c>
      <c r="U5592">
        <v>-2.5360110000000002E-2</v>
      </c>
      <c r="V5592">
        <v>-1.492833E-2</v>
      </c>
      <c r="W5592">
        <v>-9.1359480000000007E-2</v>
      </c>
      <c r="X5592">
        <v>0.99570610000000004</v>
      </c>
      <c r="Y5592">
        <v>-3.264777E-3</v>
      </c>
      <c r="Z5592" s="1">
        <v>5.2978710000000002E-5</v>
      </c>
      <c r="AA5592">
        <v>0.99999470000000001</v>
      </c>
      <c r="AB5592">
        <v>32</v>
      </c>
      <c r="AC5592">
        <v>-25.9785</v>
      </c>
      <c r="AD5592">
        <v>-1.120858738066</v>
      </c>
      <c r="AE5592">
        <v>-0.22029999999998001</v>
      </c>
      <c r="AF5592">
        <v>-8.5642226366865803E-2</v>
      </c>
      <c r="AG5592">
        <v>-1.120858738066</v>
      </c>
      <c r="AH5592">
        <v>25.9310240709022</v>
      </c>
      <c r="AI5592">
        <v>92.475034317943994</v>
      </c>
      <c r="AJ5592">
        <v>90.189229714351001</v>
      </c>
      <c r="AK5592">
        <v>25.955378407323298</v>
      </c>
      <c r="AL5592">
        <v>95.241821675664994</v>
      </c>
      <c r="AM5592">
        <v>90.858954490095201</v>
      </c>
      <c r="AN5592">
        <v>1.0000000235998301</v>
      </c>
    </row>
    <row r="5593" spans="1:40" x14ac:dyDescent="0.25">
      <c r="A5593" t="str">
        <f>"20190303154252227"</f>
        <v>20190303154252227</v>
      </c>
      <c r="B5593" t="str">
        <f>"1551598972215914"</f>
        <v>1551598972215914</v>
      </c>
      <c r="C5593" t="s">
        <v>40</v>
      </c>
      <c r="D5593">
        <v>5.5709920000000004</v>
      </c>
      <c r="E5593">
        <v>0.50420209999999999</v>
      </c>
      <c r="F5593" t="s">
        <v>57</v>
      </c>
      <c r="G5593">
        <v>-401.33620000000002</v>
      </c>
      <c r="H5593" s="1">
        <v>-6.7267460000000003E-6</v>
      </c>
      <c r="I5593">
        <v>141.4853</v>
      </c>
      <c r="J5593">
        <v>-375.68419999999998</v>
      </c>
      <c r="K5593">
        <v>1.120854</v>
      </c>
      <c r="L5593">
        <v>141.7088</v>
      </c>
      <c r="M5593">
        <v>-0.99988290000000002</v>
      </c>
      <c r="N5593">
        <v>-1.438846E-2</v>
      </c>
      <c r="O5593">
        <v>-5.2210859999999998E-3</v>
      </c>
      <c r="P5593">
        <v>-0.99421420000000005</v>
      </c>
      <c r="Q5593">
        <v>-0.1056569</v>
      </c>
      <c r="R5593">
        <v>-1.9364849999999999E-2</v>
      </c>
      <c r="S5593">
        <v>-3.0032040000000002</v>
      </c>
      <c r="T5593">
        <v>-0.12968080000000001</v>
      </c>
      <c r="U5593">
        <v>-2.604675E-2</v>
      </c>
      <c r="V5593">
        <v>-1.4167259999999999E-2</v>
      </c>
      <c r="W5593">
        <v>-9.1340389999999994E-2</v>
      </c>
      <c r="X5593">
        <v>0.99571900000000002</v>
      </c>
      <c r="Y5593">
        <v>-3.4489910000000002E-3</v>
      </c>
      <c r="Z5593" s="1">
        <v>5.0977129999999999E-5</v>
      </c>
      <c r="AA5593">
        <v>0.99999400000000005</v>
      </c>
      <c r="AB5593">
        <v>32</v>
      </c>
      <c r="AC5593">
        <v>-25.652000000000001</v>
      </c>
      <c r="AD5593">
        <v>-1.120860726746</v>
      </c>
      <c r="AE5593">
        <v>-0.223500000000001</v>
      </c>
      <c r="AF5593">
        <v>-8.9381158624710494E-2</v>
      </c>
      <c r="AG5593">
        <v>-1.120860726746</v>
      </c>
      <c r="AH5593">
        <v>25.603936939609898</v>
      </c>
      <c r="AI5593">
        <v>92.506615342288697</v>
      </c>
      <c r="AJ5593">
        <v>90.200013863743806</v>
      </c>
      <c r="AK5593">
        <v>25.628614956095401</v>
      </c>
      <c r="AL5593">
        <v>95.240723154774102</v>
      </c>
      <c r="AM5593">
        <v>90.815159132786405</v>
      </c>
      <c r="AN5593">
        <v>1.0000000525311199</v>
      </c>
    </row>
    <row r="5594" spans="1:40" x14ac:dyDescent="0.25">
      <c r="A5594" t="str">
        <f>"20190303154252250"</f>
        <v>20190303154252250</v>
      </c>
      <c r="B5594" t="str">
        <f>"1551598972246170"</f>
        <v>1551598972246170</v>
      </c>
      <c r="C5594" t="s">
        <v>40</v>
      </c>
      <c r="D5594">
        <v>5.5553299999999997</v>
      </c>
      <c r="E5594">
        <v>0.50395869999999998</v>
      </c>
      <c r="F5594" t="s">
        <v>57</v>
      </c>
      <c r="G5594">
        <v>-401.63389999999998</v>
      </c>
      <c r="H5594" s="1">
        <v>-6.859266E-6</v>
      </c>
      <c r="I5594">
        <v>141.48650000000001</v>
      </c>
      <c r="J5594">
        <v>-375.99930000000001</v>
      </c>
      <c r="K5594">
        <v>1.12086</v>
      </c>
      <c r="L5594">
        <v>141.7071</v>
      </c>
      <c r="M5594">
        <v>-0.99988279999999996</v>
      </c>
      <c r="N5594">
        <v>-1.438541E-2</v>
      </c>
      <c r="O5594">
        <v>-5.268638E-3</v>
      </c>
      <c r="P5594">
        <v>-0.99443839999999994</v>
      </c>
      <c r="Q5594">
        <v>-0.10346320000000001</v>
      </c>
      <c r="R5594">
        <v>-1.9700280000000001E-2</v>
      </c>
      <c r="S5594">
        <v>-3.0032040000000002</v>
      </c>
      <c r="T5594">
        <v>-0.129719</v>
      </c>
      <c r="U5594">
        <v>-2.572632E-2</v>
      </c>
      <c r="V5594">
        <v>-1.445455E-2</v>
      </c>
      <c r="W5594">
        <v>-8.9146729999999993E-2</v>
      </c>
      <c r="X5594">
        <v>0.99591359999999995</v>
      </c>
      <c r="Y5594">
        <v>-3.294955E-3</v>
      </c>
      <c r="Z5594" s="1">
        <v>5.6845719999999903E-5</v>
      </c>
      <c r="AA5594">
        <v>0.99999459999999996</v>
      </c>
      <c r="AB5594">
        <v>32</v>
      </c>
      <c r="AC5594">
        <v>-25.634599999999899</v>
      </c>
      <c r="AD5594">
        <v>-1.120866859266</v>
      </c>
      <c r="AE5594">
        <v>-0.22059999999999</v>
      </c>
      <c r="AF5594">
        <v>-8.5360369659400803E-2</v>
      </c>
      <c r="AG5594">
        <v>-1.120866859266</v>
      </c>
      <c r="AH5594">
        <v>25.586492473051901</v>
      </c>
      <c r="AI5594">
        <v>92.508337160657803</v>
      </c>
      <c r="AJ5594">
        <v>90.191146589544303</v>
      </c>
      <c r="AK5594">
        <v>25.611173850147001</v>
      </c>
      <c r="AL5594">
        <v>95.114521076006994</v>
      </c>
      <c r="AM5594">
        <v>90.831524505896795</v>
      </c>
      <c r="AN5594">
        <v>0.99999998607517704</v>
      </c>
    </row>
    <row r="5595" spans="1:40" x14ac:dyDescent="0.25">
      <c r="A5595" t="str">
        <f>"20190303154252273"</f>
        <v>20190303154252273</v>
      </c>
      <c r="B5595" t="str">
        <f>"1551598972265690"</f>
        <v>1551598972265690</v>
      </c>
      <c r="C5595" t="s">
        <v>40</v>
      </c>
      <c r="D5595">
        <v>5.5462509999999998</v>
      </c>
      <c r="E5595">
        <v>0.48960130000000002</v>
      </c>
      <c r="F5595" t="s">
        <v>57</v>
      </c>
      <c r="G5595">
        <v>-403.3091</v>
      </c>
      <c r="H5595" s="1">
        <v>-7.5843929999999998E-6</v>
      </c>
      <c r="I5595">
        <v>141.4434</v>
      </c>
      <c r="J5595">
        <v>-376.32119999999998</v>
      </c>
      <c r="K5595">
        <v>1.1208610000000001</v>
      </c>
      <c r="L5595">
        <v>141.7054</v>
      </c>
      <c r="M5595">
        <v>-0.99988250000000001</v>
      </c>
      <c r="N5595">
        <v>-1.4382219999999999E-2</v>
      </c>
      <c r="O5595">
        <v>-5.3214619999999999E-3</v>
      </c>
      <c r="P5595">
        <v>-0.99439670000000002</v>
      </c>
      <c r="Q5595">
        <v>-0.103782</v>
      </c>
      <c r="R5595">
        <v>-2.0116539999999999E-2</v>
      </c>
      <c r="S5595">
        <v>-3.0033569999999998</v>
      </c>
      <c r="T5595">
        <v>-0.123265899999999</v>
      </c>
      <c r="U5595">
        <v>-2.9006959999999998E-2</v>
      </c>
      <c r="V5595">
        <v>-1.481789E-2</v>
      </c>
      <c r="W5595">
        <v>-8.9469370000000006E-2</v>
      </c>
      <c r="X5595">
        <v>0.99587939999999997</v>
      </c>
      <c r="Y5595">
        <v>-4.3327900000000004E-3</v>
      </c>
      <c r="Z5595" s="1">
        <v>2.1738680000000001E-5</v>
      </c>
      <c r="AA5595">
        <v>0.99999059999999995</v>
      </c>
      <c r="AB5595">
        <v>32</v>
      </c>
      <c r="AC5595">
        <v>-26.9879</v>
      </c>
      <c r="AD5595">
        <v>-1.120868584393</v>
      </c>
      <c r="AE5595">
        <v>-0.26200000000000001</v>
      </c>
      <c r="AF5595">
        <v>-0.118162559794184</v>
      </c>
      <c r="AG5595">
        <v>-1.120868584393</v>
      </c>
      <c r="AH5595">
        <v>26.942442744619601</v>
      </c>
      <c r="AI5595">
        <v>92.382241709350794</v>
      </c>
      <c r="AJ5595">
        <v>90.251282804221105</v>
      </c>
      <c r="AK5595">
        <v>26.9660069313408</v>
      </c>
      <c r="AL5595">
        <v>95.133080778013806</v>
      </c>
      <c r="AM5595">
        <v>90.852452528763394</v>
      </c>
      <c r="AN5595">
        <v>1.0000000586883</v>
      </c>
    </row>
    <row r="5596" spans="1:40" x14ac:dyDescent="0.25">
      <c r="A5596" t="str">
        <f>"20190303154252296"</f>
        <v>20190303154252296</v>
      </c>
      <c r="B5596" t="str">
        <f>"1551598972286186"</f>
        <v>1551598972286186</v>
      </c>
      <c r="C5596" t="s">
        <v>40</v>
      </c>
      <c r="D5596">
        <v>5.5557249999999998</v>
      </c>
      <c r="E5596">
        <v>0.48936829999999998</v>
      </c>
      <c r="F5596" t="s">
        <v>57</v>
      </c>
      <c r="G5596">
        <v>-400.10700000000003</v>
      </c>
      <c r="H5596" s="1">
        <v>-5.8006479999999996E-6</v>
      </c>
      <c r="I5596">
        <v>140.55840000000001</v>
      </c>
      <c r="J5596">
        <v>-376.65289999999999</v>
      </c>
      <c r="K5596">
        <v>1.1208530000000001</v>
      </c>
      <c r="L5596">
        <v>141.70349999999999</v>
      </c>
      <c r="M5596">
        <v>-0.99988220000000005</v>
      </c>
      <c r="N5596">
        <v>-1.437893E-2</v>
      </c>
      <c r="O5596">
        <v>-5.3809940000000001E-3</v>
      </c>
      <c r="P5596">
        <v>-0.99417699999999998</v>
      </c>
      <c r="Q5596">
        <v>-0.10587050000000001</v>
      </c>
      <c r="R5596">
        <v>-2.0088129999999999E-2</v>
      </c>
      <c r="S5596">
        <v>-2.9992369999999999</v>
      </c>
      <c r="T5596">
        <v>-0.1413345</v>
      </c>
      <c r="U5596">
        <v>-0.1446228</v>
      </c>
      <c r="V5596">
        <v>-1.473054E-2</v>
      </c>
      <c r="W5596">
        <v>-9.1564129999999994E-2</v>
      </c>
      <c r="X5596">
        <v>0.99569019999999997</v>
      </c>
      <c r="Y5596">
        <v>-4.2729000000000003E-2</v>
      </c>
      <c r="Z5596">
        <v>-1.137274E-3</v>
      </c>
      <c r="AA5596">
        <v>0.99908600000000003</v>
      </c>
      <c r="AB5596">
        <v>32</v>
      </c>
      <c r="AC5596">
        <v>-23.454099999999901</v>
      </c>
      <c r="AD5596">
        <v>-1.120858800648</v>
      </c>
      <c r="AE5596">
        <v>-1.14509999999998</v>
      </c>
      <c r="AF5596">
        <v>-1.01654790137613</v>
      </c>
      <c r="AG5596">
        <v>-1.120858800648</v>
      </c>
      <c r="AH5596">
        <v>23.406593163131198</v>
      </c>
      <c r="AI5596">
        <v>92.739019559641307</v>
      </c>
      <c r="AJ5596">
        <v>92.486791915043199</v>
      </c>
      <c r="AK5596">
        <v>23.455453472297702</v>
      </c>
      <c r="AL5596">
        <v>95.253596858229798</v>
      </c>
      <c r="AM5596">
        <v>90.847589144089497</v>
      </c>
      <c r="AN5596">
        <v>0.99999997654369299</v>
      </c>
    </row>
    <row r="5597" spans="1:40" x14ac:dyDescent="0.25">
      <c r="A5597" t="str">
        <f>"20190303154252317"</f>
        <v>20190303154252317</v>
      </c>
      <c r="B5597" t="str">
        <f>"1551598972305707"</f>
        <v>1551598972305707</v>
      </c>
      <c r="C5597" t="s">
        <v>40</v>
      </c>
      <c r="D5597">
        <v>5.5348680000000003</v>
      </c>
      <c r="E5597">
        <v>0.48935070000000003</v>
      </c>
      <c r="F5597" t="s">
        <v>41</v>
      </c>
      <c r="G5597">
        <v>-399.64249999999998</v>
      </c>
      <c r="H5597" s="1">
        <v>-3.9243010000000002E-7</v>
      </c>
      <c r="I5597">
        <v>140.58099999999999</v>
      </c>
      <c r="J5597">
        <v>-376.94409999999999</v>
      </c>
      <c r="K5597">
        <v>1.1208499999999999</v>
      </c>
      <c r="L5597">
        <v>141.70189999999999</v>
      </c>
      <c r="M5597">
        <v>-0.99988189999999999</v>
      </c>
      <c r="N5597">
        <v>-1.437596E-2</v>
      </c>
      <c r="O5597">
        <v>-5.4380219999999998E-3</v>
      </c>
      <c r="P5597">
        <v>-0.99377990000000005</v>
      </c>
      <c r="Q5597">
        <v>-0.1096095</v>
      </c>
      <c r="R5597">
        <v>-1.968431E-2</v>
      </c>
      <c r="S5597">
        <v>-2.9990540000000001</v>
      </c>
      <c r="T5597">
        <v>-0.14621879999999901</v>
      </c>
      <c r="U5597">
        <v>-0.14642330000000001</v>
      </c>
      <c r="V5597">
        <v>-1.4270659999999999E-2</v>
      </c>
      <c r="W5597">
        <v>-9.531154E-2</v>
      </c>
      <c r="X5597">
        <v>0.99534520000000004</v>
      </c>
      <c r="Y5597">
        <v>-4.3269019999999998E-2</v>
      </c>
      <c r="Z5597">
        <v>-1.178293E-3</v>
      </c>
      <c r="AA5597">
        <v>0.99906280000000003</v>
      </c>
      <c r="AB5597">
        <v>31</v>
      </c>
      <c r="AC5597">
        <v>-22.6983999999999</v>
      </c>
      <c r="AD5597">
        <v>-1.1208503924301001</v>
      </c>
      <c r="AE5597">
        <v>-1.12089999999997</v>
      </c>
      <c r="AF5597">
        <v>-0.99501592685305695</v>
      </c>
      <c r="AG5597">
        <v>-1.1208503924301001</v>
      </c>
      <c r="AH5597">
        <v>22.649067300759999</v>
      </c>
      <c r="AI5597">
        <v>92.830399829292006</v>
      </c>
      <c r="AJ5597">
        <v>92.515493378383894</v>
      </c>
      <c r="AK5597">
        <v>22.698603743209802</v>
      </c>
      <c r="AL5597">
        <v>95.469251081296093</v>
      </c>
      <c r="AM5597">
        <v>90.821416097880899</v>
      </c>
      <c r="AN5597">
        <v>1.00000000427852</v>
      </c>
    </row>
    <row r="5598" spans="1:40" x14ac:dyDescent="0.25">
      <c r="A5598" t="str">
        <f>"20190303154252341"</f>
        <v>20190303154252341</v>
      </c>
      <c r="B5598" t="str">
        <f>"1551598972335962"</f>
        <v>1551598972335962</v>
      </c>
      <c r="C5598" t="s">
        <v>40</v>
      </c>
      <c r="D5598">
        <v>5.5240640000000001</v>
      </c>
      <c r="E5598">
        <v>0.48917430000000001</v>
      </c>
      <c r="F5598" t="s">
        <v>41</v>
      </c>
      <c r="G5598">
        <v>-398.04239999999999</v>
      </c>
      <c r="H5598" s="1">
        <v>-1.105438E-6</v>
      </c>
      <c r="I5598">
        <v>140.68090000000001</v>
      </c>
      <c r="J5598">
        <v>-377.28089999999997</v>
      </c>
      <c r="K5598">
        <v>1.120849</v>
      </c>
      <c r="L5598">
        <v>141.69999999999999</v>
      </c>
      <c r="M5598">
        <v>-0.99988160000000004</v>
      </c>
      <c r="N5598">
        <v>-1.437254E-2</v>
      </c>
      <c r="O5598">
        <v>-5.5083969999999999E-3</v>
      </c>
      <c r="P5598">
        <v>-0.99366770000000004</v>
      </c>
      <c r="Q5598">
        <v>-0.1106545</v>
      </c>
      <c r="R5598">
        <v>-1.949329E-2</v>
      </c>
      <c r="S5598">
        <v>-2.9983219999999999</v>
      </c>
      <c r="T5598">
        <v>-0.1592867</v>
      </c>
      <c r="U5598">
        <v>-0.1450806</v>
      </c>
      <c r="V5598">
        <v>-1.400962E-2</v>
      </c>
      <c r="W5598">
        <v>-9.6361559999999999E-2</v>
      </c>
      <c r="X5598">
        <v>0.99524780000000002</v>
      </c>
      <c r="Y5598">
        <v>-4.2755099999999997E-2</v>
      </c>
      <c r="Z5598">
        <v>-1.2287890000000001E-3</v>
      </c>
      <c r="AA5598">
        <v>0.9990848</v>
      </c>
      <c r="AB5598">
        <v>31</v>
      </c>
      <c r="AC5598">
        <v>-20.761500000000002</v>
      </c>
      <c r="AD5598">
        <v>-1.120850105438</v>
      </c>
      <c r="AE5598">
        <v>-1.0190999999999799</v>
      </c>
      <c r="AF5598">
        <v>-0.902087249186872</v>
      </c>
      <c r="AG5598">
        <v>-1.120850105438</v>
      </c>
      <c r="AH5598">
        <v>20.706592956089501</v>
      </c>
      <c r="AI5598">
        <v>93.095472513404005</v>
      </c>
      <c r="AJ5598">
        <v>92.494525815223398</v>
      </c>
      <c r="AK5598">
        <v>20.756518451156001</v>
      </c>
      <c r="AL5598">
        <v>95.529691013268703</v>
      </c>
      <c r="AM5598">
        <v>90.8064716018838</v>
      </c>
      <c r="AN5598">
        <v>1.0000000015515</v>
      </c>
    </row>
    <row r="5599" spans="1:40" x14ac:dyDescent="0.25">
      <c r="A5599" t="str">
        <f>"20190303154252363"</f>
        <v>20190303154252363</v>
      </c>
      <c r="B5599" t="str">
        <f>"1551598972355482"</f>
        <v>1551598972355482</v>
      </c>
      <c r="C5599" t="s">
        <v>40</v>
      </c>
      <c r="D5599">
        <v>5.5362309999999999</v>
      </c>
      <c r="E5599">
        <v>0.48899520000000002</v>
      </c>
      <c r="F5599" t="s">
        <v>41</v>
      </c>
      <c r="G5599">
        <v>-397.77659999999997</v>
      </c>
      <c r="H5599" s="1">
        <v>-1.224934E-6</v>
      </c>
      <c r="I5599">
        <v>140.70140000000001</v>
      </c>
      <c r="J5599">
        <v>-377.5822</v>
      </c>
      <c r="K5599">
        <v>1.1208549999999999</v>
      </c>
      <c r="L5599">
        <v>141.69829999999999</v>
      </c>
      <c r="M5599">
        <v>-0.99988129999999997</v>
      </c>
      <c r="N5599">
        <v>-1.4369450000000001E-2</v>
      </c>
      <c r="O5599">
        <v>-5.5740980000000004E-3</v>
      </c>
      <c r="P5599">
        <v>-0.99372859999999996</v>
      </c>
      <c r="Q5599">
        <v>-0.1102134</v>
      </c>
      <c r="R5599">
        <v>-1.888538E-2</v>
      </c>
      <c r="S5599">
        <v>-2.9980159999999998</v>
      </c>
      <c r="T5599">
        <v>-0.16395390000000001</v>
      </c>
      <c r="U5599">
        <v>-0.1460571</v>
      </c>
      <c r="V5599">
        <v>-1.3335339999999999E-2</v>
      </c>
      <c r="W5599">
        <v>-9.5922759999999996E-2</v>
      </c>
      <c r="X5599">
        <v>0.9952995</v>
      </c>
      <c r="Y5599">
        <v>-4.3014879999999998E-2</v>
      </c>
      <c r="Z5599">
        <v>-1.259753E-3</v>
      </c>
      <c r="AA5599">
        <v>0.99907360000000001</v>
      </c>
      <c r="AB5599">
        <v>31</v>
      </c>
      <c r="AC5599">
        <v>-20.194399999999899</v>
      </c>
      <c r="AD5599">
        <v>-1.1208562249339999</v>
      </c>
      <c r="AE5599">
        <v>-0.99689999999998202</v>
      </c>
      <c r="AF5599">
        <v>-0.88159806613104497</v>
      </c>
      <c r="AG5599">
        <v>-1.1208562249339999</v>
      </c>
      <c r="AH5599">
        <v>20.137757662608099</v>
      </c>
      <c r="AI5599">
        <v>93.182721479521604</v>
      </c>
      <c r="AJ5599">
        <v>92.50671484419</v>
      </c>
      <c r="AK5599">
        <v>20.1881850968607</v>
      </c>
      <c r="AL5599">
        <v>95.504432345696301</v>
      </c>
      <c r="AM5599">
        <v>90.767621188707693</v>
      </c>
      <c r="AN5599">
        <v>1.0000000509395901</v>
      </c>
    </row>
    <row r="5600" spans="1:40" x14ac:dyDescent="0.25">
      <c r="A5600" t="str">
        <f>"20190303154252384"</f>
        <v>20190303154252384</v>
      </c>
      <c r="B5600" t="str">
        <f>"1551598972375978"</f>
        <v>1551598972375978</v>
      </c>
      <c r="C5600" t="s">
        <v>40</v>
      </c>
      <c r="D5600">
        <v>5.4900979999999997</v>
      </c>
      <c r="E5600">
        <v>0.48904170000000002</v>
      </c>
      <c r="F5600" t="s">
        <v>41</v>
      </c>
      <c r="G5600">
        <v>-398.27940000000001</v>
      </c>
      <c r="H5600" s="1">
        <v>-1.007121E-6</v>
      </c>
      <c r="I5600">
        <v>140.6935</v>
      </c>
      <c r="J5600">
        <v>-377.8854</v>
      </c>
      <c r="K5600">
        <v>1.120857</v>
      </c>
      <c r="L5600">
        <v>141.69649999999999</v>
      </c>
      <c r="M5600">
        <v>-0.99988089999999996</v>
      </c>
      <c r="N5600">
        <v>-1.436633E-2</v>
      </c>
      <c r="O5600">
        <v>-5.6422859999999998E-3</v>
      </c>
      <c r="P5600">
        <v>-0.99373710000000004</v>
      </c>
      <c r="Q5600">
        <v>-0.1102303</v>
      </c>
      <c r="R5600">
        <v>-1.8332299999999999E-2</v>
      </c>
      <c r="S5600">
        <v>-2.9981689999999999</v>
      </c>
      <c r="T5600">
        <v>-0.1623666</v>
      </c>
      <c r="U5600">
        <v>-0.14553829999999901</v>
      </c>
      <c r="V5600">
        <v>-1.2714069999999999E-2</v>
      </c>
      <c r="W5600">
        <v>-9.5942739999999999E-2</v>
      </c>
      <c r="X5600">
        <v>0.99530569999999896</v>
      </c>
      <c r="Y5600">
        <v>-4.277359E-2</v>
      </c>
      <c r="Z5600">
        <v>-1.240241E-3</v>
      </c>
      <c r="AA5600">
        <v>0.99908399999999997</v>
      </c>
      <c r="AB5600">
        <v>31</v>
      </c>
      <c r="AC5600">
        <v>-20.393999999999998</v>
      </c>
      <c r="AD5600">
        <v>-1.1208580071209999</v>
      </c>
      <c r="AE5600">
        <v>-1.0029999999999799</v>
      </c>
      <c r="AF5600">
        <v>-0.88523586564680901</v>
      </c>
      <c r="AG5600">
        <v>-1.1208580071209999</v>
      </c>
      <c r="AH5600">
        <v>20.338049779058998</v>
      </c>
      <c r="AI5600">
        <v>93.151480629861993</v>
      </c>
      <c r="AJ5600">
        <v>92.492288379514804</v>
      </c>
      <c r="AK5600">
        <v>20.388139543014599</v>
      </c>
      <c r="AL5600">
        <v>95.505582443112004</v>
      </c>
      <c r="AM5600">
        <v>90.7318584961222</v>
      </c>
      <c r="AN5600">
        <v>1.0000000466935799</v>
      </c>
    </row>
    <row r="5601" spans="1:40" x14ac:dyDescent="0.25">
      <c r="A5601" t="str">
        <f>"20190303154252406"</f>
        <v>20190303154252406</v>
      </c>
      <c r="B5601" t="str">
        <f>"1551598972395498"</f>
        <v>1551598972395498</v>
      </c>
      <c r="C5601" t="s">
        <v>40</v>
      </c>
      <c r="D5601">
        <v>5.5332229999999996</v>
      </c>
      <c r="E5601">
        <v>0.48898530000000001</v>
      </c>
      <c r="F5601" t="s">
        <v>41</v>
      </c>
      <c r="G5601">
        <v>-398.76440000000002</v>
      </c>
      <c r="H5601" s="1">
        <v>-8.0048259999999999E-7</v>
      </c>
      <c r="I5601">
        <v>140.69890000000001</v>
      </c>
      <c r="J5601">
        <v>-378.19420000000002</v>
      </c>
      <c r="K5601">
        <v>1.120857</v>
      </c>
      <c r="L5601">
        <v>141.69470000000001</v>
      </c>
      <c r="M5601">
        <v>-0.99988069999999896</v>
      </c>
      <c r="N5601">
        <v>-1.436313E-2</v>
      </c>
      <c r="O5601">
        <v>-5.7130810000000001E-3</v>
      </c>
      <c r="P5601">
        <v>-0.99370080000000005</v>
      </c>
      <c r="Q5601">
        <v>-0.1106689</v>
      </c>
      <c r="R5601">
        <v>-1.7647360000000001E-2</v>
      </c>
      <c r="S5601">
        <v>-2.9984130000000002</v>
      </c>
      <c r="T5601">
        <v>-0.16096579999999999</v>
      </c>
      <c r="U5601">
        <v>-0.1432495</v>
      </c>
      <c r="V5601">
        <v>-1.195894E-2</v>
      </c>
      <c r="W5601">
        <v>-9.6384880000000006E-2</v>
      </c>
      <c r="X5601">
        <v>0.9952723</v>
      </c>
      <c r="Y5601">
        <v>-4.1940720000000001E-2</v>
      </c>
      <c r="Z5601">
        <v>-1.20166E-3</v>
      </c>
      <c r="AA5601">
        <v>0.99911939999999999</v>
      </c>
      <c r="AB5601">
        <v>31</v>
      </c>
      <c r="AC5601">
        <v>-20.5702</v>
      </c>
      <c r="AD5601">
        <v>-1.1208578004826</v>
      </c>
      <c r="AE5601">
        <v>-0.99580000000000202</v>
      </c>
      <c r="AF5601">
        <v>-0.87565858907777705</v>
      </c>
      <c r="AG5601">
        <v>-1.1208578004826</v>
      </c>
      <c r="AH5601">
        <v>20.5147859755063</v>
      </c>
      <c r="AI5601">
        <v>93.124496813470003</v>
      </c>
      <c r="AJ5601">
        <v>92.444144668022304</v>
      </c>
      <c r="AK5601">
        <v>20.564035202128</v>
      </c>
      <c r="AL5601">
        <v>95.531033373262801</v>
      </c>
      <c r="AM5601">
        <v>90.688418452403795</v>
      </c>
      <c r="AN5601">
        <v>1.00000000624291</v>
      </c>
    </row>
    <row r="5602" spans="1:40" x14ac:dyDescent="0.25">
      <c r="A5602" t="str">
        <f>"20190303154252429"</f>
        <v>20190303154252429</v>
      </c>
      <c r="B5602" t="str">
        <f>"1551598972425754"</f>
        <v>1551598972425754</v>
      </c>
      <c r="C5602" t="s">
        <v>40</v>
      </c>
      <c r="D5602">
        <v>5.5038039999999997</v>
      </c>
      <c r="E5602">
        <v>0.4888014</v>
      </c>
      <c r="F5602" t="s">
        <v>41</v>
      </c>
      <c r="G5602">
        <v>-399.03530000000001</v>
      </c>
      <c r="H5602" s="1">
        <v>-6.8705539999999995E-7</v>
      </c>
      <c r="I5602">
        <v>140.70939999999999</v>
      </c>
      <c r="J5602">
        <v>-378.50970000000001</v>
      </c>
      <c r="K5602">
        <v>1.120857</v>
      </c>
      <c r="L5602">
        <v>141.69280000000001</v>
      </c>
      <c r="M5602">
        <v>-0.99988030000000006</v>
      </c>
      <c r="N5602">
        <v>-1.435984E-2</v>
      </c>
      <c r="O5602">
        <v>-5.7858950000000001E-3</v>
      </c>
      <c r="P5602">
        <v>-0.99362629999999996</v>
      </c>
      <c r="Q5602">
        <v>-0.1112945</v>
      </c>
      <c r="R5602">
        <v>-1.7908319999999998E-2</v>
      </c>
      <c r="S5602">
        <v>-2.998535</v>
      </c>
      <c r="T5602">
        <v>-0.16126450000000001</v>
      </c>
      <c r="U5602">
        <v>-0.1417389</v>
      </c>
      <c r="V5602">
        <v>-1.214755E-2</v>
      </c>
      <c r="W5602">
        <v>-9.7014779999999995E-2</v>
      </c>
      <c r="X5602">
        <v>0.9952088</v>
      </c>
      <c r="Y5602">
        <v>-4.1364690000000003E-2</v>
      </c>
      <c r="Z5602">
        <v>-1.1805839999999999E-3</v>
      </c>
      <c r="AA5602">
        <v>0.99914340000000001</v>
      </c>
      <c r="AB5602">
        <v>31</v>
      </c>
      <c r="AC5602">
        <v>-20.525600000000001</v>
      </c>
      <c r="AD5602">
        <v>-1.1208576870553999</v>
      </c>
      <c r="AE5602">
        <v>-0.98340000000001704</v>
      </c>
      <c r="AF5602">
        <v>-0.86204759290343402</v>
      </c>
      <c r="AG5602">
        <v>-1.1208576870553999</v>
      </c>
      <c r="AH5602">
        <v>20.470044699470598</v>
      </c>
      <c r="AI5602">
        <v>93.131387723971798</v>
      </c>
      <c r="AJ5602">
        <v>92.411451575721998</v>
      </c>
      <c r="AK5602">
        <v>20.518824966488399</v>
      </c>
      <c r="AL5602">
        <v>95.567293990598202</v>
      </c>
      <c r="AM5602">
        <v>90.699319363248904</v>
      </c>
      <c r="AN5602">
        <v>0.999999993053445</v>
      </c>
    </row>
    <row r="5603" spans="1:40" x14ac:dyDescent="0.25">
      <c r="A5603" t="str">
        <f>"20190303154252451"</f>
        <v>20190303154252451</v>
      </c>
      <c r="B5603" t="str">
        <f>"1551598972446249"</f>
        <v>1551598972446249</v>
      </c>
      <c r="C5603" t="s">
        <v>40</v>
      </c>
      <c r="D5603">
        <v>5.4961019999999996</v>
      </c>
      <c r="E5603">
        <v>0.4885196</v>
      </c>
      <c r="F5603" t="s">
        <v>41</v>
      </c>
      <c r="G5603">
        <v>-399.2004</v>
      </c>
      <c r="H5603" s="1">
        <v>-6.1368469999999897E-7</v>
      </c>
      <c r="I5603">
        <v>140.69980000000001</v>
      </c>
      <c r="J5603">
        <v>-378.8177</v>
      </c>
      <c r="K5603">
        <v>1.12086</v>
      </c>
      <c r="L5603">
        <v>141.6909</v>
      </c>
      <c r="M5603">
        <v>-0.99987990000000004</v>
      </c>
      <c r="N5603">
        <v>-1.435645E-2</v>
      </c>
      <c r="O5603">
        <v>-5.8555969999999997E-3</v>
      </c>
      <c r="P5603">
        <v>-0.99365879999999995</v>
      </c>
      <c r="Q5603">
        <v>-0.1109962</v>
      </c>
      <c r="R5603">
        <v>-1.7949799999999998E-2</v>
      </c>
      <c r="S5603">
        <v>-2.9984130000000002</v>
      </c>
      <c r="T5603">
        <v>-0.16243079999999999</v>
      </c>
      <c r="U5603">
        <v>-0.1438904</v>
      </c>
      <c r="V5603">
        <v>-1.212038E-2</v>
      </c>
      <c r="W5603">
        <v>-9.6719410000000006E-2</v>
      </c>
      <c r="X5603">
        <v>0.99523790000000001</v>
      </c>
      <c r="Y5603">
        <v>-4.2010209999999999E-2</v>
      </c>
      <c r="Z5603">
        <v>-1.2056300000000001E-3</v>
      </c>
      <c r="AA5603">
        <v>0.99911649999999996</v>
      </c>
      <c r="AB5603">
        <v>31</v>
      </c>
      <c r="AC5603">
        <v>-20.3827</v>
      </c>
      <c r="AD5603">
        <v>-1.1208606136846999</v>
      </c>
      <c r="AE5603">
        <v>-0.99109999999998799</v>
      </c>
      <c r="AF5603">
        <v>-0.86909590404961501</v>
      </c>
      <c r="AG5603">
        <v>-1.1208606136846999</v>
      </c>
      <c r="AH5603">
        <v>20.326831496560601</v>
      </c>
      <c r="AI5603">
        <v>93.1533280684273</v>
      </c>
      <c r="AJ5603">
        <v>92.448252551340801</v>
      </c>
      <c r="AK5603">
        <v>20.376254191958701</v>
      </c>
      <c r="AL5603">
        <v>95.550290464882394</v>
      </c>
      <c r="AM5603">
        <v>90.6977349750982</v>
      </c>
      <c r="AN5603">
        <v>1.0000000127392501</v>
      </c>
    </row>
    <row r="5604" spans="1:40" x14ac:dyDescent="0.25">
      <c r="A5604" t="str">
        <f>"20190303154252473"</f>
        <v>20190303154252473</v>
      </c>
      <c r="B5604" t="str">
        <f>"1551598972465770"</f>
        <v>1551598972465770</v>
      </c>
      <c r="C5604" t="s">
        <v>40</v>
      </c>
      <c r="D5604">
        <v>5.5432779999999999</v>
      </c>
      <c r="E5604">
        <v>0.48827779999999998</v>
      </c>
      <c r="F5604" t="s">
        <v>41</v>
      </c>
      <c r="G5604">
        <v>-399.63130000000001</v>
      </c>
      <c r="H5604" s="1">
        <v>-4.2256079999999998E-7</v>
      </c>
      <c r="I5604">
        <v>140.6763</v>
      </c>
      <c r="J5604">
        <v>-379.13279999999997</v>
      </c>
      <c r="K5604">
        <v>1.1208659999999999</v>
      </c>
      <c r="L5604">
        <v>141.68899999999999</v>
      </c>
      <c r="M5604">
        <v>-0.99987950000000003</v>
      </c>
      <c r="N5604">
        <v>-1.435298E-2</v>
      </c>
      <c r="O5604">
        <v>-5.9243309999999997E-3</v>
      </c>
      <c r="P5604">
        <v>-0.99386010000000002</v>
      </c>
      <c r="Q5604">
        <v>-0.10908420000000001</v>
      </c>
      <c r="R5604">
        <v>-1.8520499999999999E-2</v>
      </c>
      <c r="S5604">
        <v>-2.9984739999999999</v>
      </c>
      <c r="T5604">
        <v>-0.1614747</v>
      </c>
      <c r="U5604">
        <v>-0.14616390000000001</v>
      </c>
      <c r="V5604">
        <v>-1.2621479999999999E-2</v>
      </c>
      <c r="W5604">
        <v>-9.4808089999999998E-2</v>
      </c>
      <c r="X5604">
        <v>0.99541559999999996</v>
      </c>
      <c r="Y5604">
        <v>-4.2695900000000002E-2</v>
      </c>
      <c r="Z5604">
        <v>-1.221347E-3</v>
      </c>
      <c r="AA5604">
        <v>0.99908739999999996</v>
      </c>
      <c r="AB5604">
        <v>31</v>
      </c>
      <c r="AC5604">
        <v>-20.4985</v>
      </c>
      <c r="AD5604">
        <v>-1.1208664225607901</v>
      </c>
      <c r="AE5604">
        <v>-1.0126999999999899</v>
      </c>
      <c r="AF5604">
        <v>-0.88857948480147697</v>
      </c>
      <c r="AG5604">
        <v>-1.1208664225607901</v>
      </c>
      <c r="AH5604">
        <v>20.443165218996899</v>
      </c>
      <c r="AI5604">
        <v>93.1353403175778</v>
      </c>
      <c r="AJ5604">
        <v>92.488842982256401</v>
      </c>
      <c r="AK5604">
        <v>20.493143224240601</v>
      </c>
      <c r="AL5604">
        <v>95.440274072589503</v>
      </c>
      <c r="AM5604">
        <v>90.726449117674306</v>
      </c>
      <c r="AN5604">
        <v>1.00000004620509</v>
      </c>
    </row>
    <row r="5605" spans="1:40" x14ac:dyDescent="0.25">
      <c r="A5605" t="str">
        <f>"20190303154252496"</f>
        <v>20190303154252496</v>
      </c>
      <c r="B5605" t="str">
        <f>"1551598972485290"</f>
        <v>1551598972485290</v>
      </c>
      <c r="C5605" t="s">
        <v>40</v>
      </c>
      <c r="D5605">
        <v>5.5351189999999999</v>
      </c>
      <c r="E5605">
        <v>0.48806389999999999</v>
      </c>
      <c r="F5605" t="s">
        <v>57</v>
      </c>
      <c r="G5605">
        <v>-400.6619</v>
      </c>
      <c r="H5605" s="1">
        <v>-6.0693810000000004E-6</v>
      </c>
      <c r="I5605">
        <v>140.61349999999999</v>
      </c>
      <c r="J5605">
        <v>-379.44200000000001</v>
      </c>
      <c r="K5605">
        <v>1.12087</v>
      </c>
      <c r="L5605">
        <v>141.68709999999999</v>
      </c>
      <c r="M5605">
        <v>-0.99987919999999997</v>
      </c>
      <c r="N5605">
        <v>-1.4349819999999999E-2</v>
      </c>
      <c r="O5605">
        <v>-5.9897259999999999E-3</v>
      </c>
      <c r="P5605">
        <v>-0.99403200000000003</v>
      </c>
      <c r="Q5605">
        <v>-0.1072864</v>
      </c>
      <c r="R5605">
        <v>-1.975584E-2</v>
      </c>
      <c r="S5605">
        <v>-2.998596</v>
      </c>
      <c r="T5605">
        <v>-0.1561168</v>
      </c>
      <c r="U5605">
        <v>-0.1497955</v>
      </c>
      <c r="V5605">
        <v>-1.3791930000000001E-2</v>
      </c>
      <c r="W5605">
        <v>-9.3011120000000003E-2</v>
      </c>
      <c r="X5605">
        <v>0.9955695</v>
      </c>
      <c r="Y5605">
        <v>-4.3837870000000001E-2</v>
      </c>
      <c r="Z5605">
        <v>-1.2291439999999999E-3</v>
      </c>
      <c r="AA5605">
        <v>0.99903790000000003</v>
      </c>
      <c r="AB5605">
        <v>31</v>
      </c>
      <c r="AC5605">
        <v>-21.219899999999999</v>
      </c>
      <c r="AD5605">
        <v>-1.120876069381</v>
      </c>
      <c r="AE5605">
        <v>-1.0735999999999899</v>
      </c>
      <c r="AF5605">
        <v>-0.94383953948795596</v>
      </c>
      <c r="AG5605">
        <v>-1.120876069381</v>
      </c>
      <c r="AH5605">
        <v>21.167041934986798</v>
      </c>
      <c r="AI5605">
        <v>93.028196824112499</v>
      </c>
      <c r="AJ5605">
        <v>92.553130682603197</v>
      </c>
      <c r="AK5605">
        <v>21.217701584212701</v>
      </c>
      <c r="AL5605">
        <v>95.336858717950903</v>
      </c>
      <c r="AM5605">
        <v>90.793685257274106</v>
      </c>
      <c r="AN5605">
        <v>0.99999995755351301</v>
      </c>
    </row>
    <row r="5606" spans="1:40" x14ac:dyDescent="0.25">
      <c r="A5606" t="str">
        <f>"20190303154252518"</f>
        <v>20190303154252518</v>
      </c>
      <c r="B5606" t="str">
        <f>"1551598972505786"</f>
        <v>1551598972505786</v>
      </c>
      <c r="C5606" t="s">
        <v>40</v>
      </c>
      <c r="D5606">
        <v>5.5540520000000004</v>
      </c>
      <c r="E5606">
        <v>0.48788019999999999</v>
      </c>
      <c r="F5606" t="s">
        <v>57</v>
      </c>
      <c r="G5606">
        <v>-401.78440000000001</v>
      </c>
      <c r="H5606" s="1">
        <v>-6.5321929999999999E-6</v>
      </c>
      <c r="I5606">
        <v>140.5284</v>
      </c>
      <c r="J5606">
        <v>-379.74329999999998</v>
      </c>
      <c r="K5606">
        <v>1.1208670000000001</v>
      </c>
      <c r="L5606">
        <v>141.68530000000001</v>
      </c>
      <c r="M5606">
        <v>-0.99987879999999996</v>
      </c>
      <c r="N5606">
        <v>-1.434681E-2</v>
      </c>
      <c r="O5606">
        <v>-6.0522639999999999E-3</v>
      </c>
      <c r="P5606">
        <v>-0.99414959999999997</v>
      </c>
      <c r="Q5606">
        <v>-0.1059571</v>
      </c>
      <c r="R5606">
        <v>-2.0967989999999999E-2</v>
      </c>
      <c r="S5606">
        <v>-2.9986570000000001</v>
      </c>
      <c r="T5606">
        <v>-0.15043719999999999</v>
      </c>
      <c r="U5606">
        <v>-0.15551760000000001</v>
      </c>
      <c r="V5606">
        <v>-1.494118E-2</v>
      </c>
      <c r="W5606">
        <v>-9.1683219999999996E-2</v>
      </c>
      <c r="X5606">
        <v>0.99567609999999995</v>
      </c>
      <c r="Y5606">
        <v>-4.5677229999999999E-2</v>
      </c>
      <c r="Z5606">
        <v>-1.2559649999999999E-3</v>
      </c>
      <c r="AA5606">
        <v>0.9989555</v>
      </c>
      <c r="AB5606">
        <v>31</v>
      </c>
      <c r="AC5606">
        <v>-22.0411</v>
      </c>
      <c r="AD5606">
        <v>-1.1208735321929999</v>
      </c>
      <c r="AE5606">
        <v>-1.1569</v>
      </c>
      <c r="AF5606">
        <v>-1.0208337915324801</v>
      </c>
      <c r="AG5606">
        <v>-1.1208735321929999</v>
      </c>
      <c r="AH5606">
        <v>21.990984001879699</v>
      </c>
      <c r="AI5606">
        <v>92.914689572913503</v>
      </c>
      <c r="AJ5606">
        <v>92.6577941987928</v>
      </c>
      <c r="AK5606">
        <v>22.0431811786782</v>
      </c>
      <c r="AL5606">
        <v>95.260449049001906</v>
      </c>
      <c r="AM5606">
        <v>90.859719648493495</v>
      </c>
      <c r="AN5606">
        <v>0.99999997390028394</v>
      </c>
    </row>
    <row r="5607" spans="1:40" x14ac:dyDescent="0.25">
      <c r="A5607" t="str">
        <f>"20190303154252540"</f>
        <v>20190303154252540</v>
      </c>
      <c r="B5607" t="str">
        <f>"1551598972536042"</f>
        <v>1551598972536042</v>
      </c>
      <c r="C5607" t="s">
        <v>40</v>
      </c>
      <c r="D5607">
        <v>5.5190039999999998</v>
      </c>
      <c r="E5607">
        <v>0.48790299999999998</v>
      </c>
      <c r="F5607" t="s">
        <v>57</v>
      </c>
      <c r="G5607">
        <v>-402.61399999999998</v>
      </c>
      <c r="H5607" s="1">
        <v>-6.8715969999999997E-6</v>
      </c>
      <c r="I5607">
        <v>140.45910000000001</v>
      </c>
      <c r="J5607">
        <v>-380.06200000000001</v>
      </c>
      <c r="K5607">
        <v>1.120865</v>
      </c>
      <c r="L5607">
        <v>141.6832</v>
      </c>
      <c r="M5607">
        <v>-0.99987859999999995</v>
      </c>
      <c r="N5607">
        <v>-1.434359E-2</v>
      </c>
      <c r="O5607">
        <v>-6.1168309999999997E-3</v>
      </c>
      <c r="P5607">
        <v>-0.9941236</v>
      </c>
      <c r="Q5607">
        <v>-0.1059377</v>
      </c>
      <c r="R5607">
        <v>-2.2270189999999999E-2</v>
      </c>
      <c r="S5607">
        <v>-2.998596</v>
      </c>
      <c r="T5607">
        <v>-0.14695820000000001</v>
      </c>
      <c r="U5607">
        <v>-0.16076660000000001</v>
      </c>
      <c r="V5607">
        <v>-1.6179410000000002E-2</v>
      </c>
      <c r="W5607">
        <v>-9.1667399999999996E-2</v>
      </c>
      <c r="X5607">
        <v>0.99565820000000005</v>
      </c>
      <c r="Y5607">
        <v>-4.7357719999999999E-2</v>
      </c>
      <c r="Z5607">
        <v>-1.2873889999999999E-3</v>
      </c>
      <c r="AA5607">
        <v>0.99887720000000002</v>
      </c>
      <c r="AB5607">
        <v>31</v>
      </c>
      <c r="AC5607">
        <v>-22.552</v>
      </c>
      <c r="AD5607">
        <v>-1.1208718715970001</v>
      </c>
      <c r="AE5607">
        <v>-1.22409999999999</v>
      </c>
      <c r="AF5607">
        <v>-1.08344762487782</v>
      </c>
      <c r="AG5607">
        <v>-1.1208718715970001</v>
      </c>
      <c r="AH5607">
        <v>22.503639957781498</v>
      </c>
      <c r="AI5607">
        <v>92.848164969649503</v>
      </c>
      <c r="AJ5607">
        <v>92.756402007805093</v>
      </c>
      <c r="AK5607">
        <v>22.557571320021399</v>
      </c>
      <c r="AL5607">
        <v>95.259538825751406</v>
      </c>
      <c r="AM5607">
        <v>90.930972420994493</v>
      </c>
      <c r="AN5607">
        <v>0.99999996837897298</v>
      </c>
    </row>
    <row r="5608" spans="1:40" x14ac:dyDescent="0.25">
      <c r="A5608" t="str">
        <f>"20190303154252564"</f>
        <v>20190303154252564</v>
      </c>
      <c r="B5608" t="str">
        <f>"1551598972555562"</f>
        <v>1551598972555562</v>
      </c>
      <c r="C5608" t="s">
        <v>40</v>
      </c>
      <c r="D5608">
        <v>5.5128250000000003</v>
      </c>
      <c r="E5608">
        <v>0.48975740000000001</v>
      </c>
      <c r="F5608" t="s">
        <v>57</v>
      </c>
      <c r="G5608">
        <v>-402.88589999999999</v>
      </c>
      <c r="H5608" s="1">
        <v>-6.9809070000000003E-6</v>
      </c>
      <c r="I5608">
        <v>140.43170000000001</v>
      </c>
      <c r="J5608">
        <v>-380.37810000000002</v>
      </c>
      <c r="K5608">
        <v>1.1208659999999999</v>
      </c>
      <c r="L5608">
        <v>141.68119999999999</v>
      </c>
      <c r="M5608">
        <v>-0.99987820000000005</v>
      </c>
      <c r="N5608">
        <v>-1.434039E-2</v>
      </c>
      <c r="O5608">
        <v>-6.1779319999999997E-3</v>
      </c>
      <c r="P5608">
        <v>-0.99399780000000004</v>
      </c>
      <c r="Q5608">
        <v>-0.1070338</v>
      </c>
      <c r="R5608">
        <v>-2.2639900000000001E-2</v>
      </c>
      <c r="S5608">
        <v>-2.998383</v>
      </c>
      <c r="T5608">
        <v>-0.1472492</v>
      </c>
      <c r="U5608">
        <v>-0.16441349999999999</v>
      </c>
      <c r="V5608">
        <v>-1.648964E-2</v>
      </c>
      <c r="W5608">
        <v>-9.276827E-2</v>
      </c>
      <c r="X5608">
        <v>0.99555119999999997</v>
      </c>
      <c r="Y5608">
        <v>-4.850981E-2</v>
      </c>
      <c r="Z5608">
        <v>-1.323439E-3</v>
      </c>
      <c r="AA5608">
        <v>0.99882190000000004</v>
      </c>
      <c r="AB5608">
        <v>31</v>
      </c>
      <c r="AC5608">
        <v>-22.5077999999999</v>
      </c>
      <c r="AD5608">
        <v>-1.1208729809069999</v>
      </c>
      <c r="AE5608">
        <v>-1.2494999999999801</v>
      </c>
      <c r="AF5608">
        <v>-1.1076716536696201</v>
      </c>
      <c r="AG5608">
        <v>-1.1208729809069999</v>
      </c>
      <c r="AH5608">
        <v>22.4595625505303</v>
      </c>
      <c r="AI5608">
        <v>92.853585673566897</v>
      </c>
      <c r="AJ5608">
        <v>92.823453491076293</v>
      </c>
      <c r="AK5608">
        <v>22.5147783176484</v>
      </c>
      <c r="AL5608">
        <v>95.322883651024597</v>
      </c>
      <c r="AM5608">
        <v>90.948921957113896</v>
      </c>
      <c r="AN5608">
        <v>1.00000002598378</v>
      </c>
    </row>
    <row r="5609" spans="1:40" x14ac:dyDescent="0.25">
      <c r="A5609" t="str">
        <f>"20190303154252585"</f>
        <v>20190303154252585</v>
      </c>
      <c r="B5609" t="str">
        <f>"1551598972576058"</f>
        <v>1551598972576058</v>
      </c>
      <c r="C5609" t="s">
        <v>40</v>
      </c>
      <c r="D5609">
        <v>5.4818379999999998</v>
      </c>
      <c r="E5609">
        <v>0.49103590000000003</v>
      </c>
      <c r="F5609" t="s">
        <v>57</v>
      </c>
      <c r="G5609">
        <v>-402.88339999999999</v>
      </c>
      <c r="H5609" s="1">
        <v>-7.0279799999999998E-6</v>
      </c>
      <c r="I5609">
        <v>140.54900000000001</v>
      </c>
      <c r="J5609">
        <v>-380.67790000000002</v>
      </c>
      <c r="K5609">
        <v>1.120851</v>
      </c>
      <c r="L5609">
        <v>141.67930000000001</v>
      </c>
      <c r="M5609">
        <v>-0.99987789999999999</v>
      </c>
      <c r="N5609">
        <v>-1.433739E-2</v>
      </c>
      <c r="O5609">
        <v>-6.2292199999999997E-3</v>
      </c>
      <c r="P5609">
        <v>-0.99382599999999999</v>
      </c>
      <c r="Q5609">
        <v>-0.10853740000000001</v>
      </c>
      <c r="R5609">
        <v>-2.301195E-2</v>
      </c>
      <c r="S5609">
        <v>-2.9986269999999999</v>
      </c>
      <c r="T5609">
        <v>-0.14934610000000001</v>
      </c>
      <c r="U5609">
        <v>-0.15086359999999999</v>
      </c>
      <c r="V5609">
        <v>-1.6812420000000002E-2</v>
      </c>
      <c r="W5609">
        <v>-9.4277040000000006E-2</v>
      </c>
      <c r="X5609">
        <v>0.99540399999999996</v>
      </c>
      <c r="Y5609">
        <v>-4.3958270000000001E-2</v>
      </c>
      <c r="Z5609">
        <v>-1.1882679999999999E-3</v>
      </c>
      <c r="AA5609">
        <v>0.9990327</v>
      </c>
      <c r="AB5609">
        <v>31</v>
      </c>
      <c r="AC5609">
        <v>-22.205499999999901</v>
      </c>
      <c r="AD5609">
        <v>-1.12085802798</v>
      </c>
      <c r="AE5609">
        <v>-1.1303000000000001</v>
      </c>
      <c r="AF5609">
        <v>-0.98942648261796196</v>
      </c>
      <c r="AG5609">
        <v>-1.12085802798</v>
      </c>
      <c r="AH5609">
        <v>22.155806098467799</v>
      </c>
      <c r="AI5609">
        <v>92.893234943880501</v>
      </c>
      <c r="AJ5609">
        <v>92.556996601576898</v>
      </c>
      <c r="AK5609">
        <v>22.206193535955201</v>
      </c>
      <c r="AL5609">
        <v>95.409710659955905</v>
      </c>
      <c r="AM5609">
        <v>90.967636382346896</v>
      </c>
      <c r="AN5609">
        <v>0.99999997047670797</v>
      </c>
    </row>
    <row r="5610" spans="1:40" x14ac:dyDescent="0.25">
      <c r="A5610" t="str">
        <f>"20190303154252607"</f>
        <v>20190303154252607</v>
      </c>
      <c r="B5610" t="str">
        <f>"1551598972595578"</f>
        <v>1551598972595578</v>
      </c>
      <c r="C5610" t="s">
        <v>40</v>
      </c>
      <c r="D5610">
        <v>5.502319</v>
      </c>
      <c r="E5610">
        <v>0.49224190000000001</v>
      </c>
      <c r="F5610" t="s">
        <v>57</v>
      </c>
      <c r="G5610">
        <v>-402.56</v>
      </c>
      <c r="H5610" s="1">
        <v>-6.9234160000000001E-6</v>
      </c>
      <c r="I5610">
        <v>140.64340000000001</v>
      </c>
      <c r="J5610">
        <v>-380.9862</v>
      </c>
      <c r="K5610">
        <v>1.120838</v>
      </c>
      <c r="L5610">
        <v>141.67740000000001</v>
      </c>
      <c r="M5610">
        <v>-0.99987760000000003</v>
      </c>
      <c r="N5610">
        <v>-1.4334299999999999E-2</v>
      </c>
      <c r="O5610">
        <v>-6.2705399999999998E-3</v>
      </c>
      <c r="P5610">
        <v>-0.99372050000000001</v>
      </c>
      <c r="Q5610">
        <v>-0.10940519999999999</v>
      </c>
      <c r="R5610">
        <v>-2.3458349999999999E-2</v>
      </c>
      <c r="S5610">
        <v>-2.998596</v>
      </c>
      <c r="T5610">
        <v>-0.15359619999999999</v>
      </c>
      <c r="U5610">
        <v>-0.14195250000000001</v>
      </c>
      <c r="V5610">
        <v>-1.722013E-2</v>
      </c>
      <c r="W5610">
        <v>-9.5148910000000003E-2</v>
      </c>
      <c r="X5610">
        <v>0.99531409999999998</v>
      </c>
      <c r="Y5610">
        <v>-4.0957239999999999E-2</v>
      </c>
      <c r="Z5610">
        <v>-1.1106779999999999E-3</v>
      </c>
      <c r="AA5610">
        <v>0.9991603</v>
      </c>
      <c r="AB5610">
        <v>31</v>
      </c>
      <c r="AC5610">
        <v>-21.573799999999999</v>
      </c>
      <c r="AD5610">
        <v>-1.1208449234160001</v>
      </c>
      <c r="AE5610">
        <v>-1.03399999999999</v>
      </c>
      <c r="AF5610">
        <v>-0.89627270203563802</v>
      </c>
      <c r="AG5610">
        <v>-1.1208449234160001</v>
      </c>
      <c r="AH5610">
        <v>21.5219010402277</v>
      </c>
      <c r="AI5610">
        <v>92.978651979653193</v>
      </c>
      <c r="AJ5610">
        <v>92.384686523043598</v>
      </c>
      <c r="AK5610">
        <v>21.569696856565201</v>
      </c>
      <c r="AL5610">
        <v>95.459890535628702</v>
      </c>
      <c r="AM5610">
        <v>90.991186948015894</v>
      </c>
      <c r="AN5610">
        <v>1.0000000028050999</v>
      </c>
    </row>
    <row r="5611" spans="1:40" x14ac:dyDescent="0.25">
      <c r="A5611" t="str">
        <f>"20190303154252629"</f>
        <v>20190303154252629</v>
      </c>
      <c r="B5611" t="str">
        <f>"1551598972625834"</f>
        <v>1551598972625834</v>
      </c>
      <c r="C5611" t="s">
        <v>40</v>
      </c>
      <c r="D5611">
        <v>5.5052310000000002</v>
      </c>
      <c r="E5611">
        <v>0.4937819</v>
      </c>
      <c r="F5611" t="s">
        <v>57</v>
      </c>
      <c r="G5611">
        <v>-402.63459999999998</v>
      </c>
      <c r="H5611" s="1">
        <v>-6.9848090000000001E-6</v>
      </c>
      <c r="I5611">
        <v>140.7123</v>
      </c>
      <c r="J5611">
        <v>-381.2901</v>
      </c>
      <c r="K5611">
        <v>1.1208389999999999</v>
      </c>
      <c r="L5611">
        <v>141.6754</v>
      </c>
      <c r="M5611">
        <v>-0.99987760000000003</v>
      </c>
      <c r="N5611">
        <v>-1.4331190000000001E-2</v>
      </c>
      <c r="O5611">
        <v>-6.2989329999999996E-3</v>
      </c>
      <c r="P5611">
        <v>-0.9936815</v>
      </c>
      <c r="Q5611">
        <v>-0.1095846</v>
      </c>
      <c r="R5611">
        <v>-2.426E-2</v>
      </c>
      <c r="S5611">
        <v>-2.9987180000000002</v>
      </c>
      <c r="T5611">
        <v>-0.1552579</v>
      </c>
      <c r="U5611">
        <v>-0.133682299999999</v>
      </c>
      <c r="V5611">
        <v>-1.799626E-2</v>
      </c>
      <c r="W5611">
        <v>-9.5331529999999998E-2</v>
      </c>
      <c r="X5611">
        <v>0.99528289999999997</v>
      </c>
      <c r="Y5611">
        <v>-3.8180560000000002E-2</v>
      </c>
      <c r="Z5611">
        <v>-1.025672E-3</v>
      </c>
      <c r="AA5611">
        <v>0.99927029999999994</v>
      </c>
      <c r="AB5611">
        <v>31</v>
      </c>
      <c r="AC5611">
        <v>-21.344499999999901</v>
      </c>
      <c r="AD5611">
        <v>-1.120845984809</v>
      </c>
      <c r="AE5611">
        <v>-0.96309999999999696</v>
      </c>
      <c r="AF5611">
        <v>-0.82634548311692502</v>
      </c>
      <c r="AG5611">
        <v>-1.120845984809</v>
      </c>
      <c r="AH5611">
        <v>21.291550843666801</v>
      </c>
      <c r="AI5611">
        <v>93.011163504178597</v>
      </c>
      <c r="AJ5611">
        <v>92.222588578965002</v>
      </c>
      <c r="AK5611">
        <v>21.337040092467799</v>
      </c>
      <c r="AL5611">
        <v>95.470401639842393</v>
      </c>
      <c r="AM5611">
        <v>91.035883763144199</v>
      </c>
      <c r="AN5611">
        <v>1.00000000850926</v>
      </c>
    </row>
    <row r="5612" spans="1:40" x14ac:dyDescent="0.25">
      <c r="A5612" t="str">
        <f>"20190303154252652"</f>
        <v>20190303154252652</v>
      </c>
      <c r="B5612" t="str">
        <f>"1551598972645354"</f>
        <v>1551598972645354</v>
      </c>
      <c r="C5612" t="s">
        <v>40</v>
      </c>
      <c r="D5612">
        <v>5.5070040000000002</v>
      </c>
      <c r="E5612">
        <v>0.49470249999999999</v>
      </c>
      <c r="F5612" t="s">
        <v>57</v>
      </c>
      <c r="G5612">
        <v>-402.8313</v>
      </c>
      <c r="H5612" s="1">
        <v>-7.1022270000000001E-6</v>
      </c>
      <c r="I5612">
        <v>140.78569999999999</v>
      </c>
      <c r="J5612">
        <v>-381.60039999999998</v>
      </c>
      <c r="K5612">
        <v>1.12083</v>
      </c>
      <c r="L5612">
        <v>141.67339999999999</v>
      </c>
      <c r="M5612">
        <v>-0.99987740000000003</v>
      </c>
      <c r="N5612">
        <v>-1.4327869999999999E-2</v>
      </c>
      <c r="O5612">
        <v>-6.3164689999999999E-3</v>
      </c>
      <c r="P5612">
        <v>-0.99375150000000001</v>
      </c>
      <c r="Q5612">
        <v>-0.10893029999999999</v>
      </c>
      <c r="R5612">
        <v>-2.4332090000000001E-2</v>
      </c>
      <c r="S5612">
        <v>-2.9988709999999998</v>
      </c>
      <c r="T5612">
        <v>-0.15603909999999999</v>
      </c>
      <c r="U5612">
        <v>-0.1238556</v>
      </c>
      <c r="V5612">
        <v>-1.8053389999999999E-2</v>
      </c>
      <c r="W5612">
        <v>-9.4679009999999994E-2</v>
      </c>
      <c r="X5612">
        <v>0.99534420000000001</v>
      </c>
      <c r="Y5612">
        <v>-3.4897339999999999E-2</v>
      </c>
      <c r="Z5612">
        <v>-9.1937620000000003E-4</v>
      </c>
      <c r="AA5612">
        <v>0.99939049999999996</v>
      </c>
      <c r="AB5612">
        <v>31</v>
      </c>
      <c r="AC5612">
        <v>-21.230899999999998</v>
      </c>
      <c r="AD5612">
        <v>-1.1208371022270001</v>
      </c>
      <c r="AE5612">
        <v>-0.88769999999999505</v>
      </c>
      <c r="AF5612">
        <v>-0.75147344330226196</v>
      </c>
      <c r="AG5612">
        <v>-1.1208371022270001</v>
      </c>
      <c r="AH5612">
        <v>21.177164801828798</v>
      </c>
      <c r="AI5612">
        <v>93.027746681993094</v>
      </c>
      <c r="AJ5612">
        <v>92.032292742831402</v>
      </c>
      <c r="AK5612">
        <v>21.220115390580101</v>
      </c>
      <c r="AL5612">
        <v>95.432844850137798</v>
      </c>
      <c r="AM5612">
        <v>91.039107521261101</v>
      </c>
      <c r="AN5612">
        <v>1.00000005814935</v>
      </c>
    </row>
    <row r="5613" spans="1:40" x14ac:dyDescent="0.25">
      <c r="A5613" t="str">
        <f>"20190303154252674"</f>
        <v>20190303154252674</v>
      </c>
      <c r="B5613" t="str">
        <f>"1551598972665853"</f>
        <v>1551598972665853</v>
      </c>
      <c r="C5613" t="s">
        <v>40</v>
      </c>
      <c r="D5613">
        <v>5.4798470000000004</v>
      </c>
      <c r="E5613">
        <v>0.49556909999999998</v>
      </c>
      <c r="F5613" t="s">
        <v>57</v>
      </c>
      <c r="G5613">
        <v>-403.4341</v>
      </c>
      <c r="H5613" s="1">
        <v>-7.3854459999999996E-6</v>
      </c>
      <c r="I5613">
        <v>140.8245</v>
      </c>
      <c r="J5613">
        <v>-381.90910000000002</v>
      </c>
      <c r="K5613">
        <v>1.120817</v>
      </c>
      <c r="L5613">
        <v>141.67150000000001</v>
      </c>
      <c r="M5613">
        <v>-0.99987749999999997</v>
      </c>
      <c r="N5613">
        <v>-1.432453E-2</v>
      </c>
      <c r="O5613">
        <v>-6.3141919999999997E-3</v>
      </c>
      <c r="P5613">
        <v>-0.9937627</v>
      </c>
      <c r="Q5613">
        <v>-0.1088833</v>
      </c>
      <c r="R5613">
        <v>-2.4084689999999999E-2</v>
      </c>
      <c r="S5613">
        <v>-2.9991460000000001</v>
      </c>
      <c r="T5613">
        <v>-0.15396189999999901</v>
      </c>
      <c r="U5613">
        <v>-0.11660769999999999</v>
      </c>
      <c r="V5613">
        <v>-1.7810940000000001E-2</v>
      </c>
      <c r="W5613">
        <v>-9.4634629999999997E-2</v>
      </c>
      <c r="X5613">
        <v>0.99535269999999998</v>
      </c>
      <c r="Y5613">
        <v>-3.2489749999999998E-2</v>
      </c>
      <c r="Z5613">
        <v>-8.3265240000000005E-4</v>
      </c>
      <c r="AA5613">
        <v>0.99947169999999996</v>
      </c>
      <c r="AB5613">
        <v>31</v>
      </c>
      <c r="AC5613">
        <v>-21.524999999999899</v>
      </c>
      <c r="AD5613">
        <v>-1.120824385446</v>
      </c>
      <c r="AE5613">
        <v>-0.84700000000000797</v>
      </c>
      <c r="AF5613">
        <v>-0.70913642906968799</v>
      </c>
      <c r="AG5613">
        <v>-1.120824385446</v>
      </c>
      <c r="AH5613">
        <v>21.471791515214498</v>
      </c>
      <c r="AI5613">
        <v>92.986493912617703</v>
      </c>
      <c r="AJ5613">
        <v>91.891586997258401</v>
      </c>
      <c r="AK5613">
        <v>21.5127160686623</v>
      </c>
      <c r="AL5613">
        <v>95.430291074526593</v>
      </c>
      <c r="AM5613">
        <v>91.025146957469502</v>
      </c>
      <c r="AN5613">
        <v>0.99999997008810404</v>
      </c>
    </row>
    <row r="5614" spans="1:40" x14ac:dyDescent="0.25">
      <c r="A5614" t="str">
        <f>"20190303154252697"</f>
        <v>20190303154252697</v>
      </c>
      <c r="B5614" t="str">
        <f>"1551598972685373"</f>
        <v>1551598972685373</v>
      </c>
      <c r="C5614" t="s">
        <v>40</v>
      </c>
      <c r="D5614">
        <v>5.502726</v>
      </c>
      <c r="E5614">
        <v>0.49636150000000001</v>
      </c>
      <c r="F5614" t="s">
        <v>57</v>
      </c>
      <c r="G5614">
        <v>-403.76369999999997</v>
      </c>
      <c r="H5614" s="1">
        <v>-7.5540080000000002E-6</v>
      </c>
      <c r="I5614">
        <v>140.87899999999999</v>
      </c>
      <c r="J5614">
        <v>-382.21260000000001</v>
      </c>
      <c r="K5614">
        <v>1.1208</v>
      </c>
      <c r="L5614">
        <v>141.6696</v>
      </c>
      <c r="M5614">
        <v>-0.99987780000000004</v>
      </c>
      <c r="N5614">
        <v>-1.432131E-2</v>
      </c>
      <c r="O5614">
        <v>-6.2789079999999997E-3</v>
      </c>
      <c r="P5614">
        <v>-0.99375469999999999</v>
      </c>
      <c r="Q5614">
        <v>-0.109158199999999</v>
      </c>
      <c r="R5614">
        <v>-2.3153529999999999E-2</v>
      </c>
      <c r="S5614">
        <v>-2.999298</v>
      </c>
      <c r="T5614">
        <v>-0.15382029999999999</v>
      </c>
      <c r="U5614">
        <v>-0.1087646</v>
      </c>
      <c r="V5614">
        <v>-1.6919139999999999E-2</v>
      </c>
      <c r="W5614">
        <v>-9.4912159999999995E-2</v>
      </c>
      <c r="X5614">
        <v>0.99534180000000005</v>
      </c>
      <c r="Y5614">
        <v>-2.9917429999999998E-2</v>
      </c>
      <c r="Z5614">
        <v>-7.4906739999999999E-4</v>
      </c>
      <c r="AA5614">
        <v>0.99955210000000005</v>
      </c>
      <c r="AB5614">
        <v>31</v>
      </c>
      <c r="AC5614">
        <v>-21.551099999999899</v>
      </c>
      <c r="AD5614">
        <v>-1.120807554008</v>
      </c>
      <c r="AE5614">
        <v>-0.79060000000001196</v>
      </c>
      <c r="AF5614">
        <v>-0.65348803803529498</v>
      </c>
      <c r="AG5614">
        <v>-1.120807554008</v>
      </c>
      <c r="AH5614">
        <v>21.497572808993802</v>
      </c>
      <c r="AI5614">
        <v>92.983121995352604</v>
      </c>
      <c r="AJ5614">
        <v>91.741153777962396</v>
      </c>
      <c r="AK5614">
        <v>21.5366871376952</v>
      </c>
      <c r="AL5614">
        <v>95.446264450242097</v>
      </c>
      <c r="AM5614">
        <v>90.973838298091295</v>
      </c>
      <c r="AN5614">
        <v>0.99999993712071999</v>
      </c>
    </row>
    <row r="5615" spans="1:40" x14ac:dyDescent="0.25">
      <c r="A5615" t="str">
        <f>"20190303154252718"</f>
        <v>20190303154252718</v>
      </c>
      <c r="B5615" t="str">
        <f>"1551598972715627"</f>
        <v>1551598972715627</v>
      </c>
      <c r="C5615" t="s">
        <v>40</v>
      </c>
      <c r="D5615">
        <v>5.5079599999999997</v>
      </c>
      <c r="E5615">
        <v>0.497388</v>
      </c>
      <c r="F5615" t="s">
        <v>57</v>
      </c>
      <c r="G5615">
        <v>-403.9699</v>
      </c>
      <c r="H5615" s="1">
        <v>-7.673244E-6</v>
      </c>
      <c r="I5615">
        <v>140.94659999999999</v>
      </c>
      <c r="J5615">
        <v>-382.50720000000001</v>
      </c>
      <c r="K5615">
        <v>1.12077</v>
      </c>
      <c r="L5615">
        <v>141.6678</v>
      </c>
      <c r="M5615">
        <v>-0.99987809999999999</v>
      </c>
      <c r="N5615">
        <v>-1.431819E-2</v>
      </c>
      <c r="O5615">
        <v>-6.2074979999999997E-3</v>
      </c>
      <c r="P5615">
        <v>-0.99369819999999998</v>
      </c>
      <c r="Q5615">
        <v>-0.1099271</v>
      </c>
      <c r="R5615">
        <v>-2.190141E-2</v>
      </c>
      <c r="S5615">
        <v>-2.999603</v>
      </c>
      <c r="T5615">
        <v>-0.15452170000000001</v>
      </c>
      <c r="U5615">
        <v>-9.9670410000000001E-2</v>
      </c>
      <c r="V5615">
        <v>-1.5744709999999999E-2</v>
      </c>
      <c r="W5615">
        <v>-9.5684149999999996E-2</v>
      </c>
      <c r="X5615">
        <v>0.99528720000000004</v>
      </c>
      <c r="Y5615">
        <v>-2.696281E-2</v>
      </c>
      <c r="Z5615">
        <v>-6.564432E-4</v>
      </c>
      <c r="AA5615">
        <v>0.99963619999999997</v>
      </c>
      <c r="AB5615">
        <v>31</v>
      </c>
      <c r="AC5615">
        <v>-21.462699999999899</v>
      </c>
      <c r="AD5615">
        <v>-1.120777673244</v>
      </c>
      <c r="AE5615">
        <v>-0.72120000000001006</v>
      </c>
      <c r="AF5615">
        <v>-0.58634565335757605</v>
      </c>
      <c r="AG5615">
        <v>-1.120777673244</v>
      </c>
      <c r="AH5615">
        <v>21.408450708234099</v>
      </c>
      <c r="AI5615">
        <v>92.995698072868194</v>
      </c>
      <c r="AJ5615">
        <v>91.568854059699802</v>
      </c>
      <c r="AK5615">
        <v>21.4457852629589</v>
      </c>
      <c r="AL5615">
        <v>95.490698207947801</v>
      </c>
      <c r="AM5615">
        <v>90.906301410891103</v>
      </c>
      <c r="AN5615">
        <v>0.99999998146902302</v>
      </c>
    </row>
    <row r="5616" spans="1:40" x14ac:dyDescent="0.25">
      <c r="A5616" t="str">
        <f>"20190303154252742"</f>
        <v>20190303154252742</v>
      </c>
      <c r="B5616" t="str">
        <f>"1551598972736122"</f>
        <v>1551598972736122</v>
      </c>
      <c r="C5616" t="s">
        <v>40</v>
      </c>
      <c r="D5616">
        <v>5.4900310000000001</v>
      </c>
      <c r="E5616">
        <v>0.49797979999999997</v>
      </c>
      <c r="F5616" t="s">
        <v>57</v>
      </c>
      <c r="G5616">
        <v>-403.93049999999999</v>
      </c>
      <c r="H5616" s="1">
        <v>-7.6948479999999992E-6</v>
      </c>
      <c r="I5616">
        <v>141.04169999999999</v>
      </c>
      <c r="J5616">
        <v>-382.84129999999999</v>
      </c>
      <c r="K5616">
        <v>1.12073</v>
      </c>
      <c r="L5616">
        <v>141.66579999999999</v>
      </c>
      <c r="M5616">
        <v>-0.99987910000000002</v>
      </c>
      <c r="N5616">
        <v>-1.431465E-2</v>
      </c>
      <c r="O5616">
        <v>-6.0882979999999998E-3</v>
      </c>
      <c r="P5616">
        <v>-0.99366460000000001</v>
      </c>
      <c r="Q5616">
        <v>-0.1103843</v>
      </c>
      <c r="R5616">
        <v>-2.1134400000000001E-2</v>
      </c>
      <c r="S5616">
        <v>-2.9997250000000002</v>
      </c>
      <c r="T5616">
        <v>-0.1569335</v>
      </c>
      <c r="U5616">
        <v>-8.7661740000000002E-2</v>
      </c>
      <c r="V5616">
        <v>-1.510381E-2</v>
      </c>
      <c r="W5616">
        <v>-9.6144199999999999E-2</v>
      </c>
      <c r="X5616">
        <v>0.99525280000000005</v>
      </c>
      <c r="Y5616">
        <v>-2.3088109999999998E-2</v>
      </c>
      <c r="Z5616">
        <v>-5.3770969999999995E-4</v>
      </c>
      <c r="AA5616">
        <v>0.99973330000000005</v>
      </c>
      <c r="AB5616">
        <v>31</v>
      </c>
      <c r="AC5616">
        <v>-21.089200000000002</v>
      </c>
      <c r="AD5616">
        <v>-1.1207376948479999</v>
      </c>
      <c r="AE5616">
        <v>-0.62409999999999799</v>
      </c>
      <c r="AF5616">
        <v>-0.494283243284106</v>
      </c>
      <c r="AG5616">
        <v>-1.1207376948479999</v>
      </c>
      <c r="AH5616">
        <v>21.0332600477612</v>
      </c>
      <c r="AI5616">
        <v>93.049227648309397</v>
      </c>
      <c r="AJ5616">
        <v>91.346207485144305</v>
      </c>
      <c r="AK5616">
        <v>21.0688964386366</v>
      </c>
      <c r="AL5616">
        <v>95.517179205402002</v>
      </c>
      <c r="AM5616">
        <v>90.869445574209905</v>
      </c>
      <c r="AN5616">
        <v>0.99999998408899704</v>
      </c>
    </row>
    <row r="5617" spans="1:40" x14ac:dyDescent="0.25">
      <c r="A5617" t="str">
        <f>"20190303154252765"</f>
        <v>20190303154252765</v>
      </c>
      <c r="B5617" t="str">
        <f>"1551598972755642"</f>
        <v>1551598972755642</v>
      </c>
      <c r="C5617" t="s">
        <v>40</v>
      </c>
      <c r="D5617">
        <v>5.542014</v>
      </c>
      <c r="E5617">
        <v>0.49841790000000002</v>
      </c>
      <c r="F5617" t="s">
        <v>57</v>
      </c>
      <c r="G5617">
        <v>-404.08760000000001</v>
      </c>
      <c r="H5617" s="1">
        <v>-7.7863619999999999E-6</v>
      </c>
      <c r="I5617">
        <v>141.09479999999999</v>
      </c>
      <c r="J5617">
        <v>-383.14530000000002</v>
      </c>
      <c r="K5617">
        <v>1.1206969999999901</v>
      </c>
      <c r="L5617">
        <v>141.66409999999999</v>
      </c>
      <c r="M5617">
        <v>-0.99987999999999999</v>
      </c>
      <c r="N5617">
        <v>-1.431141E-2</v>
      </c>
      <c r="O5617">
        <v>-5.9411269999999896E-3</v>
      </c>
      <c r="P5617">
        <v>-0.99362779999999995</v>
      </c>
      <c r="Q5617">
        <v>-0.1108715</v>
      </c>
      <c r="R5617">
        <v>-2.028259E-2</v>
      </c>
      <c r="S5617">
        <v>-2.9998469999999999</v>
      </c>
      <c r="T5617">
        <v>-0.158241299999999</v>
      </c>
      <c r="U5617">
        <v>-8.0627439999999995E-2</v>
      </c>
      <c r="V5617">
        <v>-1.4406449999999999E-2</v>
      </c>
      <c r="W5617">
        <v>-9.6634310000000001E-2</v>
      </c>
      <c r="X5617">
        <v>0.99521570000000004</v>
      </c>
      <c r="Y5617">
        <v>-2.0894869999999999E-2</v>
      </c>
      <c r="Z5617">
        <v>-4.721646E-4</v>
      </c>
      <c r="AA5617">
        <v>0.99978149999999999</v>
      </c>
      <c r="AB5617">
        <v>31</v>
      </c>
      <c r="AC5617">
        <v>-20.9422999999999</v>
      </c>
      <c r="AD5617">
        <v>-1.1207047863620001</v>
      </c>
      <c r="AE5617">
        <v>-0.56929999999999803</v>
      </c>
      <c r="AF5617">
        <v>-0.44358697083333798</v>
      </c>
      <c r="AG5617">
        <v>-1.1207047863620001</v>
      </c>
      <c r="AH5617">
        <v>20.885546327014101</v>
      </c>
      <c r="AI5617">
        <v>93.070817233174495</v>
      </c>
      <c r="AJ5617">
        <v>91.216718983774996</v>
      </c>
      <c r="AK5617">
        <v>20.9202962215337</v>
      </c>
      <c r="AL5617">
        <v>95.545391647953196</v>
      </c>
      <c r="AM5617">
        <v>90.829338941191807</v>
      </c>
      <c r="AN5617">
        <v>1.0000000125986299</v>
      </c>
    </row>
    <row r="5618" spans="1:40" x14ac:dyDescent="0.25">
      <c r="A5618" t="str">
        <f>"20190303154252786"</f>
        <v>20190303154252786</v>
      </c>
      <c r="B5618" t="str">
        <f>"1551598972776139"</f>
        <v>1551598972776139</v>
      </c>
      <c r="C5618" t="s">
        <v>40</v>
      </c>
      <c r="D5618">
        <v>5.4981489999999997</v>
      </c>
      <c r="E5618">
        <v>0.49888900000000003</v>
      </c>
      <c r="F5618" t="s">
        <v>57</v>
      </c>
      <c r="G5618">
        <v>-404.02569999999997</v>
      </c>
      <c r="H5618" s="1">
        <v>-7.7791770000000004E-6</v>
      </c>
      <c r="I5618">
        <v>141.14410000000001</v>
      </c>
      <c r="J5618">
        <v>-383.44130000000001</v>
      </c>
      <c r="K5618">
        <v>1.120662</v>
      </c>
      <c r="L5618">
        <v>141.66249999999999</v>
      </c>
      <c r="M5618">
        <v>-0.99988109999999997</v>
      </c>
      <c r="N5618">
        <v>-1.430824E-2</v>
      </c>
      <c r="O5618">
        <v>-5.7590519999999997E-3</v>
      </c>
      <c r="P5618">
        <v>-0.99356789999999995</v>
      </c>
      <c r="Q5618">
        <v>-0.1114214</v>
      </c>
      <c r="R5618">
        <v>-2.0207139999999998E-2</v>
      </c>
      <c r="S5618">
        <v>-2.9997250000000002</v>
      </c>
      <c r="T5618">
        <v>-0.1610029</v>
      </c>
      <c r="U5618">
        <v>-7.4707029999999994E-2</v>
      </c>
      <c r="V5618">
        <v>-1.451908E-2</v>
      </c>
      <c r="W5618">
        <v>-9.7187060000000006E-2</v>
      </c>
      <c r="X5618">
        <v>0.99516020000000005</v>
      </c>
      <c r="Y5618">
        <v>-1.9108259999999998E-2</v>
      </c>
      <c r="Z5618">
        <v>-4.2272760000000001E-4</v>
      </c>
      <c r="AA5618">
        <v>0.99981730000000002</v>
      </c>
      <c r="AB5618">
        <v>31</v>
      </c>
      <c r="AC5618">
        <v>-20.584399999999899</v>
      </c>
      <c r="AD5618">
        <v>-1.1206697791769999</v>
      </c>
      <c r="AE5618">
        <v>-0.51839999999998498</v>
      </c>
      <c r="AF5618">
        <v>-0.39865178422067499</v>
      </c>
      <c r="AG5618">
        <v>-1.1206697791769999</v>
      </c>
      <c r="AH5618">
        <v>20.526243047879799</v>
      </c>
      <c r="AI5618">
        <v>93.124482770970204</v>
      </c>
      <c r="AJ5618">
        <v>91.112633883639802</v>
      </c>
      <c r="AK5618">
        <v>20.560677947471799</v>
      </c>
      <c r="AL5618">
        <v>95.577211869124397</v>
      </c>
      <c r="AM5618">
        <v>90.835868425406602</v>
      </c>
      <c r="AN5618">
        <v>0.99999997598976398</v>
      </c>
    </row>
    <row r="5619" spans="1:40" x14ac:dyDescent="0.25">
      <c r="A5619" t="str">
        <f>"20190303154252808"</f>
        <v>20190303154252808</v>
      </c>
      <c r="B5619" t="str">
        <f>"1551598972805419"</f>
        <v>1551598972805419</v>
      </c>
      <c r="C5619" t="s">
        <v>40</v>
      </c>
      <c r="D5619">
        <v>5.4499399999999998</v>
      </c>
      <c r="E5619">
        <v>0.4995657</v>
      </c>
      <c r="F5619" t="s">
        <v>57</v>
      </c>
      <c r="G5619">
        <v>-404.11369999999999</v>
      </c>
      <c r="H5619" s="1">
        <v>-7.8312149999999999E-6</v>
      </c>
      <c r="I5619">
        <v>141.17580000000001</v>
      </c>
      <c r="J5619">
        <v>-383.74059999999997</v>
      </c>
      <c r="K5619">
        <v>1.12063</v>
      </c>
      <c r="L5619">
        <v>141.661</v>
      </c>
      <c r="M5619">
        <v>-0.9998823</v>
      </c>
      <c r="N5619">
        <v>-1.430504E-2</v>
      </c>
      <c r="O5619">
        <v>-5.5396999999999998E-3</v>
      </c>
      <c r="P5619">
        <v>-0.99349299999999996</v>
      </c>
      <c r="Q5619">
        <v>-0.1119825</v>
      </c>
      <c r="R5619">
        <v>-2.0769590000000001E-2</v>
      </c>
      <c r="S5619">
        <v>-2.9997859999999998</v>
      </c>
      <c r="T5619">
        <v>-0.16262109999999999</v>
      </c>
      <c r="U5619">
        <v>-7.0632929999999997E-2</v>
      </c>
      <c r="V5619">
        <v>-1.530785E-2</v>
      </c>
      <c r="W5619">
        <v>-9.7751080000000004E-2</v>
      </c>
      <c r="X5619">
        <v>0.99509320000000001</v>
      </c>
      <c r="Y5619">
        <v>-1.797143E-2</v>
      </c>
      <c r="Z5619">
        <v>-3.9453669999999999E-4</v>
      </c>
      <c r="AA5619">
        <v>0.99983840000000002</v>
      </c>
      <c r="AB5619">
        <v>31</v>
      </c>
      <c r="AC5619">
        <v>-20.373100000000001</v>
      </c>
      <c r="AD5619">
        <v>-1.120637831215</v>
      </c>
      <c r="AE5619">
        <v>-0.48519999999999103</v>
      </c>
      <c r="AF5619">
        <v>-0.37119766695291101</v>
      </c>
      <c r="AG5619">
        <v>-1.120637831215</v>
      </c>
      <c r="AH5619">
        <v>20.3140474415748</v>
      </c>
      <c r="AI5619">
        <v>93.157033040173502</v>
      </c>
      <c r="AJ5619">
        <v>91.046846674724705</v>
      </c>
      <c r="AK5619">
        <v>20.3483203315471</v>
      </c>
      <c r="AL5619">
        <v>95.609682080865497</v>
      </c>
      <c r="AM5619">
        <v>90.881330535192902</v>
      </c>
      <c r="AN5619">
        <v>1.00000004029951</v>
      </c>
    </row>
    <row r="5620" spans="1:40" x14ac:dyDescent="0.25">
      <c r="A5620" t="str">
        <f>"20190303154252830"</f>
        <v>20190303154252830</v>
      </c>
      <c r="B5620" t="str">
        <f>"1551598972825914"</f>
        <v>1551598972825914</v>
      </c>
      <c r="C5620" t="s">
        <v>40</v>
      </c>
      <c r="D5620">
        <v>5.4815129999999996</v>
      </c>
      <c r="E5620">
        <v>0.49995889999999998</v>
      </c>
      <c r="F5620" t="s">
        <v>57</v>
      </c>
      <c r="G5620">
        <v>-404.1284</v>
      </c>
      <c r="H5620" s="1">
        <v>-7.8499710000000001E-6</v>
      </c>
      <c r="I5620">
        <v>141.2056</v>
      </c>
      <c r="J5620">
        <v>-384.04599999999999</v>
      </c>
      <c r="K5620">
        <v>1.1206050000000001</v>
      </c>
      <c r="L5620">
        <v>141.65960000000001</v>
      </c>
      <c r="M5620">
        <v>-0.99988370000000004</v>
      </c>
      <c r="N5620">
        <v>-1.430174E-2</v>
      </c>
      <c r="O5620">
        <v>-5.2889419999999996E-3</v>
      </c>
      <c r="P5620">
        <v>-0.99344120000000002</v>
      </c>
      <c r="Q5620">
        <v>-0.112299</v>
      </c>
      <c r="R5620">
        <v>-2.1525820000000001E-2</v>
      </c>
      <c r="S5620">
        <v>-2.9996640000000001</v>
      </c>
      <c r="T5620">
        <v>-0.16487959999999999</v>
      </c>
      <c r="U5620">
        <v>-6.7016599999999996E-2</v>
      </c>
      <c r="V5620">
        <v>-1.6318949999999999E-2</v>
      </c>
      <c r="W5620">
        <v>-9.8070169999999998E-2</v>
      </c>
      <c r="X5620">
        <v>0.99504570000000003</v>
      </c>
      <c r="Y5620">
        <v>-1.7019309999999999E-2</v>
      </c>
      <c r="Z5620">
        <v>-3.7431420000000001E-4</v>
      </c>
      <c r="AA5620">
        <v>0.9998551</v>
      </c>
      <c r="AB5620">
        <v>31</v>
      </c>
      <c r="AC5620">
        <v>-20.0824</v>
      </c>
      <c r="AD5620">
        <v>-1.12061284997099</v>
      </c>
      <c r="AE5620">
        <v>-0.45400000000000701</v>
      </c>
      <c r="AF5620">
        <v>-0.34668918916263203</v>
      </c>
      <c r="AG5620">
        <v>-1.12061284997099</v>
      </c>
      <c r="AH5620">
        <v>20.0222087188783</v>
      </c>
      <c r="AI5620">
        <v>93.2029372451954</v>
      </c>
      <c r="AJ5620">
        <v>90.991990584304702</v>
      </c>
      <c r="AK5620">
        <v>20.0565402932741</v>
      </c>
      <c r="AL5620">
        <v>95.628053053364994</v>
      </c>
      <c r="AM5620">
        <v>90.939578097829894</v>
      </c>
      <c r="AN5620">
        <v>1.0000000057307099</v>
      </c>
    </row>
    <row r="5621" spans="1:40" x14ac:dyDescent="0.25">
      <c r="A5621" t="str">
        <f>"20190303154252853"</f>
        <v>20190303154252853</v>
      </c>
      <c r="B5621" t="str">
        <f>"1551598972845438"</f>
        <v>1551598972845438</v>
      </c>
      <c r="C5621" t="s">
        <v>40</v>
      </c>
      <c r="D5621">
        <v>5.4707929999999996</v>
      </c>
      <c r="E5621">
        <v>0.50026329999999997</v>
      </c>
      <c r="F5621" t="s">
        <v>57</v>
      </c>
      <c r="G5621">
        <v>-404.31889999999999</v>
      </c>
      <c r="H5621" s="1">
        <v>-7.9377289999999996E-6</v>
      </c>
      <c r="I5621">
        <v>141.21350000000001</v>
      </c>
      <c r="J5621">
        <v>-384.35169999999999</v>
      </c>
      <c r="K5621">
        <v>1.120593</v>
      </c>
      <c r="L5621">
        <v>141.6583</v>
      </c>
      <c r="M5621">
        <v>-0.99988529999999998</v>
      </c>
      <c r="N5621">
        <v>-1.4298430000000001E-2</v>
      </c>
      <c r="O5621">
        <v>-5.0196930000000004E-3</v>
      </c>
      <c r="P5621">
        <v>-0.99341919999999995</v>
      </c>
      <c r="Q5621">
        <v>-0.11239150000000001</v>
      </c>
      <c r="R5621">
        <v>-2.2059019999999999E-2</v>
      </c>
      <c r="S5621">
        <v>-2.9996339999999999</v>
      </c>
      <c r="T5621">
        <v>-0.1658086</v>
      </c>
      <c r="U5621">
        <v>-6.6009520000000002E-2</v>
      </c>
      <c r="V5621">
        <v>-1.7123969999999999E-2</v>
      </c>
      <c r="W5621">
        <v>-9.8165119999999995E-2</v>
      </c>
      <c r="X5621">
        <v>0.99502279999999999</v>
      </c>
      <c r="Y5621">
        <v>-1.69529E-2</v>
      </c>
      <c r="Z5621">
        <v>-3.8397909999999998E-4</v>
      </c>
      <c r="AA5621">
        <v>0.99985619999999997</v>
      </c>
      <c r="AB5621">
        <v>31</v>
      </c>
      <c r="AC5621">
        <v>-19.967199999999899</v>
      </c>
      <c r="AD5621">
        <v>-1.120600937729</v>
      </c>
      <c r="AE5621">
        <v>-0.44479999999998598</v>
      </c>
      <c r="AF5621">
        <v>-0.34347364795521501</v>
      </c>
      <c r="AG5621">
        <v>-1.120600937729</v>
      </c>
      <c r="AH5621">
        <v>19.906513154482401</v>
      </c>
      <c r="AI5621">
        <v>93.221482655432595</v>
      </c>
      <c r="AJ5621">
        <v>90.988502488973197</v>
      </c>
      <c r="AK5621">
        <v>19.940987602876199</v>
      </c>
      <c r="AL5621">
        <v>95.633519715294895</v>
      </c>
      <c r="AM5621">
        <v>90.985941594278501</v>
      </c>
      <c r="AN5621">
        <v>0.99999999682650698</v>
      </c>
    </row>
    <row r="5622" spans="1:40" x14ac:dyDescent="0.25">
      <c r="A5622" t="str">
        <f>"20190303154252875"</f>
        <v>20190303154252875</v>
      </c>
      <c r="B5622" t="str">
        <f>"1551598972865930"</f>
        <v>1551598972865930</v>
      </c>
      <c r="C5622" t="s">
        <v>40</v>
      </c>
      <c r="D5622">
        <v>5.4686070000000004</v>
      </c>
      <c r="E5622">
        <v>0.50056789999999995</v>
      </c>
      <c r="F5622" t="s">
        <v>57</v>
      </c>
      <c r="G5622">
        <v>-404.53089999999997</v>
      </c>
      <c r="H5622" s="1">
        <v>-8.0339369999999905E-6</v>
      </c>
      <c r="I5622">
        <v>141.21889999999999</v>
      </c>
      <c r="J5622">
        <v>-384.6601</v>
      </c>
      <c r="K5622">
        <v>1.120584</v>
      </c>
      <c r="L5622">
        <v>141.65700000000001</v>
      </c>
      <c r="M5622">
        <v>-0.99988659999999996</v>
      </c>
      <c r="N5622">
        <v>-1.429506E-2</v>
      </c>
      <c r="O5622">
        <v>-4.736011E-3</v>
      </c>
      <c r="P5622">
        <v>-0.9933805</v>
      </c>
      <c r="Q5622">
        <v>-0.11259420000000001</v>
      </c>
      <c r="R5622">
        <v>-2.2754670000000001E-2</v>
      </c>
      <c r="S5622">
        <v>-2.9995729999999998</v>
      </c>
      <c r="T5622">
        <v>-0.1665739</v>
      </c>
      <c r="U5622">
        <v>-6.5307619999999997E-2</v>
      </c>
      <c r="V5622">
        <v>-1.8104309999999998E-2</v>
      </c>
      <c r="W5622">
        <v>-9.8370730000000003E-2</v>
      </c>
      <c r="X5622">
        <v>0.99498520000000001</v>
      </c>
      <c r="Y5622">
        <v>-1.700262E-2</v>
      </c>
      <c r="Z5622">
        <v>-3.9823940000000002E-4</v>
      </c>
      <c r="AA5622">
        <v>0.9998553</v>
      </c>
      <c r="AB5622">
        <v>30</v>
      </c>
      <c r="AC5622">
        <v>-19.8707999999999</v>
      </c>
      <c r="AD5622">
        <v>-1.1205920339369999</v>
      </c>
      <c r="AE5622">
        <v>-0.43810000000001897</v>
      </c>
      <c r="AF5622">
        <v>-0.34288719603522999</v>
      </c>
      <c r="AG5622">
        <v>-1.1205920339369999</v>
      </c>
      <c r="AH5622">
        <v>19.809682579306699</v>
      </c>
      <c r="AI5622">
        <v>93.237167270241699</v>
      </c>
      <c r="AJ5622">
        <v>90.991637672673093</v>
      </c>
      <c r="AK5622">
        <v>19.8443146021377</v>
      </c>
      <c r="AL5622">
        <v>95.645357252971706</v>
      </c>
      <c r="AM5622">
        <v>91.0424135965348</v>
      </c>
      <c r="AN5622">
        <v>1.0000000573901699</v>
      </c>
    </row>
    <row r="5623" spans="1:40" x14ac:dyDescent="0.25">
      <c r="A5623" t="str">
        <f>"20190303154252898"</f>
        <v>20190303154252898</v>
      </c>
      <c r="B5623" t="str">
        <f>"1551598972885450"</f>
        <v>1551598972885450</v>
      </c>
      <c r="C5623" t="s">
        <v>40</v>
      </c>
      <c r="D5623">
        <v>5.4500080000000004</v>
      </c>
      <c r="E5623">
        <v>0.50086179999999902</v>
      </c>
      <c r="F5623" t="s">
        <v>57</v>
      </c>
      <c r="G5623">
        <v>-404.76620000000003</v>
      </c>
      <c r="H5623" s="1">
        <v>-8.1389620000000006E-6</v>
      </c>
      <c r="I5623">
        <v>141.22049999999999</v>
      </c>
      <c r="J5623">
        <v>-384.95609999999999</v>
      </c>
      <c r="K5623">
        <v>1.1205780000000001</v>
      </c>
      <c r="L5623">
        <v>141.6559</v>
      </c>
      <c r="M5623">
        <v>-0.99988809999999995</v>
      </c>
      <c r="N5623">
        <v>-1.42918E-2</v>
      </c>
      <c r="O5623">
        <v>-4.4588620000000001E-3</v>
      </c>
      <c r="P5623">
        <v>-0.99338870000000001</v>
      </c>
      <c r="Q5623">
        <v>-0.1124435</v>
      </c>
      <c r="R5623">
        <v>-2.3145679999999998E-2</v>
      </c>
      <c r="S5623">
        <v>-2.9995419999999999</v>
      </c>
      <c r="T5623">
        <v>-0.16717609999999999</v>
      </c>
      <c r="U5623">
        <v>-6.5124509999999997E-2</v>
      </c>
      <c r="V5623">
        <v>-1.87726E-2</v>
      </c>
      <c r="W5623">
        <v>-9.8222550000000006E-2</v>
      </c>
      <c r="X5623">
        <v>0.99498739999999997</v>
      </c>
      <c r="Y5623">
        <v>-1.721814E-2</v>
      </c>
      <c r="Z5623">
        <v>-4.179691E-4</v>
      </c>
      <c r="AA5623">
        <v>0.99985159999999995</v>
      </c>
      <c r="AB5623">
        <v>30</v>
      </c>
      <c r="AC5623">
        <v>-19.810099999999998</v>
      </c>
      <c r="AD5623">
        <v>-1.120586138962</v>
      </c>
      <c r="AE5623">
        <v>-0.435400000000015</v>
      </c>
      <c r="AF5623">
        <v>-0.34594974082044599</v>
      </c>
      <c r="AG5623">
        <v>-1.120586138962</v>
      </c>
      <c r="AH5623">
        <v>19.748684115702499</v>
      </c>
      <c r="AI5623">
        <v>93.247115852780993</v>
      </c>
      <c r="AJ5623">
        <v>91.0035824571776</v>
      </c>
      <c r="AK5623">
        <v>19.783475903384801</v>
      </c>
      <c r="AL5623">
        <v>95.636826156196804</v>
      </c>
      <c r="AM5623">
        <v>91.080881176625894</v>
      </c>
      <c r="AN5623">
        <v>1.0000000029990099</v>
      </c>
    </row>
    <row r="5624" spans="1:40" x14ac:dyDescent="0.25">
      <c r="A5624" t="str">
        <f>"20190303154252920"</f>
        <v>20190303154252920</v>
      </c>
      <c r="B5624" t="str">
        <f>"1551598972915706"</f>
        <v>1551598972915706</v>
      </c>
      <c r="C5624" t="s">
        <v>40</v>
      </c>
      <c r="D5624">
        <v>5.460553</v>
      </c>
      <c r="E5624">
        <v>0.50132809999999906</v>
      </c>
      <c r="F5624" t="s">
        <v>57</v>
      </c>
      <c r="G5624">
        <v>-405.06920000000002</v>
      </c>
      <c r="H5624" s="1">
        <v>-8.2951559999999994E-6</v>
      </c>
      <c r="I5624">
        <v>141.2251</v>
      </c>
      <c r="J5624">
        <v>-385.26119999999997</v>
      </c>
      <c r="K5624">
        <v>1.120581</v>
      </c>
      <c r="L5624">
        <v>141.65479999999999</v>
      </c>
      <c r="M5624">
        <v>-0.99988920000000003</v>
      </c>
      <c r="N5624">
        <v>-1.4288459999999999E-2</v>
      </c>
      <c r="O5624">
        <v>-4.1721029999999999E-3</v>
      </c>
      <c r="P5624">
        <v>-0.99338280000000001</v>
      </c>
      <c r="Q5624">
        <v>-0.1125067</v>
      </c>
      <c r="R5624">
        <v>-2.307975E-2</v>
      </c>
      <c r="S5624">
        <v>-2.9995729999999998</v>
      </c>
      <c r="T5624">
        <v>-0.16711909999999999</v>
      </c>
      <c r="U5624">
        <v>-6.4254759999999994E-2</v>
      </c>
      <c r="V5624">
        <v>-1.8992140000000001E-2</v>
      </c>
      <c r="W5624">
        <v>-9.8289059999999998E-2</v>
      </c>
      <c r="X5624">
        <v>0.99497659999999999</v>
      </c>
      <c r="Y5624">
        <v>-1.7214670000000001E-2</v>
      </c>
      <c r="Z5624">
        <v>-4.2959040000000001E-4</v>
      </c>
      <c r="AA5624">
        <v>0.99985170000000001</v>
      </c>
      <c r="AB5624">
        <v>30</v>
      </c>
      <c r="AC5624">
        <v>-19.808</v>
      </c>
      <c r="AD5624">
        <v>-1.1205892951559999</v>
      </c>
      <c r="AE5624">
        <v>-0.42969999999999597</v>
      </c>
      <c r="AF5624">
        <v>-0.34594016002917899</v>
      </c>
      <c r="AG5624">
        <v>-1.1205892951559999</v>
      </c>
      <c r="AH5624">
        <v>19.746452605983801</v>
      </c>
      <c r="AI5624">
        <v>93.247491060258795</v>
      </c>
      <c r="AJ5624">
        <v>91.0036680561184</v>
      </c>
      <c r="AK5624">
        <v>19.7812483297466</v>
      </c>
      <c r="AL5624">
        <v>95.640655797555297</v>
      </c>
      <c r="AM5624">
        <v>91.093530577121399</v>
      </c>
      <c r="AN5624">
        <v>0.99999993762250905</v>
      </c>
    </row>
    <row r="5625" spans="1:40" x14ac:dyDescent="0.25">
      <c r="A5625" t="str">
        <f>"20190303154252944"</f>
        <v>20190303154252944</v>
      </c>
      <c r="B5625" t="str">
        <f>"1551598972936202"</f>
        <v>1551598972936202</v>
      </c>
      <c r="C5625" t="s">
        <v>40</v>
      </c>
      <c r="D5625">
        <v>5.4213050000000003</v>
      </c>
      <c r="E5625">
        <v>0.50161929999999999</v>
      </c>
      <c r="F5625" t="s">
        <v>57</v>
      </c>
      <c r="G5625">
        <v>-405.34219999999999</v>
      </c>
      <c r="H5625" s="1">
        <v>-8.4750939999999998E-6</v>
      </c>
      <c r="I5625">
        <v>141.24940000000001</v>
      </c>
      <c r="J5625">
        <v>-385.57249999999999</v>
      </c>
      <c r="K5625">
        <v>1.1205780000000001</v>
      </c>
      <c r="L5625">
        <v>141.65389999999999</v>
      </c>
      <c r="M5625">
        <v>-0.99989050000000002</v>
      </c>
      <c r="N5625">
        <v>-1.428509E-2</v>
      </c>
      <c r="O5625">
        <v>-3.8803570000000001E-3</v>
      </c>
      <c r="P5625">
        <v>-0.99337710000000001</v>
      </c>
      <c r="Q5625">
        <v>-0.11284180000000001</v>
      </c>
      <c r="R5625">
        <v>-2.1648509999999999E-2</v>
      </c>
      <c r="S5625">
        <v>-2.9996339999999999</v>
      </c>
      <c r="T5625">
        <v>-0.16738989999999901</v>
      </c>
      <c r="U5625">
        <v>-6.0562129999999999E-2</v>
      </c>
      <c r="V5625">
        <v>-1.785192E-2</v>
      </c>
      <c r="W5625">
        <v>-9.8628229999999997E-2</v>
      </c>
      <c r="X5625">
        <v>0.99496419999999997</v>
      </c>
      <c r="Y5625">
        <v>-1.6277150000000001E-2</v>
      </c>
      <c r="Z5625">
        <v>-4.0920559999999998E-4</v>
      </c>
      <c r="AA5625">
        <v>0.99986739999999996</v>
      </c>
      <c r="AB5625">
        <v>30</v>
      </c>
      <c r="AC5625">
        <v>-19.7697</v>
      </c>
      <c r="AD5625">
        <v>-1.120586475094</v>
      </c>
      <c r="AE5625">
        <v>-0.40449999999998398</v>
      </c>
      <c r="AF5625">
        <v>-0.32672635310609199</v>
      </c>
      <c r="AG5625">
        <v>-1.120586475094</v>
      </c>
      <c r="AH5625">
        <v>19.707829072182101</v>
      </c>
      <c r="AI5625">
        <v>93.253885733652794</v>
      </c>
      <c r="AJ5625">
        <v>90.949791387717596</v>
      </c>
      <c r="AK5625">
        <v>19.742365382504801</v>
      </c>
      <c r="AL5625">
        <v>95.660183399662003</v>
      </c>
      <c r="AM5625">
        <v>91.027906264483804</v>
      </c>
      <c r="AN5625">
        <v>0.99999998904112897</v>
      </c>
    </row>
    <row r="5626" spans="1:40" x14ac:dyDescent="0.25">
      <c r="A5626" t="str">
        <f>"20190303154252965"</f>
        <v>20190303154252965</v>
      </c>
      <c r="B5626" t="str">
        <f>"1551598972955723"</f>
        <v>1551598972955723</v>
      </c>
      <c r="C5626" t="s">
        <v>40</v>
      </c>
      <c r="D5626">
        <v>5.4759719999999996</v>
      </c>
      <c r="E5626">
        <v>0.50183459999999902</v>
      </c>
      <c r="F5626" t="s">
        <v>57</v>
      </c>
      <c r="G5626">
        <v>-405.55860000000001</v>
      </c>
      <c r="H5626" s="1">
        <v>-8.6289949999999995E-6</v>
      </c>
      <c r="I5626">
        <v>141.2961</v>
      </c>
      <c r="J5626">
        <v>-385.87549999999999</v>
      </c>
      <c r="K5626">
        <v>1.1205769999999999</v>
      </c>
      <c r="L5626">
        <v>141.65299999999999</v>
      </c>
      <c r="M5626">
        <v>-0.99989159999999999</v>
      </c>
      <c r="N5626">
        <v>-1.4281810000000001E-2</v>
      </c>
      <c r="O5626">
        <v>-3.5967170000000001E-3</v>
      </c>
      <c r="P5626">
        <v>-0.99335960000000001</v>
      </c>
      <c r="Q5626">
        <v>-0.1132625</v>
      </c>
      <c r="R5626">
        <v>-2.0213890000000002E-2</v>
      </c>
      <c r="S5626">
        <v>-2.999695</v>
      </c>
      <c r="T5626">
        <v>-0.16818810000000001</v>
      </c>
      <c r="U5626">
        <v>-5.3695680000000003E-2</v>
      </c>
      <c r="V5626">
        <v>-1.6699269999999999E-2</v>
      </c>
      <c r="W5626">
        <v>-9.9053089999999996E-2</v>
      </c>
      <c r="X5626">
        <v>0.99494199999999999</v>
      </c>
      <c r="Y5626">
        <v>-1.4275889999999999E-2</v>
      </c>
      <c r="Z5626">
        <v>-3.5177439999999998E-4</v>
      </c>
      <c r="AA5626">
        <v>0.99989799999999995</v>
      </c>
      <c r="AB5626">
        <v>30</v>
      </c>
      <c r="AC5626">
        <v>-19.6831</v>
      </c>
      <c r="AD5626">
        <v>-1.120585628995</v>
      </c>
      <c r="AE5626">
        <v>-0.356899999999996</v>
      </c>
      <c r="AF5626">
        <v>-0.28517194403711099</v>
      </c>
      <c r="AG5626">
        <v>-1.120585628995</v>
      </c>
      <c r="AH5626">
        <v>19.620683201980999</v>
      </c>
      <c r="AI5626">
        <v>93.268407931250806</v>
      </c>
      <c r="AJ5626">
        <v>90.832692638081099</v>
      </c>
      <c r="AK5626">
        <v>19.654725754944401</v>
      </c>
      <c r="AL5626">
        <v>95.684645912288602</v>
      </c>
      <c r="AM5626">
        <v>90.961571489818695</v>
      </c>
      <c r="AN5626">
        <v>0.99999998181053995</v>
      </c>
    </row>
    <row r="5627" spans="1:40" x14ac:dyDescent="0.25">
      <c r="A5627" t="str">
        <f>"20190303154252986"</f>
        <v>20190303154252986</v>
      </c>
      <c r="B5627" t="str">
        <f>"1551598972976219"</f>
        <v>1551598972976219</v>
      </c>
      <c r="C5627" t="s">
        <v>40</v>
      </c>
      <c r="D5627">
        <v>5.4810610000000004</v>
      </c>
      <c r="E5627">
        <v>0.50195369999999995</v>
      </c>
      <c r="F5627" t="s">
        <v>57</v>
      </c>
      <c r="G5627">
        <v>-405.60730000000001</v>
      </c>
      <c r="H5627" s="1">
        <v>-8.6775949999999994E-6</v>
      </c>
      <c r="I5627">
        <v>141.34049999999999</v>
      </c>
      <c r="J5627">
        <v>-386.16789999999997</v>
      </c>
      <c r="K5627">
        <v>1.120579</v>
      </c>
      <c r="L5627">
        <v>141.65219999999999</v>
      </c>
      <c r="M5627">
        <v>-0.99989269999999997</v>
      </c>
      <c r="N5627">
        <v>-1.427863E-2</v>
      </c>
      <c r="O5627">
        <v>-3.3234499999999999E-3</v>
      </c>
      <c r="P5627">
        <v>-0.99352439999999997</v>
      </c>
      <c r="Q5627">
        <v>-0.111943</v>
      </c>
      <c r="R5627">
        <v>-1.9441219999999999E-2</v>
      </c>
      <c r="S5627">
        <v>-2.9996640000000001</v>
      </c>
      <c r="T5627">
        <v>-0.170353799999999</v>
      </c>
      <c r="U5627">
        <v>-4.7500609999999999E-2</v>
      </c>
      <c r="V5627">
        <v>-1.6197550000000002E-2</v>
      </c>
      <c r="W5627">
        <v>-9.7734909999999994E-2</v>
      </c>
      <c r="X5627">
        <v>0.99508059999999998</v>
      </c>
      <c r="Y5627">
        <v>-1.2487679999999999E-2</v>
      </c>
      <c r="Z5627">
        <v>-3.0238839999999998E-4</v>
      </c>
      <c r="AA5627">
        <v>0.99992199999999998</v>
      </c>
      <c r="AB5627">
        <v>30</v>
      </c>
      <c r="AC5627">
        <v>-19.439399999999999</v>
      </c>
      <c r="AD5627">
        <v>-1.1205876775950001</v>
      </c>
      <c r="AE5627">
        <v>-0.31170000000000098</v>
      </c>
      <c r="AF5627">
        <v>-0.24626769926689501</v>
      </c>
      <c r="AG5627">
        <v>-1.1205876775950001</v>
      </c>
      <c r="AH5627">
        <v>19.375959529152802</v>
      </c>
      <c r="AI5627">
        <v>93.309685709993204</v>
      </c>
      <c r="AJ5627">
        <v>90.728187941055396</v>
      </c>
      <c r="AK5627">
        <v>19.409898819886902</v>
      </c>
      <c r="AL5627">
        <v>95.608751732493303</v>
      </c>
      <c r="AM5627">
        <v>90.932556921167205</v>
      </c>
      <c r="AN5627">
        <v>0.99999993687753297</v>
      </c>
    </row>
    <row r="5628" spans="1:40" x14ac:dyDescent="0.25">
      <c r="A5628" t="str">
        <f>"20190303154253009"</f>
        <v>20190303154253009</v>
      </c>
      <c r="B5628" t="str">
        <f>"1551598973005688"</f>
        <v>1551598973005688</v>
      </c>
      <c r="C5628" t="s">
        <v>40</v>
      </c>
      <c r="D5628">
        <v>5.4190880000000003</v>
      </c>
      <c r="E5628">
        <v>0.50232370000000004</v>
      </c>
      <c r="F5628" t="s">
        <v>57</v>
      </c>
      <c r="G5628">
        <v>-406.15660000000003</v>
      </c>
      <c r="H5628" s="1">
        <v>-9.02586E-6</v>
      </c>
      <c r="I5628">
        <v>141.35579999999999</v>
      </c>
      <c r="J5628">
        <v>-386.46589999999998</v>
      </c>
      <c r="K5628">
        <v>1.120581</v>
      </c>
      <c r="L5628">
        <v>141.6515</v>
      </c>
      <c r="M5628">
        <v>-0.99989360000000005</v>
      </c>
      <c r="N5628">
        <v>-1.4275400000000001E-2</v>
      </c>
      <c r="O5628">
        <v>-3.0448290000000002E-3</v>
      </c>
      <c r="P5628">
        <v>-0.99356219999999995</v>
      </c>
      <c r="Q5628">
        <v>-0.111302</v>
      </c>
      <c r="R5628">
        <v>-2.1132539999999998E-2</v>
      </c>
      <c r="S5628">
        <v>-2.999695</v>
      </c>
      <c r="T5628">
        <v>-0.16816600000000001</v>
      </c>
      <c r="U5628">
        <v>-4.4479369999999997E-2</v>
      </c>
      <c r="V5628">
        <v>-1.8164949999999999E-2</v>
      </c>
      <c r="W5628">
        <v>-9.7095390000000004E-2</v>
      </c>
      <c r="X5628">
        <v>0.99510929999999997</v>
      </c>
      <c r="Y5628">
        <v>-1.1760939999999999E-2</v>
      </c>
      <c r="Z5628">
        <v>-2.8631540000000001E-4</v>
      </c>
      <c r="AA5628">
        <v>0.99993080000000001</v>
      </c>
      <c r="AB5628">
        <v>30</v>
      </c>
      <c r="AC5628">
        <v>-19.6907</v>
      </c>
      <c r="AD5628">
        <v>-1.1205900258599999</v>
      </c>
      <c r="AE5628">
        <v>-0.29570000000001001</v>
      </c>
      <c r="AF5628">
        <v>-0.23497686393518999</v>
      </c>
      <c r="AG5628">
        <v>-1.1205900258599999</v>
      </c>
      <c r="AH5628">
        <v>19.627954360409301</v>
      </c>
      <c r="AI5628">
        <v>93.2673232749721</v>
      </c>
      <c r="AJ5628">
        <v>90.685886018663894</v>
      </c>
      <c r="AK5628">
        <v>19.661320619606201</v>
      </c>
      <c r="AL5628">
        <v>95.571934474910904</v>
      </c>
      <c r="AM5628">
        <v>91.045773958649605</v>
      </c>
      <c r="AN5628">
        <v>0.99999999955712204</v>
      </c>
    </row>
    <row r="5629" spans="1:40" x14ac:dyDescent="0.25">
      <c r="A5629" t="str">
        <f>"20190303154253032"</f>
        <v>20190303154253032</v>
      </c>
      <c r="B5629" t="str">
        <f>"1551598973026184"</f>
        <v>1551598973026184</v>
      </c>
      <c r="C5629" t="s">
        <v>40</v>
      </c>
      <c r="D5629">
        <v>5.4354800000000001</v>
      </c>
      <c r="E5629">
        <v>0.5024518</v>
      </c>
      <c r="F5629" t="s">
        <v>57</v>
      </c>
      <c r="G5629">
        <v>-406.70800000000003</v>
      </c>
      <c r="H5629" s="1">
        <v>-9.3607929999999994E-6</v>
      </c>
      <c r="I5629">
        <v>141.3356</v>
      </c>
      <c r="J5629">
        <v>-386.77319999999997</v>
      </c>
      <c r="K5629">
        <v>1.1205769999999999</v>
      </c>
      <c r="L5629">
        <v>141.65090000000001</v>
      </c>
      <c r="M5629">
        <v>-0.99989439999999996</v>
      </c>
      <c r="N5629">
        <v>-1.4272079999999999E-2</v>
      </c>
      <c r="O5629">
        <v>-2.7566819999999999E-3</v>
      </c>
      <c r="P5629">
        <v>-0.99353080000000005</v>
      </c>
      <c r="Q5629">
        <v>-0.1111138</v>
      </c>
      <c r="R5629">
        <v>-2.346937E-2</v>
      </c>
      <c r="S5629">
        <v>-2.9998469999999999</v>
      </c>
      <c r="T5629">
        <v>-0.16606989999999999</v>
      </c>
      <c r="U5629">
        <v>-4.6813960000000002E-2</v>
      </c>
      <c r="V5629">
        <v>-2.0788330000000001E-2</v>
      </c>
      <c r="W5629">
        <v>-9.6909309999999999E-2</v>
      </c>
      <c r="X5629">
        <v>0.99507610000000002</v>
      </c>
      <c r="Y5629">
        <v>-1.2824479999999999E-2</v>
      </c>
      <c r="Z5629">
        <v>-3.3313910000000002E-4</v>
      </c>
      <c r="AA5629">
        <v>0.99991770000000002</v>
      </c>
      <c r="AB5629">
        <v>30</v>
      </c>
      <c r="AC5629">
        <v>-19.934799999999999</v>
      </c>
      <c r="AD5629">
        <v>-1.120586360793</v>
      </c>
      <c r="AE5629">
        <v>-0.31530000000000702</v>
      </c>
      <c r="AF5629">
        <v>-0.25951946421612099</v>
      </c>
      <c r="AG5629">
        <v>-1.120586360793</v>
      </c>
      <c r="AH5629">
        <v>19.8728140408152</v>
      </c>
      <c r="AI5629">
        <v>93.227096741254897</v>
      </c>
      <c r="AJ5629">
        <v>90.748184167218298</v>
      </c>
      <c r="AK5629">
        <v>19.906074501144701</v>
      </c>
      <c r="AL5629">
        <v>95.561222318515107</v>
      </c>
      <c r="AM5629">
        <v>91.196803277482203</v>
      </c>
      <c r="AN5629">
        <v>1.0000000069100301</v>
      </c>
    </row>
    <row r="5630" spans="1:40" x14ac:dyDescent="0.25">
      <c r="A5630" t="str">
        <f>"20190303154253054"</f>
        <v>20190303154253054</v>
      </c>
      <c r="B5630" t="str">
        <f>"1551598973045707"</f>
        <v>1551598973045707</v>
      </c>
      <c r="C5630" t="s">
        <v>40</v>
      </c>
      <c r="D5630">
        <v>5.521649</v>
      </c>
      <c r="E5630">
        <v>0.50230200000000003</v>
      </c>
      <c r="F5630" t="s">
        <v>57</v>
      </c>
      <c r="G5630">
        <v>-406.96789999999999</v>
      </c>
      <c r="H5630" s="1">
        <v>-9.5058130000000003E-6</v>
      </c>
      <c r="I5630">
        <v>141.29480000000001</v>
      </c>
      <c r="J5630">
        <v>-387.06740000000002</v>
      </c>
      <c r="K5630">
        <v>1.12056</v>
      </c>
      <c r="L5630">
        <v>141.65029999999999</v>
      </c>
      <c r="M5630">
        <v>-0.99989519999999998</v>
      </c>
      <c r="N5630">
        <v>-1.4268930000000001E-2</v>
      </c>
      <c r="O5630">
        <v>-2.4795170000000001E-3</v>
      </c>
      <c r="P5630">
        <v>-0.99321380000000004</v>
      </c>
      <c r="Q5630">
        <v>-0.1133019</v>
      </c>
      <c r="R5630">
        <v>-2.6253350000000002E-2</v>
      </c>
      <c r="S5630">
        <v>-2.9996339999999999</v>
      </c>
      <c r="T5630">
        <v>-0.1664476</v>
      </c>
      <c r="U5630">
        <v>-5.2886959999999997E-2</v>
      </c>
      <c r="V5630">
        <v>-2.384967E-2</v>
      </c>
      <c r="W5630">
        <v>-9.9103060000000007E-2</v>
      </c>
      <c r="X5630">
        <v>0.99479130000000004</v>
      </c>
      <c r="Y5630">
        <v>-1.5121819999999999E-2</v>
      </c>
      <c r="Z5630">
        <v>-4.2508859999999999E-4</v>
      </c>
      <c r="AA5630">
        <v>0.99988560000000004</v>
      </c>
      <c r="AB5630">
        <v>30</v>
      </c>
      <c r="AC5630">
        <v>-19.900499999999901</v>
      </c>
      <c r="AD5630">
        <v>-1.1205695058130001</v>
      </c>
      <c r="AE5630">
        <v>-0.355499999999977</v>
      </c>
      <c r="AF5630">
        <v>-0.30518293635845101</v>
      </c>
      <c r="AG5630">
        <v>-1.1205695058130001</v>
      </c>
      <c r="AH5630">
        <v>19.838439498403599</v>
      </c>
      <c r="AI5630">
        <v>93.232521433621599</v>
      </c>
      <c r="AJ5630">
        <v>90.881335202972593</v>
      </c>
      <c r="AK5630">
        <v>19.872405349474501</v>
      </c>
      <c r="AL5630">
        <v>95.687523167346399</v>
      </c>
      <c r="AM5630">
        <v>91.373377225000993</v>
      </c>
      <c r="AN5630">
        <v>0.99999997690808096</v>
      </c>
    </row>
    <row r="5631" spans="1:40" x14ac:dyDescent="0.25">
      <c r="A5631" t="str">
        <f>"20190303154253077"</f>
        <v>20190303154253077</v>
      </c>
      <c r="B5631" t="str">
        <f>"1551598973066200"</f>
        <v>1551598973066200</v>
      </c>
      <c r="C5631" t="s">
        <v>40</v>
      </c>
      <c r="D5631">
        <v>5.4504449999999904</v>
      </c>
      <c r="E5631">
        <v>0.45738709999999999</v>
      </c>
      <c r="F5631" t="s">
        <v>57</v>
      </c>
      <c r="G5631">
        <v>-406.42910000000001</v>
      </c>
      <c r="H5631" s="1">
        <v>-9.1511630000000002E-6</v>
      </c>
      <c r="I5631">
        <v>141.24789999999999</v>
      </c>
      <c r="J5631">
        <v>-387.37819999999999</v>
      </c>
      <c r="K5631">
        <v>1.120547</v>
      </c>
      <c r="L5631">
        <v>141.6499</v>
      </c>
      <c r="M5631">
        <v>-0.99989600000000001</v>
      </c>
      <c r="N5631">
        <v>-1.426558E-2</v>
      </c>
      <c r="O5631">
        <v>-2.1863830000000001E-3</v>
      </c>
      <c r="P5631">
        <v>-0.99285040000000002</v>
      </c>
      <c r="Q5631">
        <v>-0.1160849</v>
      </c>
      <c r="R5631">
        <v>-2.779653E-2</v>
      </c>
      <c r="S5631">
        <v>-2.9990230000000002</v>
      </c>
      <c r="T5631">
        <v>-0.17357020000000001</v>
      </c>
      <c r="U5631">
        <v>-6.2332150000000003E-2</v>
      </c>
      <c r="V5631">
        <v>-2.5687109999999999E-2</v>
      </c>
      <c r="W5631">
        <v>-0.1018932</v>
      </c>
      <c r="X5631">
        <v>0.9944636</v>
      </c>
      <c r="Y5631">
        <v>-1.855685E-2</v>
      </c>
      <c r="Z5631">
        <v>-5.7375920000000003E-4</v>
      </c>
      <c r="AA5631">
        <v>0.99982760000000004</v>
      </c>
      <c r="AB5631">
        <v>30</v>
      </c>
      <c r="AC5631">
        <v>-19.050899999999999</v>
      </c>
      <c r="AD5631">
        <v>-1.120556151163</v>
      </c>
      <c r="AE5631">
        <v>-0.40200000000001501</v>
      </c>
      <c r="AF5631">
        <v>-0.35910042181673202</v>
      </c>
      <c r="AG5631">
        <v>-1.120556151163</v>
      </c>
      <c r="AH5631">
        <v>18.986076907204101</v>
      </c>
      <c r="AI5631">
        <v>93.377069717841906</v>
      </c>
      <c r="AJ5631">
        <v>91.083556427183794</v>
      </c>
      <c r="AK5631">
        <v>19.022505500777999</v>
      </c>
      <c r="AL5631">
        <v>95.848200085576394</v>
      </c>
      <c r="AM5631">
        <v>91.479627614602293</v>
      </c>
      <c r="AN5631">
        <v>0.99999995177567402</v>
      </c>
    </row>
    <row r="5632" spans="1:40" x14ac:dyDescent="0.25">
      <c r="A5632" t="str">
        <f>"20190303154253098"</f>
        <v>20190303154253098</v>
      </c>
      <c r="B5632" t="str">
        <f>"1551598973096140"</f>
        <v>1551598973096140</v>
      </c>
      <c r="C5632" t="s">
        <v>40</v>
      </c>
      <c r="D5632">
        <v>5.4651329999999998</v>
      </c>
      <c r="E5632">
        <v>0.44721909999999998</v>
      </c>
      <c r="F5632" t="s">
        <v>57</v>
      </c>
      <c r="G5632">
        <v>-401.13060000000002</v>
      </c>
      <c r="H5632" s="1">
        <v>-5.8986170000000004E-6</v>
      </c>
      <c r="I5632">
        <v>139.69239999999999</v>
      </c>
      <c r="J5632">
        <v>-387.6653</v>
      </c>
      <c r="K5632">
        <v>1.1205400000000001</v>
      </c>
      <c r="L5632">
        <v>141.64959999999999</v>
      </c>
      <c r="M5632">
        <v>-0.99989640000000002</v>
      </c>
      <c r="N5632">
        <v>-1.4262510000000001E-2</v>
      </c>
      <c r="O5632">
        <v>-1.914823E-3</v>
      </c>
      <c r="P5632">
        <v>-0.99270179999999997</v>
      </c>
      <c r="Q5632">
        <v>-0.11710810000000001</v>
      </c>
      <c r="R5632">
        <v>-2.8789470000000001E-2</v>
      </c>
      <c r="S5632">
        <v>-2.981293</v>
      </c>
      <c r="T5632">
        <v>-0.24291740000000001</v>
      </c>
      <c r="U5632">
        <v>-0.42436220000000002</v>
      </c>
      <c r="V5632">
        <v>-2.6949859999999999E-2</v>
      </c>
      <c r="W5632">
        <v>-0.102920899999999</v>
      </c>
      <c r="X5632">
        <v>0.9943244</v>
      </c>
      <c r="Y5632">
        <v>-0.13849910000000001</v>
      </c>
      <c r="Z5632">
        <v>-6.4717739999999996E-3</v>
      </c>
      <c r="AA5632">
        <v>0.99034140000000004</v>
      </c>
      <c r="AB5632">
        <v>30</v>
      </c>
      <c r="AC5632">
        <v>-13.465299999999999</v>
      </c>
      <c r="AD5632">
        <v>-1.1205458986169901</v>
      </c>
      <c r="AE5632">
        <v>-1.9572000000000001</v>
      </c>
      <c r="AF5632">
        <v>-1.9183998423667901</v>
      </c>
      <c r="AG5632">
        <v>-1.1205458986169901</v>
      </c>
      <c r="AH5632">
        <v>13.378293949336999</v>
      </c>
      <c r="AI5632">
        <v>94.739576693498606</v>
      </c>
      <c r="AJ5632">
        <v>98.160382016367095</v>
      </c>
      <c r="AK5632">
        <v>13.5615128234636</v>
      </c>
      <c r="AL5632">
        <v>95.907393829706706</v>
      </c>
      <c r="AM5632">
        <v>91.552546931395696</v>
      </c>
      <c r="AN5632">
        <v>1.0000000095230901</v>
      </c>
    </row>
    <row r="5633" spans="1:40" x14ac:dyDescent="0.25">
      <c r="A5633" t="str">
        <f>"20190303154253121"</f>
        <v>20190303154253121</v>
      </c>
      <c r="B5633" t="str">
        <f>"1551598973115663"</f>
        <v>1551598973115663</v>
      </c>
      <c r="C5633" t="s">
        <v>40</v>
      </c>
      <c r="D5633">
        <v>5.4190990000000001</v>
      </c>
      <c r="E5633">
        <v>0.44472450000000002</v>
      </c>
      <c r="F5633" t="s">
        <v>57</v>
      </c>
      <c r="G5633">
        <v>-401.48110000000003</v>
      </c>
      <c r="H5633" s="1">
        <v>-5.8710579999999997E-6</v>
      </c>
      <c r="I5633">
        <v>139.29130000000001</v>
      </c>
      <c r="J5633">
        <v>-387.96850000000001</v>
      </c>
      <c r="K5633">
        <v>1.1205430000000001</v>
      </c>
      <c r="L5633">
        <v>141.64930000000001</v>
      </c>
      <c r="M5633">
        <v>-0.99989709999999998</v>
      </c>
      <c r="N5633">
        <v>-1.4259269999999999E-2</v>
      </c>
      <c r="O5633">
        <v>-1.6276439999999999E-3</v>
      </c>
      <c r="P5633">
        <v>-0.99264969999999997</v>
      </c>
      <c r="Q5633">
        <v>-0.1173507</v>
      </c>
      <c r="R5633">
        <v>-2.959289E-2</v>
      </c>
      <c r="S5633">
        <v>-2.9788209999999999</v>
      </c>
      <c r="T5633">
        <v>-0.2415987</v>
      </c>
      <c r="U5633">
        <v>-0.50846859999999905</v>
      </c>
      <c r="V5633">
        <v>-2.803868E-2</v>
      </c>
      <c r="W5633">
        <v>-0.10316690000000001</v>
      </c>
      <c r="X5633">
        <v>0.99426879999999995</v>
      </c>
      <c r="Y5633">
        <v>-0.1660343</v>
      </c>
      <c r="Z5633">
        <v>-7.760795E-3</v>
      </c>
      <c r="AA5633">
        <v>0.98608949999999995</v>
      </c>
      <c r="AB5633">
        <v>30</v>
      </c>
      <c r="AC5633">
        <v>-13.512600000000001</v>
      </c>
      <c r="AD5633">
        <v>-1.1205488710580001</v>
      </c>
      <c r="AE5633">
        <v>-2.3580000000000001</v>
      </c>
      <c r="AF5633">
        <v>-2.3205148937019602</v>
      </c>
      <c r="AG5633">
        <v>-1.1205488710580001</v>
      </c>
      <c r="AH5633">
        <v>13.426816096605201</v>
      </c>
      <c r="AI5633">
        <v>94.7012484054884</v>
      </c>
      <c r="AJ5633">
        <v>99.8053909768322</v>
      </c>
      <c r="AK5633">
        <v>13.6718619666956</v>
      </c>
      <c r="AL5633">
        <v>95.921564008816304</v>
      </c>
      <c r="AM5633">
        <v>91.615330150758098</v>
      </c>
      <c r="AN5633">
        <v>1.00000001174259</v>
      </c>
    </row>
    <row r="5634" spans="1:40" x14ac:dyDescent="0.25">
      <c r="A5634" t="str">
        <f>"20190303154253143"</f>
        <v>20190303154253143</v>
      </c>
      <c r="B5634" t="str">
        <f>"1551598973136156"</f>
        <v>1551598973136156</v>
      </c>
      <c r="C5634" t="s">
        <v>40</v>
      </c>
      <c r="D5634">
        <v>5.4123400000000004</v>
      </c>
      <c r="E5634">
        <v>0.44354640000000001</v>
      </c>
      <c r="F5634" t="s">
        <v>57</v>
      </c>
      <c r="G5634">
        <v>-401.63839999999999</v>
      </c>
      <c r="H5634" s="1">
        <v>-5.9042199999999999E-6</v>
      </c>
      <c r="I5634">
        <v>139.21299999999999</v>
      </c>
      <c r="J5634">
        <v>-388.27140000000003</v>
      </c>
      <c r="K5634">
        <v>1.120547</v>
      </c>
      <c r="L5634">
        <v>141.6491</v>
      </c>
      <c r="M5634">
        <v>-0.99989760000000005</v>
      </c>
      <c r="N5634">
        <v>-1.4256029999999999E-2</v>
      </c>
      <c r="O5634">
        <v>-1.3408210000000001E-3</v>
      </c>
      <c r="P5634">
        <v>-0.99277199999999999</v>
      </c>
      <c r="Q5634">
        <v>-0.1162417</v>
      </c>
      <c r="R5634">
        <v>-2.9864990000000001E-2</v>
      </c>
      <c r="S5634">
        <v>-2.977509</v>
      </c>
      <c r="T5634">
        <v>-0.24407319999999999</v>
      </c>
      <c r="U5634">
        <v>-0.53067019999999998</v>
      </c>
      <c r="V5634">
        <v>-2.859476E-2</v>
      </c>
      <c r="W5634">
        <v>-0.10205930000000001</v>
      </c>
      <c r="X5634">
        <v>0.99436720000000001</v>
      </c>
      <c r="Y5634">
        <v>-0.1734791</v>
      </c>
      <c r="Z5634">
        <v>-8.2018509999999996E-3</v>
      </c>
      <c r="AA5634">
        <v>0.9848034</v>
      </c>
      <c r="AB5634">
        <v>30</v>
      </c>
      <c r="AC5634">
        <v>-13.3669999999999</v>
      </c>
      <c r="AD5634">
        <v>-1.12055290422</v>
      </c>
      <c r="AE5634">
        <v>-2.4361000000000099</v>
      </c>
      <c r="AF5634">
        <v>-2.4018370730060701</v>
      </c>
      <c r="AG5634">
        <v>-1.12055290422</v>
      </c>
      <c r="AH5634">
        <v>13.2799308606469</v>
      </c>
      <c r="AI5634">
        <v>94.746512886021193</v>
      </c>
      <c r="AJ5634">
        <v>100.251814766035</v>
      </c>
      <c r="AK5634">
        <v>13.5418249804073</v>
      </c>
      <c r="AL5634">
        <v>95.857766829279399</v>
      </c>
      <c r="AM5634">
        <v>91.647185943357499</v>
      </c>
      <c r="AN5634">
        <v>0.99999994472589204</v>
      </c>
    </row>
    <row r="5635" spans="1:40" x14ac:dyDescent="0.25">
      <c r="A5635" t="str">
        <f>"20190303154253166"</f>
        <v>20190303154253166</v>
      </c>
      <c r="B5635" t="str">
        <f>"1551598973155676"</f>
        <v>1551598973155676</v>
      </c>
      <c r="C5635" t="s">
        <v>40</v>
      </c>
      <c r="D5635">
        <v>5.3836890000000004</v>
      </c>
      <c r="E5635">
        <v>0.44267980000000001</v>
      </c>
      <c r="F5635" t="s">
        <v>57</v>
      </c>
      <c r="G5635">
        <v>-402.21539999999999</v>
      </c>
      <c r="H5635" s="1">
        <v>-6.1147640000000002E-6</v>
      </c>
      <c r="I5635">
        <v>139.11590000000001</v>
      </c>
      <c r="J5635">
        <v>-388.57389999999998</v>
      </c>
      <c r="K5635">
        <v>1.1205510000000001</v>
      </c>
      <c r="L5635">
        <v>141.649</v>
      </c>
      <c r="M5635">
        <v>-0.99989799999999995</v>
      </c>
      <c r="N5635">
        <v>-1.425278E-2</v>
      </c>
      <c r="O5635">
        <v>-1.0541189999999901E-3</v>
      </c>
      <c r="P5635">
        <v>-0.99281370000000002</v>
      </c>
      <c r="Q5635">
        <v>-0.11568100000000001</v>
      </c>
      <c r="R5635">
        <v>-3.0647130000000002E-2</v>
      </c>
      <c r="S5635">
        <v>-2.9775390000000002</v>
      </c>
      <c r="T5635">
        <v>-0.23927880000000001</v>
      </c>
      <c r="U5635">
        <v>-0.54093930000000001</v>
      </c>
      <c r="V5635">
        <v>-2.966092E-2</v>
      </c>
      <c r="W5635">
        <v>-0.1015007</v>
      </c>
      <c r="X5635">
        <v>0.99439319999999998</v>
      </c>
      <c r="Y5635">
        <v>-0.17705889999999999</v>
      </c>
      <c r="Z5635">
        <v>-8.2509209999999996E-3</v>
      </c>
      <c r="AA5635">
        <v>0.98416570000000003</v>
      </c>
      <c r="AB5635">
        <v>30</v>
      </c>
      <c r="AC5635">
        <v>-13.641500000000001</v>
      </c>
      <c r="AD5635">
        <v>-1.1205571147640001</v>
      </c>
      <c r="AE5635">
        <v>-2.5330999999999899</v>
      </c>
      <c r="AF5635">
        <v>-2.50239522884837</v>
      </c>
      <c r="AG5635">
        <v>-1.1205571147640001</v>
      </c>
      <c r="AH5635">
        <v>13.555744089825099</v>
      </c>
      <c r="AI5635">
        <v>94.647323380972296</v>
      </c>
      <c r="AJ5635">
        <v>100.459076575026</v>
      </c>
      <c r="AK5635">
        <v>13.8302504661933</v>
      </c>
      <c r="AL5635">
        <v>95.8255940119614</v>
      </c>
      <c r="AM5635">
        <v>91.708521127869403</v>
      </c>
      <c r="AN5635">
        <v>0.99999999924098804</v>
      </c>
    </row>
    <row r="5636" spans="1:40" x14ac:dyDescent="0.25">
      <c r="A5636" t="str">
        <f>"20190303154253188"</f>
        <v>20190303154253188</v>
      </c>
      <c r="B5636" t="str">
        <f>"1551598973176172"</f>
        <v>1551598973176172</v>
      </c>
      <c r="C5636" t="s">
        <v>40</v>
      </c>
      <c r="D5636">
        <v>5.390822</v>
      </c>
      <c r="E5636">
        <v>0.441797</v>
      </c>
      <c r="F5636" t="s">
        <v>57</v>
      </c>
      <c r="G5636">
        <v>-402.64920000000001</v>
      </c>
      <c r="H5636" s="1">
        <v>-6.2748479999999899E-6</v>
      </c>
      <c r="I5636">
        <v>139.04669999999999</v>
      </c>
      <c r="J5636">
        <v>-388.86430000000001</v>
      </c>
      <c r="K5636">
        <v>1.1205590000000001</v>
      </c>
      <c r="L5636">
        <v>141.649</v>
      </c>
      <c r="M5636">
        <v>-0.99989810000000001</v>
      </c>
      <c r="N5636">
        <v>-1.424948E-2</v>
      </c>
      <c r="O5636">
        <v>-7.7802820000000001E-4</v>
      </c>
      <c r="P5636">
        <v>-0.99284229999999996</v>
      </c>
      <c r="Q5636">
        <v>-0.1151274</v>
      </c>
      <c r="R5636">
        <v>-3.1779010000000003E-2</v>
      </c>
      <c r="S5636">
        <v>-2.9770810000000001</v>
      </c>
      <c r="T5636">
        <v>-0.23701</v>
      </c>
      <c r="U5636">
        <v>-0.55041499999999999</v>
      </c>
      <c r="V5636">
        <v>-3.1067109999999998E-2</v>
      </c>
      <c r="W5636">
        <v>-0.10094930000000001</v>
      </c>
      <c r="X5636">
        <v>0.99440640000000002</v>
      </c>
      <c r="Y5636">
        <v>-0.18038580000000001</v>
      </c>
      <c r="Z5636">
        <v>-8.3571440000000004E-3</v>
      </c>
      <c r="AA5636">
        <v>0.9835604</v>
      </c>
      <c r="AB5636">
        <v>30</v>
      </c>
      <c r="AC5636">
        <v>-13.784899999999899</v>
      </c>
      <c r="AD5636">
        <v>-1.1205652748479999</v>
      </c>
      <c r="AE5636">
        <v>-2.6023000000000098</v>
      </c>
      <c r="AF5636">
        <v>-2.5751422129649599</v>
      </c>
      <c r="AG5636">
        <v>-1.1205652748479999</v>
      </c>
      <c r="AH5636">
        <v>13.699510047632</v>
      </c>
      <c r="AI5636">
        <v>94.596017030764898</v>
      </c>
      <c r="AJ5636">
        <v>100.645850536984</v>
      </c>
      <c r="AK5636">
        <v>13.9844055825538</v>
      </c>
      <c r="AL5636">
        <v>95.793837958224202</v>
      </c>
      <c r="AM5636">
        <v>91.789444932686806</v>
      </c>
      <c r="AN5636">
        <v>1.0000000074276001</v>
      </c>
    </row>
    <row r="5637" spans="1:40" x14ac:dyDescent="0.25">
      <c r="A5637" t="str">
        <f>"20190303154253210"</f>
        <v>20190303154253210</v>
      </c>
      <c r="B5637" t="str">
        <f>"1551598973205803"</f>
        <v>1551598973205803</v>
      </c>
      <c r="C5637" t="s">
        <v>40</v>
      </c>
      <c r="D5637">
        <v>5.3463799999999999</v>
      </c>
      <c r="E5637">
        <v>0.44100329999999899</v>
      </c>
      <c r="F5637" t="s">
        <v>57</v>
      </c>
      <c r="G5637">
        <v>-402.99650000000003</v>
      </c>
      <c r="H5637" s="1">
        <v>-6.40044E-6</v>
      </c>
      <c r="I5637">
        <v>138.98580000000001</v>
      </c>
      <c r="J5637">
        <v>-389.16469999999998</v>
      </c>
      <c r="K5637">
        <v>1.12056</v>
      </c>
      <c r="L5637">
        <v>141.6491</v>
      </c>
      <c r="M5637">
        <v>-0.99989839999999997</v>
      </c>
      <c r="N5637">
        <v>-1.4246089999999999E-2</v>
      </c>
      <c r="O5637">
        <v>-4.9263970000000003E-4</v>
      </c>
      <c r="P5637">
        <v>-0.99286039999999998</v>
      </c>
      <c r="Q5637">
        <v>-0.1147774</v>
      </c>
      <c r="R5637">
        <v>-3.2472750000000002E-2</v>
      </c>
      <c r="S5637">
        <v>-2.9762879999999998</v>
      </c>
      <c r="T5637">
        <v>-0.2359948</v>
      </c>
      <c r="U5637">
        <v>-0.56088260000000001</v>
      </c>
      <c r="V5637">
        <v>-3.2043589999999997E-2</v>
      </c>
      <c r="W5637">
        <v>-0.1006021</v>
      </c>
      <c r="X5637">
        <v>0.99441060000000003</v>
      </c>
      <c r="Y5637">
        <v>-0.1840463</v>
      </c>
      <c r="Z5637">
        <v>-8.5150850000000004E-3</v>
      </c>
      <c r="AA5637">
        <v>0.98288070000000005</v>
      </c>
      <c r="AB5637">
        <v>30</v>
      </c>
      <c r="AC5637">
        <v>-13.831799999999999</v>
      </c>
      <c r="AD5637">
        <v>-1.12056640044</v>
      </c>
      <c r="AE5637">
        <v>-2.6632999999999898</v>
      </c>
      <c r="AF5637">
        <v>-2.6397787903683998</v>
      </c>
      <c r="AG5637">
        <v>-1.12056640044</v>
      </c>
      <c r="AH5637">
        <v>13.746116842401101</v>
      </c>
      <c r="AI5637">
        <v>94.577106386955506</v>
      </c>
      <c r="AJ5637">
        <v>100.870633213449</v>
      </c>
      <c r="AK5637">
        <v>14.042073542209399</v>
      </c>
      <c r="AL5637">
        <v>95.773843070988406</v>
      </c>
      <c r="AM5637">
        <v>91.845643434916596</v>
      </c>
      <c r="AN5637">
        <v>1.0000000077884199</v>
      </c>
    </row>
    <row r="5638" spans="1:40" x14ac:dyDescent="0.25">
      <c r="A5638" t="str">
        <f>"20190303154253233"</f>
        <v>20190303154253233</v>
      </c>
      <c r="B5638" t="str">
        <f>"1551598973226299"</f>
        <v>1551598973226299</v>
      </c>
      <c r="C5638" t="s">
        <v>40</v>
      </c>
      <c r="D5638">
        <v>5.3536130000000002</v>
      </c>
      <c r="E5638">
        <v>0.44048389999999998</v>
      </c>
      <c r="F5638" t="s">
        <v>57</v>
      </c>
      <c r="G5638">
        <v>-403.39819999999997</v>
      </c>
      <c r="H5638" s="1">
        <v>-6.5504379999999998E-6</v>
      </c>
      <c r="I5638">
        <v>138.9256</v>
      </c>
      <c r="J5638">
        <v>-389.46409999999997</v>
      </c>
      <c r="K5638">
        <v>1.120557</v>
      </c>
      <c r="L5638">
        <v>141.64920000000001</v>
      </c>
      <c r="M5638">
        <v>-0.99989859999999997</v>
      </c>
      <c r="N5638">
        <v>-1.4242930000000001E-2</v>
      </c>
      <c r="O5638">
        <v>-2.0808799999999999E-4</v>
      </c>
      <c r="P5638">
        <v>-0.99283650000000001</v>
      </c>
      <c r="Q5638">
        <v>-0.11461499999999999</v>
      </c>
      <c r="R5638">
        <v>-3.3754350000000002E-2</v>
      </c>
      <c r="S5638">
        <v>-2.9758300000000002</v>
      </c>
      <c r="T5638">
        <v>-0.23428070000000001</v>
      </c>
      <c r="U5638">
        <v>-0.56941219999999904</v>
      </c>
      <c r="V5638">
        <v>-3.3607449999999997E-2</v>
      </c>
      <c r="W5638">
        <v>-0.1004424</v>
      </c>
      <c r="X5638">
        <v>0.99437509999999996</v>
      </c>
      <c r="Y5638">
        <v>-0.1870694</v>
      </c>
      <c r="Z5638">
        <v>-8.6199520000000002E-3</v>
      </c>
      <c r="AA5638">
        <v>0.98230890000000004</v>
      </c>
      <c r="AB5638">
        <v>30</v>
      </c>
      <c r="AC5638">
        <v>-13.934100000000001</v>
      </c>
      <c r="AD5638">
        <v>-1.120563550438</v>
      </c>
      <c r="AE5638">
        <v>-2.7235999999999998</v>
      </c>
      <c r="AF5638">
        <v>-2.7038572823708402</v>
      </c>
      <c r="AG5638">
        <v>-1.120563550438</v>
      </c>
      <c r="AH5638">
        <v>13.8484021507736</v>
      </c>
      <c r="AI5638">
        <v>94.540721289885795</v>
      </c>
      <c r="AJ5638">
        <v>101.04783526406899</v>
      </c>
      <c r="AK5638">
        <v>14.154319093603601</v>
      </c>
      <c r="AL5638">
        <v>95.764646466648301</v>
      </c>
      <c r="AM5638">
        <v>91.935720607237997</v>
      </c>
      <c r="AN5638">
        <v>0.99999998795663603</v>
      </c>
    </row>
    <row r="5639" spans="1:40" x14ac:dyDescent="0.25">
      <c r="A5639" t="str">
        <f>"20190303154253255"</f>
        <v>20190303154253255</v>
      </c>
      <c r="B5639" t="str">
        <f>"1551598973245819"</f>
        <v>1551598973245819</v>
      </c>
      <c r="C5639" t="s">
        <v>40</v>
      </c>
      <c r="D5639">
        <v>5.2897129999999999</v>
      </c>
      <c r="E5639">
        <v>0.44011339999999999</v>
      </c>
      <c r="F5639" t="s">
        <v>57</v>
      </c>
      <c r="G5639">
        <v>-403.72030000000001</v>
      </c>
      <c r="H5639" s="1">
        <v>-6.6727329999999898E-6</v>
      </c>
      <c r="I5639">
        <v>138.88149999999999</v>
      </c>
      <c r="J5639">
        <v>-389.75819999999999</v>
      </c>
      <c r="K5639">
        <v>1.1205499999999999</v>
      </c>
      <c r="L5639">
        <v>141.64949999999999</v>
      </c>
      <c r="M5639">
        <v>-0.99989859999999997</v>
      </c>
      <c r="N5639">
        <v>-1.423993E-2</v>
      </c>
      <c r="O5639" s="1">
        <v>7.1813230000000001E-5</v>
      </c>
      <c r="P5639">
        <v>-0.99279740000000005</v>
      </c>
      <c r="Q5639">
        <v>-0.1146934</v>
      </c>
      <c r="R5639">
        <v>-3.4620529999999997E-2</v>
      </c>
      <c r="S5639">
        <v>-2.975006</v>
      </c>
      <c r="T5639">
        <v>-0.23383979999999999</v>
      </c>
      <c r="U5639">
        <v>-0.57757569999999903</v>
      </c>
      <c r="V5639">
        <v>-3.4751749999999998E-2</v>
      </c>
      <c r="W5639">
        <v>-0.1005239</v>
      </c>
      <c r="X5639">
        <v>0.99432750000000003</v>
      </c>
      <c r="Y5639">
        <v>-0.18998419999999999</v>
      </c>
      <c r="Z5639">
        <v>-8.7585930000000003E-3</v>
      </c>
      <c r="AA5639">
        <v>0.98174810000000001</v>
      </c>
      <c r="AB5639">
        <v>30</v>
      </c>
      <c r="AC5639">
        <v>-13.9621</v>
      </c>
      <c r="AD5639">
        <v>-1.1205566727330001</v>
      </c>
      <c r="AE5639">
        <v>-2.7679999999999998</v>
      </c>
      <c r="AF5639">
        <v>-2.75194727969909</v>
      </c>
      <c r="AG5639">
        <v>-1.1205566727330001</v>
      </c>
      <c r="AH5639">
        <v>13.875903813531799</v>
      </c>
      <c r="AI5639">
        <v>94.529100088724206</v>
      </c>
      <c r="AJ5639">
        <v>101.217657948336</v>
      </c>
      <c r="AK5639">
        <v>14.190474542080601</v>
      </c>
      <c r="AL5639">
        <v>95.769340000793505</v>
      </c>
      <c r="AM5639">
        <v>92.001672966219601</v>
      </c>
      <c r="AN5639">
        <v>0.99999995792775997</v>
      </c>
    </row>
    <row r="5640" spans="1:40" x14ac:dyDescent="0.25">
      <c r="A5640" t="str">
        <f>"20190303154253278"</f>
        <v>20190303154253278</v>
      </c>
      <c r="B5640" t="str">
        <f>"1551598973266316"</f>
        <v>1551598973266316</v>
      </c>
      <c r="C5640" t="s">
        <v>40</v>
      </c>
      <c r="D5640">
        <v>5.2947879999999996</v>
      </c>
      <c r="E5640">
        <v>0.43965310000000002</v>
      </c>
      <c r="F5640" t="s">
        <v>57</v>
      </c>
      <c r="G5640">
        <v>-403.92680000000001</v>
      </c>
      <c r="H5640" s="1">
        <v>-6.7590760000000004E-6</v>
      </c>
      <c r="I5640">
        <v>138.87029999999999</v>
      </c>
      <c r="J5640">
        <v>-390.05619999999999</v>
      </c>
      <c r="K5640">
        <v>1.1205560000000001</v>
      </c>
      <c r="L5640">
        <v>141.6498</v>
      </c>
      <c r="M5640">
        <v>-0.99989859999999997</v>
      </c>
      <c r="N5640">
        <v>-1.423687E-2</v>
      </c>
      <c r="O5640">
        <v>3.5469750000000002E-4</v>
      </c>
      <c r="P5640">
        <v>-0.99263539999999995</v>
      </c>
      <c r="Q5640">
        <v>-0.1159733</v>
      </c>
      <c r="R5640">
        <v>-3.5003329999999999E-2</v>
      </c>
      <c r="S5640">
        <v>-2.9742739999999999</v>
      </c>
      <c r="T5640">
        <v>-0.2352273</v>
      </c>
      <c r="U5640">
        <v>-0.58340449999999999</v>
      </c>
      <c r="V5640">
        <v>-3.541561E-2</v>
      </c>
      <c r="W5640">
        <v>-0.1018087</v>
      </c>
      <c r="X5640">
        <v>0.99417339999999998</v>
      </c>
      <c r="Y5640">
        <v>-0.19214439999999999</v>
      </c>
      <c r="Z5640">
        <v>-8.9209100000000006E-3</v>
      </c>
      <c r="AA5640">
        <v>0.98132609999999998</v>
      </c>
      <c r="AB5640">
        <v>30</v>
      </c>
      <c r="AC5640">
        <v>-13.8706</v>
      </c>
      <c r="AD5640">
        <v>-1.1205627590759999</v>
      </c>
      <c r="AE5640">
        <v>-2.7795000000000099</v>
      </c>
      <c r="AF5640">
        <v>-2.7670581023168599</v>
      </c>
      <c r="AG5640">
        <v>-1.1205627590759999</v>
      </c>
      <c r="AH5640">
        <v>13.783129987512201</v>
      </c>
      <c r="AI5640">
        <v>94.557364069792001</v>
      </c>
      <c r="AJ5640">
        <v>101.351624221455</v>
      </c>
      <c r="AK5640">
        <v>14.1027282357452</v>
      </c>
      <c r="AL5640">
        <v>95.843332923714101</v>
      </c>
      <c r="AM5640">
        <v>92.040194689405794</v>
      </c>
      <c r="AN5640">
        <v>1.00000001304746</v>
      </c>
    </row>
    <row r="5641" spans="1:40" x14ac:dyDescent="0.25">
      <c r="A5641" t="str">
        <f>"20190303154253300"</f>
        <v>20190303154253300</v>
      </c>
      <c r="B5641" t="str">
        <f>"1551598973295596"</f>
        <v>1551598973295596</v>
      </c>
      <c r="C5641" t="s">
        <v>40</v>
      </c>
      <c r="D5641">
        <v>5.2739349999999998</v>
      </c>
      <c r="E5641">
        <v>0.43909900000000002</v>
      </c>
      <c r="F5641" t="s">
        <v>57</v>
      </c>
      <c r="G5641">
        <v>-404.01060000000001</v>
      </c>
      <c r="H5641" s="1">
        <v>-6.8058740000000001E-6</v>
      </c>
      <c r="I5641">
        <v>138.89099999999999</v>
      </c>
      <c r="J5641">
        <v>-390.35480000000001</v>
      </c>
      <c r="K5641">
        <v>1.1205590000000001</v>
      </c>
      <c r="L5641">
        <v>141.65020000000001</v>
      </c>
      <c r="M5641">
        <v>-0.99989859999999997</v>
      </c>
      <c r="N5641">
        <v>-1.42338E-2</v>
      </c>
      <c r="O5641">
        <v>6.3865129999999995E-4</v>
      </c>
      <c r="P5641">
        <v>-0.99255539999999998</v>
      </c>
      <c r="Q5641">
        <v>-0.1166156</v>
      </c>
      <c r="R5641">
        <v>-3.513993E-2</v>
      </c>
      <c r="S5641">
        <v>-2.9736020000000001</v>
      </c>
      <c r="T5641">
        <v>-0.238785</v>
      </c>
      <c r="U5641">
        <v>-0.58789060000000004</v>
      </c>
      <c r="V5641">
        <v>-3.5834659999999997E-2</v>
      </c>
      <c r="W5641">
        <v>-0.1024552</v>
      </c>
      <c r="X5641">
        <v>0.99409190000000003</v>
      </c>
      <c r="Y5641">
        <v>-0.1938636</v>
      </c>
      <c r="Z5641">
        <v>-9.1343889999999997E-3</v>
      </c>
      <c r="AA5641">
        <v>0.98098589999999997</v>
      </c>
      <c r="AB5641">
        <v>30</v>
      </c>
      <c r="AC5641">
        <v>-13.655799999999999</v>
      </c>
      <c r="AD5641">
        <v>-1.120565805874</v>
      </c>
      <c r="AE5641">
        <v>-2.7592000000000199</v>
      </c>
      <c r="AF5641">
        <v>-2.7501299853208199</v>
      </c>
      <c r="AG5641">
        <v>-1.120565805874</v>
      </c>
      <c r="AH5641">
        <v>13.5662695510759</v>
      </c>
      <c r="AI5641">
        <v>94.628160716393793</v>
      </c>
      <c r="AJ5641">
        <v>101.459606207845</v>
      </c>
      <c r="AK5641">
        <v>13.8874962536054</v>
      </c>
      <c r="AL5641">
        <v>95.880569742234798</v>
      </c>
      <c r="AM5641">
        <v>92.064483324709599</v>
      </c>
      <c r="AN5641">
        <v>0.99999994825498095</v>
      </c>
    </row>
    <row r="5642" spans="1:40" x14ac:dyDescent="0.25">
      <c r="A5642" t="str">
        <f>"20190303154253322"</f>
        <v>20190303154253322</v>
      </c>
      <c r="B5642" t="str">
        <f>"1551598973316092"</f>
        <v>1551598973316092</v>
      </c>
      <c r="C5642" t="s">
        <v>40</v>
      </c>
      <c r="D5642">
        <v>5.2046780000000004</v>
      </c>
      <c r="E5642">
        <v>0.43884580000000001</v>
      </c>
      <c r="F5642" t="s">
        <v>57</v>
      </c>
      <c r="G5642">
        <v>-404.1823</v>
      </c>
      <c r="H5642" s="1">
        <v>-6.8830699999999998E-6</v>
      </c>
      <c r="I5642">
        <v>138.89330000000001</v>
      </c>
      <c r="J5642">
        <v>-390.64929999999998</v>
      </c>
      <c r="K5642">
        <v>1.1205609999999999</v>
      </c>
      <c r="L5642">
        <v>141.6507</v>
      </c>
      <c r="M5642">
        <v>-0.99989839999999997</v>
      </c>
      <c r="N5642">
        <v>-1.423079E-2</v>
      </c>
      <c r="O5642">
        <v>9.1872959999999995E-4</v>
      </c>
      <c r="P5642">
        <v>-0.99256670000000002</v>
      </c>
      <c r="Q5642">
        <v>-0.1160567</v>
      </c>
      <c r="R5642">
        <v>-3.6640140000000002E-2</v>
      </c>
      <c r="S5642">
        <v>-2.9732059999999998</v>
      </c>
      <c r="T5642">
        <v>-0.24094640000000001</v>
      </c>
      <c r="U5642">
        <v>-0.592804</v>
      </c>
      <c r="V5642">
        <v>-3.7611970000000002E-2</v>
      </c>
      <c r="W5642">
        <v>-0.1018983</v>
      </c>
      <c r="X5642">
        <v>0.99408350000000001</v>
      </c>
      <c r="Y5642">
        <v>-0.19570319999999999</v>
      </c>
      <c r="Z5642">
        <v>-9.3094830000000003E-3</v>
      </c>
      <c r="AA5642">
        <v>0.98061900000000002</v>
      </c>
      <c r="AB5642">
        <v>30</v>
      </c>
      <c r="AC5642">
        <v>-13.532999999999999</v>
      </c>
      <c r="AD5642">
        <v>-1.1205678830700001</v>
      </c>
      <c r="AE5642">
        <v>-2.7573999999999899</v>
      </c>
      <c r="AF5642">
        <v>-2.7517187580757199</v>
      </c>
      <c r="AG5642">
        <v>-1.1205678830700001</v>
      </c>
      <c r="AH5642">
        <v>13.441972518259799</v>
      </c>
      <c r="AI5642">
        <v>94.668965018243497</v>
      </c>
      <c r="AJ5642">
        <v>101.569231054702</v>
      </c>
      <c r="AK5642">
        <v>13.7664176053818</v>
      </c>
      <c r="AL5642">
        <v>95.848493748847105</v>
      </c>
      <c r="AM5642">
        <v>92.166799558848894</v>
      </c>
      <c r="AN5642">
        <v>0.99999996440120897</v>
      </c>
    </row>
    <row r="5643" spans="1:40" x14ac:dyDescent="0.25">
      <c r="A5643" t="str">
        <f>"20190303154253345"</f>
        <v>20190303154253345</v>
      </c>
      <c r="B5643" t="str">
        <f>"1551598973335612"</f>
        <v>1551598973335612</v>
      </c>
      <c r="C5643" t="s">
        <v>40</v>
      </c>
      <c r="D5643">
        <v>5.2100390000000001</v>
      </c>
      <c r="E5643">
        <v>0.43870930000000002</v>
      </c>
      <c r="F5643" t="s">
        <v>57</v>
      </c>
      <c r="G5643">
        <v>-404.58870000000002</v>
      </c>
      <c r="H5643" s="1">
        <v>-7.0382849999999998E-6</v>
      </c>
      <c r="I5643">
        <v>138.83969999999999</v>
      </c>
      <c r="J5643">
        <v>-390.94349999999997</v>
      </c>
      <c r="K5643">
        <v>1.120573</v>
      </c>
      <c r="L5643">
        <v>141.65129999999999</v>
      </c>
      <c r="M5643">
        <v>-0.99989810000000001</v>
      </c>
      <c r="N5643">
        <v>-1.4227780000000001E-2</v>
      </c>
      <c r="O5643">
        <v>1.198452E-3</v>
      </c>
      <c r="P5643">
        <v>-0.99269099999999999</v>
      </c>
      <c r="Q5643">
        <v>-0.11415930000000001</v>
      </c>
      <c r="R5643">
        <v>-3.9147969999999997E-2</v>
      </c>
      <c r="S5643">
        <v>-2.9723820000000001</v>
      </c>
      <c r="T5643">
        <v>-0.23894580000000001</v>
      </c>
      <c r="U5643">
        <v>-0.59941099999999903</v>
      </c>
      <c r="V5643">
        <v>-4.0396429999999997E-2</v>
      </c>
      <c r="W5643">
        <v>-0.1000009</v>
      </c>
      <c r="X5643">
        <v>0.99416700000000002</v>
      </c>
      <c r="Y5643">
        <v>-0.1981262</v>
      </c>
      <c r="Z5643">
        <v>-9.3763949999999992E-3</v>
      </c>
      <c r="AA5643">
        <v>0.98013170000000005</v>
      </c>
      <c r="AB5643">
        <v>30</v>
      </c>
      <c r="AC5643">
        <v>-13.645200000000001</v>
      </c>
      <c r="AD5643">
        <v>-1.120580038285</v>
      </c>
      <c r="AE5643">
        <v>-2.8115999999999901</v>
      </c>
      <c r="AF5643">
        <v>-2.8097750314379102</v>
      </c>
      <c r="AG5643">
        <v>-1.120580038285</v>
      </c>
      <c r="AH5643">
        <v>13.554132402291399</v>
      </c>
      <c r="AI5643">
        <v>94.628189705557105</v>
      </c>
      <c r="AJ5643">
        <v>101.711548116133</v>
      </c>
      <c r="AK5643">
        <v>13.887585842339201</v>
      </c>
      <c r="AL5643">
        <v>95.739222086022394</v>
      </c>
      <c r="AM5643">
        <v>92.326844862385698</v>
      </c>
      <c r="AN5643">
        <v>1.0000000377232701</v>
      </c>
    </row>
    <row r="5644" spans="1:40" x14ac:dyDescent="0.25">
      <c r="A5644" t="str">
        <f>"20190303154253367"</f>
        <v>20190303154253367</v>
      </c>
      <c r="B5644" t="str">
        <f>"1551598973356108"</f>
        <v>1551598973356108</v>
      </c>
      <c r="C5644" t="s">
        <v>40</v>
      </c>
      <c r="D5644">
        <v>5.2094100000000001</v>
      </c>
      <c r="E5644">
        <v>0.43850159999999999</v>
      </c>
      <c r="F5644" t="s">
        <v>57</v>
      </c>
      <c r="G5644">
        <v>-405.29579999999999</v>
      </c>
      <c r="H5644" s="1">
        <v>-7.3744530000000001E-6</v>
      </c>
      <c r="I5644">
        <v>138.71530000000001</v>
      </c>
      <c r="J5644">
        <v>-391.2405</v>
      </c>
      <c r="K5644">
        <v>1.120581</v>
      </c>
      <c r="L5644">
        <v>141.65190000000001</v>
      </c>
      <c r="M5644">
        <v>-0.99989779999999995</v>
      </c>
      <c r="N5644">
        <v>-1.422474E-2</v>
      </c>
      <c r="O5644">
        <v>1.4810929999999999E-3</v>
      </c>
      <c r="P5644">
        <v>-0.99274910000000005</v>
      </c>
      <c r="Q5644">
        <v>-0.11246680000000001</v>
      </c>
      <c r="R5644">
        <v>-4.2434329999999999E-2</v>
      </c>
      <c r="S5644">
        <v>-2.9714049999999999</v>
      </c>
      <c r="T5644">
        <v>-0.2319978</v>
      </c>
      <c r="U5644">
        <v>-0.60784910000000003</v>
      </c>
      <c r="V5644">
        <v>-4.3962340000000003E-2</v>
      </c>
      <c r="W5644">
        <v>-9.8308889999999996E-2</v>
      </c>
      <c r="X5644">
        <v>0.99418439999999997</v>
      </c>
      <c r="Y5644">
        <v>-0.20116519999999999</v>
      </c>
      <c r="Z5644">
        <v>-9.302678E-3</v>
      </c>
      <c r="AA5644">
        <v>0.97951319999999997</v>
      </c>
      <c r="AB5644">
        <v>30</v>
      </c>
      <c r="AC5644">
        <v>-14.0552999999999</v>
      </c>
      <c r="AD5644">
        <v>-1.1205883744530001</v>
      </c>
      <c r="AE5644">
        <v>-2.9365999999999901</v>
      </c>
      <c r="AF5644">
        <v>-2.9395128584668</v>
      </c>
      <c r="AG5644">
        <v>-1.1205883744530001</v>
      </c>
      <c r="AH5644">
        <v>13.965874992368599</v>
      </c>
      <c r="AI5644">
        <v>94.489496472133993</v>
      </c>
      <c r="AJ5644">
        <v>101.886020652827</v>
      </c>
      <c r="AK5644">
        <v>14.315799609260999</v>
      </c>
      <c r="AL5644">
        <v>95.641797300935593</v>
      </c>
      <c r="AM5644">
        <v>92.531941460901507</v>
      </c>
      <c r="AN5644">
        <v>0.99999997319733303</v>
      </c>
    </row>
    <row r="5645" spans="1:40" x14ac:dyDescent="0.25">
      <c r="A5645" t="str">
        <f>"20190303154253390"</f>
        <v>20190303154253390</v>
      </c>
      <c r="B5645" t="str">
        <f>"1551598973386363"</f>
        <v>1551598973386363</v>
      </c>
      <c r="C5645" t="s">
        <v>40</v>
      </c>
      <c r="D5645">
        <v>5.1515029999999999</v>
      </c>
      <c r="E5645">
        <v>0.43821650000000001</v>
      </c>
      <c r="F5645" t="s">
        <v>57</v>
      </c>
      <c r="G5645">
        <v>-405.9692</v>
      </c>
      <c r="H5645" s="1">
        <v>-7.7417049999999994E-6</v>
      </c>
      <c r="I5645">
        <v>138.58099999999999</v>
      </c>
      <c r="J5645">
        <v>-391.53590000000003</v>
      </c>
      <c r="K5645">
        <v>1.120592</v>
      </c>
      <c r="L5645">
        <v>141.65260000000001</v>
      </c>
      <c r="M5645">
        <v>-0.99989740000000005</v>
      </c>
      <c r="N5645">
        <v>-1.4221599999999999E-2</v>
      </c>
      <c r="O5645">
        <v>1.7622460000000001E-3</v>
      </c>
      <c r="P5645">
        <v>-0.99264289999999999</v>
      </c>
      <c r="Q5645">
        <v>-0.1123261</v>
      </c>
      <c r="R5645">
        <v>-4.5201640000000001E-2</v>
      </c>
      <c r="S5645">
        <v>-2.9698180000000001</v>
      </c>
      <c r="T5645">
        <v>-0.22594880000000001</v>
      </c>
      <c r="U5645">
        <v>-0.61920169999999997</v>
      </c>
      <c r="V5645">
        <v>-4.700911E-2</v>
      </c>
      <c r="W5645">
        <v>-9.8171439999999999E-2</v>
      </c>
      <c r="X5645">
        <v>0.99405860000000001</v>
      </c>
      <c r="Y5645">
        <v>-0.20515220000000001</v>
      </c>
      <c r="Z5645">
        <v>-9.294854E-3</v>
      </c>
      <c r="AA5645">
        <v>0.97868599999999994</v>
      </c>
      <c r="AB5645">
        <v>30</v>
      </c>
      <c r="AC5645">
        <v>-14.4332999999999</v>
      </c>
      <c r="AD5645">
        <v>-1.120599741705</v>
      </c>
      <c r="AE5645">
        <v>-3.0715999999999801</v>
      </c>
      <c r="AF5645">
        <v>-3.07927533138905</v>
      </c>
      <c r="AG5645">
        <v>-1.120599741705</v>
      </c>
      <c r="AH5645">
        <v>14.345138906859701</v>
      </c>
      <c r="AI5645">
        <v>94.367612866566702</v>
      </c>
      <c r="AJ5645">
        <v>102.115059752615</v>
      </c>
      <c r="AK5645">
        <v>14.7146420481339</v>
      </c>
      <c r="AL5645">
        <v>95.633883597321798</v>
      </c>
      <c r="AM5645">
        <v>92.707504846714698</v>
      </c>
      <c r="AN5645">
        <v>0.99999999414431195</v>
      </c>
    </row>
    <row r="5646" spans="1:40" x14ac:dyDescent="0.25">
      <c r="A5646" t="str">
        <f>"20190303154253412"</f>
        <v>20190303154253412</v>
      </c>
      <c r="B5646" t="str">
        <f>"1551598973405883"</f>
        <v>1551598973405883</v>
      </c>
      <c r="C5646" t="s">
        <v>40</v>
      </c>
      <c r="D5646">
        <v>5.1301329999999998</v>
      </c>
      <c r="E5646">
        <v>0.43812770000000001</v>
      </c>
      <c r="F5646" t="s">
        <v>57</v>
      </c>
      <c r="G5646">
        <v>-406.32780000000002</v>
      </c>
      <c r="H5646" s="1">
        <v>-7.9357820000000002E-6</v>
      </c>
      <c r="I5646">
        <v>138.51439999999999</v>
      </c>
      <c r="J5646">
        <v>-391.83609999999999</v>
      </c>
      <c r="K5646">
        <v>1.1205989999999999</v>
      </c>
      <c r="L5646">
        <v>141.65350000000001</v>
      </c>
      <c r="M5646">
        <v>-0.99989680000000003</v>
      </c>
      <c r="N5646">
        <v>-1.4218369999999999E-2</v>
      </c>
      <c r="O5646">
        <v>2.0480490000000001E-3</v>
      </c>
      <c r="P5646">
        <v>-0.99244200000000005</v>
      </c>
      <c r="Q5646">
        <v>-0.1132203</v>
      </c>
      <c r="R5646">
        <v>-4.7331989999999997E-2</v>
      </c>
      <c r="S5646">
        <v>-2.9680789999999999</v>
      </c>
      <c r="T5646">
        <v>-0.22485530000000001</v>
      </c>
      <c r="U5646">
        <v>-0.62971499999999903</v>
      </c>
      <c r="V5646">
        <v>-4.9422430000000003E-2</v>
      </c>
      <c r="W5646">
        <v>-9.9070510000000001E-2</v>
      </c>
      <c r="X5646">
        <v>0.99385230000000002</v>
      </c>
      <c r="Y5646">
        <v>-0.20885790000000001</v>
      </c>
      <c r="Z5646">
        <v>-9.4415450000000008E-3</v>
      </c>
      <c r="AA5646">
        <v>0.9779004</v>
      </c>
      <c r="AB5646">
        <v>30</v>
      </c>
      <c r="AC5646">
        <v>-14.4917</v>
      </c>
      <c r="AD5646">
        <v>-1.1206069357820001</v>
      </c>
      <c r="AE5646">
        <v>-3.1391000000000102</v>
      </c>
      <c r="AF5646">
        <v>-3.1507802948038099</v>
      </c>
      <c r="AG5646">
        <v>-1.1206069357820001</v>
      </c>
      <c r="AH5646">
        <v>14.4029766272586</v>
      </c>
      <c r="AI5646">
        <v>94.3464908516695</v>
      </c>
      <c r="AJ5646">
        <v>102.339577609758</v>
      </c>
      <c r="AK5646">
        <v>14.7861053728155</v>
      </c>
      <c r="AL5646">
        <v>95.685649015017503</v>
      </c>
      <c r="AM5646">
        <v>92.846867641152599</v>
      </c>
      <c r="AN5646">
        <v>0.99999996837702698</v>
      </c>
    </row>
    <row r="5647" spans="1:40" x14ac:dyDescent="0.25">
      <c r="A5647" t="str">
        <f>"20190303154253434"</f>
        <v>20190303154253434</v>
      </c>
      <c r="B5647" t="str">
        <f>"1551598973426380"</f>
        <v>1551598973426380</v>
      </c>
      <c r="C5647" t="s">
        <v>40</v>
      </c>
      <c r="D5647">
        <v>5.1172659999999999</v>
      </c>
      <c r="E5647">
        <v>0.43798389999999998</v>
      </c>
      <c r="F5647" t="s">
        <v>57</v>
      </c>
      <c r="G5647">
        <v>-406.44630000000001</v>
      </c>
      <c r="H5647" s="1">
        <v>-8.0109520000000004E-6</v>
      </c>
      <c r="I5647">
        <v>138.51750000000001</v>
      </c>
      <c r="J5647">
        <v>-392.1182</v>
      </c>
      <c r="K5647">
        <v>1.1206119999999999</v>
      </c>
      <c r="L5647">
        <v>141.65430000000001</v>
      </c>
      <c r="M5647">
        <v>-0.99989649999999997</v>
      </c>
      <c r="N5647">
        <v>-1.421535E-2</v>
      </c>
      <c r="O5647">
        <v>2.316504E-3</v>
      </c>
      <c r="P5647">
        <v>-0.99251820000000002</v>
      </c>
      <c r="Q5647">
        <v>-0.11206729999999999</v>
      </c>
      <c r="R5647">
        <v>-4.8465889999999998E-2</v>
      </c>
      <c r="S5647">
        <v>-2.9664920000000001</v>
      </c>
      <c r="T5647">
        <v>-0.2275305</v>
      </c>
      <c r="U5647">
        <v>-0.63673400000000002</v>
      </c>
      <c r="V5647">
        <v>-5.0822440000000003E-2</v>
      </c>
      <c r="W5647">
        <v>-9.7918959999999999E-2</v>
      </c>
      <c r="X5647">
        <v>0.9938958</v>
      </c>
      <c r="Y5647">
        <v>-0.2114144</v>
      </c>
      <c r="Z5647">
        <v>-9.6701979999999996E-3</v>
      </c>
      <c r="AA5647">
        <v>0.97734869999999996</v>
      </c>
      <c r="AB5647">
        <v>29</v>
      </c>
      <c r="AC5647">
        <v>-14.328099999999999</v>
      </c>
      <c r="AD5647">
        <v>-1.1206200109519999</v>
      </c>
      <c r="AE5647">
        <v>-3.1367999999999898</v>
      </c>
      <c r="AF5647">
        <v>-3.1515894363250099</v>
      </c>
      <c r="AG5647">
        <v>-1.1206200109519999</v>
      </c>
      <c r="AH5647">
        <v>14.2376855767042</v>
      </c>
      <c r="AI5647">
        <v>94.394419232702305</v>
      </c>
      <c r="AJ5647">
        <v>102.481474226654</v>
      </c>
      <c r="AK5647">
        <v>14.6253203645319</v>
      </c>
      <c r="AL5647">
        <v>95.619347759916806</v>
      </c>
      <c r="AM5647">
        <v>92.927245816378402</v>
      </c>
      <c r="AN5647">
        <v>0.99999995219633597</v>
      </c>
    </row>
    <row r="5648" spans="1:40" x14ac:dyDescent="0.25">
      <c r="A5648" t="str">
        <f>"20190303154253456"</f>
        <v>20190303154253456</v>
      </c>
      <c r="B5648" t="str">
        <f>"1551598973445900"</f>
        <v>1551598973445900</v>
      </c>
      <c r="C5648" t="s">
        <v>40</v>
      </c>
      <c r="D5648">
        <v>5.0805920000000002</v>
      </c>
      <c r="E5648">
        <v>0.437921</v>
      </c>
      <c r="F5648" t="s">
        <v>57</v>
      </c>
      <c r="G5648">
        <v>-406.88189999999997</v>
      </c>
      <c r="H5648" s="1">
        <v>-8.2577959999999998E-6</v>
      </c>
      <c r="I5648">
        <v>138.46190000000001</v>
      </c>
      <c r="J5648">
        <v>-392.41250000000002</v>
      </c>
      <c r="K5648">
        <v>1.120633</v>
      </c>
      <c r="L5648">
        <v>141.65530000000001</v>
      </c>
      <c r="M5648">
        <v>-0.99989570000000005</v>
      </c>
      <c r="N5648">
        <v>-1.4212239999999999E-2</v>
      </c>
      <c r="O5648">
        <v>2.5969999999999999E-3</v>
      </c>
      <c r="P5648">
        <v>-0.99267490000000003</v>
      </c>
      <c r="Q5648">
        <v>-0.11003309999999999</v>
      </c>
      <c r="R5648">
        <v>-4.9895729999999999E-2</v>
      </c>
      <c r="S5648">
        <v>-2.965881</v>
      </c>
      <c r="T5648">
        <v>-0.2251213</v>
      </c>
      <c r="U5648">
        <v>-0.64132690000000003</v>
      </c>
      <c r="V5648">
        <v>-5.2529470000000002E-2</v>
      </c>
      <c r="W5648">
        <v>-9.5885200000000004E-2</v>
      </c>
      <c r="X5648">
        <v>0.99400540000000004</v>
      </c>
      <c r="Y5648">
        <v>-0.21318329999999999</v>
      </c>
      <c r="Z5648">
        <v>-9.6801140000000001E-3</v>
      </c>
      <c r="AA5648">
        <v>0.97696419999999995</v>
      </c>
      <c r="AB5648">
        <v>29</v>
      </c>
      <c r="AC5648">
        <v>-14.469399999999901</v>
      </c>
      <c r="AD5648">
        <v>-1.1206412577959901</v>
      </c>
      <c r="AE5648">
        <v>-3.1933999999999898</v>
      </c>
      <c r="AF5648">
        <v>-3.2125948021218802</v>
      </c>
      <c r="AG5648">
        <v>-1.1206412577959901</v>
      </c>
      <c r="AH5648">
        <v>14.378813823053401</v>
      </c>
      <c r="AI5648">
        <v>94.349635433817497</v>
      </c>
      <c r="AJ5648">
        <v>102.594493623004</v>
      </c>
      <c r="AK5648">
        <v>14.775888776967999</v>
      </c>
      <c r="AL5648">
        <v>95.502270488381498</v>
      </c>
      <c r="AM5648">
        <v>93.025053831154594</v>
      </c>
      <c r="AN5648">
        <v>1.0000000260133399</v>
      </c>
    </row>
    <row r="5649" spans="1:40" x14ac:dyDescent="0.25">
      <c r="A5649" t="str">
        <f>"20190303154253478"</f>
        <v>20190303154253478</v>
      </c>
      <c r="B5649" t="str">
        <f>"1551598973465420"</f>
        <v>1551598973465420</v>
      </c>
      <c r="C5649" t="s">
        <v>40</v>
      </c>
      <c r="D5649">
        <v>5.1260770000000004</v>
      </c>
      <c r="E5649">
        <v>0.43781179999999997</v>
      </c>
      <c r="F5649" t="s">
        <v>57</v>
      </c>
      <c r="G5649">
        <v>-407.49509999999998</v>
      </c>
      <c r="H5649" s="1">
        <v>-8.5985909999999997E-6</v>
      </c>
      <c r="I5649">
        <v>138.3682</v>
      </c>
      <c r="J5649">
        <v>-392.70069999999998</v>
      </c>
      <c r="K5649">
        <v>1.1206419999999999</v>
      </c>
      <c r="L5649">
        <v>141.65629999999999</v>
      </c>
      <c r="M5649">
        <v>-0.99989490000000003</v>
      </c>
      <c r="N5649">
        <v>-1.420915E-2</v>
      </c>
      <c r="O5649">
        <v>2.8714190000000001E-3</v>
      </c>
      <c r="P5649">
        <v>-0.99290230000000002</v>
      </c>
      <c r="Q5649">
        <v>-0.1074951</v>
      </c>
      <c r="R5649">
        <v>-5.0890440000000002E-2</v>
      </c>
      <c r="S5649">
        <v>-2.965271</v>
      </c>
      <c r="T5649">
        <v>-0.22032060000000001</v>
      </c>
      <c r="U5649">
        <v>-0.64625549999999998</v>
      </c>
      <c r="V5649">
        <v>-5.3795660000000002E-2</v>
      </c>
      <c r="W5649">
        <v>-9.334692E-2</v>
      </c>
      <c r="X5649">
        <v>0.99417920000000004</v>
      </c>
      <c r="Y5649">
        <v>-0.21506420000000001</v>
      </c>
      <c r="Z5649">
        <v>-9.6049670000000007E-3</v>
      </c>
      <c r="AA5649">
        <v>0.97655270000000005</v>
      </c>
      <c r="AB5649">
        <v>29</v>
      </c>
      <c r="AC5649">
        <v>-14.7943999999999</v>
      </c>
      <c r="AD5649">
        <v>-1.120650598591</v>
      </c>
      <c r="AE5649">
        <v>-3.28809999999998</v>
      </c>
      <c r="AF5649">
        <v>-3.31246005316568</v>
      </c>
      <c r="AG5649">
        <v>-1.120650598591</v>
      </c>
      <c r="AH5649">
        <v>14.7044964792654</v>
      </c>
      <c r="AI5649">
        <v>94.252022432001098</v>
      </c>
      <c r="AJ5649">
        <v>102.69502598031301</v>
      </c>
      <c r="AK5649">
        <v>15.1145779324687</v>
      </c>
      <c r="AL5649">
        <v>95.3561827477712</v>
      </c>
      <c r="AM5649">
        <v>93.097290004768993</v>
      </c>
      <c r="AN5649">
        <v>0.99999995111047901</v>
      </c>
    </row>
    <row r="5650" spans="1:40" x14ac:dyDescent="0.25">
      <c r="A5650" t="str">
        <f>"20190303154253500"</f>
        <v>20190303154253500</v>
      </c>
      <c r="B5650" t="str">
        <f>"1551598973495682"</f>
        <v>1551598973495682</v>
      </c>
      <c r="C5650" t="s">
        <v>40</v>
      </c>
      <c r="D5650">
        <v>5.1060970000000001</v>
      </c>
      <c r="E5650">
        <v>0.43774649999999998</v>
      </c>
      <c r="F5650" t="s">
        <v>57</v>
      </c>
      <c r="G5650">
        <v>-408.21969999999999</v>
      </c>
      <c r="H5650" s="1">
        <v>-8.9987879999999998E-6</v>
      </c>
      <c r="I5650">
        <v>138.2517</v>
      </c>
      <c r="J5650">
        <v>-392.9941</v>
      </c>
      <c r="K5650">
        <v>1.1206449999999999</v>
      </c>
      <c r="L5650">
        <v>141.6575</v>
      </c>
      <c r="M5650">
        <v>-0.99989430000000001</v>
      </c>
      <c r="N5650">
        <v>-1.420597E-2</v>
      </c>
      <c r="O5650">
        <v>3.1508439999999999E-3</v>
      </c>
      <c r="P5650">
        <v>-0.99300489999999997</v>
      </c>
      <c r="Q5650">
        <v>-0.1060749</v>
      </c>
      <c r="R5650">
        <v>-5.1861740000000003E-2</v>
      </c>
      <c r="S5650">
        <v>-2.9649350000000001</v>
      </c>
      <c r="T5650">
        <v>-0.21410180000000001</v>
      </c>
      <c r="U5650">
        <v>-0.65045169999999997</v>
      </c>
      <c r="V5650">
        <v>-5.504353E-2</v>
      </c>
      <c r="W5650">
        <v>-9.1928129999999997E-2</v>
      </c>
      <c r="X5650">
        <v>0.99424310000000005</v>
      </c>
      <c r="Y5650">
        <v>-0.2167085</v>
      </c>
      <c r="Z5650">
        <v>-9.4628999999999998E-3</v>
      </c>
      <c r="AA5650">
        <v>0.97619049999999996</v>
      </c>
      <c r="AB5650">
        <v>29</v>
      </c>
      <c r="AC5650">
        <v>-15.225599999999901</v>
      </c>
      <c r="AD5650">
        <v>-1.120653998788</v>
      </c>
      <c r="AE5650">
        <v>-3.4058000000000002</v>
      </c>
      <c r="AF5650">
        <v>-3.4360339265979101</v>
      </c>
      <c r="AG5650">
        <v>-1.120653998788</v>
      </c>
      <c r="AH5650">
        <v>15.1366976034692</v>
      </c>
      <c r="AI5650">
        <v>94.129519130947799</v>
      </c>
      <c r="AJ5650">
        <v>102.78941941261201</v>
      </c>
      <c r="AK5650">
        <v>15.562191647342001</v>
      </c>
      <c r="AL5650">
        <v>95.274540960912503</v>
      </c>
      <c r="AM5650">
        <v>93.168788197168595</v>
      </c>
      <c r="AN5650">
        <v>0.99999995658888297</v>
      </c>
    </row>
    <row r="5651" spans="1:40" x14ac:dyDescent="0.25">
      <c r="A5651" t="str">
        <f>"20190303154253523"</f>
        <v>20190303154253523</v>
      </c>
      <c r="B5651" t="str">
        <f>"1551598973516172"</f>
        <v>1551598973516172</v>
      </c>
      <c r="C5651" t="s">
        <v>40</v>
      </c>
      <c r="D5651">
        <v>5.1654070000000001</v>
      </c>
      <c r="E5651">
        <v>0.43772349999999999</v>
      </c>
      <c r="F5651" t="s">
        <v>57</v>
      </c>
      <c r="G5651">
        <v>-408.60140000000001</v>
      </c>
      <c r="H5651" s="1">
        <v>-9.2197489999999999E-6</v>
      </c>
      <c r="I5651">
        <v>138.21369999999999</v>
      </c>
      <c r="J5651">
        <v>-393.29149999999998</v>
      </c>
      <c r="K5651">
        <v>1.1206400000000001</v>
      </c>
      <c r="L5651">
        <v>141.65870000000001</v>
      </c>
      <c r="M5651">
        <v>-0.99989329999999998</v>
      </c>
      <c r="N5651">
        <v>-1.420273E-2</v>
      </c>
      <c r="O5651">
        <v>3.4334180000000001E-3</v>
      </c>
      <c r="P5651">
        <v>-0.99287749999999997</v>
      </c>
      <c r="Q5651">
        <v>-0.107011</v>
      </c>
      <c r="R5651">
        <v>-5.2374909999999997E-2</v>
      </c>
      <c r="S5651">
        <v>-2.9642330000000001</v>
      </c>
      <c r="T5651">
        <v>-0.2128419</v>
      </c>
      <c r="U5651">
        <v>-0.65406799999999998</v>
      </c>
      <c r="V5651">
        <v>-5.5837459999999998E-2</v>
      </c>
      <c r="W5651">
        <v>-9.2869190000000004E-2</v>
      </c>
      <c r="X5651">
        <v>0.99411139999999998</v>
      </c>
      <c r="Y5651">
        <v>-0.21817059999999999</v>
      </c>
      <c r="Z5651">
        <v>-9.4952830000000002E-3</v>
      </c>
      <c r="AA5651">
        <v>0.97586450000000002</v>
      </c>
      <c r="AB5651">
        <v>29</v>
      </c>
      <c r="AC5651">
        <v>-15.309900000000001</v>
      </c>
      <c r="AD5651">
        <v>-1.1206492197489999</v>
      </c>
      <c r="AE5651">
        <v>-3.4450000000000198</v>
      </c>
      <c r="AF5651">
        <v>-3.47980435828311</v>
      </c>
      <c r="AG5651">
        <v>-1.1206492197489999</v>
      </c>
      <c r="AH5651">
        <v>15.220361325459599</v>
      </c>
      <c r="AI5651">
        <v>94.105437493068493</v>
      </c>
      <c r="AJ5651">
        <v>102.87809473217401</v>
      </c>
      <c r="AK5651">
        <v>15.6532518002873</v>
      </c>
      <c r="AL5651">
        <v>95.328691192792903</v>
      </c>
      <c r="AM5651">
        <v>93.214823556247197</v>
      </c>
      <c r="AN5651">
        <v>0.99999999200023304</v>
      </c>
    </row>
    <row r="5652" spans="1:40" x14ac:dyDescent="0.25">
      <c r="A5652" t="str">
        <f>"20190303154253545"</f>
        <v>20190303154253545</v>
      </c>
      <c r="B5652" t="str">
        <f>"1551598973535691"</f>
        <v>1551598973535691</v>
      </c>
      <c r="C5652" t="s">
        <v>40</v>
      </c>
      <c r="D5652">
        <v>5.2412239999999999</v>
      </c>
      <c r="E5652">
        <v>0.4383416</v>
      </c>
      <c r="F5652" t="s">
        <v>57</v>
      </c>
      <c r="G5652">
        <v>-408.52460000000002</v>
      </c>
      <c r="H5652" s="1">
        <v>-9.2037020000000001E-6</v>
      </c>
      <c r="I5652">
        <v>138.28630000000001</v>
      </c>
      <c r="J5652">
        <v>-393.58589999999998</v>
      </c>
      <c r="K5652">
        <v>1.1206389999999999</v>
      </c>
      <c r="L5652">
        <v>141.66</v>
      </c>
      <c r="M5652">
        <v>-0.99989229999999996</v>
      </c>
      <c r="N5652">
        <v>-1.4199460000000001E-2</v>
      </c>
      <c r="O5652">
        <v>3.7080300000000002E-3</v>
      </c>
      <c r="P5652">
        <v>-0.99272969999999905</v>
      </c>
      <c r="Q5652">
        <v>-0.10792400000000001</v>
      </c>
      <c r="R5652">
        <v>-5.329565E-2</v>
      </c>
      <c r="S5652">
        <v>-2.9634399999999999</v>
      </c>
      <c r="T5652">
        <v>-0.2180107</v>
      </c>
      <c r="U5652">
        <v>-0.65606690000000001</v>
      </c>
      <c r="V5652">
        <v>-5.7029879999999998E-2</v>
      </c>
      <c r="W5652">
        <v>-9.3787480000000006E-2</v>
      </c>
      <c r="X5652">
        <v>0.99395750000000005</v>
      </c>
      <c r="Y5652">
        <v>-0.21908830000000001</v>
      </c>
      <c r="Z5652">
        <v>-9.7458409999999999E-3</v>
      </c>
      <c r="AA5652">
        <v>0.97565639999999998</v>
      </c>
      <c r="AB5652">
        <v>29</v>
      </c>
      <c r="AC5652">
        <v>-14.938700000000001</v>
      </c>
      <c r="AD5652">
        <v>-1.120648203702</v>
      </c>
      <c r="AE5652">
        <v>-3.3736999999999799</v>
      </c>
      <c r="AF5652">
        <v>-3.4108127372288699</v>
      </c>
      <c r="AG5652">
        <v>-1.120648203702</v>
      </c>
      <c r="AH5652">
        <v>14.8465918965473</v>
      </c>
      <c r="AI5652">
        <v>94.207410726945199</v>
      </c>
      <c r="AJ5652">
        <v>102.93845658972</v>
      </c>
      <c r="AK5652">
        <v>15.2745142923606</v>
      </c>
      <c r="AL5652">
        <v>95.381535912304699</v>
      </c>
      <c r="AM5652">
        <v>93.283835378269899</v>
      </c>
      <c r="AN5652">
        <v>1.0000000052119</v>
      </c>
    </row>
    <row r="5653" spans="1:40" x14ac:dyDescent="0.25">
      <c r="A5653" t="str">
        <f>"20190303154253568"</f>
        <v>20190303154253568</v>
      </c>
      <c r="B5653" t="str">
        <f>"1551598973565949"</f>
        <v>1551598973565949</v>
      </c>
      <c r="C5653" t="s">
        <v>40</v>
      </c>
      <c r="D5653">
        <v>5.1236119999999996</v>
      </c>
      <c r="E5653">
        <v>0.4996023</v>
      </c>
      <c r="F5653" t="s">
        <v>57</v>
      </c>
      <c r="G5653">
        <v>-408.57319999999999</v>
      </c>
      <c r="H5653" s="1">
        <v>-9.2623870000000007E-6</v>
      </c>
      <c r="I5653">
        <v>138.35140000000001</v>
      </c>
      <c r="J5653">
        <v>-393.88200000000001</v>
      </c>
      <c r="K5653">
        <v>1.1206389999999999</v>
      </c>
      <c r="L5653">
        <v>141.66139999999999</v>
      </c>
      <c r="M5653">
        <v>-0.99989130000000004</v>
      </c>
      <c r="N5653">
        <v>-1.419606E-2</v>
      </c>
      <c r="O5653">
        <v>3.9737629999999999E-3</v>
      </c>
      <c r="P5653">
        <v>-0.99252370000000001</v>
      </c>
      <c r="Q5653">
        <v>-0.10911659999999999</v>
      </c>
      <c r="R5653">
        <v>-5.4682149999999999E-2</v>
      </c>
      <c r="S5653">
        <v>-2.9627690000000002</v>
      </c>
      <c r="T5653">
        <v>-0.2215358</v>
      </c>
      <c r="U5653">
        <v>-0.65406799999999998</v>
      </c>
      <c r="V5653">
        <v>-5.8678630000000002E-2</v>
      </c>
      <c r="W5653">
        <v>-9.4986600000000004E-2</v>
      </c>
      <c r="X5653">
        <v>0.99374770000000001</v>
      </c>
      <c r="Y5653">
        <v>-0.2187463</v>
      </c>
      <c r="Z5653">
        <v>-9.8812799999999992E-3</v>
      </c>
      <c r="AA5653">
        <v>0.97573169999999998</v>
      </c>
      <c r="AB5653">
        <v>29</v>
      </c>
      <c r="AC5653">
        <v>-14.6912</v>
      </c>
      <c r="AD5653">
        <v>-1.120648262387</v>
      </c>
      <c r="AE5653">
        <v>-3.3099999999999699</v>
      </c>
      <c r="AF5653">
        <v>-3.3498092736085598</v>
      </c>
      <c r="AG5653">
        <v>-1.120648262387</v>
      </c>
      <c r="AH5653">
        <v>14.5970969841403</v>
      </c>
      <c r="AI5653">
        <v>94.279294280315497</v>
      </c>
      <c r="AJ5653">
        <v>102.924715936765</v>
      </c>
      <c r="AK5653">
        <v>15.018399217691</v>
      </c>
      <c r="AL5653">
        <v>95.450548214002794</v>
      </c>
      <c r="AM5653">
        <v>93.3792667800857</v>
      </c>
      <c r="AN5653">
        <v>1.0000000635267601</v>
      </c>
    </row>
    <row r="5654" spans="1:40" x14ac:dyDescent="0.25">
      <c r="A5654" t="str">
        <f>"20190303154253591"</f>
        <v>20190303154253591</v>
      </c>
      <c r="B5654" t="str">
        <f>"1551598973585468"</f>
        <v>1551598973585468</v>
      </c>
      <c r="C5654" t="s">
        <v>40</v>
      </c>
      <c r="D5654">
        <v>5.0854239999999997</v>
      </c>
      <c r="E5654">
        <v>0.5030751</v>
      </c>
      <c r="F5654" t="s">
        <v>57</v>
      </c>
      <c r="G5654">
        <v>-414.89460000000003</v>
      </c>
      <c r="H5654" s="1">
        <v>-1.0536850000000001E-5</v>
      </c>
      <c r="I5654">
        <v>140.45150000000001</v>
      </c>
      <c r="J5654">
        <v>-394.17059999999998</v>
      </c>
      <c r="K5654">
        <v>1.12064599999999</v>
      </c>
      <c r="L5654">
        <v>141.6628</v>
      </c>
      <c r="M5654">
        <v>-0.99989050000000002</v>
      </c>
      <c r="N5654">
        <v>-1.419279E-2</v>
      </c>
      <c r="O5654">
        <v>4.2192369999999998E-3</v>
      </c>
      <c r="P5654">
        <v>-0.99211700000000003</v>
      </c>
      <c r="Q5654">
        <v>-0.1115617</v>
      </c>
      <c r="R5654">
        <v>-5.7079119999999997E-2</v>
      </c>
      <c r="S5654">
        <v>-2.9955440000000002</v>
      </c>
      <c r="T5654">
        <v>-0.15975899999999901</v>
      </c>
      <c r="U5654">
        <v>-0.17248540000000001</v>
      </c>
      <c r="V5654">
        <v>-6.1316460000000003E-2</v>
      </c>
      <c r="W5654">
        <v>-9.7440879999999994E-2</v>
      </c>
      <c r="X5654">
        <v>0.99335070000000003</v>
      </c>
      <c r="Y5654">
        <v>-6.1583829999999999E-2</v>
      </c>
      <c r="Z5654">
        <v>-2.2423579999999999E-3</v>
      </c>
      <c r="AA5654">
        <v>0.99809939999999997</v>
      </c>
      <c r="AB5654">
        <v>29</v>
      </c>
      <c r="AC5654">
        <v>-20.724</v>
      </c>
      <c r="AD5654">
        <v>-1.1206565368500001</v>
      </c>
      <c r="AE5654">
        <v>-1.2112999999999901</v>
      </c>
      <c r="AF5654">
        <v>-1.2949637202003501</v>
      </c>
      <c r="AG5654">
        <v>-1.1206565368500001</v>
      </c>
      <c r="AH5654">
        <v>20.658501579534502</v>
      </c>
      <c r="AI5654">
        <v>93.098995735160699</v>
      </c>
      <c r="AJ5654">
        <v>93.586852804998003</v>
      </c>
      <c r="AK5654">
        <v>20.729362981573999</v>
      </c>
      <c r="AL5654">
        <v>95.591823772278801</v>
      </c>
      <c r="AM5654">
        <v>93.532209287171</v>
      </c>
      <c r="AN5654">
        <v>1.00000002327629</v>
      </c>
    </row>
    <row r="5655" spans="1:40" x14ac:dyDescent="0.25">
      <c r="A5655" t="str">
        <f>"20190303154253612"</f>
        <v>20190303154253612</v>
      </c>
      <c r="B5655" t="str">
        <f>"1551598973605979"</f>
        <v>1551598973605979</v>
      </c>
      <c r="C5655" t="s">
        <v>40</v>
      </c>
      <c r="D5655">
        <v>5.0866170000000004</v>
      </c>
      <c r="E5655">
        <v>0.50497380000000003</v>
      </c>
      <c r="F5655" t="s">
        <v>57</v>
      </c>
      <c r="G5655">
        <v>-414.4117</v>
      </c>
      <c r="H5655" s="1">
        <v>-1.064344E-5</v>
      </c>
      <c r="I5655">
        <v>140.63419999999999</v>
      </c>
      <c r="J5655">
        <v>-394.45830000000001</v>
      </c>
      <c r="K5655">
        <v>1.1206560000000001</v>
      </c>
      <c r="L5655">
        <v>141.6643</v>
      </c>
      <c r="M5655">
        <v>-0.99988949999999999</v>
      </c>
      <c r="N5655">
        <v>-1.41896E-2</v>
      </c>
      <c r="O5655">
        <v>4.4445550000000002E-3</v>
      </c>
      <c r="P5655">
        <v>-0.99164459999999999</v>
      </c>
      <c r="Q5655">
        <v>-0.1143362</v>
      </c>
      <c r="R5655">
        <v>-5.973767E-2</v>
      </c>
      <c r="S5655">
        <v>-2.9963989999999998</v>
      </c>
      <c r="T5655">
        <v>-0.16589699999999999</v>
      </c>
      <c r="U5655">
        <v>-0.1522675</v>
      </c>
      <c r="V5655">
        <v>-6.4194329999999994E-2</v>
      </c>
      <c r="W5655">
        <v>-0.10022590000000001</v>
      </c>
      <c r="X5655">
        <v>0.99289170000000004</v>
      </c>
      <c r="Y5655">
        <v>-5.5080560000000001E-2</v>
      </c>
      <c r="Z5655">
        <v>-2.0968089999999998E-3</v>
      </c>
      <c r="AA5655">
        <v>0.99847969999999997</v>
      </c>
      <c r="AB5655">
        <v>29</v>
      </c>
      <c r="AC5655">
        <v>-19.953399999999899</v>
      </c>
      <c r="AD5655">
        <v>-1.1206666434400001</v>
      </c>
      <c r="AE5655">
        <v>-1.0301</v>
      </c>
      <c r="AF5655">
        <v>-1.1152740438584401</v>
      </c>
      <c r="AG5655">
        <v>-1.1206666434400001</v>
      </c>
      <c r="AH5655">
        <v>19.886061893831702</v>
      </c>
      <c r="AI5655">
        <v>93.220406441810596</v>
      </c>
      <c r="AJ5655">
        <v>93.209968180199596</v>
      </c>
      <c r="AK5655">
        <v>19.948814189418101</v>
      </c>
      <c r="AL5655">
        <v>95.752178742630406</v>
      </c>
      <c r="AM5655">
        <v>93.699247427261795</v>
      </c>
      <c r="AN5655">
        <v>1.0000000354819201</v>
      </c>
    </row>
    <row r="5656" spans="1:40" x14ac:dyDescent="0.25">
      <c r="A5656" t="str">
        <f>"20190303154253635"</f>
        <v>20190303154253635</v>
      </c>
      <c r="B5656" t="str">
        <f>"1551598973625484"</f>
        <v>1551598973625484</v>
      </c>
      <c r="C5656" t="s">
        <v>40</v>
      </c>
      <c r="D5656">
        <v>5.1504430000000001</v>
      </c>
      <c r="E5656">
        <v>0.50623019999999996</v>
      </c>
      <c r="F5656" t="s">
        <v>57</v>
      </c>
      <c r="G5656">
        <v>-414.01069999999999</v>
      </c>
      <c r="H5656" s="1">
        <v>-1.070723E-5</v>
      </c>
      <c r="I5656">
        <v>140.71559999999999</v>
      </c>
      <c r="J5656">
        <v>-394.74270000000001</v>
      </c>
      <c r="K5656">
        <v>1.1206799999999999</v>
      </c>
      <c r="L5656">
        <v>141.66579999999999</v>
      </c>
      <c r="M5656">
        <v>-0.99988869999999996</v>
      </c>
      <c r="N5656">
        <v>-1.41864E-2</v>
      </c>
      <c r="O5656">
        <v>4.6412379999999998E-3</v>
      </c>
      <c r="P5656">
        <v>-0.99135530000000005</v>
      </c>
      <c r="Q5656">
        <v>-0.11522309999999999</v>
      </c>
      <c r="R5656">
        <v>-6.2758069999999999E-2</v>
      </c>
      <c r="S5656">
        <v>-2.9967350000000001</v>
      </c>
      <c r="T5656">
        <v>-0.17176079999999999</v>
      </c>
      <c r="U5656">
        <v>-0.145401</v>
      </c>
      <c r="V5656">
        <v>-6.7403969999999994E-2</v>
      </c>
      <c r="W5656">
        <v>-0.101122</v>
      </c>
      <c r="X5656">
        <v>0.99258800000000003</v>
      </c>
      <c r="Y5656">
        <v>-5.2985919999999999E-2</v>
      </c>
      <c r="Z5656">
        <v>-2.0926830000000001E-3</v>
      </c>
      <c r="AA5656">
        <v>0.99859310000000001</v>
      </c>
      <c r="AB5656">
        <v>29</v>
      </c>
      <c r="AC5656">
        <v>-19.267999999999901</v>
      </c>
      <c r="AD5656">
        <v>-1.1206907072300001</v>
      </c>
      <c r="AE5656">
        <v>-0.95019999999999505</v>
      </c>
      <c r="AF5656">
        <v>-1.0361294364414599</v>
      </c>
      <c r="AG5656">
        <v>-1.1206907072300001</v>
      </c>
      <c r="AH5656">
        <v>19.198591175192298</v>
      </c>
      <c r="AI5656">
        <v>93.335925622210993</v>
      </c>
      <c r="AJ5656">
        <v>93.089200987333399</v>
      </c>
      <c r="AK5656">
        <v>19.259164441442</v>
      </c>
      <c r="AL5656">
        <v>95.803784192583095</v>
      </c>
      <c r="AM5656">
        <v>93.884837435872299</v>
      </c>
      <c r="AN5656">
        <v>0.99999994589987895</v>
      </c>
    </row>
    <row r="5657" spans="1:40" x14ac:dyDescent="0.25">
      <c r="A5657" t="str">
        <f>"20190303154253657"</f>
        <v>20190303154253657</v>
      </c>
      <c r="B5657" t="str">
        <f>"1551598973645980"</f>
        <v>1551598973645980</v>
      </c>
      <c r="C5657" t="s">
        <v>40</v>
      </c>
      <c r="D5657">
        <v>5.1384239999999997</v>
      </c>
      <c r="E5657">
        <v>0.50705389999999995</v>
      </c>
      <c r="F5657" t="s">
        <v>57</v>
      </c>
      <c r="G5657">
        <v>-414.42489999999998</v>
      </c>
      <c r="H5657" s="1">
        <v>-1.0671669999999999E-5</v>
      </c>
      <c r="I5657">
        <v>140.71789999999999</v>
      </c>
      <c r="J5657">
        <v>-395.03539999999998</v>
      </c>
      <c r="K5657">
        <v>1.120714</v>
      </c>
      <c r="L5657">
        <v>141.66730000000001</v>
      </c>
      <c r="M5657">
        <v>-0.99988809999999995</v>
      </c>
      <c r="N5657">
        <v>-1.418322E-2</v>
      </c>
      <c r="O5657">
        <v>4.8031009999999997E-3</v>
      </c>
      <c r="P5657">
        <v>-0.99147260000000004</v>
      </c>
      <c r="Q5657">
        <v>-0.1133506</v>
      </c>
      <c r="R5657">
        <v>-6.4297590000000002E-2</v>
      </c>
      <c r="S5657">
        <v>-2.9971619999999999</v>
      </c>
      <c r="T5657">
        <v>-0.17065629999999901</v>
      </c>
      <c r="U5657">
        <v>-0.14433289999999999</v>
      </c>
      <c r="V5657">
        <v>-6.9097149999999996E-2</v>
      </c>
      <c r="W5657">
        <v>-9.9255209999999996E-2</v>
      </c>
      <c r="X5657">
        <v>0.99265999999999999</v>
      </c>
      <c r="Y5657">
        <v>-5.2787239999999999E-2</v>
      </c>
      <c r="Z5657">
        <v>-2.08078E-3</v>
      </c>
      <c r="AA5657">
        <v>0.99860360000000004</v>
      </c>
      <c r="AB5657">
        <v>29</v>
      </c>
      <c r="AC5657">
        <v>-19.389500000000002</v>
      </c>
      <c r="AD5657">
        <v>-1.1207246716699999</v>
      </c>
      <c r="AE5657">
        <v>-0.949400000000025</v>
      </c>
      <c r="AF5657">
        <v>-1.0390650024979899</v>
      </c>
      <c r="AG5657">
        <v>-1.1207246716699999</v>
      </c>
      <c r="AH5657">
        <v>19.320322721089401</v>
      </c>
      <c r="AI5657">
        <v>93.315087643802897</v>
      </c>
      <c r="AJ5657">
        <v>93.078454796880294</v>
      </c>
      <c r="AK5657">
        <v>19.380674650696498</v>
      </c>
      <c r="AL5657">
        <v>95.696284101228599</v>
      </c>
      <c r="AM5657">
        <v>93.981826080169995</v>
      </c>
      <c r="AN5657">
        <v>0.99999994422513105</v>
      </c>
    </row>
    <row r="5658" spans="1:40" x14ac:dyDescent="0.25">
      <c r="A5658" t="str">
        <f>"20190303154253679"</f>
        <v>20190303154253679</v>
      </c>
      <c r="B5658" t="str">
        <f>"1551598973676236"</f>
        <v>1551598973676236</v>
      </c>
      <c r="C5658" t="s">
        <v>40</v>
      </c>
      <c r="D5658">
        <v>5.1512089999999997</v>
      </c>
      <c r="E5658">
        <v>0.50790109999999999</v>
      </c>
      <c r="F5658" t="s">
        <v>57</v>
      </c>
      <c r="G5658">
        <v>-415.41379999999998</v>
      </c>
      <c r="H5658" s="1">
        <v>-1.057888E-5</v>
      </c>
      <c r="I5658">
        <v>140.7011</v>
      </c>
      <c r="J5658">
        <v>-395.3193</v>
      </c>
      <c r="K5658">
        <v>1.120771</v>
      </c>
      <c r="L5658">
        <v>141.6688</v>
      </c>
      <c r="M5658">
        <v>-0.99988750000000004</v>
      </c>
      <c r="N5658">
        <v>-1.418022E-2</v>
      </c>
      <c r="O5658">
        <v>4.9101750000000001E-3</v>
      </c>
      <c r="P5658">
        <v>-0.99185369999999995</v>
      </c>
      <c r="Q5658">
        <v>-0.10977389999999999</v>
      </c>
      <c r="R5658">
        <v>-6.4623940000000005E-2</v>
      </c>
      <c r="S5658">
        <v>-2.9977420000000001</v>
      </c>
      <c r="T5658">
        <v>-0.16486239999999999</v>
      </c>
      <c r="U5658">
        <v>-0.1421356</v>
      </c>
      <c r="V5658">
        <v>-6.9522039999999993E-2</v>
      </c>
      <c r="W5658">
        <v>-9.5682370000000003E-2</v>
      </c>
      <c r="X5658">
        <v>0.99298109999999995</v>
      </c>
      <c r="Y5658">
        <v>-5.216254E-2</v>
      </c>
      <c r="Z5658">
        <v>-2.0030220000000001E-3</v>
      </c>
      <c r="AA5658">
        <v>0.99863659999999999</v>
      </c>
      <c r="AB5658">
        <v>29</v>
      </c>
      <c r="AC5658">
        <v>-20.094499999999901</v>
      </c>
      <c r="AD5658">
        <v>-1.12078157888</v>
      </c>
      <c r="AE5658">
        <v>-0.967700000000007</v>
      </c>
      <c r="AF5658">
        <v>-1.06306630256694</v>
      </c>
      <c r="AG5658">
        <v>-1.12078157888</v>
      </c>
      <c r="AH5658">
        <v>20.027346525823301</v>
      </c>
      <c r="AI5658">
        <v>93.198583901787202</v>
      </c>
      <c r="AJ5658">
        <v>93.038450635553502</v>
      </c>
      <c r="AK5658">
        <v>20.086833254065201</v>
      </c>
      <c r="AL5658">
        <v>95.490595938641405</v>
      </c>
      <c r="AM5658">
        <v>94.004940235703799</v>
      </c>
      <c r="AN5658">
        <v>0.99999994746589205</v>
      </c>
    </row>
    <row r="5659" spans="1:40" x14ac:dyDescent="0.25">
      <c r="A5659" t="str">
        <f>"20190303154253702"</f>
        <v>20190303154253702</v>
      </c>
      <c r="B5659" t="str">
        <f>"1551598973695755"</f>
        <v>1551598973695755</v>
      </c>
      <c r="C5659" t="s">
        <v>40</v>
      </c>
      <c r="D5659">
        <v>5.1963619999999997</v>
      </c>
      <c r="E5659">
        <v>0.50834349999999995</v>
      </c>
      <c r="F5659" t="s">
        <v>57</v>
      </c>
      <c r="G5659">
        <v>-417.20319999999998</v>
      </c>
      <c r="H5659" s="1">
        <v>-1.0412889999999999E-5</v>
      </c>
      <c r="I5659">
        <v>140.67599999999999</v>
      </c>
      <c r="J5659">
        <v>-395.6225</v>
      </c>
      <c r="K5659">
        <v>1.1208209999999901</v>
      </c>
      <c r="L5659">
        <v>141.6704</v>
      </c>
      <c r="M5659">
        <v>-0.99988710000000003</v>
      </c>
      <c r="N5659">
        <v>-1.417707E-2</v>
      </c>
      <c r="O5659">
        <v>4.9786300000000004E-3</v>
      </c>
      <c r="P5659">
        <v>-0.99208569999999996</v>
      </c>
      <c r="Q5659">
        <v>-0.107268</v>
      </c>
      <c r="R5659">
        <v>-6.5267889999999995E-2</v>
      </c>
      <c r="S5659">
        <v>-2.9987490000000001</v>
      </c>
      <c r="T5659">
        <v>-0.153580299999999</v>
      </c>
      <c r="U5659">
        <v>-0.13604740000000001</v>
      </c>
      <c r="V5659">
        <v>-7.0225309999999999E-2</v>
      </c>
      <c r="W5659">
        <v>-9.3182950000000001E-2</v>
      </c>
      <c r="X5659">
        <v>0.99316939999999998</v>
      </c>
      <c r="Y5659">
        <v>-5.0207559999999998E-2</v>
      </c>
      <c r="Z5659">
        <v>-1.824754E-3</v>
      </c>
      <c r="AA5659">
        <v>0.99873719999999999</v>
      </c>
      <c r="AB5659">
        <v>29</v>
      </c>
      <c r="AC5659">
        <v>-21.580699999999901</v>
      </c>
      <c r="AD5659">
        <v>-1.1208314128900001</v>
      </c>
      <c r="AE5659">
        <v>-0.99439999999998396</v>
      </c>
      <c r="AF5659">
        <v>-1.0988829183697999</v>
      </c>
      <c r="AG5659">
        <v>-1.1208314128900001</v>
      </c>
      <c r="AH5659">
        <v>21.517562182423902</v>
      </c>
      <c r="AI5659">
        <v>92.9779195319732</v>
      </c>
      <c r="AJ5659">
        <v>92.923505126083896</v>
      </c>
      <c r="AK5659">
        <v>21.574737286903101</v>
      </c>
      <c r="AL5659">
        <v>95.346746263960895</v>
      </c>
      <c r="AM5659">
        <v>94.044555089607201</v>
      </c>
      <c r="AN5659">
        <v>1.00000005671582</v>
      </c>
    </row>
    <row r="5660" spans="1:40" x14ac:dyDescent="0.25">
      <c r="A5660" t="str">
        <f>"20190303154253724"</f>
        <v>20190303154253724</v>
      </c>
      <c r="B5660" t="str">
        <f>"1551598973716252"</f>
        <v>1551598973716252</v>
      </c>
      <c r="C5660" t="s">
        <v>40</v>
      </c>
      <c r="D5660">
        <v>5.2437569999999996</v>
      </c>
      <c r="E5660">
        <v>0.50860289999999997</v>
      </c>
      <c r="F5660" t="s">
        <v>57</v>
      </c>
      <c r="G5660">
        <v>-418.76940000000002</v>
      </c>
      <c r="H5660" s="1">
        <v>-1.025992E-5</v>
      </c>
      <c r="I5660">
        <v>140.63220000000001</v>
      </c>
      <c r="J5660">
        <v>-395.8997</v>
      </c>
      <c r="K5660">
        <v>1.1208579999999999</v>
      </c>
      <c r="L5660">
        <v>141.67179999999999</v>
      </c>
      <c r="M5660">
        <v>-0.99988699999999997</v>
      </c>
      <c r="N5660">
        <v>-1.417421E-2</v>
      </c>
      <c r="O5660">
        <v>5.0048799999999997E-3</v>
      </c>
      <c r="P5660">
        <v>-0.99201300000000003</v>
      </c>
      <c r="Q5660">
        <v>-0.10735500000000001</v>
      </c>
      <c r="R5660">
        <v>-6.6223519999999994E-2</v>
      </c>
      <c r="S5660">
        <v>-2.9994200000000002</v>
      </c>
      <c r="T5660">
        <v>-0.14523910000000001</v>
      </c>
      <c r="U5660">
        <v>-0.13453670000000001</v>
      </c>
      <c r="V5660">
        <v>-7.1199730000000003E-2</v>
      </c>
      <c r="W5660">
        <v>-9.3279119999999993E-2</v>
      </c>
      <c r="X5660">
        <v>0.9930909</v>
      </c>
      <c r="Y5660">
        <v>-4.9730839999999998E-2</v>
      </c>
      <c r="Z5660">
        <v>-1.726858E-3</v>
      </c>
      <c r="AA5660">
        <v>0.99876120000000002</v>
      </c>
      <c r="AB5660">
        <v>29</v>
      </c>
      <c r="AC5660">
        <v>-22.869700000000002</v>
      </c>
      <c r="AD5660">
        <v>-1.1208682599199999</v>
      </c>
      <c r="AE5660">
        <v>-1.0395999999999701</v>
      </c>
      <c r="AF5660">
        <v>-1.1512987688916101</v>
      </c>
      <c r="AG5660">
        <v>-1.1208682599199999</v>
      </c>
      <c r="AH5660">
        <v>22.8095324845996</v>
      </c>
      <c r="AI5660">
        <v>92.8097001918117</v>
      </c>
      <c r="AJ5660">
        <v>92.889521180385501</v>
      </c>
      <c r="AK5660">
        <v>22.8660579610337</v>
      </c>
      <c r="AL5660">
        <v>95.352280991581097</v>
      </c>
      <c r="AM5660">
        <v>94.100808709069298</v>
      </c>
      <c r="AN5660">
        <v>0.99999996572142802</v>
      </c>
    </row>
    <row r="5661" spans="1:40" x14ac:dyDescent="0.25">
      <c r="A5661" t="str">
        <f>"20190303154253746"</f>
        <v>20190303154253746</v>
      </c>
      <c r="B5661" t="str">
        <f>"1551598973735773"</f>
        <v>1551598973735773</v>
      </c>
      <c r="C5661" t="s">
        <v>40</v>
      </c>
      <c r="D5661">
        <v>5.2345459999999999</v>
      </c>
      <c r="E5661">
        <v>0.50843509999999903</v>
      </c>
      <c r="F5661" t="s">
        <v>57</v>
      </c>
      <c r="G5661">
        <v>-418.42450000000002</v>
      </c>
      <c r="H5661" s="1">
        <v>-1.029748E-5</v>
      </c>
      <c r="I5661">
        <v>140.65289999999999</v>
      </c>
      <c r="J5661">
        <v>-396.18979999999999</v>
      </c>
      <c r="K5661">
        <v>1.1208959999999999</v>
      </c>
      <c r="L5661">
        <v>141.67330000000001</v>
      </c>
      <c r="M5661">
        <v>-0.99988719999999998</v>
      </c>
      <c r="N5661">
        <v>-1.41712E-2</v>
      </c>
      <c r="O5661">
        <v>4.9826410000000003E-3</v>
      </c>
      <c r="P5661">
        <v>-0.99190259999999997</v>
      </c>
      <c r="Q5661">
        <v>-0.1074999</v>
      </c>
      <c r="R5661">
        <v>-6.7624760000000006E-2</v>
      </c>
      <c r="S5661">
        <v>-2.998993</v>
      </c>
      <c r="T5661">
        <v>-0.14923420000000001</v>
      </c>
      <c r="U5661">
        <v>-0.13566589999999901</v>
      </c>
      <c r="V5661">
        <v>-7.2570930000000006E-2</v>
      </c>
      <c r="W5661">
        <v>-9.343427E-2</v>
      </c>
      <c r="X5661">
        <v>0.99297709999999995</v>
      </c>
      <c r="Y5661">
        <v>-5.0085749999999998E-2</v>
      </c>
      <c r="Z5661">
        <v>-1.777257E-3</v>
      </c>
      <c r="AA5661">
        <v>0.99874339999999995</v>
      </c>
      <c r="AB5661">
        <v>29</v>
      </c>
      <c r="AC5661">
        <v>-22.2347</v>
      </c>
      <c r="AD5661">
        <v>-1.1209062974799999</v>
      </c>
      <c r="AE5661">
        <v>-1.02040000000002</v>
      </c>
      <c r="AF5661">
        <v>-1.12832446392931</v>
      </c>
      <c r="AG5661">
        <v>-1.1209062974799999</v>
      </c>
      <c r="AH5661">
        <v>22.1731064420871</v>
      </c>
      <c r="AI5661">
        <v>92.890248821084</v>
      </c>
      <c r="AJ5661">
        <v>92.913101704667795</v>
      </c>
      <c r="AK5661">
        <v>22.230074141031398</v>
      </c>
      <c r="AL5661">
        <v>95.361209176652594</v>
      </c>
      <c r="AM5661">
        <v>94.179984195331699</v>
      </c>
      <c r="AN5661">
        <v>1.00000001190795</v>
      </c>
    </row>
    <row r="5662" spans="1:40" x14ac:dyDescent="0.25">
      <c r="A5662" t="str">
        <f>"20190303154253769"</f>
        <v>20190303154253769</v>
      </c>
      <c r="B5662" t="str">
        <f>"1551598973766028"</f>
        <v>1551598973766028</v>
      </c>
      <c r="C5662" t="s">
        <v>40</v>
      </c>
      <c r="D5662">
        <v>5.2668169999999996</v>
      </c>
      <c r="E5662">
        <v>0.50852569999999997</v>
      </c>
      <c r="F5662" t="s">
        <v>57</v>
      </c>
      <c r="G5662">
        <v>-418.08049999999997</v>
      </c>
      <c r="H5662" s="1">
        <v>-1.0324110000000001E-5</v>
      </c>
      <c r="I5662">
        <v>140.64259999999999</v>
      </c>
      <c r="J5662">
        <v>-396.48149999999998</v>
      </c>
      <c r="K5662">
        <v>1.1209450000000001</v>
      </c>
      <c r="L5662">
        <v>141.6747</v>
      </c>
      <c r="M5662">
        <v>-0.99988759999999999</v>
      </c>
      <c r="N5662">
        <v>-1.4168200000000001E-2</v>
      </c>
      <c r="O5662">
        <v>4.8972119999999997E-3</v>
      </c>
      <c r="P5662">
        <v>-0.9918865</v>
      </c>
      <c r="Q5662">
        <v>-0.1069809</v>
      </c>
      <c r="R5662">
        <v>-6.8675529999999999E-2</v>
      </c>
      <c r="S5662">
        <v>-2.9982600000000001</v>
      </c>
      <c r="T5662">
        <v>-0.15352460000000001</v>
      </c>
      <c r="U5662">
        <v>-0.14115910000000001</v>
      </c>
      <c r="V5662">
        <v>-7.3527540000000002E-2</v>
      </c>
      <c r="W5662">
        <v>-9.2925779999999999E-2</v>
      </c>
      <c r="X5662">
        <v>0.99295440000000001</v>
      </c>
      <c r="Y5662">
        <v>-5.1830029999999999E-2</v>
      </c>
      <c r="Z5662">
        <v>-1.874211E-3</v>
      </c>
      <c r="AA5662">
        <v>0.99865420000000005</v>
      </c>
      <c r="AB5662">
        <v>29</v>
      </c>
      <c r="AC5662">
        <v>-21.598999999999901</v>
      </c>
      <c r="AD5662">
        <v>-1.1209553241100001</v>
      </c>
      <c r="AE5662">
        <v>-1.03210000000001</v>
      </c>
      <c r="AF5662">
        <v>-1.1348234950743501</v>
      </c>
      <c r="AG5662">
        <v>-1.1209553241100001</v>
      </c>
      <c r="AH5662">
        <v>21.535812484329401</v>
      </c>
      <c r="AI5662">
        <v>92.975478973464206</v>
      </c>
      <c r="AJ5662">
        <v>93.016394912543404</v>
      </c>
      <c r="AK5662">
        <v>21.594804573411199</v>
      </c>
      <c r="AL5662">
        <v>95.331947760010607</v>
      </c>
      <c r="AM5662">
        <v>94.234980897383707</v>
      </c>
      <c r="AN5662">
        <v>0.99999997010320896</v>
      </c>
    </row>
    <row r="5663" spans="1:40" x14ac:dyDescent="0.25">
      <c r="A5663" t="str">
        <f>"20190303154253792"</f>
        <v>20190303154253792</v>
      </c>
      <c r="B5663" t="str">
        <f>"1551598973785549"</f>
        <v>1551598973785549</v>
      </c>
      <c r="C5663" t="s">
        <v>40</v>
      </c>
      <c r="D5663">
        <v>5.210858</v>
      </c>
      <c r="E5663">
        <v>0.50852259999999905</v>
      </c>
      <c r="F5663" t="s">
        <v>57</v>
      </c>
      <c r="G5663">
        <v>-417.52390000000003</v>
      </c>
      <c r="H5663" s="1">
        <v>-1.0382719999999999E-5</v>
      </c>
      <c r="I5663">
        <v>140.6703</v>
      </c>
      <c r="J5663">
        <v>-396.77809999999999</v>
      </c>
      <c r="K5663">
        <v>1.121003</v>
      </c>
      <c r="L5663">
        <v>141.67599999999999</v>
      </c>
      <c r="M5663">
        <v>-0.99988860000000002</v>
      </c>
      <c r="N5663">
        <v>-1.4165240000000001E-2</v>
      </c>
      <c r="O5663">
        <v>4.741622E-3</v>
      </c>
      <c r="P5663">
        <v>-0.99180699999999999</v>
      </c>
      <c r="Q5663">
        <v>-0.10663300000000001</v>
      </c>
      <c r="R5663">
        <v>-7.0344139999999999E-2</v>
      </c>
      <c r="S5663">
        <v>-2.9974370000000001</v>
      </c>
      <c r="T5663">
        <v>-0.1596774</v>
      </c>
      <c r="U5663">
        <v>-0.14306640000000001</v>
      </c>
      <c r="V5663">
        <v>-7.5030239999999998E-2</v>
      </c>
      <c r="W5663">
        <v>-9.2591290000000007E-2</v>
      </c>
      <c r="X5663">
        <v>0.99287329999999996</v>
      </c>
      <c r="Y5663">
        <v>-5.2314109999999997E-2</v>
      </c>
      <c r="Z5663">
        <v>-1.947907E-3</v>
      </c>
      <c r="AA5663">
        <v>0.99862879999999998</v>
      </c>
      <c r="AB5663">
        <v>29</v>
      </c>
      <c r="AC5663">
        <v>-20.745799999999999</v>
      </c>
      <c r="AD5663">
        <v>-1.12101338272</v>
      </c>
      <c r="AE5663">
        <v>-1.00570000000001</v>
      </c>
      <c r="AF5663">
        <v>-1.1008604708212799</v>
      </c>
      <c r="AG5663">
        <v>-1.12101338272</v>
      </c>
      <c r="AH5663">
        <v>20.680554971442799</v>
      </c>
      <c r="AI5663">
        <v>93.098369265232094</v>
      </c>
      <c r="AJ5663">
        <v>93.047074106145601</v>
      </c>
      <c r="AK5663">
        <v>20.7401523308611</v>
      </c>
      <c r="AL5663">
        <v>95.312699553744494</v>
      </c>
      <c r="AM5663">
        <v>94.321559277646998</v>
      </c>
      <c r="AN5663">
        <v>1.0000000368755999</v>
      </c>
    </row>
    <row r="5664" spans="1:40" x14ac:dyDescent="0.25">
      <c r="A5664" t="str">
        <f>"20190303154253814"</f>
        <v>20190303154253814</v>
      </c>
      <c r="B5664" t="str">
        <f>"1551598973806044"</f>
        <v>1551598973806044</v>
      </c>
      <c r="C5664" t="s">
        <v>40</v>
      </c>
      <c r="D5664">
        <v>5.1484420000000002</v>
      </c>
      <c r="E5664">
        <v>0.50855890000000004</v>
      </c>
      <c r="F5664" t="s">
        <v>57</v>
      </c>
      <c r="G5664">
        <v>-417.44549999999998</v>
      </c>
      <c r="H5664" s="1">
        <v>-1.0383929999999999E-5</v>
      </c>
      <c r="I5664">
        <v>140.6541</v>
      </c>
      <c r="J5664">
        <v>-397.05880000000002</v>
      </c>
      <c r="K5664">
        <v>1.1210580000000001</v>
      </c>
      <c r="L5664">
        <v>141.6771</v>
      </c>
      <c r="M5664">
        <v>-0.99988960000000005</v>
      </c>
      <c r="N5664">
        <v>-1.416252E-2</v>
      </c>
      <c r="O5664">
        <v>4.5296399999999997E-3</v>
      </c>
      <c r="P5664">
        <v>-0.99164039999999998</v>
      </c>
      <c r="Q5664">
        <v>-0.1067808</v>
      </c>
      <c r="R5664">
        <v>-7.2442729999999997E-2</v>
      </c>
      <c r="S5664">
        <v>-2.9967649999999999</v>
      </c>
      <c r="T5664">
        <v>-0.16254689999999999</v>
      </c>
      <c r="U5664">
        <v>-0.14816279999999901</v>
      </c>
      <c r="V5664">
        <v>-7.6905169999999995E-2</v>
      </c>
      <c r="W5664">
        <v>-9.2754539999999996E-2</v>
      </c>
      <c r="X5664">
        <v>0.9927146</v>
      </c>
      <c r="Y5664">
        <v>-5.3801479999999999E-2</v>
      </c>
      <c r="Z5664">
        <v>-2.0200320000000002E-3</v>
      </c>
      <c r="AA5664">
        <v>0.99854960000000004</v>
      </c>
      <c r="AB5664">
        <v>29</v>
      </c>
      <c r="AC5664">
        <v>-20.386699999999902</v>
      </c>
      <c r="AD5664">
        <v>-1.12106838393</v>
      </c>
      <c r="AE5664">
        <v>-1.0229999999999899</v>
      </c>
      <c r="AF5664">
        <v>-1.1119890425944901</v>
      </c>
      <c r="AG5664">
        <v>-1.12106838393</v>
      </c>
      <c r="AH5664">
        <v>20.320563101225201</v>
      </c>
      <c r="AI5664">
        <v>93.153051003192004</v>
      </c>
      <c r="AJ5664">
        <v>93.132235877104605</v>
      </c>
      <c r="AK5664">
        <v>20.3818202990599</v>
      </c>
      <c r="AL5664">
        <v>95.322093480197907</v>
      </c>
      <c r="AM5664">
        <v>94.429831427954198</v>
      </c>
      <c r="AN5664">
        <v>1.0000000434582399</v>
      </c>
    </row>
    <row r="5665" spans="1:40" x14ac:dyDescent="0.25">
      <c r="A5665" t="str">
        <f>"20190303154253836"</f>
        <v>20190303154253836</v>
      </c>
      <c r="B5665" t="str">
        <f>"1551598973825564"</f>
        <v>1551598973825564</v>
      </c>
      <c r="C5665" t="s">
        <v>40</v>
      </c>
      <c r="D5665">
        <v>5.2333850000000002</v>
      </c>
      <c r="E5665">
        <v>0.50881309999999902</v>
      </c>
      <c r="F5665" t="s">
        <v>57</v>
      </c>
      <c r="G5665">
        <v>-417.18299999999999</v>
      </c>
      <c r="H5665" s="1">
        <v>-1.0402280000000001E-5</v>
      </c>
      <c r="I5665">
        <v>140.64070000000001</v>
      </c>
      <c r="J5665">
        <v>-397.34050000000002</v>
      </c>
      <c r="K5665">
        <v>1.1211180000000001</v>
      </c>
      <c r="L5665">
        <v>141.6781</v>
      </c>
      <c r="M5665">
        <v>-0.99989079999999997</v>
      </c>
      <c r="N5665">
        <v>-1.415982E-2</v>
      </c>
      <c r="O5665">
        <v>4.25501E-3</v>
      </c>
      <c r="P5665">
        <v>-0.99152249999999997</v>
      </c>
      <c r="Q5665">
        <v>-0.1064311</v>
      </c>
      <c r="R5665">
        <v>-7.4536549999999993E-2</v>
      </c>
      <c r="S5665">
        <v>-2.996124</v>
      </c>
      <c r="T5665">
        <v>-0.16690650000000001</v>
      </c>
      <c r="U5665">
        <v>-0.15429689999999999</v>
      </c>
      <c r="V5665">
        <v>-7.8714329999999999E-2</v>
      </c>
      <c r="W5665">
        <v>-9.2420000000000002E-2</v>
      </c>
      <c r="X5665">
        <v>0.99260400000000004</v>
      </c>
      <c r="Y5665">
        <v>-5.5568489999999998E-2</v>
      </c>
      <c r="Z5665">
        <v>-2.1161750000000001E-3</v>
      </c>
      <c r="AA5665">
        <v>0.99845269999999997</v>
      </c>
      <c r="AB5665">
        <v>29</v>
      </c>
      <c r="AC5665">
        <v>-19.842500000000001</v>
      </c>
      <c r="AD5665">
        <v>-1.1211284022799901</v>
      </c>
      <c r="AE5665">
        <v>-1.0373999999999901</v>
      </c>
      <c r="AF5665">
        <v>-1.11826886387025</v>
      </c>
      <c r="AG5665">
        <v>-1.1211284022799901</v>
      </c>
      <c r="AH5665">
        <v>19.774948198999098</v>
      </c>
      <c r="AI5665">
        <v>93.239710070707105</v>
      </c>
      <c r="AJ5665">
        <v>93.236616255392605</v>
      </c>
      <c r="AK5665">
        <v>19.838246656884699</v>
      </c>
      <c r="AL5665">
        <v>95.302843019440004</v>
      </c>
      <c r="AM5665">
        <v>94.534114826831797</v>
      </c>
      <c r="AN5665">
        <v>1.00000005148167</v>
      </c>
    </row>
    <row r="5666" spans="1:40" x14ac:dyDescent="0.25">
      <c r="A5666" t="str">
        <f>"20190303154253858"</f>
        <v>20190303154253858</v>
      </c>
      <c r="B5666" t="str">
        <f>"1551598973846059"</f>
        <v>1551598973846059</v>
      </c>
      <c r="C5666" t="s">
        <v>40</v>
      </c>
      <c r="D5666">
        <v>5.2258809999999896</v>
      </c>
      <c r="E5666">
        <v>0.50913039999999998</v>
      </c>
      <c r="F5666" t="s">
        <v>57</v>
      </c>
      <c r="G5666">
        <v>-417.4742</v>
      </c>
      <c r="H5666" s="1">
        <v>-1.0366830000000001E-5</v>
      </c>
      <c r="I5666">
        <v>140.61259999999999</v>
      </c>
      <c r="J5666">
        <v>-397.62490000000003</v>
      </c>
      <c r="K5666">
        <v>1.1211629999999999</v>
      </c>
      <c r="L5666">
        <v>141.6789</v>
      </c>
      <c r="M5666">
        <v>-0.99989220000000001</v>
      </c>
      <c r="N5666">
        <v>-1.4157110000000001E-2</v>
      </c>
      <c r="O5666">
        <v>3.9141990000000002E-3</v>
      </c>
      <c r="P5666">
        <v>-0.99131939999999996</v>
      </c>
      <c r="Q5666">
        <v>-0.1067298</v>
      </c>
      <c r="R5666">
        <v>-7.6778730000000003E-2</v>
      </c>
      <c r="S5666">
        <v>-2.995819</v>
      </c>
      <c r="T5666">
        <v>-0.1668193</v>
      </c>
      <c r="U5666">
        <v>-0.15853879999999901</v>
      </c>
      <c r="V5666">
        <v>-8.060697E-2</v>
      </c>
      <c r="W5666">
        <v>-9.2734330000000004E-2</v>
      </c>
      <c r="X5666">
        <v>0.99242269999999999</v>
      </c>
      <c r="Y5666">
        <v>-5.6641599999999903E-2</v>
      </c>
      <c r="Z5666">
        <v>-2.1386249999999999E-3</v>
      </c>
      <c r="AA5666">
        <v>0.99839230000000001</v>
      </c>
      <c r="AB5666">
        <v>29</v>
      </c>
      <c r="AC5666">
        <v>-19.8492999999999</v>
      </c>
      <c r="AD5666">
        <v>-1.1211733668299999</v>
      </c>
      <c r="AE5666">
        <v>-1.06630000000001</v>
      </c>
      <c r="AF5666">
        <v>-1.1403658831794901</v>
      </c>
      <c r="AG5666">
        <v>-1.1211733668299999</v>
      </c>
      <c r="AH5666">
        <v>19.782041316527401</v>
      </c>
      <c r="AI5666">
        <v>93.238478794804294</v>
      </c>
      <c r="AJ5666">
        <v>93.299251052443296</v>
      </c>
      <c r="AK5666">
        <v>19.8465771032389</v>
      </c>
      <c r="AL5666">
        <v>95.320930871967207</v>
      </c>
      <c r="AM5666">
        <v>94.643508375751694</v>
      </c>
      <c r="AN5666">
        <v>0.99999997752420899</v>
      </c>
    </row>
    <row r="5667" spans="1:40" x14ac:dyDescent="0.25">
      <c r="A5667" t="str">
        <f>"20190303154253880"</f>
        <v>20190303154253880</v>
      </c>
      <c r="B5667" t="str">
        <f>"1551598973876316"</f>
        <v>1551598973876316</v>
      </c>
      <c r="C5667" t="s">
        <v>40</v>
      </c>
      <c r="D5667">
        <v>5.2450619999999999</v>
      </c>
      <c r="E5667">
        <v>0.50937779999999999</v>
      </c>
      <c r="F5667" t="s">
        <v>57</v>
      </c>
      <c r="G5667">
        <v>-417.50659999999999</v>
      </c>
      <c r="H5667" s="1">
        <v>-1.035863E-5</v>
      </c>
      <c r="I5667">
        <v>140.59739999999999</v>
      </c>
      <c r="J5667">
        <v>-397.9083</v>
      </c>
      <c r="K5667">
        <v>1.121208</v>
      </c>
      <c r="L5667">
        <v>141.67959999999999</v>
      </c>
      <c r="M5667">
        <v>-0.99989380000000005</v>
      </c>
      <c r="N5667">
        <v>-1.415433E-2</v>
      </c>
      <c r="O5667">
        <v>3.5260119999999998E-3</v>
      </c>
      <c r="P5667">
        <v>-0.99119000000000002</v>
      </c>
      <c r="Q5667">
        <v>-0.106722499999999</v>
      </c>
      <c r="R5667">
        <v>-7.8441339999999998E-2</v>
      </c>
      <c r="S5667">
        <v>-2.9954529999999999</v>
      </c>
      <c r="T5667">
        <v>-0.16891989999999901</v>
      </c>
      <c r="U5667">
        <v>-0.1629486</v>
      </c>
      <c r="V5667">
        <v>-8.1876050000000006E-2</v>
      </c>
      <c r="W5667">
        <v>-9.2739509999999997E-2</v>
      </c>
      <c r="X5667">
        <v>0.99231829999999999</v>
      </c>
      <c r="Y5667">
        <v>-5.7721540000000002E-2</v>
      </c>
      <c r="Z5667">
        <v>-2.1829570000000001E-3</v>
      </c>
      <c r="AA5667">
        <v>0.99833039999999995</v>
      </c>
      <c r="AB5667">
        <v>29</v>
      </c>
      <c r="AC5667">
        <v>-19.598299999999899</v>
      </c>
      <c r="AD5667">
        <v>-1.12121835863</v>
      </c>
      <c r="AE5667">
        <v>-1.0822000000000001</v>
      </c>
      <c r="AF5667">
        <v>-1.14755949832932</v>
      </c>
      <c r="AG5667">
        <v>-1.12121835863</v>
      </c>
      <c r="AH5667">
        <v>19.5306328254606</v>
      </c>
      <c r="AI5667">
        <v>93.279996272489001</v>
      </c>
      <c r="AJ5667">
        <v>93.362656399504104</v>
      </c>
      <c r="AK5667">
        <v>19.596419110972601</v>
      </c>
      <c r="AL5667">
        <v>95.321229061377807</v>
      </c>
      <c r="AM5667">
        <v>94.716782694775802</v>
      </c>
      <c r="AN5667">
        <v>0.99999995639676498</v>
      </c>
    </row>
    <row r="5668" spans="1:40" x14ac:dyDescent="0.25">
      <c r="A5668" t="str">
        <f>"20190303154253903"</f>
        <v>20190303154253903</v>
      </c>
      <c r="B5668" t="str">
        <f>"1551598973895836"</f>
        <v>1551598973895836</v>
      </c>
      <c r="C5668" t="s">
        <v>40</v>
      </c>
      <c r="D5668">
        <v>5.2660839999999904</v>
      </c>
      <c r="E5668">
        <v>0.50963249999999904</v>
      </c>
      <c r="F5668" t="s">
        <v>57</v>
      </c>
      <c r="G5668">
        <v>-417.36509999999998</v>
      </c>
      <c r="H5668" s="1">
        <v>-1.037237E-5</v>
      </c>
      <c r="I5668">
        <v>140.6011</v>
      </c>
      <c r="J5668">
        <v>-398.19650000000001</v>
      </c>
      <c r="K5668">
        <v>1.121246</v>
      </c>
      <c r="L5668">
        <v>141.68020000000001</v>
      </c>
      <c r="M5668">
        <v>-0.99989519999999998</v>
      </c>
      <c r="N5668">
        <v>-1.4151449999999999E-2</v>
      </c>
      <c r="O5668">
        <v>3.0850560000000001E-3</v>
      </c>
      <c r="P5668">
        <v>-0.99116170000000003</v>
      </c>
      <c r="Q5668">
        <v>-0.10529230000000001</v>
      </c>
      <c r="R5668">
        <v>-8.0699119999999999E-2</v>
      </c>
      <c r="S5668">
        <v>-2.9949340000000002</v>
      </c>
      <c r="T5668">
        <v>-0.1725864</v>
      </c>
      <c r="U5668">
        <v>-0.16601560000000001</v>
      </c>
      <c r="V5668">
        <v>-8.3690199999999895E-2</v>
      </c>
      <c r="W5668">
        <v>-9.1320020000000002E-2</v>
      </c>
      <c r="X5668">
        <v>0.99229869999999998</v>
      </c>
      <c r="Y5668">
        <v>-5.8304429999999997E-2</v>
      </c>
      <c r="Z5668">
        <v>-2.224462E-3</v>
      </c>
      <c r="AA5668">
        <v>0.99829639999999997</v>
      </c>
      <c r="AB5668">
        <v>29</v>
      </c>
      <c r="AC5668">
        <v>-19.168599999999898</v>
      </c>
      <c r="AD5668">
        <v>-1.12125637237</v>
      </c>
      <c r="AE5668">
        <v>-1.0791000000000099</v>
      </c>
      <c r="AF5668">
        <v>-1.13436789494335</v>
      </c>
      <c r="AG5668">
        <v>-1.12125637237</v>
      </c>
      <c r="AH5668">
        <v>19.1000331566227</v>
      </c>
      <c r="AI5668">
        <v>93.353763598104806</v>
      </c>
      <c r="AJ5668">
        <v>93.398854636390695</v>
      </c>
      <c r="AK5668">
        <v>19.166514366408599</v>
      </c>
      <c r="AL5668">
        <v>95.239551140024105</v>
      </c>
      <c r="AM5668">
        <v>94.820901258809798</v>
      </c>
      <c r="AN5668">
        <v>1.0000000528252599</v>
      </c>
    </row>
    <row r="5669" spans="1:40" x14ac:dyDescent="0.25">
      <c r="A5669" t="str">
        <f>"20190303154253926"</f>
        <v>20190303154253926</v>
      </c>
      <c r="B5669" t="str">
        <f>"1551598973916332"</f>
        <v>1551598973916332</v>
      </c>
      <c r="C5669" t="s">
        <v>40</v>
      </c>
      <c r="D5669">
        <v>5.4336719999999996</v>
      </c>
      <c r="E5669">
        <v>0.50985849999999999</v>
      </c>
      <c r="F5669" t="s">
        <v>57</v>
      </c>
      <c r="G5669">
        <v>-417.9957</v>
      </c>
      <c r="H5669" s="1">
        <v>-1.0299729999999999E-5</v>
      </c>
      <c r="I5669">
        <v>140.55199999999999</v>
      </c>
      <c r="J5669">
        <v>-398.49270000000001</v>
      </c>
      <c r="K5669">
        <v>1.121292</v>
      </c>
      <c r="L5669">
        <v>141.6806</v>
      </c>
      <c r="M5669">
        <v>-0.99989660000000002</v>
      </c>
      <c r="N5669">
        <v>-1.4148519999999999E-2</v>
      </c>
      <c r="O5669">
        <v>2.5775220000000001E-3</v>
      </c>
      <c r="P5669">
        <v>-0.99122120000000002</v>
      </c>
      <c r="Q5669">
        <v>-0.1035003</v>
      </c>
      <c r="R5669">
        <v>-8.2270239999999994E-2</v>
      </c>
      <c r="S5669">
        <v>-2.9948730000000001</v>
      </c>
      <c r="T5669">
        <v>-0.16960410000000001</v>
      </c>
      <c r="U5669">
        <v>-0.17065429999999901</v>
      </c>
      <c r="V5669">
        <v>-8.4752460000000002E-2</v>
      </c>
      <c r="W5669">
        <v>-8.9537829999999999E-2</v>
      </c>
      <c r="X5669">
        <v>0.99237089999999994</v>
      </c>
      <c r="Y5669">
        <v>-5.9342399999999997E-2</v>
      </c>
      <c r="Z5669">
        <v>-2.2075240000000002E-3</v>
      </c>
      <c r="AA5669">
        <v>0.99823519999999999</v>
      </c>
      <c r="AB5669">
        <v>29</v>
      </c>
      <c r="AC5669">
        <v>-19.502999999999901</v>
      </c>
      <c r="AD5669">
        <v>-1.12130229973</v>
      </c>
      <c r="AE5669">
        <v>-1.1285999999999701</v>
      </c>
      <c r="AF5669">
        <v>-1.1749996463500101</v>
      </c>
      <c r="AG5669">
        <v>-1.12130229973</v>
      </c>
      <c r="AH5669">
        <v>19.435993863912099</v>
      </c>
      <c r="AI5669">
        <v>93.295846857151801</v>
      </c>
      <c r="AJ5669">
        <v>93.459595843073004</v>
      </c>
      <c r="AK5669">
        <v>19.503738115918502</v>
      </c>
      <c r="AL5669">
        <v>95.137019340878098</v>
      </c>
      <c r="AM5669">
        <v>94.8814444856216</v>
      </c>
      <c r="AN5669">
        <v>1.00000000282198</v>
      </c>
    </row>
    <row r="5670" spans="1:40" x14ac:dyDescent="0.25">
      <c r="A5670" t="str">
        <f>"20190303154253947"</f>
        <v>20190303154253947</v>
      </c>
      <c r="B5670" t="str">
        <f>"1551598973935852"</f>
        <v>1551598973935852</v>
      </c>
      <c r="C5670" t="s">
        <v>40</v>
      </c>
      <c r="D5670">
        <v>5.4055780000000002</v>
      </c>
      <c r="E5670">
        <v>0.5097758</v>
      </c>
      <c r="F5670" t="s">
        <v>57</v>
      </c>
      <c r="G5670">
        <v>-418.76940000000002</v>
      </c>
      <c r="H5670" s="1">
        <v>-1.0215670000000001E-5</v>
      </c>
      <c r="I5670">
        <v>140.5061</v>
      </c>
      <c r="J5670">
        <v>-398.76170000000002</v>
      </c>
      <c r="K5670">
        <v>1.121326</v>
      </c>
      <c r="L5670">
        <v>141.6807</v>
      </c>
      <c r="M5670">
        <v>-0.99989779999999995</v>
      </c>
      <c r="N5670">
        <v>-1.414583E-2</v>
      </c>
      <c r="O5670">
        <v>2.0607619999999998E-3</v>
      </c>
      <c r="P5670">
        <v>-0.99123589999999995</v>
      </c>
      <c r="Q5670">
        <v>-0.101837</v>
      </c>
      <c r="R5670">
        <v>-8.4146890000000002E-2</v>
      </c>
      <c r="S5670">
        <v>-2.9948730000000001</v>
      </c>
      <c r="T5670">
        <v>-0.1656166</v>
      </c>
      <c r="U5670">
        <v>-0.1734619</v>
      </c>
      <c r="V5670">
        <v>-8.6108989999999996E-2</v>
      </c>
      <c r="W5670">
        <v>-8.7886279999999997E-2</v>
      </c>
      <c r="X5670">
        <v>0.9924018</v>
      </c>
      <c r="Y5670">
        <v>-5.9763990000000003E-2</v>
      </c>
      <c r="Z5670">
        <v>-2.157988E-3</v>
      </c>
      <c r="AA5670">
        <v>0.99821020000000005</v>
      </c>
      <c r="AB5670">
        <v>29</v>
      </c>
      <c r="AC5670">
        <v>-20.0077</v>
      </c>
      <c r="AD5670">
        <v>-1.12133621567</v>
      </c>
      <c r="AE5670">
        <v>-1.1745999999999901</v>
      </c>
      <c r="AF5670">
        <v>-1.2120387199810401</v>
      </c>
      <c r="AG5670">
        <v>-1.12133621567</v>
      </c>
      <c r="AH5670">
        <v>19.942810124845298</v>
      </c>
      <c r="AI5670">
        <v>93.2123004279876</v>
      </c>
      <c r="AJ5670">
        <v>93.477914569232794</v>
      </c>
      <c r="AK5670">
        <v>20.011049658699498</v>
      </c>
      <c r="AL5670">
        <v>95.042017713848793</v>
      </c>
      <c r="AM5670">
        <v>94.959035622935303</v>
      </c>
      <c r="AN5670">
        <v>1.00000004450714</v>
      </c>
    </row>
    <row r="5671" spans="1:40" x14ac:dyDescent="0.25">
      <c r="A5671" t="str">
        <f>"20190303154253970"</f>
        <v>20190303154253970</v>
      </c>
      <c r="B5671" t="str">
        <f>"1551598973966108"</f>
        <v>1551598973966108</v>
      </c>
      <c r="C5671" t="s">
        <v>40</v>
      </c>
      <c r="D5671">
        <v>5.2751970000000004</v>
      </c>
      <c r="E5671">
        <v>0.4556732</v>
      </c>
      <c r="F5671" t="s">
        <v>57</v>
      </c>
      <c r="G5671">
        <v>-419.43270000000001</v>
      </c>
      <c r="H5671" s="1">
        <v>-1.0134159999999999E-5</v>
      </c>
      <c r="I5671">
        <v>140.44</v>
      </c>
      <c r="J5671">
        <v>-399.05509999999998</v>
      </c>
      <c r="K5671">
        <v>1.1213879999999901</v>
      </c>
      <c r="L5671">
        <v>141.6807</v>
      </c>
      <c r="M5671">
        <v>-0.99989910000000004</v>
      </c>
      <c r="N5671">
        <v>-1.4143090000000001E-2</v>
      </c>
      <c r="O5671">
        <v>1.4228589999999901E-3</v>
      </c>
      <c r="P5671">
        <v>-0.99117770000000005</v>
      </c>
      <c r="Q5671">
        <v>-0.1012912</v>
      </c>
      <c r="R5671">
        <v>-8.5482429999999998E-2</v>
      </c>
      <c r="S5671">
        <v>-2.9945979999999999</v>
      </c>
      <c r="T5671">
        <v>-0.16244720000000001</v>
      </c>
      <c r="U5671">
        <v>-0.17974849999999901</v>
      </c>
      <c r="V5671">
        <v>-8.680061E-2</v>
      </c>
      <c r="W5671">
        <v>-8.7356370000000003E-2</v>
      </c>
      <c r="X5671">
        <v>0.9923883</v>
      </c>
      <c r="Y5671">
        <v>-6.1222470000000001E-2</v>
      </c>
      <c r="Z5671">
        <v>-2.1485649999999998E-3</v>
      </c>
      <c r="AA5671">
        <v>0.99812190000000001</v>
      </c>
      <c r="AB5671">
        <v>29</v>
      </c>
      <c r="AC5671">
        <v>-20.377600000000001</v>
      </c>
      <c r="AD5671">
        <v>-1.1213981341599999</v>
      </c>
      <c r="AE5671">
        <v>-1.2406999999999999</v>
      </c>
      <c r="AF5671">
        <v>-1.2658766666088801</v>
      </c>
      <c r="AG5671">
        <v>-1.1213981341599999</v>
      </c>
      <c r="AH5671">
        <v>20.3145205235787</v>
      </c>
      <c r="AI5671">
        <v>93.153519212539905</v>
      </c>
      <c r="AJ5671">
        <v>93.565712058823905</v>
      </c>
      <c r="AK5671">
        <v>20.384791429231299</v>
      </c>
      <c r="AL5671">
        <v>95.0115390575791</v>
      </c>
      <c r="AM5671">
        <v>94.9987328204313</v>
      </c>
      <c r="AN5671">
        <v>1.0000000096264099</v>
      </c>
    </row>
    <row r="5672" spans="1:40" x14ac:dyDescent="0.25">
      <c r="A5672" t="str">
        <f>"20190303154253993"</f>
        <v>20190303154253993</v>
      </c>
      <c r="B5672" t="str">
        <f>"1551598973985628"</f>
        <v>1551598973985628</v>
      </c>
      <c r="C5672" t="s">
        <v>40</v>
      </c>
      <c r="D5672">
        <v>5.3152599999999897</v>
      </c>
      <c r="E5672">
        <v>0.3822007</v>
      </c>
      <c r="F5672" t="s">
        <v>57</v>
      </c>
      <c r="G5672">
        <v>-412.67340000000002</v>
      </c>
      <c r="H5672" s="1">
        <v>-1.010795E-5</v>
      </c>
      <c r="I5672">
        <v>138.8596</v>
      </c>
      <c r="J5672">
        <v>-399.34379999999999</v>
      </c>
      <c r="K5672">
        <v>1.1214759999999999</v>
      </c>
      <c r="L5672">
        <v>141.68039999999999</v>
      </c>
      <c r="M5672">
        <v>-0.99989989999999995</v>
      </c>
      <c r="N5672">
        <v>-1.4140939999999999E-2</v>
      </c>
      <c r="O5672">
        <v>6.9901730000000001E-4</v>
      </c>
      <c r="P5672">
        <v>-0.99117069999999996</v>
      </c>
      <c r="Q5672">
        <v>-0.1000274</v>
      </c>
      <c r="R5672">
        <v>-8.7036299999999997E-2</v>
      </c>
      <c r="S5672">
        <v>-2.9491879999999999</v>
      </c>
      <c r="T5672">
        <v>-0.2428515</v>
      </c>
      <c r="U5672">
        <v>-0.61093140000000001</v>
      </c>
      <c r="V5672">
        <v>-8.7623080000000006E-2</v>
      </c>
      <c r="W5672">
        <v>-8.6110549999999994E-2</v>
      </c>
      <c r="X5672">
        <v>0.99242490000000005</v>
      </c>
      <c r="Y5672">
        <v>-0.2027535</v>
      </c>
      <c r="Z5672">
        <v>-9.745208E-3</v>
      </c>
      <c r="AA5672">
        <v>0.97918130000000003</v>
      </c>
      <c r="AB5672">
        <v>29</v>
      </c>
      <c r="AC5672">
        <v>-13.329599999999999</v>
      </c>
      <c r="AD5672">
        <v>-1.12148610794999</v>
      </c>
      <c r="AE5672">
        <v>-2.82079999999999</v>
      </c>
      <c r="AF5672">
        <v>-2.8110720471672801</v>
      </c>
      <c r="AG5672">
        <v>-1.12148610794999</v>
      </c>
      <c r="AH5672">
        <v>13.237933978679299</v>
      </c>
      <c r="AI5672">
        <v>94.737265861357201</v>
      </c>
      <c r="AJ5672">
        <v>101.98866262212501</v>
      </c>
      <c r="AK5672">
        <v>13.5794975300473</v>
      </c>
      <c r="AL5672">
        <v>94.939888830541307</v>
      </c>
      <c r="AM5672">
        <v>95.045669274382803</v>
      </c>
      <c r="AN5672">
        <v>1.0000000065549901</v>
      </c>
    </row>
    <row r="5673" spans="1:40" x14ac:dyDescent="0.25">
      <c r="A5673" t="str">
        <f>"20190303154254015"</f>
        <v>20190303154254015</v>
      </c>
      <c r="B5673" t="str">
        <f>"1551598974006125"</f>
        <v>1551598974006125</v>
      </c>
      <c r="C5673" t="s">
        <v>40</v>
      </c>
      <c r="D5673">
        <v>5.275665</v>
      </c>
      <c r="E5673">
        <v>0.3653575</v>
      </c>
      <c r="F5673" t="s">
        <v>57</v>
      </c>
      <c r="G5673">
        <v>-410.70350000000002</v>
      </c>
      <c r="H5673" s="1">
        <v>-9.4580880000000006E-6</v>
      </c>
      <c r="I5673">
        <v>136.977</v>
      </c>
      <c r="J5673">
        <v>-399.62490000000003</v>
      </c>
      <c r="K5673">
        <v>1.1215790000000001</v>
      </c>
      <c r="L5673">
        <v>141.6797</v>
      </c>
      <c r="M5673">
        <v>-0.99990020000000002</v>
      </c>
      <c r="N5673">
        <v>-1.413934E-2</v>
      </c>
      <c r="O5673">
        <v>-1.310141E-4</v>
      </c>
      <c r="P5673">
        <v>-0.99111839999999995</v>
      </c>
      <c r="Q5673">
        <v>-9.8616880000000004E-2</v>
      </c>
      <c r="R5673">
        <v>-8.9216050000000005E-2</v>
      </c>
      <c r="S5673">
        <v>-2.8927309999999999</v>
      </c>
      <c r="T5673">
        <v>-0.28558440000000002</v>
      </c>
      <c r="U5673">
        <v>-1.197708</v>
      </c>
      <c r="V5673">
        <v>-8.8962920000000001E-2</v>
      </c>
      <c r="W5673">
        <v>-8.4722729999999996E-2</v>
      </c>
      <c r="X5673">
        <v>0.99242509999999995</v>
      </c>
      <c r="Y5673">
        <v>-0.38058920000000002</v>
      </c>
      <c r="Z5673">
        <v>-2.0798250000000001E-2</v>
      </c>
      <c r="AA5673">
        <v>0.92451030000000001</v>
      </c>
      <c r="AB5673">
        <v>28</v>
      </c>
      <c r="AC5673">
        <v>-11.0785999999999</v>
      </c>
      <c r="AD5673">
        <v>-1.121588458088</v>
      </c>
      <c r="AE5673">
        <v>-4.7026999999999903</v>
      </c>
      <c r="AF5673">
        <v>-4.6607717545713401</v>
      </c>
      <c r="AG5673">
        <v>-1.121588458088</v>
      </c>
      <c r="AH5673">
        <v>10.983826724839901</v>
      </c>
      <c r="AI5673">
        <v>95.370031735574599</v>
      </c>
      <c r="AJ5673">
        <v>112.992989199652</v>
      </c>
      <c r="AK5673">
        <v>11.9843733060529</v>
      </c>
      <c r="AL5673">
        <v>94.860081147272496</v>
      </c>
      <c r="AM5673">
        <v>95.122413920392205</v>
      </c>
      <c r="AN5673">
        <v>0.99999996061179297</v>
      </c>
    </row>
    <row r="5674" spans="1:40" x14ac:dyDescent="0.25">
      <c r="A5674" t="str">
        <f>"20190303154254037"</f>
        <v>20190303154254037</v>
      </c>
      <c r="B5674" t="str">
        <f>"1551598974025644"</f>
        <v>1551598974025644</v>
      </c>
      <c r="C5674" t="s">
        <v>40</v>
      </c>
      <c r="D5674">
        <v>5.2456250000000004</v>
      </c>
      <c r="E5674">
        <v>0.35719659999999998</v>
      </c>
      <c r="F5674" t="s">
        <v>57</v>
      </c>
      <c r="G5674">
        <v>-410.44</v>
      </c>
      <c r="H5674" s="1">
        <v>-9.3390490000000006E-6</v>
      </c>
      <c r="I5674">
        <v>136.65170000000001</v>
      </c>
      <c r="J5674">
        <v>-399.89870000000002</v>
      </c>
      <c r="K5674">
        <v>1.1217090000000001</v>
      </c>
      <c r="L5674">
        <v>141.67859999999999</v>
      </c>
      <c r="M5674">
        <v>-0.99989939999999999</v>
      </c>
      <c r="N5674">
        <v>-1.4138380000000001E-2</v>
      </c>
      <c r="O5674">
        <v>-1.1196789999999999E-3</v>
      </c>
      <c r="P5674">
        <v>-0.99102400000000002</v>
      </c>
      <c r="Q5674">
        <v>-9.6779030000000002E-2</v>
      </c>
      <c r="R5674">
        <v>-9.2224520000000004E-2</v>
      </c>
      <c r="S5674">
        <v>-2.8768310000000001</v>
      </c>
      <c r="T5674">
        <v>-0.29834250000000001</v>
      </c>
      <c r="U5674">
        <v>-1.337448</v>
      </c>
      <c r="V5674">
        <v>-9.0970309999999999E-2</v>
      </c>
      <c r="W5674">
        <v>-8.291519E-2</v>
      </c>
      <c r="X5674">
        <v>0.99239580000000005</v>
      </c>
      <c r="Y5674">
        <v>-0.4184196</v>
      </c>
      <c r="Z5674">
        <v>-2.3603059999999999E-2</v>
      </c>
      <c r="AA5674">
        <v>0.90794710000000001</v>
      </c>
      <c r="AB5674">
        <v>28</v>
      </c>
      <c r="AC5674">
        <v>-10.5412999999999</v>
      </c>
      <c r="AD5674">
        <v>-1.121718339049</v>
      </c>
      <c r="AE5674">
        <v>-5.0268999999999799</v>
      </c>
      <c r="AF5674">
        <v>-4.9692490684839203</v>
      </c>
      <c r="AG5674">
        <v>-1.121718339049</v>
      </c>
      <c r="AH5674">
        <v>10.4505114425745</v>
      </c>
      <c r="AI5674">
        <v>95.536695578093401</v>
      </c>
      <c r="AJ5674">
        <v>115.431225756643</v>
      </c>
      <c r="AK5674">
        <v>11.626043082156899</v>
      </c>
      <c r="AL5674">
        <v>94.756150916716607</v>
      </c>
      <c r="AM5674">
        <v>95.2375158581427</v>
      </c>
      <c r="AN5674">
        <v>0.99999997494593496</v>
      </c>
    </row>
    <row r="5675" spans="1:40" x14ac:dyDescent="0.25">
      <c r="A5675" t="str">
        <f>"20190303154254059"</f>
        <v>20190303154254059</v>
      </c>
      <c r="B5675" t="str">
        <f>"1551598974055900"</f>
        <v>1551598974055900</v>
      </c>
      <c r="C5675" t="s">
        <v>40</v>
      </c>
      <c r="D5675">
        <v>5.2421179999999996</v>
      </c>
      <c r="E5675">
        <v>0.35185110000000003</v>
      </c>
      <c r="F5675" t="s">
        <v>42</v>
      </c>
      <c r="G5675">
        <v>-400.85680000000002</v>
      </c>
      <c r="H5675">
        <v>1.019962</v>
      </c>
      <c r="I5675">
        <v>141.2073</v>
      </c>
      <c r="J5675">
        <v>-400.18290000000002</v>
      </c>
      <c r="K5675">
        <v>1.1218859999999999</v>
      </c>
      <c r="L5675">
        <v>141.67699999999999</v>
      </c>
      <c r="M5675">
        <v>-0.99989740000000005</v>
      </c>
      <c r="N5675">
        <v>-1.413855E-2</v>
      </c>
      <c r="O5675">
        <v>-2.38689E-3</v>
      </c>
      <c r="P5675">
        <v>-0.99084070000000002</v>
      </c>
      <c r="Q5675">
        <v>-9.4898780000000002E-2</v>
      </c>
      <c r="R5675">
        <v>-9.6068790000000001E-2</v>
      </c>
      <c r="S5675">
        <v>-2.8661189999999999</v>
      </c>
      <c r="T5675">
        <v>-0.30441210000000002</v>
      </c>
      <c r="U5675">
        <v>-1.4106749999999999</v>
      </c>
      <c r="V5675">
        <v>-9.3530070000000007E-2</v>
      </c>
      <c r="W5675">
        <v>-8.1077270000000007E-2</v>
      </c>
      <c r="X5675">
        <v>0.99230969999999996</v>
      </c>
      <c r="Y5675">
        <v>-0.43717060000000002</v>
      </c>
      <c r="Z5675">
        <v>-2.496485E-2</v>
      </c>
      <c r="AA5675">
        <v>0.8990321</v>
      </c>
      <c r="AB5675">
        <v>28</v>
      </c>
      <c r="AC5675">
        <v>-0.67390000000000305</v>
      </c>
      <c r="AD5675">
        <v>-0.101924</v>
      </c>
      <c r="AE5675">
        <v>-0.46970000000001699</v>
      </c>
      <c r="AF5675">
        <v>-0.46099259719970198</v>
      </c>
      <c r="AG5675">
        <v>-0.101924</v>
      </c>
      <c r="AH5675">
        <v>0.66478438465976297</v>
      </c>
      <c r="AI5675">
        <v>97.180881506871401</v>
      </c>
      <c r="AJ5675">
        <v>124.739249464068</v>
      </c>
      <c r="AK5675">
        <v>0.815377798653107</v>
      </c>
      <c r="AL5675">
        <v>94.650490068239293</v>
      </c>
      <c r="AM5675">
        <v>95.384501349966101</v>
      </c>
      <c r="AN5675">
        <v>0.99999996920947298</v>
      </c>
    </row>
    <row r="5676" spans="1:40" x14ac:dyDescent="0.25">
      <c r="A5676" t="str">
        <f>"20190303154254081"</f>
        <v>20190303154254081</v>
      </c>
      <c r="B5676" t="str">
        <f>"1551598974075420"</f>
        <v>1551598974075420</v>
      </c>
      <c r="C5676" t="s">
        <v>40</v>
      </c>
      <c r="D5676">
        <v>5.2535569999999998</v>
      </c>
      <c r="E5676">
        <v>0.34974429999999901</v>
      </c>
      <c r="F5676" t="s">
        <v>42</v>
      </c>
      <c r="G5676">
        <v>-401.10829999999999</v>
      </c>
      <c r="H5676">
        <v>1.0231460000000001</v>
      </c>
      <c r="I5676">
        <v>141.20269999999999</v>
      </c>
      <c r="J5676">
        <v>-400.46080000000001</v>
      </c>
      <c r="K5676">
        <v>1.1220699999999999</v>
      </c>
      <c r="L5676">
        <v>141.67490000000001</v>
      </c>
      <c r="M5676">
        <v>-0.99989280000000003</v>
      </c>
      <c r="N5676">
        <v>-1.4140069999999999E-2</v>
      </c>
      <c r="O5676">
        <v>-3.8367509999999998E-3</v>
      </c>
      <c r="P5676">
        <v>-0.99068100000000003</v>
      </c>
      <c r="Q5676">
        <v>-9.3545349999999999E-2</v>
      </c>
      <c r="R5676">
        <v>-9.8999210000000004E-2</v>
      </c>
      <c r="S5676">
        <v>-2.856598</v>
      </c>
      <c r="T5676">
        <v>-0.30478670000000002</v>
      </c>
      <c r="U5676">
        <v>-1.463913</v>
      </c>
      <c r="V5676">
        <v>-9.4993640000000004E-2</v>
      </c>
      <c r="W5676">
        <v>-7.9765420000000004E-2</v>
      </c>
      <c r="X5676">
        <v>0.99227699999999996</v>
      </c>
      <c r="Y5676">
        <v>-0.45031470000000001</v>
      </c>
      <c r="Z5676">
        <v>-2.56148E-2</v>
      </c>
      <c r="AA5676">
        <v>0.89250239999999903</v>
      </c>
      <c r="AB5676">
        <v>28</v>
      </c>
      <c r="AC5676">
        <v>-0.64749999999997898</v>
      </c>
      <c r="AD5676">
        <v>-9.8924000000000206E-2</v>
      </c>
      <c r="AE5676">
        <v>-0.472200000000015</v>
      </c>
      <c r="AF5676">
        <v>-0.46266217034919199</v>
      </c>
      <c r="AG5676">
        <v>-9.8924000000000206E-2</v>
      </c>
      <c r="AH5676">
        <v>0.63956181276506396</v>
      </c>
      <c r="AI5676">
        <v>97.143132376093405</v>
      </c>
      <c r="AJ5676">
        <v>125.882162737678</v>
      </c>
      <c r="AK5676">
        <v>0.79553853080511405</v>
      </c>
      <c r="AL5676">
        <v>94.575082296974799</v>
      </c>
      <c r="AM5676">
        <v>95.468430981958406</v>
      </c>
      <c r="AN5676">
        <v>0.99999997929861195</v>
      </c>
    </row>
    <row r="5677" spans="1:40" x14ac:dyDescent="0.25">
      <c r="A5677" t="str">
        <f>"20190303154254103"</f>
        <v>20190303154254103</v>
      </c>
      <c r="B5677" t="str">
        <f>"1551598974095920"</f>
        <v>1551598974095920</v>
      </c>
      <c r="C5677" t="s">
        <v>40</v>
      </c>
      <c r="D5677">
        <v>5.2597110000000002</v>
      </c>
      <c r="E5677">
        <v>0.34852729999999998</v>
      </c>
      <c r="F5677" t="s">
        <v>42</v>
      </c>
      <c r="G5677">
        <v>-401.36099999999999</v>
      </c>
      <c r="H5677">
        <v>1.0263719999999901</v>
      </c>
      <c r="I5677">
        <v>141.20480000000001</v>
      </c>
      <c r="J5677">
        <v>-400.7407</v>
      </c>
      <c r="K5677">
        <v>1.122266</v>
      </c>
      <c r="L5677">
        <v>141.672</v>
      </c>
      <c r="M5677">
        <v>-0.99988460000000001</v>
      </c>
      <c r="N5677">
        <v>-1.414222E-2</v>
      </c>
      <c r="O5677">
        <v>-5.5608879999999999E-3</v>
      </c>
      <c r="P5677">
        <v>-0.99041060000000003</v>
      </c>
      <c r="Q5677">
        <v>-9.2611559999999996E-2</v>
      </c>
      <c r="R5677">
        <v>-0.102518899999999</v>
      </c>
      <c r="S5677">
        <v>-2.8507690000000001</v>
      </c>
      <c r="T5677">
        <v>-0.30304619999999999</v>
      </c>
      <c r="U5677">
        <v>-1.488998</v>
      </c>
      <c r="V5677">
        <v>-9.6772300000000006E-2</v>
      </c>
      <c r="W5677">
        <v>-7.8879959999999999E-2</v>
      </c>
      <c r="X5677">
        <v>0.9921759</v>
      </c>
      <c r="Y5677">
        <v>-0.45570630000000001</v>
      </c>
      <c r="Z5677">
        <v>-2.565394E-2</v>
      </c>
      <c r="AA5677">
        <v>0.88976039999999901</v>
      </c>
      <c r="AB5677">
        <v>28</v>
      </c>
      <c r="AC5677">
        <v>-0.62029999999998597</v>
      </c>
      <c r="AD5677">
        <v>-9.5894000000000104E-2</v>
      </c>
      <c r="AE5677">
        <v>-0.46719999999999101</v>
      </c>
      <c r="AF5677">
        <v>-0.45677777255357099</v>
      </c>
      <c r="AG5677">
        <v>-9.5894000000000104E-2</v>
      </c>
      <c r="AH5677">
        <v>0.61353316879151598</v>
      </c>
      <c r="AI5677">
        <v>97.1457960115562</v>
      </c>
      <c r="AJ5677">
        <v>126.66782339145</v>
      </c>
      <c r="AK5677">
        <v>0.77088555696832295</v>
      </c>
      <c r="AL5677">
        <v>94.524188843533494</v>
      </c>
      <c r="AM5677">
        <v>95.570747770675197</v>
      </c>
      <c r="AN5677">
        <v>0.99999997133884999</v>
      </c>
    </row>
    <row r="5678" spans="1:40" x14ac:dyDescent="0.25">
      <c r="A5678" t="str">
        <f>"20190303154254126"</f>
        <v>20190303154254126</v>
      </c>
      <c r="B5678" t="str">
        <f>"1551598974115436"</f>
        <v>1551598974115436</v>
      </c>
      <c r="C5678" t="s">
        <v>40</v>
      </c>
      <c r="D5678">
        <v>5.2550549999999996</v>
      </c>
      <c r="E5678">
        <v>0.34758329999999998</v>
      </c>
      <c r="F5678" t="s">
        <v>42</v>
      </c>
      <c r="G5678">
        <v>-401.61380000000003</v>
      </c>
      <c r="H5678">
        <v>1.030016</v>
      </c>
      <c r="I5678">
        <v>141.209</v>
      </c>
      <c r="J5678">
        <v>-401.02519999999998</v>
      </c>
      <c r="K5678">
        <v>1.122498</v>
      </c>
      <c r="L5678">
        <v>141.66820000000001</v>
      </c>
      <c r="M5678">
        <v>-0.99987079999999995</v>
      </c>
      <c r="N5678">
        <v>-1.41458E-2</v>
      </c>
      <c r="O5678">
        <v>-7.6556749999999998E-3</v>
      </c>
      <c r="P5678">
        <v>-0.99005750000000003</v>
      </c>
      <c r="Q5678">
        <v>-9.1937959999999999E-2</v>
      </c>
      <c r="R5678">
        <v>-0.10646120000000001</v>
      </c>
      <c r="S5678">
        <v>-2.8447269999999998</v>
      </c>
      <c r="T5678">
        <v>-0.30055009999999999</v>
      </c>
      <c r="U5678">
        <v>-1.508926</v>
      </c>
      <c r="V5678">
        <v>-9.8600279999999998E-2</v>
      </c>
      <c r="W5678">
        <v>-7.8264009999999995E-2</v>
      </c>
      <c r="X5678">
        <v>0.9920447</v>
      </c>
      <c r="Y5678">
        <v>-0.45951629999999899</v>
      </c>
      <c r="Z5678">
        <v>-2.5523819999999999E-2</v>
      </c>
      <c r="AA5678">
        <v>0.88780249999999905</v>
      </c>
      <c r="AB5678">
        <v>28</v>
      </c>
      <c r="AC5678">
        <v>-0.58860000000004198</v>
      </c>
      <c r="AD5678">
        <v>-9.2481999999999898E-2</v>
      </c>
      <c r="AE5678">
        <v>-0.45920000000000899</v>
      </c>
      <c r="AF5678">
        <v>-0.44780760671795</v>
      </c>
      <c r="AG5678">
        <v>-9.2481999999999898E-2</v>
      </c>
      <c r="AH5678">
        <v>0.58314918962023699</v>
      </c>
      <c r="AI5678">
        <v>97.169174696863095</v>
      </c>
      <c r="AJ5678">
        <v>127.52111243978101</v>
      </c>
      <c r="AK5678">
        <v>0.74104490438380199</v>
      </c>
      <c r="AL5678">
        <v>94.488788030181894</v>
      </c>
      <c r="AM5678">
        <v>95.676041416302695</v>
      </c>
      <c r="AN5678">
        <v>0.99999997863772305</v>
      </c>
    </row>
    <row r="5679" spans="1:40" x14ac:dyDescent="0.25">
      <c r="A5679" t="str">
        <f>"20190303154254147"</f>
        <v>20190303154254147</v>
      </c>
      <c r="B5679" t="str">
        <f>"1551598974135932"</f>
        <v>1551598974135932</v>
      </c>
      <c r="C5679" t="s">
        <v>40</v>
      </c>
      <c r="D5679">
        <v>5.2589489999999897</v>
      </c>
      <c r="E5679">
        <v>0.34686679999999998</v>
      </c>
      <c r="F5679" t="s">
        <v>42</v>
      </c>
      <c r="G5679">
        <v>-401.86680000000001</v>
      </c>
      <c r="H5679">
        <v>1.033709</v>
      </c>
      <c r="I5679">
        <v>141.21559999999999</v>
      </c>
      <c r="J5679">
        <v>-401.29680000000002</v>
      </c>
      <c r="K5679">
        <v>1.1227590000000001</v>
      </c>
      <c r="L5679">
        <v>141.66380000000001</v>
      </c>
      <c r="M5679">
        <v>-0.99984969999999995</v>
      </c>
      <c r="N5679">
        <v>-1.415193E-2</v>
      </c>
      <c r="O5679">
        <v>-1.001549E-2</v>
      </c>
      <c r="P5679">
        <v>-0.98964949999999996</v>
      </c>
      <c r="Q5679">
        <v>-9.0716950000000005E-2</v>
      </c>
      <c r="R5679">
        <v>-0.11119469999999999</v>
      </c>
      <c r="S5679">
        <v>-2.8380740000000002</v>
      </c>
      <c r="T5679">
        <v>-0.29940409999999901</v>
      </c>
      <c r="U5679">
        <v>-1.527542</v>
      </c>
      <c r="V5679">
        <v>-0.1009559</v>
      </c>
      <c r="W5679">
        <v>-7.7108819999999995E-2</v>
      </c>
      <c r="X5679">
        <v>0.99189819999999995</v>
      </c>
      <c r="Y5679">
        <v>-0.46281440000000001</v>
      </c>
      <c r="Z5679">
        <v>-2.544691E-2</v>
      </c>
      <c r="AA5679">
        <v>0.88608989999999999</v>
      </c>
      <c r="AB5679">
        <v>28</v>
      </c>
      <c r="AC5679">
        <v>-0.56999999999999296</v>
      </c>
      <c r="AD5679">
        <v>-8.9050000000000004E-2</v>
      </c>
      <c r="AE5679">
        <v>-0.44820000000001398</v>
      </c>
      <c r="AF5679">
        <v>-0.43589392928826298</v>
      </c>
      <c r="AG5679">
        <v>-8.9050000000000004E-2</v>
      </c>
      <c r="AH5679">
        <v>0.56592546678143896</v>
      </c>
      <c r="AI5679">
        <v>97.105909033410796</v>
      </c>
      <c r="AJ5679">
        <v>127.604616728667</v>
      </c>
      <c r="AK5679">
        <v>0.71986460813277298</v>
      </c>
      <c r="AL5679">
        <v>94.422399998271501</v>
      </c>
      <c r="AM5679">
        <v>95.811580615173398</v>
      </c>
      <c r="AN5679">
        <v>0.99999995151491905</v>
      </c>
    </row>
    <row r="5680" spans="1:40" x14ac:dyDescent="0.25">
      <c r="A5680" t="str">
        <f>"20190303154254172"</f>
        <v>20190303154254172</v>
      </c>
      <c r="B5680" t="str">
        <f>"1551598974166188"</f>
        <v>1551598974166188</v>
      </c>
      <c r="C5680" t="s">
        <v>40</v>
      </c>
      <c r="D5680">
        <v>5.2449810000000001</v>
      </c>
      <c r="E5680">
        <v>0.34609240000000002</v>
      </c>
      <c r="F5680" t="s">
        <v>42</v>
      </c>
      <c r="G5680">
        <v>-402.11790000000002</v>
      </c>
      <c r="H5680">
        <v>1.037107</v>
      </c>
      <c r="I5680">
        <v>141.215</v>
      </c>
      <c r="J5680">
        <v>-401.59160000000003</v>
      </c>
      <c r="K5680">
        <v>1.1230719999999901</v>
      </c>
      <c r="L5680">
        <v>141.65780000000001</v>
      </c>
      <c r="M5680">
        <v>-0.99981540000000002</v>
      </c>
      <c r="N5680">
        <v>-1.4161750000000001E-2</v>
      </c>
      <c r="O5680">
        <v>-1.29908E-2</v>
      </c>
      <c r="P5680">
        <v>-0.98922290000000002</v>
      </c>
      <c r="Q5680">
        <v>-8.8817750000000001E-2</v>
      </c>
      <c r="R5680">
        <v>-0.1164033</v>
      </c>
      <c r="S5680">
        <v>-2.830505</v>
      </c>
      <c r="T5680">
        <v>-0.29529250000000001</v>
      </c>
      <c r="U5680">
        <v>-1.546783</v>
      </c>
      <c r="V5680">
        <v>-0.10317320000000001</v>
      </c>
      <c r="W5680">
        <v>-7.5286629999999993E-2</v>
      </c>
      <c r="X5680">
        <v>0.99181010000000003</v>
      </c>
      <c r="Y5680">
        <v>-0.46586709999999898</v>
      </c>
      <c r="Z5680">
        <v>-2.5096110000000001E-2</v>
      </c>
      <c r="AA5680">
        <v>0.88449869999999997</v>
      </c>
      <c r="AB5680">
        <v>28</v>
      </c>
      <c r="AC5680">
        <v>-0.526299999999992</v>
      </c>
      <c r="AD5680">
        <v>-8.5964999999999805E-2</v>
      </c>
      <c r="AE5680">
        <v>-0.44280000000000502</v>
      </c>
      <c r="AF5680">
        <v>-0.42921980928624198</v>
      </c>
      <c r="AG5680">
        <v>-8.5964999999999805E-2</v>
      </c>
      <c r="AH5680">
        <v>0.52382552078710898</v>
      </c>
      <c r="AI5680">
        <v>97.234357088713196</v>
      </c>
      <c r="AJ5680">
        <v>129.331006104507</v>
      </c>
      <c r="AK5680">
        <v>0.68265130347535696</v>
      </c>
      <c r="AL5680">
        <v>94.317691426332502</v>
      </c>
      <c r="AM5680">
        <v>95.938841984353303</v>
      </c>
      <c r="AN5680">
        <v>1.0000000301584999</v>
      </c>
    </row>
    <row r="5681" spans="1:40" x14ac:dyDescent="0.25">
      <c r="A5681" t="str">
        <f>"20190303154254194"</f>
        <v>20190303154254194</v>
      </c>
      <c r="B5681" t="str">
        <f>"1551598974185708"</f>
        <v>1551598974185708</v>
      </c>
      <c r="C5681" t="s">
        <v>40</v>
      </c>
      <c r="D5681">
        <v>5.2251940000000001</v>
      </c>
      <c r="E5681">
        <v>0.34583079999999999</v>
      </c>
      <c r="F5681" t="s">
        <v>42</v>
      </c>
      <c r="G5681">
        <v>-402.37189999999998</v>
      </c>
      <c r="H5681">
        <v>1.043067</v>
      </c>
      <c r="I5681">
        <v>141.22450000000001</v>
      </c>
      <c r="J5681">
        <v>-401.87180000000001</v>
      </c>
      <c r="K5681">
        <v>1.1233799999999901</v>
      </c>
      <c r="L5681">
        <v>141.6508</v>
      </c>
      <c r="M5681">
        <v>-0.99976779999999998</v>
      </c>
      <c r="N5681">
        <v>-1.4173470000000001E-2</v>
      </c>
      <c r="O5681">
        <v>-1.6232259999999998E-2</v>
      </c>
      <c r="P5681">
        <v>-0.9887068</v>
      </c>
      <c r="Q5681">
        <v>-8.7856610000000002E-2</v>
      </c>
      <c r="R5681">
        <v>-0.1214085</v>
      </c>
      <c r="S5681">
        <v>-2.822235</v>
      </c>
      <c r="T5681">
        <v>-0.28937020000000002</v>
      </c>
      <c r="U5681">
        <v>-1.5677190000000001</v>
      </c>
      <c r="V5681">
        <v>-0.10492319999999999</v>
      </c>
      <c r="W5681">
        <v>-7.4401919999999996E-2</v>
      </c>
      <c r="X5681">
        <v>0.9916933</v>
      </c>
      <c r="Y5681">
        <v>-0.46919230000000001</v>
      </c>
      <c r="Z5681">
        <v>-2.4614179999999999E-2</v>
      </c>
      <c r="AA5681">
        <v>0.88275300000000001</v>
      </c>
      <c r="AB5681">
        <v>28</v>
      </c>
      <c r="AC5681">
        <v>-0.50009999999997401</v>
      </c>
      <c r="AD5681">
        <v>-8.0312999999999801E-2</v>
      </c>
      <c r="AE5681">
        <v>-0.42629999999999701</v>
      </c>
      <c r="AF5681">
        <v>-0.41197172061008502</v>
      </c>
      <c r="AG5681">
        <v>-8.0312999999999801E-2</v>
      </c>
      <c r="AH5681">
        <v>0.499493773258672</v>
      </c>
      <c r="AI5681">
        <v>97.070946112779794</v>
      </c>
      <c r="AJ5681">
        <v>129.51507877934</v>
      </c>
      <c r="AK5681">
        <v>0.65243000090095504</v>
      </c>
      <c r="AL5681">
        <v>94.266858565228205</v>
      </c>
      <c r="AM5681">
        <v>96.039543022683702</v>
      </c>
      <c r="AN5681">
        <v>1.0000000624314</v>
      </c>
    </row>
    <row r="5682" spans="1:40" x14ac:dyDescent="0.25">
      <c r="A5682" t="str">
        <f>"20190303154254215"</f>
        <v>20190303154254215</v>
      </c>
      <c r="B5682" t="str">
        <f>"1551598974206204"</f>
        <v>1551598974206204</v>
      </c>
      <c r="C5682" t="s">
        <v>40</v>
      </c>
      <c r="D5682">
        <v>5.2398480000000003</v>
      </c>
      <c r="E5682">
        <v>0.34561419999999998</v>
      </c>
      <c r="F5682" t="s">
        <v>42</v>
      </c>
      <c r="G5682">
        <v>-402.6583</v>
      </c>
      <c r="H5682">
        <v>1.0430839999999999</v>
      </c>
      <c r="I5682">
        <v>141.208</v>
      </c>
      <c r="J5682">
        <v>-402.1472</v>
      </c>
      <c r="K5682">
        <v>1.1236740000000001</v>
      </c>
      <c r="L5682">
        <v>141.64269999999999</v>
      </c>
      <c r="M5682">
        <v>-0.99970289999999995</v>
      </c>
      <c r="N5682">
        <v>-1.4186839999999999E-2</v>
      </c>
      <c r="O5682">
        <v>-1.98155E-2</v>
      </c>
      <c r="P5682">
        <v>-0.9880466</v>
      </c>
      <c r="Q5682">
        <v>-8.7246119999999996E-2</v>
      </c>
      <c r="R5682">
        <v>-0.1270907</v>
      </c>
      <c r="S5682">
        <v>-2.8141780000000001</v>
      </c>
      <c r="T5682">
        <v>-0.28731430000000002</v>
      </c>
      <c r="U5682">
        <v>-1.584244</v>
      </c>
      <c r="V5682">
        <v>-0.107016899999999</v>
      </c>
      <c r="W5682">
        <v>-7.3870290000000005E-2</v>
      </c>
      <c r="X5682">
        <v>0.99150930000000004</v>
      </c>
      <c r="Y5682">
        <v>-0.47107490000000002</v>
      </c>
      <c r="Z5682">
        <v>-2.4310990000000001E-2</v>
      </c>
      <c r="AA5682">
        <v>0.88175820000000005</v>
      </c>
      <c r="AB5682">
        <v>28</v>
      </c>
      <c r="AC5682">
        <v>-0.511099999999999</v>
      </c>
      <c r="AD5682">
        <v>-8.0589999999999898E-2</v>
      </c>
      <c r="AE5682">
        <v>-0.43469999999999198</v>
      </c>
      <c r="AF5682">
        <v>-0.41844904113251002</v>
      </c>
      <c r="AG5682">
        <v>-8.0589999999999898E-2</v>
      </c>
      <c r="AH5682">
        <v>0.512224547693931</v>
      </c>
      <c r="AI5682">
        <v>96.946921439803006</v>
      </c>
      <c r="AJ5682">
        <v>129.24624552383801</v>
      </c>
      <c r="AK5682">
        <v>0.66630948919024802</v>
      </c>
      <c r="AL5682">
        <v>94.236314349936194</v>
      </c>
      <c r="AM5682">
        <v>96.1602765209322</v>
      </c>
      <c r="AN5682">
        <v>1.0000000643083899</v>
      </c>
    </row>
    <row r="5683" spans="1:40" x14ac:dyDescent="0.25">
      <c r="A5683" t="str">
        <f>"20190303154254237"</f>
        <v>20190303154254237</v>
      </c>
      <c r="B5683" t="str">
        <f>"1551598974225725"</f>
        <v>1551598974225725</v>
      </c>
      <c r="C5683" t="s">
        <v>40</v>
      </c>
      <c r="D5683">
        <v>5.1973459999999996</v>
      </c>
      <c r="E5683">
        <v>0.3454779</v>
      </c>
      <c r="F5683" t="s">
        <v>42</v>
      </c>
      <c r="G5683">
        <v>-403.0926</v>
      </c>
      <c r="H5683">
        <v>1.027325</v>
      </c>
      <c r="I5683">
        <v>141.1026</v>
      </c>
      <c r="J5683">
        <v>-402.41660000000002</v>
      </c>
      <c r="K5683">
        <v>1.12395</v>
      </c>
      <c r="L5683">
        <v>141.63319999999999</v>
      </c>
      <c r="M5683">
        <v>-0.99961800000000001</v>
      </c>
      <c r="N5683">
        <v>-1.420107E-2</v>
      </c>
      <c r="O5683">
        <v>-2.3711929999999999E-2</v>
      </c>
      <c r="P5683">
        <v>-0.98730340000000005</v>
      </c>
      <c r="Q5683">
        <v>-8.7065820000000002E-2</v>
      </c>
      <c r="R5683">
        <v>-0.1328597</v>
      </c>
      <c r="S5683">
        <v>-2.8049930000000001</v>
      </c>
      <c r="T5683">
        <v>-0.28587950000000001</v>
      </c>
      <c r="U5683">
        <v>-1.6018829999999999</v>
      </c>
      <c r="V5683">
        <v>-0.10889310000000001</v>
      </c>
      <c r="W5683">
        <v>-7.376336E-2</v>
      </c>
      <c r="X5683">
        <v>0.99131290000000005</v>
      </c>
      <c r="Y5683">
        <v>-0.47308349999999999</v>
      </c>
      <c r="Z5683">
        <v>-2.4041420000000001E-2</v>
      </c>
      <c r="AA5683">
        <v>0.88068950000000001</v>
      </c>
      <c r="AB5683">
        <v>28</v>
      </c>
      <c r="AC5683">
        <v>-0.67599999999998694</v>
      </c>
      <c r="AD5683">
        <v>-9.6624999999999905E-2</v>
      </c>
      <c r="AE5683">
        <v>-0.53059999999999197</v>
      </c>
      <c r="AF5683">
        <v>-0.50799771402600302</v>
      </c>
      <c r="AG5683">
        <v>-9.6624999999999905E-2</v>
      </c>
      <c r="AH5683">
        <v>0.67979858920450897</v>
      </c>
      <c r="AI5683">
        <v>96.495655933933307</v>
      </c>
      <c r="AJ5683">
        <v>126.769909194574</v>
      </c>
      <c r="AK5683">
        <v>0.85412188238276898</v>
      </c>
      <c r="AL5683">
        <v>94.230171211677998</v>
      </c>
      <c r="AM5683">
        <v>96.2686569899967</v>
      </c>
      <c r="AN5683">
        <v>1.0000000031062499</v>
      </c>
    </row>
    <row r="5684" spans="1:40" x14ac:dyDescent="0.25">
      <c r="A5684" t="str">
        <f>"20190303154254260"</f>
        <v>20190303154254260</v>
      </c>
      <c r="B5684" t="str">
        <f>"1551598974255981"</f>
        <v>1551598974255981</v>
      </c>
      <c r="C5684" t="s">
        <v>40</v>
      </c>
      <c r="D5684">
        <v>5.1777639999999998</v>
      </c>
      <c r="E5684">
        <v>0.34516079999999999</v>
      </c>
      <c r="F5684" t="s">
        <v>42</v>
      </c>
      <c r="G5684">
        <v>-403.34089999999998</v>
      </c>
      <c r="H5684">
        <v>1.0296510000000001</v>
      </c>
      <c r="I5684">
        <v>141.09799999999899</v>
      </c>
      <c r="J5684">
        <v>-402.70060000000001</v>
      </c>
      <c r="K5684">
        <v>1.1242030000000001</v>
      </c>
      <c r="L5684">
        <v>141.62180000000001</v>
      </c>
      <c r="M5684">
        <v>-0.99950309999999998</v>
      </c>
      <c r="N5684">
        <v>-1.421557E-2</v>
      </c>
      <c r="O5684">
        <v>-2.8133470000000001E-2</v>
      </c>
      <c r="P5684">
        <v>-0.98651469999999997</v>
      </c>
      <c r="Q5684">
        <v>-8.5754629999999998E-2</v>
      </c>
      <c r="R5684">
        <v>-0.13940839999999999</v>
      </c>
      <c r="S5684">
        <v>-2.7955019999999999</v>
      </c>
      <c r="T5684">
        <v>-0.28519879999999997</v>
      </c>
      <c r="U5684">
        <v>-1.6194</v>
      </c>
      <c r="V5684">
        <v>-0.1110466</v>
      </c>
      <c r="W5684">
        <v>-7.2520639999999997E-2</v>
      </c>
      <c r="X5684">
        <v>0.99116570000000004</v>
      </c>
      <c r="Y5684">
        <v>-0.47463100000000003</v>
      </c>
      <c r="Z5684">
        <v>-2.3760219999999999E-2</v>
      </c>
      <c r="AA5684">
        <v>0.87986409999999904</v>
      </c>
      <c r="AB5684">
        <v>28</v>
      </c>
      <c r="AC5684">
        <v>-0.64029999999996701</v>
      </c>
      <c r="AD5684">
        <v>-9.45519999999999E-2</v>
      </c>
      <c r="AE5684">
        <v>-0.52380000000002203</v>
      </c>
      <c r="AF5684">
        <v>-0.49905745783525501</v>
      </c>
      <c r="AG5684">
        <v>-9.45519999999999E-2</v>
      </c>
      <c r="AH5684">
        <v>0.64634076662123396</v>
      </c>
      <c r="AI5684">
        <v>96.604821122674394</v>
      </c>
      <c r="AJ5684">
        <v>127.67271629788399</v>
      </c>
      <c r="AK5684">
        <v>0.82204307278968802</v>
      </c>
      <c r="AL5684">
        <v>94.158777309417403</v>
      </c>
      <c r="AM5684">
        <v>96.392552932781101</v>
      </c>
      <c r="AN5684">
        <v>1.0000000177270201</v>
      </c>
    </row>
    <row r="5685" spans="1:40" x14ac:dyDescent="0.25">
      <c r="A5685" t="str">
        <f>"20190303154254284"</f>
        <v>20190303154254284</v>
      </c>
      <c r="B5685" t="str">
        <f>"1551598974275500"</f>
        <v>1551598974275500</v>
      </c>
      <c r="C5685" t="s">
        <v>40</v>
      </c>
      <c r="D5685">
        <v>5.1407480000000003</v>
      </c>
      <c r="E5685">
        <v>0.34503309999999998</v>
      </c>
      <c r="F5685" t="s">
        <v>42</v>
      </c>
      <c r="G5685">
        <v>-403.59010000000001</v>
      </c>
      <c r="H5685">
        <v>1.03369</v>
      </c>
      <c r="I5685">
        <v>141.09780000000001</v>
      </c>
      <c r="J5685">
        <v>-402.98779999999999</v>
      </c>
      <c r="K5685">
        <v>1.124417</v>
      </c>
      <c r="L5685">
        <v>141.6086</v>
      </c>
      <c r="M5685">
        <v>-0.99935770000000002</v>
      </c>
      <c r="N5685">
        <v>-1.42281E-2</v>
      </c>
      <c r="O5685">
        <v>-3.2890429999999998E-2</v>
      </c>
      <c r="P5685">
        <v>-0.98567749999999998</v>
      </c>
      <c r="Q5685">
        <v>-8.2998559999999999E-2</v>
      </c>
      <c r="R5685">
        <v>-0.1468035</v>
      </c>
      <c r="S5685">
        <v>-2.7846069999999998</v>
      </c>
      <c r="T5685">
        <v>-0.28333429999999998</v>
      </c>
      <c r="U5685">
        <v>-1.640274</v>
      </c>
      <c r="V5685">
        <v>-0.11373850000000001</v>
      </c>
      <c r="W5685">
        <v>-6.9830790000000004E-2</v>
      </c>
      <c r="X5685">
        <v>0.99105359999999998</v>
      </c>
      <c r="Y5685">
        <v>-0.47687380000000001</v>
      </c>
      <c r="Z5685">
        <v>-2.3413529999999998E-2</v>
      </c>
      <c r="AA5685">
        <v>0.87865990000000005</v>
      </c>
      <c r="AB5685">
        <v>28</v>
      </c>
      <c r="AC5685">
        <v>-0.60230000000001305</v>
      </c>
      <c r="AD5685">
        <v>-9.0727000000000002E-2</v>
      </c>
      <c r="AE5685">
        <v>-0.51079999999998904</v>
      </c>
      <c r="AF5685">
        <v>-0.48431959470158398</v>
      </c>
      <c r="AG5685">
        <v>-9.0727000000000002E-2</v>
      </c>
      <c r="AH5685">
        <v>0.61071593721964801</v>
      </c>
      <c r="AI5685">
        <v>96.639295382415199</v>
      </c>
      <c r="AJ5685">
        <v>128.415675524368</v>
      </c>
      <c r="AK5685">
        <v>0.78471065643011395</v>
      </c>
      <c r="AL5685">
        <v>94.004268369051402</v>
      </c>
      <c r="AM5685">
        <v>96.546920611404801</v>
      </c>
      <c r="AN5685">
        <v>1.0000000118436101</v>
      </c>
    </row>
    <row r="5686" spans="1:40" x14ac:dyDescent="0.25">
      <c r="A5686" t="str">
        <f>"20190303154254305"</f>
        <v>20190303154254305</v>
      </c>
      <c r="B5686" t="str">
        <f>"1551598974295997"</f>
        <v>1551598974295997</v>
      </c>
      <c r="C5686" t="s">
        <v>40</v>
      </c>
      <c r="D5686">
        <v>5.1996890000000002</v>
      </c>
      <c r="E5686">
        <v>0.34514479999999997</v>
      </c>
      <c r="F5686" t="s">
        <v>42</v>
      </c>
      <c r="G5686">
        <v>-403.83949999999999</v>
      </c>
      <c r="H5686">
        <v>1.039069</v>
      </c>
      <c r="I5686">
        <v>141.0984</v>
      </c>
      <c r="J5686">
        <v>-403.25729999999999</v>
      </c>
      <c r="K5686">
        <v>1.124598</v>
      </c>
      <c r="L5686">
        <v>141.59469999999999</v>
      </c>
      <c r="M5686">
        <v>-0.9991913</v>
      </c>
      <c r="N5686">
        <v>-1.423903E-2</v>
      </c>
      <c r="O5686">
        <v>-3.7602719999999999E-2</v>
      </c>
      <c r="P5686">
        <v>-0.98464479999999999</v>
      </c>
      <c r="Q5686">
        <v>-8.0854449999999994E-2</v>
      </c>
      <c r="R5686">
        <v>-0.15471689999999999</v>
      </c>
      <c r="S5686">
        <v>-2.7726139999999999</v>
      </c>
      <c r="T5686">
        <v>-0.27780349999999998</v>
      </c>
      <c r="U5686">
        <v>-1.6621699999999999</v>
      </c>
      <c r="V5686">
        <v>-0.117004</v>
      </c>
      <c r="W5686">
        <v>-6.7754480000000006E-2</v>
      </c>
      <c r="X5686">
        <v>0.99081750000000002</v>
      </c>
      <c r="Y5686">
        <v>-0.47958309999999998</v>
      </c>
      <c r="Z5686">
        <v>-2.2857809999999999E-2</v>
      </c>
      <c r="AA5686">
        <v>0.87719879999999995</v>
      </c>
      <c r="AB5686">
        <v>28</v>
      </c>
      <c r="AC5686">
        <v>-0.58220000000000005</v>
      </c>
      <c r="AD5686">
        <v>-8.5528999999999897E-2</v>
      </c>
      <c r="AE5686">
        <v>-0.49629999999999003</v>
      </c>
      <c r="AF5686">
        <v>-0.46820241301194399</v>
      </c>
      <c r="AG5686">
        <v>-8.5528999999999897E-2</v>
      </c>
      <c r="AH5686">
        <v>0.59303996926248204</v>
      </c>
      <c r="AI5686">
        <v>96.458141397153895</v>
      </c>
      <c r="AJ5686">
        <v>128.290934751105</v>
      </c>
      <c r="AK5686">
        <v>0.76041114834940005</v>
      </c>
      <c r="AL5686">
        <v>93.8850222460553</v>
      </c>
      <c r="AM5686">
        <v>96.734774262893197</v>
      </c>
      <c r="AN5686">
        <v>0.99999996194115903</v>
      </c>
    </row>
    <row r="5687" spans="1:40" x14ac:dyDescent="0.25">
      <c r="A5687" t="str">
        <f>"20190303154254328"</f>
        <v>20190303154254328</v>
      </c>
      <c r="B5687" t="str">
        <f>"1551598974315517"</f>
        <v>1551598974315517</v>
      </c>
      <c r="C5687" t="s">
        <v>40</v>
      </c>
      <c r="D5687">
        <v>5.3641829999999997</v>
      </c>
      <c r="E5687">
        <v>0.41220830000000003</v>
      </c>
      <c r="F5687" t="s">
        <v>42</v>
      </c>
      <c r="G5687">
        <v>-404.08620000000002</v>
      </c>
      <c r="H5687">
        <v>1.043015</v>
      </c>
      <c r="I5687">
        <v>141.0891</v>
      </c>
      <c r="J5687">
        <v>-403.5324</v>
      </c>
      <c r="K5687">
        <v>1.124762</v>
      </c>
      <c r="L5687">
        <v>141.57900000000001</v>
      </c>
      <c r="M5687">
        <v>-0.99898869999999895</v>
      </c>
      <c r="N5687">
        <v>-1.425099E-2</v>
      </c>
      <c r="O5687">
        <v>-4.2644069999999999E-2</v>
      </c>
      <c r="P5687">
        <v>-0.98345470000000001</v>
      </c>
      <c r="Q5687">
        <v>-7.9890439999999993E-2</v>
      </c>
      <c r="R5687">
        <v>-0.1625867</v>
      </c>
      <c r="S5687">
        <v>-2.759979</v>
      </c>
      <c r="T5687">
        <v>-0.2716517</v>
      </c>
      <c r="U5687">
        <v>-1.683365</v>
      </c>
      <c r="V5687">
        <v>-0.1199022</v>
      </c>
      <c r="W5687">
        <v>-6.6856879999999994E-2</v>
      </c>
      <c r="X5687">
        <v>0.99053199999999997</v>
      </c>
      <c r="Y5687">
        <v>-0.48193079999999999</v>
      </c>
      <c r="Z5687">
        <v>-2.2231239999999999E-2</v>
      </c>
      <c r="AA5687">
        <v>0.87592719999999902</v>
      </c>
      <c r="AB5687">
        <v>28</v>
      </c>
      <c r="AC5687">
        <v>-0.55380000000002305</v>
      </c>
      <c r="AD5687">
        <v>-8.1747E-2</v>
      </c>
      <c r="AE5687">
        <v>-0.489900000000005</v>
      </c>
      <c r="AF5687">
        <v>-0.46021017438623602</v>
      </c>
      <c r="AG5687">
        <v>-8.1747E-2</v>
      </c>
      <c r="AH5687">
        <v>0.56725569356869998</v>
      </c>
      <c r="AI5687">
        <v>96.385493497217794</v>
      </c>
      <c r="AJ5687">
        <v>129.05215364311599</v>
      </c>
      <c r="AK5687">
        <v>0.73502040686209302</v>
      </c>
      <c r="AL5687">
        <v>93.833476475719706</v>
      </c>
      <c r="AM5687">
        <v>96.901975745963696</v>
      </c>
      <c r="AN5687">
        <v>1.0000000114960801</v>
      </c>
    </row>
    <row r="5688" spans="1:40" x14ac:dyDescent="0.25">
      <c r="A5688" t="str">
        <f>"20190303154254361"</f>
        <v>20190303154254361</v>
      </c>
      <c r="B5688" t="str">
        <f>"1551598974355536"</f>
        <v>1551598974355536</v>
      </c>
      <c r="C5688" t="s">
        <v>40</v>
      </c>
      <c r="D5688">
        <v>5.2498199999999997</v>
      </c>
      <c r="E5688">
        <v>0.4415404</v>
      </c>
      <c r="F5688" t="s">
        <v>57</v>
      </c>
      <c r="G5688">
        <v>-418.43779999999998</v>
      </c>
      <c r="H5688" s="1">
        <v>-8.1630650000000008E-6</v>
      </c>
      <c r="I5688">
        <v>135.3836</v>
      </c>
      <c r="J5688">
        <v>-403.93810000000002</v>
      </c>
      <c r="K5688">
        <v>1.12501299999999</v>
      </c>
      <c r="L5688">
        <v>141.55289999999999</v>
      </c>
      <c r="M5688">
        <v>-0.99862260000000003</v>
      </c>
      <c r="N5688">
        <v>-1.4271239999999999E-2</v>
      </c>
      <c r="O5688">
        <v>-5.0491050000000003E-2</v>
      </c>
      <c r="P5688">
        <v>-0.98142750000000001</v>
      </c>
      <c r="Q5688">
        <v>-7.8775819999999996E-2</v>
      </c>
      <c r="R5688">
        <v>-0.17491319999999999</v>
      </c>
      <c r="S5688">
        <v>-2.8380130000000001</v>
      </c>
      <c r="T5688">
        <v>-0.21415780000000001</v>
      </c>
      <c r="U5688">
        <v>-1.179611</v>
      </c>
      <c r="V5688">
        <v>-0.1245073</v>
      </c>
      <c r="W5688">
        <v>-6.5848149999999994E-2</v>
      </c>
      <c r="X5688">
        <v>0.99003129999999995</v>
      </c>
      <c r="Y5688">
        <v>-0.33578920000000001</v>
      </c>
      <c r="Z5688">
        <v>-1.1694639999999999E-2</v>
      </c>
      <c r="AA5688">
        <v>0.94186460000000005</v>
      </c>
      <c r="AB5688">
        <v>28</v>
      </c>
      <c r="AC5688">
        <v>-14.499699999999899</v>
      </c>
      <c r="AD5688">
        <v>-1.12502116306499</v>
      </c>
      <c r="AE5688">
        <v>-6.16929999999999</v>
      </c>
      <c r="AF5688">
        <v>-5.4017156611825996</v>
      </c>
      <c r="AG5688">
        <v>-1.12502116306499</v>
      </c>
      <c r="AH5688">
        <v>14.7177073339688</v>
      </c>
      <c r="AI5688">
        <v>94.104477856050707</v>
      </c>
      <c r="AJ5688">
        <v>110.15422462940801</v>
      </c>
      <c r="AK5688">
        <v>15.717986953486401</v>
      </c>
      <c r="AL5688">
        <v>93.775552855318395</v>
      </c>
      <c r="AM5688">
        <v>97.167942107634502</v>
      </c>
      <c r="AN5688">
        <v>1.0000000107956999</v>
      </c>
    </row>
    <row r="5689" spans="1:40" x14ac:dyDescent="0.25">
      <c r="A5689" t="str">
        <f>"20190303154254383"</f>
        <v>20190303154254383</v>
      </c>
      <c r="B5689" t="str">
        <f>"1551598974376029"</f>
        <v>1551598974376029</v>
      </c>
      <c r="C5689" t="s">
        <v>40</v>
      </c>
      <c r="D5689">
        <v>5.2082319999999998</v>
      </c>
      <c r="E5689">
        <v>0.44556269999999998</v>
      </c>
      <c r="F5689" t="s">
        <v>57</v>
      </c>
      <c r="G5689">
        <v>-419.33260000000001</v>
      </c>
      <c r="H5689" s="1">
        <v>-8.4679609999999992E-6</v>
      </c>
      <c r="I5689">
        <v>136.25970000000001</v>
      </c>
      <c r="J5689">
        <v>-404.22219999999999</v>
      </c>
      <c r="K5689">
        <v>1.125197</v>
      </c>
      <c r="L5689">
        <v>141.53229999999999</v>
      </c>
      <c r="M5689">
        <v>-0.99831349999999996</v>
      </c>
      <c r="N5689">
        <v>-1.4286729999999999E-2</v>
      </c>
      <c r="O5689">
        <v>-5.6268390000000001E-2</v>
      </c>
      <c r="P5689">
        <v>-0.97979859999999996</v>
      </c>
      <c r="Q5689">
        <v>-7.7842410000000001E-2</v>
      </c>
      <c r="R5689">
        <v>-0.18421570000000001</v>
      </c>
      <c r="S5689">
        <v>-2.864471</v>
      </c>
      <c r="T5689">
        <v>-0.20933460000000001</v>
      </c>
      <c r="U5689">
        <v>-0.98490909999999998</v>
      </c>
      <c r="V5689">
        <v>-0.12814310000000001</v>
      </c>
      <c r="W5689">
        <v>-6.4994739999999995E-2</v>
      </c>
      <c r="X5689">
        <v>0.9896237</v>
      </c>
      <c r="Y5689">
        <v>-0.27072629999999998</v>
      </c>
      <c r="Z5689">
        <v>-8.3966240000000001E-3</v>
      </c>
      <c r="AA5689">
        <v>0.96261969999999997</v>
      </c>
      <c r="AB5689">
        <v>28</v>
      </c>
      <c r="AC5689">
        <v>-15.1104</v>
      </c>
      <c r="AD5689">
        <v>-1.125205467961</v>
      </c>
      <c r="AE5689">
        <v>-5.2725999999999802</v>
      </c>
      <c r="AF5689">
        <v>-4.3922083929526803</v>
      </c>
      <c r="AG5689">
        <v>-1.125205467961</v>
      </c>
      <c r="AH5689">
        <v>15.307497588741301</v>
      </c>
      <c r="AI5689">
        <v>94.0415625110289</v>
      </c>
      <c r="AJ5689">
        <v>106.00987070553199</v>
      </c>
      <c r="AK5689">
        <v>15.9648696938489</v>
      </c>
      <c r="AL5689">
        <v>93.726551057321899</v>
      </c>
      <c r="AM5689">
        <v>97.377988669527696</v>
      </c>
      <c r="AN5689">
        <v>1.0000000189534799</v>
      </c>
    </row>
    <row r="5690" spans="1:40" x14ac:dyDescent="0.25">
      <c r="A5690" t="str">
        <f>"20190303154254406"</f>
        <v>20190303154254406</v>
      </c>
      <c r="B5690" t="str">
        <f>"1551598974395549"</f>
        <v>1551598974395549</v>
      </c>
      <c r="C5690" t="s">
        <v>40</v>
      </c>
      <c r="D5690">
        <v>5.1979649999999999</v>
      </c>
      <c r="E5690">
        <v>0.44802550000000002</v>
      </c>
      <c r="F5690" t="s">
        <v>57</v>
      </c>
      <c r="G5690">
        <v>-419.89789999999999</v>
      </c>
      <c r="H5690" s="1">
        <v>-8.3947579999999998E-6</v>
      </c>
      <c r="I5690">
        <v>136.16059999999999</v>
      </c>
      <c r="J5690">
        <v>-404.49360000000001</v>
      </c>
      <c r="K5690">
        <v>1.1253489999999999</v>
      </c>
      <c r="L5690">
        <v>141.51079999999999</v>
      </c>
      <c r="M5690">
        <v>-0.9979751</v>
      </c>
      <c r="N5690">
        <v>-1.430099E-2</v>
      </c>
      <c r="O5690">
        <v>-6.1978819999999997E-2</v>
      </c>
      <c r="P5690">
        <v>-0.97811320000000002</v>
      </c>
      <c r="Q5690">
        <v>-7.7703430000000004E-2</v>
      </c>
      <c r="R5690">
        <v>-0.1930202</v>
      </c>
      <c r="S5690">
        <v>-2.8612060000000001</v>
      </c>
      <c r="T5690">
        <v>-0.20537720000000001</v>
      </c>
      <c r="U5690">
        <v>-0.98046880000000003</v>
      </c>
      <c r="V5690">
        <v>-0.13135459999999999</v>
      </c>
      <c r="W5690">
        <v>-6.4928159999999999E-2</v>
      </c>
      <c r="X5690">
        <v>0.9892069</v>
      </c>
      <c r="Y5690">
        <v>-0.26426300000000003</v>
      </c>
      <c r="Z5690">
        <v>-7.7117749999999997E-3</v>
      </c>
      <c r="AA5690">
        <v>0.96441980000000005</v>
      </c>
      <c r="AB5690">
        <v>28</v>
      </c>
      <c r="AC5690">
        <v>-15.4042999999999</v>
      </c>
      <c r="AD5690">
        <v>-1.125357394758</v>
      </c>
      <c r="AE5690">
        <v>-5.3502000000000001</v>
      </c>
      <c r="AF5690">
        <v>-4.3642891455120099</v>
      </c>
      <c r="AG5690">
        <v>-1.125357394758</v>
      </c>
      <c r="AH5690">
        <v>15.631864896109899</v>
      </c>
      <c r="AI5690">
        <v>93.966512318649094</v>
      </c>
      <c r="AJ5690">
        <v>105.59929969897399</v>
      </c>
      <c r="AK5690">
        <v>16.268640052008099</v>
      </c>
      <c r="AL5690">
        <v>93.722728322913198</v>
      </c>
      <c r="AM5690">
        <v>97.563929933441102</v>
      </c>
      <c r="AN5690">
        <v>0.99999999395487704</v>
      </c>
    </row>
    <row r="5691" spans="1:40" x14ac:dyDescent="0.25">
      <c r="A5691" t="str">
        <f>"20190303154254427"</f>
        <v>20190303154254427</v>
      </c>
      <c r="B5691" t="str">
        <f>"1551598974416045"</f>
        <v>1551598974416045</v>
      </c>
      <c r="C5691" t="s">
        <v>40</v>
      </c>
      <c r="D5691">
        <v>5.2129589999999997</v>
      </c>
      <c r="E5691">
        <v>0.44984000000000002</v>
      </c>
      <c r="F5691" t="s">
        <v>57</v>
      </c>
      <c r="G5691">
        <v>-419.87920000000003</v>
      </c>
      <c r="H5691" s="1">
        <v>-8.4096279999999998E-6</v>
      </c>
      <c r="I5691">
        <v>136.1944</v>
      </c>
      <c r="J5691">
        <v>-404.7627</v>
      </c>
      <c r="K5691">
        <v>1.1254919999999999</v>
      </c>
      <c r="L5691">
        <v>141.48779999999999</v>
      </c>
      <c r="M5691">
        <v>-0.99759260000000005</v>
      </c>
      <c r="N5691">
        <v>-1.431459E-2</v>
      </c>
      <c r="O5691">
        <v>-6.7854330000000004E-2</v>
      </c>
      <c r="P5691">
        <v>-0.97638570000000002</v>
      </c>
      <c r="Q5691">
        <v>-7.8377769999999999E-2</v>
      </c>
      <c r="R5691">
        <v>-0.2013161</v>
      </c>
      <c r="S5691">
        <v>-2.855804</v>
      </c>
      <c r="T5691">
        <v>-0.2088826</v>
      </c>
      <c r="U5691">
        <v>-0.98680109999999999</v>
      </c>
      <c r="V5691">
        <v>-0.13389719999999999</v>
      </c>
      <c r="W5691">
        <v>-6.5668199999999996E-2</v>
      </c>
      <c r="X5691">
        <v>0.9888171</v>
      </c>
      <c r="Y5691">
        <v>-0.26105200000000001</v>
      </c>
      <c r="Z5691">
        <v>-7.3360949999999999E-3</v>
      </c>
      <c r="AA5691">
        <v>0.96529690000000001</v>
      </c>
      <c r="AB5691">
        <v>28</v>
      </c>
      <c r="AC5691">
        <v>-15.1165</v>
      </c>
      <c r="AD5691">
        <v>-1.1255004096279999</v>
      </c>
      <c r="AE5691">
        <v>-5.2933999999999903</v>
      </c>
      <c r="AF5691">
        <v>-4.23446246498394</v>
      </c>
      <c r="AG5691">
        <v>-1.1255004096279999</v>
      </c>
      <c r="AH5691">
        <v>15.364996717887299</v>
      </c>
      <c r="AI5691">
        <v>94.039422303685996</v>
      </c>
      <c r="AJ5691">
        <v>105.407754069481</v>
      </c>
      <c r="AK5691">
        <v>15.9775012965143</v>
      </c>
      <c r="AL5691">
        <v>93.765220099909797</v>
      </c>
      <c r="AM5691">
        <v>97.711601331662294</v>
      </c>
      <c r="AN5691">
        <v>1.00000001495574</v>
      </c>
    </row>
    <row r="5692" spans="1:40" x14ac:dyDescent="0.25">
      <c r="A5692" t="str">
        <f>"20190303154254450"</f>
        <v>20190303154254450</v>
      </c>
      <c r="B5692" t="str">
        <f>"1551598974446301"</f>
        <v>1551598974446301</v>
      </c>
      <c r="C5692" t="s">
        <v>40</v>
      </c>
      <c r="D5692">
        <v>5.223948</v>
      </c>
      <c r="E5692">
        <v>0.45190010000000003</v>
      </c>
      <c r="F5692" t="s">
        <v>57</v>
      </c>
      <c r="G5692">
        <v>-419.59320000000002</v>
      </c>
      <c r="H5692" s="1">
        <v>-8.4697829999999999E-6</v>
      </c>
      <c r="I5692">
        <v>136.3013</v>
      </c>
      <c r="J5692">
        <v>-405.02949999999998</v>
      </c>
      <c r="K5692">
        <v>1.1256459999999999</v>
      </c>
      <c r="L5692">
        <v>141.4631</v>
      </c>
      <c r="M5692">
        <v>-0.9971622</v>
      </c>
      <c r="N5692">
        <v>-1.432978E-2</v>
      </c>
      <c r="O5692">
        <v>-7.3906159999999999E-2</v>
      </c>
      <c r="P5692">
        <v>-0.9744273</v>
      </c>
      <c r="Q5692">
        <v>-7.9353789999999993E-2</v>
      </c>
      <c r="R5692">
        <v>-0.210225</v>
      </c>
      <c r="S5692">
        <v>-2.849701</v>
      </c>
      <c r="T5692">
        <v>-0.2162666</v>
      </c>
      <c r="U5692">
        <v>-0.99658199999999997</v>
      </c>
      <c r="V5692">
        <v>-0.1368962</v>
      </c>
      <c r="W5692">
        <v>-6.6718020000000003E-2</v>
      </c>
      <c r="X5692">
        <v>0.98833599999999999</v>
      </c>
      <c r="Y5692">
        <v>-0.25876399999999999</v>
      </c>
      <c r="Z5692">
        <v>-7.0460760000000001E-3</v>
      </c>
      <c r="AA5692">
        <v>0.96591490000000002</v>
      </c>
      <c r="AB5692">
        <v>28</v>
      </c>
      <c r="AC5692">
        <v>-14.563700000000001</v>
      </c>
      <c r="AD5692">
        <v>-1.125654469783</v>
      </c>
      <c r="AE5692">
        <v>-5.1618000000000004</v>
      </c>
      <c r="AF5692">
        <v>-4.0497296965590204</v>
      </c>
      <c r="AG5692">
        <v>-1.125654469783</v>
      </c>
      <c r="AH5692">
        <v>14.8267010217604</v>
      </c>
      <c r="AI5692">
        <v>94.188748198231494</v>
      </c>
      <c r="AJ5692">
        <v>105.276999415239</v>
      </c>
      <c r="AK5692">
        <v>15.4109854256373</v>
      </c>
      <c r="AL5692">
        <v>93.825502791297794</v>
      </c>
      <c r="AM5692">
        <v>97.885964993152001</v>
      </c>
      <c r="AN5692">
        <v>0.99999995633157901</v>
      </c>
    </row>
    <row r="5693" spans="1:40" x14ac:dyDescent="0.25">
      <c r="A5693" t="str">
        <f>"20190303154254472"</f>
        <v>20190303154254472</v>
      </c>
      <c r="B5693" t="str">
        <f>"1551598974465824"</f>
        <v>1551598974465824</v>
      </c>
      <c r="C5693" t="s">
        <v>40</v>
      </c>
      <c r="D5693">
        <v>5.2048370000000004</v>
      </c>
      <c r="E5693">
        <v>0.45293470000000002</v>
      </c>
      <c r="F5693" t="s">
        <v>57</v>
      </c>
      <c r="G5693">
        <v>-419.26650000000001</v>
      </c>
      <c r="H5693" s="1">
        <v>-8.5389220000000007E-6</v>
      </c>
      <c r="I5693">
        <v>136.42449999999999</v>
      </c>
      <c r="J5693">
        <v>-405.30369999999999</v>
      </c>
      <c r="K5693">
        <v>1.1258269999999999</v>
      </c>
      <c r="L5693">
        <v>141.4358</v>
      </c>
      <c r="M5693">
        <v>-0.99666080000000001</v>
      </c>
      <c r="N5693">
        <v>-1.434823E-2</v>
      </c>
      <c r="O5693">
        <v>-8.0383319999999994E-2</v>
      </c>
      <c r="P5693">
        <v>-0.97257039999999995</v>
      </c>
      <c r="Q5693">
        <v>-7.85468E-2</v>
      </c>
      <c r="R5693">
        <v>-0.21894620000000001</v>
      </c>
      <c r="S5693">
        <v>-2.8433229999999998</v>
      </c>
      <c r="T5693">
        <v>-0.22480800000000001</v>
      </c>
      <c r="U5693">
        <v>-1.0062709999999999</v>
      </c>
      <c r="V5693">
        <v>-0.13930229999999999</v>
      </c>
      <c r="W5693">
        <v>-6.5981310000000001E-2</v>
      </c>
      <c r="X5693">
        <v>0.98804930000000002</v>
      </c>
      <c r="Y5693">
        <v>-0.25606459999999998</v>
      </c>
      <c r="Z5693">
        <v>-6.6946469999999998E-3</v>
      </c>
      <c r="AA5693">
        <v>0.96663650000000001</v>
      </c>
      <c r="AB5693">
        <v>28</v>
      </c>
      <c r="AC5693">
        <v>-13.9628</v>
      </c>
      <c r="AD5693">
        <v>-1.1258355389219901</v>
      </c>
      <c r="AE5693">
        <v>-5.0113000000000003</v>
      </c>
      <c r="AF5693">
        <v>-3.8504121275431098</v>
      </c>
      <c r="AG5693">
        <v>-1.1258355389219901</v>
      </c>
      <c r="AH5693">
        <v>14.238467621237399</v>
      </c>
      <c r="AI5693">
        <v>94.364828117752097</v>
      </c>
      <c r="AJ5693">
        <v>105.132173309743</v>
      </c>
      <c r="AK5693">
        <v>14.792807016035001</v>
      </c>
      <c r="AL5693">
        <v>93.783198872730097</v>
      </c>
      <c r="AM5693">
        <v>98.025077697501104</v>
      </c>
      <c r="AN5693">
        <v>1.0000000416425401</v>
      </c>
    </row>
    <row r="5694" spans="1:40" x14ac:dyDescent="0.25">
      <c r="A5694" t="str">
        <f>"20190303154254496"</f>
        <v>20190303154254496</v>
      </c>
      <c r="B5694" t="str">
        <f>"1551598974485340"</f>
        <v>1551598974485340</v>
      </c>
      <c r="C5694" t="s">
        <v>40</v>
      </c>
      <c r="D5694">
        <v>5.2543189999999997</v>
      </c>
      <c r="E5694">
        <v>0.45369140000000002</v>
      </c>
      <c r="F5694" t="s">
        <v>57</v>
      </c>
      <c r="G5694">
        <v>-419.36279999999999</v>
      </c>
      <c r="H5694" s="1">
        <v>-8.5079560000000002E-6</v>
      </c>
      <c r="I5694">
        <v>136.3622</v>
      </c>
      <c r="J5694">
        <v>-405.5831</v>
      </c>
      <c r="K5694">
        <v>1.126031</v>
      </c>
      <c r="L5694">
        <v>141.4059</v>
      </c>
      <c r="M5694">
        <v>-0.99608070000000004</v>
      </c>
      <c r="N5694">
        <v>-1.4370300000000001E-2</v>
      </c>
      <c r="O5694">
        <v>-8.7274190000000001E-2</v>
      </c>
      <c r="P5694">
        <v>-0.9705222</v>
      </c>
      <c r="Q5694">
        <v>-7.7449899999999905E-2</v>
      </c>
      <c r="R5694">
        <v>-0.22822880000000001</v>
      </c>
      <c r="S5694">
        <v>-2.8358460000000001</v>
      </c>
      <c r="T5694">
        <v>-0.2270914</v>
      </c>
      <c r="U5694">
        <v>-1.0233920000000001</v>
      </c>
      <c r="V5694">
        <v>-0.14187949999999999</v>
      </c>
      <c r="W5694">
        <v>-6.4965410000000001E-2</v>
      </c>
      <c r="X5694">
        <v>0.98774980000000001</v>
      </c>
      <c r="Y5694">
        <v>-0.25535659999999999</v>
      </c>
      <c r="Z5694">
        <v>-6.2786810000000004E-3</v>
      </c>
      <c r="AA5694">
        <v>0.96682659999999998</v>
      </c>
      <c r="AB5694">
        <v>28</v>
      </c>
      <c r="AC5694">
        <v>-13.779699999999901</v>
      </c>
      <c r="AD5694">
        <v>-1.1260395079559999</v>
      </c>
      <c r="AE5694">
        <v>-5.0437000000000003</v>
      </c>
      <c r="AF5694">
        <v>-3.7993411390011902</v>
      </c>
      <c r="AG5694">
        <v>-1.1260395079559999</v>
      </c>
      <c r="AH5694">
        <v>14.0844007477021</v>
      </c>
      <c r="AI5694">
        <v>94.413922102857001</v>
      </c>
      <c r="AJ5694">
        <v>105.09650435871799</v>
      </c>
      <c r="AK5694">
        <v>14.631244051202801</v>
      </c>
      <c r="AL5694">
        <v>93.724867150080598</v>
      </c>
      <c r="AM5694">
        <v>98.174004764383795</v>
      </c>
      <c r="AN5694">
        <v>0.99999998220837805</v>
      </c>
    </row>
    <row r="5695" spans="1:40" x14ac:dyDescent="0.25">
      <c r="A5695" t="str">
        <f>"20190303154254517"</f>
        <v>20190303154254517</v>
      </c>
      <c r="B5695" t="str">
        <f>"1551598974505836"</f>
        <v>1551598974505836</v>
      </c>
      <c r="C5695" t="s">
        <v>40</v>
      </c>
      <c r="D5695">
        <v>5.2336140000000002</v>
      </c>
      <c r="E5695">
        <v>0.4544859</v>
      </c>
      <c r="F5695" t="s">
        <v>57</v>
      </c>
      <c r="G5695">
        <v>-419.32749999999999</v>
      </c>
      <c r="H5695" s="1">
        <v>-8.4962479999999997E-6</v>
      </c>
      <c r="I5695">
        <v>136.32839999999999</v>
      </c>
      <c r="J5695">
        <v>-405.84390000000002</v>
      </c>
      <c r="K5695">
        <v>1.1262490000000001</v>
      </c>
      <c r="L5695">
        <v>141.37569999999999</v>
      </c>
      <c r="M5695">
        <v>-0.99546400000000002</v>
      </c>
      <c r="N5695">
        <v>-1.4395099999999999E-2</v>
      </c>
      <c r="O5695">
        <v>-9.4043890000000005E-2</v>
      </c>
      <c r="P5695">
        <v>-0.9686053</v>
      </c>
      <c r="Q5695">
        <v>-7.7215640000000002E-2</v>
      </c>
      <c r="R5695">
        <v>-0.23630809999999999</v>
      </c>
      <c r="S5695">
        <v>-2.8270569999999999</v>
      </c>
      <c r="T5695">
        <v>-0.23161280000000001</v>
      </c>
      <c r="U5695">
        <v>-1.044373</v>
      </c>
      <c r="V5695">
        <v>-0.14336079999999901</v>
      </c>
      <c r="W5695">
        <v>-6.4803150000000004E-2</v>
      </c>
      <c r="X5695">
        <v>0.98754660000000005</v>
      </c>
      <c r="Y5695">
        <v>-0.25605850000000002</v>
      </c>
      <c r="Z5695">
        <v>-5.9520700000000003E-3</v>
      </c>
      <c r="AA5695">
        <v>0.96664300000000003</v>
      </c>
      <c r="AB5695">
        <v>28</v>
      </c>
      <c r="AC5695">
        <v>-13.4835999999999</v>
      </c>
      <c r="AD5695">
        <v>-1.1262574962479901</v>
      </c>
      <c r="AE5695">
        <v>-5.0472999999999999</v>
      </c>
      <c r="AF5695">
        <v>-3.7338950370402699</v>
      </c>
      <c r="AG5695">
        <v>-1.1262574962479901</v>
      </c>
      <c r="AH5695">
        <v>13.814011741744499</v>
      </c>
      <c r="AI5695">
        <v>94.500222409829504</v>
      </c>
      <c r="AJ5695">
        <v>105.12546973902801</v>
      </c>
      <c r="AK5695">
        <v>14.3540011319682</v>
      </c>
      <c r="AL5695">
        <v>93.715550537660505</v>
      </c>
      <c r="AM5695">
        <v>98.259850573110498</v>
      </c>
      <c r="AN5695">
        <v>1.0000000271990599</v>
      </c>
    </row>
    <row r="5696" spans="1:40" x14ac:dyDescent="0.25">
      <c r="A5696" t="str">
        <f>"20190303154254539"</f>
        <v>20190303154254539</v>
      </c>
      <c r="B5696" t="str">
        <f>"1551598974536094"</f>
        <v>1551598974536094</v>
      </c>
      <c r="C5696" t="s">
        <v>40</v>
      </c>
      <c r="D5696">
        <v>5.237787</v>
      </c>
      <c r="E5696">
        <v>0.4555979</v>
      </c>
      <c r="F5696" t="s">
        <v>57</v>
      </c>
      <c r="G5696">
        <v>-419.2704</v>
      </c>
      <c r="H5696" s="1">
        <v>-8.4964170000000003E-6</v>
      </c>
      <c r="I5696">
        <v>136.32069999999999</v>
      </c>
      <c r="J5696">
        <v>-406.11</v>
      </c>
      <c r="K5696">
        <v>1.1264879999999999</v>
      </c>
      <c r="L5696">
        <v>141.34270000000001</v>
      </c>
      <c r="M5696">
        <v>-0.99475029999999998</v>
      </c>
      <c r="N5696">
        <v>-1.442499E-2</v>
      </c>
      <c r="O5696">
        <v>-0.1013105</v>
      </c>
      <c r="P5696">
        <v>-0.96639770000000003</v>
      </c>
      <c r="Q5696">
        <v>-7.7849429999999997E-2</v>
      </c>
      <c r="R5696">
        <v>-0.24497940000000001</v>
      </c>
      <c r="S5696">
        <v>-2.8194270000000001</v>
      </c>
      <c r="T5696">
        <v>-0.2365032</v>
      </c>
      <c r="U5696">
        <v>-1.0615079999999999</v>
      </c>
      <c r="V5696">
        <v>-0.14495669999999999</v>
      </c>
      <c r="W5696">
        <v>-6.5519389999999997E-2</v>
      </c>
      <c r="X5696">
        <v>0.98726630000000004</v>
      </c>
      <c r="Y5696">
        <v>-0.25499860000000002</v>
      </c>
      <c r="Z5696">
        <v>-5.4923159999999997E-3</v>
      </c>
      <c r="AA5696">
        <v>0.96692579999999995</v>
      </c>
      <c r="AB5696">
        <v>28</v>
      </c>
      <c r="AC5696">
        <v>-13.1603999999999</v>
      </c>
      <c r="AD5696">
        <v>-1.1264964964169999</v>
      </c>
      <c r="AE5696">
        <v>-5.0220000000000198</v>
      </c>
      <c r="AF5696">
        <v>-3.6394537784814101</v>
      </c>
      <c r="AG5696">
        <v>-1.1264964964169999</v>
      </c>
      <c r="AH5696">
        <v>13.5150709070844</v>
      </c>
      <c r="AI5696">
        <v>94.601475105549298</v>
      </c>
      <c r="AJ5696">
        <v>105.071574684756</v>
      </c>
      <c r="AK5696">
        <v>14.0417862035306</v>
      </c>
      <c r="AL5696">
        <v>93.756675602792399</v>
      </c>
      <c r="AM5696">
        <v>98.352847479945297</v>
      </c>
      <c r="AN5696">
        <v>0.99999999122827599</v>
      </c>
    </row>
    <row r="5697" spans="1:40" x14ac:dyDescent="0.25">
      <c r="A5697" t="str">
        <f>"20190303154254561"</f>
        <v>20190303154254561</v>
      </c>
      <c r="B5697" t="str">
        <f>"1551598974555612"</f>
        <v>1551598974555612</v>
      </c>
      <c r="C5697" t="s">
        <v>40</v>
      </c>
      <c r="D5697">
        <v>5.299417</v>
      </c>
      <c r="E5697">
        <v>0.45638830000000002</v>
      </c>
      <c r="F5697" t="s">
        <v>57</v>
      </c>
      <c r="G5697">
        <v>-419.11470000000003</v>
      </c>
      <c r="H5697" s="1">
        <v>-8.520309E-6</v>
      </c>
      <c r="I5697">
        <v>136.35720000000001</v>
      </c>
      <c r="J5697">
        <v>-406.38389999999998</v>
      </c>
      <c r="K5697">
        <v>1.126722</v>
      </c>
      <c r="L5697">
        <v>141.30619999999999</v>
      </c>
      <c r="M5697">
        <v>-0.99392190000000002</v>
      </c>
      <c r="N5697">
        <v>-1.445898E-2</v>
      </c>
      <c r="O5697">
        <v>-0.1091333</v>
      </c>
      <c r="P5697">
        <v>-0.96397600000000006</v>
      </c>
      <c r="Q5697">
        <v>-8.0056760000000005E-2</v>
      </c>
      <c r="R5697">
        <v>-0.25365520000000003</v>
      </c>
      <c r="S5697">
        <v>-2.811493</v>
      </c>
      <c r="T5697">
        <v>-0.24353720000000001</v>
      </c>
      <c r="U5697">
        <v>-1.07782</v>
      </c>
      <c r="V5697">
        <v>-0.14601140000000001</v>
      </c>
      <c r="W5697">
        <v>-6.7800920000000001E-2</v>
      </c>
      <c r="X5697">
        <v>0.98695679999999997</v>
      </c>
      <c r="Y5697">
        <v>-0.25317899999999999</v>
      </c>
      <c r="Z5697">
        <v>-4.9461499999999999E-3</v>
      </c>
      <c r="AA5697">
        <v>0.96740680000000001</v>
      </c>
      <c r="AB5697">
        <v>27</v>
      </c>
      <c r="AC5697">
        <v>-12.7308</v>
      </c>
      <c r="AD5697">
        <v>-1.1267305203089999</v>
      </c>
      <c r="AE5697">
        <v>-4.9489999999999803</v>
      </c>
      <c r="AF5697">
        <v>-3.5060767398011401</v>
      </c>
      <c r="AG5697">
        <v>-1.1267305203089999</v>
      </c>
      <c r="AH5697">
        <v>13.1057214655339</v>
      </c>
      <c r="AI5697">
        <v>94.747623389873795</v>
      </c>
      <c r="AJ5697">
        <v>104.97719316144099</v>
      </c>
      <c r="AK5697">
        <v>13.6133034529804</v>
      </c>
      <c r="AL5697">
        <v>93.887689010256594</v>
      </c>
      <c r="AM5697">
        <v>98.415356223157303</v>
      </c>
      <c r="AN5697">
        <v>1.00000000937452</v>
      </c>
    </row>
    <row r="5698" spans="1:40" x14ac:dyDescent="0.25">
      <c r="A5698" t="str">
        <f>"20190303154254584"</f>
        <v>20190303154254584</v>
      </c>
      <c r="B5698" t="str">
        <f>"1551598974576109"</f>
        <v>1551598974576109</v>
      </c>
      <c r="C5698" t="s">
        <v>40</v>
      </c>
      <c r="D5698">
        <v>5.2618780000000003</v>
      </c>
      <c r="E5698">
        <v>0.45721990000000001</v>
      </c>
      <c r="F5698" t="s">
        <v>57</v>
      </c>
      <c r="G5698">
        <v>-418.91739999999999</v>
      </c>
      <c r="H5698" s="1">
        <v>-8.5494210000000006E-6</v>
      </c>
      <c r="I5698">
        <v>136.40049999999999</v>
      </c>
      <c r="J5698">
        <v>-406.65440000000001</v>
      </c>
      <c r="K5698">
        <v>1.1269450000000001</v>
      </c>
      <c r="L5698">
        <v>141.26769999999999</v>
      </c>
      <c r="M5698">
        <v>-0.99299999999999999</v>
      </c>
      <c r="N5698">
        <v>-1.44929E-2</v>
      </c>
      <c r="O5698">
        <v>-0.1172224</v>
      </c>
      <c r="P5698">
        <v>-0.96141929999999998</v>
      </c>
      <c r="Q5698">
        <v>-8.2689949999999998E-2</v>
      </c>
      <c r="R5698">
        <v>-0.26236479999999901</v>
      </c>
      <c r="S5698">
        <v>-2.8025509999999998</v>
      </c>
      <c r="T5698">
        <v>-0.25194260000000002</v>
      </c>
      <c r="U5698">
        <v>-1.0969390000000001</v>
      </c>
      <c r="V5698">
        <v>-0.14685109999999901</v>
      </c>
      <c r="W5698">
        <v>-7.0504259999999999E-2</v>
      </c>
      <c r="X5698">
        <v>0.98664269999999998</v>
      </c>
      <c r="Y5698">
        <v>-0.25205080000000002</v>
      </c>
      <c r="Z5698">
        <v>-4.3788439999999998E-3</v>
      </c>
      <c r="AA5698">
        <v>0.96770409999999996</v>
      </c>
      <c r="AB5698">
        <v>27</v>
      </c>
      <c r="AC5698">
        <v>-12.2629999999999</v>
      </c>
      <c r="AD5698">
        <v>-1.1269535494209999</v>
      </c>
      <c r="AE5698">
        <v>-4.8671999999999898</v>
      </c>
      <c r="AF5698">
        <v>-3.3713900181616898</v>
      </c>
      <c r="AG5698">
        <v>-1.1269535494209999</v>
      </c>
      <c r="AH5698">
        <v>12.656698462670899</v>
      </c>
      <c r="AI5698">
        <v>94.917615224342299</v>
      </c>
      <c r="AJ5698">
        <v>104.915653465559</v>
      </c>
      <c r="AK5698">
        <v>13.146418178807799</v>
      </c>
      <c r="AL5698">
        <v>94.042950924020303</v>
      </c>
      <c r="AM5698">
        <v>98.465708563730502</v>
      </c>
      <c r="AN5698">
        <v>0.99999995685632204</v>
      </c>
    </row>
    <row r="5699" spans="1:40" x14ac:dyDescent="0.25">
      <c r="A5699" t="str">
        <f>"20190303154254607"</f>
        <v>20190303154254607</v>
      </c>
      <c r="B5699" t="str">
        <f>"1551598974595629"</f>
        <v>1551598974595629</v>
      </c>
      <c r="C5699" t="s">
        <v>40</v>
      </c>
      <c r="D5699">
        <v>5.3055750000000002</v>
      </c>
      <c r="E5699">
        <v>0.45796779999999998</v>
      </c>
      <c r="F5699" t="s">
        <v>57</v>
      </c>
      <c r="G5699">
        <v>-418.6481</v>
      </c>
      <c r="H5699" s="1">
        <v>-8.5964930000000006E-6</v>
      </c>
      <c r="I5699">
        <v>136.4778</v>
      </c>
      <c r="J5699">
        <v>-406.92599999999999</v>
      </c>
      <c r="K5699">
        <v>1.127181</v>
      </c>
      <c r="L5699">
        <v>141.22640000000001</v>
      </c>
      <c r="M5699">
        <v>-0.99195619999999995</v>
      </c>
      <c r="N5699">
        <v>-1.4528930000000001E-2</v>
      </c>
      <c r="O5699">
        <v>-0.12574540000000001</v>
      </c>
      <c r="P5699">
        <v>-0.95875200000000005</v>
      </c>
      <c r="Q5699">
        <v>-8.4410620000000006E-2</v>
      </c>
      <c r="R5699">
        <v>-0.27142139999999998</v>
      </c>
      <c r="S5699">
        <v>-2.793396</v>
      </c>
      <c r="T5699">
        <v>-0.26247179999999998</v>
      </c>
      <c r="U5699">
        <v>-1.1156010000000001</v>
      </c>
      <c r="V5699">
        <v>-0.1476343</v>
      </c>
      <c r="W5699">
        <v>-7.2294849999999994E-2</v>
      </c>
      <c r="X5699">
        <v>0.9863963</v>
      </c>
      <c r="Y5699">
        <v>-0.25038179999999999</v>
      </c>
      <c r="Z5699">
        <v>-3.7022600000000002E-3</v>
      </c>
      <c r="AA5699">
        <v>0.96814009999999995</v>
      </c>
      <c r="AB5699">
        <v>27</v>
      </c>
      <c r="AC5699">
        <v>-11.722099999999999</v>
      </c>
      <c r="AD5699">
        <v>-1.1271895964930001</v>
      </c>
      <c r="AE5699">
        <v>-4.7485999999999997</v>
      </c>
      <c r="AF5699">
        <v>-3.21123729410359</v>
      </c>
      <c r="AG5699">
        <v>-1.1271895964930001</v>
      </c>
      <c r="AH5699">
        <v>12.1298652789585</v>
      </c>
      <c r="AI5699">
        <v>95.133222332638496</v>
      </c>
      <c r="AJ5699">
        <v>104.82820416573</v>
      </c>
      <c r="AK5699">
        <v>12.5982630958068</v>
      </c>
      <c r="AL5699">
        <v>94.145806330022396</v>
      </c>
      <c r="AM5699">
        <v>98.512293949039403</v>
      </c>
      <c r="AN5699">
        <v>1.00000004626335</v>
      </c>
    </row>
    <row r="5700" spans="1:40" x14ac:dyDescent="0.25">
      <c r="A5700" t="str">
        <f>"20190303154254628"</f>
        <v>20190303154254628</v>
      </c>
      <c r="B5700" t="str">
        <f>"1551598974625885"</f>
        <v>1551598974625885</v>
      </c>
      <c r="C5700" t="s">
        <v>40</v>
      </c>
      <c r="D5700">
        <v>5.3069419999999896</v>
      </c>
      <c r="E5700">
        <v>0.45869720000000003</v>
      </c>
      <c r="F5700" t="s">
        <v>57</v>
      </c>
      <c r="G5700">
        <v>-418.61040000000003</v>
      </c>
      <c r="H5700" s="1">
        <v>-8.5905789999999996E-6</v>
      </c>
      <c r="I5700">
        <v>136.4579</v>
      </c>
      <c r="J5700">
        <v>-407.18090000000001</v>
      </c>
      <c r="K5700">
        <v>1.1274219999999999</v>
      </c>
      <c r="L5700">
        <v>141.18510000000001</v>
      </c>
      <c r="M5700">
        <v>-0.99085730000000005</v>
      </c>
      <c r="N5700">
        <v>-1.4567510000000001E-2</v>
      </c>
      <c r="O5700">
        <v>-0.13412550000000001</v>
      </c>
      <c r="P5700">
        <v>-0.95610839999999997</v>
      </c>
      <c r="Q5700">
        <v>-8.5201199999999894E-2</v>
      </c>
      <c r="R5700">
        <v>-0.28035300000000002</v>
      </c>
      <c r="S5700">
        <v>-2.7837830000000001</v>
      </c>
      <c r="T5700">
        <v>-0.26855089999999998</v>
      </c>
      <c r="U5700">
        <v>-1.136093</v>
      </c>
      <c r="V5700">
        <v>-0.14845039999999901</v>
      </c>
      <c r="W5700">
        <v>-7.3152529999999993E-2</v>
      </c>
      <c r="X5700">
        <v>0.98621049999999999</v>
      </c>
      <c r="Y5700">
        <v>-0.2494721</v>
      </c>
      <c r="Z5700">
        <v>-3.0241980000000001E-3</v>
      </c>
      <c r="AA5700">
        <v>0.96837720000000005</v>
      </c>
      <c r="AB5700">
        <v>27</v>
      </c>
      <c r="AC5700">
        <v>-11.429500000000001</v>
      </c>
      <c r="AD5700">
        <v>-1.1274305905790001</v>
      </c>
      <c r="AE5700">
        <v>-4.7272000000000096</v>
      </c>
      <c r="AF5700">
        <v>-3.1253591375965901</v>
      </c>
      <c r="AG5700">
        <v>-1.1274305905790001</v>
      </c>
      <c r="AH5700">
        <v>11.861751890787801</v>
      </c>
      <c r="AI5700">
        <v>95.251343534306898</v>
      </c>
      <c r="AJ5700">
        <v>104.76093323679601</v>
      </c>
      <c r="AK5700">
        <v>12.318284271526601</v>
      </c>
      <c r="AL5700">
        <v>94.195078508833006</v>
      </c>
      <c r="AM5700">
        <v>98.560242185951395</v>
      </c>
      <c r="AN5700">
        <v>0.99999998210790497</v>
      </c>
    </row>
    <row r="5701" spans="1:40" x14ac:dyDescent="0.25">
      <c r="A5701" t="str">
        <f>"20190303154254651"</f>
        <v>20190303154254651</v>
      </c>
      <c r="B5701" t="str">
        <f>"1551598974645404"</f>
        <v>1551598974645404</v>
      </c>
      <c r="C5701" t="s">
        <v>40</v>
      </c>
      <c r="D5701">
        <v>5.3468010000000001</v>
      </c>
      <c r="E5701">
        <v>0.45921729999999999</v>
      </c>
      <c r="F5701" t="s">
        <v>57</v>
      </c>
      <c r="G5701">
        <v>-418.68849999999998</v>
      </c>
      <c r="H5701" s="1">
        <v>-8.5576269999999997E-6</v>
      </c>
      <c r="I5701">
        <v>136.38810000000001</v>
      </c>
      <c r="J5701">
        <v>-407.44970000000001</v>
      </c>
      <c r="K5701">
        <v>1.1276809999999999</v>
      </c>
      <c r="L5701">
        <v>141.1387</v>
      </c>
      <c r="M5701">
        <v>-0.98956140000000004</v>
      </c>
      <c r="N5701">
        <v>-1.4613569999999999E-2</v>
      </c>
      <c r="O5701">
        <v>-0.14336949999999901</v>
      </c>
      <c r="P5701">
        <v>-0.95317499999999999</v>
      </c>
      <c r="Q5701">
        <v>-8.5518259999999999E-2</v>
      </c>
      <c r="R5701">
        <v>-0.29007660000000002</v>
      </c>
      <c r="S5701">
        <v>-2.774384</v>
      </c>
      <c r="T5701">
        <v>-0.27181349999999999</v>
      </c>
      <c r="U5701">
        <v>-1.156509</v>
      </c>
      <c r="V5701">
        <v>-0.14923839999999999</v>
      </c>
      <c r="W5701">
        <v>-7.3539759999999996E-2</v>
      </c>
      <c r="X5701">
        <v>0.98606280000000002</v>
      </c>
      <c r="Y5701">
        <v>-0.24768499999999999</v>
      </c>
      <c r="Z5701">
        <v>-2.2127760000000001E-3</v>
      </c>
      <c r="AA5701">
        <v>0.96883810000000004</v>
      </c>
      <c r="AB5701">
        <v>27</v>
      </c>
      <c r="AC5701">
        <v>-11.2387999999999</v>
      </c>
      <c r="AD5701">
        <v>-1.1276895576270001</v>
      </c>
      <c r="AE5701">
        <v>-4.7505999999999897</v>
      </c>
      <c r="AF5701">
        <v>-3.0638682530724499</v>
      </c>
      <c r="AG5701">
        <v>-1.1276895576270001</v>
      </c>
      <c r="AH5701">
        <v>11.7038621660571</v>
      </c>
      <c r="AI5701">
        <v>95.325207707243806</v>
      </c>
      <c r="AJ5701">
        <v>104.669846473071</v>
      </c>
      <c r="AK5701">
        <v>12.150693890170601</v>
      </c>
      <c r="AL5701">
        <v>94.217324910153707</v>
      </c>
      <c r="AM5701">
        <v>98.606272585709505</v>
      </c>
      <c r="AN5701">
        <v>1.00000002093962</v>
      </c>
    </row>
    <row r="5702" spans="1:40" x14ac:dyDescent="0.25">
      <c r="A5702" t="str">
        <f>"20190303154254673"</f>
        <v>20190303154254673</v>
      </c>
      <c r="B5702" t="str">
        <f>"1551598974665903"</f>
        <v>1551598974665903</v>
      </c>
      <c r="C5702" t="s">
        <v>40</v>
      </c>
      <c r="D5702">
        <v>5.2919559999999999</v>
      </c>
      <c r="E5702">
        <v>0.43013099999999999</v>
      </c>
      <c r="F5702" t="s">
        <v>57</v>
      </c>
      <c r="G5702">
        <v>-418.79250000000002</v>
      </c>
      <c r="H5702" s="1">
        <v>-8.5130369999999992E-6</v>
      </c>
      <c r="I5702">
        <v>136.29339999999999</v>
      </c>
      <c r="J5702">
        <v>-407.70920000000001</v>
      </c>
      <c r="K5702">
        <v>1.1279520000000001</v>
      </c>
      <c r="L5702">
        <v>141.09100000000001</v>
      </c>
      <c r="M5702">
        <v>-0.98816499999999996</v>
      </c>
      <c r="N5702">
        <v>-1.466196E-2</v>
      </c>
      <c r="O5702">
        <v>-0.15269340000000001</v>
      </c>
      <c r="P5702">
        <v>-0.95011330000000005</v>
      </c>
      <c r="Q5702">
        <v>-8.6032490000000003E-2</v>
      </c>
      <c r="R5702">
        <v>-0.29980559999999901</v>
      </c>
      <c r="S5702">
        <v>-2.763458</v>
      </c>
      <c r="T5702">
        <v>-0.27473989999999998</v>
      </c>
      <c r="U5702">
        <v>-1.18045</v>
      </c>
      <c r="V5702">
        <v>-0.1499701</v>
      </c>
      <c r="W5702">
        <v>-7.4121610000000004E-2</v>
      </c>
      <c r="X5702">
        <v>0.98590820000000001</v>
      </c>
      <c r="Y5702">
        <v>-0.24704670000000001</v>
      </c>
      <c r="Z5702">
        <v>-1.4391579999999901E-3</v>
      </c>
      <c r="AA5702">
        <v>0.96900249999999999</v>
      </c>
      <c r="AB5702">
        <v>27</v>
      </c>
      <c r="AC5702">
        <v>-11.083299999999999</v>
      </c>
      <c r="AD5702">
        <v>-1.1279605130370001</v>
      </c>
      <c r="AE5702">
        <v>-4.7976000000000099</v>
      </c>
      <c r="AF5702">
        <v>-3.0224364094905001</v>
      </c>
      <c r="AG5702">
        <v>-1.1279605130370001</v>
      </c>
      <c r="AH5702">
        <v>11.5848912078119</v>
      </c>
      <c r="AI5702">
        <v>95.382022814056697</v>
      </c>
      <c r="AJ5702">
        <v>104.62222091744199</v>
      </c>
      <c r="AK5702">
        <v>12.0256858875169</v>
      </c>
      <c r="AL5702">
        <v>94.250753734034703</v>
      </c>
      <c r="AM5702">
        <v>98.649167381301396</v>
      </c>
      <c r="AN5702">
        <v>1.00000001139512</v>
      </c>
    </row>
    <row r="5703" spans="1:40" x14ac:dyDescent="0.25">
      <c r="A5703" t="str">
        <f>"20190303154254695"</f>
        <v>20190303154254695</v>
      </c>
      <c r="B5703" t="str">
        <f>"1551598974685421"</f>
        <v>1551598974685421</v>
      </c>
      <c r="C5703" t="s">
        <v>40</v>
      </c>
      <c r="D5703">
        <v>5.2068940000000001</v>
      </c>
      <c r="E5703">
        <v>0.41760389999999997</v>
      </c>
      <c r="F5703" t="s">
        <v>57</v>
      </c>
      <c r="G5703">
        <v>-418.78550000000001</v>
      </c>
      <c r="H5703" s="1">
        <v>-8.0613599999999993E-6</v>
      </c>
      <c r="I5703">
        <v>135.18350000000001</v>
      </c>
      <c r="J5703">
        <v>-407.97039999999998</v>
      </c>
      <c r="K5703">
        <v>1.1282239999999999</v>
      </c>
      <c r="L5703">
        <v>141.0401</v>
      </c>
      <c r="M5703">
        <v>-0.98660479999999995</v>
      </c>
      <c r="N5703">
        <v>-1.4712589999999999E-2</v>
      </c>
      <c r="O5703">
        <v>-0.16246479999999999</v>
      </c>
      <c r="P5703">
        <v>-0.94685739999999996</v>
      </c>
      <c r="Q5703">
        <v>-8.4849800000000003E-2</v>
      </c>
      <c r="R5703">
        <v>-0.31026189999999998</v>
      </c>
      <c r="S5703">
        <v>-2.6815190000000002</v>
      </c>
      <c r="T5703">
        <v>-0.27307429999999999</v>
      </c>
      <c r="U5703">
        <v>-1.430191</v>
      </c>
      <c r="V5703">
        <v>-0.151036</v>
      </c>
      <c r="W5703">
        <v>-7.3009699999999997E-2</v>
      </c>
      <c r="X5703">
        <v>0.9858285</v>
      </c>
      <c r="Y5703">
        <v>-0.31995479999999998</v>
      </c>
      <c r="Z5703">
        <v>-4.745801E-3</v>
      </c>
      <c r="AA5703">
        <v>0.94742090000000001</v>
      </c>
      <c r="AB5703">
        <v>27</v>
      </c>
      <c r="AC5703">
        <v>-10.815099999999999</v>
      </c>
      <c r="AD5703">
        <v>-1.1282320613600001</v>
      </c>
      <c r="AE5703">
        <v>-5.8565999999999798</v>
      </c>
      <c r="AF5703">
        <v>-3.98795257845762</v>
      </c>
      <c r="AG5703">
        <v>-1.1282320613600001</v>
      </c>
      <c r="AH5703">
        <v>11.525985791348599</v>
      </c>
      <c r="AI5703">
        <v>95.285125179564801</v>
      </c>
      <c r="AJ5703">
        <v>109.08544913348901</v>
      </c>
      <c r="AK5703">
        <v>12.248470182625899</v>
      </c>
      <c r="AL5703">
        <v>94.186872682182994</v>
      </c>
      <c r="AM5703">
        <v>98.710394560855505</v>
      </c>
      <c r="AN5703">
        <v>1.0000000605011601</v>
      </c>
    </row>
    <row r="5704" spans="1:40" x14ac:dyDescent="0.25">
      <c r="A5704" t="str">
        <f>"20190303154254718"</f>
        <v>20190303154254718</v>
      </c>
      <c r="B5704" t="str">
        <f>"1551598974705893"</f>
        <v>1551598974705893</v>
      </c>
      <c r="C5704" t="s">
        <v>40</v>
      </c>
      <c r="D5704">
        <v>5.2697609999999999</v>
      </c>
      <c r="E5704">
        <v>0.35125859999999998</v>
      </c>
      <c r="F5704" t="s">
        <v>57</v>
      </c>
      <c r="G5704">
        <v>-419.34370000000001</v>
      </c>
      <c r="H5704" s="1">
        <v>-7.6805970000000008E-6</v>
      </c>
      <c r="I5704">
        <v>134.32820000000001</v>
      </c>
      <c r="J5704">
        <v>-408.22719999999998</v>
      </c>
      <c r="K5704">
        <v>1.128493</v>
      </c>
      <c r="L5704">
        <v>140.98679999999999</v>
      </c>
      <c r="M5704">
        <v>-0.98490290000000003</v>
      </c>
      <c r="N5704">
        <v>-1.4764090000000001E-2</v>
      </c>
      <c r="O5704">
        <v>-0.1724773</v>
      </c>
      <c r="P5704">
        <v>-0.94345679999999998</v>
      </c>
      <c r="Q5704">
        <v>-8.3849999999999994E-2</v>
      </c>
      <c r="R5704">
        <v>-0.3207158</v>
      </c>
      <c r="S5704">
        <v>-2.635345</v>
      </c>
      <c r="T5704">
        <v>-0.26142680000000001</v>
      </c>
      <c r="U5704">
        <v>-1.5552520000000001</v>
      </c>
      <c r="V5704">
        <v>-0.15188309999999999</v>
      </c>
      <c r="W5704">
        <v>-7.2071159999999995E-2</v>
      </c>
      <c r="X5704">
        <v>0.98576739999999996</v>
      </c>
      <c r="Y5704">
        <v>-0.3510202</v>
      </c>
      <c r="Z5704">
        <v>-5.7039409999999997E-3</v>
      </c>
      <c r="AA5704">
        <v>0.93635049999999997</v>
      </c>
      <c r="AB5704">
        <v>27</v>
      </c>
      <c r="AC5704">
        <v>-11.1165</v>
      </c>
      <c r="AD5704">
        <v>-1.1285006805969999</v>
      </c>
      <c r="AE5704">
        <v>-6.6585999999999697</v>
      </c>
      <c r="AF5704">
        <v>-4.6063003762694397</v>
      </c>
      <c r="AG5704">
        <v>-1.1285006805969999</v>
      </c>
      <c r="AH5704">
        <v>12.0073802933455</v>
      </c>
      <c r="AI5704">
        <v>95.014782078543405</v>
      </c>
      <c r="AJ5704">
        <v>110.98793376857699</v>
      </c>
      <c r="AK5704">
        <v>12.9100231778084</v>
      </c>
      <c r="AL5704">
        <v>94.132956311917098</v>
      </c>
      <c r="AM5704">
        <v>98.759026659962601</v>
      </c>
      <c r="AN5704">
        <v>1.00000004753605</v>
      </c>
    </row>
    <row r="5705" spans="1:40" x14ac:dyDescent="0.25">
      <c r="A5705" t="str">
        <f>"20190303154254740"</f>
        <v>20190303154254740</v>
      </c>
      <c r="B5705" t="str">
        <f>"1551598974735685"</f>
        <v>1551598974735685</v>
      </c>
      <c r="C5705" t="s">
        <v>40</v>
      </c>
      <c r="D5705">
        <v>5.2614859999999997</v>
      </c>
      <c r="E5705">
        <v>0.34521760000000001</v>
      </c>
      <c r="F5705" t="s">
        <v>42</v>
      </c>
      <c r="G5705">
        <v>-409.03919999999999</v>
      </c>
      <c r="H5705">
        <v>1.0130889999999999</v>
      </c>
      <c r="I5705">
        <v>140.2953</v>
      </c>
      <c r="J5705">
        <v>-408.4907</v>
      </c>
      <c r="K5705">
        <v>1.1287469999999999</v>
      </c>
      <c r="L5705">
        <v>140.9288</v>
      </c>
      <c r="M5705">
        <v>-0.98297920000000005</v>
      </c>
      <c r="N5705">
        <v>-1.4817510000000001E-2</v>
      </c>
      <c r="O5705">
        <v>-0.18311849999999999</v>
      </c>
      <c r="P5705">
        <v>-0.94004149999999997</v>
      </c>
      <c r="Q5705">
        <v>-8.1370339999999999E-2</v>
      </c>
      <c r="R5705">
        <v>-0.3312119</v>
      </c>
      <c r="S5705">
        <v>-2.4418639999999998</v>
      </c>
      <c r="T5705">
        <v>-0.34705039999999998</v>
      </c>
      <c r="U5705">
        <v>-2.0801090000000002</v>
      </c>
      <c r="V5705">
        <v>-0.15217359999999999</v>
      </c>
      <c r="W5705">
        <v>-6.963316E-2</v>
      </c>
      <c r="X5705">
        <v>0.98589780000000005</v>
      </c>
      <c r="Y5705">
        <v>-0.49565680000000001</v>
      </c>
      <c r="Z5705">
        <v>-1.496886E-2</v>
      </c>
      <c r="AA5705">
        <v>0.86838950000000004</v>
      </c>
      <c r="AB5705">
        <v>27</v>
      </c>
      <c r="AC5705">
        <v>-0.54849999999999</v>
      </c>
      <c r="AD5705">
        <v>-0.115658</v>
      </c>
      <c r="AE5705">
        <v>-0.63349999999999795</v>
      </c>
      <c r="AF5705">
        <v>-0.51256945450428504</v>
      </c>
      <c r="AG5705">
        <v>-0.115658</v>
      </c>
      <c r="AH5705">
        <v>0.64299225819574002</v>
      </c>
      <c r="AI5705">
        <v>98.006299411685703</v>
      </c>
      <c r="AJ5705">
        <v>128.56054631535901</v>
      </c>
      <c r="AK5705">
        <v>0.83038741726647003</v>
      </c>
      <c r="AL5705">
        <v>93.992917313525894</v>
      </c>
      <c r="AM5705">
        <v>98.774376494388306</v>
      </c>
      <c r="AN5705">
        <v>1.00000002677669</v>
      </c>
    </row>
    <row r="5706" spans="1:40" x14ac:dyDescent="0.25">
      <c r="A5706" t="str">
        <f>"20190303154254762"</f>
        <v>20190303154254762</v>
      </c>
      <c r="B5706" t="str">
        <f>"1551598974756178"</f>
        <v>1551598974756178</v>
      </c>
      <c r="C5706" t="s">
        <v>40</v>
      </c>
      <c r="D5706">
        <v>5.2101670000000002</v>
      </c>
      <c r="E5706">
        <v>0.34447850000000002</v>
      </c>
      <c r="F5706" t="s">
        <v>42</v>
      </c>
      <c r="G5706">
        <v>-409.26440000000002</v>
      </c>
      <c r="H5706">
        <v>1.0162639999999901</v>
      </c>
      <c r="I5706">
        <v>140.23589999999999</v>
      </c>
      <c r="J5706">
        <v>-408.74990000000003</v>
      </c>
      <c r="K5706">
        <v>1.128968</v>
      </c>
      <c r="L5706">
        <v>140.86850000000001</v>
      </c>
      <c r="M5706">
        <v>-0.98091050000000002</v>
      </c>
      <c r="N5706">
        <v>-1.4867999999999999E-2</v>
      </c>
      <c r="O5706">
        <v>-0.1938907</v>
      </c>
      <c r="P5706">
        <v>-0.9364112</v>
      </c>
      <c r="Q5706">
        <v>-7.9463619999999999E-2</v>
      </c>
      <c r="R5706">
        <v>-0.34178920000000002</v>
      </c>
      <c r="S5706">
        <v>-2.4028320000000001</v>
      </c>
      <c r="T5706">
        <v>-0.34928569999999998</v>
      </c>
      <c r="U5706">
        <v>-2.1523279999999998</v>
      </c>
      <c r="V5706">
        <v>-0.15244440000000001</v>
      </c>
      <c r="W5706">
        <v>-6.7757120000000004E-2</v>
      </c>
      <c r="X5706">
        <v>0.98598660000000005</v>
      </c>
      <c r="Y5706">
        <v>-0.50764989999999999</v>
      </c>
      <c r="Z5706">
        <v>-1.482344E-2</v>
      </c>
      <c r="AA5706">
        <v>0.86143590000000003</v>
      </c>
      <c r="AB5706">
        <v>27</v>
      </c>
      <c r="AC5706">
        <v>-0.51449999999999796</v>
      </c>
      <c r="AD5706">
        <v>-0.112704</v>
      </c>
      <c r="AE5706">
        <v>-0.63260000000002403</v>
      </c>
      <c r="AF5706">
        <v>-0.51106139326689604</v>
      </c>
      <c r="AG5706">
        <v>-0.112704</v>
      </c>
      <c r="AH5706">
        <v>0.61564174710376196</v>
      </c>
      <c r="AI5706">
        <v>98.017828278739898</v>
      </c>
      <c r="AJ5706">
        <v>129.69701201663699</v>
      </c>
      <c r="AK5706">
        <v>0.80802271012693305</v>
      </c>
      <c r="AL5706">
        <v>93.885173906107696</v>
      </c>
      <c r="AM5706">
        <v>98.788968018449197</v>
      </c>
      <c r="AN5706">
        <v>0.99999994889080601</v>
      </c>
    </row>
    <row r="5707" spans="1:40" x14ac:dyDescent="0.25">
      <c r="A5707" t="str">
        <f>"20190303154254785"</f>
        <v>20190303154254785</v>
      </c>
      <c r="B5707" t="str">
        <f>"1551598974775700"</f>
        <v>1551598974775700</v>
      </c>
      <c r="C5707" t="s">
        <v>40</v>
      </c>
      <c r="D5707">
        <v>5.2186469999999998</v>
      </c>
      <c r="E5707">
        <v>0.34436640000000002</v>
      </c>
      <c r="F5707" t="s">
        <v>42</v>
      </c>
      <c r="G5707">
        <v>-409.49349999999998</v>
      </c>
      <c r="H5707">
        <v>1.0212049999999999</v>
      </c>
      <c r="I5707">
        <v>140.18549999999999</v>
      </c>
      <c r="J5707">
        <v>-409.01260000000002</v>
      </c>
      <c r="K5707">
        <v>1.1291599999999999</v>
      </c>
      <c r="L5707">
        <v>140.80410000000001</v>
      </c>
      <c r="M5707">
        <v>-0.97862859999999996</v>
      </c>
      <c r="N5707">
        <v>-1.4915009999999999E-2</v>
      </c>
      <c r="O5707">
        <v>-0.20509450000000001</v>
      </c>
      <c r="P5707">
        <v>-0.93219830000000004</v>
      </c>
      <c r="Q5707">
        <v>-7.8055959999999994E-2</v>
      </c>
      <c r="R5707">
        <v>-0.35343160000000001</v>
      </c>
      <c r="S5707">
        <v>-2.3771969999999998</v>
      </c>
      <c r="T5707">
        <v>-0.34445330000000002</v>
      </c>
      <c r="U5707">
        <v>-2.1845400000000001</v>
      </c>
      <c r="V5707">
        <v>-0.15342979999999901</v>
      </c>
      <c r="W5707">
        <v>-6.6390019999999994E-2</v>
      </c>
      <c r="X5707">
        <v>0.98592679999999999</v>
      </c>
      <c r="Y5707">
        <v>-0.50886750000000003</v>
      </c>
      <c r="Z5707">
        <v>-1.371755E-2</v>
      </c>
      <c r="AA5707">
        <v>0.86073549999999999</v>
      </c>
      <c r="AB5707">
        <v>27</v>
      </c>
      <c r="AC5707">
        <v>-0.48089999999996202</v>
      </c>
      <c r="AD5707">
        <v>-0.107955</v>
      </c>
      <c r="AE5707">
        <v>-0.61860000000001403</v>
      </c>
      <c r="AF5707">
        <v>-0.49736454501850502</v>
      </c>
      <c r="AG5707">
        <v>-0.107955</v>
      </c>
      <c r="AH5707">
        <v>0.58642817796836599</v>
      </c>
      <c r="AI5707">
        <v>97.991776586995897</v>
      </c>
      <c r="AJ5707">
        <v>130.30211875712399</v>
      </c>
      <c r="AK5707">
        <v>0.77648166789806605</v>
      </c>
      <c r="AL5707">
        <v>93.806667861084804</v>
      </c>
      <c r="AM5707">
        <v>98.845412386028798</v>
      </c>
      <c r="AN5707">
        <v>0.99999999662093997</v>
      </c>
    </row>
    <row r="5708" spans="1:40" x14ac:dyDescent="0.25">
      <c r="A5708" t="str">
        <f>"20190303154254809"</f>
        <v>20190303154254809</v>
      </c>
      <c r="B5708" t="str">
        <f>"1551598974796194"</f>
        <v>1551598974796194</v>
      </c>
      <c r="C5708" t="s">
        <v>40</v>
      </c>
      <c r="D5708">
        <v>5.1425919999999996</v>
      </c>
      <c r="E5708">
        <v>0.345001</v>
      </c>
      <c r="F5708" t="s">
        <v>42</v>
      </c>
      <c r="G5708">
        <v>-409.72269999999997</v>
      </c>
      <c r="H5708">
        <v>1.026241</v>
      </c>
      <c r="I5708">
        <v>140.13480000000001</v>
      </c>
      <c r="J5708">
        <v>-409.28379999999999</v>
      </c>
      <c r="K5708">
        <v>1.1293299999999999</v>
      </c>
      <c r="L5708">
        <v>140.73390000000001</v>
      </c>
      <c r="M5708">
        <v>-0.9760702</v>
      </c>
      <c r="N5708">
        <v>-1.496074E-2</v>
      </c>
      <c r="O5708">
        <v>-0.2169411</v>
      </c>
      <c r="P5708">
        <v>-0.92757869999999998</v>
      </c>
      <c r="Q5708">
        <v>-7.7504210000000004E-2</v>
      </c>
      <c r="R5708">
        <v>-0.36550149999999998</v>
      </c>
      <c r="S5708">
        <v>-2.3498839999999999</v>
      </c>
      <c r="T5708">
        <v>-0.34059</v>
      </c>
      <c r="U5708">
        <v>-2.2150270000000001</v>
      </c>
      <c r="V5708">
        <v>-0.15425079999999999</v>
      </c>
      <c r="W5708">
        <v>-6.587316E-2</v>
      </c>
      <c r="X5708">
        <v>0.98583330000000002</v>
      </c>
      <c r="Y5708">
        <v>-0.50943760000000005</v>
      </c>
      <c r="Z5708">
        <v>-1.255069E-2</v>
      </c>
      <c r="AA5708">
        <v>0.86041610000000002</v>
      </c>
      <c r="AB5708">
        <v>27</v>
      </c>
      <c r="AC5708">
        <v>-0.43889999999998902</v>
      </c>
      <c r="AD5708">
        <v>-0.103089</v>
      </c>
      <c r="AE5708">
        <v>-0.59909999999999197</v>
      </c>
      <c r="AF5708">
        <v>-0.480347593427772</v>
      </c>
      <c r="AG5708">
        <v>-0.103089</v>
      </c>
      <c r="AH5708">
        <v>0.54787262947447601</v>
      </c>
      <c r="AI5708">
        <v>98.052974063163703</v>
      </c>
      <c r="AJ5708">
        <v>131.24268037718201</v>
      </c>
      <c r="AK5708">
        <v>0.73588421002228899</v>
      </c>
      <c r="AL5708">
        <v>93.776989212492197</v>
      </c>
      <c r="AM5708">
        <v>98.892819508619397</v>
      </c>
      <c r="AN5708">
        <v>0.999999938948955</v>
      </c>
    </row>
    <row r="5709" spans="1:40" x14ac:dyDescent="0.25">
      <c r="A5709" t="str">
        <f>"20190303154254831"</f>
        <v>20190303154254831</v>
      </c>
      <c r="B5709" t="str">
        <f>"1551598974825383"</f>
        <v>1551598974825383</v>
      </c>
      <c r="C5709" t="s">
        <v>40</v>
      </c>
      <c r="D5709">
        <v>5.1611960000000003</v>
      </c>
      <c r="E5709">
        <v>0.34648889999999999</v>
      </c>
      <c r="F5709" t="s">
        <v>42</v>
      </c>
      <c r="G5709">
        <v>-409.9538</v>
      </c>
      <c r="H5709">
        <v>1.0329950000000001</v>
      </c>
      <c r="I5709">
        <v>140.08789999999999</v>
      </c>
      <c r="J5709">
        <v>-409.52800000000002</v>
      </c>
      <c r="K5709">
        <v>1.129467</v>
      </c>
      <c r="L5709">
        <v>140.66749999999999</v>
      </c>
      <c r="M5709">
        <v>-0.97358069999999997</v>
      </c>
      <c r="N5709">
        <v>-1.5001840000000001E-2</v>
      </c>
      <c r="O5709">
        <v>-0.22784989999999999</v>
      </c>
      <c r="P5709">
        <v>-0.92291579999999995</v>
      </c>
      <c r="Q5709">
        <v>-7.8347109999999998E-2</v>
      </c>
      <c r="R5709">
        <v>-0.37694660000000002</v>
      </c>
      <c r="S5709">
        <v>-2.3233030000000001</v>
      </c>
      <c r="T5709">
        <v>-0.33406540000000001</v>
      </c>
      <c r="U5709">
        <v>-2.2409059999999998</v>
      </c>
      <c r="V5709">
        <v>-0.155388</v>
      </c>
      <c r="W5709">
        <v>-6.6756319999999994E-2</v>
      </c>
      <c r="X5709">
        <v>0.98559529999999995</v>
      </c>
      <c r="Y5709">
        <v>-0.50980320000000001</v>
      </c>
      <c r="Z5709">
        <v>-1.145376E-2</v>
      </c>
      <c r="AA5709">
        <v>0.86021479999999995</v>
      </c>
      <c r="AB5709">
        <v>27</v>
      </c>
      <c r="AC5709">
        <v>-0.42579999999998103</v>
      </c>
      <c r="AD5709">
        <v>-9.6471999999999794E-2</v>
      </c>
      <c r="AE5709">
        <v>-0.579599999999999</v>
      </c>
      <c r="AF5709">
        <v>-0.45906147782249301</v>
      </c>
      <c r="AG5709">
        <v>-9.6471999999999794E-2</v>
      </c>
      <c r="AH5709">
        <v>0.53701141446175105</v>
      </c>
      <c r="AI5709">
        <v>97.775784093451904</v>
      </c>
      <c r="AJ5709">
        <v>130.525308971724</v>
      </c>
      <c r="AK5709">
        <v>0.71303965280114801</v>
      </c>
      <c r="AL5709">
        <v>93.827702085542199</v>
      </c>
      <c r="AM5709">
        <v>98.959449687966</v>
      </c>
      <c r="AN5709">
        <v>0.999999966093015</v>
      </c>
    </row>
    <row r="5710" spans="1:40" x14ac:dyDescent="0.25">
      <c r="A5710" t="str">
        <f>"20190303154254851"</f>
        <v>20190303154254851</v>
      </c>
      <c r="B5710" t="str">
        <f>"1551598974845881"</f>
        <v>1551598974845881</v>
      </c>
      <c r="C5710" t="s">
        <v>40</v>
      </c>
      <c r="D5710">
        <v>5.1080759999999996</v>
      </c>
      <c r="E5710">
        <v>0.34693940000000001</v>
      </c>
      <c r="F5710" t="s">
        <v>42</v>
      </c>
      <c r="G5710">
        <v>-410.17899999999997</v>
      </c>
      <c r="H5710">
        <v>1.0355890000000001</v>
      </c>
      <c r="I5710">
        <v>140.02799999999999</v>
      </c>
      <c r="J5710">
        <v>-409.77249999999998</v>
      </c>
      <c r="K5710">
        <v>1.129594</v>
      </c>
      <c r="L5710">
        <v>140.59780000000001</v>
      </c>
      <c r="M5710">
        <v>-0.97090509999999997</v>
      </c>
      <c r="N5710">
        <v>-1.504367E-2</v>
      </c>
      <c r="O5710">
        <v>-0.23899190000000001</v>
      </c>
      <c r="P5710">
        <v>-0.91797850000000003</v>
      </c>
      <c r="Q5710">
        <v>-7.9834799999999997E-2</v>
      </c>
      <c r="R5710">
        <v>-0.38851269999999999</v>
      </c>
      <c r="S5710">
        <v>-2.299957</v>
      </c>
      <c r="T5710">
        <v>-0.33162950000000002</v>
      </c>
      <c r="U5710">
        <v>-2.258667</v>
      </c>
      <c r="V5710">
        <v>-0.15645309999999901</v>
      </c>
      <c r="W5710">
        <v>-6.8283659999999996E-2</v>
      </c>
      <c r="X5710">
        <v>0.98532220000000004</v>
      </c>
      <c r="Y5710">
        <v>-0.50776160000000004</v>
      </c>
      <c r="Z5710">
        <v>-1.024168E-2</v>
      </c>
      <c r="AA5710">
        <v>0.86143670000000006</v>
      </c>
      <c r="AB5710">
        <v>27</v>
      </c>
      <c r="AC5710">
        <v>-0.40650000000004999</v>
      </c>
      <c r="AD5710">
        <v>-9.4005000000000102E-2</v>
      </c>
      <c r="AE5710">
        <v>-0.56980000000001496</v>
      </c>
      <c r="AF5710">
        <v>-0.44804145041874299</v>
      </c>
      <c r="AG5710">
        <v>-9.4005000000000102E-2</v>
      </c>
      <c r="AH5710">
        <v>0.52150380311245803</v>
      </c>
      <c r="AI5710">
        <v>97.785612796083399</v>
      </c>
      <c r="AJ5710">
        <v>130.66698357976901</v>
      </c>
      <c r="AK5710">
        <v>0.69393392911651797</v>
      </c>
      <c r="AL5710">
        <v>93.915412127526494</v>
      </c>
      <c r="AM5710">
        <v>99.022314442282394</v>
      </c>
      <c r="AN5710">
        <v>1.00000003426772</v>
      </c>
    </row>
    <row r="5711" spans="1:40" x14ac:dyDescent="0.25">
      <c r="A5711" t="str">
        <f>"20190303154254874"</f>
        <v>20190303154254874</v>
      </c>
      <c r="B5711" t="str">
        <f>"1551598974865411"</f>
        <v>1551598974865411</v>
      </c>
      <c r="C5711" t="s">
        <v>40</v>
      </c>
      <c r="D5711">
        <v>5.0656689999999998</v>
      </c>
      <c r="E5711">
        <v>0.34761419999999998</v>
      </c>
      <c r="F5711" t="s">
        <v>42</v>
      </c>
      <c r="G5711">
        <v>-410.40269999999998</v>
      </c>
      <c r="H5711">
        <v>1.035839</v>
      </c>
      <c r="I5711">
        <v>139.96449999999999</v>
      </c>
      <c r="J5711">
        <v>-410.02120000000002</v>
      </c>
      <c r="K5711">
        <v>1.129731</v>
      </c>
      <c r="L5711">
        <v>140.52359999999999</v>
      </c>
      <c r="M5711">
        <v>-0.96798779999999995</v>
      </c>
      <c r="N5711">
        <v>-1.5086759999999999E-2</v>
      </c>
      <c r="O5711">
        <v>-0.25054330000000002</v>
      </c>
      <c r="P5711">
        <v>-0.9129003</v>
      </c>
      <c r="Q5711">
        <v>-8.1487210000000004E-2</v>
      </c>
      <c r="R5711">
        <v>-0.39996599999999999</v>
      </c>
      <c r="S5711">
        <v>-2.2720340000000001</v>
      </c>
      <c r="T5711">
        <v>-0.33803299999999997</v>
      </c>
      <c r="U5711">
        <v>-2.2839049999999999</v>
      </c>
      <c r="V5711">
        <v>-0.15701689999999999</v>
      </c>
      <c r="W5711">
        <v>-6.9964769999999996E-2</v>
      </c>
      <c r="X5711">
        <v>0.9851145</v>
      </c>
      <c r="Y5711">
        <v>-0.50752619999999904</v>
      </c>
      <c r="Z5711">
        <v>-9.1682120000000002E-3</v>
      </c>
      <c r="AA5711">
        <v>0.86158749999999995</v>
      </c>
      <c r="AB5711">
        <v>27</v>
      </c>
      <c r="AC5711">
        <v>-0.38149999999995998</v>
      </c>
      <c r="AD5711">
        <v>-9.3892000000000003E-2</v>
      </c>
      <c r="AE5711">
        <v>-0.55910000000000004</v>
      </c>
      <c r="AF5711">
        <v>-0.43725649676103601</v>
      </c>
      <c r="AG5711">
        <v>-9.3892000000000003E-2</v>
      </c>
      <c r="AH5711">
        <v>0.49980652450951601</v>
      </c>
      <c r="AI5711">
        <v>98.047535475586301</v>
      </c>
      <c r="AJ5711">
        <v>131.181106470955</v>
      </c>
      <c r="AK5711">
        <v>0.67068287108440106</v>
      </c>
      <c r="AL5711">
        <v>94.011963818954698</v>
      </c>
      <c r="AM5711">
        <v>99.056167284484005</v>
      </c>
      <c r="AN5711">
        <v>0.99999997701850596</v>
      </c>
    </row>
    <row r="5712" spans="1:40" x14ac:dyDescent="0.25">
      <c r="A5712" t="str">
        <f>"20190303154254896"</f>
        <v>20190303154254896</v>
      </c>
      <c r="B5712" t="str">
        <f>"1551598974885894"</f>
        <v>1551598974885894</v>
      </c>
      <c r="C5712" t="s">
        <v>40</v>
      </c>
      <c r="D5712">
        <v>5.032413</v>
      </c>
      <c r="E5712">
        <v>0.3483368</v>
      </c>
      <c r="F5712" t="s">
        <v>42</v>
      </c>
      <c r="G5712">
        <v>-410.62670000000003</v>
      </c>
      <c r="H5712">
        <v>1.036983</v>
      </c>
      <c r="I5712">
        <v>139.9015</v>
      </c>
      <c r="J5712">
        <v>-410.27260000000001</v>
      </c>
      <c r="K5712">
        <v>1.129856</v>
      </c>
      <c r="L5712">
        <v>140.44499999999999</v>
      </c>
      <c r="M5712">
        <v>-0.96482730000000005</v>
      </c>
      <c r="N5712">
        <v>-1.5130070000000001E-2</v>
      </c>
      <c r="O5712">
        <v>-0.26244879999999998</v>
      </c>
      <c r="P5712">
        <v>-0.9075126</v>
      </c>
      <c r="Q5712">
        <v>-8.2892629999999995E-2</v>
      </c>
      <c r="R5712">
        <v>-0.41176420000000002</v>
      </c>
      <c r="S5712">
        <v>-2.2445680000000001</v>
      </c>
      <c r="T5712">
        <v>-0.34385670000000002</v>
      </c>
      <c r="U5712">
        <v>-2.3075869999999998</v>
      </c>
      <c r="V5712">
        <v>-0.15762689999999999</v>
      </c>
      <c r="W5712">
        <v>-7.1399420000000005E-2</v>
      </c>
      <c r="X5712">
        <v>0.98491410000000001</v>
      </c>
      <c r="Y5712">
        <v>-0.50659089999999996</v>
      </c>
      <c r="Z5712">
        <v>-7.9531040000000008E-3</v>
      </c>
      <c r="AA5712">
        <v>0.86214990000000002</v>
      </c>
      <c r="AB5712">
        <v>27</v>
      </c>
      <c r="AC5712">
        <v>-0.35410000000001601</v>
      </c>
      <c r="AD5712">
        <v>-9.28729999999999E-2</v>
      </c>
      <c r="AE5712">
        <v>-0.54349999999999399</v>
      </c>
      <c r="AF5712">
        <v>-0.42283242206869998</v>
      </c>
      <c r="AG5712">
        <v>-9.28729999999999E-2</v>
      </c>
      <c r="AH5712">
        <v>0.47461279593621197</v>
      </c>
      <c r="AI5712">
        <v>98.3125698302225</v>
      </c>
      <c r="AJ5712">
        <v>131.697836008005</v>
      </c>
      <c r="AK5712">
        <v>0.64239392692324904</v>
      </c>
      <c r="AL5712">
        <v>94.094369431546397</v>
      </c>
      <c r="AM5712">
        <v>99.092582286971606</v>
      </c>
      <c r="AN5712">
        <v>0.99999995057937696</v>
      </c>
    </row>
    <row r="5713" spans="1:40" x14ac:dyDescent="0.25">
      <c r="A5713" t="str">
        <f>"20190303154254918"</f>
        <v>20190303154254918</v>
      </c>
      <c r="B5713" t="str">
        <f>"1551598974915864"</f>
        <v>1551598974915864</v>
      </c>
      <c r="C5713" t="s">
        <v>40</v>
      </c>
      <c r="D5713">
        <v>5.0367300000000004</v>
      </c>
      <c r="E5713">
        <v>0.34938909999999901</v>
      </c>
      <c r="F5713" t="s">
        <v>42</v>
      </c>
      <c r="G5713">
        <v>-411.01600000000002</v>
      </c>
      <c r="H5713">
        <v>1.012859</v>
      </c>
      <c r="I5713">
        <v>139.66329999999999</v>
      </c>
      <c r="J5713">
        <v>-410.51749999999998</v>
      </c>
      <c r="K5713">
        <v>1.1299619999999999</v>
      </c>
      <c r="L5713">
        <v>140.3647</v>
      </c>
      <c r="M5713">
        <v>-0.96153619999999995</v>
      </c>
      <c r="N5713">
        <v>-1.5171509999999999E-2</v>
      </c>
      <c r="O5713">
        <v>-0.27425899999999998</v>
      </c>
      <c r="P5713">
        <v>-0.90199240000000003</v>
      </c>
      <c r="Q5713">
        <v>-8.4056619999999999E-2</v>
      </c>
      <c r="R5713">
        <v>-0.42349009999999998</v>
      </c>
      <c r="S5713">
        <v>-2.21637</v>
      </c>
      <c r="T5713">
        <v>-0.34885450000000001</v>
      </c>
      <c r="U5713">
        <v>-2.3307799999999999</v>
      </c>
      <c r="V5713">
        <v>-0.1582961</v>
      </c>
      <c r="W5713">
        <v>-7.2591180000000005E-2</v>
      </c>
      <c r="X5713">
        <v>0.98471969999999998</v>
      </c>
      <c r="Y5713">
        <v>-0.50577939999999999</v>
      </c>
      <c r="Z5713">
        <v>-6.7053030000000001E-3</v>
      </c>
      <c r="AA5713">
        <v>0.86263670000000003</v>
      </c>
      <c r="AB5713">
        <v>27</v>
      </c>
      <c r="AC5713">
        <v>-0.49849999999997802</v>
      </c>
      <c r="AD5713">
        <v>-0.117103</v>
      </c>
      <c r="AE5713">
        <v>-0.70140000000000602</v>
      </c>
      <c r="AF5713">
        <v>-0.52798714359106402</v>
      </c>
      <c r="AG5713">
        <v>-0.117103</v>
      </c>
      <c r="AH5713">
        <v>0.65955368141500703</v>
      </c>
      <c r="AI5713">
        <v>97.891320638397104</v>
      </c>
      <c r="AJ5713">
        <v>128.678035749559</v>
      </c>
      <c r="AK5713">
        <v>0.852932937032297</v>
      </c>
      <c r="AL5713">
        <v>94.1628296616733</v>
      </c>
      <c r="AM5713">
        <v>99.1323078188192</v>
      </c>
      <c r="AN5713">
        <v>1.0000000111285401</v>
      </c>
    </row>
    <row r="5714" spans="1:40" x14ac:dyDescent="0.25">
      <c r="A5714" t="str">
        <f>"20190303154254942"</f>
        <v>20190303154254942</v>
      </c>
      <c r="B5714" t="str">
        <f>"1551598974935384"</f>
        <v>1551598974935384</v>
      </c>
      <c r="C5714" t="s">
        <v>40</v>
      </c>
      <c r="D5714">
        <v>5.1305129999999997</v>
      </c>
      <c r="E5714">
        <v>0.35030040000000001</v>
      </c>
      <c r="F5714" t="s">
        <v>42</v>
      </c>
      <c r="G5714">
        <v>-411.23570000000001</v>
      </c>
      <c r="H5714">
        <v>1.0142819999999999</v>
      </c>
      <c r="I5714">
        <v>139.59360000000001</v>
      </c>
      <c r="J5714">
        <v>-410.7758</v>
      </c>
      <c r="K5714">
        <v>1.1300559999999999</v>
      </c>
      <c r="L5714">
        <v>140.27610000000001</v>
      </c>
      <c r="M5714">
        <v>-0.95783750000000001</v>
      </c>
      <c r="N5714">
        <v>-1.5212639999999999E-2</v>
      </c>
      <c r="O5714">
        <v>-0.28690749999999998</v>
      </c>
      <c r="P5714">
        <v>-0.89580190000000004</v>
      </c>
      <c r="Q5714">
        <v>-8.4620890000000004E-2</v>
      </c>
      <c r="R5714">
        <v>-0.43632349999999998</v>
      </c>
      <c r="S5714">
        <v>-2.1890869999999998</v>
      </c>
      <c r="T5714">
        <v>-0.35260439999999998</v>
      </c>
      <c r="U5714">
        <v>-2.3513950000000001</v>
      </c>
      <c r="V5714">
        <v>-0.15935679999999999</v>
      </c>
      <c r="W5714">
        <v>-7.3186989999999993E-2</v>
      </c>
      <c r="X5714">
        <v>0.9845045</v>
      </c>
      <c r="Y5714">
        <v>-0.50356690000000004</v>
      </c>
      <c r="Z5714">
        <v>-5.2279639999999999E-3</v>
      </c>
      <c r="AA5714">
        <v>0.86394040000000005</v>
      </c>
      <c r="AB5714">
        <v>27</v>
      </c>
      <c r="AC5714">
        <v>-0.45990000000000397</v>
      </c>
      <c r="AD5714">
        <v>-0.115774</v>
      </c>
      <c r="AE5714">
        <v>-0.68250000000000399</v>
      </c>
      <c r="AF5714">
        <v>-0.51170931463011504</v>
      </c>
      <c r="AG5714">
        <v>-0.115774</v>
      </c>
      <c r="AH5714">
        <v>0.62404796080037295</v>
      </c>
      <c r="AI5714">
        <v>98.163867888843896</v>
      </c>
      <c r="AJ5714">
        <v>129.351202905744</v>
      </c>
      <c r="AK5714">
        <v>0.81528271117099305</v>
      </c>
      <c r="AL5714">
        <v>94.197058077719603</v>
      </c>
      <c r="AM5714">
        <v>99.194434696624</v>
      </c>
      <c r="AN5714">
        <v>1.0000000178658699</v>
      </c>
    </row>
    <row r="5715" spans="1:40" x14ac:dyDescent="0.25">
      <c r="A5715" t="str">
        <f>"20190303154254963"</f>
        <v>20190303154254963</v>
      </c>
      <c r="B5715" t="str">
        <f>"1551598974955883"</f>
        <v>1551598974955883</v>
      </c>
      <c r="C5715" t="s">
        <v>40</v>
      </c>
      <c r="D5715">
        <v>5.0804119999999999</v>
      </c>
      <c r="E5715">
        <v>0.3511262</v>
      </c>
      <c r="F5715" t="s">
        <v>42</v>
      </c>
      <c r="G5715">
        <v>-411.45699999999999</v>
      </c>
      <c r="H5715">
        <v>1.0188029999999999</v>
      </c>
      <c r="I5715">
        <v>139.52619999999999</v>
      </c>
      <c r="J5715">
        <v>-411.01479999999998</v>
      </c>
      <c r="K5715">
        <v>1.1301270000000001</v>
      </c>
      <c r="L5715">
        <v>140.19059999999999</v>
      </c>
      <c r="M5715">
        <v>-0.95420389999999999</v>
      </c>
      <c r="N5715">
        <v>-1.524695E-2</v>
      </c>
      <c r="O5715">
        <v>-0.29876849999999999</v>
      </c>
      <c r="P5715">
        <v>-0.88994340000000005</v>
      </c>
      <c r="Q5715">
        <v>-8.4309880000000004E-2</v>
      </c>
      <c r="R5715">
        <v>-0.44821080000000002</v>
      </c>
      <c r="S5715">
        <v>-2.158264</v>
      </c>
      <c r="T5715">
        <v>-0.35248649999999998</v>
      </c>
      <c r="U5715">
        <v>-2.3761139999999998</v>
      </c>
      <c r="V5715">
        <v>-0.1602315</v>
      </c>
      <c r="W5715">
        <v>-7.2897459999999997E-2</v>
      </c>
      <c r="X5715">
        <v>0.98438400000000004</v>
      </c>
      <c r="Y5715">
        <v>-0.50350709999999999</v>
      </c>
      <c r="Z5715">
        <v>-3.9994330000000002E-3</v>
      </c>
      <c r="AA5715">
        <v>0.86398180000000002</v>
      </c>
      <c r="AB5715">
        <v>27</v>
      </c>
      <c r="AC5715">
        <v>-0.44220000000001303</v>
      </c>
      <c r="AD5715">
        <v>-0.11132399999999899</v>
      </c>
      <c r="AE5715">
        <v>-0.66439999999999999</v>
      </c>
      <c r="AF5715">
        <v>-0.49233689601353098</v>
      </c>
      <c r="AG5715">
        <v>-0.11132399999999899</v>
      </c>
      <c r="AH5715">
        <v>0.60868018079481301</v>
      </c>
      <c r="AI5715">
        <v>98.093180937098694</v>
      </c>
      <c r="AJ5715">
        <v>128.968001368768</v>
      </c>
      <c r="AK5715">
        <v>0.79074661848448302</v>
      </c>
      <c r="AL5715">
        <v>94.180424807225407</v>
      </c>
      <c r="AM5715">
        <v>99.245145511360406</v>
      </c>
      <c r="AN5715">
        <v>1.0000000163613501</v>
      </c>
    </row>
    <row r="5716" spans="1:40" x14ac:dyDescent="0.25">
      <c r="A5716" t="str">
        <f>"20190303154254986"</f>
        <v>20190303154254986</v>
      </c>
      <c r="B5716" t="str">
        <f>"1551598974975400"</f>
        <v>1551598974975400</v>
      </c>
      <c r="C5716" t="s">
        <v>40</v>
      </c>
      <c r="D5716">
        <v>5.1555359999999997</v>
      </c>
      <c r="E5716">
        <v>0.35166530000000001</v>
      </c>
      <c r="F5716" t="s">
        <v>42</v>
      </c>
      <c r="G5716">
        <v>-411.67320000000001</v>
      </c>
      <c r="H5716">
        <v>1.0219529999999999</v>
      </c>
      <c r="I5716">
        <v>139.44909999999999</v>
      </c>
      <c r="J5716">
        <v>-411.26319999999998</v>
      </c>
      <c r="K5716">
        <v>1.1301969999999999</v>
      </c>
      <c r="L5716">
        <v>140.09799999999899</v>
      </c>
      <c r="M5716">
        <v>-0.95020899999999997</v>
      </c>
      <c r="N5716">
        <v>-1.52791E-2</v>
      </c>
      <c r="O5716">
        <v>-0.31123840000000003</v>
      </c>
      <c r="P5716">
        <v>-0.88319429999999999</v>
      </c>
      <c r="Q5716">
        <v>-8.3551029999999998E-2</v>
      </c>
      <c r="R5716">
        <v>-0.46150560000000002</v>
      </c>
      <c r="S5716">
        <v>-2.1296390000000001</v>
      </c>
      <c r="T5716">
        <v>-0.34988750000000002</v>
      </c>
      <c r="U5716">
        <v>-2.3988649999999998</v>
      </c>
      <c r="V5716">
        <v>-0.16208149999999999</v>
      </c>
      <c r="W5716">
        <v>-7.2180079999999994E-2</v>
      </c>
      <c r="X5716">
        <v>0.98413399999999995</v>
      </c>
      <c r="Y5716">
        <v>-0.50210730000000003</v>
      </c>
      <c r="Z5716">
        <v>-2.644179E-3</v>
      </c>
      <c r="AA5716">
        <v>0.86480119999999905</v>
      </c>
      <c r="AB5716">
        <v>27</v>
      </c>
      <c r="AC5716">
        <v>-0.41000000000002501</v>
      </c>
      <c r="AD5716">
        <v>-0.10824399999999899</v>
      </c>
      <c r="AE5716">
        <v>-0.64889999999999703</v>
      </c>
      <c r="AF5716">
        <v>-0.47950414807179598</v>
      </c>
      <c r="AG5716">
        <v>-0.10824399999999899</v>
      </c>
      <c r="AH5716">
        <v>0.58008137223131995</v>
      </c>
      <c r="AI5716">
        <v>98.184452787057396</v>
      </c>
      <c r="AJ5716">
        <v>129.57765696458</v>
      </c>
      <c r="AK5716">
        <v>0.76035214865470802</v>
      </c>
      <c r="AL5716">
        <v>94.139213240017995</v>
      </c>
      <c r="AM5716">
        <v>99.352346746473501</v>
      </c>
      <c r="AN5716">
        <v>1.00000005327352</v>
      </c>
    </row>
    <row r="5717" spans="1:40" x14ac:dyDescent="0.25">
      <c r="A5717" t="str">
        <f>"20190303154255009"</f>
        <v>20190303154255009</v>
      </c>
      <c r="B5717" t="str">
        <f>"1551598975006164"</f>
        <v>1551598975006164</v>
      </c>
      <c r="C5717" t="s">
        <v>40</v>
      </c>
      <c r="D5717">
        <v>5.2019970000000004</v>
      </c>
      <c r="E5717">
        <v>0.31291000000000002</v>
      </c>
      <c r="F5717" t="s">
        <v>42</v>
      </c>
      <c r="G5717">
        <v>-411.88979999999998</v>
      </c>
      <c r="H5717">
        <v>1.0264709999999999</v>
      </c>
      <c r="I5717">
        <v>139.3723</v>
      </c>
      <c r="J5717">
        <v>-411.50310000000002</v>
      </c>
      <c r="K5717">
        <v>1.130252</v>
      </c>
      <c r="L5717">
        <v>140.005</v>
      </c>
      <c r="M5717">
        <v>-0.94613720000000001</v>
      </c>
      <c r="N5717">
        <v>-1.530752E-2</v>
      </c>
      <c r="O5717">
        <v>-0.32340449999999998</v>
      </c>
      <c r="P5717">
        <v>-0.8762643</v>
      </c>
      <c r="Q5717">
        <v>-8.2752729999999997E-2</v>
      </c>
      <c r="R5717">
        <v>-0.47467179999999998</v>
      </c>
      <c r="S5717">
        <v>-2.0957949999999999</v>
      </c>
      <c r="T5717">
        <v>-0.34688000000000002</v>
      </c>
      <c r="U5717">
        <v>-2.4268649999999998</v>
      </c>
      <c r="V5717">
        <v>-0.1641648</v>
      </c>
      <c r="W5717">
        <v>-7.1426459999999997E-2</v>
      </c>
      <c r="X5717">
        <v>0.98384360000000004</v>
      </c>
      <c r="Y5717">
        <v>-0.50292309999999996</v>
      </c>
      <c r="Z5717">
        <v>-1.5064309999999999E-3</v>
      </c>
      <c r="AA5717">
        <v>0.86432989999999998</v>
      </c>
      <c r="AB5717">
        <v>27</v>
      </c>
      <c r="AC5717">
        <v>-0.38669999999996202</v>
      </c>
      <c r="AD5717">
        <v>-0.103781</v>
      </c>
      <c r="AE5717">
        <v>-0.63269999999999904</v>
      </c>
      <c r="AF5717">
        <v>-0.46451683768515101</v>
      </c>
      <c r="AG5717">
        <v>-0.103781</v>
      </c>
      <c r="AH5717">
        <v>0.55959457146677505</v>
      </c>
      <c r="AI5717">
        <v>98.121243032792194</v>
      </c>
      <c r="AJ5717">
        <v>129.69590689208599</v>
      </c>
      <c r="AK5717">
        <v>0.73463764732628301</v>
      </c>
      <c r="AL5717">
        <v>94.095922369828003</v>
      </c>
      <c r="AM5717">
        <v>99.473136890319196</v>
      </c>
      <c r="AN5717">
        <v>1.0000000250040599</v>
      </c>
    </row>
    <row r="5718" spans="1:40" x14ac:dyDescent="0.25">
      <c r="A5718" t="str">
        <f>"20190303154255030"</f>
        <v>20190303154255030</v>
      </c>
      <c r="B5718" t="str">
        <f>"1551598975025684"</f>
        <v>1551598975025684</v>
      </c>
      <c r="C5718" t="s">
        <v>40</v>
      </c>
      <c r="D5718">
        <v>5.3089969999999997</v>
      </c>
      <c r="E5718">
        <v>0.30931120000000001</v>
      </c>
      <c r="F5718" t="s">
        <v>42</v>
      </c>
      <c r="G5718">
        <v>-412.05720000000002</v>
      </c>
      <c r="H5718">
        <v>1.004294</v>
      </c>
      <c r="I5718">
        <v>139.2139</v>
      </c>
      <c r="J5718">
        <v>-411.74220000000003</v>
      </c>
      <c r="K5718">
        <v>1.1302970000000001</v>
      </c>
      <c r="L5718">
        <v>139.90860000000001</v>
      </c>
      <c r="M5718">
        <v>-0.9418668</v>
      </c>
      <c r="N5718">
        <v>-1.533341E-2</v>
      </c>
      <c r="O5718">
        <v>-0.33563720000000002</v>
      </c>
      <c r="P5718">
        <v>-0.86901319999999904</v>
      </c>
      <c r="Q5718">
        <v>-8.2648810000000003E-2</v>
      </c>
      <c r="R5718">
        <v>-0.48783779999999999</v>
      </c>
      <c r="S5718">
        <v>-1.9073180000000001</v>
      </c>
      <c r="T5718">
        <v>-0.43354789999999999</v>
      </c>
      <c r="U5718">
        <v>-2.7235870000000002</v>
      </c>
      <c r="V5718">
        <v>-0.1662476</v>
      </c>
      <c r="W5718">
        <v>-7.1367150000000004E-2</v>
      </c>
      <c r="X5718">
        <v>0.98349810000000004</v>
      </c>
      <c r="Y5718">
        <v>-0.57604239999999995</v>
      </c>
      <c r="Z5718">
        <v>-4.9116780000000001E-3</v>
      </c>
      <c r="AA5718">
        <v>0.8174051</v>
      </c>
      <c r="AB5718">
        <v>27</v>
      </c>
      <c r="AC5718">
        <v>-0.314999999999997</v>
      </c>
      <c r="AD5718">
        <v>-0.126002999999999</v>
      </c>
      <c r="AE5718">
        <v>-0.69470000000001098</v>
      </c>
      <c r="AF5718">
        <v>-0.534079819256991</v>
      </c>
      <c r="AG5718">
        <v>-0.126002999999999</v>
      </c>
      <c r="AH5718">
        <v>0.51584135976009404</v>
      </c>
      <c r="AI5718">
        <v>99.631160717790095</v>
      </c>
      <c r="AJ5718">
        <v>135.995200098699</v>
      </c>
      <c r="AK5718">
        <v>0.75313366528506998</v>
      </c>
      <c r="AL5718">
        <v>94.092515468308605</v>
      </c>
      <c r="AM5718">
        <v>99.594412548616305</v>
      </c>
      <c r="AN5718">
        <v>1.0000000236542399</v>
      </c>
    </row>
    <row r="5719" spans="1:40" x14ac:dyDescent="0.25">
      <c r="A5719" t="str">
        <f>"20190303154255053"</f>
        <v>20190303154255053</v>
      </c>
      <c r="B5719" t="str">
        <f>"1551598975046180"</f>
        <v>1551598975046180</v>
      </c>
      <c r="C5719" t="s">
        <v>40</v>
      </c>
      <c r="D5719">
        <v>5.2157239999999998</v>
      </c>
      <c r="E5719">
        <v>0.30850759999999899</v>
      </c>
      <c r="F5719" t="s">
        <v>42</v>
      </c>
      <c r="G5719">
        <v>-412.26530000000002</v>
      </c>
      <c r="H5719">
        <v>1.002491</v>
      </c>
      <c r="I5719">
        <v>139.1241</v>
      </c>
      <c r="J5719">
        <v>-411.98329999999999</v>
      </c>
      <c r="K5719">
        <v>1.1303379999999901</v>
      </c>
      <c r="L5719">
        <v>139.80760000000001</v>
      </c>
      <c r="M5719">
        <v>-0.93734629999999997</v>
      </c>
      <c r="N5719">
        <v>-1.535746E-2</v>
      </c>
      <c r="O5719">
        <v>-0.348060799999999</v>
      </c>
      <c r="P5719">
        <v>-0.86166659999999995</v>
      </c>
      <c r="Q5719">
        <v>-8.2680610000000002E-2</v>
      </c>
      <c r="R5719">
        <v>-0.50069449999999904</v>
      </c>
      <c r="S5719">
        <v>-1.8509519999999999</v>
      </c>
      <c r="T5719">
        <v>-0.45228950000000001</v>
      </c>
      <c r="U5719">
        <v>-2.7758029999999998</v>
      </c>
      <c r="V5719">
        <v>-0.16784769999999999</v>
      </c>
      <c r="W5719">
        <v>-7.1431529999999993E-2</v>
      </c>
      <c r="X5719">
        <v>0.98322160000000003</v>
      </c>
      <c r="Y5719">
        <v>-0.58366689999999999</v>
      </c>
      <c r="Z5719">
        <v>-3.7611390000000001E-3</v>
      </c>
      <c r="AA5719">
        <v>0.8119845</v>
      </c>
      <c r="AB5719">
        <v>26</v>
      </c>
      <c r="AC5719">
        <v>-0.282000000000039</v>
      </c>
      <c r="AD5719">
        <v>-0.12784699999999899</v>
      </c>
      <c r="AE5719">
        <v>-0.68350000000000899</v>
      </c>
      <c r="AF5719">
        <v>-0.52683588905158296</v>
      </c>
      <c r="AG5719">
        <v>-0.12784699999999899</v>
      </c>
      <c r="AH5719">
        <v>0.48770909844586102</v>
      </c>
      <c r="AI5719">
        <v>100.097299646143</v>
      </c>
      <c r="AJ5719">
        <v>137.20856596575601</v>
      </c>
      <c r="AK5719">
        <v>0.729219496522581</v>
      </c>
      <c r="AL5719">
        <v>94.096213647286405</v>
      </c>
      <c r="AM5719">
        <v>99.687687932575599</v>
      </c>
      <c r="AN5719">
        <v>1.0000000142899901</v>
      </c>
    </row>
    <row r="5720" spans="1:40" x14ac:dyDescent="0.25">
      <c r="A5720" t="str">
        <f>"20190303154255097"</f>
        <v>20190303154255097</v>
      </c>
      <c r="B5720" t="str">
        <f>"1551598975086196"</f>
        <v>1551598975086196</v>
      </c>
      <c r="C5720" t="s">
        <v>40</v>
      </c>
      <c r="D5720">
        <v>5.230861</v>
      </c>
      <c r="E5720">
        <v>0.30924230000000003</v>
      </c>
      <c r="F5720" t="s">
        <v>42</v>
      </c>
      <c r="G5720">
        <v>-412.47699999999998</v>
      </c>
      <c r="H5720">
        <v>1.0051620000000001</v>
      </c>
      <c r="I5720">
        <v>139.04</v>
      </c>
      <c r="J5720">
        <v>-412.44940000000003</v>
      </c>
      <c r="K5720">
        <v>1.130412</v>
      </c>
      <c r="L5720">
        <v>139.60120000000001</v>
      </c>
      <c r="M5720">
        <v>-0.92795660000000002</v>
      </c>
      <c r="N5720">
        <v>-1.5399390000000001E-2</v>
      </c>
      <c r="O5720">
        <v>-0.37236999999999998</v>
      </c>
      <c r="P5720">
        <v>-0.84707049999999995</v>
      </c>
      <c r="Q5720">
        <v>-8.1004999999999994E-2</v>
      </c>
      <c r="R5720">
        <v>-0.52527109999999899</v>
      </c>
      <c r="S5720">
        <v>-1.805817</v>
      </c>
      <c r="T5720">
        <v>-0.45785690000000001</v>
      </c>
      <c r="U5720">
        <v>-2.8083339999999999</v>
      </c>
      <c r="V5720">
        <v>-0.170467799999999</v>
      </c>
      <c r="W5720">
        <v>-6.9809200000000002E-2</v>
      </c>
      <c r="X5720">
        <v>0.98288730000000002</v>
      </c>
      <c r="Y5720">
        <v>-0.57620979999999999</v>
      </c>
      <c r="Z5720">
        <v>4.020669E-4</v>
      </c>
      <c r="AA5720">
        <v>0.81730179999999997</v>
      </c>
      <c r="AB5720">
        <v>26</v>
      </c>
      <c r="AC5720">
        <v>-2.75999999999498E-2</v>
      </c>
      <c r="AD5720">
        <v>-0.125249999999999</v>
      </c>
      <c r="AE5720">
        <v>-0.56120000000001302</v>
      </c>
      <c r="AF5720">
        <v>-0.48638384575626797</v>
      </c>
      <c r="AG5720">
        <v>-0.125249999999999</v>
      </c>
      <c r="AH5720">
        <v>0.223507334699869</v>
      </c>
      <c r="AI5720">
        <v>103.169679593065</v>
      </c>
      <c r="AJ5720">
        <v>155.31986139132999</v>
      </c>
      <c r="AK5720">
        <v>0.54973842559648001</v>
      </c>
      <c r="AL5720">
        <v>94.003028294807905</v>
      </c>
      <c r="AM5720">
        <v>99.839260973118002</v>
      </c>
      <c r="AN5720">
        <v>1.0000000198713801</v>
      </c>
    </row>
    <row r="5721" spans="1:40" x14ac:dyDescent="0.25">
      <c r="A5721" t="str">
        <f>"20190303154255119"</f>
        <v>20190303154255119</v>
      </c>
      <c r="B5721" t="str">
        <f>"1551598975115982"</f>
        <v>1551598975115982</v>
      </c>
      <c r="C5721" t="s">
        <v>40</v>
      </c>
      <c r="D5721">
        <v>5.179621</v>
      </c>
      <c r="E5721">
        <v>0.31024099999999999</v>
      </c>
      <c r="F5721" t="s">
        <v>57</v>
      </c>
      <c r="G5721">
        <v>-416.76990000000001</v>
      </c>
      <c r="H5721" s="1">
        <v>-7.0701379999999899E-6</v>
      </c>
      <c r="I5721">
        <v>132.46260000000001</v>
      </c>
      <c r="J5721">
        <v>-412.68740000000003</v>
      </c>
      <c r="K5721">
        <v>1.130452</v>
      </c>
      <c r="L5721">
        <v>139.4897</v>
      </c>
      <c r="M5721">
        <v>-0.92281369999999896</v>
      </c>
      <c r="N5721">
        <v>-1.5420140000000001E-2</v>
      </c>
      <c r="O5721">
        <v>-0.384938</v>
      </c>
      <c r="P5721">
        <v>-0.83947559999999999</v>
      </c>
      <c r="Q5721">
        <v>-7.9672460000000001E-2</v>
      </c>
      <c r="R5721">
        <v>-0.53752500000000003</v>
      </c>
      <c r="S5721">
        <v>-1.7279659999999999</v>
      </c>
      <c r="T5721">
        <v>-0.45210620000000001</v>
      </c>
      <c r="U5721">
        <v>-2.8550420000000001</v>
      </c>
      <c r="V5721">
        <v>-0.17137620000000001</v>
      </c>
      <c r="W5721">
        <v>-6.8494970000000002E-2</v>
      </c>
      <c r="X5721">
        <v>0.98282179999999997</v>
      </c>
      <c r="Y5721">
        <v>-0.58730519999999997</v>
      </c>
      <c r="Z5721">
        <v>9.641796E-4</v>
      </c>
      <c r="AA5721">
        <v>0.809365</v>
      </c>
      <c r="AB5721">
        <v>26</v>
      </c>
      <c r="AC5721">
        <v>-4.08249999999998</v>
      </c>
      <c r="AD5721">
        <v>-1.130459070138</v>
      </c>
      <c r="AE5721">
        <v>-7.0270999999999901</v>
      </c>
      <c r="AF5721">
        <v>-4.8205069286847797</v>
      </c>
      <c r="AG5721">
        <v>-1.130459070138</v>
      </c>
      <c r="AH5721">
        <v>6.3502826606680998</v>
      </c>
      <c r="AI5721">
        <v>98.0702791079744</v>
      </c>
      <c r="AJ5721">
        <v>127.202175455415</v>
      </c>
      <c r="AK5721">
        <v>8.0524104856333008</v>
      </c>
      <c r="AL5721">
        <v>93.927547740997696</v>
      </c>
      <c r="AM5721">
        <v>99.891306439686204</v>
      </c>
      <c r="AN5721">
        <v>1.0000000266984901</v>
      </c>
    </row>
    <row r="5722" spans="1:40" x14ac:dyDescent="0.25">
      <c r="A5722" t="str">
        <f>"20190303154255142"</f>
        <v>20190303154255142</v>
      </c>
      <c r="B5722" t="str">
        <f>"1551598975135506"</f>
        <v>1551598975135506</v>
      </c>
      <c r="C5722" t="s">
        <v>40</v>
      </c>
      <c r="D5722">
        <v>5.2816390000000002</v>
      </c>
      <c r="E5722">
        <v>0.31160959999999899</v>
      </c>
      <c r="F5722" t="s">
        <v>57</v>
      </c>
      <c r="G5722">
        <v>-416.94619999999998</v>
      </c>
      <c r="H5722" s="1">
        <v>-6.9753209999999999E-6</v>
      </c>
      <c r="I5722">
        <v>132.255</v>
      </c>
      <c r="J5722">
        <v>-412.91820000000001</v>
      </c>
      <c r="K5722">
        <v>1.13049</v>
      </c>
      <c r="L5722">
        <v>139.37780000000001</v>
      </c>
      <c r="M5722">
        <v>-0.91759650000000004</v>
      </c>
      <c r="N5722">
        <v>-1.5439629999999999E-2</v>
      </c>
      <c r="O5722">
        <v>-0.39721329999999999</v>
      </c>
      <c r="P5722">
        <v>-0.83179349999999996</v>
      </c>
      <c r="Q5722">
        <v>-7.9236000000000001E-2</v>
      </c>
      <c r="R5722">
        <v>-0.54940089999999997</v>
      </c>
      <c r="S5722">
        <v>-1.6913450000000001</v>
      </c>
      <c r="T5722">
        <v>-0.44894610000000001</v>
      </c>
      <c r="U5722">
        <v>-2.8731840000000002</v>
      </c>
      <c r="V5722">
        <v>-0.1722195</v>
      </c>
      <c r="W5722">
        <v>-6.8076239999999996E-2</v>
      </c>
      <c r="X5722">
        <v>0.9827034</v>
      </c>
      <c r="Y5722">
        <v>-0.58651750000000002</v>
      </c>
      <c r="Z5722">
        <v>2.666388E-3</v>
      </c>
      <c r="AA5722">
        <v>0.80993219999999899</v>
      </c>
      <c r="AB5722">
        <v>26</v>
      </c>
      <c r="AC5722">
        <v>-4.0279999999999596</v>
      </c>
      <c r="AD5722">
        <v>-1.1304969753209999</v>
      </c>
      <c r="AE5722">
        <v>-7.1228000000000096</v>
      </c>
      <c r="AF5722">
        <v>-4.8440133588592298</v>
      </c>
      <c r="AG5722">
        <v>-1.1304969753209999</v>
      </c>
      <c r="AH5722">
        <v>6.4038982041819503</v>
      </c>
      <c r="AI5722">
        <v>98.014072275908006</v>
      </c>
      <c r="AJ5722">
        <v>127.104457284612</v>
      </c>
      <c r="AK5722">
        <v>8.1087854233258305</v>
      </c>
      <c r="AL5722">
        <v>93.903500442133094</v>
      </c>
      <c r="AM5722">
        <v>99.940184471352893</v>
      </c>
      <c r="AN5722">
        <v>0.99999995150217202</v>
      </c>
    </row>
    <row r="5723" spans="1:40" x14ac:dyDescent="0.25">
      <c r="A5723" t="str">
        <f>"20190303154255164"</f>
        <v>20190303154255164</v>
      </c>
      <c r="B5723" t="str">
        <f>"1551598975155998"</f>
        <v>1551598975155998</v>
      </c>
      <c r="C5723" t="s">
        <v>40</v>
      </c>
      <c r="D5723">
        <v>5.3068519999999904</v>
      </c>
      <c r="E5723">
        <v>0.31303720000000002</v>
      </c>
      <c r="F5723" t="s">
        <v>57</v>
      </c>
      <c r="G5723">
        <v>-417.10559999999998</v>
      </c>
      <c r="H5723" s="1">
        <v>-6.8931890000000002E-6</v>
      </c>
      <c r="I5723">
        <v>132.07599999999999</v>
      </c>
      <c r="J5723">
        <v>-413.149</v>
      </c>
      <c r="K5723">
        <v>1.1305080000000001</v>
      </c>
      <c r="L5723">
        <v>139.2619</v>
      </c>
      <c r="M5723">
        <v>-0.91214249999999997</v>
      </c>
      <c r="N5723">
        <v>-1.54579E-2</v>
      </c>
      <c r="O5723">
        <v>-0.409582</v>
      </c>
      <c r="P5723">
        <v>-0.82334979999999902</v>
      </c>
      <c r="Q5723">
        <v>-8.2360279999999994E-2</v>
      </c>
      <c r="R5723">
        <v>-0.56152679999999999</v>
      </c>
      <c r="S5723">
        <v>-1.65634199999999</v>
      </c>
      <c r="T5723">
        <v>-0.44717810000000002</v>
      </c>
      <c r="U5723">
        <v>-2.8882750000000001</v>
      </c>
      <c r="V5723">
        <v>-0.17337549999999999</v>
      </c>
      <c r="W5723">
        <v>-7.123256E-2</v>
      </c>
      <c r="X5723">
        <v>0.98227640000000005</v>
      </c>
      <c r="Y5723">
        <v>-0.58488050000000003</v>
      </c>
      <c r="Z5723">
        <v>4.4988129999999999E-3</v>
      </c>
      <c r="AA5723">
        <v>0.81110689999999996</v>
      </c>
      <c r="AB5723">
        <v>26</v>
      </c>
      <c r="AC5723">
        <v>-3.9565999999999799</v>
      </c>
      <c r="AD5723">
        <v>-1.1305148931889999</v>
      </c>
      <c r="AE5723">
        <v>-7.1859000000000002</v>
      </c>
      <c r="AF5723">
        <v>-4.8426262162791698</v>
      </c>
      <c r="AG5723">
        <v>-1.1305148931889999</v>
      </c>
      <c r="AH5723">
        <v>6.43084028367256</v>
      </c>
      <c r="AI5723">
        <v>97.993887366169702</v>
      </c>
      <c r="AJ5723">
        <v>126.980904146781</v>
      </c>
      <c r="AK5723">
        <v>8.1292557684219897</v>
      </c>
      <c r="AL5723">
        <v>94.084784311750099</v>
      </c>
      <c r="AM5723">
        <v>100.009824239143</v>
      </c>
      <c r="AN5723">
        <v>1.00000003380068</v>
      </c>
    </row>
    <row r="5724" spans="1:40" x14ac:dyDescent="0.25">
      <c r="A5724" t="str">
        <f>"20190303154255188"</f>
        <v>20190303154255188</v>
      </c>
      <c r="B5724" t="str">
        <f>"1551598975175519"</f>
        <v>1551598975175519</v>
      </c>
      <c r="C5724" t="s">
        <v>40</v>
      </c>
      <c r="D5724">
        <v>5.3085680000000002</v>
      </c>
      <c r="E5724">
        <v>0.31438260000000001</v>
      </c>
      <c r="F5724" t="s">
        <v>42</v>
      </c>
      <c r="G5724">
        <v>-413.64179999999999</v>
      </c>
      <c r="H5724">
        <v>0.99163570000000001</v>
      </c>
      <c r="I5724">
        <v>138.37819999999999</v>
      </c>
      <c r="J5724">
        <v>-413.3784</v>
      </c>
      <c r="K5724">
        <v>1.13052</v>
      </c>
      <c r="L5724">
        <v>139.14269999999999</v>
      </c>
      <c r="M5724">
        <v>-0.90646950000000004</v>
      </c>
      <c r="N5724">
        <v>-1.547581E-2</v>
      </c>
      <c r="O5724">
        <v>-0.42198790000000003</v>
      </c>
      <c r="P5724">
        <v>-0.81479099999999904</v>
      </c>
      <c r="Q5724">
        <v>-8.6036760000000004E-2</v>
      </c>
      <c r="R5724">
        <v>-0.57333579999999995</v>
      </c>
      <c r="S5724">
        <v>-1.618439</v>
      </c>
      <c r="T5724">
        <v>-0.45612979999999997</v>
      </c>
      <c r="U5724">
        <v>-2.9025880000000002</v>
      </c>
      <c r="V5724">
        <v>-0.1741992</v>
      </c>
      <c r="W5724">
        <v>-7.4935390000000004E-2</v>
      </c>
      <c r="X5724">
        <v>0.98185500000000003</v>
      </c>
      <c r="Y5724">
        <v>-0.58358500000000002</v>
      </c>
      <c r="Z5724">
        <v>6.724771E-3</v>
      </c>
      <c r="AA5724">
        <v>0.81202419999999997</v>
      </c>
      <c r="AB5724">
        <v>26</v>
      </c>
      <c r="AC5724">
        <v>-0.26339999999998998</v>
      </c>
      <c r="AD5724">
        <v>-0.13888429999999899</v>
      </c>
      <c r="AE5724">
        <v>-0.76449999999999796</v>
      </c>
      <c r="AF5724">
        <v>-0.56523889386009296</v>
      </c>
      <c r="AG5724">
        <v>-0.13888429999999899</v>
      </c>
      <c r="AH5724">
        <v>0.54535260355047499</v>
      </c>
      <c r="AI5724">
        <v>100.027683597644</v>
      </c>
      <c r="AJ5724">
        <v>136.02583061111699</v>
      </c>
      <c r="AK5724">
        <v>0.79761727546358596</v>
      </c>
      <c r="AL5724">
        <v>94.297510160760098</v>
      </c>
      <c r="AM5724">
        <v>100.060639973859</v>
      </c>
      <c r="AN5724">
        <v>0.999999957490045</v>
      </c>
    </row>
    <row r="5725" spans="1:40" x14ac:dyDescent="0.25">
      <c r="A5725" t="str">
        <f>"20190303154255210"</f>
        <v>20190303154255210</v>
      </c>
      <c r="B5725" t="str">
        <f>"1551598975205774"</f>
        <v>1551598975205774</v>
      </c>
      <c r="C5725" t="s">
        <v>40</v>
      </c>
      <c r="D5725">
        <v>5.3320980000000002</v>
      </c>
      <c r="E5725">
        <v>0.32943280000000003</v>
      </c>
      <c r="F5725" t="s">
        <v>42</v>
      </c>
      <c r="G5725">
        <v>-413.84539999999998</v>
      </c>
      <c r="H5725">
        <v>0.99203470000000005</v>
      </c>
      <c r="I5725">
        <v>138.28129999999999</v>
      </c>
      <c r="J5725">
        <v>-413.60359999999997</v>
      </c>
      <c r="K5725">
        <v>1.1305430000000001</v>
      </c>
      <c r="L5725">
        <v>139.02170000000001</v>
      </c>
      <c r="M5725">
        <v>-0.90064369999999905</v>
      </c>
      <c r="N5725">
        <v>-1.549471E-2</v>
      </c>
      <c r="O5725">
        <v>-0.434282</v>
      </c>
      <c r="P5725">
        <v>-0.8058748</v>
      </c>
      <c r="Q5725">
        <v>-8.9785190000000001E-2</v>
      </c>
      <c r="R5725">
        <v>-0.58523890000000001</v>
      </c>
      <c r="S5725">
        <v>-1.5806579999999999</v>
      </c>
      <c r="T5725">
        <v>-0.4687191</v>
      </c>
      <c r="U5725">
        <v>-2.915848</v>
      </c>
      <c r="V5725">
        <v>-0.17533840000000001</v>
      </c>
      <c r="W5725">
        <v>-7.8721189999999996E-2</v>
      </c>
      <c r="X5725">
        <v>0.98135589999999995</v>
      </c>
      <c r="Y5725">
        <v>-0.58217649999999999</v>
      </c>
      <c r="Z5725">
        <v>9.1999730000000002E-3</v>
      </c>
      <c r="AA5725">
        <v>0.81301040000000002</v>
      </c>
      <c r="AB5725">
        <v>26</v>
      </c>
      <c r="AC5725">
        <v>-0.24180000000001201</v>
      </c>
      <c r="AD5725">
        <v>-0.1385083</v>
      </c>
      <c r="AE5725">
        <v>-0.74040000000002204</v>
      </c>
      <c r="AF5725">
        <v>-0.54467040408137901</v>
      </c>
      <c r="AG5725">
        <v>-0.1385083</v>
      </c>
      <c r="AH5725">
        <v>0.52284860960988</v>
      </c>
      <c r="AI5725">
        <v>100.39548272111</v>
      </c>
      <c r="AJ5725">
        <v>136.17105419483701</v>
      </c>
      <c r="AK5725">
        <v>0.76760736501289994</v>
      </c>
      <c r="AL5725">
        <v>94.515063525924205</v>
      </c>
      <c r="AM5725">
        <v>100.13011881109</v>
      </c>
      <c r="AN5725">
        <v>0.99999999136719298</v>
      </c>
    </row>
    <row r="5726" spans="1:40" x14ac:dyDescent="0.25">
      <c r="A5726" t="str">
        <f>"20190303154255232"</f>
        <v>20190303154255232</v>
      </c>
      <c r="B5726" t="str">
        <f>"1551598975226271"</f>
        <v>1551598975226271</v>
      </c>
      <c r="C5726" t="s">
        <v>40</v>
      </c>
      <c r="D5726">
        <v>5.2605069999999996</v>
      </c>
      <c r="E5726">
        <v>0.33021660000000003</v>
      </c>
      <c r="F5726" t="s">
        <v>42</v>
      </c>
      <c r="G5726">
        <v>-414.06549999999999</v>
      </c>
      <c r="H5726">
        <v>0.98989150000000004</v>
      </c>
      <c r="I5726">
        <v>138.20480000000001</v>
      </c>
      <c r="J5726">
        <v>-413.82260000000002</v>
      </c>
      <c r="K5726">
        <v>1.130584</v>
      </c>
      <c r="L5726">
        <v>138.90010000000001</v>
      </c>
      <c r="M5726">
        <v>-0.89471559999999895</v>
      </c>
      <c r="N5726">
        <v>-1.55155E-2</v>
      </c>
      <c r="O5726">
        <v>-0.44636670000000001</v>
      </c>
      <c r="P5726">
        <v>-0.79759069999999899</v>
      </c>
      <c r="Q5726">
        <v>-9.2260960000000003E-2</v>
      </c>
      <c r="R5726">
        <v>-0.59610180000000001</v>
      </c>
      <c r="S5726">
        <v>-1.605194</v>
      </c>
      <c r="T5726">
        <v>-0.48888920000000002</v>
      </c>
      <c r="U5726">
        <v>-2.8407439999999999</v>
      </c>
      <c r="V5726">
        <v>-0.17547869999999999</v>
      </c>
      <c r="W5726">
        <v>-8.1208580000000002E-2</v>
      </c>
      <c r="X5726">
        <v>0.98112809999999995</v>
      </c>
      <c r="Y5726">
        <v>-0.55681369999999997</v>
      </c>
      <c r="Z5726">
        <v>1.4820460000000001E-2</v>
      </c>
      <c r="AA5726">
        <v>0.8305053</v>
      </c>
      <c r="AB5726">
        <v>26</v>
      </c>
      <c r="AC5726">
        <v>-0.24289999999996301</v>
      </c>
      <c r="AD5726">
        <v>-0.1406925</v>
      </c>
      <c r="AE5726">
        <v>-0.69530000000000303</v>
      </c>
      <c r="AF5726">
        <v>-0.49564832953186999</v>
      </c>
      <c r="AG5726">
        <v>-0.1406925</v>
      </c>
      <c r="AH5726">
        <v>0.50916854807503698</v>
      </c>
      <c r="AI5726">
        <v>101.199568344928</v>
      </c>
      <c r="AJ5726">
        <v>134.22910857363601</v>
      </c>
      <c r="AK5726">
        <v>0.724371628705063</v>
      </c>
      <c r="AL5726">
        <v>94.658038426744696</v>
      </c>
      <c r="AM5726">
        <v>100.140361562058</v>
      </c>
      <c r="AN5726">
        <v>0.99999997811445696</v>
      </c>
    </row>
    <row r="5727" spans="1:40" x14ac:dyDescent="0.25">
      <c r="A5727" t="str">
        <f>"20190303154255254"</f>
        <v>20190303154255254</v>
      </c>
      <c r="B5727" t="str">
        <f>"1551598975245791"</f>
        <v>1551598975245791</v>
      </c>
      <c r="C5727" t="s">
        <v>40</v>
      </c>
      <c r="D5727">
        <v>5.1255649999999999</v>
      </c>
      <c r="E5727">
        <v>0.30975269999999999</v>
      </c>
      <c r="F5727" t="s">
        <v>42</v>
      </c>
      <c r="G5727">
        <v>-414.26280000000003</v>
      </c>
      <c r="H5727">
        <v>0.99067099999999997</v>
      </c>
      <c r="I5727">
        <v>138.09809999999999</v>
      </c>
      <c r="J5727">
        <v>-414.04629999999997</v>
      </c>
      <c r="K5727">
        <v>1.13064599999999</v>
      </c>
      <c r="L5727">
        <v>138.77170000000001</v>
      </c>
      <c r="M5727">
        <v>-0.88837579999999905</v>
      </c>
      <c r="N5727">
        <v>-1.5539209999999999E-2</v>
      </c>
      <c r="O5727">
        <v>-0.45885399999999998</v>
      </c>
      <c r="P5727">
        <v>-0.78882929999999996</v>
      </c>
      <c r="Q5727">
        <v>-9.3508010000000003E-2</v>
      </c>
      <c r="R5727">
        <v>-0.60745780000000005</v>
      </c>
      <c r="S5727">
        <v>-1.5687869999999999</v>
      </c>
      <c r="T5727">
        <v>-0.49846360000000001</v>
      </c>
      <c r="U5727">
        <v>-2.8565369999999999</v>
      </c>
      <c r="V5727">
        <v>-0.17580570000000001</v>
      </c>
      <c r="W5727">
        <v>-8.2472329999999996E-2</v>
      </c>
      <c r="X5727">
        <v>0.98096419999999995</v>
      </c>
      <c r="Y5727">
        <v>-0.55527510000000002</v>
      </c>
      <c r="Z5727">
        <v>1.7515619999999999E-2</v>
      </c>
      <c r="AA5727">
        <v>0.83148230000000001</v>
      </c>
      <c r="AB5727">
        <v>26</v>
      </c>
      <c r="AC5727">
        <v>-0.21650000000005301</v>
      </c>
      <c r="AD5727">
        <v>-0.13997499999999899</v>
      </c>
      <c r="AE5727">
        <v>-0.67360000000002096</v>
      </c>
      <c r="AF5727">
        <v>-0.48032903854958597</v>
      </c>
      <c r="AG5727">
        <v>-0.13997499999999899</v>
      </c>
      <c r="AH5727">
        <v>0.48259019171859002</v>
      </c>
      <c r="AI5727">
        <v>101.616846188522</v>
      </c>
      <c r="AJ5727">
        <v>134.865456736955</v>
      </c>
      <c r="AK5727">
        <v>0.69512752717897397</v>
      </c>
      <c r="AL5727">
        <v>94.730689367787505</v>
      </c>
      <c r="AM5727">
        <v>100.16052665596099</v>
      </c>
      <c r="AN5727">
        <v>1.0000000455248701</v>
      </c>
    </row>
    <row r="5728" spans="1:40" x14ac:dyDescent="0.25">
      <c r="A5728" t="str">
        <f>"20190303154255277"</f>
        <v>20190303154255277</v>
      </c>
      <c r="B5728" t="str">
        <f>"1551598975266287"</f>
        <v>1551598975266287</v>
      </c>
      <c r="C5728" t="s">
        <v>40</v>
      </c>
      <c r="D5728">
        <v>5.1773680000000004</v>
      </c>
      <c r="E5728">
        <v>0.31049379999999999</v>
      </c>
      <c r="F5728" t="s">
        <v>42</v>
      </c>
      <c r="G5728">
        <v>-414.43299999999999</v>
      </c>
      <c r="H5728">
        <v>1.0130330000000001</v>
      </c>
      <c r="I5728">
        <v>137.95760000000001</v>
      </c>
      <c r="J5728">
        <v>-414.27319999999997</v>
      </c>
      <c r="K5728">
        <v>1.1307119999999999</v>
      </c>
      <c r="L5728">
        <v>138.63669999999999</v>
      </c>
      <c r="M5728">
        <v>-0.8816252</v>
      </c>
      <c r="N5728">
        <v>-1.556537E-2</v>
      </c>
      <c r="O5728">
        <v>-0.47169339999999998</v>
      </c>
      <c r="P5728">
        <v>-0.77980669999999996</v>
      </c>
      <c r="Q5728">
        <v>-9.4217709999999996E-2</v>
      </c>
      <c r="R5728">
        <v>-0.61888929999999998</v>
      </c>
      <c r="S5728">
        <v>-1.4313049999999901</v>
      </c>
      <c r="T5728">
        <v>-0.43521179999999898</v>
      </c>
      <c r="U5728">
        <v>-3.012985</v>
      </c>
      <c r="V5728">
        <v>-0.1758797</v>
      </c>
      <c r="W5728">
        <v>-8.3193089999999997E-2</v>
      </c>
      <c r="X5728">
        <v>0.98089000000000004</v>
      </c>
      <c r="Y5728">
        <v>-0.59175849999999997</v>
      </c>
      <c r="Z5728">
        <v>1.1923619999999999E-2</v>
      </c>
      <c r="AA5728">
        <v>0.8060271</v>
      </c>
      <c r="AB5728">
        <v>26</v>
      </c>
      <c r="AC5728">
        <v>-0.15980000000007499</v>
      </c>
      <c r="AD5728">
        <v>-0.11767900000000001</v>
      </c>
      <c r="AE5728">
        <v>-0.67909999999997595</v>
      </c>
      <c r="AF5728">
        <v>-0.50891833735631997</v>
      </c>
      <c r="AG5728">
        <v>-0.11767900000000001</v>
      </c>
      <c r="AH5728">
        <v>0.44850535416349002</v>
      </c>
      <c r="AI5728">
        <v>99.841666878608805</v>
      </c>
      <c r="AJ5728">
        <v>138.61054986836001</v>
      </c>
      <c r="AK5728">
        <v>0.68847895672405102</v>
      </c>
      <c r="AL5728">
        <v>94.772128613548702</v>
      </c>
      <c r="AM5728">
        <v>100.16546714351</v>
      </c>
      <c r="AN5728">
        <v>0.99999997559791798</v>
      </c>
    </row>
    <row r="5729" spans="1:40" x14ac:dyDescent="0.25">
      <c r="A5729" t="str">
        <f>"20190303154255300"</f>
        <v>20190303154255300</v>
      </c>
      <c r="B5729" t="str">
        <f>"1551598975295567"</f>
        <v>1551598975295567</v>
      </c>
      <c r="C5729" t="s">
        <v>40</v>
      </c>
      <c r="D5729">
        <v>5.1489510000000003</v>
      </c>
      <c r="E5729">
        <v>0.31102360000000001</v>
      </c>
      <c r="F5729" t="s">
        <v>57</v>
      </c>
      <c r="G5729">
        <v>-417.84120000000001</v>
      </c>
      <c r="H5729" s="1">
        <v>-6.3574929999999997E-6</v>
      </c>
      <c r="I5729">
        <v>130.8656</v>
      </c>
      <c r="J5729">
        <v>-414.48289999999997</v>
      </c>
      <c r="K5729">
        <v>1.1307739999999999</v>
      </c>
      <c r="L5729">
        <v>138.5076</v>
      </c>
      <c r="M5729">
        <v>-0.87508430000000004</v>
      </c>
      <c r="N5729">
        <v>-1.5590990000000001E-2</v>
      </c>
      <c r="O5729">
        <v>-0.48371930000000002</v>
      </c>
      <c r="P5729">
        <v>-0.77090009999999998</v>
      </c>
      <c r="Q5729">
        <v>-9.5215270000000005E-2</v>
      </c>
      <c r="R5729">
        <v>-0.62979909999999995</v>
      </c>
      <c r="S5729">
        <v>-1.390442</v>
      </c>
      <c r="T5729">
        <v>-0.44064029999999998</v>
      </c>
      <c r="U5729">
        <v>-3.028381</v>
      </c>
      <c r="V5729">
        <v>-0.17627019999999999</v>
      </c>
      <c r="W5729">
        <v>-8.4210129999999994E-2</v>
      </c>
      <c r="X5729">
        <v>0.98073319999999997</v>
      </c>
      <c r="Y5729">
        <v>-0.59127869999999905</v>
      </c>
      <c r="Z5729">
        <v>1.3975700000000001E-2</v>
      </c>
      <c r="AA5729">
        <v>0.80634619999999901</v>
      </c>
      <c r="AB5729">
        <v>26</v>
      </c>
      <c r="AC5729">
        <v>-3.3583000000000398</v>
      </c>
      <c r="AD5729">
        <v>-1.130780357493</v>
      </c>
      <c r="AE5729">
        <v>-7.6419999999999897</v>
      </c>
      <c r="AF5729">
        <v>-4.9722889655845703</v>
      </c>
      <c r="AG5729">
        <v>-1.130780357493</v>
      </c>
      <c r="AH5729">
        <v>6.5165993654845398</v>
      </c>
      <c r="AI5729">
        <v>97.854471093411703</v>
      </c>
      <c r="AJ5729">
        <v>127.344318697104</v>
      </c>
      <c r="AK5729">
        <v>8.2745627717964396</v>
      </c>
      <c r="AL5729">
        <v>94.830605467388196</v>
      </c>
      <c r="AM5729">
        <v>100.189159672342</v>
      </c>
      <c r="AN5729">
        <v>1.00000006949244</v>
      </c>
    </row>
    <row r="5730" spans="1:40" x14ac:dyDescent="0.25">
      <c r="A5730" t="str">
        <f>"20190303154255321"</f>
        <v>20190303154255321</v>
      </c>
      <c r="B5730" t="str">
        <f>"1551598975315594"</f>
        <v>1551598975315594</v>
      </c>
      <c r="C5730" t="s">
        <v>40</v>
      </c>
      <c r="D5730">
        <v>5.1986879999999998</v>
      </c>
      <c r="E5730">
        <v>0.31208089999999999</v>
      </c>
      <c r="F5730" t="s">
        <v>57</v>
      </c>
      <c r="G5730">
        <v>-417.91899999999998</v>
      </c>
      <c r="H5730" s="1">
        <v>-6.3090369999999996E-6</v>
      </c>
      <c r="I5730">
        <v>130.7577</v>
      </c>
      <c r="J5730">
        <v>-414.69310000000002</v>
      </c>
      <c r="K5730">
        <v>1.130833</v>
      </c>
      <c r="L5730">
        <v>138.3741</v>
      </c>
      <c r="M5730">
        <v>-0.86823930000000005</v>
      </c>
      <c r="N5730">
        <v>-1.561683E-2</v>
      </c>
      <c r="O5730">
        <v>-0.4958999</v>
      </c>
      <c r="P5730">
        <v>-0.76188109999999998</v>
      </c>
      <c r="Q5730">
        <v>-9.6426639999999994E-2</v>
      </c>
      <c r="R5730">
        <v>-0.6404995</v>
      </c>
      <c r="S5730">
        <v>-1.349701</v>
      </c>
      <c r="T5730">
        <v>-0.44417180000000001</v>
      </c>
      <c r="U5730">
        <v>-3.0441590000000001</v>
      </c>
      <c r="V5730">
        <v>-0.17628920000000001</v>
      </c>
      <c r="W5730">
        <v>-8.5428400000000002E-2</v>
      </c>
      <c r="X5730">
        <v>0.9806243</v>
      </c>
      <c r="Y5730">
        <v>-0.59061909999999995</v>
      </c>
      <c r="Z5730">
        <v>1.5998410000000001E-2</v>
      </c>
      <c r="AA5730">
        <v>0.80679179999999995</v>
      </c>
      <c r="AB5730">
        <v>26</v>
      </c>
      <c r="AC5730">
        <v>-3.2259000000000202</v>
      </c>
      <c r="AD5730">
        <v>-1.1308393090369999</v>
      </c>
      <c r="AE5730">
        <v>-7.6163999999999898</v>
      </c>
      <c r="AF5730">
        <v>-4.9217506274471798</v>
      </c>
      <c r="AG5730">
        <v>-1.1308393090369999</v>
      </c>
      <c r="AH5730">
        <v>6.4579189469187002</v>
      </c>
      <c r="AI5730">
        <v>97.928714706730801</v>
      </c>
      <c r="AJ5730">
        <v>127.311982789929</v>
      </c>
      <c r="AK5730">
        <v>8.1979963348742508</v>
      </c>
      <c r="AL5730">
        <v>94.900660206019097</v>
      </c>
      <c r="AM5730">
        <v>100.191342865004</v>
      </c>
      <c r="AN5730">
        <v>0.99999995565684396</v>
      </c>
    </row>
    <row r="5731" spans="1:40" x14ac:dyDescent="0.25">
      <c r="A5731" t="str">
        <f>"20190303154255344"</f>
        <v>20190303154255344</v>
      </c>
      <c r="B5731" t="str">
        <f>"1551598975336090"</f>
        <v>1551598975336090</v>
      </c>
      <c r="C5731" t="s">
        <v>40</v>
      </c>
      <c r="D5731">
        <v>5.2440499999999997</v>
      </c>
      <c r="E5731">
        <v>0.320739099999999</v>
      </c>
      <c r="F5731" t="s">
        <v>57</v>
      </c>
      <c r="G5731">
        <v>-417.99560000000002</v>
      </c>
      <c r="H5731" s="1">
        <v>-6.2732039999999996E-6</v>
      </c>
      <c r="I5731">
        <v>130.6807</v>
      </c>
      <c r="J5731">
        <v>-414.9135</v>
      </c>
      <c r="K5731">
        <v>1.1309009999999999</v>
      </c>
      <c r="L5731">
        <v>138.2294</v>
      </c>
      <c r="M5731">
        <v>-0.86072669999999996</v>
      </c>
      <c r="N5731">
        <v>-1.5643089999999998E-2</v>
      </c>
      <c r="O5731">
        <v>-0.50882729999999998</v>
      </c>
      <c r="P5731">
        <v>-0.751442099999999</v>
      </c>
      <c r="Q5731">
        <v>-9.8050520000000002E-2</v>
      </c>
      <c r="R5731">
        <v>-0.65247310000000003</v>
      </c>
      <c r="S5731">
        <v>-1.311768</v>
      </c>
      <c r="T5731">
        <v>-0.44917699999999999</v>
      </c>
      <c r="U5731">
        <v>-3.0558779999999999</v>
      </c>
      <c r="V5731">
        <v>-0.17719279999999901</v>
      </c>
      <c r="W5731">
        <v>-8.7082720000000002E-2</v>
      </c>
      <c r="X5731">
        <v>0.98031590000000002</v>
      </c>
      <c r="Y5731">
        <v>-0.58817580000000003</v>
      </c>
      <c r="Z5731">
        <v>1.8449690000000001E-2</v>
      </c>
      <c r="AA5731">
        <v>0.80852259999999998</v>
      </c>
      <c r="AB5731">
        <v>26</v>
      </c>
      <c r="AC5731">
        <v>-3.08210000000002</v>
      </c>
      <c r="AD5731">
        <v>-1.130907273204</v>
      </c>
      <c r="AE5731">
        <v>-7.5486999999999904</v>
      </c>
      <c r="AF5731">
        <v>-4.8366679085428004</v>
      </c>
      <c r="AG5731">
        <v>-1.130907273204</v>
      </c>
      <c r="AH5731">
        <v>6.3720417304515697</v>
      </c>
      <c r="AI5731">
        <v>98.046443196385695</v>
      </c>
      <c r="AJ5731">
        <v>127.20014254605699</v>
      </c>
      <c r="AK5731">
        <v>8.0793083573242708</v>
      </c>
      <c r="AL5731">
        <v>94.995800255898402</v>
      </c>
      <c r="AM5731">
        <v>100.24563119280199</v>
      </c>
      <c r="AN5731">
        <v>0.99999997614362302</v>
      </c>
    </row>
    <row r="5732" spans="1:40" x14ac:dyDescent="0.25">
      <c r="A5732" t="str">
        <f>"20190303154255365"</f>
        <v>20190303154255365</v>
      </c>
      <c r="B5732" t="str">
        <f>"1551598975356585"</f>
        <v>1551598975356585</v>
      </c>
      <c r="C5732" t="s">
        <v>40</v>
      </c>
      <c r="D5732">
        <v>5.1619760000000001</v>
      </c>
      <c r="E5732">
        <v>0.32074849999999999</v>
      </c>
      <c r="F5732" t="s">
        <v>42</v>
      </c>
      <c r="G5732">
        <v>-415.31389999999999</v>
      </c>
      <c r="H5732">
        <v>0.9921451</v>
      </c>
      <c r="I5732">
        <v>137.30340000000001</v>
      </c>
      <c r="J5732">
        <v>-415.11070000000001</v>
      </c>
      <c r="K5732">
        <v>1.1309480000000001</v>
      </c>
      <c r="L5732">
        <v>138.09569999999999</v>
      </c>
      <c r="M5732">
        <v>-0.85370440000000003</v>
      </c>
      <c r="N5732">
        <v>-1.5666469999999998E-2</v>
      </c>
      <c r="O5732">
        <v>-0.52052240000000005</v>
      </c>
      <c r="P5732">
        <v>-0.74183390000000005</v>
      </c>
      <c r="Q5732">
        <v>-9.9198679999999997E-2</v>
      </c>
      <c r="R5732">
        <v>-0.66320630000000003</v>
      </c>
      <c r="S5732">
        <v>-1.307404</v>
      </c>
      <c r="T5732">
        <v>-0.45308379999999998</v>
      </c>
      <c r="U5732">
        <v>-3.0240629999999999</v>
      </c>
      <c r="V5732">
        <v>-0.17794789999999999</v>
      </c>
      <c r="W5732">
        <v>-8.8255600000000003E-2</v>
      </c>
      <c r="X5732">
        <v>0.98007420000000001</v>
      </c>
      <c r="Y5732">
        <v>-0.575111699999999</v>
      </c>
      <c r="Z5732">
        <v>2.1901819999999999E-2</v>
      </c>
      <c r="AA5732">
        <v>0.81778169999999994</v>
      </c>
      <c r="AB5732">
        <v>26</v>
      </c>
      <c r="AC5732">
        <v>-0.20319999999998101</v>
      </c>
      <c r="AD5732">
        <v>-0.13880290000000001</v>
      </c>
      <c r="AE5732">
        <v>-0.79229999999998302</v>
      </c>
      <c r="AF5732">
        <v>-0.55471551358186599</v>
      </c>
      <c r="AG5732">
        <v>-0.13880290000000001</v>
      </c>
      <c r="AH5732">
        <v>0.56955289594883896</v>
      </c>
      <c r="AI5732">
        <v>99.903145541035002</v>
      </c>
      <c r="AJ5732">
        <v>134.243890487925</v>
      </c>
      <c r="AK5732">
        <v>0.80707251677932501</v>
      </c>
      <c r="AL5732">
        <v>95.063261105562603</v>
      </c>
      <c r="AM5732">
        <v>100.290844987822</v>
      </c>
      <c r="AN5732">
        <v>0.99999997177570399</v>
      </c>
    </row>
    <row r="5733" spans="1:40" x14ac:dyDescent="0.25">
      <c r="A5733" t="str">
        <f>"20190303154255388"</f>
        <v>20190303154255388</v>
      </c>
      <c r="B5733" t="str">
        <f>"1551598975376106"</f>
        <v>1551598975376106</v>
      </c>
      <c r="C5733" t="s">
        <v>40</v>
      </c>
      <c r="D5733">
        <v>5.2295489999999996</v>
      </c>
      <c r="E5733">
        <v>0.32126379999999999</v>
      </c>
      <c r="F5733" t="s">
        <v>42</v>
      </c>
      <c r="G5733">
        <v>-415.49279999999999</v>
      </c>
      <c r="H5733">
        <v>0.99294170000000004</v>
      </c>
      <c r="I5733">
        <v>137.17609999999999</v>
      </c>
      <c r="J5733">
        <v>-415.32029999999997</v>
      </c>
      <c r="K5733">
        <v>1.131</v>
      </c>
      <c r="L5733">
        <v>137.94909999999999</v>
      </c>
      <c r="M5733">
        <v>-0.84590829999999995</v>
      </c>
      <c r="N5733">
        <v>-1.5692319999999999E-2</v>
      </c>
      <c r="O5733">
        <v>-0.53309770000000001</v>
      </c>
      <c r="P5733">
        <v>-0.73087809999999998</v>
      </c>
      <c r="Q5733">
        <v>-9.9264900000000003E-2</v>
      </c>
      <c r="R5733">
        <v>-0.6752513</v>
      </c>
      <c r="S5733">
        <v>-1.263123</v>
      </c>
      <c r="T5733">
        <v>-0.45636939999999998</v>
      </c>
      <c r="U5733">
        <v>-3.0423279999999999</v>
      </c>
      <c r="V5733">
        <v>-0.1794634</v>
      </c>
      <c r="W5733">
        <v>-8.8364990000000004E-2</v>
      </c>
      <c r="X5733">
        <v>0.97978799999999999</v>
      </c>
      <c r="Y5733">
        <v>-0.57495240000000003</v>
      </c>
      <c r="Z5733">
        <v>2.405941E-2</v>
      </c>
      <c r="AA5733">
        <v>0.81783309999999998</v>
      </c>
      <c r="AB5733">
        <v>26</v>
      </c>
      <c r="AC5733">
        <v>-0.172500000000013</v>
      </c>
      <c r="AD5733">
        <v>-0.13805829999999999</v>
      </c>
      <c r="AE5733">
        <v>-0.77299999999999602</v>
      </c>
      <c r="AF5733">
        <v>-0.54542414928434002</v>
      </c>
      <c r="AG5733">
        <v>-0.13805829999999999</v>
      </c>
      <c r="AH5733">
        <v>0.54161533865959399</v>
      </c>
      <c r="AI5733">
        <v>100.182305665122</v>
      </c>
      <c r="AJ5733">
        <v>135.200754326897</v>
      </c>
      <c r="AK5733">
        <v>0.78095759929255004</v>
      </c>
      <c r="AL5733">
        <v>95.069553109825506</v>
      </c>
      <c r="AM5733">
        <v>100.379556420597</v>
      </c>
      <c r="AN5733">
        <v>1.0000000041706301</v>
      </c>
    </row>
    <row r="5734" spans="1:40" x14ac:dyDescent="0.25">
      <c r="A5734" t="str">
        <f>"20190303154255411"</f>
        <v>20190303154255411</v>
      </c>
      <c r="B5734" t="str">
        <f>"1551598975405893"</f>
        <v>1551598975405893</v>
      </c>
      <c r="C5734" t="s">
        <v>40</v>
      </c>
      <c r="D5734">
        <v>5.1839779999999998</v>
      </c>
      <c r="E5734">
        <v>0.32238830000000002</v>
      </c>
      <c r="F5734" t="s">
        <v>42</v>
      </c>
      <c r="G5734">
        <v>-415.6764</v>
      </c>
      <c r="H5734">
        <v>0.99770780000000003</v>
      </c>
      <c r="I5734">
        <v>137.05340000000001</v>
      </c>
      <c r="J5734">
        <v>-415.52629999999999</v>
      </c>
      <c r="K5734">
        <v>1.1310610000000001</v>
      </c>
      <c r="L5734">
        <v>137.8004</v>
      </c>
      <c r="M5734">
        <v>-0.83790089999999995</v>
      </c>
      <c r="N5734">
        <v>-1.5718900000000001E-2</v>
      </c>
      <c r="O5734">
        <v>-0.54559590000000002</v>
      </c>
      <c r="P5734">
        <v>-0.72009489999999998</v>
      </c>
      <c r="Q5734">
        <v>-9.8162899999999997E-2</v>
      </c>
      <c r="R5734">
        <v>-0.68689699999999998</v>
      </c>
      <c r="S5734">
        <v>-1.2160949999999999</v>
      </c>
      <c r="T5734">
        <v>-0.45526119999999998</v>
      </c>
      <c r="U5734">
        <v>-3.0596160000000001</v>
      </c>
      <c r="V5734">
        <v>-0.18057790000000001</v>
      </c>
      <c r="W5734">
        <v>-8.729286E-2</v>
      </c>
      <c r="X5734">
        <v>0.97967930000000003</v>
      </c>
      <c r="Y5734">
        <v>-0.57531679999999996</v>
      </c>
      <c r="Z5734">
        <v>2.5846549999999999E-2</v>
      </c>
      <c r="AA5734">
        <v>0.81752219999999998</v>
      </c>
      <c r="AB5734">
        <v>26</v>
      </c>
      <c r="AC5734">
        <v>-0.150100000000009</v>
      </c>
      <c r="AD5734">
        <v>-0.13335319999999901</v>
      </c>
      <c r="AE5734">
        <v>-0.74699999999998501</v>
      </c>
      <c r="AF5734">
        <v>-0.52791420709746295</v>
      </c>
      <c r="AG5734">
        <v>-0.13335319999999901</v>
      </c>
      <c r="AH5734">
        <v>0.51754165257873697</v>
      </c>
      <c r="AI5734">
        <v>100.225130146694</v>
      </c>
      <c r="AJ5734">
        <v>135.56844494368599</v>
      </c>
      <c r="AK5734">
        <v>0.75121624593688996</v>
      </c>
      <c r="AL5734">
        <v>95.007886416860501</v>
      </c>
      <c r="AM5734">
        <v>100.443734713217</v>
      </c>
      <c r="AN5734">
        <v>0.99999997611193903</v>
      </c>
    </row>
    <row r="5735" spans="1:40" x14ac:dyDescent="0.25">
      <c r="A5735" t="str">
        <f>"20190303154255434"</f>
        <v>20190303154255434</v>
      </c>
      <c r="B5735" t="str">
        <f>"1551598975426389"</f>
        <v>1551598975426389</v>
      </c>
      <c r="C5735" t="s">
        <v>40</v>
      </c>
      <c r="D5735">
        <v>5.4523070000000002</v>
      </c>
      <c r="E5735">
        <v>0.33317259999999999</v>
      </c>
      <c r="F5735" t="s">
        <v>42</v>
      </c>
      <c r="G5735">
        <v>-415.85919999999999</v>
      </c>
      <c r="H5735">
        <v>1.003104</v>
      </c>
      <c r="I5735">
        <v>136.92939999999999</v>
      </c>
      <c r="J5735">
        <v>-415.7321</v>
      </c>
      <c r="K5735">
        <v>1.1311249999999999</v>
      </c>
      <c r="L5735">
        <v>137.64689999999999</v>
      </c>
      <c r="M5735">
        <v>-0.82954699999999904</v>
      </c>
      <c r="N5735">
        <v>-1.5745950000000002E-2</v>
      </c>
      <c r="O5735">
        <v>-0.55821509999999996</v>
      </c>
      <c r="P5735">
        <v>-0.70950809999999997</v>
      </c>
      <c r="Q5735">
        <v>-9.8203470000000001E-2</v>
      </c>
      <c r="R5735">
        <v>-0.69782140000000004</v>
      </c>
      <c r="S5735">
        <v>-1.1736150000000001</v>
      </c>
      <c r="T5735">
        <v>-0.45130629999999999</v>
      </c>
      <c r="U5735">
        <v>-3.0726930000000001</v>
      </c>
      <c r="V5735">
        <v>-0.1807107</v>
      </c>
      <c r="W5735">
        <v>-8.7338529999999998E-2</v>
      </c>
      <c r="X5735">
        <v>0.97965069999999999</v>
      </c>
      <c r="Y5735">
        <v>-0.57405050000000002</v>
      </c>
      <c r="Z5735">
        <v>2.756192E-2</v>
      </c>
      <c r="AA5735">
        <v>0.81835599999999997</v>
      </c>
      <c r="AB5735">
        <v>26</v>
      </c>
      <c r="AC5735">
        <v>-0.127099999999984</v>
      </c>
      <c r="AD5735">
        <v>-0.128020999999999</v>
      </c>
      <c r="AE5735">
        <v>-0.71750000000000103</v>
      </c>
      <c r="AF5735">
        <v>-0.50861610956159498</v>
      </c>
      <c r="AG5735">
        <v>-0.128020999999999</v>
      </c>
      <c r="AH5735">
        <v>0.49086567776678303</v>
      </c>
      <c r="AI5735">
        <v>100.265805226033</v>
      </c>
      <c r="AJ5735">
        <v>136.01744517480699</v>
      </c>
      <c r="AK5735">
        <v>0.71835147174347402</v>
      </c>
      <c r="AL5735">
        <v>95.0105133541702</v>
      </c>
      <c r="AM5735">
        <v>100.45154442282001</v>
      </c>
      <c r="AN5735">
        <v>0.99999993496376804</v>
      </c>
    </row>
    <row r="5736" spans="1:40" x14ac:dyDescent="0.25">
      <c r="A5736" t="str">
        <f>"20190303154255455"</f>
        <v>20190303154255455</v>
      </c>
      <c r="B5736" t="str">
        <f>"1551598975445909"</f>
        <v>1551598975445909</v>
      </c>
      <c r="C5736" t="s">
        <v>40</v>
      </c>
      <c r="D5736">
        <v>5.4737229999999997</v>
      </c>
      <c r="E5736">
        <v>0.33600429999999998</v>
      </c>
      <c r="F5736" t="s">
        <v>42</v>
      </c>
      <c r="G5736">
        <v>-416.05669999999998</v>
      </c>
      <c r="H5736">
        <v>1.014715</v>
      </c>
      <c r="I5736">
        <v>136.81899999999999</v>
      </c>
      <c r="J5736">
        <v>-415.92259999999999</v>
      </c>
      <c r="K5736">
        <v>1.131192</v>
      </c>
      <c r="L5736">
        <v>137.50020000000001</v>
      </c>
      <c r="M5736">
        <v>-0.82146859999999999</v>
      </c>
      <c r="N5736">
        <v>-1.577139E-2</v>
      </c>
      <c r="O5736">
        <v>-0.57003590000000004</v>
      </c>
      <c r="P5736">
        <v>-0.69929090000000005</v>
      </c>
      <c r="Q5736">
        <v>-9.9055900000000002E-2</v>
      </c>
      <c r="R5736">
        <v>-0.7079413</v>
      </c>
      <c r="S5736">
        <v>-1.1882629999999901</v>
      </c>
      <c r="T5736">
        <v>-0.42619360000000001</v>
      </c>
      <c r="U5736">
        <v>-3.0309910000000002</v>
      </c>
      <c r="V5736">
        <v>-0.18079039999999999</v>
      </c>
      <c r="W5736">
        <v>-8.8196330000000003E-2</v>
      </c>
      <c r="X5736">
        <v>0.97955919999999996</v>
      </c>
      <c r="Y5736">
        <v>-0.55531330000000001</v>
      </c>
      <c r="Z5736">
        <v>2.891606E-2</v>
      </c>
      <c r="AA5736">
        <v>0.83113840000000005</v>
      </c>
      <c r="AB5736">
        <v>26</v>
      </c>
      <c r="AC5736">
        <v>-0.13409999999998901</v>
      </c>
      <c r="AD5736">
        <v>-0.116476999999999</v>
      </c>
      <c r="AE5736">
        <v>-0.68120000000001801</v>
      </c>
      <c r="AF5736">
        <v>-0.46997464941758699</v>
      </c>
      <c r="AG5736">
        <v>-0.116476999999999</v>
      </c>
      <c r="AH5736">
        <v>0.48488177357476397</v>
      </c>
      <c r="AI5736">
        <v>99.786652986861199</v>
      </c>
      <c r="AJ5736">
        <v>134.10557661144</v>
      </c>
      <c r="AK5736">
        <v>0.68523966389081203</v>
      </c>
      <c r="AL5736">
        <v>95.059851778444497</v>
      </c>
      <c r="AM5736">
        <v>100.45700744301099</v>
      </c>
      <c r="AN5736">
        <v>0.99999999383113403</v>
      </c>
    </row>
    <row r="5737" spans="1:40" x14ac:dyDescent="0.25">
      <c r="A5737" t="str">
        <f>"20190303154255478"</f>
        <v>20190303154255478</v>
      </c>
      <c r="B5737" t="str">
        <f>"1551598975466405"</f>
        <v>1551598975466405</v>
      </c>
      <c r="C5737" t="s">
        <v>40</v>
      </c>
      <c r="D5737">
        <v>5.4878679999999997</v>
      </c>
      <c r="E5737">
        <v>0.33834059999999999</v>
      </c>
      <c r="F5737" t="s">
        <v>42</v>
      </c>
      <c r="G5737">
        <v>-416.2337</v>
      </c>
      <c r="H5737">
        <v>1.017579</v>
      </c>
      <c r="I5737">
        <v>136.68809999999999</v>
      </c>
      <c r="J5737">
        <v>-416.11439999999999</v>
      </c>
      <c r="K5737">
        <v>1.131237</v>
      </c>
      <c r="L5737">
        <v>137.3476</v>
      </c>
      <c r="M5737">
        <v>-0.81297949999999997</v>
      </c>
      <c r="N5737">
        <v>-1.5797430000000001E-2</v>
      </c>
      <c r="O5737">
        <v>-0.58207790000000004</v>
      </c>
      <c r="P5737">
        <v>-0.68821909999999997</v>
      </c>
      <c r="Q5737">
        <v>-9.991941E-2</v>
      </c>
      <c r="R5737">
        <v>-0.71858919999999904</v>
      </c>
      <c r="S5737">
        <v>-1.1604920000000001</v>
      </c>
      <c r="T5737">
        <v>-0.4240294</v>
      </c>
      <c r="U5737">
        <v>-3.0320130000000001</v>
      </c>
      <c r="V5737">
        <v>-0.1814267</v>
      </c>
      <c r="W5737">
        <v>-8.9080770000000004E-2</v>
      </c>
      <c r="X5737">
        <v>0.9793615</v>
      </c>
      <c r="Y5737">
        <v>-0.54986599999999997</v>
      </c>
      <c r="Z5737">
        <v>3.0969759999999999E-2</v>
      </c>
      <c r="AA5737">
        <v>0.83467860000000005</v>
      </c>
      <c r="AB5737">
        <v>26</v>
      </c>
      <c r="AC5737">
        <v>-0.119300000000009</v>
      </c>
      <c r="AD5737">
        <v>-0.113658</v>
      </c>
      <c r="AE5737">
        <v>-0.65950000000000797</v>
      </c>
      <c r="AF5737">
        <v>-0.45372722861158199</v>
      </c>
      <c r="AG5737">
        <v>-0.113658</v>
      </c>
      <c r="AH5737">
        <v>0.46748409258073098</v>
      </c>
      <c r="AI5737">
        <v>99.896478221829</v>
      </c>
      <c r="AJ5737">
        <v>134.144439888991</v>
      </c>
      <c r="AK5737">
        <v>0.66130773151655897</v>
      </c>
      <c r="AL5737">
        <v>95.110726733562004</v>
      </c>
      <c r="AM5737">
        <v>100.495066444469</v>
      </c>
      <c r="AN5737">
        <v>0.99999998936946599</v>
      </c>
    </row>
    <row r="5738" spans="1:40" x14ac:dyDescent="0.25">
      <c r="A5738" t="str">
        <f>"20190303154255499"</f>
        <v>20190303154255499</v>
      </c>
      <c r="B5738" t="str">
        <f>"1551598975495685"</f>
        <v>1551598975495685</v>
      </c>
      <c r="C5738" t="s">
        <v>40</v>
      </c>
      <c r="D5738">
        <v>5.4747949999999896</v>
      </c>
      <c r="E5738">
        <v>0.3411612</v>
      </c>
      <c r="F5738" t="s">
        <v>42</v>
      </c>
      <c r="G5738">
        <v>-416.48919999999998</v>
      </c>
      <c r="H5738">
        <v>0.98873350000000004</v>
      </c>
      <c r="I5738">
        <v>136.33760000000001</v>
      </c>
      <c r="J5738">
        <v>-416.30689999999998</v>
      </c>
      <c r="K5738">
        <v>1.131289</v>
      </c>
      <c r="L5738">
        <v>137.18950000000001</v>
      </c>
      <c r="M5738">
        <v>-0.80409439999999999</v>
      </c>
      <c r="N5738">
        <v>-1.582395E-2</v>
      </c>
      <c r="O5738">
        <v>-0.59429100000000001</v>
      </c>
      <c r="P5738">
        <v>-0.67611369999999904</v>
      </c>
      <c r="Q5738">
        <v>-0.1009828</v>
      </c>
      <c r="R5738">
        <v>-0.72984469999999901</v>
      </c>
      <c r="S5738">
        <v>-1.1266480000000001</v>
      </c>
      <c r="T5738">
        <v>-0.4283806</v>
      </c>
      <c r="U5738">
        <v>-3.03627</v>
      </c>
      <c r="V5738">
        <v>-0.18284149999999999</v>
      </c>
      <c r="W5738">
        <v>-9.0186649999999993E-2</v>
      </c>
      <c r="X5738">
        <v>0.97899709999999995</v>
      </c>
      <c r="Y5738">
        <v>-0.54584969999999999</v>
      </c>
      <c r="Z5738">
        <v>3.3616880000000002E-2</v>
      </c>
      <c r="AA5738">
        <v>0.83720839999999996</v>
      </c>
      <c r="AB5738">
        <v>26</v>
      </c>
      <c r="AC5738">
        <v>-0.18229999999999699</v>
      </c>
      <c r="AD5738">
        <v>-0.1425555</v>
      </c>
      <c r="AE5738">
        <v>-0.85189999999999999</v>
      </c>
      <c r="AF5738">
        <v>-0.56170090025344499</v>
      </c>
      <c r="AG5738">
        <v>-0.1425555</v>
      </c>
      <c r="AH5738">
        <v>0.63591736619543804</v>
      </c>
      <c r="AI5738">
        <v>99.537475853090598</v>
      </c>
      <c r="AJ5738">
        <v>131.45391227144199</v>
      </c>
      <c r="AK5738">
        <v>0.86036089436626695</v>
      </c>
      <c r="AL5738">
        <v>95.174345099347406</v>
      </c>
      <c r="AM5738">
        <v>100.578917177771</v>
      </c>
      <c r="AN5738">
        <v>0.999999983884441</v>
      </c>
    </row>
    <row r="5739" spans="1:40" x14ac:dyDescent="0.25">
      <c r="A5739" t="str">
        <f>"20190303154255522"</f>
        <v>20190303154255522</v>
      </c>
      <c r="B5739" t="str">
        <f>"1551598975515712"</f>
        <v>1551598975515712</v>
      </c>
      <c r="C5739" t="s">
        <v>40</v>
      </c>
      <c r="D5739">
        <v>5.5204040000000001</v>
      </c>
      <c r="E5739">
        <v>0.34189259999999999</v>
      </c>
      <c r="F5739" t="s">
        <v>42</v>
      </c>
      <c r="G5739">
        <v>-416.66140000000001</v>
      </c>
      <c r="H5739">
        <v>0.99101570000000005</v>
      </c>
      <c r="I5739">
        <v>136.20310000000001</v>
      </c>
      <c r="J5739">
        <v>-416.49970000000002</v>
      </c>
      <c r="K5739">
        <v>1.131329</v>
      </c>
      <c r="L5739">
        <v>137.02590000000001</v>
      </c>
      <c r="M5739">
        <v>-0.79480869999999904</v>
      </c>
      <c r="N5739">
        <v>-1.5849720000000001E-2</v>
      </c>
      <c r="O5739">
        <v>-0.606653199999999</v>
      </c>
      <c r="P5739">
        <v>-0.66284169999999998</v>
      </c>
      <c r="Q5739">
        <v>-0.1018805</v>
      </c>
      <c r="R5739">
        <v>-0.74179629999999996</v>
      </c>
      <c r="S5739">
        <v>-1.09234599999999</v>
      </c>
      <c r="T5739">
        <v>-0.43214000000000002</v>
      </c>
      <c r="U5739">
        <v>-3.0387270000000002</v>
      </c>
      <c r="V5739">
        <v>-0.18522269999999999</v>
      </c>
      <c r="W5739">
        <v>-9.1151750000000004E-2</v>
      </c>
      <c r="X5739">
        <v>0.97846</v>
      </c>
      <c r="Y5739">
        <v>-0.54151969999999905</v>
      </c>
      <c r="Z5739">
        <v>3.6328359999999997E-2</v>
      </c>
      <c r="AA5739">
        <v>0.83990279999999995</v>
      </c>
      <c r="AB5739">
        <v>26</v>
      </c>
      <c r="AC5739">
        <v>-0.16169999999999601</v>
      </c>
      <c r="AD5739">
        <v>-0.1403133</v>
      </c>
      <c r="AE5739">
        <v>-0.82279999999999998</v>
      </c>
      <c r="AF5739">
        <v>-0.540800368012882</v>
      </c>
      <c r="AG5739">
        <v>-0.1403133</v>
      </c>
      <c r="AH5739">
        <v>0.61065551006957097</v>
      </c>
      <c r="AI5739">
        <v>99.760270692497599</v>
      </c>
      <c r="AJ5739">
        <v>131.52830344866999</v>
      </c>
      <c r="AK5739">
        <v>0.82767929307074495</v>
      </c>
      <c r="AL5739">
        <v>95.229869716189398</v>
      </c>
      <c r="AM5739">
        <v>100.719265046513</v>
      </c>
      <c r="AN5739">
        <v>1.0000000308616701</v>
      </c>
    </row>
    <row r="5740" spans="1:40" x14ac:dyDescent="0.25">
      <c r="A5740" t="str">
        <f>"20190303154255544"</f>
        <v>20190303154255544</v>
      </c>
      <c r="B5740" t="str">
        <f>"1551598975536208"</f>
        <v>1551598975536208</v>
      </c>
      <c r="C5740" t="s">
        <v>40</v>
      </c>
      <c r="D5740">
        <v>5.4866570000000001</v>
      </c>
      <c r="E5740">
        <v>0.35339179999999998</v>
      </c>
      <c r="F5740" t="s">
        <v>42</v>
      </c>
      <c r="G5740">
        <v>-416.82830000000001</v>
      </c>
      <c r="H5740">
        <v>0.99377649999999995</v>
      </c>
      <c r="I5740">
        <v>136.06360000000001</v>
      </c>
      <c r="J5740">
        <v>-416.69009999999997</v>
      </c>
      <c r="K5740">
        <v>1.13137</v>
      </c>
      <c r="L5740">
        <v>136.85910000000001</v>
      </c>
      <c r="M5740">
        <v>-0.78525419999999901</v>
      </c>
      <c r="N5740">
        <v>-1.587359E-2</v>
      </c>
      <c r="O5740">
        <v>-0.61897009999999997</v>
      </c>
      <c r="P5740">
        <v>-0.64921530000000005</v>
      </c>
      <c r="Q5740">
        <v>-0.1030961</v>
      </c>
      <c r="R5740">
        <v>-0.75358499999999995</v>
      </c>
      <c r="S5740">
        <v>-1.0420529999999999</v>
      </c>
      <c r="T5740">
        <v>-0.43634469999999997</v>
      </c>
      <c r="U5740">
        <v>-3.053131</v>
      </c>
      <c r="V5740">
        <v>-0.18762219999999999</v>
      </c>
      <c r="W5740">
        <v>-9.2435219999999998E-2</v>
      </c>
      <c r="X5740">
        <v>0.97788220000000003</v>
      </c>
      <c r="Y5740">
        <v>-0.54204330000000001</v>
      </c>
      <c r="Z5740">
        <v>3.867404E-2</v>
      </c>
      <c r="AA5740">
        <v>0.83946010000000004</v>
      </c>
      <c r="AB5740">
        <v>25</v>
      </c>
      <c r="AC5740">
        <v>-0.13820000000004001</v>
      </c>
      <c r="AD5740">
        <v>-0.13759350000000001</v>
      </c>
      <c r="AE5740">
        <v>-0.79550000000000398</v>
      </c>
      <c r="AF5740">
        <v>-0.52397940638632001</v>
      </c>
      <c r="AG5740">
        <v>-0.13759350000000001</v>
      </c>
      <c r="AH5740">
        <v>0.584028148437711</v>
      </c>
      <c r="AI5740">
        <v>99.946320777787903</v>
      </c>
      <c r="AJ5740">
        <v>131.897875865407</v>
      </c>
      <c r="AK5740">
        <v>0.79660232721653002</v>
      </c>
      <c r="AL5740">
        <v>95.303719198495699</v>
      </c>
      <c r="AM5740">
        <v>100.861112226598</v>
      </c>
      <c r="AN5740">
        <v>0.99999997845306399</v>
      </c>
    </row>
    <row r="5741" spans="1:40" x14ac:dyDescent="0.25">
      <c r="A5741" t="str">
        <f>"20190303154255567"</f>
        <v>20190303154255567</v>
      </c>
      <c r="B5741" t="str">
        <f>"1551598975555728"</f>
        <v>1551598975555728</v>
      </c>
      <c r="C5741" t="s">
        <v>40</v>
      </c>
      <c r="D5741">
        <v>5.5048170000000001</v>
      </c>
      <c r="E5741">
        <v>0.35457630000000001</v>
      </c>
      <c r="F5741" t="s">
        <v>42</v>
      </c>
      <c r="G5741">
        <v>-417.01299999999998</v>
      </c>
      <c r="H5741">
        <v>1.0019990000000001</v>
      </c>
      <c r="I5741">
        <v>135.93819999999999</v>
      </c>
      <c r="J5741">
        <v>-416.87139999999999</v>
      </c>
      <c r="K5741">
        <v>1.1314010000000001</v>
      </c>
      <c r="L5741">
        <v>136.6953</v>
      </c>
      <c r="M5741">
        <v>-0.7757811</v>
      </c>
      <c r="N5741">
        <v>-1.5895409999999999E-2</v>
      </c>
      <c r="O5741">
        <v>-0.63080199999999997</v>
      </c>
      <c r="P5741">
        <v>-0.63595000000000002</v>
      </c>
      <c r="Q5741">
        <v>-0.1039593</v>
      </c>
      <c r="R5741">
        <v>-0.76469619999999905</v>
      </c>
      <c r="S5741">
        <v>-1.056152</v>
      </c>
      <c r="T5741">
        <v>-0.42323329999999998</v>
      </c>
      <c r="U5741">
        <v>-3.0131679999999998</v>
      </c>
      <c r="V5741">
        <v>-0.1897586</v>
      </c>
      <c r="W5741">
        <v>-9.3357780000000001E-2</v>
      </c>
      <c r="X5741">
        <v>0.97738219999999998</v>
      </c>
      <c r="Y5741">
        <v>-0.52247719999999997</v>
      </c>
      <c r="Z5741">
        <v>4.0838119999999999E-2</v>
      </c>
      <c r="AA5741">
        <v>0.85167469999999901</v>
      </c>
      <c r="AB5741">
        <v>25</v>
      </c>
      <c r="AC5741">
        <v>-0.141600000000039</v>
      </c>
      <c r="AD5741">
        <v>-0.12940199999999999</v>
      </c>
      <c r="AE5741">
        <v>-0.75710000000000799</v>
      </c>
      <c r="AF5741">
        <v>-0.484412360089643</v>
      </c>
      <c r="AG5741">
        <v>-0.12940199999999999</v>
      </c>
      <c r="AH5741">
        <v>0.57137749631088997</v>
      </c>
      <c r="AI5741">
        <v>99.800938861332099</v>
      </c>
      <c r="AJ5741">
        <v>130.29119172523301</v>
      </c>
      <c r="AK5741">
        <v>0.76017922590802101</v>
      </c>
      <c r="AL5741">
        <v>95.356807537126301</v>
      </c>
      <c r="AM5741">
        <v>100.987275434471</v>
      </c>
      <c r="AN5741">
        <v>0.999999983118664</v>
      </c>
    </row>
    <row r="5742" spans="1:40" x14ac:dyDescent="0.25">
      <c r="A5742" t="str">
        <f>"20190303154255590"</f>
        <v>20190303154255590</v>
      </c>
      <c r="B5742" t="str">
        <f>"1551598975585984"</f>
        <v>1551598975585984</v>
      </c>
      <c r="C5742" t="s">
        <v>40</v>
      </c>
      <c r="D5742">
        <v>5.4634199999999904</v>
      </c>
      <c r="E5742">
        <v>0.36054190000000003</v>
      </c>
      <c r="F5742" t="s">
        <v>42</v>
      </c>
      <c r="G5742">
        <v>-417.17320000000001</v>
      </c>
      <c r="H5742">
        <v>1.0058450000000001</v>
      </c>
      <c r="I5742">
        <v>135.792</v>
      </c>
      <c r="J5742">
        <v>-417.05829999999997</v>
      </c>
      <c r="K5742">
        <v>1.131432</v>
      </c>
      <c r="L5742">
        <v>136.52099999999999</v>
      </c>
      <c r="M5742">
        <v>-0.76560099999999998</v>
      </c>
      <c r="N5742">
        <v>-1.5918000000000002E-2</v>
      </c>
      <c r="O5742">
        <v>-0.643119</v>
      </c>
      <c r="P5742">
        <v>-0.62296200000000002</v>
      </c>
      <c r="Q5742">
        <v>-0.1044824</v>
      </c>
      <c r="R5742">
        <v>-0.77524329999999997</v>
      </c>
      <c r="S5742">
        <v>-1.0107729999999999</v>
      </c>
      <c r="T5742">
        <v>-0.42050490000000001</v>
      </c>
      <c r="U5742">
        <v>-3.0253450000000002</v>
      </c>
      <c r="V5742">
        <v>-0.19054670000000001</v>
      </c>
      <c r="W5742">
        <v>-9.3900559999999994E-2</v>
      </c>
      <c r="X5742">
        <v>0.97717679999999996</v>
      </c>
      <c r="Y5742">
        <v>-0.52142579999999905</v>
      </c>
      <c r="Z5742">
        <v>4.2438289999999997E-2</v>
      </c>
      <c r="AA5742">
        <v>0.85224069999999996</v>
      </c>
      <c r="AB5742">
        <v>25</v>
      </c>
      <c r="AC5742">
        <v>-0.114900000000034</v>
      </c>
      <c r="AD5742">
        <v>-0.125586999999999</v>
      </c>
      <c r="AE5742">
        <v>-0.72900000000001297</v>
      </c>
      <c r="AF5742">
        <v>-0.47066037548950801</v>
      </c>
      <c r="AG5742">
        <v>-0.125586999999999</v>
      </c>
      <c r="AH5742">
        <v>0.54119939907510395</v>
      </c>
      <c r="AI5742">
        <v>99.931815289654196</v>
      </c>
      <c r="AJ5742">
        <v>131.01223374294801</v>
      </c>
      <c r="AK5742">
        <v>0.72814152002490395</v>
      </c>
      <c r="AL5742">
        <v>95.388044048663502</v>
      </c>
      <c r="AM5742">
        <v>101.034052197723</v>
      </c>
      <c r="AN5742">
        <v>0.99999992925371906</v>
      </c>
    </row>
    <row r="5743" spans="1:40" x14ac:dyDescent="0.25">
      <c r="A5743" t="str">
        <f>"20190303154255612"</f>
        <v>20190303154255612</v>
      </c>
      <c r="B5743" t="str">
        <f>"1551598975606010"</f>
        <v>1551598975606010</v>
      </c>
      <c r="C5743" t="s">
        <v>40</v>
      </c>
      <c r="D5743">
        <v>5.4753480000000003</v>
      </c>
      <c r="E5743">
        <v>0.36564869999999999</v>
      </c>
      <c r="F5743" t="s">
        <v>42</v>
      </c>
      <c r="G5743">
        <v>-417.34519999999998</v>
      </c>
      <c r="H5743">
        <v>1.0151079999999999</v>
      </c>
      <c r="I5743">
        <v>135.65450000000001</v>
      </c>
      <c r="J5743">
        <v>-417.23489999999998</v>
      </c>
      <c r="K5743">
        <v>1.1314679999999999</v>
      </c>
      <c r="L5743">
        <v>136.35079999999999</v>
      </c>
      <c r="M5743">
        <v>-0.75557869999999905</v>
      </c>
      <c r="N5743">
        <v>-1.5939809999999999E-2</v>
      </c>
      <c r="O5743">
        <v>-0.654864</v>
      </c>
      <c r="P5743">
        <v>-0.61051630000000001</v>
      </c>
      <c r="Q5743">
        <v>-0.1052746</v>
      </c>
      <c r="R5743">
        <v>-0.78497609999999995</v>
      </c>
      <c r="S5743">
        <v>-0.99752810000000003</v>
      </c>
      <c r="T5743">
        <v>-0.40456199999999998</v>
      </c>
      <c r="U5743">
        <v>-3.0136409999999998</v>
      </c>
      <c r="V5743">
        <v>-0.1909361</v>
      </c>
      <c r="W5743">
        <v>-9.4701599999999997E-2</v>
      </c>
      <c r="X5743">
        <v>0.97702350000000004</v>
      </c>
      <c r="Y5743">
        <v>-0.51072790000000001</v>
      </c>
      <c r="Z5743">
        <v>4.2997720000000003E-2</v>
      </c>
      <c r="AA5743">
        <v>0.8586665</v>
      </c>
      <c r="AB5743">
        <v>25</v>
      </c>
      <c r="AC5743">
        <v>-0.110299999999995</v>
      </c>
      <c r="AD5743">
        <v>-0.11636000000000001</v>
      </c>
      <c r="AE5743">
        <v>-0.69629999999997905</v>
      </c>
      <c r="AF5743">
        <v>-0.441897096212792</v>
      </c>
      <c r="AG5743">
        <v>-0.11636000000000001</v>
      </c>
      <c r="AH5743">
        <v>0.52508584093743405</v>
      </c>
      <c r="AI5743">
        <v>99.623004397764404</v>
      </c>
      <c r="AJ5743">
        <v>130.08299776135101</v>
      </c>
      <c r="AK5743">
        <v>0.69608033558941296</v>
      </c>
      <c r="AL5743">
        <v>95.434145574322102</v>
      </c>
      <c r="AM5743">
        <v>101.057738262699</v>
      </c>
      <c r="AN5743">
        <v>0.99999995343900905</v>
      </c>
    </row>
    <row r="5744" spans="1:40" x14ac:dyDescent="0.25">
      <c r="A5744" t="str">
        <f>"20190303154255635"</f>
        <v>20190303154255635</v>
      </c>
      <c r="B5744" t="str">
        <f>"1551598975626507"</f>
        <v>1551598975626507</v>
      </c>
      <c r="C5744" t="s">
        <v>40</v>
      </c>
      <c r="D5744">
        <v>5.4989330000000001</v>
      </c>
      <c r="E5744">
        <v>0.36665730000000002</v>
      </c>
      <c r="F5744" t="s">
        <v>42</v>
      </c>
      <c r="G5744">
        <v>-417.50970000000001</v>
      </c>
      <c r="H5744">
        <v>1.0189979999999901</v>
      </c>
      <c r="I5744">
        <v>135.51060000000001</v>
      </c>
      <c r="J5744">
        <v>-417.41059999999999</v>
      </c>
      <c r="K5744">
        <v>1.1315</v>
      </c>
      <c r="L5744">
        <v>136.17599999999999</v>
      </c>
      <c r="M5744">
        <v>-0.74519049999999998</v>
      </c>
      <c r="N5744">
        <v>-1.596175E-2</v>
      </c>
      <c r="O5744">
        <v>-0.66666069999999999</v>
      </c>
      <c r="P5744">
        <v>-0.59802359999999999</v>
      </c>
      <c r="Q5744">
        <v>-0.10632519999999999</v>
      </c>
      <c r="R5744">
        <v>-0.79439459999999995</v>
      </c>
      <c r="S5744">
        <v>-0.98168949999999999</v>
      </c>
      <c r="T5744">
        <v>-0.40199960000000001</v>
      </c>
      <c r="U5744">
        <v>-3.0043329999999999</v>
      </c>
      <c r="V5744">
        <v>-0.19089130000000001</v>
      </c>
      <c r="W5744">
        <v>-9.5749239999999999E-2</v>
      </c>
      <c r="X5744">
        <v>0.97693019999999997</v>
      </c>
      <c r="Y5744">
        <v>-0.50057390000000002</v>
      </c>
      <c r="Z5744">
        <v>4.5244350000000003E-2</v>
      </c>
      <c r="AA5744">
        <v>0.86451069999999997</v>
      </c>
      <c r="AB5744">
        <v>25</v>
      </c>
      <c r="AC5744">
        <v>-9.9100000000021199E-2</v>
      </c>
      <c r="AD5744">
        <v>-0.112502</v>
      </c>
      <c r="AE5744">
        <v>-0.66540000000000499</v>
      </c>
      <c r="AF5744">
        <v>-0.41814466615048901</v>
      </c>
      <c r="AG5744">
        <v>-0.112502</v>
      </c>
      <c r="AH5744">
        <v>0.50343144182713495</v>
      </c>
      <c r="AI5744">
        <v>99.754175789869393</v>
      </c>
      <c r="AJ5744">
        <v>129.71265239316</v>
      </c>
      <c r="AK5744">
        <v>0.66403680504491003</v>
      </c>
      <c r="AL5744">
        <v>95.494444632178499</v>
      </c>
      <c r="AM5744">
        <v>101.056237465897</v>
      </c>
      <c r="AN5744">
        <v>1.00000001052415</v>
      </c>
    </row>
    <row r="5745" spans="1:40" x14ac:dyDescent="0.25">
      <c r="A5745" t="str">
        <f>"20190303154255660"</f>
        <v>20190303154255660</v>
      </c>
      <c r="B5745" t="str">
        <f>"1551598975655787"</f>
        <v>1551598975655787</v>
      </c>
      <c r="C5745" t="s">
        <v>40</v>
      </c>
      <c r="D5745">
        <v>5.5012299999999996</v>
      </c>
      <c r="E5745">
        <v>0.3678478</v>
      </c>
      <c r="F5745" t="s">
        <v>42</v>
      </c>
      <c r="G5745">
        <v>-417.66550000000001</v>
      </c>
      <c r="H5745">
        <v>1.0217969999999901</v>
      </c>
      <c r="I5745">
        <v>135.3595</v>
      </c>
      <c r="J5745">
        <v>-417.59769999999997</v>
      </c>
      <c r="K5745">
        <v>1.1315329999999999</v>
      </c>
      <c r="L5745">
        <v>135.98310000000001</v>
      </c>
      <c r="M5745">
        <v>-0.73363420000000001</v>
      </c>
      <c r="N5745">
        <v>-1.5985249999999999E-2</v>
      </c>
      <c r="O5745">
        <v>-0.67935649999999903</v>
      </c>
      <c r="P5745">
        <v>-0.58474150000000003</v>
      </c>
      <c r="Q5745">
        <v>-0.1069954</v>
      </c>
      <c r="R5745">
        <v>-0.80413279999999998</v>
      </c>
      <c r="S5745">
        <v>-0.94052119999999995</v>
      </c>
      <c r="T5745">
        <v>-0.40494619999999998</v>
      </c>
      <c r="U5745">
        <v>-3.0142519999999999</v>
      </c>
      <c r="V5745">
        <v>-0.19026019999999999</v>
      </c>
      <c r="W5745">
        <v>-9.6398360000000002E-2</v>
      </c>
      <c r="X5745">
        <v>0.97698940000000001</v>
      </c>
      <c r="Y5745">
        <v>-0.49732599999999999</v>
      </c>
      <c r="Z5745">
        <v>4.777899E-2</v>
      </c>
      <c r="AA5745">
        <v>0.86624709999999905</v>
      </c>
      <c r="AB5745">
        <v>25</v>
      </c>
      <c r="AC5745">
        <v>-6.7800000000033805E-2</v>
      </c>
      <c r="AD5745">
        <v>-0.109736</v>
      </c>
      <c r="AE5745">
        <v>-0.62360000000001004</v>
      </c>
      <c r="AF5745">
        <v>-0.39926721596521297</v>
      </c>
      <c r="AG5745">
        <v>-0.109736</v>
      </c>
      <c r="AH5745">
        <v>0.45938836542831801</v>
      </c>
      <c r="AI5745">
        <v>100.220332766813</v>
      </c>
      <c r="AJ5745">
        <v>130.99481384885999</v>
      </c>
      <c r="AK5745">
        <v>0.61846096864031297</v>
      </c>
      <c r="AL5745">
        <v>95.5318097144646</v>
      </c>
      <c r="AM5745">
        <v>101.01992966713701</v>
      </c>
      <c r="AN5745">
        <v>0.999999937613542</v>
      </c>
    </row>
    <row r="5746" spans="1:40" x14ac:dyDescent="0.25">
      <c r="A5746" t="str">
        <f>"20190303154255679"</f>
        <v>20190303154255679</v>
      </c>
      <c r="B5746" t="str">
        <f>"1551598975676283"</f>
        <v>1551598975676283</v>
      </c>
      <c r="C5746" t="s">
        <v>40</v>
      </c>
      <c r="D5746">
        <v>5.5096040000000004</v>
      </c>
      <c r="E5746">
        <v>0.37310290000000002</v>
      </c>
      <c r="F5746" t="s">
        <v>42</v>
      </c>
      <c r="G5746">
        <v>-417.8904</v>
      </c>
      <c r="H5746">
        <v>0.99893489999999996</v>
      </c>
      <c r="I5746">
        <v>134.99690000000001</v>
      </c>
      <c r="J5746">
        <v>-417.74250000000001</v>
      </c>
      <c r="K5746">
        <v>1.1315580000000001</v>
      </c>
      <c r="L5746">
        <v>135.82929999999999</v>
      </c>
      <c r="M5746">
        <v>-0.7243406</v>
      </c>
      <c r="N5746">
        <v>-1.6003159999999999E-2</v>
      </c>
      <c r="O5746">
        <v>-0.6892568</v>
      </c>
      <c r="P5746">
        <v>-0.57384219999999997</v>
      </c>
      <c r="Q5746">
        <v>-0.1076231</v>
      </c>
      <c r="R5746">
        <v>-0.81186369999999997</v>
      </c>
      <c r="S5746">
        <v>-0.89779659999999994</v>
      </c>
      <c r="T5746">
        <v>-0.40659250000000002</v>
      </c>
      <c r="U5746">
        <v>-3.0237880000000001</v>
      </c>
      <c r="V5746">
        <v>-0.19008700000000001</v>
      </c>
      <c r="W5746">
        <v>-9.7018820000000006E-2</v>
      </c>
      <c r="X5746">
        <v>0.97696179999999999</v>
      </c>
      <c r="Y5746">
        <v>-0.49755759999999999</v>
      </c>
      <c r="Z5746">
        <v>4.9525989999999999E-2</v>
      </c>
      <c r="AA5746">
        <v>0.86601600000000001</v>
      </c>
      <c r="AB5746">
        <v>25</v>
      </c>
      <c r="AC5746">
        <v>-0.14789999999999201</v>
      </c>
      <c r="AD5746">
        <v>-0.13262309999999999</v>
      </c>
      <c r="AE5746">
        <v>-0.83239999999997805</v>
      </c>
      <c r="AF5746">
        <v>-0.48903008288173699</v>
      </c>
      <c r="AG5746">
        <v>-0.13262309999999999</v>
      </c>
      <c r="AH5746">
        <v>0.66459997249689695</v>
      </c>
      <c r="AI5746">
        <v>99.131024574235497</v>
      </c>
      <c r="AJ5746">
        <v>126.346609224361</v>
      </c>
      <c r="AK5746">
        <v>0.83572270045739805</v>
      </c>
      <c r="AL5746">
        <v>95.567526306976703</v>
      </c>
      <c r="AM5746">
        <v>101.010446564924</v>
      </c>
      <c r="AN5746">
        <v>1.00000003883121</v>
      </c>
    </row>
    <row r="5747" spans="1:40" x14ac:dyDescent="0.25">
      <c r="A5747" t="str">
        <f>"20190303154255700"</f>
        <v>20190303154255700</v>
      </c>
      <c r="B5747" t="str">
        <f>"1551598975695803"</f>
        <v>1551598975695803</v>
      </c>
      <c r="C5747" t="s">
        <v>40</v>
      </c>
      <c r="D5747">
        <v>5.5265449999999996</v>
      </c>
      <c r="E5747">
        <v>0.37738169999999999</v>
      </c>
      <c r="F5747" t="s">
        <v>42</v>
      </c>
      <c r="G5747">
        <v>-418.03559999999999</v>
      </c>
      <c r="H5747">
        <v>0.99513850000000004</v>
      </c>
      <c r="I5747">
        <v>134.8391</v>
      </c>
      <c r="J5747">
        <v>-417.90620000000001</v>
      </c>
      <c r="K5747">
        <v>1.131586</v>
      </c>
      <c r="L5747">
        <v>135.6497</v>
      </c>
      <c r="M5747">
        <v>-0.71342269999999997</v>
      </c>
      <c r="N5747">
        <v>-1.6022720000000001E-2</v>
      </c>
      <c r="O5747">
        <v>-0.70055100000000003</v>
      </c>
      <c r="P5747">
        <v>-0.56146269999999998</v>
      </c>
      <c r="Q5747">
        <v>-0.1082253</v>
      </c>
      <c r="R5747">
        <v>-0.82039479999999998</v>
      </c>
      <c r="S5747">
        <v>-0.89123539999999901</v>
      </c>
      <c r="T5747">
        <v>-0.4147245</v>
      </c>
      <c r="U5747">
        <v>-3.0102690000000001</v>
      </c>
      <c r="V5747">
        <v>-0.18947849999999999</v>
      </c>
      <c r="W5747">
        <v>-9.7598519999999994E-2</v>
      </c>
      <c r="X5747">
        <v>0.97702219999999995</v>
      </c>
      <c r="Y5747">
        <v>-0.48465760000000002</v>
      </c>
      <c r="Z5747">
        <v>5.3627870000000001E-2</v>
      </c>
      <c r="AA5747">
        <v>0.87305840000000001</v>
      </c>
      <c r="AB5747">
        <v>25</v>
      </c>
      <c r="AC5747">
        <v>-0.12939999999997501</v>
      </c>
      <c r="AD5747">
        <v>-0.136447499999999</v>
      </c>
      <c r="AE5747">
        <v>-0.81059999999999299</v>
      </c>
      <c r="AF5747">
        <v>-0.47459825081447499</v>
      </c>
      <c r="AG5747">
        <v>-0.136447499999999</v>
      </c>
      <c r="AH5747">
        <v>0.642515132002351</v>
      </c>
      <c r="AI5747">
        <v>99.693548209873896</v>
      </c>
      <c r="AJ5747">
        <v>126.45168534563901</v>
      </c>
      <c r="AK5747">
        <v>0.81036233549222103</v>
      </c>
      <c r="AL5747">
        <v>95.600899400239598</v>
      </c>
      <c r="AM5747">
        <v>100.975395568827</v>
      </c>
      <c r="AN5747">
        <v>0.99999997618063896</v>
      </c>
    </row>
    <row r="5748" spans="1:40" x14ac:dyDescent="0.25">
      <c r="A5748" t="str">
        <f>"20190303154255723"</f>
        <v>20190303154255723</v>
      </c>
      <c r="B5748" t="str">
        <f>"1551598975715834"</f>
        <v>1551598975715834</v>
      </c>
      <c r="C5748" t="s">
        <v>40</v>
      </c>
      <c r="D5748">
        <v>5.5439100000000003</v>
      </c>
      <c r="E5748">
        <v>0.38314310000000001</v>
      </c>
      <c r="F5748" t="s">
        <v>42</v>
      </c>
      <c r="G5748">
        <v>-418.18669999999997</v>
      </c>
      <c r="H5748">
        <v>0.99603739999999996</v>
      </c>
      <c r="I5748">
        <v>134.68469999999999</v>
      </c>
      <c r="J5748">
        <v>-418.07040000000001</v>
      </c>
      <c r="K5748">
        <v>1.131607</v>
      </c>
      <c r="L5748">
        <v>135.46360000000001</v>
      </c>
      <c r="M5748">
        <v>-0.70202509999999996</v>
      </c>
      <c r="N5748">
        <v>-1.6041030000000001E-2</v>
      </c>
      <c r="O5748">
        <v>-0.71197159999999904</v>
      </c>
      <c r="P5748">
        <v>-0.54857889999999998</v>
      </c>
      <c r="Q5748">
        <v>-0.1081474</v>
      </c>
      <c r="R5748">
        <v>-0.82907520000000001</v>
      </c>
      <c r="S5748">
        <v>-0.87322999999999995</v>
      </c>
      <c r="T5748">
        <v>-0.42192449999999998</v>
      </c>
      <c r="U5748">
        <v>-3.0034939999999999</v>
      </c>
      <c r="V5748">
        <v>-0.18898000000000001</v>
      </c>
      <c r="W5748">
        <v>-9.7498920000000003E-2</v>
      </c>
      <c r="X5748">
        <v>0.97712869999999996</v>
      </c>
      <c r="Y5748">
        <v>-0.47489160000000002</v>
      </c>
      <c r="Z5748">
        <v>5.743591E-2</v>
      </c>
      <c r="AA5748">
        <v>0.87816799999999995</v>
      </c>
      <c r="AB5748">
        <v>25</v>
      </c>
      <c r="AC5748">
        <v>-0.116299999999967</v>
      </c>
      <c r="AD5748">
        <v>-0.13556960000000001</v>
      </c>
      <c r="AE5748">
        <v>-0.77890000000002102</v>
      </c>
      <c r="AF5748">
        <v>-0.45070859244338402</v>
      </c>
      <c r="AG5748">
        <v>-0.13556960000000001</v>
      </c>
      <c r="AH5748">
        <v>0.61796933863982395</v>
      </c>
      <c r="AI5748">
        <v>100.05103527957</v>
      </c>
      <c r="AJ5748">
        <v>126.104696812135</v>
      </c>
      <c r="AK5748">
        <v>0.776790483493071</v>
      </c>
      <c r="AL5748">
        <v>95.595165326748401</v>
      </c>
      <c r="AM5748">
        <v>100.946054510873</v>
      </c>
      <c r="AN5748">
        <v>0.99999998808242796</v>
      </c>
    </row>
    <row r="5749" spans="1:40" x14ac:dyDescent="0.25">
      <c r="A5749" t="str">
        <f>"20190303154255746"</f>
        <v>20190303154255746</v>
      </c>
      <c r="B5749" t="str">
        <f>"1551598975736327"</f>
        <v>1551598975736327</v>
      </c>
      <c r="C5749" t="s">
        <v>40</v>
      </c>
      <c r="D5749">
        <v>5.5401819999999997</v>
      </c>
      <c r="E5749">
        <v>0.38413999999999998</v>
      </c>
      <c r="F5749" t="s">
        <v>42</v>
      </c>
      <c r="G5749">
        <v>-418.34010000000001</v>
      </c>
      <c r="H5749">
        <v>1.002181</v>
      </c>
      <c r="I5749">
        <v>134.53100000000001</v>
      </c>
      <c r="J5749">
        <v>-418.22910000000002</v>
      </c>
      <c r="K5749">
        <v>1.1316349999999999</v>
      </c>
      <c r="L5749">
        <v>135.27780000000001</v>
      </c>
      <c r="M5749">
        <v>-0.69055529999999998</v>
      </c>
      <c r="N5749">
        <v>-1.6057869999999998E-2</v>
      </c>
      <c r="O5749">
        <v>-0.72310149999999995</v>
      </c>
      <c r="P5749">
        <v>-0.53563709999999998</v>
      </c>
      <c r="Q5749">
        <v>-0.1072709</v>
      </c>
      <c r="R5749">
        <v>-0.83760730000000005</v>
      </c>
      <c r="S5749">
        <v>-0.86471559999999903</v>
      </c>
      <c r="T5749">
        <v>-0.41518840000000001</v>
      </c>
      <c r="U5749">
        <v>-2.9921720000000001</v>
      </c>
      <c r="V5749">
        <v>-0.188634</v>
      </c>
      <c r="W5749">
        <v>-9.6603449999999993E-2</v>
      </c>
      <c r="X5749">
        <v>0.9772845</v>
      </c>
      <c r="Y5749">
        <v>-0.46230060000000001</v>
      </c>
      <c r="Z5749">
        <v>5.9083610000000002E-2</v>
      </c>
      <c r="AA5749">
        <v>0.88475269999999995</v>
      </c>
      <c r="AB5749">
        <v>25</v>
      </c>
      <c r="AC5749">
        <v>-0.11099999999999</v>
      </c>
      <c r="AD5749">
        <v>-0.12945399999999899</v>
      </c>
      <c r="AE5749">
        <v>-0.74680000000000701</v>
      </c>
      <c r="AF5749">
        <v>-0.42306096533256599</v>
      </c>
      <c r="AG5749">
        <v>-0.12945399999999899</v>
      </c>
      <c r="AH5749">
        <v>0.599129482808618</v>
      </c>
      <c r="AI5749">
        <v>100.009730822625</v>
      </c>
      <c r="AJ5749">
        <v>125.22691311617599</v>
      </c>
      <c r="AK5749">
        <v>0.74477852793608701</v>
      </c>
      <c r="AL5749">
        <v>95.543615241102202</v>
      </c>
      <c r="AM5749">
        <v>100.924796381234</v>
      </c>
      <c r="AN5749">
        <v>1.0000000032240699</v>
      </c>
    </row>
    <row r="5750" spans="1:40" x14ac:dyDescent="0.25">
      <c r="A5750" t="str">
        <f>"20190303154255767"</f>
        <v>20190303154255767</v>
      </c>
      <c r="B5750" t="str">
        <f>"1551598975755846"</f>
        <v>1551598975755846</v>
      </c>
      <c r="C5750" t="s">
        <v>40</v>
      </c>
      <c r="D5750">
        <v>5.5216209999999997</v>
      </c>
      <c r="E5750">
        <v>0.38459409999999999</v>
      </c>
      <c r="F5750" t="s">
        <v>42</v>
      </c>
      <c r="G5750">
        <v>-418.47930000000002</v>
      </c>
      <c r="H5750">
        <v>1.005379</v>
      </c>
      <c r="I5750">
        <v>134.36799999999999</v>
      </c>
      <c r="J5750">
        <v>-418.37920000000003</v>
      </c>
      <c r="K5750">
        <v>1.1316580000000001</v>
      </c>
      <c r="L5750">
        <v>135.09620000000001</v>
      </c>
      <c r="M5750">
        <v>-0.67926909999999996</v>
      </c>
      <c r="N5750">
        <v>-1.607393E-2</v>
      </c>
      <c r="O5750">
        <v>-0.73371319999999995</v>
      </c>
      <c r="P5750">
        <v>-0.5223875</v>
      </c>
      <c r="Q5750">
        <v>-0.1060856</v>
      </c>
      <c r="R5750">
        <v>-0.84608349999999899</v>
      </c>
      <c r="S5750">
        <v>-0.82504270000000002</v>
      </c>
      <c r="T5750">
        <v>-0.41639340000000002</v>
      </c>
      <c r="U5750">
        <v>-3.0007169999999999</v>
      </c>
      <c r="V5750">
        <v>-0.1890028</v>
      </c>
      <c r="W5750">
        <v>-9.5419850000000001E-2</v>
      </c>
      <c r="X5750">
        <v>0.97732949999999996</v>
      </c>
      <c r="Y5750">
        <v>-0.46012039999999998</v>
      </c>
      <c r="Z5750">
        <v>6.1118800000000001E-2</v>
      </c>
      <c r="AA5750">
        <v>0.88575040000000005</v>
      </c>
      <c r="AB5750">
        <v>25</v>
      </c>
      <c r="AC5750">
        <v>-0.100099999999997</v>
      </c>
      <c r="AD5750">
        <v>-0.126279</v>
      </c>
      <c r="AE5750">
        <v>-0.72820000000001495</v>
      </c>
      <c r="AF5750">
        <v>-0.40917696930876801</v>
      </c>
      <c r="AG5750">
        <v>-0.126279</v>
      </c>
      <c r="AH5750">
        <v>0.58509404179101798</v>
      </c>
      <c r="AI5750">
        <v>100.030029826335</v>
      </c>
      <c r="AJ5750">
        <v>124.966455569686</v>
      </c>
      <c r="AK5750">
        <v>0.72505669832990205</v>
      </c>
      <c r="AL5750">
        <v>95.475485339875505</v>
      </c>
      <c r="AM5750">
        <v>100.945148330877</v>
      </c>
      <c r="AN5750">
        <v>0.99999997887605596</v>
      </c>
    </row>
    <row r="5751" spans="1:40" x14ac:dyDescent="0.25">
      <c r="A5751" t="str">
        <f>"20190303154255790"</f>
        <v>20190303154255790</v>
      </c>
      <c r="B5751" t="str">
        <f>"1551598975786102"</f>
        <v>1551598975786102</v>
      </c>
      <c r="C5751" t="s">
        <v>40</v>
      </c>
      <c r="D5751">
        <v>5.5028259999999998</v>
      </c>
      <c r="E5751">
        <v>0.38930480000000001</v>
      </c>
      <c r="F5751" t="s">
        <v>42</v>
      </c>
      <c r="G5751">
        <v>-418.61200000000002</v>
      </c>
      <c r="H5751">
        <v>1.008723</v>
      </c>
      <c r="I5751">
        <v>134.1995</v>
      </c>
      <c r="J5751">
        <v>-418.53410000000002</v>
      </c>
      <c r="K5751">
        <v>1.131686</v>
      </c>
      <c r="L5751">
        <v>134.90260000000001</v>
      </c>
      <c r="M5751">
        <v>-0.66714810000000002</v>
      </c>
      <c r="N5751">
        <v>-1.6091020000000001E-2</v>
      </c>
      <c r="O5751">
        <v>-0.74475150000000001</v>
      </c>
      <c r="P5751">
        <v>-0.50800779999999901</v>
      </c>
      <c r="Q5751">
        <v>-0.1056772</v>
      </c>
      <c r="R5751">
        <v>-0.85484559999999998</v>
      </c>
      <c r="S5751">
        <v>-0.78088380000000002</v>
      </c>
      <c r="T5751">
        <v>-0.41281240000000002</v>
      </c>
      <c r="U5751">
        <v>-3.011841</v>
      </c>
      <c r="V5751">
        <v>-0.1895423</v>
      </c>
      <c r="W5751">
        <v>-9.5019950000000006E-2</v>
      </c>
      <c r="X5751">
        <v>0.97726400000000002</v>
      </c>
      <c r="Y5751">
        <v>-0.45856659999999999</v>
      </c>
      <c r="Z5751">
        <v>6.227854E-2</v>
      </c>
      <c r="AA5751">
        <v>0.88647509999999996</v>
      </c>
      <c r="AB5751">
        <v>25</v>
      </c>
      <c r="AC5751">
        <v>-7.7899999999942696E-2</v>
      </c>
      <c r="AD5751">
        <v>-0.122962999999999</v>
      </c>
      <c r="AE5751">
        <v>-0.70310000000000605</v>
      </c>
      <c r="AF5751">
        <v>-0.39905168788543099</v>
      </c>
      <c r="AG5751">
        <v>-0.122962999999999</v>
      </c>
      <c r="AH5751">
        <v>0.55879628964043504</v>
      </c>
      <c r="AI5751">
        <v>100.152646025845</v>
      </c>
      <c r="AJ5751">
        <v>125.531667403825</v>
      </c>
      <c r="AK5751">
        <v>0.69757826965088898</v>
      </c>
      <c r="AL5751">
        <v>95.452468057284094</v>
      </c>
      <c r="AM5751">
        <v>100.976350849421</v>
      </c>
      <c r="AN5751">
        <v>1.00000000004164</v>
      </c>
    </row>
    <row r="5752" spans="1:40" x14ac:dyDescent="0.25">
      <c r="A5752" t="str">
        <f>"20190303154255813"</f>
        <v>20190303154255813</v>
      </c>
      <c r="B5752" t="str">
        <f>"1551598975806598"</f>
        <v>1551598975806598</v>
      </c>
      <c r="C5752" t="s">
        <v>40</v>
      </c>
      <c r="D5752">
        <v>5.5156989999999997</v>
      </c>
      <c r="E5752">
        <v>0.36764839999999999</v>
      </c>
      <c r="F5752" t="s">
        <v>42</v>
      </c>
      <c r="G5752">
        <v>-418.76870000000002</v>
      </c>
      <c r="H5752">
        <v>1.0124899999999999</v>
      </c>
      <c r="I5752">
        <v>133.9778</v>
      </c>
      <c r="J5752">
        <v>-418.6875</v>
      </c>
      <c r="K5752">
        <v>1.1317170000000001</v>
      </c>
      <c r="L5752">
        <v>134.70410000000001</v>
      </c>
      <c r="M5752">
        <v>-0.65462349999999903</v>
      </c>
      <c r="N5752">
        <v>-1.6108580000000001E-2</v>
      </c>
      <c r="O5752">
        <v>-0.755783599999999</v>
      </c>
      <c r="P5752">
        <v>-0.4930889</v>
      </c>
      <c r="Q5752">
        <v>-0.10477789999999999</v>
      </c>
      <c r="R5752">
        <v>-0.86364640000000004</v>
      </c>
      <c r="S5752">
        <v>-0.76263429999999999</v>
      </c>
      <c r="T5752">
        <v>-0.38759100000000002</v>
      </c>
      <c r="U5752">
        <v>-3.00827</v>
      </c>
      <c r="V5752">
        <v>-0.19028709999999999</v>
      </c>
      <c r="W5752">
        <v>-9.4134990000000002E-2</v>
      </c>
      <c r="X5752">
        <v>0.97720490000000004</v>
      </c>
      <c r="Y5752">
        <v>-0.44856020000000002</v>
      </c>
      <c r="Z5752">
        <v>5.9963790000000003E-2</v>
      </c>
      <c r="AA5752">
        <v>0.89173880000000005</v>
      </c>
      <c r="AB5752">
        <v>25</v>
      </c>
      <c r="AC5752">
        <v>-8.1200000000023906E-2</v>
      </c>
      <c r="AD5752">
        <v>-0.119227</v>
      </c>
      <c r="AE5752">
        <v>-0.72630000000000905</v>
      </c>
      <c r="AF5752">
        <v>-0.40340068940552098</v>
      </c>
      <c r="AG5752">
        <v>-0.119227</v>
      </c>
      <c r="AH5752">
        <v>0.58654826986741204</v>
      </c>
      <c r="AI5752">
        <v>99.507781788430094</v>
      </c>
      <c r="AJ5752">
        <v>124.51838883402201</v>
      </c>
      <c r="AK5752">
        <v>0.72179364545990898</v>
      </c>
      <c r="AL5752">
        <v>95.401535294815403</v>
      </c>
      <c r="AM5752">
        <v>101.019078544189</v>
      </c>
      <c r="AN5752">
        <v>0.99999999667635997</v>
      </c>
    </row>
    <row r="5753" spans="1:40" x14ac:dyDescent="0.25">
      <c r="A5753" t="str">
        <f>"20190303154255835"</f>
        <v>20190303154255835</v>
      </c>
      <c r="B5753" t="str">
        <f>"1551598975826118"</f>
        <v>1551598975826118</v>
      </c>
      <c r="C5753" t="s">
        <v>40</v>
      </c>
      <c r="D5753">
        <v>5.5069990000000004</v>
      </c>
      <c r="E5753">
        <v>0.36751879999999998</v>
      </c>
      <c r="F5753" t="s">
        <v>42</v>
      </c>
      <c r="G5753">
        <v>-418.84249999999997</v>
      </c>
      <c r="H5753">
        <v>1.0336719999999999</v>
      </c>
      <c r="I5753">
        <v>133.84610000000001</v>
      </c>
      <c r="J5753">
        <v>-418.82979999999998</v>
      </c>
      <c r="K5753">
        <v>1.1317440000000001</v>
      </c>
      <c r="L5753">
        <v>134.51349999999999</v>
      </c>
      <c r="M5753">
        <v>-0.64251289999999905</v>
      </c>
      <c r="N5753">
        <v>-1.612533E-2</v>
      </c>
      <c r="O5753">
        <v>-0.76610509999999998</v>
      </c>
      <c r="P5753">
        <v>-0.4786492</v>
      </c>
      <c r="Q5753">
        <v>-0.104465</v>
      </c>
      <c r="R5753">
        <v>-0.87176919999999902</v>
      </c>
      <c r="S5753">
        <v>-0.56140140000000005</v>
      </c>
      <c r="T5753">
        <v>-0.35531309999999999</v>
      </c>
      <c r="U5753">
        <v>-3.110001</v>
      </c>
      <c r="V5753">
        <v>-0.19102259999999999</v>
      </c>
      <c r="W5753">
        <v>-9.3838019999999994E-2</v>
      </c>
      <c r="X5753">
        <v>0.97708989999999996</v>
      </c>
      <c r="Y5753">
        <v>-0.49567499999999998</v>
      </c>
      <c r="Z5753">
        <v>5.1592689999999997E-2</v>
      </c>
      <c r="AA5753">
        <v>0.86697429999999998</v>
      </c>
      <c r="AB5753">
        <v>25</v>
      </c>
      <c r="AC5753">
        <v>-1.26999999999952E-2</v>
      </c>
      <c r="AD5753">
        <v>-9.8072000000000104E-2</v>
      </c>
      <c r="AE5753">
        <v>-0.667399999999986</v>
      </c>
      <c r="AF5753">
        <v>-0.41028198990981202</v>
      </c>
      <c r="AG5753">
        <v>-9.8072000000000104E-2</v>
      </c>
      <c r="AH5753">
        <v>0.50854880152472703</v>
      </c>
      <c r="AI5753">
        <v>98.535869510770198</v>
      </c>
      <c r="AJ5753">
        <v>128.89555317812901</v>
      </c>
      <c r="AK5753">
        <v>0.66073543265106605</v>
      </c>
      <c r="AL5753">
        <v>95.384444819240201</v>
      </c>
      <c r="AM5753">
        <v>101.06189097479501</v>
      </c>
      <c r="AN5753">
        <v>0.99999994019514304</v>
      </c>
    </row>
    <row r="5754" spans="1:40" x14ac:dyDescent="0.25">
      <c r="A5754" t="str">
        <f>"20190303154255858"</f>
        <v>20190303154255858</v>
      </c>
      <c r="B5754" t="str">
        <f>"1551598975845638"</f>
        <v>1551598975845638</v>
      </c>
      <c r="C5754" t="s">
        <v>40</v>
      </c>
      <c r="D5754">
        <v>5.4842300000000002</v>
      </c>
      <c r="E5754">
        <v>0.36869790000000002</v>
      </c>
      <c r="F5754" t="s">
        <v>42</v>
      </c>
      <c r="G5754">
        <v>-418.96660000000003</v>
      </c>
      <c r="H5754">
        <v>1.038816</v>
      </c>
      <c r="I5754">
        <v>133.6739</v>
      </c>
      <c r="J5754">
        <v>-418.96890000000002</v>
      </c>
      <c r="K5754">
        <v>1.131764</v>
      </c>
      <c r="L5754">
        <v>134.3203</v>
      </c>
      <c r="M5754">
        <v>-0.63015679999999996</v>
      </c>
      <c r="N5754">
        <v>-1.614167E-2</v>
      </c>
      <c r="O5754">
        <v>-0.7763004</v>
      </c>
      <c r="P5754">
        <v>-0.46418419999999999</v>
      </c>
      <c r="Q5754">
        <v>-0.1037566</v>
      </c>
      <c r="R5754">
        <v>-0.87964089999999995</v>
      </c>
      <c r="S5754">
        <v>-0.50857540000000001</v>
      </c>
      <c r="T5754">
        <v>-0.34544160000000002</v>
      </c>
      <c r="U5754">
        <v>-3.1206209999999999</v>
      </c>
      <c r="V5754">
        <v>-0.1915743</v>
      </c>
      <c r="W5754">
        <v>-9.3139299999999994E-2</v>
      </c>
      <c r="X5754">
        <v>0.97704880000000005</v>
      </c>
      <c r="Y5754">
        <v>-0.49656169999999999</v>
      </c>
      <c r="Z5754">
        <v>5.1018170000000002E-2</v>
      </c>
      <c r="AA5754">
        <v>0.86650079999999996</v>
      </c>
      <c r="AB5754">
        <v>25</v>
      </c>
      <c r="AC5754">
        <v>2.29999999999108E-3</v>
      </c>
      <c r="AD5754">
        <v>-9.2948000000000003E-2</v>
      </c>
      <c r="AE5754">
        <v>-0.64639999999999898</v>
      </c>
      <c r="AF5754">
        <v>-0.40088329624875202</v>
      </c>
      <c r="AG5754">
        <v>-9.2948000000000003E-2</v>
      </c>
      <c r="AH5754">
        <v>0.49027916280867301</v>
      </c>
      <c r="AI5754">
        <v>98.349434723881203</v>
      </c>
      <c r="AJ5754">
        <v>129.27160767749601</v>
      </c>
      <c r="AK5754">
        <v>0.64009405980655498</v>
      </c>
      <c r="AL5754">
        <v>95.344234685367596</v>
      </c>
      <c r="AM5754">
        <v>101.093502997635</v>
      </c>
      <c r="AN5754">
        <v>0.99999999960320995</v>
      </c>
    </row>
    <row r="5755" spans="1:40" x14ac:dyDescent="0.25">
      <c r="A5755" t="str">
        <f>"20190303154255879"</f>
        <v>20190303154255879</v>
      </c>
      <c r="B5755" t="str">
        <f>"1551598975875895"</f>
        <v>1551598975875895</v>
      </c>
      <c r="C5755" t="s">
        <v>40</v>
      </c>
      <c r="D5755">
        <v>5.4912020000000004</v>
      </c>
      <c r="E5755">
        <v>0.37011349999999998</v>
      </c>
      <c r="F5755" t="s">
        <v>42</v>
      </c>
      <c r="G5755">
        <v>-419.1232</v>
      </c>
      <c r="H5755">
        <v>1.0194639999999999</v>
      </c>
      <c r="I5755">
        <v>133.28399999999999</v>
      </c>
      <c r="J5755">
        <v>-419.10399999999998</v>
      </c>
      <c r="K5755">
        <v>1.1317839999999999</v>
      </c>
      <c r="L5755">
        <v>134.1259</v>
      </c>
      <c r="M5755">
        <v>-0.61764259999999904</v>
      </c>
      <c r="N5755">
        <v>-1.61572E-2</v>
      </c>
      <c r="O5755">
        <v>-0.78629300000000002</v>
      </c>
      <c r="P5755">
        <v>-0.44978269999999998</v>
      </c>
      <c r="Q5755">
        <v>-0.1040695</v>
      </c>
      <c r="R5755">
        <v>-0.88705429999999996</v>
      </c>
      <c r="S5755">
        <v>-0.4650879</v>
      </c>
      <c r="T5755">
        <v>-0.33862710000000001</v>
      </c>
      <c r="U5755">
        <v>-3.1251069999999999</v>
      </c>
      <c r="V5755">
        <v>-0.1918183</v>
      </c>
      <c r="W5755">
        <v>-9.3454110000000007E-2</v>
      </c>
      <c r="X5755">
        <v>0.97697089999999998</v>
      </c>
      <c r="Y5755">
        <v>-0.49466070000000001</v>
      </c>
      <c r="Z5755">
        <v>5.1154100000000001E-2</v>
      </c>
      <c r="AA5755">
        <v>0.8675794</v>
      </c>
      <c r="AB5755">
        <v>25</v>
      </c>
      <c r="AC5755">
        <v>-1.9199999999955201E-2</v>
      </c>
      <c r="AD5755">
        <v>-0.11232</v>
      </c>
      <c r="AE5755">
        <v>-0.84190000000000897</v>
      </c>
      <c r="AF5755">
        <v>-0.49613627555925099</v>
      </c>
      <c r="AG5755">
        <v>-0.11232</v>
      </c>
      <c r="AH5755">
        <v>0.662147377715543</v>
      </c>
      <c r="AI5755">
        <v>97.730679120562201</v>
      </c>
      <c r="AJ5755">
        <v>126.843624525035</v>
      </c>
      <c r="AK5755">
        <v>0.83498870419986804</v>
      </c>
      <c r="AL5755">
        <v>95.362350795484801</v>
      </c>
      <c r="AM5755">
        <v>101.10814481404201</v>
      </c>
      <c r="AN5755">
        <v>1.0000000351687901</v>
      </c>
    </row>
    <row r="5756" spans="1:40" x14ac:dyDescent="0.25">
      <c r="A5756" t="str">
        <f>"20190303154255903"</f>
        <v>20190303154255903</v>
      </c>
      <c r="B5756" t="str">
        <f>"1551598975896390"</f>
        <v>1551598975896390</v>
      </c>
      <c r="C5756" t="s">
        <v>40</v>
      </c>
      <c r="D5756">
        <v>5.4674630000000004</v>
      </c>
      <c r="E5756">
        <v>0.38213580000000003</v>
      </c>
      <c r="F5756" t="s">
        <v>42</v>
      </c>
      <c r="G5756">
        <v>-419.24200000000002</v>
      </c>
      <c r="H5756">
        <v>1.0221819999999999</v>
      </c>
      <c r="I5756">
        <v>133.11009999999999</v>
      </c>
      <c r="J5756">
        <v>-419.24380000000002</v>
      </c>
      <c r="K5756">
        <v>1.131788</v>
      </c>
      <c r="L5756">
        <v>133.91739999999999</v>
      </c>
      <c r="M5756">
        <v>-0.60413909999999904</v>
      </c>
      <c r="N5756">
        <v>-1.6172200000000001E-2</v>
      </c>
      <c r="O5756">
        <v>-0.79671479999999995</v>
      </c>
      <c r="P5756">
        <v>-0.43547209999999997</v>
      </c>
      <c r="Q5756">
        <v>-0.1054894</v>
      </c>
      <c r="R5756">
        <v>-0.89400000000000002</v>
      </c>
      <c r="S5756">
        <v>-0.4242554</v>
      </c>
      <c r="T5756">
        <v>-0.33734930000000002</v>
      </c>
      <c r="U5756">
        <v>-3.127319</v>
      </c>
      <c r="V5756">
        <v>-0.19071009999999999</v>
      </c>
      <c r="W5756">
        <v>-9.4835180000000005E-2</v>
      </c>
      <c r="X5756">
        <v>0.97705469999999905</v>
      </c>
      <c r="Y5756">
        <v>-0.49105310000000002</v>
      </c>
      <c r="Z5756">
        <v>5.2505639999999999E-2</v>
      </c>
      <c r="AA5756">
        <v>0.86954580000000004</v>
      </c>
      <c r="AB5756">
        <v>25</v>
      </c>
      <c r="AC5756">
        <v>1.8000000000597499E-3</v>
      </c>
      <c r="AD5756">
        <v>-0.109606</v>
      </c>
      <c r="AE5756">
        <v>-0.80729999999999702</v>
      </c>
      <c r="AF5756">
        <v>-0.48036496660913203</v>
      </c>
      <c r="AG5756">
        <v>-0.109606</v>
      </c>
      <c r="AH5756">
        <v>0.630561220583433</v>
      </c>
      <c r="AI5756">
        <v>97.872421380851407</v>
      </c>
      <c r="AJ5756">
        <v>127.30034743179201</v>
      </c>
      <c r="AK5756">
        <v>0.80023210963136404</v>
      </c>
      <c r="AL5756">
        <v>95.441833655216797</v>
      </c>
      <c r="AM5756">
        <v>101.04462786664701</v>
      </c>
      <c r="AN5756">
        <v>0.99999997019986497</v>
      </c>
    </row>
    <row r="5757" spans="1:40" x14ac:dyDescent="0.25">
      <c r="A5757" t="str">
        <f>"20190303154255924"</f>
        <v>20190303154255924</v>
      </c>
      <c r="B5757" t="str">
        <f>"1551598975915914"</f>
        <v>1551598975915914</v>
      </c>
      <c r="C5757" t="s">
        <v>40</v>
      </c>
      <c r="D5757">
        <v>5.5108280000000001</v>
      </c>
      <c r="E5757">
        <v>0.38465369999999999</v>
      </c>
      <c r="F5757" t="s">
        <v>42</v>
      </c>
      <c r="G5757">
        <v>-419.38810000000001</v>
      </c>
      <c r="H5757">
        <v>1.0267770000000001</v>
      </c>
      <c r="I5757">
        <v>132.94829999999999</v>
      </c>
      <c r="J5757">
        <v>-419.37139999999999</v>
      </c>
      <c r="K5757">
        <v>1.131783</v>
      </c>
      <c r="L5757">
        <v>133.72</v>
      </c>
      <c r="M5757">
        <v>-0.59127850000000004</v>
      </c>
      <c r="N5757">
        <v>-1.6184529999999999E-2</v>
      </c>
      <c r="O5757">
        <v>-0.8063051</v>
      </c>
      <c r="P5757">
        <v>-0.42224339999999999</v>
      </c>
      <c r="Q5757">
        <v>-0.1071204</v>
      </c>
      <c r="R5757">
        <v>-0.90013129999999997</v>
      </c>
      <c r="S5757">
        <v>-0.46060180000000001</v>
      </c>
      <c r="T5757">
        <v>-0.33507340000000002</v>
      </c>
      <c r="U5757">
        <v>-3.0917970000000001</v>
      </c>
      <c r="V5757">
        <v>-0.1892837</v>
      </c>
      <c r="W5757">
        <v>-9.6417660000000002E-2</v>
      </c>
      <c r="X5757">
        <v>0.97717719999999997</v>
      </c>
      <c r="Y5757">
        <v>-0.4656187</v>
      </c>
      <c r="Z5757">
        <v>5.508304E-2</v>
      </c>
      <c r="AA5757">
        <v>0.88326949999999904</v>
      </c>
      <c r="AB5757">
        <v>25</v>
      </c>
      <c r="AC5757">
        <v>-1.6700000000014301E-2</v>
      </c>
      <c r="AD5757">
        <v>-0.105005999999999</v>
      </c>
      <c r="AE5757">
        <v>-0.77170000000000905</v>
      </c>
      <c r="AF5757">
        <v>-0.43483496505991698</v>
      </c>
      <c r="AG5757">
        <v>-0.105005999999999</v>
      </c>
      <c r="AH5757">
        <v>0.62069576013521599</v>
      </c>
      <c r="AI5757">
        <v>97.888494151304897</v>
      </c>
      <c r="AJ5757">
        <v>125.013569777453</v>
      </c>
      <c r="AK5757">
        <v>0.76509537544314898</v>
      </c>
      <c r="AL5757">
        <v>95.532920450564205</v>
      </c>
      <c r="AM5757">
        <v>100.96268849592499</v>
      </c>
      <c r="AN5757">
        <v>0.99999998222270203</v>
      </c>
    </row>
    <row r="5758" spans="1:40" x14ac:dyDescent="0.25">
      <c r="A5758" t="str">
        <f>"20190303154255947"</f>
        <v>20190303154255947</v>
      </c>
      <c r="B5758" t="str">
        <f>"1551598975936407"</f>
        <v>1551598975936407</v>
      </c>
      <c r="C5758" t="s">
        <v>40</v>
      </c>
      <c r="D5758">
        <v>5.4888560000000002</v>
      </c>
      <c r="E5758">
        <v>0.3869206</v>
      </c>
      <c r="F5758" t="s">
        <v>42</v>
      </c>
      <c r="G5758">
        <v>-419.5043</v>
      </c>
      <c r="H5758">
        <v>1.0278849999999999</v>
      </c>
      <c r="I5758">
        <v>132.77209999999999</v>
      </c>
      <c r="J5758">
        <v>-419.49860000000001</v>
      </c>
      <c r="K5758">
        <v>1.131785</v>
      </c>
      <c r="L5758">
        <v>133.51589999999999</v>
      </c>
      <c r="M5758">
        <v>-0.57791539999999997</v>
      </c>
      <c r="N5758">
        <v>-1.6195749999999998E-2</v>
      </c>
      <c r="O5758">
        <v>-0.81593609999999905</v>
      </c>
      <c r="P5758">
        <v>-0.40887519999999999</v>
      </c>
      <c r="Q5758">
        <v>-0.1077574</v>
      </c>
      <c r="R5758">
        <v>-0.90620630000000002</v>
      </c>
      <c r="S5758">
        <v>-0.43316650000000001</v>
      </c>
      <c r="T5758">
        <v>-0.33860190000000001</v>
      </c>
      <c r="U5758">
        <v>-3.0893250000000001</v>
      </c>
      <c r="V5758">
        <v>-0.1875898</v>
      </c>
      <c r="W5758">
        <v>-9.6995109999999995E-2</v>
      </c>
      <c r="X5758">
        <v>0.9774467</v>
      </c>
      <c r="Y5758">
        <v>-0.45863920000000002</v>
      </c>
      <c r="Z5758">
        <v>5.7543909999999997E-2</v>
      </c>
      <c r="AA5758">
        <v>0.88675740000000003</v>
      </c>
      <c r="AB5758">
        <v>25</v>
      </c>
      <c r="AC5758">
        <v>-5.6999999999902597E-3</v>
      </c>
      <c r="AD5758">
        <v>-0.10390000000000001</v>
      </c>
      <c r="AE5758">
        <v>-0.74379999999999302</v>
      </c>
      <c r="AF5758">
        <v>-0.41711968716335002</v>
      </c>
      <c r="AG5758">
        <v>-0.10390000000000001</v>
      </c>
      <c r="AH5758">
        <v>0.59858794278004601</v>
      </c>
      <c r="AI5758">
        <v>98.104962717276393</v>
      </c>
      <c r="AJ5758">
        <v>124.87030494545699</v>
      </c>
      <c r="AK5758">
        <v>0.73694746669006195</v>
      </c>
      <c r="AL5758">
        <v>95.566161503689401</v>
      </c>
      <c r="AM5758">
        <v>100.864004471664</v>
      </c>
      <c r="AN5758">
        <v>1.0000000178844199</v>
      </c>
    </row>
    <row r="5759" spans="1:40" x14ac:dyDescent="0.25">
      <c r="A5759" t="str">
        <f>"20190303154255969"</f>
        <v>20190303154255969</v>
      </c>
      <c r="B5759" t="str">
        <f>"1551598975965692"</f>
        <v>1551598975965692</v>
      </c>
      <c r="C5759" t="s">
        <v>40</v>
      </c>
      <c r="D5759">
        <v>5.5355410000000003</v>
      </c>
      <c r="E5759">
        <v>0.39907229999999999</v>
      </c>
      <c r="F5759" t="s">
        <v>42</v>
      </c>
      <c r="G5759">
        <v>-419.61919999999998</v>
      </c>
      <c r="H5759">
        <v>1.0288839999999999</v>
      </c>
      <c r="I5759">
        <v>132.59370000000001</v>
      </c>
      <c r="J5759">
        <v>-419.62169999999998</v>
      </c>
      <c r="K5759">
        <v>1.1317870000000001</v>
      </c>
      <c r="L5759">
        <v>133.31100000000001</v>
      </c>
      <c r="M5759">
        <v>-0.56442150000000002</v>
      </c>
      <c r="N5759">
        <v>-1.6206120000000001E-2</v>
      </c>
      <c r="O5759">
        <v>-0.8253279</v>
      </c>
      <c r="P5759">
        <v>-0.395262</v>
      </c>
      <c r="Q5759">
        <v>-0.1081331</v>
      </c>
      <c r="R5759">
        <v>-0.9121821</v>
      </c>
      <c r="S5759">
        <v>-0.40393069999999998</v>
      </c>
      <c r="T5759">
        <v>-0.34448119999999999</v>
      </c>
      <c r="U5759">
        <v>-3.0872959999999998</v>
      </c>
      <c r="V5759">
        <v>-0.18612119999999999</v>
      </c>
      <c r="W5759">
        <v>-9.7317539999999994E-2</v>
      </c>
      <c r="X5759">
        <v>0.97769530000000004</v>
      </c>
      <c r="Y5759">
        <v>-0.45221240000000001</v>
      </c>
      <c r="Z5759">
        <v>6.0495880000000002E-2</v>
      </c>
      <c r="AA5759">
        <v>0.88985630000000004</v>
      </c>
      <c r="AB5759">
        <v>25</v>
      </c>
      <c r="AC5759">
        <v>2.4999999999977202E-3</v>
      </c>
      <c r="AD5759">
        <v>-0.10290299999999999</v>
      </c>
      <c r="AE5759">
        <v>-0.71729999999999405</v>
      </c>
      <c r="AF5759">
        <v>-0.39876947843258698</v>
      </c>
      <c r="AG5759">
        <v>-0.10290299999999999</v>
      </c>
      <c r="AH5759">
        <v>0.57876305270725403</v>
      </c>
      <c r="AI5759">
        <v>98.329512899818994</v>
      </c>
      <c r="AJ5759">
        <v>124.56695823279099</v>
      </c>
      <c r="AK5759">
        <v>0.71033287655677202</v>
      </c>
      <c r="AL5759">
        <v>95.584723562715396</v>
      </c>
      <c r="AM5759">
        <v>100.77827639529001</v>
      </c>
      <c r="AN5759">
        <v>0.99999995216158899</v>
      </c>
    </row>
    <row r="5760" spans="1:40" x14ac:dyDescent="0.25">
      <c r="A5760" t="str">
        <f>"20190303154255992"</f>
        <v>20190303154255992</v>
      </c>
      <c r="B5760" t="str">
        <f>"1551598975986182"</f>
        <v>1551598975986182</v>
      </c>
      <c r="C5760" t="s">
        <v>40</v>
      </c>
      <c r="D5760">
        <v>5.6130899999999997</v>
      </c>
      <c r="E5760">
        <v>0.40023350000000002</v>
      </c>
      <c r="F5760" t="s">
        <v>57</v>
      </c>
      <c r="G5760">
        <v>-421.13490000000002</v>
      </c>
      <c r="H5760" s="1">
        <v>-2.4438249999999998E-6</v>
      </c>
      <c r="I5760">
        <v>122.9683</v>
      </c>
      <c r="J5760">
        <v>-419.74299999999999</v>
      </c>
      <c r="K5760">
        <v>1.1317900000000001</v>
      </c>
      <c r="L5760">
        <v>133.10120000000001</v>
      </c>
      <c r="M5760">
        <v>-0.55053430000000003</v>
      </c>
      <c r="N5760">
        <v>-1.6216060000000001E-2</v>
      </c>
      <c r="O5760">
        <v>-0.83465489999999998</v>
      </c>
      <c r="P5760">
        <v>-0.38137910000000003</v>
      </c>
      <c r="Q5760">
        <v>-0.1077625</v>
      </c>
      <c r="R5760">
        <v>-0.9181165</v>
      </c>
      <c r="S5760">
        <v>-0.447052</v>
      </c>
      <c r="T5760">
        <v>-0.33435359999999997</v>
      </c>
      <c r="U5760">
        <v>-3.05545</v>
      </c>
      <c r="V5760">
        <v>-0.1846322</v>
      </c>
      <c r="W5760">
        <v>-9.6891290000000005E-2</v>
      </c>
      <c r="X5760">
        <v>0.97802</v>
      </c>
      <c r="Y5760">
        <v>-0.42364879999999999</v>
      </c>
      <c r="Z5760">
        <v>6.1281960000000003E-2</v>
      </c>
      <c r="AA5760">
        <v>0.90375119999999998</v>
      </c>
      <c r="AB5760">
        <v>25</v>
      </c>
      <c r="AC5760">
        <v>-1.3918999999999599</v>
      </c>
      <c r="AD5760">
        <v>-1.131792443825</v>
      </c>
      <c r="AE5760">
        <v>-10.132899999999999</v>
      </c>
      <c r="AF5760">
        <v>-4.3638995848111</v>
      </c>
      <c r="AG5760">
        <v>-1.131792443825</v>
      </c>
      <c r="AH5760">
        <v>9.1133867565885396</v>
      </c>
      <c r="AI5760">
        <v>96.391098700115705</v>
      </c>
      <c r="AJ5760">
        <v>115.587196456871</v>
      </c>
      <c r="AK5760">
        <v>10.1675165058817</v>
      </c>
      <c r="AL5760">
        <v>95.560184749547204</v>
      </c>
      <c r="AM5760">
        <v>100.690576296334</v>
      </c>
      <c r="AN5760">
        <v>1.0000000458773499</v>
      </c>
    </row>
    <row r="5761" spans="1:40" x14ac:dyDescent="0.25">
      <c r="A5761" t="str">
        <f>"20190303154256016"</f>
        <v>20190303154256016</v>
      </c>
      <c r="B5761" t="str">
        <f>"1551598976005702"</f>
        <v>1551598976005702</v>
      </c>
      <c r="C5761" t="s">
        <v>40</v>
      </c>
      <c r="D5761">
        <v>5.5762179999999999</v>
      </c>
      <c r="E5761">
        <v>0.4008968</v>
      </c>
      <c r="F5761" t="s">
        <v>57</v>
      </c>
      <c r="G5761">
        <v>-421.13589999999999</v>
      </c>
      <c r="H5761" s="1">
        <v>-2.2667779999999999E-6</v>
      </c>
      <c r="I5761">
        <v>122.68940000000001</v>
      </c>
      <c r="J5761">
        <v>-419.86180000000002</v>
      </c>
      <c r="K5761">
        <v>1.13178</v>
      </c>
      <c r="L5761">
        <v>132.88749999999999</v>
      </c>
      <c r="M5761">
        <v>-0.53632139999999995</v>
      </c>
      <c r="N5761">
        <v>-1.6225219999999999E-2</v>
      </c>
      <c r="O5761">
        <v>-0.84385810000000006</v>
      </c>
      <c r="P5761">
        <v>-0.36697069999999998</v>
      </c>
      <c r="Q5761">
        <v>-0.1073693</v>
      </c>
      <c r="R5761">
        <v>-0.9240159</v>
      </c>
      <c r="S5761">
        <v>-0.40917969999999998</v>
      </c>
      <c r="T5761">
        <v>-0.33246979999999998</v>
      </c>
      <c r="U5761">
        <v>-3.0585330000000002</v>
      </c>
      <c r="V5761">
        <v>-0.18340780000000001</v>
      </c>
      <c r="W5761">
        <v>-9.6450279999999999E-2</v>
      </c>
      <c r="X5761">
        <v>0.97829390000000005</v>
      </c>
      <c r="Y5761">
        <v>-0.4194349</v>
      </c>
      <c r="Z5761">
        <v>6.2284850000000003E-2</v>
      </c>
      <c r="AA5761">
        <v>0.90564610000000001</v>
      </c>
      <c r="AB5761">
        <v>25</v>
      </c>
      <c r="AC5761">
        <v>-1.27409999999997</v>
      </c>
      <c r="AD5761">
        <v>-1.131782266778</v>
      </c>
      <c r="AE5761">
        <v>-10.198099999999901</v>
      </c>
      <c r="AF5761">
        <v>-4.3422183457535599</v>
      </c>
      <c r="AG5761">
        <v>-1.131782266778</v>
      </c>
      <c r="AH5761">
        <v>9.17898208554662</v>
      </c>
      <c r="AI5761">
        <v>96.359885648723093</v>
      </c>
      <c r="AJ5761">
        <v>115.31700472681401</v>
      </c>
      <c r="AK5761">
        <v>10.217118154762501</v>
      </c>
      <c r="AL5761">
        <v>95.534798001732398</v>
      </c>
      <c r="AM5761">
        <v>100.618393228549</v>
      </c>
      <c r="AN5761">
        <v>1.00000001619506</v>
      </c>
    </row>
    <row r="5762" spans="1:40" x14ac:dyDescent="0.25">
      <c r="A5762" t="str">
        <f>"20190303154256037"</f>
        <v>20190303154256037</v>
      </c>
      <c r="B5762" t="str">
        <f>"1551598976026198"</f>
        <v>1551598976026198</v>
      </c>
      <c r="C5762" t="s">
        <v>40</v>
      </c>
      <c r="D5762">
        <v>5.5947459999999998</v>
      </c>
      <c r="E5762">
        <v>0.40897739999999999</v>
      </c>
      <c r="F5762" t="s">
        <v>57</v>
      </c>
      <c r="G5762">
        <v>-421.10019999999997</v>
      </c>
      <c r="H5762" s="1">
        <v>-2.1562260000000001E-6</v>
      </c>
      <c r="I5762">
        <v>122.5304</v>
      </c>
      <c r="J5762">
        <v>-419.97469999999998</v>
      </c>
      <c r="K5762">
        <v>1.131769</v>
      </c>
      <c r="L5762">
        <v>132.6754</v>
      </c>
      <c r="M5762">
        <v>-0.52215710000000004</v>
      </c>
      <c r="N5762">
        <v>-1.6232770000000001E-2</v>
      </c>
      <c r="O5762">
        <v>-0.85269490000000003</v>
      </c>
      <c r="P5762">
        <v>-0.35306979999999999</v>
      </c>
      <c r="Q5762">
        <v>-0.10782</v>
      </c>
      <c r="R5762">
        <v>-0.92936379999999996</v>
      </c>
      <c r="S5762">
        <v>-0.36618040000000002</v>
      </c>
      <c r="T5762">
        <v>-0.33464529999999998</v>
      </c>
      <c r="U5762">
        <v>-3.0623930000000001</v>
      </c>
      <c r="V5762">
        <v>-0.18171290000000001</v>
      </c>
      <c r="W5762">
        <v>-9.6841250000000004E-2</v>
      </c>
      <c r="X5762">
        <v>0.97857150000000004</v>
      </c>
      <c r="Y5762">
        <v>-0.4169602</v>
      </c>
      <c r="Z5762">
        <v>6.4109819999999998E-2</v>
      </c>
      <c r="AA5762">
        <v>0.90666100000000005</v>
      </c>
      <c r="AB5762">
        <v>25</v>
      </c>
      <c r="AC5762">
        <v>-1.12549999999998</v>
      </c>
      <c r="AD5762">
        <v>-1.131771156226</v>
      </c>
      <c r="AE5762">
        <v>-10.1449999999999</v>
      </c>
      <c r="AF5762">
        <v>-4.2854606419430299</v>
      </c>
      <c r="AG5762">
        <v>-1.131771156226</v>
      </c>
      <c r="AH5762">
        <v>9.1272816821561307</v>
      </c>
      <c r="AI5762">
        <v>96.404212056586502</v>
      </c>
      <c r="AJ5762">
        <v>115.15109388775601</v>
      </c>
      <c r="AK5762">
        <v>10.1465930128852</v>
      </c>
      <c r="AL5762">
        <v>95.557304416284396</v>
      </c>
      <c r="AM5762">
        <v>100.51955006038401</v>
      </c>
      <c r="AN5762">
        <v>0.99999999317011101</v>
      </c>
    </row>
    <row r="5763" spans="1:40" x14ac:dyDescent="0.25">
      <c r="A5763" t="str">
        <f>"20190303154256059"</f>
        <v>20190303154256059</v>
      </c>
      <c r="B5763" t="str">
        <f>"1551598976056455"</f>
        <v>1551598976056455</v>
      </c>
      <c r="C5763" t="s">
        <v>40</v>
      </c>
      <c r="D5763">
        <v>5.6114119999999996</v>
      </c>
      <c r="E5763">
        <v>0.4108038</v>
      </c>
      <c r="F5763" t="s">
        <v>57</v>
      </c>
      <c r="G5763">
        <v>-421.2054</v>
      </c>
      <c r="H5763" s="1">
        <v>-2.3651360000000002E-6</v>
      </c>
      <c r="I5763">
        <v>122.815</v>
      </c>
      <c r="J5763">
        <v>-420.07850000000002</v>
      </c>
      <c r="K5763">
        <v>1.1317569999999999</v>
      </c>
      <c r="L5763">
        <v>132.47239999999999</v>
      </c>
      <c r="M5763">
        <v>-0.50855459999999997</v>
      </c>
      <c r="N5763">
        <v>-1.6238160000000001E-2</v>
      </c>
      <c r="O5763">
        <v>-0.86087669999999905</v>
      </c>
      <c r="P5763">
        <v>-0.340091799999999</v>
      </c>
      <c r="Q5763">
        <v>-0.1097679</v>
      </c>
      <c r="R5763">
        <v>-0.93396409999999996</v>
      </c>
      <c r="S5763">
        <v>-0.37982179999999999</v>
      </c>
      <c r="T5763">
        <v>-0.34929660000000001</v>
      </c>
      <c r="U5763">
        <v>-3.0431819999999998</v>
      </c>
      <c r="V5763">
        <v>-0.17964559999999999</v>
      </c>
      <c r="W5763">
        <v>-9.8721240000000002E-2</v>
      </c>
      <c r="X5763">
        <v>0.97876529999999995</v>
      </c>
      <c r="Y5763">
        <v>-0.39782699999999999</v>
      </c>
      <c r="Z5763">
        <v>6.9928299999999999E-2</v>
      </c>
      <c r="AA5763">
        <v>0.91479160000000004</v>
      </c>
      <c r="AB5763">
        <v>24</v>
      </c>
      <c r="AC5763">
        <v>-1.12689999999997</v>
      </c>
      <c r="AD5763">
        <v>-1.1317593651359901</v>
      </c>
      <c r="AE5763">
        <v>-9.6573999999999902</v>
      </c>
      <c r="AF5763">
        <v>-3.8890194679650398</v>
      </c>
      <c r="AG5763">
        <v>-1.1317593651359901</v>
      </c>
      <c r="AH5763">
        <v>8.7692751846073094</v>
      </c>
      <c r="AI5763">
        <v>96.728553456100798</v>
      </c>
      <c r="AJ5763">
        <v>113.916445030734</v>
      </c>
      <c r="AK5763">
        <v>9.6594792274818708</v>
      </c>
      <c r="AL5763">
        <v>95.665538730894099</v>
      </c>
      <c r="AM5763">
        <v>100.40048431848</v>
      </c>
      <c r="AN5763">
        <v>0.99999996865529295</v>
      </c>
    </row>
    <row r="5764" spans="1:40" x14ac:dyDescent="0.25">
      <c r="A5764" t="str">
        <f>"20190303154256080"</f>
        <v>20190303154256080</v>
      </c>
      <c r="B5764" t="str">
        <f>"1551598976075980"</f>
        <v>1551598976075980</v>
      </c>
      <c r="C5764" t="s">
        <v>40</v>
      </c>
      <c r="D5764">
        <v>5.648002</v>
      </c>
      <c r="E5764">
        <v>0.4185874</v>
      </c>
      <c r="F5764" t="s">
        <v>57</v>
      </c>
      <c r="G5764">
        <v>-421.17970000000003</v>
      </c>
      <c r="H5764" s="1">
        <v>-2.4305599999999998E-6</v>
      </c>
      <c r="I5764">
        <v>122.92870000000001</v>
      </c>
      <c r="J5764">
        <v>-420.18180000000001</v>
      </c>
      <c r="K5764">
        <v>1.1317360000000001</v>
      </c>
      <c r="L5764">
        <v>132.26169999999999</v>
      </c>
      <c r="M5764">
        <v>-0.49439759999999999</v>
      </c>
      <c r="N5764">
        <v>-1.6241640000000002E-2</v>
      </c>
      <c r="O5764">
        <v>-0.86908419999999897</v>
      </c>
      <c r="P5764">
        <v>-0.32817190000000002</v>
      </c>
      <c r="Q5764">
        <v>-0.1127224</v>
      </c>
      <c r="R5764">
        <v>-0.93786820000000004</v>
      </c>
      <c r="S5764">
        <v>-0.35101320000000003</v>
      </c>
      <c r="T5764">
        <v>-0.36073149999999998</v>
      </c>
      <c r="U5764">
        <v>-3.0419160000000001</v>
      </c>
      <c r="V5764">
        <v>-0.175848</v>
      </c>
      <c r="W5764">
        <v>-0.1015581</v>
      </c>
      <c r="X5764">
        <v>0.9791647</v>
      </c>
      <c r="Y5764">
        <v>-0.39132919999999999</v>
      </c>
      <c r="Z5764">
        <v>7.4290339999999996E-2</v>
      </c>
      <c r="AA5764">
        <v>0.91724720000000004</v>
      </c>
      <c r="AB5764">
        <v>24</v>
      </c>
      <c r="AC5764">
        <v>-0.997900000000015</v>
      </c>
      <c r="AD5764">
        <v>-1.13173843056</v>
      </c>
      <c r="AE5764">
        <v>-9.3329999999999806</v>
      </c>
      <c r="AF5764">
        <v>-3.6937470476850298</v>
      </c>
      <c r="AG5764">
        <v>-1.13173843056</v>
      </c>
      <c r="AH5764">
        <v>8.4823382462052894</v>
      </c>
      <c r="AI5764">
        <v>96.974211544394805</v>
      </c>
      <c r="AJ5764">
        <v>113.53135805953799</v>
      </c>
      <c r="AK5764">
        <v>9.3206577691987693</v>
      </c>
      <c r="AL5764">
        <v>95.828899644429995</v>
      </c>
      <c r="AM5764">
        <v>100.181207373612</v>
      </c>
      <c r="AN5764">
        <v>1.00000003825284</v>
      </c>
    </row>
    <row r="5765" spans="1:40" x14ac:dyDescent="0.25">
      <c r="A5765" t="str">
        <f>"20190303154256103"</f>
        <v>20190303154256103</v>
      </c>
      <c r="B5765" t="str">
        <f>"1551598976096471"</f>
        <v>1551598976096471</v>
      </c>
      <c r="C5765" t="s">
        <v>40</v>
      </c>
      <c r="D5765">
        <v>5.6149849999999999</v>
      </c>
      <c r="E5765">
        <v>0.42028450000000001</v>
      </c>
      <c r="F5765" t="s">
        <v>57</v>
      </c>
      <c r="G5765">
        <v>-421.3175</v>
      </c>
      <c r="H5765" s="1">
        <v>-2.5135149999999999E-6</v>
      </c>
      <c r="I5765">
        <v>123.00149999999999</v>
      </c>
      <c r="J5765">
        <v>-420.28269999999998</v>
      </c>
      <c r="K5765">
        <v>1.1317109999999999</v>
      </c>
      <c r="L5765">
        <v>132.0472</v>
      </c>
      <c r="M5765">
        <v>-0.47994130000000002</v>
      </c>
      <c r="N5765">
        <v>-1.6243009999999999E-2</v>
      </c>
      <c r="O5765">
        <v>-0.87715019999999999</v>
      </c>
      <c r="P5765">
        <v>-0.31636700000000001</v>
      </c>
      <c r="Q5765">
        <v>-0.1145254</v>
      </c>
      <c r="R5765">
        <v>-0.94169860000000005</v>
      </c>
      <c r="S5765">
        <v>-0.37094120000000003</v>
      </c>
      <c r="T5765">
        <v>-0.3696411</v>
      </c>
      <c r="U5765">
        <v>-3.024521</v>
      </c>
      <c r="V5765">
        <v>-0.17179529999999901</v>
      </c>
      <c r="W5765">
        <v>-0.10323350000000001</v>
      </c>
      <c r="X5765">
        <v>0.97970869999999999</v>
      </c>
      <c r="Y5765">
        <v>-0.36950499999999997</v>
      </c>
      <c r="Z5765">
        <v>7.8978279999999998E-2</v>
      </c>
      <c r="AA5765">
        <v>0.92586630000000003</v>
      </c>
      <c r="AB5765">
        <v>24</v>
      </c>
      <c r="AC5765">
        <v>-1.0348000000000099</v>
      </c>
      <c r="AD5765">
        <v>-1.131713513515</v>
      </c>
      <c r="AE5765">
        <v>-9.0457000000000001</v>
      </c>
      <c r="AF5765">
        <v>-3.3819306572926</v>
      </c>
      <c r="AG5765">
        <v>-1.131713513515</v>
      </c>
      <c r="AH5765">
        <v>8.3038942442297703</v>
      </c>
      <c r="AI5765">
        <v>97.193857657700704</v>
      </c>
      <c r="AJ5765">
        <v>112.159614951116</v>
      </c>
      <c r="AK5765">
        <v>9.0373054649469804</v>
      </c>
      <c r="AL5765">
        <v>95.925400706837493</v>
      </c>
      <c r="AM5765">
        <v>99.945893725528094</v>
      </c>
      <c r="AN5765">
        <v>0.99999995874001402</v>
      </c>
    </row>
    <row r="5766" spans="1:40" x14ac:dyDescent="0.25">
      <c r="A5766" t="str">
        <f>"20190303154256125"</f>
        <v>20190303154256125</v>
      </c>
      <c r="B5766" t="str">
        <f>"1551598976115991"</f>
        <v>1551598976115991</v>
      </c>
      <c r="C5766" t="s">
        <v>40</v>
      </c>
      <c r="D5766">
        <v>5.6455380000000002</v>
      </c>
      <c r="E5766">
        <v>0.42088979999999998</v>
      </c>
      <c r="F5766" t="s">
        <v>57</v>
      </c>
      <c r="G5766">
        <v>-421.34480000000002</v>
      </c>
      <c r="H5766" s="1">
        <v>-2.3634499999999998E-6</v>
      </c>
      <c r="I5766">
        <v>122.754</v>
      </c>
      <c r="J5766">
        <v>-420.38130000000001</v>
      </c>
      <c r="K5766">
        <v>1.1316809999999999</v>
      </c>
      <c r="L5766">
        <v>131.82810000000001</v>
      </c>
      <c r="M5766">
        <v>-0.46514290000000003</v>
      </c>
      <c r="N5766">
        <v>-1.624242E-2</v>
      </c>
      <c r="O5766">
        <v>-0.88508659999999995</v>
      </c>
      <c r="P5766">
        <v>-0.30265589999999998</v>
      </c>
      <c r="Q5766">
        <v>-0.1131252</v>
      </c>
      <c r="R5766">
        <v>-0.94636260000000005</v>
      </c>
      <c r="S5766">
        <v>-0.34570309999999999</v>
      </c>
      <c r="T5766">
        <v>-0.36835069999999998</v>
      </c>
      <c r="U5766">
        <v>-3.0247799999999998</v>
      </c>
      <c r="V5766">
        <v>-0.169699499999999</v>
      </c>
      <c r="W5766">
        <v>-0.1017557</v>
      </c>
      <c r="X5766">
        <v>0.98022849999999995</v>
      </c>
      <c r="Y5766">
        <v>-0.36154530000000001</v>
      </c>
      <c r="Z5766">
        <v>8.0224950000000003E-2</v>
      </c>
      <c r="AA5766">
        <v>0.92889659999999996</v>
      </c>
      <c r="AB5766">
        <v>24</v>
      </c>
      <c r="AC5766">
        <v>-0.96350000000001002</v>
      </c>
      <c r="AD5766">
        <v>-1.1316833634500001</v>
      </c>
      <c r="AE5766">
        <v>-9.0741000000000103</v>
      </c>
      <c r="AF5766">
        <v>-3.31739301746099</v>
      </c>
      <c r="AG5766">
        <v>-1.1316833634500001</v>
      </c>
      <c r="AH5766">
        <v>8.3521863817086199</v>
      </c>
      <c r="AI5766">
        <v>97.177255051901994</v>
      </c>
      <c r="AJ5766">
        <v>111.662410595282</v>
      </c>
      <c r="AK5766">
        <v>9.0578596269873497</v>
      </c>
      <c r="AL5766">
        <v>95.840280310075698</v>
      </c>
      <c r="AM5766">
        <v>99.821829877790904</v>
      </c>
      <c r="AN5766">
        <v>1.0000000274974901</v>
      </c>
    </row>
    <row r="5767" spans="1:40" x14ac:dyDescent="0.25">
      <c r="A5767" t="str">
        <f>"20190303154256148"</f>
        <v>20190303154256148</v>
      </c>
      <c r="B5767" t="str">
        <f>"1551598976136487"</f>
        <v>1551598976136487</v>
      </c>
      <c r="C5767" t="s">
        <v>40</v>
      </c>
      <c r="D5767">
        <v>5.6610459999999998</v>
      </c>
      <c r="E5767">
        <v>0.42640889999999998</v>
      </c>
      <c r="F5767" t="s">
        <v>57</v>
      </c>
      <c r="G5767">
        <v>-421.3383</v>
      </c>
      <c r="H5767" s="1">
        <v>-2.1184279999999998E-6</v>
      </c>
      <c r="I5767">
        <v>122.3712</v>
      </c>
      <c r="J5767">
        <v>-420.47199999999998</v>
      </c>
      <c r="K5767">
        <v>1.131656</v>
      </c>
      <c r="L5767">
        <v>131.61760000000001</v>
      </c>
      <c r="M5767">
        <v>-0.45091340000000002</v>
      </c>
      <c r="N5767">
        <v>-1.6239369999999999E-2</v>
      </c>
      <c r="O5767">
        <v>-0.89241990000000004</v>
      </c>
      <c r="P5767">
        <v>-0.28818519999999997</v>
      </c>
      <c r="Q5767">
        <v>-0.1104517</v>
      </c>
      <c r="R5767">
        <v>-0.95118329999999995</v>
      </c>
      <c r="S5767">
        <v>-0.30648799999999998</v>
      </c>
      <c r="T5767">
        <v>-0.36243150000000002</v>
      </c>
      <c r="U5767">
        <v>-3.0286559999999998</v>
      </c>
      <c r="V5767">
        <v>-0.1691822</v>
      </c>
      <c r="W5767">
        <v>-9.9047930000000006E-2</v>
      </c>
      <c r="X5767">
        <v>0.9805952</v>
      </c>
      <c r="Y5767">
        <v>-0.35865320000000001</v>
      </c>
      <c r="Z5767">
        <v>7.9915100000000003E-2</v>
      </c>
      <c r="AA5767">
        <v>0.93004379999999998</v>
      </c>
      <c r="AB5767">
        <v>24</v>
      </c>
      <c r="AC5767">
        <v>-0.86630000000002305</v>
      </c>
      <c r="AD5767">
        <v>-1.1316581184279999</v>
      </c>
      <c r="AE5767">
        <v>-9.2463999999999995</v>
      </c>
      <c r="AF5767">
        <v>-3.3469720857080598</v>
      </c>
      <c r="AG5767">
        <v>-1.1316581184279999</v>
      </c>
      <c r="AH5767">
        <v>8.5169716196324696</v>
      </c>
      <c r="AI5767">
        <v>97.049679641545893</v>
      </c>
      <c r="AJ5767">
        <v>111.453674322545</v>
      </c>
      <c r="AK5767">
        <v>9.2207200266106106</v>
      </c>
      <c r="AL5767">
        <v>95.684348543020207</v>
      </c>
      <c r="AM5767">
        <v>99.788879110035694</v>
      </c>
      <c r="AN5767">
        <v>1.0000000277485801</v>
      </c>
    </row>
    <row r="5768" spans="1:40" x14ac:dyDescent="0.25">
      <c r="A5768" t="str">
        <f>"20190303154256169"</f>
        <v>20190303154256169</v>
      </c>
      <c r="B5768" t="str">
        <f>"1551598976165766"</f>
        <v>1551598976165766</v>
      </c>
      <c r="C5768" t="s">
        <v>40</v>
      </c>
      <c r="D5768">
        <v>5.7081400000000002</v>
      </c>
      <c r="E5768">
        <v>0.42773919999999999</v>
      </c>
      <c r="F5768" t="s">
        <v>57</v>
      </c>
      <c r="G5768">
        <v>-421.44099999999997</v>
      </c>
      <c r="H5768" s="1">
        <v>-1.8700460000000001E-6</v>
      </c>
      <c r="I5768">
        <v>121.9375</v>
      </c>
      <c r="J5768">
        <v>-420.55939999999998</v>
      </c>
      <c r="K5768">
        <v>1.131602</v>
      </c>
      <c r="L5768">
        <v>131.40559999999999</v>
      </c>
      <c r="M5768">
        <v>-0.43658019999999997</v>
      </c>
      <c r="N5768">
        <v>-1.6232730000000001E-2</v>
      </c>
      <c r="O5768">
        <v>-0.89951909999999902</v>
      </c>
      <c r="P5768">
        <v>-0.27262789999999998</v>
      </c>
      <c r="Q5768">
        <v>-0.1091058</v>
      </c>
      <c r="R5768">
        <v>-0.95591329999999997</v>
      </c>
      <c r="S5768">
        <v>-0.30242920000000001</v>
      </c>
      <c r="T5768">
        <v>-0.35320820000000003</v>
      </c>
      <c r="U5768">
        <v>-3.0213320000000001</v>
      </c>
      <c r="V5768">
        <v>-0.16960939999999999</v>
      </c>
      <c r="W5768">
        <v>-9.7696599999999995E-2</v>
      </c>
      <c r="X5768">
        <v>0.98065690000000005</v>
      </c>
      <c r="Y5768">
        <v>-0.3447267</v>
      </c>
      <c r="Z5768">
        <v>7.9241889999999995E-2</v>
      </c>
      <c r="AA5768">
        <v>0.93535239999999997</v>
      </c>
      <c r="AB5768">
        <v>24</v>
      </c>
      <c r="AC5768">
        <v>-0.88159999999999095</v>
      </c>
      <c r="AD5768">
        <v>-1.131603870046</v>
      </c>
      <c r="AE5768">
        <v>-9.4680999999999909</v>
      </c>
      <c r="AF5768">
        <v>-3.2943549942598498</v>
      </c>
      <c r="AG5768">
        <v>-1.131603870046</v>
      </c>
      <c r="AH5768">
        <v>8.7784793956917593</v>
      </c>
      <c r="AI5768">
        <v>96.881632345342993</v>
      </c>
      <c r="AJ5768">
        <v>110.56992147538099</v>
      </c>
      <c r="AK5768">
        <v>9.4443105967292595</v>
      </c>
      <c r="AL5768">
        <v>95.606546018613898</v>
      </c>
      <c r="AM5768">
        <v>99.812511521186295</v>
      </c>
      <c r="AN5768">
        <v>0.99999996486876397</v>
      </c>
    </row>
    <row r="5769" spans="1:40" x14ac:dyDescent="0.25">
      <c r="A5769" t="str">
        <f>"20190303154256193"</f>
        <v>20190303154256193</v>
      </c>
      <c r="B5769" t="str">
        <f>"1551598976186262"</f>
        <v>1551598976186262</v>
      </c>
      <c r="C5769" t="s">
        <v>40</v>
      </c>
      <c r="D5769">
        <v>5.7201959999999996</v>
      </c>
      <c r="E5769">
        <v>0.43370520000000001</v>
      </c>
      <c r="F5769" t="s">
        <v>57</v>
      </c>
      <c r="G5769">
        <v>-421.41340000000002</v>
      </c>
      <c r="H5769" s="1">
        <v>-1.6425740000000001E-6</v>
      </c>
      <c r="I5769">
        <v>121.5912</v>
      </c>
      <c r="J5769">
        <v>-420.64980000000003</v>
      </c>
      <c r="K5769">
        <v>1.131516</v>
      </c>
      <c r="L5769">
        <v>131.1755</v>
      </c>
      <c r="M5769">
        <v>-0.42106060000000001</v>
      </c>
      <c r="N5769">
        <v>-1.622032E-2</v>
      </c>
      <c r="O5769">
        <v>-0.90688749999999996</v>
      </c>
      <c r="P5769">
        <v>-0.25550299999999998</v>
      </c>
      <c r="Q5769">
        <v>-0.11245140000000001</v>
      </c>
      <c r="R5769">
        <v>-0.96024640000000006</v>
      </c>
      <c r="S5769">
        <v>-0.26309199999999999</v>
      </c>
      <c r="T5769">
        <v>-0.34861579999999998</v>
      </c>
      <c r="U5769">
        <v>-3.0235439999999998</v>
      </c>
      <c r="V5769">
        <v>-0.17004939999999999</v>
      </c>
      <c r="W5769">
        <v>-0.1010432</v>
      </c>
      <c r="X5769">
        <v>0.98024149999999999</v>
      </c>
      <c r="Y5769">
        <v>-0.34074090000000001</v>
      </c>
      <c r="Z5769">
        <v>7.9275090000000006E-2</v>
      </c>
      <c r="AA5769">
        <v>0.936809</v>
      </c>
      <c r="AB5769">
        <v>24</v>
      </c>
      <c r="AC5769">
        <v>-0.76359999999999595</v>
      </c>
      <c r="AD5769">
        <v>-1.1315176425739999</v>
      </c>
      <c r="AE5769">
        <v>-9.5843000000000007</v>
      </c>
      <c r="AF5769">
        <v>-3.2978361127231901</v>
      </c>
      <c r="AG5769">
        <v>-1.1315176425739999</v>
      </c>
      <c r="AH5769">
        <v>8.8914417670995292</v>
      </c>
      <c r="AI5769">
        <v>96.804167254171205</v>
      </c>
      <c r="AJ5769">
        <v>110.34981931489899</v>
      </c>
      <c r="AK5769">
        <v>9.5505911806316703</v>
      </c>
      <c r="AL5769">
        <v>95.799245943979798</v>
      </c>
      <c r="AM5769">
        <v>99.841557738261798</v>
      </c>
      <c r="AN5769">
        <v>0.99999996251442402</v>
      </c>
    </row>
    <row r="5770" spans="1:40" x14ac:dyDescent="0.25">
      <c r="A5770" t="str">
        <f>"20190303154256216"</f>
        <v>20190303154256216</v>
      </c>
      <c r="B5770" t="str">
        <f>"1551598976205782"</f>
        <v>1551598976205782</v>
      </c>
      <c r="C5770" t="s">
        <v>40</v>
      </c>
      <c r="D5770">
        <v>5.7088859999999997</v>
      </c>
      <c r="E5770">
        <v>0.43498589999999998</v>
      </c>
      <c r="F5770" t="s">
        <v>57</v>
      </c>
      <c r="G5770">
        <v>-421.41</v>
      </c>
      <c r="H5770" s="1">
        <v>-2.0329519999999998E-6</v>
      </c>
      <c r="I5770">
        <v>122.2067</v>
      </c>
      <c r="J5770">
        <v>-420.73390000000001</v>
      </c>
      <c r="K5770">
        <v>1.1314</v>
      </c>
      <c r="L5770">
        <v>130.95079999999999</v>
      </c>
      <c r="M5770">
        <v>-0.40596480000000001</v>
      </c>
      <c r="N5770">
        <v>-1.6201759999999999E-2</v>
      </c>
      <c r="O5770">
        <v>-0.91374529999999998</v>
      </c>
      <c r="P5770">
        <v>-0.23922009999999999</v>
      </c>
      <c r="Q5770">
        <v>-0.1176711</v>
      </c>
      <c r="R5770">
        <v>-0.96380909999999997</v>
      </c>
      <c r="S5770">
        <v>-0.25527949999999999</v>
      </c>
      <c r="T5770">
        <v>-0.37997419999999998</v>
      </c>
      <c r="U5770">
        <v>-3.0117950000000002</v>
      </c>
      <c r="V5770">
        <v>-0.17001359999999999</v>
      </c>
      <c r="W5770">
        <v>-0.1062517</v>
      </c>
      <c r="X5770">
        <v>0.97969689999999998</v>
      </c>
      <c r="Y5770">
        <v>-0.32727460000000003</v>
      </c>
      <c r="Z5770">
        <v>8.9700829999999995E-2</v>
      </c>
      <c r="AA5770">
        <v>0.94066209999999995</v>
      </c>
      <c r="AB5770">
        <v>24</v>
      </c>
      <c r="AC5770">
        <v>-0.67610000000001902</v>
      </c>
      <c r="AD5770">
        <v>-1.131402032952</v>
      </c>
      <c r="AE5770">
        <v>-8.74409999999998</v>
      </c>
      <c r="AF5770">
        <v>-2.884394793527</v>
      </c>
      <c r="AG5770">
        <v>-1.131402032952</v>
      </c>
      <c r="AH5770">
        <v>8.1301317663801402</v>
      </c>
      <c r="AI5770">
        <v>97.471823540349703</v>
      </c>
      <c r="AJ5770">
        <v>109.533583649173</v>
      </c>
      <c r="AK5770">
        <v>8.7005084003061004</v>
      </c>
      <c r="AL5770">
        <v>96.099286943530103</v>
      </c>
      <c r="AM5770">
        <v>99.8448889870958</v>
      </c>
      <c r="AN5770">
        <v>1.0000000319037201</v>
      </c>
    </row>
    <row r="5771" spans="1:40" x14ac:dyDescent="0.25">
      <c r="A5771" t="str">
        <f>"20190303154256237"</f>
        <v>20190303154256237</v>
      </c>
      <c r="B5771" t="str">
        <f>"1551598976226279"</f>
        <v>1551598976226279</v>
      </c>
      <c r="C5771" t="s">
        <v>40</v>
      </c>
      <c r="D5771">
        <v>5.7526489999999999</v>
      </c>
      <c r="E5771">
        <v>0.43638450000000001</v>
      </c>
      <c r="F5771" t="s">
        <v>57</v>
      </c>
      <c r="G5771">
        <v>-421.33640000000003</v>
      </c>
      <c r="H5771" s="1">
        <v>-2.1695050000000001E-6</v>
      </c>
      <c r="I5771">
        <v>122.4524</v>
      </c>
      <c r="J5771">
        <v>-420.81150000000002</v>
      </c>
      <c r="K5771">
        <v>1.1312759999999999</v>
      </c>
      <c r="L5771">
        <v>130.7321</v>
      </c>
      <c r="M5771">
        <v>-0.39137850000000002</v>
      </c>
      <c r="N5771">
        <v>-1.617613E-2</v>
      </c>
      <c r="O5771">
        <v>-0.92008760000000001</v>
      </c>
      <c r="P5771">
        <v>-0.2239459</v>
      </c>
      <c r="Q5771">
        <v>-0.1198934</v>
      </c>
      <c r="R5771">
        <v>-0.96719909999999998</v>
      </c>
      <c r="S5771">
        <v>-0.21343989999999999</v>
      </c>
      <c r="T5771">
        <v>-0.40082220000000002</v>
      </c>
      <c r="U5771">
        <v>-3.010742</v>
      </c>
      <c r="V5771">
        <v>-0.16979040000000001</v>
      </c>
      <c r="W5771">
        <v>-0.10844959999999999</v>
      </c>
      <c r="X5771">
        <v>0.9794948</v>
      </c>
      <c r="Y5771">
        <v>-0.32523449999999998</v>
      </c>
      <c r="Z5771">
        <v>9.6747550000000002E-2</v>
      </c>
      <c r="AA5771">
        <v>0.94067129999999999</v>
      </c>
      <c r="AB5771">
        <v>24</v>
      </c>
      <c r="AC5771">
        <v>-0.52490000000000203</v>
      </c>
      <c r="AD5771">
        <v>-1.131278169505</v>
      </c>
      <c r="AE5771">
        <v>-8.2797000000000001</v>
      </c>
      <c r="AF5771">
        <v>-2.7075596849024302</v>
      </c>
      <c r="AG5771">
        <v>-1.131278169505</v>
      </c>
      <c r="AH5771">
        <v>7.6816763058368096</v>
      </c>
      <c r="AI5771">
        <v>97.907474485049704</v>
      </c>
      <c r="AJ5771">
        <v>109.416020169383</v>
      </c>
      <c r="AK5771">
        <v>8.2230663752497009</v>
      </c>
      <c r="AL5771">
        <v>96.225949016346306</v>
      </c>
      <c r="AM5771">
        <v>99.834205754841193</v>
      </c>
      <c r="AN5771">
        <v>1.00000007944967</v>
      </c>
    </row>
    <row r="5772" spans="1:40" x14ac:dyDescent="0.25">
      <c r="A5772" t="str">
        <f>"20190303154256260"</f>
        <v>20190303154256260</v>
      </c>
      <c r="B5772" t="str">
        <f>"1551598976256535"</f>
        <v>1551598976256535</v>
      </c>
      <c r="C5772" t="s">
        <v>40</v>
      </c>
      <c r="D5772">
        <v>5.7869080000000004</v>
      </c>
      <c r="E5772">
        <v>0.44459539999999997</v>
      </c>
      <c r="F5772" t="s">
        <v>57</v>
      </c>
      <c r="G5772">
        <v>-421.3014</v>
      </c>
      <c r="H5772" s="1">
        <v>-2.1154940000000002E-6</v>
      </c>
      <c r="I5772">
        <v>122.38209999999999</v>
      </c>
      <c r="J5772">
        <v>-420.88650000000001</v>
      </c>
      <c r="K5772">
        <v>1.1311549999999999</v>
      </c>
      <c r="L5772">
        <v>130.51009999999999</v>
      </c>
      <c r="M5772">
        <v>-0.37665949999999998</v>
      </c>
      <c r="N5772">
        <v>-1.614577E-2</v>
      </c>
      <c r="O5772">
        <v>-0.92621120000000001</v>
      </c>
      <c r="P5772">
        <v>-0.20816989999999999</v>
      </c>
      <c r="Q5772">
        <v>-0.11861190000000001</v>
      </c>
      <c r="R5772">
        <v>-0.97087440000000003</v>
      </c>
      <c r="S5772">
        <v>-0.17660519999999999</v>
      </c>
      <c r="T5772">
        <v>-0.40783809999999998</v>
      </c>
      <c r="U5772">
        <v>-3.010284</v>
      </c>
      <c r="V5772">
        <v>-0.1702427</v>
      </c>
      <c r="W5772">
        <v>-0.1071558</v>
      </c>
      <c r="X5772">
        <v>0.97955859999999995</v>
      </c>
      <c r="Y5772">
        <v>-0.32162669999999999</v>
      </c>
      <c r="Z5772">
        <v>0.100024</v>
      </c>
      <c r="AA5772">
        <v>0.94156859999999998</v>
      </c>
      <c r="AB5772">
        <v>24</v>
      </c>
      <c r="AC5772">
        <v>-0.414899999999988</v>
      </c>
      <c r="AD5772">
        <v>-1.1311571154940001</v>
      </c>
      <c r="AE5772">
        <v>-8.1280000000000001</v>
      </c>
      <c r="AF5772">
        <v>-2.6268089961393302</v>
      </c>
      <c r="AG5772">
        <v>-1.1311571154940001</v>
      </c>
      <c r="AH5772">
        <v>7.5398709276756</v>
      </c>
      <c r="AI5772">
        <v>98.063537754700704</v>
      </c>
      <c r="AJ5772">
        <v>109.20778078184</v>
      </c>
      <c r="AK5772">
        <v>8.0640743751616597</v>
      </c>
      <c r="AL5772">
        <v>96.151385713982805</v>
      </c>
      <c r="AM5772">
        <v>99.859259754983796</v>
      </c>
      <c r="AN5772">
        <v>0.99999999660544403</v>
      </c>
    </row>
    <row r="5773" spans="1:40" x14ac:dyDescent="0.25">
      <c r="A5773" t="str">
        <f>"20190303154256283"</f>
        <v>20190303154256283</v>
      </c>
      <c r="B5773" t="str">
        <f>"1551598976276055"</f>
        <v>1551598976276055</v>
      </c>
      <c r="C5773" t="s">
        <v>40</v>
      </c>
      <c r="D5773">
        <v>5.8104209999999998</v>
      </c>
      <c r="E5773">
        <v>0.44652239999999999</v>
      </c>
      <c r="F5773" t="s">
        <v>57</v>
      </c>
      <c r="G5773">
        <v>-421.36779999999999</v>
      </c>
      <c r="H5773" s="1">
        <v>-2.5129199999999998E-6</v>
      </c>
      <c r="I5773">
        <v>122.9795</v>
      </c>
      <c r="J5773">
        <v>-420.9597</v>
      </c>
      <c r="K5773">
        <v>1.131033</v>
      </c>
      <c r="L5773">
        <v>130.28210000000001</v>
      </c>
      <c r="M5773">
        <v>-0.3616646</v>
      </c>
      <c r="N5773">
        <v>-1.61117E-2</v>
      </c>
      <c r="O5773">
        <v>-0.93216909999999997</v>
      </c>
      <c r="P5773">
        <v>-0.19285179999999999</v>
      </c>
      <c r="Q5773">
        <v>-0.11638859999999999</v>
      </c>
      <c r="R5773">
        <v>-0.97430059999999996</v>
      </c>
      <c r="S5773">
        <v>-0.19134519999999999</v>
      </c>
      <c r="T5773">
        <v>-0.44973180000000001</v>
      </c>
      <c r="U5773">
        <v>-2.9940340000000001</v>
      </c>
      <c r="V5773">
        <v>-0.1700526</v>
      </c>
      <c r="W5773">
        <v>-0.1048992</v>
      </c>
      <c r="X5773">
        <v>0.97983580000000003</v>
      </c>
      <c r="Y5773">
        <v>-0.30145139999999998</v>
      </c>
      <c r="Z5773">
        <v>0.1142281</v>
      </c>
      <c r="AA5773">
        <v>0.94661450000000003</v>
      </c>
      <c r="AB5773">
        <v>24</v>
      </c>
      <c r="AC5773">
        <v>-0.40809999999999003</v>
      </c>
      <c r="AD5773">
        <v>-1.13103551292</v>
      </c>
      <c r="AE5773">
        <v>-7.3026000000000098</v>
      </c>
      <c r="AF5773">
        <v>-2.2081621633713802</v>
      </c>
      <c r="AG5773">
        <v>-1.13103551292</v>
      </c>
      <c r="AH5773">
        <v>6.7933041933160103</v>
      </c>
      <c r="AI5773">
        <v>98.9973989923988</v>
      </c>
      <c r="AJ5773">
        <v>108.006742261562</v>
      </c>
      <c r="AK5773">
        <v>7.2321644985547797</v>
      </c>
      <c r="AL5773">
        <v>96.021359303947904</v>
      </c>
      <c r="AM5773">
        <v>99.845734546176104</v>
      </c>
      <c r="AN5773">
        <v>0.99999996194451901</v>
      </c>
    </row>
    <row r="5774" spans="1:40" x14ac:dyDescent="0.25">
      <c r="A5774" t="str">
        <f>"20190303154256305"</f>
        <v>20190303154256305</v>
      </c>
      <c r="B5774" t="str">
        <f>"1551598976295575"</f>
        <v>1551598976295575</v>
      </c>
      <c r="C5774" t="s">
        <v>40</v>
      </c>
      <c r="D5774">
        <v>5.8920940000000002</v>
      </c>
      <c r="E5774">
        <v>0.44742349999999997</v>
      </c>
      <c r="F5774" t="s">
        <v>57</v>
      </c>
      <c r="G5774">
        <v>-421.37150000000003</v>
      </c>
      <c r="H5774" s="1">
        <v>-2.2446000000000001E-6</v>
      </c>
      <c r="I5774">
        <v>122.5558</v>
      </c>
      <c r="J5774">
        <v>-421.02659999999997</v>
      </c>
      <c r="K5774">
        <v>1.1308929999999999</v>
      </c>
      <c r="L5774">
        <v>130.06229999999999</v>
      </c>
      <c r="M5774">
        <v>-0.34733709999999901</v>
      </c>
      <c r="N5774">
        <v>-1.6075659999999999E-2</v>
      </c>
      <c r="O5774">
        <v>-0.93760250000000001</v>
      </c>
      <c r="P5774">
        <v>-0.1800194</v>
      </c>
      <c r="Q5774">
        <v>-0.1166461</v>
      </c>
      <c r="R5774">
        <v>-0.97672239999999999</v>
      </c>
      <c r="S5774">
        <v>-0.15963749999999999</v>
      </c>
      <c r="T5774">
        <v>-0.43845709999999999</v>
      </c>
      <c r="U5774">
        <v>-2.9951629999999998</v>
      </c>
      <c r="V5774">
        <v>-0.1679465</v>
      </c>
      <c r="W5774">
        <v>-0.10507710000000001</v>
      </c>
      <c r="X5774">
        <v>0.98018000000000005</v>
      </c>
      <c r="Y5774">
        <v>-0.2968577</v>
      </c>
      <c r="Z5774">
        <v>0.1122804</v>
      </c>
      <c r="AA5774">
        <v>0.94829770000000002</v>
      </c>
      <c r="AB5774">
        <v>24</v>
      </c>
      <c r="AC5774">
        <v>-0.344900000000052</v>
      </c>
      <c r="AD5774">
        <v>-1.1308952446</v>
      </c>
      <c r="AE5774">
        <v>-7.5064999999999804</v>
      </c>
      <c r="AF5774">
        <v>-2.2336124258899299</v>
      </c>
      <c r="AG5774">
        <v>-1.1308952446</v>
      </c>
      <c r="AH5774">
        <v>7.0002838331986199</v>
      </c>
      <c r="AI5774">
        <v>98.749474288508907</v>
      </c>
      <c r="AJ5774">
        <v>107.69655976277799</v>
      </c>
      <c r="AK5774">
        <v>7.43450887878216</v>
      </c>
      <c r="AL5774">
        <v>96.031608467498202</v>
      </c>
      <c r="AM5774">
        <v>99.722788216429194</v>
      </c>
      <c r="AN5774">
        <v>1.0000000281033199</v>
      </c>
    </row>
    <row r="5775" spans="1:40" x14ac:dyDescent="0.25">
      <c r="A5775" t="str">
        <f>"20190303154256327"</f>
        <v>20190303154256327</v>
      </c>
      <c r="B5775" t="str">
        <f>"1551598976316071"</f>
        <v>1551598976316071</v>
      </c>
      <c r="C5775" t="s">
        <v>40</v>
      </c>
      <c r="D5775">
        <v>5.9353590000000001</v>
      </c>
      <c r="E5775">
        <v>0.45465090000000002</v>
      </c>
      <c r="F5775" t="s">
        <v>57</v>
      </c>
      <c r="G5775">
        <v>-421.35559999999998</v>
      </c>
      <c r="H5775" s="1">
        <v>-2.0832459999999998E-6</v>
      </c>
      <c r="I5775">
        <v>122.3086</v>
      </c>
      <c r="J5775">
        <v>-421.09210000000002</v>
      </c>
      <c r="K5775">
        <v>1.130738</v>
      </c>
      <c r="L5775">
        <v>129.83500000000001</v>
      </c>
      <c r="M5775">
        <v>-0.33267849999999999</v>
      </c>
      <c r="N5775">
        <v>-1.603369E-2</v>
      </c>
      <c r="O5775">
        <v>-0.94290419999999997</v>
      </c>
      <c r="P5775">
        <v>-0.1674514</v>
      </c>
      <c r="Q5775">
        <v>-0.1188147</v>
      </c>
      <c r="R5775">
        <v>-0.97869490000000003</v>
      </c>
      <c r="S5775">
        <v>-0.1271362</v>
      </c>
      <c r="T5775">
        <v>-0.43695899999999999</v>
      </c>
      <c r="U5775">
        <v>-2.9958800000000001</v>
      </c>
      <c r="V5775">
        <v>-0.16516600000000001</v>
      </c>
      <c r="W5775">
        <v>-0.107154</v>
      </c>
      <c r="X5775">
        <v>0.98042759999999995</v>
      </c>
      <c r="Y5775">
        <v>-0.29226099999999999</v>
      </c>
      <c r="Z5775">
        <v>0.1130903</v>
      </c>
      <c r="AA5775">
        <v>0.94962840000000004</v>
      </c>
      <c r="AB5775">
        <v>24</v>
      </c>
      <c r="AC5775">
        <v>-0.26349999999996498</v>
      </c>
      <c r="AD5775">
        <v>-1.1307400832459999</v>
      </c>
      <c r="AE5775">
        <v>-7.5263999999999998</v>
      </c>
      <c r="AF5775">
        <v>-2.2059755861297701</v>
      </c>
      <c r="AG5775">
        <v>-1.1307400832459999</v>
      </c>
      <c r="AH5775">
        <v>7.0268482928539804</v>
      </c>
      <c r="AI5775">
        <v>98.728426126557906</v>
      </c>
      <c r="AJ5775">
        <v>107.428913153087</v>
      </c>
      <c r="AK5775">
        <v>7.4512749481712603</v>
      </c>
      <c r="AL5775">
        <v>96.151281759250693</v>
      </c>
      <c r="AM5775">
        <v>99.562446376868195</v>
      </c>
      <c r="AN5775">
        <v>1.0000000330568699</v>
      </c>
    </row>
    <row r="5776" spans="1:40" x14ac:dyDescent="0.25">
      <c r="A5776" t="str">
        <f>"20190303154256349"</f>
        <v>20190303154256349</v>
      </c>
      <c r="B5776" t="str">
        <f>"1551598976346327"</f>
        <v>1551598976346327</v>
      </c>
      <c r="C5776" t="s">
        <v>40</v>
      </c>
      <c r="D5776">
        <v>5.8983160000000003</v>
      </c>
      <c r="E5776">
        <v>0.45797290000000002</v>
      </c>
      <c r="F5776" t="s">
        <v>57</v>
      </c>
      <c r="G5776">
        <v>-421.45769999999999</v>
      </c>
      <c r="H5776" s="1">
        <v>-2.1035150000000001E-6</v>
      </c>
      <c r="I5776">
        <v>122.2978</v>
      </c>
      <c r="J5776">
        <v>-421.15129999999999</v>
      </c>
      <c r="K5776">
        <v>1.1305889999999901</v>
      </c>
      <c r="L5776">
        <v>129.6181</v>
      </c>
      <c r="M5776">
        <v>-0.31885140000000001</v>
      </c>
      <c r="N5776">
        <v>-1.598962E-2</v>
      </c>
      <c r="O5776">
        <v>-0.94767000000000001</v>
      </c>
      <c r="P5776">
        <v>-0.1561226</v>
      </c>
      <c r="Q5776">
        <v>-0.1190271</v>
      </c>
      <c r="R5776">
        <v>-0.98053999999999997</v>
      </c>
      <c r="S5776">
        <v>-0.1448364</v>
      </c>
      <c r="T5776">
        <v>-0.44798519999999997</v>
      </c>
      <c r="U5776">
        <v>-2.9861300000000002</v>
      </c>
      <c r="V5776">
        <v>-0.1621927</v>
      </c>
      <c r="W5776">
        <v>-0.10727009999999999</v>
      </c>
      <c r="X5776">
        <v>0.98091110000000004</v>
      </c>
      <c r="Y5776">
        <v>-0.27252209999999899</v>
      </c>
      <c r="Z5776">
        <v>0.1182285</v>
      </c>
      <c r="AA5776">
        <v>0.95485790000000004</v>
      </c>
      <c r="AB5776">
        <v>24</v>
      </c>
      <c r="AC5776">
        <v>-0.30639999999999601</v>
      </c>
      <c r="AD5776">
        <v>-1.13059110351499</v>
      </c>
      <c r="AE5776">
        <v>-7.3202999999999996</v>
      </c>
      <c r="AF5776">
        <v>-1.99644377967201</v>
      </c>
      <c r="AG5776">
        <v>-1.13059110351499</v>
      </c>
      <c r="AH5776">
        <v>6.8721837245549198</v>
      </c>
      <c r="AI5776">
        <v>98.977690457946906</v>
      </c>
      <c r="AJ5776">
        <v>106.19915306744301</v>
      </c>
      <c r="AK5776">
        <v>7.2450626741785999</v>
      </c>
      <c r="AL5776">
        <v>96.157972775808901</v>
      </c>
      <c r="AM5776">
        <v>99.388851998317406</v>
      </c>
      <c r="AN5776">
        <v>0.999999966195254</v>
      </c>
    </row>
    <row r="5777" spans="1:40" x14ac:dyDescent="0.25">
      <c r="A5777" t="str">
        <f>"20190303154256372"</f>
        <v>20190303154256372</v>
      </c>
      <c r="B5777" t="str">
        <f>"1551598976365850"</f>
        <v>1551598976365850</v>
      </c>
      <c r="C5777" t="s">
        <v>40</v>
      </c>
      <c r="D5777">
        <v>5.8697629999999998</v>
      </c>
      <c r="E5777">
        <v>0.45844669999999998</v>
      </c>
      <c r="F5777" t="s">
        <v>57</v>
      </c>
      <c r="G5777">
        <v>-421.5</v>
      </c>
      <c r="H5777" s="1">
        <v>-1.9135540000000002E-6</v>
      </c>
      <c r="I5777">
        <v>121.9812</v>
      </c>
      <c r="J5777">
        <v>-421.21089999999998</v>
      </c>
      <c r="K5777">
        <v>1.1304369999999999</v>
      </c>
      <c r="L5777">
        <v>129.3871</v>
      </c>
      <c r="M5777">
        <v>-0.30428260000000001</v>
      </c>
      <c r="N5777">
        <v>-1.594054E-2</v>
      </c>
      <c r="O5777">
        <v>-0.95244859999999998</v>
      </c>
      <c r="P5777">
        <v>-0.14334530000000001</v>
      </c>
      <c r="Q5777">
        <v>-0.1167012</v>
      </c>
      <c r="R5777">
        <v>-0.98276850000000004</v>
      </c>
      <c r="S5777">
        <v>-0.13626099999999999</v>
      </c>
      <c r="T5777">
        <v>-0.44179489999999999</v>
      </c>
      <c r="U5777">
        <v>-2.9842219999999999</v>
      </c>
      <c r="V5777">
        <v>-0.16010539999999901</v>
      </c>
      <c r="W5777">
        <v>-0.1048688</v>
      </c>
      <c r="X5777">
        <v>0.98151359999999999</v>
      </c>
      <c r="Y5777">
        <v>-0.2604843</v>
      </c>
      <c r="Z5777">
        <v>0.1178222</v>
      </c>
      <c r="AA5777">
        <v>0.9582619</v>
      </c>
      <c r="AB5777">
        <v>24</v>
      </c>
      <c r="AC5777">
        <v>-0.28910000000001901</v>
      </c>
      <c r="AD5777">
        <v>-1.1304389135540001</v>
      </c>
      <c r="AE5777">
        <v>-7.4058999999999999</v>
      </c>
      <c r="AF5777">
        <v>-1.9334066251245801</v>
      </c>
      <c r="AG5777">
        <v>-1.1304389135540001</v>
      </c>
      <c r="AH5777">
        <v>6.9802281654097804</v>
      </c>
      <c r="AI5777">
        <v>98.870726308234197</v>
      </c>
      <c r="AJ5777">
        <v>105.481842829485</v>
      </c>
      <c r="AK5777">
        <v>7.3307256500658102</v>
      </c>
      <c r="AL5777">
        <v>96.019607164970296</v>
      </c>
      <c r="AM5777">
        <v>99.264543584347393</v>
      </c>
      <c r="AN5777">
        <v>1.0000000756537699</v>
      </c>
    </row>
    <row r="5778" spans="1:40" x14ac:dyDescent="0.25">
      <c r="A5778" t="str">
        <f>"20190303154256394"</f>
        <v>20190303154256394</v>
      </c>
      <c r="B5778" t="str">
        <f>"1551598976386346"</f>
        <v>1551598976386346</v>
      </c>
      <c r="C5778" t="s">
        <v>40</v>
      </c>
      <c r="D5778">
        <v>5.9625870000000001</v>
      </c>
      <c r="E5778">
        <v>0.44410119999999997</v>
      </c>
      <c r="F5778" t="s">
        <v>57</v>
      </c>
      <c r="G5778">
        <v>-421.47519999999997</v>
      </c>
      <c r="H5778" s="1">
        <v>-1.666481E-6</v>
      </c>
      <c r="I5778">
        <v>121.60290000000001</v>
      </c>
      <c r="J5778">
        <v>-421.2647</v>
      </c>
      <c r="K5778">
        <v>1.1302939999999999</v>
      </c>
      <c r="L5778">
        <v>129.16550000000001</v>
      </c>
      <c r="M5778">
        <v>-0.29046309999999997</v>
      </c>
      <c r="N5778">
        <v>-1.5893109999999998E-2</v>
      </c>
      <c r="O5778">
        <v>-0.95675429999999995</v>
      </c>
      <c r="P5778">
        <v>-0.1307451</v>
      </c>
      <c r="Q5778">
        <v>-0.1155003</v>
      </c>
      <c r="R5778">
        <v>-0.98466520000000002</v>
      </c>
      <c r="S5778">
        <v>-0.1014099</v>
      </c>
      <c r="T5778">
        <v>-0.43368020000000002</v>
      </c>
      <c r="U5778">
        <v>-2.986313</v>
      </c>
      <c r="V5778">
        <v>-0.15857739999999901</v>
      </c>
      <c r="W5778">
        <v>-0.10361389999999999</v>
      </c>
      <c r="X5778">
        <v>0.98189479999999996</v>
      </c>
      <c r="Y5778">
        <v>-0.25771100000000002</v>
      </c>
      <c r="Z5778">
        <v>0.116337</v>
      </c>
      <c r="AA5778">
        <v>0.95919279999999996</v>
      </c>
      <c r="AB5778">
        <v>24</v>
      </c>
      <c r="AC5778">
        <v>-0.21049999999996699</v>
      </c>
      <c r="AD5778">
        <v>-1.130295666481</v>
      </c>
      <c r="AE5778">
        <v>-7.5625999999999998</v>
      </c>
      <c r="AF5778">
        <v>-1.9519428058229</v>
      </c>
      <c r="AG5778">
        <v>-1.130295666481</v>
      </c>
      <c r="AH5778">
        <v>7.1382829245140398</v>
      </c>
      <c r="AI5778">
        <v>98.683985036216797</v>
      </c>
      <c r="AJ5778">
        <v>105.293499766989</v>
      </c>
      <c r="AK5778">
        <v>7.4861693890319003</v>
      </c>
      <c r="AL5778">
        <v>95.947313195549398</v>
      </c>
      <c r="AM5778">
        <v>99.174134722061297</v>
      </c>
      <c r="AN5778">
        <v>1.0000000151655</v>
      </c>
    </row>
    <row r="5779" spans="1:40" x14ac:dyDescent="0.25">
      <c r="A5779" t="str">
        <f>"20190303154256416"</f>
        <v>20190303154256416</v>
      </c>
      <c r="B5779" t="str">
        <f>"1551598976405863"</f>
        <v>1551598976405863</v>
      </c>
      <c r="C5779" t="s">
        <v>40</v>
      </c>
      <c r="D5779">
        <v>5.8979330000000001</v>
      </c>
      <c r="E5779">
        <v>0.44411889999999998</v>
      </c>
      <c r="F5779" t="s">
        <v>57</v>
      </c>
      <c r="G5779">
        <v>-421.11430000000001</v>
      </c>
      <c r="H5779" s="1">
        <v>-6.1015959999999998E-7</v>
      </c>
      <c r="I5779">
        <v>120.0921</v>
      </c>
      <c r="J5779">
        <v>-421.31560000000002</v>
      </c>
      <c r="K5779">
        <v>1.1301650000000001</v>
      </c>
      <c r="L5779">
        <v>128.94229999999999</v>
      </c>
      <c r="M5779">
        <v>-0.27669169999999998</v>
      </c>
      <c r="N5779">
        <v>-1.5846039999999999E-2</v>
      </c>
      <c r="O5779">
        <v>-0.96082809999999996</v>
      </c>
      <c r="P5779">
        <v>-0.1195555</v>
      </c>
      <c r="Q5779">
        <v>-0.1166813</v>
      </c>
      <c r="R5779">
        <v>-0.98594740000000003</v>
      </c>
      <c r="S5779">
        <v>4.9865720000000002E-2</v>
      </c>
      <c r="T5779">
        <v>-0.37488389999999999</v>
      </c>
      <c r="U5779">
        <v>-3.0093540000000001</v>
      </c>
      <c r="V5779">
        <v>-0.15559819999999999</v>
      </c>
      <c r="W5779">
        <v>-0.104712899999999</v>
      </c>
      <c r="X5779">
        <v>0.98225469999999904</v>
      </c>
      <c r="Y5779">
        <v>-0.29214950000000001</v>
      </c>
      <c r="Z5779">
        <v>9.7907999999999995E-2</v>
      </c>
      <c r="AA5779">
        <v>0.95134779999999997</v>
      </c>
      <c r="AB5779">
        <v>24</v>
      </c>
      <c r="AC5779">
        <v>0.201300000000003</v>
      </c>
      <c r="AD5779">
        <v>-1.1301656101595901</v>
      </c>
      <c r="AE5779">
        <v>-8.8501999999999796</v>
      </c>
      <c r="AF5779">
        <v>-2.6001443109999798</v>
      </c>
      <c r="AG5779">
        <v>-1.1301656101595901</v>
      </c>
      <c r="AH5779">
        <v>8.3133859750261898</v>
      </c>
      <c r="AI5779">
        <v>97.392669258048301</v>
      </c>
      <c r="AJ5779">
        <v>107.367907282228</v>
      </c>
      <c r="AK5779">
        <v>8.7835306747443607</v>
      </c>
      <c r="AL5779">
        <v>96.010626099446597</v>
      </c>
      <c r="AM5779">
        <v>99.001384971842796</v>
      </c>
      <c r="AN5779">
        <v>0.99999994347086796</v>
      </c>
    </row>
    <row r="5780" spans="1:40" x14ac:dyDescent="0.25">
      <c r="A5780" t="str">
        <f>"20190303154256440"</f>
        <v>20190303154256440</v>
      </c>
      <c r="B5780" t="str">
        <f>"1551598976436118"</f>
        <v>1551598976436118</v>
      </c>
      <c r="C5780" t="s">
        <v>40</v>
      </c>
      <c r="D5780">
        <v>5.9299780000000002</v>
      </c>
      <c r="E5780">
        <v>0.44523669999999999</v>
      </c>
      <c r="F5780" t="s">
        <v>41</v>
      </c>
      <c r="G5780">
        <v>-421.05059999999997</v>
      </c>
      <c r="H5780" s="1">
        <v>-4.4191660000000003E-6</v>
      </c>
      <c r="I5780">
        <v>119.4251</v>
      </c>
      <c r="J5780">
        <v>-421.36489999999998</v>
      </c>
      <c r="K5780">
        <v>1.1300349999999999</v>
      </c>
      <c r="L5780">
        <v>128.7107</v>
      </c>
      <c r="M5780">
        <v>-0.262553599999999</v>
      </c>
      <c r="N5780">
        <v>-1.5798260000000001E-2</v>
      </c>
      <c r="O5780">
        <v>-0.96478810000000004</v>
      </c>
      <c r="P5780">
        <v>-0.1083737</v>
      </c>
      <c r="Q5780">
        <v>-0.11829770000000001</v>
      </c>
      <c r="R5780">
        <v>-0.9870466</v>
      </c>
      <c r="S5780">
        <v>8.3831790000000003E-2</v>
      </c>
      <c r="T5780">
        <v>-0.35751129999999998</v>
      </c>
      <c r="U5780">
        <v>-3.0106199999999999</v>
      </c>
      <c r="V5780">
        <v>-0.15225820000000001</v>
      </c>
      <c r="W5780">
        <v>-0.1062454</v>
      </c>
      <c r="X5780">
        <v>0.98261350000000003</v>
      </c>
      <c r="Y5780">
        <v>-0.2888656</v>
      </c>
      <c r="Z5780">
        <v>9.3425240000000007E-2</v>
      </c>
      <c r="AA5780">
        <v>0.95280030000000004</v>
      </c>
      <c r="AB5780">
        <v>24</v>
      </c>
      <c r="AC5780">
        <v>0.31430000000000202</v>
      </c>
      <c r="AD5780">
        <v>-1.1300394191659999</v>
      </c>
      <c r="AE5780">
        <v>-9.2856000000000005</v>
      </c>
      <c r="AF5780">
        <v>-2.7015769875295699</v>
      </c>
      <c r="AG5780">
        <v>-1.1300394191659999</v>
      </c>
      <c r="AH5780">
        <v>8.7478129375809992</v>
      </c>
      <c r="AI5780">
        <v>97.036299136786596</v>
      </c>
      <c r="AJ5780">
        <v>107.162196975683</v>
      </c>
      <c r="AK5780">
        <v>9.2249519510579496</v>
      </c>
      <c r="AL5780">
        <v>96.098924319983198</v>
      </c>
      <c r="AM5780">
        <v>98.808062834687107</v>
      </c>
      <c r="AN5780">
        <v>0.99999996743532404</v>
      </c>
    </row>
    <row r="5781" spans="1:40" x14ac:dyDescent="0.25">
      <c r="A5781" t="str">
        <f>"20190303154256461"</f>
        <v>20190303154256461</v>
      </c>
      <c r="B5781" t="str">
        <f>"1551598976455639"</f>
        <v>1551598976455639</v>
      </c>
      <c r="C5781" t="s">
        <v>40</v>
      </c>
      <c r="D5781">
        <v>5.9900440000000001</v>
      </c>
      <c r="E5781">
        <v>0.44617279999999998</v>
      </c>
      <c r="F5781" t="s">
        <v>41</v>
      </c>
      <c r="G5781">
        <v>-421.01889999999997</v>
      </c>
      <c r="H5781" s="1">
        <v>-4.3282450000000001E-6</v>
      </c>
      <c r="I5781">
        <v>119.17440000000001</v>
      </c>
      <c r="J5781">
        <v>-421.40969999999999</v>
      </c>
      <c r="K5781">
        <v>1.1299300000000001</v>
      </c>
      <c r="L5781">
        <v>128.48509999999999</v>
      </c>
      <c r="M5781">
        <v>-0.24888550000000001</v>
      </c>
      <c r="N5781">
        <v>-1.575418E-2</v>
      </c>
      <c r="O5781">
        <v>-0.96840490000000001</v>
      </c>
      <c r="P5781">
        <v>-9.7916420000000004E-2</v>
      </c>
      <c r="Q5781">
        <v>-0.1179028</v>
      </c>
      <c r="R5781">
        <v>-0.98818600000000001</v>
      </c>
      <c r="S5781">
        <v>0.10916140000000001</v>
      </c>
      <c r="T5781">
        <v>-0.35652020000000001</v>
      </c>
      <c r="U5781">
        <v>-3.0086210000000002</v>
      </c>
      <c r="V5781">
        <v>-0.1488226</v>
      </c>
      <c r="W5781">
        <v>-0.105766899999999</v>
      </c>
      <c r="X5781">
        <v>0.98319140000000005</v>
      </c>
      <c r="Y5781">
        <v>-0.2833659</v>
      </c>
      <c r="Z5781">
        <v>9.3945710000000002E-2</v>
      </c>
      <c r="AA5781">
        <v>0.95439929999999995</v>
      </c>
      <c r="AB5781">
        <v>24</v>
      </c>
      <c r="AC5781">
        <v>0.39080000000001203</v>
      </c>
      <c r="AD5781">
        <v>-1.1299343282449901</v>
      </c>
      <c r="AE5781">
        <v>-9.3106999999999793</v>
      </c>
      <c r="AF5781">
        <v>-2.6570215285763998</v>
      </c>
      <c r="AG5781">
        <v>-1.1299343282449901</v>
      </c>
      <c r="AH5781">
        <v>8.7911217219571007</v>
      </c>
      <c r="AI5781">
        <v>97.014111612516402</v>
      </c>
      <c r="AJ5781">
        <v>106.81687457202599</v>
      </c>
      <c r="AK5781">
        <v>9.2531257486176504</v>
      </c>
      <c r="AL5781">
        <v>96.071352334624706</v>
      </c>
      <c r="AM5781">
        <v>98.607342483852094</v>
      </c>
      <c r="AN5781">
        <v>1.00000006622016</v>
      </c>
    </row>
    <row r="5782" spans="1:40" x14ac:dyDescent="0.25">
      <c r="A5782" t="str">
        <f>"20190303154256483"</f>
        <v>20190303154256483</v>
      </c>
      <c r="B5782" t="str">
        <f>"1551598976476135"</f>
        <v>1551598976476135</v>
      </c>
      <c r="C5782" t="s">
        <v>40</v>
      </c>
      <c r="D5782">
        <v>5.9381300000000001</v>
      </c>
      <c r="E5782">
        <v>0.44755420000000001</v>
      </c>
      <c r="F5782" t="s">
        <v>41</v>
      </c>
      <c r="G5782">
        <v>-420.98719999999997</v>
      </c>
      <c r="H5782" s="1">
        <v>-4.2602509999999998E-6</v>
      </c>
      <c r="I5782">
        <v>118.99120000000001</v>
      </c>
      <c r="J5782">
        <v>-421.452</v>
      </c>
      <c r="K5782">
        <v>1.1298440000000001</v>
      </c>
      <c r="L5782">
        <v>128.25489999999999</v>
      </c>
      <c r="M5782">
        <v>-0.2350342</v>
      </c>
      <c r="N5782">
        <v>-1.571227E-2</v>
      </c>
      <c r="O5782">
        <v>-0.97186019999999895</v>
      </c>
      <c r="P5782">
        <v>-8.6810040000000005E-2</v>
      </c>
      <c r="Q5782">
        <v>-0.1175098</v>
      </c>
      <c r="R5782">
        <v>-0.98927019999999999</v>
      </c>
      <c r="S5782">
        <v>0.13378909999999999</v>
      </c>
      <c r="T5782">
        <v>-0.35781400000000002</v>
      </c>
      <c r="U5782">
        <v>-3.006424</v>
      </c>
      <c r="V5782">
        <v>-0.145878799999999</v>
      </c>
      <c r="W5782">
        <v>-0.10530630000000001</v>
      </c>
      <c r="X5782">
        <v>0.9836819</v>
      </c>
      <c r="Y5782">
        <v>-0.27750560000000002</v>
      </c>
      <c r="Z5782">
        <v>9.5142560000000001E-2</v>
      </c>
      <c r="AA5782">
        <v>0.95600130000000005</v>
      </c>
      <c r="AB5782">
        <v>24</v>
      </c>
      <c r="AC5782">
        <v>0.46480000000002503</v>
      </c>
      <c r="AD5782">
        <v>-1.1298482602509901</v>
      </c>
      <c r="AE5782">
        <v>-9.2636999999999805</v>
      </c>
      <c r="AF5782">
        <v>-2.5908873196208502</v>
      </c>
      <c r="AG5782">
        <v>-1.1298482602509901</v>
      </c>
      <c r="AH5782">
        <v>8.7648209835190301</v>
      </c>
      <c r="AI5782">
        <v>97.047114564477098</v>
      </c>
      <c r="AJ5782">
        <v>106.46771684505001</v>
      </c>
      <c r="AK5782">
        <v>9.2093073065947699</v>
      </c>
      <c r="AL5782">
        <v>96.044813726116203</v>
      </c>
      <c r="AM5782">
        <v>98.435412588403807</v>
      </c>
      <c r="AN5782">
        <v>1.0000000607483599</v>
      </c>
    </row>
    <row r="5783" spans="1:40" x14ac:dyDescent="0.25">
      <c r="A5783" t="str">
        <f>"20190303154256506"</f>
        <v>20190303154256506</v>
      </c>
      <c r="B5783" t="str">
        <f>"1551598976495655"</f>
        <v>1551598976495655</v>
      </c>
      <c r="C5783" t="s">
        <v>40</v>
      </c>
      <c r="D5783">
        <v>5.9325960000000002</v>
      </c>
      <c r="E5783">
        <v>0.44914759999999998</v>
      </c>
      <c r="F5783" t="s">
        <v>41</v>
      </c>
      <c r="G5783">
        <v>-420.95280000000002</v>
      </c>
      <c r="H5783" s="1">
        <v>-4.142855E-6</v>
      </c>
      <c r="I5783">
        <v>118.6641</v>
      </c>
      <c r="J5783">
        <v>-421.4907</v>
      </c>
      <c r="K5783">
        <v>1.1297569999999999</v>
      </c>
      <c r="L5783">
        <v>128.02789999999999</v>
      </c>
      <c r="M5783">
        <v>-0.22147169999999999</v>
      </c>
      <c r="N5783">
        <v>-1.5672889999999998E-2</v>
      </c>
      <c r="O5783">
        <v>-0.97504069999999998</v>
      </c>
      <c r="P5783">
        <v>-7.6475749999999995E-2</v>
      </c>
      <c r="Q5783">
        <v>-0.1178787</v>
      </c>
      <c r="R5783">
        <v>-0.99007860000000003</v>
      </c>
      <c r="S5783">
        <v>0.15637210000000001</v>
      </c>
      <c r="T5783">
        <v>-0.35391280000000003</v>
      </c>
      <c r="U5783">
        <v>-3.0042110000000002</v>
      </c>
      <c r="V5783">
        <v>-0.1424559</v>
      </c>
      <c r="W5783">
        <v>-0.1055987</v>
      </c>
      <c r="X5783">
        <v>0.98415200000000003</v>
      </c>
      <c r="Y5783">
        <v>-0.27133469999999998</v>
      </c>
      <c r="Z5783">
        <v>9.4698939999999995E-2</v>
      </c>
      <c r="AA5783">
        <v>0.95781499999999997</v>
      </c>
      <c r="AB5783">
        <v>24</v>
      </c>
      <c r="AC5783">
        <v>0.53789999999997895</v>
      </c>
      <c r="AD5783">
        <v>-1.1297611428549901</v>
      </c>
      <c r="AE5783">
        <v>-9.3637999999999799</v>
      </c>
      <c r="AF5783">
        <v>-2.5614465476097301</v>
      </c>
      <c r="AG5783">
        <v>-1.1297611428549901</v>
      </c>
      <c r="AH5783">
        <v>8.8831784056543004</v>
      </c>
      <c r="AI5783">
        <v>96.967063112611498</v>
      </c>
      <c r="AJ5783">
        <v>106.08480954727</v>
      </c>
      <c r="AK5783">
        <v>9.3138728380223093</v>
      </c>
      <c r="AL5783">
        <v>96.061661534109305</v>
      </c>
      <c r="AM5783">
        <v>98.236351929219794</v>
      </c>
      <c r="AN5783">
        <v>0.99999996399524904</v>
      </c>
    </row>
    <row r="5784" spans="1:40" x14ac:dyDescent="0.25">
      <c r="A5784" t="str">
        <f>"20190303154256527"</f>
        <v>20190303154256527</v>
      </c>
      <c r="B5784" t="str">
        <f>"1551598976516151"</f>
        <v>1551598976516151</v>
      </c>
      <c r="C5784" t="s">
        <v>40</v>
      </c>
      <c r="D5784">
        <v>5.9641859999999998</v>
      </c>
      <c r="E5784">
        <v>0.46287329999999999</v>
      </c>
      <c r="F5784" t="s">
        <v>41</v>
      </c>
      <c r="G5784">
        <v>-420.9228</v>
      </c>
      <c r="H5784" s="1">
        <v>-3.9749860000000001E-6</v>
      </c>
      <c r="I5784">
        <v>118.2825</v>
      </c>
      <c r="J5784">
        <v>-421.52550000000002</v>
      </c>
      <c r="K5784">
        <v>1.1296729999999999</v>
      </c>
      <c r="L5784">
        <v>127.8058</v>
      </c>
      <c r="M5784">
        <v>-0.20828650000000001</v>
      </c>
      <c r="N5784">
        <v>-1.5634599999999998E-2</v>
      </c>
      <c r="O5784">
        <v>-0.97794309999999995</v>
      </c>
      <c r="P5784">
        <v>-6.7845660000000002E-2</v>
      </c>
      <c r="Q5784">
        <v>-0.11903619999999999</v>
      </c>
      <c r="R5784">
        <v>-0.99056949999999999</v>
      </c>
      <c r="S5784">
        <v>0.17492679999999999</v>
      </c>
      <c r="T5784">
        <v>-0.34803099999999998</v>
      </c>
      <c r="U5784">
        <v>-3.0021360000000001</v>
      </c>
      <c r="V5784">
        <v>-0.1377206</v>
      </c>
      <c r="W5784">
        <v>-0.1066505</v>
      </c>
      <c r="X5784">
        <v>0.98471249999999999</v>
      </c>
      <c r="Y5784">
        <v>-0.26429279999999999</v>
      </c>
      <c r="Z5784">
        <v>9.3587909999999996E-2</v>
      </c>
      <c r="AA5784">
        <v>0.95989100000000005</v>
      </c>
      <c r="AB5784">
        <v>24</v>
      </c>
      <c r="AC5784">
        <v>0.60270000000002699</v>
      </c>
      <c r="AD5784">
        <v>-1.1296769749859901</v>
      </c>
      <c r="AE5784">
        <v>-9.5233000000000008</v>
      </c>
      <c r="AF5784">
        <v>-2.5377284907440099</v>
      </c>
      <c r="AG5784">
        <v>-1.1296769749859901</v>
      </c>
      <c r="AH5784">
        <v>9.0618296097209008</v>
      </c>
      <c r="AI5784">
        <v>96.845302467102897</v>
      </c>
      <c r="AJ5784">
        <v>105.644686647984</v>
      </c>
      <c r="AK5784">
        <v>9.4780267902217794</v>
      </c>
      <c r="AL5784">
        <v>96.1222672689549</v>
      </c>
      <c r="AM5784">
        <v>97.961669398100398</v>
      </c>
      <c r="AN5784">
        <v>1.0000000002354299</v>
      </c>
    </row>
    <row r="5785" spans="1:40" x14ac:dyDescent="0.25">
      <c r="A5785" t="str">
        <f>"20190303154256550"</f>
        <v>20190303154256550</v>
      </c>
      <c r="B5785" t="str">
        <f>"1551598976545431"</f>
        <v>1551598976545431</v>
      </c>
      <c r="C5785" t="s">
        <v>40</v>
      </c>
      <c r="D5785">
        <v>5.9613880000000004</v>
      </c>
      <c r="E5785">
        <v>0.46429949999999998</v>
      </c>
      <c r="F5785" t="s">
        <v>41</v>
      </c>
      <c r="G5785">
        <v>-421.19630000000001</v>
      </c>
      <c r="H5785" s="1">
        <v>-3.515613E-6</v>
      </c>
      <c r="I5785">
        <v>117.0421</v>
      </c>
      <c r="J5785">
        <v>-421.55790000000002</v>
      </c>
      <c r="K5785">
        <v>1.129575</v>
      </c>
      <c r="L5785">
        <v>127.5795</v>
      </c>
      <c r="M5785">
        <v>-0.1949611</v>
      </c>
      <c r="N5785">
        <v>-1.559489E-2</v>
      </c>
      <c r="O5785">
        <v>-0.98068710000000003</v>
      </c>
      <c r="P5785">
        <v>-6.1001039999999999E-2</v>
      </c>
      <c r="Q5785">
        <v>-0.1200171</v>
      </c>
      <c r="R5785">
        <v>-0.99089590000000005</v>
      </c>
      <c r="S5785">
        <v>9.1674800000000001E-2</v>
      </c>
      <c r="T5785">
        <v>-0.31454870000000001</v>
      </c>
      <c r="U5785">
        <v>-2.9970400000000001</v>
      </c>
      <c r="V5785">
        <v>-0.1311166</v>
      </c>
      <c r="W5785">
        <v>-0.10748199999999999</v>
      </c>
      <c r="X5785">
        <v>0.98552320000000004</v>
      </c>
      <c r="Y5785">
        <v>-0.22454350000000001</v>
      </c>
      <c r="Z5785">
        <v>8.4451970000000001E-2</v>
      </c>
      <c r="AA5785">
        <v>0.97079769999999999</v>
      </c>
      <c r="AB5785">
        <v>24</v>
      </c>
      <c r="AC5785">
        <v>0.36160000000000903</v>
      </c>
      <c r="AD5785">
        <v>-1.129578515613</v>
      </c>
      <c r="AE5785">
        <v>-10.5373999999999</v>
      </c>
      <c r="AF5785">
        <v>-2.3819529379945501</v>
      </c>
      <c r="AG5785">
        <v>-1.129578515613</v>
      </c>
      <c r="AH5785">
        <v>10.148163885888</v>
      </c>
      <c r="AI5785">
        <v>96.184648250866104</v>
      </c>
      <c r="AJ5785">
        <v>103.209218119407</v>
      </c>
      <c r="AK5785">
        <v>10.484983437116</v>
      </c>
      <c r="AL5785">
        <v>96.170184389137304</v>
      </c>
      <c r="AM5785">
        <v>97.578277695790405</v>
      </c>
      <c r="AN5785">
        <v>0.99999996042889905</v>
      </c>
    </row>
    <row r="5786" spans="1:40" x14ac:dyDescent="0.25">
      <c r="A5786" t="str">
        <f>"20190303154256572"</f>
        <v>20190303154256572</v>
      </c>
      <c r="B5786" t="str">
        <f>"1551598976565930"</f>
        <v>1551598976565930</v>
      </c>
      <c r="C5786" t="s">
        <v>40</v>
      </c>
      <c r="D5786">
        <v>5.958234</v>
      </c>
      <c r="E5786">
        <v>0.46510430000000003</v>
      </c>
      <c r="F5786" t="s">
        <v>41</v>
      </c>
      <c r="G5786">
        <v>-421.19670000000002</v>
      </c>
      <c r="H5786" s="1">
        <v>-3.428097E-6</v>
      </c>
      <c r="I5786">
        <v>116.8379</v>
      </c>
      <c r="J5786">
        <v>-421.58780000000002</v>
      </c>
      <c r="K5786">
        <v>1.1294649999999999</v>
      </c>
      <c r="L5786">
        <v>127.3501</v>
      </c>
      <c r="M5786">
        <v>-0.1815737</v>
      </c>
      <c r="N5786">
        <v>-1.555339E-2</v>
      </c>
      <c r="O5786">
        <v>-0.98325430000000003</v>
      </c>
      <c r="P5786">
        <v>-5.5399589999999999E-2</v>
      </c>
      <c r="Q5786">
        <v>-0.1203207</v>
      </c>
      <c r="R5786">
        <v>-0.99118830000000002</v>
      </c>
      <c r="S5786">
        <v>0.10073849999999999</v>
      </c>
      <c r="T5786">
        <v>-0.31501659999999998</v>
      </c>
      <c r="U5786">
        <v>-2.9956209999999999</v>
      </c>
      <c r="V5786">
        <v>-0.1232803</v>
      </c>
      <c r="W5786">
        <v>-0.1076072</v>
      </c>
      <c r="X5786">
        <v>0.98652050000000002</v>
      </c>
      <c r="Y5786">
        <v>-0.2142058</v>
      </c>
      <c r="Z5786">
        <v>8.5205630000000004E-2</v>
      </c>
      <c r="AA5786">
        <v>0.97306519999999996</v>
      </c>
      <c r="AB5786">
        <v>24</v>
      </c>
      <c r="AC5786">
        <v>0.39109999999999401</v>
      </c>
      <c r="AD5786">
        <v>-1.129468428097</v>
      </c>
      <c r="AE5786">
        <v>-10.512199999999901</v>
      </c>
      <c r="AF5786">
        <v>-2.26742802549236</v>
      </c>
      <c r="AG5786">
        <v>-1.129468428097</v>
      </c>
      <c r="AH5786">
        <v>10.149390682823499</v>
      </c>
      <c r="AI5786">
        <v>96.198431782711296</v>
      </c>
      <c r="AJ5786">
        <v>102.593388876289</v>
      </c>
      <c r="AK5786">
        <v>10.460738980274799</v>
      </c>
      <c r="AL5786">
        <v>96.177399302112406</v>
      </c>
      <c r="AM5786">
        <v>97.123028442095901</v>
      </c>
      <c r="AN5786">
        <v>1.00000001939009</v>
      </c>
    </row>
    <row r="5787" spans="1:40" x14ac:dyDescent="0.25">
      <c r="A5787" t="str">
        <f>"20190303154256595"</f>
        <v>20190303154256595</v>
      </c>
      <c r="B5787" t="str">
        <f>"1551598976586427"</f>
        <v>1551598976586427</v>
      </c>
      <c r="C5787" t="s">
        <v>40</v>
      </c>
      <c r="D5787">
        <v>5.954091</v>
      </c>
      <c r="E5787">
        <v>0.47200799999999998</v>
      </c>
      <c r="F5787" t="s">
        <v>41</v>
      </c>
      <c r="G5787">
        <v>-421.18819999999999</v>
      </c>
      <c r="H5787" s="1">
        <v>-3.3181130000000002E-6</v>
      </c>
      <c r="I5787">
        <v>116.5868</v>
      </c>
      <c r="J5787">
        <v>-421.61470000000003</v>
      </c>
      <c r="K5787">
        <v>1.1293489999999999</v>
      </c>
      <c r="L5787">
        <v>127.1204</v>
      </c>
      <c r="M5787">
        <v>-0.1683211</v>
      </c>
      <c r="N5787">
        <v>-1.5509459999999999E-2</v>
      </c>
      <c r="O5787">
        <v>-0.98561030000000005</v>
      </c>
      <c r="P5787">
        <v>-5.1860169999999997E-2</v>
      </c>
      <c r="Q5787">
        <v>-0.11843049999999999</v>
      </c>
      <c r="R5787">
        <v>-0.99160749999999998</v>
      </c>
      <c r="S5787">
        <v>0.1111755</v>
      </c>
      <c r="T5787">
        <v>-0.31425809999999998</v>
      </c>
      <c r="U5787">
        <v>-2.9947509999999999</v>
      </c>
      <c r="V5787">
        <v>-0.1136491</v>
      </c>
      <c r="W5787">
        <v>-0.1054958</v>
      </c>
      <c r="X5787">
        <v>0.98790409999999995</v>
      </c>
      <c r="Y5787">
        <v>-0.20445459999999999</v>
      </c>
      <c r="Z5787">
        <v>8.5508020000000004E-2</v>
      </c>
      <c r="AA5787">
        <v>0.97513419999999895</v>
      </c>
      <c r="AB5787">
        <v>24</v>
      </c>
      <c r="AC5787">
        <v>0.42650000000003202</v>
      </c>
      <c r="AD5787">
        <v>-1.1293523181130001</v>
      </c>
      <c r="AE5787">
        <v>-10.5336</v>
      </c>
      <c r="AF5787">
        <v>-2.1687646305924302</v>
      </c>
      <c r="AG5787">
        <v>-1.1293523181130001</v>
      </c>
      <c r="AH5787">
        <v>10.1944821615868</v>
      </c>
      <c r="AI5787">
        <v>96.184207885759506</v>
      </c>
      <c r="AJ5787">
        <v>102.01000443301101</v>
      </c>
      <c r="AK5787">
        <v>10.483627388659301</v>
      </c>
      <c r="AL5787">
        <v>96.055732485127095</v>
      </c>
      <c r="AM5787">
        <v>96.562493357604396</v>
      </c>
      <c r="AN5787">
        <v>0.99999999627262903</v>
      </c>
    </row>
    <row r="5788" spans="1:40" x14ac:dyDescent="0.25">
      <c r="A5788" t="str">
        <f>"20190303154256618"</f>
        <v>20190303154256618</v>
      </c>
      <c r="B5788" t="str">
        <f>"1551598976605943"</f>
        <v>1551598976605943</v>
      </c>
      <c r="C5788" t="s">
        <v>40</v>
      </c>
      <c r="D5788">
        <v>5.9629180000000002</v>
      </c>
      <c r="E5788">
        <v>0.47279870000000002</v>
      </c>
      <c r="F5788" t="s">
        <v>41</v>
      </c>
      <c r="G5788">
        <v>-421.36540000000002</v>
      </c>
      <c r="H5788" s="1">
        <v>-3.0798320000000002E-6</v>
      </c>
      <c r="I5788">
        <v>115.92140000000001</v>
      </c>
      <c r="J5788">
        <v>-421.63799999999998</v>
      </c>
      <c r="K5788">
        <v>1.1292</v>
      </c>
      <c r="L5788">
        <v>126.8969</v>
      </c>
      <c r="M5788">
        <v>-0.1556536</v>
      </c>
      <c r="N5788">
        <v>-1.546147E-2</v>
      </c>
      <c r="O5788">
        <v>-0.98769079999999998</v>
      </c>
      <c r="P5788">
        <v>-4.771363E-2</v>
      </c>
      <c r="Q5788">
        <v>-0.11378580000000001</v>
      </c>
      <c r="R5788">
        <v>-0.99235890000000004</v>
      </c>
      <c r="S5788">
        <v>6.6619869999999998E-2</v>
      </c>
      <c r="T5788">
        <v>-0.3018074</v>
      </c>
      <c r="U5788">
        <v>-2.9928129999999999</v>
      </c>
      <c r="V5788">
        <v>-0.10533099999999999</v>
      </c>
      <c r="W5788">
        <v>-0.1006582</v>
      </c>
      <c r="X5788">
        <v>0.98932980000000004</v>
      </c>
      <c r="Y5788">
        <v>-0.177374</v>
      </c>
      <c r="Z5788">
        <v>8.2272600000000001E-2</v>
      </c>
      <c r="AA5788">
        <v>0.98069859999999998</v>
      </c>
      <c r="AB5788">
        <v>24</v>
      </c>
      <c r="AC5788">
        <v>0.272600000000011</v>
      </c>
      <c r="AD5788">
        <v>-1.1292030798320001</v>
      </c>
      <c r="AE5788">
        <v>-10.975499999999901</v>
      </c>
      <c r="AF5788">
        <v>-1.9571528972650101</v>
      </c>
      <c r="AG5788">
        <v>-1.1292030798320001</v>
      </c>
      <c r="AH5788">
        <v>10.6862138896781</v>
      </c>
      <c r="AI5788">
        <v>95.934031475786895</v>
      </c>
      <c r="AJ5788">
        <v>100.378553854118</v>
      </c>
      <c r="AK5788">
        <v>10.922486637882599</v>
      </c>
      <c r="AL5788">
        <v>95.777073385615395</v>
      </c>
      <c r="AM5788">
        <v>96.077217941815405</v>
      </c>
      <c r="AN5788">
        <v>1.00000007297813</v>
      </c>
    </row>
    <row r="5789" spans="1:40" x14ac:dyDescent="0.25">
      <c r="A5789" t="str">
        <f>"20190303154256640"</f>
        <v>20190303154256640</v>
      </c>
      <c r="B5789" t="str">
        <f>"1551598976635634"</f>
        <v>1551598976635634</v>
      </c>
      <c r="C5789" t="s">
        <v>40</v>
      </c>
      <c r="D5789">
        <v>5.9314280000000004</v>
      </c>
      <c r="E5789">
        <v>0.47423369999999998</v>
      </c>
      <c r="F5789" t="s">
        <v>41</v>
      </c>
      <c r="G5789">
        <v>-421.3535</v>
      </c>
      <c r="H5789" s="1">
        <v>-2.8026009999999999E-6</v>
      </c>
      <c r="I5789">
        <v>115.2826</v>
      </c>
      <c r="J5789">
        <v>-421.65980000000002</v>
      </c>
      <c r="K5789">
        <v>1.128987</v>
      </c>
      <c r="L5789">
        <v>126.6602</v>
      </c>
      <c r="M5789">
        <v>-0.1425447</v>
      </c>
      <c r="N5789">
        <v>-1.540243E-2</v>
      </c>
      <c r="O5789">
        <v>-0.98966849999999995</v>
      </c>
      <c r="P5789">
        <v>-4.2882360000000001E-2</v>
      </c>
      <c r="Q5789">
        <v>-0.1086609</v>
      </c>
      <c r="R5789">
        <v>-0.99315379999999998</v>
      </c>
      <c r="S5789">
        <v>7.3333739999999994E-2</v>
      </c>
      <c r="T5789">
        <v>-0.29101880000000002</v>
      </c>
      <c r="U5789">
        <v>-2.9932560000000001</v>
      </c>
      <c r="V5789">
        <v>-9.7278229999999993E-2</v>
      </c>
      <c r="W5789">
        <v>-9.5351669999999999E-2</v>
      </c>
      <c r="X5789">
        <v>0.99067910000000003</v>
      </c>
      <c r="Y5789">
        <v>-0.16653370000000001</v>
      </c>
      <c r="Z5789">
        <v>7.9229090000000002E-2</v>
      </c>
      <c r="AA5789">
        <v>0.98284749999999999</v>
      </c>
      <c r="AB5789">
        <v>23</v>
      </c>
      <c r="AC5789">
        <v>0.306300000000021</v>
      </c>
      <c r="AD5789">
        <v>-1.1289898026009999</v>
      </c>
      <c r="AE5789">
        <v>-11.377599999999999</v>
      </c>
      <c r="AF5789">
        <v>-1.9064225881335499</v>
      </c>
      <c r="AG5789">
        <v>-1.1289898026009999</v>
      </c>
      <c r="AH5789">
        <v>11.108422698975</v>
      </c>
      <c r="AI5789">
        <v>95.720192713277598</v>
      </c>
      <c r="AJ5789">
        <v>99.738208508571304</v>
      </c>
      <c r="AK5789">
        <v>11.327229136820099</v>
      </c>
      <c r="AL5789">
        <v>95.471560700656198</v>
      </c>
      <c r="AM5789">
        <v>95.608093845528899</v>
      </c>
      <c r="AN5789">
        <v>1.00000003709026</v>
      </c>
    </row>
    <row r="5790" spans="1:40" x14ac:dyDescent="0.25">
      <c r="A5790" t="str">
        <f>"20190303154256662"</f>
        <v>20190303154256662</v>
      </c>
      <c r="B5790" t="str">
        <f>"1551598976656129"</f>
        <v>1551598976656129</v>
      </c>
      <c r="C5790" t="s">
        <v>40</v>
      </c>
      <c r="D5790">
        <v>5.9084399999999997</v>
      </c>
      <c r="E5790">
        <v>0.47515309999999999</v>
      </c>
      <c r="F5790" t="s">
        <v>41</v>
      </c>
      <c r="G5790">
        <v>-421.34960000000001</v>
      </c>
      <c r="H5790" s="1">
        <v>-2.4282060000000001E-6</v>
      </c>
      <c r="I5790">
        <v>114.4122</v>
      </c>
      <c r="J5790">
        <v>-421.67790000000002</v>
      </c>
      <c r="K5790">
        <v>1.1287529999999999</v>
      </c>
      <c r="L5790">
        <v>126.43380000000001</v>
      </c>
      <c r="M5790">
        <v>-0.1302799</v>
      </c>
      <c r="N5790">
        <v>-1.534108E-2</v>
      </c>
      <c r="O5790">
        <v>-0.99135859999999998</v>
      </c>
      <c r="P5790">
        <v>-3.9119109999999999E-2</v>
      </c>
      <c r="Q5790">
        <v>-0.1066044</v>
      </c>
      <c r="R5790">
        <v>-0.99353190000000002</v>
      </c>
      <c r="S5790">
        <v>7.5805659999999997E-2</v>
      </c>
      <c r="T5790">
        <v>-0.27595720000000001</v>
      </c>
      <c r="U5790">
        <v>-2.9937589999999998</v>
      </c>
      <c r="V5790">
        <v>-8.8897370000000003E-2</v>
      </c>
      <c r="W5790">
        <v>-9.3123529999999996E-2</v>
      </c>
      <c r="X5790">
        <v>0.99167799999999995</v>
      </c>
      <c r="Y5790">
        <v>-0.155147799999999</v>
      </c>
      <c r="Z5790">
        <v>7.4733160000000007E-2</v>
      </c>
      <c r="AA5790">
        <v>0.98506050000000001</v>
      </c>
      <c r="AB5790">
        <v>23</v>
      </c>
      <c r="AC5790">
        <v>0.32830000000001203</v>
      </c>
      <c r="AD5790">
        <v>-1.1287554282059999</v>
      </c>
      <c r="AE5790">
        <v>-12.021599999999999</v>
      </c>
      <c r="AF5790">
        <v>-1.8753376479768999</v>
      </c>
      <c r="AG5790">
        <v>-1.1287554282059999</v>
      </c>
      <c r="AH5790">
        <v>11.772631803631301</v>
      </c>
      <c r="AI5790">
        <v>95.408970703481998</v>
      </c>
      <c r="AJ5790">
        <v>99.050964532611999</v>
      </c>
      <c r="AK5790">
        <v>11.974382643564301</v>
      </c>
      <c r="AL5790">
        <v>95.343327211668296</v>
      </c>
      <c r="AM5790">
        <v>95.122495395105702</v>
      </c>
      <c r="AN5790">
        <v>0.99999999495828795</v>
      </c>
    </row>
    <row r="5791" spans="1:40" x14ac:dyDescent="0.25">
      <c r="A5791" t="str">
        <f>"20190303154256685"</f>
        <v>20190303154256685</v>
      </c>
      <c r="B5791" t="str">
        <f>"1551598976675653"</f>
        <v>1551598976675653</v>
      </c>
      <c r="C5791" t="s">
        <v>40</v>
      </c>
      <c r="D5791">
        <v>5.9633890000000003</v>
      </c>
      <c r="E5791">
        <v>0.47565740000000001</v>
      </c>
      <c r="F5791" t="s">
        <v>41</v>
      </c>
      <c r="G5791">
        <v>-421.34570000000002</v>
      </c>
      <c r="H5791" s="1">
        <v>-2.2293910000000002E-6</v>
      </c>
      <c r="I5791">
        <v>113.9512</v>
      </c>
      <c r="J5791">
        <v>-421.69400000000002</v>
      </c>
      <c r="K5791">
        <v>1.128474</v>
      </c>
      <c r="L5791">
        <v>126.2041</v>
      </c>
      <c r="M5791">
        <v>-0.1181968</v>
      </c>
      <c r="N5791">
        <v>-1.5275459999999999E-2</v>
      </c>
      <c r="O5791">
        <v>-0.9928728</v>
      </c>
      <c r="P5791">
        <v>-3.1484770000000002E-2</v>
      </c>
      <c r="Q5791">
        <v>-0.1095006</v>
      </c>
      <c r="R5791">
        <v>-0.99348829999999999</v>
      </c>
      <c r="S5791">
        <v>7.9681399999999999E-2</v>
      </c>
      <c r="T5791">
        <v>-0.27070240000000001</v>
      </c>
      <c r="U5791">
        <v>-2.9936069999999999</v>
      </c>
      <c r="V5791">
        <v>-8.4412269999999998E-2</v>
      </c>
      <c r="W5791">
        <v>-9.5942970000000002E-2</v>
      </c>
      <c r="X5791">
        <v>0.99180109999999999</v>
      </c>
      <c r="Y5791">
        <v>-0.14439839999999901</v>
      </c>
      <c r="Z5791">
        <v>7.3377520000000002E-2</v>
      </c>
      <c r="AA5791">
        <v>0.98679519999999998</v>
      </c>
      <c r="AB5791">
        <v>23</v>
      </c>
      <c r="AC5791">
        <v>0.348299999999994</v>
      </c>
      <c r="AD5791">
        <v>-1.128476229391</v>
      </c>
      <c r="AE5791">
        <v>-12.252899999999901</v>
      </c>
      <c r="AF5791">
        <v>-1.77920101631226</v>
      </c>
      <c r="AG5791">
        <v>-1.128476229391</v>
      </c>
      <c r="AH5791">
        <v>12.023910125424001</v>
      </c>
      <c r="AI5791">
        <v>95.304236324757994</v>
      </c>
      <c r="AJ5791">
        <v>98.417088253998202</v>
      </c>
      <c r="AK5791">
        <v>12.207105699592301</v>
      </c>
      <c r="AL5791">
        <v>95.505596197492906</v>
      </c>
      <c r="AM5791">
        <v>94.864724682832403</v>
      </c>
      <c r="AN5791">
        <v>0.99999995339008996</v>
      </c>
    </row>
    <row r="5792" spans="1:40" x14ac:dyDescent="0.25">
      <c r="A5792" t="str">
        <f>"20190303154256706"</f>
        <v>20190303154256706</v>
      </c>
      <c r="B5792" t="str">
        <f>"1551598976696146"</f>
        <v>1551598976696146</v>
      </c>
      <c r="C5792" t="s">
        <v>40</v>
      </c>
      <c r="D5792">
        <v>5.9250819999999997</v>
      </c>
      <c r="E5792">
        <v>0.4762826</v>
      </c>
      <c r="F5792" t="s">
        <v>41</v>
      </c>
      <c r="G5792">
        <v>-421.29320000000001</v>
      </c>
      <c r="H5792" s="1">
        <v>-2.2830439999999999E-6</v>
      </c>
      <c r="I5792">
        <v>114.10890000000001</v>
      </c>
      <c r="J5792">
        <v>-421.70740000000001</v>
      </c>
      <c r="K5792">
        <v>1.1281620000000001</v>
      </c>
      <c r="L5792">
        <v>125.979</v>
      </c>
      <c r="M5792">
        <v>-0.1068023</v>
      </c>
      <c r="N5792">
        <v>-1.5204519999999999E-2</v>
      </c>
      <c r="O5792">
        <v>-0.9941643</v>
      </c>
      <c r="P5792">
        <v>-2.7843940000000001E-2</v>
      </c>
      <c r="Q5792">
        <v>-0.1113828</v>
      </c>
      <c r="R5792">
        <v>-0.99338769999999998</v>
      </c>
      <c r="S5792">
        <v>9.9151610000000001E-2</v>
      </c>
      <c r="T5792">
        <v>-0.27915479999999998</v>
      </c>
      <c r="U5792">
        <v>-2.992035</v>
      </c>
      <c r="V5792">
        <v>-7.6696020000000004E-2</v>
      </c>
      <c r="W5792">
        <v>-9.7688349999999993E-2</v>
      </c>
      <c r="X5792">
        <v>0.99225739999999996</v>
      </c>
      <c r="Y5792">
        <v>-0.13947190000000001</v>
      </c>
      <c r="Z5792">
        <v>7.6443940000000002E-2</v>
      </c>
      <c r="AA5792">
        <v>0.98727100000000001</v>
      </c>
      <c r="AB5792">
        <v>23</v>
      </c>
      <c r="AC5792">
        <v>0.41419999999999302</v>
      </c>
      <c r="AD5792">
        <v>-1.128164283044</v>
      </c>
      <c r="AE5792">
        <v>-11.8700999999999</v>
      </c>
      <c r="AF5792">
        <v>-1.66471134369542</v>
      </c>
      <c r="AG5792">
        <v>-1.128164283044</v>
      </c>
      <c r="AH5792">
        <v>11.652815173221599</v>
      </c>
      <c r="AI5792">
        <v>95.474601896767794</v>
      </c>
      <c r="AJ5792">
        <v>98.130215406397596</v>
      </c>
      <c r="AK5792">
        <v>11.8250632120352</v>
      </c>
      <c r="AL5792">
        <v>95.6060707434535</v>
      </c>
      <c r="AM5792">
        <v>94.419859420396307</v>
      </c>
      <c r="AN5792">
        <v>1.00000002053216</v>
      </c>
    </row>
    <row r="5793" spans="1:40" x14ac:dyDescent="0.25">
      <c r="A5793" t="str">
        <f>"20190303154256720"</f>
        <v>20190303154256720</v>
      </c>
      <c r="B5793" t="str">
        <f>"1551598976715666"</f>
        <v>1551598976715666</v>
      </c>
      <c r="C5793" t="s">
        <v>40</v>
      </c>
      <c r="D5793">
        <v>5.8981260000000004</v>
      </c>
      <c r="E5793">
        <v>0.47664669999999998</v>
      </c>
      <c r="F5793" t="s">
        <v>41</v>
      </c>
      <c r="G5793">
        <v>-421.28890000000001</v>
      </c>
      <c r="H5793" s="1">
        <v>-2.277922E-6</v>
      </c>
      <c r="I5793">
        <v>114.0996</v>
      </c>
      <c r="J5793">
        <v>-421.71460000000002</v>
      </c>
      <c r="K5793">
        <v>1.1279520000000001</v>
      </c>
      <c r="L5793">
        <v>125.8436</v>
      </c>
      <c r="M5793">
        <v>-0.100187</v>
      </c>
      <c r="N5793">
        <v>-1.5157179999999999E-2</v>
      </c>
      <c r="O5793">
        <v>-0.99485330000000005</v>
      </c>
      <c r="P5793">
        <v>-2.4374590000000002E-2</v>
      </c>
      <c r="Q5793">
        <v>-0.111856</v>
      </c>
      <c r="R5793">
        <v>-0.99342569999999997</v>
      </c>
      <c r="S5793">
        <v>0.1053772</v>
      </c>
      <c r="T5793">
        <v>-0.2840551</v>
      </c>
      <c r="U5793">
        <v>-2.9910739999999998</v>
      </c>
      <c r="V5793">
        <v>-7.3602009999999995E-2</v>
      </c>
      <c r="W5793">
        <v>-9.8111989999999996E-2</v>
      </c>
      <c r="X5793">
        <v>0.9924499</v>
      </c>
      <c r="Y5793">
        <v>-0.1349446</v>
      </c>
      <c r="Z5793">
        <v>7.8241119999999997E-2</v>
      </c>
      <c r="AA5793">
        <v>0.98775919999999895</v>
      </c>
      <c r="AB5793">
        <v>23</v>
      </c>
      <c r="AC5793">
        <v>0.42570000000000602</v>
      </c>
      <c r="AD5793">
        <v>-1.127954277922</v>
      </c>
      <c r="AE5793">
        <v>-11.744</v>
      </c>
      <c r="AF5793">
        <v>-1.5856806142948301</v>
      </c>
      <c r="AG5793">
        <v>-1.127954277922</v>
      </c>
      <c r="AH5793">
        <v>11.535967566199</v>
      </c>
      <c r="AI5793">
        <v>95.532771750523196</v>
      </c>
      <c r="AJ5793">
        <v>97.826566462992503</v>
      </c>
      <c r="AK5793">
        <v>11.698940616655401</v>
      </c>
      <c r="AL5793">
        <v>95.630460743139693</v>
      </c>
      <c r="AM5793">
        <v>94.241401644422794</v>
      </c>
      <c r="AN5793">
        <v>1.0000000112339</v>
      </c>
    </row>
    <row r="5794" spans="1:40" x14ac:dyDescent="0.25">
      <c r="A5794" t="str">
        <f>"20190303154256734"</f>
        <v>20190303154256734</v>
      </c>
      <c r="B5794" t="str">
        <f>"1551598976726402"</f>
        <v>1551598976726402</v>
      </c>
      <c r="C5794" t="s">
        <v>40</v>
      </c>
      <c r="D5794">
        <v>5.9402359999999996</v>
      </c>
      <c r="E5794">
        <v>0.47685650000000002</v>
      </c>
      <c r="F5794" t="s">
        <v>41</v>
      </c>
      <c r="G5794">
        <v>-421.26929999999999</v>
      </c>
      <c r="H5794" s="1">
        <v>-2.235468E-6</v>
      </c>
      <c r="I5794">
        <v>114.0128</v>
      </c>
      <c r="J5794">
        <v>-421.7217</v>
      </c>
      <c r="K5794">
        <v>1.127688</v>
      </c>
      <c r="L5794">
        <v>125.69329999999999</v>
      </c>
      <c r="M5794">
        <v>-9.3091740000000006E-2</v>
      </c>
      <c r="N5794">
        <v>-1.5099970000000001E-2</v>
      </c>
      <c r="O5794">
        <v>-0.99554310000000001</v>
      </c>
      <c r="P5794">
        <v>-2.014701E-2</v>
      </c>
      <c r="Q5794">
        <v>-0.1125736</v>
      </c>
      <c r="R5794">
        <v>-0.99343950000000003</v>
      </c>
      <c r="S5794">
        <v>0.1125488</v>
      </c>
      <c r="T5794">
        <v>-0.28511769999999997</v>
      </c>
      <c r="U5794">
        <v>-2.9905240000000002</v>
      </c>
      <c r="V5794">
        <v>-7.0796799999999993E-2</v>
      </c>
      <c r="W5794">
        <v>-9.8789470000000004E-2</v>
      </c>
      <c r="X5794">
        <v>0.99258670000000004</v>
      </c>
      <c r="Y5794">
        <v>-0.1302538</v>
      </c>
      <c r="Z5794">
        <v>7.8785830000000001E-2</v>
      </c>
      <c r="AA5794">
        <v>0.98834540000000004</v>
      </c>
      <c r="AB5794">
        <v>23</v>
      </c>
      <c r="AC5794">
        <v>0.45240000000001102</v>
      </c>
      <c r="AD5794">
        <v>-1.1276902354680001</v>
      </c>
      <c r="AE5794">
        <v>-11.680499999999901</v>
      </c>
      <c r="AF5794">
        <v>-1.52373571584447</v>
      </c>
      <c r="AG5794">
        <v>-1.1276902354680001</v>
      </c>
      <c r="AH5794">
        <v>11.4807959570952</v>
      </c>
      <c r="AI5794">
        <v>95.561370954650002</v>
      </c>
      <c r="AJ5794">
        <v>97.560134963833903</v>
      </c>
      <c r="AK5794">
        <v>11.636242160051699</v>
      </c>
      <c r="AL5794">
        <v>95.669467322304001</v>
      </c>
      <c r="AM5794">
        <v>94.079744449063497</v>
      </c>
      <c r="AN5794">
        <v>0.99999995164500399</v>
      </c>
    </row>
    <row r="5795" spans="1:40" x14ac:dyDescent="0.25">
      <c r="A5795" t="str">
        <f>"20190303154256751"</f>
        <v>20190303154256751</v>
      </c>
      <c r="B5795" t="str">
        <f>"1551598976745927"</f>
        <v>1551598976745927</v>
      </c>
      <c r="C5795" t="s">
        <v>40</v>
      </c>
      <c r="D5795">
        <v>5.9620540000000002</v>
      </c>
      <c r="E5795">
        <v>0.4773715</v>
      </c>
      <c r="F5795" t="s">
        <v>41</v>
      </c>
      <c r="G5795">
        <v>-421.2364</v>
      </c>
      <c r="H5795" s="1">
        <v>-2.2089370000000001E-6</v>
      </c>
      <c r="I5795">
        <v>113.9713</v>
      </c>
      <c r="J5795">
        <v>-421.72879999999998</v>
      </c>
      <c r="K5795">
        <v>1.1273390000000001</v>
      </c>
      <c r="L5795">
        <v>125.5226</v>
      </c>
      <c r="M5795">
        <v>-8.5473090000000002E-2</v>
      </c>
      <c r="N5795">
        <v>-1.5026899999999999E-2</v>
      </c>
      <c r="O5795">
        <v>-0.99622730000000004</v>
      </c>
      <c r="P5795">
        <v>-1.7115379999999999E-2</v>
      </c>
      <c r="Q5795">
        <v>-0.113818</v>
      </c>
      <c r="R5795">
        <v>-0.99335439999999997</v>
      </c>
      <c r="S5795">
        <v>0.12377929999999999</v>
      </c>
      <c r="T5795">
        <v>-0.28762130000000002</v>
      </c>
      <c r="U5795">
        <v>-2.9897309999999999</v>
      </c>
      <c r="V5795">
        <v>-6.6290920000000003E-2</v>
      </c>
      <c r="W5795">
        <v>-9.9970809999999993E-2</v>
      </c>
      <c r="X5795">
        <v>0.99277959999999998</v>
      </c>
      <c r="Y5795">
        <v>-0.12638460000000001</v>
      </c>
      <c r="Z5795">
        <v>7.9816129999999999E-2</v>
      </c>
      <c r="AA5795">
        <v>0.98876509999999995</v>
      </c>
      <c r="AB5795">
        <v>23</v>
      </c>
      <c r="AC5795">
        <v>0.49239999999997502</v>
      </c>
      <c r="AD5795">
        <v>-1.1273412089370001</v>
      </c>
      <c r="AE5795">
        <v>-11.5512999999999</v>
      </c>
      <c r="AF5795">
        <v>-1.4641144136137201</v>
      </c>
      <c r="AG5795">
        <v>-1.1273412089370001</v>
      </c>
      <c r="AH5795">
        <v>11.3589329005606</v>
      </c>
      <c r="AI5795">
        <v>95.621674000777006</v>
      </c>
      <c r="AJ5795">
        <v>97.344667313189802</v>
      </c>
      <c r="AK5795">
        <v>11.5082529454717</v>
      </c>
      <c r="AL5795">
        <v>95.737489639013702</v>
      </c>
      <c r="AM5795">
        <v>93.820143029575306</v>
      </c>
      <c r="AN5795">
        <v>0.99999999155133101</v>
      </c>
    </row>
    <row r="5796" spans="1:40" x14ac:dyDescent="0.25">
      <c r="A5796" t="str">
        <f>"20190303154256765"</f>
        <v>20190303154256765</v>
      </c>
      <c r="B5796" t="str">
        <f>"1551598976755682"</f>
        <v>1551598976755682</v>
      </c>
      <c r="C5796" t="s">
        <v>40</v>
      </c>
      <c r="D5796">
        <v>5.9613559999999897</v>
      </c>
      <c r="E5796">
        <v>0.47758889999999998</v>
      </c>
      <c r="F5796" t="s">
        <v>41</v>
      </c>
      <c r="G5796">
        <v>-421.2321</v>
      </c>
      <c r="H5796" s="1">
        <v>-2.2150820000000001E-6</v>
      </c>
      <c r="I5796">
        <v>113.9883</v>
      </c>
      <c r="J5796">
        <v>-421.73390000000001</v>
      </c>
      <c r="K5796">
        <v>1.127016</v>
      </c>
      <c r="L5796">
        <v>125.3814</v>
      </c>
      <c r="M5796">
        <v>-7.9499630000000002E-2</v>
      </c>
      <c r="N5796">
        <v>-1.4963519999999999E-2</v>
      </c>
      <c r="O5796">
        <v>-0.99672280000000002</v>
      </c>
      <c r="P5796">
        <v>-1.335545E-2</v>
      </c>
      <c r="Q5796">
        <v>-0.1146824</v>
      </c>
      <c r="R5796">
        <v>-0.99331270000000005</v>
      </c>
      <c r="S5796">
        <v>0.12869259999999999</v>
      </c>
      <c r="T5796">
        <v>-0.29212080000000001</v>
      </c>
      <c r="U5796">
        <v>-2.9887999999999999</v>
      </c>
      <c r="V5796">
        <v>-6.4157370000000005E-2</v>
      </c>
      <c r="W5796">
        <v>-0.1008119</v>
      </c>
      <c r="X5796">
        <v>0.99283469999999996</v>
      </c>
      <c r="Y5796">
        <v>-0.12206939999999999</v>
      </c>
      <c r="Z5796">
        <v>8.1476370000000006E-2</v>
      </c>
      <c r="AA5796">
        <v>0.98917169999999999</v>
      </c>
      <c r="AB5796">
        <v>23</v>
      </c>
      <c r="AC5796">
        <v>0.50180000000000202</v>
      </c>
      <c r="AD5796">
        <v>-1.1270182150820001</v>
      </c>
      <c r="AE5796">
        <v>-11.3931</v>
      </c>
      <c r="AF5796">
        <v>-1.3924604649841801</v>
      </c>
      <c r="AG5796">
        <v>-1.1270182150820001</v>
      </c>
      <c r="AH5796">
        <v>11.207675091275901</v>
      </c>
      <c r="AI5796">
        <v>95.698707317168399</v>
      </c>
      <c r="AJ5796">
        <v>97.082232683832601</v>
      </c>
      <c r="AK5796">
        <v>11.3499382005048</v>
      </c>
      <c r="AL5796">
        <v>95.7859253429598</v>
      </c>
      <c r="AM5796">
        <v>93.697335155982799</v>
      </c>
      <c r="AN5796">
        <v>0.99999997441550803</v>
      </c>
    </row>
    <row r="5797" spans="1:40" x14ac:dyDescent="0.25">
      <c r="A5797" t="str">
        <f>"20190303154256784"</f>
        <v>20190303154256784</v>
      </c>
      <c r="B5797" t="str">
        <f>"1551598976776178"</f>
        <v>1551598976776178</v>
      </c>
      <c r="C5797" t="s">
        <v>40</v>
      </c>
      <c r="D5797">
        <v>5.969862</v>
      </c>
      <c r="E5797">
        <v>0.48509439999999998</v>
      </c>
      <c r="F5797" t="s">
        <v>41</v>
      </c>
      <c r="G5797">
        <v>-421.2056</v>
      </c>
      <c r="H5797" s="1">
        <v>-2.2000889999999998E-6</v>
      </c>
      <c r="I5797">
        <v>113.96980000000001</v>
      </c>
      <c r="J5797">
        <v>-421.74040000000002</v>
      </c>
      <c r="K5797">
        <v>1.126539</v>
      </c>
      <c r="L5797">
        <v>125.1866</v>
      </c>
      <c r="M5797">
        <v>-7.1730150000000006E-2</v>
      </c>
      <c r="N5797">
        <v>-1.4874689999999999E-2</v>
      </c>
      <c r="O5797">
        <v>-0.99731329999999996</v>
      </c>
      <c r="P5797">
        <v>-9.4494039999999998E-3</v>
      </c>
      <c r="Q5797">
        <v>-0.1165886</v>
      </c>
      <c r="R5797">
        <v>-0.99313560000000001</v>
      </c>
      <c r="S5797">
        <v>0.13833619999999999</v>
      </c>
      <c r="T5797">
        <v>-0.29509790000000002</v>
      </c>
      <c r="U5797">
        <v>-2.9879910000000001</v>
      </c>
      <c r="V5797">
        <v>-6.0404850000000003E-2</v>
      </c>
      <c r="W5797">
        <v>-0.1026772</v>
      </c>
      <c r="X5797">
        <v>0.99287899999999996</v>
      </c>
      <c r="Y5797">
        <v>-0.1175308</v>
      </c>
      <c r="Z5797">
        <v>8.2673029999999995E-2</v>
      </c>
      <c r="AA5797">
        <v>0.989622</v>
      </c>
      <c r="AB5797">
        <v>23</v>
      </c>
      <c r="AC5797">
        <v>0.53480000000001804</v>
      </c>
      <c r="AD5797">
        <v>-1.126541200089</v>
      </c>
      <c r="AE5797">
        <v>-11.2167999999999</v>
      </c>
      <c r="AF5797">
        <v>-1.3247613636606399</v>
      </c>
      <c r="AG5797">
        <v>-1.126541200089</v>
      </c>
      <c r="AH5797">
        <v>11.0384436929945</v>
      </c>
      <c r="AI5797">
        <v>95.785977546254998</v>
      </c>
      <c r="AJ5797">
        <v>96.843531326804893</v>
      </c>
      <c r="AK5797">
        <v>11.174583970312099</v>
      </c>
      <c r="AL5797">
        <v>95.893356353628405</v>
      </c>
      <c r="AM5797">
        <v>93.481474037870399</v>
      </c>
      <c r="AN5797">
        <v>1.0000000309721799</v>
      </c>
    </row>
    <row r="5798" spans="1:40" x14ac:dyDescent="0.25">
      <c r="A5798" t="str">
        <f>"20190303154256808"</f>
        <v>20190303154256808</v>
      </c>
      <c r="B5798" t="str">
        <f>"1551598976805458"</f>
        <v>1551598976805458</v>
      </c>
      <c r="C5798" t="s">
        <v>40</v>
      </c>
      <c r="D5798">
        <v>6.0398489999999896</v>
      </c>
      <c r="E5798">
        <v>0.48389910000000003</v>
      </c>
      <c r="F5798" t="s">
        <v>41</v>
      </c>
      <c r="G5798">
        <v>-421.4126</v>
      </c>
      <c r="H5798" s="1">
        <v>-2.402637E-6</v>
      </c>
      <c r="I5798">
        <v>114.31359999999999</v>
      </c>
      <c r="J5798">
        <v>-421.74709999999999</v>
      </c>
      <c r="K5798">
        <v>1.125942</v>
      </c>
      <c r="L5798">
        <v>124.9481</v>
      </c>
      <c r="M5798">
        <v>-6.3010469999999999E-2</v>
      </c>
      <c r="N5798">
        <v>-1.476675E-2</v>
      </c>
      <c r="O5798">
        <v>-0.9979036</v>
      </c>
      <c r="P5798">
        <v>-5.3170300000000004E-3</v>
      </c>
      <c r="Q5798">
        <v>-0.1183816</v>
      </c>
      <c r="R5798">
        <v>-0.992954</v>
      </c>
      <c r="S5798">
        <v>8.9996339999999994E-2</v>
      </c>
      <c r="T5798">
        <v>-0.30930269999999999</v>
      </c>
      <c r="U5798">
        <v>-2.9852910000000001</v>
      </c>
      <c r="V5798">
        <v>-5.597821E-2</v>
      </c>
      <c r="W5798">
        <v>-0.1044312</v>
      </c>
      <c r="X5798">
        <v>0.99295540000000004</v>
      </c>
      <c r="Y5798">
        <v>-9.2863310000000004E-2</v>
      </c>
      <c r="Z5798">
        <v>8.7791270000000005E-2</v>
      </c>
      <c r="AA5798">
        <v>0.99180100000000004</v>
      </c>
      <c r="AB5798">
        <v>23</v>
      </c>
      <c r="AC5798">
        <v>0.33449999999999103</v>
      </c>
      <c r="AD5798">
        <v>-1.125944402637</v>
      </c>
      <c r="AE5798">
        <v>-10.634499999999999</v>
      </c>
      <c r="AF5798">
        <v>-0.99287411409542503</v>
      </c>
      <c r="AG5798">
        <v>-1.125944402637</v>
      </c>
      <c r="AH5798">
        <v>10.4749770624856</v>
      </c>
      <c r="AI5798">
        <v>96.107940101614901</v>
      </c>
      <c r="AJ5798">
        <v>95.4146223432993</v>
      </c>
      <c r="AK5798">
        <v>10.5819985949664</v>
      </c>
      <c r="AL5798">
        <v>95.994396973028202</v>
      </c>
      <c r="AM5798">
        <v>93.226654322747294</v>
      </c>
      <c r="AN5798">
        <v>0.99999993095869899</v>
      </c>
    </row>
    <row r="5799" spans="1:40" x14ac:dyDescent="0.25">
      <c r="A5799" t="str">
        <f>"20190303154256830"</f>
        <v>20190303154256830</v>
      </c>
      <c r="B5799" t="str">
        <f>"1551598976825954"</f>
        <v>1551598976825954</v>
      </c>
      <c r="C5799" t="s">
        <v>40</v>
      </c>
      <c r="D5799">
        <v>6.009646</v>
      </c>
      <c r="E5799">
        <v>0.484709</v>
      </c>
      <c r="F5799" t="s">
        <v>41</v>
      </c>
      <c r="G5799">
        <v>-421.35789999999997</v>
      </c>
      <c r="H5799" s="1">
        <v>-2.5156979999999998E-6</v>
      </c>
      <c r="I5799">
        <v>114.611</v>
      </c>
      <c r="J5799">
        <v>-421.7525</v>
      </c>
      <c r="K5799">
        <v>1.1253869999999999</v>
      </c>
      <c r="L5799">
        <v>124.71850000000001</v>
      </c>
      <c r="M5799">
        <v>-5.5415880000000001E-2</v>
      </c>
      <c r="N5799">
        <v>-1.466721E-2</v>
      </c>
      <c r="O5799">
        <v>-0.99835560000000001</v>
      </c>
      <c r="P5799">
        <v>-2.6765729999999998E-3</v>
      </c>
      <c r="Q5799">
        <v>-0.11977309999999999</v>
      </c>
      <c r="R5799">
        <v>-0.99279799999999996</v>
      </c>
      <c r="S5799">
        <v>0.11230469999999999</v>
      </c>
      <c r="T5799">
        <v>-0.3249341</v>
      </c>
      <c r="U5799">
        <v>-2.983139</v>
      </c>
      <c r="V5799">
        <v>-5.1183310000000003E-2</v>
      </c>
      <c r="W5799">
        <v>-0.1057915</v>
      </c>
      <c r="X5799">
        <v>0.99307020000000001</v>
      </c>
      <c r="Y5799">
        <v>-9.2696120000000007E-2</v>
      </c>
      <c r="Z5799">
        <v>9.3154989999999993E-2</v>
      </c>
      <c r="AA5799">
        <v>0.99132719999999996</v>
      </c>
      <c r="AB5799">
        <v>23</v>
      </c>
      <c r="AC5799">
        <v>0.39460000000002499</v>
      </c>
      <c r="AD5799">
        <v>-1.1253895156980001</v>
      </c>
      <c r="AE5799">
        <v>-10.1075</v>
      </c>
      <c r="AF5799">
        <v>-0.94250331371601404</v>
      </c>
      <c r="AG5799">
        <v>-1.1253895156980001</v>
      </c>
      <c r="AH5799">
        <v>9.9469702104596198</v>
      </c>
      <c r="AI5799">
        <v>96.426392820883507</v>
      </c>
      <c r="AJ5799">
        <v>95.412775536317994</v>
      </c>
      <c r="AK5799">
        <v>10.054701906380901</v>
      </c>
      <c r="AL5799">
        <v>96.072770182417798</v>
      </c>
      <c r="AM5799">
        <v>92.950441012879907</v>
      </c>
      <c r="AN5799">
        <v>0.99999999741142298</v>
      </c>
    </row>
    <row r="5800" spans="1:40" x14ac:dyDescent="0.25">
      <c r="A5800" t="str">
        <f>"20190303154256854"</f>
        <v>20190303154256854</v>
      </c>
      <c r="B5800" t="str">
        <f>"1551598976845474"</f>
        <v>1551598976845474</v>
      </c>
      <c r="C5800" t="s">
        <v>40</v>
      </c>
      <c r="D5800">
        <v>5.9780470000000001</v>
      </c>
      <c r="E5800">
        <v>0.48608230000000002</v>
      </c>
      <c r="F5800" t="s">
        <v>41</v>
      </c>
      <c r="G5800">
        <v>-421.36470000000003</v>
      </c>
      <c r="H5800" s="1">
        <v>-2.487203E-6</v>
      </c>
      <c r="I5800">
        <v>114.54049999999999</v>
      </c>
      <c r="J5800">
        <v>-421.75720000000001</v>
      </c>
      <c r="K5800">
        <v>1.124857</v>
      </c>
      <c r="L5800">
        <v>124.4789</v>
      </c>
      <c r="M5800">
        <v>-4.8345970000000002E-2</v>
      </c>
      <c r="N5800">
        <v>-1.456678E-2</v>
      </c>
      <c r="O5800">
        <v>-0.99872459999999996</v>
      </c>
      <c r="P5800">
        <v>-8.3975439999999998E-4</v>
      </c>
      <c r="Q5800">
        <v>-0.12171419999999999</v>
      </c>
      <c r="R5800">
        <v>-0.99256500000000003</v>
      </c>
      <c r="S5800">
        <v>0.113647499999999</v>
      </c>
      <c r="T5800">
        <v>-0.32975330000000003</v>
      </c>
      <c r="U5800">
        <v>-2.9822850000000001</v>
      </c>
      <c r="V5800">
        <v>-4.6101070000000001E-2</v>
      </c>
      <c r="W5800">
        <v>-0.10771550000000001</v>
      </c>
      <c r="X5800">
        <v>0.99311229999999995</v>
      </c>
      <c r="Y5800">
        <v>-8.6100109999999994E-2</v>
      </c>
      <c r="Z5800">
        <v>9.4961370000000003E-2</v>
      </c>
      <c r="AA5800">
        <v>0.99175049999999998</v>
      </c>
      <c r="AB5800">
        <v>23</v>
      </c>
      <c r="AC5800">
        <v>0.39249999999998397</v>
      </c>
      <c r="AD5800">
        <v>-1.124859487203</v>
      </c>
      <c r="AE5800">
        <v>-9.9383999999999997</v>
      </c>
      <c r="AF5800">
        <v>-0.86155373817845204</v>
      </c>
      <c r="AG5800">
        <v>-1.124859487203</v>
      </c>
      <c r="AH5800">
        <v>9.7826732024752499</v>
      </c>
      <c r="AI5800">
        <v>96.534269640248695</v>
      </c>
      <c r="AJ5800">
        <v>95.033016881224597</v>
      </c>
      <c r="AK5800">
        <v>9.8847498044284006</v>
      </c>
      <c r="AL5800">
        <v>96.1836409009655</v>
      </c>
      <c r="AM5800">
        <v>92.657808068719902</v>
      </c>
      <c r="AN5800">
        <v>0.99999998900334197</v>
      </c>
    </row>
    <row r="5801" spans="1:40" x14ac:dyDescent="0.25">
      <c r="A5801" t="str">
        <f>"20190303154256874"</f>
        <v>20190303154256874</v>
      </c>
      <c r="B5801" t="str">
        <f>"1551598976865984"</f>
        <v>1551598976865984</v>
      </c>
      <c r="C5801" t="s">
        <v>40</v>
      </c>
      <c r="D5801">
        <v>6.0487859999999998</v>
      </c>
      <c r="E5801">
        <v>0.48723309999999997</v>
      </c>
      <c r="F5801" t="s">
        <v>41</v>
      </c>
      <c r="G5801">
        <v>-421.38830000000002</v>
      </c>
      <c r="H5801" s="1">
        <v>-2.4156569999999999E-6</v>
      </c>
      <c r="I5801">
        <v>114.35899999999999</v>
      </c>
      <c r="J5801">
        <v>-421.76080000000002</v>
      </c>
      <c r="K5801">
        <v>1.1243909999999999</v>
      </c>
      <c r="L5801">
        <v>124.2655</v>
      </c>
      <c r="M5801">
        <v>-4.2848509999999999E-2</v>
      </c>
      <c r="N5801">
        <v>-1.4478400000000001E-2</v>
      </c>
      <c r="O5801">
        <v>-0.99897659999999999</v>
      </c>
      <c r="P5801">
        <v>-9.9526119999999996E-4</v>
      </c>
      <c r="Q5801">
        <v>-0.1225624</v>
      </c>
      <c r="R5801">
        <v>-0.99246040000000002</v>
      </c>
      <c r="S5801">
        <v>0.1087036</v>
      </c>
      <c r="T5801">
        <v>-0.3314493</v>
      </c>
      <c r="U5801">
        <v>-2.9819179999999998</v>
      </c>
      <c r="V5801">
        <v>-4.059542E-2</v>
      </c>
      <c r="W5801">
        <v>-0.1085492</v>
      </c>
      <c r="X5801">
        <v>0.99326179999999997</v>
      </c>
      <c r="Y5801">
        <v>-7.8981590000000004E-2</v>
      </c>
      <c r="Z5801">
        <v>9.5699259999999994E-2</v>
      </c>
      <c r="AA5801">
        <v>0.99227189999999998</v>
      </c>
      <c r="AB5801">
        <v>23</v>
      </c>
      <c r="AC5801">
        <v>0.372500000000002</v>
      </c>
      <c r="AD5801">
        <v>-1.1243934156569999</v>
      </c>
      <c r="AE5801">
        <v>-9.9064999999999994</v>
      </c>
      <c r="AF5801">
        <v>-0.78656261520510395</v>
      </c>
      <c r="AG5801">
        <v>-1.1243934156569999</v>
      </c>
      <c r="AH5801">
        <v>9.7559348137913702</v>
      </c>
      <c r="AI5801">
        <v>96.553381199855195</v>
      </c>
      <c r="AJ5801">
        <v>94.609445438147304</v>
      </c>
      <c r="AK5801">
        <v>9.8519645447878901</v>
      </c>
      <c r="AL5801">
        <v>96.231690311205099</v>
      </c>
      <c r="AM5801">
        <v>92.340422660868597</v>
      </c>
      <c r="AN5801">
        <v>0.99999996014242698</v>
      </c>
    </row>
    <row r="5802" spans="1:40" x14ac:dyDescent="0.25">
      <c r="A5802" t="str">
        <f>"20190303154256887"</f>
        <v>20190303154256887</v>
      </c>
      <c r="B5802" t="str">
        <f>"1551598976875731"</f>
        <v>1551598976875731</v>
      </c>
      <c r="C5802" t="s">
        <v>40</v>
      </c>
      <c r="D5802">
        <v>6.0057289999999997</v>
      </c>
      <c r="E5802">
        <v>0.48769859999999998</v>
      </c>
      <c r="F5802" t="s">
        <v>41</v>
      </c>
      <c r="G5802">
        <v>-421.4255</v>
      </c>
      <c r="H5802" s="1">
        <v>-2.3386229999999999E-6</v>
      </c>
      <c r="I5802">
        <v>114.1564</v>
      </c>
      <c r="J5802">
        <v>-421.76280000000003</v>
      </c>
      <c r="K5802">
        <v>1.1240790000000001</v>
      </c>
      <c r="L5802">
        <v>124.128</v>
      </c>
      <c r="M5802">
        <v>-3.9770880000000002E-2</v>
      </c>
      <c r="N5802">
        <v>-1.442218E-2</v>
      </c>
      <c r="O5802">
        <v>-0.99910469999999896</v>
      </c>
      <c r="P5802">
        <v>-6.4764769999999905E-4</v>
      </c>
      <c r="Q5802">
        <v>-0.1224055</v>
      </c>
      <c r="R5802">
        <v>-0.99248000000000003</v>
      </c>
      <c r="S5802">
        <v>9.8907469999999997E-2</v>
      </c>
      <c r="T5802">
        <v>-0.33166519999999999</v>
      </c>
      <c r="U5802">
        <v>-2.9819179999999998</v>
      </c>
      <c r="V5802">
        <v>-3.7971110000000002E-2</v>
      </c>
      <c r="W5802">
        <v>-0.1083944</v>
      </c>
      <c r="X5802">
        <v>0.99338249999999995</v>
      </c>
      <c r="Y5802">
        <v>-7.2658780000000006E-2</v>
      </c>
      <c r="Z5802">
        <v>9.5881859999999999E-2</v>
      </c>
      <c r="AA5802">
        <v>0.99273730000000004</v>
      </c>
      <c r="AB5802">
        <v>23</v>
      </c>
      <c r="AC5802">
        <v>0.33730000000002702</v>
      </c>
      <c r="AD5802">
        <v>-1.124081338623</v>
      </c>
      <c r="AE5802">
        <v>-9.9715999999999791</v>
      </c>
      <c r="AF5802">
        <v>-0.72445800558665696</v>
      </c>
      <c r="AG5802">
        <v>-1.124081338623</v>
      </c>
      <c r="AH5802">
        <v>9.8255755425121691</v>
      </c>
      <c r="AI5802">
        <v>96.508953269546296</v>
      </c>
      <c r="AJ5802">
        <v>94.2168941467895</v>
      </c>
      <c r="AK5802">
        <v>9.9161652365877995</v>
      </c>
      <c r="AL5802">
        <v>96.222768210716893</v>
      </c>
      <c r="AM5802">
        <v>92.189011491300604</v>
      </c>
      <c r="AN5802">
        <v>0.99999997122612005</v>
      </c>
    </row>
    <row r="5803" spans="1:40" x14ac:dyDescent="0.25">
      <c r="A5803" t="str">
        <f>"20190303154256908"</f>
        <v>20190303154256908</v>
      </c>
      <c r="B5803" t="str">
        <f>"1551598976896226"</f>
        <v>1551598976896226</v>
      </c>
      <c r="C5803" t="s">
        <v>40</v>
      </c>
      <c r="D5803">
        <v>6.0410329999999997</v>
      </c>
      <c r="E5803">
        <v>0.49591819999999998</v>
      </c>
      <c r="F5803" t="s">
        <v>41</v>
      </c>
      <c r="G5803">
        <v>-421.43529999999998</v>
      </c>
      <c r="H5803" s="1">
        <v>-2.2626250000000002E-6</v>
      </c>
      <c r="I5803">
        <v>113.97320000000001</v>
      </c>
      <c r="J5803">
        <v>-421.76569999999998</v>
      </c>
      <c r="K5803">
        <v>1.1235850000000001</v>
      </c>
      <c r="L5803">
        <v>123.9194</v>
      </c>
      <c r="M5803">
        <v>-3.5585789999999999E-2</v>
      </c>
      <c r="N5803">
        <v>-1.434093E-2</v>
      </c>
      <c r="O5803">
        <v>-0.99926380000000004</v>
      </c>
      <c r="P5803">
        <v>-1.786506E-3</v>
      </c>
      <c r="Q5803">
        <v>-0.1237288</v>
      </c>
      <c r="R5803">
        <v>-0.99231440000000004</v>
      </c>
      <c r="S5803">
        <v>9.6191410000000005E-2</v>
      </c>
      <c r="T5803">
        <v>-0.33009709999999998</v>
      </c>
      <c r="U5803">
        <v>-2.982056</v>
      </c>
      <c r="V5803">
        <v>-3.2791319999999999E-2</v>
      </c>
      <c r="W5803">
        <v>-0.109717</v>
      </c>
      <c r="X5803">
        <v>0.99342180000000002</v>
      </c>
      <c r="Y5803">
        <v>-6.7582260000000005E-2</v>
      </c>
      <c r="Z5803">
        <v>9.5490630000000007E-2</v>
      </c>
      <c r="AA5803">
        <v>0.9931335</v>
      </c>
      <c r="AB5803">
        <v>23</v>
      </c>
      <c r="AC5803">
        <v>0.33039999999999697</v>
      </c>
      <c r="AD5803">
        <v>-1.1235872626250001</v>
      </c>
      <c r="AE5803">
        <v>-9.9461999999999904</v>
      </c>
      <c r="AF5803">
        <v>-0.675558857155384</v>
      </c>
      <c r="AG5803">
        <v>-1.1235872626250001</v>
      </c>
      <c r="AH5803">
        <v>9.8031756650530308</v>
      </c>
      <c r="AI5803">
        <v>96.523066518777497</v>
      </c>
      <c r="AJ5803">
        <v>93.942148473104098</v>
      </c>
      <c r="AK5803">
        <v>9.8904540454977194</v>
      </c>
      <c r="AL5803">
        <v>96.299002237781806</v>
      </c>
      <c r="AM5803">
        <v>91.890558804814205</v>
      </c>
      <c r="AN5803">
        <v>0.99999998173579097</v>
      </c>
    </row>
    <row r="5804" spans="1:40" x14ac:dyDescent="0.25">
      <c r="A5804" t="str">
        <f>"20190303154256930"</f>
        <v>20190303154256930</v>
      </c>
      <c r="B5804" t="str">
        <f>"1551598976925506"</f>
        <v>1551598976925506</v>
      </c>
      <c r="C5804" t="s">
        <v>40</v>
      </c>
      <c r="D5804">
        <v>6.0566740000000001</v>
      </c>
      <c r="E5804">
        <v>0.4969789</v>
      </c>
      <c r="F5804" t="s">
        <v>41</v>
      </c>
      <c r="G5804">
        <v>-421.66300000000001</v>
      </c>
      <c r="H5804" s="1">
        <v>-1.847429E-6</v>
      </c>
      <c r="I5804">
        <v>112.86409999999999</v>
      </c>
      <c r="J5804">
        <v>-421.7688</v>
      </c>
      <c r="K5804">
        <v>1.123051</v>
      </c>
      <c r="L5804">
        <v>123.6948</v>
      </c>
      <c r="M5804">
        <v>-3.1795200000000003E-2</v>
      </c>
      <c r="N5804">
        <v>-1.426119E-2</v>
      </c>
      <c r="O5804">
        <v>-0.99939279999999997</v>
      </c>
      <c r="P5804">
        <v>-2.2813640000000001E-3</v>
      </c>
      <c r="Q5804">
        <v>-0.12660560000000001</v>
      </c>
      <c r="R5804">
        <v>-0.99195069999999996</v>
      </c>
      <c r="S5804">
        <v>2.7740480000000001E-2</v>
      </c>
      <c r="T5804">
        <v>-0.30341790000000002</v>
      </c>
      <c r="U5804">
        <v>-2.9854280000000002</v>
      </c>
      <c r="V5804">
        <v>-2.8651059999999999E-2</v>
      </c>
      <c r="W5804">
        <v>-0.1126098</v>
      </c>
      <c r="X5804">
        <v>0.9932261</v>
      </c>
      <c r="Y5804">
        <v>-4.1014910000000002E-2</v>
      </c>
      <c r="Z5804">
        <v>8.6790350000000002E-2</v>
      </c>
      <c r="AA5804">
        <v>0.99538199999999999</v>
      </c>
      <c r="AB5804">
        <v>23</v>
      </c>
      <c r="AC5804">
        <v>0.105799999999987</v>
      </c>
      <c r="AD5804">
        <v>-1.123052847429</v>
      </c>
      <c r="AE5804">
        <v>-10.8307</v>
      </c>
      <c r="AF5804">
        <v>-0.44535773642979398</v>
      </c>
      <c r="AG5804">
        <v>-1.123052847429</v>
      </c>
      <c r="AH5804">
        <v>10.7067511687014</v>
      </c>
      <c r="AI5804">
        <v>95.982838005121593</v>
      </c>
      <c r="AJ5804">
        <v>92.381900610437199</v>
      </c>
      <c r="AK5804">
        <v>10.774697759102301</v>
      </c>
      <c r="AL5804">
        <v>96.465781293938406</v>
      </c>
      <c r="AM5804">
        <v>91.652322379346202</v>
      </c>
      <c r="AN5804">
        <v>0.99999996800818602</v>
      </c>
    </row>
    <row r="5805" spans="1:40" x14ac:dyDescent="0.25">
      <c r="A5805" t="str">
        <f>"20190303154256952"</f>
        <v>20190303154256952</v>
      </c>
      <c r="B5805" t="str">
        <f>"1551598976946002"</f>
        <v>1551598976946002</v>
      </c>
      <c r="C5805" t="s">
        <v>40</v>
      </c>
      <c r="D5805">
        <v>6.1199849999999998</v>
      </c>
      <c r="E5805">
        <v>0.49736940000000002</v>
      </c>
      <c r="F5805" t="s">
        <v>41</v>
      </c>
      <c r="G5805">
        <v>-421.70639999999997</v>
      </c>
      <c r="H5805" s="1">
        <v>-1.948774E-6</v>
      </c>
      <c r="I5805">
        <v>113.07340000000001</v>
      </c>
      <c r="J5805">
        <v>-421.77190000000002</v>
      </c>
      <c r="K5805">
        <v>1.12252</v>
      </c>
      <c r="L5805">
        <v>123.4624</v>
      </c>
      <c r="M5805">
        <v>-2.8617940000000001E-2</v>
      </c>
      <c r="N5805">
        <v>-1.418793E-2</v>
      </c>
      <c r="O5805">
        <v>-0.99948979999999998</v>
      </c>
      <c r="P5805">
        <v>-2.3175050000000001E-3</v>
      </c>
      <c r="Q5805">
        <v>-0.12718579999999999</v>
      </c>
      <c r="R5805">
        <v>-0.99187650000000005</v>
      </c>
      <c r="S5805">
        <v>1.7517089999999999E-2</v>
      </c>
      <c r="T5805">
        <v>-0.31552730000000001</v>
      </c>
      <c r="U5805">
        <v>-2.9841310000000001</v>
      </c>
      <c r="V5805">
        <v>-2.5607189999999998E-2</v>
      </c>
      <c r="W5805">
        <v>-0.1132113</v>
      </c>
      <c r="X5805">
        <v>0.99324089999999998</v>
      </c>
      <c r="Y5805">
        <v>-3.4434260000000001E-2</v>
      </c>
      <c r="Z5805">
        <v>9.0931330000000005E-2</v>
      </c>
      <c r="AA5805">
        <v>0.99526170000000003</v>
      </c>
      <c r="AB5805">
        <v>23</v>
      </c>
      <c r="AC5805">
        <v>6.5500000000042705E-2</v>
      </c>
      <c r="AD5805">
        <v>-1.1225219487739999</v>
      </c>
      <c r="AE5805">
        <v>-10.3889999999999</v>
      </c>
      <c r="AF5805">
        <v>-0.358628177236816</v>
      </c>
      <c r="AG5805">
        <v>-1.1225219487739999</v>
      </c>
      <c r="AH5805">
        <v>10.2630570105733</v>
      </c>
      <c r="AI5805">
        <v>96.238137485207801</v>
      </c>
      <c r="AJ5805">
        <v>92.001306599443097</v>
      </c>
      <c r="AK5805">
        <v>10.330489286440599</v>
      </c>
      <c r="AL5805">
        <v>96.500466265292005</v>
      </c>
      <c r="AM5805">
        <v>91.476841087564694</v>
      </c>
      <c r="AN5805">
        <v>1.00000000603009</v>
      </c>
    </row>
    <row r="5806" spans="1:40" x14ac:dyDescent="0.25">
      <c r="A5806" t="str">
        <f>"20190303154256966"</f>
        <v>20190303154256966</v>
      </c>
      <c r="B5806" t="str">
        <f>"1551598976955762"</f>
        <v>1551598976955762</v>
      </c>
      <c r="C5806" t="s">
        <v>40</v>
      </c>
      <c r="D5806">
        <v>6.1069079999999998</v>
      </c>
      <c r="E5806">
        <v>0.49767909999999999</v>
      </c>
      <c r="F5806" t="s">
        <v>41</v>
      </c>
      <c r="G5806">
        <v>-421.72050000000002</v>
      </c>
      <c r="H5806" s="1">
        <v>-1.880599E-6</v>
      </c>
      <c r="I5806">
        <v>112.9057</v>
      </c>
      <c r="J5806">
        <v>-421.77390000000003</v>
      </c>
      <c r="K5806">
        <v>1.1222219999999901</v>
      </c>
      <c r="L5806">
        <v>123.32389999999999</v>
      </c>
      <c r="M5806">
        <v>-2.714482E-2</v>
      </c>
      <c r="N5806">
        <v>-1.4148249999999999E-2</v>
      </c>
      <c r="O5806">
        <v>-0.99953139999999996</v>
      </c>
      <c r="P5806">
        <v>-2.3409770000000002E-3</v>
      </c>
      <c r="Q5806">
        <v>-0.12615209999999999</v>
      </c>
      <c r="R5806">
        <v>-0.99200840000000001</v>
      </c>
      <c r="S5806">
        <v>1.452637E-2</v>
      </c>
      <c r="T5806">
        <v>-0.31728790000000001</v>
      </c>
      <c r="U5806">
        <v>-2.9839169999999999</v>
      </c>
      <c r="V5806">
        <v>-2.4213769999999999E-2</v>
      </c>
      <c r="W5806">
        <v>-0.1121905</v>
      </c>
      <c r="X5806">
        <v>0.99339160000000004</v>
      </c>
      <c r="Y5806">
        <v>-3.196587E-2</v>
      </c>
      <c r="Z5806">
        <v>9.1570170000000006E-2</v>
      </c>
      <c r="AA5806">
        <v>0.99528550000000005</v>
      </c>
      <c r="AB5806">
        <v>23</v>
      </c>
      <c r="AC5806">
        <v>5.3400000000010502E-2</v>
      </c>
      <c r="AD5806">
        <v>-1.1222238805989999</v>
      </c>
      <c r="AE5806">
        <v>-10.418200000000001</v>
      </c>
      <c r="AF5806">
        <v>-0.332352571217085</v>
      </c>
      <c r="AG5806">
        <v>-1.1222238805989999</v>
      </c>
      <c r="AH5806">
        <v>10.2934775650956</v>
      </c>
      <c r="AI5806">
        <v>96.218758052975303</v>
      </c>
      <c r="AJ5806">
        <v>91.849305684752295</v>
      </c>
      <c r="AK5806">
        <v>10.359803330802601</v>
      </c>
      <c r="AL5806">
        <v>96.441604123565398</v>
      </c>
      <c r="AM5806">
        <v>91.3962994741552</v>
      </c>
      <c r="AN5806">
        <v>0.99999994294920902</v>
      </c>
    </row>
    <row r="5807" spans="1:40" x14ac:dyDescent="0.25">
      <c r="A5807" t="str">
        <f>"20190303154256980"</f>
        <v>20190303154256980</v>
      </c>
      <c r="B5807" t="str">
        <f>"1551598976976258"</f>
        <v>1551598976976258</v>
      </c>
      <c r="C5807" t="s">
        <v>40</v>
      </c>
      <c r="D5807">
        <v>6.1091879999999996</v>
      </c>
      <c r="E5807">
        <v>0.49842130000000001</v>
      </c>
      <c r="F5807" t="s">
        <v>41</v>
      </c>
      <c r="G5807">
        <v>-421.7296</v>
      </c>
      <c r="H5807" s="1">
        <v>-1.7668139999999999E-6</v>
      </c>
      <c r="I5807">
        <v>112.6348</v>
      </c>
      <c r="J5807">
        <v>-421.77589999999998</v>
      </c>
      <c r="K5807">
        <v>1.1219380000000001</v>
      </c>
      <c r="L5807">
        <v>123.18600000000001</v>
      </c>
      <c r="M5807">
        <v>-2.5887230000000001E-2</v>
      </c>
      <c r="N5807">
        <v>-1.4110930000000001E-2</v>
      </c>
      <c r="O5807">
        <v>-0.99956529999999999</v>
      </c>
      <c r="P5807">
        <v>-2.4199349999999998E-3</v>
      </c>
      <c r="Q5807">
        <v>-0.1249715</v>
      </c>
      <c r="R5807">
        <v>-0.99215739999999997</v>
      </c>
      <c r="S5807">
        <v>1.235962E-2</v>
      </c>
      <c r="T5807">
        <v>-0.31332290000000002</v>
      </c>
      <c r="U5807">
        <v>-2.9843600000000001</v>
      </c>
      <c r="V5807">
        <v>-2.2975720000000002E-2</v>
      </c>
      <c r="W5807">
        <v>-0.111023499999999</v>
      </c>
      <c r="X5807">
        <v>0.99355210000000005</v>
      </c>
      <c r="Y5807">
        <v>-2.99875E-2</v>
      </c>
      <c r="Z5807">
        <v>9.0293170000000006E-2</v>
      </c>
      <c r="AA5807">
        <v>0.99546369999999895</v>
      </c>
      <c r="AB5807">
        <v>23</v>
      </c>
      <c r="AC5807">
        <v>4.62999999999738E-2</v>
      </c>
      <c r="AD5807">
        <v>-1.1219397668140001</v>
      </c>
      <c r="AE5807">
        <v>-10.5512</v>
      </c>
      <c r="AF5807">
        <v>-0.31588150709988599</v>
      </c>
      <c r="AG5807">
        <v>-1.1219397668140001</v>
      </c>
      <c r="AH5807">
        <v>10.4285544376226</v>
      </c>
      <c r="AI5807">
        <v>96.137666004915104</v>
      </c>
      <c r="AJ5807">
        <v>91.734961948242997</v>
      </c>
      <c r="AK5807">
        <v>10.493487391012801</v>
      </c>
      <c r="AL5807">
        <v>96.374319605121102</v>
      </c>
      <c r="AM5807">
        <v>91.324718863557905</v>
      </c>
      <c r="AN5807">
        <v>0.99999993833808698</v>
      </c>
    </row>
    <row r="5808" spans="1:40" x14ac:dyDescent="0.25">
      <c r="A5808" t="str">
        <f>"20190303154256998"</f>
        <v>20190303154256998</v>
      </c>
      <c r="B5808" t="str">
        <f>"1551598976995779"</f>
        <v>1551598976995779</v>
      </c>
      <c r="C5808" t="s">
        <v>40</v>
      </c>
      <c r="D5808">
        <v>6.0732369999999998</v>
      </c>
      <c r="E5808">
        <v>0.49873990000000001</v>
      </c>
      <c r="F5808" t="s">
        <v>42</v>
      </c>
      <c r="G5808">
        <v>-421.77440000000001</v>
      </c>
      <c r="H5808">
        <v>1.0288310000000001</v>
      </c>
      <c r="I5808">
        <v>122.2963</v>
      </c>
      <c r="J5808">
        <v>-421.77890000000002</v>
      </c>
      <c r="K5808">
        <v>1.1215790000000001</v>
      </c>
      <c r="L5808">
        <v>123.00109999999999</v>
      </c>
      <c r="M5808">
        <v>-2.4630099999999999E-2</v>
      </c>
      <c r="N5808">
        <v>-1.4064810000000001E-2</v>
      </c>
      <c r="O5808">
        <v>-0.99959790000000004</v>
      </c>
      <c r="P5808">
        <v>-3.0860010000000001E-3</v>
      </c>
      <c r="Q5808">
        <v>-0.1231054</v>
      </c>
      <c r="R5808">
        <v>-0.99238919999999997</v>
      </c>
      <c r="S5808">
        <v>5.7678219999999997E-3</v>
      </c>
      <c r="T5808">
        <v>-0.31243490000000002</v>
      </c>
      <c r="U5808">
        <v>-2.984375</v>
      </c>
      <c r="V5808">
        <v>-2.1171220000000001E-2</v>
      </c>
      <c r="W5808">
        <v>-0.10917540000000001</v>
      </c>
      <c r="X5808">
        <v>0.99379700000000004</v>
      </c>
      <c r="Y5808">
        <v>-2.6534559999999999E-2</v>
      </c>
      <c r="Z5808">
        <v>9.005647E-2</v>
      </c>
      <c r="AA5808">
        <v>0.99558310000000005</v>
      </c>
      <c r="AB5808">
        <v>23</v>
      </c>
      <c r="AC5808">
        <v>4.5000000000072699E-3</v>
      </c>
      <c r="AD5808">
        <v>-9.2747999999999997E-2</v>
      </c>
      <c r="AE5808">
        <v>-0.70479999999999099</v>
      </c>
      <c r="AF5808">
        <v>-2.14875538514471E-2</v>
      </c>
      <c r="AG5808">
        <v>-9.2747999999999997E-2</v>
      </c>
      <c r="AH5808">
        <v>0.69248391461960701</v>
      </c>
      <c r="AI5808">
        <v>97.624898381508203</v>
      </c>
      <c r="AJ5808">
        <v>91.777299396005901</v>
      </c>
      <c r="AK5808">
        <v>0.69899776715052098</v>
      </c>
      <c r="AL5808">
        <v>96.2677832946584</v>
      </c>
      <c r="AM5808">
        <v>91.220408292521199</v>
      </c>
      <c r="AN5808">
        <v>0.99999998286522396</v>
      </c>
    </row>
    <row r="5809" spans="1:40" x14ac:dyDescent="0.25">
      <c r="A5809" t="str">
        <f>"20190303154257020"</f>
        <v>20190303154257020</v>
      </c>
      <c r="B5809" t="str">
        <f>"1551598977016275"</f>
        <v>1551598977016275</v>
      </c>
      <c r="C5809" t="s">
        <v>40</v>
      </c>
      <c r="D5809">
        <v>6.1311330000000002</v>
      </c>
      <c r="E5809">
        <v>0.50386579999999903</v>
      </c>
      <c r="F5809" t="s">
        <v>42</v>
      </c>
      <c r="G5809">
        <v>-421.77870000000001</v>
      </c>
      <c r="H5809">
        <v>1.028281</v>
      </c>
      <c r="I5809">
        <v>122.0919</v>
      </c>
      <c r="J5809">
        <v>-421.78280000000001</v>
      </c>
      <c r="K5809">
        <v>1.121197</v>
      </c>
      <c r="L5809">
        <v>122.7743</v>
      </c>
      <c r="M5809">
        <v>-2.3671870000000001E-2</v>
      </c>
      <c r="N5809">
        <v>-1.401529E-2</v>
      </c>
      <c r="O5809">
        <v>-0.9996216</v>
      </c>
      <c r="P5809">
        <v>-3.8953490000000002E-3</v>
      </c>
      <c r="Q5809">
        <v>-0.1239107</v>
      </c>
      <c r="R5809">
        <v>-0.992286</v>
      </c>
      <c r="S5809">
        <v>1.2817379999999999E-3</v>
      </c>
      <c r="T5809">
        <v>-0.30636940000000001</v>
      </c>
      <c r="U5809">
        <v>-2.9850159999999999</v>
      </c>
      <c r="V5809">
        <v>-1.9511279999999999E-2</v>
      </c>
      <c r="W5809">
        <v>-0.1100092</v>
      </c>
      <c r="X5809">
        <v>0.99373909999999999</v>
      </c>
      <c r="Y5809">
        <v>-2.4082119999999999E-2</v>
      </c>
      <c r="Z5809">
        <v>8.8089639999999997E-2</v>
      </c>
      <c r="AA5809">
        <v>0.99582139999999997</v>
      </c>
      <c r="AB5809">
        <v>23</v>
      </c>
      <c r="AC5809">
        <v>4.0999999999939904E-3</v>
      </c>
      <c r="AD5809">
        <v>-9.2915999999999999E-2</v>
      </c>
      <c r="AE5809">
        <v>-0.68240000000000101</v>
      </c>
      <c r="AF5809">
        <v>-1.9885463235641599E-2</v>
      </c>
      <c r="AG5809">
        <v>-9.2915999999999999E-2</v>
      </c>
      <c r="AH5809">
        <v>0.66969615216471601</v>
      </c>
      <c r="AI5809">
        <v>97.895554989156096</v>
      </c>
      <c r="AJ5809">
        <v>91.700798844976006</v>
      </c>
      <c r="AK5809">
        <v>0.67640354148120996</v>
      </c>
      <c r="AL5809">
        <v>96.315845550819603</v>
      </c>
      <c r="AM5809">
        <v>91.124812717320495</v>
      </c>
      <c r="AN5809">
        <v>1.00000005650034</v>
      </c>
    </row>
    <row r="5810" spans="1:40" x14ac:dyDescent="0.25">
      <c r="A5810" t="str">
        <f>"20190303154257043"</f>
        <v>20190303154257043</v>
      </c>
      <c r="B5810" t="str">
        <f>"1551598977035795"</f>
        <v>1551598977035795</v>
      </c>
      <c r="C5810" t="s">
        <v>40</v>
      </c>
      <c r="D5810">
        <v>6.1112520000000004</v>
      </c>
      <c r="E5810">
        <v>0.50383020000000001</v>
      </c>
      <c r="F5810" t="s">
        <v>42</v>
      </c>
      <c r="G5810">
        <v>-421.7953</v>
      </c>
      <c r="H5810">
        <v>1.0309569999999999</v>
      </c>
      <c r="I5810">
        <v>121.8878</v>
      </c>
      <c r="J5810">
        <v>-421.78730000000002</v>
      </c>
      <c r="K5810">
        <v>1.1208880000000001</v>
      </c>
      <c r="L5810">
        <v>122.539</v>
      </c>
      <c r="M5810">
        <v>-2.3164259999999999E-2</v>
      </c>
      <c r="N5810">
        <v>-1.3970369999999999E-2</v>
      </c>
      <c r="O5810">
        <v>-0.99963400000000002</v>
      </c>
      <c r="P5810">
        <v>-4.4844230000000004E-3</v>
      </c>
      <c r="Q5810">
        <v>-0.12678490000000001</v>
      </c>
      <c r="R5810">
        <v>-0.99192020000000003</v>
      </c>
      <c r="S5810">
        <v>-4.1778559999999999E-2</v>
      </c>
      <c r="T5810">
        <v>-0.3039075</v>
      </c>
      <c r="U5810">
        <v>-2.9851990000000002</v>
      </c>
      <c r="V5810">
        <v>-1.8494E-2</v>
      </c>
      <c r="W5810">
        <v>-0.1129177</v>
      </c>
      <c r="X5810">
        <v>0.99343219999999999</v>
      </c>
      <c r="Y5810">
        <v>-9.2202129999999997E-3</v>
      </c>
      <c r="Z5810">
        <v>8.7327390000000005E-2</v>
      </c>
      <c r="AA5810">
        <v>0.99613700000000005</v>
      </c>
      <c r="AB5810">
        <v>23</v>
      </c>
      <c r="AC5810">
        <v>-7.9999999999813502E-3</v>
      </c>
      <c r="AD5810">
        <v>-8.99309999999999E-2</v>
      </c>
      <c r="AE5810">
        <v>-0.651200000000002</v>
      </c>
      <c r="AF5810">
        <v>-6.9555518661327097E-3</v>
      </c>
      <c r="AG5810">
        <v>-8.99309999999999E-2</v>
      </c>
      <c r="AH5810">
        <v>0.63902508907528</v>
      </c>
      <c r="AI5810">
        <v>98.010247682301994</v>
      </c>
      <c r="AJ5810">
        <v>90.623618752462093</v>
      </c>
      <c r="AK5810">
        <v>0.64535961210044102</v>
      </c>
      <c r="AL5810">
        <v>96.483535793160002</v>
      </c>
      <c r="AM5810">
        <v>91.066510388530403</v>
      </c>
      <c r="AN5810">
        <v>0.99999998550306402</v>
      </c>
    </row>
    <row r="5811" spans="1:40" x14ac:dyDescent="0.25">
      <c r="A5811" t="str">
        <f>"20190303154257065"</f>
        <v>20190303154257065</v>
      </c>
      <c r="B5811" t="str">
        <f>"1551598977056291"</f>
        <v>1551598977056291</v>
      </c>
      <c r="C5811" t="s">
        <v>40</v>
      </c>
      <c r="D5811">
        <v>6.0835650000000001</v>
      </c>
      <c r="E5811">
        <v>0.50473400000000002</v>
      </c>
      <c r="F5811" t="s">
        <v>42</v>
      </c>
      <c r="G5811">
        <v>-421.80009999999999</v>
      </c>
      <c r="H5811">
        <v>1.0298689999999999</v>
      </c>
      <c r="I5811">
        <v>121.684</v>
      </c>
      <c r="J5811">
        <v>-421.7921</v>
      </c>
      <c r="K5811">
        <v>1.1206739999999999</v>
      </c>
      <c r="L5811">
        <v>122.3094</v>
      </c>
      <c r="M5811">
        <v>-2.303525E-2</v>
      </c>
      <c r="N5811">
        <v>-1.3931239999999999E-2</v>
      </c>
      <c r="O5811">
        <v>-0.99963740000000001</v>
      </c>
      <c r="P5811">
        <v>-3.9223770000000003E-3</v>
      </c>
      <c r="Q5811">
        <v>-0.12834289999999901</v>
      </c>
      <c r="R5811">
        <v>-0.9917222</v>
      </c>
      <c r="S5811">
        <v>-4.3182369999999998E-2</v>
      </c>
      <c r="T5811">
        <v>-0.31770609999999999</v>
      </c>
      <c r="U5811">
        <v>-2.9836269999999998</v>
      </c>
      <c r="V5811">
        <v>-1.8983179999999999E-2</v>
      </c>
      <c r="W5811">
        <v>-0.114507399999999</v>
      </c>
      <c r="X5811">
        <v>0.99324100000000004</v>
      </c>
      <c r="Y5811">
        <v>-8.6215089999999994E-3</v>
      </c>
      <c r="Z5811">
        <v>9.1974210000000001E-2</v>
      </c>
      <c r="AA5811">
        <v>0.9957241</v>
      </c>
      <c r="AB5811">
        <v>23</v>
      </c>
      <c r="AC5811">
        <v>-7.9999999999813502E-3</v>
      </c>
      <c r="AD5811">
        <v>-9.0804999999999803E-2</v>
      </c>
      <c r="AE5811">
        <v>-0.62539999999999896</v>
      </c>
      <c r="AF5811">
        <v>-6.2774522094104397E-3</v>
      </c>
      <c r="AG5811">
        <v>-9.0804999999999803E-2</v>
      </c>
      <c r="AH5811">
        <v>0.61250778235308401</v>
      </c>
      <c r="AI5811">
        <v>98.432308832140393</v>
      </c>
      <c r="AJ5811">
        <v>90.587190784955297</v>
      </c>
      <c r="AK5811">
        <v>0.619233992828506</v>
      </c>
      <c r="AL5811">
        <v>96.575213493248199</v>
      </c>
      <c r="AM5811">
        <v>91.094924284143502</v>
      </c>
      <c r="AN5811">
        <v>0.999999994929336</v>
      </c>
    </row>
    <row r="5812" spans="1:40" x14ac:dyDescent="0.25">
      <c r="A5812" t="str">
        <f>"20190303154257086"</f>
        <v>20190303154257086</v>
      </c>
      <c r="B5812" t="str">
        <f>"1551598977075811"</f>
        <v>1551598977075811</v>
      </c>
      <c r="C5812" t="s">
        <v>40</v>
      </c>
      <c r="D5812">
        <v>6.0903600000000004</v>
      </c>
      <c r="E5812">
        <v>0.50528660000000003</v>
      </c>
      <c r="F5812" t="s">
        <v>42</v>
      </c>
      <c r="G5812">
        <v>-421.80579999999998</v>
      </c>
      <c r="H5812">
        <v>1.030651</v>
      </c>
      <c r="I5812">
        <v>121.479</v>
      </c>
      <c r="J5812">
        <v>-421.79700000000003</v>
      </c>
      <c r="K5812">
        <v>1.1205369999999999</v>
      </c>
      <c r="L5812">
        <v>122.09010000000001</v>
      </c>
      <c r="M5812">
        <v>-2.3181730000000001E-2</v>
      </c>
      <c r="N5812">
        <v>-1.38981E-2</v>
      </c>
      <c r="O5812">
        <v>-0.99963469999999999</v>
      </c>
      <c r="P5812">
        <v>-2.777276E-3</v>
      </c>
      <c r="Q5812">
        <v>-0.12618779999999999</v>
      </c>
      <c r="R5812">
        <v>-0.99200279999999996</v>
      </c>
      <c r="S5812">
        <v>-4.891968E-2</v>
      </c>
      <c r="T5812">
        <v>-0.323349</v>
      </c>
      <c r="U5812">
        <v>-2.9830169999999998</v>
      </c>
      <c r="V5812">
        <v>-2.031852E-2</v>
      </c>
      <c r="W5812">
        <v>-0.112374</v>
      </c>
      <c r="X5812">
        <v>0.99345819999999996</v>
      </c>
      <c r="Y5812">
        <v>-6.8547649999999996E-3</v>
      </c>
      <c r="Z5812">
        <v>9.3888689999999997E-2</v>
      </c>
      <c r="AA5812">
        <v>0.99555910000000003</v>
      </c>
      <c r="AB5812">
        <v>23</v>
      </c>
      <c r="AC5812">
        <v>-8.8000000000079091E-3</v>
      </c>
      <c r="AD5812">
        <v>-8.9886000000000105E-2</v>
      </c>
      <c r="AE5812">
        <v>-0.61110000000000697</v>
      </c>
      <c r="AF5812">
        <v>-5.2563891857867204E-3</v>
      </c>
      <c r="AG5812">
        <v>-8.9886000000000105E-2</v>
      </c>
      <c r="AH5812">
        <v>0.59820030570884097</v>
      </c>
      <c r="AI5812">
        <v>98.545048673453394</v>
      </c>
      <c r="AJ5812">
        <v>90.503445354470998</v>
      </c>
      <c r="AK5812">
        <v>0.60493861537632299</v>
      </c>
      <c r="AL5812">
        <v>96.452184589937104</v>
      </c>
      <c r="AM5812">
        <v>91.171667977880503</v>
      </c>
      <c r="AN5812">
        <v>0.999999976639114</v>
      </c>
    </row>
    <row r="5813" spans="1:40" x14ac:dyDescent="0.25">
      <c r="A5813" t="str">
        <f>"20190303154257108"</f>
        <v>20190303154257108</v>
      </c>
      <c r="B5813" t="str">
        <f>"1551598977106067"</f>
        <v>1551598977106067</v>
      </c>
      <c r="C5813" t="s">
        <v>40</v>
      </c>
      <c r="D5813">
        <v>6.1129769999999999</v>
      </c>
      <c r="E5813">
        <v>0.51016679999999903</v>
      </c>
      <c r="F5813" t="s">
        <v>42</v>
      </c>
      <c r="G5813">
        <v>-421.8109</v>
      </c>
      <c r="H5813">
        <v>1.0333129999999999</v>
      </c>
      <c r="I5813">
        <v>121.2723</v>
      </c>
      <c r="J5813">
        <v>-421.8023</v>
      </c>
      <c r="K5813">
        <v>1.1204270000000001</v>
      </c>
      <c r="L5813">
        <v>121.8648</v>
      </c>
      <c r="M5813">
        <v>-2.355177E-2</v>
      </c>
      <c r="N5813">
        <v>-1.38689E-2</v>
      </c>
      <c r="O5813">
        <v>-0.99962640000000003</v>
      </c>
      <c r="P5813">
        <v>-2.5746160000000001E-3</v>
      </c>
      <c r="Q5813">
        <v>-0.1238736</v>
      </c>
      <c r="R5813">
        <v>-0.99229449999999997</v>
      </c>
      <c r="S5813">
        <v>-4.974365E-2</v>
      </c>
      <c r="T5813">
        <v>-0.31822450000000002</v>
      </c>
      <c r="U5813">
        <v>-2.9835660000000002</v>
      </c>
      <c r="V5813">
        <v>-2.0922699999999999E-2</v>
      </c>
      <c r="W5813">
        <v>-0.110079</v>
      </c>
      <c r="X5813">
        <v>0.99370259999999999</v>
      </c>
      <c r="Y5813">
        <v>-6.950454E-3</v>
      </c>
      <c r="Z5813">
        <v>9.2206819999999995E-2</v>
      </c>
      <c r="AA5813">
        <v>0.99571560000000003</v>
      </c>
      <c r="AB5813">
        <v>23</v>
      </c>
      <c r="AC5813">
        <v>-8.6000000000012698E-3</v>
      </c>
      <c r="AD5813">
        <v>-8.7114000000000094E-2</v>
      </c>
      <c r="AE5813">
        <v>-0.59250000000000103</v>
      </c>
      <c r="AF5813">
        <v>-5.2447981880073997E-3</v>
      </c>
      <c r="AG5813">
        <v>-8.7114000000000094E-2</v>
      </c>
      <c r="AH5813">
        <v>0.58000279598487703</v>
      </c>
      <c r="AI5813">
        <v>98.541394437786195</v>
      </c>
      <c r="AJ5813">
        <v>90.518095106143605</v>
      </c>
      <c r="AK5813">
        <v>0.58653184078471698</v>
      </c>
      <c r="AL5813">
        <v>96.319869582454402</v>
      </c>
      <c r="AM5813">
        <v>91.206201234553603</v>
      </c>
      <c r="AN5813">
        <v>1.00000000143152</v>
      </c>
    </row>
    <row r="5814" spans="1:40" x14ac:dyDescent="0.25">
      <c r="A5814" t="str">
        <f>"20190303154257124"</f>
        <v>20190303154257124</v>
      </c>
      <c r="B5814" t="str">
        <f>"1551598977116214"</f>
        <v>1551598977116214</v>
      </c>
      <c r="C5814" t="s">
        <v>40</v>
      </c>
      <c r="D5814">
        <v>6.0874779999999999</v>
      </c>
      <c r="E5814">
        <v>0.51075539999999997</v>
      </c>
      <c r="F5814" t="s">
        <v>42</v>
      </c>
      <c r="G5814">
        <v>-421.82600000000002</v>
      </c>
      <c r="H5814">
        <v>1.0376209999999999</v>
      </c>
      <c r="I5814">
        <v>121.0665</v>
      </c>
      <c r="J5814">
        <v>-421.80599999999998</v>
      </c>
      <c r="K5814">
        <v>1.120358</v>
      </c>
      <c r="L5814">
        <v>121.7154</v>
      </c>
      <c r="M5814">
        <v>-2.3892409999999999E-2</v>
      </c>
      <c r="N5814">
        <v>-1.385222E-2</v>
      </c>
      <c r="O5814">
        <v>-0.99961869999999997</v>
      </c>
      <c r="P5814">
        <v>-2.3981430000000001E-3</v>
      </c>
      <c r="Q5814">
        <v>-0.1229672</v>
      </c>
      <c r="R5814">
        <v>-0.99240779999999995</v>
      </c>
      <c r="S5814">
        <v>-8.8073730000000003E-2</v>
      </c>
      <c r="T5814">
        <v>-0.30956879999999998</v>
      </c>
      <c r="U5814">
        <v>-2.9844210000000002</v>
      </c>
      <c r="V5814">
        <v>-2.1457420000000001E-2</v>
      </c>
      <c r="W5814">
        <v>-0.1091838</v>
      </c>
      <c r="X5814">
        <v>0.99378999999999995</v>
      </c>
      <c r="Y5814">
        <v>5.4830959999999998E-3</v>
      </c>
      <c r="Z5814">
        <v>8.9324319999999999E-2</v>
      </c>
      <c r="AA5814">
        <v>0.99598750000000003</v>
      </c>
      <c r="AB5814">
        <v>23</v>
      </c>
      <c r="AC5814">
        <v>-1.99999999999818E-2</v>
      </c>
      <c r="AD5814">
        <v>-8.2737000000000005E-2</v>
      </c>
      <c r="AE5814">
        <v>-0.64889999999999703</v>
      </c>
      <c r="AF5814">
        <v>4.4172751550089302E-3</v>
      </c>
      <c r="AG5814">
        <v>-8.2737000000000005E-2</v>
      </c>
      <c r="AH5814">
        <v>0.63881714093095399</v>
      </c>
      <c r="AI5814">
        <v>97.379462078171301</v>
      </c>
      <c r="AJ5814">
        <v>89.603819037631894</v>
      </c>
      <c r="AK5814">
        <v>0.64416788420100002</v>
      </c>
      <c r="AL5814">
        <v>96.268267091529495</v>
      </c>
      <c r="AM5814">
        <v>91.236909819698596</v>
      </c>
      <c r="AN5814">
        <v>1.0000000435777401</v>
      </c>
    </row>
    <row r="5815" spans="1:40" x14ac:dyDescent="0.25">
      <c r="A5815" t="str">
        <f>"20190303154257143"</f>
        <v>20190303154257143</v>
      </c>
      <c r="B5815" t="str">
        <f>"1551598977135734"</f>
        <v>1551598977135734</v>
      </c>
      <c r="C5815" t="s">
        <v>40</v>
      </c>
      <c r="D5815">
        <v>6.1333149999999996</v>
      </c>
      <c r="E5815">
        <v>0.5113316</v>
      </c>
      <c r="F5815" t="s">
        <v>42</v>
      </c>
      <c r="G5815">
        <v>-421.83260000000001</v>
      </c>
      <c r="H5815">
        <v>1.0331779999999999</v>
      </c>
      <c r="I5815">
        <v>120.8665</v>
      </c>
      <c r="J5815">
        <v>-421.81130000000002</v>
      </c>
      <c r="K5815">
        <v>1.1202669999999999</v>
      </c>
      <c r="L5815">
        <v>121.51349999999999</v>
      </c>
      <c r="M5815">
        <v>-2.4446849999999999E-2</v>
      </c>
      <c r="N5815">
        <v>-1.3832519999999999E-2</v>
      </c>
      <c r="O5815">
        <v>-0.99960539999999998</v>
      </c>
      <c r="P5815">
        <v>-2.0997059999999998E-3</v>
      </c>
      <c r="Q5815">
        <v>-0.1235617</v>
      </c>
      <c r="R5815">
        <v>-0.99233479999999996</v>
      </c>
      <c r="S5815">
        <v>-9.2071529999999999E-2</v>
      </c>
      <c r="T5815">
        <v>-0.30647239999999998</v>
      </c>
      <c r="U5815">
        <v>-2.984772</v>
      </c>
      <c r="V5815">
        <v>-2.2329729999999999E-2</v>
      </c>
      <c r="W5815">
        <v>-0.109792899999999</v>
      </c>
      <c r="X5815">
        <v>0.99370360000000002</v>
      </c>
      <c r="Y5815">
        <v>6.2600290000000003E-3</v>
      </c>
      <c r="Z5815">
        <v>8.8306209999999996E-2</v>
      </c>
      <c r="AA5815">
        <v>0.99607369999999995</v>
      </c>
      <c r="AB5815">
        <v>23</v>
      </c>
      <c r="AC5815">
        <v>-2.1299999999996499E-2</v>
      </c>
      <c r="AD5815">
        <v>-8.7088999999999694E-2</v>
      </c>
      <c r="AE5815">
        <v>-0.64699999999999103</v>
      </c>
      <c r="AF5815">
        <v>5.3776780092987704E-3</v>
      </c>
      <c r="AG5815">
        <v>-8.7088999999999694E-2</v>
      </c>
      <c r="AH5815">
        <v>0.63581984384650103</v>
      </c>
      <c r="AI5815">
        <v>97.799062439685898</v>
      </c>
      <c r="AJ5815">
        <v>89.515411622203402</v>
      </c>
      <c r="AK5815">
        <v>0.64177900181507996</v>
      </c>
      <c r="AL5815">
        <v>96.303377486142097</v>
      </c>
      <c r="AM5815">
        <v>91.287289293571902</v>
      </c>
      <c r="AN5815">
        <v>0.99999997119262096</v>
      </c>
    </row>
    <row r="5816" spans="1:40" x14ac:dyDescent="0.25">
      <c r="A5816" t="str">
        <f>"20190303154257165"</f>
        <v>20190303154257165</v>
      </c>
      <c r="B5816" t="str">
        <f>"1551598977156230"</f>
        <v>1551598977156230</v>
      </c>
      <c r="C5816" t="s">
        <v>40</v>
      </c>
      <c r="D5816">
        <v>6.1189710000000002</v>
      </c>
      <c r="E5816">
        <v>0.51172090000000003</v>
      </c>
      <c r="F5816" t="s">
        <v>42</v>
      </c>
      <c r="G5816">
        <v>-421.839</v>
      </c>
      <c r="H5816">
        <v>1.0318769999999999</v>
      </c>
      <c r="I5816">
        <v>120.6636</v>
      </c>
      <c r="J5816">
        <v>-421.81740000000002</v>
      </c>
      <c r="K5816">
        <v>1.1201620000000001</v>
      </c>
      <c r="L5816">
        <v>121.2946</v>
      </c>
      <c r="M5816">
        <v>-2.5160760000000001E-2</v>
      </c>
      <c r="N5816">
        <v>-1.381419E-2</v>
      </c>
      <c r="O5816">
        <v>-0.99958829999999999</v>
      </c>
      <c r="P5816">
        <v>-2.9817429999999998E-3</v>
      </c>
      <c r="Q5816">
        <v>-0.12565960000000001</v>
      </c>
      <c r="R5816">
        <v>-0.9920696</v>
      </c>
      <c r="S5816">
        <v>-9.6588129999999994E-2</v>
      </c>
      <c r="T5816">
        <v>-0.31036979999999997</v>
      </c>
      <c r="U5816">
        <v>-2.9843139999999999</v>
      </c>
      <c r="V5816">
        <v>-2.2178050000000001E-2</v>
      </c>
      <c r="W5816">
        <v>-0.1119077</v>
      </c>
      <c r="X5816">
        <v>0.99347110000000005</v>
      </c>
      <c r="Y5816">
        <v>7.0520599999999998E-3</v>
      </c>
      <c r="Z5816">
        <v>8.962109E-2</v>
      </c>
      <c r="AA5816">
        <v>0.99595100000000003</v>
      </c>
      <c r="AB5816">
        <v>23</v>
      </c>
      <c r="AC5816">
        <v>-2.1599999999978001E-2</v>
      </c>
      <c r="AD5816">
        <v>-8.82850000000001E-2</v>
      </c>
      <c r="AE5816">
        <v>-0.63100000000000001</v>
      </c>
      <c r="AF5816">
        <v>5.6056064796922902E-3</v>
      </c>
      <c r="AG5816">
        <v>-8.82850000000001E-2</v>
      </c>
      <c r="AH5816">
        <v>0.61923599323630396</v>
      </c>
      <c r="AI5816">
        <v>98.113698219655305</v>
      </c>
      <c r="AJ5816">
        <v>89.481346653518997</v>
      </c>
      <c r="AK5816">
        <v>0.62552288476790097</v>
      </c>
      <c r="AL5816">
        <v>96.425297741112004</v>
      </c>
      <c r="AM5816">
        <v>91.278847104031001</v>
      </c>
      <c r="AN5816">
        <v>1.0000000128781501</v>
      </c>
    </row>
    <row r="5817" spans="1:40" x14ac:dyDescent="0.25">
      <c r="A5817" t="str">
        <f>"20190303154257187"</f>
        <v>20190303154257187</v>
      </c>
      <c r="B5817" t="str">
        <f>"1551598977175750"</f>
        <v>1551598977175750</v>
      </c>
      <c r="C5817" t="s">
        <v>40</v>
      </c>
      <c r="D5817">
        <v>6.099952</v>
      </c>
      <c r="E5817">
        <v>0.51558230000000005</v>
      </c>
      <c r="F5817" t="s">
        <v>42</v>
      </c>
      <c r="G5817">
        <v>-421.84629999999999</v>
      </c>
      <c r="H5817">
        <v>1.0312809999999999</v>
      </c>
      <c r="I5817">
        <v>120.46040000000001</v>
      </c>
      <c r="J5817">
        <v>-421.82420000000002</v>
      </c>
      <c r="K5817">
        <v>1.12008</v>
      </c>
      <c r="L5817">
        <v>121.06189999999999</v>
      </c>
      <c r="M5817">
        <v>-2.6047239999999999E-2</v>
      </c>
      <c r="N5817">
        <v>-1.37972999999999E-2</v>
      </c>
      <c r="O5817">
        <v>-0.9995655</v>
      </c>
      <c r="P5817">
        <v>-4.722497E-3</v>
      </c>
      <c r="Q5817">
        <v>-0.12875039999999999</v>
      </c>
      <c r="R5817">
        <v>-0.99166600000000005</v>
      </c>
      <c r="S5817">
        <v>-0.1019287</v>
      </c>
      <c r="T5817">
        <v>-0.3178298</v>
      </c>
      <c r="U5817">
        <v>-2.9834290000000001</v>
      </c>
      <c r="V5817">
        <v>-2.1334289999999999E-2</v>
      </c>
      <c r="W5817">
        <v>-0.1150177</v>
      </c>
      <c r="X5817">
        <v>0.99313430000000003</v>
      </c>
      <c r="Y5817">
        <v>7.9469729999999995E-3</v>
      </c>
      <c r="Z5817">
        <v>9.2122720000000005E-2</v>
      </c>
      <c r="AA5817">
        <v>0.99571600000000005</v>
      </c>
      <c r="AB5817">
        <v>23</v>
      </c>
      <c r="AC5817">
        <v>-2.2099999999966199E-2</v>
      </c>
      <c r="AD5817">
        <v>-8.8799000000000003E-2</v>
      </c>
      <c r="AE5817">
        <v>-0.60149999999998705</v>
      </c>
      <c r="AF5817">
        <v>6.2867625973766E-3</v>
      </c>
      <c r="AG5817">
        <v>-8.8799000000000003E-2</v>
      </c>
      <c r="AH5817">
        <v>0.58905087647507004</v>
      </c>
      <c r="AI5817">
        <v>98.572266362676302</v>
      </c>
      <c r="AJ5817">
        <v>89.388522617675804</v>
      </c>
      <c r="AK5817">
        <v>0.59573964184113504</v>
      </c>
      <c r="AL5817">
        <v>96.604646087410501</v>
      </c>
      <c r="AM5817">
        <v>91.230625909352696</v>
      </c>
      <c r="AN5817">
        <v>0.999999980539791</v>
      </c>
    </row>
    <row r="5818" spans="1:40" x14ac:dyDescent="0.25">
      <c r="A5818" t="str">
        <f>"20190303154257208"</f>
        <v>20190303154257208</v>
      </c>
      <c r="B5818" t="str">
        <f>"1551598977206006"</f>
        <v>1551598977206006</v>
      </c>
      <c r="C5818" t="s">
        <v>40</v>
      </c>
      <c r="D5818">
        <v>6.1037540000000003</v>
      </c>
      <c r="E5818">
        <v>0.51635120000000001</v>
      </c>
      <c r="F5818" t="s">
        <v>42</v>
      </c>
      <c r="G5818">
        <v>-421.86149999999998</v>
      </c>
      <c r="H5818">
        <v>1.0318670000000001</v>
      </c>
      <c r="I5818">
        <v>120.2573</v>
      </c>
      <c r="J5818">
        <v>-421.83100000000002</v>
      </c>
      <c r="K5818">
        <v>1.120023</v>
      </c>
      <c r="L5818">
        <v>120.8456</v>
      </c>
      <c r="M5818">
        <v>-2.699609E-2</v>
      </c>
      <c r="N5818">
        <v>-1.37793E-2</v>
      </c>
      <c r="O5818">
        <v>-0.99954069999999995</v>
      </c>
      <c r="P5818">
        <v>-7.0614639999999999E-3</v>
      </c>
      <c r="Q5818">
        <v>-0.13006229999999999</v>
      </c>
      <c r="R5818">
        <v>-0.99148080000000005</v>
      </c>
      <c r="S5818">
        <v>-0.13803099999999999</v>
      </c>
      <c r="T5818">
        <v>-0.32691140000000002</v>
      </c>
      <c r="U5818">
        <v>-2.9821170000000001</v>
      </c>
      <c r="V5818">
        <v>-1.994978E-2</v>
      </c>
      <c r="W5818">
        <v>-0.11634949999999999</v>
      </c>
      <c r="X5818">
        <v>0.993008</v>
      </c>
      <c r="Y5818">
        <v>1.9024010000000001E-2</v>
      </c>
      <c r="Z5818">
        <v>9.5145320000000005E-2</v>
      </c>
      <c r="AA5818">
        <v>0.99528159999999999</v>
      </c>
      <c r="AB5818">
        <v>23</v>
      </c>
      <c r="AC5818">
        <v>-3.05000000000177E-2</v>
      </c>
      <c r="AD5818">
        <v>-8.8155999999999901E-2</v>
      </c>
      <c r="AE5818">
        <v>-0.58830000000000304</v>
      </c>
      <c r="AF5818">
        <v>1.4285656914856599E-2</v>
      </c>
      <c r="AG5818">
        <v>-8.8155999999999901E-2</v>
      </c>
      <c r="AH5818">
        <v>0.57600959050542899</v>
      </c>
      <c r="AI5818">
        <v>98.698741052035601</v>
      </c>
      <c r="AJ5818">
        <v>88.579294330124497</v>
      </c>
      <c r="AK5818">
        <v>0.58289159256565104</v>
      </c>
      <c r="AL5818">
        <v>96.681467964460097</v>
      </c>
      <c r="AM5818">
        <v>91.150931764676301</v>
      </c>
      <c r="AN5818">
        <v>1.00000004396814</v>
      </c>
    </row>
    <row r="5819" spans="1:40" x14ac:dyDescent="0.25">
      <c r="A5819" t="str">
        <f>"20190303154257233"</f>
        <v>20190303154257233</v>
      </c>
      <c r="B5819" t="str">
        <f>"1551598977225526"</f>
        <v>1551598977225526</v>
      </c>
      <c r="C5819" t="s">
        <v>40</v>
      </c>
      <c r="D5819">
        <v>6.0864830000000003</v>
      </c>
      <c r="E5819">
        <v>0.5171055</v>
      </c>
      <c r="F5819" t="s">
        <v>42</v>
      </c>
      <c r="G5819">
        <v>-421.87119999999999</v>
      </c>
      <c r="H5819">
        <v>1.0307379999999999</v>
      </c>
      <c r="I5819">
        <v>120.0549</v>
      </c>
      <c r="J5819">
        <v>-421.83879999999999</v>
      </c>
      <c r="K5819">
        <v>1.1199680000000001</v>
      </c>
      <c r="L5819">
        <v>120.60720000000001</v>
      </c>
      <c r="M5819">
        <v>-2.8176329999999999E-2</v>
      </c>
      <c r="N5819">
        <v>-1.372131E-2</v>
      </c>
      <c r="O5819">
        <v>-0.99950890000000003</v>
      </c>
      <c r="P5819">
        <v>-9.7028870000000003E-3</v>
      </c>
      <c r="Q5819">
        <v>-0.13015689999999999</v>
      </c>
      <c r="R5819">
        <v>-0.99144620000000006</v>
      </c>
      <c r="S5819">
        <v>-0.1505737</v>
      </c>
      <c r="T5819">
        <v>-0.33651449999999999</v>
      </c>
      <c r="U5819">
        <v>-2.9805600000000001</v>
      </c>
      <c r="V5819">
        <v>-1.8491029999999999E-2</v>
      </c>
      <c r="W5819">
        <v>-0.1165027</v>
      </c>
      <c r="X5819">
        <v>0.99301819999999996</v>
      </c>
      <c r="Y5819">
        <v>2.202691E-2</v>
      </c>
      <c r="Z5819">
        <v>9.8404069999999996E-2</v>
      </c>
      <c r="AA5819">
        <v>0.99490270000000003</v>
      </c>
      <c r="AB5819">
        <v>23</v>
      </c>
      <c r="AC5819">
        <v>-3.2399999999995502E-2</v>
      </c>
      <c r="AD5819">
        <v>-8.9230000000000101E-2</v>
      </c>
      <c r="AE5819">
        <v>-0.55230000000000201</v>
      </c>
      <c r="AF5819">
        <v>1.63973495939542E-2</v>
      </c>
      <c r="AG5819">
        <v>-8.9230000000000101E-2</v>
      </c>
      <c r="AH5819">
        <v>0.53897370200547501</v>
      </c>
      <c r="AI5819">
        <v>99.396090491461905</v>
      </c>
      <c r="AJ5819">
        <v>88.257411771604893</v>
      </c>
      <c r="AK5819">
        <v>0.54655605149626996</v>
      </c>
      <c r="AL5819">
        <v>96.690306267952096</v>
      </c>
      <c r="AM5819">
        <v>91.066783619960006</v>
      </c>
      <c r="AN5819">
        <v>0.99999997141449504</v>
      </c>
    </row>
    <row r="5820" spans="1:40" x14ac:dyDescent="0.25">
      <c r="A5820" t="str">
        <f>"20190303154257254"</f>
        <v>20190303154257254</v>
      </c>
      <c r="B5820" t="str">
        <f>"1551598977246022"</f>
        <v>1551598977246022</v>
      </c>
      <c r="C5820" t="s">
        <v>40</v>
      </c>
      <c r="D5820">
        <v>6.1405450000000004</v>
      </c>
      <c r="E5820">
        <v>0.5172795</v>
      </c>
      <c r="F5820" t="s">
        <v>42</v>
      </c>
      <c r="G5820">
        <v>-421.88069999999999</v>
      </c>
      <c r="H5820">
        <v>1.033941</v>
      </c>
      <c r="I5820">
        <v>119.85039999999999</v>
      </c>
      <c r="J5820">
        <v>-421.8467</v>
      </c>
      <c r="K5820">
        <v>1.1199079999999999</v>
      </c>
      <c r="L5820">
        <v>120.3781</v>
      </c>
      <c r="M5820">
        <v>-2.9419420000000002E-2</v>
      </c>
      <c r="N5820">
        <v>-1.3580979999999999E-2</v>
      </c>
      <c r="O5820">
        <v>-0.99947490000000005</v>
      </c>
      <c r="P5820">
        <v>-1.206408E-2</v>
      </c>
      <c r="Q5820">
        <v>-0.13071669999999999</v>
      </c>
      <c r="R5820">
        <v>-0.99134639999999996</v>
      </c>
      <c r="S5820">
        <v>-0.1650085</v>
      </c>
      <c r="T5820">
        <v>-0.33871790000000002</v>
      </c>
      <c r="U5820">
        <v>-2.979813</v>
      </c>
      <c r="V5820">
        <v>-1.7370199999999999E-2</v>
      </c>
      <c r="W5820">
        <v>-0.11720369999999999</v>
      </c>
      <c r="X5820">
        <v>0.99295599999999995</v>
      </c>
      <c r="Y5820">
        <v>2.5594249999999999E-2</v>
      </c>
      <c r="Z5820">
        <v>9.9273239999999999E-2</v>
      </c>
      <c r="AA5820">
        <v>0.99473100000000003</v>
      </c>
      <c r="AB5820">
        <v>23</v>
      </c>
      <c r="AC5820">
        <v>-3.3999999999991801E-2</v>
      </c>
      <c r="AD5820">
        <v>-8.5966999999999905E-2</v>
      </c>
      <c r="AE5820">
        <v>-0.52770000000000905</v>
      </c>
      <c r="AF5820">
        <v>1.7983913668503399E-2</v>
      </c>
      <c r="AG5820">
        <v>-8.5966999999999905E-2</v>
      </c>
      <c r="AH5820">
        <v>0.51486425407154601</v>
      </c>
      <c r="AI5820">
        <v>99.473571272203998</v>
      </c>
      <c r="AJ5820">
        <v>87.999504533284096</v>
      </c>
      <c r="AK5820">
        <v>0.52230158563849405</v>
      </c>
      <c r="AL5820">
        <v>96.730747308219705</v>
      </c>
      <c r="AM5820">
        <v>91.002197123486695</v>
      </c>
      <c r="AN5820">
        <v>1.0000000245388601</v>
      </c>
    </row>
    <row r="5821" spans="1:40" x14ac:dyDescent="0.25">
      <c r="A5821" t="str">
        <f>"20190303154257278"</f>
        <v>20190303154257278</v>
      </c>
      <c r="B5821" t="str">
        <f>"1551598977265542"</f>
        <v>1551598977265542</v>
      </c>
      <c r="C5821" t="s">
        <v>40</v>
      </c>
      <c r="D5821">
        <v>6.1253419999999998</v>
      </c>
      <c r="E5821">
        <v>0.51760329999999999</v>
      </c>
      <c r="F5821" t="s">
        <v>42</v>
      </c>
      <c r="G5821">
        <v>-421.88959999999997</v>
      </c>
      <c r="H5821">
        <v>1.03652099999999</v>
      </c>
      <c r="I5821">
        <v>119.6461</v>
      </c>
      <c r="J5821">
        <v>-421.85489999999999</v>
      </c>
      <c r="K5821">
        <v>1.1198239999999999</v>
      </c>
      <c r="L5821">
        <v>120.1485</v>
      </c>
      <c r="M5821">
        <v>-3.0733199999999999E-2</v>
      </c>
      <c r="N5821">
        <v>-1.335398E-2</v>
      </c>
      <c r="O5821">
        <v>-0.99943850000000001</v>
      </c>
      <c r="P5821">
        <v>-1.563173E-2</v>
      </c>
      <c r="Q5821">
        <v>-0.1317208</v>
      </c>
      <c r="R5821">
        <v>-0.99116380000000004</v>
      </c>
      <c r="S5821">
        <v>-0.173309299999999</v>
      </c>
      <c r="T5821">
        <v>-0.33932899999999999</v>
      </c>
      <c r="U5821">
        <v>-2.9793240000000001</v>
      </c>
      <c r="V5821">
        <v>-1.51085E-2</v>
      </c>
      <c r="W5821">
        <v>-0.118439</v>
      </c>
      <c r="X5821">
        <v>0.99284640000000002</v>
      </c>
      <c r="Y5821">
        <v>2.7048429999999998E-2</v>
      </c>
      <c r="Z5821">
        <v>9.9701750000000006E-2</v>
      </c>
      <c r="AA5821">
        <v>0.99464960000000002</v>
      </c>
      <c r="AB5821">
        <v>23</v>
      </c>
      <c r="AC5821">
        <v>-3.4699999999986603E-2</v>
      </c>
      <c r="AD5821">
        <v>-8.3303000000000099E-2</v>
      </c>
      <c r="AE5821">
        <v>-0.50239999999999396</v>
      </c>
      <c r="AF5821">
        <v>1.87293881979925E-2</v>
      </c>
      <c r="AG5821">
        <v>-8.3303000000000099E-2</v>
      </c>
      <c r="AH5821">
        <v>0.48982631897175899</v>
      </c>
      <c r="AI5821">
        <v>99.644827490508206</v>
      </c>
      <c r="AJ5821">
        <v>87.810259820785504</v>
      </c>
      <c r="AK5821">
        <v>0.49721223089209499</v>
      </c>
      <c r="AL5821">
        <v>96.802021263780404</v>
      </c>
      <c r="AM5821">
        <v>90.871823148930602</v>
      </c>
      <c r="AN5821">
        <v>1.0000000187431</v>
      </c>
    </row>
    <row r="5822" spans="1:40" x14ac:dyDescent="0.25">
      <c r="A5822" t="str">
        <f>"20190303154257299"</f>
        <v>20190303154257299</v>
      </c>
      <c r="B5822" t="str">
        <f>"1551598977295798"</f>
        <v>1551598977295798</v>
      </c>
      <c r="C5822" t="s">
        <v>40</v>
      </c>
      <c r="D5822">
        <v>6.0870790000000001</v>
      </c>
      <c r="E5822">
        <v>0.51795429999999998</v>
      </c>
      <c r="F5822" t="s">
        <v>42</v>
      </c>
      <c r="G5822">
        <v>-421.9117</v>
      </c>
      <c r="H5822">
        <v>1.0161359999999999</v>
      </c>
      <c r="I5822">
        <v>119.2496</v>
      </c>
      <c r="J5822">
        <v>-421.86320000000001</v>
      </c>
      <c r="K5822">
        <v>1.1197629999999901</v>
      </c>
      <c r="L5822">
        <v>119.9298</v>
      </c>
      <c r="M5822">
        <v>-3.2017900000000002E-2</v>
      </c>
      <c r="N5822">
        <v>-1.310013E-2</v>
      </c>
      <c r="O5822">
        <v>-0.99940150000000005</v>
      </c>
      <c r="P5822">
        <v>-1.8496510000000001E-2</v>
      </c>
      <c r="Q5822">
        <v>-0.13370599999999999</v>
      </c>
      <c r="R5822">
        <v>-0.99084870000000003</v>
      </c>
      <c r="S5822">
        <v>-0.18664549999999999</v>
      </c>
      <c r="T5822">
        <v>-0.34341569999999999</v>
      </c>
      <c r="U5822">
        <v>-2.9781650000000002</v>
      </c>
      <c r="V5822">
        <v>-1.3513610000000001E-2</v>
      </c>
      <c r="W5822">
        <v>-0.12068280000000001</v>
      </c>
      <c r="X5822">
        <v>0.99259909999999996</v>
      </c>
      <c r="Y5822">
        <v>3.021105E-2</v>
      </c>
      <c r="Z5822">
        <v>0.1013169</v>
      </c>
      <c r="AA5822">
        <v>0.99439540000000004</v>
      </c>
      <c r="AB5822">
        <v>23</v>
      </c>
      <c r="AC5822">
        <v>-4.8499999999990002E-2</v>
      </c>
      <c r="AD5822">
        <v>-0.103626999999999</v>
      </c>
      <c r="AE5822">
        <v>-0.68019999999999903</v>
      </c>
      <c r="AF5822">
        <v>2.6092154236860801E-2</v>
      </c>
      <c r="AG5822">
        <v>-0.103626999999999</v>
      </c>
      <c r="AH5822">
        <v>0.666024065422538</v>
      </c>
      <c r="AI5822">
        <v>98.837096271825502</v>
      </c>
      <c r="AJ5822">
        <v>87.756528192972695</v>
      </c>
      <c r="AK5822">
        <v>0.67454237180749799</v>
      </c>
      <c r="AL5822">
        <v>96.931510779716902</v>
      </c>
      <c r="AM5822">
        <v>90.779997671651202</v>
      </c>
      <c r="AN5822">
        <v>0.99999996459593998</v>
      </c>
    </row>
    <row r="5823" spans="1:40" x14ac:dyDescent="0.25">
      <c r="A5823" t="str">
        <f>"20190303154257322"</f>
        <v>20190303154257322</v>
      </c>
      <c r="B5823" t="str">
        <f>"1551598977316295"</f>
        <v>1551598977316295</v>
      </c>
      <c r="C5823" t="s">
        <v>40</v>
      </c>
      <c r="D5823">
        <v>6.1010160000000004</v>
      </c>
      <c r="E5823">
        <v>0.51803710000000003</v>
      </c>
      <c r="F5823" t="s">
        <v>42</v>
      </c>
      <c r="G5823">
        <v>-421.92200000000003</v>
      </c>
      <c r="H5823">
        <v>1.016303</v>
      </c>
      <c r="I5823">
        <v>119.04600000000001</v>
      </c>
      <c r="J5823">
        <v>-421.87209999999999</v>
      </c>
      <c r="K5823">
        <v>1.1197159999999999</v>
      </c>
      <c r="L5823">
        <v>119.7007</v>
      </c>
      <c r="M5823">
        <v>-3.3377549999999999E-2</v>
      </c>
      <c r="N5823">
        <v>-1.2833809999999999E-2</v>
      </c>
      <c r="O5823">
        <v>-0.99936040000000004</v>
      </c>
      <c r="P5823">
        <v>-2.202923E-2</v>
      </c>
      <c r="Q5823">
        <v>-0.13470989999999999</v>
      </c>
      <c r="R5823">
        <v>-0.99064019999999997</v>
      </c>
      <c r="S5823">
        <v>-0.19760130000000001</v>
      </c>
      <c r="T5823">
        <v>-0.34843269999999998</v>
      </c>
      <c r="U5823">
        <v>-2.9770050000000001</v>
      </c>
      <c r="V5823">
        <v>-1.1322749999999999E-2</v>
      </c>
      <c r="W5823">
        <v>-0.12195789999999999</v>
      </c>
      <c r="X5823">
        <v>0.99247070000000004</v>
      </c>
      <c r="Y5823">
        <v>3.2504869999999998E-2</v>
      </c>
      <c r="Z5823">
        <v>0.1032522</v>
      </c>
      <c r="AA5823">
        <v>0.99412389999999995</v>
      </c>
      <c r="AB5823">
        <v>23</v>
      </c>
      <c r="AC5823">
        <v>-4.98999999999796E-2</v>
      </c>
      <c r="AD5823">
        <v>-0.10341299999999901</v>
      </c>
      <c r="AE5823">
        <v>-0.65469999999999096</v>
      </c>
      <c r="AF5823">
        <v>2.7339926117770801E-2</v>
      </c>
      <c r="AG5823">
        <v>-0.10341299999999901</v>
      </c>
      <c r="AH5823">
        <v>0.64012220285222698</v>
      </c>
      <c r="AI5823">
        <v>99.168740614422504</v>
      </c>
      <c r="AJ5823">
        <v>87.554356172625404</v>
      </c>
      <c r="AK5823">
        <v>0.64899780794199402</v>
      </c>
      <c r="AL5823">
        <v>97.005111965503104</v>
      </c>
      <c r="AM5823">
        <v>90.653639088137894</v>
      </c>
      <c r="AN5823">
        <v>1.0000000121992301</v>
      </c>
    </row>
    <row r="5824" spans="1:40" x14ac:dyDescent="0.25">
      <c r="A5824" t="str">
        <f>"20190303154257344"</f>
        <v>20190303154257344</v>
      </c>
      <c r="B5824" t="str">
        <f>"1551598977335814"</f>
        <v>1551598977335814</v>
      </c>
      <c r="C5824" t="s">
        <v>40</v>
      </c>
      <c r="D5824">
        <v>6.0913130000000004</v>
      </c>
      <c r="E5824">
        <v>0.51804600000000001</v>
      </c>
      <c r="F5824" t="s">
        <v>42</v>
      </c>
      <c r="G5824">
        <v>-421.93279999999999</v>
      </c>
      <c r="H5824">
        <v>1.0183439999999999</v>
      </c>
      <c r="I5824">
        <v>118.8412</v>
      </c>
      <c r="J5824">
        <v>-421.88139999999999</v>
      </c>
      <c r="K5824">
        <v>1.119699</v>
      </c>
      <c r="L5824">
        <v>119.46810000000001</v>
      </c>
      <c r="M5824">
        <v>-3.4743889999999999E-2</v>
      </c>
      <c r="N5824">
        <v>-1.2558639999999999E-2</v>
      </c>
      <c r="O5824">
        <v>-0.99931740000000002</v>
      </c>
      <c r="P5824">
        <v>-2.489425E-2</v>
      </c>
      <c r="Q5824">
        <v>-0.13705690000000001</v>
      </c>
      <c r="R5824">
        <v>-0.99025039999999998</v>
      </c>
      <c r="S5824">
        <v>-0.20913699999999999</v>
      </c>
      <c r="T5824">
        <v>-0.35094189999999997</v>
      </c>
      <c r="U5824">
        <v>-2.9759829999999998</v>
      </c>
      <c r="V5824">
        <v>-9.7975519999999993E-3</v>
      </c>
      <c r="W5824">
        <v>-0.12458569999999999</v>
      </c>
      <c r="X5824">
        <v>0.9921605</v>
      </c>
      <c r="Y5824">
        <v>3.4986780000000002E-2</v>
      </c>
      <c r="Z5824">
        <v>0.1043635</v>
      </c>
      <c r="AA5824">
        <v>0.99392360000000002</v>
      </c>
      <c r="AB5824">
        <v>23</v>
      </c>
      <c r="AC5824">
        <v>-5.1400000000000903E-2</v>
      </c>
      <c r="AD5824">
        <v>-0.101354999999999</v>
      </c>
      <c r="AE5824">
        <v>-0.62690000000000601</v>
      </c>
      <c r="AF5824">
        <v>2.8837541759083499E-2</v>
      </c>
      <c r="AG5824">
        <v>-0.101354999999999</v>
      </c>
      <c r="AH5824">
        <v>0.61240644858376503</v>
      </c>
      <c r="AI5824">
        <v>99.387213042906296</v>
      </c>
      <c r="AJ5824">
        <v>87.303996662973404</v>
      </c>
      <c r="AK5824">
        <v>0.62140654816849705</v>
      </c>
      <c r="AL5824">
        <v>97.156830949351999</v>
      </c>
      <c r="AM5824">
        <v>90.565775530550795</v>
      </c>
      <c r="AN5824">
        <v>1.00000002321496</v>
      </c>
    </row>
    <row r="5825" spans="1:40" x14ac:dyDescent="0.25">
      <c r="A5825" t="str">
        <f>"20190303154257366"</f>
        <v>20190303154257366</v>
      </c>
      <c r="B5825" t="str">
        <f>"1551598977356314"</f>
        <v>1551598977356314</v>
      </c>
      <c r="C5825" t="s">
        <v>40</v>
      </c>
      <c r="D5825">
        <v>6.1078380000000001</v>
      </c>
      <c r="E5825">
        <v>0.51787669999999997</v>
      </c>
      <c r="F5825" t="s">
        <v>42</v>
      </c>
      <c r="G5825">
        <v>-421.94229999999999</v>
      </c>
      <c r="H5825">
        <v>1.0200039999999999</v>
      </c>
      <c r="I5825">
        <v>118.6362</v>
      </c>
      <c r="J5825">
        <v>-421.89080000000001</v>
      </c>
      <c r="K5825">
        <v>1.119702</v>
      </c>
      <c r="L5825">
        <v>119.24160000000001</v>
      </c>
      <c r="M5825">
        <v>-3.6025130000000002E-2</v>
      </c>
      <c r="N5825">
        <v>-1.2276830000000001E-2</v>
      </c>
      <c r="O5825">
        <v>-0.99927529999999998</v>
      </c>
      <c r="P5825">
        <v>-2.7142670000000001E-2</v>
      </c>
      <c r="Q5825">
        <v>-0.1364359</v>
      </c>
      <c r="R5825">
        <v>-0.99027690000000002</v>
      </c>
      <c r="S5825">
        <v>-0.21759029999999999</v>
      </c>
      <c r="T5825">
        <v>-0.3564812</v>
      </c>
      <c r="U5825">
        <v>-2.9747159999999999</v>
      </c>
      <c r="V5825">
        <v>-8.8086750000000002E-3</v>
      </c>
      <c r="W5825">
        <v>-0.1242462</v>
      </c>
      <c r="X5825">
        <v>0.99221230000000005</v>
      </c>
      <c r="Y5825">
        <v>3.6527690000000002E-2</v>
      </c>
      <c r="Z5825">
        <v>0.1064919</v>
      </c>
      <c r="AA5825">
        <v>0.99364240000000004</v>
      </c>
      <c r="AB5825">
        <v>23</v>
      </c>
      <c r="AC5825">
        <v>-5.1499999999975898E-2</v>
      </c>
      <c r="AD5825">
        <v>-9.9697999999999801E-2</v>
      </c>
      <c r="AE5825">
        <v>-0.60540000000000205</v>
      </c>
      <c r="AF5825">
        <v>2.8877768761975901E-2</v>
      </c>
      <c r="AG5825">
        <v>-9.9697999999999801E-2</v>
      </c>
      <c r="AH5825">
        <v>0.59095101192954502</v>
      </c>
      <c r="AI5825">
        <v>99.5648655757646</v>
      </c>
      <c r="AJ5825">
        <v>87.202375304469001</v>
      </c>
      <c r="AK5825">
        <v>0.59999726268810905</v>
      </c>
      <c r="AL5825">
        <v>97.137227023343101</v>
      </c>
      <c r="AM5825">
        <v>90.508647838600396</v>
      </c>
      <c r="AN5825">
        <v>0.99999997962049203</v>
      </c>
    </row>
    <row r="5826" spans="1:40" x14ac:dyDescent="0.25">
      <c r="A5826" t="str">
        <f>"20190303154257387"</f>
        <v>20190303154257387</v>
      </c>
      <c r="B5826" t="str">
        <f>"1551598977375834"</f>
        <v>1551598977375834</v>
      </c>
      <c r="C5826" t="s">
        <v>40</v>
      </c>
      <c r="D5826">
        <v>6.1224559999999997</v>
      </c>
      <c r="E5826">
        <v>0.51772189999999996</v>
      </c>
      <c r="F5826" t="s">
        <v>42</v>
      </c>
      <c r="G5826">
        <v>-421.95209999999997</v>
      </c>
      <c r="H5826">
        <v>1.02327099999999</v>
      </c>
      <c r="I5826">
        <v>118.4301</v>
      </c>
      <c r="J5826">
        <v>-421.89980000000003</v>
      </c>
      <c r="K5826">
        <v>1.1197360000000001</v>
      </c>
      <c r="L5826">
        <v>119.02630000000001</v>
      </c>
      <c r="M5826">
        <v>-3.7160810000000002E-2</v>
      </c>
      <c r="N5826">
        <v>-1.2004900000000001E-2</v>
      </c>
      <c r="O5826">
        <v>-0.99923720000000005</v>
      </c>
      <c r="P5826">
        <v>-2.7686849999999999E-2</v>
      </c>
      <c r="Q5826">
        <v>-0.1336832</v>
      </c>
      <c r="R5826">
        <v>-0.99063710000000005</v>
      </c>
      <c r="S5826">
        <v>-0.22341920000000001</v>
      </c>
      <c r="T5826">
        <v>-0.35341660000000003</v>
      </c>
      <c r="U5826">
        <v>-2.9746250000000001</v>
      </c>
      <c r="V5826">
        <v>-9.3826469999999992E-3</v>
      </c>
      <c r="W5826">
        <v>-0.1217591</v>
      </c>
      <c r="X5826">
        <v>0.99251529999999999</v>
      </c>
      <c r="Y5826">
        <v>3.733699E-2</v>
      </c>
      <c r="Z5826">
        <v>0.10574160000000001</v>
      </c>
      <c r="AA5826">
        <v>0.99369249999999998</v>
      </c>
      <c r="AB5826">
        <v>23</v>
      </c>
      <c r="AC5826">
        <v>-5.2299999999945598E-2</v>
      </c>
      <c r="AD5826">
        <v>-9.6465000000000203E-2</v>
      </c>
      <c r="AE5826">
        <v>-0.59620000000001006</v>
      </c>
      <c r="AF5826">
        <v>2.9344648211763701E-2</v>
      </c>
      <c r="AG5826">
        <v>-9.6465000000000203E-2</v>
      </c>
      <c r="AH5826">
        <v>0.582596384735103</v>
      </c>
      <c r="AI5826">
        <v>99.389916325604702</v>
      </c>
      <c r="AJ5826">
        <v>87.116520369202306</v>
      </c>
      <c r="AK5826">
        <v>0.59125726389625299</v>
      </c>
      <c r="AL5826">
        <v>96.9936363605145</v>
      </c>
      <c r="AM5826">
        <v>90.541623953302604</v>
      </c>
      <c r="AN5826">
        <v>0.99999996661581203</v>
      </c>
    </row>
    <row r="5827" spans="1:40" x14ac:dyDescent="0.25">
      <c r="A5827" t="str">
        <f>"20190303154257410"</f>
        <v>20190303154257410</v>
      </c>
      <c r="B5827" t="str">
        <f>"1551598977406086"</f>
        <v>1551598977406086</v>
      </c>
      <c r="C5827" t="s">
        <v>40</v>
      </c>
      <c r="D5827">
        <v>6.145213</v>
      </c>
      <c r="E5827">
        <v>0.54038699999999995</v>
      </c>
      <c r="F5827" t="s">
        <v>42</v>
      </c>
      <c r="G5827">
        <v>-421.96019999999999</v>
      </c>
      <c r="H5827">
        <v>1.0267230000000001</v>
      </c>
      <c r="I5827">
        <v>118.2236</v>
      </c>
      <c r="J5827">
        <v>-421.91</v>
      </c>
      <c r="K5827">
        <v>1.119807</v>
      </c>
      <c r="L5827">
        <v>118.78870000000001</v>
      </c>
      <c r="M5827">
        <v>-3.8286880000000002E-2</v>
      </c>
      <c r="N5827">
        <v>-1.171207E-2</v>
      </c>
      <c r="O5827">
        <v>-0.99919829999999998</v>
      </c>
      <c r="P5827">
        <v>-2.5945300000000001E-2</v>
      </c>
      <c r="Q5827">
        <v>-0.12921730000000001</v>
      </c>
      <c r="R5827">
        <v>-0.99127690000000002</v>
      </c>
      <c r="S5827">
        <v>-0.2235413</v>
      </c>
      <c r="T5827">
        <v>-0.3447828</v>
      </c>
      <c r="U5827">
        <v>-2.9755859999999998</v>
      </c>
      <c r="V5827">
        <v>-1.2231270000000001E-2</v>
      </c>
      <c r="W5827">
        <v>-0.1175746</v>
      </c>
      <c r="X5827">
        <v>0.99298869999999895</v>
      </c>
      <c r="Y5827">
        <v>3.625014E-2</v>
      </c>
      <c r="Z5827">
        <v>0.1031517</v>
      </c>
      <c r="AA5827">
        <v>0.99400480000000002</v>
      </c>
      <c r="AB5827">
        <v>23</v>
      </c>
      <c r="AC5827">
        <v>-5.0199999999961102E-2</v>
      </c>
      <c r="AD5827">
        <v>-9.3083999999999903E-2</v>
      </c>
      <c r="AE5827">
        <v>-0.56510000000000005</v>
      </c>
      <c r="AF5827">
        <v>2.7777989234115001E-2</v>
      </c>
      <c r="AG5827">
        <v>-9.3083999999999903E-2</v>
      </c>
      <c r="AH5827">
        <v>0.55175415261235805</v>
      </c>
      <c r="AI5827">
        <v>99.564059137361099</v>
      </c>
      <c r="AJ5827">
        <v>87.117884985744894</v>
      </c>
      <c r="AK5827">
        <v>0.56024003129629396</v>
      </c>
      <c r="AL5827">
        <v>96.752146604921805</v>
      </c>
      <c r="AM5827">
        <v>90.705712672822997</v>
      </c>
      <c r="AN5827">
        <v>0.99999997442933097</v>
      </c>
    </row>
    <row r="5828" spans="1:40" x14ac:dyDescent="0.25">
      <c r="A5828" t="str">
        <f>"20190303154257433"</f>
        <v>20190303154257433</v>
      </c>
      <c r="B5828" t="str">
        <f>"1551598977426582"</f>
        <v>1551598977426582</v>
      </c>
      <c r="C5828" t="s">
        <v>40</v>
      </c>
      <c r="D5828">
        <v>6.2412919999999996</v>
      </c>
      <c r="E5828">
        <v>0.53756289999999995</v>
      </c>
      <c r="F5828" t="s">
        <v>41</v>
      </c>
      <c r="G5828">
        <v>-424.32119999999998</v>
      </c>
      <c r="H5828" s="1">
        <v>-1.6123499999999999E-6</v>
      </c>
      <c r="I5828">
        <v>100.5702</v>
      </c>
      <c r="J5828">
        <v>-421.91989999999998</v>
      </c>
      <c r="K5828">
        <v>1.1198950000000001</v>
      </c>
      <c r="L5828">
        <v>118.5612</v>
      </c>
      <c r="M5828">
        <v>-3.9203830000000002E-2</v>
      </c>
      <c r="N5828">
        <v>-1.144527E-2</v>
      </c>
      <c r="O5828">
        <v>-0.999166</v>
      </c>
      <c r="P5828">
        <v>-2.3140600000000001E-2</v>
      </c>
      <c r="Q5828">
        <v>-0.12593779999999999</v>
      </c>
      <c r="R5828">
        <v>-0.99176850000000005</v>
      </c>
      <c r="S5828">
        <v>-0.39599610000000002</v>
      </c>
      <c r="T5828">
        <v>-0.18390880000000001</v>
      </c>
      <c r="U5828">
        <v>-2.9920650000000002</v>
      </c>
      <c r="V5828">
        <v>-1.5927719999999999E-2</v>
      </c>
      <c r="W5828">
        <v>-0.1145538</v>
      </c>
      <c r="X5828">
        <v>0.99328939999999999</v>
      </c>
      <c r="Y5828">
        <v>9.2037560000000004E-2</v>
      </c>
      <c r="Z5828">
        <v>4.9486160000000001E-2</v>
      </c>
      <c r="AA5828">
        <v>0.99452510000000005</v>
      </c>
      <c r="AB5828">
        <v>23</v>
      </c>
      <c r="AC5828">
        <v>-2.4012999999999902</v>
      </c>
      <c r="AD5828">
        <v>-1.11989661235</v>
      </c>
      <c r="AE5828">
        <v>-17.991</v>
      </c>
      <c r="AF5828">
        <v>1.68766678560315</v>
      </c>
      <c r="AG5828">
        <v>-1.11989661235</v>
      </c>
      <c r="AH5828">
        <v>18.002778062037599</v>
      </c>
      <c r="AI5828">
        <v>93.544105721961401</v>
      </c>
      <c r="AJ5828">
        <v>84.644470436061397</v>
      </c>
      <c r="AK5828">
        <v>18.1163574029815</v>
      </c>
      <c r="AL5828">
        <v>96.577889271512703</v>
      </c>
      <c r="AM5828">
        <v>90.918677805912196</v>
      </c>
      <c r="AN5828">
        <v>1.00000004875559</v>
      </c>
    </row>
    <row r="5829" spans="1:40" x14ac:dyDescent="0.25">
      <c r="A5829" t="str">
        <f>"20190303154257457"</f>
        <v>20190303154257457</v>
      </c>
      <c r="B5829" t="str">
        <f>"1551598977446102"</f>
        <v>1551598977446102</v>
      </c>
      <c r="C5829" t="s">
        <v>40</v>
      </c>
      <c r="D5829">
        <v>6.2333540000000003</v>
      </c>
      <c r="E5829">
        <v>0.53501569999999898</v>
      </c>
      <c r="F5829" t="s">
        <v>41</v>
      </c>
      <c r="G5829">
        <v>-424.0027</v>
      </c>
      <c r="H5829" s="1">
        <v>-1.9638780000000002E-6</v>
      </c>
      <c r="I5829">
        <v>101.4931</v>
      </c>
      <c r="J5829">
        <v>-421.93040000000002</v>
      </c>
      <c r="K5829">
        <v>1.120015</v>
      </c>
      <c r="L5829">
        <v>118.31959999999999</v>
      </c>
      <c r="M5829">
        <v>-3.9968660000000003E-2</v>
      </c>
      <c r="N5829">
        <v>-1.118211E-2</v>
      </c>
      <c r="O5829">
        <v>-0.99913839999999998</v>
      </c>
      <c r="P5829">
        <v>-2.0753830000000001E-2</v>
      </c>
      <c r="Q5829">
        <v>-0.12626080000000001</v>
      </c>
      <c r="R5829">
        <v>-0.99177990000000005</v>
      </c>
      <c r="S5829">
        <v>-0.36505130000000002</v>
      </c>
      <c r="T5829">
        <v>-0.1962817</v>
      </c>
      <c r="U5829">
        <v>-2.9914700000000001</v>
      </c>
      <c r="V5829">
        <v>-1.9032919999999998E-2</v>
      </c>
      <c r="W5829">
        <v>-0.1151413</v>
      </c>
      <c r="X5829">
        <v>0.99316669999999996</v>
      </c>
      <c r="Y5829">
        <v>8.1147780000000003E-2</v>
      </c>
      <c r="Z5829">
        <v>5.3911319999999999E-2</v>
      </c>
      <c r="AA5829">
        <v>0.99524299999999999</v>
      </c>
      <c r="AB5829">
        <v>23</v>
      </c>
      <c r="AC5829">
        <v>-2.0722999999999798</v>
      </c>
      <c r="AD5829">
        <v>-1.120016963878</v>
      </c>
      <c r="AE5829">
        <v>-16.8264999999999</v>
      </c>
      <c r="AF5829">
        <v>1.39199399662239</v>
      </c>
      <c r="AG5829">
        <v>-1.120016963878</v>
      </c>
      <c r="AH5829">
        <v>16.822465211056699</v>
      </c>
      <c r="AI5829">
        <v>93.796118365760606</v>
      </c>
      <c r="AJ5829">
        <v>85.269771822920106</v>
      </c>
      <c r="AK5829">
        <v>16.917074837666899</v>
      </c>
      <c r="AL5829">
        <v>96.611775528812203</v>
      </c>
      <c r="AM5829">
        <v>91.097874626337799</v>
      </c>
      <c r="AN5829">
        <v>0.99999993249915098</v>
      </c>
    </row>
    <row r="5830" spans="1:40" x14ac:dyDescent="0.25">
      <c r="A5830" t="str">
        <f>"20190303154257478"</f>
        <v>20190303154257478</v>
      </c>
      <c r="B5830" t="str">
        <f>"1551598977466598"</f>
        <v>1551598977466598</v>
      </c>
      <c r="C5830" t="s">
        <v>40</v>
      </c>
      <c r="D5830">
        <v>6.2722160000000002</v>
      </c>
      <c r="E5830">
        <v>0.53357849999999996</v>
      </c>
      <c r="F5830" t="s">
        <v>42</v>
      </c>
      <c r="G5830">
        <v>-422.03590000000003</v>
      </c>
      <c r="H5830">
        <v>1.0515080000000001</v>
      </c>
      <c r="I5830">
        <v>117.3884</v>
      </c>
      <c r="J5830">
        <v>-421.93990000000002</v>
      </c>
      <c r="K5830">
        <v>1.1201380000000001</v>
      </c>
      <c r="L5830">
        <v>118.09780000000001</v>
      </c>
      <c r="M5830">
        <v>-4.0440259999999999E-2</v>
      </c>
      <c r="N5830">
        <v>-1.096509E-2</v>
      </c>
      <c r="O5830">
        <v>-0.99912190000000001</v>
      </c>
      <c r="P5830">
        <v>-1.980266E-2</v>
      </c>
      <c r="Q5830">
        <v>-0.12866669999999999</v>
      </c>
      <c r="R5830">
        <v>-0.99149030000000005</v>
      </c>
      <c r="S5830">
        <v>-0.33804319999999999</v>
      </c>
      <c r="T5830">
        <v>-0.2199817</v>
      </c>
      <c r="U5830">
        <v>-2.989792</v>
      </c>
      <c r="V5830">
        <v>-2.0399939999999998E-2</v>
      </c>
      <c r="W5830">
        <v>-0.1177721</v>
      </c>
      <c r="X5830">
        <v>0.99283109999999997</v>
      </c>
      <c r="Y5830">
        <v>7.1821800000000005E-2</v>
      </c>
      <c r="Z5830">
        <v>6.204838E-2</v>
      </c>
      <c r="AA5830">
        <v>0.99548559999999997</v>
      </c>
      <c r="AB5830">
        <v>23</v>
      </c>
      <c r="AC5830">
        <v>-9.6000000000003596E-2</v>
      </c>
      <c r="AD5830">
        <v>-6.8629999999999899E-2</v>
      </c>
      <c r="AE5830">
        <v>-0.70940000000000203</v>
      </c>
      <c r="AF5830">
        <v>6.6619117924589993E-2</v>
      </c>
      <c r="AG5830">
        <v>-6.8629999999999899E-2</v>
      </c>
      <c r="AH5830">
        <v>0.70621129790862702</v>
      </c>
      <c r="AI5830">
        <v>95.526224671831002</v>
      </c>
      <c r="AJ5830">
        <v>84.611057301262804</v>
      </c>
      <c r="AK5830">
        <v>0.71265881111990603</v>
      </c>
      <c r="AL5830">
        <v>96.763541455030605</v>
      </c>
      <c r="AM5830">
        <v>91.177104561699807</v>
      </c>
      <c r="AN5830">
        <v>1.0000000091088099</v>
      </c>
    </row>
    <row r="5831" spans="1:40" x14ac:dyDescent="0.25">
      <c r="A5831" t="str">
        <f>"20190303154257500"</f>
        <v>20190303154257500</v>
      </c>
      <c r="B5831" t="str">
        <f>"1551598977495879"</f>
        <v>1551598977495879</v>
      </c>
      <c r="C5831" t="s">
        <v>40</v>
      </c>
      <c r="D5831">
        <v>6.2310460000000001</v>
      </c>
      <c r="E5831">
        <v>0.53256320000000001</v>
      </c>
      <c r="F5831" t="s">
        <v>42</v>
      </c>
      <c r="G5831">
        <v>-422.03910000000002</v>
      </c>
      <c r="H5831">
        <v>1.0460119999999999</v>
      </c>
      <c r="I5831">
        <v>117.1866</v>
      </c>
      <c r="J5831">
        <v>-421.94970000000001</v>
      </c>
      <c r="K5831">
        <v>1.120269</v>
      </c>
      <c r="L5831">
        <v>117.8668</v>
      </c>
      <c r="M5831">
        <v>-4.0739070000000002E-2</v>
      </c>
      <c r="N5831">
        <v>-1.0762330000000001E-2</v>
      </c>
      <c r="O5831">
        <v>-0.999112</v>
      </c>
      <c r="P5831">
        <v>-1.967702E-2</v>
      </c>
      <c r="Q5831">
        <v>-0.1303763</v>
      </c>
      <c r="R5831">
        <v>-0.99126950000000003</v>
      </c>
      <c r="S5831">
        <v>-0.32388309999999998</v>
      </c>
      <c r="T5831">
        <v>-0.24311569999999999</v>
      </c>
      <c r="U5831">
        <v>-2.987717</v>
      </c>
      <c r="V5831">
        <v>-2.0772450000000001E-2</v>
      </c>
      <c r="W5831">
        <v>-0.1196924</v>
      </c>
      <c r="X5831">
        <v>0.99259370000000002</v>
      </c>
      <c r="Y5831">
        <v>6.6882659999999997E-2</v>
      </c>
      <c r="Z5831">
        <v>6.9969370000000003E-2</v>
      </c>
      <c r="AA5831">
        <v>0.99530450000000004</v>
      </c>
      <c r="AB5831">
        <v>23</v>
      </c>
      <c r="AC5831">
        <v>-8.9400000000011901E-2</v>
      </c>
      <c r="AD5831">
        <v>-7.4256999999999795E-2</v>
      </c>
      <c r="AE5831">
        <v>-0.68019999999999903</v>
      </c>
      <c r="AF5831">
        <v>6.0899978879363499E-2</v>
      </c>
      <c r="AG5831">
        <v>-7.4256999999999795E-2</v>
      </c>
      <c r="AH5831">
        <v>0.67536524000503595</v>
      </c>
      <c r="AI5831">
        <v>96.249363280034899</v>
      </c>
      <c r="AJ5831">
        <v>84.847380422890893</v>
      </c>
      <c r="AK5831">
        <v>0.68215915802953697</v>
      </c>
      <c r="AL5831">
        <v>96.874350384318802</v>
      </c>
      <c r="AM5831">
        <v>91.198879271657901</v>
      </c>
      <c r="AN5831">
        <v>1.00000000928822</v>
      </c>
    </row>
    <row r="5832" spans="1:40" x14ac:dyDescent="0.25">
      <c r="A5832" t="str">
        <f>"20190303154257522"</f>
        <v>20190303154257522</v>
      </c>
      <c r="B5832" t="str">
        <f>"1551598977516374"</f>
        <v>1551598977516374</v>
      </c>
      <c r="C5832" t="s">
        <v>40</v>
      </c>
      <c r="D5832">
        <v>6.2034050000000001</v>
      </c>
      <c r="E5832">
        <v>0.5323601</v>
      </c>
      <c r="F5832" t="s">
        <v>42</v>
      </c>
      <c r="G5832">
        <v>-422.04349999999999</v>
      </c>
      <c r="H5832">
        <v>1.042019</v>
      </c>
      <c r="I5832">
        <v>116.9816</v>
      </c>
      <c r="J5832">
        <v>-421.95940000000002</v>
      </c>
      <c r="K5832">
        <v>1.120387</v>
      </c>
      <c r="L5832">
        <v>117.6375</v>
      </c>
      <c r="M5832">
        <v>-4.0853189999999998E-2</v>
      </c>
      <c r="N5832">
        <v>-1.05776E-2</v>
      </c>
      <c r="O5832">
        <v>-0.99910909999999997</v>
      </c>
      <c r="P5832">
        <v>-1.8372409999999999E-2</v>
      </c>
      <c r="Q5832">
        <v>-0.1298435</v>
      </c>
      <c r="R5832">
        <v>-0.99136440000000003</v>
      </c>
      <c r="S5832">
        <v>-0.31594850000000002</v>
      </c>
      <c r="T5832">
        <v>-0.26394649999999997</v>
      </c>
      <c r="U5832">
        <v>-2.9854280000000002</v>
      </c>
      <c r="V5832">
        <v>-2.2156829999999999E-2</v>
      </c>
      <c r="W5832">
        <v>-0.1193486</v>
      </c>
      <c r="X5832">
        <v>0.99260510000000002</v>
      </c>
      <c r="Y5832">
        <v>6.4179139999999996E-2</v>
      </c>
      <c r="Z5832">
        <v>7.7105870000000007E-2</v>
      </c>
      <c r="AA5832">
        <v>0.99495509999999998</v>
      </c>
      <c r="AB5832">
        <v>23</v>
      </c>
      <c r="AC5832">
        <v>-8.4099999999977998E-2</v>
      </c>
      <c r="AD5832">
        <v>-7.8367999999999993E-2</v>
      </c>
      <c r="AE5832">
        <v>-0.65590000000000204</v>
      </c>
      <c r="AF5832">
        <v>5.6439976972864299E-2</v>
      </c>
      <c r="AG5832">
        <v>-7.8367999999999993E-2</v>
      </c>
      <c r="AH5832">
        <v>0.64966381531858597</v>
      </c>
      <c r="AI5832">
        <v>96.852707880627406</v>
      </c>
      <c r="AJ5832">
        <v>85.034857199797699</v>
      </c>
      <c r="AK5832">
        <v>0.65680292885994296</v>
      </c>
      <c r="AL5832">
        <v>96.854510288610697</v>
      </c>
      <c r="AM5832">
        <v>91.278738201672994</v>
      </c>
      <c r="AN5832">
        <v>0.999999948991808</v>
      </c>
    </row>
    <row r="5833" spans="1:40" x14ac:dyDescent="0.25">
      <c r="A5833" t="str">
        <f>"20190303154257544"</f>
        <v>20190303154257544</v>
      </c>
      <c r="B5833" t="str">
        <f>"1551598977535898"</f>
        <v>1551598977535898</v>
      </c>
      <c r="C5833" t="s">
        <v>40</v>
      </c>
      <c r="D5833">
        <v>6.1953290000000001</v>
      </c>
      <c r="E5833">
        <v>0.53246959999999999</v>
      </c>
      <c r="F5833" t="s">
        <v>42</v>
      </c>
      <c r="G5833">
        <v>-422.04950000000002</v>
      </c>
      <c r="H5833">
        <v>1.0423899999999999</v>
      </c>
      <c r="I5833">
        <v>116.7741</v>
      </c>
      <c r="J5833">
        <v>-421.96879999999999</v>
      </c>
      <c r="K5833">
        <v>1.120492</v>
      </c>
      <c r="L5833">
        <v>117.40730000000001</v>
      </c>
      <c r="M5833">
        <v>-4.0774110000000002E-2</v>
      </c>
      <c r="N5833">
        <v>-1.040905E-2</v>
      </c>
      <c r="O5833">
        <v>-0.99911450000000002</v>
      </c>
      <c r="P5833">
        <v>-1.673871E-2</v>
      </c>
      <c r="Q5833">
        <v>-0.12860819999999901</v>
      </c>
      <c r="R5833">
        <v>-0.99155470000000001</v>
      </c>
      <c r="S5833">
        <v>-0.31069950000000002</v>
      </c>
      <c r="T5833">
        <v>-0.26976549999999999</v>
      </c>
      <c r="U5833">
        <v>-2.9850460000000001</v>
      </c>
      <c r="V5833">
        <v>-2.3685790000000002E-2</v>
      </c>
      <c r="W5833">
        <v>-0.1182859</v>
      </c>
      <c r="X5833">
        <v>0.9926971</v>
      </c>
      <c r="Y5833">
        <v>6.2524609999999994E-2</v>
      </c>
      <c r="Z5833">
        <v>7.9215820000000006E-2</v>
      </c>
      <c r="AA5833">
        <v>0.99489470000000002</v>
      </c>
      <c r="AB5833">
        <v>23</v>
      </c>
      <c r="AC5833">
        <v>-8.0700000000035702E-2</v>
      </c>
      <c r="AD5833">
        <v>-7.8102000000000102E-2</v>
      </c>
      <c r="AE5833">
        <v>-0.63320000000000198</v>
      </c>
      <c r="AF5833">
        <v>5.4004829751669703E-2</v>
      </c>
      <c r="AG5833">
        <v>-7.8102000000000102E-2</v>
      </c>
      <c r="AH5833">
        <v>0.62658355997064796</v>
      </c>
      <c r="AI5833">
        <v>97.079145076576296</v>
      </c>
      <c r="AJ5833">
        <v>85.073887981245704</v>
      </c>
      <c r="AK5833">
        <v>0.63373764419197798</v>
      </c>
      <c r="AL5833">
        <v>96.793186956501899</v>
      </c>
      <c r="AM5833">
        <v>91.366820107755899</v>
      </c>
      <c r="AN5833">
        <v>1.00000005156757</v>
      </c>
    </row>
    <row r="5834" spans="1:40" x14ac:dyDescent="0.25">
      <c r="A5834" t="str">
        <f>"20190303154257567"</f>
        <v>20190303154257567</v>
      </c>
      <c r="B5834" t="str">
        <f>"1551598977556390"</f>
        <v>1551598977556390</v>
      </c>
      <c r="C5834" t="s">
        <v>40</v>
      </c>
      <c r="D5834">
        <v>6.206969</v>
      </c>
      <c r="E5834">
        <v>0.53250319999999995</v>
      </c>
      <c r="F5834" t="s">
        <v>42</v>
      </c>
      <c r="G5834">
        <v>-422.05529999999999</v>
      </c>
      <c r="H5834">
        <v>1.044713</v>
      </c>
      <c r="I5834">
        <v>116.56529999999999</v>
      </c>
      <c r="J5834">
        <v>-421.97829999999999</v>
      </c>
      <c r="K5834">
        <v>1.120608</v>
      </c>
      <c r="L5834">
        <v>117.16970000000001</v>
      </c>
      <c r="M5834">
        <v>-4.0484109999999997E-2</v>
      </c>
      <c r="N5834">
        <v>-1.0255490000000001E-2</v>
      </c>
      <c r="O5834">
        <v>-0.99912769999999995</v>
      </c>
      <c r="P5834">
        <v>-1.5689370000000001E-2</v>
      </c>
      <c r="Q5834">
        <v>-0.1270821</v>
      </c>
      <c r="R5834">
        <v>-0.99176839999999999</v>
      </c>
      <c r="S5834">
        <v>-0.30645749999999999</v>
      </c>
      <c r="T5834">
        <v>-0.26871440000000002</v>
      </c>
      <c r="U5834">
        <v>-2.985535</v>
      </c>
      <c r="V5834">
        <v>-2.442157E-2</v>
      </c>
      <c r="W5834">
        <v>-0.1169177</v>
      </c>
      <c r="X5834">
        <v>0.99284130000000004</v>
      </c>
      <c r="Y5834">
        <v>6.140172E-2</v>
      </c>
      <c r="Z5834">
        <v>7.9018379999999999E-2</v>
      </c>
      <c r="AA5834">
        <v>0.99498030000000004</v>
      </c>
      <c r="AB5834">
        <v>23</v>
      </c>
      <c r="AC5834">
        <v>-7.6999999999998098E-2</v>
      </c>
      <c r="AD5834">
        <v>-7.5895000000000004E-2</v>
      </c>
      <c r="AE5834">
        <v>-0.60440000000001204</v>
      </c>
      <c r="AF5834">
        <v>5.1665338762516902E-2</v>
      </c>
      <c r="AG5834">
        <v>-7.5895000000000004E-2</v>
      </c>
      <c r="AH5834">
        <v>0.59774713010922398</v>
      </c>
      <c r="AI5834">
        <v>97.209440119106802</v>
      </c>
      <c r="AJ5834">
        <v>85.060006254561898</v>
      </c>
      <c r="AK5834">
        <v>0.60475696755660402</v>
      </c>
      <c r="AL5834">
        <v>96.714247410340406</v>
      </c>
      <c r="AM5834">
        <v>91.409057811104105</v>
      </c>
      <c r="AN5834">
        <v>1.00000000432012</v>
      </c>
    </row>
    <row r="5835" spans="1:40" x14ac:dyDescent="0.25">
      <c r="A5835" t="str">
        <f>"20190303154257588"</f>
        <v>20190303154257588</v>
      </c>
      <c r="B5835" t="str">
        <f>"1551598977585670"</f>
        <v>1551598977585670</v>
      </c>
      <c r="C5835" t="s">
        <v>40</v>
      </c>
      <c r="D5835">
        <v>6.210369</v>
      </c>
      <c r="E5835">
        <v>0.53260289999999999</v>
      </c>
      <c r="F5835" t="s">
        <v>42</v>
      </c>
      <c r="G5835">
        <v>-422.06150000000002</v>
      </c>
      <c r="H5835">
        <v>1.047777</v>
      </c>
      <c r="I5835">
        <v>116.3549</v>
      </c>
      <c r="J5835">
        <v>-421.9871</v>
      </c>
      <c r="K5835">
        <v>1.1207320000000001</v>
      </c>
      <c r="L5835">
        <v>116.9444</v>
      </c>
      <c r="M5835">
        <v>-4.0020470000000002E-2</v>
      </c>
      <c r="N5835">
        <v>-1.0129010000000001E-2</v>
      </c>
      <c r="O5835">
        <v>-0.99914780000000003</v>
      </c>
      <c r="P5835">
        <v>-1.465675E-2</v>
      </c>
      <c r="Q5835">
        <v>-0.1267268</v>
      </c>
      <c r="R5835">
        <v>-0.99182990000000004</v>
      </c>
      <c r="S5835">
        <v>-0.30371090000000001</v>
      </c>
      <c r="T5835">
        <v>-0.26700750000000001</v>
      </c>
      <c r="U5835">
        <v>-2.9858859999999998</v>
      </c>
      <c r="V5835">
        <v>-2.4960510000000002E-2</v>
      </c>
      <c r="W5835">
        <v>-0.1166954</v>
      </c>
      <c r="X5835">
        <v>0.99285409999999996</v>
      </c>
      <c r="Y5835">
        <v>6.0951619999999998E-2</v>
      </c>
      <c r="Z5835">
        <v>7.857857E-2</v>
      </c>
      <c r="AA5835">
        <v>0.99504289999999995</v>
      </c>
      <c r="AB5835">
        <v>23</v>
      </c>
      <c r="AC5835">
        <v>-7.4400000000025501E-2</v>
      </c>
      <c r="AD5835">
        <v>-7.2955000000000103E-2</v>
      </c>
      <c r="AE5835">
        <v>-0.58950000000000102</v>
      </c>
      <c r="AF5835">
        <v>4.9993429228856003E-2</v>
      </c>
      <c r="AG5835">
        <v>-7.2955000000000103E-2</v>
      </c>
      <c r="AH5835">
        <v>0.58321297398238303</v>
      </c>
      <c r="AI5835">
        <v>97.104393347527804</v>
      </c>
      <c r="AJ5835">
        <v>85.100542242306503</v>
      </c>
      <c r="AK5835">
        <v>0.58988062183160195</v>
      </c>
      <c r="AL5835">
        <v>96.7014224377006</v>
      </c>
      <c r="AM5835">
        <v>91.440121662816907</v>
      </c>
      <c r="AN5835">
        <v>1.0000000536637099</v>
      </c>
    </row>
    <row r="5836" spans="1:40" x14ac:dyDescent="0.25">
      <c r="A5836" t="str">
        <f>"20190303154257612"</f>
        <v>20190303154257612</v>
      </c>
      <c r="B5836" t="str">
        <f>"1551598977606166"</f>
        <v>1551598977606166</v>
      </c>
      <c r="C5836" t="s">
        <v>40</v>
      </c>
      <c r="D5836">
        <v>6.0886399999999998</v>
      </c>
      <c r="E5836">
        <v>0.53280369999999899</v>
      </c>
      <c r="F5836" t="s">
        <v>42</v>
      </c>
      <c r="G5836">
        <v>-422.06810000000002</v>
      </c>
      <c r="H5836">
        <v>1.048459</v>
      </c>
      <c r="I5836">
        <v>116.146</v>
      </c>
      <c r="J5836">
        <v>-421.99599999999998</v>
      </c>
      <c r="K5836">
        <v>1.12086</v>
      </c>
      <c r="L5836">
        <v>116.709</v>
      </c>
      <c r="M5836">
        <v>-3.9352539999999998E-2</v>
      </c>
      <c r="N5836">
        <v>-1.0013970000000001E-2</v>
      </c>
      <c r="O5836">
        <v>-0.99917529999999999</v>
      </c>
      <c r="P5836">
        <v>-1.363343E-2</v>
      </c>
      <c r="Q5836">
        <v>-0.1266929</v>
      </c>
      <c r="R5836">
        <v>-0.99184839999999996</v>
      </c>
      <c r="S5836">
        <v>-0.30163570000000001</v>
      </c>
      <c r="T5836">
        <v>-0.27042840000000001</v>
      </c>
      <c r="U5836">
        <v>-2.985703</v>
      </c>
      <c r="V5836">
        <v>-2.5282180000000001E-2</v>
      </c>
      <c r="W5836">
        <v>-0.1167845</v>
      </c>
      <c r="X5836">
        <v>0.99283540000000003</v>
      </c>
      <c r="Y5836">
        <v>6.093051E-2</v>
      </c>
      <c r="Z5836">
        <v>7.9832379999999994E-2</v>
      </c>
      <c r="AA5836">
        <v>0.9949443</v>
      </c>
      <c r="AB5836">
        <v>23</v>
      </c>
      <c r="AC5836">
        <v>-7.21000000000344E-2</v>
      </c>
      <c r="AD5836">
        <v>-7.2400999999999896E-2</v>
      </c>
      <c r="AE5836">
        <v>-0.56300000000000205</v>
      </c>
      <c r="AF5836">
        <v>4.9088843765945599E-2</v>
      </c>
      <c r="AG5836">
        <v>-7.2400999999999896E-2</v>
      </c>
      <c r="AH5836">
        <v>0.55634909434509805</v>
      </c>
      <c r="AI5836">
        <v>97.386192959903994</v>
      </c>
      <c r="AJ5836">
        <v>84.957628864208502</v>
      </c>
      <c r="AK5836">
        <v>0.56318374813367</v>
      </c>
      <c r="AL5836">
        <v>96.706563202568603</v>
      </c>
      <c r="AM5836">
        <v>91.458700231022206</v>
      </c>
      <c r="AN5836">
        <v>0.99999996977948002</v>
      </c>
    </row>
    <row r="5837" spans="1:40" x14ac:dyDescent="0.25">
      <c r="A5837" t="str">
        <f>"20190303154257634"</f>
        <v>20190303154257634</v>
      </c>
      <c r="B5837" t="str">
        <f>"1551598977625690"</f>
        <v>1551598977625690</v>
      </c>
      <c r="C5837" t="s">
        <v>40</v>
      </c>
      <c r="D5837">
        <v>6.0127839999999999</v>
      </c>
      <c r="E5837">
        <v>0.50815929999999998</v>
      </c>
      <c r="F5837" t="s">
        <v>42</v>
      </c>
      <c r="G5837">
        <v>-422.07409999999999</v>
      </c>
      <c r="H5837">
        <v>1.051288</v>
      </c>
      <c r="I5837">
        <v>115.9348</v>
      </c>
      <c r="J5837">
        <v>-422.00450000000001</v>
      </c>
      <c r="K5837">
        <v>1.120994</v>
      </c>
      <c r="L5837">
        <v>116.4738</v>
      </c>
      <c r="M5837">
        <v>-3.8510450000000002E-2</v>
      </c>
      <c r="N5837">
        <v>-9.9139190000000002E-3</v>
      </c>
      <c r="O5837">
        <v>-0.99920920000000002</v>
      </c>
      <c r="P5837">
        <v>-1.2087209999999999E-2</v>
      </c>
      <c r="Q5837">
        <v>-0.12692439999999999</v>
      </c>
      <c r="R5837">
        <v>-0.99183880000000002</v>
      </c>
      <c r="S5837">
        <v>-0.30010989999999999</v>
      </c>
      <c r="T5837">
        <v>-0.26851960000000002</v>
      </c>
      <c r="U5837">
        <v>-2.986221</v>
      </c>
      <c r="V5837">
        <v>-2.5952909999999999E-2</v>
      </c>
      <c r="W5837">
        <v>-0.11712500000000001</v>
      </c>
      <c r="X5837">
        <v>0.99277800000000005</v>
      </c>
      <c r="Y5837">
        <v>6.1255869999999997E-2</v>
      </c>
      <c r="Z5837">
        <v>7.9292630000000003E-2</v>
      </c>
      <c r="AA5837">
        <v>0.9949675</v>
      </c>
      <c r="AB5837">
        <v>23</v>
      </c>
      <c r="AC5837">
        <v>-6.95999999999799E-2</v>
      </c>
      <c r="AD5837">
        <v>-6.9706000000000004E-2</v>
      </c>
      <c r="AE5837">
        <v>-0.53900000000000103</v>
      </c>
      <c r="AF5837">
        <v>4.8000579506882197E-2</v>
      </c>
      <c r="AG5837">
        <v>-6.9706000000000004E-2</v>
      </c>
      <c r="AH5837">
        <v>0.53252032282966899</v>
      </c>
      <c r="AI5837">
        <v>97.427743527348198</v>
      </c>
      <c r="AJ5837">
        <v>84.849364220390896</v>
      </c>
      <c r="AK5837">
        <v>0.539203928301353</v>
      </c>
      <c r="AL5837">
        <v>96.726207103706002</v>
      </c>
      <c r="AM5837">
        <v>91.497468332952295</v>
      </c>
      <c r="AN5837">
        <v>0.99999998822323399</v>
      </c>
    </row>
    <row r="5838" spans="1:40" x14ac:dyDescent="0.25">
      <c r="A5838" t="str">
        <f>"20190303154257657"</f>
        <v>20190303154257657</v>
      </c>
      <c r="B5838" t="str">
        <f>"1551598977646182"</f>
        <v>1551598977646182</v>
      </c>
      <c r="C5838" t="s">
        <v>40</v>
      </c>
      <c r="D5838">
        <v>5.992902</v>
      </c>
      <c r="E5838">
        <v>0.50373059999999903</v>
      </c>
      <c r="F5838" t="s">
        <v>41</v>
      </c>
      <c r="G5838">
        <v>-422.59280000000001</v>
      </c>
      <c r="H5838" s="1">
        <v>-4.3215470000000003E-6</v>
      </c>
      <c r="I5838">
        <v>98.334360000000004</v>
      </c>
      <c r="J5838">
        <v>-422.0127</v>
      </c>
      <c r="K5838">
        <v>1.1211009999999999</v>
      </c>
      <c r="L5838">
        <v>116.2329</v>
      </c>
      <c r="M5838">
        <v>-3.7484620000000003E-2</v>
      </c>
      <c r="N5838">
        <v>-9.825617E-3</v>
      </c>
      <c r="O5838">
        <v>-0.99924900000000005</v>
      </c>
      <c r="P5838">
        <v>-1.095485E-2</v>
      </c>
      <c r="Q5838">
        <v>-0.12705839999999999</v>
      </c>
      <c r="R5838">
        <v>-0.99183460000000001</v>
      </c>
      <c r="S5838">
        <v>-9.7290039999999994E-2</v>
      </c>
      <c r="T5838">
        <v>-0.1853834</v>
      </c>
      <c r="U5838">
        <v>-2.9997859999999998</v>
      </c>
      <c r="V5838">
        <v>-2.6032670000000001E-2</v>
      </c>
      <c r="W5838">
        <v>-0.117354399999999</v>
      </c>
      <c r="X5838">
        <v>0.99274890000000005</v>
      </c>
      <c r="Y5838">
        <v>-5.1159889999999996E-3</v>
      </c>
      <c r="Z5838">
        <v>5.1795790000000001E-2</v>
      </c>
      <c r="AA5838">
        <v>0.99864459999999999</v>
      </c>
      <c r="AB5838">
        <v>23</v>
      </c>
      <c r="AC5838">
        <v>-0.58010000000001505</v>
      </c>
      <c r="AD5838">
        <v>-1.1211053215469999</v>
      </c>
      <c r="AE5838">
        <v>-17.898539999999901</v>
      </c>
      <c r="AF5838">
        <v>-9.0903748183723806E-2</v>
      </c>
      <c r="AG5838">
        <v>-1.1211053215469999</v>
      </c>
      <c r="AH5838">
        <v>17.837795085732999</v>
      </c>
      <c r="AI5838">
        <v>93.596262538249206</v>
      </c>
      <c r="AJ5838">
        <v>90.291984295153</v>
      </c>
      <c r="AK5838">
        <v>17.873222265557899</v>
      </c>
      <c r="AL5838">
        <v>96.739441496555898</v>
      </c>
      <c r="AM5838">
        <v>91.502112344332204</v>
      </c>
      <c r="AN5838">
        <v>1.0000000667789399</v>
      </c>
    </row>
    <row r="5839" spans="1:40" x14ac:dyDescent="0.25">
      <c r="A5839" t="str">
        <f>"20190303154257678"</f>
        <v>20190303154257678</v>
      </c>
      <c r="B5839" t="str">
        <f>"1551598977676439"</f>
        <v>1551598977676439</v>
      </c>
      <c r="C5839" t="s">
        <v>40</v>
      </c>
      <c r="D5839">
        <v>5.9528540000000003</v>
      </c>
      <c r="E5839">
        <v>0.50217309999999904</v>
      </c>
      <c r="F5839" t="s">
        <v>41</v>
      </c>
      <c r="G5839">
        <v>-422.39170000000001</v>
      </c>
      <c r="H5839" s="1">
        <v>-3.6579990000000001E-6</v>
      </c>
      <c r="I5839">
        <v>96.632599999999996</v>
      </c>
      <c r="J5839">
        <v>-422.02</v>
      </c>
      <c r="K5839">
        <v>1.121176</v>
      </c>
      <c r="L5839">
        <v>116.00879999999999</v>
      </c>
      <c r="M5839">
        <v>-3.6418069999999997E-2</v>
      </c>
      <c r="N5839">
        <v>-9.7547729999999996E-3</v>
      </c>
      <c r="O5839">
        <v>-0.99928939999999999</v>
      </c>
      <c r="P5839">
        <v>-9.6141569999999999E-3</v>
      </c>
      <c r="Q5839">
        <v>-0.12687180000000001</v>
      </c>
      <c r="R5839">
        <v>-0.99187309999999995</v>
      </c>
      <c r="S5839">
        <v>-5.8044430000000001E-2</v>
      </c>
      <c r="T5839">
        <v>-0.17171169999999999</v>
      </c>
      <c r="U5839">
        <v>-3.0020449999999999</v>
      </c>
      <c r="V5839">
        <v>-2.62948E-2</v>
      </c>
      <c r="W5839">
        <v>-0.1172431</v>
      </c>
      <c r="X5839">
        <v>0.9927551</v>
      </c>
      <c r="Y5839">
        <v>-1.7110529999999999E-2</v>
      </c>
      <c r="Z5839">
        <v>4.7300500000000002E-2</v>
      </c>
      <c r="AA5839">
        <v>0.99873409999999996</v>
      </c>
      <c r="AB5839">
        <v>23</v>
      </c>
      <c r="AC5839">
        <v>-0.371700000000032</v>
      </c>
      <c r="AD5839">
        <v>-1.1211796579990001</v>
      </c>
      <c r="AE5839">
        <v>-19.376200000000001</v>
      </c>
      <c r="AF5839">
        <v>-0.33310880762748701</v>
      </c>
      <c r="AG5839">
        <v>-1.1211796579990001</v>
      </c>
      <c r="AH5839">
        <v>19.3122449243753</v>
      </c>
      <c r="AI5839">
        <v>93.322105523606993</v>
      </c>
      <c r="AJ5839">
        <v>90.988172864112002</v>
      </c>
      <c r="AK5839">
        <v>19.3476305867744</v>
      </c>
      <c r="AL5839">
        <v>96.733020432079101</v>
      </c>
      <c r="AM5839">
        <v>91.517221014455998</v>
      </c>
      <c r="AN5839">
        <v>1.00000002479032</v>
      </c>
    </row>
    <row r="5840" spans="1:40" x14ac:dyDescent="0.25">
      <c r="A5840" t="str">
        <f>"20190303154257694"</f>
        <v>20190303154257694</v>
      </c>
      <c r="B5840" t="str">
        <f>"1551598977686200"</f>
        <v>1551598977686200</v>
      </c>
      <c r="C5840" t="s">
        <v>40</v>
      </c>
      <c r="D5840">
        <v>5.9655809999999896</v>
      </c>
      <c r="E5840">
        <v>0.50195239999999997</v>
      </c>
      <c r="F5840" t="s">
        <v>41</v>
      </c>
      <c r="G5840">
        <v>-422.30939999999998</v>
      </c>
      <c r="H5840" s="1">
        <v>-2.9751710000000002E-6</v>
      </c>
      <c r="I5840">
        <v>95.091920000000002</v>
      </c>
      <c r="J5840">
        <v>-422.02539999999999</v>
      </c>
      <c r="K5840">
        <v>1.1212070000000001</v>
      </c>
      <c r="L5840">
        <v>115.8356</v>
      </c>
      <c r="M5840">
        <v>-3.5547229999999999E-2</v>
      </c>
      <c r="N5840">
        <v>-9.7059020000000006E-3</v>
      </c>
      <c r="O5840">
        <v>-0.99932089999999996</v>
      </c>
      <c r="P5840">
        <v>-8.4816089999999993E-3</v>
      </c>
      <c r="Q5840">
        <v>-0.12654550000000001</v>
      </c>
      <c r="R5840">
        <v>-0.99192460000000005</v>
      </c>
      <c r="S5840">
        <v>-4.1564940000000002E-2</v>
      </c>
      <c r="T5840">
        <v>-0.160997</v>
      </c>
      <c r="U5840">
        <v>-3.0035859999999999</v>
      </c>
      <c r="V5840">
        <v>-2.6555079999999998E-2</v>
      </c>
      <c r="W5840">
        <v>-0.1169678</v>
      </c>
      <c r="X5840">
        <v>0.99278060000000001</v>
      </c>
      <c r="Y5840">
        <v>-2.1723719999999998E-2</v>
      </c>
      <c r="Z5840">
        <v>4.3773069999999997E-2</v>
      </c>
      <c r="AA5840">
        <v>0.99880530000000001</v>
      </c>
      <c r="AB5840">
        <v>24</v>
      </c>
      <c r="AC5840">
        <v>-0.28399999999999098</v>
      </c>
      <c r="AD5840">
        <v>-1.1212099751710001</v>
      </c>
      <c r="AE5840">
        <v>-20.743680000000001</v>
      </c>
      <c r="AF5840">
        <v>-0.45227351954318101</v>
      </c>
      <c r="AG5840">
        <v>-1.1212099751710001</v>
      </c>
      <c r="AH5840">
        <v>20.680259041990201</v>
      </c>
      <c r="AI5840">
        <v>93.102594337997402</v>
      </c>
      <c r="AJ5840">
        <v>91.252848604515094</v>
      </c>
      <c r="AK5840">
        <v>20.715568473704099</v>
      </c>
      <c r="AL5840">
        <v>96.717137930593196</v>
      </c>
      <c r="AM5840">
        <v>91.532192818356506</v>
      </c>
      <c r="AN5840">
        <v>0.99999997912350302</v>
      </c>
    </row>
    <row r="5841" spans="1:40" x14ac:dyDescent="0.25">
      <c r="A5841" t="str">
        <f>"20190303154257712"</f>
        <v>20190303154257712</v>
      </c>
      <c r="B5841" t="str">
        <f>"1551598977705718"</f>
        <v>1551598977705718</v>
      </c>
      <c r="C5841" t="s">
        <v>40</v>
      </c>
      <c r="D5841">
        <v>5.9591560000000001</v>
      </c>
      <c r="E5841">
        <v>0.50154880000000002</v>
      </c>
      <c r="F5841" t="s">
        <v>41</v>
      </c>
      <c r="G5841">
        <v>-422.28480000000002</v>
      </c>
      <c r="H5841" s="1">
        <v>-2.6866689999999998E-6</v>
      </c>
      <c r="I5841">
        <v>94.434709999999995</v>
      </c>
      <c r="J5841">
        <v>-422.0308</v>
      </c>
      <c r="K5841">
        <v>1.121218</v>
      </c>
      <c r="L5841">
        <v>115.6558</v>
      </c>
      <c r="M5841">
        <v>-3.4613110000000002E-2</v>
      </c>
      <c r="N5841">
        <v>-9.6611179999999998E-3</v>
      </c>
      <c r="O5841">
        <v>-0.99935410000000002</v>
      </c>
      <c r="P5841">
        <v>-6.9856559999999998E-3</v>
      </c>
      <c r="Q5841">
        <v>-0.12664690000000001</v>
      </c>
      <c r="R5841">
        <v>-0.99192340000000001</v>
      </c>
      <c r="S5841">
        <v>-3.6407469999999997E-2</v>
      </c>
      <c r="T5841">
        <v>-0.15738389999999999</v>
      </c>
      <c r="U5841">
        <v>-3.0040439999999999</v>
      </c>
      <c r="V5841">
        <v>-2.7118880000000001E-2</v>
      </c>
      <c r="W5841">
        <v>-0.117115899999999</v>
      </c>
      <c r="X5841">
        <v>0.99274790000000002</v>
      </c>
      <c r="Y5841">
        <v>-2.250512E-2</v>
      </c>
      <c r="Z5841">
        <v>4.2615100000000003E-2</v>
      </c>
      <c r="AA5841">
        <v>0.99883809999999995</v>
      </c>
      <c r="AB5841">
        <v>24</v>
      </c>
      <c r="AC5841">
        <v>-0.25400000000001899</v>
      </c>
      <c r="AD5841">
        <v>-1.121220686669</v>
      </c>
      <c r="AE5841">
        <v>-21.22109</v>
      </c>
      <c r="AF5841">
        <v>-0.479376394790689</v>
      </c>
      <c r="AG5841">
        <v>-1.121220686669</v>
      </c>
      <c r="AH5841">
        <v>21.158109342842401</v>
      </c>
      <c r="AI5841">
        <v>93.032631276906997</v>
      </c>
      <c r="AJ5841">
        <v>91.297920595880001</v>
      </c>
      <c r="AK5841">
        <v>21.193218927755499</v>
      </c>
      <c r="AL5841">
        <v>96.725682152275695</v>
      </c>
      <c r="AM5841">
        <v>91.564758839286498</v>
      </c>
      <c r="AN5841">
        <v>0.99999998031983695</v>
      </c>
    </row>
    <row r="5842" spans="1:40" x14ac:dyDescent="0.25">
      <c r="A5842" t="str">
        <f>"20190303154257734"</f>
        <v>20190303154257734</v>
      </c>
      <c r="B5842" t="str">
        <f>"1551598977726214"</f>
        <v>1551598977726214</v>
      </c>
      <c r="C5842" t="s">
        <v>40</v>
      </c>
      <c r="D5842">
        <v>5.9442550000000001</v>
      </c>
      <c r="E5842">
        <v>0.50104979999999999</v>
      </c>
      <c r="F5842" t="s">
        <v>41</v>
      </c>
      <c r="G5842">
        <v>-422.24009999999998</v>
      </c>
      <c r="H5842" s="1">
        <v>-2.306704E-6</v>
      </c>
      <c r="I5842">
        <v>93.576750000000004</v>
      </c>
      <c r="J5842">
        <v>-422.0376</v>
      </c>
      <c r="K5842">
        <v>1.121218</v>
      </c>
      <c r="L5842">
        <v>115.4226</v>
      </c>
      <c r="M5842">
        <v>-3.3388630000000002E-2</v>
      </c>
      <c r="N5842">
        <v>-9.6094979999999993E-3</v>
      </c>
      <c r="O5842">
        <v>-0.99939630000000002</v>
      </c>
      <c r="P5842">
        <v>-4.6064900000000004E-3</v>
      </c>
      <c r="Q5842">
        <v>-0.12602240000000001</v>
      </c>
      <c r="R5842">
        <v>-0.99201689999999998</v>
      </c>
      <c r="S5842">
        <v>-2.8472899999999999E-2</v>
      </c>
      <c r="T5842">
        <v>-0.15258729999999901</v>
      </c>
      <c r="U5842">
        <v>-3.0047450000000002</v>
      </c>
      <c r="V5842">
        <v>-2.828671E-2</v>
      </c>
      <c r="W5842">
        <v>-0.1165445</v>
      </c>
      <c r="X5842">
        <v>0.99278259999999996</v>
      </c>
      <c r="Y5842">
        <v>-2.391946E-2</v>
      </c>
      <c r="Z5842">
        <v>4.1068019999999997E-2</v>
      </c>
      <c r="AA5842">
        <v>0.99887000000000004</v>
      </c>
      <c r="AB5842">
        <v>24</v>
      </c>
      <c r="AC5842">
        <v>-0.202499999999986</v>
      </c>
      <c r="AD5842">
        <v>-1.1212203067039901</v>
      </c>
      <c r="AE5842">
        <v>-21.845849999999999</v>
      </c>
      <c r="AF5842">
        <v>-0.52566498603034095</v>
      </c>
      <c r="AG5842">
        <v>-1.1212203067039901</v>
      </c>
      <c r="AH5842">
        <v>21.783054738578599</v>
      </c>
      <c r="AI5842">
        <v>92.945679631335196</v>
      </c>
      <c r="AJ5842">
        <v>91.382383743136998</v>
      </c>
      <c r="AK5842">
        <v>21.818224776493999</v>
      </c>
      <c r="AL5842">
        <v>96.692717300242407</v>
      </c>
      <c r="AM5842">
        <v>91.632049898274104</v>
      </c>
      <c r="AN5842">
        <v>1.00000002465281</v>
      </c>
    </row>
    <row r="5843" spans="1:40" x14ac:dyDescent="0.25">
      <c r="A5843" t="str">
        <f>"20190303154257757"</f>
        <v>20190303154257757</v>
      </c>
      <c r="B5843" t="str">
        <f>"1551598977745735"</f>
        <v>1551598977745735</v>
      </c>
      <c r="C5843" t="s">
        <v>40</v>
      </c>
      <c r="D5843">
        <v>5.9520200000000001</v>
      </c>
      <c r="E5843">
        <v>0.50062390000000001</v>
      </c>
      <c r="F5843" t="s">
        <v>41</v>
      </c>
      <c r="G5843">
        <v>-422.16860000000003</v>
      </c>
      <c r="H5843" s="1">
        <v>-1.9494989999999999E-6</v>
      </c>
      <c r="I5843">
        <v>92.788399999999996</v>
      </c>
      <c r="J5843">
        <v>-422.04419999999999</v>
      </c>
      <c r="K5843">
        <v>1.1212120000000001</v>
      </c>
      <c r="L5843">
        <v>115.1848</v>
      </c>
      <c r="M5843">
        <v>-3.2150280000000003E-2</v>
      </c>
      <c r="N5843">
        <v>-9.5645420000000005E-3</v>
      </c>
      <c r="O5843">
        <v>-0.99943740000000003</v>
      </c>
      <c r="P5843">
        <v>-2.2944520000000002E-3</v>
      </c>
      <c r="Q5843">
        <v>-0.1243089</v>
      </c>
      <c r="R5843">
        <v>-0.99224109999999999</v>
      </c>
      <c r="S5843">
        <v>-1.7395020000000001E-2</v>
      </c>
      <c r="T5843">
        <v>-0.14886489999999999</v>
      </c>
      <c r="U5843">
        <v>-3.0051570000000001</v>
      </c>
      <c r="V5843">
        <v>-2.93841E-2</v>
      </c>
      <c r="W5843">
        <v>-0.1148749</v>
      </c>
      <c r="X5843">
        <v>0.99294530000000003</v>
      </c>
      <c r="Y5843">
        <v>-2.6363060000000001E-2</v>
      </c>
      <c r="Z5843">
        <v>3.9874239999999998E-2</v>
      </c>
      <c r="AA5843">
        <v>0.99885679999999999</v>
      </c>
      <c r="AB5843">
        <v>24</v>
      </c>
      <c r="AC5843">
        <v>-0.124400000000036</v>
      </c>
      <c r="AD5843">
        <v>-1.1212139494990001</v>
      </c>
      <c r="AE5843">
        <v>-22.3964</v>
      </c>
      <c r="AF5843">
        <v>-0.59425839694458304</v>
      </c>
      <c r="AG5843">
        <v>-1.1212139494990001</v>
      </c>
      <c r="AH5843">
        <v>22.3328512275903</v>
      </c>
      <c r="AI5843">
        <v>92.873088672976493</v>
      </c>
      <c r="AJ5843">
        <v>91.524232851746007</v>
      </c>
      <c r="AK5843">
        <v>22.368873635401702</v>
      </c>
      <c r="AL5843">
        <v>96.596409405681399</v>
      </c>
      <c r="AM5843">
        <v>91.695051795064202</v>
      </c>
      <c r="AN5843">
        <v>1.00000001838745</v>
      </c>
    </row>
    <row r="5844" spans="1:40" x14ac:dyDescent="0.25">
      <c r="A5844" t="str">
        <f>"20190303154257770"</f>
        <v>20190303154257770</v>
      </c>
      <c r="B5844" t="str">
        <f>"1551598977766231"</f>
        <v>1551598977766231</v>
      </c>
      <c r="C5844" t="s">
        <v>40</v>
      </c>
      <c r="D5844">
        <v>5.9243050000000004</v>
      </c>
      <c r="E5844">
        <v>0.5003263</v>
      </c>
      <c r="F5844" t="s">
        <v>41</v>
      </c>
      <c r="G5844">
        <v>-422.09780000000001</v>
      </c>
      <c r="H5844" s="1">
        <v>-1.427035E-6</v>
      </c>
      <c r="I5844">
        <v>91.614459999999994</v>
      </c>
      <c r="J5844">
        <v>-422.04790000000003</v>
      </c>
      <c r="K5844">
        <v>1.1212009999999999</v>
      </c>
      <c r="L5844">
        <v>115.04349999999999</v>
      </c>
      <c r="M5844">
        <v>-3.1431679999999997E-2</v>
      </c>
      <c r="N5844">
        <v>-9.5414929999999998E-3</v>
      </c>
      <c r="O5844">
        <v>-0.99946069999999998</v>
      </c>
      <c r="P5844">
        <v>-1.1751559999999999E-3</v>
      </c>
      <c r="Q5844">
        <v>-0.12290719999999999</v>
      </c>
      <c r="R5844">
        <v>-0.99241789999999996</v>
      </c>
      <c r="S5844">
        <v>-6.8359379999999997E-3</v>
      </c>
      <c r="T5844">
        <v>-0.14296900000000001</v>
      </c>
      <c r="U5844">
        <v>-3.0055239999999999</v>
      </c>
      <c r="V5844">
        <v>-2.980172E-2</v>
      </c>
      <c r="W5844">
        <v>-0.1134944</v>
      </c>
      <c r="X5844">
        <v>0.99309159999999996</v>
      </c>
      <c r="Y5844">
        <v>-2.915338E-2</v>
      </c>
      <c r="Z5844">
        <v>3.7937129999999999E-2</v>
      </c>
      <c r="AA5844">
        <v>0.99885480000000004</v>
      </c>
      <c r="AB5844">
        <v>24</v>
      </c>
      <c r="AC5844">
        <v>-4.98999999999796E-2</v>
      </c>
      <c r="AD5844">
        <v>-1.1212024270350001</v>
      </c>
      <c r="AE5844">
        <v>-23.429040000000001</v>
      </c>
      <c r="AF5844">
        <v>-0.68500328301283497</v>
      </c>
      <c r="AG5844">
        <v>-1.1212024270350001</v>
      </c>
      <c r="AH5844">
        <v>23.3655215316107</v>
      </c>
      <c r="AI5844">
        <v>92.746071955446595</v>
      </c>
      <c r="AJ5844">
        <v>91.679250284049104</v>
      </c>
      <c r="AK5844">
        <v>23.402434079050298</v>
      </c>
      <c r="AL5844">
        <v>96.516791807188795</v>
      </c>
      <c r="AM5844">
        <v>91.718875169818702</v>
      </c>
      <c r="AN5844">
        <v>1.0000000236684301</v>
      </c>
    </row>
    <row r="5845" spans="1:40" x14ac:dyDescent="0.25">
      <c r="A5845" t="str">
        <f>"20190303154257790"</f>
        <v>20190303154257790</v>
      </c>
      <c r="B5845" t="str">
        <f>"1551598977785750"</f>
        <v>1551598977785750</v>
      </c>
      <c r="C5845" t="s">
        <v>40</v>
      </c>
      <c r="D5845">
        <v>5.9709669999999999</v>
      </c>
      <c r="E5845">
        <v>0.50001759999999995</v>
      </c>
      <c r="F5845" t="s">
        <v>41</v>
      </c>
      <c r="G5845">
        <v>-422.06029999999998</v>
      </c>
      <c r="H5845" s="1">
        <v>-1.0333769999999999E-6</v>
      </c>
      <c r="I5845">
        <v>90.720100000000002</v>
      </c>
      <c r="J5845">
        <v>-422.05349999999999</v>
      </c>
      <c r="K5845">
        <v>1.1211770000000001</v>
      </c>
      <c r="L5845">
        <v>114.83069999999999</v>
      </c>
      <c r="M5845">
        <v>-3.0372659999999999E-2</v>
      </c>
      <c r="N5845">
        <v>-9.5100940000000002E-3</v>
      </c>
      <c r="O5845">
        <v>-0.99949370000000004</v>
      </c>
      <c r="P5845" s="1">
        <v>-3.9916600000000003E-5</v>
      </c>
      <c r="Q5845">
        <v>-0.121958399999999</v>
      </c>
      <c r="R5845">
        <v>-0.99253559999999996</v>
      </c>
      <c r="S5845">
        <v>-1.525879E-3</v>
      </c>
      <c r="T5845">
        <v>-0.1385527</v>
      </c>
      <c r="U5845">
        <v>-3.0057680000000002</v>
      </c>
      <c r="V5845">
        <v>-2.9896269999999999E-2</v>
      </c>
      <c r="W5845">
        <v>-0.11257440000000001</v>
      </c>
      <c r="X5845">
        <v>0.9931934</v>
      </c>
      <c r="Y5845">
        <v>-2.985904E-2</v>
      </c>
      <c r="Z5845">
        <v>3.6502569999999998E-2</v>
      </c>
      <c r="AA5845">
        <v>0.99888739999999998</v>
      </c>
      <c r="AB5845">
        <v>24</v>
      </c>
      <c r="AC5845">
        <v>-6.7999999999983603E-3</v>
      </c>
      <c r="AD5845">
        <v>-1.1211780333769901</v>
      </c>
      <c r="AE5845">
        <v>-24.110599999999899</v>
      </c>
      <c r="AF5845">
        <v>-0.723973582997256</v>
      </c>
      <c r="AG5845">
        <v>-1.1211780333769901</v>
      </c>
      <c r="AH5845">
        <v>24.047681627425899</v>
      </c>
      <c r="AI5845">
        <v>92.668168043421005</v>
      </c>
      <c r="AJ5845">
        <v>91.724411781530904</v>
      </c>
      <c r="AK5845">
        <v>24.084687450441301</v>
      </c>
      <c r="AL5845">
        <v>96.463740120543505</v>
      </c>
      <c r="AM5845">
        <v>91.724148614867801</v>
      </c>
      <c r="AN5845">
        <v>0.99999995614941495</v>
      </c>
    </row>
    <row r="5846" spans="1:40" x14ac:dyDescent="0.25">
      <c r="A5846" t="str">
        <f>"20190303154257803"</f>
        <v>20190303154257803</v>
      </c>
      <c r="B5846" t="str">
        <f>"1551598977796487"</f>
        <v>1551598977796487</v>
      </c>
      <c r="C5846" t="s">
        <v>40</v>
      </c>
      <c r="D5846">
        <v>5.9589119999999998</v>
      </c>
      <c r="E5846">
        <v>0.49998039999999999</v>
      </c>
      <c r="F5846" t="s">
        <v>41</v>
      </c>
      <c r="G5846">
        <v>-422.01519999999999</v>
      </c>
      <c r="H5846" s="1">
        <v>-6.5693169999999896E-7</v>
      </c>
      <c r="I5846">
        <v>89.870519999999999</v>
      </c>
      <c r="J5846">
        <v>-422.05709999999999</v>
      </c>
      <c r="K5846">
        <v>1.1211599999999999</v>
      </c>
      <c r="L5846">
        <v>114.6896</v>
      </c>
      <c r="M5846">
        <v>-2.9687100000000001E-2</v>
      </c>
      <c r="N5846">
        <v>-9.4916549999999999E-3</v>
      </c>
      <c r="O5846">
        <v>-0.99951420000000002</v>
      </c>
      <c r="P5846">
        <v>3.8119500000000003E-4</v>
      </c>
      <c r="Q5846">
        <v>-0.1221998</v>
      </c>
      <c r="R5846">
        <v>-0.99250570000000005</v>
      </c>
      <c r="S5846">
        <v>4.6081539999999997E-3</v>
      </c>
      <c r="T5846">
        <v>-0.13502439999999999</v>
      </c>
      <c r="U5846">
        <v>-3.0059809999999998</v>
      </c>
      <c r="V5846">
        <v>-2.9638709999999999E-2</v>
      </c>
      <c r="W5846">
        <v>-0.1128329</v>
      </c>
      <c r="X5846">
        <v>0.99317180000000005</v>
      </c>
      <c r="Y5846">
        <v>-3.1211699999999998E-2</v>
      </c>
      <c r="Z5846">
        <v>3.534839E-2</v>
      </c>
      <c r="AA5846">
        <v>0.99888750000000004</v>
      </c>
      <c r="AB5846">
        <v>24</v>
      </c>
      <c r="AC5846">
        <v>4.1899999999998203E-2</v>
      </c>
      <c r="AD5846">
        <v>-1.1211606569317001</v>
      </c>
      <c r="AE5846">
        <v>-24.81908</v>
      </c>
      <c r="AF5846">
        <v>-0.777135372197712</v>
      </c>
      <c r="AG5846">
        <v>-1.1211606569317001</v>
      </c>
      <c r="AH5846">
        <v>24.7563773632343</v>
      </c>
      <c r="AI5846">
        <v>92.5917503057061</v>
      </c>
      <c r="AJ5846">
        <v>91.797999731814301</v>
      </c>
      <c r="AK5846">
        <v>24.793933950791899</v>
      </c>
      <c r="AL5846">
        <v>96.478645958585105</v>
      </c>
      <c r="AM5846">
        <v>91.709340867691694</v>
      </c>
      <c r="AN5846">
        <v>0.99999997038405597</v>
      </c>
    </row>
    <row r="5847" spans="1:40" x14ac:dyDescent="0.25">
      <c r="A5847" t="str">
        <f>"20190303154257825"</f>
        <v>20190303154257825</v>
      </c>
      <c r="B5847" t="str">
        <f>"1551598977816007"</f>
        <v>1551598977816007</v>
      </c>
      <c r="C5847" t="s">
        <v>40</v>
      </c>
      <c r="D5847">
        <v>5.9416310000000001</v>
      </c>
      <c r="E5847">
        <v>0.49978309999999998</v>
      </c>
      <c r="F5847" t="s">
        <v>41</v>
      </c>
      <c r="G5847">
        <v>-422.00560000000002</v>
      </c>
      <c r="H5847" s="1">
        <v>-6.4677400000000002E-7</v>
      </c>
      <c r="I5847">
        <v>89.852809999999906</v>
      </c>
      <c r="J5847">
        <v>-422.06259999999997</v>
      </c>
      <c r="K5847">
        <v>1.1211390000000001</v>
      </c>
      <c r="L5847">
        <v>114.45910000000001</v>
      </c>
      <c r="M5847">
        <v>-2.8591640000000001E-2</v>
      </c>
      <c r="N5847">
        <v>-9.4650989999999994E-3</v>
      </c>
      <c r="O5847">
        <v>-0.9995465</v>
      </c>
      <c r="P5847">
        <v>6.6005649999999996E-4</v>
      </c>
      <c r="Q5847">
        <v>-0.12361519999999999</v>
      </c>
      <c r="R5847">
        <v>-0.99233020000000005</v>
      </c>
      <c r="S5847">
        <v>6.225586E-3</v>
      </c>
      <c r="T5847">
        <v>-0.13569210000000001</v>
      </c>
      <c r="U5847">
        <v>-3.005951</v>
      </c>
      <c r="V5847">
        <v>-2.8826939999999999E-2</v>
      </c>
      <c r="W5847">
        <v>-0.1142734</v>
      </c>
      <c r="X5847">
        <v>0.993031</v>
      </c>
      <c r="Y5847">
        <v>-3.065385E-2</v>
      </c>
      <c r="Z5847">
        <v>3.5599180000000001E-2</v>
      </c>
      <c r="AA5847">
        <v>0.99889589999999995</v>
      </c>
      <c r="AB5847">
        <v>24</v>
      </c>
      <c r="AC5847">
        <v>5.69999999999595E-2</v>
      </c>
      <c r="AD5847">
        <v>-1.12113964677399</v>
      </c>
      <c r="AE5847">
        <v>-24.606290000000001</v>
      </c>
      <c r="AF5847">
        <v>-0.75896669396363303</v>
      </c>
      <c r="AG5847">
        <v>-1.12113964677399</v>
      </c>
      <c r="AH5847">
        <v>24.5436473360928</v>
      </c>
      <c r="AI5847">
        <v>92.614172179455196</v>
      </c>
      <c r="AJ5847">
        <v>91.771201110017799</v>
      </c>
      <c r="AK5847">
        <v>24.580960296713599</v>
      </c>
      <c r="AL5847">
        <v>96.561717760097906</v>
      </c>
      <c r="AM5847">
        <v>91.662786239789099</v>
      </c>
      <c r="AN5847">
        <v>0.99999998468916096</v>
      </c>
    </row>
    <row r="5848" spans="1:40" x14ac:dyDescent="0.25">
      <c r="A5848" t="str">
        <f>"20190303154257839"</f>
        <v>20190303154257839</v>
      </c>
      <c r="B5848" t="str">
        <f>"1551598977836503"</f>
        <v>1551598977836503</v>
      </c>
      <c r="C5848" t="s">
        <v>40</v>
      </c>
      <c r="D5848">
        <v>5.9160500000000003</v>
      </c>
      <c r="E5848">
        <v>0.49968469999999998</v>
      </c>
      <c r="F5848" t="s">
        <v>41</v>
      </c>
      <c r="G5848">
        <v>-421.99400000000003</v>
      </c>
      <c r="H5848" s="1">
        <v>-8.7690129999999997E-7</v>
      </c>
      <c r="I5848">
        <v>90.396469999999994</v>
      </c>
      <c r="J5848">
        <v>-422.06619999999998</v>
      </c>
      <c r="K5848">
        <v>1.121127</v>
      </c>
      <c r="L5848">
        <v>114.3064</v>
      </c>
      <c r="M5848">
        <v>-2.7877320000000001E-2</v>
      </c>
      <c r="N5848">
        <v>-9.4495859999999994E-3</v>
      </c>
      <c r="O5848">
        <v>-0.99956670000000003</v>
      </c>
      <c r="P5848">
        <v>7.5206169999999996E-4</v>
      </c>
      <c r="Q5848">
        <v>-0.1239011</v>
      </c>
      <c r="R5848">
        <v>-0.99229440000000002</v>
      </c>
      <c r="S5848">
        <v>8.5754390000000007E-3</v>
      </c>
      <c r="T5848">
        <v>-0.14004430000000001</v>
      </c>
      <c r="U5848">
        <v>-3.005722</v>
      </c>
      <c r="V5848">
        <v>-2.821133E-2</v>
      </c>
      <c r="W5848">
        <v>-0.1145731</v>
      </c>
      <c r="X5848">
        <v>0.99301419999999996</v>
      </c>
      <c r="Y5848">
        <v>-3.0720270000000001E-2</v>
      </c>
      <c r="Z5848">
        <v>3.7062089999999999E-2</v>
      </c>
      <c r="AA5848">
        <v>0.99884070000000003</v>
      </c>
      <c r="AB5848">
        <v>24</v>
      </c>
      <c r="AC5848">
        <v>7.2199999999952497E-2</v>
      </c>
      <c r="AD5848">
        <v>-1.1211278769013</v>
      </c>
      <c r="AE5848">
        <v>-23.909929999999999</v>
      </c>
      <c r="AF5848">
        <v>-0.73712580132246797</v>
      </c>
      <c r="AG5848">
        <v>-1.1211278769013</v>
      </c>
      <c r="AH5848">
        <v>23.8461951228931</v>
      </c>
      <c r="AI5848">
        <v>92.6904933347829</v>
      </c>
      <c r="AJ5848">
        <v>91.770544644089199</v>
      </c>
      <c r="AK5848">
        <v>23.8839130797789</v>
      </c>
      <c r="AL5848">
        <v>96.579002480756401</v>
      </c>
      <c r="AM5848">
        <v>91.627323639709999</v>
      </c>
      <c r="AN5848">
        <v>1.0000000378928</v>
      </c>
    </row>
    <row r="5849" spans="1:40" x14ac:dyDescent="0.25">
      <c r="A5849" t="str">
        <f>"20190303154257858"</f>
        <v>20190303154257858</v>
      </c>
      <c r="B5849" t="str">
        <f>"1551598977846263"</f>
        <v>1551598977846263</v>
      </c>
      <c r="C5849" t="s">
        <v>40</v>
      </c>
      <c r="D5849">
        <v>5.8984310000000004</v>
      </c>
      <c r="E5849">
        <v>0.4996391</v>
      </c>
      <c r="F5849" t="s">
        <v>41</v>
      </c>
      <c r="G5849">
        <v>-421.99279999999999</v>
      </c>
      <c r="H5849" s="1">
        <v>-9.3471320000000005E-7</v>
      </c>
      <c r="I5849">
        <v>90.531930000000003</v>
      </c>
      <c r="J5849">
        <v>-422.07080000000002</v>
      </c>
      <c r="K5849">
        <v>1.121113</v>
      </c>
      <c r="L5849">
        <v>114.1069</v>
      </c>
      <c r="M5849">
        <v>-2.6955099999999999E-2</v>
      </c>
      <c r="N5849">
        <v>-9.4318969999999999E-3</v>
      </c>
      <c r="O5849">
        <v>-0.99959240000000005</v>
      </c>
      <c r="P5849">
        <v>1.152639E-3</v>
      </c>
      <c r="Q5849">
        <v>-0.12319910000000001</v>
      </c>
      <c r="R5849">
        <v>-0.99238179999999998</v>
      </c>
      <c r="S5849">
        <v>9.2773439999999999E-3</v>
      </c>
      <c r="T5849">
        <v>-0.14173450000000001</v>
      </c>
      <c r="U5849">
        <v>-3.0055999999999998</v>
      </c>
      <c r="V5849">
        <v>-2.7702609999999999E-2</v>
      </c>
      <c r="W5849">
        <v>-0.1138863</v>
      </c>
      <c r="X5849">
        <v>0.99310750000000003</v>
      </c>
      <c r="Y5849">
        <v>-3.0031510000000001E-2</v>
      </c>
      <c r="Z5849">
        <v>3.764414E-2</v>
      </c>
      <c r="AA5849">
        <v>0.9988399</v>
      </c>
      <c r="AB5849">
        <v>24</v>
      </c>
      <c r="AC5849">
        <v>7.8000000000031294E-2</v>
      </c>
      <c r="AD5849">
        <v>-1.1211139347132</v>
      </c>
      <c r="AE5849">
        <v>-23.57497</v>
      </c>
      <c r="AF5849">
        <v>-0.71185559098990603</v>
      </c>
      <c r="AG5849">
        <v>-1.1211139347132</v>
      </c>
      <c r="AH5849">
        <v>23.511130659793899</v>
      </c>
      <c r="AI5849">
        <v>92.728797787439007</v>
      </c>
      <c r="AJ5849">
        <v>91.734236656385804</v>
      </c>
      <c r="AK5849">
        <v>23.548607171952501</v>
      </c>
      <c r="AL5849">
        <v>96.539392616165699</v>
      </c>
      <c r="AM5849">
        <v>91.597844277712994</v>
      </c>
      <c r="AN5849">
        <v>1.00000001524237</v>
      </c>
    </row>
    <row r="5850" spans="1:40" x14ac:dyDescent="0.25">
      <c r="A5850" t="str">
        <f>"20190303154257879"</f>
        <v>20190303154257879</v>
      </c>
      <c r="B5850" t="str">
        <f>"1551598977876519"</f>
        <v>1551598977876519</v>
      </c>
      <c r="C5850" t="s">
        <v>40</v>
      </c>
      <c r="D5850">
        <v>5.8762379999999999</v>
      </c>
      <c r="E5850">
        <v>0.49970910000000002</v>
      </c>
      <c r="F5850" t="s">
        <v>41</v>
      </c>
      <c r="G5850">
        <v>-421.97910000000002</v>
      </c>
      <c r="H5850" s="1">
        <v>-7.185944E-7</v>
      </c>
      <c r="I5850">
        <v>90.036659999999998</v>
      </c>
      <c r="J5850">
        <v>-422.07569999999998</v>
      </c>
      <c r="K5850">
        <v>1.121105</v>
      </c>
      <c r="L5850">
        <v>113.8802</v>
      </c>
      <c r="M5850">
        <v>-2.591481E-2</v>
      </c>
      <c r="N5850">
        <v>-9.4148630000000007E-3</v>
      </c>
      <c r="O5850">
        <v>-0.99961979999999995</v>
      </c>
      <c r="P5850">
        <v>1.943717E-3</v>
      </c>
      <c r="Q5850">
        <v>-0.1208887</v>
      </c>
      <c r="R5850">
        <v>-0.9926642</v>
      </c>
      <c r="S5850">
        <v>1.1444090000000001E-2</v>
      </c>
      <c r="T5850">
        <v>-0.13999220000000001</v>
      </c>
      <c r="U5850">
        <v>-3.00563</v>
      </c>
      <c r="V5850">
        <v>-2.747399E-2</v>
      </c>
      <c r="W5850">
        <v>-0.1115893</v>
      </c>
      <c r="X5850">
        <v>0.99337450000000005</v>
      </c>
      <c r="Y5850">
        <v>-2.971157E-2</v>
      </c>
      <c r="Z5850">
        <v>3.7085170000000001E-2</v>
      </c>
      <c r="AA5850">
        <v>0.99887029999999999</v>
      </c>
      <c r="AB5850">
        <v>24</v>
      </c>
      <c r="AC5850">
        <v>9.6599999999966699E-2</v>
      </c>
      <c r="AD5850">
        <v>-1.12110571859439</v>
      </c>
      <c r="AE5850">
        <v>-23.843540000000001</v>
      </c>
      <c r="AF5850">
        <v>-0.71291965733192897</v>
      </c>
      <c r="AG5850">
        <v>-1.12110571859439</v>
      </c>
      <c r="AH5850">
        <v>23.780454838130201</v>
      </c>
      <c r="AI5850">
        <v>92.6979433032554</v>
      </c>
      <c r="AJ5850">
        <v>91.717168874517895</v>
      </c>
      <c r="AK5850">
        <v>23.817539015994601</v>
      </c>
      <c r="AL5850">
        <v>96.406940219488007</v>
      </c>
      <c r="AM5850">
        <v>91.584238866109004</v>
      </c>
      <c r="AN5850">
        <v>0.99999994462562802</v>
      </c>
    </row>
    <row r="5851" spans="1:40" x14ac:dyDescent="0.25">
      <c r="A5851" t="str">
        <f>"20190303154257901"</f>
        <v>20190303154257901</v>
      </c>
      <c r="B5851" t="str">
        <f>"1551598977896043"</f>
        <v>1551598977896043</v>
      </c>
      <c r="C5851" t="s">
        <v>40</v>
      </c>
      <c r="D5851">
        <v>5.8808939999999996</v>
      </c>
      <c r="E5851">
        <v>0.49959029999999999</v>
      </c>
      <c r="F5851" t="s">
        <v>41</v>
      </c>
      <c r="G5851">
        <v>-421.96710000000002</v>
      </c>
      <c r="H5851" s="1">
        <v>-4.3604190000000001E-6</v>
      </c>
      <c r="I5851">
        <v>88.774739999999994</v>
      </c>
      <c r="J5851">
        <v>-422.08069999999998</v>
      </c>
      <c r="K5851">
        <v>1.1210979999999999</v>
      </c>
      <c r="L5851">
        <v>113.6335</v>
      </c>
      <c r="M5851">
        <v>-2.4784069999999998E-2</v>
      </c>
      <c r="N5851">
        <v>-9.3994319999999992E-3</v>
      </c>
      <c r="O5851">
        <v>-0.99964889999999995</v>
      </c>
      <c r="P5851">
        <v>2.7948420000000001E-3</v>
      </c>
      <c r="Q5851">
        <v>-0.1191656</v>
      </c>
      <c r="R5851">
        <v>-0.99287080000000005</v>
      </c>
      <c r="S5851">
        <v>1.300049E-2</v>
      </c>
      <c r="T5851">
        <v>-0.13422700000000001</v>
      </c>
      <c r="U5851">
        <v>-3.005798</v>
      </c>
      <c r="V5851">
        <v>-2.7212050000000002E-2</v>
      </c>
      <c r="W5851">
        <v>-0.1098788</v>
      </c>
      <c r="X5851">
        <v>0.99357240000000002</v>
      </c>
      <c r="Y5851">
        <v>-2.9098619999999999E-2</v>
      </c>
      <c r="Z5851">
        <v>3.5188829999999997E-2</v>
      </c>
      <c r="AA5851">
        <v>0.99895699999999998</v>
      </c>
      <c r="AB5851">
        <v>24</v>
      </c>
      <c r="AC5851">
        <v>0.113599999999962</v>
      </c>
      <c r="AD5851">
        <v>-1.121102360419</v>
      </c>
      <c r="AE5851">
        <v>-24.858759999999901</v>
      </c>
      <c r="AF5851">
        <v>-0.72821231996477498</v>
      </c>
      <c r="AG5851">
        <v>-1.121102360419</v>
      </c>
      <c r="AH5851">
        <v>24.797872241136599</v>
      </c>
      <c r="AI5851">
        <v>92.587443846525105</v>
      </c>
      <c r="AJ5851">
        <v>91.682059847762403</v>
      </c>
      <c r="AK5851">
        <v>24.833880715128199</v>
      </c>
      <c r="AL5851">
        <v>96.308329095575203</v>
      </c>
      <c r="AM5851">
        <v>91.568829762690001</v>
      </c>
      <c r="AN5851">
        <v>0.99999998019820102</v>
      </c>
    </row>
    <row r="5852" spans="1:40" x14ac:dyDescent="0.25">
      <c r="A5852" t="str">
        <f>"20190303154257992"</f>
        <v>20190303154257992</v>
      </c>
      <c r="B5852" t="str">
        <f>"1551598977985831"</f>
        <v>1551598977985831</v>
      </c>
      <c r="C5852" t="s">
        <v>40</v>
      </c>
      <c r="D5852">
        <v>5.237514</v>
      </c>
      <c r="E5852">
        <v>0.49959029999999999</v>
      </c>
      <c r="F5852" t="s">
        <v>41</v>
      </c>
      <c r="G5852">
        <v>-421.93430000000001</v>
      </c>
      <c r="H5852" s="1">
        <v>-3.955176E-6</v>
      </c>
      <c r="I5852">
        <v>87.609020000000001</v>
      </c>
      <c r="J5852">
        <v>-422.09820000000002</v>
      </c>
      <c r="K5852">
        <v>1.121075</v>
      </c>
      <c r="L5852">
        <v>112.6504</v>
      </c>
      <c r="M5852">
        <v>-2.0251370000000001E-2</v>
      </c>
      <c r="N5852">
        <v>-9.3610050000000004E-3</v>
      </c>
      <c r="O5852">
        <v>-0.99975130000000001</v>
      </c>
      <c r="P5852">
        <v>1.017674E-2</v>
      </c>
      <c r="Q5852">
        <v>-0.11465880000000001</v>
      </c>
      <c r="R5852">
        <v>-0.99335329999999999</v>
      </c>
      <c r="S5852">
        <v>1.690674E-2</v>
      </c>
      <c r="T5852">
        <v>-0.12949189999999999</v>
      </c>
      <c r="U5852">
        <v>-3.0059360000000002</v>
      </c>
      <c r="V5852">
        <v>-3.0110910000000001E-2</v>
      </c>
      <c r="W5852">
        <v>-0.1054109</v>
      </c>
      <c r="X5852">
        <v>0.99397279999999999</v>
      </c>
      <c r="Y5852">
        <v>-2.5865610000000001E-2</v>
      </c>
      <c r="Z5852">
        <v>3.36633E-2</v>
      </c>
      <c r="AA5852">
        <v>0.9990985</v>
      </c>
      <c r="AB5852">
        <v>24</v>
      </c>
      <c r="AC5852">
        <v>0.16390000000001201</v>
      </c>
      <c r="AD5852">
        <v>-1.1210789551760001</v>
      </c>
      <c r="AE5852">
        <v>-25.04138</v>
      </c>
      <c r="AF5852">
        <v>-0.66966861507307995</v>
      </c>
      <c r="AG5852">
        <v>-1.1210789551760001</v>
      </c>
      <c r="AH5852">
        <v>24.9828545196177</v>
      </c>
      <c r="AI5852">
        <v>92.568441984642405</v>
      </c>
      <c r="AJ5852">
        <v>91.535453029808494</v>
      </c>
      <c r="AK5852">
        <v>25.016960127604101</v>
      </c>
      <c r="AL5852">
        <v>96.050840618428396</v>
      </c>
      <c r="AM5852">
        <v>91.735158754670294</v>
      </c>
      <c r="AN5852">
        <v>1.0000000259398301</v>
      </c>
    </row>
    <row r="5853" spans="1:40" x14ac:dyDescent="0.25">
      <c r="A5853" t="str">
        <f>"20190303154258059"</f>
        <v>20190303154258059</v>
      </c>
      <c r="B5853" t="str">
        <f>"1551598978056267"</f>
        <v>1551598978056267</v>
      </c>
      <c r="C5853" t="s">
        <v>40</v>
      </c>
      <c r="D5853">
        <v>5.7214400000000003</v>
      </c>
      <c r="E5853">
        <v>0.50234729999999905</v>
      </c>
      <c r="F5853" t="s">
        <v>41</v>
      </c>
      <c r="G5853">
        <v>-421.71699999999998</v>
      </c>
      <c r="H5853" s="1">
        <v>-2.1624549999999999E-6</v>
      </c>
      <c r="I5853">
        <v>83.564890000000005</v>
      </c>
      <c r="J5853">
        <v>-422.10840000000002</v>
      </c>
      <c r="K5853">
        <v>1.120984</v>
      </c>
      <c r="L5853">
        <v>111.9423</v>
      </c>
      <c r="M5853">
        <v>-1.718314E-2</v>
      </c>
      <c r="N5853">
        <v>-9.3482219999999998E-3</v>
      </c>
      <c r="O5853">
        <v>-0.9998089</v>
      </c>
      <c r="P5853">
        <v>9.266158E-3</v>
      </c>
      <c r="Q5853">
        <v>-0.1144059</v>
      </c>
      <c r="R5853">
        <v>-0.99339140000000004</v>
      </c>
      <c r="S5853">
        <v>3.939819E-2</v>
      </c>
      <c r="T5853">
        <v>-0.1158752</v>
      </c>
      <c r="U5853">
        <v>-3.0063019999999998</v>
      </c>
      <c r="V5853">
        <v>-2.617181E-2</v>
      </c>
      <c r="W5853">
        <v>-0.10515819999999999</v>
      </c>
      <c r="X5853">
        <v>0.99411110000000003</v>
      </c>
      <c r="Y5853">
        <v>-3.0272210000000001E-2</v>
      </c>
      <c r="Z5853">
        <v>2.915249E-2</v>
      </c>
      <c r="AA5853">
        <v>0.99911649999999996</v>
      </c>
      <c r="AB5853">
        <v>24</v>
      </c>
      <c r="AC5853">
        <v>0.391400000000032</v>
      </c>
      <c r="AD5853">
        <v>-1.1209861624549999</v>
      </c>
      <c r="AE5853">
        <v>-28.377410000000001</v>
      </c>
      <c r="AF5853">
        <v>-0.87760718822464101</v>
      </c>
      <c r="AG5853">
        <v>-1.1209861624549999</v>
      </c>
      <c r="AH5853">
        <v>28.322306532290199</v>
      </c>
      <c r="AI5853">
        <v>92.265475968259096</v>
      </c>
      <c r="AJ5853">
        <v>91.774823808221996</v>
      </c>
      <c r="AK5853">
        <v>28.358065019712601</v>
      </c>
      <c r="AL5853">
        <v>96.036280940323294</v>
      </c>
      <c r="AM5853">
        <v>91.508068821893403</v>
      </c>
      <c r="AN5853">
        <v>1.0000000449045601</v>
      </c>
    </row>
    <row r="5854" spans="1:40" x14ac:dyDescent="0.25">
      <c r="A5854" t="str">
        <f>"20190303154258081"</f>
        <v>20190303154258081</v>
      </c>
      <c r="B5854" t="str">
        <f>"1551598978075787"</f>
        <v>1551598978075787</v>
      </c>
      <c r="C5854" t="s">
        <v>40</v>
      </c>
      <c r="D5854">
        <v>5.7758450000000003</v>
      </c>
      <c r="E5854">
        <v>0.50339880000000004</v>
      </c>
      <c r="F5854" t="s">
        <v>41</v>
      </c>
      <c r="G5854">
        <v>-421.96719999999999</v>
      </c>
      <c r="H5854" s="1">
        <v>-1.2235649999999999E-6</v>
      </c>
      <c r="I5854">
        <v>81.221170000000001</v>
      </c>
      <c r="J5854">
        <v>-422.11160000000001</v>
      </c>
      <c r="K5854">
        <v>1.1209389999999999</v>
      </c>
      <c r="L5854">
        <v>111.6947</v>
      </c>
      <c r="M5854">
        <v>-1.6238369999999998E-2</v>
      </c>
      <c r="N5854">
        <v>-9.3454720000000005E-3</v>
      </c>
      <c r="O5854">
        <v>-0.99982470000000001</v>
      </c>
      <c r="P5854">
        <v>8.7172150000000004E-3</v>
      </c>
      <c r="Q5854">
        <v>-0.1135731</v>
      </c>
      <c r="R5854">
        <v>-0.99349140000000002</v>
      </c>
      <c r="S5854">
        <v>1.382446E-2</v>
      </c>
      <c r="T5854">
        <v>-0.1097288</v>
      </c>
      <c r="U5854">
        <v>-3.0071720000000002</v>
      </c>
      <c r="V5854">
        <v>-2.470021E-2</v>
      </c>
      <c r="W5854">
        <v>-0.1043215</v>
      </c>
      <c r="X5854">
        <v>0.99423680000000003</v>
      </c>
      <c r="Y5854">
        <v>-2.0829259999999999E-2</v>
      </c>
      <c r="Z5854">
        <v>2.7112219999999999E-2</v>
      </c>
      <c r="AA5854">
        <v>0.99941530000000001</v>
      </c>
      <c r="AB5854">
        <v>24</v>
      </c>
      <c r="AC5854">
        <v>0.14440000000001799</v>
      </c>
      <c r="AD5854">
        <v>-1.1209402235649999</v>
      </c>
      <c r="AE5854">
        <v>-30.47353</v>
      </c>
      <c r="AF5854">
        <v>-0.63837916228231395</v>
      </c>
      <c r="AG5854">
        <v>-1.1209402235649999</v>
      </c>
      <c r="AH5854">
        <v>30.425999263977499</v>
      </c>
      <c r="AI5854">
        <v>92.109445830037799</v>
      </c>
      <c r="AJ5854">
        <v>91.201967620774198</v>
      </c>
      <c r="AK5854">
        <v>30.453332595156201</v>
      </c>
      <c r="AL5854">
        <v>95.988077020624502</v>
      </c>
      <c r="AM5854">
        <v>91.423128513513703</v>
      </c>
      <c r="AN5854">
        <v>0.99999994510526502</v>
      </c>
    </row>
    <row r="5855" spans="1:40" x14ac:dyDescent="0.25">
      <c r="A5855" t="str">
        <f>"20190303154258114"</f>
        <v>20190303154258114</v>
      </c>
      <c r="B5855" t="str">
        <f>"1551598978106043"</f>
        <v>1551598978106043</v>
      </c>
      <c r="C5855" t="s">
        <v>40</v>
      </c>
      <c r="D5855">
        <v>5.7522489999999999</v>
      </c>
      <c r="E5855">
        <v>0.50439269999999903</v>
      </c>
      <c r="F5855" t="s">
        <v>41</v>
      </c>
      <c r="G5855">
        <v>-422.0702</v>
      </c>
      <c r="H5855" s="1">
        <v>-6.4931949999999998E-7</v>
      </c>
      <c r="I5855">
        <v>79.818709999999996</v>
      </c>
      <c r="J5855">
        <v>-422.11579999999998</v>
      </c>
      <c r="K5855">
        <v>1.120881</v>
      </c>
      <c r="L5855">
        <v>111.3361</v>
      </c>
      <c r="M5855">
        <v>-1.4980540000000001E-2</v>
      </c>
      <c r="N5855">
        <v>-9.3429700000000008E-3</v>
      </c>
      <c r="O5855">
        <v>-0.99984430000000002</v>
      </c>
      <c r="P5855">
        <v>1.01692E-2</v>
      </c>
      <c r="Q5855">
        <v>-0.1116081</v>
      </c>
      <c r="R5855">
        <v>-0.99370060000000004</v>
      </c>
      <c r="S5855">
        <v>3.90625E-3</v>
      </c>
      <c r="T5855">
        <v>-0.10576199999999999</v>
      </c>
      <c r="U5855">
        <v>-3.0075379999999998</v>
      </c>
      <c r="V5855">
        <v>-2.4925780000000002E-2</v>
      </c>
      <c r="W5855">
        <v>-0.1023531</v>
      </c>
      <c r="X5855">
        <v>0.99443579999999998</v>
      </c>
      <c r="Y5855">
        <v>-1.6276039999999999E-2</v>
      </c>
      <c r="Z5855">
        <v>2.5796840000000001E-2</v>
      </c>
      <c r="AA5855">
        <v>0.9995347</v>
      </c>
      <c r="AB5855">
        <v>24</v>
      </c>
      <c r="AC5855">
        <v>4.55999999999789E-2</v>
      </c>
      <c r="AD5855">
        <v>-1.1208816493195</v>
      </c>
      <c r="AE5855">
        <v>-31.517389999999999</v>
      </c>
      <c r="AF5855">
        <v>-0.51710890057370495</v>
      </c>
      <c r="AG5855">
        <v>-1.1208816493195</v>
      </c>
      <c r="AH5855">
        <v>31.473362672865498</v>
      </c>
      <c r="AI5855">
        <v>92.039375395760302</v>
      </c>
      <c r="AJ5855">
        <v>90.941287789460702</v>
      </c>
      <c r="AK5855">
        <v>31.4975607821392</v>
      </c>
      <c r="AL5855">
        <v>95.874688586501307</v>
      </c>
      <c r="AM5855">
        <v>91.435832281075193</v>
      </c>
      <c r="AN5855">
        <v>1.0000000059549199</v>
      </c>
    </row>
    <row r="5856" spans="1:40" x14ac:dyDescent="0.25">
      <c r="A5856" t="str">
        <f>"20190303154258137"</f>
        <v>20190303154258137</v>
      </c>
      <c r="B5856" t="str">
        <f>"1551598978126538"</f>
        <v>1551598978126538</v>
      </c>
      <c r="C5856" t="s">
        <v>40</v>
      </c>
      <c r="D5856">
        <v>5.7509860000000002</v>
      </c>
      <c r="E5856">
        <v>0.50470579999999998</v>
      </c>
      <c r="F5856" t="s">
        <v>41</v>
      </c>
      <c r="G5856">
        <v>-422.11320000000001</v>
      </c>
      <c r="H5856" s="1">
        <v>-4.1424999999999997E-6</v>
      </c>
      <c r="I5856">
        <v>78.058239999999998</v>
      </c>
      <c r="J5856">
        <v>-422.11860000000001</v>
      </c>
      <c r="K5856">
        <v>1.1208480000000001</v>
      </c>
      <c r="L5856">
        <v>111.0933</v>
      </c>
      <c r="M5856">
        <v>-1.421015E-2</v>
      </c>
      <c r="N5856">
        <v>-9.3421270000000004E-3</v>
      </c>
      <c r="O5856">
        <v>-0.99985559999999996</v>
      </c>
      <c r="P5856">
        <v>1.2355090000000001E-2</v>
      </c>
      <c r="Q5856">
        <v>-0.11163670000000001</v>
      </c>
      <c r="R5856">
        <v>-0.99367269999999996</v>
      </c>
      <c r="S5856">
        <v>2.4414059999999999E-4</v>
      </c>
      <c r="T5856">
        <v>-0.1013054</v>
      </c>
      <c r="U5856">
        <v>-3.0076450000000001</v>
      </c>
      <c r="V5856">
        <v>-2.6354389999999998E-2</v>
      </c>
      <c r="W5856">
        <v>-0.1023824</v>
      </c>
      <c r="X5856">
        <v>0.99439599999999995</v>
      </c>
      <c r="Y5856">
        <v>-1.4289039999999999E-2</v>
      </c>
      <c r="Z5856">
        <v>2.431842E-2</v>
      </c>
      <c r="AA5856">
        <v>0.99960210000000005</v>
      </c>
      <c r="AB5856">
        <v>24</v>
      </c>
      <c r="AC5856">
        <v>5.4000000000087303E-3</v>
      </c>
      <c r="AD5856">
        <v>-1.1208521425</v>
      </c>
      <c r="AE5856">
        <v>-33.035059999999902</v>
      </c>
      <c r="AF5856">
        <v>-0.47430698248277098</v>
      </c>
      <c r="AG5856">
        <v>-1.1208521425</v>
      </c>
      <c r="AH5856">
        <v>32.993665517738997</v>
      </c>
      <c r="AI5856">
        <v>91.945488052903897</v>
      </c>
      <c r="AJ5856">
        <v>90.823610109385896</v>
      </c>
      <c r="AK5856">
        <v>33.016105780897597</v>
      </c>
      <c r="AL5856">
        <v>95.876375916055196</v>
      </c>
      <c r="AM5856">
        <v>91.518149635690705</v>
      </c>
      <c r="AN5856">
        <v>1.00000005725901</v>
      </c>
    </row>
    <row r="5857" spans="1:40" x14ac:dyDescent="0.25">
      <c r="A5857" t="str">
        <f>"20190303154258158"</f>
        <v>20190303154258158</v>
      </c>
      <c r="B5857" t="str">
        <f>"1551598978155818"</f>
        <v>1551598978155818</v>
      </c>
      <c r="C5857" t="s">
        <v>40</v>
      </c>
      <c r="D5857">
        <v>5.7809939999999997</v>
      </c>
      <c r="E5857">
        <v>0.50530839999999999</v>
      </c>
      <c r="F5857" t="s">
        <v>41</v>
      </c>
      <c r="G5857">
        <v>-422.06560000000002</v>
      </c>
      <c r="H5857" s="1">
        <v>-4.1789020000000004E-6</v>
      </c>
      <c r="I5857">
        <v>78.190019999999905</v>
      </c>
      <c r="J5857">
        <v>-422.12119999999999</v>
      </c>
      <c r="K5857">
        <v>1.120822</v>
      </c>
      <c r="L5857">
        <v>110.8505</v>
      </c>
      <c r="M5857">
        <v>-1.350179E-2</v>
      </c>
      <c r="N5857">
        <v>-9.3418149999999998E-3</v>
      </c>
      <c r="O5857">
        <v>-0.99986520000000001</v>
      </c>
      <c r="P5857">
        <v>1.4945379999999999E-2</v>
      </c>
      <c r="Q5857">
        <v>-0.11094850000000001</v>
      </c>
      <c r="R5857">
        <v>-0.99371379999999998</v>
      </c>
      <c r="S5857">
        <v>4.8522950000000004E-3</v>
      </c>
      <c r="T5857">
        <v>-0.1024513</v>
      </c>
      <c r="U5857">
        <v>-3.0075229999999999</v>
      </c>
      <c r="V5857">
        <v>-2.8249690000000001E-2</v>
      </c>
      <c r="W5857">
        <v>-0.10169449999999999</v>
      </c>
      <c r="X5857">
        <v>0.99441449999999998</v>
      </c>
      <c r="Y5857">
        <v>-1.511204E-2</v>
      </c>
      <c r="Z5857">
        <v>2.4700670000000001E-2</v>
      </c>
      <c r="AA5857">
        <v>0.99958069999999999</v>
      </c>
      <c r="AB5857">
        <v>25</v>
      </c>
      <c r="AC5857">
        <v>5.5599999999969799E-2</v>
      </c>
      <c r="AD5857">
        <v>-1.120826178902</v>
      </c>
      <c r="AE5857">
        <v>-32.66048</v>
      </c>
      <c r="AF5857">
        <v>-0.49600498089313899</v>
      </c>
      <c r="AG5857">
        <v>-1.120826178902</v>
      </c>
      <c r="AH5857">
        <v>32.618337680801602</v>
      </c>
      <c r="AI5857">
        <v>91.967786905404296</v>
      </c>
      <c r="AJ5857">
        <v>90.871190989006905</v>
      </c>
      <c r="AK5857">
        <v>32.6413575900756</v>
      </c>
      <c r="AL5857">
        <v>95.836755643490505</v>
      </c>
      <c r="AM5857">
        <v>91.627241759956107</v>
      </c>
      <c r="AN5857">
        <v>1.0000000070627899</v>
      </c>
    </row>
    <row r="5858" spans="1:40" x14ac:dyDescent="0.25">
      <c r="A5858" t="str">
        <f>"20190303154258181"</f>
        <v>20190303154258181</v>
      </c>
      <c r="B5858" t="str">
        <f>"1551598978176314"</f>
        <v>1551598978176314</v>
      </c>
      <c r="C5858" t="s">
        <v>40</v>
      </c>
      <c r="D5858">
        <v>5.7109800000000002</v>
      </c>
      <c r="E5858">
        <v>0.50563809999999998</v>
      </c>
      <c r="F5858" t="s">
        <v>41</v>
      </c>
      <c r="G5858">
        <v>-422.03539999999998</v>
      </c>
      <c r="H5858" s="1">
        <v>-4.0379680000000001E-6</v>
      </c>
      <c r="I5858">
        <v>77.791600000000003</v>
      </c>
      <c r="J5858">
        <v>-422.12369999999999</v>
      </c>
      <c r="K5858">
        <v>1.1208089999999999</v>
      </c>
      <c r="L5858">
        <v>110.6056</v>
      </c>
      <c r="M5858">
        <v>-1.282845E-2</v>
      </c>
      <c r="N5858">
        <v>-9.3418259999999993E-3</v>
      </c>
      <c r="O5858">
        <v>-0.99987400000000004</v>
      </c>
      <c r="P5858">
        <v>1.7603400000000002E-2</v>
      </c>
      <c r="Q5858">
        <v>-0.1087858</v>
      </c>
      <c r="R5858">
        <v>-0.99390940000000005</v>
      </c>
      <c r="S5858">
        <v>7.8125E-3</v>
      </c>
      <c r="T5858">
        <v>-0.10196570000000001</v>
      </c>
      <c r="U5858">
        <v>-3.0074920000000001</v>
      </c>
      <c r="V5858">
        <v>-3.0248770000000001E-2</v>
      </c>
      <c r="W5858">
        <v>-9.9530789999999994E-2</v>
      </c>
      <c r="X5858">
        <v>0.99457459999999998</v>
      </c>
      <c r="Y5858">
        <v>-1.542253E-2</v>
      </c>
      <c r="Z5858">
        <v>2.4540070000000001E-2</v>
      </c>
      <c r="AA5858">
        <v>0.99957989999999997</v>
      </c>
      <c r="AB5858">
        <v>25</v>
      </c>
      <c r="AC5858">
        <v>8.8300000000003806E-2</v>
      </c>
      <c r="AD5858">
        <v>-1.1208130379679999</v>
      </c>
      <c r="AE5858">
        <v>-32.813999999999901</v>
      </c>
      <c r="AF5858">
        <v>-0.50867044542546103</v>
      </c>
      <c r="AG5858">
        <v>-1.1208130379679999</v>
      </c>
      <c r="AH5858">
        <v>32.771933013835799</v>
      </c>
      <c r="AI5858">
        <v>91.958539071002704</v>
      </c>
      <c r="AJ5858">
        <v>90.889246585544697</v>
      </c>
      <c r="AK5858">
        <v>32.795038663667803</v>
      </c>
      <c r="AL5858">
        <v>95.7121519249702</v>
      </c>
      <c r="AM5858">
        <v>91.742044059159994</v>
      </c>
      <c r="AN5858">
        <v>1.00000000060484</v>
      </c>
    </row>
    <row r="5859" spans="1:40" x14ac:dyDescent="0.25">
      <c r="A5859" t="str">
        <f>"20190303154258203"</f>
        <v>20190303154258203</v>
      </c>
      <c r="B5859" t="str">
        <f>"1551598978195838"</f>
        <v>1551598978195838</v>
      </c>
      <c r="C5859" t="s">
        <v>40</v>
      </c>
      <c r="D5859">
        <v>5.7388820000000003</v>
      </c>
      <c r="E5859">
        <v>0.50600389999999995</v>
      </c>
      <c r="F5859" t="s">
        <v>41</v>
      </c>
      <c r="G5859">
        <v>-421.97289999999998</v>
      </c>
      <c r="H5859" s="1">
        <v>-3.1174239999999998E-6</v>
      </c>
      <c r="I5859">
        <v>75.632230000000007</v>
      </c>
      <c r="J5859">
        <v>-422.12619999999998</v>
      </c>
      <c r="K5859">
        <v>1.120811</v>
      </c>
      <c r="L5859">
        <v>110.3578</v>
      </c>
      <c r="M5859">
        <v>-1.217092E-2</v>
      </c>
      <c r="N5859">
        <v>-9.3424690000000008E-3</v>
      </c>
      <c r="O5859">
        <v>-0.9998823</v>
      </c>
      <c r="P5859">
        <v>2.070812E-2</v>
      </c>
      <c r="Q5859">
        <v>-0.1045922</v>
      </c>
      <c r="R5859">
        <v>-0.99429979999999996</v>
      </c>
      <c r="S5859">
        <v>1.2969970000000001E-2</v>
      </c>
      <c r="T5859">
        <v>-9.6386310000000003E-2</v>
      </c>
      <c r="U5859">
        <v>-3.0075989999999999</v>
      </c>
      <c r="V5859">
        <v>-3.2712140000000001E-2</v>
      </c>
      <c r="W5859">
        <v>-9.533461E-2</v>
      </c>
      <c r="X5859">
        <v>0.99490769999999995</v>
      </c>
      <c r="Y5859">
        <v>-1.6479089999999998E-2</v>
      </c>
      <c r="Z5859">
        <v>2.2685960000000002E-2</v>
      </c>
      <c r="AA5859">
        <v>0.99960680000000002</v>
      </c>
      <c r="AB5859">
        <v>25</v>
      </c>
      <c r="AC5859">
        <v>0.15330000000000099</v>
      </c>
      <c r="AD5859">
        <v>-1.1208141174240001</v>
      </c>
      <c r="AE5859">
        <v>-34.725569999999898</v>
      </c>
      <c r="AF5859">
        <v>-0.57534985294054097</v>
      </c>
      <c r="AG5859">
        <v>-1.1208141174240001</v>
      </c>
      <c r="AH5859">
        <v>34.684999023017802</v>
      </c>
      <c r="AI5859">
        <v>91.850562440669904</v>
      </c>
      <c r="AJ5859">
        <v>90.950327121703495</v>
      </c>
      <c r="AK5859">
        <v>34.707872435023198</v>
      </c>
      <c r="AL5859">
        <v>95.470578681032293</v>
      </c>
      <c r="AM5859">
        <v>91.883182325454399</v>
      </c>
      <c r="AN5859">
        <v>1.0000000517432499</v>
      </c>
    </row>
    <row r="5860" spans="1:40" x14ac:dyDescent="0.25">
      <c r="A5860" t="str">
        <f>"20190303154258226"</f>
        <v>20190303154258226</v>
      </c>
      <c r="B5860" t="str">
        <f>"1551598978216347"</f>
        <v>1551598978216347</v>
      </c>
      <c r="C5860" t="s">
        <v>40</v>
      </c>
      <c r="D5860">
        <v>5.7104299999999997</v>
      </c>
      <c r="E5860">
        <v>0.50632250000000001</v>
      </c>
      <c r="F5860" t="s">
        <v>41</v>
      </c>
      <c r="G5860">
        <v>-421.86</v>
      </c>
      <c r="H5860" s="1">
        <v>-8.3099789999999997E-7</v>
      </c>
      <c r="I5860">
        <v>70.372540000000001</v>
      </c>
      <c r="J5860">
        <v>-422.1284</v>
      </c>
      <c r="K5860">
        <v>1.120817</v>
      </c>
      <c r="L5860">
        <v>110.1084</v>
      </c>
      <c r="M5860">
        <v>-1.151926E-2</v>
      </c>
      <c r="N5860">
        <v>-9.3414029999999999E-3</v>
      </c>
      <c r="O5860">
        <v>-0.9998899</v>
      </c>
      <c r="P5860">
        <v>2.2926640000000002E-2</v>
      </c>
      <c r="Q5860">
        <v>-0.10061589999999999</v>
      </c>
      <c r="R5860">
        <v>-0.99466120000000002</v>
      </c>
      <c r="S5860">
        <v>2.0019530000000001E-2</v>
      </c>
      <c r="T5860">
        <v>-8.4313750000000007E-2</v>
      </c>
      <c r="U5860">
        <v>-3.0079189999999998</v>
      </c>
      <c r="V5860">
        <v>-3.4292870000000003E-2</v>
      </c>
      <c r="W5860">
        <v>-9.1357019999999997E-2</v>
      </c>
      <c r="X5860">
        <v>0.99522759999999999</v>
      </c>
      <c r="Y5860">
        <v>-1.8170200000000001E-2</v>
      </c>
      <c r="Z5860">
        <v>1.8674860000000001E-2</v>
      </c>
      <c r="AA5860">
        <v>0.99966049999999995</v>
      </c>
      <c r="AB5860">
        <v>25</v>
      </c>
      <c r="AC5860">
        <v>0.26839999999998498</v>
      </c>
      <c r="AD5860">
        <v>-1.1208178309979</v>
      </c>
      <c r="AE5860">
        <v>-39.735859999999903</v>
      </c>
      <c r="AF5860">
        <v>-0.72555268197314804</v>
      </c>
      <c r="AG5860">
        <v>-1.1208178309979</v>
      </c>
      <c r="AH5860">
        <v>39.6985479799445</v>
      </c>
      <c r="AI5860">
        <v>91.616944836142693</v>
      </c>
      <c r="AJ5860">
        <v>91.047052873077305</v>
      </c>
      <c r="AK5860">
        <v>39.720994083992402</v>
      </c>
      <c r="AL5860">
        <v>95.241680045110002</v>
      </c>
      <c r="AM5860">
        <v>91.973477876572503</v>
      </c>
      <c r="AN5860">
        <v>1.00000004091893</v>
      </c>
    </row>
    <row r="5861" spans="1:40" x14ac:dyDescent="0.25">
      <c r="A5861" t="str">
        <f>"20190303154258249"</f>
        <v>20190303154258249</v>
      </c>
      <c r="B5861" t="str">
        <f>"1551598978246588"</f>
        <v>1551598978246588</v>
      </c>
      <c r="C5861" t="s">
        <v>40</v>
      </c>
      <c r="D5861">
        <v>5.8554909999999998</v>
      </c>
      <c r="E5861">
        <v>0.50627599999999995</v>
      </c>
      <c r="F5861" t="s">
        <v>41</v>
      </c>
      <c r="G5861">
        <v>-421.75709999999998</v>
      </c>
      <c r="H5861" s="1">
        <v>-2.4147910000000001E-6</v>
      </c>
      <c r="I5861">
        <v>64.128219999999999</v>
      </c>
      <c r="J5861">
        <v>-422.13060000000002</v>
      </c>
      <c r="K5861">
        <v>1.1208070000000001</v>
      </c>
      <c r="L5861">
        <v>109.8595</v>
      </c>
      <c r="M5861">
        <v>-1.087187E-2</v>
      </c>
      <c r="N5861">
        <v>-9.3294859999999997E-3</v>
      </c>
      <c r="O5861">
        <v>-0.99989749999999999</v>
      </c>
      <c r="P5861">
        <v>2.437158E-2</v>
      </c>
      <c r="Q5861">
        <v>-9.9801000000000001E-2</v>
      </c>
      <c r="R5861">
        <v>-0.99470919999999896</v>
      </c>
      <c r="S5861">
        <v>2.4291989999999999E-2</v>
      </c>
      <c r="T5861">
        <v>-7.3326230000000006E-2</v>
      </c>
      <c r="U5861">
        <v>-3.0081180000000001</v>
      </c>
      <c r="V5861">
        <v>-3.5096019999999999E-2</v>
      </c>
      <c r="W5861">
        <v>-9.0554120000000002E-2</v>
      </c>
      <c r="X5861">
        <v>0.99527290000000002</v>
      </c>
      <c r="Y5861">
        <v>-1.8942839999999999E-2</v>
      </c>
      <c r="Z5861">
        <v>1.5035949999999999E-2</v>
      </c>
      <c r="AA5861">
        <v>0.99970749999999997</v>
      </c>
      <c r="AB5861">
        <v>25</v>
      </c>
      <c r="AC5861">
        <v>0.37350000000003503</v>
      </c>
      <c r="AD5861">
        <v>-1.1208094147909999</v>
      </c>
      <c r="AE5861">
        <v>-45.731279999999998</v>
      </c>
      <c r="AF5861">
        <v>-0.87016138629886497</v>
      </c>
      <c r="AG5861">
        <v>-1.1208094147909999</v>
      </c>
      <c r="AH5861">
        <v>45.697069119513301</v>
      </c>
      <c r="AI5861">
        <v>91.404754078637794</v>
      </c>
      <c r="AJ5861">
        <v>91.090891632023698</v>
      </c>
      <c r="AK5861">
        <v>45.719093611926098</v>
      </c>
      <c r="AL5861">
        <v>95.195486196129806</v>
      </c>
      <c r="AM5861">
        <v>92.0195676720747</v>
      </c>
      <c r="AN5861">
        <v>0.99999996237161104</v>
      </c>
    </row>
    <row r="5862" spans="1:40" x14ac:dyDescent="0.25">
      <c r="A5862" t="str">
        <f>"20190303154258271"</f>
        <v>20190303154258271</v>
      </c>
      <c r="B5862" t="str">
        <f>"1551598978266107"</f>
        <v>1551598978266107</v>
      </c>
      <c r="C5862" t="s">
        <v>40</v>
      </c>
      <c r="D5862">
        <v>5.7763679999999997</v>
      </c>
      <c r="E5862">
        <v>0.5064611</v>
      </c>
      <c r="F5862" t="s">
        <v>41</v>
      </c>
      <c r="G5862">
        <v>-421.72410000000002</v>
      </c>
      <c r="H5862" s="1">
        <v>-3.8230009999999999E-6</v>
      </c>
      <c r="I5862">
        <v>67.431280000000001</v>
      </c>
      <c r="J5862">
        <v>-422.13260000000002</v>
      </c>
      <c r="K5862">
        <v>1.1207940000000001</v>
      </c>
      <c r="L5862">
        <v>109.6073</v>
      </c>
      <c r="M5862">
        <v>-1.021381E-2</v>
      </c>
      <c r="N5862">
        <v>-9.3008529999999996E-3</v>
      </c>
      <c r="O5862">
        <v>-0.99990469999999998</v>
      </c>
      <c r="P5862">
        <v>2.4808299999999998E-2</v>
      </c>
      <c r="Q5862">
        <v>-0.101618</v>
      </c>
      <c r="R5862">
        <v>-0.99451449999999997</v>
      </c>
      <c r="S5862">
        <v>2.8808589999999999E-2</v>
      </c>
      <c r="T5862">
        <v>-7.9442620000000005E-2</v>
      </c>
      <c r="U5862">
        <v>-3.0072939999999999</v>
      </c>
      <c r="V5862">
        <v>-3.4873660000000001E-2</v>
      </c>
      <c r="W5862">
        <v>-9.2401090000000005E-2</v>
      </c>
      <c r="X5862">
        <v>0.99511099999999997</v>
      </c>
      <c r="Y5862">
        <v>-1.978773E-2</v>
      </c>
      <c r="Z5862">
        <v>1.7102969999999999E-2</v>
      </c>
      <c r="AA5862">
        <v>0.99965789999999999</v>
      </c>
      <c r="AB5862">
        <v>25</v>
      </c>
      <c r="AC5862">
        <v>0.40850000000000303</v>
      </c>
      <c r="AD5862">
        <v>-1.1207978230010001</v>
      </c>
      <c r="AE5862">
        <v>-42.176020000000001</v>
      </c>
      <c r="AF5862">
        <v>-0.838682910891281</v>
      </c>
      <c r="AG5862">
        <v>-1.1207978230010001</v>
      </c>
      <c r="AH5862">
        <v>42.139891187866198</v>
      </c>
      <c r="AI5862">
        <v>91.523239419364799</v>
      </c>
      <c r="AJ5862">
        <v>91.140170196053106</v>
      </c>
      <c r="AK5862">
        <v>42.163135629484103</v>
      </c>
      <c r="AL5862">
        <v>95.301755078476802</v>
      </c>
      <c r="AM5862">
        <v>92.007108896320105</v>
      </c>
      <c r="AN5862">
        <v>1.00000001795799</v>
      </c>
    </row>
    <row r="5863" spans="1:40" x14ac:dyDescent="0.25">
      <c r="A5863" t="str">
        <f>"20190303154258294"</f>
        <v>20190303154258294</v>
      </c>
      <c r="B5863" t="str">
        <f>"1551598978285627"</f>
        <v>1551598978285627</v>
      </c>
      <c r="C5863" t="s">
        <v>40</v>
      </c>
      <c r="D5863">
        <v>5.8835069999999998</v>
      </c>
      <c r="E5863">
        <v>0.50664960000000003</v>
      </c>
      <c r="F5863" t="s">
        <v>41</v>
      </c>
      <c r="G5863">
        <v>-421.77390000000003</v>
      </c>
      <c r="H5863" s="1">
        <v>-1.2686180000000001E-6</v>
      </c>
      <c r="I5863">
        <v>71.446060000000003</v>
      </c>
      <c r="J5863">
        <v>-422.13440000000003</v>
      </c>
      <c r="K5863">
        <v>1.120784</v>
      </c>
      <c r="L5863">
        <v>109.3571</v>
      </c>
      <c r="M5863">
        <v>-9.5556779999999997E-3</v>
      </c>
      <c r="N5863">
        <v>-9.2517829999999995E-3</v>
      </c>
      <c r="O5863">
        <v>-0.99991160000000001</v>
      </c>
      <c r="P5863">
        <v>2.459165E-2</v>
      </c>
      <c r="Q5863">
        <v>-0.1023476</v>
      </c>
      <c r="R5863">
        <v>-0.99444480000000002</v>
      </c>
      <c r="S5863">
        <v>2.8259280000000001E-2</v>
      </c>
      <c r="T5863">
        <v>-8.8310719999999995E-2</v>
      </c>
      <c r="U5863">
        <v>-3.0068359999999998</v>
      </c>
      <c r="V5863">
        <v>-3.4000460000000003E-2</v>
      </c>
      <c r="W5863">
        <v>-9.3179390000000001E-2</v>
      </c>
      <c r="X5863">
        <v>0.99506859999999997</v>
      </c>
      <c r="Y5863">
        <v>-1.894788E-2</v>
      </c>
      <c r="Z5863">
        <v>2.010257E-2</v>
      </c>
      <c r="AA5863">
        <v>0.99961840000000002</v>
      </c>
      <c r="AB5863">
        <v>25</v>
      </c>
      <c r="AC5863">
        <v>0.36050000000000099</v>
      </c>
      <c r="AD5863">
        <v>-1.120785268618</v>
      </c>
      <c r="AE5863">
        <v>-37.91104</v>
      </c>
      <c r="AF5863">
        <v>-0.72213362411731596</v>
      </c>
      <c r="AG5863">
        <v>-1.120785268618</v>
      </c>
      <c r="AH5863">
        <v>37.872766039178302</v>
      </c>
      <c r="AI5863">
        <v>91.694776377775099</v>
      </c>
      <c r="AJ5863">
        <v>91.092346827159602</v>
      </c>
      <c r="AK5863">
        <v>37.896227306260599</v>
      </c>
      <c r="AL5863">
        <v>95.346541841304102</v>
      </c>
      <c r="AM5863">
        <v>91.956975880477998</v>
      </c>
      <c r="AN5863">
        <v>0.99999997435347099</v>
      </c>
    </row>
    <row r="5864" spans="1:40" x14ac:dyDescent="0.25">
      <c r="A5864" t="str">
        <f>"20190303154258316"</f>
        <v>20190303154258316</v>
      </c>
      <c r="B5864" t="str">
        <f>"1551598978306123"</f>
        <v>1551598978306123</v>
      </c>
      <c r="C5864" t="s">
        <v>40</v>
      </c>
      <c r="D5864">
        <v>5.8963539999999997</v>
      </c>
      <c r="E5864">
        <v>0.50667419999999996</v>
      </c>
      <c r="F5864" t="s">
        <v>41</v>
      </c>
      <c r="G5864">
        <v>-421.82190000000003</v>
      </c>
      <c r="H5864" s="1">
        <v>-2.1359160000000002E-6</v>
      </c>
      <c r="I5864">
        <v>73.437969999999893</v>
      </c>
      <c r="J5864">
        <v>-422.1361</v>
      </c>
      <c r="K5864">
        <v>1.1207769999999999</v>
      </c>
      <c r="L5864">
        <v>109.1058</v>
      </c>
      <c r="M5864">
        <v>-8.888165E-3</v>
      </c>
      <c r="N5864">
        <v>-9.1741170000000007E-3</v>
      </c>
      <c r="O5864">
        <v>-0.99991850000000004</v>
      </c>
      <c r="P5864">
        <v>2.4085240000000001E-2</v>
      </c>
      <c r="Q5864">
        <v>-0.1006534</v>
      </c>
      <c r="R5864">
        <v>-0.99463000000000001</v>
      </c>
      <c r="S5864">
        <v>2.6153559999999999E-2</v>
      </c>
      <c r="T5864">
        <v>-9.3810560000000001E-2</v>
      </c>
      <c r="U5864">
        <v>-3.0064540000000002</v>
      </c>
      <c r="V5864">
        <v>-3.2832939999999998E-2</v>
      </c>
      <c r="W5864">
        <v>-9.1559829999999995E-2</v>
      </c>
      <c r="X5864">
        <v>0.99525819999999998</v>
      </c>
      <c r="Y5864">
        <v>-1.75812999999999E-2</v>
      </c>
      <c r="Z5864">
        <v>2.201171E-2</v>
      </c>
      <c r="AA5864">
        <v>0.99960309999999997</v>
      </c>
      <c r="AB5864">
        <v>25</v>
      </c>
      <c r="AC5864">
        <v>0.314199999999971</v>
      </c>
      <c r="AD5864">
        <v>-1.120779135916</v>
      </c>
      <c r="AE5864">
        <v>-35.667830000000002</v>
      </c>
      <c r="AF5864">
        <v>-0.63059986411761804</v>
      </c>
      <c r="AG5864">
        <v>-1.120779135916</v>
      </c>
      <c r="AH5864">
        <v>35.628451921701398</v>
      </c>
      <c r="AI5864">
        <v>91.801501196020496</v>
      </c>
      <c r="AJ5864">
        <v>91.013991253892499</v>
      </c>
      <c r="AK5864">
        <v>35.651653375364198</v>
      </c>
      <c r="AL5864">
        <v>95.253349088863402</v>
      </c>
      <c r="AM5864">
        <v>91.889466376275095</v>
      </c>
      <c r="AN5864">
        <v>1.00000004454295</v>
      </c>
    </row>
    <row r="5865" spans="1:40" x14ac:dyDescent="0.25">
      <c r="A5865" t="str">
        <f>"20190303154258338"</f>
        <v>20190303154258338</v>
      </c>
      <c r="B5865" t="str">
        <f>"1551598978326620"</f>
        <v>1551598978326620</v>
      </c>
      <c r="C5865" t="s">
        <v>40</v>
      </c>
      <c r="D5865">
        <v>5.8745940000000001</v>
      </c>
      <c r="E5865">
        <v>0.50670669999999995</v>
      </c>
      <c r="F5865" t="s">
        <v>41</v>
      </c>
      <c r="G5865">
        <v>-421.84930000000003</v>
      </c>
      <c r="H5865" s="1">
        <v>-2.0634820000000002E-6</v>
      </c>
      <c r="I5865">
        <v>73.252169999999893</v>
      </c>
      <c r="J5865">
        <v>-422.13749999999999</v>
      </c>
      <c r="K5865">
        <v>1.12077</v>
      </c>
      <c r="L5865">
        <v>108.86499999999999</v>
      </c>
      <c r="M5865">
        <v>-8.2425069999999996E-3</v>
      </c>
      <c r="N5865">
        <v>-9.0759299999999994E-3</v>
      </c>
      <c r="O5865">
        <v>-0.99992499999999995</v>
      </c>
      <c r="P5865">
        <v>2.316056E-2</v>
      </c>
      <c r="Q5865">
        <v>-9.8150150000000005E-2</v>
      </c>
      <c r="R5865">
        <v>-0.99490230000000002</v>
      </c>
      <c r="S5865">
        <v>2.4047849999999999E-2</v>
      </c>
      <c r="T5865">
        <v>-9.3970300000000007E-2</v>
      </c>
      <c r="U5865">
        <v>-3.0061040000000001</v>
      </c>
      <c r="V5865">
        <v>-3.1269390000000001E-2</v>
      </c>
      <c r="W5865">
        <v>-8.9150469999999996E-2</v>
      </c>
      <c r="X5865">
        <v>0.99552719999999995</v>
      </c>
      <c r="Y5865">
        <v>-1.6236790000000001E-2</v>
      </c>
      <c r="Z5865">
        <v>2.2167340000000001E-2</v>
      </c>
      <c r="AA5865">
        <v>0.99962240000000002</v>
      </c>
      <c r="AB5865">
        <v>25</v>
      </c>
      <c r="AC5865">
        <v>0.28819999999995999</v>
      </c>
      <c r="AD5865">
        <v>-1.120772063482</v>
      </c>
      <c r="AE5865">
        <v>-35.612829999999903</v>
      </c>
      <c r="AF5865">
        <v>-0.58116569020474695</v>
      </c>
      <c r="AG5865">
        <v>-1.120772063482</v>
      </c>
      <c r="AH5865">
        <v>35.574013456375397</v>
      </c>
      <c r="AI5865">
        <v>91.804286608908598</v>
      </c>
      <c r="AJ5865">
        <v>90.935946668408405</v>
      </c>
      <c r="AK5865">
        <v>35.596408765100598</v>
      </c>
      <c r="AL5865">
        <v>95.114736180795006</v>
      </c>
      <c r="AM5865">
        <v>91.799062081092003</v>
      </c>
      <c r="AN5865">
        <v>0.99999999349601598</v>
      </c>
    </row>
    <row r="5866" spans="1:40" x14ac:dyDescent="0.25">
      <c r="A5866" t="str">
        <f>"20190303154258360"</f>
        <v>20190303154258360</v>
      </c>
      <c r="B5866" t="str">
        <f>"1551598978355899"</f>
        <v>1551598978355899</v>
      </c>
      <c r="C5866" t="s">
        <v>40</v>
      </c>
      <c r="D5866">
        <v>5.8857929999999996</v>
      </c>
      <c r="E5866">
        <v>0.50681019999999999</v>
      </c>
      <c r="F5866" t="s">
        <v>41</v>
      </c>
      <c r="G5866">
        <v>-421.88810000000001</v>
      </c>
      <c r="H5866" s="1">
        <v>-1.5044050000000001E-6</v>
      </c>
      <c r="I5866">
        <v>71.924850000000006</v>
      </c>
      <c r="J5866">
        <v>-422.13889999999998</v>
      </c>
      <c r="K5866">
        <v>1.1207549999999999</v>
      </c>
      <c r="L5866">
        <v>108.6097</v>
      </c>
      <c r="M5866">
        <v>-7.5540549999999996E-3</v>
      </c>
      <c r="N5866">
        <v>-8.9650839999999999E-3</v>
      </c>
      <c r="O5866">
        <v>-0.99993149999999997</v>
      </c>
      <c r="P5866">
        <v>2.1885660000000001E-2</v>
      </c>
      <c r="Q5866">
        <v>-9.7365969999999996E-2</v>
      </c>
      <c r="R5866">
        <v>-0.99500820000000001</v>
      </c>
      <c r="S5866">
        <v>2.029419E-2</v>
      </c>
      <c r="T5866">
        <v>-9.1199760000000005E-2</v>
      </c>
      <c r="U5866">
        <v>-3.0059049999999998</v>
      </c>
      <c r="V5866">
        <v>-2.9310570000000001E-2</v>
      </c>
      <c r="W5866">
        <v>-8.8473769999999993E-2</v>
      </c>
      <c r="X5866">
        <v>0.99564719999999995</v>
      </c>
      <c r="Y5866">
        <v>-1.430122E-2</v>
      </c>
      <c r="Z5866">
        <v>2.136064E-2</v>
      </c>
      <c r="AA5866">
        <v>0.99966960000000005</v>
      </c>
      <c r="AB5866">
        <v>25</v>
      </c>
      <c r="AC5866">
        <v>0.25079999999996899</v>
      </c>
      <c r="AD5866">
        <v>-1.1207565044050001</v>
      </c>
      <c r="AE5866">
        <v>-36.684849999999997</v>
      </c>
      <c r="AF5866">
        <v>-0.52743103419591597</v>
      </c>
      <c r="AG5866">
        <v>-1.1207565044050001</v>
      </c>
      <c r="AH5866">
        <v>36.647704689545499</v>
      </c>
      <c r="AI5866">
        <v>91.7514866840108</v>
      </c>
      <c r="AJ5866">
        <v>90.824539662821493</v>
      </c>
      <c r="AK5866">
        <v>36.668631521371701</v>
      </c>
      <c r="AL5866">
        <v>95.075810109275395</v>
      </c>
      <c r="AM5866">
        <v>91.686226880915797</v>
      </c>
      <c r="AN5866">
        <v>1.00000003217978</v>
      </c>
    </row>
    <row r="5867" spans="1:40" x14ac:dyDescent="0.25">
      <c r="A5867" t="str">
        <f>"20190303154258383"</f>
        <v>20190303154258383</v>
      </c>
      <c r="B5867" t="str">
        <f>"1551598978376398"</f>
        <v>1551598978376398</v>
      </c>
      <c r="C5867" t="s">
        <v>40</v>
      </c>
      <c r="D5867">
        <v>5.7879069999999997</v>
      </c>
      <c r="E5867">
        <v>0.50700009999999995</v>
      </c>
      <c r="F5867" t="s">
        <v>41</v>
      </c>
      <c r="G5867">
        <v>-421.95429999999999</v>
      </c>
      <c r="H5867" s="1">
        <v>-2.147991E-6</v>
      </c>
      <c r="I5867">
        <v>73.384</v>
      </c>
      <c r="J5867">
        <v>-422.14</v>
      </c>
      <c r="K5867">
        <v>1.1207260000000001</v>
      </c>
      <c r="L5867">
        <v>108.36320000000001</v>
      </c>
      <c r="M5867">
        <v>-6.8869469999999896E-3</v>
      </c>
      <c r="N5867">
        <v>-8.8512699999999996E-3</v>
      </c>
      <c r="O5867">
        <v>-0.99993739999999998</v>
      </c>
      <c r="P5867">
        <v>2.033828E-2</v>
      </c>
      <c r="Q5867">
        <v>-9.8047789999999996E-2</v>
      </c>
      <c r="R5867">
        <v>-0.99497429999999998</v>
      </c>
      <c r="S5867">
        <v>1.5747069999999998E-2</v>
      </c>
      <c r="T5867">
        <v>-9.5619319999999994E-2</v>
      </c>
      <c r="U5867">
        <v>-3.005341</v>
      </c>
      <c r="V5867">
        <v>-2.7097139999999999E-2</v>
      </c>
      <c r="W5867">
        <v>-8.9266960000000006E-2</v>
      </c>
      <c r="X5867">
        <v>0.9956391</v>
      </c>
      <c r="Y5867">
        <v>-1.212306E-2</v>
      </c>
      <c r="Z5867">
        <v>2.2949669999999998E-2</v>
      </c>
      <c r="AA5867">
        <v>0.99966310000000003</v>
      </c>
      <c r="AB5867">
        <v>25</v>
      </c>
      <c r="AC5867">
        <v>0.18569999999999701</v>
      </c>
      <c r="AD5867">
        <v>-1.1207281479910001</v>
      </c>
      <c r="AE5867">
        <v>-34.979199999999999</v>
      </c>
      <c r="AF5867">
        <v>-0.426167389174958</v>
      </c>
      <c r="AG5867">
        <v>-1.1207281479910001</v>
      </c>
      <c r="AH5867">
        <v>34.941223477012898</v>
      </c>
      <c r="AI5867">
        <v>91.836976754559203</v>
      </c>
      <c r="AJ5867">
        <v>90.698784406000499</v>
      </c>
      <c r="AK5867">
        <v>34.961789832556597</v>
      </c>
      <c r="AL5867">
        <v>95.121437089692805</v>
      </c>
      <c r="AM5867">
        <v>91.558967103154799</v>
      </c>
      <c r="AN5867">
        <v>1.00000003129631</v>
      </c>
    </row>
    <row r="5868" spans="1:40" x14ac:dyDescent="0.25">
      <c r="A5868" t="str">
        <f>"20190303154258404"</f>
        <v>20190303154258404</v>
      </c>
      <c r="B5868" t="str">
        <f>"1551598978395918"</f>
        <v>1551598978395918</v>
      </c>
      <c r="C5868" t="s">
        <v>40</v>
      </c>
      <c r="D5868">
        <v>5.7263229999999998</v>
      </c>
      <c r="E5868">
        <v>0.50725540000000002</v>
      </c>
      <c r="F5868" t="s">
        <v>41</v>
      </c>
      <c r="G5868">
        <v>-422.0378</v>
      </c>
      <c r="H5868" s="1">
        <v>-2.7832650000000002E-6</v>
      </c>
      <c r="I5868">
        <v>74.813059999999993</v>
      </c>
      <c r="J5868">
        <v>-422.14100000000002</v>
      </c>
      <c r="K5868">
        <v>1.120706</v>
      </c>
      <c r="L5868">
        <v>108.1174</v>
      </c>
      <c r="M5868">
        <v>-6.2200170000000004E-3</v>
      </c>
      <c r="N5868">
        <v>-8.7270509999999996E-3</v>
      </c>
      <c r="O5868">
        <v>-0.99994289999999997</v>
      </c>
      <c r="P5868">
        <v>1.899197E-2</v>
      </c>
      <c r="Q5868">
        <v>-9.9461980000000005E-2</v>
      </c>
      <c r="R5868">
        <v>-0.99486039999999998</v>
      </c>
      <c r="S5868">
        <v>9.1552730000000002E-3</v>
      </c>
      <c r="T5868">
        <v>-0.1003836</v>
      </c>
      <c r="U5868">
        <v>-3.0050810000000001</v>
      </c>
      <c r="V5868">
        <v>-2.5083939999999999E-2</v>
      </c>
      <c r="W5868">
        <v>-9.0803750000000003E-2</v>
      </c>
      <c r="X5868">
        <v>0.99555280000000002</v>
      </c>
      <c r="Y5868">
        <v>-9.2641200000000007E-3</v>
      </c>
      <c r="Z5868">
        <v>2.4660720000000001E-2</v>
      </c>
      <c r="AA5868">
        <v>0.99965300000000001</v>
      </c>
      <c r="AB5868">
        <v>25</v>
      </c>
      <c r="AC5868">
        <v>0.10319999999995801</v>
      </c>
      <c r="AD5868">
        <v>-1.120708783265</v>
      </c>
      <c r="AE5868">
        <v>-33.304340000000003</v>
      </c>
      <c r="AF5868">
        <v>-0.31000834863059101</v>
      </c>
      <c r="AG5868">
        <v>-1.120708783265</v>
      </c>
      <c r="AH5868">
        <v>33.265385790008303</v>
      </c>
      <c r="AI5868">
        <v>91.929477731695499</v>
      </c>
      <c r="AJ5868">
        <v>90.533938067759806</v>
      </c>
      <c r="AK5868">
        <v>33.285702412765602</v>
      </c>
      <c r="AL5868">
        <v>95.209848168385093</v>
      </c>
      <c r="AM5868">
        <v>91.443318607315703</v>
      </c>
      <c r="AN5868">
        <v>0.99999995132391095</v>
      </c>
    </row>
    <row r="5869" spans="1:40" x14ac:dyDescent="0.25">
      <c r="A5869" t="str">
        <f>"20190303154258426"</f>
        <v>20190303154258426</v>
      </c>
      <c r="B5869" t="str">
        <f>"1551598978416411"</f>
        <v>1551598978416411</v>
      </c>
      <c r="C5869" t="s">
        <v>40</v>
      </c>
      <c r="D5869">
        <v>5.6949329999999998</v>
      </c>
      <c r="E5869">
        <v>0.50734520000000005</v>
      </c>
      <c r="F5869" t="s">
        <v>41</v>
      </c>
      <c r="G5869">
        <v>-422.10419999999999</v>
      </c>
      <c r="H5869" s="1">
        <v>-3.4653609999999999E-6</v>
      </c>
      <c r="I5869">
        <v>76.361869999999996</v>
      </c>
      <c r="J5869">
        <v>-422.14179999999999</v>
      </c>
      <c r="K5869">
        <v>1.1207</v>
      </c>
      <c r="L5869">
        <v>107.8648</v>
      </c>
      <c r="M5869">
        <v>-5.5302729999999996E-3</v>
      </c>
      <c r="N5869">
        <v>-8.595208E-3</v>
      </c>
      <c r="O5869">
        <v>-0.99994769999999999</v>
      </c>
      <c r="P5869">
        <v>1.8690419999999999E-2</v>
      </c>
      <c r="Q5869">
        <v>-9.9889199999999997E-2</v>
      </c>
      <c r="R5869">
        <v>-0.99482289999999995</v>
      </c>
      <c r="S5869">
        <v>3.479004E-3</v>
      </c>
      <c r="T5869">
        <v>-0.1060455</v>
      </c>
      <c r="U5869">
        <v>-3.0048219999999999</v>
      </c>
      <c r="V5869">
        <v>-2.4093860000000002E-2</v>
      </c>
      <c r="W5869">
        <v>-9.1361750000000005E-2</v>
      </c>
      <c r="X5869">
        <v>0.99552629999999998</v>
      </c>
      <c r="Y5869">
        <v>-6.6865910000000004E-3</v>
      </c>
      <c r="Z5869">
        <v>2.6677409999999999E-2</v>
      </c>
      <c r="AA5869">
        <v>0.99962169999999895</v>
      </c>
      <c r="AB5869">
        <v>25</v>
      </c>
      <c r="AC5869">
        <v>3.7599999999997601E-2</v>
      </c>
      <c r="AD5869">
        <v>-1.120703465361</v>
      </c>
      <c r="AE5869">
        <v>-31.502929999999999</v>
      </c>
      <c r="AF5869">
        <v>-0.21155793892139699</v>
      </c>
      <c r="AG5869">
        <v>-1.120703465361</v>
      </c>
      <c r="AH5869">
        <v>31.462423039764801</v>
      </c>
      <c r="AI5869">
        <v>92.039988846882594</v>
      </c>
      <c r="AJ5869">
        <v>90.385259403778804</v>
      </c>
      <c r="AK5869">
        <v>31.483087468542799</v>
      </c>
      <c r="AL5869">
        <v>95.24195215124</v>
      </c>
      <c r="AM5869">
        <v>91.386409429805795</v>
      </c>
      <c r="AN5869">
        <v>1.00000004872222</v>
      </c>
    </row>
    <row r="5870" spans="1:40" x14ac:dyDescent="0.25">
      <c r="A5870" t="str">
        <f>"20190303154258449"</f>
        <v>20190303154258449</v>
      </c>
      <c r="B5870" t="str">
        <f>"1551598978445690"</f>
        <v>1551598978445690</v>
      </c>
      <c r="C5870" t="s">
        <v>40</v>
      </c>
      <c r="D5870">
        <v>5.6867570000000001</v>
      </c>
      <c r="E5870">
        <v>0.50688489999999997</v>
      </c>
      <c r="F5870" t="s">
        <v>41</v>
      </c>
      <c r="G5870">
        <v>-422.12439999999998</v>
      </c>
      <c r="H5870" s="1">
        <v>-3.6322519999999999E-6</v>
      </c>
      <c r="I5870">
        <v>76.738369999999904</v>
      </c>
      <c r="J5870">
        <v>-422.14249999999998</v>
      </c>
      <c r="K5870">
        <v>1.1207009999999999</v>
      </c>
      <c r="L5870">
        <v>107.60429999999999</v>
      </c>
      <c r="M5870">
        <v>-4.8152969999999996E-3</v>
      </c>
      <c r="N5870">
        <v>-8.4666280000000003E-3</v>
      </c>
      <c r="O5870">
        <v>-0.99995290000000003</v>
      </c>
      <c r="P5870">
        <v>2.0306600000000001E-2</v>
      </c>
      <c r="Q5870">
        <v>-9.8724619999999999E-2</v>
      </c>
      <c r="R5870">
        <v>-0.99490800000000001</v>
      </c>
      <c r="S5870">
        <v>1.6784669999999999E-3</v>
      </c>
      <c r="T5870">
        <v>-0.1081843</v>
      </c>
      <c r="U5870">
        <v>-3.004715</v>
      </c>
      <c r="V5870">
        <v>-2.4998159999999998E-2</v>
      </c>
      <c r="W5870">
        <v>-9.0325929999999999E-2</v>
      </c>
      <c r="X5870">
        <v>0.99559850000000005</v>
      </c>
      <c r="Y5870">
        <v>-5.3728480000000004E-3</v>
      </c>
      <c r="Z5870">
        <v>2.7518210000000001E-2</v>
      </c>
      <c r="AA5870">
        <v>0.99960680000000002</v>
      </c>
      <c r="AB5870">
        <v>25</v>
      </c>
      <c r="AC5870">
        <v>1.8100000000003998E-2</v>
      </c>
      <c r="AD5870">
        <v>-1.120704632252</v>
      </c>
      <c r="AE5870">
        <v>-30.865929999999999</v>
      </c>
      <c r="AF5870">
        <v>-0.16651416738748101</v>
      </c>
      <c r="AG5870">
        <v>-1.120704632252</v>
      </c>
      <c r="AH5870">
        <v>30.8248477096055</v>
      </c>
      <c r="AI5870">
        <v>92.082165670329999</v>
      </c>
      <c r="AJ5870">
        <v>90.309505704970604</v>
      </c>
      <c r="AK5870">
        <v>30.8456632634324</v>
      </c>
      <c r="AL5870">
        <v>95.1823577333424</v>
      </c>
      <c r="AM5870">
        <v>91.438318944785806</v>
      </c>
      <c r="AN5870">
        <v>1.0000000274179901</v>
      </c>
    </row>
    <row r="5871" spans="1:40" x14ac:dyDescent="0.25">
      <c r="A5871" t="str">
        <f>"20190303154258472"</f>
        <v>20190303154258472</v>
      </c>
      <c r="B5871" t="str">
        <f>"1551598978466186"</f>
        <v>1551598978466186</v>
      </c>
      <c r="C5871" t="s">
        <v>40</v>
      </c>
      <c r="D5871">
        <v>5.6597179999999998</v>
      </c>
      <c r="E5871">
        <v>0.50660850000000002</v>
      </c>
      <c r="F5871" t="s">
        <v>41</v>
      </c>
      <c r="G5871">
        <v>-422.03070000000002</v>
      </c>
      <c r="H5871" s="1">
        <v>-3.0784399999999999E-6</v>
      </c>
      <c r="I5871">
        <v>75.505539999999996</v>
      </c>
      <c r="J5871">
        <v>-422.1429</v>
      </c>
      <c r="K5871">
        <v>1.1207049999999901</v>
      </c>
      <c r="L5871">
        <v>107.3524</v>
      </c>
      <c r="M5871">
        <v>-4.1208089999999996E-3</v>
      </c>
      <c r="N5871">
        <v>-8.3540669999999997E-3</v>
      </c>
      <c r="O5871">
        <v>-0.99995650000000003</v>
      </c>
      <c r="P5871">
        <v>2.2087349999999999E-2</v>
      </c>
      <c r="Q5871">
        <v>-9.6948469999999995E-2</v>
      </c>
      <c r="R5871">
        <v>-0.99504420000000005</v>
      </c>
      <c r="S5871">
        <v>1.0467529999999999E-2</v>
      </c>
      <c r="T5871">
        <v>-0.1049079</v>
      </c>
      <c r="U5871">
        <v>-3.0047299999999999</v>
      </c>
      <c r="V5871">
        <v>-2.6088730000000001E-2</v>
      </c>
      <c r="W5871">
        <v>-8.8662409999999997E-2</v>
      </c>
      <c r="X5871">
        <v>0.99572000000000005</v>
      </c>
      <c r="Y5871">
        <v>-7.601961E-3</v>
      </c>
      <c r="Z5871">
        <v>2.654167E-2</v>
      </c>
      <c r="AA5871">
        <v>0.99961880000000003</v>
      </c>
      <c r="AB5871">
        <v>25</v>
      </c>
      <c r="AC5871">
        <v>0.112199999999973</v>
      </c>
      <c r="AD5871">
        <v>-1.1207080784400001</v>
      </c>
      <c r="AE5871">
        <v>-31.84686</v>
      </c>
      <c r="AF5871">
        <v>-0.24313737794953</v>
      </c>
      <c r="AG5871">
        <v>-1.1207080784400001</v>
      </c>
      <c r="AH5871">
        <v>31.806739067582999</v>
      </c>
      <c r="AI5871">
        <v>92.017918779213502</v>
      </c>
      <c r="AJ5871">
        <v>90.437972413189399</v>
      </c>
      <c r="AK5871">
        <v>31.827405682759402</v>
      </c>
      <c r="AL5871">
        <v>95.086661285554996</v>
      </c>
      <c r="AM5871">
        <v>91.5008558788779</v>
      </c>
      <c r="AN5871">
        <v>0.99999998159001002</v>
      </c>
    </row>
    <row r="5872" spans="1:40" x14ac:dyDescent="0.25">
      <c r="A5872" t="str">
        <f>"20190303154258495"</f>
        <v>20190303154258495</v>
      </c>
      <c r="B5872" t="str">
        <f>"1551598978485706"</f>
        <v>1551598978485706</v>
      </c>
      <c r="C5872" t="s">
        <v>40</v>
      </c>
      <c r="D5872">
        <v>5.6562219999999996</v>
      </c>
      <c r="E5872">
        <v>0.5063415</v>
      </c>
      <c r="F5872" t="s">
        <v>41</v>
      </c>
      <c r="G5872">
        <v>-421.9366</v>
      </c>
      <c r="H5872" s="1">
        <v>-2.2613720000000001E-6</v>
      </c>
      <c r="I5872">
        <v>73.659289999999999</v>
      </c>
      <c r="J5872">
        <v>-422.14319999999998</v>
      </c>
      <c r="K5872">
        <v>1.120703</v>
      </c>
      <c r="L5872">
        <v>107.0896</v>
      </c>
      <c r="M5872">
        <v>-3.3940049999999999E-3</v>
      </c>
      <c r="N5872">
        <v>-8.2482509999999998E-3</v>
      </c>
      <c r="O5872">
        <v>-0.99996039999999997</v>
      </c>
      <c r="P5872">
        <v>2.3538960000000001E-2</v>
      </c>
      <c r="Q5872">
        <v>-9.5399579999999998E-2</v>
      </c>
      <c r="R5872">
        <v>-0.99516090000000001</v>
      </c>
      <c r="S5872">
        <v>1.8402100000000001E-2</v>
      </c>
      <c r="T5872">
        <v>-9.9946140000000003E-2</v>
      </c>
      <c r="U5872">
        <v>-3.004791</v>
      </c>
      <c r="V5872">
        <v>-2.681764E-2</v>
      </c>
      <c r="W5872">
        <v>-8.7219119999999997E-2</v>
      </c>
      <c r="X5872">
        <v>0.99582809999999999</v>
      </c>
      <c r="Y5872">
        <v>-9.5146180000000007E-3</v>
      </c>
      <c r="Z5872">
        <v>2.4997620000000002E-2</v>
      </c>
      <c r="AA5872">
        <v>0.99964229999999998</v>
      </c>
      <c r="AB5872">
        <v>25</v>
      </c>
      <c r="AC5872">
        <v>0.20659999999997999</v>
      </c>
      <c r="AD5872">
        <v>-1.1207052613719899</v>
      </c>
      <c r="AE5872">
        <v>-33.430309999999999</v>
      </c>
      <c r="AF5872">
        <v>-0.31970600635858998</v>
      </c>
      <c r="AG5872">
        <v>-1.1207052613719899</v>
      </c>
      <c r="AH5872">
        <v>33.391890719167797</v>
      </c>
      <c r="AI5872">
        <v>91.922162749033703</v>
      </c>
      <c r="AJ5872">
        <v>90.548553698650394</v>
      </c>
      <c r="AK5872">
        <v>33.412221686296398</v>
      </c>
      <c r="AL5872">
        <v>95.003645216642099</v>
      </c>
      <c r="AM5872">
        <v>91.542601886045404</v>
      </c>
      <c r="AN5872">
        <v>0.99999998272917601</v>
      </c>
    </row>
    <row r="5873" spans="1:40" x14ac:dyDescent="0.25">
      <c r="A5873" t="str">
        <f>"20190303154258516"</f>
        <v>20190303154258516</v>
      </c>
      <c r="B5873" t="str">
        <f>"1551598978506203"</f>
        <v>1551598978506203</v>
      </c>
      <c r="C5873" t="s">
        <v>40</v>
      </c>
      <c r="D5873">
        <v>5.608492</v>
      </c>
      <c r="E5873">
        <v>0.50611729999999999</v>
      </c>
      <c r="F5873" t="s">
        <v>41</v>
      </c>
      <c r="G5873">
        <v>-421.85700000000003</v>
      </c>
      <c r="H5873" s="1">
        <v>-1.448715E-6</v>
      </c>
      <c r="I5873">
        <v>71.814329999999998</v>
      </c>
      <c r="J5873">
        <v>-422.14339999999999</v>
      </c>
      <c r="K5873">
        <v>1.1206910000000001</v>
      </c>
      <c r="L5873">
        <v>106.8344</v>
      </c>
      <c r="M5873">
        <v>-2.685078E-3</v>
      </c>
      <c r="N5873">
        <v>-8.1567050000000002E-3</v>
      </c>
      <c r="O5873">
        <v>-0.99996320000000005</v>
      </c>
      <c r="P5873">
        <v>2.4387619999999999E-2</v>
      </c>
      <c r="Q5873">
        <v>-9.4860020000000003E-2</v>
      </c>
      <c r="R5873">
        <v>-0.99519190000000002</v>
      </c>
      <c r="S5873">
        <v>2.4383539999999999E-2</v>
      </c>
      <c r="T5873">
        <v>-9.5464350000000003E-2</v>
      </c>
      <c r="U5873">
        <v>-3.0048370000000002</v>
      </c>
      <c r="V5873">
        <v>-2.6960680000000001E-2</v>
      </c>
      <c r="W5873">
        <v>-8.6770829999999993E-2</v>
      </c>
      <c r="X5873">
        <v>0.99586339999999995</v>
      </c>
      <c r="Y5873">
        <v>-1.0795529999999999E-2</v>
      </c>
      <c r="Z5873">
        <v>2.3598859999999999E-2</v>
      </c>
      <c r="AA5873">
        <v>0.99966319999999997</v>
      </c>
      <c r="AB5873">
        <v>26</v>
      </c>
      <c r="AC5873">
        <v>0.28640000000001398</v>
      </c>
      <c r="AD5873">
        <v>-1.1206924487149901</v>
      </c>
      <c r="AE5873">
        <v>-35.020069999999997</v>
      </c>
      <c r="AF5873">
        <v>-0.38004453406546401</v>
      </c>
      <c r="AG5873">
        <v>-1.1206924487149901</v>
      </c>
      <c r="AH5873">
        <v>34.983350952951199</v>
      </c>
      <c r="AI5873">
        <v>91.834735926815796</v>
      </c>
      <c r="AJ5873">
        <v>90.622412967559299</v>
      </c>
      <c r="AK5873">
        <v>35.003360257407103</v>
      </c>
      <c r="AL5873">
        <v>94.977862338650795</v>
      </c>
      <c r="AM5873">
        <v>91.550770867998693</v>
      </c>
      <c r="AN5873">
        <v>0.99999998333225504</v>
      </c>
    </row>
    <row r="5874" spans="1:40" x14ac:dyDescent="0.25">
      <c r="A5874" t="str">
        <f>"20190303154258538"</f>
        <v>20190303154258538</v>
      </c>
      <c r="B5874" t="str">
        <f>"1551598978525816"</f>
        <v>1551598978525816</v>
      </c>
      <c r="C5874" t="s">
        <v>40</v>
      </c>
      <c r="D5874">
        <v>5.6070970000000004</v>
      </c>
      <c r="E5874">
        <v>0.50590440000000003</v>
      </c>
      <c r="F5874" t="s">
        <v>41</v>
      </c>
      <c r="G5874">
        <v>-421.80689999999998</v>
      </c>
      <c r="H5874" s="1">
        <v>-1.12744E-6</v>
      </c>
      <c r="I5874">
        <v>71.096500000000006</v>
      </c>
      <c r="J5874">
        <v>-422.14330000000001</v>
      </c>
      <c r="K5874">
        <v>1.1206860000000001</v>
      </c>
      <c r="L5874">
        <v>106.59050000000001</v>
      </c>
      <c r="M5874">
        <v>-2.0071210000000002E-3</v>
      </c>
      <c r="N5874">
        <v>-8.0794079999999997E-3</v>
      </c>
      <c r="O5874">
        <v>-0.9999654</v>
      </c>
      <c r="P5874">
        <v>2.508906E-2</v>
      </c>
      <c r="Q5874">
        <v>-9.5690449999999996E-2</v>
      </c>
      <c r="R5874">
        <v>-0.99509479999999995</v>
      </c>
      <c r="S5874">
        <v>2.8289789999999999E-2</v>
      </c>
      <c r="T5874">
        <v>-9.422672E-2</v>
      </c>
      <c r="U5874">
        <v>-3.004807</v>
      </c>
      <c r="V5874">
        <v>-2.698511E-2</v>
      </c>
      <c r="W5874">
        <v>-8.7679129999999994E-2</v>
      </c>
      <c r="X5874">
        <v>0.99578319999999998</v>
      </c>
      <c r="Y5874">
        <v>-1.1417139999999999E-2</v>
      </c>
      <c r="Z5874">
        <v>2.3264920000000001E-2</v>
      </c>
      <c r="AA5874">
        <v>0.99966410000000006</v>
      </c>
      <c r="AB5874">
        <v>26</v>
      </c>
      <c r="AC5874">
        <v>0.33640000000002601</v>
      </c>
      <c r="AD5874">
        <v>-1.1206871274400001</v>
      </c>
      <c r="AE5874">
        <v>-35.494</v>
      </c>
      <c r="AF5874">
        <v>-0.40723645227132099</v>
      </c>
      <c r="AG5874">
        <v>-1.1206871274400001</v>
      </c>
      <c r="AH5874">
        <v>35.457907877302603</v>
      </c>
      <c r="AI5874">
        <v>91.810175724567898</v>
      </c>
      <c r="AJ5874">
        <v>90.658016942713203</v>
      </c>
      <c r="AK5874">
        <v>35.477951071065903</v>
      </c>
      <c r="AL5874">
        <v>95.030103104030502</v>
      </c>
      <c r="AM5874">
        <v>91.552300338196503</v>
      </c>
      <c r="AN5874">
        <v>1.0000000037007499</v>
      </c>
    </row>
    <row r="5875" spans="1:40" x14ac:dyDescent="0.25">
      <c r="A5875" t="str">
        <f>"20190303154258560"</f>
        <v>20190303154258560</v>
      </c>
      <c r="B5875" t="str">
        <f>"1551598978556071"</f>
        <v>1551598978556071</v>
      </c>
      <c r="C5875" t="s">
        <v>40</v>
      </c>
      <c r="D5875">
        <v>5.592676</v>
      </c>
      <c r="E5875">
        <v>0.50563199999999997</v>
      </c>
      <c r="F5875" t="s">
        <v>41</v>
      </c>
      <c r="G5875">
        <v>-421.77640000000002</v>
      </c>
      <c r="H5875" s="1">
        <v>-1.4885630000000001E-6</v>
      </c>
      <c r="I5875">
        <v>71.957219999999893</v>
      </c>
      <c r="J5875">
        <v>-422.1431</v>
      </c>
      <c r="K5875">
        <v>1.120681</v>
      </c>
      <c r="L5875">
        <v>106.32640000000001</v>
      </c>
      <c r="M5875">
        <v>-1.272383E-3</v>
      </c>
      <c r="N5875">
        <v>-8.0063659999999991E-3</v>
      </c>
      <c r="O5875">
        <v>-0.9999673</v>
      </c>
      <c r="P5875">
        <v>2.5193009999999998E-2</v>
      </c>
      <c r="Q5875">
        <v>-9.703705E-2</v>
      </c>
      <c r="R5875">
        <v>-0.99496209999999996</v>
      </c>
      <c r="S5875">
        <v>3.1829830000000003E-2</v>
      </c>
      <c r="T5875">
        <v>-9.7225190000000003E-2</v>
      </c>
      <c r="U5875">
        <v>-3.0046080000000002</v>
      </c>
      <c r="V5875">
        <v>-2.6355489999999999E-2</v>
      </c>
      <c r="W5875">
        <v>-8.9098810000000001E-2</v>
      </c>
      <c r="X5875">
        <v>0.99567399999999995</v>
      </c>
      <c r="Y5875">
        <v>-1.186037E-2</v>
      </c>
      <c r="Z5875">
        <v>2.4336420000000001E-2</v>
      </c>
      <c r="AA5875">
        <v>0.99963349999999995</v>
      </c>
      <c r="AB5875">
        <v>26</v>
      </c>
      <c r="AC5875">
        <v>0.36669999999997999</v>
      </c>
      <c r="AD5875">
        <v>-1.120682488563</v>
      </c>
      <c r="AE5875">
        <v>-34.36918</v>
      </c>
      <c r="AF5875">
        <v>-0.40999598811770599</v>
      </c>
      <c r="AG5875">
        <v>-1.120682488563</v>
      </c>
      <c r="AH5875">
        <v>34.332186756262097</v>
      </c>
      <c r="AI5875">
        <v>91.869470556057394</v>
      </c>
      <c r="AJ5875">
        <v>90.684195367362307</v>
      </c>
      <c r="AK5875">
        <v>34.352919430774797</v>
      </c>
      <c r="AL5875">
        <v>95.111764616008202</v>
      </c>
      <c r="AM5875">
        <v>91.5162651757487</v>
      </c>
      <c r="AN5875">
        <v>0.99999996203627695</v>
      </c>
    </row>
    <row r="5876" spans="1:40" x14ac:dyDescent="0.25">
      <c r="A5876" t="str">
        <f>"20190303154258583"</f>
        <v>20190303154258583</v>
      </c>
      <c r="B5876" t="str">
        <f>"1551598978576571"</f>
        <v>1551598978576571</v>
      </c>
      <c r="C5876" t="s">
        <v>40</v>
      </c>
      <c r="D5876">
        <v>5.586055</v>
      </c>
      <c r="E5876">
        <v>0.50542730000000002</v>
      </c>
      <c r="F5876" t="s">
        <v>41</v>
      </c>
      <c r="G5876">
        <v>-421.76510000000002</v>
      </c>
      <c r="H5876" s="1">
        <v>-2.0521729999999999E-6</v>
      </c>
      <c r="I5876">
        <v>73.278019999999998</v>
      </c>
      <c r="J5876">
        <v>-422.14260000000002</v>
      </c>
      <c r="K5876">
        <v>1.120676</v>
      </c>
      <c r="L5876">
        <v>106.0663</v>
      </c>
      <c r="M5876">
        <v>-5.4942339999999997E-4</v>
      </c>
      <c r="N5876">
        <v>-7.9440819999999999E-3</v>
      </c>
      <c r="O5876">
        <v>-0.99996850000000004</v>
      </c>
      <c r="P5876">
        <v>2.5014720000000001E-2</v>
      </c>
      <c r="Q5876">
        <v>-9.7565059999999995E-2</v>
      </c>
      <c r="R5876">
        <v>-0.99491499999999999</v>
      </c>
      <c r="S5876">
        <v>3.4362789999999997E-2</v>
      </c>
      <c r="T5876">
        <v>-0.1018801</v>
      </c>
      <c r="U5876">
        <v>-3.0043950000000001</v>
      </c>
      <c r="V5876">
        <v>-2.5456800000000002E-2</v>
      </c>
      <c r="W5876">
        <v>-8.9688190000000001E-2</v>
      </c>
      <c r="X5876">
        <v>0.99564450000000004</v>
      </c>
      <c r="Y5876">
        <v>-1.1980319999999999E-2</v>
      </c>
      <c r="Z5876">
        <v>2.5947930000000001E-2</v>
      </c>
      <c r="AA5876">
        <v>0.99959149999999997</v>
      </c>
      <c r="AB5876">
        <v>26</v>
      </c>
      <c r="AC5876">
        <v>0.377499999999997</v>
      </c>
      <c r="AD5876">
        <v>-1.120678052173</v>
      </c>
      <c r="AE5876">
        <v>-32.78828</v>
      </c>
      <c r="AF5876">
        <v>-0.39505370776695298</v>
      </c>
      <c r="AG5876">
        <v>-1.120678052173</v>
      </c>
      <c r="AH5876">
        <v>32.749813735713502</v>
      </c>
      <c r="AI5876">
        <v>91.959718379759906</v>
      </c>
      <c r="AJ5876">
        <v>90.691112704989806</v>
      </c>
      <c r="AK5876">
        <v>32.771363817402701</v>
      </c>
      <c r="AL5876">
        <v>95.145669174468793</v>
      </c>
      <c r="AM5876">
        <v>91.464628677901601</v>
      </c>
      <c r="AN5876">
        <v>0.99999999523598304</v>
      </c>
    </row>
    <row r="5877" spans="1:40" x14ac:dyDescent="0.25">
      <c r="A5877" t="str">
        <f>"20190303154258605"</f>
        <v>20190303154258605</v>
      </c>
      <c r="B5877" t="str">
        <f>"1551598978596087"</f>
        <v>1551598978596087</v>
      </c>
      <c r="C5877" t="s">
        <v>40</v>
      </c>
      <c r="D5877">
        <v>5.5722180000000003</v>
      </c>
      <c r="E5877">
        <v>0.50527789999999995</v>
      </c>
      <c r="F5877" t="s">
        <v>41</v>
      </c>
      <c r="G5877">
        <v>-421.76080000000002</v>
      </c>
      <c r="H5877" s="1">
        <v>-2.1701690000000002E-6</v>
      </c>
      <c r="I5877">
        <v>73.555719999999994</v>
      </c>
      <c r="J5877">
        <v>-422.142</v>
      </c>
      <c r="K5877">
        <v>1.1206739999999999</v>
      </c>
      <c r="L5877">
        <v>105.8051</v>
      </c>
      <c r="M5877">
        <v>1.7456619999999901E-4</v>
      </c>
      <c r="N5877">
        <v>-7.8902509999999992E-3</v>
      </c>
      <c r="O5877">
        <v>-0.999969</v>
      </c>
      <c r="P5877">
        <v>2.5215769999999998E-2</v>
      </c>
      <c r="Q5877">
        <v>-9.6760020000000002E-2</v>
      </c>
      <c r="R5877">
        <v>-0.9949884</v>
      </c>
      <c r="S5877">
        <v>3.5278320000000002E-2</v>
      </c>
      <c r="T5877">
        <v>-0.1035614</v>
      </c>
      <c r="U5877">
        <v>-3.0042879999999998</v>
      </c>
      <c r="V5877">
        <v>-2.4937669999999999E-2</v>
      </c>
      <c r="W5877">
        <v>-8.8935589999999995E-2</v>
      </c>
      <c r="X5877">
        <v>0.99572519999999998</v>
      </c>
      <c r="Y5877">
        <v>-1.1561210000000001E-2</v>
      </c>
      <c r="Z5877">
        <v>2.6561769999999998E-2</v>
      </c>
      <c r="AA5877">
        <v>0.99958029999999998</v>
      </c>
      <c r="AB5877">
        <v>26</v>
      </c>
      <c r="AC5877">
        <v>0.381199999999978</v>
      </c>
      <c r="AD5877">
        <v>-1.120676170169</v>
      </c>
      <c r="AE5877">
        <v>-32.249380000000002</v>
      </c>
      <c r="AF5877">
        <v>-0.37511724553971698</v>
      </c>
      <c r="AG5877">
        <v>-1.120676170169</v>
      </c>
      <c r="AH5877">
        <v>32.210554522426001</v>
      </c>
      <c r="AI5877">
        <v>91.992507651734201</v>
      </c>
      <c r="AJ5877">
        <v>90.667224260748696</v>
      </c>
      <c r="AK5877">
        <v>32.232226895895103</v>
      </c>
      <c r="AL5877">
        <v>95.102375073436903</v>
      </c>
      <c r="AM5877">
        <v>91.434657490429203</v>
      </c>
      <c r="AN5877">
        <v>1.00000005023435</v>
      </c>
    </row>
    <row r="5878" spans="1:40" x14ac:dyDescent="0.25">
      <c r="A5878" t="str">
        <f>"20190303154258627"</f>
        <v>20190303154258627</v>
      </c>
      <c r="B5878" t="str">
        <f>"1551598978615611"</f>
        <v>1551598978615611</v>
      </c>
      <c r="C5878" t="s">
        <v>40</v>
      </c>
      <c r="D5878">
        <v>5.5789439999999999</v>
      </c>
      <c r="E5878">
        <v>0.50513240000000004</v>
      </c>
      <c r="F5878" t="s">
        <v>41</v>
      </c>
      <c r="G5878">
        <v>-421.73200000000003</v>
      </c>
      <c r="H5878" s="1">
        <v>-1.7953579999999999E-6</v>
      </c>
      <c r="I5878">
        <v>72.699869999999905</v>
      </c>
      <c r="J5878">
        <v>-422.14120000000003</v>
      </c>
      <c r="K5878">
        <v>1.120671</v>
      </c>
      <c r="L5878">
        <v>105.5515</v>
      </c>
      <c r="M5878">
        <v>8.7307070000000001E-4</v>
      </c>
      <c r="N5878">
        <v>-7.8453740000000004E-3</v>
      </c>
      <c r="O5878">
        <v>-0.999969</v>
      </c>
      <c r="P5878">
        <v>2.528594E-2</v>
      </c>
      <c r="Q5878">
        <v>-9.6065970000000001E-2</v>
      </c>
      <c r="R5878">
        <v>-0.99505390000000005</v>
      </c>
      <c r="S5878">
        <v>3.720093E-2</v>
      </c>
      <c r="T5878">
        <v>-0.10170029999999999</v>
      </c>
      <c r="U5878">
        <v>-3.0042719999999998</v>
      </c>
      <c r="V5878">
        <v>-2.4313299999999999E-2</v>
      </c>
      <c r="W5878">
        <v>-8.8284899999999999E-2</v>
      </c>
      <c r="X5878">
        <v>0.99579850000000003</v>
      </c>
      <c r="Y5878">
        <v>-1.150263E-2</v>
      </c>
      <c r="Z5878">
        <v>2.5988199999999999E-2</v>
      </c>
      <c r="AA5878">
        <v>0.99959609999999999</v>
      </c>
      <c r="AB5878">
        <v>26</v>
      </c>
      <c r="AC5878">
        <v>0.40920000000005502</v>
      </c>
      <c r="AD5878">
        <v>-1.120672795358</v>
      </c>
      <c r="AE5878">
        <v>-32.85163</v>
      </c>
      <c r="AF5878">
        <v>-0.38007494277401899</v>
      </c>
      <c r="AG5878">
        <v>-1.120672795358</v>
      </c>
      <c r="AH5878">
        <v>32.813795016148198</v>
      </c>
      <c r="AI5878">
        <v>91.955902157184397</v>
      </c>
      <c r="AJ5878">
        <v>90.663614687910794</v>
      </c>
      <c r="AK5878">
        <v>32.835126127946701</v>
      </c>
      <c r="AL5878">
        <v>95.064946274944703</v>
      </c>
      <c r="AM5878">
        <v>91.398649184202498</v>
      </c>
      <c r="AN5878">
        <v>1.0000000063635699</v>
      </c>
    </row>
    <row r="5879" spans="1:40" x14ac:dyDescent="0.25">
      <c r="A5879" t="str">
        <f>"20190303154258650"</f>
        <v>20190303154258650</v>
      </c>
      <c r="B5879" t="str">
        <f>"1551598978646524"</f>
        <v>1551598978646524</v>
      </c>
      <c r="C5879" t="s">
        <v>40</v>
      </c>
      <c r="D5879">
        <v>5.4751839999999996</v>
      </c>
      <c r="E5879">
        <v>0.50485029999999997</v>
      </c>
      <c r="F5879" t="s">
        <v>41</v>
      </c>
      <c r="G5879">
        <v>-421.71190000000001</v>
      </c>
      <c r="H5879" s="1">
        <v>-1.4354679999999901E-6</v>
      </c>
      <c r="I5879">
        <v>71.873490000000004</v>
      </c>
      <c r="J5879">
        <v>-422.14019999999999</v>
      </c>
      <c r="K5879">
        <v>1.120671</v>
      </c>
      <c r="L5879">
        <v>105.2895</v>
      </c>
      <c r="M5879">
        <v>1.5872989999999999E-3</v>
      </c>
      <c r="N5879">
        <v>-7.8057969999999997E-3</v>
      </c>
      <c r="O5879">
        <v>-0.99996850000000004</v>
      </c>
      <c r="P5879">
        <v>2.5823769999999999E-2</v>
      </c>
      <c r="Q5879">
        <v>-9.6156160000000004E-2</v>
      </c>
      <c r="R5879">
        <v>-0.99503169999999996</v>
      </c>
      <c r="S5879">
        <v>3.8299560000000003E-2</v>
      </c>
      <c r="T5879">
        <v>-9.9971290000000004E-2</v>
      </c>
      <c r="U5879">
        <v>-3.0043030000000002</v>
      </c>
      <c r="V5879">
        <v>-2.414065E-2</v>
      </c>
      <c r="W5879">
        <v>-8.8414240000000005E-2</v>
      </c>
      <c r="X5879">
        <v>0.99579119999999999</v>
      </c>
      <c r="Y5879">
        <v>-1.115405E-2</v>
      </c>
      <c r="Z5879">
        <v>2.545277E-2</v>
      </c>
      <c r="AA5879">
        <v>0.9996138</v>
      </c>
      <c r="AB5879">
        <v>26</v>
      </c>
      <c r="AC5879">
        <v>0.42829999999997798</v>
      </c>
      <c r="AD5879">
        <v>-1.120672435468</v>
      </c>
      <c r="AE5879">
        <v>-33.41601</v>
      </c>
      <c r="AF5879">
        <v>-0.37483513813401897</v>
      </c>
      <c r="AG5879">
        <v>-1.120672435468</v>
      </c>
      <c r="AH5879">
        <v>33.379111447746702</v>
      </c>
      <c r="AI5879">
        <v>91.922808742050506</v>
      </c>
      <c r="AJ5879">
        <v>90.6433834756008</v>
      </c>
      <c r="AK5879">
        <v>33.4000222923503</v>
      </c>
      <c r="AL5879">
        <v>95.072386130774603</v>
      </c>
      <c r="AM5879">
        <v>91.388731383800803</v>
      </c>
      <c r="AN5879">
        <v>0.99999998140731905</v>
      </c>
    </row>
    <row r="5880" spans="1:40" x14ac:dyDescent="0.25">
      <c r="A5880" t="str">
        <f>"20190303154258673"</f>
        <v>20190303154258673</v>
      </c>
      <c r="B5880" t="str">
        <f>"1551598978666043"</f>
        <v>1551598978666043</v>
      </c>
      <c r="C5880" t="s">
        <v>40</v>
      </c>
      <c r="D5880">
        <v>5.543679</v>
      </c>
      <c r="E5880">
        <v>0.50466469999999997</v>
      </c>
      <c r="F5880" t="s">
        <v>41</v>
      </c>
      <c r="G5880">
        <v>-421.67689999999999</v>
      </c>
      <c r="H5880" s="1">
        <v>-1.543204E-6</v>
      </c>
      <c r="I5880">
        <v>72.146289999999993</v>
      </c>
      <c r="J5880">
        <v>-422.13900000000001</v>
      </c>
      <c r="K5880">
        <v>1.120662</v>
      </c>
      <c r="L5880">
        <v>105.01819999999999</v>
      </c>
      <c r="M5880">
        <v>2.3159550000000002E-3</v>
      </c>
      <c r="N5880">
        <v>-7.7749439999999998E-3</v>
      </c>
      <c r="O5880">
        <v>-0.99996700000000005</v>
      </c>
      <c r="P5880">
        <v>2.5886429999999998E-2</v>
      </c>
      <c r="Q5880">
        <v>-9.7043229999999994E-2</v>
      </c>
      <c r="R5880">
        <v>-0.99494340000000003</v>
      </c>
      <c r="S5880">
        <v>4.1992189999999999E-2</v>
      </c>
      <c r="T5880">
        <v>-0.101576399999999</v>
      </c>
      <c r="U5880">
        <v>-3.0040589999999998</v>
      </c>
      <c r="V5880">
        <v>-2.3478229999999999E-2</v>
      </c>
      <c r="W5880">
        <v>-8.9331599999999997E-2</v>
      </c>
      <c r="X5880">
        <v>0.99572519999999998</v>
      </c>
      <c r="Y5880">
        <v>-1.1654670000000001E-2</v>
      </c>
      <c r="Z5880">
        <v>2.601943E-2</v>
      </c>
      <c r="AA5880">
        <v>0.99959350000000002</v>
      </c>
      <c r="AB5880">
        <v>26</v>
      </c>
      <c r="AC5880">
        <v>0.46210000000001999</v>
      </c>
      <c r="AD5880">
        <v>-1.120663543204</v>
      </c>
      <c r="AE5880">
        <v>-32.8719099999999</v>
      </c>
      <c r="AF5880">
        <v>-0.38551860658596998</v>
      </c>
      <c r="AG5880">
        <v>-1.120663543204</v>
      </c>
      <c r="AH5880">
        <v>32.834737346949503</v>
      </c>
      <c r="AI5880">
        <v>91.954635898438298</v>
      </c>
      <c r="AJ5880">
        <v>90.672689229145007</v>
      </c>
      <c r="AK5880">
        <v>32.856117969356198</v>
      </c>
      <c r="AL5880">
        <v>95.125155613028895</v>
      </c>
      <c r="AM5880">
        <v>91.350728368398904</v>
      </c>
      <c r="AN5880">
        <v>1.00000001797876</v>
      </c>
    </row>
    <row r="5881" spans="1:40" x14ac:dyDescent="0.25">
      <c r="A5881" t="str">
        <f>"20190303154258695"</f>
        <v>20190303154258695</v>
      </c>
      <c r="B5881" t="str">
        <f>"1551598978686538"</f>
        <v>1551598978686538</v>
      </c>
      <c r="C5881" t="s">
        <v>40</v>
      </c>
      <c r="D5881">
        <v>5.5467339999999998</v>
      </c>
      <c r="E5881">
        <v>0.50454339999999998</v>
      </c>
      <c r="F5881" t="s">
        <v>41</v>
      </c>
      <c r="G5881">
        <v>-421.67309999999998</v>
      </c>
      <c r="H5881" s="1">
        <v>-1.9361649999999999E-6</v>
      </c>
      <c r="I5881">
        <v>73.064639999999997</v>
      </c>
      <c r="J5881">
        <v>-422.1377</v>
      </c>
      <c r="K5881">
        <v>1.120654</v>
      </c>
      <c r="L5881">
        <v>104.7663</v>
      </c>
      <c r="M5881">
        <v>2.9793340000000001E-3</v>
      </c>
      <c r="N5881">
        <v>-7.7561510000000002E-3</v>
      </c>
      <c r="O5881">
        <v>-0.99996580000000002</v>
      </c>
      <c r="P5881">
        <v>2.5315020000000001E-2</v>
      </c>
      <c r="Q5881">
        <v>-9.7683649999999997E-2</v>
      </c>
      <c r="R5881">
        <v>-0.9948958</v>
      </c>
      <c r="S5881">
        <v>4.379272E-2</v>
      </c>
      <c r="T5881">
        <v>-0.10534880000000001</v>
      </c>
      <c r="U5881">
        <v>-3.0038149999999999</v>
      </c>
      <c r="V5881">
        <v>-2.2247159999999998E-2</v>
      </c>
      <c r="W5881">
        <v>-8.9989189999999997E-2</v>
      </c>
      <c r="X5881">
        <v>0.99569419999999997</v>
      </c>
      <c r="Y5881">
        <v>-1.1590960000000001E-2</v>
      </c>
      <c r="Z5881">
        <v>2.7294590000000001E-2</v>
      </c>
      <c r="AA5881">
        <v>0.99956020000000001</v>
      </c>
      <c r="AB5881">
        <v>26</v>
      </c>
      <c r="AC5881">
        <v>0.464600000000018</v>
      </c>
      <c r="AD5881">
        <v>-1.1206559361649999</v>
      </c>
      <c r="AE5881">
        <v>-31.70166</v>
      </c>
      <c r="AF5881">
        <v>-0.36968342593127601</v>
      </c>
      <c r="AG5881">
        <v>-1.1206559361649999</v>
      </c>
      <c r="AH5881">
        <v>31.6633446416186</v>
      </c>
      <c r="AI5881">
        <v>92.026876673335806</v>
      </c>
      <c r="AJ5881">
        <v>90.6689229432709</v>
      </c>
      <c r="AK5881">
        <v>31.6853267216323</v>
      </c>
      <c r="AL5881">
        <v>95.162985380261603</v>
      </c>
      <c r="AM5881">
        <v>91.279967606317499</v>
      </c>
      <c r="AN5881">
        <v>0.99999996517928003</v>
      </c>
    </row>
    <row r="5882" spans="1:40" x14ac:dyDescent="0.25">
      <c r="A5882" t="str">
        <f>"20190303154258717"</f>
        <v>20190303154258717</v>
      </c>
      <c r="B5882" t="str">
        <f>"1551598978706059"</f>
        <v>1551598978706059</v>
      </c>
      <c r="C5882" t="s">
        <v>40</v>
      </c>
      <c r="D5882">
        <v>5.5614309999999998</v>
      </c>
      <c r="E5882">
        <v>0.50437359999999998</v>
      </c>
      <c r="F5882" t="s">
        <v>41</v>
      </c>
      <c r="G5882">
        <v>-421.69450000000001</v>
      </c>
      <c r="H5882" s="1">
        <v>-2.117981E-6</v>
      </c>
      <c r="I5882">
        <v>73.475179999999995</v>
      </c>
      <c r="J5882">
        <v>-422.1361</v>
      </c>
      <c r="K5882">
        <v>1.120641</v>
      </c>
      <c r="L5882">
        <v>104.4967</v>
      </c>
      <c r="M5882">
        <v>3.6699710000000002E-3</v>
      </c>
      <c r="N5882">
        <v>-7.7427469999999899E-3</v>
      </c>
      <c r="O5882">
        <v>-0.99996339999999995</v>
      </c>
      <c r="P5882">
        <v>2.507388E-2</v>
      </c>
      <c r="Q5882">
        <v>-9.713977E-2</v>
      </c>
      <c r="R5882">
        <v>-0.99495489999999998</v>
      </c>
      <c r="S5882">
        <v>4.2541500000000003E-2</v>
      </c>
      <c r="T5882">
        <v>-0.10757609999999999</v>
      </c>
      <c r="U5882">
        <v>-3.0037539999999998</v>
      </c>
      <c r="V5882">
        <v>-2.132187E-2</v>
      </c>
      <c r="W5882">
        <v>-8.9456560000000004E-2</v>
      </c>
      <c r="X5882">
        <v>0.99576249999999999</v>
      </c>
      <c r="Y5882">
        <v>-1.0484210000000001E-2</v>
      </c>
      <c r="Z5882">
        <v>2.804916E-2</v>
      </c>
      <c r="AA5882">
        <v>0.99955150000000004</v>
      </c>
      <c r="AB5882">
        <v>26</v>
      </c>
      <c r="AC5882">
        <v>0.441599999999993</v>
      </c>
      <c r="AD5882">
        <v>-1.1206431179809999</v>
      </c>
      <c r="AE5882">
        <v>-31.021519999999899</v>
      </c>
      <c r="AF5882">
        <v>-0.32731848481440401</v>
      </c>
      <c r="AG5882">
        <v>-1.1206431179809999</v>
      </c>
      <c r="AH5882">
        <v>30.982507989919402</v>
      </c>
      <c r="AI5882">
        <v>92.071380535166796</v>
      </c>
      <c r="AJ5882">
        <v>90.605285733209598</v>
      </c>
      <c r="AK5882">
        <v>31.004496121269302</v>
      </c>
      <c r="AL5882">
        <v>95.132344025546004</v>
      </c>
      <c r="AM5882">
        <v>91.226664495272502</v>
      </c>
      <c r="AN5882">
        <v>1.00000002733678</v>
      </c>
    </row>
    <row r="5883" spans="1:40" x14ac:dyDescent="0.25">
      <c r="A5883" t="str">
        <f>"20190303154258738"</f>
        <v>20190303154258738</v>
      </c>
      <c r="B5883" t="str">
        <f>"1551598978735913"</f>
        <v>1551598978735913</v>
      </c>
      <c r="C5883" t="s">
        <v>40</v>
      </c>
      <c r="D5883">
        <v>5.5520559999999897</v>
      </c>
      <c r="E5883">
        <v>0.50422489999999998</v>
      </c>
      <c r="F5883" t="s">
        <v>41</v>
      </c>
      <c r="G5883">
        <v>-421.67739999999998</v>
      </c>
      <c r="H5883" s="1">
        <v>-1.8306150000000001E-6</v>
      </c>
      <c r="I5883">
        <v>72.815919999999906</v>
      </c>
      <c r="J5883">
        <v>-422.1345</v>
      </c>
      <c r="K5883">
        <v>1.12063</v>
      </c>
      <c r="L5883">
        <v>104.24209999999999</v>
      </c>
      <c r="M5883">
        <v>4.300033E-3</v>
      </c>
      <c r="N5883">
        <v>-7.7382800000000002E-3</v>
      </c>
      <c r="O5883">
        <v>-0.99996099999999999</v>
      </c>
      <c r="P5883">
        <v>2.5771599999999999E-2</v>
      </c>
      <c r="Q5883">
        <v>-9.6656809999999996E-2</v>
      </c>
      <c r="R5883">
        <v>-0.99498430000000004</v>
      </c>
      <c r="S5883">
        <v>4.348755E-2</v>
      </c>
      <c r="T5883">
        <v>-0.1062516</v>
      </c>
      <c r="U5883">
        <v>-3.0037539999999998</v>
      </c>
      <c r="V5883">
        <v>-2.1395440000000002E-2</v>
      </c>
      <c r="W5883">
        <v>-8.8977139999999996E-2</v>
      </c>
      <c r="X5883">
        <v>0.99580380000000002</v>
      </c>
      <c r="Y5883">
        <v>-1.016916E-2</v>
      </c>
      <c r="Z5883">
        <v>2.761332E-2</v>
      </c>
      <c r="AA5883">
        <v>0.99956699999999998</v>
      </c>
      <c r="AB5883">
        <v>26</v>
      </c>
      <c r="AC5883">
        <v>0.45710000000002499</v>
      </c>
      <c r="AD5883">
        <v>-1.120631830615</v>
      </c>
      <c r="AE5883">
        <v>-31.426179999999999</v>
      </c>
      <c r="AF5883">
        <v>-0.32154935342123497</v>
      </c>
      <c r="AG5883">
        <v>-1.120631830615</v>
      </c>
      <c r="AH5883">
        <v>31.387951285432901</v>
      </c>
      <c r="AI5883">
        <v>92.044633262634406</v>
      </c>
      <c r="AJ5883">
        <v>90.586937842359106</v>
      </c>
      <c r="AK5883">
        <v>31.409595597256299</v>
      </c>
      <c r="AL5883">
        <v>95.104765690305896</v>
      </c>
      <c r="AM5883">
        <v>91.230844702677501</v>
      </c>
      <c r="AN5883">
        <v>0.99999995219490501</v>
      </c>
    </row>
    <row r="5884" spans="1:40" x14ac:dyDescent="0.25">
      <c r="A5884" t="str">
        <f>"20190303154258762"</f>
        <v>20190303154258762</v>
      </c>
      <c r="B5884" t="str">
        <f>"1551598978756412"</f>
        <v>1551598978756412</v>
      </c>
      <c r="C5884" t="s">
        <v>40</v>
      </c>
      <c r="D5884">
        <v>5.5725949999999997</v>
      </c>
      <c r="E5884">
        <v>0.5041196</v>
      </c>
      <c r="F5884" t="s">
        <v>41</v>
      </c>
      <c r="G5884">
        <v>-421.6311</v>
      </c>
      <c r="H5884" s="1">
        <v>-1.585367E-6</v>
      </c>
      <c r="I5884">
        <v>72.272999999999996</v>
      </c>
      <c r="J5884">
        <v>-422.13260000000002</v>
      </c>
      <c r="K5884">
        <v>1.1206119999999999</v>
      </c>
      <c r="L5884">
        <v>103.9616</v>
      </c>
      <c r="M5884">
        <v>4.9701490000000001E-3</v>
      </c>
      <c r="N5884">
        <v>-7.7420419999999898E-3</v>
      </c>
      <c r="O5884">
        <v>-0.99995789999999996</v>
      </c>
      <c r="P5884">
        <v>2.5915000000000001E-2</v>
      </c>
      <c r="Q5884">
        <v>-9.6170850000000002E-2</v>
      </c>
      <c r="R5884">
        <v>-0.99502780000000002</v>
      </c>
      <c r="S5884">
        <v>4.7302249999999997E-2</v>
      </c>
      <c r="T5884">
        <v>-0.1052892</v>
      </c>
      <c r="U5884">
        <v>-3.0036619999999998</v>
      </c>
      <c r="V5884">
        <v>-2.0875459999999998E-2</v>
      </c>
      <c r="W5884">
        <v>-8.8485709999999995E-2</v>
      </c>
      <c r="X5884">
        <v>0.99585869999999999</v>
      </c>
      <c r="Y5884">
        <v>-1.0768720000000001E-2</v>
      </c>
      <c r="Z5884">
        <v>2.7290229999999999E-2</v>
      </c>
      <c r="AA5884">
        <v>0.9995695</v>
      </c>
      <c r="AB5884">
        <v>26</v>
      </c>
      <c r="AC5884">
        <v>0.50150000000002104</v>
      </c>
      <c r="AD5884">
        <v>-1.1206135853670001</v>
      </c>
      <c r="AE5884">
        <v>-31.688600000000001</v>
      </c>
      <c r="AF5884">
        <v>-0.343562517374221</v>
      </c>
      <c r="AG5884">
        <v>-1.1206135853670001</v>
      </c>
      <c r="AH5884">
        <v>31.6511293582004</v>
      </c>
      <c r="AI5884">
        <v>92.0276004291335</v>
      </c>
      <c r="AJ5884">
        <v>90.621902269840206</v>
      </c>
      <c r="AK5884">
        <v>31.6728243082392</v>
      </c>
      <c r="AL5884">
        <v>95.076496935622799</v>
      </c>
      <c r="AM5884">
        <v>91.200873786250199</v>
      </c>
      <c r="AN5884">
        <v>1.0000000280350501</v>
      </c>
    </row>
    <row r="5885" spans="1:40" x14ac:dyDescent="0.25">
      <c r="A5885" t="str">
        <f>"20190303154258778"</f>
        <v>20190303154258778</v>
      </c>
      <c r="B5885" t="str">
        <f>"1551598978775928"</f>
        <v>1551598978775928</v>
      </c>
      <c r="C5885" t="s">
        <v>40</v>
      </c>
      <c r="D5885">
        <v>5.542427</v>
      </c>
      <c r="E5885">
        <v>0.50396229999999997</v>
      </c>
      <c r="F5885" t="s">
        <v>41</v>
      </c>
      <c r="G5885">
        <v>-421.61669999999998</v>
      </c>
      <c r="H5885" s="1">
        <v>-1.345152E-6</v>
      </c>
      <c r="I5885">
        <v>71.721980000000002</v>
      </c>
      <c r="J5885">
        <v>-422.1311</v>
      </c>
      <c r="K5885">
        <v>1.1206039999999999</v>
      </c>
      <c r="L5885">
        <v>103.7687</v>
      </c>
      <c r="M5885">
        <v>5.4157449999999996E-3</v>
      </c>
      <c r="N5885">
        <v>-7.7503609999999999E-3</v>
      </c>
      <c r="O5885">
        <v>-0.9999555</v>
      </c>
      <c r="P5885">
        <v>2.591183E-2</v>
      </c>
      <c r="Q5885">
        <v>-9.6593879999999993E-2</v>
      </c>
      <c r="R5885">
        <v>-0.9949865</v>
      </c>
      <c r="S5885">
        <v>4.8065190000000001E-2</v>
      </c>
      <c r="T5885">
        <v>-0.104404</v>
      </c>
      <c r="U5885">
        <v>-3.0036619999999998</v>
      </c>
      <c r="V5885">
        <v>-2.0430710000000001E-2</v>
      </c>
      <c r="W5885">
        <v>-8.889967E-2</v>
      </c>
      <c r="X5885">
        <v>0.99583100000000002</v>
      </c>
      <c r="Y5885">
        <v>-1.0577130000000001E-2</v>
      </c>
      <c r="Z5885">
        <v>2.6987569999999999E-2</v>
      </c>
      <c r="AA5885">
        <v>0.99957980000000002</v>
      </c>
      <c r="AB5885">
        <v>27</v>
      </c>
      <c r="AC5885">
        <v>0.51440000000002295</v>
      </c>
      <c r="AD5885">
        <v>-1.1206053451519999</v>
      </c>
      <c r="AE5885">
        <v>-32.046719999999901</v>
      </c>
      <c r="AF5885">
        <v>-0.340414279177704</v>
      </c>
      <c r="AG5885">
        <v>-1.1206053451519999</v>
      </c>
      <c r="AH5885">
        <v>32.0099058622542</v>
      </c>
      <c r="AI5885">
        <v>92.004883139066195</v>
      </c>
      <c r="AJ5885">
        <v>90.609297832095393</v>
      </c>
      <c r="AK5885">
        <v>32.031323911624803</v>
      </c>
      <c r="AL5885">
        <v>95.100309220172704</v>
      </c>
      <c r="AM5885">
        <v>91.175329203791904</v>
      </c>
      <c r="AN5885">
        <v>0.99999997289910603</v>
      </c>
    </row>
    <row r="5886" spans="1:40" x14ac:dyDescent="0.25">
      <c r="A5886" t="str">
        <f>"20190303154258795"</f>
        <v>20190303154258795</v>
      </c>
      <c r="B5886" t="str">
        <f>"1551598978785688"</f>
        <v>1551598978785688</v>
      </c>
      <c r="C5886" t="s">
        <v>40</v>
      </c>
      <c r="D5886">
        <v>5.5567780000000004</v>
      </c>
      <c r="E5886">
        <v>0.50392289999999995</v>
      </c>
      <c r="F5886" t="s">
        <v>41</v>
      </c>
      <c r="G5886">
        <v>-421.6182</v>
      </c>
      <c r="H5886" s="1">
        <v>-1.5505720000000001E-6</v>
      </c>
      <c r="I5886">
        <v>72.199869999999905</v>
      </c>
      <c r="J5886">
        <v>-422.12959999999998</v>
      </c>
      <c r="K5886">
        <v>1.120592</v>
      </c>
      <c r="L5886">
        <v>103.5706</v>
      </c>
      <c r="M5886">
        <v>5.8554729999999999E-3</v>
      </c>
      <c r="N5886">
        <v>-7.7652750000000003E-3</v>
      </c>
      <c r="O5886">
        <v>-0.99995299999999998</v>
      </c>
      <c r="P5886">
        <v>2.5574599999999999E-2</v>
      </c>
      <c r="Q5886">
        <v>-9.7309619999999999E-2</v>
      </c>
      <c r="R5886">
        <v>-0.99492559999999997</v>
      </c>
      <c r="S5886">
        <v>4.8797609999999998E-2</v>
      </c>
      <c r="T5886">
        <v>-0.1066163</v>
      </c>
      <c r="U5886">
        <v>-3.0035099999999999</v>
      </c>
      <c r="V5886">
        <v>-1.9658309999999998E-2</v>
      </c>
      <c r="W5886">
        <v>-8.9599540000000005E-2</v>
      </c>
      <c r="X5886">
        <v>0.99578390000000006</v>
      </c>
      <c r="Y5886">
        <v>-1.038158E-2</v>
      </c>
      <c r="Z5886">
        <v>2.7709600000000001E-2</v>
      </c>
      <c r="AA5886">
        <v>0.99956210000000001</v>
      </c>
      <c r="AB5886">
        <v>27</v>
      </c>
      <c r="AC5886">
        <v>0.51139999999997998</v>
      </c>
      <c r="AD5886">
        <v>-1.1205935505719999</v>
      </c>
      <c r="AE5886">
        <v>-31.370729999999998</v>
      </c>
      <c r="AF5886">
        <v>-0.32727779341358998</v>
      </c>
      <c r="AG5886">
        <v>-1.1205935505719999</v>
      </c>
      <c r="AH5886">
        <v>31.3332165214992</v>
      </c>
      <c r="AI5886">
        <v>92.048127758396902</v>
      </c>
      <c r="AJ5886">
        <v>90.598436946005194</v>
      </c>
      <c r="AK5886">
        <v>31.354956517954101</v>
      </c>
      <c r="AL5886">
        <v>95.140569083192801</v>
      </c>
      <c r="AM5886">
        <v>91.130960148619195</v>
      </c>
      <c r="AN5886">
        <v>1.00000005110973</v>
      </c>
    </row>
    <row r="5887" spans="1:40" x14ac:dyDescent="0.25">
      <c r="A5887" t="str">
        <f>"20190303154258818"</f>
        <v>20190303154258818</v>
      </c>
      <c r="B5887" t="str">
        <f>"1551598978815945"</f>
        <v>1551598978815945</v>
      </c>
      <c r="C5887" t="s">
        <v>40</v>
      </c>
      <c r="D5887">
        <v>5.5255340000000004</v>
      </c>
      <c r="E5887">
        <v>0.50372090000000003</v>
      </c>
      <c r="F5887" t="s">
        <v>41</v>
      </c>
      <c r="G5887">
        <v>-421.63389999999998</v>
      </c>
      <c r="H5887" s="1">
        <v>-1.748612E-6</v>
      </c>
      <c r="I5887">
        <v>72.651780000000002</v>
      </c>
      <c r="J5887">
        <v>-422.12740000000002</v>
      </c>
      <c r="K5887">
        <v>1.120571</v>
      </c>
      <c r="L5887">
        <v>103.294</v>
      </c>
      <c r="M5887">
        <v>6.4261379999999996E-3</v>
      </c>
      <c r="N5887">
        <v>-7.7985529999999997E-3</v>
      </c>
      <c r="O5887">
        <v>-0.99994890000000003</v>
      </c>
      <c r="P5887">
        <v>2.4943E-2</v>
      </c>
      <c r="Q5887">
        <v>-9.8248749999999996E-2</v>
      </c>
      <c r="R5887">
        <v>-0.99484939999999999</v>
      </c>
      <c r="S5887">
        <v>4.8156740000000003E-2</v>
      </c>
      <c r="T5887">
        <v>-0.1088533</v>
      </c>
      <c r="U5887">
        <v>-3.0034179999999999</v>
      </c>
      <c r="V5887">
        <v>-1.8464020000000001E-2</v>
      </c>
      <c r="W5887">
        <v>-9.0503730000000004E-2</v>
      </c>
      <c r="X5887">
        <v>0.99572490000000002</v>
      </c>
      <c r="Y5887">
        <v>-9.5979529999999993E-3</v>
      </c>
      <c r="Z5887">
        <v>2.8420959999999999E-2</v>
      </c>
      <c r="AA5887">
        <v>0.99955000000000005</v>
      </c>
      <c r="AB5887">
        <v>27</v>
      </c>
      <c r="AC5887">
        <v>0.49350000000004002</v>
      </c>
      <c r="AD5887">
        <v>-1.1205727486120001</v>
      </c>
      <c r="AE5887">
        <v>-30.642219999999899</v>
      </c>
      <c r="AF5887">
        <v>-0.29617669464824897</v>
      </c>
      <c r="AG5887">
        <v>-1.1205727486120001</v>
      </c>
      <c r="AH5887">
        <v>30.603841737690999</v>
      </c>
      <c r="AI5887">
        <v>92.096874560604604</v>
      </c>
      <c r="AJ5887">
        <v>90.554477603847204</v>
      </c>
      <c r="AK5887">
        <v>30.6257821618489</v>
      </c>
      <c r="AL5887">
        <v>95.192587165766597</v>
      </c>
      <c r="AM5887">
        <v>91.062330758586697</v>
      </c>
      <c r="AN5887">
        <v>0.99999996082924003</v>
      </c>
    </row>
    <row r="5888" spans="1:40" x14ac:dyDescent="0.25">
      <c r="A5888" t="str">
        <f>"20190303154258839"</f>
        <v>20190303154258839</v>
      </c>
      <c r="B5888" t="str">
        <f>"1551598978835971"</f>
        <v>1551598978835971</v>
      </c>
      <c r="C5888" t="s">
        <v>40</v>
      </c>
      <c r="D5888">
        <v>5.5292409999999999</v>
      </c>
      <c r="E5888">
        <v>0.50363840000000004</v>
      </c>
      <c r="F5888" t="s">
        <v>41</v>
      </c>
      <c r="G5888">
        <v>-421.64850000000001</v>
      </c>
      <c r="H5888" s="1">
        <v>-2.0767520000000001E-6</v>
      </c>
      <c r="I5888">
        <v>73.407650000000004</v>
      </c>
      <c r="J5888">
        <v>-422.12520000000001</v>
      </c>
      <c r="K5888">
        <v>1.1205419999999999</v>
      </c>
      <c r="L5888">
        <v>103.03879999999999</v>
      </c>
      <c r="M5888">
        <v>6.8986029999999997E-3</v>
      </c>
      <c r="N5888">
        <v>-7.8387059999999904E-3</v>
      </c>
      <c r="O5888">
        <v>-0.99994550000000004</v>
      </c>
      <c r="P5888">
        <v>2.4522240000000001E-2</v>
      </c>
      <c r="Q5888">
        <v>-9.7554479999999999E-2</v>
      </c>
      <c r="R5888">
        <v>-0.99492800000000003</v>
      </c>
      <c r="S5888">
        <v>4.8126219999999997E-2</v>
      </c>
      <c r="T5888">
        <v>-0.1126037</v>
      </c>
      <c r="U5888">
        <v>-3.0032040000000002</v>
      </c>
      <c r="V5888">
        <v>-1.7580160000000001E-2</v>
      </c>
      <c r="W5888">
        <v>-8.9766589999999993E-2</v>
      </c>
      <c r="X5888">
        <v>0.99580760000000001</v>
      </c>
      <c r="Y5888">
        <v>-9.1159339999999991E-3</v>
      </c>
      <c r="Z5888">
        <v>2.9629740000000002E-2</v>
      </c>
      <c r="AA5888">
        <v>0.9995193</v>
      </c>
      <c r="AB5888">
        <v>27</v>
      </c>
      <c r="AC5888">
        <v>0.47669999999999302</v>
      </c>
      <c r="AD5888">
        <v>-1.1205440767520001</v>
      </c>
      <c r="AE5888">
        <v>-29.631149999999899</v>
      </c>
      <c r="AF5888">
        <v>-0.27188012899202502</v>
      </c>
      <c r="AG5888">
        <v>-1.1205440767520001</v>
      </c>
      <c r="AH5888">
        <v>29.591426319525301</v>
      </c>
      <c r="AI5888">
        <v>92.168502427120103</v>
      </c>
      <c r="AJ5888">
        <v>90.526407394084998</v>
      </c>
      <c r="AK5888">
        <v>29.613882714976398</v>
      </c>
      <c r="AL5888">
        <v>95.150179644065503</v>
      </c>
      <c r="AM5888">
        <v>91.011404558079803</v>
      </c>
      <c r="AN5888">
        <v>0.99999993946180499</v>
      </c>
    </row>
    <row r="5889" spans="1:40" x14ac:dyDescent="0.25">
      <c r="A5889" t="str">
        <f>"20190303154258854"</f>
        <v>20190303154258854</v>
      </c>
      <c r="B5889" t="str">
        <f>"1551598978845731"</f>
        <v>1551598978845731</v>
      </c>
      <c r="C5889" t="s">
        <v>40</v>
      </c>
      <c r="D5889">
        <v>5.5101709999999997</v>
      </c>
      <c r="E5889">
        <v>0.50370199999999998</v>
      </c>
      <c r="F5889" t="s">
        <v>41</v>
      </c>
      <c r="G5889">
        <v>-421.64670000000001</v>
      </c>
      <c r="H5889" s="1">
        <v>-1.746128E-6</v>
      </c>
      <c r="I5889">
        <v>72.638050000000007</v>
      </c>
      <c r="J5889">
        <v>-422.12369999999999</v>
      </c>
      <c r="K5889">
        <v>1.12052</v>
      </c>
      <c r="L5889">
        <v>102.8646</v>
      </c>
      <c r="M5889">
        <v>7.197195E-3</v>
      </c>
      <c r="N5889">
        <v>-7.868323E-3</v>
      </c>
      <c r="O5889">
        <v>-0.99994329999999998</v>
      </c>
      <c r="P5889">
        <v>2.4471819999999998E-2</v>
      </c>
      <c r="Q5889">
        <v>-9.7237729999999994E-2</v>
      </c>
      <c r="R5889">
        <v>-0.99496039999999997</v>
      </c>
      <c r="S5889">
        <v>4.7271729999999998E-2</v>
      </c>
      <c r="T5889">
        <v>-0.1106974</v>
      </c>
      <c r="U5889">
        <v>-3.0032649999999999</v>
      </c>
      <c r="V5889">
        <v>-1.7238340000000001E-2</v>
      </c>
      <c r="W5889">
        <v>-8.9418689999999995E-2</v>
      </c>
      <c r="X5889">
        <v>0.99584499999999998</v>
      </c>
      <c r="Y5889">
        <v>-8.5331250000000008E-3</v>
      </c>
      <c r="Z5889">
        <v>2.8965950000000001E-2</v>
      </c>
      <c r="AA5889">
        <v>0.99954399999999999</v>
      </c>
      <c r="AB5889">
        <v>27</v>
      </c>
      <c r="AC5889">
        <v>0.476999999999975</v>
      </c>
      <c r="AD5889">
        <v>-1.1205217461279999</v>
      </c>
      <c r="AE5889">
        <v>-30.2265499999999</v>
      </c>
      <c r="AF5889">
        <v>-0.25907862166929502</v>
      </c>
      <c r="AG5889">
        <v>-1.1205217461279999</v>
      </c>
      <c r="AH5889">
        <v>30.1877253170871</v>
      </c>
      <c r="AI5889">
        <v>92.125676730311497</v>
      </c>
      <c r="AJ5889">
        <v>90.4917146620392</v>
      </c>
      <c r="AK5889">
        <v>30.209625130670702</v>
      </c>
      <c r="AL5889">
        <v>95.130165319080803</v>
      </c>
      <c r="AM5889">
        <v>90.991706032491606</v>
      </c>
      <c r="AN5889">
        <v>1.0000000632561299</v>
      </c>
    </row>
    <row r="5890" spans="1:40" x14ac:dyDescent="0.25">
      <c r="A5890" t="str">
        <f>"20190303154258875"</f>
        <v>20190303154258875</v>
      </c>
      <c r="B5890" t="str">
        <f>"1551598978866227"</f>
        <v>1551598978866227</v>
      </c>
      <c r="C5890" t="s">
        <v>40</v>
      </c>
      <c r="D5890">
        <v>5.5697839999999896</v>
      </c>
      <c r="E5890">
        <v>0.50387009999999999</v>
      </c>
      <c r="F5890" t="s">
        <v>41</v>
      </c>
      <c r="G5890">
        <v>-421.64710000000002</v>
      </c>
      <c r="H5890" s="1">
        <v>-1.5273139999999999E-6</v>
      </c>
      <c r="I5890">
        <v>72.127759999999995</v>
      </c>
      <c r="J5890">
        <v>-422.12150000000003</v>
      </c>
      <c r="K5890">
        <v>1.1204879999999999</v>
      </c>
      <c r="L5890">
        <v>102.6129</v>
      </c>
      <c r="M5890">
        <v>7.5856600000000001E-3</v>
      </c>
      <c r="N5890">
        <v>-7.9149140000000003E-3</v>
      </c>
      <c r="O5890">
        <v>-0.99993989999999999</v>
      </c>
      <c r="P5890">
        <v>2.4735819999999999E-2</v>
      </c>
      <c r="Q5890">
        <v>-9.5970490000000006E-2</v>
      </c>
      <c r="R5890">
        <v>-0.99507670000000004</v>
      </c>
      <c r="S5890">
        <v>4.6569819999999998E-2</v>
      </c>
      <c r="T5890">
        <v>-0.1094884</v>
      </c>
      <c r="U5890">
        <v>-3.0033569999999998</v>
      </c>
      <c r="V5890">
        <v>-1.7124489999999999E-2</v>
      </c>
      <c r="W5890">
        <v>-8.81023999999999E-2</v>
      </c>
      <c r="X5890">
        <v>0.99596419999999997</v>
      </c>
      <c r="Y5890">
        <v>-7.9109349999999991E-3</v>
      </c>
      <c r="Z5890">
        <v>2.8516469999999999E-2</v>
      </c>
      <c r="AA5890">
        <v>0.99956199999999995</v>
      </c>
      <c r="AB5890">
        <v>27</v>
      </c>
      <c r="AC5890">
        <v>0.47440000000000199</v>
      </c>
      <c r="AD5890">
        <v>-1.1204895273140001</v>
      </c>
      <c r="AE5890">
        <v>-30.485140000000001</v>
      </c>
      <c r="AF5890">
        <v>-0.24280126520367501</v>
      </c>
      <c r="AG5890">
        <v>-1.1204895273140001</v>
      </c>
      <c r="AH5890">
        <v>30.446739531935101</v>
      </c>
      <c r="AI5890">
        <v>92.107559755868905</v>
      </c>
      <c r="AJ5890">
        <v>90.456902547963196</v>
      </c>
      <c r="AK5890">
        <v>30.4683179279839</v>
      </c>
      <c r="AL5890">
        <v>95.054449002075202</v>
      </c>
      <c r="AM5890">
        <v>90.985039757185106</v>
      </c>
      <c r="AN5890">
        <v>0.99999998436257898</v>
      </c>
    </row>
    <row r="5891" spans="1:40" x14ac:dyDescent="0.25">
      <c r="A5891" t="str">
        <f>"20190303154258897"</f>
        <v>20190303154258897</v>
      </c>
      <c r="B5891" t="str">
        <f>"1551598978885747"</f>
        <v>1551598978885747</v>
      </c>
      <c r="C5891" t="s">
        <v>40</v>
      </c>
      <c r="D5891">
        <v>5.6065129999999996</v>
      </c>
      <c r="E5891">
        <v>0.50406070000000003</v>
      </c>
      <c r="F5891" t="s">
        <v>41</v>
      </c>
      <c r="G5891">
        <v>-421.64139999999998</v>
      </c>
      <c r="H5891" s="1">
        <v>-1.1562400000000001E-6</v>
      </c>
      <c r="I5891">
        <v>71.266260000000003</v>
      </c>
      <c r="J5891">
        <v>-422.11919999999998</v>
      </c>
      <c r="K5891">
        <v>1.120441</v>
      </c>
      <c r="L5891">
        <v>102.35680000000001</v>
      </c>
      <c r="M5891">
        <v>7.9109980000000007E-3</v>
      </c>
      <c r="N5891">
        <v>-7.9698479999999999E-3</v>
      </c>
      <c r="O5891">
        <v>-0.99993719999999997</v>
      </c>
      <c r="P5891">
        <v>2.5323789999999999E-2</v>
      </c>
      <c r="Q5891">
        <v>-9.6121739999999997E-2</v>
      </c>
      <c r="R5891">
        <v>-0.99504769999999998</v>
      </c>
      <c r="S5891">
        <v>4.5989990000000001E-2</v>
      </c>
      <c r="T5891">
        <v>-0.1073542</v>
      </c>
      <c r="U5891">
        <v>-3.0033259999999999</v>
      </c>
      <c r="V5891">
        <v>-1.739885E-2</v>
      </c>
      <c r="W5891">
        <v>-8.8197280000000003E-2</v>
      </c>
      <c r="X5891">
        <v>0.99595109999999998</v>
      </c>
      <c r="Y5891">
        <v>-7.3932379999999999E-3</v>
      </c>
      <c r="Z5891">
        <v>2.775261E-2</v>
      </c>
      <c r="AA5891">
        <v>0.99958749999999996</v>
      </c>
      <c r="AB5891">
        <v>27</v>
      </c>
      <c r="AC5891">
        <v>0.477800000000002</v>
      </c>
      <c r="AD5891">
        <v>-1.12044215624</v>
      </c>
      <c r="AE5891">
        <v>-31.090540000000001</v>
      </c>
      <c r="AF5891">
        <v>-0.23151948554739499</v>
      </c>
      <c r="AG5891">
        <v>-1.12044215624</v>
      </c>
      <c r="AH5891">
        <v>31.053026736226698</v>
      </c>
      <c r="AI5891">
        <v>92.066368229891907</v>
      </c>
      <c r="AJ5891">
        <v>90.427167494245793</v>
      </c>
      <c r="AK5891">
        <v>31.074096308315699</v>
      </c>
      <c r="AL5891">
        <v>95.059906203957496</v>
      </c>
      <c r="AM5891">
        <v>91.000831547352107</v>
      </c>
      <c r="AN5891">
        <v>1.0000000368859601</v>
      </c>
    </row>
    <row r="5892" spans="1:40" x14ac:dyDescent="0.25">
      <c r="A5892" t="str">
        <f>"20190303154258919"</f>
        <v>20190303154258919</v>
      </c>
      <c r="B5892" t="str">
        <f>"1551598978916003"</f>
        <v>1551598978916003</v>
      </c>
      <c r="C5892" t="s">
        <v>40</v>
      </c>
      <c r="D5892">
        <v>5.5830460000000004</v>
      </c>
      <c r="E5892">
        <v>0.50429040000000003</v>
      </c>
      <c r="F5892" t="s">
        <v>41</v>
      </c>
      <c r="G5892">
        <v>-421.64440000000002</v>
      </c>
      <c r="H5892" s="1">
        <v>-1.2652669999999999E-6</v>
      </c>
      <c r="I5892">
        <v>71.518559999999994</v>
      </c>
      <c r="J5892">
        <v>-422.11660000000001</v>
      </c>
      <c r="K5892">
        <v>1.1203959999999999</v>
      </c>
      <c r="L5892">
        <v>102.081</v>
      </c>
      <c r="M5892">
        <v>8.1711419999999993E-3</v>
      </c>
      <c r="N5892">
        <v>-8.0542369999999901E-3</v>
      </c>
      <c r="O5892">
        <v>-0.99993430000000005</v>
      </c>
      <c r="P5892">
        <v>2.5465270000000002E-2</v>
      </c>
      <c r="Q5892">
        <v>-9.6533690000000005E-2</v>
      </c>
      <c r="R5892">
        <v>-0.99500420000000001</v>
      </c>
      <c r="S5892">
        <v>4.6234129999999998E-2</v>
      </c>
      <c r="T5892">
        <v>-0.1091149</v>
      </c>
      <c r="U5892">
        <v>-3.0032040000000002</v>
      </c>
      <c r="V5892">
        <v>-1.7294339999999998E-2</v>
      </c>
      <c r="W5892">
        <v>-8.8522959999999998E-2</v>
      </c>
      <c r="X5892">
        <v>0.99592400000000003</v>
      </c>
      <c r="Y5892">
        <v>-7.2147209999999899E-3</v>
      </c>
      <c r="Z5892">
        <v>2.8254830000000002E-2</v>
      </c>
      <c r="AA5892">
        <v>0.99957470000000004</v>
      </c>
      <c r="AB5892">
        <v>27</v>
      </c>
      <c r="AC5892">
        <v>0.47219999999998602</v>
      </c>
      <c r="AD5892">
        <v>-1.120397265267</v>
      </c>
      <c r="AE5892">
        <v>-30.562439999999999</v>
      </c>
      <c r="AF5892">
        <v>-0.22214765388344501</v>
      </c>
      <c r="AG5892">
        <v>-1.120397265267</v>
      </c>
      <c r="AH5892">
        <v>30.524266291885301</v>
      </c>
      <c r="AI5892">
        <v>92.102049917775602</v>
      </c>
      <c r="AJ5892">
        <v>90.416976387396005</v>
      </c>
      <c r="AK5892">
        <v>30.545629348076499</v>
      </c>
      <c r="AL5892">
        <v>95.078639697331596</v>
      </c>
      <c r="AM5892">
        <v>90.994848110005506</v>
      </c>
      <c r="AN5892">
        <v>1.0000000112095899</v>
      </c>
    </row>
    <row r="5893" spans="1:40" x14ac:dyDescent="0.25">
      <c r="A5893" t="str">
        <f>"20190303154258940"</f>
        <v>20190303154258940</v>
      </c>
      <c r="B5893" t="str">
        <f>"1551598978936030"</f>
        <v>1551598978936030</v>
      </c>
      <c r="C5893" t="s">
        <v>40</v>
      </c>
      <c r="D5893">
        <v>5.5812629999999999</v>
      </c>
      <c r="E5893">
        <v>0.50446459999999904</v>
      </c>
      <c r="F5893" t="s">
        <v>41</v>
      </c>
      <c r="G5893">
        <v>-421.67509999999999</v>
      </c>
      <c r="H5893" s="1">
        <v>-1.5056719999999999E-6</v>
      </c>
      <c r="I5893">
        <v>72.059910000000002</v>
      </c>
      <c r="J5893">
        <v>-422.11430000000001</v>
      </c>
      <c r="K5893">
        <v>1.1203620000000001</v>
      </c>
      <c r="L5893">
        <v>101.8282</v>
      </c>
      <c r="M5893">
        <v>8.3462989999999997E-3</v>
      </c>
      <c r="N5893">
        <v>-8.1469639999999996E-3</v>
      </c>
      <c r="O5893">
        <v>-0.99993209999999999</v>
      </c>
      <c r="P5893">
        <v>2.5523480000000001E-2</v>
      </c>
      <c r="Q5893">
        <v>-9.6595070000000005E-2</v>
      </c>
      <c r="R5893">
        <v>-0.99499669999999896</v>
      </c>
      <c r="S5893">
        <v>4.4158940000000001E-2</v>
      </c>
      <c r="T5893">
        <v>-0.1120751</v>
      </c>
      <c r="U5893">
        <v>-3.0030519999999998</v>
      </c>
      <c r="V5893">
        <v>-1.718944E-2</v>
      </c>
      <c r="W5893">
        <v>-8.8489789999999999E-2</v>
      </c>
      <c r="X5893">
        <v>0.99592879999999995</v>
      </c>
      <c r="Y5893">
        <v>-6.3494900000000002E-3</v>
      </c>
      <c r="Z5893">
        <v>2.9148070000000002E-2</v>
      </c>
      <c r="AA5893">
        <v>0.99955490000000002</v>
      </c>
      <c r="AB5893">
        <v>27</v>
      </c>
      <c r="AC5893">
        <v>0.43920000000002701</v>
      </c>
      <c r="AD5893">
        <v>-1.120363505672</v>
      </c>
      <c r="AE5893">
        <v>-29.76829</v>
      </c>
      <c r="AF5893">
        <v>-0.19045172386498299</v>
      </c>
      <c r="AG5893">
        <v>-1.120363505672</v>
      </c>
      <c r="AH5893">
        <v>29.728817808265902</v>
      </c>
      <c r="AI5893">
        <v>92.158189467398003</v>
      </c>
      <c r="AJ5893">
        <v>90.3670489278377</v>
      </c>
      <c r="AK5893">
        <v>29.750530995614699</v>
      </c>
      <c r="AL5893">
        <v>95.076731525331994</v>
      </c>
      <c r="AM5893">
        <v>90.988810227868001</v>
      </c>
      <c r="AN5893">
        <v>1.0000000472255901</v>
      </c>
    </row>
    <row r="5894" spans="1:40" x14ac:dyDescent="0.25">
      <c r="A5894" t="str">
        <f>"20190303154258963"</f>
        <v>20190303154258963</v>
      </c>
      <c r="B5894" t="str">
        <f>"1551598978955552"</f>
        <v>1551598978955552</v>
      </c>
      <c r="C5894" t="s">
        <v>40</v>
      </c>
      <c r="D5894">
        <v>5.5948129999999896</v>
      </c>
      <c r="E5894">
        <v>0.50462340000000006</v>
      </c>
      <c r="F5894" t="s">
        <v>41</v>
      </c>
      <c r="G5894">
        <v>-421.6893</v>
      </c>
      <c r="H5894" s="1">
        <v>-1.5541089999999999E-6</v>
      </c>
      <c r="I5894">
        <v>72.164019999999994</v>
      </c>
      <c r="J5894">
        <v>-422.11180000000002</v>
      </c>
      <c r="K5894">
        <v>1.1203369999999999</v>
      </c>
      <c r="L5894">
        <v>101.5457</v>
      </c>
      <c r="M5894">
        <v>8.469496E-3</v>
      </c>
      <c r="N5894">
        <v>-8.2824619999999904E-3</v>
      </c>
      <c r="O5894">
        <v>-0.99993010000000004</v>
      </c>
      <c r="P5894">
        <v>2.6127500000000001E-2</v>
      </c>
      <c r="Q5894">
        <v>-9.5786419999999997E-2</v>
      </c>
      <c r="R5894">
        <v>-0.99505940000000004</v>
      </c>
      <c r="S5894">
        <v>4.3029789999999998E-2</v>
      </c>
      <c r="T5894">
        <v>-0.1134179</v>
      </c>
      <c r="U5894">
        <v>-3.0029910000000002</v>
      </c>
      <c r="V5894">
        <v>-1.7681490000000001E-2</v>
      </c>
      <c r="W5894">
        <v>-8.7543529999999994E-2</v>
      </c>
      <c r="X5894">
        <v>0.99600370000000005</v>
      </c>
      <c r="Y5894">
        <v>-5.8507430000000003E-3</v>
      </c>
      <c r="Z5894">
        <v>2.9459760000000002E-2</v>
      </c>
      <c r="AA5894">
        <v>0.99954889999999996</v>
      </c>
      <c r="AB5894">
        <v>27</v>
      </c>
      <c r="AC5894">
        <v>0.42250000000001298</v>
      </c>
      <c r="AD5894">
        <v>-1.1203385541090001</v>
      </c>
      <c r="AE5894">
        <v>-29.381679999999999</v>
      </c>
      <c r="AF5894">
        <v>-0.17337632894173999</v>
      </c>
      <c r="AG5894">
        <v>-1.1203385541090001</v>
      </c>
      <c r="AH5894">
        <v>29.341552661855602</v>
      </c>
      <c r="AI5894">
        <v>92.186604947717299</v>
      </c>
      <c r="AJ5894">
        <v>90.338551146910405</v>
      </c>
      <c r="AK5894">
        <v>29.3634454796386</v>
      </c>
      <c r="AL5894">
        <v>95.0223041389428</v>
      </c>
      <c r="AM5894">
        <v>91.017032717333706</v>
      </c>
      <c r="AN5894">
        <v>0.99999993757358296</v>
      </c>
    </row>
    <row r="5895" spans="1:40" x14ac:dyDescent="0.25">
      <c r="A5895" t="str">
        <f>"20190303154258976"</f>
        <v>20190303154258976</v>
      </c>
      <c r="B5895" t="str">
        <f>"1551598978966285"</f>
        <v>1551598978966285</v>
      </c>
      <c r="C5895" t="s">
        <v>40</v>
      </c>
      <c r="D5895">
        <v>5.6014400000000002</v>
      </c>
      <c r="E5895">
        <v>0.50471060000000001</v>
      </c>
      <c r="F5895" t="s">
        <v>41</v>
      </c>
      <c r="G5895">
        <v>-421.67500000000001</v>
      </c>
      <c r="H5895" s="1">
        <v>-1.2878489999999899E-6</v>
      </c>
      <c r="I5895">
        <v>71.552189999999996</v>
      </c>
      <c r="J5895">
        <v>-422.11040000000003</v>
      </c>
      <c r="K5895">
        <v>1.120328</v>
      </c>
      <c r="L5895">
        <v>101.38939999999999</v>
      </c>
      <c r="M5895">
        <v>8.5133329999999997E-3</v>
      </c>
      <c r="N5895">
        <v>-8.3766989999999996E-3</v>
      </c>
      <c r="O5895">
        <v>-0.9999287</v>
      </c>
      <c r="P5895">
        <v>2.6403650000000001E-2</v>
      </c>
      <c r="Q5895">
        <v>-9.5306600000000005E-2</v>
      </c>
      <c r="R5895">
        <v>-0.99509760000000003</v>
      </c>
      <c r="S5895">
        <v>4.3731689999999997E-2</v>
      </c>
      <c r="T5895">
        <v>-0.1121687</v>
      </c>
      <c r="U5895">
        <v>-3.0029599999999999</v>
      </c>
      <c r="V5895">
        <v>-1.791939E-2</v>
      </c>
      <c r="W5895">
        <v>-8.6968379999999998E-2</v>
      </c>
      <c r="X5895">
        <v>0.99604990000000004</v>
      </c>
      <c r="Y5895">
        <v>-6.0407999999999998E-3</v>
      </c>
      <c r="Z5895">
        <v>2.8950679999999999E-2</v>
      </c>
      <c r="AA5895">
        <v>0.99956259999999997</v>
      </c>
      <c r="AB5895">
        <v>27</v>
      </c>
      <c r="AC5895">
        <v>0.435400000000015</v>
      </c>
      <c r="AD5895">
        <v>-1.1203292878489901</v>
      </c>
      <c r="AE5895">
        <v>-29.837209999999999</v>
      </c>
      <c r="AF5895">
        <v>-0.18110593087874499</v>
      </c>
      <c r="AG5895">
        <v>-1.1203292878489901</v>
      </c>
      <c r="AH5895">
        <v>29.797833756239601</v>
      </c>
      <c r="AI5895">
        <v>92.153134219432303</v>
      </c>
      <c r="AJ5895">
        <v>90.348229263963503</v>
      </c>
      <c r="AK5895">
        <v>29.8194371783893</v>
      </c>
      <c r="AL5895">
        <v>94.989223970221403</v>
      </c>
      <c r="AM5895">
        <v>91.030665906745995</v>
      </c>
      <c r="AN5895">
        <v>1.0000000034739001</v>
      </c>
    </row>
    <row r="5896" spans="1:40" x14ac:dyDescent="0.25">
      <c r="A5896" t="str">
        <f>"20190303154258996"</f>
        <v>20190303154258996</v>
      </c>
      <c r="B5896" t="str">
        <f>"1551598978985807"</f>
        <v>1551598978985807</v>
      </c>
      <c r="C5896" t="s">
        <v>40</v>
      </c>
      <c r="D5896">
        <v>5.5819789999999996</v>
      </c>
      <c r="E5896">
        <v>0.50486850000000005</v>
      </c>
      <c r="F5896" t="s">
        <v>41</v>
      </c>
      <c r="G5896">
        <v>-421.6694</v>
      </c>
      <c r="H5896" s="1">
        <v>-1.094422E-6</v>
      </c>
      <c r="I5896">
        <v>71.104830000000007</v>
      </c>
      <c r="J5896">
        <v>-422.10820000000001</v>
      </c>
      <c r="K5896">
        <v>1.1203399999999999</v>
      </c>
      <c r="L5896">
        <v>101.1421</v>
      </c>
      <c r="M5896">
        <v>8.5393680000000003E-3</v>
      </c>
      <c r="N5896">
        <v>-8.5836839999999994E-3</v>
      </c>
      <c r="O5896">
        <v>-0.9999268</v>
      </c>
      <c r="P5896">
        <v>2.6950399999999999E-2</v>
      </c>
      <c r="Q5896">
        <v>-9.4864199999999996E-2</v>
      </c>
      <c r="R5896">
        <v>-0.9951257</v>
      </c>
      <c r="S5896">
        <v>4.3731689999999997E-2</v>
      </c>
      <c r="T5896">
        <v>-0.1110907</v>
      </c>
      <c r="U5896">
        <v>-3.0029910000000002</v>
      </c>
      <c r="V5896">
        <v>-1.8447149999999999E-2</v>
      </c>
      <c r="W5896">
        <v>-8.6318019999999995E-2</v>
      </c>
      <c r="X5896">
        <v>0.9960968</v>
      </c>
      <c r="Y5896">
        <v>-6.0148160000000001E-3</v>
      </c>
      <c r="Z5896">
        <v>2.83851E-2</v>
      </c>
      <c r="AA5896">
        <v>0.999579</v>
      </c>
      <c r="AB5896">
        <v>27</v>
      </c>
      <c r="AC5896">
        <v>0.43880000000001401</v>
      </c>
      <c r="AD5896">
        <v>-1.12034109442199</v>
      </c>
      <c r="AE5896">
        <v>-30.0372699999999</v>
      </c>
      <c r="AF5896">
        <v>-0.18202210462945401</v>
      </c>
      <c r="AG5896">
        <v>-1.12034109442199</v>
      </c>
      <c r="AH5896">
        <v>29.998198308070599</v>
      </c>
      <c r="AI5896">
        <v>92.138789012715193</v>
      </c>
      <c r="AJ5896">
        <v>90.347653224933794</v>
      </c>
      <c r="AK5896">
        <v>30.019663521511301</v>
      </c>
      <c r="AL5896">
        <v>94.951820610823304</v>
      </c>
      <c r="AM5896">
        <v>91.060964186157506</v>
      </c>
      <c r="AN5896">
        <v>0.99999996644503997</v>
      </c>
    </row>
    <row r="5897" spans="1:40" x14ac:dyDescent="0.25">
      <c r="A5897" t="str">
        <f>"20190303154259018"</f>
        <v>20190303154259018</v>
      </c>
      <c r="B5897" t="str">
        <f>"1551598979016061"</f>
        <v>1551598979016061</v>
      </c>
      <c r="C5897" t="s">
        <v>40</v>
      </c>
      <c r="D5897">
        <v>5.5367629999999997</v>
      </c>
      <c r="E5897">
        <v>0.50509570000000004</v>
      </c>
      <c r="F5897" t="s">
        <v>41</v>
      </c>
      <c r="G5897">
        <v>-421.66180000000003</v>
      </c>
      <c r="H5897" s="1">
        <v>-9.4428860000000005E-7</v>
      </c>
      <c r="I5897">
        <v>70.75958</v>
      </c>
      <c r="J5897">
        <v>-422.10590000000002</v>
      </c>
      <c r="K5897">
        <v>1.1203669999999999</v>
      </c>
      <c r="L5897">
        <v>100.8732</v>
      </c>
      <c r="M5897">
        <v>8.5184479999999996E-3</v>
      </c>
      <c r="N5897">
        <v>-8.8743729999999996E-3</v>
      </c>
      <c r="O5897">
        <v>-0.9999247</v>
      </c>
      <c r="P5897">
        <v>2.697331E-2</v>
      </c>
      <c r="Q5897">
        <v>-9.5359490000000005E-2</v>
      </c>
      <c r="R5897">
        <v>-0.99507780000000001</v>
      </c>
      <c r="S5897">
        <v>4.4128420000000002E-2</v>
      </c>
      <c r="T5897">
        <v>-0.11073280000000001</v>
      </c>
      <c r="U5897">
        <v>-3.0029599999999999</v>
      </c>
      <c r="V5897">
        <v>-1.849812E-2</v>
      </c>
      <c r="W5897">
        <v>-8.6522760000000004E-2</v>
      </c>
      <c r="X5897">
        <v>0.99607809999999997</v>
      </c>
      <c r="Y5897">
        <v>-6.1679889999999996E-3</v>
      </c>
      <c r="Z5897">
        <v>2.797593E-2</v>
      </c>
      <c r="AA5897">
        <v>0.99958959999999997</v>
      </c>
      <c r="AB5897">
        <v>27</v>
      </c>
      <c r="AC5897">
        <v>0.444099999999991</v>
      </c>
      <c r="AD5897">
        <v>-1.1203679442886001</v>
      </c>
      <c r="AE5897">
        <v>-30.113620000000001</v>
      </c>
      <c r="AF5897">
        <v>-0.187293377673764</v>
      </c>
      <c r="AG5897">
        <v>-1.1203679442886001</v>
      </c>
      <c r="AH5897">
        <v>30.074690497406198</v>
      </c>
      <c r="AI5897">
        <v>92.133403219662199</v>
      </c>
      <c r="AJ5897">
        <v>90.356811031751505</v>
      </c>
      <c r="AK5897">
        <v>30.096134496886599</v>
      </c>
      <c r="AL5897">
        <v>94.963595359534395</v>
      </c>
      <c r="AM5897">
        <v>91.063914956100305</v>
      </c>
      <c r="AN5897">
        <v>0.99999997487058001</v>
      </c>
    </row>
    <row r="5898" spans="1:40" x14ac:dyDescent="0.25">
      <c r="A5898" t="str">
        <f>"20190303154259041"</f>
        <v>20190303154259041</v>
      </c>
      <c r="B5898" t="str">
        <f>"1551598979035986"</f>
        <v>1551598979035986</v>
      </c>
      <c r="C5898" t="s">
        <v>40</v>
      </c>
      <c r="D5898">
        <v>5.5292029999999999</v>
      </c>
      <c r="E5898">
        <v>0.50523629999999997</v>
      </c>
      <c r="F5898" t="s">
        <v>41</v>
      </c>
      <c r="G5898">
        <v>-421.68740000000003</v>
      </c>
      <c r="H5898" s="1">
        <v>-1.1616410000000001E-6</v>
      </c>
      <c r="I5898">
        <v>71.250330000000005</v>
      </c>
      <c r="J5898">
        <v>-422.10359999999997</v>
      </c>
      <c r="K5898">
        <v>1.1204019999999999</v>
      </c>
      <c r="L5898">
        <v>100.59990000000001</v>
      </c>
      <c r="M5898">
        <v>8.4558050000000003E-3</v>
      </c>
      <c r="N5898">
        <v>-9.2073329999999998E-3</v>
      </c>
      <c r="O5898">
        <v>-0.99992179999999997</v>
      </c>
      <c r="P5898">
        <v>2.674437E-2</v>
      </c>
      <c r="Q5898">
        <v>-9.6000479999999999E-2</v>
      </c>
      <c r="R5898">
        <v>-0.99502190000000001</v>
      </c>
      <c r="S5898">
        <v>4.2419430000000001E-2</v>
      </c>
      <c r="T5898">
        <v>-0.1135695</v>
      </c>
      <c r="U5898">
        <v>-3.0028079999999999</v>
      </c>
      <c r="V5898">
        <v>-1.833709E-2</v>
      </c>
      <c r="W5898">
        <v>-8.6831549999999993E-2</v>
      </c>
      <c r="X5898">
        <v>0.9960542</v>
      </c>
      <c r="Y5898">
        <v>-5.6623569999999998E-3</v>
      </c>
      <c r="Z5898">
        <v>2.8588059999999998E-2</v>
      </c>
      <c r="AA5898">
        <v>0.99957530000000006</v>
      </c>
      <c r="AB5898">
        <v>27</v>
      </c>
      <c r="AC5898">
        <v>0.416199999999946</v>
      </c>
      <c r="AD5898">
        <v>-1.120403161641</v>
      </c>
      <c r="AE5898">
        <v>-29.34957</v>
      </c>
      <c r="AF5898">
        <v>-0.16775592418645299</v>
      </c>
      <c r="AG5898">
        <v>-1.120403161641</v>
      </c>
      <c r="AH5898">
        <v>29.309336556029599</v>
      </c>
      <c r="AI5898">
        <v>92.189134542586103</v>
      </c>
      <c r="AJ5898">
        <v>90.327936508152902</v>
      </c>
      <c r="AK5898">
        <v>29.331223204110099</v>
      </c>
      <c r="AL5898">
        <v>94.981354595002301</v>
      </c>
      <c r="AM5898">
        <v>91.054680755576101</v>
      </c>
      <c r="AN5898">
        <v>0.99999996814135395</v>
      </c>
    </row>
    <row r="5899" spans="1:40" x14ac:dyDescent="0.25">
      <c r="A5899" t="str">
        <f>"20190303154259056"</f>
        <v>20190303154259056</v>
      </c>
      <c r="B5899" t="str">
        <f>"1551598979045747"</f>
        <v>1551598979045747</v>
      </c>
      <c r="C5899" t="s">
        <v>40</v>
      </c>
      <c r="D5899">
        <v>5.5584740000000004</v>
      </c>
      <c r="E5899">
        <v>0.50530520000000001</v>
      </c>
      <c r="F5899" t="s">
        <v>41</v>
      </c>
      <c r="G5899">
        <v>-421.71300000000002</v>
      </c>
      <c r="H5899" s="1">
        <v>-1.3523989999999999E-6</v>
      </c>
      <c r="I5899">
        <v>71.679150000000007</v>
      </c>
      <c r="J5899">
        <v>-422.10210000000001</v>
      </c>
      <c r="K5899">
        <v>1.120425</v>
      </c>
      <c r="L5899">
        <v>100.4211</v>
      </c>
      <c r="M5899">
        <v>8.4042800000000001E-3</v>
      </c>
      <c r="N5899">
        <v>-9.4362869999999998E-3</v>
      </c>
      <c r="O5899">
        <v>-0.99992040000000004</v>
      </c>
      <c r="P5899">
        <v>2.6615300000000001E-2</v>
      </c>
      <c r="Q5899">
        <v>-9.6395910000000001E-2</v>
      </c>
      <c r="R5899">
        <v>-0.99498739999999997</v>
      </c>
      <c r="S5899">
        <v>4.0557860000000001E-2</v>
      </c>
      <c r="T5899">
        <v>-0.1163254</v>
      </c>
      <c r="U5899">
        <v>-3.0026860000000002</v>
      </c>
      <c r="V5899">
        <v>-1.8262730000000001E-2</v>
      </c>
      <c r="W5899">
        <v>-8.6998619999999999E-2</v>
      </c>
      <c r="X5899">
        <v>0.99604099999999995</v>
      </c>
      <c r="Y5899">
        <v>-5.0946519999999999E-3</v>
      </c>
      <c r="Z5899">
        <v>2.9276940000000001E-2</v>
      </c>
      <c r="AA5899">
        <v>0.99955830000000001</v>
      </c>
      <c r="AB5899">
        <v>27</v>
      </c>
      <c r="AC5899">
        <v>0.38909999999998401</v>
      </c>
      <c r="AD5899">
        <v>-1.1204263523989999</v>
      </c>
      <c r="AE5899">
        <v>-28.7419499999999</v>
      </c>
      <c r="AF5899">
        <v>-0.14729637149017599</v>
      </c>
      <c r="AG5899">
        <v>-1.1204263523989999</v>
      </c>
      <c r="AH5899">
        <v>28.700599163236699</v>
      </c>
      <c r="AI5899">
        <v>92.235572684249405</v>
      </c>
      <c r="AJ5899">
        <v>90.294049133992104</v>
      </c>
      <c r="AK5899">
        <v>28.722838365331999</v>
      </c>
      <c r="AL5899">
        <v>94.990963301926996</v>
      </c>
      <c r="AM5899">
        <v>91.050418724342094</v>
      </c>
      <c r="AN5899">
        <v>0.99999998043497795</v>
      </c>
    </row>
    <row r="5900" spans="1:40" x14ac:dyDescent="0.25">
      <c r="A5900" t="str">
        <f>"20190303154259075"</f>
        <v>20190303154259075</v>
      </c>
      <c r="B5900" t="str">
        <f>"1551598979066242"</f>
        <v>1551598979066242</v>
      </c>
      <c r="C5900" t="s">
        <v>40</v>
      </c>
      <c r="D5900">
        <v>5.6199329999999996</v>
      </c>
      <c r="E5900">
        <v>0.50542730000000002</v>
      </c>
      <c r="F5900" t="s">
        <v>41</v>
      </c>
      <c r="G5900">
        <v>-421.72390000000001</v>
      </c>
      <c r="H5900" s="1">
        <v>-1.4630199999999999E-6</v>
      </c>
      <c r="I5900">
        <v>71.930210000000002</v>
      </c>
      <c r="J5900">
        <v>-422.10019999999997</v>
      </c>
      <c r="K5900">
        <v>1.1204590000000001</v>
      </c>
      <c r="L5900">
        <v>100.18600000000001</v>
      </c>
      <c r="M5900">
        <v>8.3301069999999998E-3</v>
      </c>
      <c r="N5900">
        <v>-9.7640590000000003E-3</v>
      </c>
      <c r="O5900">
        <v>-0.99991770000000002</v>
      </c>
      <c r="P5900">
        <v>2.5865079999999999E-2</v>
      </c>
      <c r="Q5900">
        <v>-9.5912670000000005E-2</v>
      </c>
      <c r="R5900">
        <v>-0.99505390000000005</v>
      </c>
      <c r="S5900">
        <v>3.9855960000000003E-2</v>
      </c>
      <c r="T5900">
        <v>-0.1180794</v>
      </c>
      <c r="U5900">
        <v>-3.0025940000000002</v>
      </c>
      <c r="V5900">
        <v>-1.758906E-2</v>
      </c>
      <c r="W5900">
        <v>-8.6187650000000005E-2</v>
      </c>
      <c r="X5900">
        <v>0.99612369999999995</v>
      </c>
      <c r="Y5900">
        <v>-4.9354689999999996E-3</v>
      </c>
      <c r="Z5900">
        <v>2.9533569999999999E-2</v>
      </c>
      <c r="AA5900">
        <v>0.99955159999999998</v>
      </c>
      <c r="AB5900">
        <v>27</v>
      </c>
      <c r="AC5900">
        <v>0.376299999999957</v>
      </c>
      <c r="AD5900">
        <v>-1.1204604630199999</v>
      </c>
      <c r="AE5900">
        <v>-28.255790000000001</v>
      </c>
      <c r="AF5900">
        <v>-0.14068080873122699</v>
      </c>
      <c r="AG5900">
        <v>-1.1204604630199999</v>
      </c>
      <c r="AH5900">
        <v>28.213587590308698</v>
      </c>
      <c r="AI5900">
        <v>92.274192904129805</v>
      </c>
      <c r="AJ5900">
        <v>90.2856903529905</v>
      </c>
      <c r="AK5900">
        <v>28.236177989507699</v>
      </c>
      <c r="AL5900">
        <v>94.944322575101197</v>
      </c>
      <c r="AM5900">
        <v>91.011595432942997</v>
      </c>
      <c r="AN5900">
        <v>1.0000000558729401</v>
      </c>
    </row>
    <row r="5901" spans="1:40" x14ac:dyDescent="0.25">
      <c r="A5901" t="str">
        <f>"20190303154259099"</f>
        <v>20190303154259099</v>
      </c>
      <c r="B5901" t="str">
        <f>"1551598979096498"</f>
        <v>1551598979096498</v>
      </c>
      <c r="C5901" t="s">
        <v>40</v>
      </c>
      <c r="D5901">
        <v>5.4062489999999999</v>
      </c>
      <c r="E5901">
        <v>0.50568429999999998</v>
      </c>
      <c r="F5901" t="s">
        <v>41</v>
      </c>
      <c r="G5901">
        <v>-421.75819999999999</v>
      </c>
      <c r="H5901" s="1">
        <v>-1.3508080000000001E-6</v>
      </c>
      <c r="I5901">
        <v>71.647379999999998</v>
      </c>
      <c r="J5901">
        <v>-422.09800000000001</v>
      </c>
      <c r="K5901">
        <v>1.1205099999999999</v>
      </c>
      <c r="L5901">
        <v>99.908839999999998</v>
      </c>
      <c r="M5901">
        <v>8.2366169999999999E-3</v>
      </c>
      <c r="N5901">
        <v>-1.01875E-2</v>
      </c>
      <c r="O5901">
        <v>-0.99991419999999998</v>
      </c>
      <c r="P5901">
        <v>2.5373349999999999E-2</v>
      </c>
      <c r="Q5901">
        <v>-9.5028459999999995E-2</v>
      </c>
      <c r="R5901">
        <v>-0.99515120000000001</v>
      </c>
      <c r="S5901">
        <v>3.598022E-2</v>
      </c>
      <c r="T5901">
        <v>-0.1178868</v>
      </c>
      <c r="U5901">
        <v>-3.0026250000000001</v>
      </c>
      <c r="V5901">
        <v>-1.719296E-2</v>
      </c>
      <c r="W5901">
        <v>-8.4880070000000002E-2</v>
      </c>
      <c r="X5901">
        <v>0.99624279999999998</v>
      </c>
      <c r="Y5901">
        <v>-3.739207E-3</v>
      </c>
      <c r="Z5901">
        <v>2.9046300000000001E-2</v>
      </c>
      <c r="AA5901">
        <v>0.99957110000000005</v>
      </c>
      <c r="AB5901">
        <v>27</v>
      </c>
      <c r="AC5901">
        <v>0.33980000000002503</v>
      </c>
      <c r="AD5901">
        <v>-1.120511350808</v>
      </c>
      <c r="AE5901">
        <v>-28.2614599999999</v>
      </c>
      <c r="AF5901">
        <v>-0.10682966556404901</v>
      </c>
      <c r="AG5901">
        <v>-1.120511350808</v>
      </c>
      <c r="AH5901">
        <v>28.218947344104599</v>
      </c>
      <c r="AI5901">
        <v>92.273876528775105</v>
      </c>
      <c r="AJ5901">
        <v>90.216906025870301</v>
      </c>
      <c r="AK5901">
        <v>28.241387137923699</v>
      </c>
      <c r="AL5901">
        <v>94.869128608305601</v>
      </c>
      <c r="AM5901">
        <v>90.988701013841606</v>
      </c>
      <c r="AN5901">
        <v>0.99999997035430199</v>
      </c>
    </row>
    <row r="5902" spans="1:40" x14ac:dyDescent="0.25">
      <c r="A5902" t="str">
        <f>"20190303154259118"</f>
        <v>20190303154259118</v>
      </c>
      <c r="B5902" t="str">
        <f>"1551598979116018"</f>
        <v>1551598979116018</v>
      </c>
      <c r="C5902" t="s">
        <v>40</v>
      </c>
      <c r="D5902">
        <v>5.4845069999999998</v>
      </c>
      <c r="E5902">
        <v>0.50587459999999995</v>
      </c>
      <c r="F5902" t="s">
        <v>41</v>
      </c>
      <c r="G5902">
        <v>-421.78809999999999</v>
      </c>
      <c r="H5902" s="1">
        <v>-1.083711E-6</v>
      </c>
      <c r="I5902">
        <v>71.006259999999997</v>
      </c>
      <c r="J5902">
        <v>-422.096</v>
      </c>
      <c r="K5902">
        <v>1.12056</v>
      </c>
      <c r="L5902">
        <v>99.656459999999996</v>
      </c>
      <c r="M5902">
        <v>8.1453629999999992E-3</v>
      </c>
      <c r="N5902">
        <v>-1.057985E-2</v>
      </c>
      <c r="O5902">
        <v>-0.99991110000000005</v>
      </c>
      <c r="P5902">
        <v>2.391803E-2</v>
      </c>
      <c r="Q5902">
        <v>-9.4126719999999997E-2</v>
      </c>
      <c r="R5902">
        <v>-0.99527319999999997</v>
      </c>
      <c r="S5902">
        <v>3.2196040000000002E-2</v>
      </c>
      <c r="T5902">
        <v>-0.11640979999999999</v>
      </c>
      <c r="U5902">
        <v>-3.0026860000000002</v>
      </c>
      <c r="V5902">
        <v>-1.582892E-2</v>
      </c>
      <c r="W5902">
        <v>-8.3586259999999996E-2</v>
      </c>
      <c r="X5902">
        <v>0.9963748</v>
      </c>
      <c r="Y5902">
        <v>-2.571172E-3</v>
      </c>
      <c r="Z5902">
        <v>2.8162739999999999E-2</v>
      </c>
      <c r="AA5902">
        <v>0.99960009999999999</v>
      </c>
      <c r="AB5902">
        <v>27</v>
      </c>
      <c r="AC5902">
        <v>0.30790000000001699</v>
      </c>
      <c r="AD5902">
        <v>-1.1205610837109901</v>
      </c>
      <c r="AE5902">
        <v>-28.650200000000002</v>
      </c>
      <c r="AF5902">
        <v>-7.4396706714316793E-2</v>
      </c>
      <c r="AG5902">
        <v>-1.1205610837109901</v>
      </c>
      <c r="AH5902">
        <v>28.607999988880199</v>
      </c>
      <c r="AI5902">
        <v>92.243092825050397</v>
      </c>
      <c r="AJ5902">
        <v>90.149000548688903</v>
      </c>
      <c r="AK5902">
        <v>28.630034149055199</v>
      </c>
      <c r="AL5902">
        <v>94.794734310946694</v>
      </c>
      <c r="AM5902">
        <v>90.910153512912899</v>
      </c>
      <c r="AN5902">
        <v>0.99999997982209599</v>
      </c>
    </row>
    <row r="5903" spans="1:40" x14ac:dyDescent="0.25">
      <c r="A5903" t="str">
        <f>"20190303154259141"</f>
        <v>20190303154259141</v>
      </c>
      <c r="B5903" t="str">
        <f>"1551598979136514"</f>
        <v>1551598979136514</v>
      </c>
      <c r="C5903" t="s">
        <v>40</v>
      </c>
      <c r="D5903">
        <v>5.6443329999999996</v>
      </c>
      <c r="E5903">
        <v>0.50600970000000001</v>
      </c>
      <c r="F5903" t="s">
        <v>41</v>
      </c>
      <c r="G5903">
        <v>-421.83819999999997</v>
      </c>
      <c r="H5903" s="1">
        <v>-7.3500469999999995E-7</v>
      </c>
      <c r="I5903">
        <v>70.162300000000002</v>
      </c>
      <c r="J5903">
        <v>-422.09390000000002</v>
      </c>
      <c r="K5903">
        <v>1.1206</v>
      </c>
      <c r="L5903">
        <v>99.381500000000003</v>
      </c>
      <c r="M5903">
        <v>8.0405000000000008E-3</v>
      </c>
      <c r="N5903">
        <v>-1.098208E-2</v>
      </c>
      <c r="O5903">
        <v>-0.99990760000000001</v>
      </c>
      <c r="P5903">
        <v>2.2718990000000001E-2</v>
      </c>
      <c r="Q5903">
        <v>-9.4008789999999995E-2</v>
      </c>
      <c r="R5903">
        <v>-0.99531219999999998</v>
      </c>
      <c r="S5903">
        <v>2.624512E-2</v>
      </c>
      <c r="T5903">
        <v>-0.1140857</v>
      </c>
      <c r="U5903">
        <v>-3.0028380000000001</v>
      </c>
      <c r="V5903">
        <v>-1.473491E-2</v>
      </c>
      <c r="W5903">
        <v>-8.3067340000000003E-2</v>
      </c>
      <c r="X5903">
        <v>0.99643499999999996</v>
      </c>
      <c r="Y5903">
        <v>-6.9544050000000003E-4</v>
      </c>
      <c r="Z5903">
        <v>2.6986599999999999E-2</v>
      </c>
      <c r="AA5903">
        <v>0.99963559999999996</v>
      </c>
      <c r="AB5903">
        <v>27</v>
      </c>
      <c r="AC5903">
        <v>0.255700000000047</v>
      </c>
      <c r="AD5903">
        <v>-1.1206007350047</v>
      </c>
      <c r="AE5903">
        <v>-29.219200000000001</v>
      </c>
      <c r="AF5903">
        <v>-2.0710182653082599E-2</v>
      </c>
      <c r="AG5903">
        <v>-1.1206007350047</v>
      </c>
      <c r="AH5903">
        <v>29.177399471773199</v>
      </c>
      <c r="AI5903">
        <v>92.199446713884498</v>
      </c>
      <c r="AJ5903">
        <v>90.040668664143098</v>
      </c>
      <c r="AK5903">
        <v>29.198918042530099</v>
      </c>
      <c r="AL5903">
        <v>94.764898504073003</v>
      </c>
      <c r="AM5903">
        <v>90.847206916880197</v>
      </c>
      <c r="AN5903">
        <v>1.0000000048861899</v>
      </c>
    </row>
    <row r="5904" spans="1:40" x14ac:dyDescent="0.25">
      <c r="A5904" t="str">
        <f>"20190303154259163"</f>
        <v>20190303154259163</v>
      </c>
      <c r="B5904" t="str">
        <f>"1551598979156034"</f>
        <v>1551598979156034</v>
      </c>
      <c r="C5904" t="s">
        <v>40</v>
      </c>
      <c r="D5904">
        <v>5.4063480000000004</v>
      </c>
      <c r="E5904">
        <v>0.50614919999999997</v>
      </c>
      <c r="F5904" t="s">
        <v>41</v>
      </c>
      <c r="G5904">
        <v>-421.88150000000002</v>
      </c>
      <c r="H5904" s="1">
        <v>-6.7117009999999999E-7</v>
      </c>
      <c r="I5904">
        <v>69.986680000000007</v>
      </c>
      <c r="J5904">
        <v>-422.09179999999998</v>
      </c>
      <c r="K5904">
        <v>1.120633</v>
      </c>
      <c r="L5904">
        <v>99.112340000000003</v>
      </c>
      <c r="M5904">
        <v>7.9354290000000008E-3</v>
      </c>
      <c r="N5904">
        <v>-1.134135E-2</v>
      </c>
      <c r="O5904">
        <v>-0.99990420000000002</v>
      </c>
      <c r="P5904">
        <v>2.1278419999999999E-2</v>
      </c>
      <c r="Q5904">
        <v>-9.479783E-2</v>
      </c>
      <c r="R5904">
        <v>-0.99526910000000002</v>
      </c>
      <c r="S5904">
        <v>2.1697999999999999E-2</v>
      </c>
      <c r="T5904">
        <v>-0.1144754</v>
      </c>
      <c r="U5904">
        <v>-3.0028380000000001</v>
      </c>
      <c r="V5904">
        <v>-1.339975E-2</v>
      </c>
      <c r="W5904">
        <v>-8.3499260000000006E-2</v>
      </c>
      <c r="X5904">
        <v>0.99641780000000002</v>
      </c>
      <c r="Y5904">
        <v>7.1270559999999999E-4</v>
      </c>
      <c r="Z5904">
        <v>2.675719E-2</v>
      </c>
      <c r="AA5904">
        <v>0.99964169999999997</v>
      </c>
      <c r="AB5904">
        <v>27</v>
      </c>
      <c r="AC5904">
        <v>0.21029999999996099</v>
      </c>
      <c r="AD5904">
        <v>-1.1206336711700999</v>
      </c>
      <c r="AE5904">
        <v>-29.12566</v>
      </c>
      <c r="AF5904">
        <v>2.0815281299036901E-2</v>
      </c>
      <c r="AG5904">
        <v>-1.1206336711700999</v>
      </c>
      <c r="AH5904">
        <v>29.083359324988798</v>
      </c>
      <c r="AI5904">
        <v>92.206616319106004</v>
      </c>
      <c r="AJ5904">
        <v>89.958992785157704</v>
      </c>
      <c r="AK5904">
        <v>29.104948766959101</v>
      </c>
      <c r="AL5904">
        <v>94.789731725802994</v>
      </c>
      <c r="AM5904">
        <v>90.770462796766694</v>
      </c>
      <c r="AN5904">
        <v>1.0000000559387201</v>
      </c>
    </row>
    <row r="5905" spans="1:40" x14ac:dyDescent="0.25">
      <c r="A5905" t="str">
        <f>"20190303154259186"</f>
        <v>20190303154259186</v>
      </c>
      <c r="B5905" t="str">
        <f>"1551598979175555"</f>
        <v>1551598979175555</v>
      </c>
      <c r="C5905" t="s">
        <v>40</v>
      </c>
      <c r="D5905">
        <v>5.4460089999999903</v>
      </c>
      <c r="E5905">
        <v>0.50602760000000002</v>
      </c>
      <c r="F5905" t="s">
        <v>41</v>
      </c>
      <c r="G5905">
        <v>-421.93220000000002</v>
      </c>
      <c r="H5905" s="1">
        <v>-8.3454669999999895E-7</v>
      </c>
      <c r="I5905">
        <v>70.336079999999995</v>
      </c>
      <c r="J5905">
        <v>-422.08980000000003</v>
      </c>
      <c r="K5905">
        <v>1.1206609999999999</v>
      </c>
      <c r="L5905">
        <v>98.844790000000003</v>
      </c>
      <c r="M5905">
        <v>7.8326960000000001E-3</v>
      </c>
      <c r="N5905">
        <v>-1.166615E-2</v>
      </c>
      <c r="O5905">
        <v>-0.99990140000000005</v>
      </c>
      <c r="P5905">
        <v>2.059857E-2</v>
      </c>
      <c r="Q5905">
        <v>-9.547245E-2</v>
      </c>
      <c r="R5905">
        <v>-0.99521890000000002</v>
      </c>
      <c r="S5905">
        <v>1.6662599999999899E-2</v>
      </c>
      <c r="T5905">
        <v>-0.11693720000000001</v>
      </c>
      <c r="U5905">
        <v>-3.002777</v>
      </c>
      <c r="V5905">
        <v>-1.282208E-2</v>
      </c>
      <c r="W5905">
        <v>-8.385099E-2</v>
      </c>
      <c r="X5905">
        <v>0.99639580000000005</v>
      </c>
      <c r="Y5905">
        <v>2.2856880000000001E-3</v>
      </c>
      <c r="Z5905">
        <v>2.7251669999999999E-2</v>
      </c>
      <c r="AA5905">
        <v>0.99962600000000001</v>
      </c>
      <c r="AB5905">
        <v>27</v>
      </c>
      <c r="AC5905">
        <v>0.15760000000000199</v>
      </c>
      <c r="AD5905">
        <v>-1.1206618345466901</v>
      </c>
      <c r="AE5905">
        <v>-28.508709999999901</v>
      </c>
      <c r="AF5905">
        <v>6.5618668925189194E-2</v>
      </c>
      <c r="AG5905">
        <v>-1.1206618345466901</v>
      </c>
      <c r="AH5905">
        <v>28.465086011931799</v>
      </c>
      <c r="AI5905">
        <v>92.254547190009205</v>
      </c>
      <c r="AJ5905">
        <v>89.867920085491207</v>
      </c>
      <c r="AK5905">
        <v>28.487213103843601</v>
      </c>
      <c r="AL5905">
        <v>94.809955598598407</v>
      </c>
      <c r="AM5905">
        <v>90.737267781072404</v>
      </c>
      <c r="AN5905">
        <v>0.99999999225857295</v>
      </c>
    </row>
    <row r="5906" spans="1:40" x14ac:dyDescent="0.25">
      <c r="A5906" t="str">
        <f>"20190303154259208"</f>
        <v>20190303154259208</v>
      </c>
      <c r="B5906" t="str">
        <f>"1551598979205811"</f>
        <v>1551598979205811</v>
      </c>
      <c r="C5906" t="s">
        <v>40</v>
      </c>
      <c r="D5906">
        <v>5.4464889999999997</v>
      </c>
      <c r="E5906">
        <v>0.48388880000000001</v>
      </c>
      <c r="F5906" t="s">
        <v>41</v>
      </c>
      <c r="G5906">
        <v>-421.94529999999997</v>
      </c>
      <c r="H5906" s="1">
        <v>-9.6949659999999994E-7</v>
      </c>
      <c r="I5906">
        <v>70.642469999999904</v>
      </c>
      <c r="J5906">
        <v>-422.08789999999999</v>
      </c>
      <c r="K5906">
        <v>1.1206849999999999</v>
      </c>
      <c r="L5906">
        <v>98.58099</v>
      </c>
      <c r="M5906">
        <v>7.73441199999999E-3</v>
      </c>
      <c r="N5906">
        <v>-1.195615E-2</v>
      </c>
      <c r="O5906">
        <v>-0.99989870000000003</v>
      </c>
      <c r="P5906">
        <v>2.036636E-2</v>
      </c>
      <c r="Q5906">
        <v>-9.5083710000000002E-2</v>
      </c>
      <c r="R5906">
        <v>-0.99526110000000001</v>
      </c>
      <c r="S5906">
        <v>1.538086E-2</v>
      </c>
      <c r="T5906">
        <v>-0.119315</v>
      </c>
      <c r="U5906">
        <v>-3.0026549999999999</v>
      </c>
      <c r="V5906">
        <v>-1.2686920000000001E-2</v>
      </c>
      <c r="W5906">
        <v>-8.3172930000000006E-2</v>
      </c>
      <c r="X5906">
        <v>0.99645439999999996</v>
      </c>
      <c r="Y5906">
        <v>2.6138289999999998E-3</v>
      </c>
      <c r="Z5906">
        <v>2.7753739999999999E-2</v>
      </c>
      <c r="AA5906">
        <v>0.99961140000000004</v>
      </c>
      <c r="AB5906">
        <v>27</v>
      </c>
      <c r="AC5906">
        <v>0.14260000000001499</v>
      </c>
      <c r="AD5906">
        <v>-1.1206859694965901</v>
      </c>
      <c r="AE5906">
        <v>-27.93852</v>
      </c>
      <c r="AF5906">
        <v>7.3389634999871306E-2</v>
      </c>
      <c r="AG5906">
        <v>-1.1206859694965901</v>
      </c>
      <c r="AH5906">
        <v>27.8939065705835</v>
      </c>
      <c r="AI5906">
        <v>92.300711758188697</v>
      </c>
      <c r="AJ5906">
        <v>89.849253576858203</v>
      </c>
      <c r="AK5906">
        <v>27.916506709278501</v>
      </c>
      <c r="AL5906">
        <v>94.770969240187696</v>
      </c>
      <c r="AM5906">
        <v>90.729454048593993</v>
      </c>
      <c r="AN5906">
        <v>1.0000000327516101</v>
      </c>
    </row>
    <row r="5907" spans="1:40" x14ac:dyDescent="0.25">
      <c r="A5907" t="str">
        <f>"20190303154259231"</f>
        <v>20190303154259231</v>
      </c>
      <c r="B5907" t="str">
        <f>"1551598979226306"</f>
        <v>1551598979226306</v>
      </c>
      <c r="C5907" t="s">
        <v>40</v>
      </c>
      <c r="D5907">
        <v>5.4484079999999997</v>
      </c>
      <c r="E5907">
        <v>0.48389979999999999</v>
      </c>
      <c r="F5907" t="s">
        <v>41</v>
      </c>
      <c r="G5907">
        <v>-420.88060000000002</v>
      </c>
      <c r="H5907" s="1">
        <v>-2.5056720000000001E-7</v>
      </c>
      <c r="I5907">
        <v>79.627039999999994</v>
      </c>
      <c r="J5907">
        <v>-422.08589999999998</v>
      </c>
      <c r="K5907">
        <v>1.1206969999999901</v>
      </c>
      <c r="L5907">
        <v>98.307010000000005</v>
      </c>
      <c r="M5907">
        <v>7.6352740000000001E-3</v>
      </c>
      <c r="N5907">
        <v>-1.222557E-2</v>
      </c>
      <c r="O5907">
        <v>-0.99989609999999995</v>
      </c>
      <c r="P5907">
        <v>2.0397410000000001E-2</v>
      </c>
      <c r="Q5907">
        <v>-9.4862459999999996E-2</v>
      </c>
      <c r="R5907">
        <v>-0.99528130000000004</v>
      </c>
      <c r="S5907">
        <v>0.1906738</v>
      </c>
      <c r="T5907">
        <v>-0.17699400000000001</v>
      </c>
      <c r="U5907">
        <v>-2.9934690000000002</v>
      </c>
      <c r="V5907">
        <v>-1.281621E-2</v>
      </c>
      <c r="W5907">
        <v>-8.2683030000000005E-2</v>
      </c>
      <c r="X5907">
        <v>0.99649350000000003</v>
      </c>
      <c r="Y5907">
        <v>-5.5851829999999998E-2</v>
      </c>
      <c r="Z5907">
        <v>4.6709769999999998E-2</v>
      </c>
      <c r="AA5907">
        <v>0.99734590000000001</v>
      </c>
      <c r="AB5907">
        <v>27</v>
      </c>
      <c r="AC5907">
        <v>1.2052999999999601</v>
      </c>
      <c r="AD5907">
        <v>-1.1206972505671999</v>
      </c>
      <c r="AE5907">
        <v>-18.679969999999901</v>
      </c>
      <c r="AF5907">
        <v>-1.05883220179423</v>
      </c>
      <c r="AG5907">
        <v>-1.1206972505671999</v>
      </c>
      <c r="AH5907">
        <v>18.6218801002146</v>
      </c>
      <c r="AI5907">
        <v>93.438465694793095</v>
      </c>
      <c r="AJ5907">
        <v>93.254309659345196</v>
      </c>
      <c r="AK5907">
        <v>18.6855962288002</v>
      </c>
      <c r="AL5907">
        <v>94.742803095437694</v>
      </c>
      <c r="AM5907">
        <v>90.736858050663699</v>
      </c>
      <c r="AN5907">
        <v>1.0000000171154899</v>
      </c>
    </row>
    <row r="5908" spans="1:40" x14ac:dyDescent="0.25">
      <c r="A5908" t="str">
        <f>"20190303154259253"</f>
        <v>20190303154259253</v>
      </c>
      <c r="B5908" t="str">
        <f>"1551598979245830"</f>
        <v>1551598979245830</v>
      </c>
      <c r="C5908" t="s">
        <v>40</v>
      </c>
      <c r="D5908">
        <v>5.4565769999999896</v>
      </c>
      <c r="E5908">
        <v>0.4839482</v>
      </c>
      <c r="F5908" t="s">
        <v>41</v>
      </c>
      <c r="G5908">
        <v>-420.8562</v>
      </c>
      <c r="H5908" s="1">
        <v>-4.2442900000000003E-6</v>
      </c>
      <c r="I5908">
        <v>79.012529999999998</v>
      </c>
      <c r="J5908">
        <v>-422.08390000000003</v>
      </c>
      <c r="K5908">
        <v>1.120709</v>
      </c>
      <c r="L5908">
        <v>98.039760000000001</v>
      </c>
      <c r="M5908">
        <v>7.5412969999999998E-3</v>
      </c>
      <c r="N5908">
        <v>-1.245739E-2</v>
      </c>
      <c r="O5908">
        <v>-0.99989399999999995</v>
      </c>
      <c r="P5908">
        <v>2.0888429999999999E-2</v>
      </c>
      <c r="Q5908">
        <v>-9.4711939999999994E-2</v>
      </c>
      <c r="R5908">
        <v>-0.99528550000000005</v>
      </c>
      <c r="S5908">
        <v>0.19079589999999999</v>
      </c>
      <c r="T5908">
        <v>-0.17388870000000001</v>
      </c>
      <c r="U5908">
        <v>-2.993744</v>
      </c>
      <c r="V5908">
        <v>-1.3399660000000001E-2</v>
      </c>
      <c r="W5908">
        <v>-8.2301340000000001E-2</v>
      </c>
      <c r="X5908">
        <v>0.9965174</v>
      </c>
      <c r="Y5908">
        <v>-5.598384E-2</v>
      </c>
      <c r="Z5908">
        <v>4.5441879999999997E-2</v>
      </c>
      <c r="AA5908">
        <v>0.99739699999999998</v>
      </c>
      <c r="AB5908">
        <v>27</v>
      </c>
      <c r="AC5908">
        <v>1.22770000000002</v>
      </c>
      <c r="AD5908">
        <v>-1.1207132442900001</v>
      </c>
      <c r="AE5908">
        <v>-19.027229999999999</v>
      </c>
      <c r="AF5908">
        <v>-1.08043119589884</v>
      </c>
      <c r="AG5908">
        <v>-1.1207132442900001</v>
      </c>
      <c r="AH5908">
        <v>18.970407457897</v>
      </c>
      <c r="AI5908">
        <v>93.375471198395303</v>
      </c>
      <c r="AJ5908">
        <v>93.259674038001094</v>
      </c>
      <c r="AK5908">
        <v>19.0341716095982</v>
      </c>
      <c r="AL5908">
        <v>94.720859182797099</v>
      </c>
      <c r="AM5908">
        <v>90.770380626065503</v>
      </c>
      <c r="AN5908">
        <v>0.99999999497833503</v>
      </c>
    </row>
    <row r="5909" spans="1:40" x14ac:dyDescent="0.25">
      <c r="A5909" t="str">
        <f>"20190303154259277"</f>
        <v>20190303154259277</v>
      </c>
      <c r="B5909" t="str">
        <f>"1551598979266323"</f>
        <v>1551598979266323</v>
      </c>
      <c r="C5909" t="s">
        <v>40</v>
      </c>
      <c r="D5909">
        <v>5.4716699999999996</v>
      </c>
      <c r="E5909">
        <v>0.48406339999999998</v>
      </c>
      <c r="F5909" t="s">
        <v>41</v>
      </c>
      <c r="G5909">
        <v>-420.85169999999999</v>
      </c>
      <c r="H5909" s="1">
        <v>-4.1696730000000004E-6</v>
      </c>
      <c r="I5909">
        <v>78.795599999999993</v>
      </c>
      <c r="J5909">
        <v>-422.08190000000002</v>
      </c>
      <c r="K5909">
        <v>1.120725</v>
      </c>
      <c r="L5909">
        <v>97.762820000000005</v>
      </c>
      <c r="M5909">
        <v>7.4447150000000002E-3</v>
      </c>
      <c r="N5909">
        <v>-1.2667879999999999E-2</v>
      </c>
      <c r="O5909">
        <v>-0.99989209999999995</v>
      </c>
      <c r="P5909">
        <v>2.186975E-2</v>
      </c>
      <c r="Q5909">
        <v>-9.4777330000000007E-2</v>
      </c>
      <c r="R5909">
        <v>-0.99525830000000004</v>
      </c>
      <c r="S5909">
        <v>0.19168089999999999</v>
      </c>
      <c r="T5909">
        <v>-0.174336299999999</v>
      </c>
      <c r="U5909">
        <v>-2.9935909999999999</v>
      </c>
      <c r="V5909">
        <v>-1.4477530000000001E-2</v>
      </c>
      <c r="W5909">
        <v>-8.2157030000000006E-2</v>
      </c>
      <c r="X5909">
        <v>0.99651429999999996</v>
      </c>
      <c r="Y5909">
        <v>-5.6376599999999999E-2</v>
      </c>
      <c r="Z5909">
        <v>4.538201E-2</v>
      </c>
      <c r="AA5909">
        <v>0.99737759999999998</v>
      </c>
      <c r="AB5909">
        <v>27</v>
      </c>
      <c r="AC5909">
        <v>1.2302000000000199</v>
      </c>
      <c r="AD5909">
        <v>-1.120729169673</v>
      </c>
      <c r="AE5909">
        <v>-18.967220000000001</v>
      </c>
      <c r="AF5909">
        <v>-1.0851761684514301</v>
      </c>
      <c r="AG5909">
        <v>-1.120729169673</v>
      </c>
      <c r="AH5909">
        <v>18.910108188744399</v>
      </c>
      <c r="AI5909">
        <v>93.386174405020796</v>
      </c>
      <c r="AJ5909">
        <v>93.284375562792505</v>
      </c>
      <c r="AK5909">
        <v>18.974346705442802</v>
      </c>
      <c r="AL5909">
        <v>94.712562409832302</v>
      </c>
      <c r="AM5909">
        <v>90.832344316418897</v>
      </c>
      <c r="AN5909">
        <v>1.0000000632788999</v>
      </c>
    </row>
    <row r="5910" spans="1:40" x14ac:dyDescent="0.25">
      <c r="A5910" t="str">
        <f>"20190303154259299"</f>
        <v>20190303154259299</v>
      </c>
      <c r="B5910" t="str">
        <f>"1551598979296579"</f>
        <v>1551598979296579</v>
      </c>
      <c r="C5910" t="s">
        <v>40</v>
      </c>
      <c r="D5910">
        <v>5.5042739999999997</v>
      </c>
      <c r="E5910">
        <v>0.48422389999999998</v>
      </c>
      <c r="F5910" t="s">
        <v>41</v>
      </c>
      <c r="G5910">
        <v>-420.86290000000002</v>
      </c>
      <c r="H5910" s="1">
        <v>-4.2260739999999998E-6</v>
      </c>
      <c r="I5910">
        <v>78.955510000000004</v>
      </c>
      <c r="J5910">
        <v>-422.08</v>
      </c>
      <c r="K5910">
        <v>1.120735</v>
      </c>
      <c r="L5910">
        <v>97.490809999999996</v>
      </c>
      <c r="M5910">
        <v>7.3498629999999999E-3</v>
      </c>
      <c r="N5910">
        <v>-1.284647E-2</v>
      </c>
      <c r="O5910">
        <v>-0.99989090000000003</v>
      </c>
      <c r="P5910">
        <v>2.2454999999999999E-2</v>
      </c>
      <c r="Q5910">
        <v>-9.4971749999999994E-2</v>
      </c>
      <c r="R5910">
        <v>-0.99522710000000003</v>
      </c>
      <c r="S5910">
        <v>0.19400020000000001</v>
      </c>
      <c r="T5910">
        <v>-0.17835570000000001</v>
      </c>
      <c r="U5910">
        <v>-2.993042</v>
      </c>
      <c r="V5910">
        <v>-1.5157E-2</v>
      </c>
      <c r="W5910">
        <v>-8.217373E-2</v>
      </c>
      <c r="X5910">
        <v>0.99650280000000002</v>
      </c>
      <c r="Y5910">
        <v>-5.7247850000000003E-2</v>
      </c>
      <c r="Z5910">
        <v>4.6545740000000002E-2</v>
      </c>
      <c r="AA5910">
        <v>0.99727440000000001</v>
      </c>
      <c r="AB5910">
        <v>27</v>
      </c>
      <c r="AC5910">
        <v>1.2170999999999501</v>
      </c>
      <c r="AD5910">
        <v>-1.1207392260739999</v>
      </c>
      <c r="AE5910">
        <v>-18.5352999999999</v>
      </c>
      <c r="AF5910">
        <v>-1.07690373006629</v>
      </c>
      <c r="AG5910">
        <v>-1.1207392260739999</v>
      </c>
      <c r="AH5910">
        <v>18.4764849240761</v>
      </c>
      <c r="AI5910">
        <v>93.465304688289393</v>
      </c>
      <c r="AJ5910">
        <v>93.335716213631997</v>
      </c>
      <c r="AK5910">
        <v>18.5417440713193</v>
      </c>
      <c r="AL5910">
        <v>94.713522589155204</v>
      </c>
      <c r="AM5910">
        <v>90.8714126731916</v>
      </c>
      <c r="AN5910">
        <v>1.00000004347947</v>
      </c>
    </row>
    <row r="5911" spans="1:40" x14ac:dyDescent="0.25">
      <c r="A5911" t="str">
        <f>"20190303154259320"</f>
        <v>20190303154259320</v>
      </c>
      <c r="B5911" t="str">
        <f>"1551598979316099"</f>
        <v>1551598979316099</v>
      </c>
      <c r="C5911" t="s">
        <v>40</v>
      </c>
      <c r="D5911">
        <v>5.5117219999999998</v>
      </c>
      <c r="E5911">
        <v>0.48426429999999998</v>
      </c>
      <c r="F5911" t="s">
        <v>41</v>
      </c>
      <c r="G5911">
        <v>-420.87279999999998</v>
      </c>
      <c r="H5911" s="1">
        <v>-4.2071160000000004E-6</v>
      </c>
      <c r="I5911">
        <v>78.894619999999904</v>
      </c>
      <c r="J5911">
        <v>-422.07819999999998</v>
      </c>
      <c r="K5911">
        <v>1.1207469999999999</v>
      </c>
      <c r="L5911">
        <v>97.234650000000002</v>
      </c>
      <c r="M5911">
        <v>7.2616440000000003E-3</v>
      </c>
      <c r="N5911">
        <v>-1.299377E-2</v>
      </c>
      <c r="O5911">
        <v>-0.99988940000000004</v>
      </c>
      <c r="P5911">
        <v>2.305343E-2</v>
      </c>
      <c r="Q5911">
        <v>-9.4516249999999996E-2</v>
      </c>
      <c r="R5911">
        <v>-0.99525669999999999</v>
      </c>
      <c r="S5911">
        <v>0.1942749</v>
      </c>
      <c r="T5911">
        <v>-0.18036740000000001</v>
      </c>
      <c r="U5911">
        <v>-2.9927980000000001</v>
      </c>
      <c r="V5911">
        <v>-1.5842510000000001E-2</v>
      </c>
      <c r="W5911">
        <v>-8.157093E-2</v>
      </c>
      <c r="X5911">
        <v>0.99654160000000003</v>
      </c>
      <c r="Y5911">
        <v>-5.7430019999999998E-2</v>
      </c>
      <c r="Z5911">
        <v>4.7070729999999998E-2</v>
      </c>
      <c r="AA5911">
        <v>0.99723919999999999</v>
      </c>
      <c r="AB5911">
        <v>27</v>
      </c>
      <c r="AC5911">
        <v>1.20539999999999</v>
      </c>
      <c r="AD5911">
        <v>-1.120751207116</v>
      </c>
      <c r="AE5911">
        <v>-18.340029999999999</v>
      </c>
      <c r="AF5911">
        <v>-1.06820629647678</v>
      </c>
      <c r="AG5911">
        <v>-1.120751207116</v>
      </c>
      <c r="AH5911">
        <v>18.280328244667501</v>
      </c>
      <c r="AI5911">
        <v>93.502403936043095</v>
      </c>
      <c r="AJ5911">
        <v>93.344261193547496</v>
      </c>
      <c r="AK5911">
        <v>18.345777407699899</v>
      </c>
      <c r="AL5911">
        <v>94.678868646264604</v>
      </c>
      <c r="AM5911">
        <v>90.910782352691498</v>
      </c>
      <c r="AN5911">
        <v>0.99999998113736199</v>
      </c>
    </row>
    <row r="5912" spans="1:40" x14ac:dyDescent="0.25">
      <c r="A5912" t="str">
        <f>"20190303154259343"</f>
        <v>20190303154259343</v>
      </c>
      <c r="B5912" t="str">
        <f>"1551598979335619"</f>
        <v>1551598979335619</v>
      </c>
      <c r="C5912" t="s">
        <v>40</v>
      </c>
      <c r="D5912">
        <v>5.5010469999999998</v>
      </c>
      <c r="E5912">
        <v>0.4843035</v>
      </c>
      <c r="F5912" t="s">
        <v>41</v>
      </c>
      <c r="G5912">
        <v>-420.8544</v>
      </c>
      <c r="H5912" s="1">
        <v>-4.059819E-6</v>
      </c>
      <c r="I5912">
        <v>78.522710000000004</v>
      </c>
      <c r="J5912">
        <v>-422.07639999999998</v>
      </c>
      <c r="K5912">
        <v>1.120754</v>
      </c>
      <c r="L5912">
        <v>96.9679</v>
      </c>
      <c r="M5912">
        <v>7.1715499999999996E-3</v>
      </c>
      <c r="N5912">
        <v>-1.3127379999999999E-2</v>
      </c>
      <c r="O5912">
        <v>-0.999888</v>
      </c>
      <c r="P5912">
        <v>2.339656E-2</v>
      </c>
      <c r="Q5912">
        <v>-9.3809210000000004E-2</v>
      </c>
      <c r="R5912">
        <v>-0.99531539999999996</v>
      </c>
      <c r="S5912">
        <v>0.19573969999999999</v>
      </c>
      <c r="T5912">
        <v>-0.17925179999999999</v>
      </c>
      <c r="U5912">
        <v>-2.9927670000000002</v>
      </c>
      <c r="V5912">
        <v>-1.627462E-2</v>
      </c>
      <c r="W5912">
        <v>-8.0729980000000007E-2</v>
      </c>
      <c r="X5912">
        <v>0.99660309999999996</v>
      </c>
      <c r="Y5912">
        <v>-5.8007749999999997E-2</v>
      </c>
      <c r="Z5912">
        <v>4.6565700000000002E-2</v>
      </c>
      <c r="AA5912">
        <v>0.99722949999999999</v>
      </c>
      <c r="AB5912">
        <v>27</v>
      </c>
      <c r="AC5912">
        <v>1.22199999999998</v>
      </c>
      <c r="AD5912">
        <v>-1.1207580598189999</v>
      </c>
      <c r="AE5912">
        <v>-18.44519</v>
      </c>
      <c r="AF5912">
        <v>-1.08568575614777</v>
      </c>
      <c r="AG5912">
        <v>-1.1207580598189999</v>
      </c>
      <c r="AH5912">
        <v>18.3858965339492</v>
      </c>
      <c r="AI5912">
        <v>93.482239576611406</v>
      </c>
      <c r="AJ5912">
        <v>93.379387102466197</v>
      </c>
      <c r="AK5912">
        <v>18.4519918585186</v>
      </c>
      <c r="AL5912">
        <v>94.630526389069104</v>
      </c>
      <c r="AM5912">
        <v>90.935562176010606</v>
      </c>
      <c r="AN5912">
        <v>0.999999965928276</v>
      </c>
    </row>
    <row r="5913" spans="1:40" x14ac:dyDescent="0.25">
      <c r="A5913" t="str">
        <f>"20190303154259366"</f>
        <v>20190303154259366</v>
      </c>
      <c r="B5913" t="str">
        <f>"1551598979356115"</f>
        <v>1551598979356115</v>
      </c>
      <c r="C5913" t="s">
        <v>40</v>
      </c>
      <c r="D5913">
        <v>5.5031369999999997</v>
      </c>
      <c r="E5913">
        <v>0.48433789999999999</v>
      </c>
      <c r="F5913" t="s">
        <v>41</v>
      </c>
      <c r="G5913">
        <v>-420.84089999999998</v>
      </c>
      <c r="H5913" s="1">
        <v>-3.9109659999999998E-6</v>
      </c>
      <c r="I5913">
        <v>78.184110000000004</v>
      </c>
      <c r="J5913">
        <v>-422.0745</v>
      </c>
      <c r="K5913">
        <v>1.120762</v>
      </c>
      <c r="L5913">
        <v>96.691249999999997</v>
      </c>
      <c r="M5913">
        <v>7.0800200000000002E-3</v>
      </c>
      <c r="N5913">
        <v>-1.324734E-2</v>
      </c>
      <c r="O5913">
        <v>-0.99988750000000004</v>
      </c>
      <c r="P5913">
        <v>2.3827520000000001E-2</v>
      </c>
      <c r="Q5913">
        <v>-9.3463299999999999E-2</v>
      </c>
      <c r="R5913">
        <v>-0.9953379</v>
      </c>
      <c r="S5913">
        <v>0.1968384</v>
      </c>
      <c r="T5913">
        <v>-0.17855989999999999</v>
      </c>
      <c r="U5913">
        <v>-2.992645</v>
      </c>
      <c r="V5913">
        <v>-1.6795609999999999E-2</v>
      </c>
      <c r="W5913">
        <v>-8.0264230000000006E-2</v>
      </c>
      <c r="X5913">
        <v>0.99663210000000002</v>
      </c>
      <c r="Y5913">
        <v>-5.8466909999999997E-2</v>
      </c>
      <c r="Z5913">
        <v>4.621716E-2</v>
      </c>
      <c r="AA5913">
        <v>0.99721890000000002</v>
      </c>
      <c r="AB5913">
        <v>27</v>
      </c>
      <c r="AC5913">
        <v>1.23360000000002</v>
      </c>
      <c r="AD5913">
        <v>-1.120765910966</v>
      </c>
      <c r="AE5913">
        <v>-18.50714</v>
      </c>
      <c r="AF5913">
        <v>-1.0985158853991399</v>
      </c>
      <c r="AG5913">
        <v>-1.120765910966</v>
      </c>
      <c r="AH5913">
        <v>18.448054703612598</v>
      </c>
      <c r="AI5913">
        <v>93.470458057337794</v>
      </c>
      <c r="AJ5913">
        <v>93.407735505594502</v>
      </c>
      <c r="AK5913">
        <v>18.514685407133999</v>
      </c>
      <c r="AL5913">
        <v>94.603753882569407</v>
      </c>
      <c r="AM5913">
        <v>90.965478116490004</v>
      </c>
      <c r="AN5913">
        <v>0.99999999094158698</v>
      </c>
    </row>
    <row r="5914" spans="1:40" x14ac:dyDescent="0.25">
      <c r="A5914" t="str">
        <f>"20190303154259387"</f>
        <v>20190303154259387</v>
      </c>
      <c r="B5914" t="str">
        <f>"1551598979375635"</f>
        <v>1551598979375635</v>
      </c>
      <c r="C5914" t="s">
        <v>40</v>
      </c>
      <c r="D5914">
        <v>5.4987089999999998</v>
      </c>
      <c r="E5914">
        <v>0.48443839999999999</v>
      </c>
      <c r="F5914" t="s">
        <v>41</v>
      </c>
      <c r="G5914">
        <v>-420.82889999999998</v>
      </c>
      <c r="H5914" s="1">
        <v>-3.769314E-6</v>
      </c>
      <c r="I5914">
        <v>77.861369999999994</v>
      </c>
      <c r="J5914">
        <v>-422.07279999999997</v>
      </c>
      <c r="K5914">
        <v>1.1207750000000001</v>
      </c>
      <c r="L5914">
        <v>96.437070000000006</v>
      </c>
      <c r="M5914">
        <v>6.9968599999999997E-3</v>
      </c>
      <c r="N5914">
        <v>-1.334285E-2</v>
      </c>
      <c r="O5914">
        <v>-0.99988679999999996</v>
      </c>
      <c r="P5914">
        <v>2.3996389999999999E-2</v>
      </c>
      <c r="Q5914">
        <v>-9.3039189999999994E-2</v>
      </c>
      <c r="R5914">
        <v>-0.99537359999999997</v>
      </c>
      <c r="S5914">
        <v>0.19796749999999999</v>
      </c>
      <c r="T5914">
        <v>-0.17812049999999999</v>
      </c>
      <c r="U5914">
        <v>-2.9925839999999999</v>
      </c>
      <c r="V5914">
        <v>-1.70463E-2</v>
      </c>
      <c r="W5914">
        <v>-7.9744510000000005E-2</v>
      </c>
      <c r="X5914">
        <v>0.99666960000000004</v>
      </c>
      <c r="Y5914">
        <v>-5.8926220000000001E-2</v>
      </c>
      <c r="Z5914">
        <v>4.597561E-2</v>
      </c>
      <c r="AA5914">
        <v>0.99720310000000001</v>
      </c>
      <c r="AB5914">
        <v>27</v>
      </c>
      <c r="AC5914">
        <v>1.24389999999999</v>
      </c>
      <c r="AD5914">
        <v>-1.1207787693139999</v>
      </c>
      <c r="AE5914">
        <v>-18.575700000000001</v>
      </c>
      <c r="AF5914">
        <v>-1.10986412611991</v>
      </c>
      <c r="AG5914">
        <v>-1.1207787693139999</v>
      </c>
      <c r="AH5914">
        <v>18.5168415477313</v>
      </c>
      <c r="AI5914">
        <v>93.457556397584995</v>
      </c>
      <c r="AJ5914">
        <v>93.430095925367496</v>
      </c>
      <c r="AK5914">
        <v>18.583900675907099</v>
      </c>
      <c r="AL5914">
        <v>94.573880193160093</v>
      </c>
      <c r="AM5914">
        <v>90.979849119121099</v>
      </c>
      <c r="AN5914">
        <v>1.00000002739149</v>
      </c>
    </row>
    <row r="5915" spans="1:40" x14ac:dyDescent="0.25">
      <c r="A5915" t="str">
        <f>"20190303154259409"</f>
        <v>20190303154259409</v>
      </c>
      <c r="B5915" t="str">
        <f>"1551598979405891"</f>
        <v>1551598979405891</v>
      </c>
      <c r="C5915" t="s">
        <v>40</v>
      </c>
      <c r="D5915">
        <v>5.496594</v>
      </c>
      <c r="E5915">
        <v>0.48445050000000001</v>
      </c>
      <c r="F5915" t="s">
        <v>41</v>
      </c>
      <c r="G5915">
        <v>-420.83199999999999</v>
      </c>
      <c r="H5915" s="1">
        <v>-3.67138E-6</v>
      </c>
      <c r="I5915">
        <v>77.631159999999994</v>
      </c>
      <c r="J5915">
        <v>-422.0711</v>
      </c>
      <c r="K5915">
        <v>1.1207879999999999</v>
      </c>
      <c r="L5915">
        <v>96.176270000000002</v>
      </c>
      <c r="M5915">
        <v>6.9123919999999998E-3</v>
      </c>
      <c r="N5915">
        <v>-1.3427919999999999E-2</v>
      </c>
      <c r="O5915">
        <v>-0.99988600000000005</v>
      </c>
      <c r="P5915">
        <v>2.4337930000000001E-2</v>
      </c>
      <c r="Q5915">
        <v>-9.3411949999999994E-2</v>
      </c>
      <c r="R5915">
        <v>-0.99533020000000005</v>
      </c>
      <c r="S5915">
        <v>0.1974487</v>
      </c>
      <c r="T5915">
        <v>-0.1783458</v>
      </c>
      <c r="U5915">
        <v>-2.9925229999999998</v>
      </c>
      <c r="V5915">
        <v>-1.7472189999999999E-2</v>
      </c>
      <c r="W5915">
        <v>-8.0033010000000002E-2</v>
      </c>
      <c r="X5915">
        <v>0.9966391</v>
      </c>
      <c r="Y5915">
        <v>-5.8839580000000002E-2</v>
      </c>
      <c r="Z5915">
        <v>4.5967139999999997E-2</v>
      </c>
      <c r="AA5915">
        <v>0.9972086</v>
      </c>
      <c r="AB5915">
        <v>27</v>
      </c>
      <c r="AC5915">
        <v>1.2391000000000001</v>
      </c>
      <c r="AD5915">
        <v>-1.1207916713799999</v>
      </c>
      <c r="AE5915">
        <v>-18.545110000000001</v>
      </c>
      <c r="AF5915">
        <v>-1.10684298651783</v>
      </c>
      <c r="AG5915">
        <v>-1.1207916713799999</v>
      </c>
      <c r="AH5915">
        <v>18.4860125938342</v>
      </c>
      <c r="AI5915">
        <v>93.463361370424593</v>
      </c>
      <c r="AJ5915">
        <v>93.426472354782902</v>
      </c>
      <c r="AK5915">
        <v>18.553003449221698</v>
      </c>
      <c r="AL5915">
        <v>94.590463025202894</v>
      </c>
      <c r="AM5915">
        <v>91.004355746453598</v>
      </c>
      <c r="AN5915">
        <v>1.00000002788093</v>
      </c>
    </row>
    <row r="5916" spans="1:40" x14ac:dyDescent="0.25">
      <c r="A5916" t="str">
        <f>"20190303154259432"</f>
        <v>20190303154259432</v>
      </c>
      <c r="B5916" t="str">
        <f>"1551598979426392"</f>
        <v>1551598979426392</v>
      </c>
      <c r="C5916" t="s">
        <v>40</v>
      </c>
      <c r="D5916">
        <v>5.5123819999999997</v>
      </c>
      <c r="E5916">
        <v>0.48448429999999998</v>
      </c>
      <c r="F5916" t="s">
        <v>41</v>
      </c>
      <c r="G5916">
        <v>-420.84010000000001</v>
      </c>
      <c r="H5916" s="1">
        <v>-3.661861E-6</v>
      </c>
      <c r="I5916">
        <v>77.603960000000001</v>
      </c>
      <c r="J5916">
        <v>-422.0693</v>
      </c>
      <c r="K5916">
        <v>1.120797</v>
      </c>
      <c r="L5916">
        <v>95.909670000000006</v>
      </c>
      <c r="M5916">
        <v>6.8275410000000003E-3</v>
      </c>
      <c r="N5916">
        <v>-1.3503050000000001E-2</v>
      </c>
      <c r="O5916">
        <v>-0.99988560000000004</v>
      </c>
      <c r="P5916">
        <v>2.449921E-2</v>
      </c>
      <c r="Q5916">
        <v>-9.3046799999999999E-2</v>
      </c>
      <c r="R5916">
        <v>-0.99536040000000003</v>
      </c>
      <c r="S5916">
        <v>0.1983337</v>
      </c>
      <c r="T5916">
        <v>-0.1805764</v>
      </c>
      <c r="U5916">
        <v>-2.9922789999999999</v>
      </c>
      <c r="V5916">
        <v>-1.771756E-2</v>
      </c>
      <c r="W5916">
        <v>-7.9592560000000007E-2</v>
      </c>
      <c r="X5916">
        <v>0.99666999999999994</v>
      </c>
      <c r="Y5916">
        <v>-5.9220540000000002E-2</v>
      </c>
      <c r="Z5916">
        <v>4.6636200000000003E-2</v>
      </c>
      <c r="AA5916">
        <v>0.99715500000000001</v>
      </c>
      <c r="AB5916">
        <v>27</v>
      </c>
      <c r="AC5916">
        <v>1.2291999999999901</v>
      </c>
      <c r="AD5916">
        <v>-1.120800661861</v>
      </c>
      <c r="AE5916">
        <v>-18.305709999999898</v>
      </c>
      <c r="AF5916">
        <v>-1.1000716179205201</v>
      </c>
      <c r="AG5916">
        <v>-1.120800661861</v>
      </c>
      <c r="AH5916">
        <v>18.245585760485898</v>
      </c>
      <c r="AI5916">
        <v>93.508826215750503</v>
      </c>
      <c r="AJ5916">
        <v>93.450327838211294</v>
      </c>
      <c r="AK5916">
        <v>18.313048665676298</v>
      </c>
      <c r="AL5916">
        <v>94.565146517559398</v>
      </c>
      <c r="AM5916">
        <v>91.0184258569912</v>
      </c>
      <c r="AN5916">
        <v>0.99999998821985303</v>
      </c>
    </row>
    <row r="5917" spans="1:40" x14ac:dyDescent="0.25">
      <c r="A5917" t="str">
        <f>"20190303154259454"</f>
        <v>20190303154259454</v>
      </c>
      <c r="B5917" t="str">
        <f>"1551598979445909"</f>
        <v>1551598979445909</v>
      </c>
      <c r="C5917" t="s">
        <v>40</v>
      </c>
      <c r="D5917">
        <v>5.5263960000000001</v>
      </c>
      <c r="E5917">
        <v>0.48429509999999998</v>
      </c>
      <c r="F5917" t="s">
        <v>41</v>
      </c>
      <c r="G5917">
        <v>-420.83109999999999</v>
      </c>
      <c r="H5917" s="1">
        <v>-3.5130340000000002E-6</v>
      </c>
      <c r="I5917">
        <v>77.262630000000001</v>
      </c>
      <c r="J5917">
        <v>-422.06760000000003</v>
      </c>
      <c r="K5917">
        <v>1.120814</v>
      </c>
      <c r="L5917">
        <v>95.644620000000003</v>
      </c>
      <c r="M5917">
        <v>6.7439029999999999E-3</v>
      </c>
      <c r="N5917">
        <v>-1.3567330000000001E-2</v>
      </c>
      <c r="O5917">
        <v>-0.99988509999999997</v>
      </c>
      <c r="P5917">
        <v>2.4457639999999999E-2</v>
      </c>
      <c r="Q5917">
        <v>-9.3876970000000004E-2</v>
      </c>
      <c r="R5917">
        <v>-0.99528340000000004</v>
      </c>
      <c r="S5917">
        <v>0.19869999999999999</v>
      </c>
      <c r="T5917">
        <v>-0.17985419999999999</v>
      </c>
      <c r="U5917">
        <v>-2.9922789999999999</v>
      </c>
      <c r="V5917">
        <v>-1.7759710000000001E-2</v>
      </c>
      <c r="W5917">
        <v>-8.0359659999999999E-2</v>
      </c>
      <c r="X5917">
        <v>0.99660769999999999</v>
      </c>
      <c r="Y5917">
        <v>-5.9426300000000001E-2</v>
      </c>
      <c r="Z5917">
        <v>4.633164E-2</v>
      </c>
      <c r="AA5917">
        <v>0.99715690000000001</v>
      </c>
      <c r="AB5917">
        <v>27</v>
      </c>
      <c r="AC5917">
        <v>1.2365000000000299</v>
      </c>
      <c r="AD5917">
        <v>-1.1208175130339999</v>
      </c>
      <c r="AE5917">
        <v>-18.381989999999899</v>
      </c>
      <c r="AF5917">
        <v>-1.1083918877468599</v>
      </c>
      <c r="AG5917">
        <v>-1.1208175130339999</v>
      </c>
      <c r="AH5917">
        <v>18.322100639079601</v>
      </c>
      <c r="AI5917">
        <v>93.494219365814402</v>
      </c>
      <c r="AJ5917">
        <v>93.461878013117797</v>
      </c>
      <c r="AK5917">
        <v>18.389783476237699</v>
      </c>
      <c r="AL5917">
        <v>94.609239319456094</v>
      </c>
      <c r="AM5917">
        <v>91.020911977483195</v>
      </c>
      <c r="AN5917">
        <v>0.99999999497694403</v>
      </c>
    </row>
    <row r="5918" spans="1:40" x14ac:dyDescent="0.25">
      <c r="A5918" t="str">
        <f>"20190303154259478"</f>
        <v>20190303154259478</v>
      </c>
      <c r="B5918" t="str">
        <f>"1551598979466403"</f>
        <v>1551598979466403</v>
      </c>
      <c r="C5918" t="s">
        <v>40</v>
      </c>
      <c r="D5918">
        <v>5.5302680000000004</v>
      </c>
      <c r="E5918">
        <v>0.48423110000000003</v>
      </c>
      <c r="F5918" t="s">
        <v>41</v>
      </c>
      <c r="G5918">
        <v>-420.85570000000001</v>
      </c>
      <c r="H5918" s="1">
        <v>-3.615725E-6</v>
      </c>
      <c r="I5918">
        <v>77.486689999999996</v>
      </c>
      <c r="J5918">
        <v>-422.0659</v>
      </c>
      <c r="K5918">
        <v>1.1208260000000001</v>
      </c>
      <c r="L5918">
        <v>95.373350000000002</v>
      </c>
      <c r="M5918">
        <v>6.65813E-3</v>
      </c>
      <c r="N5918">
        <v>-1.3623349999999999E-2</v>
      </c>
      <c r="O5918">
        <v>-0.99988529999999998</v>
      </c>
      <c r="P5918">
        <v>2.386812E-2</v>
      </c>
      <c r="Q5918">
        <v>-9.3993259999999995E-2</v>
      </c>
      <c r="R5918">
        <v>-0.99528700000000003</v>
      </c>
      <c r="S5918">
        <v>0.19967650000000001</v>
      </c>
      <c r="T5918">
        <v>-0.18467710000000001</v>
      </c>
      <c r="U5918">
        <v>-2.9918819999999999</v>
      </c>
      <c r="V5918">
        <v>-1.7255889999999999E-2</v>
      </c>
      <c r="W5918">
        <v>-8.0420259999999993E-2</v>
      </c>
      <c r="X5918">
        <v>0.99661169999999999</v>
      </c>
      <c r="Y5918">
        <v>-5.9838830000000003E-2</v>
      </c>
      <c r="Z5918">
        <v>4.7883259999999997E-2</v>
      </c>
      <c r="AA5918">
        <v>0.99705889999999997</v>
      </c>
      <c r="AB5918">
        <v>27</v>
      </c>
      <c r="AC5918">
        <v>1.21019999999998</v>
      </c>
      <c r="AD5918">
        <v>-1.120829615725</v>
      </c>
      <c r="AE5918">
        <v>-17.886659999999999</v>
      </c>
      <c r="AF5918">
        <v>-1.0868223326106099</v>
      </c>
      <c r="AG5918">
        <v>-1.120829615725</v>
      </c>
      <c r="AH5918">
        <v>17.824649896663399</v>
      </c>
      <c r="AI5918">
        <v>93.591419360820893</v>
      </c>
      <c r="AJ5918">
        <v>93.489175785814496</v>
      </c>
      <c r="AK5918">
        <v>17.892892045412101</v>
      </c>
      <c r="AL5918">
        <v>94.612722545383704</v>
      </c>
      <c r="AM5918">
        <v>90.991951916149901</v>
      </c>
      <c r="AN5918">
        <v>1.00000003226752</v>
      </c>
    </row>
    <row r="5919" spans="1:40" x14ac:dyDescent="0.25">
      <c r="A5919" t="str">
        <f>"20190303154259500"</f>
        <v>20190303154259500</v>
      </c>
      <c r="B5919" t="str">
        <f>"1551598979496659"</f>
        <v>1551598979496659</v>
      </c>
      <c r="C5919" t="s">
        <v>40</v>
      </c>
      <c r="D5919">
        <v>5.5279569999999998</v>
      </c>
      <c r="E5919">
        <v>0.48419800000000002</v>
      </c>
      <c r="F5919" t="s">
        <v>41</v>
      </c>
      <c r="G5919">
        <v>-420.86660000000001</v>
      </c>
      <c r="H5919" s="1">
        <v>-3.5548700000000001E-6</v>
      </c>
      <c r="I5919">
        <v>77.338099999999997</v>
      </c>
      <c r="J5919">
        <v>-422.0641</v>
      </c>
      <c r="K5919">
        <v>1.120833</v>
      </c>
      <c r="L5919">
        <v>95.099909999999994</v>
      </c>
      <c r="M5919">
        <v>6.5718590000000002E-3</v>
      </c>
      <c r="N5919">
        <v>-1.3671229999999999E-2</v>
      </c>
      <c r="O5919">
        <v>-0.99988509999999997</v>
      </c>
      <c r="P5919">
        <v>2.3326840000000001E-2</v>
      </c>
      <c r="Q5919">
        <v>-9.3754589999999999E-2</v>
      </c>
      <c r="R5919">
        <v>-0.99532209999999999</v>
      </c>
      <c r="S5919">
        <v>0.19894410000000001</v>
      </c>
      <c r="T5919">
        <v>-0.1859353</v>
      </c>
      <c r="U5919">
        <v>-2.9918819999999999</v>
      </c>
      <c r="V5919">
        <v>-1.6799599999999901E-2</v>
      </c>
      <c r="W5919">
        <v>-8.0133570000000001E-2</v>
      </c>
      <c r="X5919">
        <v>0.99664249999999999</v>
      </c>
      <c r="Y5919">
        <v>-5.9680539999999997E-2</v>
      </c>
      <c r="Z5919">
        <v>4.8253799999999999E-2</v>
      </c>
      <c r="AA5919">
        <v>0.99705049999999995</v>
      </c>
      <c r="AB5919">
        <v>26</v>
      </c>
      <c r="AC5919">
        <v>1.19749999999999</v>
      </c>
      <c r="AD5919">
        <v>-1.1208365548699999</v>
      </c>
      <c r="AE5919">
        <v>-17.761809999999901</v>
      </c>
      <c r="AF5919">
        <v>-1.0764679455605799</v>
      </c>
      <c r="AG5919">
        <v>-1.1208365548699999</v>
      </c>
      <c r="AH5919">
        <v>17.699136408409299</v>
      </c>
      <c r="AI5919">
        <v>93.616876293758295</v>
      </c>
      <c r="AJ5919">
        <v>93.480462930894802</v>
      </c>
      <c r="AK5919">
        <v>17.767230719052201</v>
      </c>
      <c r="AL5919">
        <v>94.596243639139701</v>
      </c>
      <c r="AM5919">
        <v>90.965697358762995</v>
      </c>
      <c r="AN5919">
        <v>0.999999944203675</v>
      </c>
    </row>
    <row r="5920" spans="1:40" x14ac:dyDescent="0.25">
      <c r="A5920" t="str">
        <f>"20190303154259522"</f>
        <v>20190303154259522</v>
      </c>
      <c r="B5920" t="str">
        <f>"1551598979516179"</f>
        <v>1551598979516179</v>
      </c>
      <c r="C5920" t="s">
        <v>40</v>
      </c>
      <c r="D5920">
        <v>5.5032259999999997</v>
      </c>
      <c r="E5920">
        <v>0.48419849999999998</v>
      </c>
      <c r="F5920" t="s">
        <v>41</v>
      </c>
      <c r="G5920">
        <v>-420.87720000000002</v>
      </c>
      <c r="H5920" s="1">
        <v>-3.455363E-6</v>
      </c>
      <c r="I5920">
        <v>77.099599999999995</v>
      </c>
      <c r="J5920">
        <v>-422.06259999999997</v>
      </c>
      <c r="K5920">
        <v>1.1208309999999999</v>
      </c>
      <c r="L5920">
        <v>94.845370000000003</v>
      </c>
      <c r="M5920">
        <v>6.4913369999999998E-3</v>
      </c>
      <c r="N5920">
        <v>-1.370949E-2</v>
      </c>
      <c r="O5920">
        <v>-0.99988509999999997</v>
      </c>
      <c r="P5920">
        <v>2.2672970000000001E-2</v>
      </c>
      <c r="Q5920">
        <v>-9.3515520000000005E-2</v>
      </c>
      <c r="R5920">
        <v>-0.99535980000000002</v>
      </c>
      <c r="S5920">
        <v>0.1972961</v>
      </c>
      <c r="T5920">
        <v>-0.1863012</v>
      </c>
      <c r="U5920">
        <v>-2.991943</v>
      </c>
      <c r="V5920">
        <v>-1.622587E-2</v>
      </c>
      <c r="W5920">
        <v>-7.9856049999999998E-2</v>
      </c>
      <c r="X5920">
        <v>0.99667439999999996</v>
      </c>
      <c r="Y5920">
        <v>-5.9212609999999999E-2</v>
      </c>
      <c r="Z5920">
        <v>4.833776E-2</v>
      </c>
      <c r="AA5920">
        <v>0.99707440000000003</v>
      </c>
      <c r="AB5920">
        <v>26</v>
      </c>
      <c r="AC5920">
        <v>1.18539999999995</v>
      </c>
      <c r="AD5920">
        <v>-1.1208344553630001</v>
      </c>
      <c r="AE5920">
        <v>-17.745769999999901</v>
      </c>
      <c r="AF5920">
        <v>-1.06593701843042</v>
      </c>
      <c r="AG5920">
        <v>-1.1208344553630001</v>
      </c>
      <c r="AH5920">
        <v>17.682863277963001</v>
      </c>
      <c r="AI5920">
        <v>93.620306743692694</v>
      </c>
      <c r="AJ5920">
        <v>93.449660628795698</v>
      </c>
      <c r="AK5920">
        <v>17.750384370788201</v>
      </c>
      <c r="AL5920">
        <v>94.580291244237799</v>
      </c>
      <c r="AM5920">
        <v>90.932693515340404</v>
      </c>
      <c r="AN5920">
        <v>1.0000000635971</v>
      </c>
    </row>
    <row r="5921" spans="1:40" x14ac:dyDescent="0.25">
      <c r="A5921" t="str">
        <f>"20190303154259543"</f>
        <v>20190303154259543</v>
      </c>
      <c r="B5921" t="str">
        <f>"1551598979535702"</f>
        <v>1551598979535702</v>
      </c>
      <c r="C5921" t="s">
        <v>40</v>
      </c>
      <c r="D5921">
        <v>5.5723609999999999</v>
      </c>
      <c r="E5921">
        <v>0.48420239999999998</v>
      </c>
      <c r="F5921" t="s">
        <v>41</v>
      </c>
      <c r="G5921">
        <v>-420.8852</v>
      </c>
      <c r="H5921" s="1">
        <v>-3.334974E-6</v>
      </c>
      <c r="I5921">
        <v>76.814009999999996</v>
      </c>
      <c r="J5921">
        <v>-422.06099999999998</v>
      </c>
      <c r="K5921">
        <v>1.1208309999999999</v>
      </c>
      <c r="L5921">
        <v>94.593509999999995</v>
      </c>
      <c r="M5921">
        <v>6.411234E-3</v>
      </c>
      <c r="N5921">
        <v>-1.3742010000000001E-2</v>
      </c>
      <c r="O5921">
        <v>-0.99988529999999998</v>
      </c>
      <c r="P5921">
        <v>2.250127E-2</v>
      </c>
      <c r="Q5921">
        <v>-9.3532680000000007E-2</v>
      </c>
      <c r="R5921">
        <v>-0.99536199999999997</v>
      </c>
      <c r="S5921">
        <v>0.19537350000000001</v>
      </c>
      <c r="T5921">
        <v>-0.1859876</v>
      </c>
      <c r="U5921">
        <v>-2.9920650000000002</v>
      </c>
      <c r="V5921">
        <v>-1.6133680000000001E-2</v>
      </c>
      <c r="W5921">
        <v>-7.9840830000000002E-2</v>
      </c>
      <c r="X5921">
        <v>0.99667700000000004</v>
      </c>
      <c r="Y5921">
        <v>-5.8652650000000001E-2</v>
      </c>
      <c r="Z5921">
        <v>4.8200989999999999E-2</v>
      </c>
      <c r="AA5921">
        <v>0.9971141</v>
      </c>
      <c r="AB5921">
        <v>26</v>
      </c>
      <c r="AC5921">
        <v>1.17579999999998</v>
      </c>
      <c r="AD5921">
        <v>-1.120834334974</v>
      </c>
      <c r="AE5921">
        <v>-17.779499999999999</v>
      </c>
      <c r="AF5921">
        <v>-1.05759184068692</v>
      </c>
      <c r="AG5921">
        <v>-1.120834334974</v>
      </c>
      <c r="AH5921">
        <v>17.716571916205201</v>
      </c>
      <c r="AI5921">
        <v>93.613562582492406</v>
      </c>
      <c r="AJ5921">
        <v>93.416220998644306</v>
      </c>
      <c r="AK5921">
        <v>17.7834667759134</v>
      </c>
      <c r="AL5921">
        <v>94.579416939475607</v>
      </c>
      <c r="AM5921">
        <v>90.927392770123603</v>
      </c>
      <c r="AN5921">
        <v>0.99999994804721404</v>
      </c>
    </row>
    <row r="5922" spans="1:40" x14ac:dyDescent="0.25">
      <c r="A5922" t="str">
        <f>"20190303154259565"</f>
        <v>20190303154259565</v>
      </c>
      <c r="B5922" t="str">
        <f>"1551598979556195"</f>
        <v>1551598979556195</v>
      </c>
      <c r="C5922" t="s">
        <v>40</v>
      </c>
      <c r="D5922">
        <v>5.579383</v>
      </c>
      <c r="E5922">
        <v>0.50740870000000005</v>
      </c>
      <c r="F5922" t="s">
        <v>41</v>
      </c>
      <c r="G5922">
        <v>-420.8888</v>
      </c>
      <c r="H5922" s="1">
        <v>-3.2389769999999998E-6</v>
      </c>
      <c r="I5922">
        <v>76.587969999999999</v>
      </c>
      <c r="J5922">
        <v>-422.05939999999998</v>
      </c>
      <c r="K5922">
        <v>1.1208359999999999</v>
      </c>
      <c r="L5922">
        <v>94.325040000000001</v>
      </c>
      <c r="M5922">
        <v>6.3263640000000001E-3</v>
      </c>
      <c r="N5922">
        <v>-1.377162E-2</v>
      </c>
      <c r="O5922">
        <v>-0.99988509999999997</v>
      </c>
      <c r="P5922">
        <v>2.2813799999999999E-2</v>
      </c>
      <c r="Q5922">
        <v>-9.3275300000000005E-2</v>
      </c>
      <c r="R5922">
        <v>-0.99537889999999996</v>
      </c>
      <c r="S5922">
        <v>0.19479369999999999</v>
      </c>
      <c r="T5922">
        <v>-0.18625439999999999</v>
      </c>
      <c r="U5922">
        <v>-2.9920650000000002</v>
      </c>
      <c r="V5922">
        <v>-1.6530900000000001E-2</v>
      </c>
      <c r="W5922">
        <v>-7.9553670000000007E-2</v>
      </c>
      <c r="X5922">
        <v>0.99669350000000001</v>
      </c>
      <c r="Y5922">
        <v>-5.8544720000000001E-2</v>
      </c>
      <c r="Z5922">
        <v>4.8260539999999998E-2</v>
      </c>
      <c r="AA5922">
        <v>0.99711760000000005</v>
      </c>
      <c r="AB5922">
        <v>26</v>
      </c>
      <c r="AC5922">
        <v>1.1705999999999701</v>
      </c>
      <c r="AD5922">
        <v>-1.1208392389769899</v>
      </c>
      <c r="AE5922">
        <v>-17.737069999999999</v>
      </c>
      <c r="AF5922">
        <v>-1.05416351262135</v>
      </c>
      <c r="AG5922">
        <v>-1.1208392389769899</v>
      </c>
      <c r="AH5922">
        <v>17.673851875759301</v>
      </c>
      <c r="AI5922">
        <v>93.622300293980402</v>
      </c>
      <c r="AJ5922">
        <v>93.413384269558094</v>
      </c>
      <c r="AK5922">
        <v>17.740704085161202</v>
      </c>
      <c r="AL5922">
        <v>94.562911165516496</v>
      </c>
      <c r="AM5922">
        <v>90.950205821874803</v>
      </c>
      <c r="AN5922">
        <v>0.99999999500376402</v>
      </c>
    </row>
    <row r="5923" spans="1:40" x14ac:dyDescent="0.25">
      <c r="A5923" t="str">
        <f>"20190303154259588"</f>
        <v>20190303154259588</v>
      </c>
      <c r="B5923" t="str">
        <f>"1551598979576691"</f>
        <v>1551598979576691</v>
      </c>
      <c r="C5923" t="s">
        <v>40</v>
      </c>
      <c r="D5923">
        <v>5.5616849999999998</v>
      </c>
      <c r="E5923">
        <v>0.51474819999999999</v>
      </c>
      <c r="F5923" t="s">
        <v>41</v>
      </c>
      <c r="G5923">
        <v>-421.97840000000002</v>
      </c>
      <c r="H5923" s="1">
        <v>-1.8021779999999999E-6</v>
      </c>
      <c r="I5923">
        <v>72.562989999999999</v>
      </c>
      <c r="J5923">
        <v>-422.05790000000002</v>
      </c>
      <c r="K5923">
        <v>1.120846</v>
      </c>
      <c r="L5923">
        <v>94.069059999999993</v>
      </c>
      <c r="M5923">
        <v>6.2463090000000002E-3</v>
      </c>
      <c r="N5923">
        <v>-1.3795679999999999E-2</v>
      </c>
      <c r="O5923">
        <v>-0.99988529999999998</v>
      </c>
      <c r="P5923">
        <v>2.3517739999999999E-2</v>
      </c>
      <c r="Q5923">
        <v>-9.2990030000000001E-2</v>
      </c>
      <c r="R5923">
        <v>-0.99538919999999997</v>
      </c>
      <c r="S5923">
        <v>1.1169429999999999E-2</v>
      </c>
      <c r="T5923">
        <v>-0.15447179999999999</v>
      </c>
      <c r="U5923">
        <v>-2.9992070000000002</v>
      </c>
      <c r="V5923">
        <v>-1.7314079999999999E-2</v>
      </c>
      <c r="W5923">
        <v>-7.9244110000000006E-2</v>
      </c>
      <c r="X5923">
        <v>0.9967049</v>
      </c>
      <c r="Y5923">
        <v>2.524334E-3</v>
      </c>
      <c r="Z5923">
        <v>3.7652110000000003E-2</v>
      </c>
      <c r="AA5923">
        <v>0.9992877</v>
      </c>
      <c r="AB5923">
        <v>26</v>
      </c>
      <c r="AC5923">
        <v>7.9499999999995893E-2</v>
      </c>
      <c r="AD5923">
        <v>-1.120847802178</v>
      </c>
      <c r="AE5923">
        <v>-21.506069999999902</v>
      </c>
      <c r="AF5923">
        <v>5.4699322706601203E-2</v>
      </c>
      <c r="AG5923">
        <v>-1.120847802178</v>
      </c>
      <c r="AH5923">
        <v>21.447889772771401</v>
      </c>
      <c r="AI5923">
        <v>92.991495888497994</v>
      </c>
      <c r="AJ5923">
        <v>89.853876834890499</v>
      </c>
      <c r="AK5923">
        <v>21.4772267184687</v>
      </c>
      <c r="AL5923">
        <v>94.545118342545194</v>
      </c>
      <c r="AM5923">
        <v>90.995203237128294</v>
      </c>
      <c r="AN5923">
        <v>1.00000003200997</v>
      </c>
    </row>
    <row r="5924" spans="1:40" x14ac:dyDescent="0.25">
      <c r="A5924" t="str">
        <f>"20190303154259610"</f>
        <v>20190303154259610</v>
      </c>
      <c r="B5924" t="str">
        <f>"1551598979605971"</f>
        <v>1551598979605971</v>
      </c>
      <c r="C5924" t="s">
        <v>40</v>
      </c>
      <c r="D5924">
        <v>5.5108540000000001</v>
      </c>
      <c r="E5924">
        <v>0.51765159999999999</v>
      </c>
      <c r="F5924" t="s">
        <v>41</v>
      </c>
      <c r="G5924">
        <v>-422.40199999999999</v>
      </c>
      <c r="H5924" s="1">
        <v>-1.331343E-6</v>
      </c>
      <c r="I5924">
        <v>71.202709999999996</v>
      </c>
      <c r="J5924">
        <v>-422.05630000000002</v>
      </c>
      <c r="K5924">
        <v>1.12086</v>
      </c>
      <c r="L5924">
        <v>93.801150000000007</v>
      </c>
      <c r="M5924">
        <v>6.1647550000000001E-3</v>
      </c>
      <c r="N5924">
        <v>-1.3817039999999999E-2</v>
      </c>
      <c r="O5924">
        <v>-0.99988580000000005</v>
      </c>
      <c r="P5924">
        <v>2.3477890000000001E-2</v>
      </c>
      <c r="Q5924">
        <v>-9.2609960000000005E-2</v>
      </c>
      <c r="R5924">
        <v>-0.99542580000000003</v>
      </c>
      <c r="S5924">
        <v>-4.5166020000000001E-2</v>
      </c>
      <c r="T5924">
        <v>-0.14711179999999999</v>
      </c>
      <c r="U5924">
        <v>-3.0012210000000001</v>
      </c>
      <c r="V5924">
        <v>-1.7354560000000002E-2</v>
      </c>
      <c r="W5924">
        <v>-7.8842350000000005E-2</v>
      </c>
      <c r="X5924">
        <v>0.99673599999999996</v>
      </c>
      <c r="Y5924">
        <v>2.119337E-2</v>
      </c>
      <c r="Z5924">
        <v>3.5143090000000002E-2</v>
      </c>
      <c r="AA5924">
        <v>0.99915750000000003</v>
      </c>
      <c r="AB5924">
        <v>26</v>
      </c>
      <c r="AC5924">
        <v>-0.34569999999996498</v>
      </c>
      <c r="AD5924">
        <v>-1.120861331343</v>
      </c>
      <c r="AE5924">
        <v>-22.59844</v>
      </c>
      <c r="AF5924">
        <v>0.48383056211070402</v>
      </c>
      <c r="AG5924">
        <v>-1.120861331343</v>
      </c>
      <c r="AH5924">
        <v>22.540441126005401</v>
      </c>
      <c r="AI5924">
        <v>92.846129537827693</v>
      </c>
      <c r="AJ5924">
        <v>88.770334940986203</v>
      </c>
      <c r="AK5924">
        <v>22.573477983949399</v>
      </c>
      <c r="AL5924">
        <v>94.522027199099597</v>
      </c>
      <c r="AM5924">
        <v>90.997498415880301</v>
      </c>
      <c r="AN5924">
        <v>0.99999997530115703</v>
      </c>
    </row>
    <row r="5925" spans="1:40" x14ac:dyDescent="0.25">
      <c r="A5925" t="str">
        <f>"20190303154259633"</f>
        <v>20190303154259633</v>
      </c>
      <c r="B5925" t="str">
        <f>"1551598979626470"</f>
        <v>1551598979626470</v>
      </c>
      <c r="C5925" t="s">
        <v>40</v>
      </c>
      <c r="D5925">
        <v>5.4630669999999997</v>
      </c>
      <c r="E5925">
        <v>0.51790230000000004</v>
      </c>
      <c r="F5925" t="s">
        <v>41</v>
      </c>
      <c r="G5925">
        <v>-422.60309999999998</v>
      </c>
      <c r="H5925" s="1">
        <v>-7.8267160000000004E-7</v>
      </c>
      <c r="I5925">
        <v>69.799049999999994</v>
      </c>
      <c r="J5925">
        <v>-422.0548</v>
      </c>
      <c r="K5925">
        <v>1.1208739999999999</v>
      </c>
      <c r="L5925">
        <v>93.538600000000002</v>
      </c>
      <c r="M5925">
        <v>6.0887240000000002E-3</v>
      </c>
      <c r="N5925">
        <v>-1.383469E-2</v>
      </c>
      <c r="O5925">
        <v>-0.99988600000000005</v>
      </c>
      <c r="P5925">
        <v>2.3647020000000001E-2</v>
      </c>
      <c r="Q5925">
        <v>-9.2789449999999996E-2</v>
      </c>
      <c r="R5925">
        <v>-0.99540519999999999</v>
      </c>
      <c r="S5925">
        <v>-6.8389889999999995E-2</v>
      </c>
      <c r="T5925">
        <v>-0.1402051</v>
      </c>
      <c r="U5925">
        <v>-3.0023499999999999</v>
      </c>
      <c r="V5925">
        <v>-1.7599099999999999E-2</v>
      </c>
      <c r="W5925">
        <v>-7.9004610000000003E-2</v>
      </c>
      <c r="X5925">
        <v>0.99671889999999996</v>
      </c>
      <c r="Y5925">
        <v>2.883585E-2</v>
      </c>
      <c r="Z5925">
        <v>3.2805550000000003E-2</v>
      </c>
      <c r="AA5925">
        <v>0.99904570000000004</v>
      </c>
      <c r="AB5925">
        <v>26</v>
      </c>
      <c r="AC5925">
        <v>-0.54829999999998302</v>
      </c>
      <c r="AD5925">
        <v>-1.1208747826715999</v>
      </c>
      <c r="AE5925">
        <v>-23.739550000000001</v>
      </c>
      <c r="AF5925">
        <v>0.69130689074142704</v>
      </c>
      <c r="AG5925">
        <v>-1.1208747826715999</v>
      </c>
      <c r="AH5925">
        <v>23.683002647149099</v>
      </c>
      <c r="AI5925">
        <v>92.708534343439098</v>
      </c>
      <c r="AJ5925">
        <v>88.328010859235306</v>
      </c>
      <c r="AK5925">
        <v>23.719588526795501</v>
      </c>
      <c r="AL5925">
        <v>94.531352940158499</v>
      </c>
      <c r="AM5925">
        <v>91.011568438213303</v>
      </c>
      <c r="AN5925">
        <v>1.0000000111696301</v>
      </c>
    </row>
    <row r="5926" spans="1:40" x14ac:dyDescent="0.25">
      <c r="A5926" t="str">
        <f>"20190303154259655"</f>
        <v>20190303154259655</v>
      </c>
      <c r="B5926" t="str">
        <f>"1551598979645987"</f>
        <v>1551598979645987</v>
      </c>
      <c r="C5926" t="s">
        <v>40</v>
      </c>
      <c r="D5926">
        <v>5.5216329999999996</v>
      </c>
      <c r="E5926">
        <v>0.51862259999999905</v>
      </c>
      <c r="F5926" t="s">
        <v>41</v>
      </c>
      <c r="G5926">
        <v>-422.65050000000002</v>
      </c>
      <c r="H5926" s="1">
        <v>-4.2000940000000001E-6</v>
      </c>
      <c r="I5926">
        <v>67.947360000000003</v>
      </c>
      <c r="J5926">
        <v>-422.0532</v>
      </c>
      <c r="K5926">
        <v>1.1208849999999999</v>
      </c>
      <c r="L5926">
        <v>93.277649999999994</v>
      </c>
      <c r="M5926">
        <v>6.018809E-3</v>
      </c>
      <c r="N5926">
        <v>-1.3849480000000001E-2</v>
      </c>
      <c r="O5926">
        <v>-0.99988630000000001</v>
      </c>
      <c r="P5926">
        <v>2.415877E-2</v>
      </c>
      <c r="Q5926">
        <v>-9.2531260000000004E-2</v>
      </c>
      <c r="R5926">
        <v>-0.995417</v>
      </c>
      <c r="S5926">
        <v>-6.9915770000000002E-2</v>
      </c>
      <c r="T5926">
        <v>-0.13154089999999999</v>
      </c>
      <c r="U5926">
        <v>-3.0032649999999999</v>
      </c>
      <c r="V5926">
        <v>-1.8179790000000001E-2</v>
      </c>
      <c r="W5926">
        <v>-7.8731620000000002E-2</v>
      </c>
      <c r="X5926">
        <v>0.99673009999999995</v>
      </c>
      <c r="Y5926">
        <v>2.9268860000000001E-2</v>
      </c>
      <c r="Z5926">
        <v>2.9899490000000001E-2</v>
      </c>
      <c r="AA5926">
        <v>0.99912429999999997</v>
      </c>
      <c r="AB5926">
        <v>26</v>
      </c>
      <c r="AC5926">
        <v>-0.59730000000001804</v>
      </c>
      <c r="AD5926">
        <v>-1.1208892000940001</v>
      </c>
      <c r="AE5926">
        <v>-25.330289999999898</v>
      </c>
      <c r="AF5926">
        <v>0.74829746914640105</v>
      </c>
      <c r="AG5926">
        <v>-1.1208892000940001</v>
      </c>
      <c r="AH5926">
        <v>25.276767629011701</v>
      </c>
      <c r="AI5926">
        <v>92.537986887760496</v>
      </c>
      <c r="AJ5926">
        <v>88.304301842879894</v>
      </c>
      <c r="AK5926">
        <v>25.3126712038116</v>
      </c>
      <c r="AL5926">
        <v>94.515662795340404</v>
      </c>
      <c r="AM5926">
        <v>91.044926559641794</v>
      </c>
      <c r="AN5926">
        <v>1.0000000324991301</v>
      </c>
    </row>
    <row r="5927" spans="1:40" x14ac:dyDescent="0.25">
      <c r="A5927" t="str">
        <f>"20190303154259679"</f>
        <v>20190303154259679</v>
      </c>
      <c r="B5927" t="str">
        <f>"1551598979676244"</f>
        <v>1551598979676244</v>
      </c>
      <c r="C5927" t="s">
        <v>40</v>
      </c>
      <c r="D5927">
        <v>5.500057</v>
      </c>
      <c r="E5927">
        <v>0.51902130000000002</v>
      </c>
      <c r="F5927" t="s">
        <v>41</v>
      </c>
      <c r="G5927">
        <v>-422.70069999999998</v>
      </c>
      <c r="H5927" s="1">
        <v>-3.9269880000000004E-6</v>
      </c>
      <c r="I5927">
        <v>67.118700000000004</v>
      </c>
      <c r="J5927">
        <v>-422.05169999999998</v>
      </c>
      <c r="K5927">
        <v>1.12090499999999</v>
      </c>
      <c r="L5927">
        <v>93.009339999999995</v>
      </c>
      <c r="M5927">
        <v>5.9544009999999998E-3</v>
      </c>
      <c r="N5927">
        <v>-1.3862050000000001E-2</v>
      </c>
      <c r="O5927">
        <v>-0.99988630000000001</v>
      </c>
      <c r="P5927">
        <v>2.4862619999999998E-2</v>
      </c>
      <c r="Q5927">
        <v>-9.1922229999999994E-2</v>
      </c>
      <c r="R5927">
        <v>-0.99545589999999995</v>
      </c>
      <c r="S5927">
        <v>-7.4340820000000002E-2</v>
      </c>
      <c r="T5927">
        <v>-0.1287044</v>
      </c>
      <c r="U5927">
        <v>-3.0036619999999998</v>
      </c>
      <c r="V5927">
        <v>-1.894639E-2</v>
      </c>
      <c r="W5927">
        <v>-7.8109650000000003E-2</v>
      </c>
      <c r="X5927">
        <v>0.99676469999999995</v>
      </c>
      <c r="Y5927">
        <v>3.067278E-2</v>
      </c>
      <c r="Z5927">
        <v>2.8937669999999999E-2</v>
      </c>
      <c r="AA5927">
        <v>0.99911050000000001</v>
      </c>
      <c r="AB5927">
        <v>26</v>
      </c>
      <c r="AC5927">
        <v>-0.64900000000000002</v>
      </c>
      <c r="AD5927">
        <v>-1.1209089269879899</v>
      </c>
      <c r="AE5927">
        <v>-25.890640000000001</v>
      </c>
      <c r="AF5927">
        <v>0.80166486969040796</v>
      </c>
      <c r="AG5927">
        <v>-1.1209089269879899</v>
      </c>
      <c r="AH5927">
        <v>25.837916778441699</v>
      </c>
      <c r="AI5927">
        <v>92.482873311426701</v>
      </c>
      <c r="AJ5927">
        <v>88.222872082820899</v>
      </c>
      <c r="AK5927">
        <v>25.874640999163201</v>
      </c>
      <c r="AL5927">
        <v>94.479916711549507</v>
      </c>
      <c r="AM5927">
        <v>91.088940525533104</v>
      </c>
      <c r="AN5927">
        <v>0.99999997514162198</v>
      </c>
    </row>
    <row r="5928" spans="1:40" x14ac:dyDescent="0.25">
      <c r="A5928" t="str">
        <f>"20190303154259701"</f>
        <v>20190303154259701</v>
      </c>
      <c r="B5928" t="str">
        <f>"1551598979696739"</f>
        <v>1551598979696739</v>
      </c>
      <c r="C5928" t="s">
        <v>40</v>
      </c>
      <c r="D5928">
        <v>5.4836710000000002</v>
      </c>
      <c r="E5928">
        <v>0.51920429999999995</v>
      </c>
      <c r="F5928" t="s">
        <v>41</v>
      </c>
      <c r="G5928">
        <v>-422.71510000000001</v>
      </c>
      <c r="H5928" s="1">
        <v>-3.7408420000000001E-6</v>
      </c>
      <c r="I5928">
        <v>66.625109999999907</v>
      </c>
      <c r="J5928">
        <v>-422.05020000000002</v>
      </c>
      <c r="K5928">
        <v>1.1209209999999901</v>
      </c>
      <c r="L5928">
        <v>92.745570000000001</v>
      </c>
      <c r="M5928">
        <v>5.8977860000000003E-3</v>
      </c>
      <c r="N5928">
        <v>-1.387236E-2</v>
      </c>
      <c r="O5928">
        <v>-0.99988630000000001</v>
      </c>
      <c r="P5928">
        <v>2.525606E-2</v>
      </c>
      <c r="Q5928">
        <v>-9.0877449999999999E-2</v>
      </c>
      <c r="R5928">
        <v>-0.99554180000000003</v>
      </c>
      <c r="S5928">
        <v>-7.5531009999999996E-2</v>
      </c>
      <c r="T5928">
        <v>-0.1276128</v>
      </c>
      <c r="U5928">
        <v>-3.003784</v>
      </c>
      <c r="V5928">
        <v>-1.9394290000000002E-2</v>
      </c>
      <c r="W5928">
        <v>-7.7053699999999906E-2</v>
      </c>
      <c r="X5928">
        <v>0.99683829999999995</v>
      </c>
      <c r="Y5928">
        <v>3.1011009999999999E-2</v>
      </c>
      <c r="Z5928">
        <v>2.8562750000000001E-2</v>
      </c>
      <c r="AA5928">
        <v>0.99911090000000002</v>
      </c>
      <c r="AB5928">
        <v>26</v>
      </c>
      <c r="AC5928">
        <v>-0.66489999999998795</v>
      </c>
      <c r="AD5928">
        <v>-1.12092474084199</v>
      </c>
      <c r="AE5928">
        <v>-26.120460000000001</v>
      </c>
      <c r="AF5928">
        <v>0.81745172447347902</v>
      </c>
      <c r="AG5928">
        <v>-1.12092474084199</v>
      </c>
      <c r="AH5928">
        <v>26.068108311979898</v>
      </c>
      <c r="AI5928">
        <v>92.460984926235795</v>
      </c>
      <c r="AJ5928">
        <v>88.203889974390407</v>
      </c>
      <c r="AK5928">
        <v>26.104998957318301</v>
      </c>
      <c r="AL5928">
        <v>94.419232199315402</v>
      </c>
      <c r="AM5928">
        <v>91.114594801611403</v>
      </c>
      <c r="AN5928">
        <v>1.00000000375759</v>
      </c>
    </row>
    <row r="5929" spans="1:40" x14ac:dyDescent="0.25">
      <c r="A5929" t="str">
        <f>"20190303154259723"</f>
        <v>20190303154259723</v>
      </c>
      <c r="B5929" t="str">
        <f>"1551598979716259"</f>
        <v>1551598979716259</v>
      </c>
      <c r="C5929" t="s">
        <v>40</v>
      </c>
      <c r="D5929">
        <v>5.4896609999999999</v>
      </c>
      <c r="E5929">
        <v>0.51942529999999998</v>
      </c>
      <c r="F5929" t="s">
        <v>41</v>
      </c>
      <c r="G5929">
        <v>-422.73309999999998</v>
      </c>
      <c r="H5929" s="1">
        <v>-3.3095179999999999E-6</v>
      </c>
      <c r="I5929">
        <v>65.608540000000005</v>
      </c>
      <c r="J5929">
        <v>-422.0487</v>
      </c>
      <c r="K5929">
        <v>1.120938</v>
      </c>
      <c r="L5929">
        <v>92.488429999999994</v>
      </c>
      <c r="M5929">
        <v>5.8485480000000003E-3</v>
      </c>
      <c r="N5929">
        <v>-1.3880730000000001E-2</v>
      </c>
      <c r="O5929">
        <v>-0.99988679999999996</v>
      </c>
      <c r="P5929">
        <v>2.5329009999999999E-2</v>
      </c>
      <c r="Q5929">
        <v>-8.9945899999999995E-2</v>
      </c>
      <c r="R5929">
        <v>-0.99562450000000002</v>
      </c>
      <c r="S5929">
        <v>-7.5592039999999999E-2</v>
      </c>
      <c r="T5929">
        <v>-0.1240846</v>
      </c>
      <c r="U5929">
        <v>-3.0040279999999999</v>
      </c>
      <c r="V5929">
        <v>-1.951454E-2</v>
      </c>
      <c r="W5929">
        <v>-7.6112949999999999E-2</v>
      </c>
      <c r="X5929">
        <v>0.99690820000000002</v>
      </c>
      <c r="Y5929">
        <v>3.0981129999999999E-2</v>
      </c>
      <c r="Z5929">
        <v>2.7379500000000001E-2</v>
      </c>
      <c r="AA5929">
        <v>0.9991449</v>
      </c>
      <c r="AB5929">
        <v>26</v>
      </c>
      <c r="AC5929">
        <v>-0.68439999999998202</v>
      </c>
      <c r="AD5929">
        <v>-1.1209413095180001</v>
      </c>
      <c r="AE5929">
        <v>-26.87989</v>
      </c>
      <c r="AF5929">
        <v>0.84015161314025699</v>
      </c>
      <c r="AG5929">
        <v>-1.1209413095180001</v>
      </c>
      <c r="AH5929">
        <v>26.8288007966127</v>
      </c>
      <c r="AI5929">
        <v>92.391327902345594</v>
      </c>
      <c r="AJ5929">
        <v>88.206352344415606</v>
      </c>
      <c r="AK5929">
        <v>26.86534787299</v>
      </c>
      <c r="AL5929">
        <v>94.365172538381401</v>
      </c>
      <c r="AM5929">
        <v>91.121425224045893</v>
      </c>
      <c r="AN5929">
        <v>0.99999997882817604</v>
      </c>
    </row>
    <row r="5930" spans="1:40" x14ac:dyDescent="0.25">
      <c r="A5930" t="str">
        <f>"20190303154259744"</f>
        <v>20190303154259744</v>
      </c>
      <c r="B5930" t="str">
        <f>"1551598979736755"</f>
        <v>1551598979736755</v>
      </c>
      <c r="C5930" t="s">
        <v>40</v>
      </c>
      <c r="D5930">
        <v>5.4569919999999996</v>
      </c>
      <c r="E5930">
        <v>0.51956289999999905</v>
      </c>
      <c r="F5930" t="s">
        <v>41</v>
      </c>
      <c r="G5930">
        <v>-422.76830000000001</v>
      </c>
      <c r="H5930" s="1">
        <v>-2.8142960000000002E-6</v>
      </c>
      <c r="I5930">
        <v>64.432299999999998</v>
      </c>
      <c r="J5930">
        <v>-422.04739999999998</v>
      </c>
      <c r="K5930">
        <v>1.1209499999999999</v>
      </c>
      <c r="L5930">
        <v>92.243290000000002</v>
      </c>
      <c r="M5930">
        <v>5.8080340000000001E-3</v>
      </c>
      <c r="N5930">
        <v>-1.388735E-2</v>
      </c>
      <c r="O5930">
        <v>-0.99988699999999997</v>
      </c>
      <c r="P5930">
        <v>2.5310780000000001E-2</v>
      </c>
      <c r="Q5930">
        <v>-8.8612129999999997E-2</v>
      </c>
      <c r="R5930">
        <v>-0.99574470000000004</v>
      </c>
      <c r="S5930">
        <v>-7.7056879999999994E-2</v>
      </c>
      <c r="T5930">
        <v>-0.120032399999999</v>
      </c>
      <c r="U5930">
        <v>-3.0043030000000002</v>
      </c>
      <c r="V5930">
        <v>-1.953506E-2</v>
      </c>
      <c r="W5930">
        <v>-7.4771240000000003E-2</v>
      </c>
      <c r="X5930">
        <v>0.99700929999999999</v>
      </c>
      <c r="Y5930">
        <v>3.1426229999999999E-2</v>
      </c>
      <c r="Z5930">
        <v>2.6023080000000001E-2</v>
      </c>
      <c r="AA5930">
        <v>0.99916729999999998</v>
      </c>
      <c r="AB5930">
        <v>26</v>
      </c>
      <c r="AC5930">
        <v>-0.72090000000002796</v>
      </c>
      <c r="AD5930">
        <v>-1.1209528142959999</v>
      </c>
      <c r="AE5930">
        <v>-27.81099</v>
      </c>
      <c r="AF5930">
        <v>0.88100024673728095</v>
      </c>
      <c r="AG5930">
        <v>-1.1209528142959999</v>
      </c>
      <c r="AH5930">
        <v>27.761263235560399</v>
      </c>
      <c r="AI5930">
        <v>92.311088297629198</v>
      </c>
      <c r="AJ5930">
        <v>88.182335568689396</v>
      </c>
      <c r="AK5930">
        <v>27.797849432657699</v>
      </c>
      <c r="AL5930">
        <v>94.288078628042797</v>
      </c>
      <c r="AM5930">
        <v>91.122490320963806</v>
      </c>
      <c r="AN5930">
        <v>0.99999995059341396</v>
      </c>
    </row>
    <row r="5931" spans="1:40" x14ac:dyDescent="0.25">
      <c r="A5931" t="str">
        <f>"20190303154259767"</f>
        <v>20190303154259767</v>
      </c>
      <c r="B5931" t="str">
        <f>"1551598979756275"</f>
        <v>1551598979756275</v>
      </c>
      <c r="C5931" t="s">
        <v>40</v>
      </c>
      <c r="D5931">
        <v>5.6080920000000001</v>
      </c>
      <c r="E5931">
        <v>0.51933459999999998</v>
      </c>
      <c r="F5931" t="s">
        <v>41</v>
      </c>
      <c r="G5931">
        <v>-422.80189999999999</v>
      </c>
      <c r="H5931" s="1">
        <v>-2.217063E-6</v>
      </c>
      <c r="I5931">
        <v>63.019309999999997</v>
      </c>
      <c r="J5931">
        <v>-422.04590000000002</v>
      </c>
      <c r="K5931">
        <v>1.120968</v>
      </c>
      <c r="L5931">
        <v>91.976900000000001</v>
      </c>
      <c r="M5931">
        <v>5.7710010000000004E-3</v>
      </c>
      <c r="N5931">
        <v>-1.38932E-2</v>
      </c>
      <c r="O5931">
        <v>-0.99988699999999997</v>
      </c>
      <c r="P5931">
        <v>2.475335E-2</v>
      </c>
      <c r="Q5931">
        <v>-8.7459980000000007E-2</v>
      </c>
      <c r="R5931">
        <v>-0.99586079999999999</v>
      </c>
      <c r="S5931">
        <v>-7.7575679999999994E-2</v>
      </c>
      <c r="T5931">
        <v>-0.1152463</v>
      </c>
      <c r="U5931">
        <v>-3.0045470000000001</v>
      </c>
      <c r="V5931">
        <v>-1.901328E-2</v>
      </c>
      <c r="W5931">
        <v>-7.3612079999999996E-2</v>
      </c>
      <c r="X5931">
        <v>0.99710569999999998</v>
      </c>
      <c r="Y5931">
        <v>3.1560869999999998E-2</v>
      </c>
      <c r="Z5931">
        <v>2.4424499999999998E-2</v>
      </c>
      <c r="AA5931">
        <v>0.99920339999999996</v>
      </c>
      <c r="AB5931">
        <v>26</v>
      </c>
      <c r="AC5931">
        <v>-0.75599999999997103</v>
      </c>
      <c r="AD5931">
        <v>-1.120970217063</v>
      </c>
      <c r="AE5931">
        <v>-28.95759</v>
      </c>
      <c r="AF5931">
        <v>0.92173748784952503</v>
      </c>
      <c r="AG5931">
        <v>-1.120970217063</v>
      </c>
      <c r="AH5931">
        <v>28.909452434684699</v>
      </c>
      <c r="AI5931">
        <v>92.219417032244706</v>
      </c>
      <c r="AJ5931">
        <v>88.173822786255499</v>
      </c>
      <c r="AK5931">
        <v>28.945856599820001</v>
      </c>
      <c r="AL5931">
        <v>94.221479848213505</v>
      </c>
      <c r="AM5931">
        <v>91.092410455763698</v>
      </c>
      <c r="AN5931">
        <v>1.0000000100553801</v>
      </c>
    </row>
    <row r="5932" spans="1:40" x14ac:dyDescent="0.25">
      <c r="A5932" t="str">
        <f>"20190303154259789"</f>
        <v>20190303154259789</v>
      </c>
      <c r="B5932" t="str">
        <f>"1551598979786531"</f>
        <v>1551598979786531</v>
      </c>
      <c r="C5932" t="s">
        <v>40</v>
      </c>
      <c r="D5932">
        <v>5.47506</v>
      </c>
      <c r="E5932">
        <v>0.51961309999999905</v>
      </c>
      <c r="F5932" t="s">
        <v>41</v>
      </c>
      <c r="G5932">
        <v>-422.79500000000002</v>
      </c>
      <c r="H5932" s="1">
        <v>-2.2700790000000001E-6</v>
      </c>
      <c r="I5932">
        <v>63.147170000000003</v>
      </c>
      <c r="J5932">
        <v>-422.0444</v>
      </c>
      <c r="K5932">
        <v>1.120978</v>
      </c>
      <c r="L5932">
        <v>91.721159999999998</v>
      </c>
      <c r="M5932">
        <v>5.740668E-3</v>
      </c>
      <c r="N5932">
        <v>-1.3897690000000001E-2</v>
      </c>
      <c r="O5932">
        <v>-0.99988699999999997</v>
      </c>
      <c r="P5932">
        <v>2.4611270000000001E-2</v>
      </c>
      <c r="Q5932">
        <v>-8.6426069999999994E-2</v>
      </c>
      <c r="R5932">
        <v>-0.99595429999999996</v>
      </c>
      <c r="S5932">
        <v>-7.8063960000000002E-2</v>
      </c>
      <c r="T5932">
        <v>-0.1168087</v>
      </c>
      <c r="U5932">
        <v>-3.0041500000000001</v>
      </c>
      <c r="V5932">
        <v>-1.8900139999999999E-2</v>
      </c>
      <c r="W5932">
        <v>-7.2572750000000005E-2</v>
      </c>
      <c r="X5932">
        <v>0.99718399999999996</v>
      </c>
      <c r="Y5932">
        <v>3.1695760000000003E-2</v>
      </c>
      <c r="Z5932">
        <v>2.4943819999999998E-2</v>
      </c>
      <c r="AA5932">
        <v>0.99918629999999997</v>
      </c>
      <c r="AB5932">
        <v>26</v>
      </c>
      <c r="AC5932">
        <v>-0.75060000000001903</v>
      </c>
      <c r="AD5932">
        <v>-1.1209802700789999</v>
      </c>
      <c r="AE5932">
        <v>-28.573989999999998</v>
      </c>
      <c r="AF5932">
        <v>0.91323270736170503</v>
      </c>
      <c r="AG5932">
        <v>-1.1209802700789999</v>
      </c>
      <c r="AH5932">
        <v>28.525337919432999</v>
      </c>
      <c r="AI5932">
        <v>92.249283354410807</v>
      </c>
      <c r="AJ5932">
        <v>88.166313948322397</v>
      </c>
      <c r="AK5932">
        <v>28.5619588642226</v>
      </c>
      <c r="AL5932">
        <v>94.161771060264698</v>
      </c>
      <c r="AM5932">
        <v>91.085826297112305</v>
      </c>
      <c r="AN5932">
        <v>0.99999997459529</v>
      </c>
    </row>
    <row r="5933" spans="1:40" x14ac:dyDescent="0.25">
      <c r="A5933" t="str">
        <f>"20190303154259812"</f>
        <v>20190303154259812</v>
      </c>
      <c r="B5933" t="str">
        <f>"1551598979806051"</f>
        <v>1551598979806051</v>
      </c>
      <c r="C5933" t="s">
        <v>40</v>
      </c>
      <c r="D5933">
        <v>5.5893790000000001</v>
      </c>
      <c r="E5933">
        <v>0.5194607</v>
      </c>
      <c r="F5933" t="s">
        <v>41</v>
      </c>
      <c r="G5933">
        <v>-422.83730000000003</v>
      </c>
      <c r="H5933" s="1">
        <v>-1.827061E-6</v>
      </c>
      <c r="I5933">
        <v>62.088270000000001</v>
      </c>
      <c r="J5933">
        <v>-422.04289999999997</v>
      </c>
      <c r="K5933">
        <v>1.1209880000000001</v>
      </c>
      <c r="L5933">
        <v>91.453400000000002</v>
      </c>
      <c r="M5933">
        <v>5.7118129999999996E-3</v>
      </c>
      <c r="N5933">
        <v>-1.390134E-2</v>
      </c>
      <c r="O5933">
        <v>-0.99988699999999997</v>
      </c>
      <c r="P5933">
        <v>2.39271E-2</v>
      </c>
      <c r="Q5933">
        <v>-8.5267120000000002E-2</v>
      </c>
      <c r="R5933">
        <v>-0.99607089999999998</v>
      </c>
      <c r="S5933">
        <v>-8.0383300000000005E-2</v>
      </c>
      <c r="T5933">
        <v>-0.1136495</v>
      </c>
      <c r="U5933">
        <v>-3.0043030000000002</v>
      </c>
      <c r="V5933">
        <v>-1.824311E-2</v>
      </c>
      <c r="W5933">
        <v>-7.1408929999999995E-2</v>
      </c>
      <c r="X5933">
        <v>0.99728030000000001</v>
      </c>
      <c r="Y5933">
        <v>3.2437069999999998E-2</v>
      </c>
      <c r="Z5933">
        <v>2.388813E-2</v>
      </c>
      <c r="AA5933">
        <v>0.99918819999999997</v>
      </c>
      <c r="AB5933">
        <v>26</v>
      </c>
      <c r="AC5933">
        <v>-0.79440000000005195</v>
      </c>
      <c r="AD5933">
        <v>-1.1209898270609999</v>
      </c>
      <c r="AE5933">
        <v>-29.365130000000001</v>
      </c>
      <c r="AF5933">
        <v>0.96073236773639503</v>
      </c>
      <c r="AG5933">
        <v>-1.1209898270609999</v>
      </c>
      <c r="AH5933">
        <v>29.317420883187701</v>
      </c>
      <c r="AI5933">
        <v>92.188538498684693</v>
      </c>
      <c r="AJ5933">
        <v>88.123088020098294</v>
      </c>
      <c r="AK5933">
        <v>29.3545702083468</v>
      </c>
      <c r="AL5933">
        <v>94.094915417685101</v>
      </c>
      <c r="AM5933">
        <v>91.047986850836807</v>
      </c>
      <c r="AN5933">
        <v>1.0000000215571501</v>
      </c>
    </row>
    <row r="5934" spans="1:40" x14ac:dyDescent="0.25">
      <c r="A5934" t="str">
        <f>"20190303154259834"</f>
        <v>20190303154259834</v>
      </c>
      <c r="B5934" t="str">
        <f>"1551598979826551"</f>
        <v>1551598979826551</v>
      </c>
      <c r="C5934" t="s">
        <v>40</v>
      </c>
      <c r="D5934">
        <v>5.4329269999999896</v>
      </c>
      <c r="E5934">
        <v>0.51922609999999902</v>
      </c>
      <c r="F5934" t="s">
        <v>41</v>
      </c>
      <c r="G5934">
        <v>-422.84620000000001</v>
      </c>
      <c r="H5934" s="1">
        <v>-1.708145E-6</v>
      </c>
      <c r="I5934">
        <v>61.80556</v>
      </c>
      <c r="J5934">
        <v>-422.04149999999998</v>
      </c>
      <c r="K5934">
        <v>1.120997</v>
      </c>
      <c r="L5934">
        <v>91.200959999999995</v>
      </c>
      <c r="M5934">
        <v>5.6871079999999997E-3</v>
      </c>
      <c r="N5934">
        <v>-1.3904E-2</v>
      </c>
      <c r="O5934">
        <v>-0.99988719999999998</v>
      </c>
      <c r="P5934">
        <v>2.3459420000000002E-2</v>
      </c>
      <c r="Q5934">
        <v>-8.4686559999999994E-2</v>
      </c>
      <c r="R5934">
        <v>-0.9961314</v>
      </c>
      <c r="S5934">
        <v>-8.1390379999999998E-2</v>
      </c>
      <c r="T5934">
        <v>-0.1135839</v>
      </c>
      <c r="U5934">
        <v>-3.0040589999999998</v>
      </c>
      <c r="V5934">
        <v>-1.7799220000000001E-2</v>
      </c>
      <c r="W5934">
        <v>-7.082513E-2</v>
      </c>
      <c r="X5934">
        <v>0.99733000000000005</v>
      </c>
      <c r="Y5934">
        <v>3.2749180000000003E-2</v>
      </c>
      <c r="Z5934">
        <v>2.3866399999999999E-2</v>
      </c>
      <c r="AA5934">
        <v>0.99917860000000003</v>
      </c>
      <c r="AB5934">
        <v>26</v>
      </c>
      <c r="AC5934">
        <v>-0.80470000000002495</v>
      </c>
      <c r="AD5934">
        <v>-1.1209987081449999</v>
      </c>
      <c r="AE5934">
        <v>-29.395399999999899</v>
      </c>
      <c r="AF5934">
        <v>0.97046766765544701</v>
      </c>
      <c r="AG5934">
        <v>-1.1209987081449999</v>
      </c>
      <c r="AH5934">
        <v>29.347699524866499</v>
      </c>
      <c r="AI5934">
        <v>92.186278636681607</v>
      </c>
      <c r="AJ5934">
        <v>88.106037325893297</v>
      </c>
      <c r="AK5934">
        <v>29.385130814741601</v>
      </c>
      <c r="AL5934">
        <v>94.061381035140997</v>
      </c>
      <c r="AM5934">
        <v>91.022441850468596</v>
      </c>
      <c r="AN5934">
        <v>1.0000000700860601</v>
      </c>
    </row>
    <row r="5935" spans="1:40" x14ac:dyDescent="0.25">
      <c r="A5935" t="str">
        <f>"20190303154259857"</f>
        <v>20190303154259857</v>
      </c>
      <c r="B5935" t="str">
        <f>"1551598979846067"</f>
        <v>1551598979846067</v>
      </c>
      <c r="C5935" t="s">
        <v>40</v>
      </c>
      <c r="D5935">
        <v>5.4884430000000002</v>
      </c>
      <c r="E5935">
        <v>0.51907190000000003</v>
      </c>
      <c r="F5935" t="s">
        <v>41</v>
      </c>
      <c r="G5935">
        <v>-422.8811</v>
      </c>
      <c r="H5935" s="1">
        <v>-1.0270380000000001E-6</v>
      </c>
      <c r="I5935">
        <v>60.196199999999997</v>
      </c>
      <c r="J5935">
        <v>-422.0401</v>
      </c>
      <c r="K5935">
        <v>1.121005</v>
      </c>
      <c r="L5935">
        <v>90.939269999999993</v>
      </c>
      <c r="M5935">
        <v>5.6627079999999998E-3</v>
      </c>
      <c r="N5935">
        <v>-1.390598E-2</v>
      </c>
      <c r="O5935">
        <v>-0.99988719999999998</v>
      </c>
      <c r="P5935">
        <v>2.303007E-2</v>
      </c>
      <c r="Q5935">
        <v>-8.4086519999999998E-2</v>
      </c>
      <c r="R5935">
        <v>-0.99619199999999997</v>
      </c>
      <c r="S5935">
        <v>-8.1359860000000006E-2</v>
      </c>
      <c r="T5935">
        <v>-0.1086237</v>
      </c>
      <c r="U5935">
        <v>-3.0043329999999999</v>
      </c>
      <c r="V5935">
        <v>-1.739336E-2</v>
      </c>
      <c r="W5935">
        <v>-7.0222450000000006E-2</v>
      </c>
      <c r="X5935">
        <v>0.99737969999999998</v>
      </c>
      <c r="Y5935">
        <v>3.2713599999999898E-2</v>
      </c>
      <c r="Z5935">
        <v>2.2213460000000001E-2</v>
      </c>
      <c r="AA5935">
        <v>0.99921789999999999</v>
      </c>
      <c r="AB5935">
        <v>26</v>
      </c>
      <c r="AC5935">
        <v>-0.84100000000000796</v>
      </c>
      <c r="AD5935">
        <v>-1.121006027038</v>
      </c>
      <c r="AE5935">
        <v>-30.743069999999999</v>
      </c>
      <c r="AF5935">
        <v>1.0137455198040899</v>
      </c>
      <c r="AG5935">
        <v>-1.121006027038</v>
      </c>
      <c r="AH5935">
        <v>30.697029904577299</v>
      </c>
      <c r="AI5935">
        <v>92.0902815890868</v>
      </c>
      <c r="AJ5935">
        <v>88.108538886113706</v>
      </c>
      <c r="AK5935">
        <v>30.734215126696999</v>
      </c>
      <c r="AL5935">
        <v>94.026764131207301</v>
      </c>
      <c r="AM5935">
        <v>90.999083009744197</v>
      </c>
      <c r="AN5935">
        <v>0.99999999371409098</v>
      </c>
    </row>
    <row r="5936" spans="1:40" x14ac:dyDescent="0.25">
      <c r="A5936" t="str">
        <f>"20190303154259879"</f>
        <v>20190303154259879</v>
      </c>
      <c r="B5936" t="str">
        <f>"1551598979876323"</f>
        <v>1551598979876323</v>
      </c>
      <c r="C5936" t="s">
        <v>40</v>
      </c>
      <c r="D5936">
        <v>5.4386729999999996</v>
      </c>
      <c r="E5936">
        <v>0.51875749999999998</v>
      </c>
      <c r="F5936" t="s">
        <v>41</v>
      </c>
      <c r="G5936">
        <v>-422.91109999999998</v>
      </c>
      <c r="H5936" s="1">
        <v>-4.5487460000000002E-6</v>
      </c>
      <c r="I5936">
        <v>58.836089999999999</v>
      </c>
      <c r="J5936">
        <v>-422.03859999999997</v>
      </c>
      <c r="K5936">
        <v>1.1210100000000001</v>
      </c>
      <c r="L5936">
        <v>90.682860000000005</v>
      </c>
      <c r="M5936">
        <v>5.6399769999999896E-3</v>
      </c>
      <c r="N5936">
        <v>-1.3907009999999999E-2</v>
      </c>
      <c r="O5936">
        <v>-0.99988770000000005</v>
      </c>
      <c r="P5936">
        <v>2.2789239999999999E-2</v>
      </c>
      <c r="Q5936">
        <v>-8.3733829999999995E-2</v>
      </c>
      <c r="R5936">
        <v>-0.99622809999999995</v>
      </c>
      <c r="S5936">
        <v>-8.151245E-2</v>
      </c>
      <c r="T5936">
        <v>-0.10491350000000001</v>
      </c>
      <c r="U5936">
        <v>-3.004486</v>
      </c>
      <c r="V5936">
        <v>-1.7175019999999999E-2</v>
      </c>
      <c r="W5936">
        <v>-6.9868319999999998E-2</v>
      </c>
      <c r="X5936">
        <v>0.99740830000000003</v>
      </c>
      <c r="Y5936">
        <v>3.2741199999999998E-2</v>
      </c>
      <c r="Z5936">
        <v>2.09781E-2</v>
      </c>
      <c r="AA5936">
        <v>0.99924369999999996</v>
      </c>
      <c r="AB5936">
        <v>26</v>
      </c>
      <c r="AC5936">
        <v>-0.87250000000000205</v>
      </c>
      <c r="AD5936">
        <v>-1.1210145487459999</v>
      </c>
      <c r="AE5936">
        <v>-31.8467699999999</v>
      </c>
      <c r="AF5936">
        <v>1.0508174386923399</v>
      </c>
      <c r="AG5936">
        <v>-1.1210145487459999</v>
      </c>
      <c r="AH5936">
        <v>31.801967096932799</v>
      </c>
      <c r="AI5936">
        <v>92.017731427604502</v>
      </c>
      <c r="AJ5936">
        <v>88.107491062485906</v>
      </c>
      <c r="AK5936">
        <v>31.839064090239201</v>
      </c>
      <c r="AL5936">
        <v>94.006424232127102</v>
      </c>
      <c r="AM5936">
        <v>90.986515666113505</v>
      </c>
      <c r="AN5936">
        <v>0.99999994018025395</v>
      </c>
    </row>
    <row r="5937" spans="1:40" x14ac:dyDescent="0.25">
      <c r="A5937" t="str">
        <f>"20190303154259901"</f>
        <v>20190303154259901</v>
      </c>
      <c r="B5937" t="str">
        <f>"1551598979895843"</f>
        <v>1551598979895843</v>
      </c>
      <c r="C5937" t="s">
        <v>40</v>
      </c>
      <c r="D5937">
        <v>5.4578749999999996</v>
      </c>
      <c r="E5937">
        <v>0.51860360000000005</v>
      </c>
      <c r="F5937" t="s">
        <v>41</v>
      </c>
      <c r="G5937">
        <v>-422.899</v>
      </c>
      <c r="H5937" s="1">
        <v>-4.2763879999999999E-6</v>
      </c>
      <c r="I5937">
        <v>58.042050000000003</v>
      </c>
      <c r="J5937">
        <v>-422.03719999999998</v>
      </c>
      <c r="K5937">
        <v>1.121014</v>
      </c>
      <c r="L5937">
        <v>90.422910000000002</v>
      </c>
      <c r="M5937">
        <v>5.6171519999999898E-3</v>
      </c>
      <c r="N5937">
        <v>-1.390774E-2</v>
      </c>
      <c r="O5937">
        <v>-0.99988770000000005</v>
      </c>
      <c r="P5937">
        <v>2.2279469999999999E-2</v>
      </c>
      <c r="Q5937">
        <v>-8.3497080000000001E-2</v>
      </c>
      <c r="R5937">
        <v>-0.99625900000000001</v>
      </c>
      <c r="S5937">
        <v>-7.9193120000000006E-2</v>
      </c>
      <c r="T5937">
        <v>-0.103187</v>
      </c>
      <c r="U5937">
        <v>-3.0045169999999999</v>
      </c>
      <c r="V5937">
        <v>-1.6687799999999999E-2</v>
      </c>
      <c r="W5937">
        <v>-6.9630529999999996E-2</v>
      </c>
      <c r="X5937">
        <v>0.99743320000000002</v>
      </c>
      <c r="Y5937">
        <v>3.1947999999999997E-2</v>
      </c>
      <c r="Z5937">
        <v>2.04043E-2</v>
      </c>
      <c r="AA5937">
        <v>0.99928119999999998</v>
      </c>
      <c r="AB5937">
        <v>26</v>
      </c>
      <c r="AC5937">
        <v>-0.861800000000016</v>
      </c>
      <c r="AD5937">
        <v>-1.1210182763879999</v>
      </c>
      <c r="AE5937">
        <v>-32.380859999999998</v>
      </c>
      <c r="AF5937">
        <v>1.04244365696109</v>
      </c>
      <c r="AG5937">
        <v>-1.1210182763879999</v>
      </c>
      <c r="AH5937">
        <v>32.336778580461598</v>
      </c>
      <c r="AI5937">
        <v>91.984446141871402</v>
      </c>
      <c r="AJ5937">
        <v>88.153590209318097</v>
      </c>
      <c r="AK5937">
        <v>32.372992134119002</v>
      </c>
      <c r="AL5937">
        <v>93.992766602347203</v>
      </c>
      <c r="AM5937">
        <v>90.958511618374899</v>
      </c>
      <c r="AN5937">
        <v>0.999999940919578</v>
      </c>
    </row>
    <row r="5938" spans="1:40" x14ac:dyDescent="0.25">
      <c r="A5938" t="str">
        <f>"20190303154259924"</f>
        <v>20190303154259924</v>
      </c>
      <c r="B5938" t="str">
        <f>"1551598979916343"</f>
        <v>1551598979916343</v>
      </c>
      <c r="C5938" t="s">
        <v>40</v>
      </c>
      <c r="D5938">
        <v>5.5140589999999996</v>
      </c>
      <c r="E5938">
        <v>0.51845419999999998</v>
      </c>
      <c r="F5938" t="s">
        <v>41</v>
      </c>
      <c r="G5938">
        <v>-422.90219999999999</v>
      </c>
      <c r="H5938" s="1">
        <v>-4.1550449999999998E-6</v>
      </c>
      <c r="I5938">
        <v>57.683810000000001</v>
      </c>
      <c r="J5938">
        <v>-422.03579999999999</v>
      </c>
      <c r="K5938">
        <v>1.1210209999999901</v>
      </c>
      <c r="L5938">
        <v>90.161500000000004</v>
      </c>
      <c r="M5938">
        <v>5.5930619999999898E-3</v>
      </c>
      <c r="N5938">
        <v>-1.3908200000000001E-2</v>
      </c>
      <c r="O5938">
        <v>-0.99988790000000005</v>
      </c>
      <c r="P5938">
        <v>2.2115840000000001E-2</v>
      </c>
      <c r="Q5938">
        <v>-8.3259340000000001E-2</v>
      </c>
      <c r="R5938">
        <v>-0.99628289999999997</v>
      </c>
      <c r="S5938">
        <v>-7.9376219999999997E-2</v>
      </c>
      <c r="T5938">
        <v>-0.1028744</v>
      </c>
      <c r="U5938">
        <v>-3.0044249999999999</v>
      </c>
      <c r="V5938">
        <v>-1.6548239999999999E-2</v>
      </c>
      <c r="W5938">
        <v>-6.9391999999999995E-2</v>
      </c>
      <c r="X5938">
        <v>0.99745220000000001</v>
      </c>
      <c r="Y5938">
        <v>3.1985640000000003E-2</v>
      </c>
      <c r="Z5938">
        <v>2.0301E-2</v>
      </c>
      <c r="AA5938">
        <v>0.99928209999999995</v>
      </c>
      <c r="AB5938">
        <v>26</v>
      </c>
      <c r="AC5938">
        <v>-0.86639999999999795</v>
      </c>
      <c r="AD5938">
        <v>-1.1210251550450001</v>
      </c>
      <c r="AE5938">
        <v>-32.477690000000003</v>
      </c>
      <c r="AF5938">
        <v>1.0468074150351201</v>
      </c>
      <c r="AG5938">
        <v>-1.1210251550450001</v>
      </c>
      <c r="AH5938">
        <v>32.433721302742903</v>
      </c>
      <c r="AI5938">
        <v>91.978529153690801</v>
      </c>
      <c r="AJ5938">
        <v>88.1514044231795</v>
      </c>
      <c r="AK5938">
        <v>32.469967365342598</v>
      </c>
      <c r="AL5938">
        <v>93.979066495475195</v>
      </c>
      <c r="AM5938">
        <v>90.950478964378505</v>
      </c>
      <c r="AN5938">
        <v>0.99999999259796801</v>
      </c>
    </row>
    <row r="5939" spans="1:40" x14ac:dyDescent="0.25">
      <c r="A5939" t="str">
        <f>"20190303154259946"</f>
        <v>20190303154259946</v>
      </c>
      <c r="B5939" t="str">
        <f>"1551598979935863"</f>
        <v>1551598979935863</v>
      </c>
      <c r="C5939" t="s">
        <v>40</v>
      </c>
      <c r="D5939">
        <v>5.5848740000000001</v>
      </c>
      <c r="E5939">
        <v>0.4970424</v>
      </c>
      <c r="F5939" t="s">
        <v>41</v>
      </c>
      <c r="G5939">
        <v>-422.8929</v>
      </c>
      <c r="H5939" s="1">
        <v>-4.08476E-6</v>
      </c>
      <c r="I5939">
        <v>57.482129999999998</v>
      </c>
      <c r="J5939">
        <v>-422.03440000000001</v>
      </c>
      <c r="K5939">
        <v>1.1210209999999901</v>
      </c>
      <c r="L5939">
        <v>89.909970000000001</v>
      </c>
      <c r="M5939">
        <v>5.5689069999999997E-3</v>
      </c>
      <c r="N5939">
        <v>-1.390829E-2</v>
      </c>
      <c r="O5939">
        <v>-0.99988790000000005</v>
      </c>
      <c r="P5939">
        <v>2.1998050000000002E-2</v>
      </c>
      <c r="Q5939">
        <v>-8.2442109999999999E-2</v>
      </c>
      <c r="R5939">
        <v>-0.99635309999999999</v>
      </c>
      <c r="S5939">
        <v>-7.8796389999999994E-2</v>
      </c>
      <c r="T5939">
        <v>-0.1030599</v>
      </c>
      <c r="U5939">
        <v>-3.0043329999999999</v>
      </c>
      <c r="V5939">
        <v>-1.645406E-2</v>
      </c>
      <c r="W5939">
        <v>-6.8573830000000002E-2</v>
      </c>
      <c r="X5939">
        <v>0.99751040000000002</v>
      </c>
      <c r="Y5939">
        <v>3.1769599999999898E-2</v>
      </c>
      <c r="Z5939">
        <v>2.0363800000000001E-2</v>
      </c>
      <c r="AA5939">
        <v>0.9992877</v>
      </c>
      <c r="AB5939">
        <v>26</v>
      </c>
      <c r="AC5939">
        <v>-0.85849999999999205</v>
      </c>
      <c r="AD5939">
        <v>-1.1210250847599901</v>
      </c>
      <c r="AE5939">
        <v>-32.427840000000003</v>
      </c>
      <c r="AF5939">
        <v>1.0378523141892</v>
      </c>
      <c r="AG5939">
        <v>-1.1210250847599901</v>
      </c>
      <c r="AH5939">
        <v>32.383881679483402</v>
      </c>
      <c r="AI5939">
        <v>91.981586042335607</v>
      </c>
      <c r="AJ5939">
        <v>88.164388945805499</v>
      </c>
      <c r="AK5939">
        <v>32.4198955472949</v>
      </c>
      <c r="AL5939">
        <v>93.932076634477596</v>
      </c>
      <c r="AM5939">
        <v>90.945015414322299</v>
      </c>
      <c r="AN5939">
        <v>1.0000000521797501</v>
      </c>
    </row>
    <row r="5940" spans="1:40" x14ac:dyDescent="0.25">
      <c r="A5940" t="str">
        <f>"20190303154259968"</f>
        <v>20190303154259968</v>
      </c>
      <c r="B5940" t="str">
        <f>"1551598979956355"</f>
        <v>1551598979956355</v>
      </c>
      <c r="C5940" t="s">
        <v>40</v>
      </c>
      <c r="D5940">
        <v>5.566389</v>
      </c>
      <c r="E5940">
        <v>0.49729329999999999</v>
      </c>
      <c r="F5940" t="s">
        <v>41</v>
      </c>
      <c r="G5940">
        <v>-421.31439999999998</v>
      </c>
      <c r="H5940" s="1">
        <v>-3.1836459999999999E-6</v>
      </c>
      <c r="I5940">
        <v>66.195059999999998</v>
      </c>
      <c r="J5940">
        <v>-422.03300000000002</v>
      </c>
      <c r="K5940">
        <v>1.1210279999999999</v>
      </c>
      <c r="L5940">
        <v>89.659700000000001</v>
      </c>
      <c r="M5940">
        <v>5.5443259999999996E-3</v>
      </c>
      <c r="N5940">
        <v>-1.390798E-2</v>
      </c>
      <c r="O5940">
        <v>-0.9998882</v>
      </c>
      <c r="P5940">
        <v>2.1870730000000001E-2</v>
      </c>
      <c r="Q5940">
        <v>-8.2148509999999994E-2</v>
      </c>
      <c r="R5940">
        <v>-0.99638020000000005</v>
      </c>
      <c r="S5940">
        <v>9.1003420000000002E-2</v>
      </c>
      <c r="T5940">
        <v>-0.14168269999999999</v>
      </c>
      <c r="U5940">
        <v>-2.9972530000000002</v>
      </c>
      <c r="V5940">
        <v>-1.6351170000000002E-2</v>
      </c>
      <c r="W5940">
        <v>-6.8280179999999996E-2</v>
      </c>
      <c r="X5940">
        <v>0.99753219999999998</v>
      </c>
      <c r="Y5940">
        <v>-2.4778140000000001E-2</v>
      </c>
      <c r="Z5940">
        <v>3.3303069999999997E-2</v>
      </c>
      <c r="AA5940">
        <v>0.99913810000000003</v>
      </c>
      <c r="AB5940">
        <v>26</v>
      </c>
      <c r="AC5940">
        <v>0.71860000000003699</v>
      </c>
      <c r="AD5940">
        <v>-1.1210311836460001</v>
      </c>
      <c r="AE5940">
        <v>-23.464639999999999</v>
      </c>
      <c r="AF5940">
        <v>-0.58714190743401395</v>
      </c>
      <c r="AG5940">
        <v>-1.1210311836460001</v>
      </c>
      <c r="AH5940">
        <v>23.414869847539698</v>
      </c>
      <c r="AI5940">
        <v>92.7401907088624</v>
      </c>
      <c r="AJ5940">
        <v>91.436425024248194</v>
      </c>
      <c r="AK5940">
        <v>23.449042123536699</v>
      </c>
      <c r="AL5940">
        <v>93.9152123399179</v>
      </c>
      <c r="AM5940">
        <v>90.939086616380806</v>
      </c>
      <c r="AN5940">
        <v>1.00000001688902</v>
      </c>
    </row>
    <row r="5941" spans="1:40" x14ac:dyDescent="0.25">
      <c r="A5941" t="str">
        <f>"20190303154259990"</f>
        <v>20190303154259990</v>
      </c>
      <c r="B5941" t="str">
        <f>"1551598979986612"</f>
        <v>1551598979986612</v>
      </c>
      <c r="C5941" t="s">
        <v>40</v>
      </c>
      <c r="D5941">
        <v>5.5573920000000001</v>
      </c>
      <c r="E5941">
        <v>0.49683820000000001</v>
      </c>
      <c r="F5941" t="s">
        <v>41</v>
      </c>
      <c r="G5941">
        <v>-421.3528</v>
      </c>
      <c r="H5941" s="1">
        <v>-3.4203629999999999E-6</v>
      </c>
      <c r="I5941">
        <v>66.723010000000002</v>
      </c>
      <c r="J5941">
        <v>-422.03160000000003</v>
      </c>
      <c r="K5941">
        <v>1.1210329999999999</v>
      </c>
      <c r="L5941">
        <v>89.404169999999993</v>
      </c>
      <c r="M5941">
        <v>5.5191750000000003E-3</v>
      </c>
      <c r="N5941">
        <v>-1.3907320000000001E-2</v>
      </c>
      <c r="O5941">
        <v>-0.9998882</v>
      </c>
      <c r="P5941">
        <v>2.1720039999999999E-2</v>
      </c>
      <c r="Q5941">
        <v>-8.1232090000000007E-2</v>
      </c>
      <c r="R5941">
        <v>-0.99645879999999998</v>
      </c>
      <c r="S5941">
        <v>8.8867189999999999E-2</v>
      </c>
      <c r="T5941">
        <v>-0.1464715</v>
      </c>
      <c r="U5941">
        <v>-2.9968569999999999</v>
      </c>
      <c r="V5941">
        <v>-1.6224700000000002E-2</v>
      </c>
      <c r="W5941">
        <v>-6.7363430000000002E-2</v>
      </c>
      <c r="X5941">
        <v>0.99759659999999994</v>
      </c>
      <c r="Y5941">
        <v>-2.409412E-2</v>
      </c>
      <c r="Z5941">
        <v>3.4903539999999997E-2</v>
      </c>
      <c r="AA5941">
        <v>0.99910019999999999</v>
      </c>
      <c r="AB5941">
        <v>26</v>
      </c>
      <c r="AC5941">
        <v>0.67880000000002305</v>
      </c>
      <c r="AD5941">
        <v>-1.1210364203630001</v>
      </c>
      <c r="AE5941">
        <v>-22.681159999999899</v>
      </c>
      <c r="AF5941">
        <v>-0.55224838812997301</v>
      </c>
      <c r="AG5941">
        <v>-1.1210364203630001</v>
      </c>
      <c r="AH5941">
        <v>22.629329130725399</v>
      </c>
      <c r="AI5941">
        <v>92.835219633391105</v>
      </c>
      <c r="AJ5941">
        <v>91.397974392974106</v>
      </c>
      <c r="AK5941">
        <v>22.6638089880026</v>
      </c>
      <c r="AL5941">
        <v>93.862565181152604</v>
      </c>
      <c r="AM5941">
        <v>90.931764285468901</v>
      </c>
      <c r="AN5941">
        <v>1.0000000244614999</v>
      </c>
    </row>
    <row r="5942" spans="1:40" x14ac:dyDescent="0.25">
      <c r="A5942" t="str">
        <f>"20190303154300013"</f>
        <v>20190303154300013</v>
      </c>
      <c r="B5942" t="str">
        <f>"1551598980006131"</f>
        <v>1551598980006131</v>
      </c>
      <c r="C5942" t="s">
        <v>40</v>
      </c>
      <c r="D5942">
        <v>5.5745649999999998</v>
      </c>
      <c r="E5942">
        <v>0.49697380000000002</v>
      </c>
      <c r="F5942" t="s">
        <v>41</v>
      </c>
      <c r="G5942">
        <v>-421.26170000000002</v>
      </c>
      <c r="H5942" s="1">
        <v>-2.3726349999999999E-6</v>
      </c>
      <c r="I5942">
        <v>64.337230000000005</v>
      </c>
      <c r="J5942">
        <v>-422.03019999999998</v>
      </c>
      <c r="K5942">
        <v>1.1210290000000001</v>
      </c>
      <c r="L5942">
        <v>89.136989999999997</v>
      </c>
      <c r="M5942">
        <v>5.4922080000000002E-3</v>
      </c>
      <c r="N5942">
        <v>-1.3891819999999999E-2</v>
      </c>
      <c r="O5942">
        <v>-0.99988869999999996</v>
      </c>
      <c r="P5942">
        <v>2.2159890000000002E-2</v>
      </c>
      <c r="Q5942">
        <v>-8.0313969999999998E-2</v>
      </c>
      <c r="R5942">
        <v>-0.9965233</v>
      </c>
      <c r="S5942">
        <v>9.2071529999999999E-2</v>
      </c>
      <c r="T5942">
        <v>-0.13406399999999999</v>
      </c>
      <c r="U5942">
        <v>-2.9977420000000001</v>
      </c>
      <c r="V5942">
        <v>-1.6691419999999998E-2</v>
      </c>
      <c r="W5942">
        <v>-6.6459899999999905E-2</v>
      </c>
      <c r="X5942">
        <v>0.99764949999999997</v>
      </c>
      <c r="Y5942">
        <v>-2.5183750000000001E-2</v>
      </c>
      <c r="Z5942">
        <v>3.07773E-2</v>
      </c>
      <c r="AA5942">
        <v>0.99920889999999996</v>
      </c>
      <c r="AB5942">
        <v>26</v>
      </c>
      <c r="AC5942">
        <v>0.76849999999995999</v>
      </c>
      <c r="AD5942">
        <v>-1.1210313726350001</v>
      </c>
      <c r="AE5942">
        <v>-24.7997599999999</v>
      </c>
      <c r="AF5942">
        <v>-0.63098178706900998</v>
      </c>
      <c r="AG5942">
        <v>-1.1210313726350001</v>
      </c>
      <c r="AH5942">
        <v>24.753076636945998</v>
      </c>
      <c r="AI5942">
        <v>92.592230959601807</v>
      </c>
      <c r="AJ5942">
        <v>91.460213061937594</v>
      </c>
      <c r="AK5942">
        <v>24.786481241769</v>
      </c>
      <c r="AL5942">
        <v>93.810680450578104</v>
      </c>
      <c r="AM5942">
        <v>90.958511683825904</v>
      </c>
      <c r="AN5942">
        <v>1.00000002332993</v>
      </c>
    </row>
    <row r="5943" spans="1:40" x14ac:dyDescent="0.25">
      <c r="A5943" t="str">
        <f>"20190303154300036"</f>
        <v>20190303154300036</v>
      </c>
      <c r="B5943" t="str">
        <f>"1551598980026627"</f>
        <v>1551598980026627</v>
      </c>
      <c r="C5943" t="s">
        <v>40</v>
      </c>
      <c r="D5943">
        <v>5.5863959999999997</v>
      </c>
      <c r="E5943">
        <v>0.49689169999999999</v>
      </c>
      <c r="F5943" t="s">
        <v>41</v>
      </c>
      <c r="G5943">
        <v>-421.24950000000001</v>
      </c>
      <c r="H5943" s="1">
        <v>-2.089105E-6</v>
      </c>
      <c r="I5943">
        <v>63.683889999999998</v>
      </c>
      <c r="J5943">
        <v>-422.02879999999999</v>
      </c>
      <c r="K5943">
        <v>1.121024</v>
      </c>
      <c r="L5943">
        <v>88.879329999999996</v>
      </c>
      <c r="M5943">
        <v>5.4658850000000002E-3</v>
      </c>
      <c r="N5943">
        <v>-1.384816E-2</v>
      </c>
      <c r="O5943">
        <v>-0.99988940000000004</v>
      </c>
      <c r="P5943">
        <v>2.210146E-2</v>
      </c>
      <c r="Q5943">
        <v>-7.9679429999999996E-2</v>
      </c>
      <c r="R5943">
        <v>-0.99657560000000001</v>
      </c>
      <c r="S5943">
        <v>9.1949459999999997E-2</v>
      </c>
      <c r="T5943">
        <v>-0.1320308</v>
      </c>
      <c r="U5943">
        <v>-2.9977719999999999</v>
      </c>
      <c r="V5943">
        <v>-1.665877E-2</v>
      </c>
      <c r="W5943">
        <v>-6.5868270000000007E-2</v>
      </c>
      <c r="X5943">
        <v>0.99768920000000005</v>
      </c>
      <c r="Y5943">
        <v>-2.516987E-2</v>
      </c>
      <c r="Z5943">
        <v>3.0144250000000001E-2</v>
      </c>
      <c r="AA5943">
        <v>0.99922860000000002</v>
      </c>
      <c r="AB5943">
        <v>26</v>
      </c>
      <c r="AC5943">
        <v>0.77929999999997701</v>
      </c>
      <c r="AD5943">
        <v>-1.1210260891049999</v>
      </c>
      <c r="AE5943">
        <v>-25.195440000000001</v>
      </c>
      <c r="AF5943">
        <v>-0.64029346086057604</v>
      </c>
      <c r="AG5943">
        <v>-1.1210260891049999</v>
      </c>
      <c r="AH5943">
        <v>25.1495838394199</v>
      </c>
      <c r="AI5943">
        <v>92.551406445004602</v>
      </c>
      <c r="AJ5943">
        <v>91.458401453262695</v>
      </c>
      <c r="AK5943">
        <v>25.182697284137099</v>
      </c>
      <c r="AL5943">
        <v>93.776708415873301</v>
      </c>
      <c r="AM5943">
        <v>90.956599033490704</v>
      </c>
      <c r="AN5943">
        <v>0.99999994170367101</v>
      </c>
    </row>
    <row r="5944" spans="1:40" x14ac:dyDescent="0.25">
      <c r="A5944" t="str">
        <f>"20190303154300057"</f>
        <v>20190303154300057</v>
      </c>
      <c r="B5944" t="str">
        <f>"1551598980046148"</f>
        <v>1551598980046148</v>
      </c>
      <c r="C5944" t="s">
        <v>40</v>
      </c>
      <c r="D5944">
        <v>5.5487789999999997</v>
      </c>
      <c r="E5944">
        <v>0.49668040000000002</v>
      </c>
      <c r="F5944" t="s">
        <v>41</v>
      </c>
      <c r="G5944">
        <v>-421.2131</v>
      </c>
      <c r="H5944" s="1">
        <v>-1.5955570000000001E-6</v>
      </c>
      <c r="I5944">
        <v>62.555970000000002</v>
      </c>
      <c r="J5944">
        <v>-422.02749999999997</v>
      </c>
      <c r="K5944">
        <v>1.1210169999999999</v>
      </c>
      <c r="L5944">
        <v>88.632260000000002</v>
      </c>
      <c r="M5944">
        <v>5.4412540000000004E-3</v>
      </c>
      <c r="N5944">
        <v>-1.379316E-2</v>
      </c>
      <c r="O5944">
        <v>-0.9998901</v>
      </c>
      <c r="P5944">
        <v>2.2506680000000001E-2</v>
      </c>
      <c r="Q5944">
        <v>-7.9012780000000005E-2</v>
      </c>
      <c r="R5944">
        <v>-0.99661960000000005</v>
      </c>
      <c r="S5944">
        <v>9.2895510000000001E-2</v>
      </c>
      <c r="T5944">
        <v>-0.12767699999999901</v>
      </c>
      <c r="U5944">
        <v>-2.9980470000000001</v>
      </c>
      <c r="V5944">
        <v>-1.7088570000000001E-2</v>
      </c>
      <c r="W5944">
        <v>-6.5255869999999994E-2</v>
      </c>
      <c r="X5944">
        <v>0.9977222</v>
      </c>
      <c r="Y5944">
        <v>-2.5508139999999999E-2</v>
      </c>
      <c r="Z5944">
        <v>2.8746540000000001E-2</v>
      </c>
      <c r="AA5944">
        <v>0.99926119999999996</v>
      </c>
      <c r="AB5944">
        <v>26</v>
      </c>
      <c r="AC5944">
        <v>0.81439999999997703</v>
      </c>
      <c r="AD5944">
        <v>-1.121018595557</v>
      </c>
      <c r="AE5944">
        <v>-26.07629</v>
      </c>
      <c r="AF5944">
        <v>-0.67124738232279801</v>
      </c>
      <c r="AG5944">
        <v>-1.121018595557</v>
      </c>
      <c r="AH5944">
        <v>26.032271371700698</v>
      </c>
      <c r="AI5944">
        <v>92.464966384086097</v>
      </c>
      <c r="AJ5944">
        <v>91.477055967440705</v>
      </c>
      <c r="AK5944">
        <v>26.065041885823401</v>
      </c>
      <c r="AL5944">
        <v>93.7415447243297</v>
      </c>
      <c r="AM5944">
        <v>90.981242288156594</v>
      </c>
      <c r="AN5944">
        <v>0.99999996808347003</v>
      </c>
    </row>
    <row r="5945" spans="1:40" x14ac:dyDescent="0.25">
      <c r="A5945" t="str">
        <f>"20190303154300081"</f>
        <v>20190303154300081</v>
      </c>
      <c r="B5945" t="str">
        <f>"1551598980076403"</f>
        <v>1551598980076403</v>
      </c>
      <c r="C5945" t="s">
        <v>40</v>
      </c>
      <c r="D5945">
        <v>5.591215</v>
      </c>
      <c r="E5945">
        <v>0.49655490000000002</v>
      </c>
      <c r="F5945" t="s">
        <v>41</v>
      </c>
      <c r="G5945">
        <v>-421.17899999999997</v>
      </c>
      <c r="H5945" s="1">
        <v>-1.3495939999999901E-6</v>
      </c>
      <c r="I5945">
        <v>62.00376</v>
      </c>
      <c r="J5945">
        <v>-422.02609999999999</v>
      </c>
      <c r="K5945">
        <v>1.121014</v>
      </c>
      <c r="L5945">
        <v>88.372529999999998</v>
      </c>
      <c r="M5945">
        <v>5.4158309999999899E-3</v>
      </c>
      <c r="N5945">
        <v>-1.373883E-2</v>
      </c>
      <c r="O5945">
        <v>-0.99989099999999997</v>
      </c>
      <c r="P5945">
        <v>2.2846109999999999E-2</v>
      </c>
      <c r="Q5945">
        <v>-7.9111730000000005E-2</v>
      </c>
      <c r="R5945">
        <v>-0.99660409999999999</v>
      </c>
      <c r="S5945">
        <v>9.5520019999999997E-2</v>
      </c>
      <c r="T5945">
        <v>-0.12621180000000001</v>
      </c>
      <c r="U5945">
        <v>-2.9980159999999998</v>
      </c>
      <c r="V5945">
        <v>-1.7453299999999901E-2</v>
      </c>
      <c r="W5945">
        <v>-6.5409179999999997E-2</v>
      </c>
      <c r="X5945">
        <v>0.99770590000000003</v>
      </c>
      <c r="Y5945">
        <v>-2.6407960000000001E-2</v>
      </c>
      <c r="Z5945">
        <v>2.8312810000000001E-2</v>
      </c>
      <c r="AA5945">
        <v>0.99925019999999998</v>
      </c>
      <c r="AB5945">
        <v>26</v>
      </c>
      <c r="AC5945">
        <v>0.847099999999954</v>
      </c>
      <c r="AD5945">
        <v>-1.1210153495940001</v>
      </c>
      <c r="AE5945">
        <v>-26.368770000000001</v>
      </c>
      <c r="AF5945">
        <v>-0.70299604623280698</v>
      </c>
      <c r="AG5945">
        <v>-1.1210153495940001</v>
      </c>
      <c r="AH5945">
        <v>26.325441038173</v>
      </c>
      <c r="AI5945">
        <v>92.4374832017008</v>
      </c>
      <c r="AJ5945">
        <v>91.529666156873802</v>
      </c>
      <c r="AK5945">
        <v>26.3586745628335</v>
      </c>
      <c r="AL5945">
        <v>93.750347349762706</v>
      </c>
      <c r="AM5945">
        <v>91.002197582013096</v>
      </c>
      <c r="AN5945">
        <v>1.0000000207019799</v>
      </c>
    </row>
    <row r="5946" spans="1:40" x14ac:dyDescent="0.25">
      <c r="A5946" t="str">
        <f>"20190303154300103"</f>
        <v>20190303154300103</v>
      </c>
      <c r="B5946" t="str">
        <f>"1551598980095925"</f>
        <v>1551598980095925</v>
      </c>
      <c r="C5946" t="s">
        <v>40</v>
      </c>
      <c r="D5946">
        <v>5.6403220000000003</v>
      </c>
      <c r="E5946">
        <v>0.49634709999999899</v>
      </c>
      <c r="F5946" t="s">
        <v>41</v>
      </c>
      <c r="G5946">
        <v>-421.15879999999999</v>
      </c>
      <c r="H5946" s="1">
        <v>-1.281341E-6</v>
      </c>
      <c r="I5946">
        <v>61.857210000000002</v>
      </c>
      <c r="J5946">
        <v>-422.0247</v>
      </c>
      <c r="K5946">
        <v>1.1210100000000001</v>
      </c>
      <c r="L5946">
        <v>88.108949999999993</v>
      </c>
      <c r="M5946">
        <v>5.3899519999999999E-3</v>
      </c>
      <c r="N5946">
        <v>-1.3684699999999999E-2</v>
      </c>
      <c r="O5946">
        <v>-0.999892</v>
      </c>
      <c r="P5946">
        <v>2.2593930000000002E-2</v>
      </c>
      <c r="Q5946">
        <v>-7.9334940000000007E-2</v>
      </c>
      <c r="R5946">
        <v>-0.99659219999999904</v>
      </c>
      <c r="S5946">
        <v>9.8052979999999998E-2</v>
      </c>
      <c r="T5946">
        <v>-0.12674630000000001</v>
      </c>
      <c r="U5946">
        <v>-2.997925</v>
      </c>
      <c r="V5946">
        <v>-1.7226999999999999E-2</v>
      </c>
      <c r="W5946">
        <v>-6.568657E-2</v>
      </c>
      <c r="X5946">
        <v>0.99769160000000001</v>
      </c>
      <c r="Y5946">
        <v>-2.7277659999999999E-2</v>
      </c>
      <c r="Z5946">
        <v>2.8544989999999999E-2</v>
      </c>
      <c r="AA5946">
        <v>0.99922029999999995</v>
      </c>
      <c r="AB5946">
        <v>26</v>
      </c>
      <c r="AC5946">
        <v>0.86590000000001</v>
      </c>
      <c r="AD5946">
        <v>-1.121011281341</v>
      </c>
      <c r="AE5946">
        <v>-26.251740000000002</v>
      </c>
      <c r="AF5946">
        <v>-0.72306151024854604</v>
      </c>
      <c r="AG5946">
        <v>-1.121011281341</v>
      </c>
      <c r="AH5946">
        <v>26.208287539523798</v>
      </c>
      <c r="AI5946">
        <v>92.448298171112</v>
      </c>
      <c r="AJ5946">
        <v>91.580334711335595</v>
      </c>
      <c r="AK5946">
        <v>26.2422144643865</v>
      </c>
      <c r="AL5946">
        <v>93.766274912454094</v>
      </c>
      <c r="AM5946">
        <v>90.989219833348798</v>
      </c>
      <c r="AN5946">
        <v>1.00000001185896</v>
      </c>
    </row>
    <row r="5947" spans="1:40" x14ac:dyDescent="0.25">
      <c r="A5947" t="str">
        <f>"20190303154300125"</f>
        <v>20190303154300125</v>
      </c>
      <c r="B5947" t="str">
        <f>"1551598980116419"</f>
        <v>1551598980116419</v>
      </c>
      <c r="C5947" t="s">
        <v>40</v>
      </c>
      <c r="D5947">
        <v>5.6720800000000002</v>
      </c>
      <c r="E5947">
        <v>0.49607390000000001</v>
      </c>
      <c r="F5947" t="s">
        <v>41</v>
      </c>
      <c r="G5947">
        <v>-421.17829999999998</v>
      </c>
      <c r="H5947" s="1">
        <v>-1.5575769999999999E-6</v>
      </c>
      <c r="I5947">
        <v>62.489049999999999</v>
      </c>
      <c r="J5947">
        <v>-422.02339999999998</v>
      </c>
      <c r="K5947">
        <v>1.120997</v>
      </c>
      <c r="L5947">
        <v>87.860079999999996</v>
      </c>
      <c r="M5947">
        <v>5.3647950000000003E-3</v>
      </c>
      <c r="N5947">
        <v>-1.3615439999999999E-2</v>
      </c>
      <c r="O5947">
        <v>-0.99989320000000004</v>
      </c>
      <c r="P5947">
        <v>2.2514320000000001E-2</v>
      </c>
      <c r="Q5947">
        <v>-7.9667260000000004E-2</v>
      </c>
      <c r="R5947">
        <v>-0.99656750000000005</v>
      </c>
      <c r="S5947">
        <v>9.9029539999999999E-2</v>
      </c>
      <c r="T5947">
        <v>-0.13115969999999999</v>
      </c>
      <c r="U5947">
        <v>-2.9975589999999999</v>
      </c>
      <c r="V5947">
        <v>-1.717231E-2</v>
      </c>
      <c r="W5947">
        <v>-6.6088330000000001E-2</v>
      </c>
      <c r="X5947">
        <v>0.99766600000000005</v>
      </c>
      <c r="Y5947">
        <v>-2.7630140000000001E-2</v>
      </c>
      <c r="Z5947">
        <v>3.0087220000000001E-2</v>
      </c>
      <c r="AA5947">
        <v>0.99916530000000003</v>
      </c>
      <c r="AB5947">
        <v>26</v>
      </c>
      <c r="AC5947">
        <v>0.84510000000000196</v>
      </c>
      <c r="AD5947">
        <v>-1.1209985575770001</v>
      </c>
      <c r="AE5947">
        <v>-25.371030000000001</v>
      </c>
      <c r="AF5947">
        <v>-0.70758503543575202</v>
      </c>
      <c r="AG5947">
        <v>-1.1209985575770001</v>
      </c>
      <c r="AH5947">
        <v>25.325811689230999</v>
      </c>
      <c r="AI5947">
        <v>92.533446328792294</v>
      </c>
      <c r="AJ5947">
        <v>91.600386697589997</v>
      </c>
      <c r="AK5947">
        <v>25.360482094527601</v>
      </c>
      <c r="AL5947">
        <v>93.789344231878999</v>
      </c>
      <c r="AM5947">
        <v>90.986105307905902</v>
      </c>
      <c r="AN5947">
        <v>1.0000000015744599</v>
      </c>
    </row>
    <row r="5948" spans="1:40" x14ac:dyDescent="0.25">
      <c r="A5948" t="str">
        <f>"20190303154300147"</f>
        <v>20190303154300147</v>
      </c>
      <c r="B5948" t="str">
        <f>"1551598980136407"</f>
        <v>1551598980136407</v>
      </c>
      <c r="C5948" t="s">
        <v>40</v>
      </c>
      <c r="D5948">
        <v>5.6422100000000004</v>
      </c>
      <c r="E5948">
        <v>0.49592019999999998</v>
      </c>
      <c r="F5948" t="s">
        <v>41</v>
      </c>
      <c r="G5948">
        <v>-421.19569999999999</v>
      </c>
      <c r="H5948" s="1">
        <v>-1.830529E-6</v>
      </c>
      <c r="I5948">
        <v>63.114510000000003</v>
      </c>
      <c r="J5948">
        <v>-422.02210000000002</v>
      </c>
      <c r="K5948">
        <v>1.120973</v>
      </c>
      <c r="L5948">
        <v>87.61121</v>
      </c>
      <c r="M5948">
        <v>5.3409669999999899E-3</v>
      </c>
      <c r="N5948">
        <v>-1.350493E-2</v>
      </c>
      <c r="O5948">
        <v>-0.99989459999999997</v>
      </c>
      <c r="P5948">
        <v>2.2357519999999999E-2</v>
      </c>
      <c r="Q5948">
        <v>-7.9367140000000003E-2</v>
      </c>
      <c r="R5948">
        <v>-0.99659469999999994</v>
      </c>
      <c r="S5948">
        <v>0.1002502</v>
      </c>
      <c r="T5948">
        <v>-0.13577719999999999</v>
      </c>
      <c r="U5948">
        <v>-2.997223</v>
      </c>
      <c r="V5948">
        <v>-1.7039329999999998E-2</v>
      </c>
      <c r="W5948">
        <v>-6.5898159999999997E-2</v>
      </c>
      <c r="X5948">
        <v>0.99768080000000003</v>
      </c>
      <c r="Y5948">
        <v>-2.8062090000000001E-2</v>
      </c>
      <c r="Z5948">
        <v>3.1738089999999997E-2</v>
      </c>
      <c r="AA5948">
        <v>0.99910220000000005</v>
      </c>
      <c r="AB5948">
        <v>26</v>
      </c>
      <c r="AC5948">
        <v>0.826400000000035</v>
      </c>
      <c r="AD5948">
        <v>-1.1209748305289999</v>
      </c>
      <c r="AE5948">
        <v>-24.496700000000001</v>
      </c>
      <c r="AF5948">
        <v>-0.69408845102200101</v>
      </c>
      <c r="AG5948">
        <v>-1.1209748305289999</v>
      </c>
      <c r="AH5948">
        <v>24.449625414045599</v>
      </c>
      <c r="AI5948">
        <v>92.624022589438198</v>
      </c>
      <c r="AJ5948">
        <v>91.626105109610407</v>
      </c>
      <c r="AK5948">
        <v>24.485149095638899</v>
      </c>
      <c r="AL5948">
        <v>93.778424712845407</v>
      </c>
      <c r="AM5948">
        <v>90.978456022622197</v>
      </c>
      <c r="AN5948">
        <v>0.99999994247343504</v>
      </c>
    </row>
    <row r="5949" spans="1:40" x14ac:dyDescent="0.25">
      <c r="A5949" t="str">
        <f>"20190303154300169"</f>
        <v>20190303154300169</v>
      </c>
      <c r="B5949" t="str">
        <f>"1551598980166663"</f>
        <v>1551598980166663</v>
      </c>
      <c r="C5949" t="s">
        <v>40</v>
      </c>
      <c r="D5949">
        <v>5.594265</v>
      </c>
      <c r="E5949">
        <v>0.49579000000000001</v>
      </c>
      <c r="F5949" t="s">
        <v>41</v>
      </c>
      <c r="G5949">
        <v>-421.19479999999999</v>
      </c>
      <c r="H5949" s="1">
        <v>-1.8216310000000001E-6</v>
      </c>
      <c r="I5949">
        <v>63.094360000000002</v>
      </c>
      <c r="J5949">
        <v>-422.02069999999998</v>
      </c>
      <c r="K5949">
        <v>1.120941</v>
      </c>
      <c r="L5949">
        <v>87.359099999999998</v>
      </c>
      <c r="M5949">
        <v>5.3177420000000003E-3</v>
      </c>
      <c r="N5949">
        <v>-1.3342730000000001E-2</v>
      </c>
      <c r="O5949">
        <v>-0.99989680000000003</v>
      </c>
      <c r="P5949">
        <v>2.2155939999999999E-2</v>
      </c>
      <c r="Q5949">
        <v>-7.9041849999999997E-2</v>
      </c>
      <c r="R5949">
        <v>-0.99662510000000004</v>
      </c>
      <c r="S5949">
        <v>0.1011353</v>
      </c>
      <c r="T5949">
        <v>-0.13703389999999999</v>
      </c>
      <c r="U5949">
        <v>-2.9970699999999999</v>
      </c>
      <c r="V5949">
        <v>-1.6861109999999999E-2</v>
      </c>
      <c r="W5949">
        <v>-6.5734340000000002E-2</v>
      </c>
      <c r="X5949">
        <v>0.99769470000000005</v>
      </c>
      <c r="Y5949">
        <v>-2.838104E-2</v>
      </c>
      <c r="Z5949">
        <v>3.2320099999999997E-2</v>
      </c>
      <c r="AA5949">
        <v>0.99907449999999998</v>
      </c>
      <c r="AB5949">
        <v>25</v>
      </c>
      <c r="AC5949">
        <v>0.82589999999998998</v>
      </c>
      <c r="AD5949">
        <v>-1.120942821631</v>
      </c>
      <c r="AE5949">
        <v>-24.26474</v>
      </c>
      <c r="AF5949">
        <v>-0.69536094503244605</v>
      </c>
      <c r="AG5949">
        <v>-1.120942821631</v>
      </c>
      <c r="AH5949">
        <v>24.2171670126178</v>
      </c>
      <c r="AI5949">
        <v>92.649074565220204</v>
      </c>
      <c r="AJ5949">
        <v>91.644713582739698</v>
      </c>
      <c r="AK5949">
        <v>24.253066151937698</v>
      </c>
      <c r="AL5949">
        <v>93.769017876705803</v>
      </c>
      <c r="AM5949">
        <v>90.968210498440797</v>
      </c>
      <c r="AN5949">
        <v>1.00000000744687</v>
      </c>
    </row>
    <row r="5950" spans="1:40" x14ac:dyDescent="0.25">
      <c r="A5950" t="str">
        <f>"20190303154300203"</f>
        <v>20190303154300203</v>
      </c>
      <c r="B5950" t="str">
        <f>"1551598980195942"</f>
        <v>1551598980195942</v>
      </c>
      <c r="C5950" t="s">
        <v>40</v>
      </c>
      <c r="D5950">
        <v>5.6293749999999996</v>
      </c>
      <c r="E5950">
        <v>0.49555359999999998</v>
      </c>
      <c r="F5950" t="s">
        <v>41</v>
      </c>
      <c r="G5950">
        <v>-421.18759999999997</v>
      </c>
      <c r="H5950" s="1">
        <v>-1.7232719999999999E-6</v>
      </c>
      <c r="I5950">
        <v>62.869529999999997</v>
      </c>
      <c r="J5950">
        <v>-422.01870000000002</v>
      </c>
      <c r="K5950">
        <v>1.1208849999999999</v>
      </c>
      <c r="L5950">
        <v>86.9726</v>
      </c>
      <c r="M5950">
        <v>5.2790650000000003E-3</v>
      </c>
      <c r="N5950">
        <v>-1.30402E-2</v>
      </c>
      <c r="O5950">
        <v>-0.99990129999999999</v>
      </c>
      <c r="P5950">
        <v>2.1838460000000001E-2</v>
      </c>
      <c r="Q5950">
        <v>-7.9078670000000004E-2</v>
      </c>
      <c r="R5950">
        <v>-0.99662949999999995</v>
      </c>
      <c r="S5950">
        <v>0.1019592</v>
      </c>
      <c r="T5950">
        <v>-0.13717989999999999</v>
      </c>
      <c r="U5950">
        <v>-2.9970089999999998</v>
      </c>
      <c r="V5950">
        <v>-1.6581479999999999E-2</v>
      </c>
      <c r="W5950">
        <v>-6.6073060000000003E-2</v>
      </c>
      <c r="X5950">
        <v>0.99767700000000004</v>
      </c>
      <c r="Y5950">
        <v>-2.8694569999999999E-2</v>
      </c>
      <c r="Z5950">
        <v>3.2671529999999997E-2</v>
      </c>
      <c r="AA5950">
        <v>0.99905409999999994</v>
      </c>
      <c r="AB5950">
        <v>26</v>
      </c>
      <c r="AC5950">
        <v>0.83110000000004902</v>
      </c>
      <c r="AD5950">
        <v>-1.1208867232719999</v>
      </c>
      <c r="AE5950">
        <v>-24.103069999999899</v>
      </c>
      <c r="AF5950">
        <v>-0.70231891742185404</v>
      </c>
      <c r="AG5950">
        <v>-1.1208867232719999</v>
      </c>
      <c r="AH5950">
        <v>24.0551616675247</v>
      </c>
      <c r="AI5950">
        <v>92.666719276795803</v>
      </c>
      <c r="AJ5950">
        <v>91.672343030202896</v>
      </c>
      <c r="AK5950">
        <v>24.091501442602699</v>
      </c>
      <c r="AL5950">
        <v>93.788467431761305</v>
      </c>
      <c r="AM5950">
        <v>90.952173258568806</v>
      </c>
      <c r="AN5950">
        <v>0.999999995532877</v>
      </c>
    </row>
    <row r="5951" spans="1:40" x14ac:dyDescent="0.25">
      <c r="A5951" t="str">
        <f>"20190303154300225"</f>
        <v>20190303154300225</v>
      </c>
      <c r="B5951" t="str">
        <f>"1551598980216438"</f>
        <v>1551598980216438</v>
      </c>
      <c r="C5951" t="s">
        <v>40</v>
      </c>
      <c r="D5951">
        <v>5.6122449999999997</v>
      </c>
      <c r="E5951">
        <v>0.49531839999999999</v>
      </c>
      <c r="F5951" t="s">
        <v>41</v>
      </c>
      <c r="G5951">
        <v>-421.20389999999998</v>
      </c>
      <c r="H5951" s="1">
        <v>-1.8365929999999999E-6</v>
      </c>
      <c r="I5951">
        <v>63.123550000000002</v>
      </c>
      <c r="J5951">
        <v>-422.01749999999998</v>
      </c>
      <c r="K5951">
        <v>1.120857</v>
      </c>
      <c r="L5951">
        <v>86.721310000000003</v>
      </c>
      <c r="M5951">
        <v>5.2528490000000004E-3</v>
      </c>
      <c r="N5951">
        <v>-1.2841089999999999E-2</v>
      </c>
      <c r="O5951">
        <v>-0.99990369999999995</v>
      </c>
      <c r="P5951">
        <v>2.221449E-2</v>
      </c>
      <c r="Q5951">
        <v>-7.9661010000000004E-2</v>
      </c>
      <c r="R5951">
        <v>-0.99657419999999997</v>
      </c>
      <c r="S5951">
        <v>0.10238650000000001</v>
      </c>
      <c r="T5951">
        <v>-0.1408442</v>
      </c>
      <c r="U5951">
        <v>-2.9967350000000001</v>
      </c>
      <c r="V5951">
        <v>-1.6984010000000001E-2</v>
      </c>
      <c r="W5951">
        <v>-6.6854709999999998E-2</v>
      </c>
      <c r="X5951">
        <v>0.99761809999999995</v>
      </c>
      <c r="Y5951">
        <v>-2.886447E-2</v>
      </c>
      <c r="Z5951">
        <v>3.4093360000000003E-2</v>
      </c>
      <c r="AA5951">
        <v>0.99900169999999999</v>
      </c>
      <c r="AB5951">
        <v>26</v>
      </c>
      <c r="AC5951">
        <v>0.81360000000000798</v>
      </c>
      <c r="AD5951">
        <v>-1.1208588365929999</v>
      </c>
      <c r="AE5951">
        <v>-23.597760000000001</v>
      </c>
      <c r="AF5951">
        <v>-0.68807255170999304</v>
      </c>
      <c r="AG5951">
        <v>-1.1208588365929999</v>
      </c>
      <c r="AH5951">
        <v>23.548643204115798</v>
      </c>
      <c r="AI5951">
        <v>92.723923970540895</v>
      </c>
      <c r="AJ5951">
        <v>91.673660734718595</v>
      </c>
      <c r="AK5951">
        <v>23.5853421667513</v>
      </c>
      <c r="AL5951">
        <v>93.833352135160595</v>
      </c>
      <c r="AM5951">
        <v>90.975341259701693</v>
      </c>
      <c r="AN5951">
        <v>0.99999994114623503</v>
      </c>
    </row>
    <row r="5952" spans="1:40" x14ac:dyDescent="0.25">
      <c r="A5952" t="str">
        <f>"20190303154300247"</f>
        <v>20190303154300247</v>
      </c>
      <c r="B5952" t="str">
        <f>"1551598980235959"</f>
        <v>1551598980235959</v>
      </c>
      <c r="C5952" t="s">
        <v>40</v>
      </c>
      <c r="D5952">
        <v>5.5575049999999999</v>
      </c>
      <c r="E5952">
        <v>0.49527949999999998</v>
      </c>
      <c r="F5952" t="s">
        <v>41</v>
      </c>
      <c r="G5952">
        <v>-421.20370000000003</v>
      </c>
      <c r="H5952" s="1">
        <v>-2.076596E-6</v>
      </c>
      <c r="I5952">
        <v>63.683129999999998</v>
      </c>
      <c r="J5952">
        <v>-422.01609999999999</v>
      </c>
      <c r="K5952">
        <v>1.1208320000000001</v>
      </c>
      <c r="L5952">
        <v>86.466130000000007</v>
      </c>
      <c r="M5952">
        <v>5.2260739999999998E-3</v>
      </c>
      <c r="N5952">
        <v>-1.2646879999999999E-2</v>
      </c>
      <c r="O5952">
        <v>-0.99990630000000003</v>
      </c>
      <c r="P5952">
        <v>2.2824029999999999E-2</v>
      </c>
      <c r="Q5952">
        <v>-7.9781260000000007E-2</v>
      </c>
      <c r="R5952">
        <v>-0.99655099999999996</v>
      </c>
      <c r="S5952">
        <v>0.105834999999999</v>
      </c>
      <c r="T5952">
        <v>-0.14577699999999999</v>
      </c>
      <c r="U5952">
        <v>-2.9963069999999998</v>
      </c>
      <c r="V5952">
        <v>-1.762012E-2</v>
      </c>
      <c r="W5952">
        <v>-6.7168950000000005E-2</v>
      </c>
      <c r="X5952">
        <v>0.99758599999999997</v>
      </c>
      <c r="Y5952">
        <v>-3.0041640000000001E-2</v>
      </c>
      <c r="Z5952">
        <v>3.5933E-2</v>
      </c>
      <c r="AA5952">
        <v>0.99890259999999997</v>
      </c>
      <c r="AB5952">
        <v>26</v>
      </c>
      <c r="AC5952">
        <v>0.81239999999996804</v>
      </c>
      <c r="AD5952">
        <v>-1.1208340765960001</v>
      </c>
      <c r="AE5952">
        <v>-22.783000000000001</v>
      </c>
      <c r="AF5952">
        <v>-0.69164190609341303</v>
      </c>
      <c r="AG5952">
        <v>-1.1208340765960001</v>
      </c>
      <c r="AH5952">
        <v>22.731987524018098</v>
      </c>
      <c r="AI5952">
        <v>92.821463098435203</v>
      </c>
      <c r="AJ5952">
        <v>91.742739849574505</v>
      </c>
      <c r="AK5952">
        <v>22.7701096691614</v>
      </c>
      <c r="AL5952">
        <v>93.851397167045604</v>
      </c>
      <c r="AM5952">
        <v>91.011896262734695</v>
      </c>
      <c r="AN5952">
        <v>0.99999998193445805</v>
      </c>
    </row>
    <row r="5953" spans="1:40" x14ac:dyDescent="0.25">
      <c r="A5953" t="str">
        <f>"20190303154300270"</f>
        <v>20190303154300270</v>
      </c>
      <c r="B5953" t="str">
        <f>"1551598980266216"</f>
        <v>1551598980266216</v>
      </c>
      <c r="C5953" t="s">
        <v>40</v>
      </c>
      <c r="D5953">
        <v>5.5231199999999996</v>
      </c>
      <c r="E5953">
        <v>0.49544579999999999</v>
      </c>
      <c r="F5953" t="s">
        <v>41</v>
      </c>
      <c r="G5953">
        <v>-421.19299999999998</v>
      </c>
      <c r="H5953" s="1">
        <v>-2.060061E-6</v>
      </c>
      <c r="I5953">
        <v>63.651209999999999</v>
      </c>
      <c r="J5953">
        <v>-422.01490000000001</v>
      </c>
      <c r="K5953">
        <v>1.1208129999999901</v>
      </c>
      <c r="L5953">
        <v>86.216980000000007</v>
      </c>
      <c r="M5953">
        <v>5.2009339999999999E-3</v>
      </c>
      <c r="N5953">
        <v>-1.2464869999999999E-2</v>
      </c>
      <c r="O5953">
        <v>-0.99990869999999998</v>
      </c>
      <c r="P5953">
        <v>2.3699749999999999E-2</v>
      </c>
      <c r="Q5953">
        <v>-7.9695080000000001E-2</v>
      </c>
      <c r="R5953">
        <v>-0.99653749999999997</v>
      </c>
      <c r="S5953">
        <v>0.1080933</v>
      </c>
      <c r="T5953">
        <v>-0.147191299999999</v>
      </c>
      <c r="U5953">
        <v>-2.996124</v>
      </c>
      <c r="V5953">
        <v>-1.852142E-2</v>
      </c>
      <c r="W5953">
        <v>-6.7264370000000004E-2</v>
      </c>
      <c r="X5953">
        <v>0.99756319999999998</v>
      </c>
      <c r="Y5953">
        <v>-3.0819829999999999E-2</v>
      </c>
      <c r="Z5953">
        <v>3.6587000000000001E-2</v>
      </c>
      <c r="AA5953">
        <v>0.9988551</v>
      </c>
      <c r="AB5953">
        <v>26</v>
      </c>
      <c r="AC5953">
        <v>0.82189999999997099</v>
      </c>
      <c r="AD5953">
        <v>-1.1208150600609901</v>
      </c>
      <c r="AE5953">
        <v>-22.565770000000001</v>
      </c>
      <c r="AF5953">
        <v>-0.70278520521365595</v>
      </c>
      <c r="AG5953">
        <v>-1.1208150600609901</v>
      </c>
      <c r="AH5953">
        <v>22.514270808409002</v>
      </c>
      <c r="AI5953">
        <v>92.848585026595899</v>
      </c>
      <c r="AJ5953">
        <v>91.787912910069295</v>
      </c>
      <c r="AK5953">
        <v>22.553104519730901</v>
      </c>
      <c r="AL5953">
        <v>93.856876891784907</v>
      </c>
      <c r="AM5953">
        <v>91.063669231777496</v>
      </c>
      <c r="AN5953">
        <v>0.99999993823227395</v>
      </c>
    </row>
    <row r="5954" spans="1:40" x14ac:dyDescent="0.25">
      <c r="A5954" t="str">
        <f>"20190303154300293"</f>
        <v>20190303154300293</v>
      </c>
      <c r="B5954" t="str">
        <f>"1551598980286710"</f>
        <v>1551598980286710</v>
      </c>
      <c r="C5954" t="s">
        <v>40</v>
      </c>
      <c r="D5954">
        <v>5.5269539999999999</v>
      </c>
      <c r="E5954">
        <v>0.49551810000000002</v>
      </c>
      <c r="F5954" t="s">
        <v>41</v>
      </c>
      <c r="G5954">
        <v>-421.17090000000002</v>
      </c>
      <c r="H5954" s="1">
        <v>-1.8115079999999999E-6</v>
      </c>
      <c r="I5954">
        <v>63.085529999999999</v>
      </c>
      <c r="J5954">
        <v>-422.01350000000002</v>
      </c>
      <c r="K5954">
        <v>1.1207940000000001</v>
      </c>
      <c r="L5954">
        <v>85.945619999999906</v>
      </c>
      <c r="M5954">
        <v>5.1743220000000003E-3</v>
      </c>
      <c r="N5954">
        <v>-1.2279490000000001E-2</v>
      </c>
      <c r="O5954">
        <v>-0.99991149999999995</v>
      </c>
      <c r="P5954">
        <v>2.4197280000000002E-2</v>
      </c>
      <c r="Q5954">
        <v>-7.9392229999999994E-2</v>
      </c>
      <c r="R5954">
        <v>-0.99655009999999999</v>
      </c>
      <c r="S5954">
        <v>0.10931399999999999</v>
      </c>
      <c r="T5954">
        <v>-0.14517920000000001</v>
      </c>
      <c r="U5954">
        <v>-2.996216</v>
      </c>
      <c r="V5954">
        <v>-1.9045289999999999E-2</v>
      </c>
      <c r="W5954">
        <v>-6.7146230000000001E-2</v>
      </c>
      <c r="X5954">
        <v>0.99756129999999998</v>
      </c>
      <c r="Y5954">
        <v>-3.1252589999999997E-2</v>
      </c>
      <c r="Z5954">
        <v>3.6100960000000001E-2</v>
      </c>
      <c r="AA5954">
        <v>0.99885930000000001</v>
      </c>
      <c r="AB5954">
        <v>26</v>
      </c>
      <c r="AC5954">
        <v>0.84260000000000401</v>
      </c>
      <c r="AD5954">
        <v>-1.1207958115079999</v>
      </c>
      <c r="AE5954">
        <v>-22.8600899999999</v>
      </c>
      <c r="AF5954">
        <v>-0.72255983854272399</v>
      </c>
      <c r="AG5954">
        <v>-1.1207958115079999</v>
      </c>
      <c r="AH5954">
        <v>22.809389470156301</v>
      </c>
      <c r="AI5954">
        <v>92.811699170646193</v>
      </c>
      <c r="AJ5954">
        <v>91.814418983495401</v>
      </c>
      <c r="AK5954">
        <v>22.848337444388601</v>
      </c>
      <c r="AL5954">
        <v>93.850092610484097</v>
      </c>
      <c r="AM5954">
        <v>91.093749510400698</v>
      </c>
      <c r="AN5954">
        <v>0.99999994326604102</v>
      </c>
    </row>
    <row r="5955" spans="1:40" x14ac:dyDescent="0.25">
      <c r="A5955" t="str">
        <f>"20190303154300315"</f>
        <v>20190303154300315</v>
      </c>
      <c r="B5955" t="str">
        <f>"1551598980306231"</f>
        <v>1551598980306231</v>
      </c>
      <c r="C5955" t="s">
        <v>40</v>
      </c>
      <c r="D5955">
        <v>5.5435980000000002</v>
      </c>
      <c r="E5955">
        <v>0.49562689999999998</v>
      </c>
      <c r="F5955" t="s">
        <v>41</v>
      </c>
      <c r="G5955">
        <v>-421.15339999999998</v>
      </c>
      <c r="H5955" s="1">
        <v>-1.584867E-6</v>
      </c>
      <c r="I5955">
        <v>62.568069999999999</v>
      </c>
      <c r="J5955">
        <v>-422.01209999999998</v>
      </c>
      <c r="K5955">
        <v>1.1207849999999999</v>
      </c>
      <c r="L5955">
        <v>85.686769999999996</v>
      </c>
      <c r="M5955">
        <v>5.1495669999999999E-3</v>
      </c>
      <c r="N5955">
        <v>-1.211975E-2</v>
      </c>
      <c r="O5955">
        <v>-0.99991350000000001</v>
      </c>
      <c r="P5955">
        <v>2.490682E-2</v>
      </c>
      <c r="Q5955">
        <v>-7.9596180000000002E-2</v>
      </c>
      <c r="R5955">
        <v>-0.99651619999999996</v>
      </c>
      <c r="S5955">
        <v>0.11022949999999999</v>
      </c>
      <c r="T5955">
        <v>-0.14365120000000001</v>
      </c>
      <c r="U5955">
        <v>-2.9962770000000001</v>
      </c>
      <c r="V5955">
        <v>-1.978019E-2</v>
      </c>
      <c r="W5955">
        <v>-6.750979E-2</v>
      </c>
      <c r="X5955">
        <v>0.99752249999999998</v>
      </c>
      <c r="Y5955">
        <v>-3.1582020000000002E-2</v>
      </c>
      <c r="Z5955">
        <v>3.5750990000000003E-2</v>
      </c>
      <c r="AA5955">
        <v>0.99886160000000002</v>
      </c>
      <c r="AB5955">
        <v>26</v>
      </c>
      <c r="AC5955">
        <v>0.85869999999999802</v>
      </c>
      <c r="AD5955">
        <v>-1.120786584867</v>
      </c>
      <c r="AE5955">
        <v>-23.1187</v>
      </c>
      <c r="AF5955">
        <v>-0.73789672587561905</v>
      </c>
      <c r="AG5955">
        <v>-1.120786584867</v>
      </c>
      <c r="AH5955">
        <v>23.068672607103601</v>
      </c>
      <c r="AI5955">
        <v>92.780096492362603</v>
      </c>
      <c r="AJ5955">
        <v>91.832093177461601</v>
      </c>
      <c r="AK5955">
        <v>23.107667775018101</v>
      </c>
      <c r="AL5955">
        <v>93.8709702859705</v>
      </c>
      <c r="AM5955">
        <v>91.135987307209007</v>
      </c>
      <c r="AN5955">
        <v>0.99999998283426395</v>
      </c>
    </row>
    <row r="5956" spans="1:40" x14ac:dyDescent="0.25">
      <c r="A5956" t="str">
        <f>"20190303154300338"</f>
        <v>20190303154300338</v>
      </c>
      <c r="B5956" t="str">
        <f>"1551598980326726"</f>
        <v>1551598980326726</v>
      </c>
      <c r="C5956" t="s">
        <v>40</v>
      </c>
      <c r="D5956">
        <v>5.5287100000000002</v>
      </c>
      <c r="E5956">
        <v>0.4956064</v>
      </c>
      <c r="F5956" t="s">
        <v>41</v>
      </c>
      <c r="G5956">
        <v>-421.14589999999998</v>
      </c>
      <c r="H5956" s="1">
        <v>-1.4772729999999999E-6</v>
      </c>
      <c r="I5956">
        <v>62.321939999999998</v>
      </c>
      <c r="J5956">
        <v>-422.01089999999999</v>
      </c>
      <c r="K5956">
        <v>1.1207750000000001</v>
      </c>
      <c r="L5956">
        <v>85.436459999999997</v>
      </c>
      <c r="M5956">
        <v>5.1250849999999997E-3</v>
      </c>
      <c r="N5956">
        <v>-1.1983010000000001E-2</v>
      </c>
      <c r="O5956">
        <v>-0.99991509999999995</v>
      </c>
      <c r="P5956">
        <v>2.4929030000000001E-2</v>
      </c>
      <c r="Q5956">
        <v>-7.8423809999999997E-2</v>
      </c>
      <c r="R5956">
        <v>-0.9966083</v>
      </c>
      <c r="S5956">
        <v>0.111084</v>
      </c>
      <c r="T5956">
        <v>-0.14372679999999999</v>
      </c>
      <c r="U5956">
        <v>-2.9962460000000002</v>
      </c>
      <c r="V5956">
        <v>-1.9826280000000002E-2</v>
      </c>
      <c r="W5956">
        <v>-6.6472790000000004E-2</v>
      </c>
      <c r="X5956">
        <v>0.99759129999999996</v>
      </c>
      <c r="Y5956">
        <v>-3.1891160000000002E-2</v>
      </c>
      <c r="Z5956">
        <v>3.5912769999999997E-2</v>
      </c>
      <c r="AA5956">
        <v>0.99884589999999995</v>
      </c>
      <c r="AB5956">
        <v>26</v>
      </c>
      <c r="AC5956">
        <v>0.86500000000000898</v>
      </c>
      <c r="AD5956">
        <v>-1.120776477273</v>
      </c>
      <c r="AE5956">
        <v>-23.114519999999899</v>
      </c>
      <c r="AF5956">
        <v>-0.74476769293885203</v>
      </c>
      <c r="AG5956">
        <v>-1.120776477273</v>
      </c>
      <c r="AH5956">
        <v>23.064499148218101</v>
      </c>
      <c r="AI5956">
        <v>92.780546648581705</v>
      </c>
      <c r="AJ5956">
        <v>91.849475392337695</v>
      </c>
      <c r="AK5956">
        <v>23.103721340654399</v>
      </c>
      <c r="AL5956">
        <v>93.811420499465299</v>
      </c>
      <c r="AM5956">
        <v>91.138555079009805</v>
      </c>
      <c r="AN5956">
        <v>1.00000005751235</v>
      </c>
    </row>
    <row r="5957" spans="1:40" x14ac:dyDescent="0.25">
      <c r="A5957" t="str">
        <f>"20190303154300358"</f>
        <v>20190303154300358</v>
      </c>
      <c r="B5957" t="str">
        <f>"1551598980346246"</f>
        <v>1551598980346246</v>
      </c>
      <c r="C5957" t="s">
        <v>40</v>
      </c>
      <c r="D5957">
        <v>5.5097800000000001</v>
      </c>
      <c r="E5957">
        <v>0.4957973</v>
      </c>
      <c r="F5957" t="s">
        <v>41</v>
      </c>
      <c r="G5957">
        <v>-421.11470000000003</v>
      </c>
      <c r="H5957" s="1">
        <v>-1.090852E-6</v>
      </c>
      <c r="I5957">
        <v>61.440539999999999</v>
      </c>
      <c r="J5957">
        <v>-422.00970000000001</v>
      </c>
      <c r="K5957">
        <v>1.1207739999999999</v>
      </c>
      <c r="L5957">
        <v>85.190430000000006</v>
      </c>
      <c r="M5957">
        <v>5.1007159999999999E-3</v>
      </c>
      <c r="N5957">
        <v>-1.1863210000000001E-2</v>
      </c>
      <c r="O5957">
        <v>-0.99991680000000005</v>
      </c>
      <c r="P5957">
        <v>2.4732649999999998E-2</v>
      </c>
      <c r="Q5957">
        <v>-7.7868190000000004E-2</v>
      </c>
      <c r="R5957">
        <v>-0.99665689999999996</v>
      </c>
      <c r="S5957">
        <v>0.11190799999999999</v>
      </c>
      <c r="T5957">
        <v>-0.13995270000000001</v>
      </c>
      <c r="U5957">
        <v>-2.9963989999999998</v>
      </c>
      <c r="V5957">
        <v>-1.965418E-2</v>
      </c>
      <c r="W5957">
        <v>-6.6036189999999995E-2</v>
      </c>
      <c r="X5957">
        <v>0.99762360000000005</v>
      </c>
      <c r="Y5957">
        <v>-3.2189719999999998E-2</v>
      </c>
      <c r="Z5957">
        <v>3.4774430000000002E-2</v>
      </c>
      <c r="AA5957">
        <v>0.9988766</v>
      </c>
      <c r="AB5957">
        <v>26</v>
      </c>
      <c r="AC5957">
        <v>0.89499999999998103</v>
      </c>
      <c r="AD5957">
        <v>-1.120775090852</v>
      </c>
      <c r="AE5957">
        <v>-23.749890000000001</v>
      </c>
      <c r="AF5957">
        <v>-0.77212135787130498</v>
      </c>
      <c r="AG5957">
        <v>-1.120775090852</v>
      </c>
      <c r="AH5957">
        <v>23.701438995491699</v>
      </c>
      <c r="AI5957">
        <v>92.705907901023394</v>
      </c>
      <c r="AJ5957">
        <v>91.8658637245248</v>
      </c>
      <c r="AK5957">
        <v>23.7404826962842</v>
      </c>
      <c r="AL5957">
        <v>93.786350461625403</v>
      </c>
      <c r="AM5957">
        <v>91.128638002053094</v>
      </c>
      <c r="AN5957">
        <v>0.99999995622907301</v>
      </c>
    </row>
    <row r="5958" spans="1:40" x14ac:dyDescent="0.25">
      <c r="A5958" t="str">
        <f>"20190303154300381"</f>
        <v>20190303154300381</v>
      </c>
      <c r="B5958" t="str">
        <f>"1551598980376506"</f>
        <v>1551598980376506</v>
      </c>
      <c r="C5958" t="s">
        <v>40</v>
      </c>
      <c r="D5958">
        <v>5.6776390000000001</v>
      </c>
      <c r="E5958">
        <v>0.519181</v>
      </c>
      <c r="F5958" t="s">
        <v>41</v>
      </c>
      <c r="G5958">
        <v>-421.11900000000003</v>
      </c>
      <c r="H5958" s="1">
        <v>-8.0689059999999995E-7</v>
      </c>
      <c r="I5958">
        <v>60.7759199999999</v>
      </c>
      <c r="J5958">
        <v>-422.00839999999999</v>
      </c>
      <c r="K5958">
        <v>1.1207659999999999</v>
      </c>
      <c r="L5958">
        <v>84.930449999999993</v>
      </c>
      <c r="M5958">
        <v>5.074495E-3</v>
      </c>
      <c r="N5958">
        <v>-1.175124E-2</v>
      </c>
      <c r="O5958">
        <v>-0.99991819999999998</v>
      </c>
      <c r="P5958">
        <v>2.4593750000000001E-2</v>
      </c>
      <c r="Q5958">
        <v>-7.7515360000000005E-2</v>
      </c>
      <c r="R5958">
        <v>-0.99668789999999996</v>
      </c>
      <c r="S5958">
        <v>0.10931399999999999</v>
      </c>
      <c r="T5958">
        <v>-0.1375614</v>
      </c>
      <c r="U5958">
        <v>-2.9965820000000001</v>
      </c>
      <c r="V5958">
        <v>-1.9540800000000001E-2</v>
      </c>
      <c r="W5958">
        <v>-6.5794749999999999E-2</v>
      </c>
      <c r="X5958">
        <v>0.99764180000000002</v>
      </c>
      <c r="Y5958">
        <v>-3.1351570000000002E-2</v>
      </c>
      <c r="Z5958">
        <v>3.4089499999999898E-2</v>
      </c>
      <c r="AA5958">
        <v>0.99892689999999995</v>
      </c>
      <c r="AB5958">
        <v>26</v>
      </c>
      <c r="AC5958">
        <v>0.889399999999966</v>
      </c>
      <c r="AD5958">
        <v>-1.1207668068905901</v>
      </c>
      <c r="AE5958">
        <v>-24.154529999999902</v>
      </c>
      <c r="AF5958">
        <v>-0.76516293191017504</v>
      </c>
      <c r="AG5958">
        <v>-1.1207668068905901</v>
      </c>
      <c r="AH5958">
        <v>24.106901916603</v>
      </c>
      <c r="AI5958">
        <v>92.660513943537893</v>
      </c>
      <c r="AJ5958">
        <v>91.817981141839496</v>
      </c>
      <c r="AK5958">
        <v>24.145068079516999</v>
      </c>
      <c r="AL5958">
        <v>93.772486740700103</v>
      </c>
      <c r="AM5958">
        <v>91.122108378302997</v>
      </c>
      <c r="AN5958">
        <v>0.99999997654972095</v>
      </c>
    </row>
    <row r="5959" spans="1:40" x14ac:dyDescent="0.25">
      <c r="A5959" t="str">
        <f>"20190303154300403"</f>
        <v>20190303154300403</v>
      </c>
      <c r="B5959" t="str">
        <f>"1551598980396026"</f>
        <v>1551598980396026</v>
      </c>
      <c r="C5959" t="s">
        <v>40</v>
      </c>
      <c r="D5959">
        <v>5.6517220000000004</v>
      </c>
      <c r="E5959">
        <v>0.51946689999999995</v>
      </c>
      <c r="F5959" t="s">
        <v>41</v>
      </c>
      <c r="G5959">
        <v>-422.56900000000002</v>
      </c>
      <c r="H5959" s="1">
        <v>-2.287793E-6</v>
      </c>
      <c r="I5959">
        <v>63.32864</v>
      </c>
      <c r="J5959">
        <v>-422.00709999999998</v>
      </c>
      <c r="K5959">
        <v>1.120763</v>
      </c>
      <c r="L5959">
        <v>84.676240000000007</v>
      </c>
      <c r="M5959">
        <v>5.0483020000000002E-3</v>
      </c>
      <c r="N5959">
        <v>-1.165507E-2</v>
      </c>
      <c r="O5959">
        <v>-0.99991940000000001</v>
      </c>
      <c r="P5959">
        <v>2.4284799999999999E-2</v>
      </c>
      <c r="Q5959">
        <v>-7.6966199999999999E-2</v>
      </c>
      <c r="R5959">
        <v>-0.99673800000000001</v>
      </c>
      <c r="S5959">
        <v>-7.7850340000000004E-2</v>
      </c>
      <c r="T5959">
        <v>-0.1556382</v>
      </c>
      <c r="U5959">
        <v>-2.9997859999999998</v>
      </c>
      <c r="V5959">
        <v>-1.925785E-2</v>
      </c>
      <c r="W5959">
        <v>-6.5341060000000006E-2</v>
      </c>
      <c r="X5959">
        <v>0.99767709999999998</v>
      </c>
      <c r="Y5959">
        <v>3.0957459999999999E-2</v>
      </c>
      <c r="Z5959">
        <v>4.014761E-2</v>
      </c>
      <c r="AA5959">
        <v>0.99871410000000005</v>
      </c>
      <c r="AB5959">
        <v>26</v>
      </c>
      <c r="AC5959">
        <v>-0.56190000000003604</v>
      </c>
      <c r="AD5959">
        <v>-1.1207652877930001</v>
      </c>
      <c r="AE5959">
        <v>-21.3476</v>
      </c>
      <c r="AF5959">
        <v>0.66782979901188499</v>
      </c>
      <c r="AG5959">
        <v>-1.1207652877930001</v>
      </c>
      <c r="AH5959">
        <v>21.2858608632623</v>
      </c>
      <c r="AI5959">
        <v>93.0125341498849</v>
      </c>
      <c r="AJ5959">
        <v>88.202972311830905</v>
      </c>
      <c r="AK5959">
        <v>21.325805592308299</v>
      </c>
      <c r="AL5959">
        <v>93.746436231554895</v>
      </c>
      <c r="AM5959">
        <v>91.105825240389095</v>
      </c>
      <c r="AN5959">
        <v>0.99999995738647696</v>
      </c>
    </row>
    <row r="5960" spans="1:40" x14ac:dyDescent="0.25">
      <c r="A5960" t="str">
        <f>"20190303154300426"</f>
        <v>20190303154300426</v>
      </c>
      <c r="B5960" t="str">
        <f>"1551598980416518"</f>
        <v>1551598980416518</v>
      </c>
      <c r="C5960" t="s">
        <v>40</v>
      </c>
      <c r="D5960">
        <v>5.5525640000000003</v>
      </c>
      <c r="E5960">
        <v>0.519397</v>
      </c>
      <c r="F5960" t="s">
        <v>41</v>
      </c>
      <c r="G5960">
        <v>-422.58640000000003</v>
      </c>
      <c r="H5960" s="1">
        <v>-2.2542459999999999E-6</v>
      </c>
      <c r="I5960">
        <v>63.239690000000003</v>
      </c>
      <c r="J5960">
        <v>-422.00580000000002</v>
      </c>
      <c r="K5960">
        <v>1.1207590000000001</v>
      </c>
      <c r="L5960">
        <v>84.416019999999904</v>
      </c>
      <c r="M5960">
        <v>5.0219260000000003E-3</v>
      </c>
      <c r="N5960">
        <v>-1.1569060000000001E-2</v>
      </c>
      <c r="O5960">
        <v>-0.99992080000000005</v>
      </c>
      <c r="P5960">
        <v>2.3900020000000001E-2</v>
      </c>
      <c r="Q5960">
        <v>-7.684038E-2</v>
      </c>
      <c r="R5960">
        <v>-0.99675709999999995</v>
      </c>
      <c r="S5960">
        <v>-8.1054689999999999E-2</v>
      </c>
      <c r="T5960">
        <v>-0.1568311</v>
      </c>
      <c r="U5960">
        <v>-2.9996640000000001</v>
      </c>
      <c r="V5960">
        <v>-1.889919E-2</v>
      </c>
      <c r="W5960">
        <v>-6.5300880000000006E-2</v>
      </c>
      <c r="X5960">
        <v>0.99768659999999998</v>
      </c>
      <c r="Y5960">
        <v>3.1997360000000002E-2</v>
      </c>
      <c r="Z5960">
        <v>4.063017E-2</v>
      </c>
      <c r="AA5960">
        <v>0.99866180000000004</v>
      </c>
      <c r="AB5960">
        <v>26</v>
      </c>
      <c r="AC5960">
        <v>-0.580600000000004</v>
      </c>
      <c r="AD5960">
        <v>-1.1207612542459999</v>
      </c>
      <c r="AE5960">
        <v>-21.176329999999901</v>
      </c>
      <c r="AF5960">
        <v>0.68502834701887005</v>
      </c>
      <c r="AG5960">
        <v>-1.1207612542459999</v>
      </c>
      <c r="AH5960">
        <v>21.114049384293999</v>
      </c>
      <c r="AI5960">
        <v>93.036888069792695</v>
      </c>
      <c r="AJ5960">
        <v>88.141736361287997</v>
      </c>
      <c r="AK5960">
        <v>21.154868258338201</v>
      </c>
      <c r="AL5960">
        <v>93.744129119792902</v>
      </c>
      <c r="AM5960">
        <v>91.085224888611606</v>
      </c>
      <c r="AN5960">
        <v>0.99999996806549396</v>
      </c>
    </row>
    <row r="5961" spans="1:40" x14ac:dyDescent="0.25">
      <c r="A5961" t="str">
        <f>"20190303154300447"</f>
        <v>20190303154300447</v>
      </c>
      <c r="B5961" t="str">
        <f>"1551598980436021"</f>
        <v>1551598980436021</v>
      </c>
      <c r="C5961" t="s">
        <v>40</v>
      </c>
      <c r="D5961">
        <v>5.6570119999999999</v>
      </c>
      <c r="E5961">
        <v>0.51927639999999997</v>
      </c>
      <c r="F5961" t="s">
        <v>41</v>
      </c>
      <c r="G5961">
        <v>-422.58179999999999</v>
      </c>
      <c r="H5961" s="1">
        <v>-2.2483050000000001E-6</v>
      </c>
      <c r="I5961">
        <v>63.228659999999998</v>
      </c>
      <c r="J5961">
        <v>-422.00459999999998</v>
      </c>
      <c r="K5961">
        <v>1.1207560000000001</v>
      </c>
      <c r="L5961">
        <v>84.166259999999994</v>
      </c>
      <c r="M5961">
        <v>4.9970459999999998E-3</v>
      </c>
      <c r="N5961">
        <v>-1.149701E-2</v>
      </c>
      <c r="O5961">
        <v>-0.99992179999999997</v>
      </c>
      <c r="P5961">
        <v>2.4071519999999999E-2</v>
      </c>
      <c r="Q5961">
        <v>-7.681325E-2</v>
      </c>
      <c r="R5961">
        <v>-0.99675519999999995</v>
      </c>
      <c r="S5961">
        <v>-8.1542970000000006E-2</v>
      </c>
      <c r="T5961">
        <v>-0.15866549999999999</v>
      </c>
      <c r="U5961">
        <v>-2.9994809999999998</v>
      </c>
      <c r="V5961">
        <v>-1.9095620000000001E-2</v>
      </c>
      <c r="W5961">
        <v>-6.5345619999999993E-2</v>
      </c>
      <c r="X5961">
        <v>0.99767989999999995</v>
      </c>
      <c r="Y5961">
        <v>3.2135740000000003E-2</v>
      </c>
      <c r="Z5961">
        <v>4.1314219999999999E-2</v>
      </c>
      <c r="AA5961">
        <v>0.99862930000000005</v>
      </c>
      <c r="AB5961">
        <v>26</v>
      </c>
      <c r="AC5961">
        <v>-0.57720000000000404</v>
      </c>
      <c r="AD5961">
        <v>-1.12075824830499</v>
      </c>
      <c r="AE5961">
        <v>-20.9376</v>
      </c>
      <c r="AF5961">
        <v>0.67987924010622403</v>
      </c>
      <c r="AG5961">
        <v>-1.12075824830499</v>
      </c>
      <c r="AH5961">
        <v>20.874687249831101</v>
      </c>
      <c r="AI5961">
        <v>93.071623906210604</v>
      </c>
      <c r="AJ5961">
        <v>88.134561469797802</v>
      </c>
      <c r="AK5961">
        <v>20.915805091139301</v>
      </c>
      <c r="AL5961">
        <v>93.7466981333408</v>
      </c>
      <c r="AM5961">
        <v>91.096508868536006</v>
      </c>
      <c r="AN5961">
        <v>0.99999993781018703</v>
      </c>
    </row>
    <row r="5962" spans="1:40" x14ac:dyDescent="0.25">
      <c r="A5962" t="str">
        <f>"20190303154300471"</f>
        <v>20190303154300471</v>
      </c>
      <c r="B5962" t="str">
        <f>"1551598980466272"</f>
        <v>1551598980466272</v>
      </c>
      <c r="C5962" t="s">
        <v>40</v>
      </c>
      <c r="D5962">
        <v>5.5863639999999997</v>
      </c>
      <c r="E5962">
        <v>0.51915319999999998</v>
      </c>
      <c r="F5962" t="s">
        <v>41</v>
      </c>
      <c r="G5962">
        <v>-422.5668</v>
      </c>
      <c r="H5962" s="1">
        <v>-2.1921050000000001E-6</v>
      </c>
      <c r="I5962">
        <v>63.106949999999998</v>
      </c>
      <c r="J5962">
        <v>-422.00330000000002</v>
      </c>
      <c r="K5962">
        <v>1.1207510000000001</v>
      </c>
      <c r="L5962">
        <v>83.903169999999903</v>
      </c>
      <c r="M5962">
        <v>4.9712599999999999E-3</v>
      </c>
      <c r="N5962">
        <v>-1.143103E-2</v>
      </c>
      <c r="O5962">
        <v>-0.99992230000000004</v>
      </c>
      <c r="P5962">
        <v>2.4217570000000001E-2</v>
      </c>
      <c r="Q5962">
        <v>-7.7231649999999999E-2</v>
      </c>
      <c r="R5962">
        <v>-0.99671909999999997</v>
      </c>
      <c r="S5962">
        <v>-8.0078129999999997E-2</v>
      </c>
      <c r="T5962">
        <v>-0.15962489999999999</v>
      </c>
      <c r="U5962">
        <v>-2.99939</v>
      </c>
      <c r="V5962">
        <v>-1.9267690000000001E-2</v>
      </c>
      <c r="W5962">
        <v>-6.5830219999999995E-2</v>
      </c>
      <c r="X5962">
        <v>0.9976448</v>
      </c>
      <c r="Y5962">
        <v>3.1623209999999999E-2</v>
      </c>
      <c r="Z5962">
        <v>4.1701099999999998E-2</v>
      </c>
      <c r="AA5962">
        <v>0.99862960000000001</v>
      </c>
      <c r="AB5962">
        <v>26</v>
      </c>
      <c r="AC5962">
        <v>-0.56349999999997602</v>
      </c>
      <c r="AD5962">
        <v>-1.120753192105</v>
      </c>
      <c r="AE5962">
        <v>-20.796219999999899</v>
      </c>
      <c r="AF5962">
        <v>0.66495335823087698</v>
      </c>
      <c r="AG5962">
        <v>-1.120753192105</v>
      </c>
      <c r="AH5962">
        <v>20.7329895178882</v>
      </c>
      <c r="AI5962">
        <v>93.092611665372999</v>
      </c>
      <c r="AJ5962">
        <v>88.163025849300496</v>
      </c>
      <c r="AK5962">
        <v>20.7739044244239</v>
      </c>
      <c r="AL5962">
        <v>93.774523332485103</v>
      </c>
      <c r="AM5962">
        <v>91.106425944816607</v>
      </c>
      <c r="AN5962">
        <v>1.0000000043551101</v>
      </c>
    </row>
    <row r="5963" spans="1:40" x14ac:dyDescent="0.25">
      <c r="A5963" t="str">
        <f>"20190303154300494"</f>
        <v>20190303154300494</v>
      </c>
      <c r="B5963" t="str">
        <f>"1551598980485792"</f>
        <v>1551598980485792</v>
      </c>
      <c r="C5963" t="s">
        <v>40</v>
      </c>
      <c r="D5963">
        <v>5.6565050000000001</v>
      </c>
      <c r="E5963">
        <v>0.51910829999999997</v>
      </c>
      <c r="F5963" t="s">
        <v>41</v>
      </c>
      <c r="G5963">
        <v>-422.54750000000001</v>
      </c>
      <c r="H5963" s="1">
        <v>-2.235286E-6</v>
      </c>
      <c r="I5963">
        <v>63.219549999999998</v>
      </c>
      <c r="J5963">
        <v>-422.00200000000001</v>
      </c>
      <c r="K5963">
        <v>1.120743</v>
      </c>
      <c r="L5963">
        <v>83.637479999999996</v>
      </c>
      <c r="M5963">
        <v>4.945156E-3</v>
      </c>
      <c r="N5963">
        <v>-1.137344E-2</v>
      </c>
      <c r="O5963">
        <v>-0.99992300000000001</v>
      </c>
      <c r="P5963">
        <v>2.408656E-2</v>
      </c>
      <c r="Q5963">
        <v>-7.7383469999999996E-2</v>
      </c>
      <c r="R5963">
        <v>-0.9967104</v>
      </c>
      <c r="S5963">
        <v>-7.8918459999999996E-2</v>
      </c>
      <c r="T5963">
        <v>-0.16251370000000001</v>
      </c>
      <c r="U5963">
        <v>-2.9992070000000002</v>
      </c>
      <c r="V5963">
        <v>-1.9162769999999999E-2</v>
      </c>
      <c r="W5963">
        <v>-6.6039580000000001E-2</v>
      </c>
      <c r="X5963">
        <v>0.99763299999999999</v>
      </c>
      <c r="Y5963">
        <v>3.1211800000000001E-2</v>
      </c>
      <c r="Z5963">
        <v>4.2721679999999998E-2</v>
      </c>
      <c r="AA5963">
        <v>0.99859940000000003</v>
      </c>
      <c r="AB5963">
        <v>26</v>
      </c>
      <c r="AC5963">
        <v>-0.54550000000006005</v>
      </c>
      <c r="AD5963">
        <v>-1.1207452352859999</v>
      </c>
      <c r="AE5963">
        <v>-20.417929999999998</v>
      </c>
      <c r="AF5963">
        <v>0.64452917643085295</v>
      </c>
      <c r="AG5963">
        <v>-1.1207452352859999</v>
      </c>
      <c r="AH5963">
        <v>20.353701826106299</v>
      </c>
      <c r="AI5963">
        <v>93.150145233957304</v>
      </c>
      <c r="AJ5963">
        <v>88.186253011566507</v>
      </c>
      <c r="AK5963">
        <v>20.394721517288001</v>
      </c>
      <c r="AL5963">
        <v>93.7865448763377</v>
      </c>
      <c r="AM5963">
        <v>91.100415526861397</v>
      </c>
      <c r="AN5963">
        <v>1.00000002028482</v>
      </c>
    </row>
    <row r="5964" spans="1:40" x14ac:dyDescent="0.25">
      <c r="A5964" t="str">
        <f>"20190303154300517"</f>
        <v>20190303154300517</v>
      </c>
      <c r="B5964" t="str">
        <f>"1551598980506288"</f>
        <v>1551598980506288</v>
      </c>
      <c r="C5964" t="s">
        <v>40</v>
      </c>
      <c r="D5964">
        <v>5.6143039999999997</v>
      </c>
      <c r="E5964">
        <v>0.51907930000000002</v>
      </c>
      <c r="F5964" t="s">
        <v>41</v>
      </c>
      <c r="G5964">
        <v>-422.53840000000002</v>
      </c>
      <c r="H5964" s="1">
        <v>-2.2207510000000001E-6</v>
      </c>
      <c r="I5964">
        <v>63.191360000000003</v>
      </c>
      <c r="J5964">
        <v>-422.00080000000003</v>
      </c>
      <c r="K5964">
        <v>1.120744</v>
      </c>
      <c r="L5964">
        <v>83.378419999999906</v>
      </c>
      <c r="M5964">
        <v>4.9190309999999999E-3</v>
      </c>
      <c r="N5964">
        <v>-1.132522E-2</v>
      </c>
      <c r="O5964">
        <v>-0.99992369999999997</v>
      </c>
      <c r="P5964">
        <v>2.3719790000000001E-2</v>
      </c>
      <c r="Q5964">
        <v>-7.7333299999999994E-2</v>
      </c>
      <c r="R5964">
        <v>-0.99672320000000003</v>
      </c>
      <c r="S5964">
        <v>-7.8674320000000006E-2</v>
      </c>
      <c r="T5964">
        <v>-0.16439189999999901</v>
      </c>
      <c r="U5964">
        <v>-2.9990540000000001</v>
      </c>
      <c r="V5964">
        <v>-1.8822160000000001E-2</v>
      </c>
      <c r="W5964">
        <v>-6.6037479999999996E-2</v>
      </c>
      <c r="X5964">
        <v>0.99763959999999996</v>
      </c>
      <c r="Y5964">
        <v>3.1105009999999999E-2</v>
      </c>
      <c r="Z5964">
        <v>4.3396320000000002E-2</v>
      </c>
      <c r="AA5964">
        <v>0.99857359999999995</v>
      </c>
      <c r="AB5964">
        <v>26</v>
      </c>
      <c r="AC5964">
        <v>-0.53759999999999697</v>
      </c>
      <c r="AD5964">
        <v>-1.1207462207509999</v>
      </c>
      <c r="AE5964">
        <v>-20.187059999999899</v>
      </c>
      <c r="AF5964">
        <v>0.63494496986872795</v>
      </c>
      <c r="AG5964">
        <v>-1.1207462207509999</v>
      </c>
      <c r="AH5964">
        <v>20.122193339511</v>
      </c>
      <c r="AI5964">
        <v>93.1863278547372</v>
      </c>
      <c r="AJ5964">
        <v>88.192662232525095</v>
      </c>
      <c r="AK5964">
        <v>20.163379974566599</v>
      </c>
      <c r="AL5964">
        <v>93.7864243803471</v>
      </c>
      <c r="AM5964">
        <v>91.080853647075003</v>
      </c>
      <c r="AN5964">
        <v>0.99999999697998698</v>
      </c>
    </row>
    <row r="5965" spans="1:40" x14ac:dyDescent="0.25">
      <c r="A5965" t="str">
        <f>"20190303154300538"</f>
        <v>20190303154300538</v>
      </c>
      <c r="B5965" t="str">
        <f>"1551598980525808"</f>
        <v>1551598980525808</v>
      </c>
      <c r="C5965" t="s">
        <v>40</v>
      </c>
      <c r="D5965">
        <v>5.6483169999999996</v>
      </c>
      <c r="E5965">
        <v>0.51902789999999999</v>
      </c>
      <c r="F5965" t="s">
        <v>41</v>
      </c>
      <c r="G5965">
        <v>-422.5401</v>
      </c>
      <c r="H5965" s="1">
        <v>-2.1778519999999999E-6</v>
      </c>
      <c r="I5965">
        <v>63.090319999999998</v>
      </c>
      <c r="J5965">
        <v>-421.99959999999999</v>
      </c>
      <c r="K5965">
        <v>1.120744</v>
      </c>
      <c r="L5965">
        <v>83.130039999999994</v>
      </c>
      <c r="M5965">
        <v>4.8940800000000003E-3</v>
      </c>
      <c r="N5965">
        <v>-1.128557E-2</v>
      </c>
      <c r="O5965">
        <v>-0.9999247</v>
      </c>
      <c r="P5965">
        <v>2.3494009999999999E-2</v>
      </c>
      <c r="Q5965">
        <v>-7.7045879999999997E-2</v>
      </c>
      <c r="R5965">
        <v>-0.99675119999999895</v>
      </c>
      <c r="S5965">
        <v>-7.9711909999999997E-2</v>
      </c>
      <c r="T5965">
        <v>-0.16566400000000001</v>
      </c>
      <c r="U5965">
        <v>-2.998901</v>
      </c>
      <c r="V5965">
        <v>-1.8620769999999998E-2</v>
      </c>
      <c r="W5965">
        <v>-6.5789360000000005E-2</v>
      </c>
      <c r="X5965">
        <v>0.99765979999999999</v>
      </c>
      <c r="Y5965">
        <v>3.1425969999999998E-2</v>
      </c>
      <c r="Z5965">
        <v>4.3860509999999998E-2</v>
      </c>
      <c r="AA5965">
        <v>0.99854330000000002</v>
      </c>
      <c r="AB5965">
        <v>26</v>
      </c>
      <c r="AC5965">
        <v>-0.54050000000000797</v>
      </c>
      <c r="AD5965">
        <v>-1.120746177852</v>
      </c>
      <c r="AE5965">
        <v>-20.039719999999999</v>
      </c>
      <c r="AF5965">
        <v>0.63658609870391503</v>
      </c>
      <c r="AG5965">
        <v>-1.120746177852</v>
      </c>
      <c r="AH5965">
        <v>19.974405138482101</v>
      </c>
      <c r="AI5965">
        <v>93.209821840305807</v>
      </c>
      <c r="AJ5965">
        <v>88.174596178986107</v>
      </c>
      <c r="AK5965">
        <v>20.015948003840698</v>
      </c>
      <c r="AL5965">
        <v>93.772177063791702</v>
      </c>
      <c r="AM5965">
        <v>91.069269975741506</v>
      </c>
      <c r="AN5965">
        <v>1.00000002475032</v>
      </c>
    </row>
    <row r="5966" spans="1:40" x14ac:dyDescent="0.25">
      <c r="A5966" t="str">
        <f>"20190303154300559"</f>
        <v>20190303154300559</v>
      </c>
      <c r="B5966" t="str">
        <f>"1551598980556595"</f>
        <v>1551598980556595</v>
      </c>
      <c r="C5966" t="s">
        <v>40</v>
      </c>
      <c r="D5966">
        <v>5.6023310000000004</v>
      </c>
      <c r="E5966">
        <v>0.51886639999999995</v>
      </c>
      <c r="F5966" t="s">
        <v>41</v>
      </c>
      <c r="G5966">
        <v>-422.5403</v>
      </c>
      <c r="H5966" s="1">
        <v>-2.041513E-6</v>
      </c>
      <c r="I5966">
        <v>62.772379999999998</v>
      </c>
      <c r="J5966">
        <v>-421.9984</v>
      </c>
      <c r="K5966">
        <v>1.1207469999999999</v>
      </c>
      <c r="L5966">
        <v>82.878749999999997</v>
      </c>
      <c r="M5966">
        <v>4.8683509999999999E-3</v>
      </c>
      <c r="N5966">
        <v>-1.125084E-2</v>
      </c>
      <c r="O5966">
        <v>-0.99992490000000001</v>
      </c>
      <c r="P5966">
        <v>2.313604E-2</v>
      </c>
      <c r="Q5966">
        <v>-7.664928E-2</v>
      </c>
      <c r="R5966">
        <v>-0.99678990000000001</v>
      </c>
      <c r="S5966">
        <v>-7.9650879999999993E-2</v>
      </c>
      <c r="T5966">
        <v>-0.16509799999999999</v>
      </c>
      <c r="U5966">
        <v>-2.998901</v>
      </c>
      <c r="V5966">
        <v>-1.8288200000000001E-2</v>
      </c>
      <c r="W5966">
        <v>-6.5427029999999997E-2</v>
      </c>
      <c r="X5966">
        <v>0.99768979999999996</v>
      </c>
      <c r="Y5966">
        <v>3.1380209999999999E-2</v>
      </c>
      <c r="Z5966">
        <v>4.3707370000000002E-2</v>
      </c>
      <c r="AA5966">
        <v>0.99855139999999998</v>
      </c>
      <c r="AB5966">
        <v>26</v>
      </c>
      <c r="AC5966">
        <v>-0.54189999999999805</v>
      </c>
      <c r="AD5966">
        <v>-1.1207490415129999</v>
      </c>
      <c r="AE5966">
        <v>-20.106369999999899</v>
      </c>
      <c r="AF5966">
        <v>0.63780437840208004</v>
      </c>
      <c r="AG5966">
        <v>-1.1207490415129999</v>
      </c>
      <c r="AH5966">
        <v>20.041269179268401</v>
      </c>
      <c r="AI5966">
        <v>93.199147918448702</v>
      </c>
      <c r="AJ5966">
        <v>88.177202796259493</v>
      </c>
      <c r="AK5966">
        <v>20.082712544749899</v>
      </c>
      <c r="AL5966">
        <v>93.751372180685095</v>
      </c>
      <c r="AM5966">
        <v>91.050145383573394</v>
      </c>
      <c r="AN5966">
        <v>1.00000004576894</v>
      </c>
    </row>
    <row r="5967" spans="1:40" x14ac:dyDescent="0.25">
      <c r="A5967" t="str">
        <f>"20190303154300582"</f>
        <v>20190303154300582</v>
      </c>
      <c r="B5967" t="str">
        <f>"1551598980576115"</f>
        <v>1551598980576115</v>
      </c>
      <c r="C5967" t="s">
        <v>40</v>
      </c>
      <c r="D5967">
        <v>5.6106579999999999</v>
      </c>
      <c r="E5967">
        <v>0.51888999999999996</v>
      </c>
      <c r="F5967" t="s">
        <v>41</v>
      </c>
      <c r="G5967">
        <v>-422.53739999999999</v>
      </c>
      <c r="H5967" s="1">
        <v>-1.940697E-6</v>
      </c>
      <c r="I5967">
        <v>62.539149999999999</v>
      </c>
      <c r="J5967">
        <v>-421.99709999999999</v>
      </c>
      <c r="K5967">
        <v>1.120744</v>
      </c>
      <c r="L5967">
        <v>82.616119999999995</v>
      </c>
      <c r="M5967">
        <v>4.8420850000000003E-3</v>
      </c>
      <c r="N5967">
        <v>-1.121963E-2</v>
      </c>
      <c r="O5967">
        <v>-0.99992539999999996</v>
      </c>
      <c r="P5967">
        <v>2.3160819999999999E-2</v>
      </c>
      <c r="Q5967">
        <v>-7.6658270000000001E-2</v>
      </c>
      <c r="R5967">
        <v>-0.99678860000000002</v>
      </c>
      <c r="S5967">
        <v>-7.9467769999999993E-2</v>
      </c>
      <c r="T5967">
        <v>-0.16523979999999999</v>
      </c>
      <c r="U5967">
        <v>-2.9988100000000002</v>
      </c>
      <c r="V5967">
        <v>-1.8339049999999999E-2</v>
      </c>
      <c r="W5967">
        <v>-6.5467189999999995E-2</v>
      </c>
      <c r="X5967">
        <v>0.99768619999999997</v>
      </c>
      <c r="Y5967">
        <v>3.1293799999999997E-2</v>
      </c>
      <c r="Z5967">
        <v>4.378746E-2</v>
      </c>
      <c r="AA5967">
        <v>0.99855070000000001</v>
      </c>
      <c r="AB5967">
        <v>26</v>
      </c>
      <c r="AC5967">
        <v>-0.540300000000002</v>
      </c>
      <c r="AD5967">
        <v>-1.120745940697</v>
      </c>
      <c r="AE5967">
        <v>-20.076969999999999</v>
      </c>
      <c r="AF5967">
        <v>0.635535185277737</v>
      </c>
      <c r="AG5967">
        <v>-1.120745940697</v>
      </c>
      <c r="AH5967">
        <v>20.011803663283398</v>
      </c>
      <c r="AI5967">
        <v>93.203846470001807</v>
      </c>
      <c r="AJ5967">
        <v>88.181011067506603</v>
      </c>
      <c r="AK5967">
        <v>20.053235706317199</v>
      </c>
      <c r="AL5967">
        <v>93.753678243498001</v>
      </c>
      <c r="AM5967">
        <v>91.053068435636504</v>
      </c>
      <c r="AN5967">
        <v>1.00000001369591</v>
      </c>
    </row>
    <row r="5968" spans="1:40" x14ac:dyDescent="0.25">
      <c r="A5968" t="str">
        <f>"20190303154300604"</f>
        <v>20190303154300604</v>
      </c>
      <c r="B5968" t="str">
        <f>"1551598980596611"</f>
        <v>1551598980596611</v>
      </c>
      <c r="C5968" t="s">
        <v>40</v>
      </c>
      <c r="D5968">
        <v>5.5660119999999997</v>
      </c>
      <c r="E5968">
        <v>0.51884070000000004</v>
      </c>
      <c r="F5968" t="s">
        <v>41</v>
      </c>
      <c r="G5968">
        <v>-422.5412</v>
      </c>
      <c r="H5968" s="1">
        <v>-1.827504E-6</v>
      </c>
      <c r="I5968">
        <v>62.272959999999998</v>
      </c>
      <c r="J5968">
        <v>-421.99590000000001</v>
      </c>
      <c r="K5968">
        <v>1.1207400000000001</v>
      </c>
      <c r="L5968">
        <v>82.356380000000001</v>
      </c>
      <c r="M5968">
        <v>4.8164970000000003E-3</v>
      </c>
      <c r="N5968">
        <v>-1.1193079999999999E-2</v>
      </c>
      <c r="O5968">
        <v>-0.99992610000000004</v>
      </c>
      <c r="P5968">
        <v>2.3494359999999999E-2</v>
      </c>
      <c r="Q5968">
        <v>-7.6746190000000006E-2</v>
      </c>
      <c r="R5968">
        <v>-0.9967743</v>
      </c>
      <c r="S5968">
        <v>-8.0200199999999999E-2</v>
      </c>
      <c r="T5968">
        <v>-0.16521050000000001</v>
      </c>
      <c r="U5968">
        <v>-2.9988100000000002</v>
      </c>
      <c r="V5968">
        <v>-1.8698090000000001E-2</v>
      </c>
      <c r="W5968">
        <v>-6.5581669999999995E-2</v>
      </c>
      <c r="X5968">
        <v>0.997672</v>
      </c>
      <c r="Y5968">
        <v>3.1511869999999997E-2</v>
      </c>
      <c r="Z5968">
        <v>4.3803889999999998E-2</v>
      </c>
      <c r="AA5968">
        <v>0.99854299999999996</v>
      </c>
      <c r="AB5968">
        <v>26</v>
      </c>
      <c r="AC5968">
        <v>-0.54529999999999701</v>
      </c>
      <c r="AD5968">
        <v>-1.120741827504</v>
      </c>
      <c r="AE5968">
        <v>-20.08342</v>
      </c>
      <c r="AF5968">
        <v>0.640039738571894</v>
      </c>
      <c r="AG5968">
        <v>-1.120741827504</v>
      </c>
      <c r="AH5968">
        <v>20.0182669859778</v>
      </c>
      <c r="AI5968">
        <v>93.202780612944196</v>
      </c>
      <c r="AJ5968">
        <v>88.168718227383806</v>
      </c>
      <c r="AK5968">
        <v>20.059828669077799</v>
      </c>
      <c r="AL5968">
        <v>93.760251654236896</v>
      </c>
      <c r="AM5968">
        <v>91.073695797544005</v>
      </c>
      <c r="AN5968">
        <v>0.99999999679681795</v>
      </c>
    </row>
    <row r="5969" spans="1:40" x14ac:dyDescent="0.25">
      <c r="A5969" t="str">
        <f>"20190303154300627"</f>
        <v>20190303154300627</v>
      </c>
      <c r="B5969" t="str">
        <f>"1551598980616131"</f>
        <v>1551598980616131</v>
      </c>
      <c r="C5969" t="s">
        <v>40</v>
      </c>
      <c r="D5969">
        <v>5.6428729999999998</v>
      </c>
      <c r="E5969">
        <v>0.51880569999999904</v>
      </c>
      <c r="F5969" t="s">
        <v>41</v>
      </c>
      <c r="G5969">
        <v>-422.5231</v>
      </c>
      <c r="H5969" s="1">
        <v>-1.79132E-6</v>
      </c>
      <c r="I5969">
        <v>62.199840000000002</v>
      </c>
      <c r="J5969">
        <v>-421.99470000000002</v>
      </c>
      <c r="K5969">
        <v>1.1207370000000001</v>
      </c>
      <c r="L5969">
        <v>82.095089999999999</v>
      </c>
      <c r="M5969">
        <v>4.7909429999999998E-3</v>
      </c>
      <c r="N5969">
        <v>-1.117018E-2</v>
      </c>
      <c r="O5969">
        <v>-0.99992630000000005</v>
      </c>
      <c r="P5969">
        <v>2.3368139999999999E-2</v>
      </c>
      <c r="Q5969">
        <v>-7.6802170000000003E-2</v>
      </c>
      <c r="R5969">
        <v>-0.99677280000000001</v>
      </c>
      <c r="S5969">
        <v>-7.8430180000000002E-2</v>
      </c>
      <c r="T5969">
        <v>-0.16673450000000001</v>
      </c>
      <c r="U5969">
        <v>-2.9987180000000002</v>
      </c>
      <c r="V5969">
        <v>-1.8597619999999999E-2</v>
      </c>
      <c r="W5969">
        <v>-6.5660560000000007E-2</v>
      </c>
      <c r="X5969">
        <v>0.99766869999999996</v>
      </c>
      <c r="Y5969">
        <v>3.08977E-2</v>
      </c>
      <c r="Z5969">
        <v>4.4335380000000001E-2</v>
      </c>
      <c r="AA5969">
        <v>0.99853879999999995</v>
      </c>
      <c r="AB5969">
        <v>26</v>
      </c>
      <c r="AC5969">
        <v>-0.528399999999976</v>
      </c>
      <c r="AD5969">
        <v>-1.12073879132</v>
      </c>
      <c r="AE5969">
        <v>-19.895250000000001</v>
      </c>
      <c r="AF5969">
        <v>0.62174528648347005</v>
      </c>
      <c r="AG5969">
        <v>-1.12073879132</v>
      </c>
      <c r="AH5969">
        <v>19.8296091687399</v>
      </c>
      <c r="AI5969">
        <v>93.233241721163793</v>
      </c>
      <c r="AJ5969">
        <v>88.204114177405799</v>
      </c>
      <c r="AK5969">
        <v>19.870984435216201</v>
      </c>
      <c r="AL5969">
        <v>93.764781440409806</v>
      </c>
      <c r="AM5969">
        <v>91.067931404865107</v>
      </c>
      <c r="AN5969">
        <v>1.00000000778443</v>
      </c>
    </row>
    <row r="5970" spans="1:40" x14ac:dyDescent="0.25">
      <c r="A5970" t="str">
        <f>"20190303154300649"</f>
        <v>20190303154300649</v>
      </c>
      <c r="B5970" t="str">
        <f>"1551598980645918"</f>
        <v>1551598980645918</v>
      </c>
      <c r="C5970" t="s">
        <v>40</v>
      </c>
      <c r="D5970">
        <v>5.5268069999999998</v>
      </c>
      <c r="E5970">
        <v>0.51861729999999995</v>
      </c>
      <c r="F5970" t="s">
        <v>41</v>
      </c>
      <c r="G5970">
        <v>-422.52089999999998</v>
      </c>
      <c r="H5970" s="1">
        <v>-1.70380999999999E-6</v>
      </c>
      <c r="I5970">
        <v>61.99718</v>
      </c>
      <c r="J5970">
        <v>-421.99349999999998</v>
      </c>
      <c r="K5970">
        <v>1.1207339999999999</v>
      </c>
      <c r="L5970">
        <v>81.838259999999906</v>
      </c>
      <c r="M5970">
        <v>4.7654530000000002E-3</v>
      </c>
      <c r="N5970">
        <v>-1.115415E-2</v>
      </c>
      <c r="O5970">
        <v>-0.9999266</v>
      </c>
      <c r="P5970">
        <v>2.3408740000000001E-2</v>
      </c>
      <c r="Q5970">
        <v>-7.6677590000000004E-2</v>
      </c>
      <c r="R5970">
        <v>-0.99678140000000004</v>
      </c>
      <c r="S5970">
        <v>-7.8521729999999998E-2</v>
      </c>
      <c r="T5970">
        <v>-0.1672186</v>
      </c>
      <c r="U5970">
        <v>-2.998688</v>
      </c>
      <c r="V5970">
        <v>-1.8663880000000001E-2</v>
      </c>
      <c r="W5970">
        <v>-6.5551869999999998E-2</v>
      </c>
      <c r="X5970">
        <v>0.99767459999999997</v>
      </c>
      <c r="Y5970">
        <v>3.090273E-2</v>
      </c>
      <c r="Z5970">
        <v>4.4512650000000001E-2</v>
      </c>
      <c r="AA5970">
        <v>0.99853069999999999</v>
      </c>
      <c r="AB5970">
        <v>26</v>
      </c>
      <c r="AC5970">
        <v>-0.52739999999999998</v>
      </c>
      <c r="AD5970">
        <v>-1.1207357038099901</v>
      </c>
      <c r="AE5970">
        <v>-19.841079999999899</v>
      </c>
      <c r="AF5970">
        <v>0.61997490078969797</v>
      </c>
      <c r="AG5970">
        <v>-1.1207357038099901</v>
      </c>
      <c r="AH5970">
        <v>19.775290232838898</v>
      </c>
      <c r="AI5970">
        <v>93.242095329490297</v>
      </c>
      <c r="AJ5970">
        <v>88.204308828343599</v>
      </c>
      <c r="AK5970">
        <v>19.816723270723099</v>
      </c>
      <c r="AL5970">
        <v>93.758540554332995</v>
      </c>
      <c r="AM5970">
        <v>91.071729031435297</v>
      </c>
      <c r="AN5970">
        <v>0.999999997781155</v>
      </c>
    </row>
    <row r="5971" spans="1:40" x14ac:dyDescent="0.25">
      <c r="A5971" t="str">
        <f>"20190303154300672"</f>
        <v>20190303154300672</v>
      </c>
      <c r="B5971" t="str">
        <f>"1551598980666417"</f>
        <v>1551598980666417</v>
      </c>
      <c r="C5971" t="s">
        <v>40</v>
      </c>
      <c r="D5971">
        <v>5.5194580000000002</v>
      </c>
      <c r="E5971">
        <v>0.51842569999999999</v>
      </c>
      <c r="F5971" t="s">
        <v>41</v>
      </c>
      <c r="G5971">
        <v>-422.50310000000002</v>
      </c>
      <c r="H5971" s="1">
        <v>-1.6971549999999899E-6</v>
      </c>
      <c r="I5971">
        <v>61.992739999999998</v>
      </c>
      <c r="J5971">
        <v>-421.9923</v>
      </c>
      <c r="K5971">
        <v>1.120735</v>
      </c>
      <c r="L5971">
        <v>81.579099999999997</v>
      </c>
      <c r="M5971">
        <v>4.7391050000000004E-3</v>
      </c>
      <c r="N5971">
        <v>-1.1149920000000001E-2</v>
      </c>
      <c r="O5971">
        <v>-0.9999268</v>
      </c>
      <c r="P5971">
        <v>2.375936E-2</v>
      </c>
      <c r="Q5971">
        <v>-7.6202240000000004E-2</v>
      </c>
      <c r="R5971">
        <v>-0.99680950000000001</v>
      </c>
      <c r="S5971">
        <v>-7.6995850000000005E-2</v>
      </c>
      <c r="T5971">
        <v>-0.16933290000000001</v>
      </c>
      <c r="U5971">
        <v>-2.9984739999999999</v>
      </c>
      <c r="V5971">
        <v>-1.9040290000000001E-2</v>
      </c>
      <c r="W5971">
        <v>-6.5080410000000005E-2</v>
      </c>
      <c r="X5971">
        <v>0.99769839999999999</v>
      </c>
      <c r="Y5971">
        <v>3.0369719999999999E-2</v>
      </c>
      <c r="Z5971">
        <v>4.5223600000000003E-2</v>
      </c>
      <c r="AA5971">
        <v>0.99851509999999999</v>
      </c>
      <c r="AB5971">
        <v>26</v>
      </c>
      <c r="AC5971">
        <v>-0.51080000000001702</v>
      </c>
      <c r="AD5971">
        <v>-1.1207366971549999</v>
      </c>
      <c r="AE5971">
        <v>-19.5863599999999</v>
      </c>
      <c r="AF5971">
        <v>0.60165326295413102</v>
      </c>
      <c r="AG5971">
        <v>-1.1207366971549999</v>
      </c>
      <c r="AH5971">
        <v>19.5198514883472</v>
      </c>
      <c r="AI5971">
        <v>93.284486112436298</v>
      </c>
      <c r="AJ5971">
        <v>88.234552023009002</v>
      </c>
      <c r="AK5971">
        <v>19.561253526303101</v>
      </c>
      <c r="AL5971">
        <v>93.731469904068504</v>
      </c>
      <c r="AM5971">
        <v>91.093312212707403</v>
      </c>
      <c r="AN5971">
        <v>1.0000000448858</v>
      </c>
    </row>
    <row r="5972" spans="1:40" x14ac:dyDescent="0.25">
      <c r="A5972" t="str">
        <f>"20190303154300695"</f>
        <v>20190303154300695</v>
      </c>
      <c r="B5972" t="str">
        <f>"1551598980685937"</f>
        <v>1551598980685937</v>
      </c>
      <c r="C5972" t="s">
        <v>40</v>
      </c>
      <c r="D5972">
        <v>5.4197110000000004</v>
      </c>
      <c r="E5972">
        <v>0.51841570000000003</v>
      </c>
      <c r="F5972" t="s">
        <v>41</v>
      </c>
      <c r="G5972">
        <v>-422.48320000000001</v>
      </c>
      <c r="H5972" s="1">
        <v>-1.6241770000000001E-6</v>
      </c>
      <c r="I5972">
        <v>61.834940000000003</v>
      </c>
      <c r="J5972">
        <v>-421.99099999999999</v>
      </c>
      <c r="K5972">
        <v>1.120735</v>
      </c>
      <c r="L5972">
        <v>81.310269999999903</v>
      </c>
      <c r="M5972">
        <v>4.7123870000000002E-3</v>
      </c>
      <c r="N5972">
        <v>-1.116001E-2</v>
      </c>
      <c r="O5972">
        <v>-0.9999268</v>
      </c>
      <c r="P5972">
        <v>2.376636E-2</v>
      </c>
      <c r="Q5972">
        <v>-7.6352069999999994E-2</v>
      </c>
      <c r="R5972">
        <v>-0.99679790000000001</v>
      </c>
      <c r="S5972">
        <v>-7.455444E-2</v>
      </c>
      <c r="T5972">
        <v>-0.17019519999999999</v>
      </c>
      <c r="U5972">
        <v>-2.9983520000000001</v>
      </c>
      <c r="V5972">
        <v>-1.907437E-2</v>
      </c>
      <c r="W5972">
        <v>-6.5220299999999995E-2</v>
      </c>
      <c r="X5972">
        <v>0.99768860000000004</v>
      </c>
      <c r="Y5972">
        <v>2.9531470000000001E-2</v>
      </c>
      <c r="Z5972">
        <v>4.5503410000000001E-2</v>
      </c>
      <c r="AA5972">
        <v>0.99852759999999996</v>
      </c>
      <c r="AB5972">
        <v>26</v>
      </c>
      <c r="AC5972">
        <v>-0.49220000000002501</v>
      </c>
      <c r="AD5972">
        <v>-1.12073662417699</v>
      </c>
      <c r="AE5972">
        <v>-19.4753299999999</v>
      </c>
      <c r="AF5972">
        <v>0.58204924323640195</v>
      </c>
      <c r="AG5972">
        <v>-1.12073662417699</v>
      </c>
      <c r="AH5972">
        <v>19.408561842617502</v>
      </c>
      <c r="AI5972">
        <v>93.303361153135199</v>
      </c>
      <c r="AJ5972">
        <v>88.282254336422795</v>
      </c>
      <c r="AK5972">
        <v>19.449604229933101</v>
      </c>
      <c r="AL5972">
        <v>93.739502127562901</v>
      </c>
      <c r="AM5972">
        <v>91.095279399494203</v>
      </c>
      <c r="AN5972">
        <v>1.00000003084647</v>
      </c>
    </row>
    <row r="5973" spans="1:40" x14ac:dyDescent="0.25">
      <c r="A5973" t="str">
        <f>"20190303154300718"</f>
        <v>20190303154300718</v>
      </c>
      <c r="B5973" t="str">
        <f>"1551598980706429"</f>
        <v>1551598980706429</v>
      </c>
      <c r="C5973" t="s">
        <v>40</v>
      </c>
      <c r="D5973">
        <v>5.4455159999999996</v>
      </c>
      <c r="E5973">
        <v>0.51749319999999999</v>
      </c>
      <c r="F5973" t="s">
        <v>41</v>
      </c>
      <c r="G5973">
        <v>-422.49169999999998</v>
      </c>
      <c r="H5973" s="1">
        <v>-1.3171550000000001E-6</v>
      </c>
      <c r="I5973">
        <v>61.113990000000001</v>
      </c>
      <c r="J5973">
        <v>-421.98989999999998</v>
      </c>
      <c r="K5973">
        <v>1.120735</v>
      </c>
      <c r="L5973">
        <v>81.057069999999996</v>
      </c>
      <c r="M5973">
        <v>4.6869329999999999E-3</v>
      </c>
      <c r="N5973">
        <v>-1.1188709999999999E-2</v>
      </c>
      <c r="O5973">
        <v>-0.9999266</v>
      </c>
      <c r="P5973">
        <v>2.3711929999999999E-2</v>
      </c>
      <c r="Q5973">
        <v>-7.6744610000000005E-2</v>
      </c>
      <c r="R5973">
        <v>-0.99676900000000002</v>
      </c>
      <c r="S5973">
        <v>-7.4340820000000002E-2</v>
      </c>
      <c r="T5973">
        <v>-0.1664021</v>
      </c>
      <c r="U5973">
        <v>-2.9986570000000001</v>
      </c>
      <c r="V5973">
        <v>-1.9045369999999999E-2</v>
      </c>
      <c r="W5973">
        <v>-6.5584509999999999E-2</v>
      </c>
      <c r="X5973">
        <v>0.99766520000000003</v>
      </c>
      <c r="Y5973">
        <v>2.9434060000000001E-2</v>
      </c>
      <c r="Z5973">
        <v>4.4209930000000001E-2</v>
      </c>
      <c r="AA5973">
        <v>0.99858860000000005</v>
      </c>
      <c r="AB5973">
        <v>26</v>
      </c>
      <c r="AC5973">
        <v>-0.50180000000000202</v>
      </c>
      <c r="AD5973">
        <v>-1.120736317155</v>
      </c>
      <c r="AE5973">
        <v>-19.943079999999899</v>
      </c>
      <c r="AF5973">
        <v>0.59339938788538804</v>
      </c>
      <c r="AG5973">
        <v>-1.120736317155</v>
      </c>
      <c r="AH5973">
        <v>19.877773095317298</v>
      </c>
      <c r="AI5973">
        <v>93.225564828847197</v>
      </c>
      <c r="AJ5973">
        <v>88.290090843932703</v>
      </c>
      <c r="AK5973">
        <v>19.918183550591401</v>
      </c>
      <c r="AL5973">
        <v>93.760414891458595</v>
      </c>
      <c r="AM5973">
        <v>91.093640224259403</v>
      </c>
      <c r="AN5973">
        <v>0.99999995268070696</v>
      </c>
    </row>
    <row r="5974" spans="1:40" x14ac:dyDescent="0.25">
      <c r="A5974" t="str">
        <f>"20190303154300738"</f>
        <v>20190303154300738</v>
      </c>
      <c r="B5974" t="str">
        <f>"1551598980725949"</f>
        <v>1551598980725949</v>
      </c>
      <c r="C5974" t="s">
        <v>40</v>
      </c>
      <c r="D5974">
        <v>5.4167129999999997</v>
      </c>
      <c r="E5974">
        <v>0.51655269999999998</v>
      </c>
      <c r="F5974" t="s">
        <v>41</v>
      </c>
      <c r="G5974">
        <v>-422.44389999999999</v>
      </c>
      <c r="H5974" s="1">
        <v>-1.160255E-6</v>
      </c>
      <c r="I5974">
        <v>60.777900000000002</v>
      </c>
      <c r="J5974">
        <v>-421.98880000000003</v>
      </c>
      <c r="K5974">
        <v>1.1207419999999999</v>
      </c>
      <c r="L5974">
        <v>80.806550000000001</v>
      </c>
      <c r="M5974">
        <v>4.6619540000000003E-3</v>
      </c>
      <c r="N5974">
        <v>-1.12424E-2</v>
      </c>
      <c r="O5974">
        <v>-0.99992610000000004</v>
      </c>
      <c r="P5974">
        <v>2.390318E-2</v>
      </c>
      <c r="Q5974">
        <v>-7.6173580000000005E-2</v>
      </c>
      <c r="R5974">
        <v>-0.99680840000000004</v>
      </c>
      <c r="S5974">
        <v>-6.7138669999999998E-2</v>
      </c>
      <c r="T5974">
        <v>-0.16571520000000001</v>
      </c>
      <c r="U5974">
        <v>-2.998535</v>
      </c>
      <c r="V5974">
        <v>-1.9261179999999999E-2</v>
      </c>
      <c r="W5974">
        <v>-6.4959439999999993E-2</v>
      </c>
      <c r="X5974">
        <v>0.99770199999999998</v>
      </c>
      <c r="Y5974">
        <v>2.7014E-2</v>
      </c>
      <c r="Z5974">
        <v>4.3933979999999997E-2</v>
      </c>
      <c r="AA5974">
        <v>0.99866909999999998</v>
      </c>
      <c r="AB5974">
        <v>26</v>
      </c>
      <c r="AC5974">
        <v>-0.45509999999995798</v>
      </c>
      <c r="AD5974">
        <v>-1.120743160255</v>
      </c>
      <c r="AE5974">
        <v>-20.028649999999999</v>
      </c>
      <c r="AF5974">
        <v>0.54676245331115303</v>
      </c>
      <c r="AG5974">
        <v>-1.120743160255</v>
      </c>
      <c r="AH5974">
        <v>19.963832322599501</v>
      </c>
      <c r="AI5974">
        <v>93.211934850213396</v>
      </c>
      <c r="AJ5974">
        <v>88.431195407666394</v>
      </c>
      <c r="AK5974">
        <v>20.002740197694902</v>
      </c>
      <c r="AL5974">
        <v>93.724524298818906</v>
      </c>
      <c r="AM5974">
        <v>91.105988811939696</v>
      </c>
      <c r="AN5974">
        <v>1.00000000135205</v>
      </c>
    </row>
    <row r="5975" spans="1:40" x14ac:dyDescent="0.25">
      <c r="A5975" t="str">
        <f>"20190303154300761"</f>
        <v>20190303154300761</v>
      </c>
      <c r="B5975" t="str">
        <f>"1551598980756205"</f>
        <v>1551598980756205</v>
      </c>
      <c r="C5975" t="s">
        <v>40</v>
      </c>
      <c r="D5975">
        <v>5.4338629999999997</v>
      </c>
      <c r="E5975">
        <v>0.51510559999999905</v>
      </c>
      <c r="F5975" t="s">
        <v>41</v>
      </c>
      <c r="G5975">
        <v>-422.39699999999999</v>
      </c>
      <c r="H5975" s="1">
        <v>-8.3746259999999904E-7</v>
      </c>
      <c r="I5975">
        <v>60.054560000000002</v>
      </c>
      <c r="J5975">
        <v>-421.98750000000001</v>
      </c>
      <c r="K5975">
        <v>1.1207530000000001</v>
      </c>
      <c r="L5975">
        <v>80.54486</v>
      </c>
      <c r="M5975">
        <v>4.6349329999999999E-3</v>
      </c>
      <c r="N5975">
        <v>-1.131717E-2</v>
      </c>
      <c r="O5975">
        <v>-0.99992539999999996</v>
      </c>
      <c r="P5975">
        <v>2.4323569999999999E-2</v>
      </c>
      <c r="Q5975">
        <v>-7.674868E-2</v>
      </c>
      <c r="R5975">
        <v>-0.99675389999999997</v>
      </c>
      <c r="S5975">
        <v>-5.8990479999999998E-2</v>
      </c>
      <c r="T5975">
        <v>-0.16194549999999999</v>
      </c>
      <c r="U5975">
        <v>-2.9986269999999999</v>
      </c>
      <c r="V5975">
        <v>-1.970916E-2</v>
      </c>
      <c r="W5975">
        <v>-6.5460420000000005E-2</v>
      </c>
      <c r="X5975">
        <v>0.99766049999999995</v>
      </c>
      <c r="Y5975">
        <v>2.4275979999999999E-2</v>
      </c>
      <c r="Z5975">
        <v>4.2609269999999998E-2</v>
      </c>
      <c r="AA5975">
        <v>0.99879680000000004</v>
      </c>
      <c r="AB5975">
        <v>26</v>
      </c>
      <c r="AC5975">
        <v>-0.40949999999997899</v>
      </c>
      <c r="AD5975">
        <v>-1.1207538374626</v>
      </c>
      <c r="AE5975">
        <v>-20.490300000000001</v>
      </c>
      <c r="AF5975">
        <v>0.50296868283269702</v>
      </c>
      <c r="AG5975">
        <v>-1.1207538374626</v>
      </c>
      <c r="AH5975">
        <v>20.427093599525101</v>
      </c>
      <c r="AI5975">
        <v>93.139494488652602</v>
      </c>
      <c r="AJ5975">
        <v>88.589512459563906</v>
      </c>
      <c r="AK5975">
        <v>20.4639981329127</v>
      </c>
      <c r="AL5975">
        <v>93.753289585939598</v>
      </c>
      <c r="AM5975">
        <v>91.131752549012703</v>
      </c>
      <c r="AN5975">
        <v>0.99999999541736595</v>
      </c>
    </row>
    <row r="5976" spans="1:40" x14ac:dyDescent="0.25">
      <c r="A5976" t="str">
        <f>"20190303154300783"</f>
        <v>20190303154300783</v>
      </c>
      <c r="B5976" t="str">
        <f>"1551598980776705"</f>
        <v>1551598980776705</v>
      </c>
      <c r="C5976" t="s">
        <v>40</v>
      </c>
      <c r="D5976">
        <v>5.4224990000000002</v>
      </c>
      <c r="E5976">
        <v>0.51428640000000003</v>
      </c>
      <c r="F5976" t="s">
        <v>41</v>
      </c>
      <c r="G5976">
        <v>-422.30309999999997</v>
      </c>
      <c r="H5976" s="1">
        <v>-7.9491989999999998E-7</v>
      </c>
      <c r="I5976">
        <v>60.013640000000002</v>
      </c>
      <c r="J5976">
        <v>-421.9864</v>
      </c>
      <c r="K5976">
        <v>1.120779</v>
      </c>
      <c r="L5976">
        <v>80.285399999999996</v>
      </c>
      <c r="M5976">
        <v>4.6120850000000001E-3</v>
      </c>
      <c r="N5976">
        <v>-1.143105E-2</v>
      </c>
      <c r="O5976">
        <v>-0.99992420000000004</v>
      </c>
      <c r="P5976">
        <v>2.4319540000000001E-2</v>
      </c>
      <c r="Q5976">
        <v>-7.7449390000000007E-2</v>
      </c>
      <c r="R5976">
        <v>-0.99669989999999997</v>
      </c>
      <c r="S5976">
        <v>-4.6081539999999997E-2</v>
      </c>
      <c r="T5976">
        <v>-0.16367010000000001</v>
      </c>
      <c r="U5976">
        <v>-2.998291</v>
      </c>
      <c r="V5976">
        <v>-1.97279E-2</v>
      </c>
      <c r="W5976">
        <v>-6.6048019999999999E-2</v>
      </c>
      <c r="X5976">
        <v>0.99762139999999999</v>
      </c>
      <c r="Y5976">
        <v>1.995734E-2</v>
      </c>
      <c r="Z5976">
        <v>4.3079109999999997E-2</v>
      </c>
      <c r="AA5976">
        <v>0.99887230000000005</v>
      </c>
      <c r="AB5976">
        <v>26</v>
      </c>
      <c r="AC5976">
        <v>-0.31669999999996801</v>
      </c>
      <c r="AD5976">
        <v>-1.1207797949198901</v>
      </c>
      <c r="AE5976">
        <v>-20.27176</v>
      </c>
      <c r="AF5976">
        <v>0.408948063815468</v>
      </c>
      <c r="AG5976">
        <v>-1.1207797949198901</v>
      </c>
      <c r="AH5976">
        <v>20.2083272128048</v>
      </c>
      <c r="AI5976">
        <v>93.173796934182604</v>
      </c>
      <c r="AJ5976">
        <v>88.840685815071694</v>
      </c>
      <c r="AK5976">
        <v>20.243514383806598</v>
      </c>
      <c r="AL5976">
        <v>93.787029609114299</v>
      </c>
      <c r="AM5976">
        <v>91.132872757147496</v>
      </c>
      <c r="AN5976">
        <v>0.99999999436114495</v>
      </c>
    </row>
    <row r="5977" spans="1:40" x14ac:dyDescent="0.25">
      <c r="A5977" t="str">
        <f>"20190303154300806"</f>
        <v>20190303154300806</v>
      </c>
      <c r="B5977" t="str">
        <f>"1551598980796221"</f>
        <v>1551598980796221</v>
      </c>
      <c r="C5977" t="s">
        <v>40</v>
      </c>
      <c r="D5977">
        <v>5.3351470000000001</v>
      </c>
      <c r="E5977">
        <v>0.51361639999999997</v>
      </c>
      <c r="F5977" t="s">
        <v>41</v>
      </c>
      <c r="G5977">
        <v>-422.2534</v>
      </c>
      <c r="H5977" s="1">
        <v>-8.2765079999999997E-7</v>
      </c>
      <c r="I5977">
        <v>60.120739999999998</v>
      </c>
      <c r="J5977">
        <v>-421.98520000000002</v>
      </c>
      <c r="K5977">
        <v>1.1208119999999999</v>
      </c>
      <c r="L5977">
        <v>80.021419999999907</v>
      </c>
      <c r="M5977">
        <v>4.5932250000000003E-3</v>
      </c>
      <c r="N5977">
        <v>-1.161277E-2</v>
      </c>
      <c r="O5977">
        <v>-0.99992230000000004</v>
      </c>
      <c r="P5977">
        <v>2.400507E-2</v>
      </c>
      <c r="Q5977">
        <v>-7.8884919999999997E-2</v>
      </c>
      <c r="R5977">
        <v>-0.99659509999999996</v>
      </c>
      <c r="S5977">
        <v>-3.9703370000000002E-2</v>
      </c>
      <c r="T5977">
        <v>-0.16663049999999999</v>
      </c>
      <c r="U5977">
        <v>-2.9979550000000001</v>
      </c>
      <c r="V5977">
        <v>-1.943371E-2</v>
      </c>
      <c r="W5977">
        <v>-6.7303370000000001E-2</v>
      </c>
      <c r="X5977">
        <v>0.99754330000000002</v>
      </c>
      <c r="Y5977">
        <v>1.78155999999999E-2</v>
      </c>
      <c r="Z5977">
        <v>4.3889060000000001E-2</v>
      </c>
      <c r="AA5977">
        <v>0.99887749999999997</v>
      </c>
      <c r="AB5977">
        <v>26</v>
      </c>
      <c r="AC5977">
        <v>-0.26819999999997801</v>
      </c>
      <c r="AD5977">
        <v>-1.1208128276508</v>
      </c>
      <c r="AE5977">
        <v>-19.900679999999898</v>
      </c>
      <c r="AF5977">
        <v>0.35847474181261701</v>
      </c>
      <c r="AG5977">
        <v>-1.1208128276508</v>
      </c>
      <c r="AH5977">
        <v>19.836329055224201</v>
      </c>
      <c r="AI5977">
        <v>93.233420068482801</v>
      </c>
      <c r="AJ5977">
        <v>88.964684733850206</v>
      </c>
      <c r="AK5977">
        <v>19.8712021760707</v>
      </c>
      <c r="AL5977">
        <v>93.859116170938293</v>
      </c>
      <c r="AM5977">
        <v>91.1160705803225</v>
      </c>
      <c r="AN5977">
        <v>1.0000000240363001</v>
      </c>
    </row>
    <row r="5978" spans="1:40" x14ac:dyDescent="0.25">
      <c r="A5978" t="str">
        <f>"20190303154300828"</f>
        <v>20190303154300828</v>
      </c>
      <c r="B5978" t="str">
        <f>"1551598980816718"</f>
        <v>1551598980816718</v>
      </c>
      <c r="C5978" t="s">
        <v>40</v>
      </c>
      <c r="D5978">
        <v>5.3840769999999996</v>
      </c>
      <c r="E5978">
        <v>0.51293789999999995</v>
      </c>
      <c r="F5978" t="s">
        <v>41</v>
      </c>
      <c r="G5978">
        <v>-422.21870000000001</v>
      </c>
      <c r="H5978" s="1">
        <v>-8.7221319999999896E-7</v>
      </c>
      <c r="I5978">
        <v>60.246160000000003</v>
      </c>
      <c r="J5978">
        <v>-421.98399999999998</v>
      </c>
      <c r="K5978">
        <v>1.120844</v>
      </c>
      <c r="L5978">
        <v>79.771850000000001</v>
      </c>
      <c r="M5978">
        <v>4.5698589999999999E-3</v>
      </c>
      <c r="N5978">
        <v>-1.1827549999999999E-2</v>
      </c>
      <c r="O5978">
        <v>-0.99991989999999997</v>
      </c>
      <c r="P5978">
        <v>2.3440450000000002E-2</v>
      </c>
      <c r="Q5978">
        <v>-7.9759739999999996E-2</v>
      </c>
      <c r="R5978">
        <v>-0.99653899999999995</v>
      </c>
      <c r="S5978">
        <v>-3.5400389999999997E-2</v>
      </c>
      <c r="T5978">
        <v>-0.169901</v>
      </c>
      <c r="U5978">
        <v>-2.997681</v>
      </c>
      <c r="V5978">
        <v>-1.8892019999999999E-2</v>
      </c>
      <c r="W5978">
        <v>-6.7964739999999996E-2</v>
      </c>
      <c r="X5978">
        <v>0.99750879999999997</v>
      </c>
      <c r="Y5978">
        <v>1.635971E-2</v>
      </c>
      <c r="Z5978">
        <v>4.4767170000000002E-2</v>
      </c>
      <c r="AA5978">
        <v>0.99886350000000002</v>
      </c>
      <c r="AB5978">
        <v>26</v>
      </c>
      <c r="AC5978">
        <v>-0.23469999999997501</v>
      </c>
      <c r="AD5978">
        <v>-1.1208448722131901</v>
      </c>
      <c r="AE5978">
        <v>-19.525690000000001</v>
      </c>
      <c r="AF5978">
        <v>0.32286965734279099</v>
      </c>
      <c r="AG5978">
        <v>-1.1208448722131901</v>
      </c>
      <c r="AH5978">
        <v>19.460297679833001</v>
      </c>
      <c r="AI5978">
        <v>93.295941397586006</v>
      </c>
      <c r="AJ5978">
        <v>89.049481570965398</v>
      </c>
      <c r="AK5978">
        <v>19.4952231028761</v>
      </c>
      <c r="AL5978">
        <v>93.897097097941497</v>
      </c>
      <c r="AM5978">
        <v>91.085006588228694</v>
      </c>
      <c r="AN5978">
        <v>0.99999996019019299</v>
      </c>
    </row>
    <row r="5979" spans="1:40" x14ac:dyDescent="0.25">
      <c r="A5979" t="str">
        <f>"20190303154300850"</f>
        <v>20190303154300850</v>
      </c>
      <c r="B5979" t="str">
        <f>"1551598980845998"</f>
        <v>1551598980845998</v>
      </c>
      <c r="C5979" t="s">
        <v>40</v>
      </c>
      <c r="D5979">
        <v>5.3310979999999999</v>
      </c>
      <c r="E5979">
        <v>0.51218330000000001</v>
      </c>
      <c r="F5979" t="s">
        <v>41</v>
      </c>
      <c r="G5979">
        <v>-422.18889999999999</v>
      </c>
      <c r="H5979" s="1">
        <v>-8.9180629999999996E-7</v>
      </c>
      <c r="I5979">
        <v>60.310319999999997</v>
      </c>
      <c r="J5979">
        <v>-421.98289999999997</v>
      </c>
      <c r="K5979">
        <v>1.1208819999999999</v>
      </c>
      <c r="L5979">
        <v>79.510959999999997</v>
      </c>
      <c r="M5979">
        <v>4.5412539999999998E-3</v>
      </c>
      <c r="N5979">
        <v>-1.2053650000000001E-2</v>
      </c>
      <c r="O5979">
        <v>-0.99991699999999994</v>
      </c>
      <c r="P5979">
        <v>2.3003740000000002E-2</v>
      </c>
      <c r="Q5979">
        <v>-8.0559809999999996E-2</v>
      </c>
      <c r="R5979">
        <v>-0.9964845</v>
      </c>
      <c r="S5979">
        <v>-3.1555180000000002E-2</v>
      </c>
      <c r="T5979">
        <v>-0.17262729999999901</v>
      </c>
      <c r="U5979">
        <v>-2.9973749999999999</v>
      </c>
      <c r="V5979">
        <v>-1.8483659999999999E-2</v>
      </c>
      <c r="W5979">
        <v>-6.854006E-2</v>
      </c>
      <c r="X5979">
        <v>0.99747710000000001</v>
      </c>
      <c r="Y5979">
        <v>1.505105E-2</v>
      </c>
      <c r="Z5979">
        <v>4.5453649999999998E-2</v>
      </c>
      <c r="AA5979">
        <v>0.99885310000000005</v>
      </c>
      <c r="AB5979">
        <v>26</v>
      </c>
      <c r="AC5979">
        <v>-0.206000000000017</v>
      </c>
      <c r="AD5979">
        <v>-1.1208828918063001</v>
      </c>
      <c r="AE5979">
        <v>-19.20064</v>
      </c>
      <c r="AF5979">
        <v>0.29220350635081499</v>
      </c>
      <c r="AG5979">
        <v>-1.1208828918063001</v>
      </c>
      <c r="AH5979">
        <v>19.134305786343699</v>
      </c>
      <c r="AI5979">
        <v>93.352151262064595</v>
      </c>
      <c r="AJ5979">
        <v>89.125093610521702</v>
      </c>
      <c r="AK5979">
        <v>19.169335389407099</v>
      </c>
      <c r="AL5979">
        <v>93.930137495744603</v>
      </c>
      <c r="AM5979">
        <v>91.061592809567998</v>
      </c>
      <c r="AN5979">
        <v>0.99999997526810402</v>
      </c>
    </row>
    <row r="5980" spans="1:40" x14ac:dyDescent="0.25">
      <c r="A5980" t="str">
        <f>"20190303154300873"</f>
        <v>20190303154300873</v>
      </c>
      <c r="B5980" t="str">
        <f>"1551598980866493"</f>
        <v>1551598980866493</v>
      </c>
      <c r="C5980" t="s">
        <v>40</v>
      </c>
      <c r="D5980">
        <v>5.3616250000000001</v>
      </c>
      <c r="E5980">
        <v>0.51153459999999995</v>
      </c>
      <c r="F5980" t="s">
        <v>41</v>
      </c>
      <c r="G5980">
        <v>-422.15469999999999</v>
      </c>
      <c r="H5980" s="1">
        <v>-8.192525E-7</v>
      </c>
      <c r="I5980">
        <v>60.162399999999998</v>
      </c>
      <c r="J5980">
        <v>-421.98180000000002</v>
      </c>
      <c r="K5980">
        <v>1.1209100000000001</v>
      </c>
      <c r="L5980">
        <v>79.253780000000006</v>
      </c>
      <c r="M5980">
        <v>4.5118490000000001E-3</v>
      </c>
      <c r="N5980">
        <v>-1.225882E-2</v>
      </c>
      <c r="O5980">
        <v>-0.99991490000000005</v>
      </c>
      <c r="P5980">
        <v>2.236339E-2</v>
      </c>
      <c r="Q5980">
        <v>-8.0793840000000006E-2</v>
      </c>
      <c r="R5980">
        <v>-0.99648040000000004</v>
      </c>
      <c r="S5980">
        <v>-2.6611329999999999E-2</v>
      </c>
      <c r="T5980">
        <v>-0.173628799999999</v>
      </c>
      <c r="U5980">
        <v>-2.9971619999999999</v>
      </c>
      <c r="V5980">
        <v>-1.7871959999999999E-2</v>
      </c>
      <c r="W5980">
        <v>-6.8569619999999998E-2</v>
      </c>
      <c r="X5980">
        <v>0.99748619999999999</v>
      </c>
      <c r="Y5980">
        <v>1.3375430000000001E-2</v>
      </c>
      <c r="Z5980">
        <v>4.5586630000000003E-2</v>
      </c>
      <c r="AA5980">
        <v>0.99887079999999995</v>
      </c>
      <c r="AB5980">
        <v>26</v>
      </c>
      <c r="AC5980">
        <v>-0.17289999999996999</v>
      </c>
      <c r="AD5980">
        <v>-1.1209108192524999</v>
      </c>
      <c r="AE5980">
        <v>-19.091380000000001</v>
      </c>
      <c r="AF5980">
        <v>0.25815228599298301</v>
      </c>
      <c r="AG5980">
        <v>-1.1209108192524999</v>
      </c>
      <c r="AH5980">
        <v>19.024828333021699</v>
      </c>
      <c r="AI5980">
        <v>93.371563030185797</v>
      </c>
      <c r="AJ5980">
        <v>89.222588056754901</v>
      </c>
      <c r="AK5980">
        <v>19.059569165341198</v>
      </c>
      <c r="AL5980">
        <v>93.931835215253102</v>
      </c>
      <c r="AM5980">
        <v>91.026458639306796</v>
      </c>
      <c r="AN5980">
        <v>0.99999995946581199</v>
      </c>
    </row>
    <row r="5981" spans="1:40" x14ac:dyDescent="0.25">
      <c r="A5981" t="str">
        <f>"20190303154300895"</f>
        <v>20190303154300895</v>
      </c>
      <c r="B5981" t="str">
        <f>"1551598980886014"</f>
        <v>1551598980886014</v>
      </c>
      <c r="C5981" t="s">
        <v>40</v>
      </c>
      <c r="D5981">
        <v>5.4014519999999999</v>
      </c>
      <c r="E5981">
        <v>0.51101200000000002</v>
      </c>
      <c r="F5981" t="s">
        <v>41</v>
      </c>
      <c r="G5981">
        <v>-422.13420000000002</v>
      </c>
      <c r="H5981" s="1">
        <v>-7.8794019999999898E-7</v>
      </c>
      <c r="I5981">
        <v>60.102089999999997</v>
      </c>
      <c r="J5981">
        <v>-421.98070000000001</v>
      </c>
      <c r="K5981">
        <v>1.120933</v>
      </c>
      <c r="L5981">
        <v>78.997959999999907</v>
      </c>
      <c r="M5981">
        <v>4.4847439999999997E-3</v>
      </c>
      <c r="N5981">
        <v>-1.244785E-2</v>
      </c>
      <c r="O5981">
        <v>-0.99991269999999999</v>
      </c>
      <c r="P5981">
        <v>2.236809E-2</v>
      </c>
      <c r="Q5981">
        <v>-8.0529009999999998E-2</v>
      </c>
      <c r="R5981">
        <v>-0.99650159999999999</v>
      </c>
      <c r="S5981">
        <v>-2.3864750000000001E-2</v>
      </c>
      <c r="T5981">
        <v>-0.1754019</v>
      </c>
      <c r="U5981">
        <v>-2.9968870000000001</v>
      </c>
      <c r="V5981">
        <v>-1.7903430000000001E-2</v>
      </c>
      <c r="W5981">
        <v>-6.8116019999999999E-2</v>
      </c>
      <c r="X5981">
        <v>0.99751679999999998</v>
      </c>
      <c r="Y5981">
        <v>1.243388E-2</v>
      </c>
      <c r="Z5981">
        <v>4.5992659999999998E-2</v>
      </c>
      <c r="AA5981">
        <v>0.99886439999999999</v>
      </c>
      <c r="AB5981">
        <v>26</v>
      </c>
      <c r="AC5981">
        <v>-0.15350000000000799</v>
      </c>
      <c r="AD5981">
        <v>-1.1209337879401999</v>
      </c>
      <c r="AE5981">
        <v>-18.895869999999899</v>
      </c>
      <c r="AF5981">
        <v>0.23741272851353601</v>
      </c>
      <c r="AG5981">
        <v>-1.1209337879401999</v>
      </c>
      <c r="AH5981">
        <v>18.828736483263398</v>
      </c>
      <c r="AI5981">
        <v>93.406706247311206</v>
      </c>
      <c r="AJ5981">
        <v>89.277592177573297</v>
      </c>
      <c r="AK5981">
        <v>18.863567396353702</v>
      </c>
      <c r="AL5981">
        <v>93.905784603053107</v>
      </c>
      <c r="AM5981">
        <v>91.028234163929895</v>
      </c>
      <c r="AN5981">
        <v>1.0000000456343201</v>
      </c>
    </row>
    <row r="5982" spans="1:40" x14ac:dyDescent="0.25">
      <c r="A5982" t="str">
        <f>"20190303154300919"</f>
        <v>20190303154300919</v>
      </c>
      <c r="B5982" t="str">
        <f>"1551598980906510"</f>
        <v>1551598980906510</v>
      </c>
      <c r="C5982" t="s">
        <v>40</v>
      </c>
      <c r="D5982">
        <v>5.2997439999999996</v>
      </c>
      <c r="E5982">
        <v>0.51058700000000001</v>
      </c>
      <c r="F5982" t="s">
        <v>41</v>
      </c>
      <c r="G5982">
        <v>-422.10539999999997</v>
      </c>
      <c r="H5982" s="1">
        <v>-6.2026299999999995E-7</v>
      </c>
      <c r="I5982">
        <v>59.729100000000003</v>
      </c>
      <c r="J5982">
        <v>-421.97949999999997</v>
      </c>
      <c r="K5982">
        <v>1.1209359999999999</v>
      </c>
      <c r="L5982">
        <v>78.735810000000001</v>
      </c>
      <c r="M5982">
        <v>4.4606589999999996E-3</v>
      </c>
      <c r="N5982">
        <v>-1.2627869999999999E-2</v>
      </c>
      <c r="O5982">
        <v>-0.99991059999999998</v>
      </c>
      <c r="P5982">
        <v>2.2591099999999999E-2</v>
      </c>
      <c r="Q5982">
        <v>-8.0557149999999994E-2</v>
      </c>
      <c r="R5982">
        <v>-0.9964944</v>
      </c>
      <c r="S5982">
        <v>-1.9409180000000002E-2</v>
      </c>
      <c r="T5982">
        <v>-0.17433709999999999</v>
      </c>
      <c r="U5982">
        <v>-2.9968569999999999</v>
      </c>
      <c r="V5982">
        <v>-1.8150960000000001E-2</v>
      </c>
      <c r="W5982">
        <v>-6.7964549999999999E-2</v>
      </c>
      <c r="X5982">
        <v>0.99752260000000004</v>
      </c>
      <c r="Y5982">
        <v>1.092565E-2</v>
      </c>
      <c r="Z5982">
        <v>4.5460599999999997E-2</v>
      </c>
      <c r="AA5982">
        <v>0.99890639999999997</v>
      </c>
      <c r="AB5982">
        <v>26</v>
      </c>
      <c r="AC5982">
        <v>-0.12590000000000101</v>
      </c>
      <c r="AD5982">
        <v>-1.120936620263</v>
      </c>
      <c r="AE5982">
        <v>-19.006710000000002</v>
      </c>
      <c r="AF5982">
        <v>0.209957703610966</v>
      </c>
      <c r="AG5982">
        <v>-1.120936620263</v>
      </c>
      <c r="AH5982">
        <v>18.940085679506101</v>
      </c>
      <c r="AI5982">
        <v>93.386794422611104</v>
      </c>
      <c r="AJ5982">
        <v>89.364881565168702</v>
      </c>
      <c r="AK5982">
        <v>18.974388704013201</v>
      </c>
      <c r="AL5982">
        <v>93.8970860800829</v>
      </c>
      <c r="AM5982">
        <v>91.042441191762705</v>
      </c>
      <c r="AN5982">
        <v>0.99999998745819196</v>
      </c>
    </row>
    <row r="5983" spans="1:40" x14ac:dyDescent="0.25">
      <c r="A5983" t="str">
        <f>"20190303154300940"</f>
        <v>20190303154300940</v>
      </c>
      <c r="B5983" t="str">
        <f>"1551598980936767"</f>
        <v>1551598980936767</v>
      </c>
      <c r="C5983" t="s">
        <v>40</v>
      </c>
      <c r="D5983">
        <v>5.3350669999999996</v>
      </c>
      <c r="E5983">
        <v>0.50985429999999998</v>
      </c>
      <c r="F5983" t="s">
        <v>41</v>
      </c>
      <c r="G5983">
        <v>-422.07749999999999</v>
      </c>
      <c r="H5983" s="1">
        <v>-4.5795510000000003E-6</v>
      </c>
      <c r="I5983">
        <v>59.361080000000001</v>
      </c>
      <c r="J5983">
        <v>-421.97840000000002</v>
      </c>
      <c r="K5983">
        <v>1.120949</v>
      </c>
      <c r="L5983">
        <v>78.480500000000006</v>
      </c>
      <c r="M5983">
        <v>4.4374749999999998E-3</v>
      </c>
      <c r="N5983">
        <v>-1.278762E-2</v>
      </c>
      <c r="O5983">
        <v>-0.99990840000000003</v>
      </c>
      <c r="P5983">
        <v>2.3149070000000001E-2</v>
      </c>
      <c r="Q5983">
        <v>-8.0717209999999998E-2</v>
      </c>
      <c r="R5983">
        <v>-0.99646820000000003</v>
      </c>
      <c r="S5983">
        <v>-1.516724E-2</v>
      </c>
      <c r="T5983">
        <v>-0.1733856</v>
      </c>
      <c r="U5983">
        <v>-2.9968569999999999</v>
      </c>
      <c r="V5983">
        <v>-1.8732200000000001E-2</v>
      </c>
      <c r="W5983">
        <v>-6.7965440000000002E-2</v>
      </c>
      <c r="X5983">
        <v>0.99751179999999995</v>
      </c>
      <c r="Y5983">
        <v>9.4893040000000005E-3</v>
      </c>
      <c r="Z5983">
        <v>4.4985579999999997E-2</v>
      </c>
      <c r="AA5983">
        <v>0.99894260000000001</v>
      </c>
      <c r="AB5983">
        <v>26</v>
      </c>
      <c r="AC5983">
        <v>-9.9099999999964397E-2</v>
      </c>
      <c r="AD5983">
        <v>-1.1209535795509999</v>
      </c>
      <c r="AE5983">
        <v>-19.119420000000002</v>
      </c>
      <c r="AF5983">
        <v>0.18331779559460801</v>
      </c>
      <c r="AG5983">
        <v>-1.1209535795509999</v>
      </c>
      <c r="AH5983">
        <v>19.0533005207364</v>
      </c>
      <c r="AI5983">
        <v>93.366818226206803</v>
      </c>
      <c r="AJ5983">
        <v>89.448756297790794</v>
      </c>
      <c r="AK5983">
        <v>19.087126632240501</v>
      </c>
      <c r="AL5983">
        <v>93.897137166972598</v>
      </c>
      <c r="AM5983">
        <v>91.075826736872799</v>
      </c>
      <c r="AN5983">
        <v>0.99999999374523596</v>
      </c>
    </row>
    <row r="5984" spans="1:40" x14ac:dyDescent="0.25">
      <c r="A5984" t="str">
        <f>"20190303154300963"</f>
        <v>20190303154300963</v>
      </c>
      <c r="B5984" t="str">
        <f>"1551598980956292"</f>
        <v>1551598980956292</v>
      </c>
      <c r="C5984" t="s">
        <v>40</v>
      </c>
      <c r="D5984">
        <v>5.3543830000000003</v>
      </c>
      <c r="E5984">
        <v>0.50937489999999996</v>
      </c>
      <c r="F5984" t="s">
        <v>41</v>
      </c>
      <c r="G5984">
        <v>-422.02760000000001</v>
      </c>
      <c r="H5984" s="1">
        <v>-4.5251960000000002E-6</v>
      </c>
      <c r="I5984">
        <v>59.227409999999999</v>
      </c>
      <c r="J5984">
        <v>-421.97719999999998</v>
      </c>
      <c r="K5984">
        <v>1.120965</v>
      </c>
      <c r="L5984">
        <v>78.220429999999993</v>
      </c>
      <c r="M5984">
        <v>4.4128099999999996E-3</v>
      </c>
      <c r="N5984">
        <v>-1.293241E-2</v>
      </c>
      <c r="O5984">
        <v>-0.99990699999999999</v>
      </c>
      <c r="P5984">
        <v>2.338353E-2</v>
      </c>
      <c r="Q5984">
        <v>-8.087896E-2</v>
      </c>
      <c r="R5984">
        <v>-0.99645019999999995</v>
      </c>
      <c r="S5984">
        <v>-7.6599119999999996E-3</v>
      </c>
      <c r="T5984">
        <v>-0.1744723</v>
      </c>
      <c r="U5984">
        <v>-2.9966740000000001</v>
      </c>
      <c r="V5984">
        <v>-1.8991879999999999E-2</v>
      </c>
      <c r="W5984">
        <v>-6.7982899999999999E-2</v>
      </c>
      <c r="X5984">
        <v>0.99750570000000005</v>
      </c>
      <c r="Y5984">
        <v>6.9634519999999898E-3</v>
      </c>
      <c r="Z5984">
        <v>4.5206459999999997E-2</v>
      </c>
      <c r="AA5984">
        <v>0.99895339999999999</v>
      </c>
      <c r="AB5984">
        <v>26</v>
      </c>
      <c r="AC5984">
        <v>-5.0400000000024599E-2</v>
      </c>
      <c r="AD5984">
        <v>-1.1209695251959999</v>
      </c>
      <c r="AE5984">
        <v>-18.993020000000001</v>
      </c>
      <c r="AF5984">
        <v>0.13375316838475601</v>
      </c>
      <c r="AG5984">
        <v>-1.1209695251959999</v>
      </c>
      <c r="AH5984">
        <v>18.926684446128199</v>
      </c>
      <c r="AI5984">
        <v>93.389409463881407</v>
      </c>
      <c r="AJ5984">
        <v>89.595102644845596</v>
      </c>
      <c r="AK5984">
        <v>18.9603229590052</v>
      </c>
      <c r="AL5984">
        <v>93.898139869991596</v>
      </c>
      <c r="AM5984">
        <v>91.090743755282503</v>
      </c>
      <c r="AN5984">
        <v>0.99999999386541705</v>
      </c>
    </row>
    <row r="5985" spans="1:40" x14ac:dyDescent="0.25">
      <c r="A5985" t="str">
        <f>"20190303154300984"</f>
        <v>20190303154300984</v>
      </c>
      <c r="B5985" t="str">
        <f>"1551598980975806"</f>
        <v>1551598980975806</v>
      </c>
      <c r="C5985" t="s">
        <v>40</v>
      </c>
      <c r="D5985">
        <v>5.3387969999999996</v>
      </c>
      <c r="E5985">
        <v>0.50899419999999995</v>
      </c>
      <c r="F5985" t="s">
        <v>41</v>
      </c>
      <c r="G5985">
        <v>-421.99860000000001</v>
      </c>
      <c r="H5985" s="1">
        <v>-4.4834839999999999E-6</v>
      </c>
      <c r="I5985">
        <v>59.119919999999901</v>
      </c>
      <c r="J5985">
        <v>-421.97620000000001</v>
      </c>
      <c r="K5985">
        <v>1.120973</v>
      </c>
      <c r="L5985">
        <v>77.97336</v>
      </c>
      <c r="M5985">
        <v>4.3880200000000003E-3</v>
      </c>
      <c r="N5985">
        <v>-1.305402E-2</v>
      </c>
      <c r="O5985">
        <v>-0.99990509999999999</v>
      </c>
      <c r="P5985">
        <v>2.4221639999999999E-2</v>
      </c>
      <c r="Q5985">
        <v>-8.0951819999999994E-2</v>
      </c>
      <c r="R5985">
        <v>-0.99642379999999997</v>
      </c>
      <c r="S5985">
        <v>-3.3569339999999998E-3</v>
      </c>
      <c r="T5985">
        <v>-0.17585780000000001</v>
      </c>
      <c r="U5985">
        <v>-2.9964900000000001</v>
      </c>
      <c r="V5985">
        <v>-1.9854770000000001E-2</v>
      </c>
      <c r="W5985">
        <v>-6.7934679999999997E-2</v>
      </c>
      <c r="X5985">
        <v>0.99749219999999905</v>
      </c>
      <c r="Y5985">
        <v>5.5049299999999999E-3</v>
      </c>
      <c r="Z5985">
        <v>4.5549190000000003E-2</v>
      </c>
      <c r="AA5985">
        <v>0.99894689999999997</v>
      </c>
      <c r="AB5985">
        <v>26</v>
      </c>
      <c r="AC5985">
        <v>-2.24000000000046E-2</v>
      </c>
      <c r="AD5985">
        <v>-1.1209774834840001</v>
      </c>
      <c r="AE5985">
        <v>-18.853439999999999</v>
      </c>
      <c r="AF5985">
        <v>0.104765745040295</v>
      </c>
      <c r="AG5985">
        <v>-1.1209774834840001</v>
      </c>
      <c r="AH5985">
        <v>18.786745566722701</v>
      </c>
      <c r="AI5985">
        <v>93.414653288452499</v>
      </c>
      <c r="AJ5985">
        <v>89.680488949805394</v>
      </c>
      <c r="AK5985">
        <v>18.820450987385701</v>
      </c>
      <c r="AL5985">
        <v>93.895370599180694</v>
      </c>
      <c r="AM5985">
        <v>91.140303977207196</v>
      </c>
      <c r="AN5985">
        <v>1.0000000108496401</v>
      </c>
    </row>
    <row r="5986" spans="1:40" x14ac:dyDescent="0.25">
      <c r="A5986" t="str">
        <f>"20190303154301007"</f>
        <v>20190303154301007</v>
      </c>
      <c r="B5986" t="str">
        <f>"1551598980996302"</f>
        <v>1551598980996302</v>
      </c>
      <c r="C5986" t="s">
        <v>40</v>
      </c>
      <c r="D5986">
        <v>5.3305530000000001</v>
      </c>
      <c r="E5986">
        <v>0.5086522</v>
      </c>
      <c r="F5986" t="s">
        <v>41</v>
      </c>
      <c r="G5986">
        <v>-421.96179999999998</v>
      </c>
      <c r="H5986" s="1">
        <v>-4.3942810000000001E-6</v>
      </c>
      <c r="I5986">
        <v>58.876989999999999</v>
      </c>
      <c r="J5986">
        <v>-421.9751</v>
      </c>
      <c r="K5986">
        <v>1.120978</v>
      </c>
      <c r="L5986">
        <v>77.720309999999998</v>
      </c>
      <c r="M5986">
        <v>4.3624759999999997E-3</v>
      </c>
      <c r="N5986">
        <v>-1.3163970000000001E-2</v>
      </c>
      <c r="O5986">
        <v>-0.99990389999999996</v>
      </c>
      <c r="P5986">
        <v>2.469532E-2</v>
      </c>
      <c r="Q5986">
        <v>-8.1095399999999998E-2</v>
      </c>
      <c r="R5986">
        <v>-0.99640019999999996</v>
      </c>
      <c r="S5986">
        <v>2.2583009999999999E-3</v>
      </c>
      <c r="T5986">
        <v>-0.17589369999999999</v>
      </c>
      <c r="U5986">
        <v>-2.996429</v>
      </c>
      <c r="V5986">
        <v>-2.035319E-2</v>
      </c>
      <c r="W5986">
        <v>-6.7968790000000001E-2</v>
      </c>
      <c r="X5986">
        <v>0.99747980000000003</v>
      </c>
      <c r="Y5986">
        <v>3.6082699999999998E-3</v>
      </c>
      <c r="Z5986">
        <v>4.5452779999999998E-2</v>
      </c>
      <c r="AA5986">
        <v>0.99895999999999996</v>
      </c>
      <c r="AB5986">
        <v>26</v>
      </c>
      <c r="AC5986">
        <v>1.33000000000151E-2</v>
      </c>
      <c r="AD5986">
        <v>-1.120982394281</v>
      </c>
      <c r="AE5986">
        <v>-18.843319999999999</v>
      </c>
      <c r="AF5986">
        <v>6.8667759631903094E-2</v>
      </c>
      <c r="AG5986">
        <v>-1.120982394281</v>
      </c>
      <c r="AH5986">
        <v>18.7767474797046</v>
      </c>
      <c r="AI5986">
        <v>93.416512325376303</v>
      </c>
      <c r="AJ5986">
        <v>89.790466624726307</v>
      </c>
      <c r="AK5986">
        <v>18.810304694663898</v>
      </c>
      <c r="AL5986">
        <v>93.897329606045204</v>
      </c>
      <c r="AM5986">
        <v>91.168936037878197</v>
      </c>
      <c r="AN5986">
        <v>0.99999998008263902</v>
      </c>
    </row>
    <row r="5987" spans="1:40" x14ac:dyDescent="0.25">
      <c r="A5987" t="str">
        <f>"20190303154301029"</f>
        <v>20190303154301029</v>
      </c>
      <c r="B5987" t="str">
        <f>"1551598981026558"</f>
        <v>1551598981026558</v>
      </c>
      <c r="C5987" t="s">
        <v>40</v>
      </c>
      <c r="D5987">
        <v>5.2630410000000003</v>
      </c>
      <c r="E5987">
        <v>0.50810069999999996</v>
      </c>
      <c r="F5987" t="s">
        <v>41</v>
      </c>
      <c r="G5987">
        <v>-421.93470000000002</v>
      </c>
      <c r="H5987" s="1">
        <v>-4.3178469999999998E-6</v>
      </c>
      <c r="I5987">
        <v>58.666499999999999</v>
      </c>
      <c r="J5987">
        <v>-421.97410000000002</v>
      </c>
      <c r="K5987">
        <v>1.1209800000000001</v>
      </c>
      <c r="L5987">
        <v>77.467190000000002</v>
      </c>
      <c r="M5987">
        <v>4.3369979999999999E-3</v>
      </c>
      <c r="N5987">
        <v>-1.3260600000000001E-2</v>
      </c>
      <c r="O5987">
        <v>-0.99990270000000003</v>
      </c>
      <c r="P5987">
        <v>2.523792E-2</v>
      </c>
      <c r="Q5987">
        <v>-8.1474699999999997E-2</v>
      </c>
      <c r="R5987">
        <v>-0.99635580000000001</v>
      </c>
      <c r="S5987">
        <v>6.3476560000000001E-3</v>
      </c>
      <c r="T5987">
        <v>-0.17628189999999999</v>
      </c>
      <c r="U5987">
        <v>-2.9963380000000002</v>
      </c>
      <c r="V5987">
        <v>-2.0922110000000001E-2</v>
      </c>
      <c r="W5987">
        <v>-6.8252190000000004E-2</v>
      </c>
      <c r="X5987">
        <v>0.99744869999999997</v>
      </c>
      <c r="Y5987">
        <v>2.2200570000000001E-3</v>
      </c>
      <c r="Z5987">
        <v>4.5487140000000002E-2</v>
      </c>
      <c r="AA5987">
        <v>0.99896249999999998</v>
      </c>
      <c r="AB5987">
        <v>26</v>
      </c>
      <c r="AC5987">
        <v>3.9400000000000497E-2</v>
      </c>
      <c r="AD5987">
        <v>-1.12098431784699</v>
      </c>
      <c r="AE5987">
        <v>-18.800689999999999</v>
      </c>
      <c r="AF5987">
        <v>4.19967909279702E-2</v>
      </c>
      <c r="AG5987">
        <v>-1.12098431784699</v>
      </c>
      <c r="AH5987">
        <v>18.734082848846899</v>
      </c>
      <c r="AI5987">
        <v>93.424294651830706</v>
      </c>
      <c r="AJ5987">
        <v>89.871558439131903</v>
      </c>
      <c r="AK5987">
        <v>18.767637831084802</v>
      </c>
      <c r="AL5987">
        <v>93.913604936999107</v>
      </c>
      <c r="AM5987">
        <v>91.201638581205998</v>
      </c>
      <c r="AN5987">
        <v>1.00000000262916</v>
      </c>
    </row>
    <row r="5988" spans="1:40" x14ac:dyDescent="0.25">
      <c r="A5988" t="str">
        <f>"20190303154301051"</f>
        <v>20190303154301051</v>
      </c>
      <c r="B5988" t="str">
        <f>"1551598981046095"</f>
        <v>1551598981046095</v>
      </c>
      <c r="C5988" t="s">
        <v>40</v>
      </c>
      <c r="D5988">
        <v>5.3541220000000003</v>
      </c>
      <c r="E5988">
        <v>0.50778369999999995</v>
      </c>
      <c r="F5988" t="s">
        <v>41</v>
      </c>
      <c r="G5988">
        <v>-421.89640000000003</v>
      </c>
      <c r="H5988" s="1">
        <v>-4.2892039999999996E-6</v>
      </c>
      <c r="I5988">
        <v>58.602290000000004</v>
      </c>
      <c r="J5988">
        <v>-421.97289999999998</v>
      </c>
      <c r="K5988">
        <v>1.1209849999999999</v>
      </c>
      <c r="L5988">
        <v>77.207729999999998</v>
      </c>
      <c r="M5988">
        <v>4.3107529999999996E-3</v>
      </c>
      <c r="N5988">
        <v>-1.3346999999999999E-2</v>
      </c>
      <c r="O5988">
        <v>-0.9999015</v>
      </c>
      <c r="P5988">
        <v>2.5201339999999999E-2</v>
      </c>
      <c r="Q5988">
        <v>-8.1534410000000002E-2</v>
      </c>
      <c r="R5988">
        <v>-0.99635169999999995</v>
      </c>
      <c r="S5988">
        <v>1.2329100000000001E-2</v>
      </c>
      <c r="T5988">
        <v>-0.178033</v>
      </c>
      <c r="U5988">
        <v>-2.9960939999999998</v>
      </c>
      <c r="V5988">
        <v>-2.091121E-2</v>
      </c>
      <c r="W5988">
        <v>-6.822578E-2</v>
      </c>
      <c r="X5988">
        <v>0.99745070000000002</v>
      </c>
      <c r="Y5988">
        <v>2.003741E-4</v>
      </c>
      <c r="Z5988">
        <v>4.5987340000000002E-2</v>
      </c>
      <c r="AA5988">
        <v>0.998942</v>
      </c>
      <c r="AB5988">
        <v>26</v>
      </c>
      <c r="AC5988">
        <v>7.6499999999953106E-2</v>
      </c>
      <c r="AD5988">
        <v>-1.1209892892039901</v>
      </c>
      <c r="AE5988">
        <v>-18.605439999999899</v>
      </c>
      <c r="AF5988">
        <v>3.6978989718439402E-3</v>
      </c>
      <c r="AG5988">
        <v>-1.1209892892039901</v>
      </c>
      <c r="AH5988">
        <v>18.538301462218101</v>
      </c>
      <c r="AI5988">
        <v>93.460394825721494</v>
      </c>
      <c r="AJ5988">
        <v>89.9885710132735</v>
      </c>
      <c r="AK5988">
        <v>18.5721633571602</v>
      </c>
      <c r="AL5988">
        <v>93.912088358252603</v>
      </c>
      <c r="AM5988">
        <v>91.201010327540899</v>
      </c>
      <c r="AN5988">
        <v>0.99999996734537999</v>
      </c>
    </row>
    <row r="5989" spans="1:40" x14ac:dyDescent="0.25">
      <c r="A5989" t="str">
        <f>"20190303154301073"</f>
        <v>20190303154301073</v>
      </c>
      <c r="B5989" t="str">
        <f>"1551598981066577"</f>
        <v>1551598981066577</v>
      </c>
      <c r="C5989" t="s">
        <v>40</v>
      </c>
      <c r="D5989">
        <v>5.2911700000000002</v>
      </c>
      <c r="E5989">
        <v>0.50759469999999995</v>
      </c>
      <c r="F5989" t="s">
        <v>41</v>
      </c>
      <c r="G5989">
        <v>-421.87970000000001</v>
      </c>
      <c r="H5989" s="1">
        <v>-4.2085170000000003E-6</v>
      </c>
      <c r="I5989">
        <v>58.373910000000002</v>
      </c>
      <c r="J5989">
        <v>-421.97190000000001</v>
      </c>
      <c r="K5989">
        <v>1.1209899999999999</v>
      </c>
      <c r="L5989">
        <v>76.958309999999997</v>
      </c>
      <c r="M5989">
        <v>4.2859250000000003E-3</v>
      </c>
      <c r="N5989">
        <v>-1.341899E-2</v>
      </c>
      <c r="O5989">
        <v>-0.99990080000000003</v>
      </c>
      <c r="P5989">
        <v>2.5392049999999999E-2</v>
      </c>
      <c r="Q5989">
        <v>-8.1816990000000006E-2</v>
      </c>
      <c r="R5989">
        <v>-0.99632399999999999</v>
      </c>
      <c r="S5989">
        <v>1.4831540000000001E-2</v>
      </c>
      <c r="T5989">
        <v>-0.17832390000000001</v>
      </c>
      <c r="U5989">
        <v>-2.9960330000000002</v>
      </c>
      <c r="V5989">
        <v>-2.1126840000000001E-2</v>
      </c>
      <c r="W5989">
        <v>-6.8436849999999994E-2</v>
      </c>
      <c r="X5989">
        <v>0.99743179999999998</v>
      </c>
      <c r="Y5989">
        <v>-6.5846199999999996E-4</v>
      </c>
      <c r="Z5989">
        <v>4.6013169999999999E-2</v>
      </c>
      <c r="AA5989">
        <v>0.99894059999999996</v>
      </c>
      <c r="AB5989">
        <v>25</v>
      </c>
      <c r="AC5989">
        <v>9.2199999999991095E-2</v>
      </c>
      <c r="AD5989">
        <v>-1.1209942085169999</v>
      </c>
      <c r="AE5989">
        <v>-18.584399999999999</v>
      </c>
      <c r="AF5989">
        <v>-1.2495176780798299E-2</v>
      </c>
      <c r="AG5989">
        <v>-1.1209942085169999</v>
      </c>
      <c r="AH5989">
        <v>18.517253084272799</v>
      </c>
      <c r="AI5989">
        <v>93.464333095613497</v>
      </c>
      <c r="AJ5989">
        <v>90.038662364330705</v>
      </c>
      <c r="AK5989">
        <v>18.551157536175001</v>
      </c>
      <c r="AL5989">
        <v>93.924209704885499</v>
      </c>
      <c r="AM5989">
        <v>91.213414080189906</v>
      </c>
      <c r="AN5989">
        <v>1.00000007072877</v>
      </c>
    </row>
    <row r="5990" spans="1:40" x14ac:dyDescent="0.25">
      <c r="A5990" t="str">
        <f>"20190303154301096"</f>
        <v>20190303154301096</v>
      </c>
      <c r="B5990" t="str">
        <f>"1551598981086094"</f>
        <v>1551598981086094</v>
      </c>
      <c r="C5990" t="s">
        <v>40</v>
      </c>
      <c r="D5990">
        <v>5.2880149999999997</v>
      </c>
      <c r="E5990">
        <v>0.50761229999999902</v>
      </c>
      <c r="F5990" t="s">
        <v>41</v>
      </c>
      <c r="G5990">
        <v>-421.86689999999999</v>
      </c>
      <c r="H5990" s="1">
        <v>-4.1170249999999998E-6</v>
      </c>
      <c r="I5990">
        <v>58.111739999999998</v>
      </c>
      <c r="J5990">
        <v>-421.97089999999997</v>
      </c>
      <c r="K5990">
        <v>1.120989</v>
      </c>
      <c r="L5990">
        <v>76.701319999999996</v>
      </c>
      <c r="M5990">
        <v>4.2603529999999997E-3</v>
      </c>
      <c r="N5990">
        <v>-1.3483230000000001E-2</v>
      </c>
      <c r="O5990">
        <v>-0.99990009999999996</v>
      </c>
      <c r="P5990">
        <v>2.525699E-2</v>
      </c>
      <c r="Q5990">
        <v>-8.1099859999999996E-2</v>
      </c>
      <c r="R5990">
        <v>-0.99638610000000005</v>
      </c>
      <c r="S5990">
        <v>1.6693119999999999E-2</v>
      </c>
      <c r="T5990">
        <v>-0.17820220000000001</v>
      </c>
      <c r="U5990">
        <v>-2.9960019999999998</v>
      </c>
      <c r="V5990">
        <v>-2.1016670000000001E-2</v>
      </c>
      <c r="W5990">
        <v>-6.7654919999999993E-2</v>
      </c>
      <c r="X5990">
        <v>0.99748740000000002</v>
      </c>
      <c r="Y5990">
        <v>-1.3044669999999999E-3</v>
      </c>
      <c r="Z5990">
        <v>4.590909E-2</v>
      </c>
      <c r="AA5990">
        <v>0.99894479999999997</v>
      </c>
      <c r="AB5990">
        <v>25</v>
      </c>
      <c r="AC5990">
        <v>0.10399999999998499</v>
      </c>
      <c r="AD5990">
        <v>-1.120993117025</v>
      </c>
      <c r="AE5990">
        <v>-18.589579999999899</v>
      </c>
      <c r="AF5990">
        <v>-2.4703860047107101E-2</v>
      </c>
      <c r="AG5990">
        <v>-1.120993117025</v>
      </c>
      <c r="AH5990">
        <v>18.522502023035699</v>
      </c>
      <c r="AI5990">
        <v>93.463348106612003</v>
      </c>
      <c r="AJ5990">
        <v>90.0764165703619</v>
      </c>
      <c r="AK5990">
        <v>18.556409055700399</v>
      </c>
      <c r="AL5990">
        <v>93.879304607384498</v>
      </c>
      <c r="AM5990">
        <v>91.207021111190699</v>
      </c>
      <c r="AN5990">
        <v>1.00000000088842</v>
      </c>
    </row>
    <row r="5991" spans="1:40" x14ac:dyDescent="0.25">
      <c r="A5991" t="str">
        <f>"20190303154301120"</f>
        <v>20190303154301120</v>
      </c>
      <c r="B5991" t="str">
        <f>"1551598981116349"</f>
        <v>1551598981116349</v>
      </c>
      <c r="C5991" t="s">
        <v>40</v>
      </c>
      <c r="D5991">
        <v>5.3865759999999998</v>
      </c>
      <c r="E5991">
        <v>0.50819759999999903</v>
      </c>
      <c r="F5991" t="s">
        <v>41</v>
      </c>
      <c r="G5991">
        <v>-421.86419999999998</v>
      </c>
      <c r="H5991" s="1">
        <v>-3.8702559999999997E-6</v>
      </c>
      <c r="I5991">
        <v>57.454529999999998</v>
      </c>
      <c r="J5991">
        <v>-421.96969999999999</v>
      </c>
      <c r="K5991">
        <v>1.1209910000000001</v>
      </c>
      <c r="L5991">
        <v>76.438900000000004</v>
      </c>
      <c r="M5991">
        <v>4.2342999999999999E-3</v>
      </c>
      <c r="N5991">
        <v>-1.353907E-2</v>
      </c>
      <c r="O5991">
        <v>-0.9998996</v>
      </c>
      <c r="P5991">
        <v>2.501053E-2</v>
      </c>
      <c r="Q5991">
        <v>-8.0163310000000002E-2</v>
      </c>
      <c r="R5991">
        <v>-0.99646820000000003</v>
      </c>
      <c r="S5991">
        <v>1.6601560000000001E-2</v>
      </c>
      <c r="T5991">
        <v>-0.17451069999999999</v>
      </c>
      <c r="U5991">
        <v>-2.9962460000000002</v>
      </c>
      <c r="V5991">
        <v>-2.0796419999999999E-2</v>
      </c>
      <c r="W5991">
        <v>-6.6661670000000006E-2</v>
      </c>
      <c r="X5991">
        <v>0.99755890000000003</v>
      </c>
      <c r="Y5991">
        <v>-1.299878E-3</v>
      </c>
      <c r="Z5991">
        <v>4.4622000000000002E-2</v>
      </c>
      <c r="AA5991">
        <v>0.99900310000000003</v>
      </c>
      <c r="AB5991">
        <v>25</v>
      </c>
      <c r="AC5991">
        <v>0.10550000000000601</v>
      </c>
      <c r="AD5991">
        <v>-1.120994870256</v>
      </c>
      <c r="AE5991">
        <v>-18.984369999999998</v>
      </c>
      <c r="AF5991">
        <v>-2.50189545273077E-2</v>
      </c>
      <c r="AG5991">
        <v>-1.120994870256</v>
      </c>
      <c r="AH5991">
        <v>18.918684754356502</v>
      </c>
      <c r="AI5991">
        <v>93.390997323101701</v>
      </c>
      <c r="AJ5991">
        <v>90.0757705773526</v>
      </c>
      <c r="AK5991">
        <v>18.951883502226099</v>
      </c>
      <c r="AL5991">
        <v>93.822266748919006</v>
      </c>
      <c r="AM5991">
        <v>91.194289901492795</v>
      </c>
      <c r="AN5991">
        <v>1.0000000141506</v>
      </c>
    </row>
    <row r="5992" spans="1:40" x14ac:dyDescent="0.25">
      <c r="A5992" t="str">
        <f>"20190303154301142"</f>
        <v>20190303154301142</v>
      </c>
      <c r="B5992" t="str">
        <f>"1551598981135870"</f>
        <v>1551598981135870</v>
      </c>
      <c r="C5992" t="s">
        <v>40</v>
      </c>
      <c r="D5992">
        <v>5.3714430000000002</v>
      </c>
      <c r="E5992">
        <v>0.50849650000000002</v>
      </c>
      <c r="F5992" t="s">
        <v>41</v>
      </c>
      <c r="G5992">
        <v>-421.89789999999999</v>
      </c>
      <c r="H5992" s="1">
        <v>-3.6457270000000002E-6</v>
      </c>
      <c r="I5992">
        <v>56.910240000000002</v>
      </c>
      <c r="J5992">
        <v>-421.96870000000001</v>
      </c>
      <c r="K5992">
        <v>1.120997</v>
      </c>
      <c r="L5992">
        <v>76.186549999999997</v>
      </c>
      <c r="M5992">
        <v>4.2094400000000001E-3</v>
      </c>
      <c r="N5992">
        <v>-1.3585409999999999E-2</v>
      </c>
      <c r="O5992">
        <v>-0.99989910000000004</v>
      </c>
      <c r="P5992">
        <v>2.4594299999999999E-2</v>
      </c>
      <c r="Q5992">
        <v>-7.8828339999999997E-2</v>
      </c>
      <c r="R5992">
        <v>-0.9965851</v>
      </c>
      <c r="S5992">
        <v>1.101685E-2</v>
      </c>
      <c r="T5992">
        <v>-0.17200779999999999</v>
      </c>
      <c r="U5992">
        <v>-2.996521</v>
      </c>
      <c r="V5992">
        <v>-2.040442E-2</v>
      </c>
      <c r="W5992">
        <v>-6.527906E-2</v>
      </c>
      <c r="X5992">
        <v>0.99765839999999995</v>
      </c>
      <c r="Y5992">
        <v>5.3657260000000001E-4</v>
      </c>
      <c r="Z5992">
        <v>4.3738949999999999E-2</v>
      </c>
      <c r="AA5992">
        <v>0.99904289999999996</v>
      </c>
      <c r="AB5992">
        <v>25</v>
      </c>
      <c r="AC5992">
        <v>7.0800000000019694E-2</v>
      </c>
      <c r="AD5992">
        <v>-1.1210006457269901</v>
      </c>
      <c r="AE5992">
        <v>-19.276309999999899</v>
      </c>
      <c r="AF5992">
        <v>1.03156803642491E-2</v>
      </c>
      <c r="AG5992">
        <v>-1.1210006457269901</v>
      </c>
      <c r="AH5992">
        <v>19.2114663869806</v>
      </c>
      <c r="AI5992">
        <v>93.339456178568199</v>
      </c>
      <c r="AJ5992">
        <v>89.969234785155393</v>
      </c>
      <c r="AK5992">
        <v>19.2441468919531</v>
      </c>
      <c r="AL5992">
        <v>93.742876172076294</v>
      </c>
      <c r="AM5992">
        <v>91.171667758975005</v>
      </c>
      <c r="AN5992">
        <v>0.99999998956028902</v>
      </c>
    </row>
    <row r="5993" spans="1:40" x14ac:dyDescent="0.25">
      <c r="A5993" t="str">
        <f>"20190303154301163"</f>
        <v>20190303154301163</v>
      </c>
      <c r="B5993" t="str">
        <f>"1551598981156366"</f>
        <v>1551598981156366</v>
      </c>
      <c r="C5993" t="s">
        <v>40</v>
      </c>
      <c r="D5993">
        <v>5.339715</v>
      </c>
      <c r="E5993">
        <v>0.50880119999999995</v>
      </c>
      <c r="F5993" t="s">
        <v>41</v>
      </c>
      <c r="G5993">
        <v>-421.92140000000001</v>
      </c>
      <c r="H5993" s="1">
        <v>-3.3657580000000001E-6</v>
      </c>
      <c r="I5993">
        <v>56.243090000000002</v>
      </c>
      <c r="J5993">
        <v>-421.96769999999998</v>
      </c>
      <c r="K5993">
        <v>1.121011</v>
      </c>
      <c r="L5993">
        <v>75.940830000000005</v>
      </c>
      <c r="M5993">
        <v>4.1847109999999998E-3</v>
      </c>
      <c r="N5993">
        <v>-1.3624310000000001E-2</v>
      </c>
      <c r="O5993">
        <v>-0.99989839999999997</v>
      </c>
      <c r="P5993">
        <v>2.4537779999999999E-2</v>
      </c>
      <c r="Q5993">
        <v>-7.8027139999999995E-2</v>
      </c>
      <c r="R5993">
        <v>-0.99664920000000001</v>
      </c>
      <c r="S5993">
        <v>7.1105959999999899E-3</v>
      </c>
      <c r="T5993">
        <v>-0.16844489999999901</v>
      </c>
      <c r="U5993">
        <v>-2.9967649999999999</v>
      </c>
      <c r="V5993">
        <v>-2.0371759999999999E-2</v>
      </c>
      <c r="W5993">
        <v>-6.4438280000000001E-2</v>
      </c>
      <c r="X5993">
        <v>0.99771370000000004</v>
      </c>
      <c r="Y5993">
        <v>1.8136420000000001E-3</v>
      </c>
      <c r="Z5993">
        <v>4.2511470000000003E-2</v>
      </c>
      <c r="AA5993">
        <v>0.99909429999999999</v>
      </c>
      <c r="AB5993">
        <v>25</v>
      </c>
      <c r="AC5993">
        <v>4.62999999999738E-2</v>
      </c>
      <c r="AD5993">
        <v>-1.1210143657580001</v>
      </c>
      <c r="AE5993">
        <v>-19.69774</v>
      </c>
      <c r="AF5993">
        <v>3.6020743650376899E-2</v>
      </c>
      <c r="AG5993">
        <v>-1.1210143657580001</v>
      </c>
      <c r="AH5993">
        <v>19.6341696741814</v>
      </c>
      <c r="AI5993">
        <v>93.2677535529088</v>
      </c>
      <c r="AJ5993">
        <v>89.894885584422497</v>
      </c>
      <c r="AK5993">
        <v>19.666178822962799</v>
      </c>
      <c r="AL5993">
        <v>93.694601475231195</v>
      </c>
      <c r="AM5993">
        <v>91.169728049978801</v>
      </c>
      <c r="AN5993">
        <v>0.99999996385127199</v>
      </c>
    </row>
    <row r="5994" spans="1:40" x14ac:dyDescent="0.25">
      <c r="A5994" t="str">
        <f>"20190303154301185"</f>
        <v>20190303154301185</v>
      </c>
      <c r="B5994" t="str">
        <f>"1551598981175886"</f>
        <v>1551598981175886</v>
      </c>
      <c r="C5994" t="s">
        <v>40</v>
      </c>
      <c r="D5994">
        <v>5.4259000000000004</v>
      </c>
      <c r="E5994">
        <v>0.50909850000000001</v>
      </c>
      <c r="F5994" t="s">
        <v>41</v>
      </c>
      <c r="G5994">
        <v>-421.9359</v>
      </c>
      <c r="H5994" s="1">
        <v>-3.1797109999999999E-6</v>
      </c>
      <c r="I5994">
        <v>55.800379999999997</v>
      </c>
      <c r="J5994">
        <v>-421.9667</v>
      </c>
      <c r="K5994">
        <v>1.1210119999999999</v>
      </c>
      <c r="L5994">
        <v>75.688050000000004</v>
      </c>
      <c r="M5994">
        <v>4.1595629999999998E-3</v>
      </c>
      <c r="N5994">
        <v>-1.3658719999999999E-2</v>
      </c>
      <c r="O5994">
        <v>-0.99989819999999996</v>
      </c>
      <c r="P5994">
        <v>2.4086059999999999E-2</v>
      </c>
      <c r="Q5994">
        <v>-7.8208390000000003E-2</v>
      </c>
      <c r="R5994">
        <v>-0.99664620000000004</v>
      </c>
      <c r="S5994">
        <v>4.7302250000000002E-3</v>
      </c>
      <c r="T5994">
        <v>-0.16680790000000001</v>
      </c>
      <c r="U5994">
        <v>-2.996918</v>
      </c>
      <c r="V5994">
        <v>-1.9945299999999999E-2</v>
      </c>
      <c r="W5994">
        <v>-6.4585290000000004E-2</v>
      </c>
      <c r="X5994">
        <v>0.99771290000000001</v>
      </c>
      <c r="Y5994">
        <v>2.5817650000000002E-3</v>
      </c>
      <c r="Z5994">
        <v>4.1930200000000001E-2</v>
      </c>
      <c r="AA5994">
        <v>0.99911719999999904</v>
      </c>
      <c r="AB5994">
        <v>25</v>
      </c>
      <c r="AC5994">
        <v>3.07999999999992E-2</v>
      </c>
      <c r="AD5994">
        <v>-1.121015179711</v>
      </c>
      <c r="AE5994">
        <v>-19.88767</v>
      </c>
      <c r="AF5994">
        <v>5.1767509737589999E-2</v>
      </c>
      <c r="AG5994">
        <v>-1.121015179711</v>
      </c>
      <c r="AH5994">
        <v>19.8246378169076</v>
      </c>
      <c r="AI5994">
        <v>93.236421958271393</v>
      </c>
      <c r="AJ5994">
        <v>89.850385509703003</v>
      </c>
      <c r="AK5994">
        <v>19.8563747819125</v>
      </c>
      <c r="AL5994">
        <v>93.703041780736001</v>
      </c>
      <c r="AM5994">
        <v>91.145248611622705</v>
      </c>
      <c r="AN5994">
        <v>1.0000000527514401</v>
      </c>
    </row>
    <row r="5995" spans="1:40" x14ac:dyDescent="0.25">
      <c r="A5995" t="str">
        <f>"20190303154301208"</f>
        <v>20190303154301208</v>
      </c>
      <c r="B5995" t="str">
        <f>"1551598981196382"</f>
        <v>1551598981196382</v>
      </c>
      <c r="C5995" t="s">
        <v>40</v>
      </c>
      <c r="D5995">
        <v>5.3652119999999996</v>
      </c>
      <c r="E5995">
        <v>0.50939699999999999</v>
      </c>
      <c r="F5995" t="s">
        <v>41</v>
      </c>
      <c r="G5995">
        <v>-421.96140000000003</v>
      </c>
      <c r="H5995" s="1">
        <v>-3.146458E-6</v>
      </c>
      <c r="I5995">
        <v>55.707070000000002</v>
      </c>
      <c r="J5995">
        <v>-421.96570000000003</v>
      </c>
      <c r="K5995">
        <v>1.121014</v>
      </c>
      <c r="L5995">
        <v>75.442989999999995</v>
      </c>
      <c r="M5995">
        <v>4.1351440000000003E-3</v>
      </c>
      <c r="N5995">
        <v>-1.368729E-2</v>
      </c>
      <c r="O5995">
        <v>-0.99989799999999995</v>
      </c>
      <c r="P5995">
        <v>2.3394669999999999E-2</v>
      </c>
      <c r="Q5995">
        <v>-7.8101840000000006E-2</v>
      </c>
      <c r="R5995">
        <v>-0.99667130000000004</v>
      </c>
      <c r="S5995">
        <v>7.9345700000000002E-4</v>
      </c>
      <c r="T5995">
        <v>-0.1681378</v>
      </c>
      <c r="U5995">
        <v>-2.9968870000000001</v>
      </c>
      <c r="V5995">
        <v>-1.9278480000000001E-2</v>
      </c>
      <c r="W5995">
        <v>-6.4449999999999993E-2</v>
      </c>
      <c r="X5995">
        <v>0.99773469999999997</v>
      </c>
      <c r="Y5995">
        <v>3.8691630000000001E-3</v>
      </c>
      <c r="Z5995">
        <v>4.2344090000000001E-2</v>
      </c>
      <c r="AA5995">
        <v>0.99909559999999997</v>
      </c>
      <c r="AB5995">
        <v>25</v>
      </c>
      <c r="AC5995">
        <v>4.3000000000006297E-3</v>
      </c>
      <c r="AD5995">
        <v>-1.1210171464580001</v>
      </c>
      <c r="AE5995">
        <v>-19.73592</v>
      </c>
      <c r="AF5995">
        <v>7.7069881731222506E-2</v>
      </c>
      <c r="AG5995">
        <v>-1.1210171464580001</v>
      </c>
      <c r="AH5995">
        <v>19.6722995449101</v>
      </c>
      <c r="AI5995">
        <v>93.261422084514805</v>
      </c>
      <c r="AJ5995">
        <v>89.775534306531199</v>
      </c>
      <c r="AK5995">
        <v>19.704364709221</v>
      </c>
      <c r="AL5995">
        <v>93.6952742581162</v>
      </c>
      <c r="AM5995">
        <v>91.106945670044198</v>
      </c>
      <c r="AN5995">
        <v>0.9999999969376</v>
      </c>
    </row>
    <row r="5996" spans="1:40" x14ac:dyDescent="0.25">
      <c r="A5996" t="str">
        <f>"20190303154301242"</f>
        <v>20190303154301242</v>
      </c>
      <c r="B5996" t="str">
        <f>"1551598981236401"</f>
        <v>1551598981236401</v>
      </c>
      <c r="C5996" t="s">
        <v>40</v>
      </c>
      <c r="D5996">
        <v>5.3801500000000004</v>
      </c>
      <c r="E5996">
        <v>0.50991699999999995</v>
      </c>
      <c r="F5996" t="s">
        <v>41</v>
      </c>
      <c r="G5996">
        <v>-421.99009999999998</v>
      </c>
      <c r="H5996" s="1">
        <v>-3.0656829999999999E-6</v>
      </c>
      <c r="I5996">
        <v>55.501010000000001</v>
      </c>
      <c r="J5996">
        <v>-421.96420000000001</v>
      </c>
      <c r="K5996">
        <v>1.1210199999999999</v>
      </c>
      <c r="L5996">
        <v>75.062129999999996</v>
      </c>
      <c r="M5996">
        <v>4.0976129999999999E-3</v>
      </c>
      <c r="N5996">
        <v>-1.372372E-2</v>
      </c>
      <c r="O5996">
        <v>-0.9998977</v>
      </c>
      <c r="P5996">
        <v>2.3014429999999999E-2</v>
      </c>
      <c r="Q5996">
        <v>-7.8067460000000005E-2</v>
      </c>
      <c r="R5996">
        <v>-0.99668259999999997</v>
      </c>
      <c r="S5996">
        <v>-3.6621090000000002E-3</v>
      </c>
      <c r="T5996">
        <v>-0.1684686</v>
      </c>
      <c r="U5996">
        <v>-2.996918</v>
      </c>
      <c r="V5996">
        <v>-1.893506E-2</v>
      </c>
      <c r="W5996">
        <v>-6.4379169999999999E-2</v>
      </c>
      <c r="X5996">
        <v>0.99774589999999996</v>
      </c>
      <c r="Y5996">
        <v>5.3162909999999999E-3</v>
      </c>
      <c r="Z5996">
        <v>4.2416820000000001E-2</v>
      </c>
      <c r="AA5996">
        <v>0.99908580000000002</v>
      </c>
      <c r="AB5996">
        <v>25</v>
      </c>
      <c r="AC5996">
        <v>-2.58999999999787E-2</v>
      </c>
      <c r="AD5996">
        <v>-1.121023065683</v>
      </c>
      <c r="AE5996">
        <v>-19.561119999999999</v>
      </c>
      <c r="AF5996">
        <v>0.105714014600316</v>
      </c>
      <c r="AG5996">
        <v>-1.121023065683</v>
      </c>
      <c r="AH5996">
        <v>19.496816499037799</v>
      </c>
      <c r="AI5996">
        <v>93.290706885262793</v>
      </c>
      <c r="AJ5996">
        <v>89.689338640676695</v>
      </c>
      <c r="AK5996">
        <v>19.529304180227001</v>
      </c>
      <c r="AL5996">
        <v>93.691207365519901</v>
      </c>
      <c r="AM5996">
        <v>91.087219507315297</v>
      </c>
      <c r="AN5996">
        <v>1.0000000474969499</v>
      </c>
    </row>
    <row r="5997" spans="1:40" x14ac:dyDescent="0.25">
      <c r="A5997" t="str">
        <f>"20190303154301263"</f>
        <v>20190303154301263</v>
      </c>
      <c r="B5997" t="str">
        <f>"1551598981255921"</f>
        <v>1551598981255921</v>
      </c>
      <c r="C5997" t="s">
        <v>40</v>
      </c>
      <c r="D5997">
        <v>5.3612970000000004</v>
      </c>
      <c r="E5997">
        <v>0.51014859999999995</v>
      </c>
      <c r="F5997" t="s">
        <v>41</v>
      </c>
      <c r="G5997">
        <v>-422.02289999999999</v>
      </c>
      <c r="H5997" s="1">
        <v>-2.9848440000000001E-6</v>
      </c>
      <c r="I5997">
        <v>55.292160000000003</v>
      </c>
      <c r="J5997">
        <v>-421.9631</v>
      </c>
      <c r="K5997">
        <v>1.1210290000000001</v>
      </c>
      <c r="L5997">
        <v>74.811219999999906</v>
      </c>
      <c r="M5997">
        <v>4.0721790000000004E-3</v>
      </c>
      <c r="N5997">
        <v>-1.3743109999999999E-2</v>
      </c>
      <c r="O5997">
        <v>-0.99989749999999999</v>
      </c>
      <c r="P5997">
        <v>2.2813770000000001E-2</v>
      </c>
      <c r="Q5997">
        <v>-7.7938370000000007E-2</v>
      </c>
      <c r="R5997">
        <v>-0.99669719999999995</v>
      </c>
      <c r="S5997">
        <v>-8.9111329999999999E-3</v>
      </c>
      <c r="T5997">
        <v>-0.16993339999999901</v>
      </c>
      <c r="U5997">
        <v>-2.9968870000000001</v>
      </c>
      <c r="V5997">
        <v>-1.8759680000000001E-2</v>
      </c>
      <c r="W5997">
        <v>-6.4230590000000004E-2</v>
      </c>
      <c r="X5997">
        <v>0.9977587</v>
      </c>
      <c r="Y5997">
        <v>7.0398259999999999E-3</v>
      </c>
      <c r="Z5997">
        <v>4.2884350000000002E-2</v>
      </c>
      <c r="AA5997">
        <v>0.99905529999999998</v>
      </c>
      <c r="AB5997">
        <v>25</v>
      </c>
      <c r="AC5997">
        <v>-5.97999999999956E-2</v>
      </c>
      <c r="AD5997">
        <v>-1.121031984844</v>
      </c>
      <c r="AE5997">
        <v>-19.51906</v>
      </c>
      <c r="AF5997">
        <v>0.13883415715870701</v>
      </c>
      <c r="AG5997">
        <v>-1.121031984844</v>
      </c>
      <c r="AH5997">
        <v>19.454484322234499</v>
      </c>
      <c r="AI5997">
        <v>93.297842305900502</v>
      </c>
      <c r="AJ5997">
        <v>89.591123769029096</v>
      </c>
      <c r="AK5997">
        <v>19.487250906125901</v>
      </c>
      <c r="AL5997">
        <v>93.682677029968403</v>
      </c>
      <c r="AM5997">
        <v>91.077138049137901</v>
      </c>
      <c r="AN5997">
        <v>0.99999995885556903</v>
      </c>
    </row>
    <row r="5998" spans="1:40" x14ac:dyDescent="0.25">
      <c r="A5998" t="str">
        <f>"20190303154301287"</f>
        <v>20190303154301287</v>
      </c>
      <c r="B5998" t="str">
        <f>"1551598981276414"</f>
        <v>1551598981276414</v>
      </c>
      <c r="C5998" t="s">
        <v>40</v>
      </c>
      <c r="D5998">
        <v>5.3318879999999904</v>
      </c>
      <c r="E5998">
        <v>0.51035559999999902</v>
      </c>
      <c r="F5998" t="s">
        <v>41</v>
      </c>
      <c r="G5998">
        <v>-422.03879999999998</v>
      </c>
      <c r="H5998" s="1">
        <v>-2.9053220000000001E-6</v>
      </c>
      <c r="I5998">
        <v>55.09695</v>
      </c>
      <c r="J5998">
        <v>-421.9622</v>
      </c>
      <c r="K5998">
        <v>1.1210310000000001</v>
      </c>
      <c r="L5998">
        <v>74.54898</v>
      </c>
      <c r="M5998">
        <v>4.045964E-3</v>
      </c>
      <c r="N5998">
        <v>-1.37602E-2</v>
      </c>
      <c r="O5998">
        <v>-0.99989749999999999</v>
      </c>
      <c r="P5998">
        <v>2.325226E-2</v>
      </c>
      <c r="Q5998">
        <v>-7.797693E-2</v>
      </c>
      <c r="R5998">
        <v>-0.99668429999999997</v>
      </c>
      <c r="S5998">
        <v>-1.1505130000000001E-2</v>
      </c>
      <c r="T5998">
        <v>-0.17041489999999901</v>
      </c>
      <c r="U5998">
        <v>-2.9968870000000001</v>
      </c>
      <c r="V5998">
        <v>-1.9224479999999999E-2</v>
      </c>
      <c r="W5998">
        <v>-6.4252219999999999E-2</v>
      </c>
      <c r="X5998">
        <v>0.99774850000000004</v>
      </c>
      <c r="Y5998">
        <v>7.8778979999999995E-3</v>
      </c>
      <c r="Z5998">
        <v>4.3026990000000001E-2</v>
      </c>
      <c r="AA5998">
        <v>0.99904289999999996</v>
      </c>
      <c r="AB5998">
        <v>25</v>
      </c>
      <c r="AC5998">
        <v>-7.6599999999984902E-2</v>
      </c>
      <c r="AD5998">
        <v>-1.121033905322</v>
      </c>
      <c r="AE5998">
        <v>-19.452030000000001</v>
      </c>
      <c r="AF5998">
        <v>0.15479489770089699</v>
      </c>
      <c r="AG5998">
        <v>-1.121033905322</v>
      </c>
      <c r="AH5998">
        <v>19.387171262494402</v>
      </c>
      <c r="AI5998">
        <v>93.309251634242798</v>
      </c>
      <c r="AJ5998">
        <v>89.542537395194401</v>
      </c>
      <c r="AK5998">
        <v>19.4201721938433</v>
      </c>
      <c r="AL5998">
        <v>93.683918755495796</v>
      </c>
      <c r="AM5998">
        <v>91.1038305636785</v>
      </c>
      <c r="AN5998">
        <v>0.99999999882922397</v>
      </c>
    </row>
    <row r="5999" spans="1:40" x14ac:dyDescent="0.25">
      <c r="A5999" t="str">
        <f>"20190303154301309"</f>
        <v>20190303154301309</v>
      </c>
      <c r="B5999" t="str">
        <f>"1551598981295935"</f>
        <v>1551598981295935</v>
      </c>
      <c r="C5999" t="s">
        <v>40</v>
      </c>
      <c r="D5999">
        <v>5.3530989999999896</v>
      </c>
      <c r="E5999">
        <v>0.51057439999999998</v>
      </c>
      <c r="F5999" t="s">
        <v>41</v>
      </c>
      <c r="G5999">
        <v>-422.03840000000002</v>
      </c>
      <c r="H5999" s="1">
        <v>-2.8396409999999898E-6</v>
      </c>
      <c r="I5999">
        <v>54.944099999999999</v>
      </c>
      <c r="J5999">
        <v>-421.96120000000002</v>
      </c>
      <c r="K5999">
        <v>1.121035</v>
      </c>
      <c r="L5999">
        <v>74.303129999999996</v>
      </c>
      <c r="M5999">
        <v>4.0215800000000003E-3</v>
      </c>
      <c r="N5999">
        <v>-1.377369E-2</v>
      </c>
      <c r="O5999">
        <v>-0.99989720000000004</v>
      </c>
      <c r="P5999">
        <v>2.3855040000000001E-2</v>
      </c>
      <c r="Q5999">
        <v>-7.7774289999999996E-2</v>
      </c>
      <c r="R5999">
        <v>-0.99668579999999996</v>
      </c>
      <c r="S5999">
        <v>-1.165771E-2</v>
      </c>
      <c r="T5999">
        <v>-0.171364299999999</v>
      </c>
      <c r="U5999">
        <v>-2.9968569999999999</v>
      </c>
      <c r="V5999">
        <v>-1.9851810000000001E-2</v>
      </c>
      <c r="W5999">
        <v>-6.4035999999999996E-2</v>
      </c>
      <c r="X5999">
        <v>0.99775009999999997</v>
      </c>
      <c r="Y5999">
        <v>7.9043329999999995E-3</v>
      </c>
      <c r="Z5999">
        <v>4.3329560000000003E-2</v>
      </c>
      <c r="AA5999">
        <v>0.99902959999999996</v>
      </c>
      <c r="AB5999">
        <v>25</v>
      </c>
      <c r="AC5999">
        <v>-7.7200000000004806E-2</v>
      </c>
      <c r="AD5999">
        <v>-1.1210378396409999</v>
      </c>
      <c r="AE5999">
        <v>-19.359030000000001</v>
      </c>
      <c r="AF5999">
        <v>0.15454241792905199</v>
      </c>
      <c r="AG5999">
        <v>-1.1210378396409999</v>
      </c>
      <c r="AH5999">
        <v>19.293865694072299</v>
      </c>
      <c r="AI5999">
        <v>93.325230391072694</v>
      </c>
      <c r="AJ5999">
        <v>89.541074915569794</v>
      </c>
      <c r="AK5999">
        <v>19.3270241531837</v>
      </c>
      <c r="AL5999">
        <v>93.671504755807504</v>
      </c>
      <c r="AM5999">
        <v>91.139839396786499</v>
      </c>
      <c r="AN5999">
        <v>0.99999998285314196</v>
      </c>
    </row>
    <row r="6000" spans="1:40" x14ac:dyDescent="0.25">
      <c r="A6000" t="str">
        <f>"20190303154301333"</f>
        <v>20190303154301333</v>
      </c>
      <c r="B6000" t="str">
        <f>"1551598981326191"</f>
        <v>1551598981326191</v>
      </c>
      <c r="C6000" t="s">
        <v>40</v>
      </c>
      <c r="D6000">
        <v>5.3053119999999998</v>
      </c>
      <c r="E6000">
        <v>0.51091929999999997</v>
      </c>
      <c r="F6000" t="s">
        <v>41</v>
      </c>
      <c r="G6000">
        <v>-422.03840000000002</v>
      </c>
      <c r="H6000" s="1">
        <v>-2.7346949999999999E-6</v>
      </c>
      <c r="I6000">
        <v>54.699469999999998</v>
      </c>
      <c r="J6000">
        <v>-421.96010000000001</v>
      </c>
      <c r="K6000">
        <v>1.1210370000000001</v>
      </c>
      <c r="L6000">
        <v>74.045349999999999</v>
      </c>
      <c r="M6000">
        <v>3.9963409999999996E-3</v>
      </c>
      <c r="N6000">
        <v>-1.3785510000000001E-2</v>
      </c>
      <c r="O6000">
        <v>-0.99989700000000004</v>
      </c>
      <c r="P6000">
        <v>2.4936300000000002E-2</v>
      </c>
      <c r="Q6000">
        <v>-7.7996839999999998E-2</v>
      </c>
      <c r="R6000">
        <v>-0.99664180000000002</v>
      </c>
      <c r="S6000">
        <v>-1.1810299999999999E-2</v>
      </c>
      <c r="T6000">
        <v>-0.17137740000000001</v>
      </c>
      <c r="U6000">
        <v>-2.9968870000000001</v>
      </c>
      <c r="V6000">
        <v>-2.0958609999999999E-2</v>
      </c>
      <c r="W6000">
        <v>-6.4247219999999994E-2</v>
      </c>
      <c r="X6000">
        <v>0.99771390000000004</v>
      </c>
      <c r="Y6000">
        <v>7.9299049999999992E-3</v>
      </c>
      <c r="Z6000">
        <v>4.3321510000000001E-2</v>
      </c>
      <c r="AA6000">
        <v>0.99902970000000002</v>
      </c>
      <c r="AB6000">
        <v>25</v>
      </c>
      <c r="AC6000">
        <v>-7.8300000000012901E-2</v>
      </c>
      <c r="AD6000">
        <v>-1.1210397346950001</v>
      </c>
      <c r="AE6000">
        <v>-19.345879999999902</v>
      </c>
      <c r="AF6000">
        <v>0.155098660533905</v>
      </c>
      <c r="AG6000">
        <v>-1.1210397346950001</v>
      </c>
      <c r="AH6000">
        <v>19.2806714429226</v>
      </c>
      <c r="AI6000">
        <v>93.327505516347003</v>
      </c>
      <c r="AJ6000">
        <v>89.539108012471004</v>
      </c>
      <c r="AK6000">
        <v>19.313857123091498</v>
      </c>
      <c r="AL6000">
        <v>93.683631688618505</v>
      </c>
      <c r="AM6000">
        <v>91.203414434953402</v>
      </c>
      <c r="AN6000">
        <v>0.99999999743203505</v>
      </c>
    </row>
    <row r="6001" spans="1:40" x14ac:dyDescent="0.25">
      <c r="A6001" t="str">
        <f>"20190303154301354"</f>
        <v>20190303154301354</v>
      </c>
      <c r="B6001" t="str">
        <f>"1551598981346686"</f>
        <v>1551598981346686</v>
      </c>
      <c r="C6001" t="s">
        <v>40</v>
      </c>
      <c r="D6001">
        <v>5.318886</v>
      </c>
      <c r="E6001">
        <v>0.51114389999999998</v>
      </c>
      <c r="F6001" t="s">
        <v>41</v>
      </c>
      <c r="G6001">
        <v>-422.03370000000001</v>
      </c>
      <c r="H6001" s="1">
        <v>-2.7071100000000002E-6</v>
      </c>
      <c r="I6001">
        <v>54.638109999999998</v>
      </c>
      <c r="J6001">
        <v>-421.95920000000001</v>
      </c>
      <c r="K6001">
        <v>1.1210359999999999</v>
      </c>
      <c r="L6001">
        <v>73.801329999999993</v>
      </c>
      <c r="M6001">
        <v>3.9718720000000004E-3</v>
      </c>
      <c r="N6001">
        <v>-1.379475E-2</v>
      </c>
      <c r="O6001">
        <v>-0.99989700000000004</v>
      </c>
      <c r="P6001">
        <v>2.515328E-2</v>
      </c>
      <c r="Q6001">
        <v>-7.8514559999999997E-2</v>
      </c>
      <c r="R6001">
        <v>-0.99659569999999997</v>
      </c>
      <c r="S6001">
        <v>-1.135254E-2</v>
      </c>
      <c r="T6001">
        <v>-0.1731105</v>
      </c>
      <c r="U6001">
        <v>-2.9968569999999999</v>
      </c>
      <c r="V6001">
        <v>-2.1199590000000001E-2</v>
      </c>
      <c r="W6001">
        <v>-6.4756300000000003E-2</v>
      </c>
      <c r="X6001">
        <v>0.99767589999999995</v>
      </c>
      <c r="Y6001">
        <v>7.7528369999999899E-3</v>
      </c>
      <c r="Z6001">
        <v>4.3888759999999999E-2</v>
      </c>
      <c r="AA6001">
        <v>0.99900630000000001</v>
      </c>
      <c r="AB6001">
        <v>25</v>
      </c>
      <c r="AC6001">
        <v>-7.4500000000000399E-2</v>
      </c>
      <c r="AD6001">
        <v>-1.1210387071100001</v>
      </c>
      <c r="AE6001">
        <v>-19.163219999999999</v>
      </c>
      <c r="AF6001">
        <v>0.150106822711011</v>
      </c>
      <c r="AG6001">
        <v>-1.1210387071100001</v>
      </c>
      <c r="AH6001">
        <v>19.0974188535385</v>
      </c>
      <c r="AI6001">
        <v>93.359364228639294</v>
      </c>
      <c r="AJ6001">
        <v>89.549661115158798</v>
      </c>
      <c r="AK6001">
        <v>19.1308825386743</v>
      </c>
      <c r="AL6001">
        <v>93.712860677023698</v>
      </c>
      <c r="AM6001">
        <v>91.217293383427901</v>
      </c>
      <c r="AN6001">
        <v>1.0000000012233301</v>
      </c>
    </row>
    <row r="6002" spans="1:40" x14ac:dyDescent="0.25">
      <c r="A6002" t="str">
        <f>"20190303154301376"</f>
        <v>20190303154301376</v>
      </c>
      <c r="B6002" t="str">
        <f>"1551598981366206"</f>
        <v>1551598981366206</v>
      </c>
      <c r="C6002" t="s">
        <v>40</v>
      </c>
      <c r="D6002">
        <v>5.2474930000000004</v>
      </c>
      <c r="E6002">
        <v>0.51115350000000004</v>
      </c>
      <c r="F6002" t="s">
        <v>41</v>
      </c>
      <c r="G6002">
        <v>-422.03789999999998</v>
      </c>
      <c r="H6002" s="1">
        <v>-2.7090429999999999E-6</v>
      </c>
      <c r="I6002">
        <v>54.640009999999997</v>
      </c>
      <c r="J6002">
        <v>-421.95830000000001</v>
      </c>
      <c r="K6002">
        <v>1.121041</v>
      </c>
      <c r="L6002">
        <v>73.55453</v>
      </c>
      <c r="M6002">
        <v>3.9467979999999996E-3</v>
      </c>
      <c r="N6002">
        <v>-1.3802490000000001E-2</v>
      </c>
      <c r="O6002">
        <v>-0.99989700000000004</v>
      </c>
      <c r="P6002">
        <v>2.5227679999999999E-2</v>
      </c>
      <c r="Q6002">
        <v>-7.8642169999999997E-2</v>
      </c>
      <c r="R6002">
        <v>-0.99658349999999996</v>
      </c>
      <c r="S6002">
        <v>-1.229858E-2</v>
      </c>
      <c r="T6002">
        <v>-0.1753267</v>
      </c>
      <c r="U6002">
        <v>-2.9967649999999999</v>
      </c>
      <c r="V6002">
        <v>-2.1299330000000002E-2</v>
      </c>
      <c r="W6002">
        <v>-6.4876349999999999E-2</v>
      </c>
      <c r="X6002">
        <v>0.99766600000000005</v>
      </c>
      <c r="Y6002">
        <v>8.0429279999999995E-3</v>
      </c>
      <c r="Z6002">
        <v>4.4618980000000003E-2</v>
      </c>
      <c r="AA6002">
        <v>0.99897170000000002</v>
      </c>
      <c r="AB6002">
        <v>25</v>
      </c>
      <c r="AC6002">
        <v>-7.9599999999970805E-2</v>
      </c>
      <c r="AD6002">
        <v>-1.1210437090430001</v>
      </c>
      <c r="AE6002">
        <v>-18.91452</v>
      </c>
      <c r="AF6002">
        <v>0.15371830456984001</v>
      </c>
      <c r="AG6002">
        <v>-1.1210437090430001</v>
      </c>
      <c r="AH6002">
        <v>18.847850745761601</v>
      </c>
      <c r="AI6002">
        <v>93.403749443342605</v>
      </c>
      <c r="AJ6002">
        <v>89.5327204712179</v>
      </c>
      <c r="AK6002">
        <v>18.8817860926675</v>
      </c>
      <c r="AL6002">
        <v>93.719753441361206</v>
      </c>
      <c r="AM6002">
        <v>91.223030912125495</v>
      </c>
      <c r="AN6002">
        <v>1.0000000249018799</v>
      </c>
    </row>
    <row r="6003" spans="1:40" x14ac:dyDescent="0.25">
      <c r="A6003" t="str">
        <f>"20190303154301397"</f>
        <v>20190303154301397</v>
      </c>
      <c r="B6003" t="str">
        <f>"1551598981386702"</f>
        <v>1551598981386702</v>
      </c>
      <c r="C6003" t="s">
        <v>40</v>
      </c>
      <c r="D6003">
        <v>5.2439609999999997</v>
      </c>
      <c r="E6003">
        <v>0.51100270000000003</v>
      </c>
      <c r="F6003" t="s">
        <v>41</v>
      </c>
      <c r="G6003">
        <v>-422.03710000000001</v>
      </c>
      <c r="H6003" s="1">
        <v>-2.603848E-6</v>
      </c>
      <c r="I6003">
        <v>54.395269999999996</v>
      </c>
      <c r="J6003">
        <v>-421.95729999999998</v>
      </c>
      <c r="K6003">
        <v>1.1210420000000001</v>
      </c>
      <c r="L6003">
        <v>73.314059999999998</v>
      </c>
      <c r="M6003">
        <v>3.9230910000000001E-3</v>
      </c>
      <c r="N6003">
        <v>-1.380871E-2</v>
      </c>
      <c r="O6003">
        <v>-0.99989700000000004</v>
      </c>
      <c r="P6003">
        <v>2.4323850000000001E-2</v>
      </c>
      <c r="Q6003">
        <v>-7.9187499999999994E-2</v>
      </c>
      <c r="R6003">
        <v>-0.99656299999999998</v>
      </c>
      <c r="S6003">
        <v>-1.2329100000000001E-2</v>
      </c>
      <c r="T6003">
        <v>-0.17534449999999999</v>
      </c>
      <c r="U6003">
        <v>-2.9967350000000001</v>
      </c>
      <c r="V6003">
        <v>-2.0418990000000001E-2</v>
      </c>
      <c r="W6003">
        <v>-6.5415799999999996E-2</v>
      </c>
      <c r="X6003">
        <v>0.99764909999999996</v>
      </c>
      <c r="Y6003">
        <v>8.0294370000000004E-3</v>
      </c>
      <c r="Z6003">
        <v>4.4619270000000003E-2</v>
      </c>
      <c r="AA6003">
        <v>0.99897179999999997</v>
      </c>
      <c r="AB6003">
        <v>25</v>
      </c>
      <c r="AC6003">
        <v>-7.9800000000034205E-2</v>
      </c>
      <c r="AD6003">
        <v>-1.121044603848</v>
      </c>
      <c r="AE6003">
        <v>-18.918789999999898</v>
      </c>
      <c r="AF6003">
        <v>0.153487674036314</v>
      </c>
      <c r="AG6003">
        <v>-1.121044603848</v>
      </c>
      <c r="AH6003">
        <v>18.8521383085771</v>
      </c>
      <c r="AI6003">
        <v>93.402980243795795</v>
      </c>
      <c r="AJ6003">
        <v>89.533527630612298</v>
      </c>
      <c r="AK6003">
        <v>18.8860641287596</v>
      </c>
      <c r="AL6003">
        <v>93.750727748545799</v>
      </c>
      <c r="AM6003">
        <v>91.172515094652695</v>
      </c>
      <c r="AN6003">
        <v>0.99999994438653295</v>
      </c>
    </row>
    <row r="6004" spans="1:40" x14ac:dyDescent="0.25">
      <c r="A6004" t="str">
        <f>"20190303154301419"</f>
        <v>20190303154301419</v>
      </c>
      <c r="B6004" t="str">
        <f>"1551598981415982"</f>
        <v>1551598981415982</v>
      </c>
      <c r="C6004" t="s">
        <v>40</v>
      </c>
      <c r="D6004">
        <v>5.2250690000000004</v>
      </c>
      <c r="E6004">
        <v>0.49419190000000002</v>
      </c>
      <c r="F6004" t="s">
        <v>41</v>
      </c>
      <c r="G6004">
        <v>-422.04349999999999</v>
      </c>
      <c r="H6004" s="1">
        <v>-2.587869E-6</v>
      </c>
      <c r="I6004">
        <v>54.354089999999999</v>
      </c>
      <c r="J6004">
        <v>-421.95639999999997</v>
      </c>
      <c r="K6004">
        <v>1.121041</v>
      </c>
      <c r="L6004">
        <v>73.065280000000001</v>
      </c>
      <c r="M6004">
        <v>3.8982050000000001E-3</v>
      </c>
      <c r="N6004">
        <v>-1.3813829999999999E-2</v>
      </c>
      <c r="O6004">
        <v>-0.99989700000000004</v>
      </c>
      <c r="P6004">
        <v>2.3858170000000001E-2</v>
      </c>
      <c r="Q6004">
        <v>-7.9945530000000001E-2</v>
      </c>
      <c r="R6004">
        <v>-0.99651369999999895</v>
      </c>
      <c r="S6004">
        <v>-1.3610840000000001E-2</v>
      </c>
      <c r="T6004">
        <v>-0.17718049999999999</v>
      </c>
      <c r="U6004">
        <v>-2.996613</v>
      </c>
      <c r="V6004">
        <v>-1.9978429999999998E-2</v>
      </c>
      <c r="W6004">
        <v>-6.6169430000000001E-2</v>
      </c>
      <c r="X6004">
        <v>0.99760839999999995</v>
      </c>
      <c r="Y6004">
        <v>8.4316359999999993E-3</v>
      </c>
      <c r="Z6004">
        <v>4.5226339999999997E-2</v>
      </c>
      <c r="AA6004">
        <v>0.99894119999999997</v>
      </c>
      <c r="AB6004">
        <v>25</v>
      </c>
      <c r="AC6004">
        <v>-8.71000000000208E-2</v>
      </c>
      <c r="AD6004">
        <v>-1.1210435878689999</v>
      </c>
      <c r="AE6004">
        <v>-18.711189999999998</v>
      </c>
      <c r="AF6004">
        <v>0.15947392165903801</v>
      </c>
      <c r="AG6004">
        <v>-1.1210435878689999</v>
      </c>
      <c r="AH6004">
        <v>18.643786549851601</v>
      </c>
      <c r="AI6004">
        <v>93.440904118093599</v>
      </c>
      <c r="AJ6004">
        <v>89.509919307743999</v>
      </c>
      <c r="AK6004">
        <v>18.678140902510101</v>
      </c>
      <c r="AL6004">
        <v>93.794001022402696</v>
      </c>
      <c r="AM6004">
        <v>91.147270543332297</v>
      </c>
      <c r="AN6004">
        <v>1.0000000254411701</v>
      </c>
    </row>
    <row r="6005" spans="1:40" x14ac:dyDescent="0.25">
      <c r="A6005" t="str">
        <f>"20190303154301443"</f>
        <v>20190303154301443</v>
      </c>
      <c r="B6005" t="str">
        <f>"1551598981436481"</f>
        <v>1551598981436481</v>
      </c>
      <c r="C6005" t="s">
        <v>40</v>
      </c>
      <c r="D6005">
        <v>5.2182719999999998</v>
      </c>
      <c r="E6005">
        <v>0.49433589999999999</v>
      </c>
      <c r="F6005" t="s">
        <v>41</v>
      </c>
      <c r="G6005">
        <v>-421.2253</v>
      </c>
      <c r="H6005" s="1">
        <v>-2.5095790000000001E-6</v>
      </c>
      <c r="I6005">
        <v>54.67906</v>
      </c>
      <c r="J6005">
        <v>-421.9554</v>
      </c>
      <c r="K6005">
        <v>1.121038</v>
      </c>
      <c r="L6005">
        <v>72.807919999999996</v>
      </c>
      <c r="M6005">
        <v>3.872632E-3</v>
      </c>
      <c r="N6005">
        <v>-1.381806E-2</v>
      </c>
      <c r="O6005">
        <v>-0.99989720000000004</v>
      </c>
      <c r="P6005">
        <v>2.302121E-2</v>
      </c>
      <c r="Q6005">
        <v>-8.0046909999999999E-2</v>
      </c>
      <c r="R6005">
        <v>-0.99652560000000001</v>
      </c>
      <c r="S6005">
        <v>0.1190186</v>
      </c>
      <c r="T6005">
        <v>-0.18248980000000001</v>
      </c>
      <c r="U6005">
        <v>-2.9930110000000001</v>
      </c>
      <c r="V6005">
        <v>-1.9167239999999999E-2</v>
      </c>
      <c r="W6005">
        <v>-6.6266499999999895E-2</v>
      </c>
      <c r="X6005">
        <v>0.9976178</v>
      </c>
      <c r="Y6005">
        <v>-3.5801399999999997E-2</v>
      </c>
      <c r="Z6005">
        <v>4.7017589999999998E-2</v>
      </c>
      <c r="AA6005">
        <v>0.99825229999999998</v>
      </c>
      <c r="AB6005">
        <v>25</v>
      </c>
      <c r="AC6005">
        <v>0.73009999999999298</v>
      </c>
      <c r="AD6005">
        <v>-1.1210405095789999</v>
      </c>
      <c r="AE6005">
        <v>-18.12886</v>
      </c>
      <c r="AF6005">
        <v>-0.65737180416792895</v>
      </c>
      <c r="AG6005">
        <v>-1.1210405095789999</v>
      </c>
      <c r="AH6005">
        <v>18.062594774791801</v>
      </c>
      <c r="AI6005">
        <v>93.549117738697404</v>
      </c>
      <c r="AJ6005">
        <v>92.084308168836202</v>
      </c>
      <c r="AK6005">
        <v>18.1092848978464</v>
      </c>
      <c r="AL6005">
        <v>93.799575231122702</v>
      </c>
      <c r="AM6005">
        <v>91.100688917987</v>
      </c>
      <c r="AN6005">
        <v>0.99999995349415205</v>
      </c>
    </row>
    <row r="6006" spans="1:40" x14ac:dyDescent="0.25">
      <c r="A6006" t="str">
        <f>"20190303154301464"</f>
        <v>20190303154301464</v>
      </c>
      <c r="B6006" t="str">
        <f>"1551598981456002"</f>
        <v>1551598981456002</v>
      </c>
      <c r="C6006" t="s">
        <v>40</v>
      </c>
      <c r="D6006">
        <v>5.21774</v>
      </c>
      <c r="E6006">
        <v>0.49432710000000002</v>
      </c>
      <c r="F6006" t="s">
        <v>41</v>
      </c>
      <c r="G6006">
        <v>-421.26490000000001</v>
      </c>
      <c r="H6006" s="1">
        <v>-2.6080310000000001E-6</v>
      </c>
      <c r="I6006">
        <v>54.883949999999999</v>
      </c>
      <c r="J6006">
        <v>-421.95460000000003</v>
      </c>
      <c r="K6006">
        <v>1.1210389999999999</v>
      </c>
      <c r="L6006">
        <v>72.565219999999997</v>
      </c>
      <c r="M6006">
        <v>3.8483250000000001E-3</v>
      </c>
      <c r="N6006">
        <v>-1.3821129999999999E-2</v>
      </c>
      <c r="O6006">
        <v>-0.99989720000000004</v>
      </c>
      <c r="P6006">
        <v>2.182686E-2</v>
      </c>
      <c r="Q6006">
        <v>-8.0197879999999999E-2</v>
      </c>
      <c r="R6006">
        <v>-0.99654019999999999</v>
      </c>
      <c r="S6006">
        <v>0.11529540000000001</v>
      </c>
      <c r="T6006">
        <v>-0.18718029999999999</v>
      </c>
      <c r="U6006">
        <v>-2.9927670000000002</v>
      </c>
      <c r="V6006">
        <v>-1.799682E-2</v>
      </c>
      <c r="W6006">
        <v>-6.641437E-2</v>
      </c>
      <c r="X6006">
        <v>0.99762980000000001</v>
      </c>
      <c r="Y6006">
        <v>-3.45863E-2</v>
      </c>
      <c r="Z6006">
        <v>4.8580709999999999E-2</v>
      </c>
      <c r="AA6006">
        <v>0.99822029999999995</v>
      </c>
      <c r="AB6006">
        <v>25</v>
      </c>
      <c r="AC6006">
        <v>0.68970000000001597</v>
      </c>
      <c r="AD6006">
        <v>-1.1210416080309999</v>
      </c>
      <c r="AE6006">
        <v>-17.681269999999898</v>
      </c>
      <c r="AF6006">
        <v>-0.61915993986544504</v>
      </c>
      <c r="AG6006">
        <v>-1.1210416080309999</v>
      </c>
      <c r="AH6006">
        <v>17.613097955024699</v>
      </c>
      <c r="AI6006">
        <v>93.639617382360697</v>
      </c>
      <c r="AJ6006">
        <v>92.013311306506694</v>
      </c>
      <c r="AK6006">
        <v>17.6595954905928</v>
      </c>
      <c r="AL6006">
        <v>93.8080661399745</v>
      </c>
      <c r="AM6006">
        <v>91.033479552150993</v>
      </c>
      <c r="AN6006">
        <v>0.99999998596032402</v>
      </c>
    </row>
    <row r="6007" spans="1:40" x14ac:dyDescent="0.25">
      <c r="A6007" t="str">
        <f>"20190303154301487"</f>
        <v>20190303154301487</v>
      </c>
      <c r="B6007" t="str">
        <f>"1551598981476494"</f>
        <v>1551598981476494</v>
      </c>
      <c r="C6007" t="s">
        <v>40</v>
      </c>
      <c r="D6007">
        <v>5.2176140000000002</v>
      </c>
      <c r="E6007">
        <v>0.49425809999999998</v>
      </c>
      <c r="F6007" t="s">
        <v>41</v>
      </c>
      <c r="G6007">
        <v>-421.28070000000002</v>
      </c>
      <c r="H6007" s="1">
        <v>-2.4613390000000001E-6</v>
      </c>
      <c r="I6007">
        <v>54.532240000000002</v>
      </c>
      <c r="J6007">
        <v>-421.95359999999999</v>
      </c>
      <c r="K6007">
        <v>1.1210329999999999</v>
      </c>
      <c r="L6007">
        <v>72.318419999999904</v>
      </c>
      <c r="M6007">
        <v>3.8234359999999999E-3</v>
      </c>
      <c r="N6007">
        <v>-1.3823500000000001E-2</v>
      </c>
      <c r="O6007">
        <v>-0.99989720000000004</v>
      </c>
      <c r="P6007">
        <v>2.0297909999999999E-2</v>
      </c>
      <c r="Q6007">
        <v>-8.0702789999999996E-2</v>
      </c>
      <c r="R6007">
        <v>-0.99653170000000002</v>
      </c>
      <c r="S6007">
        <v>0.1118469</v>
      </c>
      <c r="T6007">
        <v>-0.18606220000000001</v>
      </c>
      <c r="U6007">
        <v>-2.9929809999999999</v>
      </c>
      <c r="V6007">
        <v>-1.649254E-2</v>
      </c>
      <c r="W6007">
        <v>-6.6917229999999994E-2</v>
      </c>
      <c r="X6007">
        <v>0.99762220000000001</v>
      </c>
      <c r="Y6007">
        <v>-3.3461289999999998E-2</v>
      </c>
      <c r="Z6007">
        <v>4.8204999999999998E-2</v>
      </c>
      <c r="AA6007">
        <v>0.99827679999999996</v>
      </c>
      <c r="AB6007">
        <v>25</v>
      </c>
      <c r="AC6007">
        <v>0.67289999999996997</v>
      </c>
      <c r="AD6007">
        <v>-1.1210354613389999</v>
      </c>
      <c r="AE6007">
        <v>-17.786179999999899</v>
      </c>
      <c r="AF6007">
        <v>-0.60249422595506696</v>
      </c>
      <c r="AG6007">
        <v>-1.1210354613389999</v>
      </c>
      <c r="AH6007">
        <v>17.7183359904277</v>
      </c>
      <c r="AI6007">
        <v>93.618180931910501</v>
      </c>
      <c r="AJ6007">
        <v>91.947535061485596</v>
      </c>
      <c r="AK6007">
        <v>17.763984633734999</v>
      </c>
      <c r="AL6007">
        <v>93.836942132044399</v>
      </c>
      <c r="AM6007">
        <v>90.947118923082897</v>
      </c>
      <c r="AN6007">
        <v>0.99999998673968205</v>
      </c>
    </row>
    <row r="6008" spans="1:40" x14ac:dyDescent="0.25">
      <c r="A6008" t="str">
        <f>"20190303154301509"</f>
        <v>20190303154301509</v>
      </c>
      <c r="B6008" t="str">
        <f>"1551598981506751"</f>
        <v>1551598981506751</v>
      </c>
      <c r="C6008" t="s">
        <v>40</v>
      </c>
      <c r="D6008">
        <v>5.2406610000000002</v>
      </c>
      <c r="E6008">
        <v>0.49431170000000002</v>
      </c>
      <c r="F6008" t="s">
        <v>41</v>
      </c>
      <c r="G6008">
        <v>-421.31560000000002</v>
      </c>
      <c r="H6008" s="1">
        <v>-2.463655E-6</v>
      </c>
      <c r="I6008">
        <v>54.515990000000002</v>
      </c>
      <c r="J6008">
        <v>-421.95269999999999</v>
      </c>
      <c r="K6008">
        <v>1.1210370000000001</v>
      </c>
      <c r="L6008">
        <v>72.070130000000006</v>
      </c>
      <c r="M6008">
        <v>3.798858E-3</v>
      </c>
      <c r="N6008">
        <v>-1.3825240000000001E-2</v>
      </c>
      <c r="O6008">
        <v>-0.99989749999999999</v>
      </c>
      <c r="P6008">
        <v>1.928185E-2</v>
      </c>
      <c r="Q6008">
        <v>-8.2560640000000005E-2</v>
      </c>
      <c r="R6008">
        <v>-0.99639960000000005</v>
      </c>
      <c r="S6008">
        <v>0.1072693</v>
      </c>
      <c r="T6008">
        <v>-0.18847259999999999</v>
      </c>
      <c r="U6008">
        <v>-2.9930110000000001</v>
      </c>
      <c r="V6008">
        <v>-1.5501579999999999E-2</v>
      </c>
      <c r="W6008">
        <v>-6.8775100000000006E-2</v>
      </c>
      <c r="X6008">
        <v>0.9975117</v>
      </c>
      <c r="Y6008">
        <v>-3.1959889999999998E-2</v>
      </c>
      <c r="Z6008">
        <v>4.9006639999999997E-2</v>
      </c>
      <c r="AA6008">
        <v>0.99828700000000004</v>
      </c>
      <c r="AB6008">
        <v>25</v>
      </c>
      <c r="AC6008">
        <v>0.63709999999997502</v>
      </c>
      <c r="AD6008">
        <v>-1.1210394636550001</v>
      </c>
      <c r="AE6008">
        <v>-17.55414</v>
      </c>
      <c r="AF6008">
        <v>-0.56808955157567897</v>
      </c>
      <c r="AG6008">
        <v>-1.1210394636550001</v>
      </c>
      <c r="AH6008">
        <v>17.485217063009699</v>
      </c>
      <c r="AI6008">
        <v>93.666485988800005</v>
      </c>
      <c r="AJ6008">
        <v>91.860868416620306</v>
      </c>
      <c r="AK6008">
        <v>17.530324325529399</v>
      </c>
      <c r="AL6008">
        <v>93.943636239045205</v>
      </c>
      <c r="AM6008">
        <v>90.890319003019002</v>
      </c>
      <c r="AN6008">
        <v>0.99999995249969698</v>
      </c>
    </row>
    <row r="6009" spans="1:40" x14ac:dyDescent="0.25">
      <c r="A6009" t="str">
        <f>"20190303154301533"</f>
        <v>20190303154301533</v>
      </c>
      <c r="B6009" t="str">
        <f>"1551598981526270"</f>
        <v>1551598981526270</v>
      </c>
      <c r="C6009" t="s">
        <v>40</v>
      </c>
      <c r="D6009">
        <v>5.2598099999999999</v>
      </c>
      <c r="E6009">
        <v>0.49431180000000002</v>
      </c>
      <c r="F6009" t="s">
        <v>41</v>
      </c>
      <c r="G6009">
        <v>-421.34629999999999</v>
      </c>
      <c r="H6009" s="1">
        <v>-2.513648E-6</v>
      </c>
      <c r="I6009">
        <v>54.613500000000002</v>
      </c>
      <c r="J6009">
        <v>-421.95179999999999</v>
      </c>
      <c r="K6009">
        <v>1.121032</v>
      </c>
      <c r="L6009">
        <v>71.813389999999998</v>
      </c>
      <c r="M6009">
        <v>3.7713489999999998E-3</v>
      </c>
      <c r="N6009">
        <v>-1.3826379999999999E-2</v>
      </c>
      <c r="O6009">
        <v>-0.99989720000000004</v>
      </c>
      <c r="P6009">
        <v>1.9543970000000001E-2</v>
      </c>
      <c r="Q6009">
        <v>-8.3750930000000001E-2</v>
      </c>
      <c r="R6009">
        <v>-0.99629509999999999</v>
      </c>
      <c r="S6009">
        <v>0.10397339999999999</v>
      </c>
      <c r="T6009">
        <v>-0.19219910000000001</v>
      </c>
      <c r="U6009">
        <v>-2.9928889999999999</v>
      </c>
      <c r="V6009">
        <v>-1.5791840000000001E-2</v>
      </c>
      <c r="W6009">
        <v>-6.9965520000000003E-2</v>
      </c>
      <c r="X6009">
        <v>0.99742439999999999</v>
      </c>
      <c r="Y6009">
        <v>-3.0888990000000002E-2</v>
      </c>
      <c r="Z6009">
        <v>5.0248170000000002E-2</v>
      </c>
      <c r="AA6009">
        <v>0.99825900000000001</v>
      </c>
      <c r="AB6009">
        <v>25</v>
      </c>
      <c r="AC6009">
        <v>0.60550000000000603</v>
      </c>
      <c r="AD6009">
        <v>-1.121034513648</v>
      </c>
      <c r="AE6009">
        <v>-17.1998899999999</v>
      </c>
      <c r="AF6009">
        <v>-0.53833865447149098</v>
      </c>
      <c r="AG6009">
        <v>-1.121034513648</v>
      </c>
      <c r="AH6009">
        <v>17.129375553582999</v>
      </c>
      <c r="AI6009">
        <v>93.742548461558499</v>
      </c>
      <c r="AJ6009">
        <v>91.800088021224994</v>
      </c>
      <c r="AK6009">
        <v>17.1744587612937</v>
      </c>
      <c r="AL6009">
        <v>94.012006824265399</v>
      </c>
      <c r="AM6009">
        <v>90.907066431314604</v>
      </c>
      <c r="AN6009">
        <v>0.99999999495740799</v>
      </c>
    </row>
    <row r="6010" spans="1:40" x14ac:dyDescent="0.25">
      <c r="A6010" t="str">
        <f>"20190303154301554"</f>
        <v>20190303154301554</v>
      </c>
      <c r="B6010" t="str">
        <f>"1551598981546766"</f>
        <v>1551598981546766</v>
      </c>
      <c r="C6010" t="s">
        <v>40</v>
      </c>
      <c r="D6010">
        <v>5.2351449999999904</v>
      </c>
      <c r="E6010">
        <v>0.49437029999999899</v>
      </c>
      <c r="F6010" t="s">
        <v>41</v>
      </c>
      <c r="G6010">
        <v>-421.34989999999999</v>
      </c>
      <c r="H6010" s="1">
        <v>-2.5434890000000002E-6</v>
      </c>
      <c r="I6010">
        <v>54.680810000000001</v>
      </c>
      <c r="J6010">
        <v>-421.95089999999999</v>
      </c>
      <c r="K6010">
        <v>1.1210260000000001</v>
      </c>
      <c r="L6010">
        <v>71.576930000000004</v>
      </c>
      <c r="M6010">
        <v>3.7393309999999998E-3</v>
      </c>
      <c r="N6010">
        <v>-1.3826969999999999E-2</v>
      </c>
      <c r="O6010">
        <v>-0.9998977</v>
      </c>
      <c r="P6010">
        <v>2.0848760000000001E-2</v>
      </c>
      <c r="Q6010">
        <v>-8.4302279999999993E-2</v>
      </c>
      <c r="R6010">
        <v>-0.99622239999999995</v>
      </c>
      <c r="S6010">
        <v>0.10513309999999999</v>
      </c>
      <c r="T6010">
        <v>-0.19581760000000001</v>
      </c>
      <c r="U6010">
        <v>-2.992645</v>
      </c>
      <c r="V6010">
        <v>-1.712953E-2</v>
      </c>
      <c r="W6010">
        <v>-7.0516899999999993E-2</v>
      </c>
      <c r="X6010">
        <v>0.99736349999999996</v>
      </c>
      <c r="Y6010">
        <v>-3.1307540000000002E-2</v>
      </c>
      <c r="Z6010">
        <v>5.1453800000000001E-2</v>
      </c>
      <c r="AA6010">
        <v>0.99818450000000003</v>
      </c>
      <c r="AB6010">
        <v>25</v>
      </c>
      <c r="AC6010">
        <v>0.60099999999999898</v>
      </c>
      <c r="AD6010">
        <v>-1.1210285434889999</v>
      </c>
      <c r="AE6010">
        <v>-16.89612</v>
      </c>
      <c r="AF6010">
        <v>-0.53545544302985204</v>
      </c>
      <c r="AG6010">
        <v>-1.1210285434889999</v>
      </c>
      <c r="AH6010">
        <v>16.8242809156412</v>
      </c>
      <c r="AI6010">
        <v>93.810150319492706</v>
      </c>
      <c r="AJ6010">
        <v>91.822900182885505</v>
      </c>
      <c r="AK6010">
        <v>16.870087310242202</v>
      </c>
      <c r="AL6010">
        <v>94.043676764649803</v>
      </c>
      <c r="AM6010">
        <v>90.9839474678475</v>
      </c>
      <c r="AN6010">
        <v>1.0000000025579401</v>
      </c>
    </row>
    <row r="6011" spans="1:40" x14ac:dyDescent="0.25">
      <c r="A6011" t="str">
        <f>"20190303154301577"</f>
        <v>20190303154301577</v>
      </c>
      <c r="B6011" t="str">
        <f>"1551598981566287"</f>
        <v>1551598981566287</v>
      </c>
      <c r="C6011" t="s">
        <v>40</v>
      </c>
      <c r="D6011">
        <v>5.2384659999999998</v>
      </c>
      <c r="E6011">
        <v>0.4943864</v>
      </c>
      <c r="F6011" t="s">
        <v>41</v>
      </c>
      <c r="G6011">
        <v>-421.3304</v>
      </c>
      <c r="H6011" s="1">
        <v>-2.4451320000000001E-6</v>
      </c>
      <c r="I6011">
        <v>54.463590000000003</v>
      </c>
      <c r="J6011">
        <v>-421.95</v>
      </c>
      <c r="K6011">
        <v>1.121011</v>
      </c>
      <c r="L6011">
        <v>71.333250000000007</v>
      </c>
      <c r="M6011">
        <v>3.6923239999999999E-3</v>
      </c>
      <c r="N6011">
        <v>-1.382715E-2</v>
      </c>
      <c r="O6011">
        <v>-0.9998977</v>
      </c>
      <c r="P6011">
        <v>2.2420289999999999E-2</v>
      </c>
      <c r="Q6011">
        <v>-8.441419E-2</v>
      </c>
      <c r="R6011">
        <v>-0.99617860000000003</v>
      </c>
      <c r="S6011">
        <v>0.10849</v>
      </c>
      <c r="T6011">
        <v>-0.19602849999999999</v>
      </c>
      <c r="U6011">
        <v>-2.9925229999999998</v>
      </c>
      <c r="V6011">
        <v>-1.874965E-2</v>
      </c>
      <c r="W6011">
        <v>-7.0628640000000006E-2</v>
      </c>
      <c r="X6011">
        <v>0.99732639999999995</v>
      </c>
      <c r="Y6011">
        <v>-3.2473460000000003E-2</v>
      </c>
      <c r="Z6011">
        <v>5.1523800000000002E-2</v>
      </c>
      <c r="AA6011">
        <v>0.99814369999999997</v>
      </c>
      <c r="AB6011">
        <v>25</v>
      </c>
      <c r="AC6011">
        <v>0.61959999999999105</v>
      </c>
      <c r="AD6011">
        <v>-1.121013445132</v>
      </c>
      <c r="AE6011">
        <v>-16.86966</v>
      </c>
      <c r="AF6011">
        <v>-0.55485475254671701</v>
      </c>
      <c r="AG6011">
        <v>-1.121013445132</v>
      </c>
      <c r="AH6011">
        <v>16.797757426407401</v>
      </c>
      <c r="AI6011">
        <v>93.815948963296506</v>
      </c>
      <c r="AJ6011">
        <v>91.891876410690898</v>
      </c>
      <c r="AK6011">
        <v>16.844262806576499</v>
      </c>
      <c r="AL6011">
        <v>94.050095206600702</v>
      </c>
      <c r="AM6011">
        <v>91.077028820585497</v>
      </c>
      <c r="AN6011">
        <v>0.99999995115016405</v>
      </c>
    </row>
    <row r="6012" spans="1:40" x14ac:dyDescent="0.25">
      <c r="A6012" t="str">
        <f>"20190303154301598"</f>
        <v>20190303154301598</v>
      </c>
      <c r="B6012" t="str">
        <f>"1551598981596543"</f>
        <v>1551598981596543</v>
      </c>
      <c r="C6012" t="s">
        <v>40</v>
      </c>
      <c r="D6012">
        <v>5.2149919999999996</v>
      </c>
      <c r="E6012">
        <v>0.4943613</v>
      </c>
      <c r="F6012" t="s">
        <v>41</v>
      </c>
      <c r="G6012">
        <v>-421.3</v>
      </c>
      <c r="H6012" s="1">
        <v>-2.2842909999999998E-6</v>
      </c>
      <c r="I6012">
        <v>54.107570000000003</v>
      </c>
      <c r="J6012">
        <v>-421.94909999999999</v>
      </c>
      <c r="K6012">
        <v>1.120997</v>
      </c>
      <c r="L6012">
        <v>71.087400000000002</v>
      </c>
      <c r="M6012">
        <v>3.6228160000000001E-3</v>
      </c>
      <c r="N6012">
        <v>-1.3826959999999999E-2</v>
      </c>
      <c r="O6012">
        <v>-0.99989799999999995</v>
      </c>
      <c r="P6012">
        <v>2.3473089999999999E-2</v>
      </c>
      <c r="Q6012">
        <v>-8.4084759999999995E-2</v>
      </c>
      <c r="R6012">
        <v>-0.99618240000000002</v>
      </c>
      <c r="S6012">
        <v>0.112915</v>
      </c>
      <c r="T6012">
        <v>-0.19474340000000001</v>
      </c>
      <c r="U6012">
        <v>-2.9924620000000002</v>
      </c>
      <c r="V6012">
        <v>-1.9874329999999999E-2</v>
      </c>
      <c r="W6012">
        <v>-7.0298490000000005E-2</v>
      </c>
      <c r="X6012">
        <v>0.99732799999999999</v>
      </c>
      <c r="Y6012">
        <v>-3.4017690000000003E-2</v>
      </c>
      <c r="Z6012">
        <v>5.1095130000000002E-2</v>
      </c>
      <c r="AA6012">
        <v>0.99811430000000001</v>
      </c>
      <c r="AB6012">
        <v>25</v>
      </c>
      <c r="AC6012">
        <v>0.64909999999997503</v>
      </c>
      <c r="AD6012">
        <v>-1.1209992842909999</v>
      </c>
      <c r="AE6012">
        <v>-16.97983</v>
      </c>
      <c r="AF6012">
        <v>-0.58502890000166896</v>
      </c>
      <c r="AG6012">
        <v>-1.1209992842909999</v>
      </c>
      <c r="AH6012">
        <v>16.9084810912119</v>
      </c>
      <c r="AI6012">
        <v>93.790785702196004</v>
      </c>
      <c r="AJ6012">
        <v>91.981628056780593</v>
      </c>
      <c r="AK6012">
        <v>16.955696123164302</v>
      </c>
      <c r="AL6012">
        <v>94.031131657916305</v>
      </c>
      <c r="AM6012">
        <v>91.141614929554294</v>
      </c>
      <c r="AN6012">
        <v>1.0000000031366101</v>
      </c>
    </row>
    <row r="6013" spans="1:40" x14ac:dyDescent="0.25">
      <c r="A6013" t="str">
        <f>"20190303154301620"</f>
        <v>20190303154301620</v>
      </c>
      <c r="B6013" t="str">
        <f>"1551598981616062"</f>
        <v>1551598981616062</v>
      </c>
      <c r="C6013" t="s">
        <v>40</v>
      </c>
      <c r="D6013">
        <v>5.2246240000000004</v>
      </c>
      <c r="E6013">
        <v>0.49427260000000001</v>
      </c>
      <c r="F6013" t="s">
        <v>41</v>
      </c>
      <c r="G6013">
        <v>-421.26920000000001</v>
      </c>
      <c r="H6013" s="1">
        <v>-2.0450899999999998E-6</v>
      </c>
      <c r="I6013">
        <v>53.569070000000004</v>
      </c>
      <c r="J6013">
        <v>-421.94830000000002</v>
      </c>
      <c r="K6013">
        <v>1.1209789999999999</v>
      </c>
      <c r="L6013">
        <v>70.840760000000003</v>
      </c>
      <c r="M6013">
        <v>3.5322050000000001E-3</v>
      </c>
      <c r="N6013">
        <v>-1.3826410000000001E-2</v>
      </c>
      <c r="O6013">
        <v>-0.99989819999999996</v>
      </c>
      <c r="P6013">
        <v>2.4180420000000001E-2</v>
      </c>
      <c r="Q6013">
        <v>-8.3793729999999997E-2</v>
      </c>
      <c r="R6013">
        <v>-0.99618969999999996</v>
      </c>
      <c r="S6013">
        <v>0.1161499</v>
      </c>
      <c r="T6013">
        <v>-0.19149569999999999</v>
      </c>
      <c r="U6013">
        <v>-2.9925839999999999</v>
      </c>
      <c r="V6013">
        <v>-2.0674649999999999E-2</v>
      </c>
      <c r="W6013">
        <v>-7.0007E-2</v>
      </c>
      <c r="X6013">
        <v>0.9973322</v>
      </c>
      <c r="Y6013">
        <v>-3.5185790000000002E-2</v>
      </c>
      <c r="Z6013">
        <v>5.0011800000000002E-2</v>
      </c>
      <c r="AA6013">
        <v>0.99812869999999998</v>
      </c>
      <c r="AB6013">
        <v>25</v>
      </c>
      <c r="AC6013">
        <v>0.67910000000000503</v>
      </c>
      <c r="AD6013">
        <v>-1.12098104509</v>
      </c>
      <c r="AE6013">
        <v>-17.27169</v>
      </c>
      <c r="AF6013">
        <v>-0.61549409355682305</v>
      </c>
      <c r="AG6013">
        <v>-1.12098104509</v>
      </c>
      <c r="AH6013">
        <v>17.201633326705998</v>
      </c>
      <c r="AI6013">
        <v>93.726151535386606</v>
      </c>
      <c r="AJ6013">
        <v>92.049234212520403</v>
      </c>
      <c r="AK6013">
        <v>17.2491049213893</v>
      </c>
      <c r="AL6013">
        <v>94.014389398789902</v>
      </c>
      <c r="AM6013">
        <v>91.187568745382194</v>
      </c>
      <c r="AN6013">
        <v>0.99999996917922995</v>
      </c>
    </row>
    <row r="6014" spans="1:40" x14ac:dyDescent="0.25">
      <c r="A6014" t="str">
        <f>"20190303154301643"</f>
        <v>20190303154301643</v>
      </c>
      <c r="B6014" t="str">
        <f>"1551598981636561"</f>
        <v>1551598981636561</v>
      </c>
      <c r="C6014" t="s">
        <v>40</v>
      </c>
      <c r="D6014">
        <v>5.2337540000000002</v>
      </c>
      <c r="E6014">
        <v>0.49422050000000001</v>
      </c>
      <c r="F6014" t="s">
        <v>41</v>
      </c>
      <c r="G6014">
        <v>-421.245</v>
      </c>
      <c r="H6014" s="1">
        <v>-1.8739660000000001E-6</v>
      </c>
      <c r="I6014">
        <v>53.185180000000003</v>
      </c>
      <c r="J6014">
        <v>-421.94760000000002</v>
      </c>
      <c r="K6014">
        <v>1.120959</v>
      </c>
      <c r="L6014">
        <v>70.596190000000007</v>
      </c>
      <c r="M6014">
        <v>3.4160150000000001E-3</v>
      </c>
      <c r="N6014">
        <v>-1.3825520000000001E-2</v>
      </c>
      <c r="O6014">
        <v>-0.99989850000000002</v>
      </c>
      <c r="P6014">
        <v>2.4189349999999998E-2</v>
      </c>
      <c r="Q6014">
        <v>-8.4486569999999997E-2</v>
      </c>
      <c r="R6014">
        <v>-0.99613059999999998</v>
      </c>
      <c r="S6014">
        <v>0.11920169999999999</v>
      </c>
      <c r="T6014">
        <v>-0.19000400000000001</v>
      </c>
      <c r="U6014">
        <v>-2.9925839999999999</v>
      </c>
      <c r="V6014">
        <v>-2.080251E-2</v>
      </c>
      <c r="W6014">
        <v>-7.0700559999999996E-2</v>
      </c>
      <c r="X6014">
        <v>0.99728070000000002</v>
      </c>
      <c r="Y6014">
        <v>-3.6318690000000001E-2</v>
      </c>
      <c r="Z6014">
        <v>4.951469E-2</v>
      </c>
      <c r="AA6014">
        <v>0.99811289999999997</v>
      </c>
      <c r="AB6014">
        <v>25</v>
      </c>
      <c r="AC6014">
        <v>0.70260000000001799</v>
      </c>
      <c r="AD6014">
        <v>-1.120960873966</v>
      </c>
      <c r="AE6014">
        <v>-17.411010000000001</v>
      </c>
      <c r="AF6014">
        <v>-0.64046348150107302</v>
      </c>
      <c r="AG6014">
        <v>-1.120960873966</v>
      </c>
      <c r="AH6014">
        <v>17.341543485283601</v>
      </c>
      <c r="AI6014">
        <v>93.695952538064404</v>
      </c>
      <c r="AJ6014">
        <v>92.115104907239001</v>
      </c>
      <c r="AK6014">
        <v>17.389533553378701</v>
      </c>
      <c r="AL6014">
        <v>94.054225828240405</v>
      </c>
      <c r="AM6014">
        <v>91.194972692972698</v>
      </c>
      <c r="AN6014">
        <v>1.00000005409955</v>
      </c>
    </row>
    <row r="6015" spans="1:40" x14ac:dyDescent="0.25">
      <c r="A6015" t="str">
        <f>"20190303154301665"</f>
        <v>20190303154301665</v>
      </c>
      <c r="B6015" t="str">
        <f>"1551598981656078"</f>
        <v>1551598981656078</v>
      </c>
      <c r="C6015" t="s">
        <v>40</v>
      </c>
      <c r="D6015">
        <v>5.2126809999999999</v>
      </c>
      <c r="E6015">
        <v>0.49418980000000001</v>
      </c>
      <c r="F6015" t="s">
        <v>41</v>
      </c>
      <c r="G6015">
        <v>-421.24549999999999</v>
      </c>
      <c r="H6015" s="1">
        <v>-1.832186E-6</v>
      </c>
      <c r="I6015">
        <v>53.087470000000003</v>
      </c>
      <c r="J6015">
        <v>-421.94690000000003</v>
      </c>
      <c r="K6015">
        <v>1.1209359999999999</v>
      </c>
      <c r="L6015">
        <v>70.350279999999998</v>
      </c>
      <c r="M6015">
        <v>3.2646630000000001E-3</v>
      </c>
      <c r="N6015">
        <v>-1.382458E-2</v>
      </c>
      <c r="O6015">
        <v>-0.99989899999999998</v>
      </c>
      <c r="P6015">
        <v>2.4303740000000001E-2</v>
      </c>
      <c r="Q6015">
        <v>-8.4622849999999999E-2</v>
      </c>
      <c r="R6015">
        <v>-0.99611649999999996</v>
      </c>
      <c r="S6015">
        <v>0.11999509999999999</v>
      </c>
      <c r="T6015">
        <v>-0.19158839999999999</v>
      </c>
      <c r="U6015">
        <v>-2.9924930000000001</v>
      </c>
      <c r="V6015">
        <v>-2.1071929999999999E-2</v>
      </c>
      <c r="W6015">
        <v>-7.0836860000000001E-2</v>
      </c>
      <c r="X6015">
        <v>0.99726530000000002</v>
      </c>
      <c r="Y6015">
        <v>-3.6733990000000001E-2</v>
      </c>
      <c r="Z6015">
        <v>5.0043039999999997E-2</v>
      </c>
      <c r="AA6015">
        <v>0.99807129999999999</v>
      </c>
      <c r="AB6015">
        <v>25</v>
      </c>
      <c r="AC6015">
        <v>0.701400000000035</v>
      </c>
      <c r="AD6015">
        <v>-1.120937832186</v>
      </c>
      <c r="AE6015">
        <v>-17.262810000000002</v>
      </c>
      <c r="AF6015">
        <v>-0.64232976740127701</v>
      </c>
      <c r="AG6015">
        <v>-1.120937832186</v>
      </c>
      <c r="AH6015">
        <v>17.192636771873801</v>
      </c>
      <c r="AI6015">
        <v>93.727738092381003</v>
      </c>
      <c r="AJ6015">
        <v>92.139618030716406</v>
      </c>
      <c r="AK6015">
        <v>17.241109254433201</v>
      </c>
      <c r="AL6015">
        <v>94.062055162131301</v>
      </c>
      <c r="AM6015">
        <v>91.210463280070201</v>
      </c>
      <c r="AN6015">
        <v>0.99999998277633695</v>
      </c>
    </row>
    <row r="6016" spans="1:40" x14ac:dyDescent="0.25">
      <c r="A6016" t="str">
        <f>"20190303154301688"</f>
        <v>20190303154301688</v>
      </c>
      <c r="B6016" t="str">
        <f>"1551598981676574"</f>
        <v>1551598981676574</v>
      </c>
      <c r="C6016" t="s">
        <v>40</v>
      </c>
      <c r="D6016">
        <v>5.2746409999999999</v>
      </c>
      <c r="E6016">
        <v>0.4942801</v>
      </c>
      <c r="F6016" t="s">
        <v>41</v>
      </c>
      <c r="G6016">
        <v>-421.24549999999999</v>
      </c>
      <c r="H6016" s="1">
        <v>-1.734297E-6</v>
      </c>
      <c r="I6016">
        <v>52.859299999999998</v>
      </c>
      <c r="J6016">
        <v>-421.94630000000001</v>
      </c>
      <c r="K6016">
        <v>1.1209229999999999</v>
      </c>
      <c r="L6016">
        <v>70.105869999999996</v>
      </c>
      <c r="M6016">
        <v>3.0732950000000002E-3</v>
      </c>
      <c r="N6016">
        <v>-1.382366E-2</v>
      </c>
      <c r="O6016">
        <v>-0.99989989999999995</v>
      </c>
      <c r="P6016">
        <v>2.4138779999999999E-2</v>
      </c>
      <c r="Q6016">
        <v>-8.4881360000000003E-2</v>
      </c>
      <c r="R6016">
        <v>-0.99609859999999995</v>
      </c>
      <c r="S6016">
        <v>0.11999509999999999</v>
      </c>
      <c r="T6016">
        <v>-0.1917769</v>
      </c>
      <c r="U6016">
        <v>-2.9924620000000002</v>
      </c>
      <c r="V6016">
        <v>-2.1101499999999999E-2</v>
      </c>
      <c r="W6016">
        <v>-7.1095229999999995E-2</v>
      </c>
      <c r="X6016">
        <v>0.99724630000000003</v>
      </c>
      <c r="Y6016">
        <v>-3.6925409999999999E-2</v>
      </c>
      <c r="Z6016">
        <v>5.0106989999999997E-2</v>
      </c>
      <c r="AA6016">
        <v>0.99806099999999998</v>
      </c>
      <c r="AB6016">
        <v>25</v>
      </c>
      <c r="AC6016">
        <v>0.70080000000001497</v>
      </c>
      <c r="AD6016">
        <v>-1.1209247342969999</v>
      </c>
      <c r="AE6016">
        <v>-17.246569999999998</v>
      </c>
      <c r="AF6016">
        <v>-0.64506741603291995</v>
      </c>
      <c r="AG6016">
        <v>-1.1209247342969999</v>
      </c>
      <c r="AH6016">
        <v>17.176205885670999</v>
      </c>
      <c r="AI6016">
        <v>93.731223372472897</v>
      </c>
      <c r="AJ6016">
        <v>92.150782243749006</v>
      </c>
      <c r="AK6016">
        <v>17.224826061767502</v>
      </c>
      <c r="AL6016">
        <v>94.076896045323707</v>
      </c>
      <c r="AM6016">
        <v>91.212184490758503</v>
      </c>
      <c r="AN6016">
        <v>0.99999999394734596</v>
      </c>
    </row>
    <row r="6017" spans="1:40" x14ac:dyDescent="0.25">
      <c r="A6017" t="str">
        <f>"20190303154301711"</f>
        <v>20190303154301711</v>
      </c>
      <c r="B6017" t="str">
        <f>"1551598981705854"</f>
        <v>1551598981705854</v>
      </c>
      <c r="C6017" t="s">
        <v>40</v>
      </c>
      <c r="D6017">
        <v>5.1863849999999996</v>
      </c>
      <c r="E6017">
        <v>0.52088420000000002</v>
      </c>
      <c r="F6017" t="s">
        <v>41</v>
      </c>
      <c r="G6017">
        <v>-421.24889999999999</v>
      </c>
      <c r="H6017" s="1">
        <v>-1.6327369999999901E-6</v>
      </c>
      <c r="I6017">
        <v>52.620449999999998</v>
      </c>
      <c r="J6017">
        <v>-421.94569999999999</v>
      </c>
      <c r="K6017">
        <v>1.1208990000000001</v>
      </c>
      <c r="L6017">
        <v>69.854309999999998</v>
      </c>
      <c r="M6017">
        <v>2.8303270000000001E-3</v>
      </c>
      <c r="N6017">
        <v>-1.3822559999999999E-2</v>
      </c>
      <c r="O6017">
        <v>-0.99990069999999998</v>
      </c>
      <c r="P6017">
        <v>2.3985869999999999E-2</v>
      </c>
      <c r="Q6017">
        <v>-8.4358269999999999E-2</v>
      </c>
      <c r="R6017">
        <v>-0.99614689999999995</v>
      </c>
      <c r="S6017">
        <v>0.11935419999999999</v>
      </c>
      <c r="T6017">
        <v>-0.1918395</v>
      </c>
      <c r="U6017">
        <v>-2.9925229999999998</v>
      </c>
      <c r="V6017">
        <v>-2.1195970000000001E-2</v>
      </c>
      <c r="W6017">
        <v>-7.0571090000000003E-2</v>
      </c>
      <c r="X6017">
        <v>0.99728159999999999</v>
      </c>
      <c r="Y6017">
        <v>-3.6953960000000001E-2</v>
      </c>
      <c r="Z6017">
        <v>5.01278E-2</v>
      </c>
      <c r="AA6017">
        <v>0.99805889999999997</v>
      </c>
      <c r="AB6017">
        <v>25</v>
      </c>
      <c r="AC6017">
        <v>0.69679999999999598</v>
      </c>
      <c r="AD6017">
        <v>-1.1209006327369999</v>
      </c>
      <c r="AE6017">
        <v>-17.23386</v>
      </c>
      <c r="AF6017">
        <v>-0.645289799284951</v>
      </c>
      <c r="AG6017">
        <v>-1.1209006327369999</v>
      </c>
      <c r="AH6017">
        <v>17.1632763528686</v>
      </c>
      <c r="AI6017">
        <v>93.733940425779295</v>
      </c>
      <c r="AJ6017">
        <v>92.153142288848002</v>
      </c>
      <c r="AK6017">
        <v>17.211939818581499</v>
      </c>
      <c r="AL6017">
        <v>94.046789108995696</v>
      </c>
      <c r="AM6017">
        <v>91.2175666434741</v>
      </c>
      <c r="AN6017">
        <v>1.00000006879329</v>
      </c>
    </row>
    <row r="6018" spans="1:40" x14ac:dyDescent="0.25">
      <c r="A6018" t="str">
        <f>"20190303154301734"</f>
        <v>20190303154301734</v>
      </c>
      <c r="B6018" t="str">
        <f>"1551598981726351"</f>
        <v>1551598981726351</v>
      </c>
      <c r="C6018" t="s">
        <v>40</v>
      </c>
      <c r="D6018">
        <v>5.2008580000000002</v>
      </c>
      <c r="E6018">
        <v>0.51936549999999904</v>
      </c>
      <c r="F6018" t="s">
        <v>58</v>
      </c>
      <c r="G6018">
        <v>-423.0299</v>
      </c>
      <c r="H6018" s="1">
        <v>-3.7079210000000001E-6</v>
      </c>
      <c r="I6018">
        <v>34.317880000000002</v>
      </c>
      <c r="J6018">
        <v>-421.94529999999997</v>
      </c>
      <c r="K6018">
        <v>1.1208640000000001</v>
      </c>
      <c r="L6018">
        <v>69.606139999999996</v>
      </c>
      <c r="M6018">
        <v>2.5427430000000001E-3</v>
      </c>
      <c r="N6018">
        <v>-1.382128E-2</v>
      </c>
      <c r="O6018">
        <v>-0.99990140000000005</v>
      </c>
      <c r="P6018">
        <v>2.375642E-2</v>
      </c>
      <c r="Q6018">
        <v>-8.4031620000000001E-2</v>
      </c>
      <c r="R6018">
        <v>-0.99618039999999997</v>
      </c>
      <c r="S6018">
        <v>-9.1705320000000007E-2</v>
      </c>
      <c r="T6018">
        <v>-9.481001E-2</v>
      </c>
      <c r="U6018">
        <v>-3.005798</v>
      </c>
      <c r="V6018">
        <v>-2.1258760000000002E-2</v>
      </c>
      <c r="W6018">
        <v>-7.0243559999999997E-2</v>
      </c>
      <c r="X6018">
        <v>0.9973033</v>
      </c>
      <c r="Y6018">
        <v>3.3021870000000002E-2</v>
      </c>
      <c r="Z6018">
        <v>1.7692670000000001E-2</v>
      </c>
      <c r="AA6018">
        <v>0.99929800000000002</v>
      </c>
      <c r="AB6018">
        <v>24</v>
      </c>
      <c r="AC6018">
        <v>-1.08460000000002</v>
      </c>
      <c r="AD6018">
        <v>-1.1208677079210001</v>
      </c>
      <c r="AE6018">
        <v>-35.288259999999902</v>
      </c>
      <c r="AF6018">
        <v>1.1731515513148001</v>
      </c>
      <c r="AG6018">
        <v>-1.1208677079210001</v>
      </c>
      <c r="AH6018">
        <v>35.2498577511817</v>
      </c>
      <c r="AI6018">
        <v>91.820258594207203</v>
      </c>
      <c r="AJ6018">
        <v>88.093841042146806</v>
      </c>
      <c r="AK6018">
        <v>35.287180398262997</v>
      </c>
      <c r="AL6018">
        <v>94.027976684941507</v>
      </c>
      <c r="AM6018">
        <v>91.221145855162106</v>
      </c>
      <c r="AN6018">
        <v>0.99999998239455001</v>
      </c>
    </row>
    <row r="6019" spans="1:40" x14ac:dyDescent="0.25">
      <c r="A6019" t="str">
        <f>"20190303154301755"</f>
        <v>20190303154301755</v>
      </c>
      <c r="B6019" t="str">
        <f>"1551598981745870"</f>
        <v>1551598981745870</v>
      </c>
      <c r="C6019" t="s">
        <v>40</v>
      </c>
      <c r="D6019">
        <v>5.2727329999999997</v>
      </c>
      <c r="E6019">
        <v>0.51778359999999901</v>
      </c>
      <c r="F6019" t="s">
        <v>41</v>
      </c>
      <c r="G6019">
        <v>-422.71809999999999</v>
      </c>
      <c r="H6019" s="1">
        <v>-1.2874039999999901E-6</v>
      </c>
      <c r="I6019">
        <v>40.904220000000002</v>
      </c>
      <c r="J6019">
        <v>-421.94510000000002</v>
      </c>
      <c r="K6019">
        <v>1.12083</v>
      </c>
      <c r="L6019">
        <v>69.369509999999906</v>
      </c>
      <c r="M6019">
        <v>2.2224300000000001E-3</v>
      </c>
      <c r="N6019">
        <v>-1.381988E-2</v>
      </c>
      <c r="O6019">
        <v>-0.99990219999999996</v>
      </c>
      <c r="P6019">
        <v>2.41678E-2</v>
      </c>
      <c r="Q6019">
        <v>-8.4852579999999997E-2</v>
      </c>
      <c r="R6019">
        <v>-0.99610050000000006</v>
      </c>
      <c r="S6019">
        <v>-8.0871579999999998E-2</v>
      </c>
      <c r="T6019">
        <v>-0.1172941</v>
      </c>
      <c r="U6019">
        <v>-3.0035400000000001</v>
      </c>
      <c r="V6019">
        <v>-2.1995529999999999E-2</v>
      </c>
      <c r="W6019">
        <v>-7.1064849999999999E-2</v>
      </c>
      <c r="X6019">
        <v>0.99722920000000004</v>
      </c>
      <c r="Y6019">
        <v>2.911826E-2</v>
      </c>
      <c r="Z6019">
        <v>2.519323E-2</v>
      </c>
      <c r="AA6019">
        <v>0.99925850000000005</v>
      </c>
      <c r="AB6019">
        <v>24</v>
      </c>
      <c r="AC6019">
        <v>-0.77299999999996705</v>
      </c>
      <c r="AD6019">
        <v>-1.1208312874040001</v>
      </c>
      <c r="AE6019">
        <v>-28.4652899999999</v>
      </c>
      <c r="AF6019">
        <v>0.834972632428162</v>
      </c>
      <c r="AG6019">
        <v>-1.1208312874040001</v>
      </c>
      <c r="AH6019">
        <v>28.419471947893101</v>
      </c>
      <c r="AI6019">
        <v>92.257536016352702</v>
      </c>
      <c r="AJ6019">
        <v>88.317116878643503</v>
      </c>
      <c r="AK6019">
        <v>28.4538192141022</v>
      </c>
      <c r="AL6019">
        <v>94.075150769901896</v>
      </c>
      <c r="AM6019">
        <v>91.263547766089204</v>
      </c>
      <c r="AN6019">
        <v>1.00000004678907</v>
      </c>
    </row>
    <row r="6020" spans="1:40" x14ac:dyDescent="0.25">
      <c r="A6020" t="str">
        <f>"20190303154301778"</f>
        <v>20190303154301778</v>
      </c>
      <c r="B6020" t="str">
        <f>"1551598981766370"</f>
        <v>1551598981766370</v>
      </c>
      <c r="C6020" t="s">
        <v>40</v>
      </c>
      <c r="D6020">
        <v>5.1875330000000002</v>
      </c>
      <c r="E6020">
        <v>0.51791019999999999</v>
      </c>
      <c r="F6020" t="s">
        <v>41</v>
      </c>
      <c r="G6020">
        <v>-422.46969999999999</v>
      </c>
      <c r="H6020" s="1">
        <v>-3.3913679999999998E-6</v>
      </c>
      <c r="I6020">
        <v>45.962719999999997</v>
      </c>
      <c r="J6020">
        <v>-421.94490000000002</v>
      </c>
      <c r="K6020">
        <v>1.1207929999999999</v>
      </c>
      <c r="L6020">
        <v>69.133700000000005</v>
      </c>
      <c r="M6020">
        <v>1.8579740000000001E-3</v>
      </c>
      <c r="N6020">
        <v>-1.3818459999999999E-2</v>
      </c>
      <c r="O6020">
        <v>-0.99990299999999999</v>
      </c>
      <c r="P6020">
        <v>2.4542319999999999E-2</v>
      </c>
      <c r="Q6020">
        <v>-8.563896E-2</v>
      </c>
      <c r="R6020">
        <v>-0.99602429999999997</v>
      </c>
      <c r="S6020">
        <v>-6.7260739999999999E-2</v>
      </c>
      <c r="T6020">
        <v>-0.1437089</v>
      </c>
      <c r="U6020">
        <v>-3.0011290000000002</v>
      </c>
      <c r="V6020">
        <v>-2.2739369999999998E-2</v>
      </c>
      <c r="W6020">
        <v>-7.1851559999999995E-2</v>
      </c>
      <c r="X6020">
        <v>0.99715609999999999</v>
      </c>
      <c r="Y6020">
        <v>2.4240540000000001E-2</v>
      </c>
      <c r="Z6020">
        <v>3.4009520000000001E-2</v>
      </c>
      <c r="AA6020">
        <v>0.99912749999999995</v>
      </c>
      <c r="AB6020">
        <v>24</v>
      </c>
      <c r="AC6020">
        <v>-0.52479999999996996</v>
      </c>
      <c r="AD6020">
        <v>-1.1207963913679999</v>
      </c>
      <c r="AE6020">
        <v>-23.17098</v>
      </c>
      <c r="AF6020">
        <v>0.566529431496403</v>
      </c>
      <c r="AG6020">
        <v>-1.1207963913679999</v>
      </c>
      <c r="AH6020">
        <v>23.115907725159001</v>
      </c>
      <c r="AI6020">
        <v>92.775033548863405</v>
      </c>
      <c r="AJ6020">
        <v>88.596064272437403</v>
      </c>
      <c r="AK6020">
        <v>23.149996330576801</v>
      </c>
      <c r="AL6020">
        <v>94.120341622862</v>
      </c>
      <c r="AM6020">
        <v>91.306359310532997</v>
      </c>
      <c r="AN6020">
        <v>1.00000000669482</v>
      </c>
    </row>
    <row r="6021" spans="1:40" x14ac:dyDescent="0.25">
      <c r="A6021" t="str">
        <f>"20190303154301799"</f>
        <v>20190303154301799</v>
      </c>
      <c r="B6021" t="str">
        <f>"1551598981796623"</f>
        <v>1551598981796623</v>
      </c>
      <c r="C6021" t="s">
        <v>40</v>
      </c>
      <c r="D6021">
        <v>5.1887290000000004</v>
      </c>
      <c r="E6021">
        <v>0.5184569</v>
      </c>
      <c r="F6021" t="s">
        <v>41</v>
      </c>
      <c r="G6021">
        <v>-422.45670000000001</v>
      </c>
      <c r="H6021" s="1">
        <v>-3.4691730000000001E-6</v>
      </c>
      <c r="I6021">
        <v>46.15211</v>
      </c>
      <c r="J6021">
        <v>-421.94490000000002</v>
      </c>
      <c r="K6021">
        <v>1.1207659999999999</v>
      </c>
      <c r="L6021">
        <v>68.889430000000004</v>
      </c>
      <c r="M6021">
        <v>1.4404190000000001E-3</v>
      </c>
      <c r="N6021">
        <v>-1.381692E-2</v>
      </c>
      <c r="O6021">
        <v>-0.99990369999999995</v>
      </c>
      <c r="P6021">
        <v>2.4897610000000001E-2</v>
      </c>
      <c r="Q6021">
        <v>-8.6992360000000005E-2</v>
      </c>
      <c r="R6021">
        <v>-0.99589819999999996</v>
      </c>
      <c r="S6021">
        <v>-6.6833500000000004E-2</v>
      </c>
      <c r="T6021">
        <v>-0.14635860000000001</v>
      </c>
      <c r="U6021">
        <v>-3.0010379999999999</v>
      </c>
      <c r="V6021">
        <v>-2.351636E-2</v>
      </c>
      <c r="W6021">
        <v>-7.3206179999999996E-2</v>
      </c>
      <c r="X6021">
        <v>0.99703960000000003</v>
      </c>
      <c r="Y6021">
        <v>2.3680989999999999E-2</v>
      </c>
      <c r="Z6021">
        <v>3.489312E-2</v>
      </c>
      <c r="AA6021">
        <v>0.99911050000000001</v>
      </c>
      <c r="AB6021">
        <v>24</v>
      </c>
      <c r="AC6021">
        <v>-0.51179999999999304</v>
      </c>
      <c r="AD6021">
        <v>-1.1207694691729999</v>
      </c>
      <c r="AE6021">
        <v>-22.73732</v>
      </c>
      <c r="AF6021">
        <v>0.54323462400207501</v>
      </c>
      <c r="AG6021">
        <v>-1.1207694691729999</v>
      </c>
      <c r="AH6021">
        <v>22.681477677274199</v>
      </c>
      <c r="AI6021">
        <v>92.828070020515895</v>
      </c>
      <c r="AJ6021">
        <v>88.6279949523</v>
      </c>
      <c r="AK6021">
        <v>22.715647859667801</v>
      </c>
      <c r="AL6021">
        <v>94.1981603471189</v>
      </c>
      <c r="AM6021">
        <v>91.351138316427097</v>
      </c>
      <c r="AN6021">
        <v>1.00000006397299</v>
      </c>
    </row>
    <row r="6022" spans="1:40" x14ac:dyDescent="0.25">
      <c r="A6022" t="str">
        <f>"20190303154301814"</f>
        <v>20190303154301814</v>
      </c>
      <c r="B6022" t="str">
        <f>"1551598981806383"</f>
        <v>1551598981806383</v>
      </c>
      <c r="C6022" t="s">
        <v>40</v>
      </c>
      <c r="D6022">
        <v>5.1796319999999998</v>
      </c>
      <c r="E6022">
        <v>0.51872429999999903</v>
      </c>
      <c r="F6022" t="s">
        <v>41</v>
      </c>
      <c r="G6022">
        <v>-422.49040000000002</v>
      </c>
      <c r="H6022" s="1">
        <v>-3.2122820000000001E-6</v>
      </c>
      <c r="I6022">
        <v>45.532389999999999</v>
      </c>
      <c r="J6022">
        <v>-421.94499999999999</v>
      </c>
      <c r="K6022">
        <v>1.120752</v>
      </c>
      <c r="L6022">
        <v>68.72766</v>
      </c>
      <c r="M6022">
        <v>1.1485289999999999E-3</v>
      </c>
      <c r="N6022">
        <v>-1.3815859999999999E-2</v>
      </c>
      <c r="O6022">
        <v>-0.99990400000000002</v>
      </c>
      <c r="P6022">
        <v>2.4500950000000001E-2</v>
      </c>
      <c r="Q6022">
        <v>-8.7191169999999998E-2</v>
      </c>
      <c r="R6022">
        <v>-0.99589019999999995</v>
      </c>
      <c r="S6022">
        <v>-7.0098880000000002E-2</v>
      </c>
      <c r="T6022">
        <v>-0.14402590000000001</v>
      </c>
      <c r="U6022">
        <v>-3.0015260000000001</v>
      </c>
      <c r="V6022">
        <v>-2.3412840000000001E-2</v>
      </c>
      <c r="W6022">
        <v>-7.3405570000000003E-2</v>
      </c>
      <c r="X6022">
        <v>0.99702729999999995</v>
      </c>
      <c r="Y6022">
        <v>2.4472319999999999E-2</v>
      </c>
      <c r="Z6022">
        <v>3.4110599999999998E-2</v>
      </c>
      <c r="AA6022">
        <v>0.99911839999999996</v>
      </c>
      <c r="AB6022">
        <v>24</v>
      </c>
      <c r="AC6022">
        <v>-0.54540000000002897</v>
      </c>
      <c r="AD6022">
        <v>-1.1207552122819999</v>
      </c>
      <c r="AE6022">
        <v>-23.195270000000001</v>
      </c>
      <c r="AF6022">
        <v>0.57071094384656296</v>
      </c>
      <c r="AG6022">
        <v>-1.1207552122819999</v>
      </c>
      <c r="AH6022">
        <v>23.140632695490599</v>
      </c>
      <c r="AI6022">
        <v>92.771960951256403</v>
      </c>
      <c r="AJ6022">
        <v>88.587216630294506</v>
      </c>
      <c r="AK6022">
        <v>23.1747855389191</v>
      </c>
      <c r="AL6022">
        <v>94.209615692531798</v>
      </c>
      <c r="AM6022">
        <v>91.345209328436198</v>
      </c>
      <c r="AN6022">
        <v>0.99999998786458999</v>
      </c>
    </row>
    <row r="6023" spans="1:40" x14ac:dyDescent="0.25">
      <c r="A6023" t="str">
        <f>"20190303154301833"</f>
        <v>20190303154301833</v>
      </c>
      <c r="B6023" t="str">
        <f>"1551598981825902"</f>
        <v>1551598981825902</v>
      </c>
      <c r="C6023" t="s">
        <v>40</v>
      </c>
      <c r="D6023">
        <v>5.3238949999999896</v>
      </c>
      <c r="E6023">
        <v>0.51810290000000003</v>
      </c>
      <c r="F6023" t="s">
        <v>41</v>
      </c>
      <c r="G6023">
        <v>-422.53629999999998</v>
      </c>
      <c r="H6023" s="1">
        <v>-2.8510310000000001E-6</v>
      </c>
      <c r="I6023">
        <v>44.661830000000002</v>
      </c>
      <c r="J6023">
        <v>-421.9452</v>
      </c>
      <c r="K6023">
        <v>1.1207389999999999</v>
      </c>
      <c r="L6023">
        <v>68.520480000000006</v>
      </c>
      <c r="M6023">
        <v>7.6047440000000005E-4</v>
      </c>
      <c r="N6023">
        <v>-1.3814409999999999E-2</v>
      </c>
      <c r="O6023">
        <v>-0.99990449999999997</v>
      </c>
      <c r="P6023">
        <v>2.4101609999999999E-2</v>
      </c>
      <c r="Q6023">
        <v>-8.7503189999999995E-2</v>
      </c>
      <c r="R6023">
        <v>-0.9958728</v>
      </c>
      <c r="S6023">
        <v>-7.3760989999999999E-2</v>
      </c>
      <c r="T6023">
        <v>-0.13980209999999901</v>
      </c>
      <c r="U6023">
        <v>-3.0019529999999999</v>
      </c>
      <c r="V6023">
        <v>-2.3402320000000001E-2</v>
      </c>
      <c r="W6023">
        <v>-7.3718699999999998E-2</v>
      </c>
      <c r="X6023">
        <v>0.99700440000000001</v>
      </c>
      <c r="Y6023">
        <v>2.530021E-2</v>
      </c>
      <c r="Z6023">
        <v>3.2701479999999998E-2</v>
      </c>
      <c r="AA6023">
        <v>0.9991449</v>
      </c>
      <c r="AB6023">
        <v>24</v>
      </c>
      <c r="AC6023">
        <v>-0.59109999999998297</v>
      </c>
      <c r="AD6023">
        <v>-1.1207418510310001</v>
      </c>
      <c r="AE6023">
        <v>-23.858650000000001</v>
      </c>
      <c r="AF6023">
        <v>0.60790488205081095</v>
      </c>
      <c r="AG6023">
        <v>-1.1207418510310001</v>
      </c>
      <c r="AH6023">
        <v>23.8056966171673</v>
      </c>
      <c r="AI6023">
        <v>92.694544946819704</v>
      </c>
      <c r="AJ6023">
        <v>88.537206588590806</v>
      </c>
      <c r="AK6023">
        <v>23.839815478960499</v>
      </c>
      <c r="AL6023">
        <v>94.227605644908294</v>
      </c>
      <c r="AM6023">
        <v>91.344635985364206</v>
      </c>
      <c r="AN6023">
        <v>0.99999994446521401</v>
      </c>
    </row>
    <row r="6024" spans="1:40" x14ac:dyDescent="0.25">
      <c r="A6024" t="str">
        <f>"20190303154301856"</f>
        <v>20190303154301856</v>
      </c>
      <c r="B6024" t="str">
        <f>"1551598981846398"</f>
        <v>1551598981846398</v>
      </c>
      <c r="C6024" t="s">
        <v>40</v>
      </c>
      <c r="D6024">
        <v>5.2809299999999997</v>
      </c>
      <c r="E6024">
        <v>0.51806700000000006</v>
      </c>
      <c r="F6024" t="s">
        <v>41</v>
      </c>
      <c r="G6024">
        <v>-422.46899999999999</v>
      </c>
      <c r="H6024" s="1">
        <v>-3.4441260000000001E-6</v>
      </c>
      <c r="I6024">
        <v>46.086109999999998</v>
      </c>
      <c r="J6024">
        <v>-421.94549999999998</v>
      </c>
      <c r="K6024">
        <v>1.1207210000000001</v>
      </c>
      <c r="L6024">
        <v>68.278959999999998</v>
      </c>
      <c r="M6024">
        <v>2.9804549999999999E-4</v>
      </c>
      <c r="N6024">
        <v>-1.3812609999999999E-2</v>
      </c>
      <c r="O6024">
        <v>-0.99990469999999998</v>
      </c>
      <c r="P6024">
        <v>2.307907E-2</v>
      </c>
      <c r="Q6024">
        <v>-8.7540439999999997E-2</v>
      </c>
      <c r="R6024">
        <v>-0.99589369999999999</v>
      </c>
      <c r="S6024">
        <v>-7.0068359999999996E-2</v>
      </c>
      <c r="T6024">
        <v>-0.14991660000000001</v>
      </c>
      <c r="U6024">
        <v>-3.0009459999999999</v>
      </c>
      <c r="V6024">
        <v>-2.284222E-2</v>
      </c>
      <c r="W6024">
        <v>-7.3757690000000001E-2</v>
      </c>
      <c r="X6024">
        <v>0.99701459999999997</v>
      </c>
      <c r="Y6024">
        <v>2.361479E-2</v>
      </c>
      <c r="Z6024">
        <v>3.6080290000000001E-2</v>
      </c>
      <c r="AA6024">
        <v>0.99906989999999996</v>
      </c>
      <c r="AB6024">
        <v>24</v>
      </c>
      <c r="AC6024">
        <v>-0.52350000000001196</v>
      </c>
      <c r="AD6024">
        <v>-1.12072444412599</v>
      </c>
      <c r="AE6024">
        <v>-22.19285</v>
      </c>
      <c r="AF6024">
        <v>0.52876738167397797</v>
      </c>
      <c r="AG6024">
        <v>-1.12072444412599</v>
      </c>
      <c r="AH6024">
        <v>22.136272795194699</v>
      </c>
      <c r="AI6024">
        <v>92.897494826527804</v>
      </c>
      <c r="AJ6024">
        <v>88.631640502786695</v>
      </c>
      <c r="AK6024">
        <v>22.1709312273269</v>
      </c>
      <c r="AL6024">
        <v>94.229845308405999</v>
      </c>
      <c r="AM6024">
        <v>91.312452078947004</v>
      </c>
      <c r="AN6024">
        <v>1.00000003823091</v>
      </c>
    </row>
    <row r="6025" spans="1:40" x14ac:dyDescent="0.25">
      <c r="A6025" t="str">
        <f>"20190303154301877"</f>
        <v>20190303154301877</v>
      </c>
      <c r="B6025" t="str">
        <f>"1551598981865918"</f>
        <v>1551598981865918</v>
      </c>
      <c r="C6025" t="s">
        <v>40</v>
      </c>
      <c r="D6025">
        <v>5.3293920000000004</v>
      </c>
      <c r="E6025">
        <v>0.51767849999999904</v>
      </c>
      <c r="F6025" t="s">
        <v>41</v>
      </c>
      <c r="G6025">
        <v>-422.49040000000002</v>
      </c>
      <c r="H6025" s="1">
        <v>-3.3527830000000001E-6</v>
      </c>
      <c r="I6025">
        <v>45.859920000000002</v>
      </c>
      <c r="J6025">
        <v>-421.94600000000003</v>
      </c>
      <c r="K6025">
        <v>1.1207260000000001</v>
      </c>
      <c r="L6025">
        <v>68.044650000000004</v>
      </c>
      <c r="M6025">
        <v>-1.542476E-4</v>
      </c>
      <c r="N6025">
        <v>-1.3810569999999999E-2</v>
      </c>
      <c r="O6025">
        <v>-0.99990469999999998</v>
      </c>
      <c r="P6025">
        <v>2.161366E-2</v>
      </c>
      <c r="Q6025">
        <v>-8.7831599999999996E-2</v>
      </c>
      <c r="R6025">
        <v>-0.99590089999999998</v>
      </c>
      <c r="S6025">
        <v>-7.2937009999999997E-2</v>
      </c>
      <c r="T6025">
        <v>-0.1500138</v>
      </c>
      <c r="U6025">
        <v>-3.0008849999999998</v>
      </c>
      <c r="V6025">
        <v>-2.182719E-2</v>
      </c>
      <c r="W6025">
        <v>-7.4051720000000001E-2</v>
      </c>
      <c r="X6025">
        <v>0.99701550000000005</v>
      </c>
      <c r="Y6025">
        <v>2.4117300000000001E-2</v>
      </c>
      <c r="Z6025">
        <v>3.6114809999999997E-2</v>
      </c>
      <c r="AA6025">
        <v>0.99905659999999996</v>
      </c>
      <c r="AB6025">
        <v>24</v>
      </c>
      <c r="AC6025">
        <v>-0.54440000000005195</v>
      </c>
      <c r="AD6025">
        <v>-1.120729352783</v>
      </c>
      <c r="AE6025">
        <v>-22.184729999999998</v>
      </c>
      <c r="AF6025">
        <v>0.539601452198748</v>
      </c>
      <c r="AG6025">
        <v>-1.120729352783</v>
      </c>
      <c r="AH6025">
        <v>22.128374462450601</v>
      </c>
      <c r="AI6025">
        <v>92.898505177846502</v>
      </c>
      <c r="AJ6025">
        <v>88.603116553965407</v>
      </c>
      <c r="AK6025">
        <v>22.163306620625001</v>
      </c>
      <c r="AL6025">
        <v>94.246738365119896</v>
      </c>
      <c r="AM6025">
        <v>91.254149133196805</v>
      </c>
      <c r="AN6025">
        <v>0.99999999534925199</v>
      </c>
    </row>
    <row r="6026" spans="1:40" x14ac:dyDescent="0.25">
      <c r="A6026" t="str">
        <f>"20190303154301900"</f>
        <v>20190303154301900</v>
      </c>
      <c r="B6026" t="str">
        <f>"1551598981896174"</f>
        <v>1551598981896174</v>
      </c>
      <c r="C6026" t="s">
        <v>40</v>
      </c>
      <c r="D6026">
        <v>5.3202280000000002</v>
      </c>
      <c r="E6026">
        <v>0.51705519999999905</v>
      </c>
      <c r="F6026" t="s">
        <v>41</v>
      </c>
      <c r="G6026">
        <v>-422.4785</v>
      </c>
      <c r="H6026" s="1">
        <v>-3.6553069999999999E-6</v>
      </c>
      <c r="I6026">
        <v>46.572490000000002</v>
      </c>
      <c r="J6026">
        <v>-421.94650000000001</v>
      </c>
      <c r="K6026">
        <v>1.1207279999999999</v>
      </c>
      <c r="L6026">
        <v>67.801329999999993</v>
      </c>
      <c r="M6026">
        <v>-6.2086360000000002E-4</v>
      </c>
      <c r="N6026">
        <v>-1.380836E-2</v>
      </c>
      <c r="O6026">
        <v>-0.99990449999999997</v>
      </c>
      <c r="P6026">
        <v>2.0212890000000001E-2</v>
      </c>
      <c r="Q6026">
        <v>-8.8294940000000002E-2</v>
      </c>
      <c r="R6026">
        <v>-0.99588920000000003</v>
      </c>
      <c r="S6026">
        <v>-7.440186E-2</v>
      </c>
      <c r="T6026">
        <v>-0.1565917</v>
      </c>
      <c r="U6026">
        <v>-3.0001530000000001</v>
      </c>
      <c r="V6026">
        <v>-2.0890840000000001E-2</v>
      </c>
      <c r="W6026">
        <v>-7.451845E-2</v>
      </c>
      <c r="X6026">
        <v>0.99700080000000002</v>
      </c>
      <c r="Y6026">
        <v>2.4141800000000001E-2</v>
      </c>
      <c r="Z6026">
        <v>3.8313569999999998E-2</v>
      </c>
      <c r="AA6026">
        <v>0.99897409999999998</v>
      </c>
      <c r="AB6026">
        <v>24</v>
      </c>
      <c r="AC6026">
        <v>-0.53199999999998204</v>
      </c>
      <c r="AD6026">
        <v>-1.1207316553069999</v>
      </c>
      <c r="AE6026">
        <v>-21.228840000000002</v>
      </c>
      <c r="AF6026">
        <v>0.51737735569762999</v>
      </c>
      <c r="AG6026">
        <v>-1.1207316553069999</v>
      </c>
      <c r="AH6026">
        <v>21.170200050447399</v>
      </c>
      <c r="AI6026">
        <v>93.029456194266103</v>
      </c>
      <c r="AJ6026">
        <v>88.600030264851995</v>
      </c>
      <c r="AK6026">
        <v>21.20615686416</v>
      </c>
      <c r="AL6026">
        <v>94.273554048793898</v>
      </c>
      <c r="AM6026">
        <v>91.200382016962905</v>
      </c>
      <c r="AN6026">
        <v>1.0000000108934699</v>
      </c>
    </row>
    <row r="6027" spans="1:40" x14ac:dyDescent="0.25">
      <c r="A6027" t="str">
        <f>"20190303154301924"</f>
        <v>20190303154301924</v>
      </c>
      <c r="B6027" t="str">
        <f>"1551598981916670"</f>
        <v>1551598981916670</v>
      </c>
      <c r="C6027" t="s">
        <v>40</v>
      </c>
      <c r="D6027">
        <v>5.1803629999999998</v>
      </c>
      <c r="E6027">
        <v>0.51708559999999903</v>
      </c>
      <c r="F6027" t="s">
        <v>41</v>
      </c>
      <c r="G6027">
        <v>-422.45069999999998</v>
      </c>
      <c r="H6027" s="1">
        <v>-3.9586830000000001E-6</v>
      </c>
      <c r="I6027">
        <v>47.342120000000001</v>
      </c>
      <c r="J6027">
        <v>-421.94729999999998</v>
      </c>
      <c r="K6027">
        <v>1.1207320000000001</v>
      </c>
      <c r="L6027">
        <v>67.548490000000001</v>
      </c>
      <c r="M6027">
        <v>-1.0987200000000001E-3</v>
      </c>
      <c r="N6027">
        <v>-1.380602E-2</v>
      </c>
      <c r="O6027">
        <v>-0.99990400000000002</v>
      </c>
      <c r="P6027">
        <v>1.913484E-2</v>
      </c>
      <c r="Q6027">
        <v>-8.8744139999999999E-2</v>
      </c>
      <c r="R6027">
        <v>-0.9958707</v>
      </c>
      <c r="S6027">
        <v>-7.3913569999999998E-2</v>
      </c>
      <c r="T6027">
        <v>-0.1642981</v>
      </c>
      <c r="U6027">
        <v>-2.999298</v>
      </c>
      <c r="V6027">
        <v>-2.028781E-2</v>
      </c>
      <c r="W6027">
        <v>-7.4971040000000003E-2</v>
      </c>
      <c r="X6027">
        <v>0.99697930000000001</v>
      </c>
      <c r="Y6027">
        <v>2.35059E-2</v>
      </c>
      <c r="Z6027">
        <v>4.0890570000000001E-2</v>
      </c>
      <c r="AA6027">
        <v>0.99888710000000003</v>
      </c>
      <c r="AB6027">
        <v>24</v>
      </c>
      <c r="AC6027">
        <v>-0.50339999999999896</v>
      </c>
      <c r="AD6027">
        <v>-1.1207359586829999</v>
      </c>
      <c r="AE6027">
        <v>-20.20637</v>
      </c>
      <c r="AF6027">
        <v>0.47972157851802699</v>
      </c>
      <c r="AG6027">
        <v>-1.1207359586829999</v>
      </c>
      <c r="AH6027">
        <v>20.144977206636302</v>
      </c>
      <c r="AI6027">
        <v>93.183382661410803</v>
      </c>
      <c r="AJ6027">
        <v>88.635847155488193</v>
      </c>
      <c r="AK6027">
        <v>20.181830653780601</v>
      </c>
      <c r="AL6027">
        <v>94.299558384371196</v>
      </c>
      <c r="AM6027">
        <v>91.1657669124195</v>
      </c>
      <c r="AN6027">
        <v>0.999999988350883</v>
      </c>
    </row>
    <row r="6028" spans="1:40" x14ac:dyDescent="0.25">
      <c r="A6028" t="str">
        <f>"20190303154301945"</f>
        <v>20190303154301945</v>
      </c>
      <c r="B6028" t="str">
        <f>"1551598981936191"</f>
        <v>1551598981936191</v>
      </c>
      <c r="C6028" t="s">
        <v>40</v>
      </c>
      <c r="D6028">
        <v>5.230963</v>
      </c>
      <c r="E6028">
        <v>0.51730779999999998</v>
      </c>
      <c r="F6028" t="s">
        <v>41</v>
      </c>
      <c r="G6028">
        <v>-422.47269999999997</v>
      </c>
      <c r="H6028" s="1">
        <v>-3.863824E-6</v>
      </c>
      <c r="I6028">
        <v>47.062100000000001</v>
      </c>
      <c r="J6028">
        <v>-421.94810000000001</v>
      </c>
      <c r="K6028">
        <v>1.120741</v>
      </c>
      <c r="L6028">
        <v>67.309969999999893</v>
      </c>
      <c r="M6028">
        <v>-1.5428320000000001E-3</v>
      </c>
      <c r="N6028">
        <v>-1.380381E-2</v>
      </c>
      <c r="O6028">
        <v>-0.99990369999999995</v>
      </c>
      <c r="P6028">
        <v>1.9610789999999999E-2</v>
      </c>
      <c r="Q6028">
        <v>-8.8375319999999993E-2</v>
      </c>
      <c r="R6028">
        <v>-0.99589450000000002</v>
      </c>
      <c r="S6028">
        <v>-7.6934810000000006E-2</v>
      </c>
      <c r="T6028">
        <v>-0.16408059999999999</v>
      </c>
      <c r="U6028">
        <v>-2.999298</v>
      </c>
      <c r="V6028">
        <v>-2.120495E-2</v>
      </c>
      <c r="W6028">
        <v>-7.4603820000000001E-2</v>
      </c>
      <c r="X6028">
        <v>0.99698779999999998</v>
      </c>
      <c r="Y6028">
        <v>2.4067249999999998E-2</v>
      </c>
      <c r="Z6028">
        <v>4.0819569999999999E-2</v>
      </c>
      <c r="AA6028">
        <v>0.9988766</v>
      </c>
      <c r="AB6028">
        <v>24</v>
      </c>
      <c r="AC6028">
        <v>-0.52459999999996398</v>
      </c>
      <c r="AD6028">
        <v>-1.1207448638240001</v>
      </c>
      <c r="AE6028">
        <v>-20.247869999999899</v>
      </c>
      <c r="AF6028">
        <v>0.49185143814358601</v>
      </c>
      <c r="AG6028">
        <v>-1.1207448638240001</v>
      </c>
      <c r="AH6028">
        <v>20.1868491593412</v>
      </c>
      <c r="AI6028">
        <v>93.176776264074803</v>
      </c>
      <c r="AJ6028">
        <v>88.6042677210676</v>
      </c>
      <c r="AK6028">
        <v>20.223918163130101</v>
      </c>
      <c r="AL6028">
        <v>94.278458975411397</v>
      </c>
      <c r="AM6028">
        <v>91.218441174635899</v>
      </c>
      <c r="AN6028">
        <v>1.0000000266059601</v>
      </c>
    </row>
    <row r="6029" spans="1:40" x14ac:dyDescent="0.25">
      <c r="A6029" t="str">
        <f>"20190303154301967"</f>
        <v>20190303154301967</v>
      </c>
      <c r="B6029" t="str">
        <f>"1551598981956293"</f>
        <v>1551598981956293</v>
      </c>
      <c r="C6029" t="s">
        <v>40</v>
      </c>
      <c r="D6029">
        <v>5.1867489999999998</v>
      </c>
      <c r="E6029">
        <v>0.51754750000000005</v>
      </c>
      <c r="F6029" t="s">
        <v>41</v>
      </c>
      <c r="G6029">
        <v>-422.49599999999998</v>
      </c>
      <c r="H6029" s="1">
        <v>-3.4008289999999999E-6</v>
      </c>
      <c r="I6029">
        <v>45.968409999999999</v>
      </c>
      <c r="J6029">
        <v>-421.94889999999998</v>
      </c>
      <c r="K6029">
        <v>1.120749</v>
      </c>
      <c r="L6029">
        <v>67.077060000000003</v>
      </c>
      <c r="M6029">
        <v>-1.9707629999999999E-3</v>
      </c>
      <c r="N6029">
        <v>-1.3801620000000001E-2</v>
      </c>
      <c r="O6029">
        <v>-0.99990299999999999</v>
      </c>
      <c r="P6029">
        <v>2.060876E-2</v>
      </c>
      <c r="Q6029">
        <v>-8.8123720000000003E-2</v>
      </c>
      <c r="R6029">
        <v>-0.99589649999999996</v>
      </c>
      <c r="S6029">
        <v>-7.7026369999999997E-2</v>
      </c>
      <c r="T6029">
        <v>-0.15753909999999999</v>
      </c>
      <c r="U6029">
        <v>-2.999908</v>
      </c>
      <c r="V6029">
        <v>-2.2628700000000002E-2</v>
      </c>
      <c r="W6029">
        <v>-7.435369E-2</v>
      </c>
      <c r="X6029">
        <v>0.99697519999999995</v>
      </c>
      <c r="Y6029">
        <v>2.366743E-2</v>
      </c>
      <c r="Z6029">
        <v>3.8639010000000001E-2</v>
      </c>
      <c r="AA6029">
        <v>0.99897290000000005</v>
      </c>
      <c r="AB6029">
        <v>24</v>
      </c>
      <c r="AC6029">
        <v>-0.54710000000000003</v>
      </c>
      <c r="AD6029">
        <v>-1.120752400829</v>
      </c>
      <c r="AE6029">
        <v>-21.108650000000001</v>
      </c>
      <c r="AF6029">
        <v>0.50407479224318796</v>
      </c>
      <c r="AG6029">
        <v>-1.120752400829</v>
      </c>
      <c r="AH6029">
        <v>21.050385646917601</v>
      </c>
      <c r="AI6029">
        <v>93.046759359958898</v>
      </c>
      <c r="AJ6029">
        <v>88.628251273277698</v>
      </c>
      <c r="AK6029">
        <v>21.086225675167501</v>
      </c>
      <c r="AL6029">
        <v>94.264087613132304</v>
      </c>
      <c r="AM6029">
        <v>91.300239394533705</v>
      </c>
      <c r="AN6029">
        <v>1.00000003934767</v>
      </c>
    </row>
    <row r="6030" spans="1:40" x14ac:dyDescent="0.25">
      <c r="A6030" t="str">
        <f>"20190303154301989"</f>
        <v>20190303154301989</v>
      </c>
      <c r="B6030" t="str">
        <f>"1551598981986549"</f>
        <v>1551598981986549</v>
      </c>
      <c r="C6030" t="s">
        <v>40</v>
      </c>
      <c r="D6030">
        <v>5.2079500000000003</v>
      </c>
      <c r="E6030">
        <v>0.51779540000000002</v>
      </c>
      <c r="F6030" t="s">
        <v>41</v>
      </c>
      <c r="G6030">
        <v>-422.5111</v>
      </c>
      <c r="H6030" s="1">
        <v>-2.9787169999999998E-6</v>
      </c>
      <c r="I6030">
        <v>44.975099999999998</v>
      </c>
      <c r="J6030">
        <v>-421.94990000000001</v>
      </c>
      <c r="K6030">
        <v>1.1207549999999999</v>
      </c>
      <c r="L6030">
        <v>66.837249999999997</v>
      </c>
      <c r="M6030">
        <v>-2.4046850000000002E-3</v>
      </c>
      <c r="N6030">
        <v>-1.379931E-2</v>
      </c>
      <c r="O6030">
        <v>-0.99990210000000002</v>
      </c>
      <c r="P6030">
        <v>2.120242E-2</v>
      </c>
      <c r="Q6030">
        <v>-8.8472629999999997E-2</v>
      </c>
      <c r="R6030">
        <v>-0.99585319999999999</v>
      </c>
      <c r="S6030">
        <v>-7.6324459999999997E-2</v>
      </c>
      <c r="T6030">
        <v>-0.1521496</v>
      </c>
      <c r="U6030">
        <v>-3.0004879999999998</v>
      </c>
      <c r="V6030">
        <v>-2.3653489999999999E-2</v>
      </c>
      <c r="W6030">
        <v>-7.4705140000000003E-2</v>
      </c>
      <c r="X6030">
        <v>0.99692510000000001</v>
      </c>
      <c r="Y6030">
        <v>2.2997409999999999E-2</v>
      </c>
      <c r="Z6030">
        <v>3.6842119999999999E-2</v>
      </c>
      <c r="AA6030">
        <v>0.99905650000000001</v>
      </c>
      <c r="AB6030">
        <v>24</v>
      </c>
      <c r="AC6030">
        <v>-0.56119999999998504</v>
      </c>
      <c r="AD6030">
        <v>-1.1207579787169999</v>
      </c>
      <c r="AE6030">
        <v>-21.86215</v>
      </c>
      <c r="AF6030">
        <v>0.50728948028260401</v>
      </c>
      <c r="AG6030">
        <v>-1.1207579787169999</v>
      </c>
      <c r="AH6030">
        <v>21.806165890733201</v>
      </c>
      <c r="AI6030">
        <v>92.941412322095204</v>
      </c>
      <c r="AJ6030">
        <v>88.667335436622196</v>
      </c>
      <c r="AK6030">
        <v>21.840840458138</v>
      </c>
      <c r="AL6030">
        <v>94.284280541670597</v>
      </c>
      <c r="AM6030">
        <v>91.359170237019796</v>
      </c>
      <c r="AN6030">
        <v>1.0000000002708</v>
      </c>
    </row>
    <row r="6031" spans="1:40" x14ac:dyDescent="0.25">
      <c r="A6031" t="str">
        <f>"20190303154302012"</f>
        <v>20190303154302012</v>
      </c>
      <c r="B6031" t="str">
        <f>"1551598982006069"</f>
        <v>1551598982006069</v>
      </c>
      <c r="C6031" t="s">
        <v>40</v>
      </c>
      <c r="D6031">
        <v>5.238416</v>
      </c>
      <c r="E6031">
        <v>0.51796309999999901</v>
      </c>
      <c r="F6031" t="s">
        <v>41</v>
      </c>
      <c r="G6031">
        <v>-422.52710000000002</v>
      </c>
      <c r="H6031" s="1">
        <v>-2.6095530000000002E-6</v>
      </c>
      <c r="I6031">
        <v>44.104640000000003</v>
      </c>
      <c r="J6031">
        <v>-421.95100000000002</v>
      </c>
      <c r="K6031">
        <v>1.12076</v>
      </c>
      <c r="L6031">
        <v>66.594449999999995</v>
      </c>
      <c r="M6031">
        <v>-2.8309300000000002E-3</v>
      </c>
      <c r="N6031">
        <v>-1.3796920000000001E-2</v>
      </c>
      <c r="O6031">
        <v>-0.99990109999999999</v>
      </c>
      <c r="P6031">
        <v>2.1476430000000001E-2</v>
      </c>
      <c r="Q6031">
        <v>-8.9148099999999994E-2</v>
      </c>
      <c r="R6031">
        <v>-0.99578719999999998</v>
      </c>
      <c r="S6031">
        <v>-7.6202389999999995E-2</v>
      </c>
      <c r="T6031">
        <v>-0.14795349999999999</v>
      </c>
      <c r="U6031">
        <v>-3.0009769999999998</v>
      </c>
      <c r="V6031">
        <v>-2.435056E-2</v>
      </c>
      <c r="W6031">
        <v>-7.5384010000000001E-2</v>
      </c>
      <c r="X6031">
        <v>0.9968572</v>
      </c>
      <c r="Y6031">
        <v>2.252821E-2</v>
      </c>
      <c r="Z6031">
        <v>3.5443139999999998E-2</v>
      </c>
      <c r="AA6031">
        <v>0.9991177</v>
      </c>
      <c r="AB6031">
        <v>24</v>
      </c>
      <c r="AC6031">
        <v>-0.57610000000005301</v>
      </c>
      <c r="AD6031">
        <v>-1.1207626095530001</v>
      </c>
      <c r="AE6031">
        <v>-22.489809999999899</v>
      </c>
      <c r="AF6031">
        <v>0.51115597248090605</v>
      </c>
      <c r="AG6031">
        <v>-1.1207626095530001</v>
      </c>
      <c r="AH6031">
        <v>22.4356695561202</v>
      </c>
      <c r="AI6031">
        <v>92.859063943691297</v>
      </c>
      <c r="AJ6031">
        <v>88.694845544116902</v>
      </c>
      <c r="AK6031">
        <v>22.469460556199301</v>
      </c>
      <c r="AL6031">
        <v>94.323286972525494</v>
      </c>
      <c r="AM6031">
        <v>91.399304651160094</v>
      </c>
      <c r="AN6031">
        <v>0.99999998796391598</v>
      </c>
    </row>
    <row r="6032" spans="1:40" x14ac:dyDescent="0.25">
      <c r="A6032" t="str">
        <f>"20190303154302034"</f>
        <v>20190303154302034</v>
      </c>
      <c r="B6032" t="str">
        <f>"1551598982026568"</f>
        <v>1551598982026568</v>
      </c>
      <c r="C6032" t="s">
        <v>40</v>
      </c>
      <c r="D6032">
        <v>5.2171810000000001</v>
      </c>
      <c r="E6032">
        <v>0.51809280000000002</v>
      </c>
      <c r="F6032" t="s">
        <v>41</v>
      </c>
      <c r="G6032">
        <v>-422.53660000000002</v>
      </c>
      <c r="H6032" s="1">
        <v>-2.4368480000000002E-6</v>
      </c>
      <c r="I6032">
        <v>43.696179999999998</v>
      </c>
      <c r="J6032">
        <v>-421.95209999999997</v>
      </c>
      <c r="K6032">
        <v>1.120768</v>
      </c>
      <c r="L6032">
        <v>66.357669999999999</v>
      </c>
      <c r="M6032">
        <v>-3.2242759999999999E-3</v>
      </c>
      <c r="N6032">
        <v>-1.379448E-2</v>
      </c>
      <c r="O6032">
        <v>-0.99989989999999995</v>
      </c>
      <c r="P6032">
        <v>2.135304E-2</v>
      </c>
      <c r="Q6032">
        <v>-8.9833700000000002E-2</v>
      </c>
      <c r="R6032">
        <v>-0.99572780000000005</v>
      </c>
      <c r="S6032">
        <v>-7.6751710000000001E-2</v>
      </c>
      <c r="T6032">
        <v>-0.1468941</v>
      </c>
      <c r="U6032">
        <v>-3.0011899999999998</v>
      </c>
      <c r="V6032">
        <v>-2.46164E-2</v>
      </c>
      <c r="W6032">
        <v>-7.6073749999999996E-2</v>
      </c>
      <c r="X6032">
        <v>0.99679830000000003</v>
      </c>
      <c r="Y6032">
        <v>2.231634E-2</v>
      </c>
      <c r="Z6032">
        <v>3.5090259999999998E-2</v>
      </c>
      <c r="AA6032">
        <v>0.999135</v>
      </c>
      <c r="AB6032">
        <v>24</v>
      </c>
      <c r="AC6032">
        <v>-0.58450000000004798</v>
      </c>
      <c r="AD6032">
        <v>-1.120770436848</v>
      </c>
      <c r="AE6032">
        <v>-22.661490000000001</v>
      </c>
      <c r="AF6032">
        <v>0.51017606713016095</v>
      </c>
      <c r="AG6032">
        <v>-1.120770436848</v>
      </c>
      <c r="AH6032">
        <v>22.607994566151199</v>
      </c>
      <c r="AI6032">
        <v>92.837340749516201</v>
      </c>
      <c r="AJ6032">
        <v>88.707272548891396</v>
      </c>
      <c r="AK6032">
        <v>22.6415066701557</v>
      </c>
      <c r="AL6032">
        <v>94.362919847318594</v>
      </c>
      <c r="AM6032">
        <v>91.414658522261504</v>
      </c>
      <c r="AN6032">
        <v>1.0000000167354499</v>
      </c>
    </row>
    <row r="6033" spans="1:40" x14ac:dyDescent="0.25">
      <c r="A6033" t="str">
        <f>"20190303154302057"</f>
        <v>20190303154302057</v>
      </c>
      <c r="B6033" t="str">
        <f>"1551598982046059"</f>
        <v>1551598982046059</v>
      </c>
      <c r="C6033" t="s">
        <v>40</v>
      </c>
      <c r="D6033">
        <v>5.2357849999999999</v>
      </c>
      <c r="E6033">
        <v>0.5181791</v>
      </c>
      <c r="F6033" t="s">
        <v>41</v>
      </c>
      <c r="G6033">
        <v>-422.55189999999999</v>
      </c>
      <c r="H6033" s="1">
        <v>-2.2733540000000001E-6</v>
      </c>
      <c r="I6033">
        <v>43.30556</v>
      </c>
      <c r="J6033">
        <v>-421.95339999999999</v>
      </c>
      <c r="K6033">
        <v>1.1207929999999999</v>
      </c>
      <c r="L6033">
        <v>66.115840000000006</v>
      </c>
      <c r="M6033">
        <v>-3.5881089999999999E-3</v>
      </c>
      <c r="N6033">
        <v>-1.3791899999999999E-2</v>
      </c>
      <c r="O6033">
        <v>-0.99989839999999997</v>
      </c>
      <c r="P6033">
        <v>2.1147409999999998E-2</v>
      </c>
      <c r="Q6033">
        <v>-9.0951169999999998E-2</v>
      </c>
      <c r="R6033">
        <v>-0.99563060000000003</v>
      </c>
      <c r="S6033">
        <v>-7.8094479999999994E-2</v>
      </c>
      <c r="T6033">
        <v>-0.14592529999999901</v>
      </c>
      <c r="U6033">
        <v>-3.001404</v>
      </c>
      <c r="V6033">
        <v>-2.476778E-2</v>
      </c>
      <c r="W6033">
        <v>-7.7196689999999998E-2</v>
      </c>
      <c r="X6033">
        <v>0.99670820000000004</v>
      </c>
      <c r="Y6033">
        <v>2.2397750000000001E-2</v>
      </c>
      <c r="Z6033">
        <v>3.4767289999999999E-2</v>
      </c>
      <c r="AA6033">
        <v>0.99914440000000004</v>
      </c>
      <c r="AB6033">
        <v>24</v>
      </c>
      <c r="AC6033">
        <v>-0.59850000000000103</v>
      </c>
      <c r="AD6033">
        <v>-1.1207952733540001</v>
      </c>
      <c r="AE6033">
        <v>-22.810279999999999</v>
      </c>
      <c r="AF6033">
        <v>0.51539911388422299</v>
      </c>
      <c r="AG6033">
        <v>-1.1207952733540001</v>
      </c>
      <c r="AH6033">
        <v>22.7573754764481</v>
      </c>
      <c r="AI6033">
        <v>92.818803581725902</v>
      </c>
      <c r="AJ6033">
        <v>88.702611960870399</v>
      </c>
      <c r="AK6033">
        <v>22.790786666269501</v>
      </c>
      <c r="AL6033">
        <v>94.4274493977437</v>
      </c>
      <c r="AM6033">
        <v>91.4234830950966</v>
      </c>
      <c r="AN6033">
        <v>1.00000000391016</v>
      </c>
    </row>
    <row r="6034" spans="1:40" x14ac:dyDescent="0.25">
      <c r="A6034" t="str">
        <f>"20190303154302079"</f>
        <v>20190303154302079</v>
      </c>
      <c r="B6034" t="str">
        <f>"1551598982076314"</f>
        <v>1551598982076314</v>
      </c>
      <c r="C6034" t="s">
        <v>40</v>
      </c>
      <c r="D6034">
        <v>5.2385599999999997</v>
      </c>
      <c r="E6034">
        <v>0.51808299999999996</v>
      </c>
      <c r="F6034" t="s">
        <v>41</v>
      </c>
      <c r="G6034">
        <v>-422.56029999999998</v>
      </c>
      <c r="H6034" s="1">
        <v>-2.2338659999999998E-6</v>
      </c>
      <c r="I6034">
        <v>43.208309999999997</v>
      </c>
      <c r="J6034">
        <v>-421.95460000000003</v>
      </c>
      <c r="K6034">
        <v>1.12083</v>
      </c>
      <c r="L6034">
        <v>65.877009999999999</v>
      </c>
      <c r="M6034">
        <v>-3.8957330000000002E-3</v>
      </c>
      <c r="N6034">
        <v>-1.378923E-2</v>
      </c>
      <c r="O6034">
        <v>-0.99989740000000005</v>
      </c>
      <c r="P6034">
        <v>2.068248E-2</v>
      </c>
      <c r="Q6034">
        <v>-9.1517689999999999E-2</v>
      </c>
      <c r="R6034">
        <v>-0.99558849999999999</v>
      </c>
      <c r="S6034">
        <v>-7.9528810000000005E-2</v>
      </c>
      <c r="T6034">
        <v>-0.14685090000000001</v>
      </c>
      <c r="U6034">
        <v>-3.0014340000000002</v>
      </c>
      <c r="V6034">
        <v>-2.4602249999999999E-2</v>
      </c>
      <c r="W6034">
        <v>-7.7768809999999994E-2</v>
      </c>
      <c r="X6034">
        <v>0.99666779999999999</v>
      </c>
      <c r="Y6034">
        <v>2.2566639999999999E-2</v>
      </c>
      <c r="Z6034">
        <v>3.507644E-2</v>
      </c>
      <c r="AA6034">
        <v>0.99912979999999996</v>
      </c>
      <c r="AB6034">
        <v>24</v>
      </c>
      <c r="AC6034">
        <v>-0.60569999999995605</v>
      </c>
      <c r="AD6034">
        <v>-1.1208322338659999</v>
      </c>
      <c r="AE6034">
        <v>-22.668700000000001</v>
      </c>
      <c r="AF6034">
        <v>0.51611495575986699</v>
      </c>
      <c r="AG6034">
        <v>-1.1208322338659999</v>
      </c>
      <c r="AH6034">
        <v>22.6156385028419</v>
      </c>
      <c r="AI6034">
        <v>92.836523072635401</v>
      </c>
      <c r="AJ6034">
        <v>88.692671148907195</v>
      </c>
      <c r="AK6034">
        <v>22.649276907558299</v>
      </c>
      <c r="AL6034">
        <v>94.460328405775201</v>
      </c>
      <c r="AM6034">
        <v>91.414030726928402</v>
      </c>
      <c r="AN6034">
        <v>0.99999998103535903</v>
      </c>
    </row>
    <row r="6035" spans="1:40" x14ac:dyDescent="0.25">
      <c r="A6035" t="str">
        <f>"20190303154302102"</f>
        <v>20190303154302102</v>
      </c>
      <c r="B6035" t="str">
        <f>"1551598982096810"</f>
        <v>1551598982096810</v>
      </c>
      <c r="C6035" t="s">
        <v>40</v>
      </c>
      <c r="D6035">
        <v>5.2506890000000004</v>
      </c>
      <c r="E6035">
        <v>0.51813520000000002</v>
      </c>
      <c r="F6035" t="s">
        <v>41</v>
      </c>
      <c r="G6035">
        <v>-422.56760000000003</v>
      </c>
      <c r="H6035" s="1">
        <v>-2.066988E-6</v>
      </c>
      <c r="I6035">
        <v>42.814839999999997</v>
      </c>
      <c r="J6035">
        <v>-421.95589999999999</v>
      </c>
      <c r="K6035">
        <v>1.1208689999999999</v>
      </c>
      <c r="L6035">
        <v>65.634979999999999</v>
      </c>
      <c r="M6035">
        <v>-4.1575320000000002E-3</v>
      </c>
      <c r="N6035">
        <v>-1.37865E-2</v>
      </c>
      <c r="O6035">
        <v>-0.99989629999999996</v>
      </c>
      <c r="P6035">
        <v>2.068296E-2</v>
      </c>
      <c r="Q6035">
        <v>-9.1263170000000005E-2</v>
      </c>
      <c r="R6035">
        <v>-0.99561230000000001</v>
      </c>
      <c r="S6035">
        <v>-7.9772949999999995E-2</v>
      </c>
      <c r="T6035">
        <v>-0.14587549999999999</v>
      </c>
      <c r="U6035">
        <v>-3.0015260000000001</v>
      </c>
      <c r="V6035">
        <v>-2.4856030000000001E-2</v>
      </c>
      <c r="W6035">
        <v>-7.7519069999999995E-2</v>
      </c>
      <c r="X6035">
        <v>0.99668100000000004</v>
      </c>
      <c r="Y6035">
        <v>2.2385720000000001E-2</v>
      </c>
      <c r="Z6035">
        <v>3.4753779999999998E-2</v>
      </c>
      <c r="AA6035">
        <v>0.99914519999999996</v>
      </c>
      <c r="AB6035">
        <v>24</v>
      </c>
      <c r="AC6035">
        <v>-0.61170000000004099</v>
      </c>
      <c r="AD6035">
        <v>-1.120871066988</v>
      </c>
      <c r="AE6035">
        <v>-22.820139999999899</v>
      </c>
      <c r="AF6035">
        <v>0.51556729645904897</v>
      </c>
      <c r="AG6035">
        <v>-1.120871066988</v>
      </c>
      <c r="AH6035">
        <v>22.767597816369399</v>
      </c>
      <c r="AI6035">
        <v>92.817730423125695</v>
      </c>
      <c r="AJ6035">
        <v>88.702771248517394</v>
      </c>
      <c r="AK6035">
        <v>22.801001555062001</v>
      </c>
      <c r="AL6035">
        <v>94.445975846911097</v>
      </c>
      <c r="AM6035">
        <v>91.428591975145906</v>
      </c>
      <c r="AN6035">
        <v>1.0000000221010099</v>
      </c>
    </row>
    <row r="6036" spans="1:40" x14ac:dyDescent="0.25">
      <c r="A6036" t="str">
        <f>"20190303154302125"</f>
        <v>20190303154302125</v>
      </c>
      <c r="B6036" t="str">
        <f>"1551598982116331"</f>
        <v>1551598982116331</v>
      </c>
      <c r="C6036" t="s">
        <v>40</v>
      </c>
      <c r="D6036">
        <v>5.2018269999999998</v>
      </c>
      <c r="E6036">
        <v>0.51813039999999999</v>
      </c>
      <c r="F6036" t="s">
        <v>41</v>
      </c>
      <c r="G6036">
        <v>-422.58139999999997</v>
      </c>
      <c r="H6036" s="1">
        <v>-1.820708E-6</v>
      </c>
      <c r="I6036">
        <v>42.232149999999997</v>
      </c>
      <c r="J6036">
        <v>-421.9572</v>
      </c>
      <c r="K6036">
        <v>1.120914</v>
      </c>
      <c r="L6036">
        <v>65.391850000000005</v>
      </c>
      <c r="M6036">
        <v>-4.3587950000000004E-3</v>
      </c>
      <c r="N6036">
        <v>-1.3783760000000001E-2</v>
      </c>
      <c r="O6036">
        <v>-0.99989589999999995</v>
      </c>
      <c r="P6036">
        <v>2.0548899999999998E-2</v>
      </c>
      <c r="Q6036">
        <v>-9.1835840000000002E-2</v>
      </c>
      <c r="R6036">
        <v>-0.99556230000000001</v>
      </c>
      <c r="S6036">
        <v>-8.0230709999999997E-2</v>
      </c>
      <c r="T6036">
        <v>-0.143765899999999</v>
      </c>
      <c r="U6036">
        <v>-3.001709</v>
      </c>
      <c r="V6036">
        <v>-2.4914309999999999E-2</v>
      </c>
      <c r="W6036">
        <v>-7.8097659999999999E-2</v>
      </c>
      <c r="X6036">
        <v>0.99663440000000003</v>
      </c>
      <c r="Y6036">
        <v>2.233591E-2</v>
      </c>
      <c r="Z6036">
        <v>3.405296E-2</v>
      </c>
      <c r="AA6036">
        <v>0.99917040000000001</v>
      </c>
      <c r="AB6036">
        <v>24</v>
      </c>
      <c r="AC6036">
        <v>-0.624199999999973</v>
      </c>
      <c r="AD6036">
        <v>-1.1209158207080001</v>
      </c>
      <c r="AE6036">
        <v>-23.159700000000001</v>
      </c>
      <c r="AF6036">
        <v>0.522014201936849</v>
      </c>
      <c r="AG6036">
        <v>-1.1209158207080001</v>
      </c>
      <c r="AH6036">
        <v>23.108109446921301</v>
      </c>
      <c r="AI6036">
        <v>92.776389051822505</v>
      </c>
      <c r="AJ6036">
        <v>88.705903459297602</v>
      </c>
      <c r="AK6036">
        <v>23.141168365383599</v>
      </c>
      <c r="AL6036">
        <v>94.479227306278304</v>
      </c>
      <c r="AM6036">
        <v>91.432007131457695</v>
      </c>
      <c r="AN6036">
        <v>1.0000000473018</v>
      </c>
    </row>
    <row r="6037" spans="1:40" x14ac:dyDescent="0.25">
      <c r="A6037" t="str">
        <f>"20190303154302147"</f>
        <v>20190303154302147</v>
      </c>
      <c r="B6037" t="str">
        <f>"1551598982136827"</f>
        <v>1551598982136827</v>
      </c>
      <c r="C6037" t="s">
        <v>40</v>
      </c>
      <c r="D6037">
        <v>5.251595</v>
      </c>
      <c r="E6037">
        <v>0.51821890000000004</v>
      </c>
      <c r="F6037" t="s">
        <v>41</v>
      </c>
      <c r="G6037">
        <v>-422.58609999999999</v>
      </c>
      <c r="H6037" s="1">
        <v>-1.7431929999999999E-6</v>
      </c>
      <c r="I6037">
        <v>42.048560000000002</v>
      </c>
      <c r="J6037">
        <v>-421.95839999999998</v>
      </c>
      <c r="K6037">
        <v>1.12096</v>
      </c>
      <c r="L6037">
        <v>65.154600000000002</v>
      </c>
      <c r="M6037">
        <v>-4.4844469999999999E-3</v>
      </c>
      <c r="N6037">
        <v>-1.3781130000000001E-2</v>
      </c>
      <c r="O6037">
        <v>-0.99989510000000004</v>
      </c>
      <c r="P6037">
        <v>2.042795E-2</v>
      </c>
      <c r="Q6037">
        <v>-9.2410469999999995E-2</v>
      </c>
      <c r="R6037">
        <v>-0.99551140000000005</v>
      </c>
      <c r="S6037">
        <v>-8.0871579999999998E-2</v>
      </c>
      <c r="T6037">
        <v>-0.14413989999999999</v>
      </c>
      <c r="U6037">
        <v>-3.0017399999999999</v>
      </c>
      <c r="V6037">
        <v>-2.4909850000000001E-2</v>
      </c>
      <c r="W6037">
        <v>-7.8678280000000003E-2</v>
      </c>
      <c r="X6037">
        <v>0.99658880000000005</v>
      </c>
      <c r="Y6037">
        <v>2.2422999999999998E-2</v>
      </c>
      <c r="Z6037">
        <v>3.4179090000000002E-2</v>
      </c>
      <c r="AA6037">
        <v>0.99916419999999995</v>
      </c>
      <c r="AB6037">
        <v>24</v>
      </c>
      <c r="AC6037">
        <v>-0.62770000000000403</v>
      </c>
      <c r="AD6037">
        <v>-1.1209617431929999</v>
      </c>
      <c r="AE6037">
        <v>-23.10604</v>
      </c>
      <c r="AF6037">
        <v>0.52283641263422997</v>
      </c>
      <c r="AG6037">
        <v>-1.1209617431929999</v>
      </c>
      <c r="AH6037">
        <v>23.054402212535098</v>
      </c>
      <c r="AI6037">
        <v>92.782955016867405</v>
      </c>
      <c r="AJ6037">
        <v>88.700847433451102</v>
      </c>
      <c r="AK6037">
        <v>23.0875588688242</v>
      </c>
      <c r="AL6037">
        <v>94.512597256110098</v>
      </c>
      <c r="AM6037">
        <v>91.431816373479194</v>
      </c>
      <c r="AN6037">
        <v>1.0000000043281101</v>
      </c>
    </row>
    <row r="6038" spans="1:40" x14ac:dyDescent="0.25">
      <c r="A6038" t="str">
        <f>"20190303154302169"</f>
        <v>20190303154302169</v>
      </c>
      <c r="B6038" t="str">
        <f>"1551598982156347"</f>
        <v>1551598982156347</v>
      </c>
      <c r="C6038" t="s">
        <v>40</v>
      </c>
      <c r="D6038">
        <v>5.2289589999999997</v>
      </c>
      <c r="E6038">
        <v>0.51816770000000001</v>
      </c>
      <c r="F6038" t="s">
        <v>41</v>
      </c>
      <c r="G6038">
        <v>-422.58980000000003</v>
      </c>
      <c r="H6038" s="1">
        <v>-1.6748390000000001E-6</v>
      </c>
      <c r="I6038">
        <v>41.886940000000003</v>
      </c>
      <c r="J6038">
        <v>-421.95960000000002</v>
      </c>
      <c r="K6038">
        <v>1.1210039999999999</v>
      </c>
      <c r="L6038">
        <v>64.92801</v>
      </c>
      <c r="M6038">
        <v>-4.5440639999999996E-3</v>
      </c>
      <c r="N6038">
        <v>-1.377865E-2</v>
      </c>
      <c r="O6038">
        <v>-0.99989510000000004</v>
      </c>
      <c r="P6038">
        <v>2.01852E-2</v>
      </c>
      <c r="Q6038">
        <v>-9.3276490000000004E-2</v>
      </c>
      <c r="R6038">
        <v>-0.99543599999999999</v>
      </c>
      <c r="S6038">
        <v>-8.1451419999999997E-2</v>
      </c>
      <c r="T6038">
        <v>-0.14461570000000001</v>
      </c>
      <c r="U6038">
        <v>-3.00177</v>
      </c>
      <c r="V6038">
        <v>-2.471804E-2</v>
      </c>
      <c r="W6038">
        <v>-7.9550289999999996E-2</v>
      </c>
      <c r="X6038">
        <v>0.99652430000000003</v>
      </c>
      <c r="Y6038">
        <v>2.2555749999999999E-2</v>
      </c>
      <c r="Z6038">
        <v>3.4338880000000002E-2</v>
      </c>
      <c r="AA6038">
        <v>0.99915569999999998</v>
      </c>
      <c r="AB6038">
        <v>24</v>
      </c>
      <c r="AC6038">
        <v>-0.63020000000000198</v>
      </c>
      <c r="AD6038">
        <v>-1.121005674839</v>
      </c>
      <c r="AE6038">
        <v>-23.041070000000001</v>
      </c>
      <c r="AF6038">
        <v>0.52424350150400201</v>
      </c>
      <c r="AG6038">
        <v>-1.121005674839</v>
      </c>
      <c r="AH6038">
        <v>22.989319457660599</v>
      </c>
      <c r="AI6038">
        <v>92.790922382745194</v>
      </c>
      <c r="AJ6038">
        <v>88.6936657597345</v>
      </c>
      <c r="AK6038">
        <v>23.0226039817016</v>
      </c>
      <c r="AL6038">
        <v>94.562717071537307</v>
      </c>
      <c r="AM6038">
        <v>91.420887608541193</v>
      </c>
      <c r="AN6038">
        <v>0.99999995531550601</v>
      </c>
    </row>
    <row r="6039" spans="1:40" x14ac:dyDescent="0.25">
      <c r="A6039" t="str">
        <f>"20190303154302190"</f>
        <v>20190303154302190</v>
      </c>
      <c r="B6039" t="str">
        <f>"1551598982186603"</f>
        <v>1551598982186603</v>
      </c>
      <c r="C6039" t="s">
        <v>40</v>
      </c>
      <c r="D6039">
        <v>5.1996849999999997</v>
      </c>
      <c r="E6039">
        <v>0.51809240000000001</v>
      </c>
      <c r="F6039" t="s">
        <v>41</v>
      </c>
      <c r="G6039">
        <v>-422.58800000000002</v>
      </c>
      <c r="H6039" s="1">
        <v>-1.7041579999999901E-6</v>
      </c>
      <c r="I6039">
        <v>41.95637</v>
      </c>
      <c r="J6039">
        <v>-421.96069999999997</v>
      </c>
      <c r="K6039">
        <v>1.1210439999999999</v>
      </c>
      <c r="L6039">
        <v>64.693849999999998</v>
      </c>
      <c r="M6039">
        <v>-4.5522970000000003E-3</v>
      </c>
      <c r="N6039">
        <v>-1.377608E-2</v>
      </c>
      <c r="O6039">
        <v>-0.99989510000000004</v>
      </c>
      <c r="P6039">
        <v>1.9819429999999999E-2</v>
      </c>
      <c r="Q6039">
        <v>-9.4125120000000007E-2</v>
      </c>
      <c r="R6039">
        <v>-0.99536329999999995</v>
      </c>
      <c r="S6039">
        <v>-8.2122799999999996E-2</v>
      </c>
      <c r="T6039">
        <v>-0.146482</v>
      </c>
      <c r="U6039">
        <v>-3.001709</v>
      </c>
      <c r="V6039">
        <v>-2.435286E-2</v>
      </c>
      <c r="W6039">
        <v>-8.0404799999999998E-2</v>
      </c>
      <c r="X6039">
        <v>0.99646469999999998</v>
      </c>
      <c r="Y6039">
        <v>2.277061E-2</v>
      </c>
      <c r="Z6039">
        <v>3.4961890000000002E-2</v>
      </c>
      <c r="AA6039">
        <v>0.99912920000000005</v>
      </c>
      <c r="AB6039">
        <v>24</v>
      </c>
      <c r="AC6039">
        <v>-0.62730000000004704</v>
      </c>
      <c r="AD6039">
        <v>-1.121045704158</v>
      </c>
      <c r="AE6039">
        <v>-22.737480000000001</v>
      </c>
      <c r="AF6039">
        <v>0.52250676986637301</v>
      </c>
      <c r="AG6039">
        <v>-1.121045704158</v>
      </c>
      <c r="AH6039">
        <v>22.6849979100447</v>
      </c>
      <c r="AI6039">
        <v>92.828388493698398</v>
      </c>
      <c r="AJ6039">
        <v>88.680531499627193</v>
      </c>
      <c r="AK6039">
        <v>22.718690256572899</v>
      </c>
      <c r="AL6039">
        <v>94.611834273566501</v>
      </c>
      <c r="AM6039">
        <v>91.399987776429796</v>
      </c>
      <c r="AN6039">
        <v>0.99999994599965303</v>
      </c>
    </row>
    <row r="6040" spans="1:40" x14ac:dyDescent="0.25">
      <c r="A6040" t="str">
        <f>"20190303154302213"</f>
        <v>20190303154302213</v>
      </c>
      <c r="B6040" t="str">
        <f>"1551598982206123"</f>
        <v>1551598982206123</v>
      </c>
      <c r="C6040" t="s">
        <v>40</v>
      </c>
      <c r="D6040">
        <v>5.2181709999999999</v>
      </c>
      <c r="E6040">
        <v>0.51807000000000003</v>
      </c>
      <c r="F6040" t="s">
        <v>41</v>
      </c>
      <c r="G6040">
        <v>-422.58530000000002</v>
      </c>
      <c r="H6040" s="1">
        <v>-1.659033E-6</v>
      </c>
      <c r="I6040">
        <v>41.85286</v>
      </c>
      <c r="J6040">
        <v>-421.96170000000001</v>
      </c>
      <c r="K6040">
        <v>1.1210709999999999</v>
      </c>
      <c r="L6040">
        <v>64.450469999999996</v>
      </c>
      <c r="M6040">
        <v>-4.5046390000000004E-3</v>
      </c>
      <c r="N6040">
        <v>-1.377337E-2</v>
      </c>
      <c r="O6040">
        <v>-0.99989510000000004</v>
      </c>
      <c r="P6040">
        <v>1.93143E-2</v>
      </c>
      <c r="Q6040">
        <v>-9.491455E-2</v>
      </c>
      <c r="R6040">
        <v>-0.99529809999999996</v>
      </c>
      <c r="S6040">
        <v>-8.2092289999999998E-2</v>
      </c>
      <c r="T6040">
        <v>-0.1473236</v>
      </c>
      <c r="U6040">
        <v>-3.0016780000000001</v>
      </c>
      <c r="V6040">
        <v>-2.379206E-2</v>
      </c>
      <c r="W6040">
        <v>-8.1199939999999998E-2</v>
      </c>
      <c r="X6040">
        <v>0.99641380000000002</v>
      </c>
      <c r="Y6040">
        <v>2.280805E-2</v>
      </c>
      <c r="Z6040">
        <v>3.5244520000000001E-2</v>
      </c>
      <c r="AA6040">
        <v>0.99911839999999996</v>
      </c>
      <c r="AB6040">
        <v>24</v>
      </c>
      <c r="AC6040">
        <v>-0.62360000000001004</v>
      </c>
      <c r="AD6040">
        <v>-1.121072659033</v>
      </c>
      <c r="AE6040">
        <v>-22.59761</v>
      </c>
      <c r="AF6040">
        <v>0.52050985921228998</v>
      </c>
      <c r="AG6040">
        <v>-1.121072659033</v>
      </c>
      <c r="AH6040">
        <v>22.544745698600298</v>
      </c>
      <c r="AI6040">
        <v>92.846019963135106</v>
      </c>
      <c r="AJ6040">
        <v>88.677398220588799</v>
      </c>
      <c r="AK6040">
        <v>22.578602548318202</v>
      </c>
      <c r="AL6040">
        <v>94.657541757973803</v>
      </c>
      <c r="AM6040">
        <v>91.367830957338299</v>
      </c>
      <c r="AN6040">
        <v>0.99999997660274298</v>
      </c>
    </row>
    <row r="6041" spans="1:40" x14ac:dyDescent="0.25">
      <c r="A6041" t="str">
        <f>"20190303154302236"</f>
        <v>20190303154302236</v>
      </c>
      <c r="B6041" t="str">
        <f>"1551598982226619"</f>
        <v>1551598982226619</v>
      </c>
      <c r="C6041" t="s">
        <v>40</v>
      </c>
      <c r="D6041">
        <v>5.3001969999999998</v>
      </c>
      <c r="E6041">
        <v>0.51793800000000001</v>
      </c>
      <c r="F6041" t="s">
        <v>41</v>
      </c>
      <c r="G6041">
        <v>-422.59230000000002</v>
      </c>
      <c r="H6041" s="1">
        <v>-1.6186470000000001E-6</v>
      </c>
      <c r="I6041">
        <v>41.754370000000002</v>
      </c>
      <c r="J6041">
        <v>-421.96269999999998</v>
      </c>
      <c r="K6041">
        <v>1.1210979999999999</v>
      </c>
      <c r="L6041">
        <v>64.213750000000005</v>
      </c>
      <c r="M6041">
        <v>-4.4026890000000004E-3</v>
      </c>
      <c r="N6041">
        <v>-1.377078E-2</v>
      </c>
      <c r="O6041">
        <v>-0.9998958</v>
      </c>
      <c r="P6041">
        <v>1.9053090000000002E-2</v>
      </c>
      <c r="Q6041">
        <v>-9.5778699999999994E-2</v>
      </c>
      <c r="R6041">
        <v>-0.99522069999999996</v>
      </c>
      <c r="S6041">
        <v>-8.3404539999999999E-2</v>
      </c>
      <c r="T6041">
        <v>-0.14826619999999999</v>
      </c>
      <c r="U6041">
        <v>-3.0016479999999999</v>
      </c>
      <c r="V6041">
        <v>-2.3422160000000001E-2</v>
      </c>
      <c r="W6041">
        <v>-8.2069610000000001E-2</v>
      </c>
      <c r="X6041">
        <v>0.9963514</v>
      </c>
      <c r="Y6041">
        <v>2.3346140000000001E-2</v>
      </c>
      <c r="Z6041">
        <v>3.5560010000000003E-2</v>
      </c>
      <c r="AA6041">
        <v>0.99909479999999995</v>
      </c>
      <c r="AB6041">
        <v>24</v>
      </c>
      <c r="AC6041">
        <v>-0.62960000000003902</v>
      </c>
      <c r="AD6041">
        <v>-1.1210996186469999</v>
      </c>
      <c r="AE6041">
        <v>-22.459379999999999</v>
      </c>
      <c r="AF6041">
        <v>0.52938486186067901</v>
      </c>
      <c r="AG6041">
        <v>-1.1210996186469999</v>
      </c>
      <c r="AH6041">
        <v>22.406149285023801</v>
      </c>
      <c r="AI6041">
        <v>92.863627994111496</v>
      </c>
      <c r="AJ6041">
        <v>88.646537791999194</v>
      </c>
      <c r="AK6041">
        <v>22.4404242043165</v>
      </c>
      <c r="AL6041">
        <v>94.707536631198394</v>
      </c>
      <c r="AM6041">
        <v>91.346657205559197</v>
      </c>
      <c r="AN6041">
        <v>1.0000000653732799</v>
      </c>
    </row>
    <row r="6042" spans="1:40" x14ac:dyDescent="0.25">
      <c r="A6042" t="str">
        <f>"20190303154302269"</f>
        <v>20190303154302269</v>
      </c>
      <c r="B6042" t="str">
        <f>"1551598982266167"</f>
        <v>1551598982266167</v>
      </c>
      <c r="C6042" t="s">
        <v>40</v>
      </c>
      <c r="D6042">
        <v>5.279509</v>
      </c>
      <c r="E6042">
        <v>0.49922450000000002</v>
      </c>
      <c r="F6042" t="s">
        <v>41</v>
      </c>
      <c r="G6042">
        <v>-422.58440000000002</v>
      </c>
      <c r="H6042" s="1">
        <v>-1.651054E-6</v>
      </c>
      <c r="I6042">
        <v>41.834859999999999</v>
      </c>
      <c r="J6042">
        <v>-421.964</v>
      </c>
      <c r="K6042">
        <v>1.12114</v>
      </c>
      <c r="L6042">
        <v>63.86459</v>
      </c>
      <c r="M6042">
        <v>-4.1648900000000001E-3</v>
      </c>
      <c r="N6042">
        <v>-1.376694E-2</v>
      </c>
      <c r="O6042">
        <v>-0.99989680000000003</v>
      </c>
      <c r="P6042">
        <v>2.0148780000000002E-2</v>
      </c>
      <c r="Q6042">
        <v>-9.6323270000000002E-2</v>
      </c>
      <c r="R6042">
        <v>-0.99514650000000004</v>
      </c>
      <c r="S6042">
        <v>-8.3374019999999993E-2</v>
      </c>
      <c r="T6042">
        <v>-0.15036540000000001</v>
      </c>
      <c r="U6042">
        <v>-3.0015260000000001</v>
      </c>
      <c r="V6042">
        <v>-2.427147E-2</v>
      </c>
      <c r="W6042">
        <v>-8.2621780000000006E-2</v>
      </c>
      <c r="X6042">
        <v>0.99628539999999999</v>
      </c>
      <c r="Y6042">
        <v>2.3573960000000001E-2</v>
      </c>
      <c r="Z6042">
        <v>3.6262700000000002E-2</v>
      </c>
      <c r="AA6042">
        <v>0.99906419999999996</v>
      </c>
      <c r="AB6042">
        <v>24</v>
      </c>
      <c r="AC6042">
        <v>-0.62040000000001705</v>
      </c>
      <c r="AD6042">
        <v>-1.121141651054</v>
      </c>
      <c r="AE6042">
        <v>-22.029729999999901</v>
      </c>
      <c r="AF6042">
        <v>0.52726998620336596</v>
      </c>
      <c r="AG6042">
        <v>-1.121141651054</v>
      </c>
      <c r="AH6042">
        <v>21.975251864732201</v>
      </c>
      <c r="AI6042">
        <v>92.919766476284295</v>
      </c>
      <c r="AJ6042">
        <v>88.625519758902001</v>
      </c>
      <c r="AK6042">
        <v>22.010149176198201</v>
      </c>
      <c r="AL6042">
        <v>94.739281616584705</v>
      </c>
      <c r="AM6042">
        <v>91.395561725140794</v>
      </c>
      <c r="AN6042">
        <v>1.0000000305197401</v>
      </c>
    </row>
    <row r="6043" spans="1:40" x14ac:dyDescent="0.25">
      <c r="A6043" t="str">
        <f>"20190303154302292"</f>
        <v>20190303154302292</v>
      </c>
      <c r="B6043" t="str">
        <f>"1551598982286664"</f>
        <v>1551598982286664</v>
      </c>
      <c r="C6043" t="s">
        <v>40</v>
      </c>
      <c r="D6043">
        <v>5.3457619999999997</v>
      </c>
      <c r="E6043">
        <v>0.4975308</v>
      </c>
      <c r="F6043" t="s">
        <v>41</v>
      </c>
      <c r="G6043">
        <v>-421.47980000000001</v>
      </c>
      <c r="H6043" s="1">
        <v>-1.807491E-6</v>
      </c>
      <c r="I6043">
        <v>42.884590000000003</v>
      </c>
      <c r="J6043">
        <v>-421.96480000000003</v>
      </c>
      <c r="K6043">
        <v>1.121165</v>
      </c>
      <c r="L6043">
        <v>63.621639999999999</v>
      </c>
      <c r="M6043">
        <v>-3.9665300000000002E-3</v>
      </c>
      <c r="N6043">
        <v>-1.37643E-2</v>
      </c>
      <c r="O6043">
        <v>-0.99989749999999999</v>
      </c>
      <c r="P6043">
        <v>2.159931E-2</v>
      </c>
      <c r="Q6043">
        <v>-9.6439460000000005E-2</v>
      </c>
      <c r="R6043">
        <v>-0.99510460000000001</v>
      </c>
      <c r="S6043">
        <v>6.9183350000000005E-2</v>
      </c>
      <c r="T6043">
        <v>-0.16019510000000001</v>
      </c>
      <c r="U6043">
        <v>-2.9977420000000001</v>
      </c>
      <c r="V6043">
        <v>-2.5520609999999999E-2</v>
      </c>
      <c r="W6043">
        <v>-8.2742800000000005E-2</v>
      </c>
      <c r="X6043">
        <v>0.99624409999999997</v>
      </c>
      <c r="Y6043">
        <v>-2.7007429999999999E-2</v>
      </c>
      <c r="Z6043">
        <v>3.9594650000000002E-2</v>
      </c>
      <c r="AA6043">
        <v>0.99885080000000004</v>
      </c>
      <c r="AB6043">
        <v>24</v>
      </c>
      <c r="AC6043">
        <v>0.48500000000001298</v>
      </c>
      <c r="AD6043">
        <v>-1.121166807491</v>
      </c>
      <c r="AE6043">
        <v>-20.73705</v>
      </c>
      <c r="AF6043">
        <v>-0.56560567064516898</v>
      </c>
      <c r="AG6043">
        <v>-1.121166807491</v>
      </c>
      <c r="AH6043">
        <v>20.674561720507</v>
      </c>
      <c r="AI6043">
        <v>93.102910327295604</v>
      </c>
      <c r="AJ6043">
        <v>91.567082149044893</v>
      </c>
      <c r="AK6043">
        <v>20.712663448237102</v>
      </c>
      <c r="AL6043">
        <v>94.746239569765095</v>
      </c>
      <c r="AM6043">
        <v>91.467414985887402</v>
      </c>
      <c r="AN6043">
        <v>0.99999998963571002</v>
      </c>
    </row>
    <row r="6044" spans="1:40" x14ac:dyDescent="0.25">
      <c r="A6044" t="str">
        <f>"20190303154302314"</f>
        <v>20190303154302314</v>
      </c>
      <c r="B6044" t="str">
        <f>"1551598982306183"</f>
        <v>1551598982306183</v>
      </c>
      <c r="C6044" t="s">
        <v>40</v>
      </c>
      <c r="D6044">
        <v>5.3372279999999996</v>
      </c>
      <c r="E6044">
        <v>0.49701580000000001</v>
      </c>
      <c r="F6044" t="s">
        <v>41</v>
      </c>
      <c r="G6044">
        <v>-421.41759999999999</v>
      </c>
      <c r="H6044" s="1">
        <v>-2.6191879999999999E-6</v>
      </c>
      <c r="I6044">
        <v>44.815269999999998</v>
      </c>
      <c r="J6044">
        <v>-421.96550000000002</v>
      </c>
      <c r="K6044">
        <v>1.1211660000000001</v>
      </c>
      <c r="L6044">
        <v>63.383999999999901</v>
      </c>
      <c r="M6044">
        <v>-3.756307E-3</v>
      </c>
      <c r="N6044">
        <v>-1.3761779999999999E-2</v>
      </c>
      <c r="O6044">
        <v>-0.99989830000000002</v>
      </c>
      <c r="P6044">
        <v>2.3235660000000002E-2</v>
      </c>
      <c r="Q6044">
        <v>-9.6996819999999997E-2</v>
      </c>
      <c r="R6044">
        <v>-0.99501320000000004</v>
      </c>
      <c r="S6044">
        <v>8.7158200000000005E-2</v>
      </c>
      <c r="T6044">
        <v>-0.178583399999999</v>
      </c>
      <c r="U6044">
        <v>-2.9955440000000002</v>
      </c>
      <c r="V6044">
        <v>-2.6944940000000001E-2</v>
      </c>
      <c r="W6044">
        <v>-8.3305039999999997E-2</v>
      </c>
      <c r="X6044">
        <v>0.99615969999999998</v>
      </c>
      <c r="Y6044">
        <v>-3.2791519999999998E-2</v>
      </c>
      <c r="Z6044">
        <v>4.5737720000000003E-2</v>
      </c>
      <c r="AA6044">
        <v>0.9984151</v>
      </c>
      <c r="AB6044">
        <v>24</v>
      </c>
      <c r="AC6044">
        <v>0.54790000000002603</v>
      </c>
      <c r="AD6044">
        <v>-1.1211686191879999</v>
      </c>
      <c r="AE6044">
        <v>-18.568729999999899</v>
      </c>
      <c r="AF6044">
        <v>-0.61541095223995801</v>
      </c>
      <c r="AG6044">
        <v>-1.1211686191879999</v>
      </c>
      <c r="AH6044">
        <v>18.4991575241371</v>
      </c>
      <c r="AI6044">
        <v>93.4663397048852</v>
      </c>
      <c r="AJ6044">
        <v>91.905354410580102</v>
      </c>
      <c r="AK6044">
        <v>18.543316284193299</v>
      </c>
      <c r="AL6044">
        <v>94.778565324072304</v>
      </c>
      <c r="AM6044">
        <v>91.5494051783581</v>
      </c>
      <c r="AN6044">
        <v>0.99999995369254602</v>
      </c>
    </row>
    <row r="6045" spans="1:40" x14ac:dyDescent="0.25">
      <c r="A6045" t="str">
        <f>"20190303154302338"</f>
        <v>20190303154302338</v>
      </c>
      <c r="B6045" t="str">
        <f>"1551598982326679"</f>
        <v>1551598982326679</v>
      </c>
      <c r="C6045" t="s">
        <v>40</v>
      </c>
      <c r="D6045">
        <v>5.2848220000000001</v>
      </c>
      <c r="E6045">
        <v>0.49774420000000003</v>
      </c>
      <c r="F6045" t="s">
        <v>41</v>
      </c>
      <c r="G6045">
        <v>-421.38580000000002</v>
      </c>
      <c r="H6045" s="1">
        <v>-2.8326490000000001E-6</v>
      </c>
      <c r="I6045">
        <v>45.332569999999997</v>
      </c>
      <c r="J6045">
        <v>-421.96609999999998</v>
      </c>
      <c r="K6045">
        <v>1.1211679999999999</v>
      </c>
      <c r="L6045">
        <v>63.147280000000002</v>
      </c>
      <c r="M6045">
        <v>-3.5390819999999998E-3</v>
      </c>
      <c r="N6045">
        <v>-1.37593E-2</v>
      </c>
      <c r="O6045">
        <v>-0.99989919999999999</v>
      </c>
      <c r="P6045">
        <v>2.4666629999999998E-2</v>
      </c>
      <c r="Q6045">
        <v>-9.6685950000000007E-2</v>
      </c>
      <c r="R6045">
        <v>-0.99500940000000004</v>
      </c>
      <c r="S6045">
        <v>9.6160889999999999E-2</v>
      </c>
      <c r="T6045">
        <v>-0.18599740000000001</v>
      </c>
      <c r="U6045">
        <v>-2.994659</v>
      </c>
      <c r="V6045">
        <v>-2.8159750000000001E-2</v>
      </c>
      <c r="W6045">
        <v>-8.2997199999999993E-2</v>
      </c>
      <c r="X6045">
        <v>0.99615189999999998</v>
      </c>
      <c r="Y6045">
        <v>-3.5575750000000003E-2</v>
      </c>
      <c r="Z6045">
        <v>4.8214649999999998E-2</v>
      </c>
      <c r="AA6045">
        <v>0.99820319999999996</v>
      </c>
      <c r="AB6045">
        <v>24</v>
      </c>
      <c r="AC6045">
        <v>0.58029999999996495</v>
      </c>
      <c r="AD6045">
        <v>-1.121170832649</v>
      </c>
      <c r="AE6045">
        <v>-17.814709999999899</v>
      </c>
      <c r="AF6045">
        <v>-0.64081457904277395</v>
      </c>
      <c r="AG6045">
        <v>-1.121170832649</v>
      </c>
      <c r="AH6045">
        <v>17.742344588279298</v>
      </c>
      <c r="AI6045">
        <v>93.613466255201203</v>
      </c>
      <c r="AJ6045">
        <v>92.068498774356698</v>
      </c>
      <c r="AK6045">
        <v>17.789279323512201</v>
      </c>
      <c r="AL6045">
        <v>94.760865602688696</v>
      </c>
      <c r="AM6045">
        <v>91.619236245557701</v>
      </c>
      <c r="AN6045">
        <v>1.0000000573007499</v>
      </c>
    </row>
    <row r="6046" spans="1:40" x14ac:dyDescent="0.25">
      <c r="A6046" t="str">
        <f>"20190303154302359"</f>
        <v>20190303154302359</v>
      </c>
      <c r="B6046" t="str">
        <f>"1551598982356466"</f>
        <v>1551598982356466</v>
      </c>
      <c r="C6046" t="s">
        <v>40</v>
      </c>
      <c r="D6046">
        <v>5.256818</v>
      </c>
      <c r="E6046">
        <v>0.49845889999999998</v>
      </c>
      <c r="F6046" t="s">
        <v>41</v>
      </c>
      <c r="G6046">
        <v>-421.3646</v>
      </c>
      <c r="H6046" s="1">
        <v>-2.2986650000000002E-6</v>
      </c>
      <c r="I6046">
        <v>44.100990000000003</v>
      </c>
      <c r="J6046">
        <v>-421.9667</v>
      </c>
      <c r="K6046">
        <v>1.12117</v>
      </c>
      <c r="L6046">
        <v>62.91901</v>
      </c>
      <c r="M6046">
        <v>-3.3298490000000002E-3</v>
      </c>
      <c r="N6046">
        <v>-1.3756910000000001E-2</v>
      </c>
      <c r="O6046">
        <v>-0.99989989999999995</v>
      </c>
      <c r="P6046">
        <v>2.5712430000000001E-2</v>
      </c>
      <c r="Q6046">
        <v>-9.6636470000000002E-2</v>
      </c>
      <c r="R6046">
        <v>-0.99498770000000003</v>
      </c>
      <c r="S6046">
        <v>9.4604489999999999E-2</v>
      </c>
      <c r="T6046">
        <v>-0.176336299999999</v>
      </c>
      <c r="U6046">
        <v>-2.9955750000000001</v>
      </c>
      <c r="V6046">
        <v>-2.8998240000000002E-2</v>
      </c>
      <c r="W6046">
        <v>-8.2950350000000006E-2</v>
      </c>
      <c r="X6046">
        <v>0.99613169999999995</v>
      </c>
      <c r="Y6046">
        <v>-3.4844630000000001E-2</v>
      </c>
      <c r="Z6046">
        <v>4.499152E-2</v>
      </c>
      <c r="AA6046">
        <v>0.99837949999999998</v>
      </c>
      <c r="AB6046">
        <v>24</v>
      </c>
      <c r="AC6046">
        <v>0.60210000000000696</v>
      </c>
      <c r="AD6046">
        <v>-1.1211722986649999</v>
      </c>
      <c r="AE6046">
        <v>-18.818020000000001</v>
      </c>
      <c r="AF6046">
        <v>-0.66241475481315504</v>
      </c>
      <c r="AG6046">
        <v>-1.1211722986649999</v>
      </c>
      <c r="AH6046">
        <v>18.7494230019954</v>
      </c>
      <c r="AI6046">
        <v>93.419951984340699</v>
      </c>
      <c r="AJ6046">
        <v>92.023411084940506</v>
      </c>
      <c r="AK6046">
        <v>18.794591869429901</v>
      </c>
      <c r="AL6046">
        <v>94.758172227590904</v>
      </c>
      <c r="AM6046">
        <v>91.667457896363999</v>
      </c>
      <c r="AN6046">
        <v>1.0000000111165499</v>
      </c>
    </row>
    <row r="6047" spans="1:40" x14ac:dyDescent="0.25">
      <c r="A6047" t="str">
        <f>"20190303154302380"</f>
        <v>20190303154302380</v>
      </c>
      <c r="B6047" t="str">
        <f>"1551598982375987"</f>
        <v>1551598982375987</v>
      </c>
      <c r="C6047" t="s">
        <v>40</v>
      </c>
      <c r="D6047">
        <v>5.286111</v>
      </c>
      <c r="E6047">
        <v>0.49887969999999998</v>
      </c>
      <c r="F6047" t="s">
        <v>41</v>
      </c>
      <c r="G6047">
        <v>-421.3519</v>
      </c>
      <c r="H6047" s="1">
        <v>-1.788366E-6</v>
      </c>
      <c r="I6047">
        <v>42.919319999999999</v>
      </c>
      <c r="J6047">
        <v>-421.96719999999999</v>
      </c>
      <c r="K6047">
        <v>1.121181</v>
      </c>
      <c r="L6047">
        <v>62.690669999999997</v>
      </c>
      <c r="M6047">
        <v>-3.126312E-3</v>
      </c>
      <c r="N6047">
        <v>-1.3754499999999999E-2</v>
      </c>
      <c r="O6047">
        <v>-0.99990089999999998</v>
      </c>
      <c r="P6047">
        <v>2.6500820000000001E-2</v>
      </c>
      <c r="Q6047">
        <v>-9.6161099999999999E-2</v>
      </c>
      <c r="R6047">
        <v>-0.99501340000000005</v>
      </c>
      <c r="S6047">
        <v>9.2102050000000005E-2</v>
      </c>
      <c r="T6047">
        <v>-0.1679783</v>
      </c>
      <c r="U6047">
        <v>-2.996429</v>
      </c>
      <c r="V6047">
        <v>-2.958554E-2</v>
      </c>
      <c r="W6047">
        <v>-8.2476729999999998E-2</v>
      </c>
      <c r="X6047">
        <v>0.99615379999999998</v>
      </c>
      <c r="Y6047">
        <v>-3.3804140000000003E-2</v>
      </c>
      <c r="Z6047">
        <v>4.2203150000000002E-2</v>
      </c>
      <c r="AA6047">
        <v>0.99853700000000001</v>
      </c>
      <c r="AB6047">
        <v>23</v>
      </c>
      <c r="AC6047">
        <v>0.61529999999998997</v>
      </c>
      <c r="AD6047">
        <v>-1.1211827883659999</v>
      </c>
      <c r="AE6047">
        <v>-19.771350000000002</v>
      </c>
      <c r="AF6047">
        <v>-0.67494587848252396</v>
      </c>
      <c r="AG6047">
        <v>-1.1211827883659999</v>
      </c>
      <c r="AH6047">
        <v>19.706021538795</v>
      </c>
      <c r="AI6047">
        <v>93.254453712543807</v>
      </c>
      <c r="AJ6047">
        <v>91.961656174883501</v>
      </c>
      <c r="AK6047">
        <v>19.749427527684499</v>
      </c>
      <c r="AL6047">
        <v>94.730942289818202</v>
      </c>
      <c r="AM6047">
        <v>91.701171475570305</v>
      </c>
      <c r="AN6047">
        <v>1.0000000542115099</v>
      </c>
    </row>
    <row r="6048" spans="1:40" x14ac:dyDescent="0.25">
      <c r="A6048" t="str">
        <f>"20190303154302404"</f>
        <v>20190303154302404</v>
      </c>
      <c r="B6048" t="str">
        <f>"1551598982396485"</f>
        <v>1551598982396485</v>
      </c>
      <c r="C6048" t="s">
        <v>40</v>
      </c>
      <c r="D6048">
        <v>5.3381860000000003</v>
      </c>
      <c r="E6048">
        <v>0.49921080000000001</v>
      </c>
      <c r="F6048" t="s">
        <v>41</v>
      </c>
      <c r="G6048">
        <v>-421.34179999999998</v>
      </c>
      <c r="H6048" s="1">
        <v>-1.490907E-6</v>
      </c>
      <c r="I6048">
        <v>42.232250000000001</v>
      </c>
      <c r="J6048">
        <v>-421.96769999999998</v>
      </c>
      <c r="K6048">
        <v>1.1211819999999999</v>
      </c>
      <c r="L6048">
        <v>62.451749999999997</v>
      </c>
      <c r="M6048">
        <v>-2.9225660000000001E-3</v>
      </c>
      <c r="N6048">
        <v>-1.3751940000000001E-2</v>
      </c>
      <c r="O6048">
        <v>-0.99990109999999999</v>
      </c>
      <c r="P6048">
        <v>2.686065E-2</v>
      </c>
      <c r="Q6048">
        <v>-9.5072229999999994E-2</v>
      </c>
      <c r="R6048">
        <v>-0.99510790000000005</v>
      </c>
      <c r="S6048">
        <v>9.1613769999999997E-2</v>
      </c>
      <c r="T6048">
        <v>-0.16422999999999999</v>
      </c>
      <c r="U6048">
        <v>-2.9967350000000001</v>
      </c>
      <c r="V6048">
        <v>-2.974448E-2</v>
      </c>
      <c r="W6048">
        <v>-8.1388730000000006E-2</v>
      </c>
      <c r="X6048">
        <v>0.99623850000000003</v>
      </c>
      <c r="Y6048">
        <v>-3.343687E-2</v>
      </c>
      <c r="Z6048">
        <v>4.0955350000000001E-2</v>
      </c>
      <c r="AA6048">
        <v>0.99860130000000003</v>
      </c>
      <c r="AB6048">
        <v>23</v>
      </c>
      <c r="AC6048">
        <v>0.62590000000000101</v>
      </c>
      <c r="AD6048">
        <v>-1.121183490907</v>
      </c>
      <c r="AE6048">
        <v>-20.2195</v>
      </c>
      <c r="AF6048">
        <v>-0.68289799829381903</v>
      </c>
      <c r="AG6048">
        <v>-1.121183490907</v>
      </c>
      <c r="AH6048">
        <v>20.1556695154738</v>
      </c>
      <c r="AI6048">
        <v>93.182043698980294</v>
      </c>
      <c r="AJ6048">
        <v>91.940506694611898</v>
      </c>
      <c r="AK6048">
        <v>20.198376561331798</v>
      </c>
      <c r="AL6048">
        <v>94.668394420713597</v>
      </c>
      <c r="AM6048">
        <v>91.710159804383593</v>
      </c>
      <c r="AN6048">
        <v>1.00000000417186</v>
      </c>
    </row>
    <row r="6049" spans="1:40" x14ac:dyDescent="0.25">
      <c r="A6049" t="str">
        <f>"20190303154302424"</f>
        <v>20190303154302424</v>
      </c>
      <c r="B6049" t="str">
        <f>"1551598982416002"</f>
        <v>1551598982416002</v>
      </c>
      <c r="C6049" t="s">
        <v>40</v>
      </c>
      <c r="D6049">
        <v>5.329491</v>
      </c>
      <c r="E6049">
        <v>0.49944699999999997</v>
      </c>
      <c r="F6049" t="s">
        <v>41</v>
      </c>
      <c r="G6049">
        <v>-421.3295</v>
      </c>
      <c r="H6049" s="1">
        <v>-1.0065180000000001E-6</v>
      </c>
      <c r="I6049">
        <v>41.110729999999997</v>
      </c>
      <c r="J6049">
        <v>-421.96809999999999</v>
      </c>
      <c r="K6049">
        <v>1.1211850000000001</v>
      </c>
      <c r="L6049">
        <v>62.224209999999999</v>
      </c>
      <c r="M6049">
        <v>-2.7380490000000002E-3</v>
      </c>
      <c r="N6049">
        <v>-1.3749529999999999E-2</v>
      </c>
      <c r="O6049">
        <v>-0.99990210000000002</v>
      </c>
      <c r="P6049">
        <v>2.7031349999999999E-2</v>
      </c>
      <c r="Q6049">
        <v>-9.4050209999999995E-2</v>
      </c>
      <c r="R6049">
        <v>-0.99520059999999999</v>
      </c>
      <c r="S6049">
        <v>8.9630130000000002E-2</v>
      </c>
      <c r="T6049">
        <v>-0.15746689999999999</v>
      </c>
      <c r="U6049">
        <v>-2.9972840000000001</v>
      </c>
      <c r="V6049">
        <v>-2.9733659999999999E-2</v>
      </c>
      <c r="W6049">
        <v>-8.0367399999999894E-2</v>
      </c>
      <c r="X6049">
        <v>0.99632169999999998</v>
      </c>
      <c r="Y6049">
        <v>-3.2590139999999997E-2</v>
      </c>
      <c r="Z6049">
        <v>3.8702140000000003E-2</v>
      </c>
      <c r="AA6049">
        <v>0.99871920000000003</v>
      </c>
      <c r="AB6049">
        <v>23</v>
      </c>
      <c r="AC6049">
        <v>0.63859999999999595</v>
      </c>
      <c r="AD6049">
        <v>-1.1211860065179999</v>
      </c>
      <c r="AE6049">
        <v>-21.113479999999999</v>
      </c>
      <c r="AF6049">
        <v>-0.69445627560652801</v>
      </c>
      <c r="AG6049">
        <v>-1.1211860065179999</v>
      </c>
      <c r="AH6049">
        <v>21.052340651846102</v>
      </c>
      <c r="AI6049">
        <v>93.0468712447488</v>
      </c>
      <c r="AJ6049">
        <v>91.889338170483995</v>
      </c>
      <c r="AK6049">
        <v>21.093609802528199</v>
      </c>
      <c r="AL6049">
        <v>94.609684344540199</v>
      </c>
      <c r="AM6049">
        <v>91.709395403386594</v>
      </c>
      <c r="AN6049">
        <v>0.99999996970532201</v>
      </c>
    </row>
    <row r="6050" spans="1:40" x14ac:dyDescent="0.25">
      <c r="A6050" t="str">
        <f>"20190303154302447"</f>
        <v>20190303154302447</v>
      </c>
      <c r="B6050" t="str">
        <f>"1551598982436498"</f>
        <v>1551598982436498</v>
      </c>
      <c r="C6050" t="s">
        <v>40</v>
      </c>
      <c r="D6050">
        <v>5.3123589999999998</v>
      </c>
      <c r="E6050">
        <v>0.49990459999999898</v>
      </c>
      <c r="F6050" t="s">
        <v>41</v>
      </c>
      <c r="G6050">
        <v>-421.3177</v>
      </c>
      <c r="H6050" s="1">
        <v>-6.5195630000000005E-7</v>
      </c>
      <c r="I6050">
        <v>40.291559999999997</v>
      </c>
      <c r="J6050">
        <v>-421.96850000000001</v>
      </c>
      <c r="K6050">
        <v>1.1211709999999999</v>
      </c>
      <c r="L6050">
        <v>61.995449999999998</v>
      </c>
      <c r="M6050">
        <v>-2.5618889999999999E-3</v>
      </c>
      <c r="N6050">
        <v>-1.37471E-2</v>
      </c>
      <c r="O6050">
        <v>-0.99990250000000003</v>
      </c>
      <c r="P6050">
        <v>2.6769149999999999E-2</v>
      </c>
      <c r="Q6050">
        <v>-9.3145909999999998E-2</v>
      </c>
      <c r="R6050">
        <v>-0.99529279999999998</v>
      </c>
      <c r="S6050">
        <v>8.8897710000000005E-2</v>
      </c>
      <c r="T6050">
        <v>-0.15323519999999999</v>
      </c>
      <c r="U6050">
        <v>-2.9975890000000001</v>
      </c>
      <c r="V6050">
        <v>-2.9297759999999999E-2</v>
      </c>
      <c r="W6050">
        <v>-7.9463660000000005E-2</v>
      </c>
      <c r="X6050">
        <v>0.99640720000000005</v>
      </c>
      <c r="Y6050">
        <v>-3.2169320000000001E-2</v>
      </c>
      <c r="Z6050">
        <v>3.7293659999999999E-2</v>
      </c>
      <c r="AA6050">
        <v>0.99878639999999996</v>
      </c>
      <c r="AB6050">
        <v>23</v>
      </c>
      <c r="AC6050">
        <v>0.65080000000000304</v>
      </c>
      <c r="AD6050">
        <v>-1.1211716519563</v>
      </c>
      <c r="AE6050">
        <v>-21.703889999999902</v>
      </c>
      <c r="AF6050">
        <v>-0.70452770891901395</v>
      </c>
      <c r="AG6050">
        <v>-1.1211716519563</v>
      </c>
      <c r="AH6050">
        <v>21.644444766149501</v>
      </c>
      <c r="AI6050">
        <v>92.963676346010999</v>
      </c>
      <c r="AJ6050">
        <v>91.864322120427005</v>
      </c>
      <c r="AK6050">
        <v>21.684911214959602</v>
      </c>
      <c r="AL6050">
        <v>94.557737250727897</v>
      </c>
      <c r="AM6050">
        <v>91.684205500430195</v>
      </c>
      <c r="AN6050">
        <v>1.00000007010672</v>
      </c>
    </row>
    <row r="6051" spans="1:40" x14ac:dyDescent="0.25">
      <c r="A6051" t="str">
        <f>"20190303154302469"</f>
        <v>20190303154302469</v>
      </c>
      <c r="B6051" t="str">
        <f>"1551598982466754"</f>
        <v>1551598982466754</v>
      </c>
      <c r="C6051" t="s">
        <v>40</v>
      </c>
      <c r="D6051">
        <v>5.2946619999999998</v>
      </c>
      <c r="E6051">
        <v>0.50020200000000004</v>
      </c>
      <c r="F6051" t="s">
        <v>58</v>
      </c>
      <c r="G6051">
        <v>-421.33479999999997</v>
      </c>
      <c r="H6051" s="1">
        <v>-4.1919830000000002E-7</v>
      </c>
      <c r="I6051">
        <v>39.473970000000001</v>
      </c>
      <c r="J6051">
        <v>-421.96890000000002</v>
      </c>
      <c r="K6051">
        <v>1.1211629999999999</v>
      </c>
      <c r="L6051">
        <v>61.762819999999998</v>
      </c>
      <c r="M6051">
        <v>-2.3918889999999999E-3</v>
      </c>
      <c r="N6051">
        <v>-1.3744620000000001E-2</v>
      </c>
      <c r="O6051">
        <v>-0.99990279999999998</v>
      </c>
      <c r="P6051">
        <v>2.6611349999999999E-2</v>
      </c>
      <c r="Q6051">
        <v>-9.344508E-2</v>
      </c>
      <c r="R6051">
        <v>-0.99526879999999995</v>
      </c>
      <c r="S6051">
        <v>8.4350590000000003E-2</v>
      </c>
      <c r="T6051">
        <v>-0.14924509999999999</v>
      </c>
      <c r="U6051">
        <v>-2.9979550000000001</v>
      </c>
      <c r="V6051">
        <v>-2.8972069999999999E-2</v>
      </c>
      <c r="W6051">
        <v>-7.9764890000000005E-2</v>
      </c>
      <c r="X6051">
        <v>0.99639259999999996</v>
      </c>
      <c r="Y6051">
        <v>-3.048449E-2</v>
      </c>
      <c r="Z6051">
        <v>3.5966379999999999E-2</v>
      </c>
      <c r="AA6051">
        <v>0.998888</v>
      </c>
      <c r="AB6051">
        <v>23</v>
      </c>
      <c r="AC6051">
        <v>0.63410000000004596</v>
      </c>
      <c r="AD6051">
        <v>-1.1211634191983</v>
      </c>
      <c r="AE6051">
        <v>-22.28885</v>
      </c>
      <c r="AF6051">
        <v>-0.68568213034387804</v>
      </c>
      <c r="AG6051">
        <v>-1.1211634191983</v>
      </c>
      <c r="AH6051">
        <v>22.231064845823699</v>
      </c>
      <c r="AI6051">
        <v>92.885741106826501</v>
      </c>
      <c r="AJ6051">
        <v>91.766637878374596</v>
      </c>
      <c r="AK6051">
        <v>22.269876775043901</v>
      </c>
      <c r="AL6051">
        <v>94.575051665215398</v>
      </c>
      <c r="AM6051">
        <v>91.665517941154107</v>
      </c>
      <c r="AN6051">
        <v>1.00000001592577</v>
      </c>
    </row>
    <row r="6052" spans="1:40" x14ac:dyDescent="0.25">
      <c r="A6052" t="str">
        <f>"20190303154302493"</f>
        <v>20190303154302493</v>
      </c>
      <c r="B6052" t="str">
        <f>"1551598982486274"</f>
        <v>1551598982486274</v>
      </c>
      <c r="C6052" t="s">
        <v>40</v>
      </c>
      <c r="D6052">
        <v>5.3130639999999998</v>
      </c>
      <c r="E6052">
        <v>0.50013009999999902</v>
      </c>
      <c r="F6052" t="s">
        <v>58</v>
      </c>
      <c r="G6052">
        <v>-421.35840000000002</v>
      </c>
      <c r="H6052" s="1">
        <v>-4.8584499999999899E-7</v>
      </c>
      <c r="I6052">
        <v>39.31588</v>
      </c>
      <c r="J6052">
        <v>-421.96929999999998</v>
      </c>
      <c r="K6052">
        <v>1.1211549999999999</v>
      </c>
      <c r="L6052">
        <v>61.522640000000003</v>
      </c>
      <c r="M6052">
        <v>-2.2258489999999998E-3</v>
      </c>
      <c r="N6052">
        <v>-1.374208E-2</v>
      </c>
      <c r="O6052">
        <v>-0.99990319999999999</v>
      </c>
      <c r="P6052">
        <v>2.6158379999999998E-2</v>
      </c>
      <c r="Q6052">
        <v>-9.4481190000000007E-2</v>
      </c>
      <c r="R6052">
        <v>-0.99518280000000003</v>
      </c>
      <c r="S6052">
        <v>8.1542970000000006E-2</v>
      </c>
      <c r="T6052">
        <v>-0.14974270000000001</v>
      </c>
      <c r="U6052">
        <v>-2.9980159999999998</v>
      </c>
      <c r="V6052">
        <v>-2.835536E-2</v>
      </c>
      <c r="W6052">
        <v>-8.0803699999999895E-2</v>
      </c>
      <c r="X6052">
        <v>0.99632659999999995</v>
      </c>
      <c r="Y6052">
        <v>-2.9383469999999998E-2</v>
      </c>
      <c r="Z6052">
        <v>3.613483E-2</v>
      </c>
      <c r="AA6052">
        <v>0.99891479999999999</v>
      </c>
      <c r="AB6052">
        <v>23</v>
      </c>
      <c r="AC6052">
        <v>0.61089999999995803</v>
      </c>
      <c r="AD6052">
        <v>-1.1211554858449999</v>
      </c>
      <c r="AE6052">
        <v>-22.206759999999999</v>
      </c>
      <c r="AF6052">
        <v>-0.65865443606880503</v>
      </c>
      <c r="AG6052">
        <v>-1.1211554858449999</v>
      </c>
      <c r="AH6052">
        <v>22.148931256881099</v>
      </c>
      <c r="AI6052">
        <v>92.896500255341095</v>
      </c>
      <c r="AJ6052">
        <v>91.703332797774607</v>
      </c>
      <c r="AK6052">
        <v>22.187067654641499</v>
      </c>
      <c r="AL6052">
        <v>94.634764017239206</v>
      </c>
      <c r="AM6052">
        <v>91.630192381168996</v>
      </c>
      <c r="AN6052">
        <v>0.99999997912098904</v>
      </c>
    </row>
    <row r="6053" spans="1:40" x14ac:dyDescent="0.25">
      <c r="A6053" t="str">
        <f>"20190303154302515"</f>
        <v>20190303154302515</v>
      </c>
      <c r="B6053" t="str">
        <f>"1551598982506770"</f>
        <v>1551598982506770</v>
      </c>
      <c r="C6053" t="s">
        <v>40</v>
      </c>
      <c r="D6053">
        <v>5.3689450000000001</v>
      </c>
      <c r="E6053">
        <v>0.50007679999999999</v>
      </c>
      <c r="F6053" t="s">
        <v>41</v>
      </c>
      <c r="G6053">
        <v>-421.37799999999999</v>
      </c>
      <c r="H6053" s="1">
        <v>-4.2338810000000002E-7</v>
      </c>
      <c r="I6053">
        <v>39.721350000000001</v>
      </c>
      <c r="J6053">
        <v>-421.96960000000001</v>
      </c>
      <c r="K6053">
        <v>1.121135</v>
      </c>
      <c r="L6053">
        <v>61.296509999999998</v>
      </c>
      <c r="M6053">
        <v>-2.079254E-3</v>
      </c>
      <c r="N6053">
        <v>-1.373972E-2</v>
      </c>
      <c r="O6053">
        <v>-0.99990369999999995</v>
      </c>
      <c r="P6053">
        <v>2.5790799999999999E-2</v>
      </c>
      <c r="Q6053">
        <v>-9.5021530000000007E-2</v>
      </c>
      <c r="R6053">
        <v>-0.99514119999999995</v>
      </c>
      <c r="S6053">
        <v>8.1298830000000002E-2</v>
      </c>
      <c r="T6053">
        <v>-0.1541622</v>
      </c>
      <c r="U6053">
        <v>-2.9977420000000001</v>
      </c>
      <c r="V6053">
        <v>-2.7843400000000001E-2</v>
      </c>
      <c r="W6053">
        <v>-8.1346059999999998E-2</v>
      </c>
      <c r="X6053">
        <v>0.99629690000000004</v>
      </c>
      <c r="Y6053">
        <v>-2.915645E-2</v>
      </c>
      <c r="Z6053">
        <v>3.7610909999999997E-2</v>
      </c>
      <c r="AA6053">
        <v>0.99886699999999995</v>
      </c>
      <c r="AB6053">
        <v>23</v>
      </c>
      <c r="AC6053">
        <v>0.59159999999997104</v>
      </c>
      <c r="AD6053">
        <v>-1.1211354233880999</v>
      </c>
      <c r="AE6053">
        <v>-21.57516</v>
      </c>
      <c r="AF6053">
        <v>-0.63475046863757401</v>
      </c>
      <c r="AG6053">
        <v>-1.1211354233880999</v>
      </c>
      <c r="AH6053">
        <v>21.515828134469299</v>
      </c>
      <c r="AI6053">
        <v>92.981545692515994</v>
      </c>
      <c r="AJ6053">
        <v>91.689824679706803</v>
      </c>
      <c r="AK6053">
        <v>21.5543664510705</v>
      </c>
      <c r="AL6053">
        <v>94.665941614214304</v>
      </c>
      <c r="AM6053">
        <v>91.600822178992203</v>
      </c>
      <c r="AN6053">
        <v>0.99999997467534596</v>
      </c>
    </row>
    <row r="6054" spans="1:40" x14ac:dyDescent="0.25">
      <c r="A6054" t="str">
        <f>"20190303154302538"</f>
        <v>20190303154302538</v>
      </c>
      <c r="B6054" t="str">
        <f>"1551598982526290"</f>
        <v>1551598982526290</v>
      </c>
      <c r="C6054" t="s">
        <v>40</v>
      </c>
      <c r="D6054">
        <v>5.3220499999999999</v>
      </c>
      <c r="E6054">
        <v>0.50014420000000004</v>
      </c>
      <c r="F6054" t="s">
        <v>41</v>
      </c>
      <c r="G6054">
        <v>-421.40589999999997</v>
      </c>
      <c r="H6054" s="1">
        <v>-6.0933059999999997E-7</v>
      </c>
      <c r="I6054">
        <v>40.137529999999998</v>
      </c>
      <c r="J6054">
        <v>-421.9699</v>
      </c>
      <c r="K6054">
        <v>1.1211230000000001</v>
      </c>
      <c r="L6054">
        <v>61.058619999999998</v>
      </c>
      <c r="M6054">
        <v>-1.9369840000000001E-3</v>
      </c>
      <c r="N6054">
        <v>-1.373723E-2</v>
      </c>
      <c r="O6054">
        <v>-0.99990369999999995</v>
      </c>
      <c r="P6054">
        <v>2.5928150000000001E-2</v>
      </c>
      <c r="Q6054">
        <v>-9.5439360000000001E-2</v>
      </c>
      <c r="R6054">
        <v>-0.99509729999999996</v>
      </c>
      <c r="S6054">
        <v>7.9864500000000005E-2</v>
      </c>
      <c r="T6054">
        <v>-0.15882299999999999</v>
      </c>
      <c r="U6054">
        <v>-2.9974370000000001</v>
      </c>
      <c r="V6054">
        <v>-2.7841020000000001E-2</v>
      </c>
      <c r="W6054">
        <v>-8.1766179999999994E-2</v>
      </c>
      <c r="X6054">
        <v>0.9962626</v>
      </c>
      <c r="Y6054">
        <v>-2.8537730000000001E-2</v>
      </c>
      <c r="Z6054">
        <v>3.9168439999999999E-2</v>
      </c>
      <c r="AA6054">
        <v>0.99882499999999996</v>
      </c>
      <c r="AB6054">
        <v>23</v>
      </c>
      <c r="AC6054">
        <v>0.56400000000002104</v>
      </c>
      <c r="AD6054">
        <v>-1.1211236093305901</v>
      </c>
      <c r="AE6054">
        <v>-20.92109</v>
      </c>
      <c r="AF6054">
        <v>-0.60279679345689796</v>
      </c>
      <c r="AG6054">
        <v>-1.1211236093305901</v>
      </c>
      <c r="AH6054">
        <v>20.860097839184899</v>
      </c>
      <c r="AI6054">
        <v>93.075114232561901</v>
      </c>
      <c r="AJ6054">
        <v>91.655222509012006</v>
      </c>
      <c r="AK6054">
        <v>20.8988986308362</v>
      </c>
      <c r="AL6054">
        <v>94.690093056661397</v>
      </c>
      <c r="AM6054">
        <v>91.600740495802199</v>
      </c>
      <c r="AN6054">
        <v>0.99999999937259598</v>
      </c>
    </row>
    <row r="6055" spans="1:40" x14ac:dyDescent="0.25">
      <c r="A6055" t="str">
        <f>"20190303154302561"</f>
        <v>20190303154302561</v>
      </c>
      <c r="B6055" t="str">
        <f>"1551598982556548"</f>
        <v>1551598982556548</v>
      </c>
      <c r="C6055" t="s">
        <v>40</v>
      </c>
      <c r="D6055">
        <v>5.3393839999999999</v>
      </c>
      <c r="E6055">
        <v>0.50024279999999999</v>
      </c>
      <c r="F6055" t="s">
        <v>41</v>
      </c>
      <c r="G6055">
        <v>-421.4092</v>
      </c>
      <c r="H6055" s="1">
        <v>-6.0956260000000002E-7</v>
      </c>
      <c r="I6055">
        <v>40.13597</v>
      </c>
      <c r="J6055">
        <v>-421.97030000000001</v>
      </c>
      <c r="K6055">
        <v>1.1211139999999999</v>
      </c>
      <c r="L6055">
        <v>60.818119999999901</v>
      </c>
      <c r="M6055">
        <v>-1.8061520000000001E-3</v>
      </c>
      <c r="N6055">
        <v>-1.3734629999999999E-2</v>
      </c>
      <c r="O6055">
        <v>-0.99990440000000003</v>
      </c>
      <c r="P6055">
        <v>2.6837059999999999E-2</v>
      </c>
      <c r="Q6055">
        <v>-9.5277130000000002E-2</v>
      </c>
      <c r="R6055">
        <v>-0.99508940000000001</v>
      </c>
      <c r="S6055">
        <v>8.0322270000000001E-2</v>
      </c>
      <c r="T6055">
        <v>-0.1606071</v>
      </c>
      <c r="U6055">
        <v>-2.9972840000000001</v>
      </c>
      <c r="V6055">
        <v>-2.862191E-2</v>
      </c>
      <c r="W6055">
        <v>-8.1606079999999998E-2</v>
      </c>
      <c r="X6055">
        <v>0.99625359999999996</v>
      </c>
      <c r="Y6055">
        <v>-2.855997E-2</v>
      </c>
      <c r="Z6055">
        <v>3.9766500000000003E-2</v>
      </c>
      <c r="AA6055">
        <v>0.99880080000000004</v>
      </c>
      <c r="AB6055">
        <v>23</v>
      </c>
      <c r="AC6055">
        <v>0.56110000000001004</v>
      </c>
      <c r="AD6055">
        <v>-1.1211146095625999</v>
      </c>
      <c r="AE6055">
        <v>-20.68215</v>
      </c>
      <c r="AF6055">
        <v>-0.59670564056515196</v>
      </c>
      <c r="AG6055">
        <v>-1.1211146095625999</v>
      </c>
      <c r="AH6055">
        <v>20.620556168287699</v>
      </c>
      <c r="AI6055">
        <v>93.110738446810799</v>
      </c>
      <c r="AJ6055">
        <v>91.657529332078596</v>
      </c>
      <c r="AK6055">
        <v>20.659629529078298</v>
      </c>
      <c r="AL6055">
        <v>94.680889237609904</v>
      </c>
      <c r="AM6055">
        <v>91.645628864030598</v>
      </c>
      <c r="AN6055">
        <v>1.00000000076898</v>
      </c>
    </row>
    <row r="6056" spans="1:40" x14ac:dyDescent="0.25">
      <c r="A6056" t="str">
        <f>"20190303154302581"</f>
        <v>20190303154302581</v>
      </c>
      <c r="B6056" t="str">
        <f>"1551598982576067"</f>
        <v>1551598982576067</v>
      </c>
      <c r="C6056" t="s">
        <v>40</v>
      </c>
      <c r="D6056">
        <v>5.3383690000000001</v>
      </c>
      <c r="E6056">
        <v>0.50028170000000005</v>
      </c>
      <c r="F6056" t="s">
        <v>41</v>
      </c>
      <c r="G6056">
        <v>-421.40339999999998</v>
      </c>
      <c r="H6056" s="1">
        <v>-5.7521999999999898E-7</v>
      </c>
      <c r="I6056">
        <v>40.059539999999998</v>
      </c>
      <c r="J6056">
        <v>-421.97050000000002</v>
      </c>
      <c r="K6056">
        <v>1.1211070000000001</v>
      </c>
      <c r="L6056">
        <v>60.596649999999997</v>
      </c>
      <c r="M6056">
        <v>-1.6949510000000001E-3</v>
      </c>
      <c r="N6056">
        <v>-1.373214E-2</v>
      </c>
      <c r="O6056">
        <v>-0.99990440000000003</v>
      </c>
      <c r="P6056">
        <v>2.750756E-2</v>
      </c>
      <c r="Q6056">
        <v>-9.5117229999999997E-2</v>
      </c>
      <c r="R6056">
        <v>-0.99508629999999998</v>
      </c>
      <c r="S6056">
        <v>8.184814E-2</v>
      </c>
      <c r="T6056">
        <v>-0.16186539999999999</v>
      </c>
      <c r="U6056">
        <v>-2.9971009999999998</v>
      </c>
      <c r="V6056">
        <v>-2.9183310000000001E-2</v>
      </c>
      <c r="W6056">
        <v>-8.1448270000000003E-2</v>
      </c>
      <c r="X6056">
        <v>0.99625019999999997</v>
      </c>
      <c r="Y6056">
        <v>-2.8957839999999999E-2</v>
      </c>
      <c r="Z6056">
        <v>4.0189709999999997E-2</v>
      </c>
      <c r="AA6056">
        <v>0.9987724</v>
      </c>
      <c r="AB6056">
        <v>23</v>
      </c>
      <c r="AC6056">
        <v>0.56710000000003902</v>
      </c>
      <c r="AD6056">
        <v>-1.1211075752199999</v>
      </c>
      <c r="AE6056">
        <v>-20.537109999999899</v>
      </c>
      <c r="AF6056">
        <v>-0.60012485043610098</v>
      </c>
      <c r="AG6056">
        <v>-1.1211075752199999</v>
      </c>
      <c r="AH6056">
        <v>20.475149788926601</v>
      </c>
      <c r="AI6056">
        <v>93.132732320571705</v>
      </c>
      <c r="AJ6056">
        <v>91.678853647503402</v>
      </c>
      <c r="AK6056">
        <v>20.514599457710801</v>
      </c>
      <c r="AL6056">
        <v>94.671817317929694</v>
      </c>
      <c r="AM6056">
        <v>91.677894244608098</v>
      </c>
      <c r="AN6056">
        <v>0.99999997363429405</v>
      </c>
    </row>
    <row r="6057" spans="1:40" x14ac:dyDescent="0.25">
      <c r="A6057" t="str">
        <f>"20190303154302604"</f>
        <v>20190303154302604</v>
      </c>
      <c r="B6057" t="str">
        <f>"1551598982596562"</f>
        <v>1551598982596562</v>
      </c>
      <c r="C6057" t="s">
        <v>40</v>
      </c>
      <c r="D6057">
        <v>5.3554060000000003</v>
      </c>
      <c r="E6057">
        <v>0.50035569999999996</v>
      </c>
      <c r="F6057" t="s">
        <v>41</v>
      </c>
      <c r="G6057">
        <v>-421.39609999999999</v>
      </c>
      <c r="H6057" s="1">
        <v>-5.2716849999999999E-7</v>
      </c>
      <c r="I6057">
        <v>39.952019999999997</v>
      </c>
      <c r="J6057">
        <v>-421.97070000000002</v>
      </c>
      <c r="K6057">
        <v>1.121103</v>
      </c>
      <c r="L6057">
        <v>60.370330000000003</v>
      </c>
      <c r="M6057">
        <v>-1.5906529999999901E-3</v>
      </c>
      <c r="N6057">
        <v>-1.3729720000000001E-2</v>
      </c>
      <c r="O6057">
        <v>-0.99990440000000003</v>
      </c>
      <c r="P6057">
        <v>2.7918100000000001E-2</v>
      </c>
      <c r="Q6057">
        <v>-9.5202389999999998E-2</v>
      </c>
      <c r="R6057">
        <v>-0.99506629999999996</v>
      </c>
      <c r="S6057">
        <v>8.3374019999999993E-2</v>
      </c>
      <c r="T6057">
        <v>-0.16275110000000001</v>
      </c>
      <c r="U6057">
        <v>-2.9969790000000001</v>
      </c>
      <c r="V6057">
        <v>-2.9491409999999999E-2</v>
      </c>
      <c r="W6057">
        <v>-8.1535670000000005E-2</v>
      </c>
      <c r="X6057">
        <v>0.99623399999999995</v>
      </c>
      <c r="Y6057">
        <v>-2.9362240000000001E-2</v>
      </c>
      <c r="Z6057">
        <v>4.0487969999999998E-2</v>
      </c>
      <c r="AA6057">
        <v>0.99874850000000004</v>
      </c>
      <c r="AB6057">
        <v>23</v>
      </c>
      <c r="AC6057">
        <v>0.57460000000003197</v>
      </c>
      <c r="AD6057">
        <v>-1.1211035271684999</v>
      </c>
      <c r="AE6057">
        <v>-20.418310000000002</v>
      </c>
      <c r="AF6057">
        <v>-0.60525752462139604</v>
      </c>
      <c r="AG6057">
        <v>-1.1211035271684999</v>
      </c>
      <c r="AH6057">
        <v>20.356050170684199</v>
      </c>
      <c r="AI6057">
        <v>93.150973901635396</v>
      </c>
      <c r="AJ6057">
        <v>91.703104835250201</v>
      </c>
      <c r="AK6057">
        <v>20.395881651479399</v>
      </c>
      <c r="AL6057">
        <v>94.676841576564399</v>
      </c>
      <c r="AM6057">
        <v>91.695625721955693</v>
      </c>
      <c r="AN6057">
        <v>0.99999999575106802</v>
      </c>
    </row>
    <row r="6058" spans="1:40" x14ac:dyDescent="0.25">
      <c r="A6058" t="str">
        <f>"20190303154302626"</f>
        <v>20190303154302626</v>
      </c>
      <c r="B6058" t="str">
        <f>"1551598982616083"</f>
        <v>1551598982616083</v>
      </c>
      <c r="C6058" t="s">
        <v>40</v>
      </c>
      <c r="D6058">
        <v>5.3709429999999996</v>
      </c>
      <c r="E6058">
        <v>0.50047770000000003</v>
      </c>
      <c r="F6058" t="s">
        <v>41</v>
      </c>
      <c r="G6058">
        <v>-421.39490000000001</v>
      </c>
      <c r="H6058" s="1">
        <v>-4.9096850000000002E-7</v>
      </c>
      <c r="I6058">
        <v>39.868409999999997</v>
      </c>
      <c r="J6058">
        <v>-421.97089999999997</v>
      </c>
      <c r="K6058">
        <v>1.1211059999999999</v>
      </c>
      <c r="L6058">
        <v>60.137270000000001</v>
      </c>
      <c r="M6058">
        <v>-1.493585E-3</v>
      </c>
      <c r="N6058">
        <v>-1.3727380000000001E-2</v>
      </c>
      <c r="O6058">
        <v>-0.99990489999999999</v>
      </c>
      <c r="P6058">
        <v>2.8350130000000001E-2</v>
      </c>
      <c r="Q6058">
        <v>-9.4868179999999996E-2</v>
      </c>
      <c r="R6058">
        <v>-0.99508649999999998</v>
      </c>
      <c r="S6058">
        <v>8.4167480000000003E-2</v>
      </c>
      <c r="T6058">
        <v>-0.16387669999999999</v>
      </c>
      <c r="U6058">
        <v>-2.9968569999999999</v>
      </c>
      <c r="V6058">
        <v>-2.9828070000000002E-2</v>
      </c>
      <c r="W6058">
        <v>-8.1203059999999994E-2</v>
      </c>
      <c r="X6058">
        <v>0.9962512</v>
      </c>
      <c r="Y6058">
        <v>-2.9529969999999999E-2</v>
      </c>
      <c r="Z6058">
        <v>4.0866220000000002E-2</v>
      </c>
      <c r="AA6058">
        <v>0.99872819999999995</v>
      </c>
      <c r="AB6058">
        <v>23</v>
      </c>
      <c r="AC6058">
        <v>0.57599999999996498</v>
      </c>
      <c r="AD6058">
        <v>-1.1211064909685</v>
      </c>
      <c r="AE6058">
        <v>-20.26886</v>
      </c>
      <c r="AF6058">
        <v>-0.60442777896964495</v>
      </c>
      <c r="AG6058">
        <v>-1.1211064909685</v>
      </c>
      <c r="AH6058">
        <v>20.206208179251998</v>
      </c>
      <c r="AI6058">
        <v>93.174284223025197</v>
      </c>
      <c r="AJ6058">
        <v>91.713376247081897</v>
      </c>
      <c r="AK6058">
        <v>20.246309828888599</v>
      </c>
      <c r="AL6058">
        <v>94.657720760637304</v>
      </c>
      <c r="AM6058">
        <v>91.714941099138997</v>
      </c>
      <c r="AN6058">
        <v>1.00000005210736</v>
      </c>
    </row>
    <row r="6059" spans="1:40" x14ac:dyDescent="0.25">
      <c r="A6059" t="str">
        <f>"20190303154302649"</f>
        <v>20190303154302649</v>
      </c>
      <c r="B6059" t="str">
        <f>"1551598982636578"</f>
        <v>1551598982636578</v>
      </c>
      <c r="C6059" t="s">
        <v>40</v>
      </c>
      <c r="D6059">
        <v>5.3673070000000003</v>
      </c>
      <c r="E6059">
        <v>0.50060899999999997</v>
      </c>
      <c r="F6059" t="s">
        <v>58</v>
      </c>
      <c r="G6059">
        <v>-421.39179999999999</v>
      </c>
      <c r="H6059" s="1">
        <v>-3.8428860000000001E-7</v>
      </c>
      <c r="I6059">
        <v>39.605040000000002</v>
      </c>
      <c r="J6059">
        <v>-421.97120000000001</v>
      </c>
      <c r="K6059">
        <v>1.121102</v>
      </c>
      <c r="L6059">
        <v>59.914059999999999</v>
      </c>
      <c r="M6059">
        <v>-1.410536E-3</v>
      </c>
      <c r="N6059">
        <v>-1.372518E-2</v>
      </c>
      <c r="O6059">
        <v>-0.99990509999999999</v>
      </c>
      <c r="P6059">
        <v>2.81222E-2</v>
      </c>
      <c r="Q6059">
        <v>-9.4439800000000004E-2</v>
      </c>
      <c r="R6059">
        <v>-0.99513359999999995</v>
      </c>
      <c r="S6059">
        <v>8.4533689999999995E-2</v>
      </c>
      <c r="T6059">
        <v>-0.16363359999999999</v>
      </c>
      <c r="U6059">
        <v>-2.996826</v>
      </c>
      <c r="V6059">
        <v>-2.951842E-2</v>
      </c>
      <c r="W6059">
        <v>-8.0775719999999995E-2</v>
      </c>
      <c r="X6059">
        <v>0.99629509999999999</v>
      </c>
      <c r="Y6059">
        <v>-2.9569270000000002E-2</v>
      </c>
      <c r="Z6059">
        <v>4.0788100000000001E-2</v>
      </c>
      <c r="AA6059">
        <v>0.99873020000000001</v>
      </c>
      <c r="AB6059">
        <v>23</v>
      </c>
      <c r="AC6059">
        <v>0.57940000000002101</v>
      </c>
      <c r="AD6059">
        <v>-1.1211023842886001</v>
      </c>
      <c r="AE6059">
        <v>-20.30902</v>
      </c>
      <c r="AF6059">
        <v>-0.60620294873667102</v>
      </c>
      <c r="AG6059">
        <v>-1.1211023842886001</v>
      </c>
      <c r="AH6059">
        <v>20.246535726710999</v>
      </c>
      <c r="AI6059">
        <v>93.167960260010702</v>
      </c>
      <c r="AJ6059">
        <v>91.714984606422604</v>
      </c>
      <c r="AK6059">
        <v>20.286610399573899</v>
      </c>
      <c r="AL6059">
        <v>94.633155572412804</v>
      </c>
      <c r="AM6059">
        <v>91.697073747432597</v>
      </c>
      <c r="AN6059">
        <v>0.99999999017241203</v>
      </c>
    </row>
    <row r="6060" spans="1:40" x14ac:dyDescent="0.25">
      <c r="A6060" t="str">
        <f>"20190303154302670"</f>
        <v>20190303154302670</v>
      </c>
      <c r="B6060" t="str">
        <f>"1551598982666834"</f>
        <v>1551598982666834</v>
      </c>
      <c r="C6060" t="s">
        <v>40</v>
      </c>
      <c r="D6060">
        <v>5.3538759999999996</v>
      </c>
      <c r="E6060">
        <v>0.50075360000000002</v>
      </c>
      <c r="F6060" t="s">
        <v>58</v>
      </c>
      <c r="G6060">
        <v>-421.40440000000001</v>
      </c>
      <c r="H6060" s="1">
        <v>-4.639678E-7</v>
      </c>
      <c r="I6060">
        <v>39.405180000000001</v>
      </c>
      <c r="J6060">
        <v>-421.97140000000002</v>
      </c>
      <c r="K6060">
        <v>1.1210929999999999</v>
      </c>
      <c r="L6060">
        <v>59.679200000000002</v>
      </c>
      <c r="M6060">
        <v>-1.3321590000000001E-3</v>
      </c>
      <c r="N6060">
        <v>-1.372286E-2</v>
      </c>
      <c r="O6060">
        <v>-0.99990509999999999</v>
      </c>
      <c r="P6060">
        <v>2.7273840000000001E-2</v>
      </c>
      <c r="Q6060">
        <v>-9.4191529999999996E-2</v>
      </c>
      <c r="R6060">
        <v>-0.99518059999999997</v>
      </c>
      <c r="S6060">
        <v>8.2824709999999996E-2</v>
      </c>
      <c r="T6060">
        <v>-0.1638175</v>
      </c>
      <c r="U6060">
        <v>-2.9967959999999998</v>
      </c>
      <c r="V6060">
        <v>-2.859401E-2</v>
      </c>
      <c r="W6060">
        <v>-8.0528450000000001E-2</v>
      </c>
      <c r="X6060">
        <v>0.99634210000000001</v>
      </c>
      <c r="Y6060">
        <v>-2.8922320000000001E-2</v>
      </c>
      <c r="Z6060">
        <v>4.0853059999999997E-2</v>
      </c>
      <c r="AA6060">
        <v>0.99874649999999998</v>
      </c>
      <c r="AB6060">
        <v>23</v>
      </c>
      <c r="AC6060">
        <v>0.56700000000000705</v>
      </c>
      <c r="AD6060">
        <v>-1.1210934639678001</v>
      </c>
      <c r="AE6060">
        <v>-20.27402</v>
      </c>
      <c r="AF6060">
        <v>-0.592200859354443</v>
      </c>
      <c r="AG6060">
        <v>-1.1210934639678001</v>
      </c>
      <c r="AH6060">
        <v>20.211492935548701</v>
      </c>
      <c r="AI6060">
        <v>93.173476535935606</v>
      </c>
      <c r="AJ6060">
        <v>91.678297844710102</v>
      </c>
      <c r="AK6060">
        <v>20.251222163032701</v>
      </c>
      <c r="AL6060">
        <v>94.618941628259805</v>
      </c>
      <c r="AM6060">
        <v>91.643879672147406</v>
      </c>
      <c r="AN6060">
        <v>1.00000001444984</v>
      </c>
    </row>
    <row r="6061" spans="1:40" x14ac:dyDescent="0.25">
      <c r="A6061" t="str">
        <f>"20190303154302693"</f>
        <v>20190303154302693</v>
      </c>
      <c r="B6061" t="str">
        <f>"1551598982686358"</f>
        <v>1551598982686358</v>
      </c>
      <c r="C6061" t="s">
        <v>40</v>
      </c>
      <c r="D6061">
        <v>5.4626739999999998</v>
      </c>
      <c r="E6061">
        <v>0.50063959999999996</v>
      </c>
      <c r="F6061" t="s">
        <v>58</v>
      </c>
      <c r="G6061">
        <v>-421.43520000000001</v>
      </c>
      <c r="H6061" s="1">
        <v>-5.2293749999999998E-7</v>
      </c>
      <c r="I6061">
        <v>39.272320000000001</v>
      </c>
      <c r="J6061">
        <v>-421.97160000000002</v>
      </c>
      <c r="K6061">
        <v>1.1210819999999999</v>
      </c>
      <c r="L6061">
        <v>59.449460000000002</v>
      </c>
      <c r="M6061">
        <v>-1.2649099999999999E-3</v>
      </c>
      <c r="N6061">
        <v>-1.372057E-2</v>
      </c>
      <c r="O6061">
        <v>-0.9999053</v>
      </c>
      <c r="P6061">
        <v>2.7010650000000001E-2</v>
      </c>
      <c r="Q6061">
        <v>-9.4592540000000003E-2</v>
      </c>
      <c r="R6061">
        <v>-0.99514979999999997</v>
      </c>
      <c r="S6061">
        <v>7.8735349999999996E-2</v>
      </c>
      <c r="T6061">
        <v>-0.16463510000000001</v>
      </c>
      <c r="U6061">
        <v>-2.9967959999999998</v>
      </c>
      <c r="V6061">
        <v>-2.8265269999999999E-2</v>
      </c>
      <c r="W6061">
        <v>-8.0931569999999994E-2</v>
      </c>
      <c r="X6061">
        <v>0.99631879999999995</v>
      </c>
      <c r="Y6061">
        <v>-2.7493509999999999E-2</v>
      </c>
      <c r="Z6061">
        <v>4.1129150000000003E-2</v>
      </c>
      <c r="AA6061">
        <v>0.99877550000000004</v>
      </c>
      <c r="AB6061">
        <v>23</v>
      </c>
      <c r="AC6061">
        <v>0.53640000000001398</v>
      </c>
      <c r="AD6061">
        <v>-1.1210825229375001</v>
      </c>
      <c r="AE6061">
        <v>-20.177139999999898</v>
      </c>
      <c r="AF6061">
        <v>-0.56019605294349495</v>
      </c>
      <c r="AG6061">
        <v>-1.1210825229375001</v>
      </c>
      <c r="AH6061">
        <v>20.1143932540249</v>
      </c>
      <c r="AI6061">
        <v>93.188865214488303</v>
      </c>
      <c r="AJ6061">
        <v>91.595304135434603</v>
      </c>
      <c r="AK6061">
        <v>20.153398264772399</v>
      </c>
      <c r="AL6061">
        <v>94.642114415434705</v>
      </c>
      <c r="AM6061">
        <v>91.625028467932793</v>
      </c>
      <c r="AN6061">
        <v>0.999999997872138</v>
      </c>
    </row>
    <row r="6062" spans="1:40" x14ac:dyDescent="0.25">
      <c r="A6062" t="str">
        <f>"20190303154302716"</f>
        <v>20190303154302716</v>
      </c>
      <c r="B6062" t="str">
        <f>"1551598982706850"</f>
        <v>1551598982706850</v>
      </c>
      <c r="C6062" t="s">
        <v>40</v>
      </c>
      <c r="D6062">
        <v>5.3860979999999996</v>
      </c>
      <c r="E6062">
        <v>0.50061199999999995</v>
      </c>
      <c r="F6062" t="s">
        <v>58</v>
      </c>
      <c r="G6062">
        <v>-421.44929999999999</v>
      </c>
      <c r="H6062" s="1">
        <v>-4.0874720000000001E-7</v>
      </c>
      <c r="I6062">
        <v>39.581099999999999</v>
      </c>
      <c r="J6062">
        <v>-421.97190000000001</v>
      </c>
      <c r="K6062">
        <v>1.1210629999999999</v>
      </c>
      <c r="L6062">
        <v>59.214230000000001</v>
      </c>
      <c r="M6062">
        <v>-1.206738E-3</v>
      </c>
      <c r="N6062">
        <v>-1.371825E-2</v>
      </c>
      <c r="O6062">
        <v>-0.9999053</v>
      </c>
      <c r="P6062">
        <v>2.7184639999999999E-2</v>
      </c>
      <c r="Q6062">
        <v>-9.5166219999999996E-2</v>
      </c>
      <c r="R6062">
        <v>-0.99509029999999998</v>
      </c>
      <c r="S6062">
        <v>7.8765870000000002E-2</v>
      </c>
      <c r="T6062">
        <v>-0.16907329999999901</v>
      </c>
      <c r="U6062">
        <v>-2.9963989999999998</v>
      </c>
      <c r="V6062">
        <v>-2.8382709999999998E-2</v>
      </c>
      <c r="W6062">
        <v>-8.1507819999999995E-2</v>
      </c>
      <c r="X6062">
        <v>0.9962685</v>
      </c>
      <c r="Y6062">
        <v>-2.744711E-2</v>
      </c>
      <c r="Z6062">
        <v>4.261355E-2</v>
      </c>
      <c r="AA6062">
        <v>0.99871460000000001</v>
      </c>
      <c r="AB6062">
        <v>23</v>
      </c>
      <c r="AC6062">
        <v>0.52260000000001094</v>
      </c>
      <c r="AD6062">
        <v>-1.1210634087472</v>
      </c>
      <c r="AE6062">
        <v>-19.633130000000001</v>
      </c>
      <c r="AF6062">
        <v>-0.54451975241819095</v>
      </c>
      <c r="AG6062">
        <v>-1.1210634087472</v>
      </c>
      <c r="AH6062">
        <v>19.568726773884901</v>
      </c>
      <c r="AI6062">
        <v>93.277540731373307</v>
      </c>
      <c r="AJ6062">
        <v>91.593902123834795</v>
      </c>
      <c r="AK6062">
        <v>19.608374549619398</v>
      </c>
      <c r="AL6062">
        <v>94.675240476956802</v>
      </c>
      <c r="AM6062">
        <v>91.631859033324005</v>
      </c>
      <c r="AN6062">
        <v>1.0000000135201701</v>
      </c>
    </row>
    <row r="6063" spans="1:40" x14ac:dyDescent="0.25">
      <c r="A6063" t="str">
        <f>"20190303154302738"</f>
        <v>20190303154302738</v>
      </c>
      <c r="B6063" t="str">
        <f>"1551598982726370"</f>
        <v>1551598982726370</v>
      </c>
      <c r="C6063" t="s">
        <v>40</v>
      </c>
      <c r="D6063">
        <v>5.4509629999999998</v>
      </c>
      <c r="E6063">
        <v>0.5005522</v>
      </c>
      <c r="F6063" t="s">
        <v>41</v>
      </c>
      <c r="G6063">
        <v>-421.45760000000001</v>
      </c>
      <c r="H6063" s="1">
        <v>-4.740897E-7</v>
      </c>
      <c r="I6063">
        <v>39.790140000000001</v>
      </c>
      <c r="J6063">
        <v>-421.97210000000001</v>
      </c>
      <c r="K6063">
        <v>1.1210530000000001</v>
      </c>
      <c r="L6063">
        <v>58.990299999999998</v>
      </c>
      <c r="M6063">
        <v>-1.164188E-3</v>
      </c>
      <c r="N6063">
        <v>-1.37161E-2</v>
      </c>
      <c r="O6063">
        <v>-0.99990559999999995</v>
      </c>
      <c r="P6063">
        <v>2.7043060000000001E-2</v>
      </c>
      <c r="Q6063">
        <v>-9.5421430000000002E-2</v>
      </c>
      <c r="R6063">
        <v>-0.99506969999999995</v>
      </c>
      <c r="S6063">
        <v>7.9315189999999994E-2</v>
      </c>
      <c r="T6063">
        <v>-0.17291989999999999</v>
      </c>
      <c r="U6063">
        <v>-2.9960939999999998</v>
      </c>
      <c r="V6063">
        <v>-2.8200159999999998E-2</v>
      </c>
      <c r="W6063">
        <v>-8.1764939999999994E-2</v>
      </c>
      <c r="X6063">
        <v>0.99625260000000004</v>
      </c>
      <c r="Y6063">
        <v>-2.7588430000000001E-2</v>
      </c>
      <c r="Z6063">
        <v>4.3899199999999999E-2</v>
      </c>
      <c r="AA6063">
        <v>0.99865499999999996</v>
      </c>
      <c r="AB6063">
        <v>23</v>
      </c>
      <c r="AC6063">
        <v>0.51449999999999796</v>
      </c>
      <c r="AD6063">
        <v>-1.1210534740897</v>
      </c>
      <c r="AE6063">
        <v>-19.20016</v>
      </c>
      <c r="AF6063">
        <v>-0.53503166110726397</v>
      </c>
      <c r="AG6063">
        <v>-1.1210534740897</v>
      </c>
      <c r="AH6063">
        <v>19.1343633200342</v>
      </c>
      <c r="AI6063">
        <v>93.351733155000105</v>
      </c>
      <c r="AJ6063">
        <v>91.601677043767594</v>
      </c>
      <c r="AK6063">
        <v>19.1746415724839</v>
      </c>
      <c r="AL6063">
        <v>94.690021774260003</v>
      </c>
      <c r="AM6063">
        <v>91.621394835815096</v>
      </c>
      <c r="AN6063">
        <v>0.99999999872199397</v>
      </c>
    </row>
    <row r="6064" spans="1:40" x14ac:dyDescent="0.25">
      <c r="A6064" t="str">
        <f>"20190303154302760"</f>
        <v>20190303154302760</v>
      </c>
      <c r="B6064" t="str">
        <f>"1551598982756626"</f>
        <v>1551598982756626</v>
      </c>
      <c r="C6064" t="s">
        <v>40</v>
      </c>
      <c r="D6064">
        <v>5.4441560000000004</v>
      </c>
      <c r="E6064">
        <v>0.50058309999999995</v>
      </c>
      <c r="F6064" t="s">
        <v>41</v>
      </c>
      <c r="G6064">
        <v>-421.46550000000002</v>
      </c>
      <c r="H6064" s="1">
        <v>-5.2883480000000005E-7</v>
      </c>
      <c r="I6064">
        <v>39.912930000000003</v>
      </c>
      <c r="J6064">
        <v>-421.97230000000002</v>
      </c>
      <c r="K6064">
        <v>1.121049</v>
      </c>
      <c r="L6064">
        <v>58.760129999999997</v>
      </c>
      <c r="M6064">
        <v>-1.130919E-3</v>
      </c>
      <c r="N6064">
        <v>-1.371387E-2</v>
      </c>
      <c r="O6064">
        <v>-0.99990559999999995</v>
      </c>
      <c r="P6064">
        <v>2.7214950000000002E-2</v>
      </c>
      <c r="Q6064">
        <v>-9.5952140000000005E-2</v>
      </c>
      <c r="R6064">
        <v>-0.99501410000000001</v>
      </c>
      <c r="S6064">
        <v>7.9559329999999998E-2</v>
      </c>
      <c r="T6064">
        <v>-0.176044799999999</v>
      </c>
      <c r="U6064">
        <v>-2.995819</v>
      </c>
      <c r="V6064">
        <v>-2.8340000000000001E-2</v>
      </c>
      <c r="W6064">
        <v>-8.2298070000000001E-2</v>
      </c>
      <c r="X6064">
        <v>0.99620469999999905</v>
      </c>
      <c r="Y6064">
        <v>-2.7637479999999999E-2</v>
      </c>
      <c r="Z6064">
        <v>4.4944779999999997E-2</v>
      </c>
      <c r="AA6064">
        <v>0.99860709999999997</v>
      </c>
      <c r="AB6064">
        <v>23</v>
      </c>
      <c r="AC6064">
        <v>0.50679999999999803</v>
      </c>
      <c r="AD6064">
        <v>-1.1210495288347999</v>
      </c>
      <c r="AE6064">
        <v>-18.847200000000001</v>
      </c>
      <c r="AF6064">
        <v>-0.526255791560444</v>
      </c>
      <c r="AG6064">
        <v>-1.1210495288347999</v>
      </c>
      <c r="AH6064">
        <v>18.780218628702599</v>
      </c>
      <c r="AI6064">
        <v>93.4147719851087</v>
      </c>
      <c r="AJ6064">
        <v>91.605111636130701</v>
      </c>
      <c r="AK6064">
        <v>18.821007118274</v>
      </c>
      <c r="AL6064">
        <v>94.720671324416401</v>
      </c>
      <c r="AM6064">
        <v>91.629509049783593</v>
      </c>
      <c r="AN6064">
        <v>0.99999996611390596</v>
      </c>
    </row>
    <row r="6065" spans="1:40" x14ac:dyDescent="0.25">
      <c r="A6065" t="str">
        <f>"20190303154302782"</f>
        <v>20190303154302782</v>
      </c>
      <c r="B6065" t="str">
        <f>"1551598982776146"</f>
        <v>1551598982776146</v>
      </c>
      <c r="C6065" t="s">
        <v>40</v>
      </c>
      <c r="D6065">
        <v>5.4859780000000002</v>
      </c>
      <c r="E6065">
        <v>0.5004864</v>
      </c>
      <c r="F6065" t="s">
        <v>41</v>
      </c>
      <c r="G6065">
        <v>-421.47449999999998</v>
      </c>
      <c r="H6065" s="1">
        <v>-5.5985619999999997E-7</v>
      </c>
      <c r="I6065">
        <v>39.979640000000003</v>
      </c>
      <c r="J6065">
        <v>-421.97250000000003</v>
      </c>
      <c r="K6065">
        <v>1.121035</v>
      </c>
      <c r="L6065">
        <v>58.530940000000001</v>
      </c>
      <c r="M6065">
        <v>-1.108188E-3</v>
      </c>
      <c r="N6065">
        <v>-1.3711650000000001E-2</v>
      </c>
      <c r="O6065">
        <v>-0.9999053</v>
      </c>
      <c r="P6065">
        <v>2.7434670000000001E-2</v>
      </c>
      <c r="Q6065">
        <v>-9.5722119999999994E-2</v>
      </c>
      <c r="R6065">
        <v>-0.99503019999999998</v>
      </c>
      <c r="S6065">
        <v>7.9406740000000003E-2</v>
      </c>
      <c r="T6065">
        <v>-0.17881440000000001</v>
      </c>
      <c r="U6065">
        <v>-2.9956049999999999</v>
      </c>
      <c r="V6065">
        <v>-2.8538629999999999E-2</v>
      </c>
      <c r="W6065">
        <v>-8.2069580000000003E-2</v>
      </c>
      <c r="X6065">
        <v>0.99621789999999999</v>
      </c>
      <c r="Y6065">
        <v>-2.756455E-2</v>
      </c>
      <c r="Z6065">
        <v>4.5871290000000002E-2</v>
      </c>
      <c r="AA6065">
        <v>0.99856699999999998</v>
      </c>
      <c r="AB6065">
        <v>23</v>
      </c>
      <c r="AC6065">
        <v>0.49800000000004702</v>
      </c>
      <c r="AD6065">
        <v>-1.1210355598561901</v>
      </c>
      <c r="AE6065">
        <v>-18.551300000000001</v>
      </c>
      <c r="AF6065">
        <v>-0.51667459641119595</v>
      </c>
      <c r="AG6065">
        <v>-1.1210355598561901</v>
      </c>
      <c r="AH6065">
        <v>18.483290626831</v>
      </c>
      <c r="AI6065">
        <v>93.469459705752698</v>
      </c>
      <c r="AJ6065">
        <v>91.601206584965396</v>
      </c>
      <c r="AK6065">
        <v>18.524462360914502</v>
      </c>
      <c r="AL6065">
        <v>94.707535277124194</v>
      </c>
      <c r="AM6065">
        <v>91.640902034828798</v>
      </c>
      <c r="AN6065">
        <v>0.99999998682203095</v>
      </c>
    </row>
    <row r="6066" spans="1:40" x14ac:dyDescent="0.25">
      <c r="A6066" t="str">
        <f>"20190303154302805"</f>
        <v>20190303154302805</v>
      </c>
      <c r="B6066" t="str">
        <f>"1551598982796646"</f>
        <v>1551598982796646</v>
      </c>
      <c r="C6066" t="s">
        <v>40</v>
      </c>
      <c r="D6066">
        <v>5.4374200000000004</v>
      </c>
      <c r="E6066">
        <v>0.50045919999999999</v>
      </c>
      <c r="F6066" t="s">
        <v>41</v>
      </c>
      <c r="G6066">
        <v>-421.4717</v>
      </c>
      <c r="H6066" s="1">
        <v>-5.5072290000000004E-7</v>
      </c>
      <c r="I6066">
        <v>39.960079999999998</v>
      </c>
      <c r="J6066">
        <v>-421.97269999999997</v>
      </c>
      <c r="K6066">
        <v>1.1210249999999999</v>
      </c>
      <c r="L6066">
        <v>58.308779999999999</v>
      </c>
      <c r="M6066">
        <v>-1.0969879999999999E-3</v>
      </c>
      <c r="N6066">
        <v>-1.370937E-2</v>
      </c>
      <c r="O6066">
        <v>-0.99990559999999995</v>
      </c>
      <c r="P6066">
        <v>2.7540930000000002E-2</v>
      </c>
      <c r="Q6066">
        <v>-9.705801E-2</v>
      </c>
      <c r="R6066">
        <v>-0.9948977</v>
      </c>
      <c r="S6066">
        <v>8.0780030000000003E-2</v>
      </c>
      <c r="T6066">
        <v>-0.1808158</v>
      </c>
      <c r="U6066">
        <v>-2.9953609999999999</v>
      </c>
      <c r="V6066">
        <v>-2.8635190000000001E-2</v>
      </c>
      <c r="W6066">
        <v>-8.3408949999999996E-2</v>
      </c>
      <c r="X6066">
        <v>0.99610390000000004</v>
      </c>
      <c r="Y6066">
        <v>-2.801182E-2</v>
      </c>
      <c r="Z6066">
        <v>4.6542479999999997E-2</v>
      </c>
      <c r="AA6066">
        <v>0.99852350000000001</v>
      </c>
      <c r="AB6066">
        <v>23</v>
      </c>
      <c r="AC6066">
        <v>0.50099999999997602</v>
      </c>
      <c r="AD6066">
        <v>-1.1210255507229001</v>
      </c>
      <c r="AE6066">
        <v>-18.348700000000001</v>
      </c>
      <c r="AF6066">
        <v>-0.51919335299456304</v>
      </c>
      <c r="AG6066">
        <v>-1.1210255507229001</v>
      </c>
      <c r="AH6066">
        <v>18.279956970292101</v>
      </c>
      <c r="AI6066">
        <v>93.507880293889698</v>
      </c>
      <c r="AJ6066">
        <v>91.626896209089097</v>
      </c>
      <c r="AK6066">
        <v>18.321656225868299</v>
      </c>
      <c r="AL6066">
        <v>94.784539483197804</v>
      </c>
      <c r="AM6066">
        <v>91.6466392758106</v>
      </c>
      <c r="AN6066">
        <v>1.0000000033208201</v>
      </c>
    </row>
    <row r="6067" spans="1:40" x14ac:dyDescent="0.25">
      <c r="A6067" t="str">
        <f>"20190303154302827"</f>
        <v>20190303154302827</v>
      </c>
      <c r="B6067" t="str">
        <f>"1551598982816163"</f>
        <v>1551598982816163</v>
      </c>
      <c r="C6067" t="s">
        <v>40</v>
      </c>
      <c r="D6067">
        <v>5.5075570000000003</v>
      </c>
      <c r="E6067">
        <v>0.50037370000000003</v>
      </c>
      <c r="F6067" t="s">
        <v>41</v>
      </c>
      <c r="G6067">
        <v>-421.48320000000001</v>
      </c>
      <c r="H6067" s="1">
        <v>-7.1271129999999999E-7</v>
      </c>
      <c r="I6067">
        <v>40.330500000000001</v>
      </c>
      <c r="J6067">
        <v>-421.97300000000001</v>
      </c>
      <c r="K6067">
        <v>1.121019</v>
      </c>
      <c r="L6067">
        <v>58.076390000000004</v>
      </c>
      <c r="M6067">
        <v>-1.093594E-3</v>
      </c>
      <c r="N6067">
        <v>-1.3706889999999999E-2</v>
      </c>
      <c r="O6067">
        <v>-0.99990559999999995</v>
      </c>
      <c r="P6067">
        <v>2.7673349999999999E-2</v>
      </c>
      <c r="Q6067">
        <v>-9.8111400000000001E-2</v>
      </c>
      <c r="R6067">
        <v>-0.99479059999999997</v>
      </c>
      <c r="S6067">
        <v>8.1542970000000006E-2</v>
      </c>
      <c r="T6067">
        <v>-0.18674740000000001</v>
      </c>
      <c r="U6067">
        <v>-2.9949340000000002</v>
      </c>
      <c r="V6067">
        <v>-2.8765140000000002E-2</v>
      </c>
      <c r="W6067">
        <v>-8.4465739999999997E-2</v>
      </c>
      <c r="X6067">
        <v>0.99601110000000004</v>
      </c>
      <c r="Y6067">
        <v>-2.8263360000000001E-2</v>
      </c>
      <c r="Z6067">
        <v>4.8523230000000001E-2</v>
      </c>
      <c r="AA6067">
        <v>0.99842209999999998</v>
      </c>
      <c r="AB6067">
        <v>23</v>
      </c>
      <c r="AC6067">
        <v>0.48980000000000201</v>
      </c>
      <c r="AD6067">
        <v>-1.1210197127113</v>
      </c>
      <c r="AE6067">
        <v>-17.745889999999999</v>
      </c>
      <c r="AF6067">
        <v>-0.50718592484812297</v>
      </c>
      <c r="AG6067">
        <v>-1.1210197127113</v>
      </c>
      <c r="AH6067">
        <v>17.674865247793001</v>
      </c>
      <c r="AI6067">
        <v>93.627606651457398</v>
      </c>
      <c r="AJ6067">
        <v>91.6436697168904</v>
      </c>
      <c r="AK6067">
        <v>17.717640483040899</v>
      </c>
      <c r="AL6067">
        <v>94.845303528909795</v>
      </c>
      <c r="AM6067">
        <v>91.654261814861499</v>
      </c>
      <c r="AN6067">
        <v>1.00000000291808</v>
      </c>
    </row>
    <row r="6068" spans="1:40" x14ac:dyDescent="0.25">
      <c r="A6068" t="str">
        <f>"20190303154302850"</f>
        <v>20190303154302850</v>
      </c>
      <c r="B6068" t="str">
        <f>"1551598982846419"</f>
        <v>1551598982846419</v>
      </c>
      <c r="C6068" t="s">
        <v>40</v>
      </c>
      <c r="D6068">
        <v>5.5025849999999998</v>
      </c>
      <c r="E6068">
        <v>0.50014729999999996</v>
      </c>
      <c r="F6068" t="s">
        <v>41</v>
      </c>
      <c r="G6068">
        <v>-421.49299999999999</v>
      </c>
      <c r="H6068" s="1">
        <v>-8.6406119999999998E-7</v>
      </c>
      <c r="I6068">
        <v>40.67727</v>
      </c>
      <c r="J6068">
        <v>-421.97320000000002</v>
      </c>
      <c r="K6068">
        <v>1.121011</v>
      </c>
      <c r="L6068">
        <v>57.851930000000003</v>
      </c>
      <c r="M6068">
        <v>-1.0958859999999999E-3</v>
      </c>
      <c r="N6068">
        <v>-1.370452E-2</v>
      </c>
      <c r="O6068">
        <v>-0.99990559999999995</v>
      </c>
      <c r="P6068">
        <v>2.7834350000000001E-2</v>
      </c>
      <c r="Q6068">
        <v>-9.9483329999999995E-2</v>
      </c>
      <c r="R6068">
        <v>-0.99464989999999998</v>
      </c>
      <c r="S6068">
        <v>8.2611080000000003E-2</v>
      </c>
      <c r="T6068">
        <v>-0.1929274</v>
      </c>
      <c r="U6068">
        <v>-2.9943849999999999</v>
      </c>
      <c r="V6068">
        <v>-2.8929380000000001E-2</v>
      </c>
      <c r="W6068">
        <v>-8.5841550000000003E-2</v>
      </c>
      <c r="X6068">
        <v>0.99588869999999896</v>
      </c>
      <c r="Y6068">
        <v>-2.862309E-2</v>
      </c>
      <c r="Z6068">
        <v>5.0588580000000001E-2</v>
      </c>
      <c r="AA6068">
        <v>0.99830929999999996</v>
      </c>
      <c r="AB6068">
        <v>23</v>
      </c>
      <c r="AC6068">
        <v>0.48019999999996799</v>
      </c>
      <c r="AD6068">
        <v>-1.1210118640611999</v>
      </c>
      <c r="AE6068">
        <v>-17.174659999999999</v>
      </c>
      <c r="AF6068">
        <v>-0.49690760564626602</v>
      </c>
      <c r="AG6068">
        <v>-1.1210118640611999</v>
      </c>
      <c r="AH6068">
        <v>17.1013228762836</v>
      </c>
      <c r="AI6068">
        <v>93.748862454574805</v>
      </c>
      <c r="AJ6068">
        <v>91.664356632414894</v>
      </c>
      <c r="AK6068">
        <v>17.1452275834069</v>
      </c>
      <c r="AL6068">
        <v>94.924419057255705</v>
      </c>
      <c r="AM6068">
        <v>91.663906204711793</v>
      </c>
      <c r="AN6068">
        <v>0.99999999176063803</v>
      </c>
    </row>
    <row r="6069" spans="1:40" x14ac:dyDescent="0.25">
      <c r="A6069" t="str">
        <f>"20190303154302872"</f>
        <v>20190303154302872</v>
      </c>
      <c r="B6069" t="str">
        <f>"1551598982865939"</f>
        <v>1551598982865939</v>
      </c>
      <c r="C6069" t="s">
        <v>40</v>
      </c>
      <c r="D6069">
        <v>5.4802179999999998</v>
      </c>
      <c r="E6069">
        <v>0.50001439999999997</v>
      </c>
      <c r="F6069" t="s">
        <v>41</v>
      </c>
      <c r="G6069">
        <v>-421.50139999999999</v>
      </c>
      <c r="H6069" s="1">
        <v>-1.0887189999999999E-6</v>
      </c>
      <c r="I6069">
        <v>41.195740000000001</v>
      </c>
      <c r="J6069">
        <v>-421.9735</v>
      </c>
      <c r="K6069">
        <v>1.1210070000000001</v>
      </c>
      <c r="L6069">
        <v>57.620759999999997</v>
      </c>
      <c r="M6069">
        <v>-1.101667E-3</v>
      </c>
      <c r="N6069">
        <v>-1.370214E-2</v>
      </c>
      <c r="O6069">
        <v>-0.99990559999999995</v>
      </c>
      <c r="P6069">
        <v>2.7419490000000001E-2</v>
      </c>
      <c r="Q6069">
        <v>-0.1000854</v>
      </c>
      <c r="R6069">
        <v>-0.99460110000000002</v>
      </c>
      <c r="S6069">
        <v>8.4808350000000005E-2</v>
      </c>
      <c r="T6069">
        <v>-0.20147989999999999</v>
      </c>
      <c r="U6069">
        <v>-2.9936219999999998</v>
      </c>
      <c r="V6069">
        <v>-2.8520440000000001E-2</v>
      </c>
      <c r="W6069">
        <v>-8.6446449999999994E-2</v>
      </c>
      <c r="X6069">
        <v>0.99584819999999996</v>
      </c>
      <c r="Y6069">
        <v>-2.9362860000000001E-2</v>
      </c>
      <c r="Z6069">
        <v>5.344546E-2</v>
      </c>
      <c r="AA6069">
        <v>0.998139</v>
      </c>
      <c r="AB6069">
        <v>23</v>
      </c>
      <c r="AC6069">
        <v>0.47210000000001101</v>
      </c>
      <c r="AD6069">
        <v>-1.1210080887189999</v>
      </c>
      <c r="AE6069">
        <v>-16.4250199999999</v>
      </c>
      <c r="AF6069">
        <v>-0.48792540047525701</v>
      </c>
      <c r="AG6069">
        <v>-1.1210080887189999</v>
      </c>
      <c r="AH6069">
        <v>16.348400808566101</v>
      </c>
      <c r="AI6069">
        <v>93.920884873343994</v>
      </c>
      <c r="AJ6069">
        <v>91.709510935914196</v>
      </c>
      <c r="AK6069">
        <v>16.3940519496837</v>
      </c>
      <c r="AL6069">
        <v>94.959206446418605</v>
      </c>
      <c r="AM6069">
        <v>91.640465175163101</v>
      </c>
      <c r="AN6069">
        <v>1.0000000208293101</v>
      </c>
    </row>
    <row r="6070" spans="1:40" x14ac:dyDescent="0.25">
      <c r="A6070" t="str">
        <f>"20190303154302894"</f>
        <v>20190303154302894</v>
      </c>
      <c r="B6070" t="str">
        <f>"1551598982886435"</f>
        <v>1551598982886435</v>
      </c>
      <c r="C6070" t="s">
        <v>40</v>
      </c>
      <c r="D6070">
        <v>5.4961159999999998</v>
      </c>
      <c r="E6070">
        <v>0.49993949999999998</v>
      </c>
      <c r="F6070" t="s">
        <v>41</v>
      </c>
      <c r="G6070">
        <v>-421.51499999999999</v>
      </c>
      <c r="H6070" s="1">
        <v>-1.131979E-6</v>
      </c>
      <c r="I6070">
        <v>41.288089999999997</v>
      </c>
      <c r="J6070">
        <v>-421.97379999999998</v>
      </c>
      <c r="K6070">
        <v>1.1210009999999999</v>
      </c>
      <c r="L6070">
        <v>57.399230000000003</v>
      </c>
      <c r="M6070">
        <v>-1.109213E-3</v>
      </c>
      <c r="N6070">
        <v>-1.369979E-2</v>
      </c>
      <c r="O6070">
        <v>-0.99990559999999995</v>
      </c>
      <c r="P6070">
        <v>2.7134720000000001E-2</v>
      </c>
      <c r="Q6070">
        <v>-0.1000384</v>
      </c>
      <c r="R6070">
        <v>-0.99461339999999998</v>
      </c>
      <c r="S6070">
        <v>8.4014889999999995E-2</v>
      </c>
      <c r="T6070">
        <v>-0.20544709999999999</v>
      </c>
      <c r="U6070">
        <v>-2.9932859999999999</v>
      </c>
      <c r="V6070">
        <v>-2.8243230000000001E-2</v>
      </c>
      <c r="W6070">
        <v>-8.6401679999999995E-2</v>
      </c>
      <c r="X6070">
        <v>0.99585999999999997</v>
      </c>
      <c r="Y6070">
        <v>-2.9107060000000001E-2</v>
      </c>
      <c r="Z6070">
        <v>5.4772599999999998E-2</v>
      </c>
      <c r="AA6070">
        <v>0.99807449999999998</v>
      </c>
      <c r="AB6070">
        <v>23</v>
      </c>
      <c r="AC6070">
        <v>0.45879999999999599</v>
      </c>
      <c r="AD6070">
        <v>-1.121002131979</v>
      </c>
      <c r="AE6070">
        <v>-16.111139999999999</v>
      </c>
      <c r="AF6070">
        <v>-0.474377346444461</v>
      </c>
      <c r="AG6070">
        <v>-1.121002131979</v>
      </c>
      <c r="AH6070">
        <v>16.0330634545229</v>
      </c>
      <c r="AI6070">
        <v>93.997762314075999</v>
      </c>
      <c r="AJ6070">
        <v>91.694741174379701</v>
      </c>
      <c r="AK6070">
        <v>16.079204065608401</v>
      </c>
      <c r="AL6070">
        <v>94.956631610501006</v>
      </c>
      <c r="AM6070">
        <v>91.6245096999547</v>
      </c>
      <c r="AN6070">
        <v>1.0000000349738201</v>
      </c>
    </row>
    <row r="6071" spans="1:40" x14ac:dyDescent="0.25">
      <c r="A6071" t="str">
        <f>"20190303154302916"</f>
        <v>20190303154302916</v>
      </c>
      <c r="B6071" t="str">
        <f>"1551598982905955"</f>
        <v>1551598982905955</v>
      </c>
      <c r="C6071" t="s">
        <v>40</v>
      </c>
      <c r="D6071">
        <v>5.4186420000000002</v>
      </c>
      <c r="E6071">
        <v>0.49983749999999999</v>
      </c>
      <c r="F6071" t="s">
        <v>41</v>
      </c>
      <c r="G6071">
        <v>-421.51729999999998</v>
      </c>
      <c r="H6071" s="1">
        <v>-1.0678200000000001E-6</v>
      </c>
      <c r="I6071">
        <v>41.137149999999998</v>
      </c>
      <c r="J6071">
        <v>-421.97399999999999</v>
      </c>
      <c r="K6071">
        <v>1.121</v>
      </c>
      <c r="L6071">
        <v>57.171480000000003</v>
      </c>
      <c r="M6071">
        <v>-1.1176700000000001E-3</v>
      </c>
      <c r="N6071">
        <v>-1.369737E-2</v>
      </c>
      <c r="O6071">
        <v>-0.99990559999999995</v>
      </c>
      <c r="P6071">
        <v>2.662459E-2</v>
      </c>
      <c r="Q6071">
        <v>-9.9261249999999995E-2</v>
      </c>
      <c r="R6071">
        <v>-0.99470510000000001</v>
      </c>
      <c r="S6071">
        <v>8.4014889999999995E-2</v>
      </c>
      <c r="T6071">
        <v>-0.2063314</v>
      </c>
      <c r="U6071">
        <v>-2.9931950000000001</v>
      </c>
      <c r="V6071">
        <v>-2.7741729999999999E-2</v>
      </c>
      <c r="W6071">
        <v>-8.5625889999999996E-2</v>
      </c>
      <c r="X6071">
        <v>0.99594099999999997</v>
      </c>
      <c r="Y6071">
        <v>-2.911584E-2</v>
      </c>
      <c r="Z6071">
        <v>5.5070559999999998E-2</v>
      </c>
      <c r="AA6071">
        <v>0.99805779999999999</v>
      </c>
      <c r="AB6071">
        <v>23</v>
      </c>
      <c r="AC6071">
        <v>0.45670000000001199</v>
      </c>
      <c r="AD6071">
        <v>-1.12100106782</v>
      </c>
      <c r="AE6071">
        <v>-16.034330000000001</v>
      </c>
      <c r="AF6071">
        <v>-0.47231578724544698</v>
      </c>
      <c r="AG6071">
        <v>-1.12100106782</v>
      </c>
      <c r="AH6071">
        <v>15.9558840834493</v>
      </c>
      <c r="AI6071">
        <v>94.017031078343294</v>
      </c>
      <c r="AJ6071">
        <v>91.695537585661697</v>
      </c>
      <c r="AK6071">
        <v>16.002186178188499</v>
      </c>
      <c r="AL6071">
        <v>94.912017260280905</v>
      </c>
      <c r="AM6071">
        <v>91.595549484038102</v>
      </c>
      <c r="AN6071">
        <v>0.99999993605133997</v>
      </c>
    </row>
    <row r="6072" spans="1:40" x14ac:dyDescent="0.25">
      <c r="A6072" t="str">
        <f>"20190303154302940"</f>
        <v>20190303154302940</v>
      </c>
      <c r="B6072" t="str">
        <f>"1551598982936210"</f>
        <v>1551598982936210</v>
      </c>
      <c r="C6072" t="s">
        <v>40</v>
      </c>
      <c r="D6072">
        <v>5.4515339999999997</v>
      </c>
      <c r="E6072">
        <v>0.49971599999999999</v>
      </c>
      <c r="F6072" t="s">
        <v>41</v>
      </c>
      <c r="G6072">
        <v>-421.51850000000002</v>
      </c>
      <c r="H6072" s="1">
        <v>-9.1974660000000002E-7</v>
      </c>
      <c r="I6072">
        <v>40.791269999999997</v>
      </c>
      <c r="J6072">
        <v>-421.97430000000003</v>
      </c>
      <c r="K6072">
        <v>1.1210020000000001</v>
      </c>
      <c r="L6072">
        <v>56.943080000000002</v>
      </c>
      <c r="M6072">
        <v>-1.128731E-3</v>
      </c>
      <c r="N6072">
        <v>-1.3694919999999999E-2</v>
      </c>
      <c r="O6072">
        <v>-0.99990579999999996</v>
      </c>
      <c r="P6072">
        <v>2.616601E-2</v>
      </c>
      <c r="Q6072">
        <v>-9.8797159999999995E-2</v>
      </c>
      <c r="R6072">
        <v>-0.99476370000000003</v>
      </c>
      <c r="S6072">
        <v>8.3251950000000005E-2</v>
      </c>
      <c r="T6072">
        <v>-0.20485149999999999</v>
      </c>
      <c r="U6072">
        <v>-2.9933169999999998</v>
      </c>
      <c r="V6072">
        <v>-2.729403E-2</v>
      </c>
      <c r="W6072">
        <v>-8.5163470000000005E-2</v>
      </c>
      <c r="X6072">
        <v>0.99599309999999996</v>
      </c>
      <c r="Y6072">
        <v>-2.8872559999999999E-2</v>
      </c>
      <c r="Z6072">
        <v>5.4579580000000003E-2</v>
      </c>
      <c r="AA6072">
        <v>0.99809190000000003</v>
      </c>
      <c r="AB6072">
        <v>23</v>
      </c>
      <c r="AC6072">
        <v>0.45580000000000997</v>
      </c>
      <c r="AD6072">
        <v>-1.1210029197466</v>
      </c>
      <c r="AE6072">
        <v>-16.151809999999902</v>
      </c>
      <c r="AF6072">
        <v>-0.471761824736878</v>
      </c>
      <c r="AG6072">
        <v>-1.1210029197466</v>
      </c>
      <c r="AH6072">
        <v>16.0739197144581</v>
      </c>
      <c r="AI6072">
        <v>93.987664368646506</v>
      </c>
      <c r="AJ6072">
        <v>91.6811210227456</v>
      </c>
      <c r="AK6072">
        <v>16.119866679107599</v>
      </c>
      <c r="AL6072">
        <v>94.885425008142093</v>
      </c>
      <c r="AM6072">
        <v>91.569731193219496</v>
      </c>
      <c r="AN6072">
        <v>1.00000001797184</v>
      </c>
    </row>
    <row r="6073" spans="1:40" x14ac:dyDescent="0.25">
      <c r="A6073" t="str">
        <f>"20190303154302962"</f>
        <v>20190303154302962</v>
      </c>
      <c r="B6073" t="str">
        <f>"1551598982956707"</f>
        <v>1551598982956707</v>
      </c>
      <c r="C6073" t="s">
        <v>40</v>
      </c>
      <c r="D6073">
        <v>5.42903</v>
      </c>
      <c r="E6073">
        <v>0.4996815</v>
      </c>
      <c r="F6073" t="s">
        <v>41</v>
      </c>
      <c r="G6073">
        <v>-421.51900000000001</v>
      </c>
      <c r="H6073" s="1">
        <v>-8.1858630000000005E-7</v>
      </c>
      <c r="I6073">
        <v>40.555100000000003</v>
      </c>
      <c r="J6073">
        <v>-421.97460000000001</v>
      </c>
      <c r="K6073">
        <v>1.1210070000000001</v>
      </c>
      <c r="L6073">
        <v>56.715969999999999</v>
      </c>
      <c r="M6073">
        <v>-1.141272E-3</v>
      </c>
      <c r="N6073">
        <v>-1.369245E-2</v>
      </c>
      <c r="O6073">
        <v>-0.99990579999999996</v>
      </c>
      <c r="P6073">
        <v>2.6286750000000001E-2</v>
      </c>
      <c r="Q6073">
        <v>-9.838007E-2</v>
      </c>
      <c r="R6073">
        <v>-0.99480190000000002</v>
      </c>
      <c r="S6073">
        <v>8.3160399999999995E-2</v>
      </c>
      <c r="T6073">
        <v>-0.2047505</v>
      </c>
      <c r="U6073">
        <v>-2.9932560000000001</v>
      </c>
      <c r="V6073">
        <v>-2.7427509999999999E-2</v>
      </c>
      <c r="W6073">
        <v>-8.4748240000000002E-2</v>
      </c>
      <c r="X6073">
        <v>0.99602480000000004</v>
      </c>
      <c r="Y6073">
        <v>-2.8855229999999999E-2</v>
      </c>
      <c r="Z6073">
        <v>5.4549970000000003E-2</v>
      </c>
      <c r="AA6073">
        <v>0.99809400000000004</v>
      </c>
      <c r="AB6073">
        <v>23</v>
      </c>
      <c r="AC6073">
        <v>0.455600000000003</v>
      </c>
      <c r="AD6073">
        <v>-1.1210078185862999</v>
      </c>
      <c r="AE6073">
        <v>-16.1608699999999</v>
      </c>
      <c r="AF6073">
        <v>-0.47177718571836802</v>
      </c>
      <c r="AG6073">
        <v>-1.1210078185862999</v>
      </c>
      <c r="AH6073">
        <v>16.0830161782287</v>
      </c>
      <c r="AI6073">
        <v>93.985435420452504</v>
      </c>
      <c r="AJ6073">
        <v>91.680225411762606</v>
      </c>
      <c r="AK6073">
        <v>16.128938019332299</v>
      </c>
      <c r="AL6073">
        <v>94.861548005523105</v>
      </c>
      <c r="AM6073">
        <v>91.577353833089106</v>
      </c>
      <c r="AN6073">
        <v>0.99999996735146801</v>
      </c>
    </row>
    <row r="6074" spans="1:40" x14ac:dyDescent="0.25">
      <c r="A6074" t="str">
        <f>"20190303154302984"</f>
        <v>20190303154302984</v>
      </c>
      <c r="B6074" t="str">
        <f>"1551598982976227"</f>
        <v>1551598982976227</v>
      </c>
      <c r="C6074" t="s">
        <v>40</v>
      </c>
      <c r="D6074">
        <v>5.4077539999999997</v>
      </c>
      <c r="E6074">
        <v>0.49963600000000002</v>
      </c>
      <c r="F6074" t="s">
        <v>41</v>
      </c>
      <c r="G6074">
        <v>-421.51530000000002</v>
      </c>
      <c r="H6074" s="1">
        <v>-6.8388689999999899E-7</v>
      </c>
      <c r="I6074">
        <v>40.24344</v>
      </c>
      <c r="J6074">
        <v>-421.97489999999999</v>
      </c>
      <c r="K6074">
        <v>1.121008</v>
      </c>
      <c r="L6074">
        <v>56.493380000000002</v>
      </c>
      <c r="M6074">
        <v>-1.157836E-3</v>
      </c>
      <c r="N6074">
        <v>-1.3690020000000001E-2</v>
      </c>
      <c r="O6074">
        <v>-0.99990559999999995</v>
      </c>
      <c r="P6074">
        <v>2.6328250000000001E-2</v>
      </c>
      <c r="Q6074">
        <v>-9.8524860000000006E-2</v>
      </c>
      <c r="R6074">
        <v>-0.99478610000000001</v>
      </c>
      <c r="S6074">
        <v>8.3465579999999998E-2</v>
      </c>
      <c r="T6074">
        <v>-0.20370460000000001</v>
      </c>
      <c r="U6074">
        <v>-2.9933169999999998</v>
      </c>
      <c r="V6074">
        <v>-2.748606E-2</v>
      </c>
      <c r="W6074">
        <v>-8.4895390000000001E-2</v>
      </c>
      <c r="X6074">
        <v>0.99601070000000003</v>
      </c>
      <c r="Y6074">
        <v>-2.8973430000000001E-2</v>
      </c>
      <c r="Z6074">
        <v>5.4203630000000003E-2</v>
      </c>
      <c r="AA6074">
        <v>0.99810949999999998</v>
      </c>
      <c r="AB6074">
        <v>23</v>
      </c>
      <c r="AC6074">
        <v>0.45959999999996598</v>
      </c>
      <c r="AD6074">
        <v>-1.1210086838869</v>
      </c>
      <c r="AE6074">
        <v>-16.249939999999999</v>
      </c>
      <c r="AF6074">
        <v>-0.47615203141729501</v>
      </c>
      <c r="AG6074">
        <v>-1.1210086838869</v>
      </c>
      <c r="AH6074">
        <v>16.172493760297002</v>
      </c>
      <c r="AI6074">
        <v>93.963446162193193</v>
      </c>
      <c r="AJ6074">
        <v>91.686420377663396</v>
      </c>
      <c r="AK6074">
        <v>16.218290158127601</v>
      </c>
      <c r="AL6074">
        <v>94.870009353086402</v>
      </c>
      <c r="AM6074">
        <v>91.580741698278302</v>
      </c>
      <c r="AN6074">
        <v>1.00000001262603</v>
      </c>
    </row>
    <row r="6075" spans="1:40" x14ac:dyDescent="0.25">
      <c r="A6075" t="str">
        <f>"20190303154303006"</f>
        <v>20190303154303006</v>
      </c>
      <c r="B6075" t="str">
        <f>"1551598982996723"</f>
        <v>1551598982996723</v>
      </c>
      <c r="C6075" t="s">
        <v>40</v>
      </c>
      <c r="D6075">
        <v>5.3818590000000004</v>
      </c>
      <c r="E6075">
        <v>0.49956970000000001</v>
      </c>
      <c r="F6075" t="s">
        <v>41</v>
      </c>
      <c r="G6075">
        <v>-421.51459999999997</v>
      </c>
      <c r="H6075" s="1">
        <v>-6.0702699999999997E-7</v>
      </c>
      <c r="I6075">
        <v>40.064720000000001</v>
      </c>
      <c r="J6075">
        <v>-421.97519999999997</v>
      </c>
      <c r="K6075">
        <v>1.121003</v>
      </c>
      <c r="L6075">
        <v>56.270600000000002</v>
      </c>
      <c r="M6075">
        <v>-1.182467E-3</v>
      </c>
      <c r="N6075">
        <v>-1.368755E-2</v>
      </c>
      <c r="O6075">
        <v>-0.99990559999999995</v>
      </c>
      <c r="P6075">
        <v>2.6522009999999999E-2</v>
      </c>
      <c r="Q6075">
        <v>-9.9049849999999995E-2</v>
      </c>
      <c r="R6075">
        <v>-0.99472890000000003</v>
      </c>
      <c r="S6075">
        <v>8.3862300000000001E-2</v>
      </c>
      <c r="T6075">
        <v>-0.2042446</v>
      </c>
      <c r="U6075">
        <v>-2.9932560000000001</v>
      </c>
      <c r="V6075">
        <v>-2.7705649999999998E-2</v>
      </c>
      <c r="W6075">
        <v>-8.5423239999999998E-2</v>
      </c>
      <c r="X6075">
        <v>0.9959595</v>
      </c>
      <c r="Y6075">
        <v>-2.9130400000000001E-2</v>
      </c>
      <c r="Z6075">
        <v>5.4386429999999999E-2</v>
      </c>
      <c r="AA6075">
        <v>0.99809499999999995</v>
      </c>
      <c r="AB6075">
        <v>23</v>
      </c>
      <c r="AC6075">
        <v>0.46059999999999901</v>
      </c>
      <c r="AD6075">
        <v>-1.121003607027</v>
      </c>
      <c r="AE6075">
        <v>-16.205880000000001</v>
      </c>
      <c r="AF6075">
        <v>-0.47748155603633102</v>
      </c>
      <c r="AG6075">
        <v>-1.121003607027</v>
      </c>
      <c r="AH6075">
        <v>16.128215090352299</v>
      </c>
      <c r="AI6075">
        <v>93.974255631152403</v>
      </c>
      <c r="AJ6075">
        <v>91.695766655558003</v>
      </c>
      <c r="AK6075">
        <v>16.174175704622101</v>
      </c>
      <c r="AL6075">
        <v>94.9003631132978</v>
      </c>
      <c r="AM6075">
        <v>91.593445850733502</v>
      </c>
      <c r="AN6075">
        <v>1.0000000293071301</v>
      </c>
    </row>
    <row r="6076" spans="1:40" x14ac:dyDescent="0.25">
      <c r="A6076" t="str">
        <f>"20190303154303028"</f>
        <v>20190303154303028</v>
      </c>
      <c r="B6076" t="str">
        <f>"1551598983016242"</f>
        <v>1551598983016242</v>
      </c>
      <c r="C6076" t="s">
        <v>40</v>
      </c>
      <c r="D6076">
        <v>5.407222</v>
      </c>
      <c r="E6076">
        <v>0.49951109999999999</v>
      </c>
      <c r="F6076" t="s">
        <v>41</v>
      </c>
      <c r="G6076">
        <v>-421.51420000000002</v>
      </c>
      <c r="H6076" s="1">
        <v>-5.7246759999999896E-7</v>
      </c>
      <c r="I6076">
        <v>39.984389999999998</v>
      </c>
      <c r="J6076">
        <v>-421.97550000000001</v>
      </c>
      <c r="K6076">
        <v>1.120989</v>
      </c>
      <c r="L6076">
        <v>56.045870000000001</v>
      </c>
      <c r="M6076">
        <v>-1.2171040000000001E-3</v>
      </c>
      <c r="N6076">
        <v>-1.3685080000000001E-2</v>
      </c>
      <c r="O6076">
        <v>-0.99990579999999996</v>
      </c>
      <c r="P6076">
        <v>2.6316820000000001E-2</v>
      </c>
      <c r="Q6076">
        <v>-9.9404580000000006E-2</v>
      </c>
      <c r="R6076">
        <v>-0.99469909999999995</v>
      </c>
      <c r="S6076">
        <v>8.4716799999999995E-2</v>
      </c>
      <c r="T6076">
        <v>-0.2060218</v>
      </c>
      <c r="U6076">
        <v>-2.993134</v>
      </c>
      <c r="V6076">
        <v>-2.7536209999999998E-2</v>
      </c>
      <c r="W6076">
        <v>-8.5780399999999896E-2</v>
      </c>
      <c r="X6076">
        <v>0.99593350000000003</v>
      </c>
      <c r="Y6076">
        <v>-2.9449670000000001E-2</v>
      </c>
      <c r="Z6076">
        <v>5.4980899999999999E-2</v>
      </c>
      <c r="AA6076">
        <v>0.99805299999999997</v>
      </c>
      <c r="AB6076">
        <v>23</v>
      </c>
      <c r="AC6076">
        <v>0.46129999999999399</v>
      </c>
      <c r="AD6076">
        <v>-1.1209895724676</v>
      </c>
      <c r="AE6076">
        <v>-16.0614799999999</v>
      </c>
      <c r="AF6076">
        <v>-0.478520948062236</v>
      </c>
      <c r="AG6076">
        <v>-1.1209895724676</v>
      </c>
      <c r="AH6076">
        <v>15.9831145272975</v>
      </c>
      <c r="AI6076">
        <v>94.010128458390099</v>
      </c>
      <c r="AJ6076">
        <v>91.714874985686293</v>
      </c>
      <c r="AK6076">
        <v>16.029521200336099</v>
      </c>
      <c r="AL6076">
        <v>94.920902269544101</v>
      </c>
      <c r="AM6076">
        <v>91.5837470834757</v>
      </c>
      <c r="AN6076">
        <v>1.00000002815378</v>
      </c>
    </row>
    <row r="6077" spans="1:40" x14ac:dyDescent="0.25">
      <c r="A6077" t="str">
        <f>"20190303154303050"</f>
        <v>20190303154303050</v>
      </c>
      <c r="B6077" t="str">
        <f>"1551598983046499"</f>
        <v>1551598983046499</v>
      </c>
      <c r="C6077" t="s">
        <v>40</v>
      </c>
      <c r="D6077">
        <v>5.4516439999999999</v>
      </c>
      <c r="E6077">
        <v>0.49925999999999998</v>
      </c>
      <c r="F6077" t="s">
        <v>41</v>
      </c>
      <c r="G6077">
        <v>-421.51920000000001</v>
      </c>
      <c r="H6077" s="1">
        <v>-5.1377010000000002E-7</v>
      </c>
      <c r="I6077">
        <v>39.844459999999998</v>
      </c>
      <c r="J6077">
        <v>-421.97579999999999</v>
      </c>
      <c r="K6077">
        <v>1.1209849999999999</v>
      </c>
      <c r="L6077">
        <v>55.824800000000003</v>
      </c>
      <c r="M6077">
        <v>-1.261154E-3</v>
      </c>
      <c r="N6077">
        <v>-1.3682690000000001E-2</v>
      </c>
      <c r="O6077">
        <v>-0.99990559999999995</v>
      </c>
      <c r="P6077">
        <v>2.6549070000000001E-2</v>
      </c>
      <c r="Q6077">
        <v>-9.9257869999999998E-2</v>
      </c>
      <c r="R6077">
        <v>-0.99470740000000002</v>
      </c>
      <c r="S6077">
        <v>8.4289550000000005E-2</v>
      </c>
      <c r="T6077">
        <v>-0.20709130000000001</v>
      </c>
      <c r="U6077">
        <v>-2.993042</v>
      </c>
      <c r="V6077">
        <v>-2.7813890000000001E-2</v>
      </c>
      <c r="W6077">
        <v>-8.5635530000000001E-2</v>
      </c>
      <c r="X6077">
        <v>0.9959382</v>
      </c>
      <c r="Y6077">
        <v>-2.9351639999999998E-2</v>
      </c>
      <c r="Z6077">
        <v>5.5340559999999997E-2</v>
      </c>
      <c r="AA6077">
        <v>0.99803600000000003</v>
      </c>
      <c r="AB6077">
        <v>23</v>
      </c>
      <c r="AC6077">
        <v>0.45659999999998002</v>
      </c>
      <c r="AD6077">
        <v>-1.1209855137700999</v>
      </c>
      <c r="AE6077">
        <v>-15.98034</v>
      </c>
      <c r="AF6077">
        <v>-0.47442260039345302</v>
      </c>
      <c r="AG6077">
        <v>-1.1209855137700999</v>
      </c>
      <c r="AH6077">
        <v>15.901568179157101</v>
      </c>
      <c r="AI6077">
        <v>94.030623526786002</v>
      </c>
      <c r="AJ6077">
        <v>91.708910181782798</v>
      </c>
      <c r="AK6077">
        <v>15.948089411657699</v>
      </c>
      <c r="AL6077">
        <v>94.912571424485705</v>
      </c>
      <c r="AM6077">
        <v>91.599702065917896</v>
      </c>
      <c r="AN6077">
        <v>0.99999997734727597</v>
      </c>
    </row>
    <row r="6078" spans="1:40" x14ac:dyDescent="0.25">
      <c r="A6078" t="str">
        <f>"20190303154303073"</f>
        <v>20190303154303073</v>
      </c>
      <c r="B6078" t="str">
        <f>"1551598983066022"</f>
        <v>1551598983066022</v>
      </c>
      <c r="C6078" t="s">
        <v>40</v>
      </c>
      <c r="D6078">
        <v>5.4394330000000002</v>
      </c>
      <c r="E6078">
        <v>0.49910300000000002</v>
      </c>
      <c r="F6078" t="s">
        <v>41</v>
      </c>
      <c r="G6078">
        <v>-421.50470000000001</v>
      </c>
      <c r="H6078" s="1">
        <v>-4.691336E-7</v>
      </c>
      <c r="I6078">
        <v>39.74944</v>
      </c>
      <c r="J6078">
        <v>-421.97609999999997</v>
      </c>
      <c r="K6078">
        <v>1.120981</v>
      </c>
      <c r="L6078">
        <v>55.593110000000003</v>
      </c>
      <c r="M6078">
        <v>-1.317286E-3</v>
      </c>
      <c r="N6078">
        <v>-1.368015E-2</v>
      </c>
      <c r="O6078">
        <v>-0.99990559999999995</v>
      </c>
      <c r="P6078">
        <v>2.6545929999999999E-2</v>
      </c>
      <c r="Q6078">
        <v>-9.8495009999999994E-2</v>
      </c>
      <c r="R6078">
        <v>-0.99478359999999999</v>
      </c>
      <c r="S6078">
        <v>8.7707519999999997E-2</v>
      </c>
      <c r="T6078">
        <v>-0.2086972</v>
      </c>
      <c r="U6078">
        <v>-2.9927980000000001</v>
      </c>
      <c r="V6078">
        <v>-2.7867949999999999E-2</v>
      </c>
      <c r="W6078">
        <v>-8.4873859999999995E-2</v>
      </c>
      <c r="X6078">
        <v>0.9960019</v>
      </c>
      <c r="Y6078">
        <v>-3.054724E-2</v>
      </c>
      <c r="Z6078">
        <v>5.5879249999999998E-2</v>
      </c>
      <c r="AA6078">
        <v>0.99797009999999997</v>
      </c>
      <c r="AB6078">
        <v>22</v>
      </c>
      <c r="AC6078">
        <v>0.47139999999996002</v>
      </c>
      <c r="AD6078">
        <v>-1.1209814691336</v>
      </c>
      <c r="AE6078">
        <v>-15.8436699999999</v>
      </c>
      <c r="AF6078">
        <v>-0.48982233734824998</v>
      </c>
      <c r="AG6078">
        <v>-1.1209814691336</v>
      </c>
      <c r="AH6078">
        <v>15.764190493715001</v>
      </c>
      <c r="AI6078">
        <v>94.065464177282493</v>
      </c>
      <c r="AJ6078">
        <v>91.779712449659399</v>
      </c>
      <c r="AK6078">
        <v>15.811585224083</v>
      </c>
      <c r="AL6078">
        <v>94.8687714181155</v>
      </c>
      <c r="AM6078">
        <v>91.602707224324803</v>
      </c>
      <c r="AN6078">
        <v>0.99999998977605598</v>
      </c>
    </row>
    <row r="6079" spans="1:40" x14ac:dyDescent="0.25">
      <c r="A6079" t="str">
        <f>"20190303154303095"</f>
        <v>20190303154303095</v>
      </c>
      <c r="B6079" t="str">
        <f>"1551598983086518"</f>
        <v>1551598983086518</v>
      </c>
      <c r="C6079" t="s">
        <v>40</v>
      </c>
      <c r="D6079">
        <v>5.3743860000000003</v>
      </c>
      <c r="E6079">
        <v>0.49905070000000001</v>
      </c>
      <c r="F6079" t="s">
        <v>58</v>
      </c>
      <c r="G6079">
        <v>-421.4984</v>
      </c>
      <c r="H6079" s="1">
        <v>-4.7662739999999999E-7</v>
      </c>
      <c r="I6079">
        <v>39.437559999999998</v>
      </c>
      <c r="J6079">
        <v>-421.97649999999999</v>
      </c>
      <c r="K6079">
        <v>1.1209830000000001</v>
      </c>
      <c r="L6079">
        <v>55.374419999999901</v>
      </c>
      <c r="M6079">
        <v>-1.3774799999999999E-3</v>
      </c>
      <c r="N6079">
        <v>-1.3677770000000001E-2</v>
      </c>
      <c r="O6079">
        <v>-0.99990559999999995</v>
      </c>
      <c r="P6079">
        <v>2.6483079999999999E-2</v>
      </c>
      <c r="Q6079">
        <v>-9.8408090000000004E-2</v>
      </c>
      <c r="R6079">
        <v>-0.99479390000000001</v>
      </c>
      <c r="S6079">
        <v>8.8500980000000007E-2</v>
      </c>
      <c r="T6079">
        <v>-0.2076607</v>
      </c>
      <c r="U6079">
        <v>-2.9927980000000001</v>
      </c>
      <c r="V6079">
        <v>-2.7865310000000001E-2</v>
      </c>
      <c r="W6079">
        <v>-8.4788929999999998E-2</v>
      </c>
      <c r="X6079">
        <v>0.99600920000000004</v>
      </c>
      <c r="Y6079">
        <v>-3.0872219999999999E-2</v>
      </c>
      <c r="Z6079">
        <v>5.5537009999999998E-2</v>
      </c>
      <c r="AA6079">
        <v>0.99797919999999996</v>
      </c>
      <c r="AB6079">
        <v>22</v>
      </c>
      <c r="AC6079">
        <v>0.47809999999998298</v>
      </c>
      <c r="AD6079">
        <v>-1.1209834766273901</v>
      </c>
      <c r="AE6079">
        <v>-15.9368599999999</v>
      </c>
      <c r="AF6079">
        <v>-0.49759462790150899</v>
      </c>
      <c r="AG6079">
        <v>-1.1209834766273901</v>
      </c>
      <c r="AH6079">
        <v>15.8577990452902</v>
      </c>
      <c r="AI6079">
        <v>94.041514186224603</v>
      </c>
      <c r="AJ6079">
        <v>91.797268359938499</v>
      </c>
      <c r="AK6079">
        <v>15.9051562371891</v>
      </c>
      <c r="AL6079">
        <v>94.863887719571196</v>
      </c>
      <c r="AM6079">
        <v>91.602543735667695</v>
      </c>
      <c r="AN6079">
        <v>0.99999998231829001</v>
      </c>
    </row>
    <row r="6080" spans="1:40" x14ac:dyDescent="0.25">
      <c r="A6080" t="str">
        <f>"20190303154303117"</f>
        <v>20190303154303117</v>
      </c>
      <c r="B6080" t="str">
        <f>"1551598983106034"</f>
        <v>1551598983106034</v>
      </c>
      <c r="C6080" t="s">
        <v>40</v>
      </c>
      <c r="D6080">
        <v>5.4441449999999998</v>
      </c>
      <c r="E6080">
        <v>0.49889090000000003</v>
      </c>
      <c r="F6080" t="s">
        <v>58</v>
      </c>
      <c r="G6080">
        <v>-421.49720000000002</v>
      </c>
      <c r="H6080" s="1">
        <v>-5.6954689999999999E-7</v>
      </c>
      <c r="I6080">
        <v>39.193440000000002</v>
      </c>
      <c r="J6080">
        <v>-421.9769</v>
      </c>
      <c r="K6080">
        <v>1.120984</v>
      </c>
      <c r="L6080">
        <v>55.155270000000002</v>
      </c>
      <c r="M6080">
        <v>-1.442521E-3</v>
      </c>
      <c r="N6080">
        <v>-1.3675420000000001E-2</v>
      </c>
      <c r="O6080">
        <v>-0.99990559999999995</v>
      </c>
      <c r="P6080">
        <v>2.608481E-2</v>
      </c>
      <c r="Q6080">
        <v>-9.8448659999999993E-2</v>
      </c>
      <c r="R6080">
        <v>-0.99480049999999998</v>
      </c>
      <c r="S6080">
        <v>8.8653560000000006E-2</v>
      </c>
      <c r="T6080">
        <v>-0.20733670000000001</v>
      </c>
      <c r="U6080">
        <v>-2.9928279999999998</v>
      </c>
      <c r="V6080">
        <v>-2.753276E-2</v>
      </c>
      <c r="W6080">
        <v>-8.4831599999999993E-2</v>
      </c>
      <c r="X6080">
        <v>0.99601479999999998</v>
      </c>
      <c r="Y6080">
        <v>-3.098791E-2</v>
      </c>
      <c r="Z6080">
        <v>5.5430930000000003E-2</v>
      </c>
      <c r="AA6080">
        <v>0.99798149999999997</v>
      </c>
      <c r="AB6080">
        <v>22</v>
      </c>
      <c r="AC6080">
        <v>0.47969999999997898</v>
      </c>
      <c r="AD6080">
        <v>-1.1209845695468901</v>
      </c>
      <c r="AE6080">
        <v>-15.9618299999999</v>
      </c>
      <c r="AF6080">
        <v>-0.50026179929106096</v>
      </c>
      <c r="AG6080">
        <v>-1.1209845695468901</v>
      </c>
      <c r="AH6080">
        <v>15.8828558354981</v>
      </c>
      <c r="AI6080">
        <v>94.035148335189007</v>
      </c>
      <c r="AJ6080">
        <v>91.804046908183295</v>
      </c>
      <c r="AK6080">
        <v>15.9302221504977</v>
      </c>
      <c r="AL6080">
        <v>94.866341442900506</v>
      </c>
      <c r="AM6080">
        <v>91.583419565692296</v>
      </c>
      <c r="AN6080">
        <v>0.99999996752540798</v>
      </c>
    </row>
    <row r="6081" spans="1:40" x14ac:dyDescent="0.25">
      <c r="A6081" t="str">
        <f>"20190303154303132"</f>
        <v>20190303154303132</v>
      </c>
      <c r="B6081" t="str">
        <f>"1551598983126531"</f>
        <v>1551598983126531</v>
      </c>
      <c r="C6081" t="s">
        <v>40</v>
      </c>
      <c r="D6081">
        <v>5.4620569999999997</v>
      </c>
      <c r="E6081">
        <v>0.49872670000000002</v>
      </c>
      <c r="F6081" t="s">
        <v>58</v>
      </c>
      <c r="G6081">
        <v>-421.49880000000002</v>
      </c>
      <c r="H6081" s="1">
        <v>-6.0844129999999997E-7</v>
      </c>
      <c r="I6081">
        <v>39.092709999999997</v>
      </c>
      <c r="J6081">
        <v>-421.97719999999998</v>
      </c>
      <c r="K6081">
        <v>1.1209830000000001</v>
      </c>
      <c r="L6081">
        <v>54.995669999999997</v>
      </c>
      <c r="M6081">
        <v>-1.4914749999999999E-3</v>
      </c>
      <c r="N6081">
        <v>-1.3673680000000001E-2</v>
      </c>
      <c r="O6081">
        <v>-0.99990559999999995</v>
      </c>
      <c r="P6081">
        <v>2.6242809999999998E-2</v>
      </c>
      <c r="Q6081">
        <v>-9.8407170000000002E-2</v>
      </c>
      <c r="R6081">
        <v>-0.99480029999999997</v>
      </c>
      <c r="S6081">
        <v>8.9080809999999996E-2</v>
      </c>
      <c r="T6081">
        <v>-0.20885480000000001</v>
      </c>
      <c r="U6081">
        <v>-2.9926759999999999</v>
      </c>
      <c r="V6081">
        <v>-2.7739440000000001E-2</v>
      </c>
      <c r="W6081">
        <v>-8.4791790000000006E-2</v>
      </c>
      <c r="X6081">
        <v>0.99601249999999997</v>
      </c>
      <c r="Y6081">
        <v>-3.1179640000000002E-2</v>
      </c>
      <c r="Z6081">
        <v>5.5939629999999997E-2</v>
      </c>
      <c r="AA6081">
        <v>0.99794720000000003</v>
      </c>
      <c r="AB6081">
        <v>22</v>
      </c>
      <c r="AC6081">
        <v>0.47839999999996502</v>
      </c>
      <c r="AD6081">
        <v>-1.1209836084413001</v>
      </c>
      <c r="AE6081">
        <v>-15.90296</v>
      </c>
      <c r="AF6081">
        <v>-0.49964023116066503</v>
      </c>
      <c r="AG6081">
        <v>-1.1209836084413001</v>
      </c>
      <c r="AH6081">
        <v>15.8236767371508</v>
      </c>
      <c r="AI6081">
        <v>94.050175843664206</v>
      </c>
      <c r="AJ6081">
        <v>91.808541009704797</v>
      </c>
      <c r="AK6081">
        <v>15.8712000205667</v>
      </c>
      <c r="AL6081">
        <v>94.864052032200107</v>
      </c>
      <c r="AM6081">
        <v>91.5953033742164</v>
      </c>
      <c r="AN6081">
        <v>1.00000001216958</v>
      </c>
    </row>
    <row r="6082" spans="1:40" x14ac:dyDescent="0.25">
      <c r="A6082" t="str">
        <f>"20190303154303151"</f>
        <v>20190303154303151</v>
      </c>
      <c r="B6082" t="str">
        <f>"1551598983146051"</f>
        <v>1551598983146051</v>
      </c>
      <c r="C6082" t="s">
        <v>40</v>
      </c>
      <c r="D6082">
        <v>5.4327110000000003</v>
      </c>
      <c r="E6082">
        <v>0.49855690000000003</v>
      </c>
      <c r="F6082" t="s">
        <v>58</v>
      </c>
      <c r="G6082">
        <v>-421.49290000000002</v>
      </c>
      <c r="H6082" s="1">
        <v>-6.3612589999999997E-7</v>
      </c>
      <c r="I6082">
        <v>39.016109999999998</v>
      </c>
      <c r="J6082">
        <v>-421.97750000000002</v>
      </c>
      <c r="K6082">
        <v>1.1209830000000001</v>
      </c>
      <c r="L6082">
        <v>54.815860000000001</v>
      </c>
      <c r="M6082">
        <v>-1.5471339999999999E-3</v>
      </c>
      <c r="N6082">
        <v>-1.367171E-2</v>
      </c>
      <c r="O6082">
        <v>-0.99990559999999995</v>
      </c>
      <c r="P6082">
        <v>2.5723010000000001E-2</v>
      </c>
      <c r="Q6082">
        <v>-9.8291879999999998E-2</v>
      </c>
      <c r="R6082">
        <v>-0.99482550000000003</v>
      </c>
      <c r="S6082">
        <v>9.0698239999999999E-2</v>
      </c>
      <c r="T6082">
        <v>-0.2099288</v>
      </c>
      <c r="U6082">
        <v>-2.9925229999999998</v>
      </c>
      <c r="V6082">
        <v>-2.7275219999999999E-2</v>
      </c>
      <c r="W6082">
        <v>-8.4678169999999997E-2</v>
      </c>
      <c r="X6082">
        <v>0.996035</v>
      </c>
      <c r="Y6082">
        <v>-3.1774650000000002E-2</v>
      </c>
      <c r="Z6082">
        <v>5.6300280000000001E-2</v>
      </c>
      <c r="AA6082">
        <v>0.99790809999999996</v>
      </c>
      <c r="AB6082">
        <v>22</v>
      </c>
      <c r="AC6082">
        <v>0.48459999999999998</v>
      </c>
      <c r="AD6082">
        <v>-1.12098363612589</v>
      </c>
      <c r="AE6082">
        <v>-15.79975</v>
      </c>
      <c r="AF6082">
        <v>-0.506498798766993</v>
      </c>
      <c r="AG6082">
        <v>-1.12098363612589</v>
      </c>
      <c r="AH6082">
        <v>15.719924299286999</v>
      </c>
      <c r="AI6082">
        <v>94.0767340370803</v>
      </c>
      <c r="AJ6082">
        <v>91.845441926896001</v>
      </c>
      <c r="AK6082">
        <v>15.767979113409799</v>
      </c>
      <c r="AL6082">
        <v>94.857518522735006</v>
      </c>
      <c r="AM6082">
        <v>91.568583980188805</v>
      </c>
      <c r="AN6082">
        <v>1.0000000256627899</v>
      </c>
    </row>
    <row r="6083" spans="1:40" x14ac:dyDescent="0.25">
      <c r="A6083" t="str">
        <f>"20190303154303174"</f>
        <v>20190303154303174</v>
      </c>
      <c r="B6083" t="str">
        <f>"1551598983166547"</f>
        <v>1551598983166547</v>
      </c>
      <c r="C6083" t="s">
        <v>40</v>
      </c>
      <c r="D6083">
        <v>5.4275310000000001</v>
      </c>
      <c r="E6083">
        <v>0.49839030000000001</v>
      </c>
      <c r="F6083" t="s">
        <v>58</v>
      </c>
      <c r="G6083">
        <v>-421.4973</v>
      </c>
      <c r="H6083" s="1">
        <v>-6.6853589999999897E-7</v>
      </c>
      <c r="I6083">
        <v>38.934330000000003</v>
      </c>
      <c r="J6083">
        <v>-421.97789999999998</v>
      </c>
      <c r="K6083">
        <v>1.1209849999999999</v>
      </c>
      <c r="L6083">
        <v>54.58981</v>
      </c>
      <c r="M6083">
        <v>-1.616822E-3</v>
      </c>
      <c r="N6083">
        <v>-1.3669280000000001E-2</v>
      </c>
      <c r="O6083">
        <v>-0.99990509999999999</v>
      </c>
      <c r="P6083">
        <v>2.5446650000000001E-2</v>
      </c>
      <c r="Q6083">
        <v>-9.8074469999999997E-2</v>
      </c>
      <c r="R6083">
        <v>-0.9948536</v>
      </c>
      <c r="S6083">
        <v>9.0484620000000002E-2</v>
      </c>
      <c r="T6083">
        <v>-0.21121609999999999</v>
      </c>
      <c r="U6083">
        <v>-2.9924010000000001</v>
      </c>
      <c r="V6083">
        <v>-2.7068169999999999E-2</v>
      </c>
      <c r="W6083">
        <v>-8.4462899999999994E-2</v>
      </c>
      <c r="X6083">
        <v>0.99605889999999997</v>
      </c>
      <c r="Y6083">
        <v>-3.1773530000000001E-2</v>
      </c>
      <c r="Z6083">
        <v>5.6732779999999997E-2</v>
      </c>
      <c r="AA6083">
        <v>0.99788370000000004</v>
      </c>
      <c r="AB6083">
        <v>22</v>
      </c>
      <c r="AC6083">
        <v>0.48059999999998099</v>
      </c>
      <c r="AD6083">
        <v>-1.1209856685358901</v>
      </c>
      <c r="AE6083">
        <v>-15.655480000000001</v>
      </c>
      <c r="AF6083">
        <v>-0.50333566922975603</v>
      </c>
      <c r="AG6083">
        <v>-1.1209856685358901</v>
      </c>
      <c r="AH6083">
        <v>15.5749043239098</v>
      </c>
      <c r="AI6083">
        <v>94.114557894346305</v>
      </c>
      <c r="AJ6083">
        <v>91.850988965527705</v>
      </c>
      <c r="AK6083">
        <v>15.623303119504699</v>
      </c>
      <c r="AL6083">
        <v>94.845140240541596</v>
      </c>
      <c r="AM6083">
        <v>91.556645188095501</v>
      </c>
      <c r="AN6083">
        <v>0.99999999978638399</v>
      </c>
    </row>
    <row r="6084" spans="1:40" x14ac:dyDescent="0.25">
      <c r="A6084" t="str">
        <f>"20190303154303196"</f>
        <v>20190303154303196</v>
      </c>
      <c r="B6084" t="str">
        <f>"1551598983186067"</f>
        <v>1551598983186067</v>
      </c>
      <c r="C6084" t="s">
        <v>40</v>
      </c>
      <c r="D6084">
        <v>5.3610530000000001</v>
      </c>
      <c r="E6084">
        <v>0.49833179999999999</v>
      </c>
      <c r="F6084" t="s">
        <v>58</v>
      </c>
      <c r="G6084">
        <v>-421.49919999999997</v>
      </c>
      <c r="H6084" s="1">
        <v>-7.4868499999999898E-7</v>
      </c>
      <c r="I6084">
        <v>38.773620000000001</v>
      </c>
      <c r="J6084">
        <v>-421.97840000000002</v>
      </c>
      <c r="K6084">
        <v>1.1209910000000001</v>
      </c>
      <c r="L6084">
        <v>54.363100000000003</v>
      </c>
      <c r="M6084">
        <v>-1.685321E-3</v>
      </c>
      <c r="N6084">
        <v>-1.3666849999999999E-2</v>
      </c>
      <c r="O6084">
        <v>-0.9999053</v>
      </c>
      <c r="P6084">
        <v>2.520971E-2</v>
      </c>
      <c r="Q6084">
        <v>-9.7543790000000005E-2</v>
      </c>
      <c r="R6084">
        <v>-0.99491209999999997</v>
      </c>
      <c r="S6084">
        <v>9.0576169999999998E-2</v>
      </c>
      <c r="T6084">
        <v>-0.2120804</v>
      </c>
      <c r="U6084">
        <v>-2.9922789999999999</v>
      </c>
      <c r="V6084">
        <v>-2.689886E-2</v>
      </c>
      <c r="W6084">
        <v>-8.3933980000000005E-2</v>
      </c>
      <c r="X6084">
        <v>0.9961082</v>
      </c>
      <c r="Y6084">
        <v>-3.1873110000000003E-2</v>
      </c>
      <c r="Z6084">
        <v>5.7024690000000003E-2</v>
      </c>
      <c r="AA6084">
        <v>0.99786390000000003</v>
      </c>
      <c r="AB6084">
        <v>22</v>
      </c>
      <c r="AC6084">
        <v>0.47920000000004798</v>
      </c>
      <c r="AD6084">
        <v>-1.1209917486849901</v>
      </c>
      <c r="AE6084">
        <v>-15.58948</v>
      </c>
      <c r="AF6084">
        <v>-0.50287732159481002</v>
      </c>
      <c r="AG6084">
        <v>-1.1209917486849901</v>
      </c>
      <c r="AH6084">
        <v>15.508537311546901</v>
      </c>
      <c r="AI6084">
        <v>94.132112668067407</v>
      </c>
      <c r="AJ6084">
        <v>91.857212945594995</v>
      </c>
      <c r="AK6084">
        <v>15.5571281940092</v>
      </c>
      <c r="AL6084">
        <v>94.814727340741896</v>
      </c>
      <c r="AM6084">
        <v>91.546836675360296</v>
      </c>
      <c r="AN6084">
        <v>1.00000000388758</v>
      </c>
    </row>
    <row r="6085" spans="1:40" x14ac:dyDescent="0.25">
      <c r="A6085" t="str">
        <f>"20190303154303218"</f>
        <v>20190303154303218</v>
      </c>
      <c r="B6085" t="str">
        <f>"1551598983206563"</f>
        <v>1551598983206563</v>
      </c>
      <c r="C6085" t="s">
        <v>40</v>
      </c>
      <c r="D6085">
        <v>5.3741519999999996</v>
      </c>
      <c r="E6085">
        <v>0.4982742</v>
      </c>
      <c r="F6085" t="s">
        <v>58</v>
      </c>
      <c r="G6085">
        <v>-421.4957</v>
      </c>
      <c r="H6085" s="1">
        <v>-9.5846139999999996E-7</v>
      </c>
      <c r="I6085">
        <v>38.442830000000001</v>
      </c>
      <c r="J6085">
        <v>-421.97879999999998</v>
      </c>
      <c r="K6085">
        <v>1.120994</v>
      </c>
      <c r="L6085">
        <v>54.15305</v>
      </c>
      <c r="M6085">
        <v>-1.747069E-3</v>
      </c>
      <c r="N6085">
        <v>-1.3664630000000001E-2</v>
      </c>
      <c r="O6085">
        <v>-0.9999053</v>
      </c>
      <c r="P6085">
        <v>2.4884460000000001E-2</v>
      </c>
      <c r="Q6085">
        <v>-9.7126740000000003E-2</v>
      </c>
      <c r="R6085">
        <v>-0.99496099999999998</v>
      </c>
      <c r="S6085">
        <v>9.0728760000000006E-2</v>
      </c>
      <c r="T6085">
        <v>-0.21070130000000001</v>
      </c>
      <c r="U6085">
        <v>-2.9923709999999999</v>
      </c>
      <c r="V6085">
        <v>-2.6635229999999999E-2</v>
      </c>
      <c r="W6085">
        <v>-8.351865E-2</v>
      </c>
      <c r="X6085">
        <v>0.99615019999999999</v>
      </c>
      <c r="Y6085">
        <v>-3.198558E-2</v>
      </c>
      <c r="Z6085">
        <v>5.6566959999999999E-2</v>
      </c>
      <c r="AA6085">
        <v>0.9978863</v>
      </c>
      <c r="AB6085">
        <v>22</v>
      </c>
      <c r="AC6085">
        <v>0.48309999999997899</v>
      </c>
      <c r="AD6085">
        <v>-1.1209949584614001</v>
      </c>
      <c r="AE6085">
        <v>-15.71022</v>
      </c>
      <c r="AF6085">
        <v>-0.50796481657203096</v>
      </c>
      <c r="AG6085">
        <v>-1.1209949584614001</v>
      </c>
      <c r="AH6085">
        <v>15.629848281461999</v>
      </c>
      <c r="AI6085">
        <v>94.100153023810407</v>
      </c>
      <c r="AJ6085">
        <v>91.861438395931501</v>
      </c>
      <c r="AK6085">
        <v>15.6782274270178</v>
      </c>
      <c r="AL6085">
        <v>94.790846802473098</v>
      </c>
      <c r="AM6085">
        <v>91.531619167364596</v>
      </c>
      <c r="AN6085">
        <v>1.0000000106675</v>
      </c>
    </row>
    <row r="6086" spans="1:40" x14ac:dyDescent="0.25">
      <c r="A6086" t="str">
        <f>"20190303154303240"</f>
        <v>20190303154303240</v>
      </c>
      <c r="B6086" t="str">
        <f>"1551598983236819"</f>
        <v>1551598983236819</v>
      </c>
      <c r="C6086" t="s">
        <v>40</v>
      </c>
      <c r="D6086">
        <v>5.3877860000000002</v>
      </c>
      <c r="E6086">
        <v>0.49817109999999898</v>
      </c>
      <c r="F6086" t="s">
        <v>58</v>
      </c>
      <c r="G6086">
        <v>-421.49639999999999</v>
      </c>
      <c r="H6086" s="1">
        <v>-1.144338E-6</v>
      </c>
      <c r="I6086">
        <v>38.150559999999999</v>
      </c>
      <c r="J6086">
        <v>-421.97919999999999</v>
      </c>
      <c r="K6086">
        <v>1.1209960000000001</v>
      </c>
      <c r="L6086">
        <v>53.931699999999999</v>
      </c>
      <c r="M6086">
        <v>-1.8108340000000001E-3</v>
      </c>
      <c r="N6086">
        <v>-1.366231E-2</v>
      </c>
      <c r="O6086">
        <v>-0.99990509999999999</v>
      </c>
      <c r="P6086">
        <v>2.499705E-2</v>
      </c>
      <c r="Q6086">
        <v>-9.7356209999999999E-2</v>
      </c>
      <c r="R6086">
        <v>-0.99493589999999998</v>
      </c>
      <c r="S6086">
        <v>9.0209960000000006E-2</v>
      </c>
      <c r="T6086">
        <v>-0.2096258</v>
      </c>
      <c r="U6086">
        <v>-2.9924620000000002</v>
      </c>
      <c r="V6086">
        <v>-2.681093E-2</v>
      </c>
      <c r="W6086">
        <v>-8.37508E-2</v>
      </c>
      <c r="X6086">
        <v>0.99612599999999996</v>
      </c>
      <c r="Y6086">
        <v>-3.1876300000000003E-2</v>
      </c>
      <c r="Z6086">
        <v>5.621052E-2</v>
      </c>
      <c r="AA6086">
        <v>0.99790999999999996</v>
      </c>
      <c r="AB6086">
        <v>22</v>
      </c>
      <c r="AC6086">
        <v>0.48279999999999701</v>
      </c>
      <c r="AD6086">
        <v>-1.12099714433799</v>
      </c>
      <c r="AE6086">
        <v>-15.781139999999899</v>
      </c>
      <c r="AF6086">
        <v>-0.50881391276717503</v>
      </c>
      <c r="AG6086">
        <v>-1.12099714433799</v>
      </c>
      <c r="AH6086">
        <v>15.701088888970901</v>
      </c>
      <c r="AI6086">
        <v>94.081632649745501</v>
      </c>
      <c r="AJ6086">
        <v>91.856093628621295</v>
      </c>
      <c r="AK6086">
        <v>15.7492767610073</v>
      </c>
      <c r="AL6086">
        <v>94.804194760810901</v>
      </c>
      <c r="AM6086">
        <v>91.541755110172105</v>
      </c>
      <c r="AN6086">
        <v>1.0000000151720501</v>
      </c>
    </row>
    <row r="6087" spans="1:40" x14ac:dyDescent="0.25">
      <c r="A6087" t="str">
        <f>"20190303154303257"</f>
        <v>20190303154303257</v>
      </c>
      <c r="B6087" t="str">
        <f>"1551598983246580"</f>
        <v>1551598983246580</v>
      </c>
      <c r="C6087" t="s">
        <v>40</v>
      </c>
      <c r="D6087">
        <v>5.309564</v>
      </c>
      <c r="E6087">
        <v>0.49814180000000002</v>
      </c>
      <c r="F6087" t="s">
        <v>58</v>
      </c>
      <c r="G6087">
        <v>-421.49459999999999</v>
      </c>
      <c r="H6087" s="1">
        <v>-1.215874E-6</v>
      </c>
      <c r="I6087">
        <v>38.037610000000001</v>
      </c>
      <c r="J6087">
        <v>-421.9796</v>
      </c>
      <c r="K6087">
        <v>1.1209910000000001</v>
      </c>
      <c r="L6087">
        <v>53.759860000000003</v>
      </c>
      <c r="M6087">
        <v>-1.8606530000000001E-3</v>
      </c>
      <c r="N6087">
        <v>-1.3660479999999999E-2</v>
      </c>
      <c r="O6087">
        <v>-0.99990509999999999</v>
      </c>
      <c r="P6087">
        <v>2.4858749999999999E-2</v>
      </c>
      <c r="Q6087">
        <v>-9.7244349999999993E-2</v>
      </c>
      <c r="R6087">
        <v>-0.99495029999999995</v>
      </c>
      <c r="S6087">
        <v>9.1247560000000005E-2</v>
      </c>
      <c r="T6087">
        <v>-0.21104510000000001</v>
      </c>
      <c r="U6087">
        <v>-2.9923099999999998</v>
      </c>
      <c r="V6087">
        <v>-2.6721870000000002E-2</v>
      </c>
      <c r="W6087">
        <v>-8.3640629999999994E-2</v>
      </c>
      <c r="X6087">
        <v>0.99613759999999996</v>
      </c>
      <c r="Y6087">
        <v>-3.2272200000000001E-2</v>
      </c>
      <c r="Z6087">
        <v>5.6686069999999998E-2</v>
      </c>
      <c r="AA6087">
        <v>0.99787029999999999</v>
      </c>
      <c r="AB6087">
        <v>22</v>
      </c>
      <c r="AC6087">
        <v>0.48500000000001298</v>
      </c>
      <c r="AD6087">
        <v>-1.120992215874</v>
      </c>
      <c r="AE6087">
        <v>-15.722249999999899</v>
      </c>
      <c r="AF6087">
        <v>-0.51165692489085601</v>
      </c>
      <c r="AG6087">
        <v>-1.120992215874</v>
      </c>
      <c r="AH6087">
        <v>15.6418780141749</v>
      </c>
      <c r="AI6087">
        <v>94.096972396653101</v>
      </c>
      <c r="AJ6087">
        <v>91.873517563954493</v>
      </c>
      <c r="AK6087">
        <v>15.6903398359362</v>
      </c>
      <c r="AL6087">
        <v>94.797860497159306</v>
      </c>
      <c r="AM6087">
        <v>91.536618313531804</v>
      </c>
      <c r="AN6087">
        <v>0.99999996572842598</v>
      </c>
    </row>
    <row r="6088" spans="1:40" x14ac:dyDescent="0.25">
      <c r="A6088" t="str">
        <f>"20190303154303273"</f>
        <v>20190303154303273</v>
      </c>
      <c r="B6088" t="str">
        <f>"1551598983266099"</f>
        <v>1551598983266099</v>
      </c>
      <c r="C6088" t="s">
        <v>40</v>
      </c>
      <c r="D6088">
        <v>5.3505010000000004</v>
      </c>
      <c r="E6088">
        <v>0.4980716</v>
      </c>
      <c r="F6088" t="s">
        <v>58</v>
      </c>
      <c r="G6088">
        <v>-421.49619999999999</v>
      </c>
      <c r="H6088" s="1">
        <v>-1.33018499999999E-6</v>
      </c>
      <c r="I6088">
        <v>37.858130000000003</v>
      </c>
      <c r="J6088">
        <v>-421.98</v>
      </c>
      <c r="K6088">
        <v>1.120992</v>
      </c>
      <c r="L6088">
        <v>53.59525</v>
      </c>
      <c r="M6088">
        <v>-1.9091150000000001E-3</v>
      </c>
      <c r="N6088">
        <v>-1.3658719999999999E-2</v>
      </c>
      <c r="O6088">
        <v>-0.99990509999999999</v>
      </c>
      <c r="P6088">
        <v>2.4837970000000001E-2</v>
      </c>
      <c r="Q6088">
        <v>-9.7326579999999996E-2</v>
      </c>
      <c r="R6088">
        <v>-0.99494280000000002</v>
      </c>
      <c r="S6088">
        <v>9.0972899999999995E-2</v>
      </c>
      <c r="T6088">
        <v>-0.21094489999999999</v>
      </c>
      <c r="U6088">
        <v>-2.99234</v>
      </c>
      <c r="V6088">
        <v>-2.6749709999999999E-2</v>
      </c>
      <c r="W6088">
        <v>-8.3724670000000001E-2</v>
      </c>
      <c r="X6088">
        <v>0.99612979999999995</v>
      </c>
      <c r="Y6088">
        <v>-3.222891E-2</v>
      </c>
      <c r="Z6088">
        <v>5.6653960000000003E-2</v>
      </c>
      <c r="AA6088">
        <v>0.99787349999999997</v>
      </c>
      <c r="AB6088">
        <v>22</v>
      </c>
      <c r="AC6088">
        <v>0.48380000000002998</v>
      </c>
      <c r="AD6088">
        <v>-1.1209933301849999</v>
      </c>
      <c r="AE6088">
        <v>-15.737120000000001</v>
      </c>
      <c r="AF6088">
        <v>-0.51125420195123095</v>
      </c>
      <c r="AG6088">
        <v>-1.1209933301849999</v>
      </c>
      <c r="AH6088">
        <v>15.6567990838412</v>
      </c>
      <c r="AI6088">
        <v>94.093092853779098</v>
      </c>
      <c r="AJ6088">
        <v>91.870261169088394</v>
      </c>
      <c r="AK6088">
        <v>15.705201827964601</v>
      </c>
      <c r="AL6088">
        <v>94.802692548871093</v>
      </c>
      <c r="AM6088">
        <v>91.538230499148895</v>
      </c>
      <c r="AN6088">
        <v>0.99999997289986597</v>
      </c>
    </row>
    <row r="6089" spans="1:40" x14ac:dyDescent="0.25">
      <c r="A6089" t="str">
        <f>"20190303154303297"</f>
        <v>20190303154303297</v>
      </c>
      <c r="B6089" t="str">
        <f>"1551598983286596"</f>
        <v>1551598983286596</v>
      </c>
      <c r="C6089" t="s">
        <v>40</v>
      </c>
      <c r="D6089">
        <v>5.3237209999999999</v>
      </c>
      <c r="E6089">
        <v>0.49800260000000002</v>
      </c>
      <c r="F6089" t="s">
        <v>58</v>
      </c>
      <c r="G6089">
        <v>-421.4939</v>
      </c>
      <c r="H6089" s="1">
        <v>-1.400686E-6</v>
      </c>
      <c r="I6089">
        <v>37.746720000000003</v>
      </c>
      <c r="J6089">
        <v>-421.98050000000001</v>
      </c>
      <c r="K6089">
        <v>1.1209910000000001</v>
      </c>
      <c r="L6089">
        <v>53.372039999999998</v>
      </c>
      <c r="M6089">
        <v>-1.9789310000000002E-3</v>
      </c>
      <c r="N6089">
        <v>-1.3656389999999999E-2</v>
      </c>
      <c r="O6089">
        <v>-0.99990489999999999</v>
      </c>
      <c r="P6089">
        <v>2.472531E-2</v>
      </c>
      <c r="Q6089">
        <v>-9.6934469999999995E-2</v>
      </c>
      <c r="R6089">
        <v>-0.99498390000000003</v>
      </c>
      <c r="S6089">
        <v>9.1766360000000005E-2</v>
      </c>
      <c r="T6089">
        <v>-0.2116468</v>
      </c>
      <c r="U6089">
        <v>-2.9922490000000002</v>
      </c>
      <c r="V6089">
        <v>-2.670689E-2</v>
      </c>
      <c r="W6089">
        <v>-8.3334259999999993E-2</v>
      </c>
      <c r="X6089">
        <v>0.99616369999999999</v>
      </c>
      <c r="Y6089">
        <v>-3.2563330000000001E-2</v>
      </c>
      <c r="Z6089">
        <v>5.6890660000000003E-2</v>
      </c>
      <c r="AA6089">
        <v>0.99784919999999999</v>
      </c>
      <c r="AB6089">
        <v>22</v>
      </c>
      <c r="AC6089">
        <v>0.48660000000000903</v>
      </c>
      <c r="AD6089">
        <v>-1.1209924006859999</v>
      </c>
      <c r="AE6089">
        <v>-15.62532</v>
      </c>
      <c r="AF6089">
        <v>-0.51487589948085</v>
      </c>
      <c r="AG6089">
        <v>-1.1209924006859999</v>
      </c>
      <c r="AH6089">
        <v>15.544398088379999</v>
      </c>
      <c r="AI6089">
        <v>94.122521458648905</v>
      </c>
      <c r="AJ6089">
        <v>91.897110099555107</v>
      </c>
      <c r="AK6089">
        <v>15.5932688389668</v>
      </c>
      <c r="AL6089">
        <v>94.780245188752303</v>
      </c>
      <c r="AM6089">
        <v>91.535717095711703</v>
      </c>
      <c r="AN6089">
        <v>0.99999998703045401</v>
      </c>
    </row>
    <row r="6090" spans="1:40" x14ac:dyDescent="0.25">
      <c r="A6090" t="str">
        <f>"20190303154303318"</f>
        <v>20190303154303318</v>
      </c>
      <c r="B6090" t="str">
        <f>"1551598983306115"</f>
        <v>1551598983306115</v>
      </c>
      <c r="C6090" t="s">
        <v>40</v>
      </c>
      <c r="D6090">
        <v>5.3392879999999998</v>
      </c>
      <c r="E6090">
        <v>0.49794490000000002</v>
      </c>
      <c r="F6090" t="s">
        <v>58</v>
      </c>
      <c r="G6090">
        <v>-421.49360000000001</v>
      </c>
      <c r="H6090" s="1">
        <v>-1.56578E-6</v>
      </c>
      <c r="I6090">
        <v>37.486919999999998</v>
      </c>
      <c r="J6090">
        <v>-421.98099999999999</v>
      </c>
      <c r="K6090">
        <v>1.1209910000000001</v>
      </c>
      <c r="L6090">
        <v>53.15399</v>
      </c>
      <c r="M6090">
        <v>-2.055365E-3</v>
      </c>
      <c r="N6090">
        <v>-1.3654039999999999E-2</v>
      </c>
      <c r="O6090">
        <v>-0.99990460000000003</v>
      </c>
      <c r="P6090">
        <v>2.5078719999999999E-2</v>
      </c>
      <c r="Q6090">
        <v>-9.6153559999999999E-2</v>
      </c>
      <c r="R6090">
        <v>-0.9950504</v>
      </c>
      <c r="S6090">
        <v>9.1705320000000007E-2</v>
      </c>
      <c r="T6090">
        <v>-0.2111613</v>
      </c>
      <c r="U6090">
        <v>-2.9922789999999999</v>
      </c>
      <c r="V6090">
        <v>-2.7137109999999999E-2</v>
      </c>
      <c r="W6090">
        <v>-8.2554580000000002E-2</v>
      </c>
      <c r="X6090">
        <v>0.99621700000000002</v>
      </c>
      <c r="Y6090">
        <v>-3.261936E-2</v>
      </c>
      <c r="Z6090">
        <v>5.6731089999999998E-2</v>
      </c>
      <c r="AA6090">
        <v>0.99785650000000004</v>
      </c>
      <c r="AB6090">
        <v>22</v>
      </c>
      <c r="AC6090">
        <v>0.48739999999997902</v>
      </c>
      <c r="AD6090">
        <v>-1.1209925657799999</v>
      </c>
      <c r="AE6090">
        <v>-15.667070000000001</v>
      </c>
      <c r="AF6090">
        <v>-0.51695949241231798</v>
      </c>
      <c r="AG6090">
        <v>-1.1209925657799999</v>
      </c>
      <c r="AH6090">
        <v>15.586317590092699</v>
      </c>
      <c r="AI6090">
        <v>94.111466538081203</v>
      </c>
      <c r="AJ6090">
        <v>91.899662491476207</v>
      </c>
      <c r="AK6090">
        <v>15.635126077795601</v>
      </c>
      <c r="AL6090">
        <v>94.735418304400497</v>
      </c>
      <c r="AM6090">
        <v>91.560360307506102</v>
      </c>
      <c r="AN6090">
        <v>0.99999999625356395</v>
      </c>
    </row>
    <row r="6091" spans="1:40" x14ac:dyDescent="0.25">
      <c r="A6091" t="str">
        <f>"20190303154303341"</f>
        <v>20190303154303341</v>
      </c>
      <c r="B6091" t="str">
        <f>"1551598983336374"</f>
        <v>1551598983336374</v>
      </c>
      <c r="C6091" t="s">
        <v>40</v>
      </c>
      <c r="D6091">
        <v>5.3299779999999997</v>
      </c>
      <c r="E6091">
        <v>0.49783260000000001</v>
      </c>
      <c r="F6091" t="s">
        <v>58</v>
      </c>
      <c r="G6091">
        <v>-421.48149999999998</v>
      </c>
      <c r="H6091" s="1">
        <v>-1.7855359999999901E-6</v>
      </c>
      <c r="I6091">
        <v>37.13852</v>
      </c>
      <c r="J6091">
        <v>-421.98149999999998</v>
      </c>
      <c r="K6091">
        <v>1.1209880000000001</v>
      </c>
      <c r="L6091">
        <v>52.936680000000003</v>
      </c>
      <c r="M6091">
        <v>-2.1400770000000002E-3</v>
      </c>
      <c r="N6091">
        <v>-1.3651689999999999E-2</v>
      </c>
      <c r="O6091">
        <v>-0.99990460000000003</v>
      </c>
      <c r="P6091">
        <v>2.6058810000000002E-2</v>
      </c>
      <c r="Q6091">
        <v>-9.4887920000000001E-2</v>
      </c>
      <c r="R6091">
        <v>-0.99514689999999995</v>
      </c>
      <c r="S6091">
        <v>9.3322749999999996E-2</v>
      </c>
      <c r="T6091">
        <v>-0.20944699999999999</v>
      </c>
      <c r="U6091">
        <v>-2.99234</v>
      </c>
      <c r="V6091">
        <v>-2.8203160000000001E-2</v>
      </c>
      <c r="W6091">
        <v>-8.1289570000000005E-2</v>
      </c>
      <c r="X6091">
        <v>0.99629140000000005</v>
      </c>
      <c r="Y6091">
        <v>-3.3243040000000001E-2</v>
      </c>
      <c r="Z6091">
        <v>5.616181E-2</v>
      </c>
      <c r="AA6091">
        <v>0.99786810000000004</v>
      </c>
      <c r="AB6091">
        <v>22</v>
      </c>
      <c r="AC6091">
        <v>0.5</v>
      </c>
      <c r="AD6091">
        <v>-1.12098978553599</v>
      </c>
      <c r="AE6091">
        <v>-15.798159999999999</v>
      </c>
      <c r="AF6091">
        <v>-0.53113972597051196</v>
      </c>
      <c r="AG6091">
        <v>-1.12098978553599</v>
      </c>
      <c r="AH6091">
        <v>15.7179944403828</v>
      </c>
      <c r="AI6091">
        <v>94.0770446283952</v>
      </c>
      <c r="AJ6091">
        <v>91.935392542843005</v>
      </c>
      <c r="AK6091">
        <v>15.766866420937401</v>
      </c>
      <c r="AL6091">
        <v>94.662694181677395</v>
      </c>
      <c r="AM6091">
        <v>91.621504114265804</v>
      </c>
      <c r="AN6091">
        <v>0.99999998306936499</v>
      </c>
    </row>
    <row r="6092" spans="1:40" x14ac:dyDescent="0.25">
      <c r="A6092" t="str">
        <f>"20190303154303364"</f>
        <v>20190303154303364</v>
      </c>
      <c r="B6092" t="str">
        <f>"1551598983355891"</f>
        <v>1551598983355891</v>
      </c>
      <c r="C6092" t="s">
        <v>40</v>
      </c>
      <c r="D6092">
        <v>5.3349140000000004</v>
      </c>
      <c r="E6092">
        <v>0.49773840000000003</v>
      </c>
      <c r="F6092" t="s">
        <v>58</v>
      </c>
      <c r="G6092">
        <v>-421.45499999999998</v>
      </c>
      <c r="H6092" s="1">
        <v>-2.0604409999999999E-6</v>
      </c>
      <c r="I6092">
        <v>36.700220000000002</v>
      </c>
      <c r="J6092">
        <v>-421.9821</v>
      </c>
      <c r="K6092">
        <v>1.120986</v>
      </c>
      <c r="L6092">
        <v>52.707000000000001</v>
      </c>
      <c r="M6092">
        <v>-2.2406180000000002E-3</v>
      </c>
      <c r="N6092">
        <v>-1.364924E-2</v>
      </c>
      <c r="O6092">
        <v>-0.99990440000000003</v>
      </c>
      <c r="P6092">
        <v>2.6984620000000001E-2</v>
      </c>
      <c r="Q6092">
        <v>-9.4548859999999998E-2</v>
      </c>
      <c r="R6092">
        <v>-0.99515439999999999</v>
      </c>
      <c r="S6092">
        <v>9.7045900000000004E-2</v>
      </c>
      <c r="T6092">
        <v>-0.20660000000000001</v>
      </c>
      <c r="U6092">
        <v>-2.9924010000000001</v>
      </c>
      <c r="V6092">
        <v>-2.9230099999999998E-2</v>
      </c>
      <c r="W6092">
        <v>-8.0952289999999996E-2</v>
      </c>
      <c r="X6092">
        <v>0.99628930000000004</v>
      </c>
      <c r="Y6092">
        <v>-3.4584339999999998E-2</v>
      </c>
      <c r="Z6092">
        <v>5.5214949999999999E-2</v>
      </c>
      <c r="AA6092">
        <v>0.99787530000000002</v>
      </c>
      <c r="AB6092">
        <v>22</v>
      </c>
      <c r="AC6092">
        <v>0.527100000000018</v>
      </c>
      <c r="AD6092">
        <v>-1.1209880604410001</v>
      </c>
      <c r="AE6092">
        <v>-16.006779999999999</v>
      </c>
      <c r="AF6092">
        <v>-0.56022246465574099</v>
      </c>
      <c r="AG6092">
        <v>-1.1209880604410001</v>
      </c>
      <c r="AH6092">
        <v>15.927526861709</v>
      </c>
      <c r="AI6092">
        <v>94.023389979135501</v>
      </c>
      <c r="AJ6092">
        <v>92.014446813373596</v>
      </c>
      <c r="AK6092">
        <v>15.9767510893805</v>
      </c>
      <c r="AL6092">
        <v>94.643305386137996</v>
      </c>
      <c r="AM6092">
        <v>91.680516976181394</v>
      </c>
      <c r="AN6092">
        <v>1.0000000206483699</v>
      </c>
    </row>
    <row r="6093" spans="1:40" x14ac:dyDescent="0.25">
      <c r="A6093" t="str">
        <f>"20190303154303387"</f>
        <v>20190303154303387</v>
      </c>
      <c r="B6093" t="str">
        <f>"1551598983376387"</f>
        <v>1551598983376387</v>
      </c>
      <c r="C6093" t="s">
        <v>40</v>
      </c>
      <c r="D6093">
        <v>5.3195360000000003</v>
      </c>
      <c r="E6093">
        <v>0.49767889999999998</v>
      </c>
      <c r="F6093" t="s">
        <v>58</v>
      </c>
      <c r="G6093">
        <v>-421.43790000000001</v>
      </c>
      <c r="H6093" s="1">
        <v>-2.1924470000000002E-6</v>
      </c>
      <c r="I6093">
        <v>36.488810000000001</v>
      </c>
      <c r="J6093">
        <v>-421.98270000000002</v>
      </c>
      <c r="K6093">
        <v>1.1209739999999999</v>
      </c>
      <c r="L6093">
        <v>52.488039999999998</v>
      </c>
      <c r="M6093">
        <v>-2.3480419999999998E-3</v>
      </c>
      <c r="N6093">
        <v>-1.3646999999999999E-2</v>
      </c>
      <c r="O6093">
        <v>-0.99990420000000002</v>
      </c>
      <c r="P6093">
        <v>2.8172559999999999E-2</v>
      </c>
      <c r="Q6093">
        <v>-9.4935430000000001E-2</v>
      </c>
      <c r="R6093">
        <v>-0.99508479999999999</v>
      </c>
      <c r="S6093">
        <v>0.1004028</v>
      </c>
      <c r="T6093">
        <v>-0.20681949999999999</v>
      </c>
      <c r="U6093">
        <v>-2.9922179999999998</v>
      </c>
      <c r="V6093">
        <v>-3.0526040000000001E-2</v>
      </c>
      <c r="W6093">
        <v>-8.1341360000000001E-2</v>
      </c>
      <c r="X6093">
        <v>0.99621870000000001</v>
      </c>
      <c r="Y6093">
        <v>-3.5811089999999997E-2</v>
      </c>
      <c r="Z6093">
        <v>5.5291430000000003E-2</v>
      </c>
      <c r="AA6093">
        <v>0.99782780000000004</v>
      </c>
      <c r="AB6093">
        <v>22</v>
      </c>
      <c r="AC6093">
        <v>0.54480000000000905</v>
      </c>
      <c r="AD6093">
        <v>-1.1209761924470001</v>
      </c>
      <c r="AE6093">
        <v>-15.999230000000001</v>
      </c>
      <c r="AF6093">
        <v>-0.57952724285572799</v>
      </c>
      <c r="AG6093">
        <v>-1.1209761924470001</v>
      </c>
      <c r="AH6093">
        <v>15.9198462570952</v>
      </c>
      <c r="AI6093">
        <v>94.025105907440107</v>
      </c>
      <c r="AJ6093">
        <v>92.084807171565799</v>
      </c>
      <c r="AK6093">
        <v>15.969782224526201</v>
      </c>
      <c r="AL6093">
        <v>94.665671417353806</v>
      </c>
      <c r="AM6093">
        <v>91.755102737149898</v>
      </c>
      <c r="AN6093">
        <v>0.99999997709721</v>
      </c>
    </row>
    <row r="6094" spans="1:40" x14ac:dyDescent="0.25">
      <c r="A6094" t="str">
        <f>"20190303154303408"</f>
        <v>20190303154303408</v>
      </c>
      <c r="B6094" t="str">
        <f>"1551598983396884"</f>
        <v>1551598983396884</v>
      </c>
      <c r="C6094" t="s">
        <v>40</v>
      </c>
      <c r="D6094">
        <v>5.3234779999999997</v>
      </c>
      <c r="E6094">
        <v>0.49764900000000001</v>
      </c>
      <c r="F6094" t="s">
        <v>58</v>
      </c>
      <c r="G6094">
        <v>-421.42009999999999</v>
      </c>
      <c r="H6094" s="1">
        <v>-2.2336889999999998E-6</v>
      </c>
      <c r="I6094">
        <v>36.420020000000001</v>
      </c>
      <c r="J6094">
        <v>-421.98340000000002</v>
      </c>
      <c r="K6094">
        <v>1.1209610000000001</v>
      </c>
      <c r="L6094">
        <v>52.277920000000002</v>
      </c>
      <c r="M6094">
        <v>-2.4624439999999998E-3</v>
      </c>
      <c r="N6094">
        <v>-1.364487E-2</v>
      </c>
      <c r="O6094">
        <v>-0.99990420000000002</v>
      </c>
      <c r="P6094">
        <v>2.853729E-2</v>
      </c>
      <c r="Q6094">
        <v>-9.6021330000000002E-2</v>
      </c>
      <c r="R6094">
        <v>-0.99497029999999997</v>
      </c>
      <c r="S6094">
        <v>0.10476679999999999</v>
      </c>
      <c r="T6094">
        <v>-0.20873120000000001</v>
      </c>
      <c r="U6094">
        <v>-2.991943</v>
      </c>
      <c r="V6094">
        <v>-3.1005419999999999E-2</v>
      </c>
      <c r="W6094">
        <v>-8.2430320000000001E-2</v>
      </c>
      <c r="X6094">
        <v>0.99611439999999996</v>
      </c>
      <c r="Y6094">
        <v>-3.7379879999999997E-2</v>
      </c>
      <c r="Z6094">
        <v>5.5930559999999997E-2</v>
      </c>
      <c r="AA6094">
        <v>0.99773469999999997</v>
      </c>
      <c r="AB6094">
        <v>22</v>
      </c>
      <c r="AC6094">
        <v>0.563300000000026</v>
      </c>
      <c r="AD6094">
        <v>-1.1209632336890001</v>
      </c>
      <c r="AE6094">
        <v>-15.857900000000001</v>
      </c>
      <c r="AF6094">
        <v>-0.59936000151024704</v>
      </c>
      <c r="AG6094">
        <v>-1.1209632336890001</v>
      </c>
      <c r="AH6094">
        <v>15.7777260052434</v>
      </c>
      <c r="AI6094">
        <v>94.0609568088705</v>
      </c>
      <c r="AJ6094">
        <v>92.175490566470003</v>
      </c>
      <c r="AK6094">
        <v>15.828847995960601</v>
      </c>
      <c r="AL6094">
        <v>94.728274384222601</v>
      </c>
      <c r="AM6094">
        <v>91.782833705490802</v>
      </c>
      <c r="AN6094">
        <v>0.99999999580601895</v>
      </c>
    </row>
    <row r="6095" spans="1:40" x14ac:dyDescent="0.25">
      <c r="A6095" t="str">
        <f>"20190303154303430"</f>
        <v>20190303154303430</v>
      </c>
      <c r="B6095" t="str">
        <f>"1551598983426163"</f>
        <v>1551598983426163</v>
      </c>
      <c r="C6095" t="s">
        <v>40</v>
      </c>
      <c r="D6095">
        <v>5.3368219999999997</v>
      </c>
      <c r="E6095">
        <v>0.47795729999999997</v>
      </c>
      <c r="F6095" t="s">
        <v>58</v>
      </c>
      <c r="G6095">
        <v>-421.42250000000001</v>
      </c>
      <c r="H6095" s="1">
        <v>-2.192876E-6</v>
      </c>
      <c r="I6095">
        <v>36.484769999999997</v>
      </c>
      <c r="J6095">
        <v>-421.98399999999998</v>
      </c>
      <c r="K6095">
        <v>1.120954</v>
      </c>
      <c r="L6095">
        <v>52.06024</v>
      </c>
      <c r="M6095">
        <v>-2.5920890000000001E-3</v>
      </c>
      <c r="N6095">
        <v>-1.3642680000000001E-2</v>
      </c>
      <c r="O6095">
        <v>-0.99990369999999995</v>
      </c>
      <c r="P6095">
        <v>2.8777219999999999E-2</v>
      </c>
      <c r="Q6095">
        <v>-9.6820799999999999E-2</v>
      </c>
      <c r="R6095">
        <v>-0.99488589999999999</v>
      </c>
      <c r="S6095">
        <v>0.1062317</v>
      </c>
      <c r="T6095">
        <v>-0.21233769999999999</v>
      </c>
      <c r="U6095">
        <v>-2.9916079999999998</v>
      </c>
      <c r="V6095">
        <v>-3.1375699999999999E-2</v>
      </c>
      <c r="W6095">
        <v>-8.3232550000000002E-2</v>
      </c>
      <c r="X6095">
        <v>0.99603609999999998</v>
      </c>
      <c r="Y6095">
        <v>-3.7998209999999998E-2</v>
      </c>
      <c r="Z6095">
        <v>5.7135900000000003E-2</v>
      </c>
      <c r="AA6095">
        <v>0.9976431</v>
      </c>
      <c r="AB6095">
        <v>22</v>
      </c>
      <c r="AC6095">
        <v>0.56150000000002298</v>
      </c>
      <c r="AD6095">
        <v>-1.1209561928759999</v>
      </c>
      <c r="AE6095">
        <v>-15.5754699999999</v>
      </c>
      <c r="AF6095">
        <v>-0.59877747702514605</v>
      </c>
      <c r="AG6095">
        <v>-1.1209561928759999</v>
      </c>
      <c r="AH6095">
        <v>15.4938147036369</v>
      </c>
      <c r="AI6095">
        <v>94.134984951284494</v>
      </c>
      <c r="AJ6095">
        <v>92.213164318467506</v>
      </c>
      <c r="AK6095">
        <v>15.5458473980666</v>
      </c>
      <c r="AL6095">
        <v>94.7743972461965</v>
      </c>
      <c r="AM6095">
        <v>91.804252811734401</v>
      </c>
      <c r="AN6095">
        <v>1.0000000022166</v>
      </c>
    </row>
    <row r="6096" spans="1:40" x14ac:dyDescent="0.25">
      <c r="A6096" t="str">
        <f>"20190303154303452"</f>
        <v>20190303154303452</v>
      </c>
      <c r="B6096" t="str">
        <f>"1551598983446662"</f>
        <v>1551598983446662</v>
      </c>
      <c r="C6096" t="s">
        <v>40</v>
      </c>
      <c r="D6096">
        <v>5.292948</v>
      </c>
      <c r="E6096">
        <v>0.47572730000000002</v>
      </c>
      <c r="F6096" t="s">
        <v>58</v>
      </c>
      <c r="G6096">
        <v>-420.77929999999998</v>
      </c>
      <c r="H6096" s="1">
        <v>-8.8084159999999897E-7</v>
      </c>
      <c r="I6096">
        <v>38.40802</v>
      </c>
      <c r="J6096">
        <v>-421.98480000000001</v>
      </c>
      <c r="K6096">
        <v>1.120949</v>
      </c>
      <c r="L6096">
        <v>51.838200000000001</v>
      </c>
      <c r="M6096">
        <v>-2.7339729999999998E-3</v>
      </c>
      <c r="N6096">
        <v>-1.364046E-2</v>
      </c>
      <c r="O6096">
        <v>-0.9999034</v>
      </c>
      <c r="P6096">
        <v>2.7983790000000001E-2</v>
      </c>
      <c r="Q6096">
        <v>-9.6973809999999994E-2</v>
      </c>
      <c r="R6096">
        <v>-0.99489360000000004</v>
      </c>
      <c r="S6096">
        <v>0.26330569999999998</v>
      </c>
      <c r="T6096">
        <v>-0.24500810000000001</v>
      </c>
      <c r="U6096">
        <v>-2.983978</v>
      </c>
      <c r="V6096">
        <v>-3.072509E-2</v>
      </c>
      <c r="W6096">
        <v>-8.3387320000000001E-2</v>
      </c>
      <c r="X6096">
        <v>0.99604340000000002</v>
      </c>
      <c r="Y6096">
        <v>-9.035994E-2</v>
      </c>
      <c r="Z6096">
        <v>6.7903320000000003E-2</v>
      </c>
      <c r="AA6096">
        <v>0.99359149999999996</v>
      </c>
      <c r="AB6096">
        <v>22</v>
      </c>
      <c r="AC6096">
        <v>1.20550000000002</v>
      </c>
      <c r="AD6096">
        <v>-1.1209498808416001</v>
      </c>
      <c r="AE6096">
        <v>-13.430179999999901</v>
      </c>
      <c r="AF6096">
        <v>-1.23369095358924</v>
      </c>
      <c r="AG6096">
        <v>-1.1209498808416001</v>
      </c>
      <c r="AH6096">
        <v>13.3346813623544</v>
      </c>
      <c r="AI6096">
        <v>94.784804391119394</v>
      </c>
      <c r="AJ6096">
        <v>95.285813431526805</v>
      </c>
      <c r="AK6096">
        <v>13.438461557777</v>
      </c>
      <c r="AL6096">
        <v>94.783296024418703</v>
      </c>
      <c r="AM6096">
        <v>91.766850649095801</v>
      </c>
      <c r="AN6096">
        <v>0.99999996548792403</v>
      </c>
    </row>
    <row r="6097" spans="1:40" x14ac:dyDescent="0.25">
      <c r="A6097" t="str">
        <f>"20190303154303474"</f>
        <v>20190303154303474</v>
      </c>
      <c r="B6097" t="str">
        <f>"1551598983466179"</f>
        <v>1551598983466179</v>
      </c>
      <c r="C6097" t="s">
        <v>40</v>
      </c>
      <c r="D6097">
        <v>5.3632879999999998</v>
      </c>
      <c r="E6097">
        <v>0.47429789999999999</v>
      </c>
      <c r="F6097" t="s">
        <v>58</v>
      </c>
      <c r="G6097">
        <v>-420.6925</v>
      </c>
      <c r="H6097" s="1">
        <v>-1.129319E-6</v>
      </c>
      <c r="I6097">
        <v>37.998080000000002</v>
      </c>
      <c r="J6097">
        <v>-421.98559999999998</v>
      </c>
      <c r="K6097">
        <v>1.1209480000000001</v>
      </c>
      <c r="L6097">
        <v>51.618290000000002</v>
      </c>
      <c r="M6097">
        <v>-2.8812500000000001E-3</v>
      </c>
      <c r="N6097">
        <v>-1.36382E-2</v>
      </c>
      <c r="O6097">
        <v>-0.99990299999999999</v>
      </c>
      <c r="P6097">
        <v>2.7812839999999998E-2</v>
      </c>
      <c r="Q6097">
        <v>-9.7336580000000006E-2</v>
      </c>
      <c r="R6097">
        <v>-0.99486280000000005</v>
      </c>
      <c r="S6097">
        <v>0.27862550000000003</v>
      </c>
      <c r="T6097">
        <v>-0.24168319999999999</v>
      </c>
      <c r="U6097">
        <v>-2.9840089999999999</v>
      </c>
      <c r="V6097">
        <v>-3.0701820000000001E-2</v>
      </c>
      <c r="W6097">
        <v>-8.3752439999999997E-2</v>
      </c>
      <c r="X6097">
        <v>0.9960135</v>
      </c>
      <c r="Y6097">
        <v>-9.5568299999999995E-2</v>
      </c>
      <c r="Z6097">
        <v>6.6766420000000007E-2</v>
      </c>
      <c r="AA6097">
        <v>0.99318119999999999</v>
      </c>
      <c r="AB6097">
        <v>22</v>
      </c>
      <c r="AC6097">
        <v>1.2930999999999799</v>
      </c>
      <c r="AD6097">
        <v>-1.1209491293189999</v>
      </c>
      <c r="AE6097">
        <v>-13.62021</v>
      </c>
      <c r="AF6097">
        <v>-1.3234573299738699</v>
      </c>
      <c r="AG6097">
        <v>-1.1209491293189999</v>
      </c>
      <c r="AH6097">
        <v>13.5256317741947</v>
      </c>
      <c r="AI6097">
        <v>94.715197188978806</v>
      </c>
      <c r="AJ6097">
        <v>95.588493090662695</v>
      </c>
      <c r="AK6097">
        <v>13.636377126857701</v>
      </c>
      <c r="AL6097">
        <v>94.804289214181907</v>
      </c>
      <c r="AM6097">
        <v>91.765566318251004</v>
      </c>
      <c r="AN6097">
        <v>0.99999998256975697</v>
      </c>
    </row>
    <row r="6098" spans="1:40" x14ac:dyDescent="0.25">
      <c r="A6098" t="str">
        <f>"20190303154303497"</f>
        <v>20190303154303497</v>
      </c>
      <c r="B6098" t="str">
        <f>"1551598983486675"</f>
        <v>1551598983486675</v>
      </c>
      <c r="C6098" t="s">
        <v>40</v>
      </c>
      <c r="D6098">
        <v>5.3029760000000001</v>
      </c>
      <c r="E6098">
        <v>0.47351100000000002</v>
      </c>
      <c r="F6098" t="s">
        <v>58</v>
      </c>
      <c r="G6098">
        <v>-420.65019999999998</v>
      </c>
      <c r="H6098" s="1">
        <v>-1.206463E-6</v>
      </c>
      <c r="I6098">
        <v>37.867460000000001</v>
      </c>
      <c r="J6098">
        <v>-421.9864</v>
      </c>
      <c r="K6098">
        <v>1.120943</v>
      </c>
      <c r="L6098">
        <v>51.40466</v>
      </c>
      <c r="M6098">
        <v>-3.0284330000000001E-3</v>
      </c>
      <c r="N6098">
        <v>-1.3635939999999999E-2</v>
      </c>
      <c r="O6098">
        <v>-0.99990250000000003</v>
      </c>
      <c r="P6098">
        <v>2.7461650000000001E-2</v>
      </c>
      <c r="Q6098">
        <v>-9.6682270000000001E-2</v>
      </c>
      <c r="R6098">
        <v>-0.9949363</v>
      </c>
      <c r="S6098">
        <v>0.28973389999999999</v>
      </c>
      <c r="T6098">
        <v>-0.24322009999999999</v>
      </c>
      <c r="U6098">
        <v>-2.9836119999999999</v>
      </c>
      <c r="V6098">
        <v>-3.0496909999999999E-2</v>
      </c>
      <c r="W6098">
        <v>-8.3099399999999907E-2</v>
      </c>
      <c r="X6098">
        <v>0.99607449999999997</v>
      </c>
      <c r="Y6098">
        <v>-9.9384829999999993E-2</v>
      </c>
      <c r="Z6098">
        <v>6.7258029999999996E-2</v>
      </c>
      <c r="AA6098">
        <v>0.99277340000000003</v>
      </c>
      <c r="AB6098">
        <v>22</v>
      </c>
      <c r="AC6098">
        <v>1.33620000000001</v>
      </c>
      <c r="AD6098">
        <v>-1.120944206463</v>
      </c>
      <c r="AE6098">
        <v>-13.5372</v>
      </c>
      <c r="AF6098">
        <v>-1.36790546973598</v>
      </c>
      <c r="AG6098">
        <v>-1.120944206463</v>
      </c>
      <c r="AH6098">
        <v>13.4418147680187</v>
      </c>
      <c r="AI6098">
        <v>94.742616756715194</v>
      </c>
      <c r="AJ6098">
        <v>95.810697916576004</v>
      </c>
      <c r="AK6098">
        <v>13.5576570817329</v>
      </c>
      <c r="AL6098">
        <v>94.766741847593806</v>
      </c>
      <c r="AM6098">
        <v>91.753682628529106</v>
      </c>
      <c r="AN6098">
        <v>0.99999999067507905</v>
      </c>
    </row>
    <row r="6099" spans="1:40" x14ac:dyDescent="0.25">
      <c r="A6099" t="str">
        <f>"20190303154303519"</f>
        <v>20190303154303519</v>
      </c>
      <c r="B6099" t="str">
        <f>"1551598983516932"</f>
        <v>1551598983516932</v>
      </c>
      <c r="C6099" t="s">
        <v>40</v>
      </c>
      <c r="D6099">
        <v>5.3117850000000004</v>
      </c>
      <c r="E6099">
        <v>0.47294570000000002</v>
      </c>
      <c r="F6099" t="s">
        <v>58</v>
      </c>
      <c r="G6099">
        <v>-420.63339999999999</v>
      </c>
      <c r="H6099" s="1">
        <v>-1.2951549999999999E-6</v>
      </c>
      <c r="I6099">
        <v>37.724240000000002</v>
      </c>
      <c r="J6099">
        <v>-421.98719999999997</v>
      </c>
      <c r="K6099">
        <v>1.120946</v>
      </c>
      <c r="L6099">
        <v>51.18506</v>
      </c>
      <c r="M6099">
        <v>-3.181559E-3</v>
      </c>
      <c r="N6099">
        <v>-1.3633630000000001E-2</v>
      </c>
      <c r="O6099">
        <v>-0.99990230000000002</v>
      </c>
      <c r="P6099">
        <v>2.7363749999999999E-2</v>
      </c>
      <c r="Q6099">
        <v>-9.7256170000000003E-2</v>
      </c>
      <c r="R6099">
        <v>-0.99488339999999997</v>
      </c>
      <c r="S6099">
        <v>0.29504390000000003</v>
      </c>
      <c r="T6099">
        <v>-0.24445069999999999</v>
      </c>
      <c r="U6099">
        <v>-2.983368</v>
      </c>
      <c r="V6099">
        <v>-3.055194E-2</v>
      </c>
      <c r="W6099">
        <v>-8.3676260000000002E-2</v>
      </c>
      <c r="X6099">
        <v>0.99602449999999998</v>
      </c>
      <c r="Y6099">
        <v>-0.1012909</v>
      </c>
      <c r="Z6099">
        <v>6.765873E-2</v>
      </c>
      <c r="AA6099">
        <v>0.99255349999999998</v>
      </c>
      <c r="AB6099">
        <v>22</v>
      </c>
      <c r="AC6099">
        <v>1.3537999999999699</v>
      </c>
      <c r="AD6099">
        <v>-1.1209472951549999</v>
      </c>
      <c r="AE6099">
        <v>-13.460819999999901</v>
      </c>
      <c r="AF6099">
        <v>-1.3871007106800599</v>
      </c>
      <c r="AG6099">
        <v>-1.1209472951549999</v>
      </c>
      <c r="AH6099">
        <v>13.3646922756389</v>
      </c>
      <c r="AI6099">
        <v>94.768894748884193</v>
      </c>
      <c r="AJ6099">
        <v>95.925424675785095</v>
      </c>
      <c r="AK6099">
        <v>13.4831587857818</v>
      </c>
      <c r="AL6099">
        <v>94.799909101687106</v>
      </c>
      <c r="AM6099">
        <v>91.756933208846505</v>
      </c>
      <c r="AN6099">
        <v>0.99999997106280003</v>
      </c>
    </row>
    <row r="6100" spans="1:40" x14ac:dyDescent="0.25">
      <c r="A6100" t="str">
        <f>"20190303154303542"</f>
        <v>20190303154303542</v>
      </c>
      <c r="B6100" t="str">
        <f>"1551598983536454"</f>
        <v>1551598983536454</v>
      </c>
      <c r="C6100" t="s">
        <v>40</v>
      </c>
      <c r="D6100">
        <v>5.2936350000000001</v>
      </c>
      <c r="E6100">
        <v>0.47283829999999999</v>
      </c>
      <c r="F6100" t="s">
        <v>58</v>
      </c>
      <c r="G6100">
        <v>-420.6198</v>
      </c>
      <c r="H6100" s="1">
        <v>-1.423791E-6</v>
      </c>
      <c r="I6100">
        <v>37.518889999999999</v>
      </c>
      <c r="J6100">
        <v>-421.98809999999997</v>
      </c>
      <c r="K6100">
        <v>1.12094</v>
      </c>
      <c r="L6100">
        <v>50.963439999999999</v>
      </c>
      <c r="M6100">
        <v>-3.3359639999999999E-3</v>
      </c>
      <c r="N6100">
        <v>-1.3631290000000001E-2</v>
      </c>
      <c r="O6100">
        <v>-0.99990159999999995</v>
      </c>
      <c r="P6100">
        <v>2.723472E-2</v>
      </c>
      <c r="Q6100">
        <v>-9.7571790000000005E-2</v>
      </c>
      <c r="R6100">
        <v>-0.99485579999999996</v>
      </c>
      <c r="S6100">
        <v>0.29849239999999999</v>
      </c>
      <c r="T6100">
        <v>-0.24470130000000001</v>
      </c>
      <c r="U6100">
        <v>-2.9833069999999999</v>
      </c>
      <c r="V6100">
        <v>-3.057677E-2</v>
      </c>
      <c r="W6100">
        <v>-8.3994659999999999E-2</v>
      </c>
      <c r="X6100">
        <v>0.99599700000000002</v>
      </c>
      <c r="Y6100">
        <v>-0.10258109999999999</v>
      </c>
      <c r="Z6100">
        <v>6.7735329999999996E-2</v>
      </c>
      <c r="AA6100">
        <v>0.99241579999999996</v>
      </c>
      <c r="AB6100">
        <v>22</v>
      </c>
      <c r="AC6100">
        <v>1.3682999999999701</v>
      </c>
      <c r="AD6100">
        <v>-1.120941423791</v>
      </c>
      <c r="AE6100">
        <v>-13.44455</v>
      </c>
      <c r="AF6100">
        <v>-1.4034908525474901</v>
      </c>
      <c r="AG6100">
        <v>-1.120941423791</v>
      </c>
      <c r="AH6100">
        <v>13.348073370991701</v>
      </c>
      <c r="AI6100">
        <v>94.7741133987913</v>
      </c>
      <c r="AJ6100">
        <v>96.002342714461406</v>
      </c>
      <c r="AK6100">
        <v>13.468383680536199</v>
      </c>
      <c r="AL6100">
        <v>94.818216229147794</v>
      </c>
      <c r="AM6100">
        <v>91.758408716430196</v>
      </c>
      <c r="AN6100">
        <v>1.00000003289057</v>
      </c>
    </row>
    <row r="6101" spans="1:40" x14ac:dyDescent="0.25">
      <c r="A6101" t="str">
        <f>"20190303154303565"</f>
        <v>20190303154303565</v>
      </c>
      <c r="B6101" t="str">
        <f>"1551598983556524"</f>
        <v>1551598983556524</v>
      </c>
      <c r="C6101" t="s">
        <v>40</v>
      </c>
      <c r="D6101">
        <v>5.270302</v>
      </c>
      <c r="E6101">
        <v>0.47274379999999999</v>
      </c>
      <c r="F6101" t="s">
        <v>58</v>
      </c>
      <c r="G6101">
        <v>-420.61970000000002</v>
      </c>
      <c r="H6101" s="1">
        <v>-1.5515009999999999E-6</v>
      </c>
      <c r="I6101">
        <v>37.31794</v>
      </c>
      <c r="J6101">
        <v>-421.98899999999998</v>
      </c>
      <c r="K6101">
        <v>1.120941</v>
      </c>
      <c r="L6101">
        <v>50.740600000000001</v>
      </c>
      <c r="M6101">
        <v>-3.4901530000000002E-3</v>
      </c>
      <c r="N6101">
        <v>-1.3628929999999999E-2</v>
      </c>
      <c r="O6101">
        <v>-0.99990109999999999</v>
      </c>
      <c r="P6101">
        <v>2.6869400000000002E-2</v>
      </c>
      <c r="Q6101">
        <v>-9.7231280000000003E-2</v>
      </c>
      <c r="R6101">
        <v>-0.99489899999999998</v>
      </c>
      <c r="S6101">
        <v>0.29916379999999998</v>
      </c>
      <c r="T6101">
        <v>-0.24506829999999999</v>
      </c>
      <c r="U6101">
        <v>-2.983276</v>
      </c>
      <c r="V6101">
        <v>-3.0363910000000001E-2</v>
      </c>
      <c r="W6101">
        <v>-8.3656170000000002E-2</v>
      </c>
      <c r="X6101">
        <v>0.99603189999999997</v>
      </c>
      <c r="Y6101">
        <v>-0.10295550000000001</v>
      </c>
      <c r="Z6101">
        <v>6.785716E-2</v>
      </c>
      <c r="AA6101">
        <v>0.99236869999999999</v>
      </c>
      <c r="AB6101">
        <v>22</v>
      </c>
      <c r="AC6101">
        <v>1.3693</v>
      </c>
      <c r="AD6101">
        <v>-1.1209425515010001</v>
      </c>
      <c r="AE6101">
        <v>-13.42266</v>
      </c>
      <c r="AF6101">
        <v>-1.4064355171829299</v>
      </c>
      <c r="AG6101">
        <v>-1.1209425515010001</v>
      </c>
      <c r="AH6101">
        <v>13.325820039727899</v>
      </c>
      <c r="AI6101">
        <v>94.7818570735717</v>
      </c>
      <c r="AJ6101">
        <v>96.024814622417693</v>
      </c>
      <c r="AK6101">
        <v>13.4466372301394</v>
      </c>
      <c r="AL6101">
        <v>94.798754158563497</v>
      </c>
      <c r="AM6101">
        <v>91.746114023323301</v>
      </c>
      <c r="AN6101">
        <v>0.99999993381358099</v>
      </c>
    </row>
    <row r="6102" spans="1:40" x14ac:dyDescent="0.25">
      <c r="A6102" t="str">
        <f>"20190303154303587"</f>
        <v>20190303154303587</v>
      </c>
      <c r="B6102" t="str">
        <f>"1551598983576043"</f>
        <v>1551598983576043</v>
      </c>
      <c r="C6102" t="s">
        <v>40</v>
      </c>
      <c r="D6102">
        <v>5.3026949999999999</v>
      </c>
      <c r="E6102">
        <v>0.47257519999999997</v>
      </c>
      <c r="F6102" t="s">
        <v>58</v>
      </c>
      <c r="G6102">
        <v>-420.6096</v>
      </c>
      <c r="H6102" s="1">
        <v>-1.76684E-6</v>
      </c>
      <c r="I6102">
        <v>36.976950000000002</v>
      </c>
      <c r="J6102">
        <v>-421.98989999999998</v>
      </c>
      <c r="K6102">
        <v>1.1209499999999999</v>
      </c>
      <c r="L6102">
        <v>50.525669999999998</v>
      </c>
      <c r="M6102">
        <v>-3.636378E-3</v>
      </c>
      <c r="N6102">
        <v>-1.3626600000000001E-2</v>
      </c>
      <c r="O6102">
        <v>-0.99990080000000003</v>
      </c>
      <c r="P6102">
        <v>2.7430969999999999E-2</v>
      </c>
      <c r="Q6102">
        <v>-9.6856429999999993E-2</v>
      </c>
      <c r="R6102">
        <v>-0.99492069999999999</v>
      </c>
      <c r="S6102">
        <v>0.29901119999999998</v>
      </c>
      <c r="T6102">
        <v>-0.24298700000000001</v>
      </c>
      <c r="U6102">
        <v>-2.9835509999999998</v>
      </c>
      <c r="V6102">
        <v>-3.1070649999999998E-2</v>
      </c>
      <c r="W6102">
        <v>-8.3283380000000004E-2</v>
      </c>
      <c r="X6102">
        <v>0.99604139999999997</v>
      </c>
      <c r="Y6102">
        <v>-0.1030467</v>
      </c>
      <c r="Z6102">
        <v>6.7163890000000004E-2</v>
      </c>
      <c r="AA6102">
        <v>0.99240640000000002</v>
      </c>
      <c r="AB6102">
        <v>22</v>
      </c>
      <c r="AC6102">
        <v>1.3802999999999701</v>
      </c>
      <c r="AD6102">
        <v>-1.12095176684</v>
      </c>
      <c r="AE6102">
        <v>-13.5487199999999</v>
      </c>
      <c r="AF6102">
        <v>-1.41994394122906</v>
      </c>
      <c r="AG6102">
        <v>-1.12095176684</v>
      </c>
      <c r="AH6102">
        <v>13.4524735470025</v>
      </c>
      <c r="AI6102">
        <v>94.737075880136899</v>
      </c>
      <c r="AJ6102">
        <v>96.025409142143403</v>
      </c>
      <c r="AK6102">
        <v>13.573570576403799</v>
      </c>
      <c r="AL6102">
        <v>94.777319802696795</v>
      </c>
      <c r="AM6102">
        <v>91.786712902617793</v>
      </c>
      <c r="AN6102">
        <v>0.99999998859480299</v>
      </c>
    </row>
    <row r="6103" spans="1:40" x14ac:dyDescent="0.25">
      <c r="A6103" t="str">
        <f>"20190303154303609"</f>
        <v>20190303154303609</v>
      </c>
      <c r="B6103" t="str">
        <f>"1551598983596539"</f>
        <v>1551598983596539</v>
      </c>
      <c r="C6103" t="s">
        <v>40</v>
      </c>
      <c r="D6103">
        <v>5.2377890000000003</v>
      </c>
      <c r="E6103">
        <v>0.47262219999999999</v>
      </c>
      <c r="F6103" t="s">
        <v>58</v>
      </c>
      <c r="G6103">
        <v>-420.58159999999998</v>
      </c>
      <c r="H6103" s="1">
        <v>-1.9748499999999998E-6</v>
      </c>
      <c r="I6103">
        <v>36.643569999999997</v>
      </c>
      <c r="J6103">
        <v>-421.99079999999998</v>
      </c>
      <c r="K6103">
        <v>1.1209530000000001</v>
      </c>
      <c r="L6103">
        <v>50.319580000000002</v>
      </c>
      <c r="M6103">
        <v>-3.7745360000000002E-3</v>
      </c>
      <c r="N6103">
        <v>-1.3624549999999999E-2</v>
      </c>
      <c r="O6103">
        <v>-0.99990009999999996</v>
      </c>
      <c r="P6103">
        <v>2.8130180000000001E-2</v>
      </c>
      <c r="Q6103">
        <v>-9.6963060000000004E-2</v>
      </c>
      <c r="R6103">
        <v>-0.99489030000000001</v>
      </c>
      <c r="S6103">
        <v>0.30267329999999998</v>
      </c>
      <c r="T6103">
        <v>-0.2409133</v>
      </c>
      <c r="U6103">
        <v>-2.9835210000000001</v>
      </c>
      <c r="V6103">
        <v>-3.1907199999999997E-2</v>
      </c>
      <c r="W6103">
        <v>-8.3392460000000002E-2</v>
      </c>
      <c r="X6103">
        <v>0.99600580000000005</v>
      </c>
      <c r="Y6103">
        <v>-0.10439519999999999</v>
      </c>
      <c r="Z6103">
        <v>6.6470589999999996E-2</v>
      </c>
      <c r="AA6103">
        <v>0.99231210000000003</v>
      </c>
      <c r="AB6103">
        <v>22</v>
      </c>
      <c r="AC6103">
        <v>1.40919999999999</v>
      </c>
      <c r="AD6103">
        <v>-1.1209549748500001</v>
      </c>
      <c r="AE6103">
        <v>-13.6760099999999</v>
      </c>
      <c r="AF6103">
        <v>-1.4511684256118</v>
      </c>
      <c r="AG6103">
        <v>-1.1209549748500001</v>
      </c>
      <c r="AH6103">
        <v>13.580315284488099</v>
      </c>
      <c r="AI6103">
        <v>94.692055160762806</v>
      </c>
      <c r="AJ6103">
        <v>96.099380111305393</v>
      </c>
      <c r="AK6103">
        <v>13.7035540310254</v>
      </c>
      <c r="AL6103">
        <v>94.783591567360801</v>
      </c>
      <c r="AM6103">
        <v>91.834851665775801</v>
      </c>
      <c r="AN6103">
        <v>0.999999962715165</v>
      </c>
    </row>
    <row r="6104" spans="1:40" x14ac:dyDescent="0.25">
      <c r="A6104" t="str">
        <f>"20190303154303630"</f>
        <v>20190303154303630</v>
      </c>
      <c r="B6104" t="str">
        <f>"1551598983626799"</f>
        <v>1551598983626799</v>
      </c>
      <c r="C6104" t="s">
        <v>40</v>
      </c>
      <c r="D6104">
        <v>5.1937160000000002</v>
      </c>
      <c r="E6104">
        <v>0.47253820000000002</v>
      </c>
      <c r="F6104" t="s">
        <v>58</v>
      </c>
      <c r="G6104">
        <v>-420.5763</v>
      </c>
      <c r="H6104" s="1">
        <v>-2.114106E-6</v>
      </c>
      <c r="I6104">
        <v>36.423319999999997</v>
      </c>
      <c r="J6104">
        <v>-421.99180000000001</v>
      </c>
      <c r="K6104">
        <v>1.120954</v>
      </c>
      <c r="L6104">
        <v>50.103940000000001</v>
      </c>
      <c r="M6104">
        <v>-3.917121E-3</v>
      </c>
      <c r="N6104">
        <v>-1.3622550000000001E-2</v>
      </c>
      <c r="O6104">
        <v>-0.99989989999999995</v>
      </c>
      <c r="P6104">
        <v>2.9952119999999999E-2</v>
      </c>
      <c r="Q6104">
        <v>-9.6928420000000001E-2</v>
      </c>
      <c r="R6104">
        <v>-0.99484090000000003</v>
      </c>
      <c r="S6104">
        <v>0.30368040000000002</v>
      </c>
      <c r="T6104">
        <v>-0.24065610000000001</v>
      </c>
      <c r="U6104">
        <v>-2.983368</v>
      </c>
      <c r="V6104">
        <v>-3.3870610000000002E-2</v>
      </c>
      <c r="W6104">
        <v>-8.3360219999999999E-2</v>
      </c>
      <c r="X6104">
        <v>0.99594369999999999</v>
      </c>
      <c r="Y6104">
        <v>-0.104874</v>
      </c>
      <c r="Z6104">
        <v>6.6388119999999995E-2</v>
      </c>
      <c r="AA6104">
        <v>0.99226709999999996</v>
      </c>
      <c r="AB6104">
        <v>22</v>
      </c>
      <c r="AC6104">
        <v>1.4155</v>
      </c>
      <c r="AD6104">
        <v>-1.120956114106</v>
      </c>
      <c r="AE6104">
        <v>-13.6806199999999</v>
      </c>
      <c r="AF6104">
        <v>-1.4593885363491601</v>
      </c>
      <c r="AG6104">
        <v>-1.120956114106</v>
      </c>
      <c r="AH6104">
        <v>13.584731284107701</v>
      </c>
      <c r="AI6104">
        <v>94.690259347415605</v>
      </c>
      <c r="AJ6104">
        <v>96.131688597414097</v>
      </c>
      <c r="AK6104">
        <v>13.7088030685102</v>
      </c>
      <c r="AL6104">
        <v>94.7817377230473</v>
      </c>
      <c r="AM6104">
        <v>91.947796196034403</v>
      </c>
      <c r="AN6104">
        <v>0.99999999903495496</v>
      </c>
    </row>
    <row r="6105" spans="1:40" x14ac:dyDescent="0.25">
      <c r="A6105" t="str">
        <f>"20190303154303653"</f>
        <v>20190303154303653</v>
      </c>
      <c r="B6105" t="str">
        <f>"1551598983646315"</f>
        <v>1551598983646315</v>
      </c>
      <c r="C6105" t="s">
        <v>40</v>
      </c>
      <c r="D6105">
        <v>5.1749790000000004</v>
      </c>
      <c r="E6105">
        <v>0.47247670000000003</v>
      </c>
      <c r="F6105" t="s">
        <v>58</v>
      </c>
      <c r="G6105">
        <v>-420.54360000000003</v>
      </c>
      <c r="H6105" s="1">
        <v>-2.2746950000000001E-6</v>
      </c>
      <c r="I6105">
        <v>36.163510000000002</v>
      </c>
      <c r="J6105">
        <v>-421.99279999999999</v>
      </c>
      <c r="K6105">
        <v>1.1209530000000001</v>
      </c>
      <c r="L6105">
        <v>49.887329999999999</v>
      </c>
      <c r="M6105">
        <v>-4.0597849999999998E-3</v>
      </c>
      <c r="N6105">
        <v>-1.3620510000000001E-2</v>
      </c>
      <c r="O6105">
        <v>-0.99989910000000004</v>
      </c>
      <c r="P6105">
        <v>3.2348759999999997E-2</v>
      </c>
      <c r="Q6105">
        <v>-9.715617E-2</v>
      </c>
      <c r="R6105">
        <v>-0.9947435</v>
      </c>
      <c r="S6105">
        <v>0.30987550000000003</v>
      </c>
      <c r="T6105">
        <v>-0.23985210000000001</v>
      </c>
      <c r="U6105">
        <v>-2.9828489999999999</v>
      </c>
      <c r="V6105">
        <v>-3.6408629999999997E-2</v>
      </c>
      <c r="W6105">
        <v>-8.3590919999999999E-2</v>
      </c>
      <c r="X6105">
        <v>0.99583480000000002</v>
      </c>
      <c r="Y6105">
        <v>-0.1070729</v>
      </c>
      <c r="Z6105">
        <v>6.6120120000000004E-2</v>
      </c>
      <c r="AA6105">
        <v>0.99205019999999999</v>
      </c>
      <c r="AB6105">
        <v>22</v>
      </c>
      <c r="AC6105">
        <v>1.4491999999999601</v>
      </c>
      <c r="AD6105">
        <v>-1.120955274695</v>
      </c>
      <c r="AE6105">
        <v>-13.72382</v>
      </c>
      <c r="AF6105">
        <v>-1.49504471028131</v>
      </c>
      <c r="AG6105">
        <v>-1.120955274695</v>
      </c>
      <c r="AH6105">
        <v>13.627906322895999</v>
      </c>
      <c r="AI6105">
        <v>94.674325804124706</v>
      </c>
      <c r="AJ6105">
        <v>96.260578027008094</v>
      </c>
      <c r="AK6105">
        <v>13.755418210989999</v>
      </c>
      <c r="AL6105">
        <v>94.795002200125893</v>
      </c>
      <c r="AM6105">
        <v>92.0938534204207</v>
      </c>
      <c r="AN6105">
        <v>0.99999998956798097</v>
      </c>
    </row>
    <row r="6106" spans="1:40" x14ac:dyDescent="0.25">
      <c r="A6106" t="str">
        <f>"20190303154303677"</f>
        <v>20190303154303677</v>
      </c>
      <c r="B6106" t="str">
        <f>"1551598983666409"</f>
        <v>1551598983666409</v>
      </c>
      <c r="C6106" t="s">
        <v>40</v>
      </c>
      <c r="D6106">
        <v>5.1205930000000004</v>
      </c>
      <c r="E6106">
        <v>0.472416</v>
      </c>
      <c r="F6106" t="s">
        <v>58</v>
      </c>
      <c r="G6106">
        <v>-420.51100000000002</v>
      </c>
      <c r="H6106" s="1">
        <v>-2.3855880000000002E-6</v>
      </c>
      <c r="I6106">
        <v>35.981900000000003</v>
      </c>
      <c r="J6106">
        <v>-421.9939</v>
      </c>
      <c r="K6106">
        <v>1.1209469999999999</v>
      </c>
      <c r="L6106">
        <v>49.662350000000004</v>
      </c>
      <c r="M6106">
        <v>-4.2082059999999999E-3</v>
      </c>
      <c r="N6106">
        <v>-1.36183E-2</v>
      </c>
      <c r="O6106">
        <v>-0.99989870000000003</v>
      </c>
      <c r="P6106">
        <v>3.4426789999999999E-2</v>
      </c>
      <c r="Q6106">
        <v>-9.6916829999999995E-2</v>
      </c>
      <c r="R6106">
        <v>-0.9946971</v>
      </c>
      <c r="S6106">
        <v>0.31777949999999999</v>
      </c>
      <c r="T6106">
        <v>-0.24039189999999999</v>
      </c>
      <c r="U6106">
        <v>-2.982056</v>
      </c>
      <c r="V6106">
        <v>-3.8633500000000001E-2</v>
      </c>
      <c r="W6106">
        <v>-8.3354159999999997E-2</v>
      </c>
      <c r="X6106">
        <v>0.99577079999999996</v>
      </c>
      <c r="Y6106">
        <v>-0.1098447</v>
      </c>
      <c r="Z6106">
        <v>6.6298399999999993E-2</v>
      </c>
      <c r="AA6106">
        <v>0.99173520000000004</v>
      </c>
      <c r="AB6106">
        <v>22</v>
      </c>
      <c r="AC6106">
        <v>1.4829000000000201</v>
      </c>
      <c r="AD6106">
        <v>-1.1209493855879999</v>
      </c>
      <c r="AE6106">
        <v>-13.68045</v>
      </c>
      <c r="AF6106">
        <v>-1.5303074127076</v>
      </c>
      <c r="AG6106">
        <v>-1.1209493855879999</v>
      </c>
      <c r="AH6106">
        <v>13.5839465458823</v>
      </c>
      <c r="AI6106">
        <v>94.687848072571896</v>
      </c>
      <c r="AJ6106">
        <v>96.427589396121604</v>
      </c>
      <c r="AK6106">
        <v>13.715756343119599</v>
      </c>
      <c r="AL6106">
        <v>94.781389414530906</v>
      </c>
      <c r="AM6106">
        <v>92.2218233915806</v>
      </c>
      <c r="AN6106">
        <v>0.99999997472209701</v>
      </c>
    </row>
    <row r="6107" spans="1:40" x14ac:dyDescent="0.25">
      <c r="A6107" t="str">
        <f>"20190303154303698"</f>
        <v>20190303154303698</v>
      </c>
      <c r="B6107" t="str">
        <f>"1551598983685929"</f>
        <v>1551598983685929</v>
      </c>
      <c r="C6107" t="s">
        <v>40</v>
      </c>
      <c r="D6107">
        <v>5.1090540000000004</v>
      </c>
      <c r="E6107">
        <v>0.47232180000000001</v>
      </c>
      <c r="F6107" t="s">
        <v>58</v>
      </c>
      <c r="G6107">
        <v>-420.47620000000001</v>
      </c>
      <c r="H6107" s="1">
        <v>-2.5589460000000002E-6</v>
      </c>
      <c r="I6107">
        <v>35.701540000000001</v>
      </c>
      <c r="J6107">
        <v>-421.99489999999997</v>
      </c>
      <c r="K6107">
        <v>1.1209469999999999</v>
      </c>
      <c r="L6107">
        <v>49.457120000000003</v>
      </c>
      <c r="M6107">
        <v>-4.3453490000000001E-3</v>
      </c>
      <c r="N6107">
        <v>-1.361623E-2</v>
      </c>
      <c r="O6107">
        <v>-0.99989799999999995</v>
      </c>
      <c r="P6107">
        <v>3.619928E-2</v>
      </c>
      <c r="Q6107">
        <v>-9.7404610000000003E-2</v>
      </c>
      <c r="R6107">
        <v>-0.99458630000000003</v>
      </c>
      <c r="S6107">
        <v>0.3241272</v>
      </c>
      <c r="T6107">
        <v>-0.23938780000000001</v>
      </c>
      <c r="U6107">
        <v>-2.9814449999999999</v>
      </c>
      <c r="V6107">
        <v>-4.0542420000000003E-2</v>
      </c>
      <c r="W6107">
        <v>-8.3845169999999997E-2</v>
      </c>
      <c r="X6107">
        <v>0.99565369999999997</v>
      </c>
      <c r="Y6107">
        <v>-0.1120906</v>
      </c>
      <c r="Z6107">
        <v>6.5965460000000004E-2</v>
      </c>
      <c r="AA6107">
        <v>0.991506</v>
      </c>
      <c r="AB6107">
        <v>22</v>
      </c>
      <c r="AC6107">
        <v>1.51869999999996</v>
      </c>
      <c r="AD6107">
        <v>-1.1209495589459999</v>
      </c>
      <c r="AE6107">
        <v>-13.75558</v>
      </c>
      <c r="AF6107">
        <v>-1.56817560339509</v>
      </c>
      <c r="AG6107">
        <v>-1.1209495589459999</v>
      </c>
      <c r="AH6107">
        <v>13.659235591205199</v>
      </c>
      <c r="AI6107">
        <v>94.661002746455495</v>
      </c>
      <c r="AJ6107">
        <v>96.549281346024003</v>
      </c>
      <c r="AK6107">
        <v>13.7945793546897</v>
      </c>
      <c r="AL6107">
        <v>94.809620943896803</v>
      </c>
      <c r="AM6107">
        <v>92.331761519611007</v>
      </c>
      <c r="AN6107">
        <v>0.99999999533773698</v>
      </c>
    </row>
    <row r="6108" spans="1:40" x14ac:dyDescent="0.25">
      <c r="A6108" t="str">
        <f>"20190303154303721"</f>
        <v>20190303154303721</v>
      </c>
      <c r="B6108" t="str">
        <f>"1551598983716184"</f>
        <v>1551598983716184</v>
      </c>
      <c r="C6108" t="s">
        <v>40</v>
      </c>
      <c r="D6108">
        <v>5.0643039999999999</v>
      </c>
      <c r="E6108">
        <v>0.47221819999999998</v>
      </c>
      <c r="F6108" t="s">
        <v>58</v>
      </c>
      <c r="G6108">
        <v>-420.44970000000001</v>
      </c>
      <c r="H6108" s="1">
        <v>-2.6750900000000002E-6</v>
      </c>
      <c r="I6108">
        <v>35.513019999999997</v>
      </c>
      <c r="J6108">
        <v>-421.99610000000001</v>
      </c>
      <c r="K6108">
        <v>1.1209439999999999</v>
      </c>
      <c r="L6108">
        <v>49.239930000000001</v>
      </c>
      <c r="M6108">
        <v>-4.4928640000000001E-3</v>
      </c>
      <c r="N6108">
        <v>-1.3614080000000001E-2</v>
      </c>
      <c r="O6108">
        <v>-0.99989749999999999</v>
      </c>
      <c r="P6108">
        <v>3.7286710000000001E-2</v>
      </c>
      <c r="Q6108">
        <v>-9.7764119999999996E-2</v>
      </c>
      <c r="R6108">
        <v>-0.99451089999999998</v>
      </c>
      <c r="S6108">
        <v>0.33032230000000001</v>
      </c>
      <c r="T6108">
        <v>-0.2396257</v>
      </c>
      <c r="U6108">
        <v>-2.9808349999999999</v>
      </c>
      <c r="V6108">
        <v>-4.1775979999999997E-2</v>
      </c>
      <c r="W6108">
        <v>-8.4207619999999997E-2</v>
      </c>
      <c r="X6108">
        <v>0.99557209999999996</v>
      </c>
      <c r="Y6108">
        <v>-0.1142928</v>
      </c>
      <c r="Z6108">
        <v>6.6043149999999995E-2</v>
      </c>
      <c r="AA6108">
        <v>0.99124939999999995</v>
      </c>
      <c r="AB6108">
        <v>22</v>
      </c>
      <c r="AC6108">
        <v>1.5464</v>
      </c>
      <c r="AD6108">
        <v>-1.1209466750899999</v>
      </c>
      <c r="AE6108">
        <v>-13.726909999999901</v>
      </c>
      <c r="AF6108">
        <v>-1.5975436080250001</v>
      </c>
      <c r="AG6108">
        <v>-1.1209466750899999</v>
      </c>
      <c r="AH6108">
        <v>13.6300707473382</v>
      </c>
      <c r="AI6108">
        <v>94.669642540885704</v>
      </c>
      <c r="AJ6108">
        <v>96.684982434401206</v>
      </c>
      <c r="AK6108">
        <v>13.769077514684099</v>
      </c>
      <c r="AL6108">
        <v>94.830461570674103</v>
      </c>
      <c r="AM6108">
        <v>92.402823413990404</v>
      </c>
      <c r="AN6108">
        <v>0.99999998103471699</v>
      </c>
    </row>
    <row r="6109" spans="1:40" x14ac:dyDescent="0.25">
      <c r="A6109" t="str">
        <f>"20190303154303743"</f>
        <v>20190303154303743</v>
      </c>
      <c r="B6109" t="str">
        <f>"1551598983736684"</f>
        <v>1551598983736684</v>
      </c>
      <c r="C6109" t="s">
        <v>40</v>
      </c>
      <c r="D6109">
        <v>5.0398079999999998</v>
      </c>
      <c r="E6109">
        <v>0.47211510000000001</v>
      </c>
      <c r="F6109" t="s">
        <v>58</v>
      </c>
      <c r="G6109">
        <v>-420.43470000000002</v>
      </c>
      <c r="H6109" s="1">
        <v>-2.7850910000000002E-6</v>
      </c>
      <c r="I6109">
        <v>35.336659999999902</v>
      </c>
      <c r="J6109">
        <v>-421.99720000000002</v>
      </c>
      <c r="K6109">
        <v>1.1209389999999999</v>
      </c>
      <c r="L6109">
        <v>49.02216</v>
      </c>
      <c r="M6109">
        <v>-4.6437780000000003E-3</v>
      </c>
      <c r="N6109">
        <v>-1.3611959999999999E-2</v>
      </c>
      <c r="O6109">
        <v>-0.99989680000000003</v>
      </c>
      <c r="P6109">
        <v>3.8141220000000003E-2</v>
      </c>
      <c r="Q6109">
        <v>-9.8784739999999996E-2</v>
      </c>
      <c r="R6109">
        <v>-0.99437790000000004</v>
      </c>
      <c r="S6109">
        <v>0.33471679999999998</v>
      </c>
      <c r="T6109">
        <v>-0.24029210000000001</v>
      </c>
      <c r="U6109">
        <v>-2.9803769999999998</v>
      </c>
      <c r="V6109">
        <v>-4.2780529999999997E-2</v>
      </c>
      <c r="W6109">
        <v>-8.5231860000000007E-2</v>
      </c>
      <c r="X6109">
        <v>0.9954423</v>
      </c>
      <c r="Y6109">
        <v>-0.11590010000000001</v>
      </c>
      <c r="Z6109">
        <v>6.6263459999999996E-2</v>
      </c>
      <c r="AA6109">
        <v>0.99104809999999999</v>
      </c>
      <c r="AB6109">
        <v>22</v>
      </c>
      <c r="AC6109">
        <v>1.5625</v>
      </c>
      <c r="AD6109">
        <v>-1.120941785091</v>
      </c>
      <c r="AE6109">
        <v>-13.685499999999999</v>
      </c>
      <c r="AF6109">
        <v>-1.6153438750273399</v>
      </c>
      <c r="AG6109">
        <v>-1.120941785091</v>
      </c>
      <c r="AH6109">
        <v>13.5881089449174</v>
      </c>
      <c r="AI6109">
        <v>94.683070993086105</v>
      </c>
      <c r="AJ6109">
        <v>96.7794610059604</v>
      </c>
      <c r="AK6109">
        <v>13.7296231200676</v>
      </c>
      <c r="AL6109">
        <v>94.889357813720693</v>
      </c>
      <c r="AM6109">
        <v>92.460852246671394</v>
      </c>
      <c r="AN6109">
        <v>1.0000000081677101</v>
      </c>
    </row>
    <row r="6110" spans="1:40" x14ac:dyDescent="0.25">
      <c r="A6110" t="str">
        <f>"20190303154303765"</f>
        <v>20190303154303765</v>
      </c>
      <c r="B6110" t="str">
        <f>"1551598983756829"</f>
        <v>1551598983756829</v>
      </c>
      <c r="C6110" t="s">
        <v>40</v>
      </c>
      <c r="D6110">
        <v>5.0048550000000001</v>
      </c>
      <c r="E6110">
        <v>0.47211180000000003</v>
      </c>
      <c r="F6110" t="s">
        <v>58</v>
      </c>
      <c r="G6110">
        <v>-420.43990000000002</v>
      </c>
      <c r="H6110" s="1">
        <v>-2.81389E-6</v>
      </c>
      <c r="I6110">
        <v>35.29251</v>
      </c>
      <c r="J6110">
        <v>-421.9984</v>
      </c>
      <c r="K6110">
        <v>1.120938</v>
      </c>
      <c r="L6110">
        <v>48.806550000000001</v>
      </c>
      <c r="M6110">
        <v>-4.7965880000000001E-3</v>
      </c>
      <c r="N6110">
        <v>-1.360983E-2</v>
      </c>
      <c r="O6110">
        <v>-0.9998958</v>
      </c>
      <c r="P6110">
        <v>3.8799750000000001E-2</v>
      </c>
      <c r="Q6110">
        <v>-9.8688499999999998E-2</v>
      </c>
      <c r="R6110">
        <v>-0.99436179999999996</v>
      </c>
      <c r="S6110">
        <v>0.33798220000000001</v>
      </c>
      <c r="T6110">
        <v>-0.2432848</v>
      </c>
      <c r="U6110">
        <v>-2.9798279999999999</v>
      </c>
      <c r="V6110">
        <v>-4.3591600000000001E-2</v>
      </c>
      <c r="W6110">
        <v>-8.5137699999999997E-2</v>
      </c>
      <c r="X6110">
        <v>0.99541519999999994</v>
      </c>
      <c r="Y6110">
        <v>-0.1171353</v>
      </c>
      <c r="Z6110">
        <v>6.7258159999999997E-2</v>
      </c>
      <c r="AA6110">
        <v>0.99083580000000004</v>
      </c>
      <c r="AB6110">
        <v>21</v>
      </c>
      <c r="AC6110">
        <v>1.55849999999998</v>
      </c>
      <c r="AD6110">
        <v>-1.1209408138900001</v>
      </c>
      <c r="AE6110">
        <v>-13.51404</v>
      </c>
      <c r="AF6110">
        <v>-1.6123617443993099</v>
      </c>
      <c r="AG6110">
        <v>-1.1209408138900001</v>
      </c>
      <c r="AH6110">
        <v>13.4153209774174</v>
      </c>
      <c r="AI6110">
        <v>94.742382697388294</v>
      </c>
      <c r="AJ6110">
        <v>96.853396701668402</v>
      </c>
      <c r="AK6110">
        <v>13.5582836535523</v>
      </c>
      <c r="AL6110">
        <v>94.883943015915094</v>
      </c>
      <c r="AM6110">
        <v>92.507516379057506</v>
      </c>
      <c r="AN6110">
        <v>1.00000003797144</v>
      </c>
    </row>
    <row r="6111" spans="1:40" x14ac:dyDescent="0.25">
      <c r="A6111" t="str">
        <f>"20190303154303788"</f>
        <v>20190303154303788</v>
      </c>
      <c r="B6111" t="str">
        <f>"1551598983776348"</f>
        <v>1551598983776348</v>
      </c>
      <c r="C6111" t="s">
        <v>40</v>
      </c>
      <c r="D6111">
        <v>4.9990750000000004</v>
      </c>
      <c r="E6111">
        <v>0.47213830000000001</v>
      </c>
      <c r="F6111" t="s">
        <v>58</v>
      </c>
      <c r="G6111">
        <v>-420.4205</v>
      </c>
      <c r="H6111" s="1">
        <v>-3.0046340000000001E-6</v>
      </c>
      <c r="I6111">
        <v>34.988169999999997</v>
      </c>
      <c r="J6111">
        <v>-421.99959999999999</v>
      </c>
      <c r="K6111">
        <v>1.120943</v>
      </c>
      <c r="L6111">
        <v>48.592709999999997</v>
      </c>
      <c r="M6111">
        <v>-4.9526639999999999E-3</v>
      </c>
      <c r="N6111">
        <v>-1.360771E-2</v>
      </c>
      <c r="O6111">
        <v>-0.99989530000000004</v>
      </c>
      <c r="P6111">
        <v>3.7781049999999997E-2</v>
      </c>
      <c r="Q6111">
        <v>-9.7657900000000006E-2</v>
      </c>
      <c r="R6111">
        <v>-0.99450300000000003</v>
      </c>
      <c r="S6111">
        <v>0.3402405</v>
      </c>
      <c r="T6111">
        <v>-0.2417173</v>
      </c>
      <c r="U6111">
        <v>-2.9797669999999998</v>
      </c>
      <c r="V6111">
        <v>-4.2729089999999997E-2</v>
      </c>
      <c r="W6111">
        <v>-8.4107319999999999E-2</v>
      </c>
      <c r="X6111">
        <v>0.99554010000000004</v>
      </c>
      <c r="Y6111">
        <v>-0.1180377</v>
      </c>
      <c r="Z6111">
        <v>6.6736009999999998E-2</v>
      </c>
      <c r="AA6111">
        <v>0.99076399999999998</v>
      </c>
      <c r="AB6111">
        <v>21</v>
      </c>
      <c r="AC6111">
        <v>1.57909999999998</v>
      </c>
      <c r="AD6111">
        <v>-1.1209460046340001</v>
      </c>
      <c r="AE6111">
        <v>-13.604539999999901</v>
      </c>
      <c r="AF6111">
        <v>-1.6355098063323701</v>
      </c>
      <c r="AG6111">
        <v>-1.1209460046340001</v>
      </c>
      <c r="AH6111">
        <v>13.5060786553643</v>
      </c>
      <c r="AI6111">
        <v>94.7101752778118</v>
      </c>
      <c r="AJ6111">
        <v>96.904576898031095</v>
      </c>
      <c r="AK6111">
        <v>13.6508451356245</v>
      </c>
      <c r="AL6111">
        <v>94.824694477331605</v>
      </c>
      <c r="AM6111">
        <v>92.457655746126093</v>
      </c>
      <c r="AN6111">
        <v>0.99999995355890903</v>
      </c>
    </row>
    <row r="6112" spans="1:40" x14ac:dyDescent="0.25">
      <c r="A6112" t="str">
        <f>"20190303154303810"</f>
        <v>20190303154303810</v>
      </c>
      <c r="B6112" t="str">
        <f>"1551598983806604"</f>
        <v>1551598983806604</v>
      </c>
      <c r="C6112" t="s">
        <v>40</v>
      </c>
      <c r="D6112">
        <v>4.9745010000000001</v>
      </c>
      <c r="E6112">
        <v>0.47206029999999999</v>
      </c>
      <c r="F6112" t="s">
        <v>58</v>
      </c>
      <c r="G6112">
        <v>-420.41320000000002</v>
      </c>
      <c r="H6112" s="1">
        <v>-3.2632200000000001E-6</v>
      </c>
      <c r="I6112">
        <v>34.549370000000003</v>
      </c>
      <c r="J6112">
        <v>-422.00080000000003</v>
      </c>
      <c r="K6112">
        <v>1.120951</v>
      </c>
      <c r="L6112">
        <v>48.381590000000003</v>
      </c>
      <c r="M6112">
        <v>-5.1117999999999997E-3</v>
      </c>
      <c r="N6112">
        <v>-1.3605539999999999E-2</v>
      </c>
      <c r="O6112">
        <v>-0.99989439999999996</v>
      </c>
      <c r="P6112">
        <v>3.7244319999999997E-2</v>
      </c>
      <c r="Q6112">
        <v>-9.64589E-2</v>
      </c>
      <c r="R6112">
        <v>-0.99464010000000003</v>
      </c>
      <c r="S6112">
        <v>0.33666990000000002</v>
      </c>
      <c r="T6112">
        <v>-0.2378999</v>
      </c>
      <c r="U6112">
        <v>-2.9804379999999999</v>
      </c>
      <c r="V6112">
        <v>-4.2351220000000002E-2</v>
      </c>
      <c r="W6112">
        <v>-8.2908590000000004E-2</v>
      </c>
      <c r="X6112">
        <v>0.99565680000000001</v>
      </c>
      <c r="Y6112">
        <v>-0.1170098</v>
      </c>
      <c r="Z6112">
        <v>6.5468940000000003E-2</v>
      </c>
      <c r="AA6112">
        <v>0.99097049999999998</v>
      </c>
      <c r="AB6112">
        <v>21</v>
      </c>
      <c r="AC6112">
        <v>1.5875999999999999</v>
      </c>
      <c r="AD6112">
        <v>-1.12095426322</v>
      </c>
      <c r="AE6112">
        <v>-13.83222</v>
      </c>
      <c r="AF6112">
        <v>-1.6476135280870701</v>
      </c>
      <c r="AG6112">
        <v>-1.12095426322</v>
      </c>
      <c r="AH6112">
        <v>13.734893583494101</v>
      </c>
      <c r="AI6112">
        <v>94.632707467381493</v>
      </c>
      <c r="AJ6112">
        <v>96.840414148574396</v>
      </c>
      <c r="AK6112">
        <v>13.878705651035199</v>
      </c>
      <c r="AL6112">
        <v>94.755771520900794</v>
      </c>
      <c r="AM6112">
        <v>92.435662864312107</v>
      </c>
      <c r="AN6112">
        <v>0.99999996175875705</v>
      </c>
    </row>
    <row r="6113" spans="1:40" x14ac:dyDescent="0.25">
      <c r="A6113" t="str">
        <f>"20190303154303832"</f>
        <v>20190303154303832</v>
      </c>
      <c r="B6113" t="str">
        <f>"1551598983826123"</f>
        <v>1551598983826123</v>
      </c>
      <c r="C6113" t="s">
        <v>40</v>
      </c>
      <c r="D6113">
        <v>4.9528470000000002</v>
      </c>
      <c r="E6113">
        <v>0.47201500000000002</v>
      </c>
      <c r="F6113" t="s">
        <v>58</v>
      </c>
      <c r="G6113">
        <v>-420.39109999999999</v>
      </c>
      <c r="H6113" s="1">
        <v>-3.476905E-6</v>
      </c>
      <c r="I6113">
        <v>34.076229999999903</v>
      </c>
      <c r="J6113">
        <v>-422.00209999999998</v>
      </c>
      <c r="K6113">
        <v>1.1209559999999901</v>
      </c>
      <c r="L6113">
        <v>48.167879999999997</v>
      </c>
      <c r="M6113">
        <v>-5.2783269999999898E-3</v>
      </c>
      <c r="N6113">
        <v>-1.3603250000000001E-2</v>
      </c>
      <c r="O6113">
        <v>-0.99989349999999999</v>
      </c>
      <c r="P6113">
        <v>3.6478869999999997E-2</v>
      </c>
      <c r="Q6113">
        <v>-9.5051120000000003E-2</v>
      </c>
      <c r="R6113">
        <v>-0.99480360000000001</v>
      </c>
      <c r="S6113">
        <v>0.33541870000000001</v>
      </c>
      <c r="T6113">
        <v>-0.23358499999999999</v>
      </c>
      <c r="U6113">
        <v>-2.9809570000000001</v>
      </c>
      <c r="V6113">
        <v>-4.1752659999999997E-2</v>
      </c>
      <c r="W6113">
        <v>-8.1500870000000003E-2</v>
      </c>
      <c r="X6113">
        <v>0.99579830000000003</v>
      </c>
      <c r="Y6113">
        <v>-0.116757</v>
      </c>
      <c r="Z6113">
        <v>6.4034389999999997E-2</v>
      </c>
      <c r="AA6113">
        <v>0.99109409999999998</v>
      </c>
      <c r="AB6113">
        <v>21</v>
      </c>
      <c r="AC6113">
        <v>1.61099999999998</v>
      </c>
      <c r="AD6113">
        <v>-1.12095947690499</v>
      </c>
      <c r="AE6113">
        <v>-14.09165</v>
      </c>
      <c r="AF6113">
        <v>-1.6749029758973799</v>
      </c>
      <c r="AG6113">
        <v>-1.12095947690499</v>
      </c>
      <c r="AH6113">
        <v>13.995530426062899</v>
      </c>
      <c r="AI6113">
        <v>94.546971353695497</v>
      </c>
      <c r="AJ6113">
        <v>96.824366968246807</v>
      </c>
      <c r="AK6113">
        <v>14.139898232815799</v>
      </c>
      <c r="AL6113">
        <v>94.674841167700293</v>
      </c>
      <c r="AM6113">
        <v>92.400938822244399</v>
      </c>
      <c r="AN6113">
        <v>0.99999996535535995</v>
      </c>
    </row>
    <row r="6114" spans="1:40" x14ac:dyDescent="0.25">
      <c r="A6114" t="str">
        <f>"20190303154303855"</f>
        <v>20190303154303855</v>
      </c>
      <c r="B6114" t="str">
        <f>"1551598983846623"</f>
        <v>1551598983846623</v>
      </c>
      <c r="C6114" t="s">
        <v>40</v>
      </c>
      <c r="D6114">
        <v>4.9570119999999998</v>
      </c>
      <c r="E6114">
        <v>0.4720162</v>
      </c>
      <c r="F6114" t="s">
        <v>58</v>
      </c>
      <c r="G6114">
        <v>-420.36739999999998</v>
      </c>
      <c r="H6114" s="1">
        <v>-3.7321689999999998E-6</v>
      </c>
      <c r="I6114">
        <v>33.572560000000003</v>
      </c>
      <c r="J6114">
        <v>-422.0034</v>
      </c>
      <c r="K6114">
        <v>1.1209499999999999</v>
      </c>
      <c r="L6114">
        <v>47.955599999999997</v>
      </c>
      <c r="M6114">
        <v>-5.4488959999999999E-3</v>
      </c>
      <c r="N6114">
        <v>-1.3601E-2</v>
      </c>
      <c r="O6114">
        <v>-0.99989300000000003</v>
      </c>
      <c r="P6114">
        <v>3.5422500000000003E-2</v>
      </c>
      <c r="Q6114">
        <v>-9.4404699999999994E-2</v>
      </c>
      <c r="R6114">
        <v>-0.99490389999999995</v>
      </c>
      <c r="S6114">
        <v>0.33392329999999998</v>
      </c>
      <c r="T6114">
        <v>-0.2289901</v>
      </c>
      <c r="U6114">
        <v>-2.9815369999999999</v>
      </c>
      <c r="V6114">
        <v>-4.0866859999999998E-2</v>
      </c>
      <c r="W6114">
        <v>-8.0855300000000005E-2</v>
      </c>
      <c r="X6114">
        <v>0.99588770000000004</v>
      </c>
      <c r="Y6114">
        <v>-0.1164263</v>
      </c>
      <c r="Z6114">
        <v>6.2506240000000005E-2</v>
      </c>
      <c r="AA6114">
        <v>0.99123050000000001</v>
      </c>
      <c r="AB6114">
        <v>21</v>
      </c>
      <c r="AC6114">
        <v>1.6360000000000201</v>
      </c>
      <c r="AD6114">
        <v>-1.120953732169</v>
      </c>
      <c r="AE6114">
        <v>-14.383039999999999</v>
      </c>
      <c r="AF6114">
        <v>-1.70413592661385</v>
      </c>
      <c r="AG6114">
        <v>-1.120953732169</v>
      </c>
      <c r="AH6114">
        <v>14.288233151640499</v>
      </c>
      <c r="AI6114">
        <v>94.4543919903778</v>
      </c>
      <c r="AJ6114">
        <v>96.801452118345395</v>
      </c>
      <c r="AK6114">
        <v>14.4330947174083</v>
      </c>
      <c r="AL6114">
        <v>94.6377301093423</v>
      </c>
      <c r="AM6114">
        <v>92.349848910109401</v>
      </c>
      <c r="AN6114">
        <v>0.99999999539781903</v>
      </c>
    </row>
    <row r="6115" spans="1:40" x14ac:dyDescent="0.25">
      <c r="A6115" t="str">
        <f>"20190303154303877"</f>
        <v>20190303154303877</v>
      </c>
      <c r="B6115" t="str">
        <f>"1551598983866047"</f>
        <v>1551598983866047</v>
      </c>
      <c r="C6115" t="s">
        <v>40</v>
      </c>
      <c r="D6115">
        <v>4.958189</v>
      </c>
      <c r="E6115">
        <v>0.4726223</v>
      </c>
      <c r="F6115" t="s">
        <v>58</v>
      </c>
      <c r="G6115">
        <v>-420.36919999999998</v>
      </c>
      <c r="H6115" s="1">
        <v>-3.9124820000000002E-6</v>
      </c>
      <c r="I6115">
        <v>33.218890000000002</v>
      </c>
      <c r="J6115">
        <v>-422.00479999999999</v>
      </c>
      <c r="K6115">
        <v>1.120951</v>
      </c>
      <c r="L6115">
        <v>47.742249999999999</v>
      </c>
      <c r="M6115">
        <v>-5.6274760000000002E-3</v>
      </c>
      <c r="N6115">
        <v>-1.359875E-2</v>
      </c>
      <c r="O6115">
        <v>-0.9998918</v>
      </c>
      <c r="P6115">
        <v>3.442419E-2</v>
      </c>
      <c r="Q6115">
        <v>-9.3985700000000005E-2</v>
      </c>
      <c r="R6115">
        <v>-0.99497820000000003</v>
      </c>
      <c r="S6115">
        <v>0.3306885</v>
      </c>
      <c r="T6115">
        <v>-0.2268336</v>
      </c>
      <c r="U6115">
        <v>-2.9820859999999998</v>
      </c>
      <c r="V6115">
        <v>-4.0047140000000002E-2</v>
      </c>
      <c r="W6115">
        <v>-8.043757E-2</v>
      </c>
      <c r="X6115">
        <v>0.99595480000000003</v>
      </c>
      <c r="Y6115">
        <v>-0.11552750000000001</v>
      </c>
      <c r="Z6115">
        <v>6.1789990000000003E-2</v>
      </c>
      <c r="AA6115">
        <v>0.99138059999999995</v>
      </c>
      <c r="AB6115">
        <v>21</v>
      </c>
      <c r="AC6115">
        <v>1.6356000000000099</v>
      </c>
      <c r="AD6115">
        <v>-1.120954912482</v>
      </c>
      <c r="AE6115">
        <v>-14.523359999999901</v>
      </c>
      <c r="AF6115">
        <v>-1.70726834606112</v>
      </c>
      <c r="AG6115">
        <v>-1.120954912482</v>
      </c>
      <c r="AH6115">
        <v>14.429044683581299</v>
      </c>
      <c r="AI6115">
        <v>94.4115864285573</v>
      </c>
      <c r="AJ6115">
        <v>96.747957270671705</v>
      </c>
      <c r="AK6115">
        <v>14.5728732788721</v>
      </c>
      <c r="AL6115">
        <v>94.6137178473181</v>
      </c>
      <c r="AM6115">
        <v>92.302611203610496</v>
      </c>
      <c r="AN6115">
        <v>0.99999996986636097</v>
      </c>
    </row>
    <row r="6116" spans="1:40" x14ac:dyDescent="0.25">
      <c r="A6116" t="str">
        <f>"20190303154303899"</f>
        <v>20190303154303899</v>
      </c>
      <c r="B6116" t="str">
        <f>"1551598983896303"</f>
        <v>1551598983896303</v>
      </c>
      <c r="C6116" t="s">
        <v>40</v>
      </c>
      <c r="D6116">
        <v>4.9097860000000004</v>
      </c>
      <c r="E6116">
        <v>0.50324729999999995</v>
      </c>
      <c r="F6116" t="s">
        <v>58</v>
      </c>
      <c r="G6116">
        <v>-420.38900000000001</v>
      </c>
      <c r="H6116" s="1">
        <v>-4.1154469999999998E-6</v>
      </c>
      <c r="I6116">
        <v>32.822809999999997</v>
      </c>
      <c r="J6116">
        <v>-422.00619999999998</v>
      </c>
      <c r="K6116">
        <v>1.1209469999999999</v>
      </c>
      <c r="L6116">
        <v>47.534480000000002</v>
      </c>
      <c r="M6116">
        <v>-5.8060569999999999E-3</v>
      </c>
      <c r="N6116">
        <v>-1.359658E-2</v>
      </c>
      <c r="O6116">
        <v>-0.99989090000000003</v>
      </c>
      <c r="P6116">
        <v>3.4035820000000001E-2</v>
      </c>
      <c r="Q6116">
        <v>-9.3917539999999994E-2</v>
      </c>
      <c r="R6116">
        <v>-0.99499820000000005</v>
      </c>
      <c r="S6116">
        <v>0.323028599999999</v>
      </c>
      <c r="T6116">
        <v>-0.22410849999999999</v>
      </c>
      <c r="U6116">
        <v>-2.9827880000000002</v>
      </c>
      <c r="V6116">
        <v>-3.983743E-2</v>
      </c>
      <c r="W6116">
        <v>-8.0371139999999994E-2</v>
      </c>
      <c r="X6116">
        <v>0.99596859999999998</v>
      </c>
      <c r="Y6116">
        <v>-0.1131713</v>
      </c>
      <c r="Z6116">
        <v>6.0893999999999997E-2</v>
      </c>
      <c r="AA6116">
        <v>0.99170769999999997</v>
      </c>
      <c r="AB6116">
        <v>21</v>
      </c>
      <c r="AC6116">
        <v>1.61719999999996</v>
      </c>
      <c r="AD6116">
        <v>-1.120951115447</v>
      </c>
      <c r="AE6116">
        <v>-14.71167</v>
      </c>
      <c r="AF6116">
        <v>-1.6928864824033201</v>
      </c>
      <c r="AG6116">
        <v>-1.120951115447</v>
      </c>
      <c r="AH6116">
        <v>14.6181771075676</v>
      </c>
      <c r="AI6116">
        <v>94.355974811144307</v>
      </c>
      <c r="AJ6116">
        <v>96.605823477744806</v>
      </c>
      <c r="AK6116">
        <v>14.758505953982599</v>
      </c>
      <c r="AL6116">
        <v>94.609899202036502</v>
      </c>
      <c r="AM6116">
        <v>92.290534571994101</v>
      </c>
      <c r="AN6116">
        <v>0.99999999657993199</v>
      </c>
    </row>
    <row r="6117" spans="1:40" x14ac:dyDescent="0.25">
      <c r="A6117" t="str">
        <f>"20190303154303922"</f>
        <v>20190303154303922</v>
      </c>
      <c r="B6117" t="str">
        <f>"1551598983916803"</f>
        <v>1551598983916803</v>
      </c>
      <c r="C6117" t="s">
        <v>40</v>
      </c>
      <c r="D6117">
        <v>4.8754619999999997</v>
      </c>
      <c r="E6117">
        <v>0.50410180000000004</v>
      </c>
      <c r="F6117" t="s">
        <v>58</v>
      </c>
      <c r="G6117">
        <v>-421.54390000000001</v>
      </c>
      <c r="H6117" s="1">
        <v>-5.6539729999999999E-6</v>
      </c>
      <c r="I6117">
        <v>29.934889999999999</v>
      </c>
      <c r="J6117">
        <v>-422.00760000000002</v>
      </c>
      <c r="K6117">
        <v>1.1209469999999999</v>
      </c>
      <c r="L6117">
        <v>47.316470000000002</v>
      </c>
      <c r="M6117">
        <v>-5.9977229999999999E-3</v>
      </c>
      <c r="N6117">
        <v>-1.359434E-2</v>
      </c>
      <c r="O6117">
        <v>-0.9998899</v>
      </c>
      <c r="P6117">
        <v>3.392117E-2</v>
      </c>
      <c r="Q6117">
        <v>-9.3420649999999994E-2</v>
      </c>
      <c r="R6117">
        <v>-0.99504899999999996</v>
      </c>
      <c r="S6117">
        <v>7.86438E-2</v>
      </c>
      <c r="T6117">
        <v>-0.19071830000000001</v>
      </c>
      <c r="U6117">
        <v>-2.9943849999999999</v>
      </c>
      <c r="V6117">
        <v>-3.9913589999999999E-2</v>
      </c>
      <c r="W6117">
        <v>-7.9875689999999999E-2</v>
      </c>
      <c r="X6117">
        <v>0.99600540000000004</v>
      </c>
      <c r="Y6117">
        <v>-3.2200739999999999E-2</v>
      </c>
      <c r="Z6117">
        <v>4.9960289999999997E-2</v>
      </c>
      <c r="AA6117">
        <v>0.99823200000000001</v>
      </c>
      <c r="AB6117">
        <v>21</v>
      </c>
      <c r="AC6117">
        <v>0.46370000000001699</v>
      </c>
      <c r="AD6117">
        <v>-1.1209526539729999</v>
      </c>
      <c r="AE6117">
        <v>-17.38158</v>
      </c>
      <c r="AF6117">
        <v>-0.56560046590768398</v>
      </c>
      <c r="AG6117">
        <v>-1.1209526539729999</v>
      </c>
      <c r="AH6117">
        <v>17.306557945403501</v>
      </c>
      <c r="AI6117">
        <v>93.703921946334404</v>
      </c>
      <c r="AJ6117">
        <v>91.871833188480494</v>
      </c>
      <c r="AK6117">
        <v>17.352042722892701</v>
      </c>
      <c r="AL6117">
        <v>94.581420483382004</v>
      </c>
      <c r="AM6117">
        <v>92.294824168869297</v>
      </c>
      <c r="AN6117">
        <v>0.99999998867441198</v>
      </c>
    </row>
    <row r="6118" spans="1:40" x14ac:dyDescent="0.25">
      <c r="A6118" t="str">
        <f>"20190303154303944"</f>
        <v>20190303154303944</v>
      </c>
      <c r="B6118" t="str">
        <f>"1551598983936322"</f>
        <v>1551598983936322</v>
      </c>
      <c r="C6118" t="s">
        <v>40</v>
      </c>
      <c r="D6118">
        <v>4.9677530000000001</v>
      </c>
      <c r="E6118">
        <v>0.50387510000000002</v>
      </c>
      <c r="F6118" t="s">
        <v>58</v>
      </c>
      <c r="G6118">
        <v>-421.56099999999998</v>
      </c>
      <c r="H6118" s="1">
        <v>-6.2460669999999999E-6</v>
      </c>
      <c r="I6118">
        <v>28.563580000000002</v>
      </c>
      <c r="J6118">
        <v>-422.00909999999999</v>
      </c>
      <c r="K6118">
        <v>1.1209519999999999</v>
      </c>
      <c r="L6118">
        <v>47.10886</v>
      </c>
      <c r="M6118">
        <v>-6.185276E-3</v>
      </c>
      <c r="N6118">
        <v>-1.3592170000000001E-2</v>
      </c>
      <c r="O6118">
        <v>-0.99988849999999996</v>
      </c>
      <c r="P6118">
        <v>3.3959549999999998E-2</v>
      </c>
      <c r="Q6118">
        <v>-9.2817150000000001E-2</v>
      </c>
      <c r="R6118">
        <v>-0.99510370000000004</v>
      </c>
      <c r="S6118">
        <v>7.13501E-2</v>
      </c>
      <c r="T6118">
        <v>-0.17906759999999999</v>
      </c>
      <c r="U6118">
        <v>-2.9956969999999998</v>
      </c>
      <c r="V6118">
        <v>-4.0139689999999999E-2</v>
      </c>
      <c r="W6118">
        <v>-7.9273469999999999E-2</v>
      </c>
      <c r="X6118">
        <v>0.9960445</v>
      </c>
      <c r="Y6118">
        <v>-2.99542E-2</v>
      </c>
      <c r="Z6118">
        <v>4.6070449999999999E-2</v>
      </c>
      <c r="AA6118">
        <v>0.99848899999999996</v>
      </c>
      <c r="AB6118">
        <v>21</v>
      </c>
      <c r="AC6118">
        <v>0.44810000000000999</v>
      </c>
      <c r="AD6118">
        <v>-1.120958246067</v>
      </c>
      <c r="AE6118">
        <v>-18.545279999999899</v>
      </c>
      <c r="AF6118">
        <v>-0.56076213538849196</v>
      </c>
      <c r="AG6118">
        <v>-1.120958246067</v>
      </c>
      <c r="AH6118">
        <v>18.4746949277895</v>
      </c>
      <c r="AI6118">
        <v>93.4705892131269</v>
      </c>
      <c r="AJ6118">
        <v>91.7385641438768</v>
      </c>
      <c r="AK6118">
        <v>18.517163774099</v>
      </c>
      <c r="AL6118">
        <v>94.546805719316595</v>
      </c>
      <c r="AM6118">
        <v>92.307719232904304</v>
      </c>
      <c r="AN6118">
        <v>1.00000006186969</v>
      </c>
    </row>
    <row r="6119" spans="1:40" x14ac:dyDescent="0.25">
      <c r="A6119" t="str">
        <f>"20190303154303967"</f>
        <v>20190303154303967</v>
      </c>
      <c r="B6119" t="str">
        <f>"1551598983956306"</f>
        <v>1551598983956306</v>
      </c>
      <c r="C6119" t="s">
        <v>40</v>
      </c>
      <c r="D6119">
        <v>4.9824640000000002</v>
      </c>
      <c r="E6119">
        <v>0.5033898</v>
      </c>
      <c r="F6119" t="s">
        <v>58</v>
      </c>
      <c r="G6119">
        <v>-421.55770000000001</v>
      </c>
      <c r="H6119" s="1">
        <v>-6.22043699999999E-6</v>
      </c>
      <c r="I6119">
        <v>28.62604</v>
      </c>
      <c r="J6119">
        <v>-422.01069999999999</v>
      </c>
      <c r="K6119">
        <v>1.1209519999999999</v>
      </c>
      <c r="L6119">
        <v>46.894100000000002</v>
      </c>
      <c r="M6119">
        <v>-6.3850189999999996E-3</v>
      </c>
      <c r="N6119">
        <v>-1.358991E-2</v>
      </c>
      <c r="O6119">
        <v>-0.99988730000000003</v>
      </c>
      <c r="P6119">
        <v>3.4088880000000002E-2</v>
      </c>
      <c r="Q6119">
        <v>-9.2773800000000003E-2</v>
      </c>
      <c r="R6119">
        <v>-0.99510339999999997</v>
      </c>
      <c r="S6119">
        <v>7.3150629999999994E-2</v>
      </c>
      <c r="T6119">
        <v>-0.18166289999999999</v>
      </c>
      <c r="U6119">
        <v>-2.9953310000000002</v>
      </c>
      <c r="V6119">
        <v>-4.0468009999999999E-2</v>
      </c>
      <c r="W6119">
        <v>-7.92321E-2</v>
      </c>
      <c r="X6119">
        <v>0.99603439999999999</v>
      </c>
      <c r="Y6119">
        <v>-3.0755049999999999E-2</v>
      </c>
      <c r="Z6119">
        <v>4.6940679999999999E-2</v>
      </c>
      <c r="AA6119">
        <v>0.99842410000000004</v>
      </c>
      <c r="AB6119">
        <v>21</v>
      </c>
      <c r="AC6119">
        <v>0.45299999999997398</v>
      </c>
      <c r="AD6119">
        <v>-1.1209582204370001</v>
      </c>
      <c r="AE6119">
        <v>-18.268059999999998</v>
      </c>
      <c r="AF6119">
        <v>-0.56750794595024701</v>
      </c>
      <c r="AG6119">
        <v>-1.1209582204370001</v>
      </c>
      <c r="AH6119">
        <v>18.196323236376902</v>
      </c>
      <c r="AI6119">
        <v>93.523460048459896</v>
      </c>
      <c r="AJ6119">
        <v>91.786364927461406</v>
      </c>
      <c r="AK6119">
        <v>18.2396488980296</v>
      </c>
      <c r="AL6119">
        <v>94.544428397096198</v>
      </c>
      <c r="AM6119">
        <v>92.326597980774196</v>
      </c>
      <c r="AN6119">
        <v>0.99999995574356404</v>
      </c>
    </row>
    <row r="6120" spans="1:40" x14ac:dyDescent="0.25">
      <c r="A6120" t="str">
        <f>"20190303154303990"</f>
        <v>20190303154303990</v>
      </c>
      <c r="B6120" t="str">
        <f>"1551598983986561"</f>
        <v>1551598983986561</v>
      </c>
      <c r="C6120" t="s">
        <v>40</v>
      </c>
      <c r="D6120">
        <v>4.9187729999999998</v>
      </c>
      <c r="E6120">
        <v>0.50226340000000003</v>
      </c>
      <c r="F6120" t="s">
        <v>58</v>
      </c>
      <c r="G6120">
        <v>-421.55130000000003</v>
      </c>
      <c r="H6120" s="1">
        <v>-6.0335690000000003E-6</v>
      </c>
      <c r="I6120">
        <v>29.083919999999999</v>
      </c>
      <c r="J6120">
        <v>-422.01229999999998</v>
      </c>
      <c r="K6120">
        <v>1.1209530000000001</v>
      </c>
      <c r="L6120">
        <v>46.67221</v>
      </c>
      <c r="M6120">
        <v>-6.597665E-3</v>
      </c>
      <c r="N6120">
        <v>-1.358755E-2</v>
      </c>
      <c r="O6120">
        <v>-0.99988589999999999</v>
      </c>
      <c r="P6120">
        <v>3.4899890000000003E-2</v>
      </c>
      <c r="Q6120">
        <v>-9.3528620000000007E-2</v>
      </c>
      <c r="R6120">
        <v>-0.99500480000000002</v>
      </c>
      <c r="S6120">
        <v>7.7239989999999994E-2</v>
      </c>
      <c r="T6120">
        <v>-0.18847359999999999</v>
      </c>
      <c r="U6120">
        <v>-2.9945369999999998</v>
      </c>
      <c r="V6120">
        <v>-4.1490890000000002E-2</v>
      </c>
      <c r="W6120">
        <v>-7.9989980000000002E-2</v>
      </c>
      <c r="X6120">
        <v>0.99593180000000003</v>
      </c>
      <c r="Y6120">
        <v>-3.2332510000000002E-2</v>
      </c>
      <c r="Z6120">
        <v>4.92183E-2</v>
      </c>
      <c r="AA6120">
        <v>0.99826459999999995</v>
      </c>
      <c r="AB6120">
        <v>21</v>
      </c>
      <c r="AC6120">
        <v>0.460999999999955</v>
      </c>
      <c r="AD6120">
        <v>-1.1209590335690001</v>
      </c>
      <c r="AE6120">
        <v>-17.588289999999901</v>
      </c>
      <c r="AF6120">
        <v>-0.57470949928262505</v>
      </c>
      <c r="AG6120">
        <v>-1.1209590335690001</v>
      </c>
      <c r="AH6120">
        <v>17.513774462819502</v>
      </c>
      <c r="AI6120">
        <v>93.660223191811994</v>
      </c>
      <c r="AJ6120">
        <v>91.879470201275794</v>
      </c>
      <c r="AK6120">
        <v>17.559018654185</v>
      </c>
      <c r="AL6120">
        <v>94.587989691814101</v>
      </c>
      <c r="AM6120">
        <v>92.385584039176095</v>
      </c>
      <c r="AN6120">
        <v>1.0000000205523101</v>
      </c>
    </row>
    <row r="6121" spans="1:40" x14ac:dyDescent="0.25">
      <c r="A6121" t="str">
        <f>"20190303154304011"</f>
        <v>20190303154304011</v>
      </c>
      <c r="B6121" t="str">
        <f>"1551598984006082"</f>
        <v>1551598984006082</v>
      </c>
      <c r="C6121" t="s">
        <v>40</v>
      </c>
      <c r="D6121">
        <v>4.8374280000000001</v>
      </c>
      <c r="E6121">
        <v>0.50237799999999999</v>
      </c>
      <c r="F6121" t="s">
        <v>58</v>
      </c>
      <c r="G6121">
        <v>-421.5256</v>
      </c>
      <c r="H6121" s="1">
        <v>-5.5321489999999998E-6</v>
      </c>
      <c r="I6121">
        <v>30.171890000000001</v>
      </c>
      <c r="J6121">
        <v>-422.01389999999998</v>
      </c>
      <c r="K6121">
        <v>1.1209549999999999</v>
      </c>
      <c r="L6121">
        <v>46.469970000000004</v>
      </c>
      <c r="M6121">
        <v>-6.7956509999999998E-3</v>
      </c>
      <c r="N6121">
        <v>-1.3585409999999999E-2</v>
      </c>
      <c r="O6121">
        <v>-0.99988489999999997</v>
      </c>
      <c r="P6121">
        <v>3.6087679999999997E-2</v>
      </c>
      <c r="Q6121">
        <v>-9.3373540000000005E-2</v>
      </c>
      <c r="R6121">
        <v>-0.99497729999999995</v>
      </c>
      <c r="S6121">
        <v>8.8287350000000001E-2</v>
      </c>
      <c r="T6121">
        <v>-0.20332159999999999</v>
      </c>
      <c r="U6121">
        <v>-2.9928590000000002</v>
      </c>
      <c r="V6121">
        <v>-4.2876169999999998E-2</v>
      </c>
      <c r="W6121">
        <v>-7.9836870000000004E-2</v>
      </c>
      <c r="X6121">
        <v>0.99588540000000003</v>
      </c>
      <c r="Y6121">
        <v>-3.6215789999999998E-2</v>
      </c>
      <c r="Z6121">
        <v>5.4178299999999999E-2</v>
      </c>
      <c r="AA6121">
        <v>0.99787429999999999</v>
      </c>
      <c r="AB6121">
        <v>21</v>
      </c>
      <c r="AC6121">
        <v>0.48829999999998103</v>
      </c>
      <c r="AD6121">
        <v>-1.1209605321489999</v>
      </c>
      <c r="AE6121">
        <v>-16.298079999999999</v>
      </c>
      <c r="AF6121">
        <v>-0.59623700345937303</v>
      </c>
      <c r="AG6121">
        <v>-1.1209605321489999</v>
      </c>
      <c r="AH6121">
        <v>16.217735654842802</v>
      </c>
      <c r="AI6121">
        <v>93.9513015682098</v>
      </c>
      <c r="AJ6121">
        <v>92.105502623723794</v>
      </c>
      <c r="AK6121">
        <v>16.267359984007498</v>
      </c>
      <c r="AL6121">
        <v>94.579189033375201</v>
      </c>
      <c r="AM6121">
        <v>92.465250933938293</v>
      </c>
      <c r="AN6121">
        <v>1.00000001084921</v>
      </c>
    </row>
    <row r="6122" spans="1:40" x14ac:dyDescent="0.25">
      <c r="A6122" t="str">
        <f>"20190303154304033"</f>
        <v>20190303154304033</v>
      </c>
      <c r="B6122" t="str">
        <f>"1551598984026587"</f>
        <v>1551598984026587</v>
      </c>
      <c r="C6122" t="s">
        <v>40</v>
      </c>
      <c r="D6122">
        <v>4.893078</v>
      </c>
      <c r="E6122">
        <v>0.50229869999999999</v>
      </c>
      <c r="F6122" t="s">
        <v>58</v>
      </c>
      <c r="G6122">
        <v>-421.50810000000001</v>
      </c>
      <c r="H6122" s="1">
        <v>-5.7080849999999901E-6</v>
      </c>
      <c r="I6122">
        <v>29.82461</v>
      </c>
      <c r="J6122">
        <v>-422.01549999999997</v>
      </c>
      <c r="K6122">
        <v>1.12096</v>
      </c>
      <c r="L6122">
        <v>46.264279999999999</v>
      </c>
      <c r="M6122">
        <v>-6.9954199999999996E-3</v>
      </c>
      <c r="N6122">
        <v>-1.358325E-2</v>
      </c>
      <c r="O6122">
        <v>-0.99988350000000004</v>
      </c>
      <c r="P6122">
        <v>3.8240919999999998E-2</v>
      </c>
      <c r="Q6122">
        <v>-9.1152129999999998E-2</v>
      </c>
      <c r="R6122">
        <v>-0.99510279999999995</v>
      </c>
      <c r="S6122">
        <v>9.0942380000000003E-2</v>
      </c>
      <c r="T6122">
        <v>-0.20155439999999999</v>
      </c>
      <c r="U6122">
        <v>-2.9929199999999998</v>
      </c>
      <c r="V6122">
        <v>-4.522847E-2</v>
      </c>
      <c r="W6122">
        <v>-7.7615600000000007E-2</v>
      </c>
      <c r="X6122">
        <v>0.99595699999999998</v>
      </c>
      <c r="Y6122">
        <v>-3.7299770000000003E-2</v>
      </c>
      <c r="Z6122">
        <v>5.3590079999999998E-2</v>
      </c>
      <c r="AA6122">
        <v>0.99786620000000004</v>
      </c>
      <c r="AB6122">
        <v>21</v>
      </c>
      <c r="AC6122">
        <v>0.50739999999996099</v>
      </c>
      <c r="AD6122">
        <v>-1.120965708085</v>
      </c>
      <c r="AE6122">
        <v>-16.43967</v>
      </c>
      <c r="AF6122">
        <v>-0.61952288473262596</v>
      </c>
      <c r="AG6122">
        <v>-1.120965708085</v>
      </c>
      <c r="AH6122">
        <v>16.359727075859599</v>
      </c>
      <c r="AI6122">
        <v>93.916971500382004</v>
      </c>
      <c r="AJ6122">
        <v>92.1686849292321</v>
      </c>
      <c r="AK6122">
        <v>16.409784968732001</v>
      </c>
      <c r="AL6122">
        <v>94.451523104819799</v>
      </c>
      <c r="AM6122">
        <v>92.600133608761197</v>
      </c>
      <c r="AN6122">
        <v>1.00000007085544</v>
      </c>
    </row>
    <row r="6123" spans="1:40" x14ac:dyDescent="0.25">
      <c r="A6123" t="str">
        <f>"20190303154304055"</f>
        <v>20190303154304055</v>
      </c>
      <c r="B6123" t="str">
        <f>"1551598984046098"</f>
        <v>1551598984046098</v>
      </c>
      <c r="C6123" t="s">
        <v>40</v>
      </c>
      <c r="D6123">
        <v>5.0056479999999999</v>
      </c>
      <c r="E6123">
        <v>0.50241829999999998</v>
      </c>
      <c r="F6123" t="s">
        <v>58</v>
      </c>
      <c r="G6123">
        <v>-421.4529</v>
      </c>
      <c r="H6123" s="1">
        <v>-5.9860749999999899E-6</v>
      </c>
      <c r="I6123">
        <v>29.186499999999999</v>
      </c>
      <c r="J6123">
        <v>-422.0172</v>
      </c>
      <c r="K6123">
        <v>1.12097</v>
      </c>
      <c r="L6123">
        <v>46.053130000000003</v>
      </c>
      <c r="M6123">
        <v>-7.1890209999999899E-3</v>
      </c>
      <c r="N6123">
        <v>-1.358097E-2</v>
      </c>
      <c r="O6123">
        <v>-0.9998823</v>
      </c>
      <c r="P6123">
        <v>4.1007799999999997E-2</v>
      </c>
      <c r="Q6123">
        <v>-8.8752899999999996E-2</v>
      </c>
      <c r="R6123">
        <v>-0.99520960000000003</v>
      </c>
      <c r="S6123">
        <v>9.8602289999999995E-2</v>
      </c>
      <c r="T6123">
        <v>-0.19645580000000001</v>
      </c>
      <c r="U6123">
        <v>-2.9929809999999999</v>
      </c>
      <c r="V6123">
        <v>-4.8186340000000001E-2</v>
      </c>
      <c r="W6123">
        <v>-7.5217590000000001E-2</v>
      </c>
      <c r="X6123">
        <v>0.99600219999999995</v>
      </c>
      <c r="Y6123">
        <v>-4.0045669999999998E-2</v>
      </c>
      <c r="Z6123">
        <v>5.1891960000000001E-2</v>
      </c>
      <c r="AA6123">
        <v>0.99784949999999994</v>
      </c>
      <c r="AB6123">
        <v>21</v>
      </c>
      <c r="AC6123">
        <v>0.56430000000000202</v>
      </c>
      <c r="AD6123">
        <v>-1.1209759860749999</v>
      </c>
      <c r="AE6123">
        <v>-16.866629999999901</v>
      </c>
      <c r="AF6123">
        <v>-0.68253964500705999</v>
      </c>
      <c r="AG6123">
        <v>-1.1209759860749999</v>
      </c>
      <c r="AH6123">
        <v>16.788065486933601</v>
      </c>
      <c r="AI6123">
        <v>93.816950438495695</v>
      </c>
      <c r="AJ6123">
        <v>92.328148858924294</v>
      </c>
      <c r="AK6123">
        <v>16.839287108483301</v>
      </c>
      <c r="AL6123">
        <v>94.313724626176196</v>
      </c>
      <c r="AM6123">
        <v>92.769795988327502</v>
      </c>
      <c r="AN6123">
        <v>0.99999999580642096</v>
      </c>
    </row>
    <row r="6124" spans="1:40" x14ac:dyDescent="0.25">
      <c r="A6124" t="str">
        <f>"20190303154304078"</f>
        <v>20190303154304078</v>
      </c>
      <c r="B6124" t="str">
        <f>"1551598984066593"</f>
        <v>1551598984066593</v>
      </c>
      <c r="C6124" t="s">
        <v>40</v>
      </c>
      <c r="D6124">
        <v>4.862762</v>
      </c>
      <c r="E6124">
        <v>0.50248689999999996</v>
      </c>
      <c r="F6124" t="s">
        <v>58</v>
      </c>
      <c r="G6124">
        <v>-421.39280000000002</v>
      </c>
      <c r="H6124" s="1">
        <v>-6.3113860000000003E-6</v>
      </c>
      <c r="I6124">
        <v>28.379239999999999</v>
      </c>
      <c r="J6124">
        <v>-422.0188</v>
      </c>
      <c r="K6124">
        <v>1.120986</v>
      </c>
      <c r="L6124">
        <v>45.846469999999997</v>
      </c>
      <c r="M6124">
        <v>-7.3499530000000002E-3</v>
      </c>
      <c r="N6124">
        <v>-1.3578659999999999E-2</v>
      </c>
      <c r="O6124">
        <v>-0.99988100000000002</v>
      </c>
      <c r="P6124">
        <v>4.3612489999999997E-2</v>
      </c>
      <c r="Q6124">
        <v>-8.7911909999999996E-2</v>
      </c>
      <c r="R6124">
        <v>-0.99517350000000004</v>
      </c>
      <c r="S6124">
        <v>0.1057434</v>
      </c>
      <c r="T6124">
        <v>-0.18984119999999999</v>
      </c>
      <c r="U6124">
        <v>-2.993134</v>
      </c>
      <c r="V6124">
        <v>-5.0947279999999998E-2</v>
      </c>
      <c r="W6124">
        <v>-7.4381219999999998E-2</v>
      </c>
      <c r="X6124">
        <v>0.99592760000000002</v>
      </c>
      <c r="Y6124">
        <v>-4.2585850000000001E-2</v>
      </c>
      <c r="Z6124">
        <v>4.9688400000000001E-2</v>
      </c>
      <c r="AA6124">
        <v>0.99785639999999998</v>
      </c>
      <c r="AB6124">
        <v>21</v>
      </c>
      <c r="AC6124">
        <v>0.62599999999997602</v>
      </c>
      <c r="AD6124">
        <v>-1.1209923113860001</v>
      </c>
      <c r="AE6124">
        <v>-17.467229999999901</v>
      </c>
      <c r="AF6124">
        <v>-0.75128787896615201</v>
      </c>
      <c r="AG6124">
        <v>-1.1209923113860001</v>
      </c>
      <c r="AH6124">
        <v>17.390622220151499</v>
      </c>
      <c r="AI6124">
        <v>93.684732403314001</v>
      </c>
      <c r="AJ6124">
        <v>92.473682385662897</v>
      </c>
      <c r="AK6124">
        <v>17.442901090222801</v>
      </c>
      <c r="AL6124">
        <v>94.265669565988404</v>
      </c>
      <c r="AM6124">
        <v>92.928447626587797</v>
      </c>
      <c r="AN6124">
        <v>0.99999998783492305</v>
      </c>
    </row>
    <row r="6125" spans="1:40" x14ac:dyDescent="0.25">
      <c r="A6125" t="str">
        <f>"20190303154304100"</f>
        <v>20190303154304100</v>
      </c>
      <c r="B6125" t="str">
        <f>"1551598984096850"</f>
        <v>1551598984096850</v>
      </c>
      <c r="C6125" t="s">
        <v>40</v>
      </c>
      <c r="D6125">
        <v>4.7819159999999998</v>
      </c>
      <c r="E6125">
        <v>0.50242589999999998</v>
      </c>
      <c r="F6125" t="s">
        <v>58</v>
      </c>
      <c r="G6125">
        <v>-421.34559999999999</v>
      </c>
      <c r="H6125" s="1">
        <v>-6.4443439999999998E-6</v>
      </c>
      <c r="I6125">
        <v>28.04609</v>
      </c>
      <c r="J6125">
        <v>-422.0206</v>
      </c>
      <c r="K6125">
        <v>1.121003</v>
      </c>
      <c r="L6125">
        <v>45.63214</v>
      </c>
      <c r="M6125">
        <v>-7.4840150000000001E-3</v>
      </c>
      <c r="N6125">
        <v>-1.357626E-2</v>
      </c>
      <c r="O6125">
        <v>-0.99988010000000005</v>
      </c>
      <c r="P6125">
        <v>4.5875510000000001E-2</v>
      </c>
      <c r="Q6125">
        <v>-8.8306019999999999E-2</v>
      </c>
      <c r="R6125">
        <v>-0.99503680000000005</v>
      </c>
      <c r="S6125">
        <v>0.1131897</v>
      </c>
      <c r="T6125">
        <v>-0.1884834</v>
      </c>
      <c r="U6125">
        <v>-2.99295</v>
      </c>
      <c r="V6125">
        <v>-5.3337570000000001E-2</v>
      </c>
      <c r="W6125">
        <v>-7.4782619999999994E-2</v>
      </c>
      <c r="X6125">
        <v>0.9957724</v>
      </c>
      <c r="Y6125">
        <v>-4.520072E-2</v>
      </c>
      <c r="Z6125">
        <v>4.9237009999999998E-2</v>
      </c>
      <c r="AA6125">
        <v>0.99776379999999998</v>
      </c>
      <c r="AB6125">
        <v>21</v>
      </c>
      <c r="AC6125">
        <v>0.67500000000001104</v>
      </c>
      <c r="AD6125">
        <v>-1.121009444344</v>
      </c>
      <c r="AE6125">
        <v>-17.586049999999901</v>
      </c>
      <c r="AF6125">
        <v>-0.803347985266884</v>
      </c>
      <c r="AG6125">
        <v>-1.121009444344</v>
      </c>
      <c r="AH6125">
        <v>17.509463186970201</v>
      </c>
      <c r="AI6125">
        <v>93.659412413789696</v>
      </c>
      <c r="AJ6125">
        <v>92.626933329126601</v>
      </c>
      <c r="AK6125">
        <v>17.5636935539085</v>
      </c>
      <c r="AL6125">
        <v>94.288732252540996</v>
      </c>
      <c r="AM6125">
        <v>93.066062078086006</v>
      </c>
      <c r="AN6125">
        <v>1.00000000461466</v>
      </c>
    </row>
    <row r="6126" spans="1:40" x14ac:dyDescent="0.25">
      <c r="A6126" t="str">
        <f>"20190303154304116"</f>
        <v>20190303154304116</v>
      </c>
      <c r="B6126" t="str">
        <f>"1551598984106609"</f>
        <v>1551598984106609</v>
      </c>
      <c r="C6126" t="s">
        <v>40</v>
      </c>
      <c r="D6126">
        <v>4.7785120000000001</v>
      </c>
      <c r="E6126">
        <v>0.50255470000000002</v>
      </c>
      <c r="F6126" t="s">
        <v>58</v>
      </c>
      <c r="G6126">
        <v>-421.31720000000001</v>
      </c>
      <c r="H6126" s="1">
        <v>-6.3775600000000003E-6</v>
      </c>
      <c r="I6126">
        <v>28.206</v>
      </c>
      <c r="J6126">
        <v>-422.02179999999998</v>
      </c>
      <c r="K6126">
        <v>1.1210260000000001</v>
      </c>
      <c r="L6126">
        <v>45.484650000000002</v>
      </c>
      <c r="M6126">
        <v>-7.5532029999999997E-3</v>
      </c>
      <c r="N6126">
        <v>-1.3574640000000001E-2</v>
      </c>
      <c r="O6126">
        <v>-0.99987939999999997</v>
      </c>
      <c r="P6126">
        <v>4.6839869999999999E-2</v>
      </c>
      <c r="Q6126">
        <v>-8.8911970000000007E-2</v>
      </c>
      <c r="R6126">
        <v>-0.99493770000000004</v>
      </c>
      <c r="S6126">
        <v>0.1207886</v>
      </c>
      <c r="T6126">
        <v>-0.19249279999999999</v>
      </c>
      <c r="U6126">
        <v>-2.9923099999999998</v>
      </c>
      <c r="V6126">
        <v>-5.4366339999999999E-2</v>
      </c>
      <c r="W6126">
        <v>-7.5394269999999999E-2</v>
      </c>
      <c r="X6126">
        <v>0.99567059999999996</v>
      </c>
      <c r="Y6126">
        <v>-4.7803199999999997E-2</v>
      </c>
      <c r="Z6126">
        <v>5.0576410000000002E-2</v>
      </c>
      <c r="AA6126">
        <v>0.99757549999999995</v>
      </c>
      <c r="AB6126">
        <v>21</v>
      </c>
      <c r="AC6126">
        <v>0.70459999999997003</v>
      </c>
      <c r="AD6126">
        <v>-1.12103237756</v>
      </c>
      <c r="AE6126">
        <v>-17.278649999999999</v>
      </c>
      <c r="AF6126">
        <v>-0.83160634113502396</v>
      </c>
      <c r="AG6126">
        <v>-1.12103237756</v>
      </c>
      <c r="AH6126">
        <v>17.2005513266032</v>
      </c>
      <c r="AI6126">
        <v>93.724595170302095</v>
      </c>
      <c r="AJ6126">
        <v>92.767961290113604</v>
      </c>
      <c r="AK6126">
        <v>17.257092705240499</v>
      </c>
      <c r="AL6126">
        <v>94.323876585829197</v>
      </c>
      <c r="AM6126">
        <v>93.125402764152895</v>
      </c>
      <c r="AN6126">
        <v>0.99999996928909296</v>
      </c>
    </row>
    <row r="6127" spans="1:40" x14ac:dyDescent="0.25">
      <c r="A6127" t="str">
        <f>"20190303154304132"</f>
        <v>20190303154304132</v>
      </c>
      <c r="B6127" t="str">
        <f>"1551598984126130"</f>
        <v>1551598984126130</v>
      </c>
      <c r="C6127" t="s">
        <v>40</v>
      </c>
      <c r="D6127">
        <v>4.7787879999999996</v>
      </c>
      <c r="E6127">
        <v>0.50277459999999996</v>
      </c>
      <c r="F6127" t="s">
        <v>58</v>
      </c>
      <c r="G6127">
        <v>-421.31240000000003</v>
      </c>
      <c r="H6127" s="1">
        <v>-6.3979589999999999E-6</v>
      </c>
      <c r="I6127">
        <v>28.15523</v>
      </c>
      <c r="J6127">
        <v>-422.0231</v>
      </c>
      <c r="K6127">
        <v>1.1210370000000001</v>
      </c>
      <c r="L6127">
        <v>45.321750000000002</v>
      </c>
      <c r="M6127">
        <v>-7.5989639999999997E-3</v>
      </c>
      <c r="N6127">
        <v>-1.3572819999999999E-2</v>
      </c>
      <c r="O6127">
        <v>-0.99987910000000002</v>
      </c>
      <c r="P6127">
        <v>4.8836869999999998E-2</v>
      </c>
      <c r="Q6127">
        <v>-8.8771459999999996E-2</v>
      </c>
      <c r="R6127">
        <v>-0.99485420000000002</v>
      </c>
      <c r="S6127">
        <v>0.1224976</v>
      </c>
      <c r="T6127">
        <v>-0.19356309999999999</v>
      </c>
      <c r="U6127">
        <v>-2.9921880000000001</v>
      </c>
      <c r="V6127">
        <v>-5.640357E-2</v>
      </c>
      <c r="W6127">
        <v>-7.526012E-2</v>
      </c>
      <c r="X6127">
        <v>0.99556739999999999</v>
      </c>
      <c r="Y6127">
        <v>-4.841819E-2</v>
      </c>
      <c r="Z6127">
        <v>5.0934460000000001E-2</v>
      </c>
      <c r="AA6127">
        <v>0.99752759999999996</v>
      </c>
      <c r="AB6127">
        <v>21</v>
      </c>
      <c r="AC6127">
        <v>0.71069999999997402</v>
      </c>
      <c r="AD6127">
        <v>-1.121043397959</v>
      </c>
      <c r="AE6127">
        <v>-17.166519999999998</v>
      </c>
      <c r="AF6127">
        <v>-0.83757342904009002</v>
      </c>
      <c r="AG6127">
        <v>-1.121043397959</v>
      </c>
      <c r="AH6127">
        <v>17.087874588228701</v>
      </c>
      <c r="AI6127">
        <v>93.749000649979607</v>
      </c>
      <c r="AJ6127">
        <v>92.806144525967994</v>
      </c>
      <c r="AK6127">
        <v>17.145078754329901</v>
      </c>
      <c r="AL6127">
        <v>94.316168548357396</v>
      </c>
      <c r="AM6127">
        <v>93.242608701088699</v>
      </c>
      <c r="AN6127">
        <v>0.99999994815695803</v>
      </c>
    </row>
    <row r="6128" spans="1:40" x14ac:dyDescent="0.25">
      <c r="A6128" t="str">
        <f>"20190303154304157"</f>
        <v>20190303154304157</v>
      </c>
      <c r="B6128" t="str">
        <f>"1551598984146626"</f>
        <v>1551598984146626</v>
      </c>
      <c r="C6128" t="s">
        <v>40</v>
      </c>
      <c r="D6128">
        <v>4.7623670000000002</v>
      </c>
      <c r="E6128">
        <v>0.50312570000000001</v>
      </c>
      <c r="F6128" t="s">
        <v>58</v>
      </c>
      <c r="G6128">
        <v>-421.28399999999999</v>
      </c>
      <c r="H6128" s="1">
        <v>-6.5255219999999998E-6</v>
      </c>
      <c r="I6128">
        <v>27.837990000000001</v>
      </c>
      <c r="J6128">
        <v>-422.02480000000003</v>
      </c>
      <c r="K6128">
        <v>1.1210719999999901</v>
      </c>
      <c r="L6128">
        <v>45.106929999999998</v>
      </c>
      <c r="M6128">
        <v>-7.598535E-3</v>
      </c>
      <c r="N6128">
        <v>-1.3570459999999999E-2</v>
      </c>
      <c r="O6128">
        <v>-0.99987939999999997</v>
      </c>
      <c r="P6128">
        <v>5.0335150000000002E-2</v>
      </c>
      <c r="Q6128">
        <v>-8.8481260000000006E-2</v>
      </c>
      <c r="R6128">
        <v>-0.99480570000000001</v>
      </c>
      <c r="S6128">
        <v>0.12649540000000001</v>
      </c>
      <c r="T6128">
        <v>-0.19185659999999999</v>
      </c>
      <c r="U6128">
        <v>-2.9921880000000001</v>
      </c>
      <c r="V6128">
        <v>-5.789395E-2</v>
      </c>
      <c r="W6128">
        <v>-7.4978530000000002E-2</v>
      </c>
      <c r="X6128">
        <v>0.99550309999999997</v>
      </c>
      <c r="Y6128">
        <v>-4.9748889999999997E-2</v>
      </c>
      <c r="Z6128">
        <v>5.036624E-2</v>
      </c>
      <c r="AA6128">
        <v>0.99749100000000002</v>
      </c>
      <c r="AB6128">
        <v>21</v>
      </c>
      <c r="AC6128">
        <v>0.74080000000003499</v>
      </c>
      <c r="AD6128">
        <v>-1.1210785255219999</v>
      </c>
      <c r="AE6128">
        <v>-17.268939999999901</v>
      </c>
      <c r="AF6128">
        <v>-0.86835637161260604</v>
      </c>
      <c r="AG6128">
        <v>-1.1210785255219999</v>
      </c>
      <c r="AH6128">
        <v>17.190496477363901</v>
      </c>
      <c r="AI6128">
        <v>93.726523627999995</v>
      </c>
      <c r="AJ6128">
        <v>92.89176654005</v>
      </c>
      <c r="AK6128">
        <v>17.2488848621228</v>
      </c>
      <c r="AL6128">
        <v>94.299988881443994</v>
      </c>
      <c r="AM6128">
        <v>93.328314141756806</v>
      </c>
      <c r="AN6128">
        <v>0.99999995575858502</v>
      </c>
    </row>
    <row r="6129" spans="1:40" x14ac:dyDescent="0.25">
      <c r="A6129" t="str">
        <f>"20190303154304178"</f>
        <v>20190303154304178</v>
      </c>
      <c r="B6129" t="str">
        <f>"1551598984166146"</f>
        <v>1551598984166146</v>
      </c>
      <c r="C6129" t="s">
        <v>40</v>
      </c>
      <c r="D6129">
        <v>4.7797809999999998</v>
      </c>
      <c r="E6129">
        <v>0.50337759999999998</v>
      </c>
      <c r="F6129" t="s">
        <v>58</v>
      </c>
      <c r="G6129">
        <v>-421.26350000000002</v>
      </c>
      <c r="H6129" s="1">
        <v>-6.7057739999999999E-6</v>
      </c>
      <c r="I6129">
        <v>27.392520000000001</v>
      </c>
      <c r="J6129">
        <v>-422.02629999999999</v>
      </c>
      <c r="K6129">
        <v>1.1211199999999999</v>
      </c>
      <c r="L6129">
        <v>44.901400000000002</v>
      </c>
      <c r="M6129">
        <v>-7.4923619999999998E-3</v>
      </c>
      <c r="N6129">
        <v>-1.356835E-2</v>
      </c>
      <c r="O6129">
        <v>-0.99987979999999999</v>
      </c>
      <c r="P6129">
        <v>5.1623670000000003E-2</v>
      </c>
      <c r="Q6129">
        <v>-8.8882859999999994E-2</v>
      </c>
      <c r="R6129">
        <v>-0.99470380000000003</v>
      </c>
      <c r="S6129">
        <v>0.1286011</v>
      </c>
      <c r="T6129">
        <v>-0.18937190000000001</v>
      </c>
      <c r="U6129">
        <v>-2.9923099999999998</v>
      </c>
      <c r="V6129">
        <v>-5.9065510000000002E-2</v>
      </c>
      <c r="W6129">
        <v>-7.5391739999999999E-2</v>
      </c>
      <c r="X6129">
        <v>0.99540309999999999</v>
      </c>
      <c r="Y6129">
        <v>-5.0343539999999999E-2</v>
      </c>
      <c r="Z6129">
        <v>4.9538899999999997E-2</v>
      </c>
      <c r="AA6129">
        <v>0.99750260000000002</v>
      </c>
      <c r="AB6129">
        <v>21</v>
      </c>
      <c r="AC6129">
        <v>0.76279999999996995</v>
      </c>
      <c r="AD6129">
        <v>-1.121126705774</v>
      </c>
      <c r="AE6129">
        <v>-17.508879999999898</v>
      </c>
      <c r="AF6129">
        <v>-0.89033002813221596</v>
      </c>
      <c r="AG6129">
        <v>-1.121126705774</v>
      </c>
      <c r="AH6129">
        <v>17.431338227089402</v>
      </c>
      <c r="AI6129">
        <v>93.675230887197102</v>
      </c>
      <c r="AJ6129">
        <v>92.923921358254802</v>
      </c>
      <c r="AK6129">
        <v>17.490030446988399</v>
      </c>
      <c r="AL6129">
        <v>94.323731123127203</v>
      </c>
      <c r="AM6129">
        <v>93.395851232785702</v>
      </c>
      <c r="AN6129">
        <v>0.99999999021069796</v>
      </c>
    </row>
    <row r="6130" spans="1:40" x14ac:dyDescent="0.25">
      <c r="A6130" t="str">
        <f>"20190303154304202"</f>
        <v>20190303154304202</v>
      </c>
      <c r="B6130" t="str">
        <f>"1551598984196401"</f>
        <v>1551598984196401</v>
      </c>
      <c r="C6130" t="s">
        <v>40</v>
      </c>
      <c r="D6130">
        <v>4.7531660000000002</v>
      </c>
      <c r="E6130">
        <v>0.50379629999999997</v>
      </c>
      <c r="F6130" t="s">
        <v>58</v>
      </c>
      <c r="G6130">
        <v>-421.25720000000001</v>
      </c>
      <c r="H6130" s="1">
        <v>-6.7689599999999996E-6</v>
      </c>
      <c r="I6130">
        <v>27.23649</v>
      </c>
      <c r="J6130">
        <v>-422.02769999999998</v>
      </c>
      <c r="K6130">
        <v>1.1211869999999999</v>
      </c>
      <c r="L6130">
        <v>44.688290000000002</v>
      </c>
      <c r="M6130">
        <v>-7.2795259999999997E-3</v>
      </c>
      <c r="N6130">
        <v>-1.356632E-2</v>
      </c>
      <c r="O6130">
        <v>-0.99988160000000004</v>
      </c>
      <c r="P6130">
        <v>5.2742690000000002E-2</v>
      </c>
      <c r="Q6130">
        <v>-8.9576459999999997E-2</v>
      </c>
      <c r="R6130">
        <v>-0.99458270000000004</v>
      </c>
      <c r="S6130">
        <v>0.13027949999999999</v>
      </c>
      <c r="T6130">
        <v>-0.1899071</v>
      </c>
      <c r="U6130">
        <v>-2.9922490000000002</v>
      </c>
      <c r="V6130">
        <v>-5.9958850000000001E-2</v>
      </c>
      <c r="W6130">
        <v>-7.6099199999999895E-2</v>
      </c>
      <c r="X6130">
        <v>0.99529590000000001</v>
      </c>
      <c r="Y6130">
        <v>-5.0689680000000001E-2</v>
      </c>
      <c r="Z6130">
        <v>4.9718760000000001E-2</v>
      </c>
      <c r="AA6130">
        <v>0.99747609999999998</v>
      </c>
      <c r="AB6130">
        <v>21</v>
      </c>
      <c r="AC6130">
        <v>0.77049999999996899</v>
      </c>
      <c r="AD6130">
        <v>-1.12119376896</v>
      </c>
      <c r="AE6130">
        <v>-17.451799999999999</v>
      </c>
      <c r="AF6130">
        <v>-0.89384995338145701</v>
      </c>
      <c r="AG6130">
        <v>-1.12119376896</v>
      </c>
      <c r="AH6130">
        <v>17.3741568186297</v>
      </c>
      <c r="AI6130">
        <v>93.6874436652447</v>
      </c>
      <c r="AJ6130">
        <v>92.945105059199605</v>
      </c>
      <c r="AK6130">
        <v>17.433225988469601</v>
      </c>
      <c r="AL6130">
        <v>94.364382161298096</v>
      </c>
      <c r="AM6130">
        <v>93.447459448277399</v>
      </c>
      <c r="AN6130">
        <v>1.0000000402453799</v>
      </c>
    </row>
    <row r="6131" spans="1:40" x14ac:dyDescent="0.25">
      <c r="A6131" t="str">
        <f>"20190303154304223"</f>
        <v>20190303154304223</v>
      </c>
      <c r="B6131" t="str">
        <f>"1551598984216901"</f>
        <v>1551598984216901</v>
      </c>
      <c r="C6131" t="s">
        <v>40</v>
      </c>
      <c r="D6131">
        <v>4.759976</v>
      </c>
      <c r="E6131">
        <v>0.50405009999999995</v>
      </c>
      <c r="F6131" t="s">
        <v>58</v>
      </c>
      <c r="G6131">
        <v>-421.2663</v>
      </c>
      <c r="H6131" s="1">
        <v>-6.8024929999999997E-6</v>
      </c>
      <c r="I6131">
        <v>27.155460000000001</v>
      </c>
      <c r="J6131">
        <v>-422.029</v>
      </c>
      <c r="K6131">
        <v>1.1212679999999999</v>
      </c>
      <c r="L6131">
        <v>44.4863</v>
      </c>
      <c r="M6131">
        <v>-6.9754169999999898E-3</v>
      </c>
      <c r="N6131">
        <v>-1.356457E-2</v>
      </c>
      <c r="O6131">
        <v>-0.99988379999999999</v>
      </c>
      <c r="P6131">
        <v>5.4253210000000003E-2</v>
      </c>
      <c r="Q6131">
        <v>-9.1167609999999996E-2</v>
      </c>
      <c r="R6131">
        <v>-0.99435689999999999</v>
      </c>
      <c r="S6131">
        <v>0.1299438</v>
      </c>
      <c r="T6131">
        <v>-0.19134699999999999</v>
      </c>
      <c r="U6131">
        <v>-2.9922179999999998</v>
      </c>
      <c r="V6131">
        <v>-6.1151459999999998E-2</v>
      </c>
      <c r="W6131">
        <v>-7.7706239999999996E-2</v>
      </c>
      <c r="X6131">
        <v>0.99509910000000001</v>
      </c>
      <c r="Y6131">
        <v>-5.0273680000000001E-2</v>
      </c>
      <c r="Z6131">
        <v>5.0200399999999999E-2</v>
      </c>
      <c r="AA6131">
        <v>0.9974731</v>
      </c>
      <c r="AB6131">
        <v>21</v>
      </c>
      <c r="AC6131">
        <v>0.76269999999999505</v>
      </c>
      <c r="AD6131">
        <v>-1.1212748024929999</v>
      </c>
      <c r="AE6131">
        <v>-17.330839999999998</v>
      </c>
      <c r="AF6131">
        <v>-0.87990633732125101</v>
      </c>
      <c r="AG6131">
        <v>-1.1212748024929999</v>
      </c>
      <c r="AH6131">
        <v>17.253018493733901</v>
      </c>
      <c r="AI6131">
        <v>93.713614251127694</v>
      </c>
      <c r="AJ6131">
        <v>92.919563184159998</v>
      </c>
      <c r="AK6131">
        <v>17.311791920257399</v>
      </c>
      <c r="AL6131">
        <v>94.456732487973198</v>
      </c>
      <c r="AM6131">
        <v>93.516554302787497</v>
      </c>
      <c r="AN6131">
        <v>0.99999998980793903</v>
      </c>
    </row>
    <row r="6132" spans="1:40" x14ac:dyDescent="0.25">
      <c r="A6132" t="str">
        <f>"20190303154304246"</f>
        <v>20190303154304246</v>
      </c>
      <c r="B6132" t="str">
        <f>"1551598984236417"</f>
        <v>1551598984236417</v>
      </c>
      <c r="C6132" t="s">
        <v>40</v>
      </c>
      <c r="D6132">
        <v>4.7716390000000004</v>
      </c>
      <c r="E6132">
        <v>0.50428700000000004</v>
      </c>
      <c r="F6132" t="s">
        <v>58</v>
      </c>
      <c r="G6132">
        <v>-421.2715</v>
      </c>
      <c r="H6132" s="1">
        <v>-6.7261709999999999E-6</v>
      </c>
      <c r="I6132">
        <v>27.343579999999999</v>
      </c>
      <c r="J6132">
        <v>-422.03</v>
      </c>
      <c r="K6132">
        <v>1.1213519999999999</v>
      </c>
      <c r="L6132">
        <v>44.276000000000003</v>
      </c>
      <c r="M6132">
        <v>-6.5379619999999996E-3</v>
      </c>
      <c r="N6132">
        <v>-1.3562940000000001E-2</v>
      </c>
      <c r="O6132">
        <v>-0.99988679999999996</v>
      </c>
      <c r="P6132">
        <v>5.5603899999999998E-2</v>
      </c>
      <c r="Q6132">
        <v>-9.1709879999999994E-2</v>
      </c>
      <c r="R6132">
        <v>-0.99423249999999996</v>
      </c>
      <c r="S6132">
        <v>0.13220209999999999</v>
      </c>
      <c r="T6132">
        <v>-0.1956936</v>
      </c>
      <c r="U6132">
        <v>-2.9918819999999999</v>
      </c>
      <c r="V6132">
        <v>-6.2050750000000002E-2</v>
      </c>
      <c r="W6132">
        <v>-7.8264180000000003E-2</v>
      </c>
      <c r="X6132">
        <v>0.99499970000000004</v>
      </c>
      <c r="Y6132">
        <v>-5.058911E-2</v>
      </c>
      <c r="Z6132">
        <v>5.1651179999999998E-2</v>
      </c>
      <c r="AA6132">
        <v>0.99738300000000002</v>
      </c>
      <c r="AB6132">
        <v>21</v>
      </c>
      <c r="AC6132">
        <v>0.75849999999996898</v>
      </c>
      <c r="AD6132">
        <v>-1.1213587261710001</v>
      </c>
      <c r="AE6132">
        <v>-16.93242</v>
      </c>
      <c r="AF6132">
        <v>-0.86540953897135797</v>
      </c>
      <c r="AG6132">
        <v>-1.1213587261710001</v>
      </c>
      <c r="AH6132">
        <v>16.853330848132</v>
      </c>
      <c r="AI6132">
        <v>93.801645867838204</v>
      </c>
      <c r="AJ6132">
        <v>92.939525879231496</v>
      </c>
      <c r="AK6132">
        <v>16.9127508034471</v>
      </c>
      <c r="AL6132">
        <v>94.488797748321105</v>
      </c>
      <c r="AM6132">
        <v>93.568491450727805</v>
      </c>
      <c r="AN6132">
        <v>0.99999999022336195</v>
      </c>
    </row>
    <row r="6133" spans="1:40" x14ac:dyDescent="0.25">
      <c r="A6133" t="str">
        <f>"20190303154304261"</f>
        <v>20190303154304261</v>
      </c>
      <c r="B6133" t="str">
        <f>"1551598984255938"</f>
        <v>1551598984255938</v>
      </c>
      <c r="C6133" t="s">
        <v>40</v>
      </c>
      <c r="D6133">
        <v>4.7490370000000004</v>
      </c>
      <c r="E6133">
        <v>0.50453539999999997</v>
      </c>
      <c r="F6133" t="s">
        <v>58</v>
      </c>
      <c r="G6133">
        <v>-421.26560000000001</v>
      </c>
      <c r="H6133" s="1">
        <v>-6.7565959999999997E-6</v>
      </c>
      <c r="I6133">
        <v>27.268039999999999</v>
      </c>
      <c r="J6133">
        <v>-422.03059999999999</v>
      </c>
      <c r="K6133">
        <v>1.1214090000000001</v>
      </c>
      <c r="L6133">
        <v>44.132899999999999</v>
      </c>
      <c r="M6133">
        <v>-6.1671440000000003E-3</v>
      </c>
      <c r="N6133">
        <v>-1.356195E-2</v>
      </c>
      <c r="O6133">
        <v>-0.99988900000000003</v>
      </c>
      <c r="P6133">
        <v>5.6782310000000003E-2</v>
      </c>
      <c r="Q6133">
        <v>-9.1828069999999998E-2</v>
      </c>
      <c r="R6133">
        <v>-0.99415480000000001</v>
      </c>
      <c r="S6133">
        <v>0.13446040000000001</v>
      </c>
      <c r="T6133">
        <v>-0.1972469</v>
      </c>
      <c r="U6133">
        <v>-2.9916990000000001</v>
      </c>
      <c r="V6133">
        <v>-6.2849070000000007E-2</v>
      </c>
      <c r="W6133">
        <v>-7.8393309999999994E-2</v>
      </c>
      <c r="X6133">
        <v>0.99493940000000003</v>
      </c>
      <c r="Y6133">
        <v>-5.0971210000000003E-2</v>
      </c>
      <c r="Z6133">
        <v>5.2170389999999997E-2</v>
      </c>
      <c r="AA6133">
        <v>0.99733660000000002</v>
      </c>
      <c r="AB6133">
        <v>21</v>
      </c>
      <c r="AC6133">
        <v>0.76499999999998602</v>
      </c>
      <c r="AD6133">
        <v>-1.1214157565959999</v>
      </c>
      <c r="AE6133">
        <v>-16.864859999999901</v>
      </c>
      <c r="AF6133">
        <v>-0.865185490283361</v>
      </c>
      <c r="AG6133">
        <v>-1.1214157565959999</v>
      </c>
      <c r="AH6133">
        <v>16.7857554089613</v>
      </c>
      <c r="AI6133">
        <v>93.817061022211007</v>
      </c>
      <c r="AJ6133">
        <v>92.950576096610206</v>
      </c>
      <c r="AK6133">
        <v>16.845406017107901</v>
      </c>
      <c r="AL6133">
        <v>94.496219275975506</v>
      </c>
      <c r="AM6133">
        <v>93.614499769549894</v>
      </c>
      <c r="AN6133">
        <v>0.99999996316248896</v>
      </c>
    </row>
    <row r="6134" spans="1:40" x14ac:dyDescent="0.25">
      <c r="A6134" t="str">
        <f>"20190303154304279"</f>
        <v>20190303154304279</v>
      </c>
      <c r="B6134" t="str">
        <f>"1551598984276434"</f>
        <v>1551598984276434</v>
      </c>
      <c r="C6134" t="s">
        <v>40</v>
      </c>
      <c r="D6134">
        <v>4.7646129999999998</v>
      </c>
      <c r="E6134">
        <v>0.50475340000000002</v>
      </c>
      <c r="F6134" t="s">
        <v>58</v>
      </c>
      <c r="G6134">
        <v>-421.25940000000003</v>
      </c>
      <c r="H6134" s="1">
        <v>-6.803556E-6</v>
      </c>
      <c r="I6134">
        <v>27.151859999999999</v>
      </c>
      <c r="J6134">
        <v>-422.03109999999998</v>
      </c>
      <c r="K6134">
        <v>1.1214770000000001</v>
      </c>
      <c r="L6134">
        <v>43.967930000000003</v>
      </c>
      <c r="M6134">
        <v>-5.6629469999999998E-3</v>
      </c>
      <c r="N6134">
        <v>-1.356095E-2</v>
      </c>
      <c r="O6134">
        <v>-0.99989229999999996</v>
      </c>
      <c r="P6134">
        <v>5.8016489999999997E-2</v>
      </c>
      <c r="Q6134">
        <v>-9.2057150000000004E-2</v>
      </c>
      <c r="R6134">
        <v>-0.99406249999999996</v>
      </c>
      <c r="S6134">
        <v>0.13586429999999999</v>
      </c>
      <c r="T6134">
        <v>-0.19756560000000001</v>
      </c>
      <c r="U6134">
        <v>-2.991638</v>
      </c>
      <c r="V6134">
        <v>-6.3568959999999994E-2</v>
      </c>
      <c r="W6134">
        <v>-7.863473E-2</v>
      </c>
      <c r="X6134">
        <v>0.9948747</v>
      </c>
      <c r="Y6134">
        <v>-5.0935300000000003E-2</v>
      </c>
      <c r="Z6134">
        <v>5.2278320000000003E-2</v>
      </c>
      <c r="AA6134">
        <v>0.99733280000000002</v>
      </c>
      <c r="AB6134">
        <v>21</v>
      </c>
      <c r="AC6134">
        <v>0.77169999999995298</v>
      </c>
      <c r="AD6134">
        <v>-1.121483803556</v>
      </c>
      <c r="AE6134">
        <v>-16.8160699999999</v>
      </c>
      <c r="AF6134">
        <v>-0.86309413695853099</v>
      </c>
      <c r="AG6134">
        <v>-1.121483803556</v>
      </c>
      <c r="AH6134">
        <v>16.737144200798099</v>
      </c>
      <c r="AI6134">
        <v>93.828341083846993</v>
      </c>
      <c r="AJ6134">
        <v>92.951990278386006</v>
      </c>
      <c r="AK6134">
        <v>16.796864392177401</v>
      </c>
      <c r="AL6134">
        <v>94.510094058874103</v>
      </c>
      <c r="AM6134">
        <v>93.656026673459493</v>
      </c>
      <c r="AN6134">
        <v>1.00000005106887</v>
      </c>
    </row>
    <row r="6135" spans="1:40" x14ac:dyDescent="0.25">
      <c r="A6135" t="str">
        <f>"20190303154304302"</f>
        <v>20190303154304302</v>
      </c>
      <c r="B6135" t="str">
        <f>"1551598984295954"</f>
        <v>1551598984295954</v>
      </c>
      <c r="C6135" t="s">
        <v>40</v>
      </c>
      <c r="D6135">
        <v>4.771045</v>
      </c>
      <c r="E6135">
        <v>0.50504709999999997</v>
      </c>
      <c r="F6135" t="s">
        <v>58</v>
      </c>
      <c r="G6135">
        <v>-421.25119999999998</v>
      </c>
      <c r="H6135" s="1">
        <v>-6.8443410000000003E-6</v>
      </c>
      <c r="I6135">
        <v>27.050560000000001</v>
      </c>
      <c r="J6135">
        <v>-422.03149999999999</v>
      </c>
      <c r="K6135">
        <v>1.121556</v>
      </c>
      <c r="L6135">
        <v>43.75797</v>
      </c>
      <c r="M6135">
        <v>-4.9018480000000003E-3</v>
      </c>
      <c r="N6135">
        <v>-1.355978E-2</v>
      </c>
      <c r="O6135">
        <v>-0.99989629999999996</v>
      </c>
      <c r="P6135">
        <v>6.0149899999999999E-2</v>
      </c>
      <c r="Q6135">
        <v>-9.2364730000000006E-2</v>
      </c>
      <c r="R6135">
        <v>-0.99390730000000005</v>
      </c>
      <c r="S6135">
        <v>0.1379089</v>
      </c>
      <c r="T6135">
        <v>-0.19831309999999999</v>
      </c>
      <c r="U6135">
        <v>-2.9915159999999998</v>
      </c>
      <c r="V6135">
        <v>-6.4930160000000001E-2</v>
      </c>
      <c r="W6135">
        <v>-7.8958500000000001E-2</v>
      </c>
      <c r="X6135">
        <v>0.99476109999999895</v>
      </c>
      <c r="Y6135">
        <v>-5.085655E-2</v>
      </c>
      <c r="Z6135">
        <v>5.253004E-2</v>
      </c>
      <c r="AA6135">
        <v>0.99732350000000003</v>
      </c>
      <c r="AB6135">
        <v>21</v>
      </c>
      <c r="AC6135">
        <v>0.78030000000001098</v>
      </c>
      <c r="AD6135">
        <v>-1.121562844341</v>
      </c>
      <c r="AE6135">
        <v>-16.707409999999999</v>
      </c>
      <c r="AF6135">
        <v>-0.85833573876301505</v>
      </c>
      <c r="AG6135">
        <v>-1.121562844341</v>
      </c>
      <c r="AH6135">
        <v>16.6286120276174</v>
      </c>
      <c r="AI6135">
        <v>93.853513784271996</v>
      </c>
      <c r="AJ6135">
        <v>92.954871219966094</v>
      </c>
      <c r="AK6135">
        <v>16.688480500610801</v>
      </c>
      <c r="AL6135">
        <v>94.528702766125704</v>
      </c>
      <c r="AM6135">
        <v>93.734519092787806</v>
      </c>
      <c r="AN6135">
        <v>1.0000000082365399</v>
      </c>
    </row>
    <row r="6136" spans="1:40" x14ac:dyDescent="0.25">
      <c r="A6136" t="str">
        <f>"20190303154304334"</f>
        <v>20190303154304334</v>
      </c>
      <c r="B6136" t="str">
        <f>"1551598984326210"</f>
        <v>1551598984326210</v>
      </c>
      <c r="C6136" t="s">
        <v>40</v>
      </c>
      <c r="D6136">
        <v>4.8029070000000003</v>
      </c>
      <c r="E6136">
        <v>0.4907359</v>
      </c>
      <c r="F6136" t="s">
        <v>58</v>
      </c>
      <c r="G6136">
        <v>-421.23050000000001</v>
      </c>
      <c r="H6136" s="1">
        <v>-6.9285489999999997E-6</v>
      </c>
      <c r="I6136">
        <v>26.840869999999999</v>
      </c>
      <c r="J6136">
        <v>-422.03149999999999</v>
      </c>
      <c r="K6136">
        <v>1.121642</v>
      </c>
      <c r="L6136">
        <v>43.451140000000002</v>
      </c>
      <c r="M6136">
        <v>-3.6062680000000001E-3</v>
      </c>
      <c r="N6136">
        <v>-1.355816E-2</v>
      </c>
      <c r="O6136">
        <v>-0.99990159999999995</v>
      </c>
      <c r="P6136">
        <v>6.1937890000000002E-2</v>
      </c>
      <c r="Q6136">
        <v>-9.3535859999999998E-2</v>
      </c>
      <c r="R6136">
        <v>-0.99368769999999995</v>
      </c>
      <c r="S6136">
        <v>0.14163210000000001</v>
      </c>
      <c r="T6136">
        <v>-0.19832230000000001</v>
      </c>
      <c r="U6136">
        <v>-2.9913940000000001</v>
      </c>
      <c r="V6136">
        <v>-6.5410129999999997E-2</v>
      </c>
      <c r="W6136">
        <v>-8.0148730000000001E-2</v>
      </c>
      <c r="X6136">
        <v>0.99463440000000003</v>
      </c>
      <c r="Y6136">
        <v>-5.0802989999999999E-2</v>
      </c>
      <c r="Z6136">
        <v>5.2536470000000002E-2</v>
      </c>
      <c r="AA6136">
        <v>0.99732589999999999</v>
      </c>
      <c r="AB6136">
        <v>21</v>
      </c>
      <c r="AC6136">
        <v>0.80099999999998694</v>
      </c>
      <c r="AD6136">
        <v>-1.1216489285489999</v>
      </c>
      <c r="AE6136">
        <v>-16.61027</v>
      </c>
      <c r="AF6136">
        <v>-0.857002554830681</v>
      </c>
      <c r="AG6136">
        <v>-1.1216489285489999</v>
      </c>
      <c r="AH6136">
        <v>16.532062531539999</v>
      </c>
      <c r="AI6136">
        <v>93.876202995278803</v>
      </c>
      <c r="AJ6136">
        <v>92.967489157556003</v>
      </c>
      <c r="AK6136">
        <v>16.592216284892402</v>
      </c>
      <c r="AL6136">
        <v>94.597115033894397</v>
      </c>
      <c r="AM6136">
        <v>93.762523877859394</v>
      </c>
      <c r="AN6136">
        <v>0.99999994684529303</v>
      </c>
    </row>
    <row r="6137" spans="1:40" x14ac:dyDescent="0.25">
      <c r="A6137" t="str">
        <f>"20190303154304357"</f>
        <v>20190303154304357</v>
      </c>
      <c r="B6137" t="str">
        <f>"1551598984346705"</f>
        <v>1551598984346705</v>
      </c>
      <c r="C6137" t="s">
        <v>40</v>
      </c>
      <c r="D6137">
        <v>4.8238469999999998</v>
      </c>
      <c r="E6137">
        <v>0.485323</v>
      </c>
      <c r="F6137" t="s">
        <v>58</v>
      </c>
      <c r="G6137">
        <v>-420.81700000000001</v>
      </c>
      <c r="H6137" s="1">
        <v>-5.8016700000000003E-6</v>
      </c>
      <c r="I6137">
        <v>29.548629999999999</v>
      </c>
      <c r="J6137">
        <v>-422.03109999999998</v>
      </c>
      <c r="K6137">
        <v>1.1216889999999999</v>
      </c>
      <c r="L6137">
        <v>43.250059999999998</v>
      </c>
      <c r="M6137">
        <v>-2.6389270000000001E-3</v>
      </c>
      <c r="N6137">
        <v>-1.355697E-2</v>
      </c>
      <c r="O6137">
        <v>-0.99990480000000004</v>
      </c>
      <c r="P6137">
        <v>6.4557929999999999E-2</v>
      </c>
      <c r="Q6137">
        <v>-9.3185610000000002E-2</v>
      </c>
      <c r="R6137">
        <v>-0.99355400000000005</v>
      </c>
      <c r="S6137">
        <v>0.26034550000000001</v>
      </c>
      <c r="T6137">
        <v>-0.2404406</v>
      </c>
      <c r="U6137">
        <v>-2.980194</v>
      </c>
      <c r="V6137">
        <v>-6.7059960000000002E-2</v>
      </c>
      <c r="W6137">
        <v>-7.9810899999999907E-2</v>
      </c>
      <c r="X6137">
        <v>0.99455179999999999</v>
      </c>
      <c r="Y6137">
        <v>-8.9405949999999998E-2</v>
      </c>
      <c r="Z6137">
        <v>6.6583110000000001E-2</v>
      </c>
      <c r="AA6137">
        <v>0.99376719999999996</v>
      </c>
      <c r="AB6137">
        <v>21</v>
      </c>
      <c r="AC6137">
        <v>1.2141000000000299</v>
      </c>
      <c r="AD6137">
        <v>-1.1216948016699999</v>
      </c>
      <c r="AE6137">
        <v>-13.701429999999901</v>
      </c>
      <c r="AF6137">
        <v>-1.2419968969758199</v>
      </c>
      <c r="AG6137">
        <v>-1.1216948016699999</v>
      </c>
      <c r="AH6137">
        <v>13.607687107314</v>
      </c>
      <c r="AI6137">
        <v>94.692873783123105</v>
      </c>
      <c r="AJ6137">
        <v>95.215034583762403</v>
      </c>
      <c r="AK6137">
        <v>13.7102116661542</v>
      </c>
      <c r="AL6137">
        <v>94.577696117039807</v>
      </c>
      <c r="AM6137">
        <v>93.857461877575602</v>
      </c>
      <c r="AN6137">
        <v>1.0000000504386199</v>
      </c>
    </row>
    <row r="6138" spans="1:40" x14ac:dyDescent="0.25">
      <c r="A6138" t="str">
        <f>"20190303154304379"</f>
        <v>20190303154304379</v>
      </c>
      <c r="B6138" t="str">
        <f>"1551598984376962"</f>
        <v>1551598984376962</v>
      </c>
      <c r="C6138" t="s">
        <v>40</v>
      </c>
      <c r="D6138">
        <v>4.7864319999999996</v>
      </c>
      <c r="E6138">
        <v>0.48309350000000001</v>
      </c>
      <c r="F6138" t="s">
        <v>58</v>
      </c>
      <c r="G6138">
        <v>-420.49009999999998</v>
      </c>
      <c r="H6138" s="1">
        <v>-6.2089750000000001E-6</v>
      </c>
      <c r="I6138">
        <v>28.502040000000001</v>
      </c>
      <c r="J6138">
        <v>-422.03039999999999</v>
      </c>
      <c r="K6138">
        <v>1.1217600000000001</v>
      </c>
      <c r="L6138">
        <v>43.041379999999997</v>
      </c>
      <c r="M6138">
        <v>-1.5352289999999999E-3</v>
      </c>
      <c r="N6138">
        <v>-1.3555859999999999E-2</v>
      </c>
      <c r="O6138">
        <v>-0.99990690000000004</v>
      </c>
      <c r="P6138">
        <v>7.0386459999999998E-2</v>
      </c>
      <c r="Q6138">
        <v>-8.9004130000000001E-2</v>
      </c>
      <c r="R6138">
        <v>-0.99354120000000001</v>
      </c>
      <c r="S6138">
        <v>0.31115720000000002</v>
      </c>
      <c r="T6138">
        <v>-0.22649849999999999</v>
      </c>
      <c r="U6138">
        <v>-2.9779969999999998</v>
      </c>
      <c r="V6138">
        <v>-7.1788920000000006E-2</v>
      </c>
      <c r="W6138">
        <v>-7.5645690000000002E-2</v>
      </c>
      <c r="X6138">
        <v>0.99454719999999996</v>
      </c>
      <c r="Y6138">
        <v>-0.10518379999999999</v>
      </c>
      <c r="Z6138">
        <v>6.1898710000000003E-2</v>
      </c>
      <c r="AA6138">
        <v>0.99252450000000003</v>
      </c>
      <c r="AB6138">
        <v>21</v>
      </c>
      <c r="AC6138">
        <v>1.5403</v>
      </c>
      <c r="AD6138">
        <v>-1.121766208975</v>
      </c>
      <c r="AE6138">
        <v>-14.5393399999999</v>
      </c>
      <c r="AF6138">
        <v>-1.5534766787113701</v>
      </c>
      <c r="AG6138">
        <v>-1.121766208975</v>
      </c>
      <c r="AH6138">
        <v>14.4518847386</v>
      </c>
      <c r="AI6138">
        <v>94.413120390171301</v>
      </c>
      <c r="AJ6138">
        <v>96.135337762613403</v>
      </c>
      <c r="AK6138">
        <v>14.5783614208414</v>
      </c>
      <c r="AL6138">
        <v>94.3383228988627</v>
      </c>
      <c r="AM6138">
        <v>94.128593079980405</v>
      </c>
      <c r="AN6138">
        <v>1.00000002623909</v>
      </c>
    </row>
    <row r="6139" spans="1:40" x14ac:dyDescent="0.25">
      <c r="A6139" t="str">
        <f>"20190303154304402"</f>
        <v>20190303154304402</v>
      </c>
      <c r="B6139" t="str">
        <f>"1551598984396484"</f>
        <v>1551598984396484</v>
      </c>
      <c r="C6139" t="s">
        <v>40</v>
      </c>
      <c r="D6139">
        <v>4.7976989999999997</v>
      </c>
      <c r="E6139">
        <v>0.48245830000000001</v>
      </c>
      <c r="F6139" t="s">
        <v>58</v>
      </c>
      <c r="G6139">
        <v>-420.17439999999999</v>
      </c>
      <c r="H6139" s="1">
        <v>-6.7666310000000004E-6</v>
      </c>
      <c r="I6139">
        <v>27.087900000000001</v>
      </c>
      <c r="J6139">
        <v>-422.02940000000001</v>
      </c>
      <c r="K6139">
        <v>1.121845</v>
      </c>
      <c r="L6139">
        <v>42.832889999999999</v>
      </c>
      <c r="M6139">
        <v>-3.5400159999999999E-4</v>
      </c>
      <c r="N6139">
        <v>-1.355496E-2</v>
      </c>
      <c r="O6139">
        <v>-0.99990829999999997</v>
      </c>
      <c r="P6139">
        <v>7.9695660000000001E-2</v>
      </c>
      <c r="Q6139">
        <v>-8.2164059999999997E-2</v>
      </c>
      <c r="R6139">
        <v>-0.99342790000000003</v>
      </c>
      <c r="S6139">
        <v>0.34625240000000002</v>
      </c>
      <c r="T6139">
        <v>-0.20927299999999999</v>
      </c>
      <c r="U6139">
        <v>-2.9762270000000002</v>
      </c>
      <c r="V6139">
        <v>-7.9928349999999995E-2</v>
      </c>
      <c r="W6139">
        <v>-6.8829219999999997E-2</v>
      </c>
      <c r="X6139">
        <v>0.99442140000000001</v>
      </c>
      <c r="Y6139">
        <v>-0.11566410000000001</v>
      </c>
      <c r="Z6139">
        <v>5.6144090000000001E-2</v>
      </c>
      <c r="AA6139">
        <v>0.99170040000000004</v>
      </c>
      <c r="AB6139">
        <v>21</v>
      </c>
      <c r="AC6139">
        <v>1.85500000000001</v>
      </c>
      <c r="AD6139">
        <v>-1.1218517666309999</v>
      </c>
      <c r="AE6139">
        <v>-15.7449899999999</v>
      </c>
      <c r="AF6139">
        <v>-1.85130419990908</v>
      </c>
      <c r="AG6139">
        <v>-1.1218517666309999</v>
      </c>
      <c r="AH6139">
        <v>15.665889227964399</v>
      </c>
      <c r="AI6139">
        <v>94.067813114518202</v>
      </c>
      <c r="AJ6139">
        <v>96.739626605438204</v>
      </c>
      <c r="AK6139">
        <v>15.8147388195235</v>
      </c>
      <c r="AL6139">
        <v>93.946744415797099</v>
      </c>
      <c r="AM6139">
        <v>94.595368940956305</v>
      </c>
      <c r="AN6139">
        <v>0.99999996171874395</v>
      </c>
    </row>
    <row r="6140" spans="1:40" x14ac:dyDescent="0.25">
      <c r="A6140" t="str">
        <f>"20190303154304436"</f>
        <v>20190303154304436</v>
      </c>
      <c r="B6140" t="str">
        <f>"1551598984426739"</f>
        <v>1551598984426739</v>
      </c>
      <c r="C6140" t="s">
        <v>40</v>
      </c>
      <c r="D6140">
        <v>4.7681649999999998</v>
      </c>
      <c r="E6140">
        <v>0.48245519999999997</v>
      </c>
      <c r="F6140" t="s">
        <v>58</v>
      </c>
      <c r="G6140">
        <v>-419.80329999999998</v>
      </c>
      <c r="H6140" s="1">
        <v>-6.86253999999999E-6</v>
      </c>
      <c r="I6140">
        <v>25.361049999999999</v>
      </c>
      <c r="J6140">
        <v>-422.02719999999999</v>
      </c>
      <c r="K6140">
        <v>1.1219600000000001</v>
      </c>
      <c r="L6140">
        <v>42.525089999999999</v>
      </c>
      <c r="M6140">
        <v>1.519849E-3</v>
      </c>
      <c r="N6140">
        <v>-1.3553819999999999E-2</v>
      </c>
      <c r="O6140">
        <v>-0.99990710000000005</v>
      </c>
      <c r="P6140">
        <v>9.8480700000000004E-2</v>
      </c>
      <c r="Q6140">
        <v>-7.2300610000000001E-2</v>
      </c>
      <c r="R6140">
        <v>-0.99250950000000004</v>
      </c>
      <c r="S6140">
        <v>0.37887569999999998</v>
      </c>
      <c r="T6140">
        <v>-0.1909363</v>
      </c>
      <c r="U6140">
        <v>-2.9736630000000002</v>
      </c>
      <c r="V6140">
        <v>-9.686148E-2</v>
      </c>
      <c r="W6140">
        <v>-5.9021560000000001E-2</v>
      </c>
      <c r="X6140">
        <v>0.99354629999999999</v>
      </c>
      <c r="Y6140">
        <v>-0.1246574</v>
      </c>
      <c r="Z6140">
        <v>5.0040599999999998E-2</v>
      </c>
      <c r="AA6140">
        <v>0.99093719999999996</v>
      </c>
      <c r="AB6140">
        <v>21</v>
      </c>
      <c r="AC6140">
        <v>2.2239000000000102</v>
      </c>
      <c r="AD6140">
        <v>-1.1219668625399899</v>
      </c>
      <c r="AE6140">
        <v>-17.16404</v>
      </c>
      <c r="AF6140">
        <v>-2.1886110103735099</v>
      </c>
      <c r="AG6140">
        <v>-1.1219668625399899</v>
      </c>
      <c r="AH6140">
        <v>17.0955591971058</v>
      </c>
      <c r="AI6140">
        <v>93.724576313390202</v>
      </c>
      <c r="AJ6140">
        <v>97.295447476320803</v>
      </c>
      <c r="AK6140">
        <v>17.2715654199935</v>
      </c>
      <c r="AL6140">
        <v>93.383652848027793</v>
      </c>
      <c r="AM6140">
        <v>95.5682067155753</v>
      </c>
      <c r="AN6140">
        <v>0.99999997054815604</v>
      </c>
    </row>
    <row r="6141" spans="1:40" x14ac:dyDescent="0.25">
      <c r="A6141" t="str">
        <f>"20190303154304457"</f>
        <v>20190303154304457</v>
      </c>
      <c r="B6141" t="str">
        <f>"1551598984446258"</f>
        <v>1551598984446258</v>
      </c>
      <c r="C6141" t="s">
        <v>40</v>
      </c>
      <c r="D6141">
        <v>4.7632849999999998</v>
      </c>
      <c r="E6141">
        <v>0.48212440000000001</v>
      </c>
      <c r="F6141" t="s">
        <v>58</v>
      </c>
      <c r="G6141">
        <v>-419.02850000000001</v>
      </c>
      <c r="H6141" s="1">
        <v>-6.7640869999999996E-6</v>
      </c>
      <c r="I6141">
        <v>22.068090000000002</v>
      </c>
      <c r="J6141">
        <v>-422.02530000000002</v>
      </c>
      <c r="K6141">
        <v>1.1220300000000001</v>
      </c>
      <c r="L6141">
        <v>42.327939999999998</v>
      </c>
      <c r="M6141">
        <v>2.8220929999999999E-3</v>
      </c>
      <c r="N6141">
        <v>-1.3553229999999999E-2</v>
      </c>
      <c r="O6141">
        <v>-0.99990440000000003</v>
      </c>
      <c r="P6141">
        <v>0.11321349999999999</v>
      </c>
      <c r="Q6141">
        <v>-6.9085880000000002E-2</v>
      </c>
      <c r="R6141">
        <v>-0.9911662</v>
      </c>
      <c r="S6141">
        <v>0.43499759999999998</v>
      </c>
      <c r="T6141">
        <v>-0.1627595</v>
      </c>
      <c r="U6141">
        <v>-2.9676209999999998</v>
      </c>
      <c r="V6141">
        <v>-0.1103053</v>
      </c>
      <c r="W6141">
        <v>-5.586004E-2</v>
      </c>
      <c r="X6141">
        <v>0.99232670000000001</v>
      </c>
      <c r="Y6141">
        <v>-0.1420535</v>
      </c>
      <c r="Z6141">
        <v>4.0660889999999998E-2</v>
      </c>
      <c r="AA6141">
        <v>0.98902350000000006</v>
      </c>
      <c r="AB6141">
        <v>21</v>
      </c>
      <c r="AC6141">
        <v>2.9967999999999999</v>
      </c>
      <c r="AD6141">
        <v>-1.1220367640869999</v>
      </c>
      <c r="AE6141">
        <v>-20.25985</v>
      </c>
      <c r="AF6141">
        <v>-2.93081074392888</v>
      </c>
      <c r="AG6141">
        <v>-1.1220367640869999</v>
      </c>
      <c r="AH6141">
        <v>20.2075738005217</v>
      </c>
      <c r="AI6141">
        <v>93.145275023422698</v>
      </c>
      <c r="AJ6141">
        <v>98.252365933200096</v>
      </c>
      <c r="AK6141">
        <v>20.449808239204199</v>
      </c>
      <c r="AL6141">
        <v>93.202211531473594</v>
      </c>
      <c r="AM6141">
        <v>96.342859688384294</v>
      </c>
      <c r="AN6141">
        <v>0.99999994140488901</v>
      </c>
    </row>
    <row r="6142" spans="1:40" x14ac:dyDescent="0.25">
      <c r="A6142" t="str">
        <f>"20190303154304480"</f>
        <v>20190303154304480</v>
      </c>
      <c r="B6142" t="str">
        <f>"1551598984476514"</f>
        <v>1551598984476514</v>
      </c>
      <c r="C6142" t="s">
        <v>40</v>
      </c>
      <c r="D6142">
        <v>4.6411059999999997</v>
      </c>
      <c r="E6142">
        <v>0.47726780000000002</v>
      </c>
      <c r="F6142" t="s">
        <v>58</v>
      </c>
      <c r="G6142">
        <v>-418.57850000000002</v>
      </c>
      <c r="H6142" s="1">
        <v>-6.8167859999999997E-6</v>
      </c>
      <c r="I6142">
        <v>21.132149999999999</v>
      </c>
      <c r="J6142">
        <v>-422.02300000000002</v>
      </c>
      <c r="K6142">
        <v>1.122077</v>
      </c>
      <c r="L6142">
        <v>42.123690000000003</v>
      </c>
      <c r="M6142">
        <v>4.2436349999999999E-3</v>
      </c>
      <c r="N6142">
        <v>-1.3552720000000001E-2</v>
      </c>
      <c r="O6142">
        <v>-0.99989930000000005</v>
      </c>
      <c r="P6142">
        <v>0.1279902</v>
      </c>
      <c r="Q6142">
        <v>-6.7141980000000004E-2</v>
      </c>
      <c r="R6142">
        <v>-0.98950050000000001</v>
      </c>
      <c r="S6142">
        <v>0.48147580000000001</v>
      </c>
      <c r="T6142">
        <v>-0.15673599999999999</v>
      </c>
      <c r="U6142">
        <v>-2.9608150000000002</v>
      </c>
      <c r="V6142">
        <v>-0.1236778</v>
      </c>
      <c r="W6142">
        <v>-5.3974759999999997E-2</v>
      </c>
      <c r="X6142">
        <v>0.9908534</v>
      </c>
      <c r="Y6142">
        <v>-0.15612799999999999</v>
      </c>
      <c r="Z6142">
        <v>3.866195E-2</v>
      </c>
      <c r="AA6142">
        <v>0.98697990000000002</v>
      </c>
      <c r="AB6142">
        <v>20</v>
      </c>
      <c r="AC6142">
        <v>3.4445000000000001</v>
      </c>
      <c r="AD6142">
        <v>-1.1220838167860001</v>
      </c>
      <c r="AE6142">
        <v>-20.991540000000001</v>
      </c>
      <c r="AF6142">
        <v>-3.34607019572289</v>
      </c>
      <c r="AG6142">
        <v>-1.1220838167860001</v>
      </c>
      <c r="AH6142">
        <v>20.947684187973</v>
      </c>
      <c r="AI6142">
        <v>93.027863709183805</v>
      </c>
      <c r="AJ6142">
        <v>99.075450214646494</v>
      </c>
      <c r="AK6142">
        <v>21.242898358878701</v>
      </c>
      <c r="AL6142">
        <v>93.094029586511994</v>
      </c>
      <c r="AM6142">
        <v>97.114831862385699</v>
      </c>
      <c r="AN6142">
        <v>0.99999996661072799</v>
      </c>
    </row>
    <row r="6143" spans="1:40" x14ac:dyDescent="0.25">
      <c r="A6143" t="str">
        <f>"20190303154304502"</f>
        <v>20190303154304502</v>
      </c>
      <c r="B6143" t="str">
        <f>"1551598984496034"</f>
        <v>1551598984496034</v>
      </c>
      <c r="C6143" t="s">
        <v>40</v>
      </c>
      <c r="D6143">
        <v>4.4259599999999999</v>
      </c>
      <c r="E6143">
        <v>0.36406070000000001</v>
      </c>
      <c r="F6143" t="s">
        <v>58</v>
      </c>
      <c r="G6143">
        <v>-417.97489999999999</v>
      </c>
      <c r="H6143" s="1">
        <v>-7.0177819999999999E-6</v>
      </c>
      <c r="I6143">
        <v>20.964300000000001</v>
      </c>
      <c r="J6143">
        <v>-422.02019999999999</v>
      </c>
      <c r="K6143">
        <v>1.1221299999999901</v>
      </c>
      <c r="L6143">
        <v>41.913910000000001</v>
      </c>
      <c r="M6143">
        <v>5.7997259999999998E-3</v>
      </c>
      <c r="N6143">
        <v>-1.355247E-2</v>
      </c>
      <c r="O6143">
        <v>-0.99989170000000005</v>
      </c>
      <c r="P6143">
        <v>0.14260100000000001</v>
      </c>
      <c r="Q6143">
        <v>-6.5309389999999995E-2</v>
      </c>
      <c r="R6143">
        <v>-0.98762329999999998</v>
      </c>
      <c r="S6143">
        <v>0.56405640000000001</v>
      </c>
      <c r="T6143">
        <v>-0.15634719999999999</v>
      </c>
      <c r="U6143">
        <v>-2.9482729999999999</v>
      </c>
      <c r="V6143">
        <v>-0.13675670000000001</v>
      </c>
      <c r="W6143">
        <v>-5.2206629999999997E-2</v>
      </c>
      <c r="X6143">
        <v>0.989228</v>
      </c>
      <c r="Y6143">
        <v>-0.18198980000000001</v>
      </c>
      <c r="Z6143">
        <v>3.8510530000000001E-2</v>
      </c>
      <c r="AA6143">
        <v>0.98254600000000003</v>
      </c>
      <c r="AB6143">
        <v>20</v>
      </c>
      <c r="AC6143">
        <v>4.0452999999999903</v>
      </c>
      <c r="AD6143">
        <v>-1.12213701778199</v>
      </c>
      <c r="AE6143">
        <v>-20.94961</v>
      </c>
      <c r="AF6143">
        <v>-3.9128960396967898</v>
      </c>
      <c r="AG6143">
        <v>-1.12213701778199</v>
      </c>
      <c r="AH6143">
        <v>20.9148722912384</v>
      </c>
      <c r="AI6143">
        <v>93.018844060969101</v>
      </c>
      <c r="AJ6143">
        <v>100.59678169689199</v>
      </c>
      <c r="AK6143">
        <v>21.307318692481299</v>
      </c>
      <c r="AL6143">
        <v>92.992580063504107</v>
      </c>
      <c r="AM6143">
        <v>97.871015338810906</v>
      </c>
      <c r="AN6143">
        <v>0.99999998159742298</v>
      </c>
    </row>
    <row r="6144" spans="1:40" x14ac:dyDescent="0.25">
      <c r="A6144" t="str">
        <f>"20190303154304524"</f>
        <v>20190303154304524</v>
      </c>
      <c r="B6144" t="str">
        <f>"1551598984516530"</f>
        <v>1551598984516530</v>
      </c>
      <c r="C6144" t="s">
        <v>40</v>
      </c>
      <c r="D6144">
        <v>4.3753399999999996</v>
      </c>
      <c r="E6144">
        <v>0.34063110000000002</v>
      </c>
      <c r="F6144" t="s">
        <v>42</v>
      </c>
      <c r="G6144">
        <v>-421.572</v>
      </c>
      <c r="H6144">
        <v>1.0390999999999999</v>
      </c>
      <c r="I6144">
        <v>41.075980000000001</v>
      </c>
      <c r="J6144">
        <v>-422.0172</v>
      </c>
      <c r="K6144">
        <v>1.1221989999999999</v>
      </c>
      <c r="L6144">
        <v>41.716340000000002</v>
      </c>
      <c r="M6144">
        <v>7.3700509999999999E-3</v>
      </c>
      <c r="N6144">
        <v>-1.355256E-2</v>
      </c>
      <c r="O6144">
        <v>-0.99988120000000003</v>
      </c>
      <c r="P6144">
        <v>0.15589040000000001</v>
      </c>
      <c r="Q6144">
        <v>-6.4039479999999996E-2</v>
      </c>
      <c r="R6144">
        <v>-0.98569669999999998</v>
      </c>
      <c r="S6144">
        <v>1.499512</v>
      </c>
      <c r="T6144">
        <v>-0.27772629999999998</v>
      </c>
      <c r="U6144">
        <v>-2.8027039999999999</v>
      </c>
      <c r="V6144">
        <v>-0.14850289999999999</v>
      </c>
      <c r="W6144">
        <v>-5.1003519999999997E-2</v>
      </c>
      <c r="X6144">
        <v>0.98759589999999997</v>
      </c>
      <c r="Y6144">
        <v>-0.46365640000000002</v>
      </c>
      <c r="Z6144">
        <v>7.3716950000000003E-2</v>
      </c>
      <c r="AA6144">
        <v>0.88294319999999904</v>
      </c>
      <c r="AB6144">
        <v>20</v>
      </c>
      <c r="AC6144">
        <v>0.445200000000056</v>
      </c>
      <c r="AD6144">
        <v>-8.3099000000000006E-2</v>
      </c>
      <c r="AE6144">
        <v>-0.64036000000000104</v>
      </c>
      <c r="AF6144">
        <v>-0.43552361528886102</v>
      </c>
      <c r="AG6144">
        <v>-8.3099000000000006E-2</v>
      </c>
      <c r="AH6144">
        <v>0.63639919770521602</v>
      </c>
      <c r="AI6144">
        <v>96.150386727312096</v>
      </c>
      <c r="AJ6144">
        <v>124.386021958431</v>
      </c>
      <c r="AK6144">
        <v>0.77562246106925103</v>
      </c>
      <c r="AL6144">
        <v>92.923554714599504</v>
      </c>
      <c r="AM6144">
        <v>98.551389895110205</v>
      </c>
      <c r="AN6144">
        <v>1.0000000660288</v>
      </c>
    </row>
    <row r="6145" spans="1:40" x14ac:dyDescent="0.25">
      <c r="A6145" t="str">
        <f>"20190303154304546"</f>
        <v>20190303154304546</v>
      </c>
      <c r="B6145" t="str">
        <f>"1551598984537026"</f>
        <v>1551598984537026</v>
      </c>
      <c r="C6145" t="s">
        <v>40</v>
      </c>
      <c r="D6145">
        <v>4.3885500000000004</v>
      </c>
      <c r="E6145">
        <v>0.33113779999999998</v>
      </c>
      <c r="F6145" t="s">
        <v>42</v>
      </c>
      <c r="G6145">
        <v>-421.51130000000001</v>
      </c>
      <c r="H6145">
        <v>1.0326610000000001</v>
      </c>
      <c r="I6145">
        <v>40.907620000000001</v>
      </c>
      <c r="J6145">
        <v>-422.01369999999997</v>
      </c>
      <c r="K6145">
        <v>1.1222730000000001</v>
      </c>
      <c r="L6145">
        <v>41.512659999999997</v>
      </c>
      <c r="M6145">
        <v>9.1097269999999998E-3</v>
      </c>
      <c r="N6145">
        <v>-1.355317E-2</v>
      </c>
      <c r="O6145">
        <v>-0.99986679999999994</v>
      </c>
      <c r="P6145">
        <v>0.16747670000000001</v>
      </c>
      <c r="Q6145">
        <v>-6.3572729999999994E-2</v>
      </c>
      <c r="R6145">
        <v>-0.98382429999999998</v>
      </c>
      <c r="S6145">
        <v>1.7220150000000001</v>
      </c>
      <c r="T6145">
        <v>-0.30462600000000001</v>
      </c>
      <c r="U6145">
        <v>-2.7513730000000001</v>
      </c>
      <c r="V6145">
        <v>-0.15838169999999999</v>
      </c>
      <c r="W6145">
        <v>-5.0605499999999998E-2</v>
      </c>
      <c r="X6145">
        <v>0.98608030000000002</v>
      </c>
      <c r="Y6145">
        <v>-0.52073170000000002</v>
      </c>
      <c r="Z6145">
        <v>8.0215629999999996E-2</v>
      </c>
      <c r="AA6145">
        <v>0.84994349999999996</v>
      </c>
      <c r="AB6145">
        <v>20</v>
      </c>
      <c r="AC6145">
        <v>0.50239999999996598</v>
      </c>
      <c r="AD6145">
        <v>-8.9611999999999803E-2</v>
      </c>
      <c r="AE6145">
        <v>-0.60503999999999503</v>
      </c>
      <c r="AF6145">
        <v>-0.49049828311542898</v>
      </c>
      <c r="AG6145">
        <v>-8.9611999999999803E-2</v>
      </c>
      <c r="AH6145">
        <v>0.60177856556263498</v>
      </c>
      <c r="AI6145">
        <v>96.584323103518599</v>
      </c>
      <c r="AJ6145">
        <v>129.18282310059999</v>
      </c>
      <c r="AK6145">
        <v>0.78150900075034702</v>
      </c>
      <c r="AL6145">
        <v>92.900720499054998</v>
      </c>
      <c r="AM6145">
        <v>99.124767635276299</v>
      </c>
      <c r="AN6145">
        <v>1.00000001878661</v>
      </c>
    </row>
    <row r="6146" spans="1:40" x14ac:dyDescent="0.25">
      <c r="A6146" t="str">
        <f>"20190303154304569"</f>
        <v>20190303154304569</v>
      </c>
      <c r="B6146" t="str">
        <f>"1551598984566306"</f>
        <v>1551598984566306</v>
      </c>
      <c r="C6146" t="s">
        <v>40</v>
      </c>
      <c r="D6146">
        <v>4.1117910000000002</v>
      </c>
      <c r="E6146">
        <v>0.32668180000000002</v>
      </c>
      <c r="F6146" t="s">
        <v>42</v>
      </c>
      <c r="G6146">
        <v>-421.488</v>
      </c>
      <c r="H6146">
        <v>1.0312760000000001</v>
      </c>
      <c r="I6146">
        <v>40.731279999999998</v>
      </c>
      <c r="J6146">
        <v>-422.00970000000001</v>
      </c>
      <c r="K6146">
        <v>1.1223559999999999</v>
      </c>
      <c r="L6146">
        <v>41.313450000000003</v>
      </c>
      <c r="M6146">
        <v>1.0941859999999999E-2</v>
      </c>
      <c r="N6146">
        <v>-1.355431E-2</v>
      </c>
      <c r="O6146">
        <v>-0.99984839999999997</v>
      </c>
      <c r="P6146">
        <v>0.17700859999999999</v>
      </c>
      <c r="Q6146">
        <v>-6.5298629999999996E-2</v>
      </c>
      <c r="R6146">
        <v>-0.98204089999999999</v>
      </c>
      <c r="S6146">
        <v>1.8284</v>
      </c>
      <c r="T6146">
        <v>-0.3164902</v>
      </c>
      <c r="U6146">
        <v>-2.7176209999999998</v>
      </c>
      <c r="V6146">
        <v>-0.1661126</v>
      </c>
      <c r="W6146">
        <v>-5.2399580000000001E-2</v>
      </c>
      <c r="X6146">
        <v>0.98471359999999997</v>
      </c>
      <c r="Y6146">
        <v>-0.54680680000000004</v>
      </c>
      <c r="Z6146">
        <v>8.3037349999999996E-2</v>
      </c>
      <c r="AA6146">
        <v>0.83313090000000001</v>
      </c>
      <c r="AB6146">
        <v>20</v>
      </c>
      <c r="AC6146">
        <v>0.52169999999995198</v>
      </c>
      <c r="AD6146">
        <v>-9.10799999999998E-2</v>
      </c>
      <c r="AE6146">
        <v>-0.58217000000000496</v>
      </c>
      <c r="AF6146">
        <v>-0.50839668647837499</v>
      </c>
      <c r="AG6146">
        <v>-9.10799999999998E-2</v>
      </c>
      <c r="AH6146">
        <v>0.57997094646840497</v>
      </c>
      <c r="AI6146">
        <v>96.7350550710905</v>
      </c>
      <c r="AJ6146">
        <v>131.237478610533</v>
      </c>
      <c r="AK6146">
        <v>0.77661383967171804</v>
      </c>
      <c r="AL6146">
        <v>93.003650402778803</v>
      </c>
      <c r="AM6146">
        <v>99.575151768641206</v>
      </c>
      <c r="AN6146">
        <v>0.99999999294394804</v>
      </c>
    </row>
    <row r="6147" spans="1:40" x14ac:dyDescent="0.25">
      <c r="A6147" t="str">
        <f>"20190303154304596"</f>
        <v>20190303154304596</v>
      </c>
      <c r="B6147" t="str">
        <f>"1551598984586802"</f>
        <v>1551598984586802</v>
      </c>
      <c r="C6147" t="s">
        <v>40</v>
      </c>
      <c r="D6147">
        <v>4.3026450000000001</v>
      </c>
      <c r="E6147">
        <v>0.32596609999999998</v>
      </c>
      <c r="F6147" t="s">
        <v>42</v>
      </c>
      <c r="G6147">
        <v>-421.476</v>
      </c>
      <c r="H6147">
        <v>1.0294970000000001</v>
      </c>
      <c r="I6147">
        <v>40.552700000000002</v>
      </c>
      <c r="J6147">
        <v>-422.0043</v>
      </c>
      <c r="K6147">
        <v>1.122466</v>
      </c>
      <c r="L6147">
        <v>41.073180000000001</v>
      </c>
      <c r="M6147">
        <v>1.333811E-2</v>
      </c>
      <c r="N6147">
        <v>-1.355635E-2</v>
      </c>
      <c r="O6147">
        <v>-0.99981929999999997</v>
      </c>
      <c r="P6147">
        <v>0.18470890000000001</v>
      </c>
      <c r="Q6147">
        <v>-6.8184320000000007E-2</v>
      </c>
      <c r="R6147">
        <v>-0.9804254</v>
      </c>
      <c r="S6147">
        <v>1.889923</v>
      </c>
      <c r="T6147">
        <v>-0.32864169999999998</v>
      </c>
      <c r="U6147">
        <v>-2.6923520000000001</v>
      </c>
      <c r="V6147">
        <v>-0.17145289999999999</v>
      </c>
      <c r="W6147">
        <v>-5.5357110000000001E-2</v>
      </c>
      <c r="X6147">
        <v>0.98363579999999995</v>
      </c>
      <c r="Y6147">
        <v>-0.56103740000000002</v>
      </c>
      <c r="Z6147">
        <v>8.6378209999999997E-2</v>
      </c>
      <c r="AA6147">
        <v>0.82327150000000004</v>
      </c>
      <c r="AB6147">
        <v>20</v>
      </c>
      <c r="AC6147">
        <v>0.52830000000000099</v>
      </c>
      <c r="AD6147">
        <v>-9.2968999999999996E-2</v>
      </c>
      <c r="AE6147">
        <v>-0.52047999999999905</v>
      </c>
      <c r="AF6147">
        <v>-0.51324452033074097</v>
      </c>
      <c r="AG6147">
        <v>-9.2968999999999996E-2</v>
      </c>
      <c r="AH6147">
        <v>0.51931977015429798</v>
      </c>
      <c r="AI6147">
        <v>97.256387397443703</v>
      </c>
      <c r="AJ6147">
        <v>134.66289541381599</v>
      </c>
      <c r="AK6147">
        <v>0.73604089307839804</v>
      </c>
      <c r="AL6147">
        <v>93.173351088669605</v>
      </c>
      <c r="AM6147">
        <v>99.887618457389607</v>
      </c>
      <c r="AN6147">
        <v>0.999999946793799</v>
      </c>
    </row>
    <row r="6148" spans="1:40" x14ac:dyDescent="0.25">
      <c r="A6148" t="str">
        <f>"20190303154304615"</f>
        <v>20190303154304615</v>
      </c>
      <c r="B6148" t="str">
        <f>"1551598984606322"</f>
        <v>1551598984606322</v>
      </c>
      <c r="C6148" t="s">
        <v>40</v>
      </c>
      <c r="D6148">
        <v>4.299493</v>
      </c>
      <c r="E6148">
        <v>0.32626840000000001</v>
      </c>
      <c r="F6148" t="s">
        <v>42</v>
      </c>
      <c r="G6148">
        <v>-421.49799999999999</v>
      </c>
      <c r="H6148">
        <v>1.0327980000000001</v>
      </c>
      <c r="I6148">
        <v>40.366599999999998</v>
      </c>
      <c r="J6148">
        <v>-421.99979999999999</v>
      </c>
      <c r="K6148">
        <v>1.122552</v>
      </c>
      <c r="L6148">
        <v>40.896270000000001</v>
      </c>
      <c r="M6148">
        <v>1.5275820000000001E-2</v>
      </c>
      <c r="N6148">
        <v>-1.355862E-2</v>
      </c>
      <c r="O6148">
        <v>-0.99979150000000006</v>
      </c>
      <c r="P6148">
        <v>0.19084139999999999</v>
      </c>
      <c r="Q6148">
        <v>-7.3153830000000003E-2</v>
      </c>
      <c r="R6148">
        <v>-0.97889139999999997</v>
      </c>
      <c r="S6148">
        <v>1.916595</v>
      </c>
      <c r="T6148">
        <v>-0.33949420000000002</v>
      </c>
      <c r="U6148">
        <v>-2.6752319999999998</v>
      </c>
      <c r="V6148">
        <v>-0.17567559999999999</v>
      </c>
      <c r="W6148">
        <v>-6.0389379999999999E-2</v>
      </c>
      <c r="X6148">
        <v>0.98259410000000003</v>
      </c>
      <c r="Y6148">
        <v>-0.56715689999999996</v>
      </c>
      <c r="Z6148">
        <v>8.967137E-2</v>
      </c>
      <c r="AA6148">
        <v>0.81871369999999999</v>
      </c>
      <c r="AB6148">
        <v>20</v>
      </c>
      <c r="AC6148">
        <v>0.50179999999994596</v>
      </c>
      <c r="AD6148">
        <v>-8.9754000000000098E-2</v>
      </c>
      <c r="AE6148">
        <v>-0.52967000000000297</v>
      </c>
      <c r="AF6148">
        <v>-0.48629081039462702</v>
      </c>
      <c r="AG6148">
        <v>-8.9754000000000098E-2</v>
      </c>
      <c r="AH6148">
        <v>0.52926524873806702</v>
      </c>
      <c r="AI6148">
        <v>97.117979356955203</v>
      </c>
      <c r="AJ6148">
        <v>132.57690792733601</v>
      </c>
      <c r="AK6148">
        <v>0.72433157898301703</v>
      </c>
      <c r="AL6148">
        <v>93.462163198234705</v>
      </c>
      <c r="AM6148">
        <v>100.136671857403</v>
      </c>
      <c r="AN6148">
        <v>0.99999997950347697</v>
      </c>
    </row>
    <row r="6149" spans="1:40" x14ac:dyDescent="0.25">
      <c r="A6149" t="str">
        <f>"20190303154304637"</f>
        <v>20190303154304637</v>
      </c>
      <c r="B6149" t="str">
        <f>"1551598984626818"</f>
        <v>1551598984626818</v>
      </c>
      <c r="C6149" t="s">
        <v>40</v>
      </c>
      <c r="D6149">
        <v>4.3126720000000001</v>
      </c>
      <c r="E6149">
        <v>0.32679370000000002</v>
      </c>
      <c r="F6149" t="s">
        <v>42</v>
      </c>
      <c r="G6149">
        <v>-421.48660000000001</v>
      </c>
      <c r="H6149">
        <v>1.0275669999999999</v>
      </c>
      <c r="I6149">
        <v>40.188429999999997</v>
      </c>
      <c r="J6149">
        <v>-421.9941</v>
      </c>
      <c r="K6149">
        <v>1.122652</v>
      </c>
      <c r="L6149">
        <v>40.70337</v>
      </c>
      <c r="M6149">
        <v>1.756189E-2</v>
      </c>
      <c r="N6149">
        <v>-1.3561989999999999E-2</v>
      </c>
      <c r="O6149">
        <v>-0.99975409999999998</v>
      </c>
      <c r="P6149">
        <v>0.19654450000000001</v>
      </c>
      <c r="Q6149">
        <v>-7.5402120000000003E-2</v>
      </c>
      <c r="R6149">
        <v>-0.97759189999999996</v>
      </c>
      <c r="S6149">
        <v>1.930939</v>
      </c>
      <c r="T6149">
        <v>-0.35716500000000001</v>
      </c>
      <c r="U6149">
        <v>-2.6615600000000001</v>
      </c>
      <c r="V6149">
        <v>-0.17913209999999999</v>
      </c>
      <c r="W6149">
        <v>-6.2701989999999999E-2</v>
      </c>
      <c r="X6149">
        <v>0.9818249</v>
      </c>
      <c r="Y6149">
        <v>-0.56984069999999998</v>
      </c>
      <c r="Z6149">
        <v>9.515643E-2</v>
      </c>
      <c r="AA6149">
        <v>0.81622729999999999</v>
      </c>
      <c r="AB6149">
        <v>20</v>
      </c>
      <c r="AC6149">
        <v>0.50749999999999296</v>
      </c>
      <c r="AD6149">
        <v>-9.5085000000000003E-2</v>
      </c>
      <c r="AE6149">
        <v>-0.51494000000000195</v>
      </c>
      <c r="AF6149">
        <v>-0.48990400088225</v>
      </c>
      <c r="AG6149">
        <v>-9.5085000000000003E-2</v>
      </c>
      <c r="AH6149">
        <v>0.51486867943361903</v>
      </c>
      <c r="AI6149">
        <v>97.620376348135807</v>
      </c>
      <c r="AJ6149">
        <v>133.57671638701399</v>
      </c>
      <c r="AK6149">
        <v>0.71703336349653501</v>
      </c>
      <c r="AL6149">
        <v>93.594917647321296</v>
      </c>
      <c r="AM6149">
        <v>100.339780015766</v>
      </c>
      <c r="AN6149">
        <v>0.99999999153019004</v>
      </c>
    </row>
    <row r="6150" spans="1:40" x14ac:dyDescent="0.25">
      <c r="A6150" t="str">
        <f>"20190303154304659"</f>
        <v>20190303154304659</v>
      </c>
      <c r="B6150" t="str">
        <f>"1551598984656098"</f>
        <v>1551598984656098</v>
      </c>
      <c r="C6150" t="s">
        <v>40</v>
      </c>
      <c r="D6150">
        <v>4.2946730000000004</v>
      </c>
      <c r="E6150">
        <v>0.32798759999999999</v>
      </c>
      <c r="F6150" t="s">
        <v>42</v>
      </c>
      <c r="G6150">
        <v>-421.37189999999998</v>
      </c>
      <c r="H6150">
        <v>1.003055</v>
      </c>
      <c r="I6150">
        <v>39.853569999999998</v>
      </c>
      <c r="J6150">
        <v>-421.98770000000002</v>
      </c>
      <c r="K6150">
        <v>1.1227750000000001</v>
      </c>
      <c r="L6150">
        <v>40.504089999999998</v>
      </c>
      <c r="M6150">
        <v>2.0112040000000001E-2</v>
      </c>
      <c r="N6150">
        <v>-1.356633E-2</v>
      </c>
      <c r="O6150">
        <v>-0.99970590000000004</v>
      </c>
      <c r="P6150">
        <v>0.20333970000000001</v>
      </c>
      <c r="Q6150">
        <v>-7.4909669999999998E-2</v>
      </c>
      <c r="R6150">
        <v>-0.97623850000000001</v>
      </c>
      <c r="S6150">
        <v>1.9411929999999999</v>
      </c>
      <c r="T6150">
        <v>-0.37293280000000001</v>
      </c>
      <c r="U6150">
        <v>-2.64975</v>
      </c>
      <c r="V6150">
        <v>-0.18343580000000001</v>
      </c>
      <c r="W6150">
        <v>-6.2279109999999999E-2</v>
      </c>
      <c r="X6150">
        <v>0.98105690000000001</v>
      </c>
      <c r="Y6150">
        <v>-0.57123020000000002</v>
      </c>
      <c r="Z6150">
        <v>0.1001112</v>
      </c>
      <c r="AA6150">
        <v>0.81466179999999999</v>
      </c>
      <c r="AB6150">
        <v>20</v>
      </c>
      <c r="AC6150">
        <v>0.61580000000003499</v>
      </c>
      <c r="AD6150">
        <v>-0.11971999999999999</v>
      </c>
      <c r="AE6150">
        <v>-0.65052000000000698</v>
      </c>
      <c r="AF6150">
        <v>-0.59201585998988704</v>
      </c>
      <c r="AG6150">
        <v>-0.11971999999999999</v>
      </c>
      <c r="AH6150">
        <v>0.65114327048569998</v>
      </c>
      <c r="AI6150">
        <v>97.746920051047297</v>
      </c>
      <c r="AJ6150">
        <v>132.27693751904499</v>
      </c>
      <c r="AK6150">
        <v>0.88814594272471903</v>
      </c>
      <c r="AL6150">
        <v>93.570640891896204</v>
      </c>
      <c r="AM6150">
        <v>100.590745401443</v>
      </c>
      <c r="AN6150">
        <v>1.00000001065082</v>
      </c>
    </row>
    <row r="6151" spans="1:40" x14ac:dyDescent="0.25">
      <c r="A6151" t="str">
        <f>"20190303154304681"</f>
        <v>20190303154304681</v>
      </c>
      <c r="B6151" t="str">
        <f>"1551598984676597"</f>
        <v>1551598984676597</v>
      </c>
      <c r="C6151" t="s">
        <v>40</v>
      </c>
      <c r="D6151">
        <v>4.2671999999999999</v>
      </c>
      <c r="E6151">
        <v>0.32874360000000002</v>
      </c>
      <c r="F6151" t="s">
        <v>42</v>
      </c>
      <c r="G6151">
        <v>-421.37430000000001</v>
      </c>
      <c r="H6151">
        <v>1.00176</v>
      </c>
      <c r="I6151">
        <v>39.674140000000001</v>
      </c>
      <c r="J6151">
        <v>-421.98039999999997</v>
      </c>
      <c r="K6151">
        <v>1.122889</v>
      </c>
      <c r="L6151">
        <v>40.303069999999998</v>
      </c>
      <c r="M6151">
        <v>2.283663E-2</v>
      </c>
      <c r="N6151">
        <v>-1.357073E-2</v>
      </c>
      <c r="O6151">
        <v>-0.99964739999999996</v>
      </c>
      <c r="P6151">
        <v>0.2110091</v>
      </c>
      <c r="Q6151">
        <v>-6.9682289999999994E-2</v>
      </c>
      <c r="R6151">
        <v>-0.97499780000000003</v>
      </c>
      <c r="S6151">
        <v>1.9490970000000001</v>
      </c>
      <c r="T6151">
        <v>-0.38457019999999997</v>
      </c>
      <c r="U6151">
        <v>-2.6375120000000001</v>
      </c>
      <c r="V6151">
        <v>-0.18846540000000001</v>
      </c>
      <c r="W6151">
        <v>-5.7116550000000002E-2</v>
      </c>
      <c r="X6151">
        <v>0.98041750000000005</v>
      </c>
      <c r="Y6151">
        <v>-0.57213619999999898</v>
      </c>
      <c r="Z6151">
        <v>0.10389710000000001</v>
      </c>
      <c r="AA6151">
        <v>0.81355119999999903</v>
      </c>
      <c r="AB6151">
        <v>20</v>
      </c>
      <c r="AC6151">
        <v>0.606099999999969</v>
      </c>
      <c r="AD6151">
        <v>-0.121129</v>
      </c>
      <c r="AE6151">
        <v>-0.62892999999999599</v>
      </c>
      <c r="AF6151">
        <v>-0.58041543711784804</v>
      </c>
      <c r="AG6151">
        <v>-0.121129</v>
      </c>
      <c r="AH6151">
        <v>0.63048309659172197</v>
      </c>
      <c r="AI6151">
        <v>98.045251030802007</v>
      </c>
      <c r="AJ6151">
        <v>132.63230989308599</v>
      </c>
      <c r="AK6151">
        <v>0.86548440157728401</v>
      </c>
      <c r="AL6151">
        <v>93.274319235935394</v>
      </c>
      <c r="AM6151">
        <v>100.881219875778</v>
      </c>
      <c r="AN6151">
        <v>0.99999999079365598</v>
      </c>
    </row>
    <row r="6152" spans="1:40" x14ac:dyDescent="0.25">
      <c r="A6152" t="str">
        <f>"20190303154304703"</f>
        <v>20190303154304703</v>
      </c>
      <c r="B6152" t="str">
        <f>"1551598984696114"</f>
        <v>1551598984696114</v>
      </c>
      <c r="C6152" t="s">
        <v>40</v>
      </c>
      <c r="D6152">
        <v>4.2862869999999997</v>
      </c>
      <c r="E6152">
        <v>0.32924569999999997</v>
      </c>
      <c r="F6152" t="s">
        <v>42</v>
      </c>
      <c r="G6152">
        <v>-421.37569999999999</v>
      </c>
      <c r="H6152">
        <v>1.0065090000000001</v>
      </c>
      <c r="I6152">
        <v>39.494050000000001</v>
      </c>
      <c r="J6152">
        <v>-421.97250000000003</v>
      </c>
      <c r="K6152">
        <v>1.1229800000000001</v>
      </c>
      <c r="L6152">
        <v>40.103639999999999</v>
      </c>
      <c r="M6152">
        <v>2.5676279999999999E-2</v>
      </c>
      <c r="N6152">
        <v>-1.3574320000000001E-2</v>
      </c>
      <c r="O6152">
        <v>-0.99957819999999997</v>
      </c>
      <c r="P6152">
        <v>0.22037499999999999</v>
      </c>
      <c r="Q6152">
        <v>-6.5419000000000005E-2</v>
      </c>
      <c r="R6152">
        <v>-0.97321930000000001</v>
      </c>
      <c r="S6152">
        <v>1.9629209999999999</v>
      </c>
      <c r="T6152">
        <v>-0.37763629999999998</v>
      </c>
      <c r="U6152">
        <v>-2.6251530000000001</v>
      </c>
      <c r="V6152">
        <v>-0.19509750000000001</v>
      </c>
      <c r="W6152">
        <v>-5.2923480000000002E-2</v>
      </c>
      <c r="X6152">
        <v>0.97935490000000003</v>
      </c>
      <c r="Y6152">
        <v>-0.57451839999999998</v>
      </c>
      <c r="Z6152">
        <v>0.1019747</v>
      </c>
      <c r="AA6152">
        <v>0.81211440000000001</v>
      </c>
      <c r="AB6152">
        <v>20</v>
      </c>
      <c r="AC6152">
        <v>0.59680000000002997</v>
      </c>
      <c r="AD6152">
        <v>-0.11647099999999901</v>
      </c>
      <c r="AE6152">
        <v>-0.60959000000000396</v>
      </c>
      <c r="AF6152">
        <v>-0.570319123335296</v>
      </c>
      <c r="AG6152">
        <v>-0.11647099999999901</v>
      </c>
      <c r="AH6152">
        <v>0.61328253615399897</v>
      </c>
      <c r="AI6152">
        <v>97.917484360663096</v>
      </c>
      <c r="AJ6152">
        <v>132.92114018203799</v>
      </c>
      <c r="AK6152">
        <v>0.84554412388379896</v>
      </c>
      <c r="AL6152">
        <v>93.033709426886304</v>
      </c>
      <c r="AM6152">
        <v>101.266414951372</v>
      </c>
      <c r="AN6152">
        <v>0.99999997469778401</v>
      </c>
    </row>
    <row r="6153" spans="1:40" x14ac:dyDescent="0.25">
      <c r="A6153" t="str">
        <f>"20190303154304726"</f>
        <v>20190303154304726</v>
      </c>
      <c r="B6153" t="str">
        <f>"1551598984716611"</f>
        <v>1551598984716611</v>
      </c>
      <c r="C6153" t="s">
        <v>40</v>
      </c>
      <c r="D6153">
        <v>4.2783530000000001</v>
      </c>
      <c r="E6153">
        <v>0.32994259999999997</v>
      </c>
      <c r="F6153" t="s">
        <v>42</v>
      </c>
      <c r="G6153">
        <v>-421.37270000000001</v>
      </c>
      <c r="H6153">
        <v>1.0108140000000001</v>
      </c>
      <c r="I6153">
        <v>39.315179999999998</v>
      </c>
      <c r="J6153">
        <v>-421.96370000000002</v>
      </c>
      <c r="K6153">
        <v>1.123048</v>
      </c>
      <c r="L6153">
        <v>39.900539999999999</v>
      </c>
      <c r="M6153">
        <v>2.8703510000000002E-2</v>
      </c>
      <c r="N6153">
        <v>-1.357745E-2</v>
      </c>
      <c r="O6153">
        <v>-0.99949589999999999</v>
      </c>
      <c r="P6153">
        <v>0.23177610000000001</v>
      </c>
      <c r="Q6153">
        <v>-6.2878080000000003E-2</v>
      </c>
      <c r="R6153">
        <v>-0.97073520000000002</v>
      </c>
      <c r="S6153">
        <v>1.9840390000000001</v>
      </c>
      <c r="T6153">
        <v>-0.37106299999999998</v>
      </c>
      <c r="U6153">
        <v>-2.608368</v>
      </c>
      <c r="V6153">
        <v>-0.20360410000000001</v>
      </c>
      <c r="W6153">
        <v>-5.0464450000000001E-2</v>
      </c>
      <c r="X6153">
        <v>0.97775190000000001</v>
      </c>
      <c r="Y6153">
        <v>-0.57883819999999997</v>
      </c>
      <c r="Z6153">
        <v>0.10013320000000001</v>
      </c>
      <c r="AA6153">
        <v>0.80927109999999902</v>
      </c>
      <c r="AB6153">
        <v>20</v>
      </c>
      <c r="AC6153">
        <v>0.59100000000000796</v>
      </c>
      <c r="AD6153">
        <v>-0.112234</v>
      </c>
      <c r="AE6153">
        <v>-0.58536000000000099</v>
      </c>
      <c r="AF6153">
        <v>-0.56369107006982599</v>
      </c>
      <c r="AG6153">
        <v>-0.112234</v>
      </c>
      <c r="AH6153">
        <v>0.59131919578016501</v>
      </c>
      <c r="AI6153">
        <v>97.822432931867894</v>
      </c>
      <c r="AJ6153">
        <v>133.629732362586</v>
      </c>
      <c r="AK6153">
        <v>0.82462263159009097</v>
      </c>
      <c r="AL6153">
        <v>92.892628546062994</v>
      </c>
      <c r="AM6153">
        <v>101.762997674998</v>
      </c>
      <c r="AN6153">
        <v>1.00000003410211</v>
      </c>
    </row>
    <row r="6154" spans="1:40" x14ac:dyDescent="0.25">
      <c r="A6154" t="str">
        <f>"20190303154304748"</f>
        <v>20190303154304748</v>
      </c>
      <c r="B6154" t="str">
        <f>"1551598984736130"</f>
        <v>1551598984736130</v>
      </c>
      <c r="C6154" t="s">
        <v>40</v>
      </c>
      <c r="D6154">
        <v>4.2862939999999998</v>
      </c>
      <c r="E6154">
        <v>0.3309552</v>
      </c>
      <c r="F6154" t="s">
        <v>42</v>
      </c>
      <c r="G6154">
        <v>-421.37099999999998</v>
      </c>
      <c r="H6154">
        <v>1.013301</v>
      </c>
      <c r="I6154">
        <v>39.136200000000002</v>
      </c>
      <c r="J6154">
        <v>-421.9545</v>
      </c>
      <c r="K6154">
        <v>1.123102</v>
      </c>
      <c r="L6154">
        <v>39.704189999999997</v>
      </c>
      <c r="M6154">
        <v>3.1753199999999898E-2</v>
      </c>
      <c r="N6154">
        <v>-1.3580780000000001E-2</v>
      </c>
      <c r="O6154">
        <v>-0.99940359999999995</v>
      </c>
      <c r="P6154">
        <v>0.24649560000000001</v>
      </c>
      <c r="Q6154">
        <v>-6.3156749999999998E-2</v>
      </c>
      <c r="R6154">
        <v>-0.9670841</v>
      </c>
      <c r="S6154">
        <v>2.0073240000000001</v>
      </c>
      <c r="T6154">
        <v>-0.37148120000000001</v>
      </c>
      <c r="U6154">
        <v>-2.587097</v>
      </c>
      <c r="V6154">
        <v>-0.2154422</v>
      </c>
      <c r="W6154">
        <v>-5.0851349999999997E-2</v>
      </c>
      <c r="X6154">
        <v>0.97519169999999999</v>
      </c>
      <c r="Y6154">
        <v>-0.584082199999999</v>
      </c>
      <c r="Z6154">
        <v>0.1004771</v>
      </c>
      <c r="AA6154">
        <v>0.80545159999999905</v>
      </c>
      <c r="AB6154">
        <v>20</v>
      </c>
      <c r="AC6154">
        <v>0.58350000000001501</v>
      </c>
      <c r="AD6154">
        <v>-0.109801</v>
      </c>
      <c r="AE6154">
        <v>-0.56799000000000099</v>
      </c>
      <c r="AF6154">
        <v>-0.555076113052558</v>
      </c>
      <c r="AG6154">
        <v>-0.109801</v>
      </c>
      <c r="AH6154">
        <v>0.57576463513317</v>
      </c>
      <c r="AI6154">
        <v>97.817414376804393</v>
      </c>
      <c r="AJ6154">
        <v>133.951901246293</v>
      </c>
      <c r="AK6154">
        <v>0.80726121296180697</v>
      </c>
      <c r="AL6154">
        <v>92.9148248031278</v>
      </c>
      <c r="AM6154">
        <v>102.457847075667</v>
      </c>
      <c r="AN6154">
        <v>1.00000002654327</v>
      </c>
    </row>
    <row r="6155" spans="1:40" x14ac:dyDescent="0.25">
      <c r="A6155" t="str">
        <f>"20190303154304771"</f>
        <v>20190303154304771</v>
      </c>
      <c r="B6155" t="str">
        <f>"1551598984766386"</f>
        <v>1551598984766386</v>
      </c>
      <c r="C6155" t="s">
        <v>40</v>
      </c>
      <c r="D6155">
        <v>4.3024820000000004</v>
      </c>
      <c r="E6155">
        <v>0.33233750000000001</v>
      </c>
      <c r="F6155" t="s">
        <v>42</v>
      </c>
      <c r="G6155">
        <v>-421.36130000000003</v>
      </c>
      <c r="H6155">
        <v>1.013309</v>
      </c>
      <c r="I6155">
        <v>38.959409999999998</v>
      </c>
      <c r="J6155">
        <v>-421.94450000000001</v>
      </c>
      <c r="K6155">
        <v>1.1231450000000001</v>
      </c>
      <c r="L6155">
        <v>39.505890000000001</v>
      </c>
      <c r="M6155">
        <v>3.494452E-2</v>
      </c>
      <c r="N6155">
        <v>-1.358469E-2</v>
      </c>
      <c r="O6155">
        <v>-0.99929710000000005</v>
      </c>
      <c r="P6155">
        <v>0.26240360000000001</v>
      </c>
      <c r="Q6155">
        <v>-6.6274490000000005E-2</v>
      </c>
      <c r="R6155">
        <v>-0.96267990000000003</v>
      </c>
      <c r="S6155">
        <v>2.0377809999999998</v>
      </c>
      <c r="T6155">
        <v>-0.37710189999999999</v>
      </c>
      <c r="U6155">
        <v>-2.5580750000000001</v>
      </c>
      <c r="V6155">
        <v>-0.2283607</v>
      </c>
      <c r="W6155">
        <v>-5.4093990000000002E-2</v>
      </c>
      <c r="X6155">
        <v>0.97207270000000001</v>
      </c>
      <c r="Y6155">
        <v>-0.59164139999999998</v>
      </c>
      <c r="Z6155">
        <v>0.1024606</v>
      </c>
      <c r="AA6155">
        <v>0.79966389999999998</v>
      </c>
      <c r="AB6155">
        <v>20</v>
      </c>
      <c r="AC6155">
        <v>0.58319999999997596</v>
      </c>
      <c r="AD6155">
        <v>-0.109836</v>
      </c>
      <c r="AE6155">
        <v>-0.54648000000000196</v>
      </c>
      <c r="AF6155">
        <v>-0.55329572495430801</v>
      </c>
      <c r="AG6155">
        <v>-0.109836</v>
      </c>
      <c r="AH6155">
        <v>0.55602634535267903</v>
      </c>
      <c r="AI6155">
        <v>97.970927479872401</v>
      </c>
      <c r="AJ6155">
        <v>134.858965477673</v>
      </c>
      <c r="AK6155">
        <v>0.79206401437950003</v>
      </c>
      <c r="AL6155">
        <v>93.100870693547606</v>
      </c>
      <c r="AM6155">
        <v>103.220284496676</v>
      </c>
      <c r="AN6155">
        <v>1.0000000515719401</v>
      </c>
    </row>
    <row r="6156" spans="1:40" x14ac:dyDescent="0.25">
      <c r="A6156" t="str">
        <f>"20190303154304793"</f>
        <v>20190303154304793</v>
      </c>
      <c r="B6156" t="str">
        <f>"1551598984786882"</f>
        <v>1551598984786882</v>
      </c>
      <c r="C6156" t="s">
        <v>40</v>
      </c>
      <c r="D6156">
        <v>4.3162320000000003</v>
      </c>
      <c r="E6156">
        <v>0.33254840000000002</v>
      </c>
      <c r="F6156" t="s">
        <v>42</v>
      </c>
      <c r="G6156">
        <v>-421.35250000000002</v>
      </c>
      <c r="H6156">
        <v>1.011449</v>
      </c>
      <c r="I6156">
        <v>38.782600000000002</v>
      </c>
      <c r="J6156">
        <v>-421.9332</v>
      </c>
      <c r="K6156">
        <v>1.1231899999999999</v>
      </c>
      <c r="L6156">
        <v>39.299680000000002</v>
      </c>
      <c r="M6156">
        <v>3.8379539999999997E-2</v>
      </c>
      <c r="N6156">
        <v>-1.358913E-2</v>
      </c>
      <c r="O6156">
        <v>-0.99917080000000003</v>
      </c>
      <c r="P6156">
        <v>0.27727970000000002</v>
      </c>
      <c r="Q6156">
        <v>-6.9672739999999997E-2</v>
      </c>
      <c r="R6156">
        <v>-0.95825979999999999</v>
      </c>
      <c r="S6156">
        <v>2.068298</v>
      </c>
      <c r="T6156">
        <v>-0.3900516</v>
      </c>
      <c r="U6156">
        <v>-2.5256959999999999</v>
      </c>
      <c r="V6156">
        <v>-0.24003089999999999</v>
      </c>
      <c r="W6156">
        <v>-5.7618860000000001E-2</v>
      </c>
      <c r="X6156">
        <v>0.96905379999999997</v>
      </c>
      <c r="Y6156">
        <v>-0.59933249999999905</v>
      </c>
      <c r="Z6156">
        <v>0.10676620000000001</v>
      </c>
      <c r="AA6156">
        <v>0.79334839999999995</v>
      </c>
      <c r="AB6156">
        <v>20</v>
      </c>
      <c r="AC6156">
        <v>0.58069999999997801</v>
      </c>
      <c r="AD6156">
        <v>-0.11174099999999899</v>
      </c>
      <c r="AE6156">
        <v>-0.51707999999999998</v>
      </c>
      <c r="AF6156">
        <v>-0.54908508842673498</v>
      </c>
      <c r="AG6156">
        <v>-0.11174099999999899</v>
      </c>
      <c r="AH6156">
        <v>0.52808191718029096</v>
      </c>
      <c r="AI6156">
        <v>98.344470196442501</v>
      </c>
      <c r="AJ6156">
        <v>136.11704182385901</v>
      </c>
      <c r="AK6156">
        <v>0.76996817899599401</v>
      </c>
      <c r="AL6156">
        <v>93.303146869929293</v>
      </c>
      <c r="AM6156">
        <v>103.911940412417</v>
      </c>
      <c r="AN6156">
        <v>1.0000000166384699</v>
      </c>
    </row>
    <row r="6157" spans="1:40" x14ac:dyDescent="0.25">
      <c r="A6157" t="str">
        <f>"20190303154304818"</f>
        <v>20190303154304818</v>
      </c>
      <c r="B6157" t="str">
        <f>"1551598984806402"</f>
        <v>1551598984806402</v>
      </c>
      <c r="C6157" t="s">
        <v>40</v>
      </c>
      <c r="D6157">
        <v>4.2782669999999996</v>
      </c>
      <c r="E6157">
        <v>0.33319850000000001</v>
      </c>
      <c r="F6157" t="s">
        <v>42</v>
      </c>
      <c r="G6157">
        <v>-421.34660000000002</v>
      </c>
      <c r="H6157">
        <v>1.0115620000000001</v>
      </c>
      <c r="I6157">
        <v>38.605220000000003</v>
      </c>
      <c r="J6157">
        <v>-421.92110000000002</v>
      </c>
      <c r="K6157">
        <v>1.1232549999999999</v>
      </c>
      <c r="L6157">
        <v>39.095309999999998</v>
      </c>
      <c r="M6157">
        <v>4.1926749999999999E-2</v>
      </c>
      <c r="N6157">
        <v>-1.359397E-2</v>
      </c>
      <c r="O6157">
        <v>-0.99902849999999999</v>
      </c>
      <c r="P6157">
        <v>0.29124319999999998</v>
      </c>
      <c r="Q6157">
        <v>-7.1799899999999903E-2</v>
      </c>
      <c r="R6157">
        <v>-0.9539512</v>
      </c>
      <c r="S6157">
        <v>2.1053160000000002</v>
      </c>
      <c r="T6157">
        <v>-0.40061590000000002</v>
      </c>
      <c r="U6157">
        <v>-2.4923709999999999</v>
      </c>
      <c r="V6157">
        <v>-0.25070239999999999</v>
      </c>
      <c r="W6157">
        <v>-5.9875879999999999E-2</v>
      </c>
      <c r="X6157">
        <v>0.96621069999999998</v>
      </c>
      <c r="Y6157">
        <v>-0.6082978</v>
      </c>
      <c r="Z6157">
        <v>0.1102262</v>
      </c>
      <c r="AA6157">
        <v>0.78601779999999999</v>
      </c>
      <c r="AB6157">
        <v>20</v>
      </c>
      <c r="AC6157">
        <v>0.57450000000000001</v>
      </c>
      <c r="AD6157">
        <v>-0.111692999999999</v>
      </c>
      <c r="AE6157">
        <v>-0.49008999999999497</v>
      </c>
      <c r="AF6157">
        <v>-0.54159625821247204</v>
      </c>
      <c r="AG6157">
        <v>-0.111692999999999</v>
      </c>
      <c r="AH6157">
        <v>0.50274927538223102</v>
      </c>
      <c r="AI6157">
        <v>98.594967648873094</v>
      </c>
      <c r="AJ6157">
        <v>137.13027430257199</v>
      </c>
      <c r="AK6157">
        <v>0.74736782581009498</v>
      </c>
      <c r="AL6157">
        <v>93.432688524791999</v>
      </c>
      <c r="AM6157">
        <v>104.54575244614</v>
      </c>
      <c r="AN6157">
        <v>0.99999996558301096</v>
      </c>
    </row>
    <row r="6158" spans="1:40" x14ac:dyDescent="0.25">
      <c r="A6158" t="str">
        <f>"20190303154304837"</f>
        <v>20190303154304837</v>
      </c>
      <c r="B6158" t="str">
        <f>"1551598984826898"</f>
        <v>1551598984826898</v>
      </c>
      <c r="C6158" t="s">
        <v>40</v>
      </c>
      <c r="D6158">
        <v>4.2923920000000004</v>
      </c>
      <c r="E6158">
        <v>0.33398480000000003</v>
      </c>
      <c r="F6158" t="s">
        <v>58</v>
      </c>
      <c r="G6158">
        <v>-415.9984</v>
      </c>
      <c r="H6158" s="1">
        <v>-5.2508939999999901E-6</v>
      </c>
      <c r="I6158">
        <v>32.268219999999999</v>
      </c>
      <c r="J6158">
        <v>-421.90949999999998</v>
      </c>
      <c r="K6158">
        <v>1.1233249999999999</v>
      </c>
      <c r="L6158">
        <v>38.911830000000002</v>
      </c>
      <c r="M6158">
        <v>4.5259609999999999E-2</v>
      </c>
      <c r="N6158">
        <v>-1.359928E-2</v>
      </c>
      <c r="O6158">
        <v>-0.99888270000000001</v>
      </c>
      <c r="P6158">
        <v>0.30444670000000001</v>
      </c>
      <c r="Q6158">
        <v>-7.2633030000000001E-2</v>
      </c>
      <c r="R6158">
        <v>-0.94975609999999999</v>
      </c>
      <c r="S6158">
        <v>2.1360169999999998</v>
      </c>
      <c r="T6158">
        <v>-0.4051034</v>
      </c>
      <c r="U6158">
        <v>-2.462189</v>
      </c>
      <c r="V6158">
        <v>-0.26084410000000002</v>
      </c>
      <c r="W6158">
        <v>-6.0841579999999999E-2</v>
      </c>
      <c r="X6158">
        <v>0.96346180000000003</v>
      </c>
      <c r="Y6158">
        <v>-0.61585290000000004</v>
      </c>
      <c r="Z6158">
        <v>0.1118716</v>
      </c>
      <c r="AA6158">
        <v>0.77987819999999997</v>
      </c>
      <c r="AB6158">
        <v>20</v>
      </c>
      <c r="AC6158">
        <v>5.91109999999997</v>
      </c>
      <c r="AD6158">
        <v>-1.123330250894</v>
      </c>
      <c r="AE6158">
        <v>-6.6436099999999998</v>
      </c>
      <c r="AF6158">
        <v>-5.5163020098929803</v>
      </c>
      <c r="AG6158">
        <v>-1.123330250894</v>
      </c>
      <c r="AH6158">
        <v>6.7959160537576304</v>
      </c>
      <c r="AI6158">
        <v>97.313214988287996</v>
      </c>
      <c r="AJ6158">
        <v>129.06652768364501</v>
      </c>
      <c r="AK6158">
        <v>8.8247342014727899</v>
      </c>
      <c r="AL6158">
        <v>93.488120039345006</v>
      </c>
      <c r="AM6158">
        <v>105.14888920146601</v>
      </c>
      <c r="AN6158">
        <v>0.999999991210473</v>
      </c>
    </row>
    <row r="6159" spans="1:40" x14ac:dyDescent="0.25">
      <c r="A6159" t="str">
        <f>"20190303154304861"</f>
        <v>20190303154304861</v>
      </c>
      <c r="B6159" t="str">
        <f>"1551598984856178"</f>
        <v>1551598984856178</v>
      </c>
      <c r="C6159" t="s">
        <v>40</v>
      </c>
      <c r="D6159">
        <v>4.3029760000000001</v>
      </c>
      <c r="E6159">
        <v>0.35252539999999999</v>
      </c>
      <c r="F6159" t="s">
        <v>58</v>
      </c>
      <c r="G6159">
        <v>-415.93799999999999</v>
      </c>
      <c r="H6159" s="1">
        <v>-5.3013079999999998E-6</v>
      </c>
      <c r="I6159">
        <v>32.195569999999996</v>
      </c>
      <c r="J6159">
        <v>-421.89589999999998</v>
      </c>
      <c r="K6159">
        <v>1.1234059999999999</v>
      </c>
      <c r="L6159">
        <v>38.712009999999999</v>
      </c>
      <c r="M6159">
        <v>4.903942E-2</v>
      </c>
      <c r="N6159">
        <v>-1.360597E-2</v>
      </c>
      <c r="O6159">
        <v>-0.99870409999999998</v>
      </c>
      <c r="P6159">
        <v>0.31807069999999998</v>
      </c>
      <c r="Q6159">
        <v>-7.3436799999999997E-2</v>
      </c>
      <c r="R6159">
        <v>-0.94521849999999996</v>
      </c>
      <c r="S6159">
        <v>2.1640009999999998</v>
      </c>
      <c r="T6159">
        <v>-0.40708240000000001</v>
      </c>
      <c r="U6159">
        <v>-2.4338989999999998</v>
      </c>
      <c r="V6159">
        <v>-0.27101249999999999</v>
      </c>
      <c r="W6159">
        <v>-6.1785930000000003E-2</v>
      </c>
      <c r="X6159">
        <v>0.96059079999999997</v>
      </c>
      <c r="Y6159">
        <v>-0.62229049999999997</v>
      </c>
      <c r="Z6159">
        <v>0.11276650000000001</v>
      </c>
      <c r="AA6159">
        <v>0.77462140000000002</v>
      </c>
      <c r="AB6159">
        <v>20</v>
      </c>
      <c r="AC6159">
        <v>5.9578999999999303</v>
      </c>
      <c r="AD6159">
        <v>-1.1234113013079901</v>
      </c>
      <c r="AE6159">
        <v>-6.5164399999999896</v>
      </c>
      <c r="AF6159">
        <v>-5.5414317029868396</v>
      </c>
      <c r="AG6159">
        <v>-1.1234113013079901</v>
      </c>
      <c r="AH6159">
        <v>6.6924574291771597</v>
      </c>
      <c r="AI6159">
        <v>97.367082109199004</v>
      </c>
      <c r="AJ6159">
        <v>129.62514745191601</v>
      </c>
      <c r="AK6159">
        <v>8.7611931100805407</v>
      </c>
      <c r="AL6159">
        <v>93.542329341085903</v>
      </c>
      <c r="AM6159">
        <v>105.755407644743</v>
      </c>
      <c r="AN6159">
        <v>0.99999998067342699</v>
      </c>
    </row>
    <row r="6160" spans="1:40" x14ac:dyDescent="0.25">
      <c r="A6160" t="str">
        <f>"20190303154304883"</f>
        <v>20190303154304883</v>
      </c>
      <c r="B6160" t="str">
        <f>"1551598984876674"</f>
        <v>1551598984876674</v>
      </c>
      <c r="C6160" t="s">
        <v>40</v>
      </c>
      <c r="D6160">
        <v>4.30938</v>
      </c>
      <c r="E6160">
        <v>0.35393350000000001</v>
      </c>
      <c r="F6160" t="s">
        <v>58</v>
      </c>
      <c r="G6160">
        <v>-415.38420000000002</v>
      </c>
      <c r="H6160" s="1">
        <v>-5.9278099999999899E-6</v>
      </c>
      <c r="I6160">
        <v>30.965920000000001</v>
      </c>
      <c r="J6160">
        <v>-421.88159999999999</v>
      </c>
      <c r="K6160">
        <v>1.1234869999999999</v>
      </c>
      <c r="L6160">
        <v>38.514159999999997</v>
      </c>
      <c r="M6160">
        <v>5.2949339999999998E-2</v>
      </c>
      <c r="N6160">
        <v>-1.361304E-2</v>
      </c>
      <c r="O6160">
        <v>-0.99850459999999996</v>
      </c>
      <c r="P6160">
        <v>0.32569480000000001</v>
      </c>
      <c r="Q6160">
        <v>-7.4100089999999993E-2</v>
      </c>
      <c r="R6160">
        <v>-0.94256689999999999</v>
      </c>
      <c r="S6160">
        <v>2.0616460000000001</v>
      </c>
      <c r="T6160">
        <v>-0.35567860000000001</v>
      </c>
      <c r="U6160">
        <v>-2.4524539999999999</v>
      </c>
      <c r="V6160">
        <v>-0.27499000000000001</v>
      </c>
      <c r="W6160">
        <v>-6.2536599999999998E-2</v>
      </c>
      <c r="X6160">
        <v>0.95941109999999996</v>
      </c>
      <c r="Y6160">
        <v>-0.59847269999999997</v>
      </c>
      <c r="Z6160">
        <v>9.8860489999999995E-2</v>
      </c>
      <c r="AA6160">
        <v>0.79502019999999995</v>
      </c>
      <c r="AB6160">
        <v>20</v>
      </c>
      <c r="AC6160">
        <v>6.4973999999999696</v>
      </c>
      <c r="AD6160">
        <v>-1.1234929278100001</v>
      </c>
      <c r="AE6160">
        <v>-7.5482399999999901</v>
      </c>
      <c r="AF6160">
        <v>-6.0120679098061398</v>
      </c>
      <c r="AG6160">
        <v>-1.1234929278100001</v>
      </c>
      <c r="AH6160">
        <v>7.7826783515109099</v>
      </c>
      <c r="AI6160">
        <v>96.517292655489996</v>
      </c>
      <c r="AJ6160">
        <v>127.68585054681</v>
      </c>
      <c r="AK6160">
        <v>9.8983472981117604</v>
      </c>
      <c r="AL6160">
        <v>93.585422860696696</v>
      </c>
      <c r="AM6160">
        <v>105.993559668248</v>
      </c>
      <c r="AN6160">
        <v>0.99999999262138495</v>
      </c>
    </row>
    <row r="6161" spans="1:40" x14ac:dyDescent="0.25">
      <c r="A6161" t="str">
        <f>"20190303154304904"</f>
        <v>20190303154304904</v>
      </c>
      <c r="B6161" t="str">
        <f>"1551598984896194"</f>
        <v>1551598984896194</v>
      </c>
      <c r="C6161" t="s">
        <v>40</v>
      </c>
      <c r="D6161">
        <v>4.3129080000000002</v>
      </c>
      <c r="E6161">
        <v>0.35460639999999999</v>
      </c>
      <c r="F6161" t="s">
        <v>58</v>
      </c>
      <c r="G6161">
        <v>-415.2611</v>
      </c>
      <c r="H6161" s="1">
        <v>-6.0417199999999998E-6</v>
      </c>
      <c r="I6161">
        <v>30.71576</v>
      </c>
      <c r="J6161">
        <v>-421.86680000000001</v>
      </c>
      <c r="K6161">
        <v>1.123569</v>
      </c>
      <c r="L6161">
        <v>38.322600000000001</v>
      </c>
      <c r="M6161">
        <v>5.6927190000000003E-2</v>
      </c>
      <c r="N6161">
        <v>-1.3620709999999999E-2</v>
      </c>
      <c r="O6161">
        <v>-0.99828539999999999</v>
      </c>
      <c r="P6161">
        <v>0.33738299999999999</v>
      </c>
      <c r="Q6161">
        <v>-7.5890139999999995E-2</v>
      </c>
      <c r="R6161">
        <v>-0.93830349999999996</v>
      </c>
      <c r="S6161">
        <v>2.0710449999999998</v>
      </c>
      <c r="T6161">
        <v>-0.35145349999999997</v>
      </c>
      <c r="U6161">
        <v>-2.439514</v>
      </c>
      <c r="V6161">
        <v>-0.28305659999999999</v>
      </c>
      <c r="W6161">
        <v>-6.4460169999999997E-2</v>
      </c>
      <c r="X6161">
        <v>0.95693459999999997</v>
      </c>
      <c r="Y6161">
        <v>-0.59921809999999998</v>
      </c>
      <c r="Z6161">
        <v>9.7811270000000006E-2</v>
      </c>
      <c r="AA6161">
        <v>0.79458839999999997</v>
      </c>
      <c r="AB6161">
        <v>20</v>
      </c>
      <c r="AC6161">
        <v>6.6057000000000103</v>
      </c>
      <c r="AD6161">
        <v>-1.1235750417199999</v>
      </c>
      <c r="AE6161">
        <v>-7.60684</v>
      </c>
      <c r="AF6161">
        <v>-6.0862108979486802</v>
      </c>
      <c r="AG6161">
        <v>-1.1235750417199999</v>
      </c>
      <c r="AH6161">
        <v>7.8726627123534003</v>
      </c>
      <c r="AI6161">
        <v>96.442078979431102</v>
      </c>
      <c r="AJ6161">
        <v>127.70695064463</v>
      </c>
      <c r="AK6161">
        <v>10.0141500962969</v>
      </c>
      <c r="AL6161">
        <v>93.695858194208299</v>
      </c>
      <c r="AM6161">
        <v>106.477960828717</v>
      </c>
      <c r="AN6161">
        <v>0.99999999049857402</v>
      </c>
    </row>
    <row r="6162" spans="1:40" x14ac:dyDescent="0.25">
      <c r="A6162" t="str">
        <f>"20190303154304927"</f>
        <v>20190303154304927</v>
      </c>
      <c r="B6162" t="str">
        <f>"1551598984916691"</f>
        <v>1551598984916691</v>
      </c>
      <c r="C6162" t="s">
        <v>40</v>
      </c>
      <c r="D6162">
        <v>4.3178109999999998</v>
      </c>
      <c r="E6162">
        <v>0.36126360000000002</v>
      </c>
      <c r="F6162" t="s">
        <v>42</v>
      </c>
      <c r="G6162">
        <v>-421.21379999999999</v>
      </c>
      <c r="H6162">
        <v>1.013226</v>
      </c>
      <c r="I6162">
        <v>37.570230000000002</v>
      </c>
      <c r="J6162">
        <v>-421.8503</v>
      </c>
      <c r="K6162">
        <v>1.123686</v>
      </c>
      <c r="L6162">
        <v>38.123809999999999</v>
      </c>
      <c r="M6162">
        <v>6.1286859999999999E-2</v>
      </c>
      <c r="N6162">
        <v>-1.363083E-2</v>
      </c>
      <c r="O6162">
        <v>-0.9980272</v>
      </c>
      <c r="P6162">
        <v>0.34917039999999999</v>
      </c>
      <c r="Q6162">
        <v>-7.8298000000000006E-2</v>
      </c>
      <c r="R6162">
        <v>-0.93378240000000001</v>
      </c>
      <c r="S6162">
        <v>2.0964659999999999</v>
      </c>
      <c r="T6162">
        <v>-0.35416209999999998</v>
      </c>
      <c r="U6162">
        <v>-2.4147949999999998</v>
      </c>
      <c r="V6162">
        <v>-0.29088809999999998</v>
      </c>
      <c r="W6162">
        <v>-6.7018939999999999E-2</v>
      </c>
      <c r="X6162">
        <v>0.95440689999999995</v>
      </c>
      <c r="Y6162">
        <v>-0.60443249999999904</v>
      </c>
      <c r="Z6162">
        <v>9.8907830000000002E-2</v>
      </c>
      <c r="AA6162">
        <v>0.79049269999999905</v>
      </c>
      <c r="AB6162">
        <v>20</v>
      </c>
      <c r="AC6162">
        <v>0.63650000000001195</v>
      </c>
      <c r="AD6162">
        <v>-0.110459999999999</v>
      </c>
      <c r="AE6162">
        <v>-0.55357999999999596</v>
      </c>
      <c r="AF6162">
        <v>-0.59123512854664795</v>
      </c>
      <c r="AG6162">
        <v>-0.110459999999999</v>
      </c>
      <c r="AH6162">
        <v>0.58157962933710705</v>
      </c>
      <c r="AI6162">
        <v>97.586648135303506</v>
      </c>
      <c r="AJ6162">
        <v>135.47169158797999</v>
      </c>
      <c r="AK6162">
        <v>0.83665719030404495</v>
      </c>
      <c r="AL6162">
        <v>93.8427828314679</v>
      </c>
      <c r="AM6162">
        <v>106.95039069716501</v>
      </c>
      <c r="AN6162">
        <v>0.99999997790397099</v>
      </c>
    </row>
    <row r="6163" spans="1:40" x14ac:dyDescent="0.25">
      <c r="A6163" t="str">
        <f>"20190303154304944"</f>
        <v>20190303154304944</v>
      </c>
      <c r="B6163" t="str">
        <f>"1551598984936210"</f>
        <v>1551598984936210</v>
      </c>
      <c r="C6163" t="s">
        <v>40</v>
      </c>
      <c r="D6163">
        <v>4.3758480000000004</v>
      </c>
      <c r="E6163">
        <v>0.36207460000000002</v>
      </c>
      <c r="F6163" t="s">
        <v>42</v>
      </c>
      <c r="G6163">
        <v>-421.21890000000002</v>
      </c>
      <c r="H6163">
        <v>1.021684</v>
      </c>
      <c r="I6163">
        <v>37.392240000000001</v>
      </c>
      <c r="J6163">
        <v>-421.83800000000002</v>
      </c>
      <c r="K6163">
        <v>1.123785</v>
      </c>
      <c r="L6163">
        <v>37.982570000000003</v>
      </c>
      <c r="M6163">
        <v>6.4544050000000006E-2</v>
      </c>
      <c r="N6163">
        <v>-1.36399E-2</v>
      </c>
      <c r="O6163">
        <v>-0.99782179999999998</v>
      </c>
      <c r="P6163">
        <v>0.35608129999999999</v>
      </c>
      <c r="Q6163">
        <v>-7.8450710000000007E-2</v>
      </c>
      <c r="R6163">
        <v>-0.9311564</v>
      </c>
      <c r="S6163">
        <v>2.0783999999999998</v>
      </c>
      <c r="T6163">
        <v>-0.33566699999999999</v>
      </c>
      <c r="U6163">
        <v>-2.40741</v>
      </c>
      <c r="V6163">
        <v>-0.29482350000000002</v>
      </c>
      <c r="W6163">
        <v>-6.727313E-2</v>
      </c>
      <c r="X6163">
        <v>0.95318069999999999</v>
      </c>
      <c r="Y6163">
        <v>-0.59998819999999997</v>
      </c>
      <c r="Z6163">
        <v>9.3762499999999999E-2</v>
      </c>
      <c r="AA6163">
        <v>0.79449530000000002</v>
      </c>
      <c r="AB6163">
        <v>20</v>
      </c>
      <c r="AC6163">
        <v>0.61910000000000298</v>
      </c>
      <c r="AD6163">
        <v>-0.102101</v>
      </c>
      <c r="AE6163">
        <v>-0.59033000000000102</v>
      </c>
      <c r="AF6163">
        <v>-0.57156075643474502</v>
      </c>
      <c r="AG6163">
        <v>-0.102101</v>
      </c>
      <c r="AH6163">
        <v>0.62022624492800005</v>
      </c>
      <c r="AI6163">
        <v>96.902383932080795</v>
      </c>
      <c r="AJ6163">
        <v>132.661680423023</v>
      </c>
      <c r="AK6163">
        <v>0.84958043020937501</v>
      </c>
      <c r="AL6163">
        <v>93.857379670800796</v>
      </c>
      <c r="AM6163">
        <v>107.187096639571</v>
      </c>
      <c r="AN6163">
        <v>1.0000000085123599</v>
      </c>
    </row>
    <row r="6164" spans="1:40" x14ac:dyDescent="0.25">
      <c r="A6164" t="str">
        <f>"20190303154304960"</f>
        <v>20190303154304960</v>
      </c>
      <c r="B6164" t="str">
        <f>"1551598984956707"</f>
        <v>1551598984956707</v>
      </c>
      <c r="C6164" t="s">
        <v>40</v>
      </c>
      <c r="D6164">
        <v>4.375356</v>
      </c>
      <c r="E6164">
        <v>0.36330489999999999</v>
      </c>
      <c r="F6164" t="s">
        <v>42</v>
      </c>
      <c r="G6164">
        <v>-421.1773</v>
      </c>
      <c r="H6164">
        <v>1.018254</v>
      </c>
      <c r="I6164">
        <v>37.225700000000003</v>
      </c>
      <c r="J6164">
        <v>-421.82400000000001</v>
      </c>
      <c r="K6164">
        <v>1.1239189999999999</v>
      </c>
      <c r="L6164">
        <v>37.830509999999997</v>
      </c>
      <c r="M6164">
        <v>6.8207820000000002E-2</v>
      </c>
      <c r="N6164">
        <v>-1.3651409999999999E-2</v>
      </c>
      <c r="O6164">
        <v>-0.99757790000000002</v>
      </c>
      <c r="P6164">
        <v>0.3671142</v>
      </c>
      <c r="Q6164">
        <v>-7.7352249999999997E-2</v>
      </c>
      <c r="R6164">
        <v>-0.92695439999999996</v>
      </c>
      <c r="S6164">
        <v>2.0903930000000002</v>
      </c>
      <c r="T6164">
        <v>-0.33383970000000002</v>
      </c>
      <c r="U6164">
        <v>-2.3942869999999998</v>
      </c>
      <c r="V6164">
        <v>-0.30260619999999999</v>
      </c>
      <c r="W6164">
        <v>-6.6332100000000005E-2</v>
      </c>
      <c r="X6164">
        <v>0.95080469999999895</v>
      </c>
      <c r="Y6164">
        <v>-0.60149580000000002</v>
      </c>
      <c r="Z6164">
        <v>9.3373250000000005E-2</v>
      </c>
      <c r="AA6164">
        <v>0.79340049999999995</v>
      </c>
      <c r="AB6164">
        <v>20</v>
      </c>
      <c r="AC6164">
        <v>0.64670000000000905</v>
      </c>
      <c r="AD6164">
        <v>-0.105665</v>
      </c>
      <c r="AE6164">
        <v>-0.60480999999999296</v>
      </c>
      <c r="AF6164">
        <v>-0.59545718808812198</v>
      </c>
      <c r="AG6164">
        <v>-0.105665</v>
      </c>
      <c r="AH6164">
        <v>0.63842359204218901</v>
      </c>
      <c r="AI6164">
        <v>96.901207166957803</v>
      </c>
      <c r="AJ6164">
        <v>133.00564258150399</v>
      </c>
      <c r="AK6164">
        <v>0.87938560253557996</v>
      </c>
      <c r="AL6164">
        <v>93.803341874225694</v>
      </c>
      <c r="AM6164">
        <v>107.654361222258</v>
      </c>
      <c r="AN6164">
        <v>1.0000000186554601</v>
      </c>
    </row>
    <row r="6165" spans="1:40" x14ac:dyDescent="0.25">
      <c r="A6165" t="str">
        <f>"20190303154304978"</f>
        <v>20190303154304978</v>
      </c>
      <c r="B6165" t="str">
        <f>"1551598984966466"</f>
        <v>1551598984966466</v>
      </c>
      <c r="C6165" t="s">
        <v>40</v>
      </c>
      <c r="D6165">
        <v>4.3863830000000004</v>
      </c>
      <c r="E6165">
        <v>0.36363430000000002</v>
      </c>
      <c r="F6165" t="s">
        <v>58</v>
      </c>
      <c r="G6165">
        <v>-414.50490000000002</v>
      </c>
      <c r="H6165" s="1">
        <v>-9.1987129999999994E-6</v>
      </c>
      <c r="I6165">
        <v>29.596550000000001</v>
      </c>
      <c r="J6165">
        <v>-421.80950000000001</v>
      </c>
      <c r="K6165">
        <v>1.124061</v>
      </c>
      <c r="L6165">
        <v>37.680909999999997</v>
      </c>
      <c r="M6165">
        <v>7.1980340000000004E-2</v>
      </c>
      <c r="N6165">
        <v>-1.366435E-2</v>
      </c>
      <c r="O6165">
        <v>-0.99731239999999999</v>
      </c>
      <c r="P6165">
        <v>0.37439139999999999</v>
      </c>
      <c r="Q6165">
        <v>-7.6314919999999994E-2</v>
      </c>
      <c r="R6165">
        <v>-0.92412510000000003</v>
      </c>
      <c r="S6165">
        <v>2.109985</v>
      </c>
      <c r="T6165">
        <v>-0.32401029999999997</v>
      </c>
      <c r="U6165">
        <v>-2.3737180000000002</v>
      </c>
      <c r="V6165">
        <v>-0.306459599999999</v>
      </c>
      <c r="W6165">
        <v>-6.5420790000000006E-2</v>
      </c>
      <c r="X6165">
        <v>0.9496329</v>
      </c>
      <c r="Y6165">
        <v>-0.60572619999999999</v>
      </c>
      <c r="Z6165">
        <v>9.0476970000000004E-2</v>
      </c>
      <c r="AA6165">
        <v>0.79051229999999995</v>
      </c>
      <c r="AB6165">
        <v>20</v>
      </c>
      <c r="AC6165">
        <v>7.30459999999999</v>
      </c>
      <c r="AD6165">
        <v>-1.124070198713</v>
      </c>
      <c r="AE6165">
        <v>-8.0843599999999896</v>
      </c>
      <c r="AF6165">
        <v>-6.6330801239367796</v>
      </c>
      <c r="AG6165">
        <v>-1.124070198713</v>
      </c>
      <c r="AH6165">
        <v>8.4987657029288108</v>
      </c>
      <c r="AI6165">
        <v>95.952461116338199</v>
      </c>
      <c r="AJ6165">
        <v>127.971172806</v>
      </c>
      <c r="AK6165">
        <v>10.8392944519225</v>
      </c>
      <c r="AL6165">
        <v>93.751014038758896</v>
      </c>
      <c r="AM6165">
        <v>107.885604196652</v>
      </c>
      <c r="AN6165">
        <v>1.0000000054793901</v>
      </c>
    </row>
    <row r="6166" spans="1:40" x14ac:dyDescent="0.25">
      <c r="A6166" t="str">
        <f>"20190303154304994"</f>
        <v>20190303154304994</v>
      </c>
      <c r="B6166" t="str">
        <f>"1551598984986962"</f>
        <v>1551598984986962</v>
      </c>
      <c r="C6166" t="s">
        <v>40</v>
      </c>
      <c r="D6166">
        <v>4.2895599999999998</v>
      </c>
      <c r="E6166">
        <v>0.34253210000000001</v>
      </c>
      <c r="F6166" t="s">
        <v>58</v>
      </c>
      <c r="G6166">
        <v>-414.25880000000001</v>
      </c>
      <c r="H6166" s="1">
        <v>-9.2524199999999994E-6</v>
      </c>
      <c r="I6166">
        <v>29.306149999999999</v>
      </c>
      <c r="J6166">
        <v>-421.79469999999998</v>
      </c>
      <c r="K6166">
        <v>1.1242030000000001</v>
      </c>
      <c r="L6166">
        <v>37.535980000000002</v>
      </c>
      <c r="M6166">
        <v>7.5807550000000001E-2</v>
      </c>
      <c r="N6166">
        <v>-1.3678259999999999E-2</v>
      </c>
      <c r="O6166">
        <v>-0.99702860000000004</v>
      </c>
      <c r="P6166">
        <v>0.3854091</v>
      </c>
      <c r="Q6166">
        <v>-7.3517579999999999E-2</v>
      </c>
      <c r="R6166">
        <v>-0.91981230000000003</v>
      </c>
      <c r="S6166">
        <v>2.1265559999999999</v>
      </c>
      <c r="T6166">
        <v>-0.31657980000000002</v>
      </c>
      <c r="U6166">
        <v>-2.3586429999999998</v>
      </c>
      <c r="V6166">
        <v>-0.314127299999999</v>
      </c>
      <c r="W6166">
        <v>-6.2795190000000001E-2</v>
      </c>
      <c r="X6166">
        <v>0.94730190000000003</v>
      </c>
      <c r="Y6166">
        <v>-0.60839370000000004</v>
      </c>
      <c r="Z6166">
        <v>8.8249010000000003E-2</v>
      </c>
      <c r="AA6166">
        <v>0.78871369999999996</v>
      </c>
      <c r="AB6166">
        <v>20</v>
      </c>
      <c r="AC6166">
        <v>7.5358999999999696</v>
      </c>
      <c r="AD6166">
        <v>-1.12421225242</v>
      </c>
      <c r="AE6166">
        <v>-8.2298299999999998</v>
      </c>
      <c r="AF6166">
        <v>-6.82103725935099</v>
      </c>
      <c r="AG6166">
        <v>-1.12421225242</v>
      </c>
      <c r="AH6166">
        <v>8.6892810003267797</v>
      </c>
      <c r="AI6166">
        <v>95.810917911848804</v>
      </c>
      <c r="AJ6166">
        <v>128.13171651590301</v>
      </c>
      <c r="AK6166">
        <v>11.1037834446005</v>
      </c>
      <c r="AL6166">
        <v>93.600267971945101</v>
      </c>
      <c r="AM6166">
        <v>108.345629412495</v>
      </c>
      <c r="AN6166">
        <v>1.0000000431180101</v>
      </c>
    </row>
    <row r="6167" spans="1:40" x14ac:dyDescent="0.25">
      <c r="A6167" t="str">
        <f>"20190303154305018"</f>
        <v>20190303154305018</v>
      </c>
      <c r="B6167" t="str">
        <f>"1551598985006483"</f>
        <v>1551598985006483</v>
      </c>
      <c r="C6167" t="s">
        <v>40</v>
      </c>
      <c r="D6167">
        <v>4.2029740000000002</v>
      </c>
      <c r="E6167">
        <v>0.32490390000000002</v>
      </c>
      <c r="F6167" t="s">
        <v>58</v>
      </c>
      <c r="G6167">
        <v>-413.31740000000002</v>
      </c>
      <c r="H6167" s="1">
        <v>-9.5720010000000002E-6</v>
      </c>
      <c r="I6167">
        <v>29.209610000000001</v>
      </c>
      <c r="J6167">
        <v>-421.7731</v>
      </c>
      <c r="K6167">
        <v>1.124396</v>
      </c>
      <c r="L6167">
        <v>37.336759999999998</v>
      </c>
      <c r="M6167">
        <v>8.1352859999999999E-2</v>
      </c>
      <c r="N6167">
        <v>-1.369891E-2</v>
      </c>
      <c r="O6167">
        <v>-0.99659129999999996</v>
      </c>
      <c r="P6167">
        <v>0.39768429999999999</v>
      </c>
      <c r="Q6167">
        <v>-7.1497019999999994E-2</v>
      </c>
      <c r="R6167">
        <v>-0.91473260000000001</v>
      </c>
      <c r="S6167">
        <v>2.310181</v>
      </c>
      <c r="T6167">
        <v>-0.30636229999999998</v>
      </c>
      <c r="U6167">
        <v>-2.2690429999999999</v>
      </c>
      <c r="V6167">
        <v>-0.32149299999999997</v>
      </c>
      <c r="W6167">
        <v>-6.0978930000000001E-2</v>
      </c>
      <c r="X6167">
        <v>0.94494650000000002</v>
      </c>
      <c r="Y6167">
        <v>-0.65118430000000005</v>
      </c>
      <c r="Z6167">
        <v>8.3545469999999997E-2</v>
      </c>
      <c r="AA6167">
        <v>0.75430719999999996</v>
      </c>
      <c r="AB6167">
        <v>20</v>
      </c>
      <c r="AC6167">
        <v>8.45569999999997</v>
      </c>
      <c r="AD6167">
        <v>-1.124405572001</v>
      </c>
      <c r="AE6167">
        <v>-8.1271500000000003</v>
      </c>
      <c r="AF6167">
        <v>-7.6957030854975397</v>
      </c>
      <c r="AG6167">
        <v>-1.124405572001</v>
      </c>
      <c r="AH6167">
        <v>8.7081253797075302</v>
      </c>
      <c r="AI6167">
        <v>95.526371808564704</v>
      </c>
      <c r="AJ6167">
        <v>131.46826113810999</v>
      </c>
      <c r="AK6167">
        <v>11.6755976934455</v>
      </c>
      <c r="AL6167">
        <v>93.496004106073798</v>
      </c>
      <c r="AM6167">
        <v>108.789510811466</v>
      </c>
      <c r="AN6167">
        <v>1.00000003340759</v>
      </c>
    </row>
    <row r="6168" spans="1:40" x14ac:dyDescent="0.25">
      <c r="A6168" t="str">
        <f>"20190303154305038"</f>
        <v>20190303154305038</v>
      </c>
      <c r="B6168" t="str">
        <f>"1551598985036739"</f>
        <v>1551598985036739</v>
      </c>
      <c r="C6168" t="s">
        <v>40</v>
      </c>
      <c r="D6168">
        <v>4.6002109999999998</v>
      </c>
      <c r="E6168">
        <v>0.32343840000000001</v>
      </c>
      <c r="F6168" t="s">
        <v>58</v>
      </c>
      <c r="G6168">
        <v>-413.2944</v>
      </c>
      <c r="H6168" s="1">
        <v>-6.6785880000000004E-6</v>
      </c>
      <c r="I6168">
        <v>29.8446</v>
      </c>
      <c r="J6168">
        <v>-421.7518</v>
      </c>
      <c r="K6168">
        <v>1.124565</v>
      </c>
      <c r="L6168">
        <v>37.15305</v>
      </c>
      <c r="M6168">
        <v>8.6781819999999996E-2</v>
      </c>
      <c r="N6168">
        <v>-1.371964E-2</v>
      </c>
      <c r="O6168">
        <v>-0.99613300000000005</v>
      </c>
      <c r="P6168">
        <v>0.40867750000000003</v>
      </c>
      <c r="Q6168">
        <v>-7.0393869999999997E-2</v>
      </c>
      <c r="R6168">
        <v>-0.9099604</v>
      </c>
      <c r="S6168">
        <v>2.4682010000000001</v>
      </c>
      <c r="T6168">
        <v>-0.32731870000000002</v>
      </c>
      <c r="U6168">
        <v>-2.181</v>
      </c>
      <c r="V6168">
        <v>-0.32769399999999999</v>
      </c>
      <c r="W6168">
        <v>-6.0062789999999998E-2</v>
      </c>
      <c r="X6168">
        <v>0.94287279999999996</v>
      </c>
      <c r="Y6168">
        <v>-0.68570629999999999</v>
      </c>
      <c r="Z6168">
        <v>8.8809819999999998E-2</v>
      </c>
      <c r="AA6168">
        <v>0.72244019999999898</v>
      </c>
      <c r="AB6168">
        <v>20</v>
      </c>
      <c r="AC6168">
        <v>8.4573999999999998</v>
      </c>
      <c r="AD6168">
        <v>-1.124571678588</v>
      </c>
      <c r="AE6168">
        <v>-7.3084499999999997</v>
      </c>
      <c r="AF6168">
        <v>-7.7131142579436602</v>
      </c>
      <c r="AG6168">
        <v>-1.124571678588</v>
      </c>
      <c r="AH6168">
        <v>7.9345757813997704</v>
      </c>
      <c r="AI6168">
        <v>95.802866267009307</v>
      </c>
      <c r="AJ6168">
        <v>134.18914782505601</v>
      </c>
      <c r="AK6168">
        <v>11.1226923830137</v>
      </c>
      <c r="AL6168">
        <v>93.443416846520293</v>
      </c>
      <c r="AM6168">
        <v>109.164817273564</v>
      </c>
      <c r="AN6168">
        <v>1.0000000066792101</v>
      </c>
    </row>
    <row r="6169" spans="1:40" x14ac:dyDescent="0.25">
      <c r="A6169" t="str">
        <f>"20190303154305062"</f>
        <v>20190303154305062</v>
      </c>
      <c r="B6169" t="str">
        <f>"1551598985056258"</f>
        <v>1551598985056258</v>
      </c>
      <c r="C6169" t="s">
        <v>40</v>
      </c>
      <c r="D6169">
        <v>4.5940019999999997</v>
      </c>
      <c r="E6169">
        <v>0.32418609999999998</v>
      </c>
      <c r="F6169" t="s">
        <v>58</v>
      </c>
      <c r="G6169">
        <v>-413.47199999999998</v>
      </c>
      <c r="H6169" s="1">
        <v>-6.5702699999999899E-6</v>
      </c>
      <c r="I6169">
        <v>30.057500000000001</v>
      </c>
      <c r="J6169">
        <v>-421.72719999999998</v>
      </c>
      <c r="K6169">
        <v>1.124725</v>
      </c>
      <c r="L6169">
        <v>36.954160000000002</v>
      </c>
      <c r="M6169">
        <v>9.2965889999999995E-2</v>
      </c>
      <c r="N6169">
        <v>-1.3743409999999999E-2</v>
      </c>
      <c r="O6169">
        <v>-0.99557439999999997</v>
      </c>
      <c r="P6169">
        <v>0.41961619999999999</v>
      </c>
      <c r="Q6169">
        <v>-7.1126679999999998E-2</v>
      </c>
      <c r="R6169">
        <v>-0.90491089999999996</v>
      </c>
      <c r="S6169">
        <v>2.5040589999999998</v>
      </c>
      <c r="T6169">
        <v>-0.34010390000000001</v>
      </c>
      <c r="U6169">
        <v>-2.145905</v>
      </c>
      <c r="V6169">
        <v>-0.33316950000000001</v>
      </c>
      <c r="W6169">
        <v>-6.0973979999999997E-2</v>
      </c>
      <c r="X6169">
        <v>0.94089339999999999</v>
      </c>
      <c r="Y6169">
        <v>-0.69184290000000004</v>
      </c>
      <c r="Z6169">
        <v>9.2897779999999999E-2</v>
      </c>
      <c r="AA6169">
        <v>0.71604699999999999</v>
      </c>
      <c r="AB6169">
        <v>20</v>
      </c>
      <c r="AC6169">
        <v>8.2552000000000003</v>
      </c>
      <c r="AD6169">
        <v>-1.12473157027</v>
      </c>
      <c r="AE6169">
        <v>-6.89665999999999</v>
      </c>
      <c r="AF6169">
        <v>-7.4962748381212698</v>
      </c>
      <c r="AG6169">
        <v>-1.12473157027</v>
      </c>
      <c r="AH6169">
        <v>7.5517521376486503</v>
      </c>
      <c r="AI6169">
        <v>96.033847782738306</v>
      </c>
      <c r="AJ6169">
        <v>134.78876960241399</v>
      </c>
      <c r="AK6169">
        <v>10.6999120511475</v>
      </c>
      <c r="AL6169">
        <v>93.495719848938606</v>
      </c>
      <c r="AM6169">
        <v>109.499008286519</v>
      </c>
      <c r="AN6169">
        <v>1.00000006606542</v>
      </c>
    </row>
    <row r="6170" spans="1:40" x14ac:dyDescent="0.25">
      <c r="A6170" t="str">
        <f>"20190303154305084"</f>
        <v>20190303154305084</v>
      </c>
      <c r="B6170" t="str">
        <f>"1551598985076284"</f>
        <v>1551598985076284</v>
      </c>
      <c r="C6170" t="s">
        <v>40</v>
      </c>
      <c r="D6170">
        <v>4.2719360000000002</v>
      </c>
      <c r="E6170">
        <v>0.321125299999999</v>
      </c>
      <c r="F6170" t="s">
        <v>58</v>
      </c>
      <c r="G6170">
        <v>-413.53809999999999</v>
      </c>
      <c r="H6170" s="1">
        <v>-6.5498070000000004E-6</v>
      </c>
      <c r="I6170">
        <v>30.084309999999999</v>
      </c>
      <c r="J6170">
        <v>-421.70240000000001</v>
      </c>
      <c r="K6170">
        <v>1.124846</v>
      </c>
      <c r="L6170">
        <v>36.765500000000003</v>
      </c>
      <c r="M6170">
        <v>9.9105960000000007E-2</v>
      </c>
      <c r="N6170">
        <v>-1.3766479999999999E-2</v>
      </c>
      <c r="O6170">
        <v>-0.99498180000000003</v>
      </c>
      <c r="P6170">
        <v>0.42957519999999999</v>
      </c>
      <c r="Q6170">
        <v>-7.2763380000000003E-2</v>
      </c>
      <c r="R6170">
        <v>-0.90009490000000003</v>
      </c>
      <c r="S6170">
        <v>2.5241699999999998</v>
      </c>
      <c r="T6170">
        <v>-0.34668059999999901</v>
      </c>
      <c r="U6170">
        <v>-2.1175229999999998</v>
      </c>
      <c r="V6170">
        <v>-0.33771630000000002</v>
      </c>
      <c r="W6170">
        <v>-6.2764440000000005E-2</v>
      </c>
      <c r="X6170">
        <v>0.93915300000000002</v>
      </c>
      <c r="Y6170">
        <v>-0.69475159999999903</v>
      </c>
      <c r="Z6170">
        <v>9.5272549999999998E-2</v>
      </c>
      <c r="AA6170">
        <v>0.71291190000000004</v>
      </c>
      <c r="AB6170">
        <v>20</v>
      </c>
      <c r="AC6170">
        <v>8.1643000000000203</v>
      </c>
      <c r="AD6170">
        <v>-1.1248525498069999</v>
      </c>
      <c r="AE6170">
        <v>-6.68119</v>
      </c>
      <c r="AF6170">
        <v>-7.3780102058641299</v>
      </c>
      <c r="AG6170">
        <v>-1.1248525498069999</v>
      </c>
      <c r="AH6170">
        <v>7.37366823459723</v>
      </c>
      <c r="AI6170">
        <v>96.154839616245198</v>
      </c>
      <c r="AJ6170">
        <v>135.01686429257299</v>
      </c>
      <c r="AK6170">
        <v>10.491487553752799</v>
      </c>
      <c r="AL6170">
        <v>93.598502742911293</v>
      </c>
      <c r="AM6170">
        <v>109.778416410258</v>
      </c>
      <c r="AN6170">
        <v>1.0000000158116</v>
      </c>
    </row>
    <row r="6171" spans="1:40" x14ac:dyDescent="0.25">
      <c r="A6171" t="str">
        <f>"20190303154305098"</f>
        <v>20190303154305098</v>
      </c>
      <c r="B6171" t="str">
        <f>"1551598985096780"</f>
        <v>1551598985096780</v>
      </c>
      <c r="C6171" t="s">
        <v>40</v>
      </c>
      <c r="D6171">
        <v>4.352849</v>
      </c>
      <c r="E6171">
        <v>0.31922780000000001</v>
      </c>
      <c r="F6171" t="s">
        <v>58</v>
      </c>
      <c r="G6171">
        <v>-413.4837</v>
      </c>
      <c r="H6171" s="1">
        <v>-6.5455859999999997E-6</v>
      </c>
      <c r="I6171">
        <v>30.117899999999999</v>
      </c>
      <c r="J6171">
        <v>-421.6848</v>
      </c>
      <c r="K6171">
        <v>1.1249309999999999</v>
      </c>
      <c r="L6171">
        <v>36.637450000000001</v>
      </c>
      <c r="M6171">
        <v>0.10341549999999999</v>
      </c>
      <c r="N6171">
        <v>-1.378214E-2</v>
      </c>
      <c r="O6171">
        <v>-0.99454279999999995</v>
      </c>
      <c r="P6171">
        <v>0.4356641</v>
      </c>
      <c r="Q6171">
        <v>-7.3930419999999997E-2</v>
      </c>
      <c r="R6171">
        <v>-0.89706830000000004</v>
      </c>
      <c r="S6171">
        <v>2.569458</v>
      </c>
      <c r="T6171">
        <v>-0.35166910000000001</v>
      </c>
      <c r="U6171">
        <v>-2.0782780000000001</v>
      </c>
      <c r="V6171">
        <v>-0.3399934</v>
      </c>
      <c r="W6171">
        <v>-6.4023350000000007E-2</v>
      </c>
      <c r="X6171">
        <v>0.93824600000000002</v>
      </c>
      <c r="Y6171">
        <v>-0.70423409999999997</v>
      </c>
      <c r="Z6171">
        <v>9.6738679999999994E-2</v>
      </c>
      <c r="AA6171">
        <v>0.70334629999999998</v>
      </c>
      <c r="AB6171">
        <v>20</v>
      </c>
      <c r="AC6171">
        <v>8.2010999999999896</v>
      </c>
      <c r="AD6171">
        <v>-1.124937545586</v>
      </c>
      <c r="AE6171">
        <v>-6.5195499999999997</v>
      </c>
      <c r="AF6171">
        <v>-7.3975443578820101</v>
      </c>
      <c r="AG6171">
        <v>-1.124937545586</v>
      </c>
      <c r="AH6171">
        <v>7.2492102357668404</v>
      </c>
      <c r="AI6171">
        <v>96.198738144881602</v>
      </c>
      <c r="AJ6171">
        <v>135.580239708021</v>
      </c>
      <c r="AK6171">
        <v>10.418262621504899</v>
      </c>
      <c r="AL6171">
        <v>93.670778304397999</v>
      </c>
      <c r="AM6171">
        <v>109.91906163848201</v>
      </c>
      <c r="AN6171">
        <v>1.00000002895239</v>
      </c>
    </row>
    <row r="6172" spans="1:40" x14ac:dyDescent="0.25">
      <c r="A6172" t="str">
        <f>"20190303154305117"</f>
        <v>20190303154305117</v>
      </c>
      <c r="B6172" t="str">
        <f>"1551598985106540"</f>
        <v>1551598985106540</v>
      </c>
      <c r="C6172" t="s">
        <v>40</v>
      </c>
      <c r="D6172">
        <v>4.2989739999999896</v>
      </c>
      <c r="E6172">
        <v>0.31873839999999998</v>
      </c>
      <c r="F6172" t="s">
        <v>58</v>
      </c>
      <c r="G6172">
        <v>-413.43389999999999</v>
      </c>
      <c r="H6172" s="1">
        <v>-6.5551210000000001E-6</v>
      </c>
      <c r="I6172">
        <v>30.11326</v>
      </c>
      <c r="J6172">
        <v>-421.66219999999998</v>
      </c>
      <c r="K6172">
        <v>1.1250340000000001</v>
      </c>
      <c r="L6172">
        <v>36.479550000000003</v>
      </c>
      <c r="M6172">
        <v>0.1089123</v>
      </c>
      <c r="N6172">
        <v>-1.3802109999999999E-2</v>
      </c>
      <c r="O6172">
        <v>-0.9939557</v>
      </c>
      <c r="P6172">
        <v>0.44548739999999998</v>
      </c>
      <c r="Q6172">
        <v>-7.6538549999999997E-2</v>
      </c>
      <c r="R6172">
        <v>-0.892011</v>
      </c>
      <c r="S6172">
        <v>2.5972599999999999</v>
      </c>
      <c r="T6172">
        <v>-0.3541125</v>
      </c>
      <c r="U6172">
        <v>-2.0537109999999998</v>
      </c>
      <c r="V6172">
        <v>-0.34508070000000002</v>
      </c>
      <c r="W6172">
        <v>-6.6779669999999999E-2</v>
      </c>
      <c r="X6172">
        <v>0.93619439999999998</v>
      </c>
      <c r="Y6172">
        <v>-0.70802779999999998</v>
      </c>
      <c r="Z6172">
        <v>9.7525509999999996E-2</v>
      </c>
      <c r="AA6172">
        <v>0.69941790000000004</v>
      </c>
      <c r="AB6172">
        <v>20</v>
      </c>
      <c r="AC6172">
        <v>8.2282999999999902</v>
      </c>
      <c r="AD6172">
        <v>-1.1250405551209901</v>
      </c>
      <c r="AE6172">
        <v>-6.3662900000000002</v>
      </c>
      <c r="AF6172">
        <v>-7.3993804548505997</v>
      </c>
      <c r="AG6172">
        <v>-1.1250405551209901</v>
      </c>
      <c r="AH6172">
        <v>7.1411503170658603</v>
      </c>
      <c r="AI6172">
        <v>96.243573950249996</v>
      </c>
      <c r="AJ6172">
        <v>136.01742791198501</v>
      </c>
      <c r="AK6172">
        <v>10.3446882609976</v>
      </c>
      <c r="AL6172">
        <v>93.829042481138799</v>
      </c>
      <c r="AM6172">
        <v>110.23385653720401</v>
      </c>
      <c r="AN6172">
        <v>1.00000008421457</v>
      </c>
    </row>
    <row r="6173" spans="1:40" x14ac:dyDescent="0.25">
      <c r="A6173" t="str">
        <f>"20190303154305139"</f>
        <v>20190303154305139</v>
      </c>
      <c r="B6173" t="str">
        <f>"1551598985136798"</f>
        <v>1551598985136798</v>
      </c>
      <c r="C6173" t="s">
        <v>40</v>
      </c>
      <c r="D6173">
        <v>4.3399359999999998</v>
      </c>
      <c r="E6173">
        <v>0.31748470000000001</v>
      </c>
      <c r="F6173" t="s">
        <v>58</v>
      </c>
      <c r="G6173">
        <v>-413.43090000000001</v>
      </c>
      <c r="H6173" s="1">
        <v>-6.5480940000000003E-6</v>
      </c>
      <c r="I6173">
        <v>30.13307</v>
      </c>
      <c r="J6173">
        <v>-421.63319999999999</v>
      </c>
      <c r="K6173">
        <v>1.1251599999999999</v>
      </c>
      <c r="L6173">
        <v>36.289520000000003</v>
      </c>
      <c r="M6173">
        <v>0.11580310000000001</v>
      </c>
      <c r="N6173">
        <v>-1.3828480000000001E-2</v>
      </c>
      <c r="O6173">
        <v>-0.99317619999999895</v>
      </c>
      <c r="P6173">
        <v>0.45733269999999998</v>
      </c>
      <c r="Q6173">
        <v>-7.8411449999999994E-2</v>
      </c>
      <c r="R6173">
        <v>-0.88583230000000002</v>
      </c>
      <c r="S6173">
        <v>2.6230470000000001</v>
      </c>
      <c r="T6173">
        <v>-0.35851609999999901</v>
      </c>
      <c r="U6173">
        <v>-2.0224299999999999</v>
      </c>
      <c r="V6173">
        <v>-0.35102680000000003</v>
      </c>
      <c r="W6173">
        <v>-6.8833640000000001E-2</v>
      </c>
      <c r="X6173">
        <v>0.93383190000000005</v>
      </c>
      <c r="Y6173">
        <v>-0.71157530000000002</v>
      </c>
      <c r="Z6173">
        <v>9.9144549999999998E-2</v>
      </c>
      <c r="AA6173">
        <v>0.69557959999999996</v>
      </c>
      <c r="AB6173">
        <v>20</v>
      </c>
      <c r="AC6173">
        <v>8.2022999999999797</v>
      </c>
      <c r="AD6173">
        <v>-1.1251665480940001</v>
      </c>
      <c r="AE6173">
        <v>-6.1564500000000004</v>
      </c>
      <c r="AF6173">
        <v>-7.3456852200318403</v>
      </c>
      <c r="AG6173">
        <v>-1.1251665480940001</v>
      </c>
      <c r="AH6173">
        <v>6.9809385508966297</v>
      </c>
      <c r="AI6173">
        <v>96.335701027821699</v>
      </c>
      <c r="AJ6173">
        <v>136.45839881825501</v>
      </c>
      <c r="AK6173">
        <v>10.196008736958699</v>
      </c>
      <c r="AL6173">
        <v>93.946998308031297</v>
      </c>
      <c r="AM6173">
        <v>110.601207703751</v>
      </c>
      <c r="AN6173">
        <v>0.999999950885748</v>
      </c>
    </row>
    <row r="6174" spans="1:40" x14ac:dyDescent="0.25">
      <c r="A6174" t="str">
        <f>"20190303154305154"</f>
        <v>20190303154305154</v>
      </c>
      <c r="B6174" t="str">
        <f>"1551598985146557"</f>
        <v>1551598985146557</v>
      </c>
      <c r="C6174" t="s">
        <v>40</v>
      </c>
      <c r="D6174">
        <v>4.3683069999999997</v>
      </c>
      <c r="E6174">
        <v>0.31705470000000002</v>
      </c>
      <c r="F6174" t="s">
        <v>58</v>
      </c>
      <c r="G6174">
        <v>-413.29640000000001</v>
      </c>
      <c r="H6174" s="1">
        <v>-6.5911320000000003E-6</v>
      </c>
      <c r="I6174">
        <v>30.07488</v>
      </c>
      <c r="J6174">
        <v>-421.61360000000002</v>
      </c>
      <c r="K6174">
        <v>1.1252390000000001</v>
      </c>
      <c r="L6174">
        <v>36.166080000000001</v>
      </c>
      <c r="M6174">
        <v>0.1204065</v>
      </c>
      <c r="N6174">
        <v>-1.3846509999999999E-2</v>
      </c>
      <c r="O6174">
        <v>-0.99262830000000002</v>
      </c>
      <c r="P6174">
        <v>0.46453539999999999</v>
      </c>
      <c r="Q6174">
        <v>-7.9464270000000004E-2</v>
      </c>
      <c r="R6174">
        <v>-0.88198240000000006</v>
      </c>
      <c r="S6174">
        <v>2.6589969999999998</v>
      </c>
      <c r="T6174">
        <v>-0.35886439999999997</v>
      </c>
      <c r="U6174">
        <v>-1.9821169999999999</v>
      </c>
      <c r="V6174">
        <v>-0.3542865</v>
      </c>
      <c r="W6174">
        <v>-6.999677E-2</v>
      </c>
      <c r="X6174">
        <v>0.9325135</v>
      </c>
      <c r="Y6174">
        <v>-0.71956730000000002</v>
      </c>
      <c r="Z6174">
        <v>9.9375199999999997E-2</v>
      </c>
      <c r="AA6174">
        <v>0.68727539999999998</v>
      </c>
      <c r="AB6174">
        <v>20</v>
      </c>
      <c r="AC6174">
        <v>8.3172000000000104</v>
      </c>
      <c r="AD6174">
        <v>-1.1252455911319901</v>
      </c>
      <c r="AE6174">
        <v>-6.0911999999999997</v>
      </c>
      <c r="AF6174">
        <v>-7.4346135243591798</v>
      </c>
      <c r="AG6174">
        <v>-1.1252455911319901</v>
      </c>
      <c r="AH6174">
        <v>6.9654322376980398</v>
      </c>
      <c r="AI6174">
        <v>96.302805610711999</v>
      </c>
      <c r="AJ6174">
        <v>136.86614692262299</v>
      </c>
      <c r="AK6174">
        <v>10.2497269307484</v>
      </c>
      <c r="AL6174">
        <v>94.013801899499796</v>
      </c>
      <c r="AM6174">
        <v>110.803106209771</v>
      </c>
      <c r="AN6174">
        <v>0.99999994978746498</v>
      </c>
    </row>
    <row r="6175" spans="1:40" x14ac:dyDescent="0.25">
      <c r="A6175" t="str">
        <f>"20190303154305173"</f>
        <v>20190303154305173</v>
      </c>
      <c r="B6175" t="str">
        <f>"1551598985166076"</f>
        <v>1551598985166076</v>
      </c>
      <c r="C6175" t="s">
        <v>40</v>
      </c>
      <c r="D6175">
        <v>4.5626290000000003</v>
      </c>
      <c r="E6175">
        <v>0.31764910000000002</v>
      </c>
      <c r="F6175" t="s">
        <v>58</v>
      </c>
      <c r="G6175">
        <v>-413.24200000000002</v>
      </c>
      <c r="H6175" s="1">
        <v>-6.6108320000000003E-6</v>
      </c>
      <c r="I6175">
        <v>30.045249999999999</v>
      </c>
      <c r="J6175">
        <v>-421.58659999999998</v>
      </c>
      <c r="K6175">
        <v>1.125345</v>
      </c>
      <c r="L6175">
        <v>36.003300000000003</v>
      </c>
      <c r="M6175">
        <v>0.12666069999999999</v>
      </c>
      <c r="N6175">
        <v>-1.387101E-2</v>
      </c>
      <c r="O6175">
        <v>-0.99184930000000004</v>
      </c>
      <c r="P6175">
        <v>0.47642709999999999</v>
      </c>
      <c r="Q6175">
        <v>-8.1123120000000007E-2</v>
      </c>
      <c r="R6175">
        <v>-0.87546369999999896</v>
      </c>
      <c r="S6175">
        <v>2.678436</v>
      </c>
      <c r="T6175">
        <v>-0.360014099999999</v>
      </c>
      <c r="U6175">
        <v>-1.958313</v>
      </c>
      <c r="V6175">
        <v>-0.36099300000000001</v>
      </c>
      <c r="W6175">
        <v>-7.1838739999999998E-2</v>
      </c>
      <c r="X6175">
        <v>0.9297974</v>
      </c>
      <c r="Y6175">
        <v>-0.7215279</v>
      </c>
      <c r="Z6175">
        <v>9.993639E-2</v>
      </c>
      <c r="AA6175">
        <v>0.68513519999999895</v>
      </c>
      <c r="AB6175">
        <v>20</v>
      </c>
      <c r="AC6175">
        <v>8.3446000000000105</v>
      </c>
      <c r="AD6175">
        <v>-1.1253516108319901</v>
      </c>
      <c r="AE6175">
        <v>-5.9580500000000001</v>
      </c>
      <c r="AF6175">
        <v>-7.4331170623293099</v>
      </c>
      <c r="AG6175">
        <v>-1.1253516108319901</v>
      </c>
      <c r="AH6175">
        <v>6.88416220149489</v>
      </c>
      <c r="AI6175">
        <v>96.338255349326104</v>
      </c>
      <c r="AJ6175">
        <v>137.19576614805499</v>
      </c>
      <c r="AK6175">
        <v>10.193592827202</v>
      </c>
      <c r="AL6175">
        <v>94.119605306992796</v>
      </c>
      <c r="AM6175">
        <v>111.21865678178899</v>
      </c>
      <c r="AN6175">
        <v>0.99999997783027295</v>
      </c>
    </row>
    <row r="6176" spans="1:40" x14ac:dyDescent="0.25">
      <c r="A6176" t="str">
        <f>"20190303154305196"</f>
        <v>20190303154305196</v>
      </c>
      <c r="B6176" t="str">
        <f>"1551598985186572"</f>
        <v>1551598985186572</v>
      </c>
      <c r="C6176" t="s">
        <v>40</v>
      </c>
      <c r="D6176">
        <v>4.585629</v>
      </c>
      <c r="E6176">
        <v>0.31844650000000002</v>
      </c>
      <c r="F6176" t="s">
        <v>58</v>
      </c>
      <c r="G6176">
        <v>-413.09550000000002</v>
      </c>
      <c r="H6176" s="1">
        <v>-6.667903E-6</v>
      </c>
      <c r="I6176">
        <v>29.954930000000001</v>
      </c>
      <c r="J6176">
        <v>-421.55360000000002</v>
      </c>
      <c r="K6176">
        <v>1.125475</v>
      </c>
      <c r="L6176">
        <v>35.814450000000001</v>
      </c>
      <c r="M6176">
        <v>0.1341772</v>
      </c>
      <c r="N6176">
        <v>-1.390037E-2</v>
      </c>
      <c r="O6176">
        <v>-0.99086019999999997</v>
      </c>
      <c r="P6176">
        <v>0.48887259999999999</v>
      </c>
      <c r="Q6176">
        <v>-8.2556050000000006E-2</v>
      </c>
      <c r="R6176">
        <v>-0.8684404</v>
      </c>
      <c r="S6176">
        <v>2.700806</v>
      </c>
      <c r="T6176">
        <v>-0.35794500000000001</v>
      </c>
      <c r="U6176">
        <v>-1.9238280000000001</v>
      </c>
      <c r="V6176">
        <v>-0.36717559999999999</v>
      </c>
      <c r="W6176">
        <v>-7.3470690000000005E-2</v>
      </c>
      <c r="X6176">
        <v>0.9272454</v>
      </c>
      <c r="Y6176">
        <v>-0.72480509999999998</v>
      </c>
      <c r="Z6176">
        <v>9.9679619999999997E-2</v>
      </c>
      <c r="AA6176">
        <v>0.68170489999999995</v>
      </c>
      <c r="AB6176">
        <v>20</v>
      </c>
      <c r="AC6176">
        <v>8.4581</v>
      </c>
      <c r="AD6176">
        <v>-1.125481667903</v>
      </c>
      <c r="AE6176">
        <v>-5.8595199999999998</v>
      </c>
      <c r="AF6176">
        <v>-7.5055131749585904</v>
      </c>
      <c r="AG6176">
        <v>-1.125481667903</v>
      </c>
      <c r="AH6176">
        <v>6.85944864949139</v>
      </c>
      <c r="AI6176">
        <v>96.316382506774204</v>
      </c>
      <c r="AJ6176">
        <v>137.57514379140801</v>
      </c>
      <c r="AK6176">
        <v>10.229930243128299</v>
      </c>
      <c r="AL6176">
        <v>94.213357065479101</v>
      </c>
      <c r="AM6176">
        <v>111.60284043557699</v>
      </c>
      <c r="AN6176">
        <v>0.99999994767279599</v>
      </c>
    </row>
    <row r="6177" spans="1:40" x14ac:dyDescent="0.25">
      <c r="A6177" t="str">
        <f>"20190303154305218"</f>
        <v>20190303154305218</v>
      </c>
      <c r="B6177" t="str">
        <f>"1551598985216828"</f>
        <v>1551598985216828</v>
      </c>
      <c r="C6177" t="s">
        <v>40</v>
      </c>
      <c r="D6177">
        <v>4.6077640000000004</v>
      </c>
      <c r="E6177">
        <v>0.31969710000000001</v>
      </c>
      <c r="F6177" t="s">
        <v>58</v>
      </c>
      <c r="G6177">
        <v>-412.89190000000002</v>
      </c>
      <c r="H6177" s="1">
        <v>-6.7544939999999997E-6</v>
      </c>
      <c r="I6177">
        <v>29.810140000000001</v>
      </c>
      <c r="J6177">
        <v>-421.5181</v>
      </c>
      <c r="K6177">
        <v>1.1256280000000001</v>
      </c>
      <c r="L6177">
        <v>35.622340000000001</v>
      </c>
      <c r="M6177">
        <v>0.14217360000000001</v>
      </c>
      <c r="N6177">
        <v>-1.393344E-2</v>
      </c>
      <c r="O6177">
        <v>-0.98974359999999995</v>
      </c>
      <c r="P6177">
        <v>0.50163840000000004</v>
      </c>
      <c r="Q6177">
        <v>-8.3050830000000006E-2</v>
      </c>
      <c r="R6177">
        <v>-0.861081599999999</v>
      </c>
      <c r="S6177">
        <v>2.723328</v>
      </c>
      <c r="T6177">
        <v>-0.35386299999999998</v>
      </c>
      <c r="U6177">
        <v>-1.8878170000000001</v>
      </c>
      <c r="V6177">
        <v>-0.3733339</v>
      </c>
      <c r="W6177">
        <v>-7.4174790000000004E-2</v>
      </c>
      <c r="X6177">
        <v>0.92472699999999997</v>
      </c>
      <c r="Y6177">
        <v>-0.72806569999999904</v>
      </c>
      <c r="Z6177">
        <v>9.8813150000000002E-2</v>
      </c>
      <c r="AA6177">
        <v>0.67834819999999996</v>
      </c>
      <c r="AB6177">
        <v>19</v>
      </c>
      <c r="AC6177">
        <v>8.6261999999999794</v>
      </c>
      <c r="AD6177">
        <v>-1.125634754494</v>
      </c>
      <c r="AE6177">
        <v>-5.81219999999999</v>
      </c>
      <c r="AF6177">
        <v>-7.6228622902226304</v>
      </c>
      <c r="AG6177">
        <v>-1.125634754494</v>
      </c>
      <c r="AH6177">
        <v>6.8988904255410999</v>
      </c>
      <c r="AI6177">
        <v>96.248139340343002</v>
      </c>
      <c r="AJ6177">
        <v>137.854078178479</v>
      </c>
      <c r="AK6177">
        <v>10.342619213712</v>
      </c>
      <c r="AL6177">
        <v>94.253808916802996</v>
      </c>
      <c r="AM6177">
        <v>111.985081087406</v>
      </c>
      <c r="AN6177">
        <v>1.0000000624448699</v>
      </c>
    </row>
    <row r="6178" spans="1:40" x14ac:dyDescent="0.25">
      <c r="A6178" t="str">
        <f>"20190303154305239"</f>
        <v>20190303154305239</v>
      </c>
      <c r="B6178" t="str">
        <f>"1551598985236348"</f>
        <v>1551598985236348</v>
      </c>
      <c r="C6178" t="s">
        <v>40</v>
      </c>
      <c r="D6178">
        <v>4.7385809999999999</v>
      </c>
      <c r="E6178">
        <v>0.32065129999999997</v>
      </c>
      <c r="F6178" t="s">
        <v>58</v>
      </c>
      <c r="G6178">
        <v>-412.57069999999999</v>
      </c>
      <c r="H6178" s="1">
        <v>-9.8756950000000007E-6</v>
      </c>
      <c r="I6178">
        <v>29.579540000000001</v>
      </c>
      <c r="J6178">
        <v>-421.48450000000003</v>
      </c>
      <c r="K6178">
        <v>1.1257569999999999</v>
      </c>
      <c r="L6178">
        <v>35.449579999999997</v>
      </c>
      <c r="M6178">
        <v>0.14959330000000001</v>
      </c>
      <c r="N6178">
        <v>-1.396449E-2</v>
      </c>
      <c r="O6178">
        <v>-0.988649</v>
      </c>
      <c r="P6178">
        <v>0.51380199999999998</v>
      </c>
      <c r="Q6178">
        <v>-8.3505789999999996E-2</v>
      </c>
      <c r="R6178">
        <v>-0.85383500000000001</v>
      </c>
      <c r="S6178">
        <v>2.7431640000000002</v>
      </c>
      <c r="T6178">
        <v>-0.3451089</v>
      </c>
      <c r="U6178">
        <v>-1.8526609999999999</v>
      </c>
      <c r="V6178">
        <v>-0.37947829999999999</v>
      </c>
      <c r="W6178">
        <v>-7.4818099999999998E-2</v>
      </c>
      <c r="X6178">
        <v>0.9221705</v>
      </c>
      <c r="Y6178">
        <v>-0.73138149999999902</v>
      </c>
      <c r="Z6178">
        <v>9.6492010000000003E-2</v>
      </c>
      <c r="AA6178">
        <v>0.67510769999999998</v>
      </c>
      <c r="AB6178">
        <v>19</v>
      </c>
      <c r="AC6178">
        <v>8.9138000000000304</v>
      </c>
      <c r="AD6178">
        <v>-1.1257668756949999</v>
      </c>
      <c r="AE6178">
        <v>-5.8700399999999897</v>
      </c>
      <c r="AF6178">
        <v>-7.8479613601274503</v>
      </c>
      <c r="AG6178">
        <v>-1.1257668756949999</v>
      </c>
      <c r="AH6178">
        <v>7.05901420951633</v>
      </c>
      <c r="AI6178">
        <v>96.087662985821595</v>
      </c>
      <c r="AJ6178">
        <v>138.029535223962</v>
      </c>
      <c r="AK6178">
        <v>10.6154382942306</v>
      </c>
      <c r="AL6178">
        <v>94.290770925026905</v>
      </c>
      <c r="AM6178">
        <v>112.367439080756</v>
      </c>
      <c r="AN6178">
        <v>0.99999997966437404</v>
      </c>
    </row>
    <row r="6179" spans="1:40" x14ac:dyDescent="0.25">
      <c r="A6179" t="str">
        <f>"20190303154305262"</f>
        <v>20190303154305262</v>
      </c>
      <c r="B6179" t="str">
        <f>"1551598985256848"</f>
        <v>1551598985256848</v>
      </c>
      <c r="C6179" t="s">
        <v>40</v>
      </c>
      <c r="D6179">
        <v>4.8938269999999999</v>
      </c>
      <c r="E6179">
        <v>0.32152380000000003</v>
      </c>
      <c r="F6179" t="s">
        <v>58</v>
      </c>
      <c r="G6179">
        <v>-412.27379999999999</v>
      </c>
      <c r="H6179" s="1">
        <v>-9.9586699999999996E-6</v>
      </c>
      <c r="I6179">
        <v>29.390699999999999</v>
      </c>
      <c r="J6179">
        <v>-421.44420000000002</v>
      </c>
      <c r="K6179">
        <v>1.125877</v>
      </c>
      <c r="L6179">
        <v>35.252690000000001</v>
      </c>
      <c r="M6179">
        <v>0.15831889999999901</v>
      </c>
      <c r="N6179">
        <v>-1.3998599999999899E-2</v>
      </c>
      <c r="O6179">
        <v>-0.98728899999999997</v>
      </c>
      <c r="P6179">
        <v>0.52681330000000004</v>
      </c>
      <c r="Q6179">
        <v>-8.3099039999999999E-2</v>
      </c>
      <c r="R6179">
        <v>-0.84590940000000003</v>
      </c>
      <c r="S6179">
        <v>2.7632750000000001</v>
      </c>
      <c r="T6179">
        <v>-0.33773959999999997</v>
      </c>
      <c r="U6179">
        <v>-1.8177190000000001</v>
      </c>
      <c r="V6179">
        <v>-0.3854128</v>
      </c>
      <c r="W6179">
        <v>-7.4593560000000003E-2</v>
      </c>
      <c r="X6179">
        <v>0.91972430000000005</v>
      </c>
      <c r="Y6179">
        <v>-0.73375869999999999</v>
      </c>
      <c r="Z6179">
        <v>9.4591060000000005E-2</v>
      </c>
      <c r="AA6179">
        <v>0.67279319999999998</v>
      </c>
      <c r="AB6179">
        <v>19</v>
      </c>
      <c r="AC6179">
        <v>9.1704000000000292</v>
      </c>
      <c r="AD6179">
        <v>-1.12588695867</v>
      </c>
      <c r="AE6179">
        <v>-5.8619899999999996</v>
      </c>
      <c r="AF6179">
        <v>-8.0405249025118497</v>
      </c>
      <c r="AG6179">
        <v>-1.12588695867</v>
      </c>
      <c r="AH6179">
        <v>7.1633791259298398</v>
      </c>
      <c r="AI6179">
        <v>95.968713715265494</v>
      </c>
      <c r="AJ6179">
        <v>138.30185616144701</v>
      </c>
      <c r="AK6179">
        <v>10.827357140753399</v>
      </c>
      <c r="AL6179">
        <v>94.277869563043794</v>
      </c>
      <c r="AM6179">
        <v>112.73624450404</v>
      </c>
      <c r="AN6179">
        <v>1.0000000068039001</v>
      </c>
    </row>
    <row r="6180" spans="1:40" x14ac:dyDescent="0.25">
      <c r="A6180" t="str">
        <f>"20190303154305286"</f>
        <v>20190303154305286</v>
      </c>
      <c r="B6180" t="str">
        <f>"1551598985276364"</f>
        <v>1551598985276364</v>
      </c>
      <c r="C6180" t="s">
        <v>40</v>
      </c>
      <c r="D6180">
        <v>4.8799760000000001</v>
      </c>
      <c r="E6180">
        <v>0.32269639999999999</v>
      </c>
      <c r="F6180" t="s">
        <v>58</v>
      </c>
      <c r="G6180">
        <v>-411.86720000000003</v>
      </c>
      <c r="H6180" s="1">
        <v>-1.00725399999999E-5</v>
      </c>
      <c r="I6180">
        <v>29.134260000000001</v>
      </c>
      <c r="J6180">
        <v>-421.40359999999998</v>
      </c>
      <c r="K6180">
        <v>1.1259889999999999</v>
      </c>
      <c r="L6180">
        <v>35.064419999999998</v>
      </c>
      <c r="M6180">
        <v>0.16692460000000001</v>
      </c>
      <c r="N6180">
        <v>-1.402922E-2</v>
      </c>
      <c r="O6180">
        <v>-0.98586989999999997</v>
      </c>
      <c r="P6180">
        <v>0.53839340000000002</v>
      </c>
      <c r="Q6180">
        <v>-8.2384369999999998E-2</v>
      </c>
      <c r="R6180">
        <v>-0.83865730000000005</v>
      </c>
      <c r="S6180">
        <v>2.7854920000000001</v>
      </c>
      <c r="T6180">
        <v>-0.32746910000000001</v>
      </c>
      <c r="U6180">
        <v>-1.7795719999999999</v>
      </c>
      <c r="V6180">
        <v>-0.39000220000000002</v>
      </c>
      <c r="W6180">
        <v>-7.4026939999999999E-2</v>
      </c>
      <c r="X6180">
        <v>0.91783349999999997</v>
      </c>
      <c r="Y6180">
        <v>-0.73706530000000003</v>
      </c>
      <c r="Z6180">
        <v>9.1750280000000003E-2</v>
      </c>
      <c r="AA6180">
        <v>0.66956459999999995</v>
      </c>
      <c r="AB6180">
        <v>19</v>
      </c>
      <c r="AC6180">
        <v>9.5363999999999507</v>
      </c>
      <c r="AD6180">
        <v>-1.12599907254</v>
      </c>
      <c r="AE6180">
        <v>-5.9301599999999999</v>
      </c>
      <c r="AF6180">
        <v>-8.3288515454705792</v>
      </c>
      <c r="AG6180">
        <v>-1.12599907254</v>
      </c>
      <c r="AH6180">
        <v>7.36491283433599</v>
      </c>
      <c r="AI6180">
        <v>95.782991826605297</v>
      </c>
      <c r="AJ6180">
        <v>138.51479234771099</v>
      </c>
      <c r="AK6180">
        <v>11.174953379554401</v>
      </c>
      <c r="AL6180">
        <v>94.245314568426593</v>
      </c>
      <c r="AM6180">
        <v>113.021418561674</v>
      </c>
      <c r="AN6180">
        <v>1.00000001878642</v>
      </c>
    </row>
    <row r="6181" spans="1:40" x14ac:dyDescent="0.25">
      <c r="A6181" t="str">
        <f>"20190303154305308"</f>
        <v>20190303154305308</v>
      </c>
      <c r="B6181" t="str">
        <f>"1551598985296861"</f>
        <v>1551598985296861</v>
      </c>
      <c r="C6181" t="s">
        <v>40</v>
      </c>
      <c r="D6181">
        <v>4.9498819999999997</v>
      </c>
      <c r="E6181">
        <v>0.32318599999999997</v>
      </c>
      <c r="F6181" t="s">
        <v>58</v>
      </c>
      <c r="G6181">
        <v>-411.52199999999999</v>
      </c>
      <c r="H6181" s="1">
        <v>-1.0167869999999999E-5</v>
      </c>
      <c r="I6181">
        <v>28.90437</v>
      </c>
      <c r="J6181">
        <v>-421.36189999999999</v>
      </c>
      <c r="K6181">
        <v>1.1260939999999999</v>
      </c>
      <c r="L6181">
        <v>34.879579999999997</v>
      </c>
      <c r="M6181">
        <v>0.1756296</v>
      </c>
      <c r="N6181">
        <v>-1.405992E-2</v>
      </c>
      <c r="O6181">
        <v>-0.98435589999999995</v>
      </c>
      <c r="P6181">
        <v>0.54902189999999995</v>
      </c>
      <c r="Q6181">
        <v>-8.0834030000000001E-2</v>
      </c>
      <c r="R6181">
        <v>-0.83189000000000002</v>
      </c>
      <c r="S6181">
        <v>2.802216</v>
      </c>
      <c r="T6181">
        <v>-0.319308799999999</v>
      </c>
      <c r="U6181">
        <v>-1.7468570000000001</v>
      </c>
      <c r="V6181">
        <v>-0.39353890000000002</v>
      </c>
      <c r="W6181">
        <v>-7.2601780000000005E-2</v>
      </c>
      <c r="X6181">
        <v>0.91643669999999999</v>
      </c>
      <c r="Y6181">
        <v>-0.73871769999999903</v>
      </c>
      <c r="Z6181">
        <v>8.9568060000000005E-2</v>
      </c>
      <c r="AA6181">
        <v>0.668037199999999</v>
      </c>
      <c r="AB6181">
        <v>19</v>
      </c>
      <c r="AC6181">
        <v>9.8399000000000001</v>
      </c>
      <c r="AD6181">
        <v>-1.1261041678699999</v>
      </c>
      <c r="AE6181">
        <v>-5.9752099999999899</v>
      </c>
      <c r="AF6181">
        <v>-8.5555283559673505</v>
      </c>
      <c r="AG6181">
        <v>-1.1261041678699999</v>
      </c>
      <c r="AH6181">
        <v>7.5385292681976299</v>
      </c>
      <c r="AI6181">
        <v>95.640003355576397</v>
      </c>
      <c r="AJ6181">
        <v>138.61576820408499</v>
      </c>
      <c r="AK6181">
        <v>11.458385557054999</v>
      </c>
      <c r="AL6181">
        <v>94.163438422003296</v>
      </c>
      <c r="AM6181">
        <v>113.23979304148</v>
      </c>
      <c r="AN6181">
        <v>1.0000000546896299</v>
      </c>
    </row>
    <row r="6182" spans="1:40" x14ac:dyDescent="0.25">
      <c r="A6182" t="str">
        <f>"20190303154305331"</f>
        <v>20190303154305331</v>
      </c>
      <c r="B6182" t="str">
        <f>"1551598985326142"</f>
        <v>1551598985326142</v>
      </c>
      <c r="C6182" t="s">
        <v>40</v>
      </c>
      <c r="D6182">
        <v>5.1027360000000002</v>
      </c>
      <c r="E6182">
        <v>0.3428234</v>
      </c>
      <c r="F6182" t="s">
        <v>58</v>
      </c>
      <c r="G6182">
        <v>-411.14179999999999</v>
      </c>
      <c r="H6182" s="1">
        <v>-1.027509E-5</v>
      </c>
      <c r="I6182">
        <v>28.671099999999999</v>
      </c>
      <c r="J6182">
        <v>-421.31880000000001</v>
      </c>
      <c r="K6182">
        <v>1.1261969999999999</v>
      </c>
      <c r="L6182">
        <v>34.697330000000001</v>
      </c>
      <c r="M6182">
        <v>0.18445520000000001</v>
      </c>
      <c r="N6182">
        <v>-1.409237E-2</v>
      </c>
      <c r="O6182">
        <v>-0.9827399</v>
      </c>
      <c r="P6182">
        <v>0.55934319999999904</v>
      </c>
      <c r="Q6182">
        <v>-7.9743930000000005E-2</v>
      </c>
      <c r="R6182">
        <v>-0.82509200000000005</v>
      </c>
      <c r="S6182">
        <v>2.8214419999999998</v>
      </c>
      <c r="T6182">
        <v>-0.31088070000000001</v>
      </c>
      <c r="U6182">
        <v>-1.713959</v>
      </c>
      <c r="V6182">
        <v>-0.39670290000000002</v>
      </c>
      <c r="W6182">
        <v>-7.163195E-2</v>
      </c>
      <c r="X6182">
        <v>0.91514790000000001</v>
      </c>
      <c r="Y6182">
        <v>-0.74059519999999901</v>
      </c>
      <c r="Z6182">
        <v>8.7211200000000003E-2</v>
      </c>
      <c r="AA6182">
        <v>0.66626809999999903</v>
      </c>
      <c r="AB6182">
        <v>19</v>
      </c>
      <c r="AC6182">
        <v>10.177</v>
      </c>
      <c r="AD6182">
        <v>-1.1262072750899901</v>
      </c>
      <c r="AE6182">
        <v>-6.02623</v>
      </c>
      <c r="AF6182">
        <v>-8.8107706557585193</v>
      </c>
      <c r="AG6182">
        <v>-1.1262072750899901</v>
      </c>
      <c r="AH6182">
        <v>7.73010344793353</v>
      </c>
      <c r="AI6182">
        <v>95.488345394422495</v>
      </c>
      <c r="AJ6182">
        <v>138.73800064995601</v>
      </c>
      <c r="AK6182">
        <v>11.7750805386033</v>
      </c>
      <c r="AL6182">
        <v>94.107726405557102</v>
      </c>
      <c r="AM6182">
        <v>113.436009131723</v>
      </c>
      <c r="AN6182">
        <v>1.0000000030018099</v>
      </c>
    </row>
    <row r="6183" spans="1:40" x14ac:dyDescent="0.25">
      <c r="A6183" t="str">
        <f>"20190303154305352"</f>
        <v>20190303154305352</v>
      </c>
      <c r="B6183" t="str">
        <f>"1551598985346640"</f>
        <v>1551598985346640</v>
      </c>
      <c r="C6183" t="s">
        <v>40</v>
      </c>
      <c r="D6183">
        <v>5.1590769999999999</v>
      </c>
      <c r="E6183">
        <v>0.34367999999999999</v>
      </c>
      <c r="F6183" t="s">
        <v>58</v>
      </c>
      <c r="G6183">
        <v>-408.62040000000002</v>
      </c>
      <c r="H6183" s="1">
        <v>-3.1759669999999999E-6</v>
      </c>
      <c r="I6183">
        <v>26.412320000000001</v>
      </c>
      <c r="J6183">
        <v>-421.274</v>
      </c>
      <c r="K6183">
        <v>1.1263099999999999</v>
      </c>
      <c r="L6183">
        <v>34.516269999999999</v>
      </c>
      <c r="M6183">
        <v>0.1934486</v>
      </c>
      <c r="N6183">
        <v>-1.4125830000000001E-2</v>
      </c>
      <c r="O6183">
        <v>-0.98100860000000001</v>
      </c>
      <c r="P6183">
        <v>0.56910899999999998</v>
      </c>
      <c r="Q6183">
        <v>-7.9315849999999993E-2</v>
      </c>
      <c r="R6183">
        <v>-0.81842789999999999</v>
      </c>
      <c r="S6183">
        <v>2.7156069999999999</v>
      </c>
      <c r="T6183">
        <v>-0.24084369999999999</v>
      </c>
      <c r="U6183">
        <v>-1.77179</v>
      </c>
      <c r="V6183">
        <v>-0.39917170000000002</v>
      </c>
      <c r="W6183">
        <v>-7.1315100000000006E-2</v>
      </c>
      <c r="X6183">
        <v>0.91409850000000004</v>
      </c>
      <c r="Y6183">
        <v>-0.7138312</v>
      </c>
      <c r="Z6183">
        <v>6.6033830000000002E-2</v>
      </c>
      <c r="AA6183">
        <v>0.69719759999999997</v>
      </c>
      <c r="AB6183">
        <v>19</v>
      </c>
      <c r="AC6183">
        <v>12.6535999999999</v>
      </c>
      <c r="AD6183">
        <v>-1.126313175967</v>
      </c>
      <c r="AE6183">
        <v>-8.1039499999999904</v>
      </c>
      <c r="AF6183">
        <v>-10.786074828270101</v>
      </c>
      <c r="AG6183">
        <v>-1.126313175967</v>
      </c>
      <c r="AH6183">
        <v>10.340805047175101</v>
      </c>
      <c r="AI6183">
        <v>94.3106671783775</v>
      </c>
      <c r="AJ6183">
        <v>136.20738617791201</v>
      </c>
      <c r="AK6183">
        <v>14.984666849652699</v>
      </c>
      <c r="AL6183">
        <v>94.0895257892291</v>
      </c>
      <c r="AM6183">
        <v>113.590098051868</v>
      </c>
      <c r="AN6183">
        <v>0.99999997863557399</v>
      </c>
    </row>
    <row r="6184" spans="1:40" x14ac:dyDescent="0.25">
      <c r="A6184" t="str">
        <f>"20190303154305374"</f>
        <v>20190303154305374</v>
      </c>
      <c r="B6184" t="str">
        <f>"1551598985366156"</f>
        <v>1551598985366156</v>
      </c>
      <c r="C6184" t="s">
        <v>40</v>
      </c>
      <c r="D6184">
        <v>5.0681750000000001</v>
      </c>
      <c r="E6184">
        <v>0.34550160000000002</v>
      </c>
      <c r="F6184" t="s">
        <v>58</v>
      </c>
      <c r="G6184">
        <v>-408.53219999999999</v>
      </c>
      <c r="H6184" s="1">
        <v>-3.2211669999999999E-6</v>
      </c>
      <c r="I6184">
        <v>26.380839999999999</v>
      </c>
      <c r="J6184">
        <v>-421.2278</v>
      </c>
      <c r="K6184">
        <v>1.126412</v>
      </c>
      <c r="L6184">
        <v>34.337679999999999</v>
      </c>
      <c r="M6184">
        <v>0.20253060000000001</v>
      </c>
      <c r="N6184">
        <v>-1.4158270000000001E-2</v>
      </c>
      <c r="O6184">
        <v>-0.97917370000000004</v>
      </c>
      <c r="P6184">
        <v>0.57943579999999995</v>
      </c>
      <c r="Q6184">
        <v>-7.9178719999999994E-2</v>
      </c>
      <c r="R6184">
        <v>-0.81116269999999902</v>
      </c>
      <c r="S6184">
        <v>2.730591</v>
      </c>
      <c r="T6184">
        <v>-0.24137140000000001</v>
      </c>
      <c r="U6184">
        <v>-1.743439</v>
      </c>
      <c r="V6184">
        <v>-0.40226279999999998</v>
      </c>
      <c r="W6184">
        <v>-7.1301680000000006E-2</v>
      </c>
      <c r="X6184">
        <v>0.91274350000000004</v>
      </c>
      <c r="Y6184">
        <v>-0.7142056</v>
      </c>
      <c r="Z6184">
        <v>6.6477599999999998E-2</v>
      </c>
      <c r="AA6184">
        <v>0.6967719</v>
      </c>
      <c r="AB6184">
        <v>19</v>
      </c>
      <c r="AC6184">
        <v>12.695600000000001</v>
      </c>
      <c r="AD6184">
        <v>-1.126415221167</v>
      </c>
      <c r="AE6184">
        <v>-7.9568399999999899</v>
      </c>
      <c r="AF6184">
        <v>-10.759962248995899</v>
      </c>
      <c r="AG6184">
        <v>-1.126415221167</v>
      </c>
      <c r="AH6184">
        <v>10.3051688464659</v>
      </c>
      <c r="AI6184">
        <v>94.323598323713995</v>
      </c>
      <c r="AJ6184">
        <v>136.23681617883199</v>
      </c>
      <c r="AK6184">
        <v>14.941288559038799</v>
      </c>
      <c r="AL6184">
        <v>94.088754857339595</v>
      </c>
      <c r="AM6184">
        <v>113.78396746457101</v>
      </c>
      <c r="AN6184">
        <v>0.99999999331345601</v>
      </c>
    </row>
    <row r="6185" spans="1:40" x14ac:dyDescent="0.25">
      <c r="A6185" t="str">
        <f>"20190303154305409"</f>
        <v>20190303154305409</v>
      </c>
      <c r="B6185" t="str">
        <f>"1551598985406172"</f>
        <v>1551598985406172</v>
      </c>
      <c r="C6185" t="s">
        <v>40</v>
      </c>
      <c r="D6185">
        <v>5.1407850000000002</v>
      </c>
      <c r="E6185">
        <v>0.36193710000000001</v>
      </c>
      <c r="F6185" t="s">
        <v>58</v>
      </c>
      <c r="G6185">
        <v>-408.15</v>
      </c>
      <c r="H6185" s="1">
        <v>-3.3883670000000002E-6</v>
      </c>
      <c r="I6185">
        <v>26.14385</v>
      </c>
      <c r="J6185">
        <v>-421.15190000000001</v>
      </c>
      <c r="K6185">
        <v>1.126539</v>
      </c>
      <c r="L6185">
        <v>34.060850000000002</v>
      </c>
      <c r="M6185">
        <v>0.21704019999999999</v>
      </c>
      <c r="N6185">
        <v>-1.4206089999999999E-2</v>
      </c>
      <c r="O6185">
        <v>-0.97605929999999996</v>
      </c>
      <c r="P6185">
        <v>0.59290359999999998</v>
      </c>
      <c r="Q6185">
        <v>-7.9885479999999995E-2</v>
      </c>
      <c r="R6185">
        <v>-0.80130129999999999</v>
      </c>
      <c r="S6185">
        <v>2.741028</v>
      </c>
      <c r="T6185">
        <v>-0.23608979999999999</v>
      </c>
      <c r="U6185">
        <v>-1.7173769999999999</v>
      </c>
      <c r="V6185">
        <v>-0.40394229999999998</v>
      </c>
      <c r="W6185">
        <v>-7.2129139999999994E-2</v>
      </c>
      <c r="X6185">
        <v>0.91193639999999998</v>
      </c>
      <c r="Y6185">
        <v>-0.7098563</v>
      </c>
      <c r="Z6185">
        <v>6.5112890000000007E-2</v>
      </c>
      <c r="AA6185">
        <v>0.70133049999999997</v>
      </c>
      <c r="AB6185">
        <v>19</v>
      </c>
      <c r="AC6185">
        <v>13.001899999999999</v>
      </c>
      <c r="AD6185">
        <v>-1.126542388367</v>
      </c>
      <c r="AE6185">
        <v>-7.9169999999999998</v>
      </c>
      <c r="AF6185">
        <v>-10.913654983586399</v>
      </c>
      <c r="AG6185">
        <v>-1.126542388367</v>
      </c>
      <c r="AH6185">
        <v>10.492994426790601</v>
      </c>
      <c r="AI6185">
        <v>94.255523711845399</v>
      </c>
      <c r="AJ6185">
        <v>136.12577042569399</v>
      </c>
      <c r="AK6185">
        <v>15.181564309853201</v>
      </c>
      <c r="AL6185">
        <v>94.136287202586203</v>
      </c>
      <c r="AM6185">
        <v>113.89095150512701</v>
      </c>
      <c r="AN6185">
        <v>0.99999999610569401</v>
      </c>
    </row>
    <row r="6186" spans="1:40" x14ac:dyDescent="0.25">
      <c r="A6186" t="str">
        <f>"20190303154305430"</f>
        <v>20190303154305430</v>
      </c>
      <c r="B6186" t="str">
        <f>"1551598985426668"</f>
        <v>1551598985426668</v>
      </c>
      <c r="C6186" t="s">
        <v>40</v>
      </c>
      <c r="D6186">
        <v>5.2133949999999896</v>
      </c>
      <c r="E6186">
        <v>0.36448069999999999</v>
      </c>
      <c r="F6186" t="s">
        <v>58</v>
      </c>
      <c r="G6186">
        <v>-408.86399999999998</v>
      </c>
      <c r="H6186" s="1">
        <v>-2.9390300000000001E-6</v>
      </c>
      <c r="I6186">
        <v>25.995159999999998</v>
      </c>
      <c r="J6186">
        <v>-421.10239999999999</v>
      </c>
      <c r="K6186">
        <v>1.1265940000000001</v>
      </c>
      <c r="L6186">
        <v>33.889130000000002</v>
      </c>
      <c r="M6186">
        <v>0.2262467</v>
      </c>
      <c r="N6186">
        <v>-1.4233600000000001E-2</v>
      </c>
      <c r="O6186">
        <v>-0.9739662</v>
      </c>
      <c r="P6186">
        <v>0.60153590000000001</v>
      </c>
      <c r="Q6186">
        <v>-7.9750020000000005E-2</v>
      </c>
      <c r="R6186">
        <v>-0.79485499999999998</v>
      </c>
      <c r="S6186">
        <v>2.6638489999999999</v>
      </c>
      <c r="T6186">
        <v>-0.2442193</v>
      </c>
      <c r="U6186">
        <v>-1.748535</v>
      </c>
      <c r="V6186">
        <v>-0.40518219999999999</v>
      </c>
      <c r="W6186">
        <v>-7.2052420000000006E-2</v>
      </c>
      <c r="X6186">
        <v>0.91139230000000004</v>
      </c>
      <c r="Y6186">
        <v>-0.68784990000000001</v>
      </c>
      <c r="Z6186">
        <v>6.8808750000000002E-2</v>
      </c>
      <c r="AA6186">
        <v>0.72258420000000001</v>
      </c>
      <c r="AB6186">
        <v>19</v>
      </c>
      <c r="AC6186">
        <v>12.238399999999899</v>
      </c>
      <c r="AD6186">
        <v>-1.1265969390299999</v>
      </c>
      <c r="AE6186">
        <v>-7.8939699999999897</v>
      </c>
      <c r="AF6186">
        <v>-10.074539670878</v>
      </c>
      <c r="AG6186">
        <v>-1.1265969390299999</v>
      </c>
      <c r="AH6186">
        <v>10.396201786769501</v>
      </c>
      <c r="AI6186">
        <v>94.4498420733769</v>
      </c>
      <c r="AJ6186">
        <v>134.099770513301</v>
      </c>
      <c r="AK6186">
        <v>14.520557215009299</v>
      </c>
      <c r="AL6186">
        <v>94.131879798871395</v>
      </c>
      <c r="AM6186">
        <v>113.968733425445</v>
      </c>
      <c r="AN6186">
        <v>1.00000004546199</v>
      </c>
    </row>
    <row r="6187" spans="1:40" x14ac:dyDescent="0.25">
      <c r="A6187" t="str">
        <f>"20190303154305453"</f>
        <v>20190303154305453</v>
      </c>
      <c r="B6187" t="str">
        <f>"1551598985446188"</f>
        <v>1551598985446188</v>
      </c>
      <c r="C6187" t="s">
        <v>40</v>
      </c>
      <c r="D6187">
        <v>5.2051379999999998</v>
      </c>
      <c r="E6187">
        <v>0.36635380000000001</v>
      </c>
      <c r="F6187" t="s">
        <v>58</v>
      </c>
      <c r="G6187">
        <v>-409.74509999999998</v>
      </c>
      <c r="H6187" s="1">
        <v>-2.5332690000000002E-6</v>
      </c>
      <c r="I6187">
        <v>26.515730000000001</v>
      </c>
      <c r="J6187">
        <v>-421.04790000000003</v>
      </c>
      <c r="K6187">
        <v>1.1266240000000001</v>
      </c>
      <c r="L6187">
        <v>33.707369999999997</v>
      </c>
      <c r="M6187">
        <v>0.2361393</v>
      </c>
      <c r="N6187">
        <v>-1.4259890000000001E-2</v>
      </c>
      <c r="O6187">
        <v>-0.97161470000000005</v>
      </c>
      <c r="P6187">
        <v>0.61011079999999995</v>
      </c>
      <c r="Q6187">
        <v>-7.9690940000000002E-2</v>
      </c>
      <c r="R6187">
        <v>-0.78829819999999995</v>
      </c>
      <c r="S6187">
        <v>2.6654969999999998</v>
      </c>
      <c r="T6187">
        <v>-0.26440639999999999</v>
      </c>
      <c r="U6187">
        <v>-1.730499</v>
      </c>
      <c r="V6187">
        <v>-0.40577800000000003</v>
      </c>
      <c r="W6187">
        <v>-7.2022290000000003E-2</v>
      </c>
      <c r="X6187">
        <v>0.91112950000000004</v>
      </c>
      <c r="Y6187">
        <v>-0.683662199999999</v>
      </c>
      <c r="Z6187">
        <v>7.5857389999999997E-2</v>
      </c>
      <c r="AA6187">
        <v>0.72584539999999997</v>
      </c>
      <c r="AB6187">
        <v>19</v>
      </c>
      <c r="AC6187">
        <v>11.3028</v>
      </c>
      <c r="AD6187">
        <v>-1.126626533269</v>
      </c>
      <c r="AE6187">
        <v>-7.1916399999999996</v>
      </c>
      <c r="AF6187">
        <v>-9.2194777842924491</v>
      </c>
      <c r="AG6187">
        <v>-1.126626533269</v>
      </c>
      <c r="AH6187">
        <v>9.5896979649833707</v>
      </c>
      <c r="AI6187">
        <v>94.840927628490505</v>
      </c>
      <c r="AJ6187">
        <v>133.87239529006499</v>
      </c>
      <c r="AK6187">
        <v>13.3502945667926</v>
      </c>
      <c r="AL6187">
        <v>94.130149248458906</v>
      </c>
      <c r="AM6187">
        <v>114.00614054920899</v>
      </c>
      <c r="AN6187">
        <v>0.99999998065554696</v>
      </c>
    </row>
    <row r="6188" spans="1:40" x14ac:dyDescent="0.25">
      <c r="A6188" t="str">
        <f>"20190303154305475"</f>
        <v>20190303154305475</v>
      </c>
      <c r="B6188" t="str">
        <f>"1551598985466692"</f>
        <v>1551598985466692</v>
      </c>
      <c r="C6188" t="s">
        <v>40</v>
      </c>
      <c r="D6188">
        <v>5.1458500000000003</v>
      </c>
      <c r="E6188">
        <v>0.36740460000000003</v>
      </c>
      <c r="F6188" t="s">
        <v>58</v>
      </c>
      <c r="G6188">
        <v>-409.80759999999998</v>
      </c>
      <c r="H6188" s="1">
        <v>-2.4955009999999999E-6</v>
      </c>
      <c r="I6188">
        <v>26.51221</v>
      </c>
      <c r="J6188">
        <v>-420.99209999999999</v>
      </c>
      <c r="K6188">
        <v>1.1266339999999999</v>
      </c>
      <c r="L6188">
        <v>33.528500000000001</v>
      </c>
      <c r="M6188">
        <v>0.24600859999999999</v>
      </c>
      <c r="N6188">
        <v>-1.428229E-2</v>
      </c>
      <c r="O6188">
        <v>-0.96916250000000004</v>
      </c>
      <c r="P6188">
        <v>0.618392099999999</v>
      </c>
      <c r="Q6188">
        <v>-7.9652650000000005E-2</v>
      </c>
      <c r="R6188">
        <v>-0.78182259999999903</v>
      </c>
      <c r="S6188">
        <v>2.67218</v>
      </c>
      <c r="T6188">
        <v>-0.26783380000000001</v>
      </c>
      <c r="U6188">
        <v>-1.71050999999999</v>
      </c>
      <c r="V6188">
        <v>-0.40611809999999998</v>
      </c>
      <c r="W6188">
        <v>-7.1992269999999997E-2</v>
      </c>
      <c r="X6188">
        <v>0.91098029999999997</v>
      </c>
      <c r="Y6188">
        <v>-0.68083009999999999</v>
      </c>
      <c r="Z6188">
        <v>7.7282870000000004E-2</v>
      </c>
      <c r="AA6188">
        <v>0.72835280000000002</v>
      </c>
      <c r="AB6188">
        <v>19</v>
      </c>
      <c r="AC6188">
        <v>11.1845</v>
      </c>
      <c r="AD6188">
        <v>-1.126636495501</v>
      </c>
      <c r="AE6188">
        <v>-7.0162899999999997</v>
      </c>
      <c r="AF6188">
        <v>-9.0485725924372797</v>
      </c>
      <c r="AG6188">
        <v>-1.126636495501</v>
      </c>
      <c r="AH6188">
        <v>9.4833296102772504</v>
      </c>
      <c r="AI6188">
        <v>94.912650565796596</v>
      </c>
      <c r="AJ6188">
        <v>133.65609187713201</v>
      </c>
      <c r="AK6188">
        <v>13.1559688450058</v>
      </c>
      <c r="AL6188">
        <v>94.128424868800195</v>
      </c>
      <c r="AM6188">
        <v>114.027474512156</v>
      </c>
      <c r="AN6188">
        <v>0.999999952537725</v>
      </c>
    </row>
    <row r="6189" spans="1:40" x14ac:dyDescent="0.25">
      <c r="A6189" t="str">
        <f>"20190303154305496"</f>
        <v>20190303154305496</v>
      </c>
      <c r="B6189" t="str">
        <f>"1551598985486210"</f>
        <v>1551598985486210</v>
      </c>
      <c r="C6189" t="s">
        <v>40</v>
      </c>
      <c r="D6189">
        <v>5.1577140000000004</v>
      </c>
      <c r="E6189">
        <v>0.36751879999999998</v>
      </c>
      <c r="F6189" t="s">
        <v>58</v>
      </c>
      <c r="G6189">
        <v>-409.40940000000001</v>
      </c>
      <c r="H6189" s="1">
        <v>-2.6716980000000001E-6</v>
      </c>
      <c r="I6189">
        <v>26.24484</v>
      </c>
      <c r="J6189">
        <v>-420.93700000000001</v>
      </c>
      <c r="K6189">
        <v>1.1266210000000001</v>
      </c>
      <c r="L6189">
        <v>33.358280000000001</v>
      </c>
      <c r="M6189">
        <v>0.25550970000000001</v>
      </c>
      <c r="N6189">
        <v>-1.4300810000000001E-2</v>
      </c>
      <c r="O6189">
        <v>-0.96670080000000003</v>
      </c>
      <c r="P6189">
        <v>0.62570609999999904</v>
      </c>
      <c r="Q6189">
        <v>-8.0785449999999995E-2</v>
      </c>
      <c r="R6189">
        <v>-0.77586460000000002</v>
      </c>
      <c r="S6189">
        <v>2.6838989999999998</v>
      </c>
      <c r="T6189">
        <v>-0.26106010000000002</v>
      </c>
      <c r="U6189">
        <v>-1.6877439999999999</v>
      </c>
      <c r="V6189">
        <v>-0.40574450000000001</v>
      </c>
      <c r="W6189">
        <v>-7.3109960000000002E-2</v>
      </c>
      <c r="X6189">
        <v>0.91105780000000003</v>
      </c>
      <c r="Y6189">
        <v>-0.67965750000000003</v>
      </c>
      <c r="Z6189">
        <v>7.5244249999999999E-2</v>
      </c>
      <c r="AA6189">
        <v>0.72966019999999998</v>
      </c>
      <c r="AB6189">
        <v>19</v>
      </c>
      <c r="AC6189">
        <v>11.5275999999999</v>
      </c>
      <c r="AD6189">
        <v>-1.12662367169799</v>
      </c>
      <c r="AE6189">
        <v>-7.11343999999999</v>
      </c>
      <c r="AF6189">
        <v>-9.2630624403502502</v>
      </c>
      <c r="AG6189">
        <v>-1.12662367169799</v>
      </c>
      <c r="AH6189">
        <v>9.75550116411668</v>
      </c>
      <c r="AI6189">
        <v>94.787193769439497</v>
      </c>
      <c r="AJ6189">
        <v>133.51679872312999</v>
      </c>
      <c r="AK6189">
        <v>13.499755910183699</v>
      </c>
      <c r="AL6189">
        <v>94.192632844714396</v>
      </c>
      <c r="AM6189">
        <v>114.00605826568</v>
      </c>
      <c r="AN6189">
        <v>0.99999999023614505</v>
      </c>
    </row>
    <row r="6190" spans="1:40" x14ac:dyDescent="0.25">
      <c r="A6190" t="str">
        <f>"20190303154305519"</f>
        <v>20190303154305519</v>
      </c>
      <c r="B6190" t="str">
        <f>"1551598985516466"</f>
        <v>1551598985516466</v>
      </c>
      <c r="C6190" t="s">
        <v>40</v>
      </c>
      <c r="D6190">
        <v>5.1777850000000001</v>
      </c>
      <c r="E6190">
        <v>0.36832999999999999</v>
      </c>
      <c r="F6190" t="s">
        <v>58</v>
      </c>
      <c r="G6190">
        <v>-409.21510000000001</v>
      </c>
      <c r="H6190" s="1">
        <v>-2.762623E-6</v>
      </c>
      <c r="I6190">
        <v>26.136330000000001</v>
      </c>
      <c r="J6190">
        <v>-420.87729999999999</v>
      </c>
      <c r="K6190">
        <v>1.126601</v>
      </c>
      <c r="L6190">
        <v>33.180660000000003</v>
      </c>
      <c r="M6190">
        <v>0.2655015</v>
      </c>
      <c r="N6190">
        <v>-1.431753E-2</v>
      </c>
      <c r="O6190">
        <v>-0.96400430000000004</v>
      </c>
      <c r="P6190">
        <v>0.63343859999999996</v>
      </c>
      <c r="Q6190">
        <v>-8.2658889999999999E-2</v>
      </c>
      <c r="R6190">
        <v>-0.76936579999999999</v>
      </c>
      <c r="S6190">
        <v>2.6990660000000002</v>
      </c>
      <c r="T6190">
        <v>-0.259413</v>
      </c>
      <c r="U6190">
        <v>-1.66290299999999</v>
      </c>
      <c r="V6190">
        <v>-0.4054604</v>
      </c>
      <c r="W6190">
        <v>-7.4963550000000004E-2</v>
      </c>
      <c r="X6190">
        <v>0.9110336</v>
      </c>
      <c r="Y6190">
        <v>-0.67881169999999902</v>
      </c>
      <c r="Z6190">
        <v>7.4865459999999995E-2</v>
      </c>
      <c r="AA6190">
        <v>0.73048599999999997</v>
      </c>
      <c r="AB6190">
        <v>19</v>
      </c>
      <c r="AC6190">
        <v>11.662199999999901</v>
      </c>
      <c r="AD6190">
        <v>-1.1266037626230001</v>
      </c>
      <c r="AE6190">
        <v>-7.0443299999999898</v>
      </c>
      <c r="AF6190">
        <v>-9.3094369845999001</v>
      </c>
      <c r="AG6190">
        <v>-1.1266037626230001</v>
      </c>
      <c r="AH6190">
        <v>9.8209574223430494</v>
      </c>
      <c r="AI6190">
        <v>94.759149008810397</v>
      </c>
      <c r="AJ6190">
        <v>133.468354599843</v>
      </c>
      <c r="AK6190">
        <v>13.5788827854013</v>
      </c>
      <c r="AL6190">
        <v>94.299128214402401</v>
      </c>
      <c r="AM6190">
        <v>113.991712249773</v>
      </c>
      <c r="AN6190">
        <v>0.99999994506285905</v>
      </c>
    </row>
    <row r="6191" spans="1:40" x14ac:dyDescent="0.25">
      <c r="A6191" t="str">
        <f>"20190303154305541"</f>
        <v>20190303154305541</v>
      </c>
      <c r="B6191" t="str">
        <f>"1551598985536964"</f>
        <v>1551598985536964</v>
      </c>
      <c r="C6191" t="s">
        <v>40</v>
      </c>
      <c r="D6191">
        <v>5.1880920000000001</v>
      </c>
      <c r="E6191">
        <v>0.36905399999999999</v>
      </c>
      <c r="F6191" t="s">
        <v>58</v>
      </c>
      <c r="G6191">
        <v>-409.11790000000002</v>
      </c>
      <c r="H6191" s="1">
        <v>-2.8048799999999999E-6</v>
      </c>
      <c r="I6191">
        <v>26.067720000000001</v>
      </c>
      <c r="J6191">
        <v>-420.81610000000001</v>
      </c>
      <c r="K6191">
        <v>1.126566</v>
      </c>
      <c r="L6191">
        <v>33.004730000000002</v>
      </c>
      <c r="M6191">
        <v>0.27544679999999999</v>
      </c>
      <c r="N6191">
        <v>-1.4330880000000001E-2</v>
      </c>
      <c r="O6191">
        <v>-0.9612096</v>
      </c>
      <c r="P6191">
        <v>0.64146829999999999</v>
      </c>
      <c r="Q6191">
        <v>-8.4888770000000002E-2</v>
      </c>
      <c r="R6191">
        <v>-0.76243870000000002</v>
      </c>
      <c r="S6191">
        <v>2.710693</v>
      </c>
      <c r="T6191">
        <v>-0.25969560000000003</v>
      </c>
      <c r="U6191">
        <v>-1.639618</v>
      </c>
      <c r="V6191">
        <v>-0.40563759999999999</v>
      </c>
      <c r="W6191">
        <v>-7.7176819999999993E-2</v>
      </c>
      <c r="X6191">
        <v>0.91076990000000002</v>
      </c>
      <c r="Y6191">
        <v>-0.67720340000000001</v>
      </c>
      <c r="Z6191">
        <v>7.5162580000000007E-2</v>
      </c>
      <c r="AA6191">
        <v>0.73194689999999996</v>
      </c>
      <c r="AB6191">
        <v>19</v>
      </c>
      <c r="AC6191">
        <v>11.6981999999999</v>
      </c>
      <c r="AD6191">
        <v>-1.12656880488</v>
      </c>
      <c r="AE6191">
        <v>-6.9370099999999999</v>
      </c>
      <c r="AF6191">
        <v>-9.2709903711063895</v>
      </c>
      <c r="AG6191">
        <v>-1.12656880488</v>
      </c>
      <c r="AH6191">
        <v>9.8237620939068293</v>
      </c>
      <c r="AI6191">
        <v>94.767552339280996</v>
      </c>
      <c r="AJ6191">
        <v>133.34181438306999</v>
      </c>
      <c r="AK6191">
        <v>13.5545830408374</v>
      </c>
      <c r="AL6191">
        <v>94.426307685874605</v>
      </c>
      <c r="AM6191">
        <v>114.007177374523</v>
      </c>
      <c r="AN6191">
        <v>0.99999996741254005</v>
      </c>
    </row>
    <row r="6192" spans="1:40" x14ac:dyDescent="0.25">
      <c r="A6192" t="str">
        <f>"20190303154305565"</f>
        <v>20190303154305565</v>
      </c>
      <c r="B6192" t="str">
        <f>"1551598985556484"</f>
        <v>1551598985556484</v>
      </c>
      <c r="C6192" t="s">
        <v>40</v>
      </c>
      <c r="D6192">
        <v>5.1627280000000004</v>
      </c>
      <c r="E6192">
        <v>0.36945739999999999</v>
      </c>
      <c r="F6192" t="s">
        <v>58</v>
      </c>
      <c r="G6192">
        <v>-409.13069999999999</v>
      </c>
      <c r="H6192" s="1">
        <v>-2.7996339999999999E-6</v>
      </c>
      <c r="I6192">
        <v>26.07826</v>
      </c>
      <c r="J6192">
        <v>-420.75279999999998</v>
      </c>
      <c r="K6192">
        <v>1.126536</v>
      </c>
      <c r="L6192">
        <v>32.828769999999999</v>
      </c>
      <c r="M6192">
        <v>0.28543679999999999</v>
      </c>
      <c r="N6192">
        <v>-1.43408999999999E-2</v>
      </c>
      <c r="O6192">
        <v>-0.95829030000000004</v>
      </c>
      <c r="P6192">
        <v>0.64944630000000003</v>
      </c>
      <c r="Q6192">
        <v>-8.6817220000000001E-2</v>
      </c>
      <c r="R6192">
        <v>-0.75543530000000003</v>
      </c>
      <c r="S6192">
        <v>2.7233580000000002</v>
      </c>
      <c r="T6192">
        <v>-0.26255390000000001</v>
      </c>
      <c r="U6192">
        <v>-1.614258</v>
      </c>
      <c r="V6192">
        <v>-0.40577089999999999</v>
      </c>
      <c r="W6192">
        <v>-7.9084160000000001E-2</v>
      </c>
      <c r="X6192">
        <v>0.91054690000000005</v>
      </c>
      <c r="Y6192">
        <v>-0.67601840000000002</v>
      </c>
      <c r="Z6192">
        <v>7.6325359999999995E-2</v>
      </c>
      <c r="AA6192">
        <v>0.7329213</v>
      </c>
      <c r="AB6192">
        <v>19</v>
      </c>
      <c r="AC6192">
        <v>11.6220999999999</v>
      </c>
      <c r="AD6192">
        <v>-1.1265387996339999</v>
      </c>
      <c r="AE6192">
        <v>-6.7505099999999896</v>
      </c>
      <c r="AF6192">
        <v>-9.1471856057712202</v>
      </c>
      <c r="AG6192">
        <v>-1.1265387996339999</v>
      </c>
      <c r="AH6192">
        <v>9.71904877624333</v>
      </c>
      <c r="AI6192">
        <v>94.824706901706804</v>
      </c>
      <c r="AJ6192">
        <v>133.263812681183</v>
      </c>
      <c r="AK6192">
        <v>13.3940286429627</v>
      </c>
      <c r="AL6192">
        <v>94.535925210721004</v>
      </c>
      <c r="AM6192">
        <v>114.01939078656901</v>
      </c>
      <c r="AN6192">
        <v>0.99999999237466197</v>
      </c>
    </row>
    <row r="6193" spans="1:40" x14ac:dyDescent="0.25">
      <c r="A6193" t="str">
        <f>"20190303154305586"</f>
        <v>20190303154305586</v>
      </c>
      <c r="B6193" t="str">
        <f>"1551598985576738"</f>
        <v>1551598985576738</v>
      </c>
      <c r="C6193" t="s">
        <v>40</v>
      </c>
      <c r="D6193">
        <v>5.2158300000000004</v>
      </c>
      <c r="E6193">
        <v>0.37005070000000001</v>
      </c>
      <c r="F6193" t="s">
        <v>58</v>
      </c>
      <c r="G6193">
        <v>-409.18700000000001</v>
      </c>
      <c r="H6193" s="1">
        <v>-2.7766400000000001E-6</v>
      </c>
      <c r="I6193">
        <v>26.124639999999999</v>
      </c>
      <c r="J6193">
        <v>-420.6891</v>
      </c>
      <c r="K6193">
        <v>1.126519</v>
      </c>
      <c r="L6193">
        <v>32.657229999999998</v>
      </c>
      <c r="M6193">
        <v>0.29520930000000001</v>
      </c>
      <c r="N6193">
        <v>-1.434831E-2</v>
      </c>
      <c r="O6193">
        <v>-0.95532499999999998</v>
      </c>
      <c r="P6193">
        <v>0.65709510000000004</v>
      </c>
      <c r="Q6193">
        <v>-8.7558620000000004E-2</v>
      </c>
      <c r="R6193">
        <v>-0.74870570000000003</v>
      </c>
      <c r="S6193">
        <v>2.737762</v>
      </c>
      <c r="T6193">
        <v>-0.26666469999999998</v>
      </c>
      <c r="U6193">
        <v>-1.5869450000000001</v>
      </c>
      <c r="V6193">
        <v>-0.40574979999999999</v>
      </c>
      <c r="W6193">
        <v>-7.9801259999999999E-2</v>
      </c>
      <c r="X6193">
        <v>0.91049369999999996</v>
      </c>
      <c r="Y6193">
        <v>-0.6755466</v>
      </c>
      <c r="Z6193">
        <v>7.7894430000000001E-2</v>
      </c>
      <c r="AA6193">
        <v>0.73319109999999998</v>
      </c>
      <c r="AB6193">
        <v>19</v>
      </c>
      <c r="AC6193">
        <v>11.5021</v>
      </c>
      <c r="AD6193">
        <v>-1.12652177664</v>
      </c>
      <c r="AE6193">
        <v>-6.5325899999999901</v>
      </c>
      <c r="AF6193">
        <v>-8.9954513471784097</v>
      </c>
      <c r="AG6193">
        <v>-1.12652177664</v>
      </c>
      <c r="AH6193">
        <v>9.5678700346912393</v>
      </c>
      <c r="AI6193">
        <v>94.902902982432295</v>
      </c>
      <c r="AJ6193">
        <v>133.23378667021899</v>
      </c>
      <c r="AK6193">
        <v>13.180718237389</v>
      </c>
      <c r="AL6193">
        <v>94.577142435445893</v>
      </c>
      <c r="AM6193">
        <v>114.01952769790201</v>
      </c>
      <c r="AN6193">
        <v>0.99999995951865694</v>
      </c>
    </row>
    <row r="6194" spans="1:40" x14ac:dyDescent="0.25">
      <c r="A6194" t="str">
        <f>"20190303154305621"</f>
        <v>20190303154305621</v>
      </c>
      <c r="B6194" t="str">
        <f>"1551598985616757"</f>
        <v>1551598985616757</v>
      </c>
      <c r="C6194" t="s">
        <v>40</v>
      </c>
      <c r="D6194">
        <v>5.2799259999999997</v>
      </c>
      <c r="E6194">
        <v>0.37120570000000003</v>
      </c>
      <c r="F6194" t="s">
        <v>58</v>
      </c>
      <c r="G6194">
        <v>-409.10169999999999</v>
      </c>
      <c r="H6194" s="1">
        <v>-2.8164019999999999E-6</v>
      </c>
      <c r="I6194">
        <v>26.07629</v>
      </c>
      <c r="J6194">
        <v>-420.5872</v>
      </c>
      <c r="K6194">
        <v>1.1265069999999999</v>
      </c>
      <c r="L6194">
        <v>32.393799999999999</v>
      </c>
      <c r="M6194">
        <v>0.31029410000000002</v>
      </c>
      <c r="N6194">
        <v>-1.435792E-2</v>
      </c>
      <c r="O6194">
        <v>-0.9505325</v>
      </c>
      <c r="P6194">
        <v>0.66768000000000005</v>
      </c>
      <c r="Q6194">
        <v>-8.542959E-2</v>
      </c>
      <c r="R6194">
        <v>-0.73953100000000005</v>
      </c>
      <c r="S6194">
        <v>2.7502140000000002</v>
      </c>
      <c r="T6194">
        <v>-0.26737379999999999</v>
      </c>
      <c r="U6194">
        <v>-1.5619510000000001</v>
      </c>
      <c r="V6194">
        <v>-0.40424739999999998</v>
      </c>
      <c r="W6194">
        <v>-7.760736E-2</v>
      </c>
      <c r="X6194">
        <v>0.91135129999999998</v>
      </c>
      <c r="Y6194">
        <v>-0.67032619999999998</v>
      </c>
      <c r="Z6194">
        <v>7.8291970000000002E-2</v>
      </c>
      <c r="AA6194">
        <v>0.73792489999999999</v>
      </c>
      <c r="AB6194">
        <v>19</v>
      </c>
      <c r="AC6194">
        <v>11.4855</v>
      </c>
      <c r="AD6194">
        <v>-1.126509816402</v>
      </c>
      <c r="AE6194">
        <v>-6.3175099999999897</v>
      </c>
      <c r="AF6194">
        <v>-8.8923019519771103</v>
      </c>
      <c r="AG6194">
        <v>-1.126509816402</v>
      </c>
      <c r="AH6194">
        <v>9.4997054015617195</v>
      </c>
      <c r="AI6194">
        <v>94.947949678923905</v>
      </c>
      <c r="AJ6194">
        <v>133.108471290252</v>
      </c>
      <c r="AK6194">
        <v>13.060875203754399</v>
      </c>
      <c r="AL6194">
        <v>94.451049753201303</v>
      </c>
      <c r="AM6194">
        <v>113.9206010968</v>
      </c>
      <c r="AN6194">
        <v>1.0000000273723</v>
      </c>
    </row>
    <row r="6195" spans="1:40" x14ac:dyDescent="0.25">
      <c r="A6195" t="str">
        <f>"20190303154305643"</f>
        <v>20190303154305643</v>
      </c>
      <c r="B6195" t="str">
        <f>"1551598985636273"</f>
        <v>1551598985636273</v>
      </c>
      <c r="C6195" t="s">
        <v>40</v>
      </c>
      <c r="D6195">
        <v>5.2433170000000002</v>
      </c>
      <c r="E6195">
        <v>0.37194430000000001</v>
      </c>
      <c r="F6195" t="s">
        <v>58</v>
      </c>
      <c r="G6195">
        <v>-408.65320000000003</v>
      </c>
      <c r="H6195" s="1">
        <v>-3.018716E-6</v>
      </c>
      <c r="I6195">
        <v>25.792310000000001</v>
      </c>
      <c r="J6195">
        <v>-420.51839999999999</v>
      </c>
      <c r="K6195">
        <v>1.126506</v>
      </c>
      <c r="L6195">
        <v>32.222839999999998</v>
      </c>
      <c r="M6195">
        <v>0.32013209999999998</v>
      </c>
      <c r="N6195">
        <v>-1.43632E-2</v>
      </c>
      <c r="O6195">
        <v>-0.94726410000000005</v>
      </c>
      <c r="P6195">
        <v>0.67336289999999999</v>
      </c>
      <c r="Q6195">
        <v>-8.4143339999999997E-2</v>
      </c>
      <c r="R6195">
        <v>-0.73450869999999902</v>
      </c>
      <c r="S6195">
        <v>2.7654109999999998</v>
      </c>
      <c r="T6195">
        <v>-0.26103949999999998</v>
      </c>
      <c r="U6195">
        <v>-1.5297240000000001</v>
      </c>
      <c r="V6195">
        <v>-0.40179999999999999</v>
      </c>
      <c r="W6195">
        <v>-7.6255240000000002E-2</v>
      </c>
      <c r="X6195">
        <v>0.91254690000000005</v>
      </c>
      <c r="Y6195">
        <v>-0.67108789999999996</v>
      </c>
      <c r="Z6195">
        <v>7.6394660000000003E-2</v>
      </c>
      <c r="AA6195">
        <v>0.73743130000000001</v>
      </c>
      <c r="AB6195">
        <v>19</v>
      </c>
      <c r="AC6195">
        <v>11.8651999999999</v>
      </c>
      <c r="AD6195">
        <v>-1.1265090187160001</v>
      </c>
      <c r="AE6195">
        <v>-6.4305300000000001</v>
      </c>
      <c r="AF6195">
        <v>-9.1182739208869705</v>
      </c>
      <c r="AG6195">
        <v>-1.1265090187160001</v>
      </c>
      <c r="AH6195">
        <v>9.8224235358108807</v>
      </c>
      <c r="AI6195">
        <v>94.804595056780201</v>
      </c>
      <c r="AJ6195">
        <v>132.87092160751499</v>
      </c>
      <c r="AK6195">
        <v>13.4496076516167</v>
      </c>
      <c r="AL6195">
        <v>94.373348942299202</v>
      </c>
      <c r="AM6195">
        <v>113.76418815504699</v>
      </c>
      <c r="AN6195">
        <v>0.99999997316353295</v>
      </c>
    </row>
    <row r="6196" spans="1:40" x14ac:dyDescent="0.25">
      <c r="A6196" t="str">
        <f>"20190303154305665"</f>
        <v>20190303154305665</v>
      </c>
      <c r="B6196" t="str">
        <f>"1551598985656770"</f>
        <v>1551598985656770</v>
      </c>
      <c r="C6196" t="s">
        <v>40</v>
      </c>
      <c r="D6196">
        <v>5.2855720000000002</v>
      </c>
      <c r="E6196">
        <v>0.37261949999999999</v>
      </c>
      <c r="F6196" t="s">
        <v>58</v>
      </c>
      <c r="G6196">
        <v>-408.27980000000002</v>
      </c>
      <c r="H6196" s="1">
        <v>-3.1846840000000002E-6</v>
      </c>
      <c r="I6196">
        <v>25.544820000000001</v>
      </c>
      <c r="J6196">
        <v>-420.45139999999998</v>
      </c>
      <c r="K6196">
        <v>1.1265050000000001</v>
      </c>
      <c r="L6196">
        <v>32.061160000000001</v>
      </c>
      <c r="M6196">
        <v>0.32946779999999998</v>
      </c>
      <c r="N6196">
        <v>-1.4367100000000001E-2</v>
      </c>
      <c r="O6196">
        <v>-0.94405749999999999</v>
      </c>
      <c r="P6196">
        <v>0.6786818</v>
      </c>
      <c r="Q6196">
        <v>-8.3046720000000004E-2</v>
      </c>
      <c r="R6196">
        <v>-0.72972209999999904</v>
      </c>
      <c r="S6196">
        <v>2.772888</v>
      </c>
      <c r="T6196">
        <v>-0.2552316</v>
      </c>
      <c r="U6196">
        <v>-1.513031</v>
      </c>
      <c r="V6196">
        <v>-0.39939829999999998</v>
      </c>
      <c r="W6196">
        <v>-7.5097010000000006E-2</v>
      </c>
      <c r="X6196">
        <v>0.91369659999999997</v>
      </c>
      <c r="Y6196">
        <v>-0.66817059999999995</v>
      </c>
      <c r="Z6196">
        <v>7.4538450000000006E-2</v>
      </c>
      <c r="AA6196">
        <v>0.7402649</v>
      </c>
      <c r="AB6196">
        <v>19</v>
      </c>
      <c r="AC6196">
        <v>12.1715999999999</v>
      </c>
      <c r="AD6196">
        <v>-1.1265081846839999</v>
      </c>
      <c r="AE6196">
        <v>-6.5163399999999996</v>
      </c>
      <c r="AF6196">
        <v>-9.2829279092469701</v>
      </c>
      <c r="AG6196">
        <v>-1.1265081846839999</v>
      </c>
      <c r="AH6196">
        <v>10.0957844968099</v>
      </c>
      <c r="AI6196">
        <v>94.695604513305199</v>
      </c>
      <c r="AJ6196">
        <v>132.59808778129201</v>
      </c>
      <c r="AK6196">
        <v>13.761055041836901</v>
      </c>
      <c r="AL6196">
        <v>94.306796201640296</v>
      </c>
      <c r="AM6196">
        <v>113.611271340594</v>
      </c>
      <c r="AN6196">
        <v>1.0000000199026899</v>
      </c>
    </row>
    <row r="6197" spans="1:40" x14ac:dyDescent="0.25">
      <c r="A6197" t="str">
        <f>"20190303154305687"</f>
        <v>20190303154305687</v>
      </c>
      <c r="B6197" t="str">
        <f>"1551598985676988"</f>
        <v>1551598985676988</v>
      </c>
      <c r="C6197" t="s">
        <v>40</v>
      </c>
      <c r="D6197">
        <v>5.2653780000000001</v>
      </c>
      <c r="E6197">
        <v>0.38381729999999997</v>
      </c>
      <c r="F6197" t="s">
        <v>58</v>
      </c>
      <c r="G6197">
        <v>-407.9117</v>
      </c>
      <c r="H6197" s="1">
        <v>-3.3500690000000001E-6</v>
      </c>
      <c r="I6197">
        <v>25.308769999999999</v>
      </c>
      <c r="J6197">
        <v>-420.37889999999999</v>
      </c>
      <c r="K6197">
        <v>1.1264970000000001</v>
      </c>
      <c r="L6197">
        <v>31.89105</v>
      </c>
      <c r="M6197">
        <v>0.33933099999999999</v>
      </c>
      <c r="N6197">
        <v>-1.437037E-2</v>
      </c>
      <c r="O6197">
        <v>-0.94055750000000005</v>
      </c>
      <c r="P6197">
        <v>0.68454859999999995</v>
      </c>
      <c r="Q6197">
        <v>-8.2573030000000006E-2</v>
      </c>
      <c r="R6197">
        <v>-0.72427580000000003</v>
      </c>
      <c r="S6197">
        <v>2.7801209999999998</v>
      </c>
      <c r="T6197">
        <v>-0.2497529</v>
      </c>
      <c r="U6197">
        <v>-1.4970399999999999</v>
      </c>
      <c r="V6197">
        <v>-0.39719969999999999</v>
      </c>
      <c r="W6197">
        <v>-7.4569250000000004E-2</v>
      </c>
      <c r="X6197">
        <v>0.91469769999999995</v>
      </c>
      <c r="Y6197">
        <v>-0.66462209999999999</v>
      </c>
      <c r="Z6197">
        <v>7.2767209999999999E-2</v>
      </c>
      <c r="AA6197">
        <v>0.74362779999999995</v>
      </c>
      <c r="AB6197">
        <v>19</v>
      </c>
      <c r="AC6197">
        <v>12.467199999999901</v>
      </c>
      <c r="AD6197">
        <v>-1.1265003500689901</v>
      </c>
      <c r="AE6197">
        <v>-6.5822799999999901</v>
      </c>
      <c r="AF6197">
        <v>-9.4332964020088106</v>
      </c>
      <c r="AG6197">
        <v>-1.1265003500689901</v>
      </c>
      <c r="AH6197">
        <v>10.3564714072477</v>
      </c>
      <c r="AI6197">
        <v>94.597510490101499</v>
      </c>
      <c r="AJ6197">
        <v>132.32913928946999</v>
      </c>
      <c r="AK6197">
        <v>14.0539170360436</v>
      </c>
      <c r="AL6197">
        <v>94.276472719410606</v>
      </c>
      <c r="AM6197">
        <v>113.47248617858099</v>
      </c>
      <c r="AN6197">
        <v>1.00000002855547</v>
      </c>
    </row>
    <row r="6198" spans="1:40" x14ac:dyDescent="0.25">
      <c r="A6198" t="str">
        <f>"20190303154305709"</f>
        <v>20190303154305709</v>
      </c>
      <c r="B6198" t="str">
        <f>"1551598985706269"</f>
        <v>1551598985706269</v>
      </c>
      <c r="C6198" t="s">
        <v>40</v>
      </c>
      <c r="D6198">
        <v>5.2783110000000004</v>
      </c>
      <c r="E6198">
        <v>0.38423879999999999</v>
      </c>
      <c r="F6198" t="s">
        <v>58</v>
      </c>
      <c r="G6198">
        <v>-407.74310000000003</v>
      </c>
      <c r="H6198" s="1">
        <v>-3.3305979999999999E-6</v>
      </c>
      <c r="I6198">
        <v>24.77233</v>
      </c>
      <c r="J6198">
        <v>-420.3073</v>
      </c>
      <c r="K6198">
        <v>1.1264730000000001</v>
      </c>
      <c r="L6198">
        <v>31.72784</v>
      </c>
      <c r="M6198">
        <v>0.34884209999999999</v>
      </c>
      <c r="N6198">
        <v>-1.4373520000000001E-2</v>
      </c>
      <c r="O6198">
        <v>-0.93707130000000005</v>
      </c>
      <c r="P6198">
        <v>0.69010280000000002</v>
      </c>
      <c r="Q6198">
        <v>-8.4090209999999999E-2</v>
      </c>
      <c r="R6198">
        <v>-0.7188097</v>
      </c>
      <c r="S6198">
        <v>2.7273559999999999</v>
      </c>
      <c r="T6198">
        <v>-0.24314769999999999</v>
      </c>
      <c r="U6198">
        <v>-1.53653</v>
      </c>
      <c r="V6198">
        <v>-0.39501779999999997</v>
      </c>
      <c r="W6198">
        <v>-7.6039389999999998E-2</v>
      </c>
      <c r="X6198">
        <v>0.91552109999999998</v>
      </c>
      <c r="Y6198">
        <v>-0.64271859999999903</v>
      </c>
      <c r="Z6198">
        <v>7.0834759999999997E-2</v>
      </c>
      <c r="AA6198">
        <v>0.76282069999999902</v>
      </c>
      <c r="AB6198">
        <v>19</v>
      </c>
      <c r="AC6198">
        <v>12.5641999999999</v>
      </c>
      <c r="AD6198">
        <v>-1.1264763305979999</v>
      </c>
      <c r="AE6198">
        <v>-6.9555100000000003</v>
      </c>
      <c r="AF6198">
        <v>-9.2909762743157192</v>
      </c>
      <c r="AG6198">
        <v>-1.1264763305979999</v>
      </c>
      <c r="AH6198">
        <v>10.8351896714842</v>
      </c>
      <c r="AI6198">
        <v>94.512578554247298</v>
      </c>
      <c r="AJ6198">
        <v>130.61248274177399</v>
      </c>
      <c r="AK6198">
        <v>14.317559997092101</v>
      </c>
      <c r="AL6198">
        <v>94.360945659134501</v>
      </c>
      <c r="AM6198">
        <v>113.338638432352</v>
      </c>
      <c r="AN6198">
        <v>0.99999996784681</v>
      </c>
    </row>
    <row r="6199" spans="1:40" x14ac:dyDescent="0.25">
      <c r="A6199" t="str">
        <f>"20190303154305732"</f>
        <v>20190303154305732</v>
      </c>
      <c r="B6199" t="str">
        <f>"1551598985726769"</f>
        <v>1551598985726769</v>
      </c>
      <c r="C6199" t="s">
        <v>40</v>
      </c>
      <c r="D6199">
        <v>5.2964979999999997</v>
      </c>
      <c r="E6199">
        <v>0.38525900000000002</v>
      </c>
      <c r="F6199" t="s">
        <v>58</v>
      </c>
      <c r="G6199">
        <v>-408.38740000000001</v>
      </c>
      <c r="H6199" s="1">
        <v>-3.0270559999999998E-6</v>
      </c>
      <c r="I6199">
        <v>25.122319999999998</v>
      </c>
      <c r="J6199">
        <v>-420.23050000000001</v>
      </c>
      <c r="K6199">
        <v>1.12645</v>
      </c>
      <c r="L6199">
        <v>31.5578</v>
      </c>
      <c r="M6199">
        <v>0.35880689999999998</v>
      </c>
      <c r="N6199">
        <v>-1.4377320000000001E-2</v>
      </c>
      <c r="O6199">
        <v>-0.93330139999999995</v>
      </c>
      <c r="P6199">
        <v>0.69559569999999904</v>
      </c>
      <c r="Q6199">
        <v>-8.6474720000000005E-2</v>
      </c>
      <c r="R6199">
        <v>-0.71321049999999997</v>
      </c>
      <c r="S6199">
        <v>2.7362669999999998</v>
      </c>
      <c r="T6199">
        <v>-0.25858720000000002</v>
      </c>
      <c r="U6199">
        <v>-1.516327</v>
      </c>
      <c r="V6199">
        <v>-0.39235809999999999</v>
      </c>
      <c r="W6199">
        <v>-7.8372020000000001E-2</v>
      </c>
      <c r="X6199">
        <v>0.9164677</v>
      </c>
      <c r="Y6199">
        <v>-0.63956029999999997</v>
      </c>
      <c r="Z6199">
        <v>7.6115829999999995E-2</v>
      </c>
      <c r="AA6199">
        <v>0.76496339999999996</v>
      </c>
      <c r="AB6199">
        <v>19</v>
      </c>
      <c r="AC6199">
        <v>11.8430999999999</v>
      </c>
      <c r="AD6199">
        <v>-1.126453027056</v>
      </c>
      <c r="AE6199">
        <v>-6.4354799999999903</v>
      </c>
      <c r="AF6199">
        <v>-8.6843331070196097</v>
      </c>
      <c r="AG6199">
        <v>-1.126453027056</v>
      </c>
      <c r="AH6199">
        <v>10.185545064826201</v>
      </c>
      <c r="AI6199">
        <v>94.810491471995704</v>
      </c>
      <c r="AJ6199">
        <v>130.45135739173099</v>
      </c>
      <c r="AK6199">
        <v>13.4324929258662</v>
      </c>
      <c r="AL6199">
        <v>94.4949952991647</v>
      </c>
      <c r="AM6199">
        <v>113.17673278487101</v>
      </c>
      <c r="AN6199">
        <v>1.00000004864888</v>
      </c>
    </row>
    <row r="6200" spans="1:40" x14ac:dyDescent="0.25">
      <c r="A6200" t="str">
        <f>"20190303154305754"</f>
        <v>20190303154305754</v>
      </c>
      <c r="B6200" t="str">
        <f>"1551598985746292"</f>
        <v>1551598985746292</v>
      </c>
      <c r="C6200" t="s">
        <v>40</v>
      </c>
      <c r="D6200">
        <v>5.3148140000000001</v>
      </c>
      <c r="E6200">
        <v>0.3857969</v>
      </c>
      <c r="F6200" t="s">
        <v>58</v>
      </c>
      <c r="G6200">
        <v>-408.72660000000002</v>
      </c>
      <c r="H6200" s="1">
        <v>-2.858255E-6</v>
      </c>
      <c r="I6200">
        <v>25.26614</v>
      </c>
      <c r="J6200">
        <v>-420.1542</v>
      </c>
      <c r="K6200">
        <v>1.126428</v>
      </c>
      <c r="L6200">
        <v>31.393460000000001</v>
      </c>
      <c r="M6200">
        <v>0.36848520000000001</v>
      </c>
      <c r="N6200">
        <v>-1.438099E-2</v>
      </c>
      <c r="O6200">
        <v>-0.92952259999999998</v>
      </c>
      <c r="P6200">
        <v>0.70058339999999997</v>
      </c>
      <c r="Q6200">
        <v>-8.9176989999999998E-2</v>
      </c>
      <c r="R6200">
        <v>-0.70797679999999996</v>
      </c>
      <c r="S6200">
        <v>2.7418819999999999</v>
      </c>
      <c r="T6200">
        <v>-0.2684822</v>
      </c>
      <c r="U6200">
        <v>-1.499573</v>
      </c>
      <c r="V6200">
        <v>-0.38935690000000001</v>
      </c>
      <c r="W6200">
        <v>-8.1018339999999994E-2</v>
      </c>
      <c r="X6200">
        <v>0.91751689999999997</v>
      </c>
      <c r="Y6200">
        <v>-0.63558549999999903</v>
      </c>
      <c r="Z6200">
        <v>7.9515669999999997E-2</v>
      </c>
      <c r="AA6200">
        <v>0.76792469999999902</v>
      </c>
      <c r="AB6200">
        <v>19</v>
      </c>
      <c r="AC6200">
        <v>11.427599999999901</v>
      </c>
      <c r="AD6200">
        <v>-1.126430858255</v>
      </c>
      <c r="AE6200">
        <v>-6.1273199999999903</v>
      </c>
      <c r="AF6200">
        <v>-8.3025924117584093</v>
      </c>
      <c r="AG6200">
        <v>-1.126430858255</v>
      </c>
      <c r="AH6200">
        <v>9.8331988000152997</v>
      </c>
      <c r="AI6200">
        <v>95.002177087519897</v>
      </c>
      <c r="AJ6200">
        <v>130.175840294539</v>
      </c>
      <c r="AK6200">
        <v>12.9187339114496</v>
      </c>
      <c r="AL6200">
        <v>94.647102273003597</v>
      </c>
      <c r="AM6200">
        <v>112.994395376231</v>
      </c>
      <c r="AN6200">
        <v>1.00000001438978</v>
      </c>
    </row>
    <row r="6201" spans="1:40" x14ac:dyDescent="0.25">
      <c r="A6201" t="str">
        <f>"20190303154305777"</f>
        <v>20190303154305777</v>
      </c>
      <c r="B6201" t="str">
        <f>"1551598985766781"</f>
        <v>1551598985766781</v>
      </c>
      <c r="C6201" t="s">
        <v>40</v>
      </c>
      <c r="D6201">
        <v>5.3230459999999997</v>
      </c>
      <c r="E6201">
        <v>0.38607029999999998</v>
      </c>
      <c r="F6201" t="s">
        <v>42</v>
      </c>
      <c r="G6201">
        <v>-419.34390000000002</v>
      </c>
      <c r="H6201">
        <v>1.0454920000000001</v>
      </c>
      <c r="I6201">
        <v>30.956589999999998</v>
      </c>
      <c r="J6201">
        <v>-420.07400000000001</v>
      </c>
      <c r="K6201">
        <v>1.1264080000000001</v>
      </c>
      <c r="L6201">
        <v>31.225860000000001</v>
      </c>
      <c r="M6201">
        <v>0.37840299999999999</v>
      </c>
      <c r="N6201">
        <v>-1.4383959999999999E-2</v>
      </c>
      <c r="O6201">
        <v>-0.92552939999999995</v>
      </c>
      <c r="P6201">
        <v>0.70561589999999996</v>
      </c>
      <c r="Q6201">
        <v>-9.2035610000000004E-2</v>
      </c>
      <c r="R6201">
        <v>-0.70259269999999996</v>
      </c>
      <c r="S6201">
        <v>2.7491759999999998</v>
      </c>
      <c r="T6201">
        <v>-0.27461729999999901</v>
      </c>
      <c r="U6201">
        <v>-1.482361</v>
      </c>
      <c r="V6201">
        <v>-0.38619629999999999</v>
      </c>
      <c r="W6201">
        <v>-8.3817050000000004E-2</v>
      </c>
      <c r="X6201">
        <v>0.91860059999999999</v>
      </c>
      <c r="Y6201">
        <v>-0.6317564</v>
      </c>
      <c r="Z6201">
        <v>8.1598110000000001E-2</v>
      </c>
      <c r="AA6201">
        <v>0.77086030000000005</v>
      </c>
      <c r="AB6201">
        <v>19</v>
      </c>
      <c r="AC6201">
        <v>0.73009999999999298</v>
      </c>
      <c r="AD6201">
        <v>-8.0915999999999905E-2</v>
      </c>
      <c r="AE6201">
        <v>-0.26926999999999501</v>
      </c>
      <c r="AF6201">
        <v>-0.56775695186964004</v>
      </c>
      <c r="AG6201">
        <v>-8.0915999999999905E-2</v>
      </c>
      <c r="AH6201">
        <v>0.51992205607696695</v>
      </c>
      <c r="AI6201">
        <v>96.000121408586296</v>
      </c>
      <c r="AJ6201">
        <v>137.51818108000501</v>
      </c>
      <c r="AK6201">
        <v>0.77408933583121198</v>
      </c>
      <c r="AL6201">
        <v>94.808004211734001</v>
      </c>
      <c r="AM6201">
        <v>112.802764970479</v>
      </c>
      <c r="AN6201">
        <v>0.99999997116237505</v>
      </c>
    </row>
    <row r="6202" spans="1:40" x14ac:dyDescent="0.25">
      <c r="A6202" t="str">
        <f>"20190303154305799"</f>
        <v>20190303154305799</v>
      </c>
      <c r="B6202" t="str">
        <f>"1551598985797037"</f>
        <v>1551598985797037</v>
      </c>
      <c r="C6202" t="s">
        <v>40</v>
      </c>
      <c r="D6202">
        <v>5.3319890000000001</v>
      </c>
      <c r="E6202">
        <v>0.3866967</v>
      </c>
      <c r="F6202" t="s">
        <v>58</v>
      </c>
      <c r="G6202">
        <v>-409.04300000000001</v>
      </c>
      <c r="H6202" s="1">
        <v>-2.6952160000000001E-6</v>
      </c>
      <c r="I6202">
        <v>25.375050000000002</v>
      </c>
      <c r="J6202">
        <v>-419.99349999999998</v>
      </c>
      <c r="K6202">
        <v>1.126398</v>
      </c>
      <c r="L6202">
        <v>31.06195</v>
      </c>
      <c r="M6202">
        <v>0.38814280000000001</v>
      </c>
      <c r="N6202">
        <v>-1.438558E-2</v>
      </c>
      <c r="O6202">
        <v>-0.92148699999999995</v>
      </c>
      <c r="P6202">
        <v>0.71130890000000002</v>
      </c>
      <c r="Q6202">
        <v>-9.3984490000000004E-2</v>
      </c>
      <c r="R6202">
        <v>-0.69656779999999996</v>
      </c>
      <c r="S6202">
        <v>2.7582399999999998</v>
      </c>
      <c r="T6202">
        <v>-0.28165079999999998</v>
      </c>
      <c r="U6202">
        <v>-1.462952</v>
      </c>
      <c r="V6202">
        <v>-0.38406190000000001</v>
      </c>
      <c r="W6202">
        <v>-8.5722060000000003E-2</v>
      </c>
      <c r="X6202">
        <v>0.91931940000000001</v>
      </c>
      <c r="Y6202">
        <v>-0.62868849999999998</v>
      </c>
      <c r="Z6202">
        <v>8.3967070000000005E-2</v>
      </c>
      <c r="AA6202">
        <v>0.77311090000000005</v>
      </c>
      <c r="AB6202">
        <v>19</v>
      </c>
      <c r="AC6202">
        <v>10.9504999999999</v>
      </c>
      <c r="AD6202">
        <v>-1.1264006952159999</v>
      </c>
      <c r="AE6202">
        <v>-5.6868999999999899</v>
      </c>
      <c r="AF6202">
        <v>-7.8190711154251904</v>
      </c>
      <c r="AG6202">
        <v>-1.1264006952159999</v>
      </c>
      <c r="AH6202">
        <v>9.4133002812043909</v>
      </c>
      <c r="AI6202">
        <v>95.259116752261207</v>
      </c>
      <c r="AJ6202">
        <v>129.71440480859201</v>
      </c>
      <c r="AK6202">
        <v>12.2888922941973</v>
      </c>
      <c r="AL6202">
        <v>94.917547479330693</v>
      </c>
      <c r="AM6202">
        <v>112.673593733495</v>
      </c>
      <c r="AN6202">
        <v>0.99999998690930603</v>
      </c>
    </row>
    <row r="6203" spans="1:40" x14ac:dyDescent="0.25">
      <c r="A6203" t="str">
        <f>"20190303154305823"</f>
        <v>20190303154305823</v>
      </c>
      <c r="B6203" t="str">
        <f>"1551598985816557"</f>
        <v>1551598985816557</v>
      </c>
      <c r="C6203" t="s">
        <v>40</v>
      </c>
      <c r="D6203">
        <v>5.3343689999999997</v>
      </c>
      <c r="E6203">
        <v>0.38714280000000001</v>
      </c>
      <c r="F6203" t="s">
        <v>58</v>
      </c>
      <c r="G6203">
        <v>-409.1216</v>
      </c>
      <c r="H6203" s="1">
        <v>-2.651824E-6</v>
      </c>
      <c r="I6203">
        <v>25.389330000000001</v>
      </c>
      <c r="J6203">
        <v>-419.90969999999999</v>
      </c>
      <c r="K6203">
        <v>1.1263749999999999</v>
      </c>
      <c r="L6203">
        <v>30.896329999999999</v>
      </c>
      <c r="M6203">
        <v>0.39801690000000001</v>
      </c>
      <c r="N6203">
        <v>-1.438624E-2</v>
      </c>
      <c r="O6203">
        <v>-0.91726540000000001</v>
      </c>
      <c r="P6203">
        <v>0.71801530000000002</v>
      </c>
      <c r="Q6203">
        <v>-9.345212E-2</v>
      </c>
      <c r="R6203">
        <v>-0.68972529999999999</v>
      </c>
      <c r="S6203">
        <v>2.7662659999999999</v>
      </c>
      <c r="T6203">
        <v>-0.2866051</v>
      </c>
      <c r="U6203">
        <v>-1.4433590000000001</v>
      </c>
      <c r="V6203">
        <v>-0.38306499999999999</v>
      </c>
      <c r="W6203">
        <v>-8.515942E-2</v>
      </c>
      <c r="X6203">
        <v>0.91978749999999998</v>
      </c>
      <c r="Y6203">
        <v>-0.62543530000000003</v>
      </c>
      <c r="Z6203">
        <v>8.5641030000000007E-2</v>
      </c>
      <c r="AA6203">
        <v>0.77556190000000003</v>
      </c>
      <c r="AB6203">
        <v>19</v>
      </c>
      <c r="AC6203">
        <v>10.788099999999901</v>
      </c>
      <c r="AD6203">
        <v>-1.1263776518239901</v>
      </c>
      <c r="AE6203">
        <v>-5.5069999999999997</v>
      </c>
      <c r="AF6203">
        <v>-7.6384124144313699</v>
      </c>
      <c r="AG6203">
        <v>-1.1263776518239901</v>
      </c>
      <c r="AH6203">
        <v>9.2660613506003209</v>
      </c>
      <c r="AI6203">
        <v>95.358550412272393</v>
      </c>
      <c r="AJ6203">
        <v>129.500224173118</v>
      </c>
      <c r="AK6203">
        <v>12.061258797511799</v>
      </c>
      <c r="AL6203">
        <v>94.885192284953504</v>
      </c>
      <c r="AM6203">
        <v>112.61032138357901</v>
      </c>
      <c r="AN6203">
        <v>0.99999998309799298</v>
      </c>
    </row>
    <row r="6204" spans="1:40" x14ac:dyDescent="0.25">
      <c r="A6204" t="str">
        <f>"20190303154305844"</f>
        <v>20190303154305844</v>
      </c>
      <c r="B6204" t="str">
        <f>"1551598985836078"</f>
        <v>1551598985836078</v>
      </c>
      <c r="C6204" t="s">
        <v>40</v>
      </c>
      <c r="D6204">
        <v>5.2735130000000003</v>
      </c>
      <c r="E6204">
        <v>0.38739030000000002</v>
      </c>
      <c r="F6204" t="s">
        <v>58</v>
      </c>
      <c r="G6204">
        <v>-408.93180000000001</v>
      </c>
      <c r="H6204" s="1">
        <v>-2.741532E-6</v>
      </c>
      <c r="I6204">
        <v>25.287500000000001</v>
      </c>
      <c r="J6204">
        <v>-419.82679999999999</v>
      </c>
      <c r="K6204">
        <v>1.126363</v>
      </c>
      <c r="L6204">
        <v>30.736509999999999</v>
      </c>
      <c r="M6204">
        <v>0.40757379999999999</v>
      </c>
      <c r="N6204">
        <v>-1.43862E-2</v>
      </c>
      <c r="O6204">
        <v>-0.91305899999999995</v>
      </c>
      <c r="P6204">
        <v>0.72470780000000001</v>
      </c>
      <c r="Q6204">
        <v>-9.1172370000000003E-2</v>
      </c>
      <c r="R6204">
        <v>-0.68299779999999999</v>
      </c>
      <c r="S6204">
        <v>2.777771</v>
      </c>
      <c r="T6204">
        <v>-0.2850106</v>
      </c>
      <c r="U6204">
        <v>-1.4192199999999999</v>
      </c>
      <c r="V6204">
        <v>-0.38233780000000001</v>
      </c>
      <c r="W6204">
        <v>-8.2849870000000006E-2</v>
      </c>
      <c r="X6204">
        <v>0.92030089999999998</v>
      </c>
      <c r="Y6204">
        <v>-0.62399369999999998</v>
      </c>
      <c r="Z6204">
        <v>8.5120840000000003E-2</v>
      </c>
      <c r="AA6204">
        <v>0.77677949999999996</v>
      </c>
      <c r="AB6204">
        <v>19</v>
      </c>
      <c r="AC6204">
        <v>10.8949999999999</v>
      </c>
      <c r="AD6204">
        <v>-1.1263657415320001</v>
      </c>
      <c r="AE6204">
        <v>-5.4490099999999897</v>
      </c>
      <c r="AF6204">
        <v>-7.6621946468029902</v>
      </c>
      <c r="AG6204">
        <v>-1.1263657415320001</v>
      </c>
      <c r="AH6204">
        <v>9.3369310934570908</v>
      </c>
      <c r="AI6204">
        <v>95.327688118972802</v>
      </c>
      <c r="AJ6204">
        <v>129.373435433119</v>
      </c>
      <c r="AK6204">
        <v>12.130795886221099</v>
      </c>
      <c r="AL6204">
        <v>94.752395218374403</v>
      </c>
      <c r="AM6204">
        <v>112.560377361058</v>
      </c>
      <c r="AN6204">
        <v>1.00000002040433</v>
      </c>
    </row>
    <row r="6205" spans="1:40" x14ac:dyDescent="0.25">
      <c r="A6205" t="str">
        <f>"20190303154305866"</f>
        <v>20190303154305866</v>
      </c>
      <c r="B6205" t="str">
        <f>"1551598985856573"</f>
        <v>1551598985856573</v>
      </c>
      <c r="C6205" t="s">
        <v>40</v>
      </c>
      <c r="D6205">
        <v>5.3320879999999997</v>
      </c>
      <c r="E6205">
        <v>0.39319320000000002</v>
      </c>
      <c r="F6205" t="s">
        <v>58</v>
      </c>
      <c r="G6205">
        <v>-408.57560000000001</v>
      </c>
      <c r="H6205" s="1">
        <v>-2.9134610000000001E-6</v>
      </c>
      <c r="I6205">
        <v>25.112500000000001</v>
      </c>
      <c r="J6205">
        <v>-419.74549999999999</v>
      </c>
      <c r="K6205">
        <v>1.126349</v>
      </c>
      <c r="L6205">
        <v>30.583500000000001</v>
      </c>
      <c r="M6205">
        <v>0.4167438</v>
      </c>
      <c r="N6205">
        <v>-1.438555E-2</v>
      </c>
      <c r="O6205">
        <v>-0.90891049999999995</v>
      </c>
      <c r="P6205">
        <v>0.73096300000000003</v>
      </c>
      <c r="Q6205">
        <v>-9.0442229999999998E-2</v>
      </c>
      <c r="R6205">
        <v>-0.67639759999999904</v>
      </c>
      <c r="S6205">
        <v>2.7900999999999998</v>
      </c>
      <c r="T6205">
        <v>-0.27931830000000002</v>
      </c>
      <c r="U6205">
        <v>-1.3946529999999999</v>
      </c>
      <c r="V6205">
        <v>-0.38151649999999998</v>
      </c>
      <c r="W6205">
        <v>-8.2090270000000007E-2</v>
      </c>
      <c r="X6205">
        <v>0.92070969999999996</v>
      </c>
      <c r="Y6205">
        <v>-0.623148699999999</v>
      </c>
      <c r="Z6205">
        <v>8.3211590000000002E-2</v>
      </c>
      <c r="AA6205">
        <v>0.77766409999999997</v>
      </c>
      <c r="AB6205">
        <v>18</v>
      </c>
      <c r="AC6205">
        <v>11.169899999999901</v>
      </c>
      <c r="AD6205">
        <v>-1.1263519134610001</v>
      </c>
      <c r="AE6205">
        <v>-5.4710000000000001</v>
      </c>
      <c r="AF6205">
        <v>-7.8092036818773201</v>
      </c>
      <c r="AG6205">
        <v>-1.1263519134610001</v>
      </c>
      <c r="AH6205">
        <v>9.5503079783324498</v>
      </c>
      <c r="AI6205">
        <v>95.216729753351203</v>
      </c>
      <c r="AJ6205">
        <v>129.272567636974</v>
      </c>
      <c r="AK6205">
        <v>12.387926108069999</v>
      </c>
      <c r="AL6205">
        <v>94.708724669028896</v>
      </c>
      <c r="AM6205">
        <v>112.50775752927299</v>
      </c>
      <c r="AN6205">
        <v>1.0000000019374999</v>
      </c>
    </row>
    <row r="6206" spans="1:40" x14ac:dyDescent="0.25">
      <c r="A6206" t="str">
        <f>"20190303154305887"</f>
        <v>20190303154305887</v>
      </c>
      <c r="B6206" t="str">
        <f>"1551598985876094"</f>
        <v>1551598985876094</v>
      </c>
      <c r="C6206" t="s">
        <v>40</v>
      </c>
      <c r="D6206">
        <v>5.3165199999999997</v>
      </c>
      <c r="E6206">
        <v>0.39354729999999999</v>
      </c>
      <c r="F6206" t="s">
        <v>42</v>
      </c>
      <c r="G6206">
        <v>-418.87380000000002</v>
      </c>
      <c r="H6206">
        <v>1.0414099999999999</v>
      </c>
      <c r="I6206">
        <v>30.141970000000001</v>
      </c>
      <c r="J6206">
        <v>-419.66140000000001</v>
      </c>
      <c r="K6206">
        <v>1.1263299999999901</v>
      </c>
      <c r="L6206">
        <v>30.429259999999999</v>
      </c>
      <c r="M6206">
        <v>0.42600379999999899</v>
      </c>
      <c r="N6206">
        <v>-1.4384360000000001E-2</v>
      </c>
      <c r="O6206">
        <v>-0.9046071</v>
      </c>
      <c r="P6206">
        <v>0.73716179999999998</v>
      </c>
      <c r="Q6206">
        <v>-9.1611300000000007E-2</v>
      </c>
      <c r="R6206">
        <v>-0.66947719999999999</v>
      </c>
      <c r="S6206">
        <v>2.7716980000000002</v>
      </c>
      <c r="T6206">
        <v>-0.27008409999999999</v>
      </c>
      <c r="U6206">
        <v>-1.4038389999999901</v>
      </c>
      <c r="V6206">
        <v>-0.38065139999999997</v>
      </c>
      <c r="W6206">
        <v>-8.3231869999999999E-2</v>
      </c>
      <c r="X6206">
        <v>0.92096529999999999</v>
      </c>
      <c r="Y6206">
        <v>-0.61123539999999998</v>
      </c>
      <c r="Z6206">
        <v>8.0125619999999995E-2</v>
      </c>
      <c r="AA6206">
        <v>0.78738249999999999</v>
      </c>
      <c r="AB6206">
        <v>18</v>
      </c>
      <c r="AC6206">
        <v>0.78759999999999697</v>
      </c>
      <c r="AD6206">
        <v>-8.4919999999999801E-2</v>
      </c>
      <c r="AE6206">
        <v>-0.28728999999999799</v>
      </c>
      <c r="AF6206">
        <v>-0.58414941510757101</v>
      </c>
      <c r="AG6206">
        <v>-8.4919999999999801E-2</v>
      </c>
      <c r="AH6206">
        <v>0.58941914317952204</v>
      </c>
      <c r="AI6206">
        <v>95.842862262706106</v>
      </c>
      <c r="AJ6206">
        <v>134.74272389432701</v>
      </c>
      <c r="AK6206">
        <v>0.83418035934502699</v>
      </c>
      <c r="AL6206">
        <v>94.774357881718501</v>
      </c>
      <c r="AM6206">
        <v>112.456181433301</v>
      </c>
      <c r="AN6206">
        <v>1.00000005815487</v>
      </c>
    </row>
    <row r="6207" spans="1:40" x14ac:dyDescent="0.25">
      <c r="A6207" t="str">
        <f>"20190303154305911"</f>
        <v>20190303154305911</v>
      </c>
      <c r="B6207" t="str">
        <f>"1551598985906349"</f>
        <v>1551598985906349</v>
      </c>
      <c r="C6207" t="s">
        <v>40</v>
      </c>
      <c r="D6207">
        <v>5.3688570000000002</v>
      </c>
      <c r="E6207">
        <v>0.39409359999999999</v>
      </c>
      <c r="F6207" t="s">
        <v>42</v>
      </c>
      <c r="G6207">
        <v>-418.80079999999998</v>
      </c>
      <c r="H6207">
        <v>1.0423359999999999</v>
      </c>
      <c r="I6207">
        <v>30.00243</v>
      </c>
      <c r="J6207">
        <v>-419.57119999999998</v>
      </c>
      <c r="K6207">
        <v>1.12632</v>
      </c>
      <c r="L6207">
        <v>30.26773</v>
      </c>
      <c r="M6207">
        <v>0.43571569999999998</v>
      </c>
      <c r="N6207">
        <v>-1.438241E-2</v>
      </c>
      <c r="O6207">
        <v>-0.89996949999999998</v>
      </c>
      <c r="P6207">
        <v>0.74366969999999899</v>
      </c>
      <c r="Q6207">
        <v>-9.3881590000000001E-2</v>
      </c>
      <c r="R6207">
        <v>-0.66192280000000003</v>
      </c>
      <c r="S6207">
        <v>2.7828369999999998</v>
      </c>
      <c r="T6207">
        <v>-0.27153290000000002</v>
      </c>
      <c r="U6207">
        <v>-1.3797299999999999</v>
      </c>
      <c r="V6207">
        <v>-0.37985370000000002</v>
      </c>
      <c r="W6207">
        <v>-8.5477330000000004E-2</v>
      </c>
      <c r="X6207">
        <v>0.92108889999999999</v>
      </c>
      <c r="Y6207">
        <v>-0.60942289999999999</v>
      </c>
      <c r="Z6207">
        <v>8.0581799999999995E-2</v>
      </c>
      <c r="AA6207">
        <v>0.78873970000000004</v>
      </c>
      <c r="AB6207">
        <v>18</v>
      </c>
      <c r="AC6207">
        <v>0.77039999999999498</v>
      </c>
      <c r="AD6207">
        <v>-8.3983999999999795E-2</v>
      </c>
      <c r="AE6207">
        <v>-0.26529999999999898</v>
      </c>
      <c r="AF6207">
        <v>-0.57172679793602599</v>
      </c>
      <c r="AG6207">
        <v>-8.3983999999999795E-2</v>
      </c>
      <c r="AH6207">
        <v>0.56845734724621699</v>
      </c>
      <c r="AI6207">
        <v>95.946944668114497</v>
      </c>
      <c r="AJ6207">
        <v>135.16429382325799</v>
      </c>
      <c r="AK6207">
        <v>0.810597680339876</v>
      </c>
      <c r="AL6207">
        <v>94.9034738389187</v>
      </c>
      <c r="AM6207">
        <v>112.411072132771</v>
      </c>
      <c r="AN6207">
        <v>0.99999998452541405</v>
      </c>
    </row>
    <row r="6208" spans="1:40" x14ac:dyDescent="0.25">
      <c r="A6208" t="str">
        <f>"20190303154305933"</f>
        <v>20190303154305933</v>
      </c>
      <c r="B6208" t="str">
        <f>"1551598985926849"</f>
        <v>1551598985926849</v>
      </c>
      <c r="C6208" t="s">
        <v>40</v>
      </c>
      <c r="D6208">
        <v>5.3410580000000003</v>
      </c>
      <c r="E6208">
        <v>0.39902929999999998</v>
      </c>
      <c r="F6208" t="s">
        <v>42</v>
      </c>
      <c r="G6208">
        <v>-418.7312</v>
      </c>
      <c r="H6208">
        <v>1.0432220000000001</v>
      </c>
      <c r="I6208">
        <v>29.86016</v>
      </c>
      <c r="J6208">
        <v>-419.48270000000002</v>
      </c>
      <c r="K6208">
        <v>1.126312</v>
      </c>
      <c r="L6208">
        <v>30.11307</v>
      </c>
      <c r="M6208">
        <v>0.44502910000000001</v>
      </c>
      <c r="N6208">
        <v>-1.4379940000000001E-2</v>
      </c>
      <c r="O6208">
        <v>-0.89540069999999905</v>
      </c>
      <c r="P6208">
        <v>0.75103419999999999</v>
      </c>
      <c r="Q6208">
        <v>-9.3730569999999999E-2</v>
      </c>
      <c r="R6208">
        <v>-0.65357690000000002</v>
      </c>
      <c r="S6208">
        <v>2.7932429999999999</v>
      </c>
      <c r="T6208">
        <v>-0.276279099999999</v>
      </c>
      <c r="U6208">
        <v>-1.3548279999999999</v>
      </c>
      <c r="V6208">
        <v>-0.38060470000000002</v>
      </c>
      <c r="W6208">
        <v>-8.5327509999999995E-2</v>
      </c>
      <c r="X6208">
        <v>0.92079279999999997</v>
      </c>
      <c r="Y6208">
        <v>-0.60792639999999998</v>
      </c>
      <c r="Z6208">
        <v>8.2160949999999996E-2</v>
      </c>
      <c r="AA6208">
        <v>0.78973110000000002</v>
      </c>
      <c r="AB6208">
        <v>18</v>
      </c>
      <c r="AC6208">
        <v>0.75150000000002104</v>
      </c>
      <c r="AD6208">
        <v>-8.3090000000000094E-2</v>
      </c>
      <c r="AE6208">
        <v>-0.25291000000000302</v>
      </c>
      <c r="AF6208">
        <v>-0.55431231104018996</v>
      </c>
      <c r="AG6208">
        <v>-8.3090000000000094E-2</v>
      </c>
      <c r="AH6208">
        <v>0.55486019526821995</v>
      </c>
      <c r="AI6208">
        <v>96.047422578428197</v>
      </c>
      <c r="AJ6208">
        <v>134.97169831455699</v>
      </c>
      <c r="AK6208">
        <v>0.78869253994430899</v>
      </c>
      <c r="AL6208">
        <v>94.894857982027602</v>
      </c>
      <c r="AM6208">
        <v>112.457488657651</v>
      </c>
      <c r="AN6208">
        <v>1.00000005107836</v>
      </c>
    </row>
    <row r="6209" spans="1:40" x14ac:dyDescent="0.25">
      <c r="A6209" t="str">
        <f>"20190303154305956"</f>
        <v>20190303154305956</v>
      </c>
      <c r="B6209" t="str">
        <f>"1551598985946368"</f>
        <v>1551598985946368</v>
      </c>
      <c r="C6209" t="s">
        <v>40</v>
      </c>
      <c r="D6209">
        <v>5.3732709999999999</v>
      </c>
      <c r="E6209">
        <v>0.39955990000000002</v>
      </c>
      <c r="F6209" t="s">
        <v>42</v>
      </c>
      <c r="G6209">
        <v>-418.66460000000001</v>
      </c>
      <c r="H6209">
        <v>1.047396</v>
      </c>
      <c r="I6209">
        <v>29.715</v>
      </c>
      <c r="J6209">
        <v>-419.3904</v>
      </c>
      <c r="K6209">
        <v>1.126309</v>
      </c>
      <c r="L6209">
        <v>29.955749999999998</v>
      </c>
      <c r="M6209">
        <v>0.4545148</v>
      </c>
      <c r="N6209">
        <v>-1.437713E-2</v>
      </c>
      <c r="O6209">
        <v>-0.89062350000000001</v>
      </c>
      <c r="P6209">
        <v>0.75842880000000001</v>
      </c>
      <c r="Q6209">
        <v>-9.2445089999999994E-2</v>
      </c>
      <c r="R6209">
        <v>-0.64516680000000004</v>
      </c>
      <c r="S6209">
        <v>2.782654</v>
      </c>
      <c r="T6209">
        <v>-0.2684242</v>
      </c>
      <c r="U6209">
        <v>-1.3539730000000001</v>
      </c>
      <c r="V6209">
        <v>-0.3812449</v>
      </c>
      <c r="W6209">
        <v>-8.4040249999999997E-2</v>
      </c>
      <c r="X6209">
        <v>0.92064630000000003</v>
      </c>
      <c r="Y6209">
        <v>-0.59869640000000002</v>
      </c>
      <c r="Z6209">
        <v>7.9508739999999994E-2</v>
      </c>
      <c r="AA6209">
        <v>0.79702010000000001</v>
      </c>
      <c r="AB6209">
        <v>18</v>
      </c>
      <c r="AC6209">
        <v>0.72579999999999201</v>
      </c>
      <c r="AD6209">
        <v>-7.8912999999999997E-2</v>
      </c>
      <c r="AE6209">
        <v>-0.24074999999999799</v>
      </c>
      <c r="AF6209">
        <v>-0.53138643156988996</v>
      </c>
      <c r="AG6209">
        <v>-7.8912999999999997E-2</v>
      </c>
      <c r="AH6209">
        <v>0.53862445519637103</v>
      </c>
      <c r="AI6209">
        <v>95.954163273359896</v>
      </c>
      <c r="AJ6209">
        <v>134.61243209227101</v>
      </c>
      <c r="AK6209">
        <v>0.76073326794689899</v>
      </c>
      <c r="AL6209">
        <v>94.820837657254401</v>
      </c>
      <c r="AM6209">
        <v>112.494725823932</v>
      </c>
      <c r="AN6209">
        <v>1.00000002354988</v>
      </c>
    </row>
    <row r="6210" spans="1:40" x14ac:dyDescent="0.25">
      <c r="A6210" t="str">
        <f>"20190303154305967"</f>
        <v>20190303154305967</v>
      </c>
      <c r="B6210" t="str">
        <f>"1551598985956127"</f>
        <v>1551598985956127</v>
      </c>
      <c r="C6210" t="s">
        <v>40</v>
      </c>
      <c r="D6210">
        <v>5.3846109999999996</v>
      </c>
      <c r="E6210">
        <v>0.39955990000000002</v>
      </c>
      <c r="F6210" t="s">
        <v>58</v>
      </c>
      <c r="G6210">
        <v>-407.70589999999999</v>
      </c>
      <c r="H6210" s="1">
        <v>-3.2728479999999999E-6</v>
      </c>
      <c r="I6210">
        <v>24.413699999999999</v>
      </c>
      <c r="J6210">
        <v>-419.3383</v>
      </c>
      <c r="K6210">
        <v>1.126301</v>
      </c>
      <c r="L6210">
        <v>29.868960000000001</v>
      </c>
      <c r="M6210">
        <v>0.45976519999999999</v>
      </c>
      <c r="N6210">
        <v>-1.4375580000000001E-2</v>
      </c>
      <c r="O6210">
        <v>-0.88792420000000005</v>
      </c>
      <c r="P6210">
        <v>0.76265890000000003</v>
      </c>
      <c r="Q6210">
        <v>-9.1437069999999995E-2</v>
      </c>
      <c r="R6210">
        <v>-0.64030529999999997</v>
      </c>
      <c r="S6210">
        <v>2.7949830000000002</v>
      </c>
      <c r="T6210">
        <v>-0.26941880000000001</v>
      </c>
      <c r="U6210">
        <v>-1.3256840000000001</v>
      </c>
      <c r="V6210">
        <v>-0.38181530000000002</v>
      </c>
      <c r="W6210">
        <v>-8.3035670000000006E-2</v>
      </c>
      <c r="X6210">
        <v>0.92050100000000001</v>
      </c>
      <c r="Y6210">
        <v>-0.60187829999999998</v>
      </c>
      <c r="Z6210">
        <v>7.9960909999999996E-2</v>
      </c>
      <c r="AA6210">
        <v>0.79457449999999996</v>
      </c>
      <c r="AB6210">
        <v>18</v>
      </c>
      <c r="AC6210">
        <v>11.632400000000001</v>
      </c>
      <c r="AD6210">
        <v>-1.1263042728479999</v>
      </c>
      <c r="AE6210">
        <v>-5.4552599999999902</v>
      </c>
      <c r="AF6210">
        <v>-7.7617109179261599</v>
      </c>
      <c r="AG6210">
        <v>-1.1263042728479999</v>
      </c>
      <c r="AH6210">
        <v>10.1153478333622</v>
      </c>
      <c r="AI6210">
        <v>95.048237232420107</v>
      </c>
      <c r="AJ6210">
        <v>127.499755904135</v>
      </c>
      <c r="AK6210">
        <v>12.799725757937001</v>
      </c>
      <c r="AL6210">
        <v>94.763077830351804</v>
      </c>
      <c r="AM6210">
        <v>112.52822159468499</v>
      </c>
      <c r="AN6210">
        <v>0.99999996840371896</v>
      </c>
    </row>
    <row r="6211" spans="1:40" x14ac:dyDescent="0.25">
      <c r="A6211" t="str">
        <f>"20190303154305981"</f>
        <v>20190303154305981</v>
      </c>
      <c r="B6211" t="str">
        <f>"1551598985976623"</f>
        <v>1551598985976623</v>
      </c>
      <c r="C6211" t="s">
        <v>40</v>
      </c>
      <c r="D6211">
        <v>5.3647330000000002</v>
      </c>
      <c r="E6211">
        <v>0.40398289999999998</v>
      </c>
      <c r="F6211" t="s">
        <v>42</v>
      </c>
      <c r="G6211">
        <v>-418.47840000000002</v>
      </c>
      <c r="H6211">
        <v>1.0446120000000001</v>
      </c>
      <c r="I6211">
        <v>29.467610000000001</v>
      </c>
      <c r="J6211">
        <v>-419.286</v>
      </c>
      <c r="K6211">
        <v>1.126295</v>
      </c>
      <c r="L6211">
        <v>29.782620000000001</v>
      </c>
      <c r="M6211">
        <v>0.4649896</v>
      </c>
      <c r="N6211">
        <v>-1.4374110000000001E-2</v>
      </c>
      <c r="O6211">
        <v>-0.88519950000000003</v>
      </c>
      <c r="P6211">
        <v>0.76659519999999903</v>
      </c>
      <c r="Q6211">
        <v>-9.1025159999999994E-2</v>
      </c>
      <c r="R6211">
        <v>-0.63564670000000001</v>
      </c>
      <c r="S6211">
        <v>2.803741</v>
      </c>
      <c r="T6211">
        <v>-0.26625070000000001</v>
      </c>
      <c r="U6211">
        <v>-1.3077700000000001</v>
      </c>
      <c r="V6211">
        <v>-0.38204969999999999</v>
      </c>
      <c r="W6211">
        <v>-8.2622009999999996E-2</v>
      </c>
      <c r="X6211">
        <v>0.92044099999999995</v>
      </c>
      <c r="Y6211">
        <v>-0.60238780000000003</v>
      </c>
      <c r="Z6211">
        <v>7.8892729999999994E-2</v>
      </c>
      <c r="AA6211">
        <v>0.79429530000000004</v>
      </c>
      <c r="AB6211">
        <v>18</v>
      </c>
      <c r="AC6211">
        <v>0.807599999999979</v>
      </c>
      <c r="AD6211">
        <v>-8.1682999999999895E-2</v>
      </c>
      <c r="AE6211">
        <v>-0.31501000000000401</v>
      </c>
      <c r="AF6211">
        <v>-0.56346642902588495</v>
      </c>
      <c r="AG6211">
        <v>-8.1682999999999895E-2</v>
      </c>
      <c r="AH6211">
        <v>0.64868024675070601</v>
      </c>
      <c r="AI6211">
        <v>95.430507550199493</v>
      </c>
      <c r="AJ6211">
        <v>130.978726899191</v>
      </c>
      <c r="AK6211">
        <v>0.86310636172649102</v>
      </c>
      <c r="AL6211">
        <v>94.739294974613998</v>
      </c>
      <c r="AM6211">
        <v>112.541991096163</v>
      </c>
      <c r="AN6211">
        <v>1.0000000021437601</v>
      </c>
    </row>
    <row r="6212" spans="1:40" x14ac:dyDescent="0.25">
      <c r="A6212" t="str">
        <f>"20190303154306001"</f>
        <v>20190303154306001</v>
      </c>
      <c r="B6212" t="str">
        <f>"1551598985996141"</f>
        <v>1551598985996141</v>
      </c>
      <c r="C6212" t="s">
        <v>40</v>
      </c>
      <c r="D6212">
        <v>5.3988659999999999</v>
      </c>
      <c r="E6212">
        <v>0.40631060000000002</v>
      </c>
      <c r="F6212" t="s">
        <v>42</v>
      </c>
      <c r="G6212">
        <v>-418.37580000000003</v>
      </c>
      <c r="H6212">
        <v>1.041542</v>
      </c>
      <c r="I6212">
        <v>29.352419999999999</v>
      </c>
      <c r="J6212">
        <v>-419.20639999999997</v>
      </c>
      <c r="K6212">
        <v>1.1262840000000001</v>
      </c>
      <c r="L6212">
        <v>29.653590000000001</v>
      </c>
      <c r="M6212">
        <v>0.4728057</v>
      </c>
      <c r="N6212">
        <v>-1.4371979999999999E-2</v>
      </c>
      <c r="O6212">
        <v>-0.88104959999999899</v>
      </c>
      <c r="P6212">
        <v>0.77176809999999996</v>
      </c>
      <c r="Q6212">
        <v>-9.0724310000000002E-2</v>
      </c>
      <c r="R6212">
        <v>-0.62939909999999999</v>
      </c>
      <c r="S6212">
        <v>2.7894899999999998</v>
      </c>
      <c r="T6212">
        <v>-0.25972800000000001</v>
      </c>
      <c r="U6212">
        <v>-1.318268</v>
      </c>
      <c r="V6212">
        <v>-0.38141770000000003</v>
      </c>
      <c r="W6212">
        <v>-8.2301189999999996E-2</v>
      </c>
      <c r="X6212">
        <v>0.92073179999999999</v>
      </c>
      <c r="Y6212">
        <v>-0.59145879999999995</v>
      </c>
      <c r="Z6212">
        <v>7.6569709999999999E-2</v>
      </c>
      <c r="AA6212">
        <v>0.80269140000000005</v>
      </c>
      <c r="AB6212">
        <v>18</v>
      </c>
      <c r="AC6212">
        <v>0.83059999999994705</v>
      </c>
      <c r="AD6212">
        <v>-8.4742000000000095E-2</v>
      </c>
      <c r="AE6212">
        <v>-0.30116999999999899</v>
      </c>
      <c r="AF6212">
        <v>-0.58409231631031799</v>
      </c>
      <c r="AG6212">
        <v>-8.4742000000000095E-2</v>
      </c>
      <c r="AH6212">
        <v>0.65212672933300297</v>
      </c>
      <c r="AI6212">
        <v>95.528830745213199</v>
      </c>
      <c r="AJ6212">
        <v>131.84994628630901</v>
      </c>
      <c r="AK6212">
        <v>0.87955347287547703</v>
      </c>
      <c r="AL6212">
        <v>94.720850546580706</v>
      </c>
      <c r="AM6212">
        <v>112.502023725965</v>
      </c>
      <c r="AN6212">
        <v>0.99999999763997305</v>
      </c>
    </row>
    <row r="6213" spans="1:40" x14ac:dyDescent="0.25">
      <c r="A6213" t="str">
        <f>"20190303154306024"</f>
        <v>20190303154306024</v>
      </c>
      <c r="B6213" t="str">
        <f>"1551598986016494"</f>
        <v>1551598986016494</v>
      </c>
      <c r="C6213" t="s">
        <v>40</v>
      </c>
      <c r="D6213">
        <v>5.451962</v>
      </c>
      <c r="E6213">
        <v>0.41088930000000001</v>
      </c>
      <c r="F6213" t="s">
        <v>42</v>
      </c>
      <c r="G6213">
        <v>-418.29050000000001</v>
      </c>
      <c r="H6213">
        <v>1.0470999999999999</v>
      </c>
      <c r="I6213">
        <v>29.222860000000001</v>
      </c>
      <c r="J6213">
        <v>-419.10469999999998</v>
      </c>
      <c r="K6213">
        <v>1.126263</v>
      </c>
      <c r="L6213">
        <v>29.492429999999999</v>
      </c>
      <c r="M6213">
        <v>0.4825895</v>
      </c>
      <c r="N6213">
        <v>-1.4369109999999999E-2</v>
      </c>
      <c r="O6213">
        <v>-0.87572890000000003</v>
      </c>
      <c r="P6213">
        <v>0.77758680000000002</v>
      </c>
      <c r="Q6213">
        <v>-9.2597100000000002E-2</v>
      </c>
      <c r="R6213">
        <v>-0.62192000000000003</v>
      </c>
      <c r="S6213">
        <v>2.7893370000000002</v>
      </c>
      <c r="T6213">
        <v>-0.2411268</v>
      </c>
      <c r="U6213">
        <v>-1.311401</v>
      </c>
      <c r="V6213">
        <v>-0.37983739999999999</v>
      </c>
      <c r="W6213">
        <v>-8.4137340000000005E-2</v>
      </c>
      <c r="X6213">
        <v>0.92121900000000001</v>
      </c>
      <c r="Y6213">
        <v>-0.58454490000000003</v>
      </c>
      <c r="Z6213">
        <v>7.0194740000000005E-2</v>
      </c>
      <c r="AA6213">
        <v>0.80831919999999902</v>
      </c>
      <c r="AB6213">
        <v>18</v>
      </c>
      <c r="AC6213">
        <v>0.81419999999997095</v>
      </c>
      <c r="AD6213">
        <v>-7.9163000000000094E-2</v>
      </c>
      <c r="AE6213">
        <v>-0.26957000000000098</v>
      </c>
      <c r="AF6213">
        <v>-0.57806220596221702</v>
      </c>
      <c r="AG6213">
        <v>-7.9163000000000094E-2</v>
      </c>
      <c r="AH6213">
        <v>0.62374555484739502</v>
      </c>
      <c r="AI6213">
        <v>95.318162548387505</v>
      </c>
      <c r="AJ6213">
        <v>132.82310983386799</v>
      </c>
      <c r="AK6213">
        <v>0.85409672269760495</v>
      </c>
      <c r="AL6213">
        <v>94.826420418548096</v>
      </c>
      <c r="AM6213">
        <v>112.40735366405499</v>
      </c>
      <c r="AN6213">
        <v>0.99999999419101704</v>
      </c>
    </row>
    <row r="6214" spans="1:40" x14ac:dyDescent="0.25">
      <c r="A6214" t="str">
        <f>"20190303154306045"</f>
        <v>20190303154306045</v>
      </c>
      <c r="B6214" t="str">
        <f>"1551598986036150"</f>
        <v>1551598986036150</v>
      </c>
      <c r="C6214" t="s">
        <v>40</v>
      </c>
      <c r="D6214">
        <v>5.4500149999999996</v>
      </c>
      <c r="E6214">
        <v>0.4113096</v>
      </c>
      <c r="F6214" t="s">
        <v>42</v>
      </c>
      <c r="G6214">
        <v>-418.2244</v>
      </c>
      <c r="H6214">
        <v>1.0466299999999999</v>
      </c>
      <c r="I6214">
        <v>29.07657</v>
      </c>
      <c r="J6214">
        <v>-419.012</v>
      </c>
      <c r="K6214">
        <v>1.1262319999999999</v>
      </c>
      <c r="L6214">
        <v>29.348749999999999</v>
      </c>
      <c r="M6214">
        <v>0.49132670000000001</v>
      </c>
      <c r="N6214">
        <v>-1.436611E-2</v>
      </c>
      <c r="O6214">
        <v>-0.8708572</v>
      </c>
      <c r="P6214">
        <v>0.78279639999999995</v>
      </c>
      <c r="Q6214">
        <v>-9.5490229999999995E-2</v>
      </c>
      <c r="R6214">
        <v>-0.61490819999999902</v>
      </c>
      <c r="S6214">
        <v>2.7782900000000001</v>
      </c>
      <c r="T6214">
        <v>-0.25133689999999997</v>
      </c>
      <c r="U6214">
        <v>-1.3126530000000001</v>
      </c>
      <c r="V6214">
        <v>-0.37856420000000002</v>
      </c>
      <c r="W6214">
        <v>-8.7000960000000002E-2</v>
      </c>
      <c r="X6214">
        <v>0.92147710000000005</v>
      </c>
      <c r="Y6214">
        <v>-0.57461660000000003</v>
      </c>
      <c r="Z6214">
        <v>7.347592E-2</v>
      </c>
      <c r="AA6214">
        <v>0.81511789999999995</v>
      </c>
      <c r="AB6214">
        <v>18</v>
      </c>
      <c r="AC6214">
        <v>0.78759999999994001</v>
      </c>
      <c r="AD6214">
        <v>-7.9601999999999895E-2</v>
      </c>
      <c r="AE6214">
        <v>-0.27217999999999798</v>
      </c>
      <c r="AF6214">
        <v>-0.54722117256608505</v>
      </c>
      <c r="AG6214">
        <v>-7.9601999999999895E-2</v>
      </c>
      <c r="AH6214">
        <v>0.61841985858487203</v>
      </c>
      <c r="AI6214">
        <v>95.506153302406005</v>
      </c>
      <c r="AJ6214">
        <v>131.50465094561599</v>
      </c>
      <c r="AK6214">
        <v>0.829596655972488</v>
      </c>
      <c r="AL6214">
        <v>94.991097620354793</v>
      </c>
      <c r="AM6214">
        <v>112.333997329356</v>
      </c>
      <c r="AN6214">
        <v>1.00000003319348</v>
      </c>
    </row>
    <row r="6215" spans="1:40" x14ac:dyDescent="0.25">
      <c r="A6215" t="str">
        <f>"20190303154306058"</f>
        <v>20190303154306058</v>
      </c>
      <c r="B6215" t="str">
        <f>"1551598986046361"</f>
        <v>1551598986046361</v>
      </c>
      <c r="C6215" t="s">
        <v>40</v>
      </c>
      <c r="D6215">
        <v>5.4425980000000003</v>
      </c>
      <c r="E6215">
        <v>0.4114641</v>
      </c>
      <c r="F6215" t="s">
        <v>42</v>
      </c>
      <c r="G6215">
        <v>-418.14089999999999</v>
      </c>
      <c r="H6215">
        <v>1.0410569999999999</v>
      </c>
      <c r="I6215">
        <v>28.945250000000001</v>
      </c>
      <c r="J6215">
        <v>-418.95580000000001</v>
      </c>
      <c r="K6215">
        <v>1.1262160000000001</v>
      </c>
      <c r="L6215">
        <v>29.263089999999998</v>
      </c>
      <c r="M6215">
        <v>0.49653829999999999</v>
      </c>
      <c r="N6215">
        <v>-1.4364170000000001E-2</v>
      </c>
      <c r="O6215">
        <v>-0.86789609999999995</v>
      </c>
      <c r="P6215">
        <v>0.78623690000000002</v>
      </c>
      <c r="Q6215">
        <v>-9.6857289999999999E-2</v>
      </c>
      <c r="R6215">
        <v>-0.61028709999999997</v>
      </c>
      <c r="S6215">
        <v>2.7863159999999998</v>
      </c>
      <c r="T6215">
        <v>-0.27233239999999997</v>
      </c>
      <c r="U6215">
        <v>-1.2894289999999999</v>
      </c>
      <c r="V6215">
        <v>-0.378307</v>
      </c>
      <c r="W6215">
        <v>-8.835838E-2</v>
      </c>
      <c r="X6215">
        <v>0.92145350000000004</v>
      </c>
      <c r="Y6215">
        <v>-0.57563909999999996</v>
      </c>
      <c r="Z6215">
        <v>8.0499660000000001E-2</v>
      </c>
      <c r="AA6215">
        <v>0.81373180000000001</v>
      </c>
      <c r="AB6215">
        <v>18</v>
      </c>
      <c r="AC6215">
        <v>0.81490000000002205</v>
      </c>
      <c r="AD6215">
        <v>-8.5158999999999901E-2</v>
      </c>
      <c r="AE6215">
        <v>-0.31784000000000001</v>
      </c>
      <c r="AF6215">
        <v>-0.54432588149191796</v>
      </c>
      <c r="AG6215">
        <v>-8.5158999999999901E-2</v>
      </c>
      <c r="AH6215">
        <v>0.67416106801375497</v>
      </c>
      <c r="AI6215">
        <v>95.613105766402498</v>
      </c>
      <c r="AJ6215">
        <v>128.917830071357</v>
      </c>
      <c r="AK6215">
        <v>0.87065255192206303</v>
      </c>
      <c r="AL6215">
        <v>95.069173065517106</v>
      </c>
      <c r="AM6215">
        <v>112.320828649265</v>
      </c>
      <c r="AN6215">
        <v>0.99999997111373595</v>
      </c>
    </row>
    <row r="6216" spans="1:40" x14ac:dyDescent="0.25">
      <c r="A6216" t="str">
        <f>"20190303154306071"</f>
        <v>20190303154306071</v>
      </c>
      <c r="B6216" t="str">
        <f>"1551598986066857"</f>
        <v>1551598986066857</v>
      </c>
      <c r="C6216" t="s">
        <v>40</v>
      </c>
      <c r="D6216">
        <v>5.4446680000000001</v>
      </c>
      <c r="E6216">
        <v>0.4116918</v>
      </c>
      <c r="F6216" t="s">
        <v>42</v>
      </c>
      <c r="G6216">
        <v>-418.02850000000001</v>
      </c>
      <c r="H6216">
        <v>1.0329090000000001</v>
      </c>
      <c r="I6216">
        <v>28.840160000000001</v>
      </c>
      <c r="J6216">
        <v>-418.89830000000001</v>
      </c>
      <c r="K6216">
        <v>1.1262019999999999</v>
      </c>
      <c r="L6216">
        <v>29.176670000000001</v>
      </c>
      <c r="M6216">
        <v>0.50180389999999997</v>
      </c>
      <c r="N6216">
        <v>-1.43619E-2</v>
      </c>
      <c r="O6216">
        <v>-0.86486209999999997</v>
      </c>
      <c r="P6216">
        <v>0.78959880000000005</v>
      </c>
      <c r="Q6216">
        <v>-9.8279889999999995E-2</v>
      </c>
      <c r="R6216">
        <v>-0.60570179999999996</v>
      </c>
      <c r="S6216">
        <v>2.7924500000000001</v>
      </c>
      <c r="T6216">
        <v>-0.28096529999999997</v>
      </c>
      <c r="U6216">
        <v>-1.27359</v>
      </c>
      <c r="V6216">
        <v>-0.37790099999999999</v>
      </c>
      <c r="W6216">
        <v>-8.9768180000000003E-2</v>
      </c>
      <c r="X6216">
        <v>0.92148390000000002</v>
      </c>
      <c r="Y6216">
        <v>-0.57492969999999999</v>
      </c>
      <c r="Z6216">
        <v>8.331073E-2</v>
      </c>
      <c r="AA6216">
        <v>0.81395039999999996</v>
      </c>
      <c r="AB6216">
        <v>18</v>
      </c>
      <c r="AC6216">
        <v>0.86979999999999702</v>
      </c>
      <c r="AD6216">
        <v>-9.3293000000000001E-2</v>
      </c>
      <c r="AE6216">
        <v>-0.33651000000000397</v>
      </c>
      <c r="AF6216">
        <v>-0.57767472270734599</v>
      </c>
      <c r="AG6216">
        <v>-9.3293000000000001E-2</v>
      </c>
      <c r="AH6216">
        <v>0.72037046170121799</v>
      </c>
      <c r="AI6216">
        <v>95.769221025558494</v>
      </c>
      <c r="AJ6216">
        <v>128.72659312494801</v>
      </c>
      <c r="AK6216">
        <v>0.92808688774038595</v>
      </c>
      <c r="AL6216">
        <v>95.150270620524495</v>
      </c>
      <c r="AM6216">
        <v>112.29855811879</v>
      </c>
      <c r="AN6216">
        <v>1.0000000349503599</v>
      </c>
    </row>
    <row r="6217" spans="1:40" x14ac:dyDescent="0.25">
      <c r="A6217" t="str">
        <f>"20190303154306084"</f>
        <v>20190303154306084</v>
      </c>
      <c r="B6217" t="str">
        <f>"1551598986076617"</f>
        <v>1551598986076617</v>
      </c>
      <c r="C6217" t="s">
        <v>40</v>
      </c>
      <c r="D6217">
        <v>5.3133879999999998</v>
      </c>
      <c r="E6217">
        <v>0.39712969999999997</v>
      </c>
      <c r="F6217" t="s">
        <v>42</v>
      </c>
      <c r="G6217">
        <v>-418.0686</v>
      </c>
      <c r="H6217">
        <v>1.04047</v>
      </c>
      <c r="I6217">
        <v>28.803570000000001</v>
      </c>
      <c r="J6217">
        <v>-418.84219999999999</v>
      </c>
      <c r="K6217">
        <v>1.126188</v>
      </c>
      <c r="L6217">
        <v>29.093540000000001</v>
      </c>
      <c r="M6217">
        <v>0.50687609999999905</v>
      </c>
      <c r="N6217">
        <v>-1.435963E-2</v>
      </c>
      <c r="O6217">
        <v>-0.86189959999999899</v>
      </c>
      <c r="P6217">
        <v>0.79289209999999999</v>
      </c>
      <c r="Q6217">
        <v>-9.9251019999999995E-2</v>
      </c>
      <c r="R6217">
        <v>-0.60122519999999902</v>
      </c>
      <c r="S6217">
        <v>2.7980960000000001</v>
      </c>
      <c r="T6217">
        <v>-0.2891377</v>
      </c>
      <c r="U6217">
        <v>-1.2584229999999901</v>
      </c>
      <c r="V6217">
        <v>-0.37758730000000001</v>
      </c>
      <c r="W6217">
        <v>-9.0727279999999993E-2</v>
      </c>
      <c r="X6217">
        <v>0.92151850000000002</v>
      </c>
      <c r="Y6217">
        <v>-0.5741771</v>
      </c>
      <c r="Z6217">
        <v>8.596057E-2</v>
      </c>
      <c r="AA6217">
        <v>0.81420599999999999</v>
      </c>
      <c r="AB6217">
        <v>18</v>
      </c>
      <c r="AC6217">
        <v>0.77359999999998696</v>
      </c>
      <c r="AD6217">
        <v>-8.5717999999999905E-2</v>
      </c>
      <c r="AE6217">
        <v>-0.28997000000000001</v>
      </c>
      <c r="AF6217">
        <v>-0.51430362926778905</v>
      </c>
      <c r="AG6217">
        <v>-8.5717999999999905E-2</v>
      </c>
      <c r="AH6217">
        <v>0.63527168773347897</v>
      </c>
      <c r="AI6217">
        <v>95.986822312940504</v>
      </c>
      <c r="AJ6217">
        <v>128.99295940841401</v>
      </c>
      <c r="AK6217">
        <v>0.82184299950645301</v>
      </c>
      <c r="AL6217">
        <v>95.205448464966693</v>
      </c>
      <c r="AM6217">
        <v>112.28110433355</v>
      </c>
      <c r="AN6217">
        <v>0.99999997714986899</v>
      </c>
    </row>
    <row r="6218" spans="1:40" x14ac:dyDescent="0.25">
      <c r="A6218" t="str">
        <f>"20190303154306101"</f>
        <v>20190303154306101</v>
      </c>
      <c r="B6218" t="str">
        <f>"1551598986096137"</f>
        <v>1551598986096137</v>
      </c>
      <c r="C6218" t="s">
        <v>40</v>
      </c>
      <c r="D6218">
        <v>5.3561639999999997</v>
      </c>
      <c r="E6218">
        <v>0.38536039999999999</v>
      </c>
      <c r="F6218" t="s">
        <v>42</v>
      </c>
      <c r="G6218">
        <v>-417.92579999999998</v>
      </c>
      <c r="H6218">
        <v>1.034702</v>
      </c>
      <c r="I6218">
        <v>28.72672</v>
      </c>
      <c r="J6218">
        <v>-418.76499999999999</v>
      </c>
      <c r="K6218">
        <v>1.1261639999999999</v>
      </c>
      <c r="L6218">
        <v>28.980740000000001</v>
      </c>
      <c r="M6218">
        <v>0.51375779999999904</v>
      </c>
      <c r="N6218">
        <v>-1.435641E-2</v>
      </c>
      <c r="O6218">
        <v>-0.85781559999999901</v>
      </c>
      <c r="P6218">
        <v>0.79679199999999994</v>
      </c>
      <c r="Q6218">
        <v>-0.1002</v>
      </c>
      <c r="R6218">
        <v>-0.59588839999999998</v>
      </c>
      <c r="S6218">
        <v>2.8752749999999998</v>
      </c>
      <c r="T6218">
        <v>-0.2870066</v>
      </c>
      <c r="U6218">
        <v>-1.150574</v>
      </c>
      <c r="V6218">
        <v>-0.37629030000000002</v>
      </c>
      <c r="W6218">
        <v>-9.1642639999999997E-2</v>
      </c>
      <c r="X6218">
        <v>0.92195839999999996</v>
      </c>
      <c r="Y6218">
        <v>-0.6015568</v>
      </c>
      <c r="Z6218">
        <v>8.5323239999999995E-2</v>
      </c>
      <c r="AA6218">
        <v>0.79426030000000003</v>
      </c>
      <c r="AB6218">
        <v>18</v>
      </c>
      <c r="AC6218">
        <v>0.83920000000000505</v>
      </c>
      <c r="AD6218">
        <v>-9.1461999999999904E-2</v>
      </c>
      <c r="AE6218">
        <v>-0.25402000000000002</v>
      </c>
      <c r="AF6218">
        <v>-0.58308987816948998</v>
      </c>
      <c r="AG6218">
        <v>-9.1461999999999904E-2</v>
      </c>
      <c r="AH6218">
        <v>0.64212737432213796</v>
      </c>
      <c r="AI6218">
        <v>96.019489273992903</v>
      </c>
      <c r="AJ6218">
        <v>132.241317765421</v>
      </c>
      <c r="AK6218">
        <v>0.87217353108286499</v>
      </c>
      <c r="AL6218">
        <v>95.258113874765897</v>
      </c>
      <c r="AM6218">
        <v>112.202453004617</v>
      </c>
      <c r="AN6218">
        <v>1.0000000273353999</v>
      </c>
    </row>
    <row r="6219" spans="1:40" x14ac:dyDescent="0.25">
      <c r="A6219" t="str">
        <f>"20190303154306113"</f>
        <v>20190303154306113</v>
      </c>
      <c r="B6219" t="str">
        <f>"1551598986106601"</f>
        <v>1551598986106601</v>
      </c>
      <c r="C6219" t="s">
        <v>40</v>
      </c>
      <c r="D6219">
        <v>5.3839220000000001</v>
      </c>
      <c r="E6219">
        <v>0.38196069999999999</v>
      </c>
      <c r="F6219" t="s">
        <v>58</v>
      </c>
      <c r="G6219">
        <v>-407.35419999999999</v>
      </c>
      <c r="H6219" s="1">
        <v>-3.5638690000000001E-6</v>
      </c>
      <c r="I6219">
        <v>24.880240000000001</v>
      </c>
      <c r="J6219">
        <v>-418.70589999999999</v>
      </c>
      <c r="K6219">
        <v>1.1261429999999999</v>
      </c>
      <c r="L6219">
        <v>28.895720000000001</v>
      </c>
      <c r="M6219">
        <v>0.51894490000000004</v>
      </c>
      <c r="N6219">
        <v>-1.435386E-2</v>
      </c>
      <c r="O6219">
        <v>-0.85468750000000004</v>
      </c>
      <c r="P6219">
        <v>0.79994449999999995</v>
      </c>
      <c r="Q6219">
        <v>-0.1002077</v>
      </c>
      <c r="R6219">
        <v>-0.59164799999999995</v>
      </c>
      <c r="S6219">
        <v>2.9388429999999999</v>
      </c>
      <c r="T6219">
        <v>-0.29004600000000003</v>
      </c>
      <c r="U6219">
        <v>-1.0560909999999999</v>
      </c>
      <c r="V6219">
        <v>-0.37560480000000002</v>
      </c>
      <c r="W6219">
        <v>-9.1628719999999997E-2</v>
      </c>
      <c r="X6219">
        <v>0.92223920000000004</v>
      </c>
      <c r="Y6219">
        <v>-0.62469240000000004</v>
      </c>
      <c r="Z6219">
        <v>8.6390899999999896E-2</v>
      </c>
      <c r="AA6219">
        <v>0.77607729999999997</v>
      </c>
      <c r="AB6219">
        <v>18</v>
      </c>
      <c r="AC6219">
        <v>11.3516999999999</v>
      </c>
      <c r="AD6219">
        <v>-1.126146563869</v>
      </c>
      <c r="AE6219">
        <v>-4.0154800000000002</v>
      </c>
      <c r="AF6219">
        <v>-7.5530583269212999</v>
      </c>
      <c r="AG6219">
        <v>-1.126146563869</v>
      </c>
      <c r="AH6219">
        <v>9.2429955030927502</v>
      </c>
      <c r="AI6219">
        <v>95.389574582391504</v>
      </c>
      <c r="AJ6219">
        <v>129.25451346956399</v>
      </c>
      <c r="AK6219">
        <v>11.9895730550917</v>
      </c>
      <c r="AL6219">
        <v>95.257313276017399</v>
      </c>
      <c r="AM6219">
        <v>112.159830011243</v>
      </c>
      <c r="AN6219">
        <v>0.99999996506425803</v>
      </c>
    </row>
    <row r="6220" spans="1:40" x14ac:dyDescent="0.25">
      <c r="A6220" t="str">
        <f>"20190303154306127"</f>
        <v>20190303154306127</v>
      </c>
      <c r="B6220" t="str">
        <f>"1551598986116271"</f>
        <v>1551598986116271</v>
      </c>
      <c r="C6220" t="s">
        <v>40</v>
      </c>
      <c r="D6220">
        <v>5.2976260000000002</v>
      </c>
      <c r="E6220">
        <v>0.38003140000000002</v>
      </c>
      <c r="F6220" t="s">
        <v>42</v>
      </c>
      <c r="G6220">
        <v>-417.83980000000003</v>
      </c>
      <c r="H6220">
        <v>1.0406120000000001</v>
      </c>
      <c r="I6220">
        <v>28.597909999999999</v>
      </c>
      <c r="J6220">
        <v>-418.64819999999997</v>
      </c>
      <c r="K6220">
        <v>1.126128</v>
      </c>
      <c r="L6220">
        <v>28.8139</v>
      </c>
      <c r="M6220">
        <v>0.52394499999999999</v>
      </c>
      <c r="N6220">
        <v>-1.4350979999999999E-2</v>
      </c>
      <c r="O6220">
        <v>-0.85163120000000003</v>
      </c>
      <c r="P6220">
        <v>0.80249820000000005</v>
      </c>
      <c r="Q6220">
        <v>-9.9978280000000003E-2</v>
      </c>
      <c r="R6220">
        <v>-0.58821909999999999</v>
      </c>
      <c r="S6220">
        <v>2.9604490000000001</v>
      </c>
      <c r="T6220">
        <v>-0.29236610000000002</v>
      </c>
      <c r="U6220">
        <v>-1.0183719999999901</v>
      </c>
      <c r="V6220">
        <v>-0.37417850000000002</v>
      </c>
      <c r="W6220">
        <v>-9.136379E-2</v>
      </c>
      <c r="X6220">
        <v>0.92284509999999997</v>
      </c>
      <c r="Y6220">
        <v>-0.6306524</v>
      </c>
      <c r="Z6220">
        <v>8.7108459999999999E-2</v>
      </c>
      <c r="AA6220">
        <v>0.77116130000000005</v>
      </c>
      <c r="AB6220">
        <v>18</v>
      </c>
      <c r="AC6220">
        <v>0.80839999999994905</v>
      </c>
      <c r="AD6220">
        <v>-8.5515999999999898E-2</v>
      </c>
      <c r="AE6220">
        <v>-0.21599000000000099</v>
      </c>
      <c r="AF6220">
        <v>-0.56940377438104295</v>
      </c>
      <c r="AG6220">
        <v>-8.5515999999999898E-2</v>
      </c>
      <c r="AH6220">
        <v>0.60128329862419805</v>
      </c>
      <c r="AI6220">
        <v>95.895851433372499</v>
      </c>
      <c r="AJ6220">
        <v>133.44013747351099</v>
      </c>
      <c r="AK6220">
        <v>0.83251141117691196</v>
      </c>
      <c r="AL6220">
        <v>95.242069858970197</v>
      </c>
      <c r="AM6220">
        <v>112.070678032461</v>
      </c>
      <c r="AN6220">
        <v>0.99999998528971201</v>
      </c>
    </row>
    <row r="6221" spans="1:40" x14ac:dyDescent="0.25">
      <c r="A6221" t="str">
        <f>"20190303154306139"</f>
        <v>20190303154306139</v>
      </c>
      <c r="B6221" t="str">
        <f>"1551598986136221"</f>
        <v>1551598986136221</v>
      </c>
      <c r="C6221" t="s">
        <v>40</v>
      </c>
      <c r="D6221">
        <v>5.3158409999999998</v>
      </c>
      <c r="E6221">
        <v>0.37862790000000002</v>
      </c>
      <c r="F6221" t="s">
        <v>58</v>
      </c>
      <c r="G6221">
        <v>-406.95150000000001</v>
      </c>
      <c r="H6221" s="1">
        <v>-3.771117E-6</v>
      </c>
      <c r="I6221">
        <v>24.905840000000001</v>
      </c>
      <c r="J6221">
        <v>-418.59140000000002</v>
      </c>
      <c r="K6221">
        <v>1.1261159999999999</v>
      </c>
      <c r="L6221">
        <v>28.734100000000002</v>
      </c>
      <c r="M6221">
        <v>0.52881250000000002</v>
      </c>
      <c r="N6221">
        <v>-1.4348E-2</v>
      </c>
      <c r="O6221">
        <v>-0.84861739999999997</v>
      </c>
      <c r="P6221">
        <v>0.80516309999999902</v>
      </c>
      <c r="Q6221">
        <v>-0.1001396</v>
      </c>
      <c r="R6221">
        <v>-0.584538</v>
      </c>
      <c r="S6221">
        <v>2.974243</v>
      </c>
      <c r="T6221">
        <v>-0.28635280000000002</v>
      </c>
      <c r="U6221">
        <v>-0.99374390000000001</v>
      </c>
      <c r="V6221">
        <v>-0.3731062</v>
      </c>
      <c r="W6221">
        <v>-9.1496149999999998E-2</v>
      </c>
      <c r="X6221">
        <v>0.92326609999999998</v>
      </c>
      <c r="Y6221">
        <v>-0.63324209999999903</v>
      </c>
      <c r="Z6221">
        <v>8.5036230000000004E-2</v>
      </c>
      <c r="AA6221">
        <v>0.76926799999999995</v>
      </c>
      <c r="AB6221">
        <v>18</v>
      </c>
      <c r="AC6221">
        <v>11.639900000000001</v>
      </c>
      <c r="AD6221">
        <v>-1.1261197711169999</v>
      </c>
      <c r="AE6221">
        <v>-3.8282600000000002</v>
      </c>
      <c r="AF6221">
        <v>-7.7884153685980699</v>
      </c>
      <c r="AG6221">
        <v>-1.1261197711169999</v>
      </c>
      <c r="AH6221">
        <v>9.3262487842112893</v>
      </c>
      <c r="AI6221">
        <v>95.2950344951863</v>
      </c>
      <c r="AJ6221">
        <v>129.865492397759</v>
      </c>
      <c r="AK6221">
        <v>12.202724125281099</v>
      </c>
      <c r="AL6221">
        <v>95.249685155682499</v>
      </c>
      <c r="AM6221">
        <v>112.004400216994</v>
      </c>
      <c r="AN6221">
        <v>1.0000000366762301</v>
      </c>
    </row>
    <row r="6222" spans="1:40" x14ac:dyDescent="0.25">
      <c r="A6222" t="str">
        <f>"20190303154306152"</f>
        <v>20190303154306152</v>
      </c>
      <c r="B6222" t="str">
        <f>"1551598986146544"</f>
        <v>1551598986146544</v>
      </c>
      <c r="C6222" t="s">
        <v>40</v>
      </c>
      <c r="D6222">
        <v>5.275156</v>
      </c>
      <c r="E6222">
        <v>0.37840479999999999</v>
      </c>
      <c r="F6222" t="s">
        <v>58</v>
      </c>
      <c r="G6222">
        <v>-406.57319999999999</v>
      </c>
      <c r="H6222" s="1">
        <v>-3.946775E-6</v>
      </c>
      <c r="I6222">
        <v>24.823260000000001</v>
      </c>
      <c r="J6222">
        <v>-418.52940000000001</v>
      </c>
      <c r="K6222">
        <v>1.126093</v>
      </c>
      <c r="L6222">
        <v>28.648160000000001</v>
      </c>
      <c r="M6222">
        <v>0.53405400000000003</v>
      </c>
      <c r="N6222">
        <v>-1.4344350000000001E-2</v>
      </c>
      <c r="O6222">
        <v>-0.84532870000000004</v>
      </c>
      <c r="P6222">
        <v>0.80814869999999905</v>
      </c>
      <c r="Q6222">
        <v>-0.10056279999999999</v>
      </c>
      <c r="R6222">
        <v>-0.58033000000000001</v>
      </c>
      <c r="S6222">
        <v>2.9857480000000001</v>
      </c>
      <c r="T6222">
        <v>-0.2797673</v>
      </c>
      <c r="U6222">
        <v>-0.97158809999999995</v>
      </c>
      <c r="V6222">
        <v>-0.37216389999999999</v>
      </c>
      <c r="W6222">
        <v>-9.1890949999999999E-2</v>
      </c>
      <c r="X6222">
        <v>0.92360710000000001</v>
      </c>
      <c r="Y6222">
        <v>-0.63471290000000002</v>
      </c>
      <c r="Z6222">
        <v>8.2768469999999997E-2</v>
      </c>
      <c r="AA6222">
        <v>0.76830259999999995</v>
      </c>
      <c r="AB6222">
        <v>18</v>
      </c>
      <c r="AC6222">
        <v>11.956200000000001</v>
      </c>
      <c r="AD6222">
        <v>-1.1260969467749999</v>
      </c>
      <c r="AE6222">
        <v>-3.8248999999999902</v>
      </c>
      <c r="AF6222">
        <v>-8.0006619166541597</v>
      </c>
      <c r="AG6222">
        <v>-1.1260969467749999</v>
      </c>
      <c r="AH6222">
        <v>9.54275052509335</v>
      </c>
      <c r="AI6222">
        <v>95.167117705660303</v>
      </c>
      <c r="AJ6222">
        <v>129.976538594891</v>
      </c>
      <c r="AK6222">
        <v>12.5037103702183</v>
      </c>
      <c r="AL6222">
        <v>95.272401444847205</v>
      </c>
      <c r="AM6222">
        <v>111.94677908417999</v>
      </c>
      <c r="AN6222">
        <v>0.99999999516276095</v>
      </c>
    </row>
    <row r="6223" spans="1:40" x14ac:dyDescent="0.25">
      <c r="A6223" t="str">
        <f>"20190303154306168"</f>
        <v>20190303154306168</v>
      </c>
      <c r="B6223" t="str">
        <f>"1551598986156769"</f>
        <v>1551598986156769</v>
      </c>
      <c r="C6223" t="s">
        <v>40</v>
      </c>
      <c r="D6223">
        <v>5.3721819999999996</v>
      </c>
      <c r="E6223">
        <v>0.37827949999999999</v>
      </c>
      <c r="F6223" t="s">
        <v>42</v>
      </c>
      <c r="G6223">
        <v>-417.6422</v>
      </c>
      <c r="H6223">
        <v>1.043515</v>
      </c>
      <c r="I6223">
        <v>28.364879999999999</v>
      </c>
      <c r="J6223">
        <v>-418.45769999999999</v>
      </c>
      <c r="K6223">
        <v>1.12606299999999</v>
      </c>
      <c r="L6223">
        <v>28.55029</v>
      </c>
      <c r="M6223">
        <v>0.54001659999999996</v>
      </c>
      <c r="N6223">
        <v>-1.4339330000000001E-2</v>
      </c>
      <c r="O6223">
        <v>-0.84153230000000001</v>
      </c>
      <c r="P6223">
        <v>0.81086910000000001</v>
      </c>
      <c r="Q6223">
        <v>-0.1024545</v>
      </c>
      <c r="R6223">
        <v>-0.57618990000000003</v>
      </c>
      <c r="S6223">
        <v>2.9917910000000001</v>
      </c>
      <c r="T6223">
        <v>-0.278443</v>
      </c>
      <c r="U6223">
        <v>-0.95495609999999997</v>
      </c>
      <c r="V6223">
        <v>-0.370143</v>
      </c>
      <c r="W6223">
        <v>-9.3732389999999999E-2</v>
      </c>
      <c r="X6223">
        <v>0.924234</v>
      </c>
      <c r="Y6223">
        <v>-0.63363700000000001</v>
      </c>
      <c r="Z6223">
        <v>8.2214759999999998E-2</v>
      </c>
      <c r="AA6223">
        <v>0.76924959999999998</v>
      </c>
      <c r="AB6223">
        <v>18</v>
      </c>
      <c r="AC6223">
        <v>0.81549999999998501</v>
      </c>
      <c r="AD6223">
        <v>-8.2547999999999802E-2</v>
      </c>
      <c r="AE6223">
        <v>-0.18541000000000399</v>
      </c>
      <c r="AF6223">
        <v>-0.58054925180153405</v>
      </c>
      <c r="AG6223">
        <v>-8.2547999999999802E-2</v>
      </c>
      <c r="AH6223">
        <v>0.59071816279921496</v>
      </c>
      <c r="AI6223">
        <v>95.691672488376895</v>
      </c>
      <c r="AJ6223">
        <v>134.50257213957201</v>
      </c>
      <c r="AK6223">
        <v>0.83234581390921902</v>
      </c>
      <c r="AL6223">
        <v>95.378365312123194</v>
      </c>
      <c r="AM6223">
        <v>111.82542229351201</v>
      </c>
      <c r="AN6223">
        <v>1.0000000440700501</v>
      </c>
    </row>
    <row r="6224" spans="1:40" x14ac:dyDescent="0.25">
      <c r="A6224" t="str">
        <f>"20190303154306181"</f>
        <v>20190303154306181</v>
      </c>
      <c r="B6224" t="str">
        <f>"1551598986176289"</f>
        <v>1551598986176289</v>
      </c>
      <c r="C6224" t="s">
        <v>40</v>
      </c>
      <c r="D6224">
        <v>5.3853350000000004</v>
      </c>
      <c r="E6224">
        <v>0.37821850000000001</v>
      </c>
      <c r="F6224" t="s">
        <v>58</v>
      </c>
      <c r="G6224">
        <v>-406.69600000000003</v>
      </c>
      <c r="H6224" s="1">
        <v>-3.8925609999999998E-6</v>
      </c>
      <c r="I6224">
        <v>24.866</v>
      </c>
      <c r="J6224">
        <v>-418.39920000000001</v>
      </c>
      <c r="K6224">
        <v>1.1260380000000001</v>
      </c>
      <c r="L6224">
        <v>28.47128</v>
      </c>
      <c r="M6224">
        <v>0.54481889999999999</v>
      </c>
      <c r="N6224">
        <v>-1.4334629999999999E-2</v>
      </c>
      <c r="O6224">
        <v>-0.83843140000000005</v>
      </c>
      <c r="P6224">
        <v>0.81352530000000001</v>
      </c>
      <c r="Q6224">
        <v>-0.10317419999999999</v>
      </c>
      <c r="R6224">
        <v>-0.57230409999999998</v>
      </c>
      <c r="S6224">
        <v>2.9964599999999999</v>
      </c>
      <c r="T6224">
        <v>-0.28688259999999899</v>
      </c>
      <c r="U6224">
        <v>-0.93862920000000005</v>
      </c>
      <c r="V6224">
        <v>-0.36920209999999998</v>
      </c>
      <c r="W6224">
        <v>-9.4420210000000004E-2</v>
      </c>
      <c r="X6224">
        <v>0.92454020000000003</v>
      </c>
      <c r="Y6224">
        <v>-0.63312990000000002</v>
      </c>
      <c r="Z6224">
        <v>8.4914680000000006E-2</v>
      </c>
      <c r="AA6224">
        <v>0.7693738</v>
      </c>
      <c r="AB6224">
        <v>18</v>
      </c>
      <c r="AC6224">
        <v>11.703200000000001</v>
      </c>
      <c r="AD6224">
        <v>-1.1260418925609901</v>
      </c>
      <c r="AE6224">
        <v>-3.60528</v>
      </c>
      <c r="AF6224">
        <v>-7.7831029481996499</v>
      </c>
      <c r="AG6224">
        <v>-1.1260418925609901</v>
      </c>
      <c r="AH6224">
        <v>9.3210571317192006</v>
      </c>
      <c r="AI6224">
        <v>95.297874241527197</v>
      </c>
      <c r="AJ6224">
        <v>129.86195473826101</v>
      </c>
      <c r="AK6224">
        <v>12.195358457169201</v>
      </c>
      <c r="AL6224">
        <v>95.417950433406702</v>
      </c>
      <c r="AM6224">
        <v>111.768600524814</v>
      </c>
      <c r="AN6224">
        <v>0.99999997405844598</v>
      </c>
    </row>
    <row r="6225" spans="1:40" x14ac:dyDescent="0.25">
      <c r="A6225" t="str">
        <f>"20190303154306193"</f>
        <v>20190303154306193</v>
      </c>
      <c r="B6225" t="str">
        <f>"1551598986187025"</f>
        <v>1551598986187025</v>
      </c>
      <c r="C6225" t="s">
        <v>40</v>
      </c>
      <c r="D6225">
        <v>5.3480119999999998</v>
      </c>
      <c r="E6225">
        <v>0.37836259999999999</v>
      </c>
      <c r="F6225" t="s">
        <v>58</v>
      </c>
      <c r="G6225">
        <v>-406.8424</v>
      </c>
      <c r="H6225" s="1">
        <v>-3.8274690000000004E-6</v>
      </c>
      <c r="I6225">
        <v>24.91414</v>
      </c>
      <c r="J6225">
        <v>-418.33569999999997</v>
      </c>
      <c r="K6225">
        <v>1.126009</v>
      </c>
      <c r="L6225">
        <v>28.386510000000001</v>
      </c>
      <c r="M6225">
        <v>0.54995609999999995</v>
      </c>
      <c r="N6225">
        <v>-1.43287999999999E-2</v>
      </c>
      <c r="O6225">
        <v>-0.83507070000000005</v>
      </c>
      <c r="P6225">
        <v>0.81643869999999996</v>
      </c>
      <c r="Q6225">
        <v>-0.1038674</v>
      </c>
      <c r="R6225">
        <v>-0.56801380000000001</v>
      </c>
      <c r="S6225">
        <v>3.0008240000000002</v>
      </c>
      <c r="T6225">
        <v>-0.29238720000000001</v>
      </c>
      <c r="U6225">
        <v>-0.92364500000000005</v>
      </c>
      <c r="V6225">
        <v>-0.36831819999999998</v>
      </c>
      <c r="W6225">
        <v>-9.5078410000000002E-2</v>
      </c>
      <c r="X6225">
        <v>0.92482529999999996</v>
      </c>
      <c r="Y6225">
        <v>-0.63204729999999998</v>
      </c>
      <c r="Z6225">
        <v>8.661133E-2</v>
      </c>
      <c r="AA6225">
        <v>0.7700745</v>
      </c>
      <c r="AB6225">
        <v>18</v>
      </c>
      <c r="AC6225">
        <v>11.4932999999999</v>
      </c>
      <c r="AD6225">
        <v>-1.126012827469</v>
      </c>
      <c r="AE6225">
        <v>-3.47236999999999</v>
      </c>
      <c r="AF6225">
        <v>-7.6218180432668596</v>
      </c>
      <c r="AG6225">
        <v>-1.126012827469</v>
      </c>
      <c r="AH6225">
        <v>9.1410308970333798</v>
      </c>
      <c r="AI6225">
        <v>95.404630981911097</v>
      </c>
      <c r="AJ6225">
        <v>129.821445205212</v>
      </c>
      <c r="AK6225">
        <v>11.9548509414719</v>
      </c>
      <c r="AL6225">
        <v>95.455832703846895</v>
      </c>
      <c r="AM6225">
        <v>111.71526862818401</v>
      </c>
      <c r="AN6225">
        <v>1.0000000180097199</v>
      </c>
    </row>
    <row r="6226" spans="1:40" x14ac:dyDescent="0.25">
      <c r="A6226" t="str">
        <f>"20190303154306206"</f>
        <v>20190303154306206</v>
      </c>
      <c r="B6226" t="str">
        <f>"1551598986196785"</f>
        <v>1551598986196785</v>
      </c>
      <c r="C6226" t="s">
        <v>40</v>
      </c>
      <c r="D6226">
        <v>5.3792949999999999</v>
      </c>
      <c r="E6226">
        <v>0.37848540000000003</v>
      </c>
      <c r="F6226" t="s">
        <v>42</v>
      </c>
      <c r="G6226">
        <v>-417.45659999999998</v>
      </c>
      <c r="H6226">
        <v>1.040502</v>
      </c>
      <c r="I6226">
        <v>28.120709999999999</v>
      </c>
      <c r="J6226">
        <v>-418.27499999999998</v>
      </c>
      <c r="K6226">
        <v>1.1259749999999999</v>
      </c>
      <c r="L6226">
        <v>28.306730000000002</v>
      </c>
      <c r="M6226">
        <v>0.55477149999999997</v>
      </c>
      <c r="N6226">
        <v>-1.432168E-2</v>
      </c>
      <c r="O6226">
        <v>-0.83187960000000005</v>
      </c>
      <c r="P6226">
        <v>0.81914799999999999</v>
      </c>
      <c r="Q6226">
        <v>-0.1039808</v>
      </c>
      <c r="R6226">
        <v>-0.56407859999999999</v>
      </c>
      <c r="S6226">
        <v>3.0048219999999999</v>
      </c>
      <c r="T6226">
        <v>-0.29232730000000001</v>
      </c>
      <c r="U6226">
        <v>-0.90905760000000002</v>
      </c>
      <c r="V6226">
        <v>-0.3674211</v>
      </c>
      <c r="W6226">
        <v>-9.5152020000000004E-2</v>
      </c>
      <c r="X6226">
        <v>0.92517450000000001</v>
      </c>
      <c r="Y6226">
        <v>-0.63129659999999999</v>
      </c>
      <c r="Z6226">
        <v>8.6511589999999999E-2</v>
      </c>
      <c r="AA6226">
        <v>0.77070130000000003</v>
      </c>
      <c r="AB6226">
        <v>18</v>
      </c>
      <c r="AC6226">
        <v>0.81839999999999602</v>
      </c>
      <c r="AD6226">
        <v>-8.5472999999999896E-2</v>
      </c>
      <c r="AE6226">
        <v>-0.18601999999999899</v>
      </c>
      <c r="AF6226">
        <v>-0.57174093825583305</v>
      </c>
      <c r="AG6226">
        <v>-8.5472999999999896E-2</v>
      </c>
      <c r="AH6226">
        <v>0.60258380708194703</v>
      </c>
      <c r="AI6226">
        <v>95.874932070344599</v>
      </c>
      <c r="AJ6226">
        <v>133.495509826199</v>
      </c>
      <c r="AK6226">
        <v>0.83504525551854603</v>
      </c>
      <c r="AL6226">
        <v>95.460069478845696</v>
      </c>
      <c r="AM6226">
        <v>111.659862107924</v>
      </c>
      <c r="AN6226">
        <v>1.00000001354277</v>
      </c>
    </row>
    <row r="6227" spans="1:40" x14ac:dyDescent="0.25">
      <c r="A6227" t="str">
        <f>"20190303154306221"</f>
        <v>20190303154306221</v>
      </c>
      <c r="B6227" t="str">
        <f>"1551598986216305"</f>
        <v>1551598986216305</v>
      </c>
      <c r="C6227" t="s">
        <v>40</v>
      </c>
      <c r="D6227">
        <v>5.3814950000000001</v>
      </c>
      <c r="E6227">
        <v>0.37900050000000002</v>
      </c>
      <c r="F6227" t="s">
        <v>58</v>
      </c>
      <c r="G6227">
        <v>-406.63279999999997</v>
      </c>
      <c r="H6227" s="1">
        <v>-3.9200770000000004E-6</v>
      </c>
      <c r="I6227">
        <v>24.841740000000001</v>
      </c>
      <c r="J6227">
        <v>-418.20839999999998</v>
      </c>
      <c r="K6227">
        <v>1.125942</v>
      </c>
      <c r="L6227">
        <v>28.22</v>
      </c>
      <c r="M6227">
        <v>0.55998179999999997</v>
      </c>
      <c r="N6227">
        <v>-1.43131E-2</v>
      </c>
      <c r="O6227">
        <v>-0.82838129999999999</v>
      </c>
      <c r="P6227">
        <v>0.82198439999999995</v>
      </c>
      <c r="Q6227">
        <v>-0.103905399999999</v>
      </c>
      <c r="R6227">
        <v>-0.55995130000000004</v>
      </c>
      <c r="S6227">
        <v>3.008759</v>
      </c>
      <c r="T6227">
        <v>-0.29099259999999999</v>
      </c>
      <c r="U6227">
        <v>-0.89547730000000003</v>
      </c>
      <c r="V6227">
        <v>-0.3662879</v>
      </c>
      <c r="W6227">
        <v>-9.5026089999999994E-2</v>
      </c>
      <c r="X6227">
        <v>0.92563660000000003</v>
      </c>
      <c r="Y6227">
        <v>-0.62996200000000002</v>
      </c>
      <c r="Z6227">
        <v>8.5954669999999997E-2</v>
      </c>
      <c r="AA6227">
        <v>0.7718547</v>
      </c>
      <c r="AB6227">
        <v>18</v>
      </c>
      <c r="AC6227">
        <v>11.5756</v>
      </c>
      <c r="AD6227">
        <v>-1.1259459200769999</v>
      </c>
      <c r="AE6227">
        <v>-3.37826</v>
      </c>
      <c r="AF6227">
        <v>-7.6314984310316598</v>
      </c>
      <c r="AG6227">
        <v>-1.1259459200769999</v>
      </c>
      <c r="AH6227">
        <v>9.2013399708158108</v>
      </c>
      <c r="AI6227">
        <v>95.380690061863604</v>
      </c>
      <c r="AJ6227">
        <v>129.67196933004399</v>
      </c>
      <c r="AK6227">
        <v>12.0071720141051</v>
      </c>
      <c r="AL6227">
        <v>95.452821729633996</v>
      </c>
      <c r="AM6227">
        <v>111.589427906983</v>
      </c>
      <c r="AN6227">
        <v>0.99999994936332703</v>
      </c>
    </row>
    <row r="6228" spans="1:40" x14ac:dyDescent="0.25">
      <c r="A6228" t="str">
        <f>"20190303154306236"</f>
        <v>20190303154306236</v>
      </c>
      <c r="B6228" t="str">
        <f>"1551598986227042"</f>
        <v>1551598986227042</v>
      </c>
      <c r="C6228" t="s">
        <v>40</v>
      </c>
      <c r="D6228">
        <v>5.3645329999999998</v>
      </c>
      <c r="E6228">
        <v>0.37923990000000002</v>
      </c>
      <c r="F6228" t="s">
        <v>58</v>
      </c>
      <c r="G6228">
        <v>-406.41430000000003</v>
      </c>
      <c r="H6228" s="1">
        <v>-4.015065E-6</v>
      </c>
      <c r="I6228">
        <v>24.757629999999999</v>
      </c>
      <c r="J6228">
        <v>-418.13220000000001</v>
      </c>
      <c r="K6228">
        <v>1.1258900000000001</v>
      </c>
      <c r="L6228">
        <v>28.121949999999998</v>
      </c>
      <c r="M6228">
        <v>0.56583269999999997</v>
      </c>
      <c r="N6228">
        <v>-1.4301929999999999E-2</v>
      </c>
      <c r="O6228">
        <v>-0.82439629999999997</v>
      </c>
      <c r="P6228">
        <v>0.82528219999999997</v>
      </c>
      <c r="Q6228">
        <v>-0.1030343</v>
      </c>
      <c r="R6228">
        <v>-0.55524180000000001</v>
      </c>
      <c r="S6228">
        <v>3.011139</v>
      </c>
      <c r="T6228">
        <v>-0.28746329999999998</v>
      </c>
      <c r="U6228">
        <v>-0.88397219999999999</v>
      </c>
      <c r="V6228">
        <v>-0.365143</v>
      </c>
      <c r="W6228">
        <v>-9.4091939999999999E-2</v>
      </c>
      <c r="X6228">
        <v>0.92618420000000001</v>
      </c>
      <c r="Y6228">
        <v>-0.62747410000000003</v>
      </c>
      <c r="Z6228">
        <v>8.4650349999999999E-2</v>
      </c>
      <c r="AA6228">
        <v>0.77402230000000005</v>
      </c>
      <c r="AB6228">
        <v>18</v>
      </c>
      <c r="AC6228">
        <v>11.717899999999901</v>
      </c>
      <c r="AD6228">
        <v>-1.1258940150650001</v>
      </c>
      <c r="AE6228">
        <v>-3.36431999999999</v>
      </c>
      <c r="AF6228">
        <v>-7.6917404304266404</v>
      </c>
      <c r="AG6228">
        <v>-1.1258940150650001</v>
      </c>
      <c r="AH6228">
        <v>9.3253286161428193</v>
      </c>
      <c r="AI6228">
        <v>95.321171956638096</v>
      </c>
      <c r="AJ6228">
        <v>129.516577843346</v>
      </c>
      <c r="AK6228">
        <v>12.1405214872043</v>
      </c>
      <c r="AL6228">
        <v>95.399058032573194</v>
      </c>
      <c r="AM6228">
        <v>111.516564161723</v>
      </c>
      <c r="AN6228">
        <v>0.999999937975799</v>
      </c>
    </row>
    <row r="6229" spans="1:40" x14ac:dyDescent="0.25">
      <c r="A6229" t="str">
        <f>"20190303154306258"</f>
        <v>20190303154306258</v>
      </c>
      <c r="B6229" t="str">
        <f>"1551598986246562"</f>
        <v>1551598986246562</v>
      </c>
      <c r="C6229" t="s">
        <v>40</v>
      </c>
      <c r="D6229">
        <v>5.3779159999999999</v>
      </c>
      <c r="E6229">
        <v>0.37973620000000002</v>
      </c>
      <c r="F6229" t="s">
        <v>58</v>
      </c>
      <c r="G6229">
        <v>-406.1438</v>
      </c>
      <c r="H6229" s="1">
        <v>-4.1354500000000004E-6</v>
      </c>
      <c r="I6229">
        <v>24.669329999999999</v>
      </c>
      <c r="J6229">
        <v>-418.0258</v>
      </c>
      <c r="K6229">
        <v>1.1257999999999999</v>
      </c>
      <c r="L6229">
        <v>27.98761</v>
      </c>
      <c r="M6229">
        <v>0.57376389999999999</v>
      </c>
      <c r="N6229">
        <v>-1.428275E-2</v>
      </c>
      <c r="O6229">
        <v>-0.81889650000000003</v>
      </c>
      <c r="P6229">
        <v>0.83027759999999995</v>
      </c>
      <c r="Q6229">
        <v>-0.10190150000000001</v>
      </c>
      <c r="R6229">
        <v>-0.54795579999999999</v>
      </c>
      <c r="S6229">
        <v>3.0154420000000002</v>
      </c>
      <c r="T6229">
        <v>-0.28319689999999997</v>
      </c>
      <c r="U6229">
        <v>-0.86843869999999901</v>
      </c>
      <c r="V6229">
        <v>-0.36450660000000001</v>
      </c>
      <c r="W6229">
        <v>-9.2879710000000004E-2</v>
      </c>
      <c r="X6229">
        <v>0.92655719999999997</v>
      </c>
      <c r="Y6229">
        <v>-0.624094699999999</v>
      </c>
      <c r="Z6229">
        <v>8.3017160000000007E-2</v>
      </c>
      <c r="AA6229">
        <v>0.77692600000000001</v>
      </c>
      <c r="AB6229">
        <v>18</v>
      </c>
      <c r="AC6229">
        <v>11.882</v>
      </c>
      <c r="AD6229">
        <v>-1.1258041354499999</v>
      </c>
      <c r="AE6229">
        <v>-3.3182799999999899</v>
      </c>
      <c r="AF6229">
        <v>-7.7623717887863002</v>
      </c>
      <c r="AG6229">
        <v>-1.1258041354499999</v>
      </c>
      <c r="AH6229">
        <v>9.4570046737138096</v>
      </c>
      <c r="AI6229">
        <v>95.257372532230406</v>
      </c>
      <c r="AJ6229">
        <v>129.37937527448099</v>
      </c>
      <c r="AK6229">
        <v>12.2864473358813</v>
      </c>
      <c r="AL6229">
        <v>95.329296660196107</v>
      </c>
      <c r="AM6229">
        <v>111.474622509318</v>
      </c>
      <c r="AN6229">
        <v>0.99999997342254099</v>
      </c>
    </row>
    <row r="6230" spans="1:40" x14ac:dyDescent="0.25">
      <c r="A6230" t="str">
        <f>"20190303154306272"</f>
        <v>20190303154306272</v>
      </c>
      <c r="B6230" t="str">
        <f>"1551598986266081"</f>
        <v>1551598986266081</v>
      </c>
      <c r="C6230" t="s">
        <v>40</v>
      </c>
      <c r="D6230">
        <v>5.429818</v>
      </c>
      <c r="E6230">
        <v>0.38027270000000002</v>
      </c>
      <c r="F6230" t="s">
        <v>58</v>
      </c>
      <c r="G6230">
        <v>-405.69299999999998</v>
      </c>
      <c r="H6230" s="1">
        <v>-4.3387410000000001E-6</v>
      </c>
      <c r="I6230">
        <v>24.53689</v>
      </c>
      <c r="J6230">
        <v>-417.95530000000002</v>
      </c>
      <c r="K6230">
        <v>1.1257330000000001</v>
      </c>
      <c r="L6230">
        <v>27.89978</v>
      </c>
      <c r="M6230">
        <v>0.57889159999999995</v>
      </c>
      <c r="N6230">
        <v>-1.426876E-2</v>
      </c>
      <c r="O6230">
        <v>-0.81527969999999905</v>
      </c>
      <c r="P6230">
        <v>0.83367969999999902</v>
      </c>
      <c r="Q6230">
        <v>-0.1014207</v>
      </c>
      <c r="R6230">
        <v>-0.54285559999999999</v>
      </c>
      <c r="S6230">
        <v>3.0214539999999999</v>
      </c>
      <c r="T6230">
        <v>-0.27581309999999998</v>
      </c>
      <c r="U6230">
        <v>-0.84539789999999904</v>
      </c>
      <c r="V6230">
        <v>-0.36444029999999999</v>
      </c>
      <c r="W6230">
        <v>-9.2349780000000006E-2</v>
      </c>
      <c r="X6230">
        <v>0.92663629999999997</v>
      </c>
      <c r="Y6230">
        <v>-0.62531859999999995</v>
      </c>
      <c r="Z6230">
        <v>8.0628019999999995E-2</v>
      </c>
      <c r="AA6230">
        <v>0.77619309999999997</v>
      </c>
      <c r="AB6230">
        <v>18</v>
      </c>
      <c r="AC6230">
        <v>12.2622999999999</v>
      </c>
      <c r="AD6230">
        <v>-1.1257373387409999</v>
      </c>
      <c r="AE6230">
        <v>-3.3628900000000002</v>
      </c>
      <c r="AF6230">
        <v>-7.9886552635910304</v>
      </c>
      <c r="AG6230">
        <v>-1.1257373387409999</v>
      </c>
      <c r="AH6230">
        <v>9.7646987176635101</v>
      </c>
      <c r="AI6230">
        <v>95.098979151752701</v>
      </c>
      <c r="AJ6230">
        <v>129.28714437230499</v>
      </c>
      <c r="AK6230">
        <v>12.666303269820901</v>
      </c>
      <c r="AL6230">
        <v>95.298802579644899</v>
      </c>
      <c r="AM6230">
        <v>111.469406063674</v>
      </c>
      <c r="AN6230">
        <v>1.0000000233039099</v>
      </c>
    </row>
    <row r="6231" spans="1:40" x14ac:dyDescent="0.25">
      <c r="A6231" t="str">
        <f>"20190303154306288"</f>
        <v>20190303154306288</v>
      </c>
      <c r="B6231" t="str">
        <f>"1551598986276817"</f>
        <v>1551598986276817</v>
      </c>
      <c r="C6231" t="s">
        <v>40</v>
      </c>
      <c r="D6231">
        <v>5.3786639999999997</v>
      </c>
      <c r="E6231">
        <v>0.38069209999999998</v>
      </c>
      <c r="F6231" t="s">
        <v>42</v>
      </c>
      <c r="G6231">
        <v>-417.06299999999999</v>
      </c>
      <c r="H6231">
        <v>1.045817</v>
      </c>
      <c r="I6231">
        <v>27.654640000000001</v>
      </c>
      <c r="J6231">
        <v>-417.87959999999998</v>
      </c>
      <c r="K6231">
        <v>1.1256630000000001</v>
      </c>
      <c r="L6231">
        <v>27.806730000000002</v>
      </c>
      <c r="M6231">
        <v>0.58426940000000005</v>
      </c>
      <c r="N6231">
        <v>-1.42527E-2</v>
      </c>
      <c r="O6231">
        <v>-0.81143460000000001</v>
      </c>
      <c r="P6231">
        <v>0.83728860000000005</v>
      </c>
      <c r="Q6231">
        <v>-0.10099610000000001</v>
      </c>
      <c r="R6231">
        <v>-0.53735239999999995</v>
      </c>
      <c r="S6231">
        <v>3.0245359999999999</v>
      </c>
      <c r="T6231">
        <v>-0.2708604</v>
      </c>
      <c r="U6231">
        <v>-0.83074950000000003</v>
      </c>
      <c r="V6231">
        <v>-0.36447980000000002</v>
      </c>
      <c r="W6231">
        <v>-9.1874319999999995E-2</v>
      </c>
      <c r="X6231">
        <v>0.92666800000000005</v>
      </c>
      <c r="Y6231">
        <v>-0.62401839999999997</v>
      </c>
      <c r="Z6231">
        <v>7.8925919999999997E-2</v>
      </c>
      <c r="AA6231">
        <v>0.77741349999999998</v>
      </c>
      <c r="AB6231">
        <v>18</v>
      </c>
      <c r="AC6231">
        <v>0.81659999999993704</v>
      </c>
      <c r="AD6231">
        <v>-7.9845999999999806E-2</v>
      </c>
      <c r="AE6231">
        <v>-0.15208999999999701</v>
      </c>
      <c r="AF6231">
        <v>-0.56856067754691397</v>
      </c>
      <c r="AG6231">
        <v>-7.9845999999999806E-2</v>
      </c>
      <c r="AH6231">
        <v>0.59508780215950696</v>
      </c>
      <c r="AI6231">
        <v>95.541141175807894</v>
      </c>
      <c r="AJ6231">
        <v>133.69408235806199</v>
      </c>
      <c r="AK6231">
        <v>0.82690151774418597</v>
      </c>
      <c r="AL6231">
        <v>95.271444549308399</v>
      </c>
      <c r="AM6231">
        <v>111.470853568815</v>
      </c>
      <c r="AN6231">
        <v>0.99999999875375101</v>
      </c>
    </row>
    <row r="6232" spans="1:40" x14ac:dyDescent="0.25">
      <c r="A6232" t="str">
        <f>"20190303154306304"</f>
        <v>20190303154306304</v>
      </c>
      <c r="B6232" t="str">
        <f>"1551598986296337"</f>
        <v>1551598986296337</v>
      </c>
      <c r="C6232" t="s">
        <v>40</v>
      </c>
      <c r="D6232">
        <v>5.3937559999999998</v>
      </c>
      <c r="E6232">
        <v>0.38157029999999997</v>
      </c>
      <c r="F6232" t="s">
        <v>42</v>
      </c>
      <c r="G6232">
        <v>-416.947</v>
      </c>
      <c r="H6232">
        <v>1.0433129999999999</v>
      </c>
      <c r="I6232">
        <v>27.55611</v>
      </c>
      <c r="J6232">
        <v>-417.803</v>
      </c>
      <c r="K6232">
        <v>1.125594</v>
      </c>
      <c r="L6232">
        <v>27.71359</v>
      </c>
      <c r="M6232">
        <v>0.58958690000000002</v>
      </c>
      <c r="N6232">
        <v>-1.4235569999999999E-2</v>
      </c>
      <c r="O6232">
        <v>-0.80757950000000001</v>
      </c>
      <c r="P6232">
        <v>0.84100589999999997</v>
      </c>
      <c r="Q6232">
        <v>-0.100149</v>
      </c>
      <c r="R6232">
        <v>-0.53167609999999998</v>
      </c>
      <c r="S6232">
        <v>3.0285340000000001</v>
      </c>
      <c r="T6232">
        <v>-0.2674241</v>
      </c>
      <c r="U6232">
        <v>-0.81369019999999903</v>
      </c>
      <c r="V6232">
        <v>-0.36477019999999999</v>
      </c>
      <c r="W6232">
        <v>-9.0976479999999998E-2</v>
      </c>
      <c r="X6232">
        <v>0.92664230000000003</v>
      </c>
      <c r="Y6232">
        <v>-0.62334140000000005</v>
      </c>
      <c r="Z6232">
        <v>7.7731430000000004E-2</v>
      </c>
      <c r="AA6232">
        <v>0.77807660000000001</v>
      </c>
      <c r="AB6232">
        <v>18</v>
      </c>
      <c r="AC6232">
        <v>0.85600000000010801</v>
      </c>
      <c r="AD6232">
        <v>-8.2281000000000007E-2</v>
      </c>
      <c r="AE6232">
        <v>-0.157480000000006</v>
      </c>
      <c r="AF6232">
        <v>-0.59319907927315896</v>
      </c>
      <c r="AG6232">
        <v>-8.2281000000000007E-2</v>
      </c>
      <c r="AH6232">
        <v>0.62633046734322595</v>
      </c>
      <c r="AI6232">
        <v>95.448448048363602</v>
      </c>
      <c r="AJ6232">
        <v>133.44380819009501</v>
      </c>
      <c r="AK6232">
        <v>0.866570923198966</v>
      </c>
      <c r="AL6232">
        <v>95.219785823745298</v>
      </c>
      <c r="AM6232">
        <v>111.486943302988</v>
      </c>
      <c r="AN6232">
        <v>0.99999998543526003</v>
      </c>
    </row>
    <row r="6233" spans="1:40" x14ac:dyDescent="0.25">
      <c r="A6233" t="str">
        <f>"20190303154306319"</f>
        <v>20190303154306319</v>
      </c>
      <c r="B6233" t="str">
        <f>"1551598986306097"</f>
        <v>1551598986306097</v>
      </c>
      <c r="C6233" t="s">
        <v>40</v>
      </c>
      <c r="D6233">
        <v>5.4258220000000001</v>
      </c>
      <c r="E6233">
        <v>0.38203209999999999</v>
      </c>
      <c r="F6233" t="s">
        <v>58</v>
      </c>
      <c r="G6233">
        <v>-404.86739999999998</v>
      </c>
      <c r="H6233" s="1">
        <v>-4.7090000000000001E-6</v>
      </c>
      <c r="I6233">
        <v>24.302109999999999</v>
      </c>
      <c r="J6233">
        <v>-417.7253</v>
      </c>
      <c r="K6233">
        <v>1.1255109999999999</v>
      </c>
      <c r="L6233">
        <v>27.619959999999999</v>
      </c>
      <c r="M6233">
        <v>0.59485829999999995</v>
      </c>
      <c r="N6233">
        <v>-1.421715E-2</v>
      </c>
      <c r="O6233">
        <v>-0.80370469999999905</v>
      </c>
      <c r="P6233">
        <v>0.84463159999999904</v>
      </c>
      <c r="Q6233">
        <v>-9.9519150000000001E-2</v>
      </c>
      <c r="R6233">
        <v>-0.52601709999999902</v>
      </c>
      <c r="S6233">
        <v>3.0304869999999999</v>
      </c>
      <c r="T6233">
        <v>-0.26369949999999998</v>
      </c>
      <c r="U6233">
        <v>-0.79922490000000002</v>
      </c>
      <c r="V6233">
        <v>-0.36501400000000001</v>
      </c>
      <c r="W6233">
        <v>-9.0291739999999995E-2</v>
      </c>
      <c r="X6233">
        <v>0.92661329999999997</v>
      </c>
      <c r="Y6233">
        <v>-0.62193980000000004</v>
      </c>
      <c r="Z6233">
        <v>7.6448210000000003E-2</v>
      </c>
      <c r="AA6233">
        <v>0.77932440000000003</v>
      </c>
      <c r="AB6233">
        <v>18</v>
      </c>
      <c r="AC6233">
        <v>12.857900000000001</v>
      </c>
      <c r="AD6233">
        <v>-1.1255157090000001</v>
      </c>
      <c r="AE6233">
        <v>-3.31785</v>
      </c>
      <c r="AF6233">
        <v>-8.3015118109137607</v>
      </c>
      <c r="AG6233">
        <v>-1.1255157090000001</v>
      </c>
      <c r="AH6233">
        <v>10.2426605005057</v>
      </c>
      <c r="AI6233">
        <v>94.879368991523805</v>
      </c>
      <c r="AJ6233">
        <v>129.02421127735201</v>
      </c>
      <c r="AK6233">
        <v>13.232308116370501</v>
      </c>
      <c r="AL6233">
        <v>95.180390827496296</v>
      </c>
      <c r="AM6233">
        <v>111.500605627024</v>
      </c>
      <c r="AN6233">
        <v>1.0000000131225499</v>
      </c>
    </row>
    <row r="6234" spans="1:40" x14ac:dyDescent="0.25">
      <c r="A6234" t="str">
        <f>"20190303154306332"</f>
        <v>20190303154306332</v>
      </c>
      <c r="B6234" t="str">
        <f>"1551598986326593"</f>
        <v>1551598986326593</v>
      </c>
      <c r="C6234" t="s">
        <v>40</v>
      </c>
      <c r="D6234">
        <v>5.4442469999999998</v>
      </c>
      <c r="E6234">
        <v>0.38252799999999998</v>
      </c>
      <c r="F6234" t="s">
        <v>58</v>
      </c>
      <c r="G6234">
        <v>-404.7722</v>
      </c>
      <c r="H6234" s="1">
        <v>-4.7498379999999996E-6</v>
      </c>
      <c r="I6234">
        <v>24.28228</v>
      </c>
      <c r="J6234">
        <v>-417.65780000000001</v>
      </c>
      <c r="K6234">
        <v>1.125434</v>
      </c>
      <c r="L6234">
        <v>27.539760000000001</v>
      </c>
      <c r="M6234">
        <v>0.59930689999999998</v>
      </c>
      <c r="N6234">
        <v>-1.419983E-2</v>
      </c>
      <c r="O6234">
        <v>-0.80039359999999904</v>
      </c>
      <c r="P6234">
        <v>0.84782789999999997</v>
      </c>
      <c r="Q6234">
        <v>-9.8437640000000007E-2</v>
      </c>
      <c r="R6234">
        <v>-0.52105479999999904</v>
      </c>
      <c r="S6234">
        <v>3.0339360000000002</v>
      </c>
      <c r="T6234">
        <v>-0.26362429999999998</v>
      </c>
      <c r="U6234">
        <v>-0.78176880000000004</v>
      </c>
      <c r="V6234">
        <v>-0.36543740000000002</v>
      </c>
      <c r="W6234">
        <v>-8.916425E-2</v>
      </c>
      <c r="X6234">
        <v>0.92655560000000003</v>
      </c>
      <c r="Y6234">
        <v>-0.62202500000000005</v>
      </c>
      <c r="Z6234">
        <v>7.6389189999999996E-2</v>
      </c>
      <c r="AA6234">
        <v>0.77926219999999902</v>
      </c>
      <c r="AB6234">
        <v>18</v>
      </c>
      <c r="AC6234">
        <v>12.8856</v>
      </c>
      <c r="AD6234">
        <v>-1.1254387498379901</v>
      </c>
      <c r="AE6234">
        <v>-3.2574799999999899</v>
      </c>
      <c r="AF6234">
        <v>-8.3026319136514495</v>
      </c>
      <c r="AG6234">
        <v>-1.1254387498379901</v>
      </c>
      <c r="AH6234">
        <v>10.257189148942601</v>
      </c>
      <c r="AI6234">
        <v>94.874623522028699</v>
      </c>
      <c r="AJ6234">
        <v>128.98827097858899</v>
      </c>
      <c r="AK6234">
        <v>13.2442530295372</v>
      </c>
      <c r="AL6234">
        <v>95.115528746048994</v>
      </c>
      <c r="AM6234">
        <v>111.52448334358</v>
      </c>
      <c r="AN6234">
        <v>1.00000001834409</v>
      </c>
    </row>
    <row r="6235" spans="1:40" x14ac:dyDescent="0.25">
      <c r="A6235" t="str">
        <f>"20190303154306349"</f>
        <v>20190303154306349</v>
      </c>
      <c r="B6235" t="str">
        <f>"1551598986336353"</f>
        <v>1551598986336353</v>
      </c>
      <c r="C6235" t="s">
        <v>40</v>
      </c>
      <c r="D6235">
        <v>5.4699849999999897</v>
      </c>
      <c r="E6235">
        <v>0.39711449999999998</v>
      </c>
      <c r="F6235" t="s">
        <v>42</v>
      </c>
      <c r="G6235">
        <v>-416.76029999999997</v>
      </c>
      <c r="H6235">
        <v>1.04881</v>
      </c>
      <c r="I6235">
        <v>27.31277</v>
      </c>
      <c r="J6235">
        <v>-417.57780000000002</v>
      </c>
      <c r="K6235">
        <v>1.125353</v>
      </c>
      <c r="L6235">
        <v>27.445740000000001</v>
      </c>
      <c r="M6235">
        <v>0.60445039999999906</v>
      </c>
      <c r="N6235">
        <v>-1.417825E-2</v>
      </c>
      <c r="O6235">
        <v>-0.79651680000000002</v>
      </c>
      <c r="P6235">
        <v>0.85178609999999899</v>
      </c>
      <c r="Q6235">
        <v>-9.7701369999999996E-2</v>
      </c>
      <c r="R6235">
        <v>-0.51469889999999996</v>
      </c>
      <c r="S6235">
        <v>3.036743</v>
      </c>
      <c r="T6235">
        <v>-0.25921889999999997</v>
      </c>
      <c r="U6235">
        <v>-0.7673645</v>
      </c>
      <c r="V6235">
        <v>-0.36649169999999998</v>
      </c>
      <c r="W6235">
        <v>-8.8384550000000006E-2</v>
      </c>
      <c r="X6235">
        <v>0.92621379999999998</v>
      </c>
      <c r="Y6235">
        <v>-0.62076629999999999</v>
      </c>
      <c r="Z6235">
        <v>7.4869550000000007E-2</v>
      </c>
      <c r="AA6235">
        <v>0.78041260000000001</v>
      </c>
      <c r="AB6235">
        <v>18</v>
      </c>
      <c r="AC6235">
        <v>0.81750000000005196</v>
      </c>
      <c r="AD6235">
        <v>-7.6543E-2</v>
      </c>
      <c r="AE6235">
        <v>-0.13297</v>
      </c>
      <c r="AF6235">
        <v>-0.56600193225794804</v>
      </c>
      <c r="AG6235">
        <v>-7.6543E-2</v>
      </c>
      <c r="AH6235">
        <v>0.59502928207458206</v>
      </c>
      <c r="AI6235">
        <v>95.324889836201393</v>
      </c>
      <c r="AJ6235">
        <v>133.56782641294799</v>
      </c>
      <c r="AK6235">
        <v>0.82478898191896599</v>
      </c>
      <c r="AL6235">
        <v>95.070678243367595</v>
      </c>
      <c r="AM6235">
        <v>111.588111818871</v>
      </c>
      <c r="AN6235">
        <v>0.99999999907901604</v>
      </c>
    </row>
    <row r="6236" spans="1:40" x14ac:dyDescent="0.25">
      <c r="A6236" t="str">
        <f>"20190303154306361"</f>
        <v>20190303154306361</v>
      </c>
      <c r="B6236" t="str">
        <f>"1551598986356849"</f>
        <v>1551598986356849</v>
      </c>
      <c r="C6236" t="s">
        <v>40</v>
      </c>
      <c r="D6236">
        <v>5.4816320000000003</v>
      </c>
      <c r="E6236">
        <v>0.39832879999999998</v>
      </c>
      <c r="F6236" t="s">
        <v>42</v>
      </c>
      <c r="G6236">
        <v>-416.66820000000001</v>
      </c>
      <c r="H6236">
        <v>1.043199</v>
      </c>
      <c r="I6236">
        <v>27.188469999999999</v>
      </c>
      <c r="J6236">
        <v>-417.50830000000002</v>
      </c>
      <c r="K6236">
        <v>1.1252819999999999</v>
      </c>
      <c r="L6236">
        <v>27.36487</v>
      </c>
      <c r="M6236">
        <v>0.60881569999999996</v>
      </c>
      <c r="N6236">
        <v>-1.4159359999999999E-2</v>
      </c>
      <c r="O6236">
        <v>-0.79318549999999999</v>
      </c>
      <c r="P6236">
        <v>0.85469059999999897</v>
      </c>
      <c r="Q6236">
        <v>-9.7090579999999996E-2</v>
      </c>
      <c r="R6236">
        <v>-0.50997840000000005</v>
      </c>
      <c r="S6236">
        <v>2.981598</v>
      </c>
      <c r="T6236">
        <v>-0.26930749999999998</v>
      </c>
      <c r="U6236">
        <v>-0.84323119999999996</v>
      </c>
      <c r="V6236">
        <v>-0.36660730000000002</v>
      </c>
      <c r="W6236">
        <v>-8.7725159999999996E-2</v>
      </c>
      <c r="X6236">
        <v>0.92623069999999996</v>
      </c>
      <c r="Y6236">
        <v>-0.59391280000000002</v>
      </c>
      <c r="Z6236">
        <v>7.7787729999999999E-2</v>
      </c>
      <c r="AA6236">
        <v>0.80076000000000003</v>
      </c>
      <c r="AB6236">
        <v>18</v>
      </c>
      <c r="AC6236">
        <v>0.84010000000000595</v>
      </c>
      <c r="AD6236">
        <v>-8.2082999999999906E-2</v>
      </c>
      <c r="AE6236">
        <v>-0.176399999999997</v>
      </c>
      <c r="AF6236">
        <v>-0.55395102662626206</v>
      </c>
      <c r="AG6236">
        <v>-8.2082999999999906E-2</v>
      </c>
      <c r="AH6236">
        <v>0.64554672837398597</v>
      </c>
      <c r="AI6236">
        <v>95.511709656162296</v>
      </c>
      <c r="AJ6236">
        <v>130.63327067344099</v>
      </c>
      <c r="AK6236">
        <v>0.854593433922615</v>
      </c>
      <c r="AL6236">
        <v>95.032750836390306</v>
      </c>
      <c r="AM6236">
        <v>111.593936788314</v>
      </c>
      <c r="AN6236">
        <v>0.99999996286640203</v>
      </c>
    </row>
    <row r="6237" spans="1:40" x14ac:dyDescent="0.25">
      <c r="A6237" t="str">
        <f>"20190303154306374"</f>
        <v>20190303154306374</v>
      </c>
      <c r="B6237" t="str">
        <f>"1551598986366609"</f>
        <v>1551598986366609</v>
      </c>
      <c r="C6237" t="s">
        <v>40</v>
      </c>
      <c r="D6237">
        <v>5.5055639999999997</v>
      </c>
      <c r="E6237">
        <v>0.39931860000000002</v>
      </c>
      <c r="F6237" t="s">
        <v>42</v>
      </c>
      <c r="G6237">
        <v>-416.54899999999998</v>
      </c>
      <c r="H6237">
        <v>1.0404040000000001</v>
      </c>
      <c r="I6237">
        <v>27.095870000000001</v>
      </c>
      <c r="J6237">
        <v>-417.44299999999998</v>
      </c>
      <c r="K6237">
        <v>1.125216</v>
      </c>
      <c r="L6237">
        <v>27.289339999999999</v>
      </c>
      <c r="M6237">
        <v>0.61284799999999995</v>
      </c>
      <c r="N6237">
        <v>-1.4141630000000001E-2</v>
      </c>
      <c r="O6237">
        <v>-0.79007419999999995</v>
      </c>
      <c r="P6237">
        <v>0.85755389999999998</v>
      </c>
      <c r="Q6237">
        <v>-9.609827E-2</v>
      </c>
      <c r="R6237">
        <v>-0.50533779999999995</v>
      </c>
      <c r="S6237">
        <v>2.9816590000000001</v>
      </c>
      <c r="T6237">
        <v>-0.263741</v>
      </c>
      <c r="U6237">
        <v>-0.83532709999999999</v>
      </c>
      <c r="V6237">
        <v>-0.36702259999999998</v>
      </c>
      <c r="W6237">
        <v>-8.669309E-2</v>
      </c>
      <c r="X6237">
        <v>0.92616339999999997</v>
      </c>
      <c r="Y6237">
        <v>-0.59195739999999997</v>
      </c>
      <c r="Z6237">
        <v>7.5910920000000007E-2</v>
      </c>
      <c r="AA6237">
        <v>0.80238640000000006</v>
      </c>
      <c r="AB6237">
        <v>18</v>
      </c>
      <c r="AC6237">
        <v>0.89400000000000501</v>
      </c>
      <c r="AD6237">
        <v>-8.4811999999999804E-2</v>
      </c>
      <c r="AE6237">
        <v>-0.193470000000001</v>
      </c>
      <c r="AF6237">
        <v>-0.58280687619596305</v>
      </c>
      <c r="AG6237">
        <v>-8.4811999999999804E-2</v>
      </c>
      <c r="AH6237">
        <v>0.69483814974375202</v>
      </c>
      <c r="AI6237">
        <v>95.342692830990202</v>
      </c>
      <c r="AJ6237">
        <v>129.98879324678501</v>
      </c>
      <c r="AK6237">
        <v>0.91085508431617002</v>
      </c>
      <c r="AL6237">
        <v>94.973391422151195</v>
      </c>
      <c r="AM6237">
        <v>111.617569777524</v>
      </c>
      <c r="AN6237">
        <v>0.99999996213203302</v>
      </c>
    </row>
    <row r="6238" spans="1:40" x14ac:dyDescent="0.25">
      <c r="A6238" t="str">
        <f>"20190303154306387"</f>
        <v>20190303154306387</v>
      </c>
      <c r="B6238" t="str">
        <f>"1551598986376369"</f>
        <v>1551598986376369</v>
      </c>
      <c r="C6238" t="s">
        <v>40</v>
      </c>
      <c r="D6238">
        <v>5.510732</v>
      </c>
      <c r="E6238">
        <v>0.40023189999999997</v>
      </c>
      <c r="F6238" t="s">
        <v>42</v>
      </c>
      <c r="G6238">
        <v>-416.58600000000001</v>
      </c>
      <c r="H6238">
        <v>1.0502309999999999</v>
      </c>
      <c r="I6238">
        <v>27.0518</v>
      </c>
      <c r="J6238">
        <v>-417.37830000000002</v>
      </c>
      <c r="K6238">
        <v>1.1251629999999999</v>
      </c>
      <c r="L6238">
        <v>27.215450000000001</v>
      </c>
      <c r="M6238">
        <v>0.61673809999999996</v>
      </c>
      <c r="N6238">
        <v>-1.4124579999999999E-2</v>
      </c>
      <c r="O6238">
        <v>-0.78704189999999996</v>
      </c>
      <c r="P6238">
        <v>0.86016749999999997</v>
      </c>
      <c r="Q6238">
        <v>-9.5523339999999998E-2</v>
      </c>
      <c r="R6238">
        <v>-0.50098670000000001</v>
      </c>
      <c r="S6238">
        <v>2.9824220000000001</v>
      </c>
      <c r="T6238">
        <v>-0.26088460000000002</v>
      </c>
      <c r="U6238">
        <v>-0.8258972</v>
      </c>
      <c r="V6238">
        <v>-0.3672147</v>
      </c>
      <c r="W6238">
        <v>-8.6082450000000005E-2</v>
      </c>
      <c r="X6238">
        <v>0.92614419999999997</v>
      </c>
      <c r="Y6238">
        <v>-0.59048029999999996</v>
      </c>
      <c r="Z6238">
        <v>7.4912640000000003E-2</v>
      </c>
      <c r="AA6238">
        <v>0.80356780000000005</v>
      </c>
      <c r="AB6238">
        <v>18</v>
      </c>
      <c r="AC6238">
        <v>0.792300000000011</v>
      </c>
      <c r="AD6238">
        <v>-7.4931999999999999E-2</v>
      </c>
      <c r="AE6238">
        <v>-0.16364999999999999</v>
      </c>
      <c r="AF6238">
        <v>-0.51825035065873504</v>
      </c>
      <c r="AG6238">
        <v>-7.4931999999999999E-2</v>
      </c>
      <c r="AH6238">
        <v>0.61225030979236705</v>
      </c>
      <c r="AI6238">
        <v>95.336782296541998</v>
      </c>
      <c r="AJ6238">
        <v>130.246849180662</v>
      </c>
      <c r="AK6238">
        <v>0.80563557048007195</v>
      </c>
      <c r="AL6238">
        <v>94.938273090415507</v>
      </c>
      <c r="AM6238">
        <v>111.628247051504</v>
      </c>
      <c r="AN6238">
        <v>0.99999995164386501</v>
      </c>
    </row>
    <row r="6239" spans="1:40" x14ac:dyDescent="0.25">
      <c r="A6239" t="str">
        <f>"20190303154306404"</f>
        <v>20190303154306404</v>
      </c>
      <c r="B6239" t="str">
        <f>"1551598986396865"</f>
        <v>1551598986396865</v>
      </c>
      <c r="C6239" t="s">
        <v>40</v>
      </c>
      <c r="D6239">
        <v>5.4949260000000004</v>
      </c>
      <c r="E6239">
        <v>0.40105269999999998</v>
      </c>
      <c r="F6239" t="s">
        <v>42</v>
      </c>
      <c r="G6239">
        <v>-416.46230000000003</v>
      </c>
      <c r="H6239">
        <v>1.045698</v>
      </c>
      <c r="I6239">
        <v>26.964379999999998</v>
      </c>
      <c r="J6239">
        <v>-417.29270000000002</v>
      </c>
      <c r="K6239">
        <v>1.1251</v>
      </c>
      <c r="L6239">
        <v>27.118680000000001</v>
      </c>
      <c r="M6239">
        <v>0.62178580000000006</v>
      </c>
      <c r="N6239">
        <v>-1.410322E-2</v>
      </c>
      <c r="O6239">
        <v>-0.78306039999999999</v>
      </c>
      <c r="P6239">
        <v>0.8634001</v>
      </c>
      <c r="Q6239">
        <v>-9.4961870000000004E-2</v>
      </c>
      <c r="R6239">
        <v>-0.49550270000000002</v>
      </c>
      <c r="S6239">
        <v>2.9830019999999999</v>
      </c>
      <c r="T6239">
        <v>-0.25873939999999901</v>
      </c>
      <c r="U6239">
        <v>-0.8171387</v>
      </c>
      <c r="V6239">
        <v>-0.3672221</v>
      </c>
      <c r="W6239">
        <v>-8.5475910000000002E-2</v>
      </c>
      <c r="X6239">
        <v>0.92619750000000001</v>
      </c>
      <c r="Y6239">
        <v>-0.58759930000000005</v>
      </c>
      <c r="Z6239">
        <v>7.4056399999999994E-2</v>
      </c>
      <c r="AA6239">
        <v>0.80575600000000003</v>
      </c>
      <c r="AB6239">
        <v>18</v>
      </c>
      <c r="AC6239">
        <v>0.83039999999999703</v>
      </c>
      <c r="AD6239">
        <v>-7.9401999999999903E-2</v>
      </c>
      <c r="AE6239">
        <v>-0.15429999999999899</v>
      </c>
      <c r="AF6239">
        <v>-0.54951043346114303</v>
      </c>
      <c r="AG6239">
        <v>-7.9401999999999903E-2</v>
      </c>
      <c r="AH6239">
        <v>0.63163817916540499</v>
      </c>
      <c r="AI6239">
        <v>95.417764669455494</v>
      </c>
      <c r="AJ6239">
        <v>131.02250579115801</v>
      </c>
      <c r="AK6239">
        <v>0.84097157114021504</v>
      </c>
      <c r="AL6239">
        <v>94.903392077139401</v>
      </c>
      <c r="AM6239">
        <v>111.62751290007</v>
      </c>
      <c r="AN6239">
        <v>1.00000000546249</v>
      </c>
    </row>
    <row r="6240" spans="1:40" x14ac:dyDescent="0.25">
      <c r="A6240" t="str">
        <f>"20190303154306418"</f>
        <v>20190303154306418</v>
      </c>
      <c r="B6240" t="str">
        <f>"1551598986406625"</f>
        <v>1551598986406625</v>
      </c>
      <c r="C6240" t="s">
        <v>40</v>
      </c>
      <c r="D6240">
        <v>5.4915120000000002</v>
      </c>
      <c r="E6240">
        <v>0.40997440000000002</v>
      </c>
      <c r="F6240" t="s">
        <v>42</v>
      </c>
      <c r="G6240">
        <v>-416.3494</v>
      </c>
      <c r="H6240">
        <v>1.0437609999999999</v>
      </c>
      <c r="I6240">
        <v>26.864450000000001</v>
      </c>
      <c r="J6240">
        <v>-417.221</v>
      </c>
      <c r="K6240">
        <v>1.1250469999999999</v>
      </c>
      <c r="L6240">
        <v>27.038209999999999</v>
      </c>
      <c r="M6240">
        <v>0.62593859999999901</v>
      </c>
      <c r="N6240">
        <v>-1.408629E-2</v>
      </c>
      <c r="O6240">
        <v>-0.77974519999999903</v>
      </c>
      <c r="P6240">
        <v>0.86589259999999901</v>
      </c>
      <c r="Q6240">
        <v>-9.4733300000000006E-2</v>
      </c>
      <c r="R6240">
        <v>-0.4911779</v>
      </c>
      <c r="S6240">
        <v>2.9850460000000001</v>
      </c>
      <c r="T6240">
        <v>-0.257335799999999</v>
      </c>
      <c r="U6240">
        <v>-0.80377200000000004</v>
      </c>
      <c r="V6240">
        <v>-0.3669654</v>
      </c>
      <c r="W6240">
        <v>-8.5211720000000005E-2</v>
      </c>
      <c r="X6240">
        <v>0.92632360000000002</v>
      </c>
      <c r="Y6240">
        <v>-0.58684890000000001</v>
      </c>
      <c r="Z6240">
        <v>7.3534100000000005E-2</v>
      </c>
      <c r="AA6240">
        <v>0.80635049999999997</v>
      </c>
      <c r="AB6240">
        <v>18</v>
      </c>
      <c r="AC6240">
        <v>0.87160000000000004</v>
      </c>
      <c r="AD6240">
        <v>-8.1285999999999706E-2</v>
      </c>
      <c r="AE6240">
        <v>-0.173759999999997</v>
      </c>
      <c r="AF6240">
        <v>-0.56618325560237304</v>
      </c>
      <c r="AG6240">
        <v>-8.1285999999999706E-2</v>
      </c>
      <c r="AH6240">
        <v>0.67547374172064101</v>
      </c>
      <c r="AI6240">
        <v>95.269253315009294</v>
      </c>
      <c r="AJ6240">
        <v>129.96979676434</v>
      </c>
      <c r="AK6240">
        <v>0.88511901373464197</v>
      </c>
      <c r="AL6240">
        <v>94.888199571254901</v>
      </c>
      <c r="AM6240">
        <v>111.611117955323</v>
      </c>
      <c r="AN6240">
        <v>1.00000002696973</v>
      </c>
    </row>
    <row r="6241" spans="1:40" x14ac:dyDescent="0.25">
      <c r="A6241" t="str">
        <f>"20190303154306432"</f>
        <v>20190303154306432</v>
      </c>
      <c r="B6241" t="str">
        <f>"1551598986427121"</f>
        <v>1551598986427121</v>
      </c>
      <c r="C6241" t="s">
        <v>40</v>
      </c>
      <c r="D6241">
        <v>5.4785579999999996</v>
      </c>
      <c r="E6241">
        <v>0.41033209999999998</v>
      </c>
      <c r="F6241" t="s">
        <v>42</v>
      </c>
      <c r="G6241">
        <v>-416.24299999999999</v>
      </c>
      <c r="H6241">
        <v>1.035452</v>
      </c>
      <c r="I6241">
        <v>26.756740000000001</v>
      </c>
      <c r="J6241">
        <v>-417.13869999999997</v>
      </c>
      <c r="K6241">
        <v>1.1250009999999999</v>
      </c>
      <c r="L6241">
        <v>26.946929999999998</v>
      </c>
      <c r="M6241">
        <v>0.63060000000000005</v>
      </c>
      <c r="N6241">
        <v>-1.4067959999999999E-2</v>
      </c>
      <c r="O6241">
        <v>-0.77598080000000003</v>
      </c>
      <c r="P6241">
        <v>0.86866580000000004</v>
      </c>
      <c r="Q6241">
        <v>-9.4576610000000005E-2</v>
      </c>
      <c r="R6241">
        <v>-0.48628739999999998</v>
      </c>
      <c r="S6241">
        <v>2.953033</v>
      </c>
      <c r="T6241">
        <v>-0.27052659999999901</v>
      </c>
      <c r="U6241">
        <v>-0.84973140000000003</v>
      </c>
      <c r="V6241">
        <v>-0.36666349999999998</v>
      </c>
      <c r="W6241">
        <v>-8.5024539999999996E-2</v>
      </c>
      <c r="X6241">
        <v>0.92646030000000001</v>
      </c>
      <c r="Y6241">
        <v>-0.5676658</v>
      </c>
      <c r="Z6241">
        <v>7.7269119999999997E-2</v>
      </c>
      <c r="AA6241">
        <v>0.81962500000000005</v>
      </c>
      <c r="AB6241">
        <v>18</v>
      </c>
      <c r="AC6241">
        <v>0.89569999999991901</v>
      </c>
      <c r="AD6241">
        <v>-8.9548999999999795E-2</v>
      </c>
      <c r="AE6241">
        <v>-0.190189999999997</v>
      </c>
      <c r="AF6241">
        <v>-0.56972011350653295</v>
      </c>
      <c r="AG6241">
        <v>-8.9548999999999795E-2</v>
      </c>
      <c r="AH6241">
        <v>0.70573285052784196</v>
      </c>
      <c r="AI6241">
        <v>95.638625714511605</v>
      </c>
      <c r="AJ6241">
        <v>128.913052153048</v>
      </c>
      <c r="AK6241">
        <v>0.91140489764376997</v>
      </c>
      <c r="AL6241">
        <v>94.8774360602619</v>
      </c>
      <c r="AM6241">
        <v>111.592082676244</v>
      </c>
      <c r="AN6241">
        <v>0.99999999105527504</v>
      </c>
    </row>
    <row r="6242" spans="1:40" x14ac:dyDescent="0.25">
      <c r="A6242" t="str">
        <f>"20190303154306449"</f>
        <v>20190303154306449</v>
      </c>
      <c r="B6242" t="str">
        <f>"1551598986436881"</f>
        <v>1551598986436881</v>
      </c>
      <c r="C6242" t="s">
        <v>40</v>
      </c>
      <c r="D6242">
        <v>5.4635920000000002</v>
      </c>
      <c r="E6242">
        <v>0.41596440000000001</v>
      </c>
      <c r="F6242" t="s">
        <v>42</v>
      </c>
      <c r="G6242">
        <v>-416.2842</v>
      </c>
      <c r="H6242">
        <v>1.046432</v>
      </c>
      <c r="I6242">
        <v>26.705359999999999</v>
      </c>
      <c r="J6242">
        <v>-417.05939999999998</v>
      </c>
      <c r="K6242">
        <v>1.1249769999999999</v>
      </c>
      <c r="L6242">
        <v>26.86008</v>
      </c>
      <c r="M6242">
        <v>0.63499669999999997</v>
      </c>
      <c r="N6242">
        <v>-1.4051599999999999E-2</v>
      </c>
      <c r="O6242">
        <v>-0.77238739999999995</v>
      </c>
      <c r="P6242">
        <v>0.87058279999999999</v>
      </c>
      <c r="Q6242">
        <v>-9.4159939999999998E-2</v>
      </c>
      <c r="R6242">
        <v>-0.48292859999999999</v>
      </c>
      <c r="S6242">
        <v>2.9562680000000001</v>
      </c>
      <c r="T6242">
        <v>-0.27181080000000002</v>
      </c>
      <c r="U6242">
        <v>-0.83551030000000004</v>
      </c>
      <c r="V6242">
        <v>-0.36502839999999998</v>
      </c>
      <c r="W6242">
        <v>-8.4567199999999995E-2</v>
      </c>
      <c r="X6242">
        <v>0.92714759999999996</v>
      </c>
      <c r="Y6242">
        <v>-0.56685109999999905</v>
      </c>
      <c r="Z6242">
        <v>7.7543269999999997E-2</v>
      </c>
      <c r="AA6242">
        <v>0.82016270000000002</v>
      </c>
      <c r="AB6242">
        <v>18</v>
      </c>
      <c r="AC6242">
        <v>0.77519999999998301</v>
      </c>
      <c r="AD6242">
        <v>-7.8545000000000004E-2</v>
      </c>
      <c r="AE6242">
        <v>-0.154720000000001</v>
      </c>
      <c r="AF6242">
        <v>-0.49566366224748099</v>
      </c>
      <c r="AG6242">
        <v>-7.8545000000000004E-2</v>
      </c>
      <c r="AH6242">
        <v>0.60583212981856704</v>
      </c>
      <c r="AI6242">
        <v>95.730079104273997</v>
      </c>
      <c r="AJ6242">
        <v>129.28843408832299</v>
      </c>
      <c r="AK6242">
        <v>0.78669203162234103</v>
      </c>
      <c r="AL6242">
        <v>94.851137607165597</v>
      </c>
      <c r="AM6242">
        <v>111.490115643406</v>
      </c>
      <c r="AN6242">
        <v>1.0000000081540701</v>
      </c>
    </row>
    <row r="6243" spans="1:40" x14ac:dyDescent="0.25">
      <c r="A6243" t="str">
        <f>"20190303154306470"</f>
        <v>20190303154306470</v>
      </c>
      <c r="B6243" t="str">
        <f>"1551598986466162"</f>
        <v>1551598986466162</v>
      </c>
      <c r="C6243" t="s">
        <v>40</v>
      </c>
      <c r="D6243">
        <v>5.4539439999999999</v>
      </c>
      <c r="E6243">
        <v>0.41796630000000001</v>
      </c>
      <c r="F6243" t="s">
        <v>42</v>
      </c>
      <c r="G6243">
        <v>-416.17559999999997</v>
      </c>
      <c r="H6243">
        <v>1.058543</v>
      </c>
      <c r="I6243">
        <v>26.599440000000001</v>
      </c>
      <c r="J6243">
        <v>-416.9502</v>
      </c>
      <c r="K6243">
        <v>1.124949</v>
      </c>
      <c r="L6243">
        <v>26.741759999999999</v>
      </c>
      <c r="M6243">
        <v>0.64094469999999903</v>
      </c>
      <c r="N6243">
        <v>-1.4030880000000001E-2</v>
      </c>
      <c r="O6243">
        <v>-0.76745920000000001</v>
      </c>
      <c r="P6243">
        <v>0.8729403</v>
      </c>
      <c r="Q6243">
        <v>-9.3570050000000002E-2</v>
      </c>
      <c r="R6243">
        <v>-0.47876970000000002</v>
      </c>
      <c r="S6243">
        <v>2.9413149999999999</v>
      </c>
      <c r="T6243">
        <v>-0.2210231</v>
      </c>
      <c r="U6243">
        <v>-0.86660769999999998</v>
      </c>
      <c r="V6243">
        <v>-0.36235299999999998</v>
      </c>
      <c r="W6243">
        <v>-8.392318E-2</v>
      </c>
      <c r="X6243">
        <v>0.92825500000000005</v>
      </c>
      <c r="Y6243">
        <v>-0.55267639999999996</v>
      </c>
      <c r="Z6243">
        <v>6.1096440000000002E-2</v>
      </c>
      <c r="AA6243">
        <v>0.83115339999999904</v>
      </c>
      <c r="AB6243">
        <v>18</v>
      </c>
      <c r="AC6243">
        <v>0.77460000000002005</v>
      </c>
      <c r="AD6243">
        <v>-6.6405999999999896E-2</v>
      </c>
      <c r="AE6243">
        <v>-0.142319999999998</v>
      </c>
      <c r="AF6243">
        <v>-0.49975104620254501</v>
      </c>
      <c r="AG6243">
        <v>-6.6405999999999896E-2</v>
      </c>
      <c r="AH6243">
        <v>0.601483741011416</v>
      </c>
      <c r="AI6243">
        <v>94.853768652714194</v>
      </c>
      <c r="AJ6243">
        <v>129.72196389534801</v>
      </c>
      <c r="AK6243">
        <v>0.78482071565270695</v>
      </c>
      <c r="AL6243">
        <v>94.814106032041295</v>
      </c>
      <c r="AM6243">
        <v>111.32365150766201</v>
      </c>
      <c r="AN6243">
        <v>1.00000007088765</v>
      </c>
    </row>
    <row r="6244" spans="1:40" x14ac:dyDescent="0.25">
      <c r="A6244" t="str">
        <f>"20190303154306482"</f>
        <v>20190303154306482</v>
      </c>
      <c r="B6244" t="str">
        <f>"1551598986476897"</f>
        <v>1551598986476897</v>
      </c>
      <c r="C6244" t="s">
        <v>40</v>
      </c>
      <c r="D6244">
        <v>5.5160549999999997</v>
      </c>
      <c r="E6244">
        <v>0.41823379999999999</v>
      </c>
      <c r="F6244" t="s">
        <v>42</v>
      </c>
      <c r="G6244">
        <v>-416.07499999999999</v>
      </c>
      <c r="H6244">
        <v>1.059698</v>
      </c>
      <c r="I6244">
        <v>26.483650000000001</v>
      </c>
      <c r="J6244">
        <v>-416.88060000000002</v>
      </c>
      <c r="K6244">
        <v>1.1249309999999999</v>
      </c>
      <c r="L6244">
        <v>26.667269999999998</v>
      </c>
      <c r="M6244">
        <v>0.64466749999999995</v>
      </c>
      <c r="N6244">
        <v>-1.401881E-2</v>
      </c>
      <c r="O6244">
        <v>-0.76433490000000004</v>
      </c>
      <c r="P6244">
        <v>0.87449560000000004</v>
      </c>
      <c r="Q6244">
        <v>-9.3271469999999995E-2</v>
      </c>
      <c r="R6244">
        <v>-0.4759814</v>
      </c>
      <c r="S6244">
        <v>2.9379270000000002</v>
      </c>
      <c r="T6244">
        <v>-0.21903349999999999</v>
      </c>
      <c r="U6244">
        <v>-0.86654659999999994</v>
      </c>
      <c r="V6244">
        <v>-0.3608362</v>
      </c>
      <c r="W6244">
        <v>-8.3596889999999993E-2</v>
      </c>
      <c r="X6244">
        <v>0.92887500000000001</v>
      </c>
      <c r="Y6244">
        <v>-0.54843180000000002</v>
      </c>
      <c r="Z6244">
        <v>6.0319520000000001E-2</v>
      </c>
      <c r="AA6244">
        <v>0.83401689999999995</v>
      </c>
      <c r="AB6244">
        <v>18</v>
      </c>
      <c r="AC6244">
        <v>0.80560000000002596</v>
      </c>
      <c r="AD6244">
        <v>-6.5232999999999805E-2</v>
      </c>
      <c r="AE6244">
        <v>-0.183620000000001</v>
      </c>
      <c r="AF6244">
        <v>-0.49434184020268501</v>
      </c>
      <c r="AG6244">
        <v>-6.5232999999999805E-2</v>
      </c>
      <c r="AH6244">
        <v>0.65566915122089897</v>
      </c>
      <c r="AI6244">
        <v>94.542135112458695</v>
      </c>
      <c r="AJ6244">
        <v>127.01447162559499</v>
      </c>
      <c r="AK6244">
        <v>0.82373007419099997</v>
      </c>
      <c r="AL6244">
        <v>94.795345482030996</v>
      </c>
      <c r="AM6244">
        <v>111.229447401542</v>
      </c>
      <c r="AN6244">
        <v>0.99999998443655502</v>
      </c>
    </row>
    <row r="6245" spans="1:40" x14ac:dyDescent="0.25">
      <c r="A6245" t="str">
        <f>"20190303154306494"</f>
        <v>20190303154306494</v>
      </c>
      <c r="B6245" t="str">
        <f>"1551598986486657"</f>
        <v>1551598986486657</v>
      </c>
      <c r="C6245" t="s">
        <v>40</v>
      </c>
      <c r="D6245">
        <v>5.5217080000000003</v>
      </c>
      <c r="E6245">
        <v>0.41861609999999999</v>
      </c>
      <c r="F6245" t="s">
        <v>42</v>
      </c>
      <c r="G6245">
        <v>-415.95269999999999</v>
      </c>
      <c r="H6245">
        <v>1.052446</v>
      </c>
      <c r="I6245">
        <v>26.39593</v>
      </c>
      <c r="J6245">
        <v>-416.81659999999999</v>
      </c>
      <c r="K6245">
        <v>1.1249180000000001</v>
      </c>
      <c r="L6245">
        <v>26.599209999999999</v>
      </c>
      <c r="M6245">
        <v>0.648053199999999</v>
      </c>
      <c r="N6245">
        <v>-1.40083E-2</v>
      </c>
      <c r="O6245">
        <v>-0.76146630000000004</v>
      </c>
      <c r="P6245">
        <v>0.87592320000000001</v>
      </c>
      <c r="Q6245">
        <v>-9.2933979999999999E-2</v>
      </c>
      <c r="R6245">
        <v>-0.47341549999999999</v>
      </c>
      <c r="S6245">
        <v>2.938904</v>
      </c>
      <c r="T6245">
        <v>-0.22949610000000001</v>
      </c>
      <c r="U6245">
        <v>-0.85833740000000003</v>
      </c>
      <c r="V6245">
        <v>-0.3594715</v>
      </c>
      <c r="W6245">
        <v>-8.3235820000000002E-2</v>
      </c>
      <c r="X6245">
        <v>0.92943640000000005</v>
      </c>
      <c r="Y6245">
        <v>-0.54670090000000005</v>
      </c>
      <c r="Z6245">
        <v>6.3462299999999999E-2</v>
      </c>
      <c r="AA6245">
        <v>0.83491959999999998</v>
      </c>
      <c r="AB6245">
        <v>18</v>
      </c>
      <c r="AC6245">
        <v>0.863900000000001</v>
      </c>
      <c r="AD6245">
        <v>-7.2471999999999995E-2</v>
      </c>
      <c r="AE6245">
        <v>-0.20327999999999899</v>
      </c>
      <c r="AF6245">
        <v>-0.52266086574427795</v>
      </c>
      <c r="AG6245">
        <v>-7.2471999999999995E-2</v>
      </c>
      <c r="AH6245">
        <v>0.70997982224476297</v>
      </c>
      <c r="AI6245">
        <v>94.699355718101501</v>
      </c>
      <c r="AJ6245">
        <v>126.35912504205299</v>
      </c>
      <c r="AK6245">
        <v>0.88458912459924799</v>
      </c>
      <c r="AL6245">
        <v>94.774585307817603</v>
      </c>
      <c r="AM6245">
        <v>111.144620335135</v>
      </c>
      <c r="AN6245">
        <v>0.99999999134414097</v>
      </c>
    </row>
    <row r="6246" spans="1:40" x14ac:dyDescent="0.25">
      <c r="A6246" t="str">
        <f>"20190303154306506"</f>
        <v>20190303154306506</v>
      </c>
      <c r="B6246" t="str">
        <f>"1551598986496417"</f>
        <v>1551598986496417</v>
      </c>
      <c r="C6246" t="s">
        <v>40</v>
      </c>
      <c r="D6246">
        <v>5.508184</v>
      </c>
      <c r="E6246">
        <v>0.41921140000000001</v>
      </c>
      <c r="F6246" t="s">
        <v>42</v>
      </c>
      <c r="G6246">
        <v>-415.98239999999998</v>
      </c>
      <c r="H6246">
        <v>1.0579529999999999</v>
      </c>
      <c r="I6246">
        <v>26.357150000000001</v>
      </c>
      <c r="J6246">
        <v>-416.75729999999999</v>
      </c>
      <c r="K6246">
        <v>1.1249039999999999</v>
      </c>
      <c r="L6246">
        <v>26.537019999999998</v>
      </c>
      <c r="M6246">
        <v>0.65113999999999905</v>
      </c>
      <c r="N6246">
        <v>-1.3999360000000001E-2</v>
      </c>
      <c r="O6246">
        <v>-0.75882859999999996</v>
      </c>
      <c r="P6246">
        <v>0.87709769999999898</v>
      </c>
      <c r="Q6246">
        <v>-9.2653739999999998E-2</v>
      </c>
      <c r="R6246">
        <v>-0.47129120000000002</v>
      </c>
      <c r="S6246">
        <v>2.939514</v>
      </c>
      <c r="T6246">
        <v>-0.23589669999999999</v>
      </c>
      <c r="U6246">
        <v>-0.85186770000000001</v>
      </c>
      <c r="V6246">
        <v>-0.35798000000000002</v>
      </c>
      <c r="W6246">
        <v>-8.292998E-2</v>
      </c>
      <c r="X6246">
        <v>0.93003919999999995</v>
      </c>
      <c r="Y6246">
        <v>-0.54489200000000004</v>
      </c>
      <c r="Z6246">
        <v>6.5330170000000007E-2</v>
      </c>
      <c r="AA6246">
        <v>0.83595739999999996</v>
      </c>
      <c r="AB6246">
        <v>18</v>
      </c>
      <c r="AC6246">
        <v>0.77490000000000203</v>
      </c>
      <c r="AD6246">
        <v>-6.6950999999999899E-2</v>
      </c>
      <c r="AE6246">
        <v>-0.179870000000001</v>
      </c>
      <c r="AF6246">
        <v>-0.46762952068624403</v>
      </c>
      <c r="AG6246">
        <v>-6.6950999999999899E-2</v>
      </c>
      <c r="AH6246">
        <v>0.63661239720152396</v>
      </c>
      <c r="AI6246">
        <v>94.844702394964301</v>
      </c>
      <c r="AJ6246">
        <v>126.299486990299</v>
      </c>
      <c r="AK6246">
        <v>0.79273901713547501</v>
      </c>
      <c r="AL6246">
        <v>94.757001188775604</v>
      </c>
      <c r="AM6246">
        <v>111.052140005692</v>
      </c>
      <c r="AN6246">
        <v>0.99999998775971999</v>
      </c>
    </row>
    <row r="6247" spans="1:40" x14ac:dyDescent="0.25">
      <c r="A6247" t="str">
        <f>"20190303154306517"</f>
        <v>20190303154306517</v>
      </c>
      <c r="B6247" t="str">
        <f>"1551598986506178"</f>
        <v>1551598986506178</v>
      </c>
      <c r="C6247" t="s">
        <v>40</v>
      </c>
      <c r="D6247">
        <v>5.4877919999999998</v>
      </c>
      <c r="E6247">
        <v>0.41942960000000001</v>
      </c>
      <c r="F6247" t="s">
        <v>42</v>
      </c>
      <c r="G6247">
        <v>-415.85489999999999</v>
      </c>
      <c r="H6247">
        <v>1.0523469999999999</v>
      </c>
      <c r="I6247">
        <v>26.276409999999998</v>
      </c>
      <c r="J6247">
        <v>-416.69130000000001</v>
      </c>
      <c r="K6247">
        <v>1.1248860000000001</v>
      </c>
      <c r="L6247">
        <v>26.468019999999999</v>
      </c>
      <c r="M6247">
        <v>0.65455059999999998</v>
      </c>
      <c r="N6247">
        <v>-1.3989619999999999E-2</v>
      </c>
      <c r="O6247">
        <v>-0.75588900000000003</v>
      </c>
      <c r="P6247">
        <v>0.87872809999999901</v>
      </c>
      <c r="Q6247">
        <v>-9.2758460000000001E-2</v>
      </c>
      <c r="R6247">
        <v>-0.46822380000000002</v>
      </c>
      <c r="S6247">
        <v>2.9393310000000001</v>
      </c>
      <c r="T6247">
        <v>-0.2363344</v>
      </c>
      <c r="U6247">
        <v>-0.84878539999999902</v>
      </c>
      <c r="V6247">
        <v>-0.35703610000000002</v>
      </c>
      <c r="W6247">
        <v>-8.3016229999999996E-2</v>
      </c>
      <c r="X6247">
        <v>0.93039430000000001</v>
      </c>
      <c r="Y6247">
        <v>-0.54191020000000001</v>
      </c>
      <c r="Z6247">
        <v>6.5287330000000005E-2</v>
      </c>
      <c r="AA6247">
        <v>0.83789659999999999</v>
      </c>
      <c r="AB6247">
        <v>18</v>
      </c>
      <c r="AC6247">
        <v>0.83640000000002501</v>
      </c>
      <c r="AD6247">
        <v>-7.2539000000000103E-2</v>
      </c>
      <c r="AE6247">
        <v>-0.191610000000004</v>
      </c>
      <c r="AF6247">
        <v>-0.50326001755170702</v>
      </c>
      <c r="AG6247">
        <v>-7.2539000000000103E-2</v>
      </c>
      <c r="AH6247">
        <v>0.68745664795360895</v>
      </c>
      <c r="AI6247">
        <v>94.866530471658905</v>
      </c>
      <c r="AJ6247">
        <v>126.206393370599</v>
      </c>
      <c r="AK6247">
        <v>0.85506093034517505</v>
      </c>
      <c r="AL6247">
        <v>94.761959931852999</v>
      </c>
      <c r="AM6247">
        <v>110.99415956015601</v>
      </c>
      <c r="AN6247">
        <v>1.00000001230955</v>
      </c>
    </row>
    <row r="6248" spans="1:40" x14ac:dyDescent="0.25">
      <c r="A6248" t="str">
        <f>"20190303154306530"</f>
        <v>20190303154306530</v>
      </c>
      <c r="B6248" t="str">
        <f>"1551598986526674"</f>
        <v>1551598986526674</v>
      </c>
      <c r="C6248" t="s">
        <v>40</v>
      </c>
      <c r="D6248">
        <v>5.5256720000000001</v>
      </c>
      <c r="E6248">
        <v>0.41996090000000003</v>
      </c>
      <c r="F6248" t="s">
        <v>42</v>
      </c>
      <c r="G6248">
        <v>-415.72980000000001</v>
      </c>
      <c r="H6248">
        <v>1.0469790000000001</v>
      </c>
      <c r="I6248">
        <v>26.193239999999999</v>
      </c>
      <c r="J6248">
        <v>-416.62299999999999</v>
      </c>
      <c r="K6248">
        <v>1.1248629999999999</v>
      </c>
      <c r="L6248">
        <v>26.397369999999999</v>
      </c>
      <c r="M6248">
        <v>0.65802709999999998</v>
      </c>
      <c r="N6248">
        <v>-1.3979709999999999E-2</v>
      </c>
      <c r="O6248">
        <v>-0.75286459999999999</v>
      </c>
      <c r="P6248">
        <v>0.88025849999999894</v>
      </c>
      <c r="Q6248">
        <v>-9.2660709999999993E-2</v>
      </c>
      <c r="R6248">
        <v>-0.46535919999999997</v>
      </c>
      <c r="S6248">
        <v>2.9413149999999999</v>
      </c>
      <c r="T6248">
        <v>-0.23827290000000001</v>
      </c>
      <c r="U6248">
        <v>-0.83993530000000005</v>
      </c>
      <c r="V6248">
        <v>-0.35579290000000002</v>
      </c>
      <c r="W6248">
        <v>-8.2891039999999999E-2</v>
      </c>
      <c r="X6248">
        <v>0.93088159999999998</v>
      </c>
      <c r="Y6248">
        <v>-0.54047809999999996</v>
      </c>
      <c r="Z6248">
        <v>6.5749370000000001E-2</v>
      </c>
      <c r="AA6248">
        <v>0.83878509999999995</v>
      </c>
      <c r="AB6248">
        <v>18</v>
      </c>
      <c r="AC6248">
        <v>0.89320000000003497</v>
      </c>
      <c r="AD6248">
        <v>-7.7883999999999801E-2</v>
      </c>
      <c r="AE6248">
        <v>-0.204130000000002</v>
      </c>
      <c r="AF6248">
        <v>-0.53432716185851603</v>
      </c>
      <c r="AG6248">
        <v>-7.7883999999999801E-2</v>
      </c>
      <c r="AH6248">
        <v>0.73618488484623701</v>
      </c>
      <c r="AI6248">
        <v>94.893683940375794</v>
      </c>
      <c r="AJ6248">
        <v>125.97235762957099</v>
      </c>
      <c r="AK6248">
        <v>0.91298390896655102</v>
      </c>
      <c r="AL6248">
        <v>94.754762168654395</v>
      </c>
      <c r="AM6248">
        <v>110.917390647714</v>
      </c>
      <c r="AN6248">
        <v>1.00000003271062</v>
      </c>
    </row>
    <row r="6249" spans="1:40" x14ac:dyDescent="0.25">
      <c r="A6249" t="str">
        <f>"20190303154306548"</f>
        <v>20190303154306548</v>
      </c>
      <c r="B6249" t="str">
        <f>"1551598986536433"</f>
        <v>1551598986536433</v>
      </c>
      <c r="C6249" t="s">
        <v>40</v>
      </c>
      <c r="D6249">
        <v>5.5019780000000003</v>
      </c>
      <c r="E6249">
        <v>0.4203732</v>
      </c>
      <c r="F6249" t="s">
        <v>42</v>
      </c>
      <c r="G6249">
        <v>-415.76010000000002</v>
      </c>
      <c r="H6249">
        <v>1.05318</v>
      </c>
      <c r="I6249">
        <v>26.152560000000001</v>
      </c>
      <c r="J6249">
        <v>-416.52949999999998</v>
      </c>
      <c r="K6249">
        <v>1.1248149999999999</v>
      </c>
      <c r="L6249">
        <v>26.301670000000001</v>
      </c>
      <c r="M6249">
        <v>0.66270530000000005</v>
      </c>
      <c r="N6249">
        <v>-1.3965750000000001E-2</v>
      </c>
      <c r="O6249">
        <v>-0.74875000000000003</v>
      </c>
      <c r="P6249">
        <v>0.88159569999999998</v>
      </c>
      <c r="Q6249">
        <v>-9.2760469999999998E-2</v>
      </c>
      <c r="R6249">
        <v>-0.46280120000000002</v>
      </c>
      <c r="S6249">
        <v>2.9415589999999998</v>
      </c>
      <c r="T6249">
        <v>-0.24429000000000001</v>
      </c>
      <c r="U6249">
        <v>-0.83374020000000004</v>
      </c>
      <c r="V6249">
        <v>-0.35269689999999998</v>
      </c>
      <c r="W6249">
        <v>-8.2927829999999994E-2</v>
      </c>
      <c r="X6249">
        <v>0.93205570000000004</v>
      </c>
      <c r="Y6249">
        <v>-0.53674860000000002</v>
      </c>
      <c r="Z6249">
        <v>6.7353440000000001E-2</v>
      </c>
      <c r="AA6249">
        <v>0.84104959999999995</v>
      </c>
      <c r="AB6249">
        <v>18</v>
      </c>
      <c r="AC6249">
        <v>0.769399999999961</v>
      </c>
      <c r="AD6249">
        <v>-7.1634999999999893E-2</v>
      </c>
      <c r="AE6249">
        <v>-0.14910999999999999</v>
      </c>
      <c r="AF6249">
        <v>-0.47336399432583698</v>
      </c>
      <c r="AG6249">
        <v>-7.1634999999999893E-2</v>
      </c>
      <c r="AH6249">
        <v>0.61644199696713597</v>
      </c>
      <c r="AI6249">
        <v>95.265959161132798</v>
      </c>
      <c r="AJ6249">
        <v>127.52055240398001</v>
      </c>
      <c r="AK6249">
        <v>0.78051635471266101</v>
      </c>
      <c r="AL6249">
        <v>94.756877623213299</v>
      </c>
      <c r="AM6249">
        <v>110.727020187927</v>
      </c>
      <c r="AN6249">
        <v>0.99999997808030405</v>
      </c>
    </row>
    <row r="6250" spans="1:40" x14ac:dyDescent="0.25">
      <c r="A6250" t="str">
        <f>"20190303154306560"</f>
        <v>20190303154306560</v>
      </c>
      <c r="B6250" t="str">
        <f>"1551598986556929"</f>
        <v>1551598986556929</v>
      </c>
      <c r="C6250" t="s">
        <v>40</v>
      </c>
      <c r="D6250">
        <v>5.536162</v>
      </c>
      <c r="E6250">
        <v>0.42857319999999999</v>
      </c>
      <c r="F6250" t="s">
        <v>42</v>
      </c>
      <c r="G6250">
        <v>-415.64679999999998</v>
      </c>
      <c r="H6250">
        <v>1.051223</v>
      </c>
      <c r="I6250">
        <v>26.053380000000001</v>
      </c>
      <c r="J6250">
        <v>-416.46480000000003</v>
      </c>
      <c r="K6250">
        <v>1.124779</v>
      </c>
      <c r="L6250">
        <v>26.23593</v>
      </c>
      <c r="M6250">
        <v>0.66588970000000003</v>
      </c>
      <c r="N6250">
        <v>-1.395567E-2</v>
      </c>
      <c r="O6250">
        <v>-0.74591980000000002</v>
      </c>
      <c r="P6250">
        <v>0.88286439999999999</v>
      </c>
      <c r="Q6250">
        <v>-9.2714939999999996E-2</v>
      </c>
      <c r="R6250">
        <v>-0.46038489999999999</v>
      </c>
      <c r="S6250">
        <v>2.9424130000000002</v>
      </c>
      <c r="T6250">
        <v>-0.24533869999999999</v>
      </c>
      <c r="U6250">
        <v>-0.828125</v>
      </c>
      <c r="V6250">
        <v>-0.35128959999999998</v>
      </c>
      <c r="W6250">
        <v>-8.2844490000000007E-2</v>
      </c>
      <c r="X6250">
        <v>0.93259440000000005</v>
      </c>
      <c r="Y6250">
        <v>-0.53468769999999999</v>
      </c>
      <c r="Z6250">
        <v>6.7514930000000001E-2</v>
      </c>
      <c r="AA6250">
        <v>0.8423484</v>
      </c>
      <c r="AB6250">
        <v>18</v>
      </c>
      <c r="AC6250">
        <v>0.81800000000004003</v>
      </c>
      <c r="AD6250">
        <v>-7.3556000000000094E-2</v>
      </c>
      <c r="AE6250">
        <v>-0.18255000000000199</v>
      </c>
      <c r="AF6250">
        <v>-0.484916784258559</v>
      </c>
      <c r="AG6250">
        <v>-7.3556000000000094E-2</v>
      </c>
      <c r="AH6250">
        <v>0.67572701056362205</v>
      </c>
      <c r="AI6250">
        <v>95.054024022021594</v>
      </c>
      <c r="AJ6250">
        <v>125.66406589719701</v>
      </c>
      <c r="AK6250">
        <v>0.83496213422939802</v>
      </c>
      <c r="AL6250">
        <v>94.752086221213304</v>
      </c>
      <c r="AM6250">
        <v>110.64038504051101</v>
      </c>
      <c r="AN6250">
        <v>0.99999995375143802</v>
      </c>
    </row>
    <row r="6251" spans="1:40" x14ac:dyDescent="0.25">
      <c r="A6251" t="str">
        <f>"20190303154306572"</f>
        <v>20190303154306572</v>
      </c>
      <c r="B6251" t="str">
        <f>"1551598986566690"</f>
        <v>1551598986566690</v>
      </c>
      <c r="C6251" t="s">
        <v>40</v>
      </c>
      <c r="D6251">
        <v>5.5632489999999999</v>
      </c>
      <c r="E6251">
        <v>0.42803560000000002</v>
      </c>
      <c r="F6251" t="s">
        <v>42</v>
      </c>
      <c r="G6251">
        <v>-415.53300000000002</v>
      </c>
      <c r="H6251">
        <v>1.0367459999999999</v>
      </c>
      <c r="I6251">
        <v>25.955349999999999</v>
      </c>
      <c r="J6251">
        <v>-416.39449999999999</v>
      </c>
      <c r="K6251">
        <v>1.1247320000000001</v>
      </c>
      <c r="L6251">
        <v>26.16507</v>
      </c>
      <c r="M6251">
        <v>0.66929689999999997</v>
      </c>
      <c r="N6251">
        <v>-1.3944120000000001E-2</v>
      </c>
      <c r="O6251">
        <v>-0.74286439999999998</v>
      </c>
      <c r="P6251">
        <v>0.88430759999999897</v>
      </c>
      <c r="Q6251">
        <v>-9.3386179999999999E-2</v>
      </c>
      <c r="R6251">
        <v>-0.4574705</v>
      </c>
      <c r="S6251">
        <v>2.9122919999999999</v>
      </c>
      <c r="T6251">
        <v>-0.27507160000000003</v>
      </c>
      <c r="U6251">
        <v>-0.87606810000000002</v>
      </c>
      <c r="V6251">
        <v>-0.35004879999999999</v>
      </c>
      <c r="W6251">
        <v>-8.347367E-2</v>
      </c>
      <c r="X6251">
        <v>0.93300479999999997</v>
      </c>
      <c r="Y6251">
        <v>-0.51486899999999902</v>
      </c>
      <c r="Z6251">
        <v>7.601666E-2</v>
      </c>
      <c r="AA6251">
        <v>0.85389179999999998</v>
      </c>
      <c r="AB6251">
        <v>18</v>
      </c>
      <c r="AC6251">
        <v>0.86149999999997795</v>
      </c>
      <c r="AD6251">
        <v>-8.7986000000000106E-2</v>
      </c>
      <c r="AE6251">
        <v>-0.20971999999999999</v>
      </c>
      <c r="AF6251">
        <v>-0.49478894485379099</v>
      </c>
      <c r="AG6251">
        <v>-8.7986000000000106E-2</v>
      </c>
      <c r="AH6251">
        <v>0.72532150642044102</v>
      </c>
      <c r="AI6251">
        <v>95.722524308812993</v>
      </c>
      <c r="AJ6251">
        <v>124.3004398759</v>
      </c>
      <c r="AK6251">
        <v>0.88241085885291903</v>
      </c>
      <c r="AL6251">
        <v>94.788260724101306</v>
      </c>
      <c r="AM6251">
        <v>110.56530494247799</v>
      </c>
      <c r="AN6251">
        <v>0.999999986393874</v>
      </c>
    </row>
    <row r="6252" spans="1:40" x14ac:dyDescent="0.25">
      <c r="A6252" t="str">
        <f>"20190303154306585"</f>
        <v>20190303154306585</v>
      </c>
      <c r="B6252" t="str">
        <f>"1551598986576450"</f>
        <v>1551598986576450</v>
      </c>
      <c r="C6252" t="s">
        <v>40</v>
      </c>
      <c r="D6252">
        <v>5.5392099999999997</v>
      </c>
      <c r="E6252">
        <v>0.42773489999999997</v>
      </c>
      <c r="F6252" t="s">
        <v>42</v>
      </c>
      <c r="G6252">
        <v>-415.55990000000003</v>
      </c>
      <c r="H6252">
        <v>1.0464500000000001</v>
      </c>
      <c r="I6252">
        <v>25.917960000000001</v>
      </c>
      <c r="J6252">
        <v>-416.3279</v>
      </c>
      <c r="K6252">
        <v>1.124681</v>
      </c>
      <c r="L6252">
        <v>26.098659999999999</v>
      </c>
      <c r="M6252">
        <v>0.67244999999999999</v>
      </c>
      <c r="N6252">
        <v>-1.3932119999999999E-2</v>
      </c>
      <c r="O6252">
        <v>-0.74001159999999999</v>
      </c>
      <c r="P6252">
        <v>0.88567700000000005</v>
      </c>
      <c r="Q6252">
        <v>-9.4324309999999995E-2</v>
      </c>
      <c r="R6252">
        <v>-0.45462019999999997</v>
      </c>
      <c r="S6252">
        <v>2.9172060000000002</v>
      </c>
      <c r="T6252">
        <v>-0.27357609999999999</v>
      </c>
      <c r="U6252">
        <v>-0.86291499999999999</v>
      </c>
      <c r="V6252">
        <v>-0.34901549999999998</v>
      </c>
      <c r="W6252">
        <v>-8.4367280000000003E-2</v>
      </c>
      <c r="X6252">
        <v>0.93331149999999996</v>
      </c>
      <c r="Y6252">
        <v>-0.51521039999999996</v>
      </c>
      <c r="Z6252">
        <v>7.5434299999999996E-2</v>
      </c>
      <c r="AA6252">
        <v>0.85373759999999999</v>
      </c>
      <c r="AB6252">
        <v>18</v>
      </c>
      <c r="AC6252">
        <v>0.76799999999997204</v>
      </c>
      <c r="AD6252">
        <v>-7.8230999999999898E-2</v>
      </c>
      <c r="AE6252">
        <v>-0.180699999999998</v>
      </c>
      <c r="AF6252">
        <v>-0.442509817442647</v>
      </c>
      <c r="AG6252">
        <v>-7.8230999999999898E-2</v>
      </c>
      <c r="AH6252">
        <v>0.64389405208754202</v>
      </c>
      <c r="AI6252">
        <v>95.717997158581397</v>
      </c>
      <c r="AJ6252">
        <v>124.498410266573</v>
      </c>
      <c r="AK6252">
        <v>0.78519715881289298</v>
      </c>
      <c r="AL6252">
        <v>94.839641960004698</v>
      </c>
      <c r="AM6252">
        <v>110.503480876292</v>
      </c>
      <c r="AN6252">
        <v>1.0000000066035399</v>
      </c>
    </row>
    <row r="6253" spans="1:40" x14ac:dyDescent="0.25">
      <c r="A6253" t="str">
        <f>"20190303154306604"</f>
        <v>20190303154306604</v>
      </c>
      <c r="B6253" t="str">
        <f>"1551598986596949"</f>
        <v>1551598986596949</v>
      </c>
      <c r="C6253" t="s">
        <v>40</v>
      </c>
      <c r="D6253">
        <v>5.5203069999999999</v>
      </c>
      <c r="E6253">
        <v>0.42724620000000002</v>
      </c>
      <c r="F6253" t="s">
        <v>42</v>
      </c>
      <c r="G6253">
        <v>-415.43290000000002</v>
      </c>
      <c r="H6253">
        <v>1.039949</v>
      </c>
      <c r="I6253">
        <v>25.837859999999999</v>
      </c>
      <c r="J6253">
        <v>-416.22370000000001</v>
      </c>
      <c r="K6253">
        <v>1.1245810000000001</v>
      </c>
      <c r="L6253">
        <v>25.995640000000002</v>
      </c>
      <c r="M6253">
        <v>0.67726459999999999</v>
      </c>
      <c r="N6253">
        <v>-1.3912020000000001E-2</v>
      </c>
      <c r="O6253">
        <v>-0.73560800000000004</v>
      </c>
      <c r="P6253">
        <v>0.88758349999999897</v>
      </c>
      <c r="Q6253">
        <v>-9.6146239999999994E-2</v>
      </c>
      <c r="R6253">
        <v>-0.45050190000000001</v>
      </c>
      <c r="S6253">
        <v>2.920776</v>
      </c>
      <c r="T6253">
        <v>-0.27654220000000002</v>
      </c>
      <c r="U6253">
        <v>-0.85137940000000001</v>
      </c>
      <c r="V6253">
        <v>-0.34712140000000002</v>
      </c>
      <c r="W6253">
        <v>-8.6106130000000003E-2</v>
      </c>
      <c r="X6253">
        <v>0.93385890000000005</v>
      </c>
      <c r="Y6253">
        <v>-0.51294289999999998</v>
      </c>
      <c r="Z6253">
        <v>7.6039369999999995E-2</v>
      </c>
      <c r="AA6253">
        <v>0.85504829999999998</v>
      </c>
      <c r="AB6253">
        <v>18</v>
      </c>
      <c r="AC6253">
        <v>0.79079999999998996</v>
      </c>
      <c r="AD6253">
        <v>-8.4631999999999999E-2</v>
      </c>
      <c r="AE6253">
        <v>-0.15777999999999801</v>
      </c>
      <c r="AF6253">
        <v>-0.46973187929364602</v>
      </c>
      <c r="AG6253">
        <v>-8.4631999999999999E-2</v>
      </c>
      <c r="AH6253">
        <v>0.64460781610317697</v>
      </c>
      <c r="AI6253">
        <v>96.056888401172202</v>
      </c>
      <c r="AJ6253">
        <v>126.081181306918</v>
      </c>
      <c r="AK6253">
        <v>0.80207845653031196</v>
      </c>
      <c r="AL6253">
        <v>94.939634728305904</v>
      </c>
      <c r="AM6253">
        <v>110.390426282837</v>
      </c>
      <c r="AN6253">
        <v>0.99999998853537297</v>
      </c>
    </row>
    <row r="6254" spans="1:40" x14ac:dyDescent="0.25">
      <c r="A6254" t="str">
        <f>"20190303154306616"</f>
        <v>20190303154306616</v>
      </c>
      <c r="B6254" t="str">
        <f>"1551598986606706"</f>
        <v>1551598986606706</v>
      </c>
      <c r="C6254" t="s">
        <v>40</v>
      </c>
      <c r="D6254">
        <v>5.5409220000000001</v>
      </c>
      <c r="E6254">
        <v>0.42725730000000001</v>
      </c>
      <c r="F6254" t="s">
        <v>42</v>
      </c>
      <c r="G6254">
        <v>-415.3202</v>
      </c>
      <c r="H6254">
        <v>1.0379480000000001</v>
      </c>
      <c r="I6254">
        <v>25.7379</v>
      </c>
      <c r="J6254">
        <v>-416.15719999999999</v>
      </c>
      <c r="K6254">
        <v>1.124511</v>
      </c>
      <c r="L6254">
        <v>25.93027</v>
      </c>
      <c r="M6254">
        <v>0.68026949999999997</v>
      </c>
      <c r="N6254">
        <v>-1.389847E-2</v>
      </c>
      <c r="O6254">
        <v>-0.7328306</v>
      </c>
      <c r="P6254">
        <v>0.88892229999999905</v>
      </c>
      <c r="Q6254">
        <v>-9.7437120000000002E-2</v>
      </c>
      <c r="R6254">
        <v>-0.4475751</v>
      </c>
      <c r="S6254">
        <v>2.926056</v>
      </c>
      <c r="T6254">
        <v>-0.2805337</v>
      </c>
      <c r="U6254">
        <v>-0.83435059999999905</v>
      </c>
      <c r="V6254">
        <v>-0.34627740000000001</v>
      </c>
      <c r="W6254">
        <v>-8.7343329999999997E-2</v>
      </c>
      <c r="X6254">
        <v>0.93405729999999998</v>
      </c>
      <c r="Y6254">
        <v>-0.51432719999999998</v>
      </c>
      <c r="Z6254">
        <v>7.7173340000000007E-2</v>
      </c>
      <c r="AA6254">
        <v>0.85411459999999995</v>
      </c>
      <c r="AB6254">
        <v>18</v>
      </c>
      <c r="AC6254">
        <v>0.83699999999998898</v>
      </c>
      <c r="AD6254">
        <v>-8.6563000000000098E-2</v>
      </c>
      <c r="AE6254">
        <v>-0.19237000000000001</v>
      </c>
      <c r="AF6254">
        <v>-0.47770914120916902</v>
      </c>
      <c r="AG6254">
        <v>-8.6563000000000098E-2</v>
      </c>
      <c r="AH6254">
        <v>0.703283872568364</v>
      </c>
      <c r="AI6254">
        <v>95.813632293870299</v>
      </c>
      <c r="AJ6254">
        <v>124.18650648598501</v>
      </c>
      <c r="AK6254">
        <v>0.85458023729697696</v>
      </c>
      <c r="AL6254">
        <v>95.010789266185697</v>
      </c>
      <c r="AM6254">
        <v>110.34094902096</v>
      </c>
      <c r="AN6254">
        <v>0.99999996736476804</v>
      </c>
    </row>
    <row r="6255" spans="1:40" x14ac:dyDescent="0.25">
      <c r="A6255" t="str">
        <f>"20190303154306630"</f>
        <v>20190303154306630</v>
      </c>
      <c r="B6255" t="str">
        <f>"1551598986626225"</f>
        <v>1551598986626225</v>
      </c>
      <c r="C6255" t="s">
        <v>40</v>
      </c>
      <c r="D6255">
        <v>5.5160030000000004</v>
      </c>
      <c r="E6255">
        <v>0.42741200000000001</v>
      </c>
      <c r="F6255" t="s">
        <v>42</v>
      </c>
      <c r="G6255">
        <v>-415.19330000000002</v>
      </c>
      <c r="H6255">
        <v>1.030964</v>
      </c>
      <c r="I6255">
        <v>25.65859</v>
      </c>
      <c r="J6255">
        <v>-416.08339999999998</v>
      </c>
      <c r="K6255">
        <v>1.1244240000000001</v>
      </c>
      <c r="L6255">
        <v>25.858519999999999</v>
      </c>
      <c r="M6255">
        <v>0.68349459999999995</v>
      </c>
      <c r="N6255">
        <v>-1.3881900000000001E-2</v>
      </c>
      <c r="O6255">
        <v>-0.72982360000000002</v>
      </c>
      <c r="P6255">
        <v>0.89050300000000004</v>
      </c>
      <c r="Q6255">
        <v>-9.8558859999999998E-2</v>
      </c>
      <c r="R6255">
        <v>-0.44417430000000002</v>
      </c>
      <c r="S6255">
        <v>2.9284059999999998</v>
      </c>
      <c r="T6255">
        <v>-0.284170599999999</v>
      </c>
      <c r="U6255">
        <v>-0.82485959999999903</v>
      </c>
      <c r="V6255">
        <v>-0.345647599999999</v>
      </c>
      <c r="W6255">
        <v>-8.8403469999999998E-2</v>
      </c>
      <c r="X6255">
        <v>0.93419090000000005</v>
      </c>
      <c r="Y6255">
        <v>-0.51319459999999995</v>
      </c>
      <c r="Z6255">
        <v>7.8090530000000005E-2</v>
      </c>
      <c r="AA6255">
        <v>0.85471239999999904</v>
      </c>
      <c r="AB6255">
        <v>18</v>
      </c>
      <c r="AC6255">
        <v>0.89009999999996103</v>
      </c>
      <c r="AD6255">
        <v>-9.3459999999999793E-2</v>
      </c>
      <c r="AE6255">
        <v>-0.199930000000001</v>
      </c>
      <c r="AF6255">
        <v>-0.50768597607886801</v>
      </c>
      <c r="AG6255">
        <v>-9.3459999999999793E-2</v>
      </c>
      <c r="AH6255">
        <v>0.74652973590465399</v>
      </c>
      <c r="AI6255">
        <v>95.910327802127497</v>
      </c>
      <c r="AJ6255">
        <v>124.218103407024</v>
      </c>
      <c r="AK6255">
        <v>0.90762683328393601</v>
      </c>
      <c r="AL6255">
        <v>95.071766345361894</v>
      </c>
      <c r="AM6255">
        <v>110.304310089502</v>
      </c>
      <c r="AN6255">
        <v>1.0000000372683</v>
      </c>
    </row>
    <row r="6256" spans="1:40" x14ac:dyDescent="0.25">
      <c r="A6256" t="str">
        <f>"20190303154306649"</f>
        <v>20190303154306649</v>
      </c>
      <c r="B6256" t="str">
        <f>"1551598986646722"</f>
        <v>1551598986646722</v>
      </c>
      <c r="C6256" t="s">
        <v>40</v>
      </c>
      <c r="D6256">
        <v>5.5425110000000002</v>
      </c>
      <c r="E6256">
        <v>0.42767080000000002</v>
      </c>
      <c r="F6256" t="s">
        <v>42</v>
      </c>
      <c r="G6256">
        <v>-415.22089999999997</v>
      </c>
      <c r="H6256">
        <v>1.040281</v>
      </c>
      <c r="I6256">
        <v>25.61853</v>
      </c>
      <c r="J6256">
        <v>-415.97370000000001</v>
      </c>
      <c r="K6256">
        <v>1.124282</v>
      </c>
      <c r="L6256">
        <v>25.752590000000001</v>
      </c>
      <c r="M6256">
        <v>0.68814960000000003</v>
      </c>
      <c r="N6256">
        <v>-1.385671E-2</v>
      </c>
      <c r="O6256">
        <v>-0.72543649999999904</v>
      </c>
      <c r="P6256">
        <v>0.89284269999999999</v>
      </c>
      <c r="Q6256">
        <v>-0.1001264</v>
      </c>
      <c r="R6256">
        <v>-0.43909799999999899</v>
      </c>
      <c r="S6256">
        <v>2.9306950000000001</v>
      </c>
      <c r="T6256">
        <v>-0.28589340000000002</v>
      </c>
      <c r="U6256">
        <v>-0.81497189999999997</v>
      </c>
      <c r="V6256">
        <v>-0.34487839999999997</v>
      </c>
      <c r="W6256">
        <v>-8.9879860000000006E-2</v>
      </c>
      <c r="X6256">
        <v>0.93433429999999995</v>
      </c>
      <c r="Y6256">
        <v>-0.5105246</v>
      </c>
      <c r="Z6256">
        <v>7.8298259999999995E-2</v>
      </c>
      <c r="AA6256">
        <v>0.85629089999999997</v>
      </c>
      <c r="AB6256">
        <v>18</v>
      </c>
      <c r="AC6256">
        <v>0.752800000000036</v>
      </c>
      <c r="AD6256">
        <v>-8.4000999999999895E-2</v>
      </c>
      <c r="AE6256">
        <v>-0.13405999999999799</v>
      </c>
      <c r="AF6256">
        <v>-0.44848631588906601</v>
      </c>
      <c r="AG6256">
        <v>-8.4000999999999895E-2</v>
      </c>
      <c r="AH6256">
        <v>0.60801236248221602</v>
      </c>
      <c r="AI6256">
        <v>96.344214838387799</v>
      </c>
      <c r="AJ6256">
        <v>126.41348620828499</v>
      </c>
      <c r="AK6256">
        <v>0.76018101559559703</v>
      </c>
      <c r="AL6256">
        <v>95.156695347177802</v>
      </c>
      <c r="AM6256">
        <v>110.259946041294</v>
      </c>
      <c r="AN6256">
        <v>1.0000000420883299</v>
      </c>
    </row>
    <row r="6257" spans="1:40" x14ac:dyDescent="0.25">
      <c r="A6257" t="str">
        <f>"20190303154306665"</f>
        <v>20190303154306665</v>
      </c>
      <c r="B6257" t="str">
        <f>"1551598986656481"</f>
        <v>1551598986656481</v>
      </c>
      <c r="C6257" t="s">
        <v>40</v>
      </c>
      <c r="D6257">
        <v>5.5651080000000004</v>
      </c>
      <c r="E6257">
        <v>0.4278016</v>
      </c>
      <c r="F6257" t="s">
        <v>42</v>
      </c>
      <c r="G6257">
        <v>-415.10939999999999</v>
      </c>
      <c r="H6257">
        <v>1.039039</v>
      </c>
      <c r="I6257">
        <v>25.5166</v>
      </c>
      <c r="J6257">
        <v>-415.8904</v>
      </c>
      <c r="K6257">
        <v>1.1241760000000001</v>
      </c>
      <c r="L6257">
        <v>25.672910000000002</v>
      </c>
      <c r="M6257">
        <v>0.69155169999999999</v>
      </c>
      <c r="N6257">
        <v>-1.3836960000000001E-2</v>
      </c>
      <c r="O6257">
        <v>-0.72219440000000001</v>
      </c>
      <c r="P6257">
        <v>0.89479830000000005</v>
      </c>
      <c r="Q6257">
        <v>-0.1005105</v>
      </c>
      <c r="R6257">
        <v>-0.43501010000000001</v>
      </c>
      <c r="S6257">
        <v>2.9340820000000001</v>
      </c>
      <c r="T6257">
        <v>-0.28929919999999998</v>
      </c>
      <c r="U6257">
        <v>-0.80026249999999999</v>
      </c>
      <c r="V6257">
        <v>-0.34474769999999999</v>
      </c>
      <c r="W6257">
        <v>-9.0197739999999998E-2</v>
      </c>
      <c r="X6257">
        <v>0.93435190000000001</v>
      </c>
      <c r="Y6257">
        <v>-0.51063590000000003</v>
      </c>
      <c r="Z6257">
        <v>7.9188129999999995E-2</v>
      </c>
      <c r="AA6257">
        <v>0.85614269999999904</v>
      </c>
      <c r="AB6257">
        <v>17</v>
      </c>
      <c r="AC6257">
        <v>0.78100000000000502</v>
      </c>
      <c r="AD6257">
        <v>-8.5137000000000004E-2</v>
      </c>
      <c r="AE6257">
        <v>-0.156310000000001</v>
      </c>
      <c r="AF6257">
        <v>-0.45083005250003</v>
      </c>
      <c r="AG6257">
        <v>-8.5137000000000004E-2</v>
      </c>
      <c r="AH6257">
        <v>0.64567343051367099</v>
      </c>
      <c r="AI6257">
        <v>96.170379973053002</v>
      </c>
      <c r="AJ6257">
        <v>124.923989885983</v>
      </c>
      <c r="AK6257">
        <v>0.79207968278290797</v>
      </c>
      <c r="AL6257">
        <v>95.174982813489294</v>
      </c>
      <c r="AM6257">
        <v>110.252541418221</v>
      </c>
      <c r="AN6257">
        <v>1.0000000409950001</v>
      </c>
    </row>
    <row r="6258" spans="1:40" x14ac:dyDescent="0.25">
      <c r="A6258" t="str">
        <f>"20190303154306682"</f>
        <v>20190303154306682</v>
      </c>
      <c r="B6258" t="str">
        <f>"1551598986676977"</f>
        <v>1551598986676977</v>
      </c>
      <c r="C6258" t="s">
        <v>40</v>
      </c>
      <c r="D6258">
        <v>5.5562529999999999</v>
      </c>
      <c r="E6258">
        <v>0.42822739999999998</v>
      </c>
      <c r="F6258" t="s">
        <v>42</v>
      </c>
      <c r="G6258">
        <v>-414.9871</v>
      </c>
      <c r="H6258">
        <v>1.034991</v>
      </c>
      <c r="I6258">
        <v>25.430620000000001</v>
      </c>
      <c r="J6258">
        <v>-415.79239999999999</v>
      </c>
      <c r="K6258">
        <v>1.1240520000000001</v>
      </c>
      <c r="L6258">
        <v>25.57977</v>
      </c>
      <c r="M6258">
        <v>0.69541500000000001</v>
      </c>
      <c r="N6258">
        <v>-1.3813209999999999E-2</v>
      </c>
      <c r="O6258">
        <v>-0.71847569999999905</v>
      </c>
      <c r="P6258">
        <v>0.89720519999999904</v>
      </c>
      <c r="Q6258">
        <v>-0.10028720000000001</v>
      </c>
      <c r="R6258">
        <v>-0.43007649999999997</v>
      </c>
      <c r="S6258">
        <v>2.9371640000000001</v>
      </c>
      <c r="T6258">
        <v>-0.28996749999999999</v>
      </c>
      <c r="U6258">
        <v>-0.78771969999999902</v>
      </c>
      <c r="V6258">
        <v>-0.3449277</v>
      </c>
      <c r="W6258">
        <v>-8.9897980000000002E-2</v>
      </c>
      <c r="X6258">
        <v>0.93431430000000004</v>
      </c>
      <c r="Y6258">
        <v>-0.50965720000000003</v>
      </c>
      <c r="Z6258">
        <v>7.9175980000000007E-2</v>
      </c>
      <c r="AA6258">
        <v>0.85672680000000001</v>
      </c>
      <c r="AB6258">
        <v>17</v>
      </c>
      <c r="AC6258">
        <v>0.80529999999998803</v>
      </c>
      <c r="AD6258">
        <v>-8.9061000000000001E-2</v>
      </c>
      <c r="AE6258">
        <v>-0.14914999999999801</v>
      </c>
      <c r="AF6258">
        <v>-0.469362259093065</v>
      </c>
      <c r="AG6258">
        <v>-8.9061000000000001E-2</v>
      </c>
      <c r="AH6258">
        <v>0.65944383884091995</v>
      </c>
      <c r="AI6258">
        <v>96.279002711423303</v>
      </c>
      <c r="AJ6258">
        <v>125.441538823827</v>
      </c>
      <c r="AK6258">
        <v>0.81430889014378005</v>
      </c>
      <c r="AL6258">
        <v>95.157738045744793</v>
      </c>
      <c r="AM6258">
        <v>110.263005157667</v>
      </c>
      <c r="AN6258">
        <v>0.99999998810992996</v>
      </c>
    </row>
    <row r="6259" spans="1:40" x14ac:dyDescent="0.25">
      <c r="A6259" t="str">
        <f>"20190303154306693"</f>
        <v>20190303154306693</v>
      </c>
      <c r="B6259" t="str">
        <f>"1551598986686738"</f>
        <v>1551598986686738</v>
      </c>
      <c r="C6259" t="s">
        <v>40</v>
      </c>
      <c r="D6259">
        <v>5.5368309999999896</v>
      </c>
      <c r="E6259">
        <v>0.42822739999999998</v>
      </c>
      <c r="F6259" t="s">
        <v>42</v>
      </c>
      <c r="G6259">
        <v>-414.87029999999999</v>
      </c>
      <c r="H6259">
        <v>1.0338689999999999</v>
      </c>
      <c r="I6259">
        <v>25.336590000000001</v>
      </c>
      <c r="J6259">
        <v>-415.72640000000001</v>
      </c>
      <c r="K6259">
        <v>1.123972</v>
      </c>
      <c r="L6259">
        <v>25.517430000000001</v>
      </c>
      <c r="M6259">
        <v>0.69793570000000005</v>
      </c>
      <c r="N6259">
        <v>-1.379699E-2</v>
      </c>
      <c r="O6259">
        <v>-0.71602779999999999</v>
      </c>
      <c r="P6259">
        <v>0.89862280000000005</v>
      </c>
      <c r="Q6259">
        <v>-9.9989019999999998E-2</v>
      </c>
      <c r="R6259">
        <v>-0.42717640000000001</v>
      </c>
      <c r="S6259">
        <v>2.9401549999999999</v>
      </c>
      <c r="T6259">
        <v>-0.28750910000000002</v>
      </c>
      <c r="U6259">
        <v>-0.77484129999999996</v>
      </c>
      <c r="V6259">
        <v>-0.3447057</v>
      </c>
      <c r="W6259">
        <v>-8.9543280000000003E-2</v>
      </c>
      <c r="X6259">
        <v>0.93443030000000005</v>
      </c>
      <c r="Y6259">
        <v>-0.51043689999999997</v>
      </c>
      <c r="Z6259">
        <v>7.8382099999999996E-2</v>
      </c>
      <c r="AA6259">
        <v>0.85633549999999903</v>
      </c>
      <c r="AB6259">
        <v>17</v>
      </c>
      <c r="AC6259">
        <v>0.85610000000002595</v>
      </c>
      <c r="AD6259">
        <v>-9.0102999999999794E-2</v>
      </c>
      <c r="AE6259">
        <v>-0.180839999999996</v>
      </c>
      <c r="AF6259">
        <v>-0.481714829486736</v>
      </c>
      <c r="AG6259">
        <v>-9.0102999999999794E-2</v>
      </c>
      <c r="AH6259">
        <v>0.71942942780097796</v>
      </c>
      <c r="AI6259">
        <v>95.941259332857598</v>
      </c>
      <c r="AJ6259">
        <v>123.80543340921901</v>
      </c>
      <c r="AK6259">
        <v>0.870486317607852</v>
      </c>
      <c r="AL6259">
        <v>95.1373328660477</v>
      </c>
      <c r="AM6259">
        <v>110.248713452025</v>
      </c>
      <c r="AN6259">
        <v>1.00000000208186</v>
      </c>
    </row>
    <row r="6260" spans="1:40" x14ac:dyDescent="0.25">
      <c r="A6260" t="str">
        <f>"20190303154306705"</f>
        <v>20190303154306705</v>
      </c>
      <c r="B6260" t="str">
        <f>"1551598986696497"</f>
        <v>1551598986696497</v>
      </c>
      <c r="C6260" t="s">
        <v>40</v>
      </c>
      <c r="D6260">
        <v>5.5852510000000004</v>
      </c>
      <c r="E6260">
        <v>0.43217709999999998</v>
      </c>
      <c r="F6260" t="s">
        <v>42</v>
      </c>
      <c r="G6260">
        <v>-414.89400000000001</v>
      </c>
      <c r="H6260">
        <v>1.042845</v>
      </c>
      <c r="I6260">
        <v>25.300809999999998</v>
      </c>
      <c r="J6260">
        <v>-415.66590000000002</v>
      </c>
      <c r="K6260">
        <v>1.1238999999999999</v>
      </c>
      <c r="L6260">
        <v>25.460750000000001</v>
      </c>
      <c r="M6260">
        <v>0.70015749999999999</v>
      </c>
      <c r="N6260">
        <v>-1.3781679999999999E-2</v>
      </c>
      <c r="O6260">
        <v>-0.71385529999999997</v>
      </c>
      <c r="P6260">
        <v>0.89987150000000005</v>
      </c>
      <c r="Q6260">
        <v>-9.9165130000000004E-2</v>
      </c>
      <c r="R6260">
        <v>-0.42473240000000001</v>
      </c>
      <c r="S6260">
        <v>2.9428100000000001</v>
      </c>
      <c r="T6260">
        <v>-0.28675450000000002</v>
      </c>
      <c r="U6260">
        <v>-0.76522829999999997</v>
      </c>
      <c r="V6260">
        <v>-0.34442889999999998</v>
      </c>
      <c r="W6260">
        <v>-8.8668150000000001E-2</v>
      </c>
      <c r="X6260">
        <v>0.9346158</v>
      </c>
      <c r="Y6260">
        <v>-0.5106039</v>
      </c>
      <c r="Z6260">
        <v>7.8062709999999993E-2</v>
      </c>
      <c r="AA6260">
        <v>0.8562651</v>
      </c>
      <c r="AB6260">
        <v>17</v>
      </c>
      <c r="AC6260">
        <v>0.77190000000001602</v>
      </c>
      <c r="AD6260">
        <v>-8.1054999999999794E-2</v>
      </c>
      <c r="AE6260">
        <v>-0.159939999999998</v>
      </c>
      <c r="AF6260">
        <v>-0.434489770226344</v>
      </c>
      <c r="AG6260">
        <v>-8.1054999999999794E-2</v>
      </c>
      <c r="AH6260">
        <v>0.64783849127286197</v>
      </c>
      <c r="AI6260">
        <v>95.932324283699501</v>
      </c>
      <c r="AJ6260">
        <v>123.848811406397</v>
      </c>
      <c r="AK6260">
        <v>0.78424867499476103</v>
      </c>
      <c r="AL6260">
        <v>95.086991365798298</v>
      </c>
      <c r="AM6260">
        <v>110.230082290216</v>
      </c>
      <c r="AN6260">
        <v>1.0000000007946299</v>
      </c>
    </row>
    <row r="6261" spans="1:40" x14ac:dyDescent="0.25">
      <c r="A6261" t="str">
        <f>"20190303154306716"</f>
        <v>20190303154306716</v>
      </c>
      <c r="B6261" t="str">
        <f>"1551598986706257"</f>
        <v>1551598986706257</v>
      </c>
      <c r="C6261" t="s">
        <v>40</v>
      </c>
      <c r="D6261">
        <v>5.5854169999999996</v>
      </c>
      <c r="E6261">
        <v>0.43222890000000003</v>
      </c>
      <c r="F6261" t="s">
        <v>42</v>
      </c>
      <c r="G6261">
        <v>-414.76830000000001</v>
      </c>
      <c r="H6261">
        <v>1.035525</v>
      </c>
      <c r="I6261">
        <v>25.220109999999998</v>
      </c>
      <c r="J6261">
        <v>-415.5992</v>
      </c>
      <c r="K6261">
        <v>1.123823</v>
      </c>
      <c r="L6261">
        <v>25.398350000000001</v>
      </c>
      <c r="M6261">
        <v>0.70257340000000001</v>
      </c>
      <c r="N6261">
        <v>-1.3765100000000001E-2</v>
      </c>
      <c r="O6261">
        <v>-0.7114781</v>
      </c>
      <c r="P6261">
        <v>0.90122610000000003</v>
      </c>
      <c r="Q6261">
        <v>-9.8695809999999995E-2</v>
      </c>
      <c r="R6261">
        <v>-0.42196070000000002</v>
      </c>
      <c r="S6261">
        <v>2.9312130000000001</v>
      </c>
      <c r="T6261">
        <v>-0.2885643</v>
      </c>
      <c r="U6261">
        <v>-0.78552250000000001</v>
      </c>
      <c r="V6261">
        <v>-0.34419450000000001</v>
      </c>
      <c r="W6261">
        <v>-8.8143799999999994E-2</v>
      </c>
      <c r="X6261">
        <v>0.93475169999999996</v>
      </c>
      <c r="Y6261">
        <v>-0.50127010000000005</v>
      </c>
      <c r="Z6261">
        <v>7.8210840000000004E-2</v>
      </c>
      <c r="AA6261">
        <v>0.86174910000000005</v>
      </c>
      <c r="AB6261">
        <v>17</v>
      </c>
      <c r="AC6261">
        <v>0.83089999999998498</v>
      </c>
      <c r="AD6261">
        <v>-8.8297999999999904E-2</v>
      </c>
      <c r="AE6261">
        <v>-0.17823999999999801</v>
      </c>
      <c r="AF6261">
        <v>-0.46100756164078099</v>
      </c>
      <c r="AG6261">
        <v>-8.8297999999999904E-2</v>
      </c>
      <c r="AH6261">
        <v>0.70305916643330102</v>
      </c>
      <c r="AI6261">
        <v>95.995560583717904</v>
      </c>
      <c r="AJ6261">
        <v>123.253520690914</v>
      </c>
      <c r="AK6261">
        <v>0.84535004595721497</v>
      </c>
      <c r="AL6261">
        <v>95.056830425126194</v>
      </c>
      <c r="AM6261">
        <v>110.214728381361</v>
      </c>
      <c r="AN6261">
        <v>0.999999961980789</v>
      </c>
    </row>
    <row r="6262" spans="1:40" x14ac:dyDescent="0.25">
      <c r="A6262" t="str">
        <f>"20190303154306728"</f>
        <v>20190303154306728</v>
      </c>
      <c r="B6262" t="str">
        <f>"1551598986716995"</f>
        <v>1551598986716995</v>
      </c>
      <c r="C6262" t="s">
        <v>40</v>
      </c>
      <c r="D6262">
        <v>5.5629679999999997</v>
      </c>
      <c r="E6262">
        <v>0.43246810000000002</v>
      </c>
      <c r="F6262" t="s">
        <v>42</v>
      </c>
      <c r="G6262">
        <v>-414.6397</v>
      </c>
      <c r="H6262">
        <v>1.026842</v>
      </c>
      <c r="I6262">
        <v>25.14424</v>
      </c>
      <c r="J6262">
        <v>-415.53190000000001</v>
      </c>
      <c r="K6262">
        <v>1.1237410000000001</v>
      </c>
      <c r="L6262">
        <v>25.335819999999998</v>
      </c>
      <c r="M6262">
        <v>0.70490769999999903</v>
      </c>
      <c r="N6262">
        <v>-1.3747769999999999E-2</v>
      </c>
      <c r="O6262">
        <v>-0.70916579999999996</v>
      </c>
      <c r="P6262">
        <v>0.90239780000000003</v>
      </c>
      <c r="Q6262">
        <v>-9.8460839999999994E-2</v>
      </c>
      <c r="R6262">
        <v>-0.4195045</v>
      </c>
      <c r="S6262">
        <v>2.9329529999999999</v>
      </c>
      <c r="T6262">
        <v>-0.29639690000000002</v>
      </c>
      <c r="U6262">
        <v>-0.77612300000000001</v>
      </c>
      <c r="V6262">
        <v>-0.34370679999999998</v>
      </c>
      <c r="W6262">
        <v>-8.7849869999999997E-2</v>
      </c>
      <c r="X6262">
        <v>0.93495879999999998</v>
      </c>
      <c r="Y6262">
        <v>-0.50090129999999999</v>
      </c>
      <c r="Z6262">
        <v>8.0405939999999995E-2</v>
      </c>
      <c r="AA6262">
        <v>0.86176140000000001</v>
      </c>
      <c r="AB6262">
        <v>17</v>
      </c>
      <c r="AC6262">
        <v>0.89220000000000199</v>
      </c>
      <c r="AD6262">
        <v>-9.6898999999999805E-2</v>
      </c>
      <c r="AE6262">
        <v>-0.191580000000001</v>
      </c>
      <c r="AF6262">
        <v>-0.49216907103297303</v>
      </c>
      <c r="AG6262">
        <v>-9.6898999999999805E-2</v>
      </c>
      <c r="AH6262">
        <v>0.75632493899361297</v>
      </c>
      <c r="AI6262">
        <v>96.129145400837004</v>
      </c>
      <c r="AJ6262">
        <v>123.053566520206</v>
      </c>
      <c r="AK6262">
        <v>0.90755012204624497</v>
      </c>
      <c r="AL6262">
        <v>95.039923897003106</v>
      </c>
      <c r="AM6262">
        <v>110.184288562627</v>
      </c>
      <c r="AN6262">
        <v>0.99999996086134701</v>
      </c>
    </row>
    <row r="6263" spans="1:40" x14ac:dyDescent="0.25">
      <c r="A6263" t="str">
        <f>"20190303154306741"</f>
        <v>20190303154306741</v>
      </c>
      <c r="B6263" t="str">
        <f>"1551598986736513"</f>
        <v>1551598986736513</v>
      </c>
      <c r="C6263" t="s">
        <v>40</v>
      </c>
      <c r="D6263">
        <v>5.6421299999999999</v>
      </c>
      <c r="E6263">
        <v>0.4324094</v>
      </c>
      <c r="F6263" t="s">
        <v>42</v>
      </c>
      <c r="G6263">
        <v>-414.66329999999999</v>
      </c>
      <c r="H6263">
        <v>1.0359860000000001</v>
      </c>
      <c r="I6263">
        <v>25.107759999999999</v>
      </c>
      <c r="J6263">
        <v>-415.46530000000001</v>
      </c>
      <c r="K6263">
        <v>1.123658</v>
      </c>
      <c r="L6263">
        <v>25.274139999999999</v>
      </c>
      <c r="M6263">
        <v>0.7071672</v>
      </c>
      <c r="N6263">
        <v>-1.3730880000000001E-2</v>
      </c>
      <c r="O6263">
        <v>-0.70691309999999996</v>
      </c>
      <c r="P6263">
        <v>0.90355770000000002</v>
      </c>
      <c r="Q6263">
        <v>-9.8456790000000002E-2</v>
      </c>
      <c r="R6263">
        <v>-0.41700100000000001</v>
      </c>
      <c r="S6263">
        <v>2.9342649999999999</v>
      </c>
      <c r="T6263">
        <v>-0.29641210000000001</v>
      </c>
      <c r="U6263">
        <v>-0.76983639999999998</v>
      </c>
      <c r="V6263">
        <v>-0.34333330000000001</v>
      </c>
      <c r="W6263">
        <v>-8.7789800000000001E-2</v>
      </c>
      <c r="X6263">
        <v>0.93510170000000004</v>
      </c>
      <c r="Y6263">
        <v>-0.4999729</v>
      </c>
      <c r="Z6263">
        <v>8.0262879999999995E-2</v>
      </c>
      <c r="AA6263">
        <v>0.86231369999999896</v>
      </c>
      <c r="AB6263">
        <v>17</v>
      </c>
      <c r="AC6263">
        <v>0.80200000000002003</v>
      </c>
      <c r="AD6263">
        <v>-8.7671999999999903E-2</v>
      </c>
      <c r="AE6263">
        <v>-0.16638</v>
      </c>
      <c r="AF6263">
        <v>-0.44423849696561801</v>
      </c>
      <c r="AG6263">
        <v>-8.7671999999999903E-2</v>
      </c>
      <c r="AH6263">
        <v>0.67707157231741899</v>
      </c>
      <c r="AI6263">
        <v>96.179001295009499</v>
      </c>
      <c r="AJ6263">
        <v>123.269580637525</v>
      </c>
      <c r="AK6263">
        <v>0.81453062300361201</v>
      </c>
      <c r="AL6263">
        <v>95.036468609650896</v>
      </c>
      <c r="AM6263">
        <v>110.161288964577</v>
      </c>
      <c r="AN6263">
        <v>0.99999999660790995</v>
      </c>
    </row>
    <row r="6264" spans="1:40" x14ac:dyDescent="0.25">
      <c r="A6264" t="str">
        <f>"20190303154306753"</f>
        <v>20190303154306753</v>
      </c>
      <c r="B6264" t="str">
        <f>"1551598986746274"</f>
        <v>1551598986746274</v>
      </c>
      <c r="C6264" t="s">
        <v>40</v>
      </c>
      <c r="D6264">
        <v>5.5928959999999996</v>
      </c>
      <c r="E6264">
        <v>0.43297920000000001</v>
      </c>
      <c r="F6264" t="s">
        <v>42</v>
      </c>
      <c r="G6264">
        <v>-414.53399999999999</v>
      </c>
      <c r="H6264">
        <v>1.0287440000000001</v>
      </c>
      <c r="I6264">
        <v>25.03295</v>
      </c>
      <c r="J6264">
        <v>-415.39830000000001</v>
      </c>
      <c r="K6264">
        <v>1.1235740000000001</v>
      </c>
      <c r="L6264">
        <v>25.212399999999999</v>
      </c>
      <c r="M6264">
        <v>0.70937479999999997</v>
      </c>
      <c r="N6264">
        <v>-1.3713980000000001E-2</v>
      </c>
      <c r="O6264">
        <v>-0.70469799999999905</v>
      </c>
      <c r="P6264">
        <v>0.90449849999999998</v>
      </c>
      <c r="Q6264">
        <v>-9.8749439999999994E-2</v>
      </c>
      <c r="R6264">
        <v>-0.4148869</v>
      </c>
      <c r="S6264">
        <v>2.93634</v>
      </c>
      <c r="T6264">
        <v>-0.29931570000000002</v>
      </c>
      <c r="U6264">
        <v>-0.76113889999999995</v>
      </c>
      <c r="V6264">
        <v>-0.34258949999999999</v>
      </c>
      <c r="W6264">
        <v>-8.8023569999999995E-2</v>
      </c>
      <c r="X6264">
        <v>0.93535250000000003</v>
      </c>
      <c r="Y6264">
        <v>-0.49972430000000001</v>
      </c>
      <c r="Z6264">
        <v>8.0995349999999994E-2</v>
      </c>
      <c r="AA6264">
        <v>0.86238930000000003</v>
      </c>
      <c r="AB6264">
        <v>17</v>
      </c>
      <c r="AC6264">
        <v>0.86430000000001395</v>
      </c>
      <c r="AD6264">
        <v>-9.48299999999999E-2</v>
      </c>
      <c r="AE6264">
        <v>-0.179449999999999</v>
      </c>
      <c r="AF6264">
        <v>-0.47632140035499598</v>
      </c>
      <c r="AG6264">
        <v>-9.48299999999999E-2</v>
      </c>
      <c r="AH6264">
        <v>0.73120167083596399</v>
      </c>
      <c r="AI6264">
        <v>96.201857933978204</v>
      </c>
      <c r="AJ6264">
        <v>123.081135997007</v>
      </c>
      <c r="AK6264">
        <v>0.87779877464567602</v>
      </c>
      <c r="AL6264">
        <v>95.049914646049103</v>
      </c>
      <c r="AM6264">
        <v>110.116155708025</v>
      </c>
      <c r="AN6264">
        <v>1.00000000682102</v>
      </c>
    </row>
    <row r="6265" spans="1:40" x14ac:dyDescent="0.25">
      <c r="A6265" t="str">
        <f>"20190303154306765"</f>
        <v>20190303154306765</v>
      </c>
      <c r="B6265" t="str">
        <f>"1551598986757009"</f>
        <v>1551598986757009</v>
      </c>
      <c r="C6265" t="s">
        <v>40</v>
      </c>
      <c r="D6265">
        <v>5.65395</v>
      </c>
      <c r="E6265">
        <v>0.43297920000000001</v>
      </c>
      <c r="F6265" t="s">
        <v>42</v>
      </c>
      <c r="G6265">
        <v>-414.55790000000002</v>
      </c>
      <c r="H6265">
        <v>1.037731</v>
      </c>
      <c r="I6265">
        <v>24.995509999999999</v>
      </c>
      <c r="J6265">
        <v>-415.32260000000002</v>
      </c>
      <c r="K6265">
        <v>1.1234820000000001</v>
      </c>
      <c r="L6265">
        <v>25.143070000000002</v>
      </c>
      <c r="M6265">
        <v>0.71177669999999904</v>
      </c>
      <c r="N6265">
        <v>-1.3695229999999999E-2</v>
      </c>
      <c r="O6265">
        <v>-0.70227249999999997</v>
      </c>
      <c r="P6265">
        <v>0.9056033</v>
      </c>
      <c r="Q6265">
        <v>-9.9183160000000006E-2</v>
      </c>
      <c r="R6265">
        <v>-0.41236630000000002</v>
      </c>
      <c r="S6265">
        <v>2.9361269999999999</v>
      </c>
      <c r="T6265">
        <v>-0.29998720000000001</v>
      </c>
      <c r="U6265">
        <v>-0.75842290000000001</v>
      </c>
      <c r="V6265">
        <v>-0.34198489999999998</v>
      </c>
      <c r="W6265">
        <v>-8.839516E-2</v>
      </c>
      <c r="X6265">
        <v>0.9355386</v>
      </c>
      <c r="Y6265">
        <v>-0.49749470000000001</v>
      </c>
      <c r="Z6265">
        <v>8.0983349999999996E-2</v>
      </c>
      <c r="AA6265">
        <v>0.86367859999999996</v>
      </c>
      <c r="AB6265">
        <v>17</v>
      </c>
      <c r="AC6265">
        <v>0.76470000000000404</v>
      </c>
      <c r="AD6265">
        <v>-8.5750999999999897E-2</v>
      </c>
      <c r="AE6265">
        <v>-0.147560000000002</v>
      </c>
      <c r="AF6265">
        <v>-0.42686349460766398</v>
      </c>
      <c r="AG6265">
        <v>-8.5750999999999897E-2</v>
      </c>
      <c r="AH6265">
        <v>0.64022207820224597</v>
      </c>
      <c r="AI6265">
        <v>96.358830633352994</v>
      </c>
      <c r="AJ6265">
        <v>123.693089427643</v>
      </c>
      <c r="AK6265">
        <v>0.77424155561896102</v>
      </c>
      <c r="AL6265">
        <v>95.071288921478995</v>
      </c>
      <c r="AM6265">
        <v>110.07981844878501</v>
      </c>
      <c r="AN6265">
        <v>0.99999992411469496</v>
      </c>
    </row>
    <row r="6266" spans="1:40" x14ac:dyDescent="0.25">
      <c r="A6266" t="str">
        <f>"20190303154306778"</f>
        <v>20190303154306778</v>
      </c>
      <c r="B6266" t="str">
        <f>"1551598986766769"</f>
        <v>1551598986766769</v>
      </c>
      <c r="C6266" t="s">
        <v>40</v>
      </c>
      <c r="D6266">
        <v>5.6798229999999998</v>
      </c>
      <c r="E6266">
        <v>0.46168900000000002</v>
      </c>
      <c r="F6266" t="s">
        <v>42</v>
      </c>
      <c r="G6266">
        <v>-414.43200000000002</v>
      </c>
      <c r="H6266">
        <v>1.0323100000000001</v>
      </c>
      <c r="I6266">
        <v>24.91544</v>
      </c>
      <c r="J6266">
        <v>-415.25130000000001</v>
      </c>
      <c r="K6266">
        <v>1.1233979999999999</v>
      </c>
      <c r="L6266">
        <v>25.07788</v>
      </c>
      <c r="M6266">
        <v>0.71398830000000002</v>
      </c>
      <c r="N6266">
        <v>-1.3678010000000001E-2</v>
      </c>
      <c r="O6266">
        <v>-0.70002419999999899</v>
      </c>
      <c r="P6266">
        <v>0.90671999999999997</v>
      </c>
      <c r="Q6266">
        <v>-9.9390039999999999E-2</v>
      </c>
      <c r="R6266">
        <v>-0.4098542</v>
      </c>
      <c r="S6266">
        <v>2.9381710000000001</v>
      </c>
      <c r="T6266">
        <v>-0.30072569999999998</v>
      </c>
      <c r="U6266">
        <v>-0.75018309999999999</v>
      </c>
      <c r="V6266">
        <v>-0.3416283</v>
      </c>
      <c r="W6266">
        <v>-8.8546070000000004E-2</v>
      </c>
      <c r="X6266">
        <v>0.93565469999999895</v>
      </c>
      <c r="Y6266">
        <v>-0.49716399999999999</v>
      </c>
      <c r="Z6266">
        <v>8.1068609999999999E-2</v>
      </c>
      <c r="AA6266">
        <v>0.86386099999999999</v>
      </c>
      <c r="AB6266">
        <v>17</v>
      </c>
      <c r="AC6266">
        <v>0.81930000000005498</v>
      </c>
      <c r="AD6266">
        <v>-9.1087999999999794E-2</v>
      </c>
      <c r="AE6266">
        <v>-0.16244</v>
      </c>
      <c r="AF6266">
        <v>-0.45221413206126498</v>
      </c>
      <c r="AG6266">
        <v>-9.1087999999999794E-2</v>
      </c>
      <c r="AH6266">
        <v>0.69053528436910105</v>
      </c>
      <c r="AI6266">
        <v>96.297226137715299</v>
      </c>
      <c r="AJ6266">
        <v>123.21977730053</v>
      </c>
      <c r="AK6266">
        <v>0.83044182453597504</v>
      </c>
      <c r="AL6266">
        <v>95.0799690303174</v>
      </c>
      <c r="AM6266">
        <v>110.05826019134101</v>
      </c>
      <c r="AN6266">
        <v>1.00000000975271</v>
      </c>
    </row>
    <row r="6267" spans="1:40" x14ac:dyDescent="0.25">
      <c r="A6267" t="str">
        <f>"20190303154306794"</f>
        <v>20190303154306794</v>
      </c>
      <c r="B6267" t="str">
        <f>"1551598986786294"</f>
        <v>1551598986786294</v>
      </c>
      <c r="C6267" t="s">
        <v>40</v>
      </c>
      <c r="D6267">
        <v>5.6616519999999904</v>
      </c>
      <c r="E6267">
        <v>0.46922710000000001</v>
      </c>
      <c r="F6267" t="s">
        <v>42</v>
      </c>
      <c r="G6267">
        <v>-414.30459999999999</v>
      </c>
      <c r="H6267">
        <v>1.0206679999999999</v>
      </c>
      <c r="I6267">
        <v>24.761659999999999</v>
      </c>
      <c r="J6267">
        <v>-415.16019999999997</v>
      </c>
      <c r="K6267">
        <v>1.1232930000000001</v>
      </c>
      <c r="L6267">
        <v>24.99512</v>
      </c>
      <c r="M6267">
        <v>0.71670100000000003</v>
      </c>
      <c r="N6267">
        <v>-1.365652E-2</v>
      </c>
      <c r="O6267">
        <v>-0.69724719999999996</v>
      </c>
      <c r="P6267">
        <v>0.90739959999999997</v>
      </c>
      <c r="Q6267">
        <v>-0.1000263</v>
      </c>
      <c r="R6267">
        <v>-0.40819260000000002</v>
      </c>
      <c r="S6267">
        <v>2.8452449999999998</v>
      </c>
      <c r="T6267">
        <v>-0.30875019999999997</v>
      </c>
      <c r="U6267">
        <v>-0.95028690000000005</v>
      </c>
      <c r="V6267">
        <v>-0.33968169999999998</v>
      </c>
      <c r="W6267">
        <v>-8.9097019999999999E-2</v>
      </c>
      <c r="X6267">
        <v>0.93631089999999995</v>
      </c>
      <c r="Y6267">
        <v>-0.42987170000000002</v>
      </c>
      <c r="Z6267">
        <v>8.0857970000000001E-2</v>
      </c>
      <c r="AA6267">
        <v>0.89926209999999995</v>
      </c>
      <c r="AB6267">
        <v>17</v>
      </c>
      <c r="AC6267">
        <v>0.85559999999998104</v>
      </c>
      <c r="AD6267">
        <v>-0.10262499999999899</v>
      </c>
      <c r="AE6267">
        <v>-0.23346</v>
      </c>
      <c r="AF6267">
        <v>-0.42361150311495999</v>
      </c>
      <c r="AG6267">
        <v>-0.10262499999999899</v>
      </c>
      <c r="AH6267">
        <v>0.76580681572337495</v>
      </c>
      <c r="AI6267">
        <v>96.688195563524701</v>
      </c>
      <c r="AJ6267">
        <v>118.949487983456</v>
      </c>
      <c r="AK6267">
        <v>0.88115757682987195</v>
      </c>
      <c r="AL6267">
        <v>95.111661355733304</v>
      </c>
      <c r="AM6267">
        <v>109.940128355542</v>
      </c>
      <c r="AN6267">
        <v>1.00000001887329</v>
      </c>
    </row>
    <row r="6268" spans="1:40" x14ac:dyDescent="0.25">
      <c r="A6268" t="str">
        <f>"20190303154306805"</f>
        <v>20190303154306805</v>
      </c>
      <c r="B6268" t="str">
        <f>"1551598986797025"</f>
        <v>1551598986797025</v>
      </c>
      <c r="C6268" t="s">
        <v>40</v>
      </c>
      <c r="D6268">
        <v>5.670496</v>
      </c>
      <c r="E6268">
        <v>0.47085919999999998</v>
      </c>
      <c r="F6268" t="s">
        <v>58</v>
      </c>
      <c r="G6268">
        <v>-404.8741</v>
      </c>
      <c r="H6268" s="1">
        <v>-4.1805250000000001E-6</v>
      </c>
      <c r="I6268">
        <v>21.350809999999999</v>
      </c>
      <c r="J6268">
        <v>-415.09640000000002</v>
      </c>
      <c r="K6268">
        <v>1.1232249999999999</v>
      </c>
      <c r="L6268">
        <v>24.937439999999999</v>
      </c>
      <c r="M6268">
        <v>0.71852190000000005</v>
      </c>
      <c r="N6268">
        <v>-1.3641850000000001E-2</v>
      </c>
      <c r="O6268">
        <v>-0.69537079999999996</v>
      </c>
      <c r="P6268">
        <v>0.90782169999999895</v>
      </c>
      <c r="Q6268">
        <v>-0.1002731</v>
      </c>
      <c r="R6268">
        <v>-0.4071919</v>
      </c>
      <c r="S6268">
        <v>2.8223569999999998</v>
      </c>
      <c r="T6268">
        <v>-0.3082144</v>
      </c>
      <c r="U6268">
        <v>-0.99993900000000002</v>
      </c>
      <c r="V6268">
        <v>-0.33826149999999999</v>
      </c>
      <c r="W6268">
        <v>-8.9287370000000005E-2</v>
      </c>
      <c r="X6268">
        <v>0.93680669999999999</v>
      </c>
      <c r="Y6268">
        <v>-0.41118759999999999</v>
      </c>
      <c r="Z6268">
        <v>7.9849699999999996E-2</v>
      </c>
      <c r="AA6268">
        <v>0.90804669999999998</v>
      </c>
      <c r="AB6268">
        <v>17</v>
      </c>
      <c r="AC6268">
        <v>10.222300000000001</v>
      </c>
      <c r="AD6268">
        <v>-1.1232291805250001</v>
      </c>
      <c r="AE6268">
        <v>-3.5866299999999902</v>
      </c>
      <c r="AF6268">
        <v>-4.4834394191049602</v>
      </c>
      <c r="AG6268">
        <v>-1.1232291805250001</v>
      </c>
      <c r="AH6268">
        <v>9.7352415975803197</v>
      </c>
      <c r="AI6268">
        <v>95.982651077277296</v>
      </c>
      <c r="AJ6268">
        <v>114.727821663116</v>
      </c>
      <c r="AK6268">
        <v>10.7767250025239</v>
      </c>
      <c r="AL6268">
        <v>95.122611679524198</v>
      </c>
      <c r="AM6268">
        <v>109.85360156332401</v>
      </c>
      <c r="AN6268">
        <v>0.99999993499432605</v>
      </c>
    </row>
    <row r="6269" spans="1:40" x14ac:dyDescent="0.25">
      <c r="A6269" t="str">
        <f>"20190303154306821"</f>
        <v>20190303154306821</v>
      </c>
      <c r="B6269" t="str">
        <f>"1551598986816545"</f>
        <v>1551598986816545</v>
      </c>
      <c r="C6269" t="s">
        <v>40</v>
      </c>
      <c r="D6269">
        <v>5.6376099999999996</v>
      </c>
      <c r="E6269">
        <v>0.47321000000000002</v>
      </c>
      <c r="F6269" t="s">
        <v>58</v>
      </c>
      <c r="G6269">
        <v>-404.73899999999998</v>
      </c>
      <c r="H6269" s="1">
        <v>-4.2218329999999901E-6</v>
      </c>
      <c r="I6269">
        <v>21.229389999999999</v>
      </c>
      <c r="J6269">
        <v>-415.01339999999999</v>
      </c>
      <c r="K6269">
        <v>1.1231329999999999</v>
      </c>
      <c r="L6269">
        <v>24.862670000000001</v>
      </c>
      <c r="M6269">
        <v>0.72083699999999995</v>
      </c>
      <c r="N6269">
        <v>-1.3623400000000001E-2</v>
      </c>
      <c r="O6269">
        <v>-0.692971</v>
      </c>
      <c r="P6269">
        <v>0.90862169999999998</v>
      </c>
      <c r="Q6269">
        <v>-0.10053479999999999</v>
      </c>
      <c r="R6269">
        <v>-0.40533910000000001</v>
      </c>
      <c r="S6269">
        <v>2.8183590000000001</v>
      </c>
      <c r="T6269">
        <v>-0.30564340000000001</v>
      </c>
      <c r="U6269">
        <v>-1.0090030000000001</v>
      </c>
      <c r="V6269">
        <v>-0.3370474</v>
      </c>
      <c r="W6269">
        <v>-8.948412E-2</v>
      </c>
      <c r="X6269">
        <v>0.93722550000000004</v>
      </c>
      <c r="Y6269">
        <v>-0.405252</v>
      </c>
      <c r="Z6269">
        <v>7.8720150000000003E-2</v>
      </c>
      <c r="AA6269">
        <v>0.91080950000000005</v>
      </c>
      <c r="AB6269">
        <v>17</v>
      </c>
      <c r="AC6269">
        <v>10.274399999999901</v>
      </c>
      <c r="AD6269">
        <v>-1.123137221833</v>
      </c>
      <c r="AE6269">
        <v>-3.6332800000000001</v>
      </c>
      <c r="AF6269">
        <v>-4.4539681850429798</v>
      </c>
      <c r="AG6269">
        <v>-1.123137221833</v>
      </c>
      <c r="AH6269">
        <v>9.8205368852473196</v>
      </c>
      <c r="AI6269">
        <v>95.946184568749402</v>
      </c>
      <c r="AJ6269">
        <v>114.396008403698</v>
      </c>
      <c r="AK6269">
        <v>10.841688730402799</v>
      </c>
      <c r="AL6269">
        <v>95.1339296080602</v>
      </c>
      <c r="AM6269">
        <v>109.77972765154701</v>
      </c>
      <c r="AN6269">
        <v>0.99999999771459203</v>
      </c>
    </row>
    <row r="6270" spans="1:40" x14ac:dyDescent="0.25">
      <c r="A6270" t="str">
        <f>"20190303154306835"</f>
        <v>20190303154306835</v>
      </c>
      <c r="B6270" t="str">
        <f>"1551598986826306"</f>
        <v>1551598986826306</v>
      </c>
      <c r="C6270" t="s">
        <v>40</v>
      </c>
      <c r="D6270">
        <v>5.69754</v>
      </c>
      <c r="E6270">
        <v>0.47362860000000001</v>
      </c>
      <c r="F6270" t="s">
        <v>58</v>
      </c>
      <c r="G6270">
        <v>-404.70890000000003</v>
      </c>
      <c r="H6270" s="1">
        <v>-4.2170569999999997E-6</v>
      </c>
      <c r="I6270">
        <v>21.123860000000001</v>
      </c>
      <c r="J6270">
        <v>-414.92899999999997</v>
      </c>
      <c r="K6270">
        <v>1.123051</v>
      </c>
      <c r="L6270">
        <v>24.786960000000001</v>
      </c>
      <c r="M6270">
        <v>0.72311300000000001</v>
      </c>
      <c r="N6270">
        <v>-1.3605290000000001E-2</v>
      </c>
      <c r="O6270">
        <v>-0.69059589999999904</v>
      </c>
      <c r="P6270">
        <v>0.90924729999999998</v>
      </c>
      <c r="Q6270">
        <v>-0.1008332</v>
      </c>
      <c r="R6270">
        <v>-0.40385949999999998</v>
      </c>
      <c r="S6270">
        <v>2.8125309999999999</v>
      </c>
      <c r="T6270">
        <v>-0.30655120000000002</v>
      </c>
      <c r="U6270">
        <v>-1.0204770000000001</v>
      </c>
      <c r="V6270">
        <v>-0.33548509999999998</v>
      </c>
      <c r="W6270">
        <v>-8.9716569999999995E-2</v>
      </c>
      <c r="X6270">
        <v>0.93776369999999998</v>
      </c>
      <c r="Y6270">
        <v>-0.3983545</v>
      </c>
      <c r="Z6270">
        <v>7.8545470000000006E-2</v>
      </c>
      <c r="AA6270">
        <v>0.91386230000000002</v>
      </c>
      <c r="AB6270">
        <v>17</v>
      </c>
      <c r="AC6270">
        <v>10.2201</v>
      </c>
      <c r="AD6270">
        <v>-1.1230552170569901</v>
      </c>
      <c r="AE6270">
        <v>-3.6631</v>
      </c>
      <c r="AF6270">
        <v>-4.3628470008782303</v>
      </c>
      <c r="AG6270">
        <v>-1.1230552170569901</v>
      </c>
      <c r="AH6270">
        <v>9.8158913840882693</v>
      </c>
      <c r="AI6270">
        <v>95.968592774561699</v>
      </c>
      <c r="AJ6270">
        <v>113.963603253071</v>
      </c>
      <c r="AK6270">
        <v>10.800343079636299</v>
      </c>
      <c r="AL6270">
        <v>95.147301599337595</v>
      </c>
      <c r="AM6270">
        <v>109.68467708096701</v>
      </c>
      <c r="AN6270">
        <v>1.0000000361461301</v>
      </c>
    </row>
    <row r="6271" spans="1:40" x14ac:dyDescent="0.25">
      <c r="A6271" t="str">
        <f>"20190303154306851"</f>
        <v>20190303154306851</v>
      </c>
      <c r="B6271" t="str">
        <f>"1551598986846801"</f>
        <v>1551598986846801</v>
      </c>
      <c r="C6271" t="s">
        <v>40</v>
      </c>
      <c r="D6271">
        <v>5.6803429999999997</v>
      </c>
      <c r="E6271">
        <v>0.47494910000000001</v>
      </c>
      <c r="F6271" t="s">
        <v>58</v>
      </c>
      <c r="G6271">
        <v>-404.64229999999998</v>
      </c>
      <c r="H6271" s="1">
        <v>-4.2367959999999997E-6</v>
      </c>
      <c r="I6271">
        <v>21.06043</v>
      </c>
      <c r="J6271">
        <v>-414.83920000000001</v>
      </c>
      <c r="K6271">
        <v>1.1229750000000001</v>
      </c>
      <c r="L6271">
        <v>24.706849999999999</v>
      </c>
      <c r="M6271">
        <v>0.72543329999999995</v>
      </c>
      <c r="N6271">
        <v>-1.358724E-2</v>
      </c>
      <c r="O6271">
        <v>-0.6881583</v>
      </c>
      <c r="P6271">
        <v>0.90942889999999998</v>
      </c>
      <c r="Q6271">
        <v>-0.1007874</v>
      </c>
      <c r="R6271">
        <v>-0.40346090000000001</v>
      </c>
      <c r="S6271">
        <v>2.812805</v>
      </c>
      <c r="T6271">
        <v>-0.30708829999999998</v>
      </c>
      <c r="U6271">
        <v>-1.0189820000000001</v>
      </c>
      <c r="V6271">
        <v>-0.33276220000000001</v>
      </c>
      <c r="W6271">
        <v>-8.9599460000000006E-2</v>
      </c>
      <c r="X6271">
        <v>0.93874449999999998</v>
      </c>
      <c r="Y6271">
        <v>-0.39572859999999999</v>
      </c>
      <c r="Z6271">
        <v>7.8426300000000004E-2</v>
      </c>
      <c r="AA6271">
        <v>0.91501270000000001</v>
      </c>
      <c r="AB6271">
        <v>17</v>
      </c>
      <c r="AC6271">
        <v>10.196899999999999</v>
      </c>
      <c r="AD6271">
        <v>-1.1229792367960001</v>
      </c>
      <c r="AE6271">
        <v>-3.6464199999999898</v>
      </c>
      <c r="AF6271">
        <v>-4.3257343786139497</v>
      </c>
      <c r="AG6271">
        <v>-1.1229792367960001</v>
      </c>
      <c r="AH6271">
        <v>9.8019953530165793</v>
      </c>
      <c r="AI6271">
        <v>95.983529236221599</v>
      </c>
      <c r="AJ6271">
        <v>113.812424732572</v>
      </c>
      <c r="AK6271">
        <v>10.772751421115901</v>
      </c>
      <c r="AL6271">
        <v>95.140564792753494</v>
      </c>
      <c r="AM6271">
        <v>109.518184521154</v>
      </c>
      <c r="AN6271">
        <v>0.99999999063069001</v>
      </c>
    </row>
    <row r="6272" spans="1:40" x14ac:dyDescent="0.25">
      <c r="A6272" t="str">
        <f>"20190303154306866"</f>
        <v>20190303154306866</v>
      </c>
      <c r="B6272" t="str">
        <f>"1551598986856562"</f>
        <v>1551598986856562</v>
      </c>
      <c r="C6272" t="s">
        <v>40</v>
      </c>
      <c r="D6272">
        <v>5.6728769999999997</v>
      </c>
      <c r="E6272">
        <v>0.47562330000000003</v>
      </c>
      <c r="F6272" t="s">
        <v>58</v>
      </c>
      <c r="G6272">
        <v>-404.57470000000001</v>
      </c>
      <c r="H6272" s="1">
        <v>-4.2491989999999997E-6</v>
      </c>
      <c r="I6272">
        <v>20.953140000000001</v>
      </c>
      <c r="J6272">
        <v>-414.75459999999998</v>
      </c>
      <c r="K6272">
        <v>1.122914</v>
      </c>
      <c r="L6272">
        <v>24.631679999999999</v>
      </c>
      <c r="M6272">
        <v>0.72755319999999901</v>
      </c>
      <c r="N6272">
        <v>-1.357126E-2</v>
      </c>
      <c r="O6272">
        <v>-0.68591729999999995</v>
      </c>
      <c r="P6272">
        <v>0.91016039999999998</v>
      </c>
      <c r="Q6272">
        <v>-0.10043199999999999</v>
      </c>
      <c r="R6272">
        <v>-0.40189770000000002</v>
      </c>
      <c r="S6272">
        <v>2.809021</v>
      </c>
      <c r="T6272">
        <v>-0.30731799999999998</v>
      </c>
      <c r="U6272">
        <v>-1.0272520000000001</v>
      </c>
      <c r="V6272">
        <v>-0.33152239999999999</v>
      </c>
      <c r="W6272">
        <v>-8.9196540000000005E-2</v>
      </c>
      <c r="X6272">
        <v>0.93922139999999998</v>
      </c>
      <c r="Y6272">
        <v>-0.39013969999999998</v>
      </c>
      <c r="Z6272">
        <v>7.8103359999999997E-2</v>
      </c>
      <c r="AA6272">
        <v>0.91743710000000001</v>
      </c>
      <c r="AB6272">
        <v>17</v>
      </c>
      <c r="AC6272">
        <v>10.1798999999999</v>
      </c>
      <c r="AD6272">
        <v>-1.122918249199</v>
      </c>
      <c r="AE6272">
        <v>-3.6785399999999999</v>
      </c>
      <c r="AF6272">
        <v>-4.2607755664597304</v>
      </c>
      <c r="AG6272">
        <v>-1.122918249199</v>
      </c>
      <c r="AH6272">
        <v>9.8247675438216699</v>
      </c>
      <c r="AI6272">
        <v>95.986075991137696</v>
      </c>
      <c r="AJ6272">
        <v>113.44526772713201</v>
      </c>
      <c r="AK6272">
        <v>10.7676000627928</v>
      </c>
      <c r="AL6272">
        <v>95.117386417790499</v>
      </c>
      <c r="AM6272">
        <v>109.441797490686</v>
      </c>
      <c r="AN6272">
        <v>0.99999998133384504</v>
      </c>
    </row>
    <row r="6273" spans="1:40" x14ac:dyDescent="0.25">
      <c r="A6273" t="str">
        <f>"20190303154306884"</f>
        <v>20190303154306884</v>
      </c>
      <c r="B6273" t="str">
        <f>"1551598986877075"</f>
        <v>1551598986877075</v>
      </c>
      <c r="C6273" t="s">
        <v>40</v>
      </c>
      <c r="D6273">
        <v>5.6763029999999999</v>
      </c>
      <c r="E6273">
        <v>0.47644639999999999</v>
      </c>
      <c r="F6273" t="s">
        <v>58</v>
      </c>
      <c r="G6273">
        <v>-404.43650000000002</v>
      </c>
      <c r="H6273" s="1">
        <v>-4.2964699999999999E-6</v>
      </c>
      <c r="I6273">
        <v>20.85699</v>
      </c>
      <c r="J6273">
        <v>-414.649</v>
      </c>
      <c r="K6273">
        <v>1.1228549999999999</v>
      </c>
      <c r="L6273">
        <v>24.53839</v>
      </c>
      <c r="M6273">
        <v>0.73011769999999998</v>
      </c>
      <c r="N6273">
        <v>-1.3552959999999999E-2</v>
      </c>
      <c r="O6273">
        <v>-0.68318699999999999</v>
      </c>
      <c r="P6273">
        <v>0.91095740000000003</v>
      </c>
      <c r="Q6273">
        <v>-9.9402799999999999E-2</v>
      </c>
      <c r="R6273">
        <v>-0.40034510000000001</v>
      </c>
      <c r="S6273">
        <v>2.8086549999999999</v>
      </c>
      <c r="T6273">
        <v>-0.30566500000000002</v>
      </c>
      <c r="U6273">
        <v>-1.027496</v>
      </c>
      <c r="V6273">
        <v>-0.32970260000000001</v>
      </c>
      <c r="W6273">
        <v>-8.8115860000000004E-2</v>
      </c>
      <c r="X6273">
        <v>0.93996369999999896</v>
      </c>
      <c r="Y6273">
        <v>-0.38665159999999998</v>
      </c>
      <c r="Z6273">
        <v>7.7317129999999998E-2</v>
      </c>
      <c r="AA6273">
        <v>0.91897910000000005</v>
      </c>
      <c r="AB6273">
        <v>17</v>
      </c>
      <c r="AC6273">
        <v>10.212499999999901</v>
      </c>
      <c r="AD6273">
        <v>-1.1228592964699999</v>
      </c>
      <c r="AE6273">
        <v>-3.6814</v>
      </c>
      <c r="AF6273">
        <v>-4.24417889942311</v>
      </c>
      <c r="AG6273">
        <v>-1.1228592964699999</v>
      </c>
      <c r="AH6273">
        <v>9.8667663920901703</v>
      </c>
      <c r="AI6273">
        <v>95.968073182228906</v>
      </c>
      <c r="AJ6273">
        <v>113.27490540060199</v>
      </c>
      <c r="AK6273">
        <v>10.7993956574457</v>
      </c>
      <c r="AL6273">
        <v>95.055223219841807</v>
      </c>
      <c r="AM6273">
        <v>109.328880329287</v>
      </c>
      <c r="AN6273">
        <v>0.99999998327399398</v>
      </c>
    </row>
    <row r="6274" spans="1:40" x14ac:dyDescent="0.25">
      <c r="A6274" t="str">
        <f>"20190303154306897"</f>
        <v>20190303154306897</v>
      </c>
      <c r="B6274" t="str">
        <f>"1551598986886818"</f>
        <v>1551598986886818</v>
      </c>
      <c r="C6274" t="s">
        <v>40</v>
      </c>
      <c r="D6274">
        <v>5.632987</v>
      </c>
      <c r="E6274">
        <v>0.47679529999999998</v>
      </c>
      <c r="F6274" t="s">
        <v>58</v>
      </c>
      <c r="G6274">
        <v>-404.20499999999998</v>
      </c>
      <c r="H6274" s="1">
        <v>-4.3785679999999999E-6</v>
      </c>
      <c r="I6274">
        <v>20.71255</v>
      </c>
      <c r="J6274">
        <v>-414.57459999999998</v>
      </c>
      <c r="K6274">
        <v>1.122822</v>
      </c>
      <c r="L6274">
        <v>24.472809999999999</v>
      </c>
      <c r="M6274">
        <v>0.73188599999999904</v>
      </c>
      <c r="N6274">
        <v>-1.354117E-2</v>
      </c>
      <c r="O6274">
        <v>-0.68129269999999997</v>
      </c>
      <c r="P6274">
        <v>0.91195280000000001</v>
      </c>
      <c r="Q6274">
        <v>-9.8918530000000005E-2</v>
      </c>
      <c r="R6274">
        <v>-0.39819260000000001</v>
      </c>
      <c r="S6274">
        <v>2.8081670000000001</v>
      </c>
      <c r="T6274">
        <v>-0.30191279999999998</v>
      </c>
      <c r="U6274">
        <v>-1.0286869999999999</v>
      </c>
      <c r="V6274">
        <v>-0.32953169999999998</v>
      </c>
      <c r="W6274">
        <v>-8.7613430000000006E-2</v>
      </c>
      <c r="X6274">
        <v>0.94007059999999998</v>
      </c>
      <c r="Y6274">
        <v>-0.3839902</v>
      </c>
      <c r="Z6274">
        <v>7.6043139999999995E-2</v>
      </c>
      <c r="AA6274">
        <v>0.92020049999999998</v>
      </c>
      <c r="AB6274">
        <v>17</v>
      </c>
      <c r="AC6274">
        <v>10.369599999999901</v>
      </c>
      <c r="AD6274">
        <v>-1.1228263785679999</v>
      </c>
      <c r="AE6274">
        <v>-3.7602599999999899</v>
      </c>
      <c r="AF6274">
        <v>-4.26881218579563</v>
      </c>
      <c r="AG6274">
        <v>-1.1228263785679999</v>
      </c>
      <c r="AH6274">
        <v>10.048013783997</v>
      </c>
      <c r="AI6274">
        <v>95.872181603951304</v>
      </c>
      <c r="AJ6274">
        <v>113.01779442728601</v>
      </c>
      <c r="AK6274">
        <v>10.9747928252609</v>
      </c>
      <c r="AL6274">
        <v>95.026324279315702</v>
      </c>
      <c r="AM6274">
        <v>109.317569623349</v>
      </c>
      <c r="AN6274">
        <v>0.99999999370280701</v>
      </c>
    </row>
    <row r="6275" spans="1:40" x14ac:dyDescent="0.25">
      <c r="A6275" t="str">
        <f>"20190303154306909"</f>
        <v>20190303154306909</v>
      </c>
      <c r="B6275" t="str">
        <f>"1551598986906338"</f>
        <v>1551598986906338</v>
      </c>
      <c r="C6275" t="s">
        <v>40</v>
      </c>
      <c r="D6275">
        <v>5.6728239999999897</v>
      </c>
      <c r="E6275">
        <v>0.47735509999999898</v>
      </c>
      <c r="F6275" t="s">
        <v>58</v>
      </c>
      <c r="G6275">
        <v>-404.0745</v>
      </c>
      <c r="H6275" s="1">
        <v>-4.4271289999999997E-6</v>
      </c>
      <c r="I6275">
        <v>20.643750000000001</v>
      </c>
      <c r="J6275">
        <v>-414.50540000000001</v>
      </c>
      <c r="K6275">
        <v>1.1228039999999999</v>
      </c>
      <c r="L6275">
        <v>24.412320000000001</v>
      </c>
      <c r="M6275">
        <v>0.73349109999999995</v>
      </c>
      <c r="N6275">
        <v>-1.3531420000000001E-2</v>
      </c>
      <c r="O6275">
        <v>-0.67956439999999996</v>
      </c>
      <c r="P6275">
        <v>0.91281239999999997</v>
      </c>
      <c r="Q6275">
        <v>-9.8706870000000002E-2</v>
      </c>
      <c r="R6275">
        <v>-0.39627109999999999</v>
      </c>
      <c r="S6275">
        <v>2.8096619999999999</v>
      </c>
      <c r="T6275">
        <v>-0.30045139999999998</v>
      </c>
      <c r="U6275">
        <v>-1.024597</v>
      </c>
      <c r="V6275">
        <v>-0.32931480000000002</v>
      </c>
      <c r="W6275">
        <v>-8.7394929999999996E-2</v>
      </c>
      <c r="X6275">
        <v>0.94016699999999997</v>
      </c>
      <c r="Y6275">
        <v>-0.38320290000000001</v>
      </c>
      <c r="Z6275">
        <v>7.5497679999999998E-2</v>
      </c>
      <c r="AA6275">
        <v>0.92057350000000004</v>
      </c>
      <c r="AB6275">
        <v>17</v>
      </c>
      <c r="AC6275">
        <v>10.430899999999999</v>
      </c>
      <c r="AD6275">
        <v>-1.122808427129</v>
      </c>
      <c r="AE6275">
        <v>-3.76857</v>
      </c>
      <c r="AF6275">
        <v>-4.2807774207391898</v>
      </c>
      <c r="AG6275">
        <v>-1.122808427129</v>
      </c>
      <c r="AH6275">
        <v>10.1092819663186</v>
      </c>
      <c r="AI6275">
        <v>95.839646049494704</v>
      </c>
      <c r="AJ6275">
        <v>112.950237971574</v>
      </c>
      <c r="AK6275">
        <v>11.035548738711499</v>
      </c>
      <c r="AL6275">
        <v>95.013756664091005</v>
      </c>
      <c r="AM6275">
        <v>109.30396264380499</v>
      </c>
      <c r="AN6275">
        <v>1.0000000495888699</v>
      </c>
    </row>
    <row r="6276" spans="1:40" x14ac:dyDescent="0.25">
      <c r="A6276" t="str">
        <f>"20190303154306922"</f>
        <v>20190303154306922</v>
      </c>
      <c r="B6276" t="str">
        <f>"1551598986917074"</f>
        <v>1551598986917074</v>
      </c>
      <c r="C6276" t="s">
        <v>40</v>
      </c>
      <c r="D6276">
        <v>5.6935760000000002</v>
      </c>
      <c r="E6276">
        <v>0.47753400000000001</v>
      </c>
      <c r="F6276" t="s">
        <v>58</v>
      </c>
      <c r="G6276">
        <v>-404.01609999999999</v>
      </c>
      <c r="H6276" s="1">
        <v>-4.4454669999999998E-6</v>
      </c>
      <c r="I6276">
        <v>20.594110000000001</v>
      </c>
      <c r="J6276">
        <v>-414.43400000000003</v>
      </c>
      <c r="K6276">
        <v>1.1227929999999999</v>
      </c>
      <c r="L6276">
        <v>24.349979999999999</v>
      </c>
      <c r="M6276">
        <v>0.73513260000000002</v>
      </c>
      <c r="N6276">
        <v>-1.3522289999999999E-2</v>
      </c>
      <c r="O6276">
        <v>-0.67778870000000002</v>
      </c>
      <c r="P6276">
        <v>0.91382929999999996</v>
      </c>
      <c r="Q6276">
        <v>-9.8548849999999993E-2</v>
      </c>
      <c r="R6276">
        <v>-0.39395970000000002</v>
      </c>
      <c r="S6276">
        <v>2.8099669999999999</v>
      </c>
      <c r="T6276">
        <v>-0.30078820000000001</v>
      </c>
      <c r="U6276">
        <v>-1.022858</v>
      </c>
      <c r="V6276">
        <v>-0.32943450000000002</v>
      </c>
      <c r="W6276">
        <v>-8.7238899999999994E-2</v>
      </c>
      <c r="X6276">
        <v>0.94013950000000002</v>
      </c>
      <c r="Y6276">
        <v>-0.3815075</v>
      </c>
      <c r="Z6276">
        <v>7.5406749999999995E-2</v>
      </c>
      <c r="AA6276">
        <v>0.92128489999999996</v>
      </c>
      <c r="AB6276">
        <v>17</v>
      </c>
      <c r="AC6276">
        <v>10.417899999999999</v>
      </c>
      <c r="AD6276">
        <v>-1.122797445467</v>
      </c>
      <c r="AE6276">
        <v>-3.75586999999999</v>
      </c>
      <c r="AF6276">
        <v>-4.2567079538246002</v>
      </c>
      <c r="AG6276">
        <v>-1.122797445467</v>
      </c>
      <c r="AH6276">
        <v>10.1013187455204</v>
      </c>
      <c r="AI6276">
        <v>95.848425270264897</v>
      </c>
      <c r="AJ6276">
        <v>112.850616633135</v>
      </c>
      <c r="AK6276">
        <v>11.0189326663839</v>
      </c>
      <c r="AL6276">
        <v>95.004782789644096</v>
      </c>
      <c r="AM6276">
        <v>109.310982999872</v>
      </c>
      <c r="AN6276">
        <v>0.99999999746185497</v>
      </c>
    </row>
    <row r="6277" spans="1:40" x14ac:dyDescent="0.25">
      <c r="A6277" t="str">
        <f>"20190303154306939"</f>
        <v>20190303154306939</v>
      </c>
      <c r="B6277" t="str">
        <f>"1551598986936594"</f>
        <v>1551598986936594</v>
      </c>
      <c r="C6277" t="s">
        <v>40</v>
      </c>
      <c r="D6277">
        <v>5.6712220000000002</v>
      </c>
      <c r="E6277">
        <v>0.47798629999999998</v>
      </c>
      <c r="F6277" t="s">
        <v>58</v>
      </c>
      <c r="G6277">
        <v>-403.9556</v>
      </c>
      <c r="H6277" s="1">
        <v>-4.4677109999999997E-6</v>
      </c>
      <c r="I6277">
        <v>20.56052</v>
      </c>
      <c r="J6277">
        <v>-414.33640000000003</v>
      </c>
      <c r="K6277">
        <v>1.122787</v>
      </c>
      <c r="L6277">
        <v>24.265260000000001</v>
      </c>
      <c r="M6277">
        <v>0.73734429999999995</v>
      </c>
      <c r="N6277">
        <v>-1.351137E-2</v>
      </c>
      <c r="O6277">
        <v>-0.67538209999999999</v>
      </c>
      <c r="P6277">
        <v>0.91533850000000005</v>
      </c>
      <c r="Q6277">
        <v>-9.9401400000000001E-2</v>
      </c>
      <c r="R6277">
        <v>-0.39022479999999998</v>
      </c>
      <c r="S6277">
        <v>2.8119809999999998</v>
      </c>
      <c r="T6277">
        <v>-0.30131330000000001</v>
      </c>
      <c r="U6277">
        <v>-1.016937</v>
      </c>
      <c r="V6277">
        <v>-0.33013350000000002</v>
      </c>
      <c r="W6277">
        <v>-8.8109699999999999E-2</v>
      </c>
      <c r="X6277">
        <v>0.93981300000000001</v>
      </c>
      <c r="Y6277">
        <v>-0.38041079999999999</v>
      </c>
      <c r="Z6277">
        <v>7.5348760000000001E-2</v>
      </c>
      <c r="AA6277">
        <v>0.92174299999999998</v>
      </c>
      <c r="AB6277">
        <v>17</v>
      </c>
      <c r="AC6277">
        <v>10.380800000000001</v>
      </c>
      <c r="AD6277">
        <v>-1.122791467711</v>
      </c>
      <c r="AE6277">
        <v>-3.7047400000000001</v>
      </c>
      <c r="AF6277">
        <v>-4.2357733185720496</v>
      </c>
      <c r="AG6277">
        <v>-1.122791467711</v>
      </c>
      <c r="AH6277">
        <v>10.0529458221677</v>
      </c>
      <c r="AI6277">
        <v>95.876453569595796</v>
      </c>
      <c r="AJ6277">
        <v>112.84795352094601</v>
      </c>
      <c r="AK6277">
        <v>10.966501538308799</v>
      </c>
      <c r="AL6277">
        <v>95.054869012528499</v>
      </c>
      <c r="AM6277">
        <v>109.35513752755099</v>
      </c>
      <c r="AN6277">
        <v>0.99999996101266897</v>
      </c>
    </row>
    <row r="6278" spans="1:40" x14ac:dyDescent="0.25">
      <c r="A6278" t="str">
        <f>"20190303154306952"</f>
        <v>20190303154306952</v>
      </c>
      <c r="B6278" t="str">
        <f>"1551598986946354"</f>
        <v>1551598986946354</v>
      </c>
      <c r="C6278" t="s">
        <v>40</v>
      </c>
      <c r="D6278">
        <v>5.6779190000000002</v>
      </c>
      <c r="E6278">
        <v>0.47822789999999998</v>
      </c>
      <c r="F6278" t="s">
        <v>58</v>
      </c>
      <c r="G6278">
        <v>-403.95299999999997</v>
      </c>
      <c r="H6278" s="1">
        <v>-4.465929E-6</v>
      </c>
      <c r="I6278">
        <v>20.543749999999999</v>
      </c>
      <c r="J6278">
        <v>-414.26310000000001</v>
      </c>
      <c r="K6278">
        <v>1.1227910000000001</v>
      </c>
      <c r="L6278">
        <v>24.201969999999999</v>
      </c>
      <c r="M6278">
        <v>0.73898699999999995</v>
      </c>
      <c r="N6278">
        <v>-1.350439E-2</v>
      </c>
      <c r="O6278">
        <v>-0.67358450000000003</v>
      </c>
      <c r="P6278">
        <v>0.91634950000000004</v>
      </c>
      <c r="Q6278">
        <v>-9.9986870000000005E-2</v>
      </c>
      <c r="R6278">
        <v>-0.38769389999999998</v>
      </c>
      <c r="S6278">
        <v>2.8143919999999998</v>
      </c>
      <c r="T6278">
        <v>-0.30432779999999998</v>
      </c>
      <c r="U6278">
        <v>-1.0086980000000001</v>
      </c>
      <c r="V6278">
        <v>-0.33039359999999901</v>
      </c>
      <c r="W6278">
        <v>-8.8712120000000005E-2</v>
      </c>
      <c r="X6278">
        <v>0.93966499999999997</v>
      </c>
      <c r="Y6278">
        <v>-0.38071929999999998</v>
      </c>
      <c r="Z6278">
        <v>7.6081739999999995E-2</v>
      </c>
      <c r="AA6278">
        <v>0.92155540000000002</v>
      </c>
      <c r="AB6278">
        <v>17</v>
      </c>
      <c r="AC6278">
        <v>10.310099999999901</v>
      </c>
      <c r="AD6278">
        <v>-1.122795465929</v>
      </c>
      <c r="AE6278">
        <v>-3.65822</v>
      </c>
      <c r="AF6278">
        <v>-4.1975178352218903</v>
      </c>
      <c r="AG6278">
        <v>-1.122795465929</v>
      </c>
      <c r="AH6278">
        <v>9.9789541651880498</v>
      </c>
      <c r="AI6278">
        <v>95.921230114401297</v>
      </c>
      <c r="AJ6278">
        <v>112.81342573505</v>
      </c>
      <c r="AK6278">
        <v>10.8839033377846</v>
      </c>
      <c r="AL6278">
        <v>95.0895204196854</v>
      </c>
      <c r="AM6278">
        <v>109.37207506684599</v>
      </c>
      <c r="AN6278">
        <v>1.00000004169042</v>
      </c>
    </row>
    <row r="6279" spans="1:40" x14ac:dyDescent="0.25">
      <c r="A6279" t="str">
        <f>"20190303154306963"</f>
        <v>20190303154306963</v>
      </c>
      <c r="B6279" t="str">
        <f>"1551598986957089"</f>
        <v>1551598986957089</v>
      </c>
      <c r="C6279" t="s">
        <v>40</v>
      </c>
      <c r="D6279">
        <v>5.6887860000000003</v>
      </c>
      <c r="E6279">
        <v>0.47837809999999997</v>
      </c>
      <c r="F6279" t="s">
        <v>58</v>
      </c>
      <c r="G6279">
        <v>-403.94470000000001</v>
      </c>
      <c r="H6279" s="1">
        <v>-4.4670270000000003E-6</v>
      </c>
      <c r="I6279">
        <v>20.528189999999999</v>
      </c>
      <c r="J6279">
        <v>-414.1943</v>
      </c>
      <c r="K6279">
        <v>1.1228020000000001</v>
      </c>
      <c r="L6279">
        <v>24.142880000000002</v>
      </c>
      <c r="M6279">
        <v>0.74051630000000002</v>
      </c>
      <c r="N6279">
        <v>-1.3498680000000001E-2</v>
      </c>
      <c r="O6279">
        <v>-0.67190289999999997</v>
      </c>
      <c r="P6279">
        <v>0.91729470000000002</v>
      </c>
      <c r="Q6279">
        <v>-0.100449</v>
      </c>
      <c r="R6279">
        <v>-0.3853319</v>
      </c>
      <c r="S6279">
        <v>2.8162229999999999</v>
      </c>
      <c r="T6279">
        <v>-0.30644519999999997</v>
      </c>
      <c r="U6279">
        <v>-1.002686</v>
      </c>
      <c r="V6279">
        <v>-0.33063959999999998</v>
      </c>
      <c r="W6279">
        <v>-8.9191999999999994E-2</v>
      </c>
      <c r="X6279">
        <v>0.93953299999999995</v>
      </c>
      <c r="Y6279">
        <v>-0.38049909999999998</v>
      </c>
      <c r="Z6279">
        <v>7.6544050000000002E-2</v>
      </c>
      <c r="AA6279">
        <v>0.92160810000000004</v>
      </c>
      <c r="AB6279">
        <v>17</v>
      </c>
      <c r="AC6279">
        <v>10.2495999999999</v>
      </c>
      <c r="AD6279">
        <v>-1.1228064670269999</v>
      </c>
      <c r="AE6279">
        <v>-3.61469</v>
      </c>
      <c r="AF6279">
        <v>-4.1659197367955398</v>
      </c>
      <c r="AG6279">
        <v>-1.1228064670269999</v>
      </c>
      <c r="AH6279">
        <v>9.9138190004247999</v>
      </c>
      <c r="AI6279">
        <v>95.960807907575798</v>
      </c>
      <c r="AJ6279">
        <v>112.792799168843</v>
      </c>
      <c r="AK6279">
        <v>10.8120020712634</v>
      </c>
      <c r="AL6279">
        <v>95.117125117088904</v>
      </c>
      <c r="AM6279">
        <v>109.387943763032</v>
      </c>
      <c r="AN6279">
        <v>1.00000000802057</v>
      </c>
    </row>
    <row r="6280" spans="1:40" x14ac:dyDescent="0.25">
      <c r="A6280" t="str">
        <f>"20190303154306976"</f>
        <v>20190303154306976</v>
      </c>
      <c r="B6280" t="str">
        <f>"1551598986966850"</f>
        <v>1551598986966850</v>
      </c>
      <c r="C6280" t="s">
        <v>40</v>
      </c>
      <c r="D6280">
        <v>5.6528809999999998</v>
      </c>
      <c r="E6280">
        <v>0.47850969999999998</v>
      </c>
      <c r="F6280" t="s">
        <v>58</v>
      </c>
      <c r="G6280">
        <v>-403.93729999999999</v>
      </c>
      <c r="H6280" s="1">
        <v>-4.4683650000000004E-6</v>
      </c>
      <c r="I6280">
        <v>20.51641</v>
      </c>
      <c r="J6280">
        <v>-414.12099999999998</v>
      </c>
      <c r="K6280">
        <v>1.1228149999999999</v>
      </c>
      <c r="L6280">
        <v>24.080079999999999</v>
      </c>
      <c r="M6280">
        <v>0.74213850000000003</v>
      </c>
      <c r="N6280">
        <v>-1.349299E-2</v>
      </c>
      <c r="O6280">
        <v>-0.67011080000000001</v>
      </c>
      <c r="P6280">
        <v>0.91837389999999997</v>
      </c>
      <c r="Q6280">
        <v>-0.1005577</v>
      </c>
      <c r="R6280">
        <v>-0.38272460000000003</v>
      </c>
      <c r="S6280">
        <v>2.8181759999999998</v>
      </c>
      <c r="T6280">
        <v>-0.30849860000000001</v>
      </c>
      <c r="U6280">
        <v>-0.99639889999999998</v>
      </c>
      <c r="V6280">
        <v>-0.33102510000000002</v>
      </c>
      <c r="W6280">
        <v>-8.9321079999999997E-2</v>
      </c>
      <c r="X6280">
        <v>0.93938500000000003</v>
      </c>
      <c r="Y6280">
        <v>-0.38024039999999998</v>
      </c>
      <c r="Z6280">
        <v>7.6976310000000006E-2</v>
      </c>
      <c r="AA6280">
        <v>0.92167880000000002</v>
      </c>
      <c r="AB6280">
        <v>17</v>
      </c>
      <c r="AC6280">
        <v>10.1836999999999</v>
      </c>
      <c r="AD6280">
        <v>-1.1228194683649999</v>
      </c>
      <c r="AE6280">
        <v>-3.5636699999999899</v>
      </c>
      <c r="AF6280">
        <v>-4.1350670929643298</v>
      </c>
      <c r="AG6280">
        <v>-1.1228194683649999</v>
      </c>
      <c r="AH6280">
        <v>9.8401037025519802</v>
      </c>
      <c r="AI6280">
        <v>96.005179387067002</v>
      </c>
      <c r="AJ6280">
        <v>112.793410410912</v>
      </c>
      <c r="AK6280">
        <v>10.7325273956712</v>
      </c>
      <c r="AL6280">
        <v>95.124550405143694</v>
      </c>
      <c r="AM6280">
        <v>109.41168863831101</v>
      </c>
      <c r="AN6280">
        <v>1.00000002519368</v>
      </c>
    </row>
    <row r="6281" spans="1:40" x14ac:dyDescent="0.25">
      <c r="A6281" t="str">
        <f>"20190303154306988"</f>
        <v>20190303154306988</v>
      </c>
      <c r="B6281" t="str">
        <f>"1551598986976610"</f>
        <v>1551598986976610</v>
      </c>
      <c r="C6281" t="s">
        <v>40</v>
      </c>
      <c r="D6281">
        <v>5.6910369999999997</v>
      </c>
      <c r="E6281">
        <v>0.47870210000000002</v>
      </c>
      <c r="F6281" t="s">
        <v>58</v>
      </c>
      <c r="G6281">
        <v>-403.87959999999998</v>
      </c>
      <c r="H6281" s="1">
        <v>-4.4901149999999998E-6</v>
      </c>
      <c r="I6281">
        <v>20.4877</v>
      </c>
      <c r="J6281">
        <v>-414.05099999999999</v>
      </c>
      <c r="K6281">
        <v>1.1228340000000001</v>
      </c>
      <c r="L6281">
        <v>24.020569999999999</v>
      </c>
      <c r="M6281">
        <v>0.74367649999999996</v>
      </c>
      <c r="N6281">
        <v>-1.3488299999999899E-2</v>
      </c>
      <c r="O6281">
        <v>-0.66840359999999999</v>
      </c>
      <c r="P6281">
        <v>0.9194793</v>
      </c>
      <c r="Q6281">
        <v>-0.1005611</v>
      </c>
      <c r="R6281">
        <v>-0.3800597</v>
      </c>
      <c r="S6281">
        <v>2.8204959999999999</v>
      </c>
      <c r="T6281">
        <v>-0.30922660000000002</v>
      </c>
      <c r="U6281">
        <v>-0.98934940000000005</v>
      </c>
      <c r="V6281">
        <v>-0.33158649999999901</v>
      </c>
      <c r="W6281">
        <v>-8.9344290000000007E-2</v>
      </c>
      <c r="X6281">
        <v>0.93918469999999998</v>
      </c>
      <c r="Y6281">
        <v>-0.3803878</v>
      </c>
      <c r="Z6281">
        <v>7.707021E-2</v>
      </c>
      <c r="AA6281">
        <v>0.92161020000000005</v>
      </c>
      <c r="AB6281">
        <v>17</v>
      </c>
      <c r="AC6281">
        <v>10.1714</v>
      </c>
      <c r="AD6281">
        <v>-1.1228384901149999</v>
      </c>
      <c r="AE6281">
        <v>-3.53287</v>
      </c>
      <c r="AF6281">
        <v>-4.1267908703724796</v>
      </c>
      <c r="AG6281">
        <v>-1.1228384901149999</v>
      </c>
      <c r="AH6281">
        <v>9.8197329376501692</v>
      </c>
      <c r="AI6281">
        <v>96.017585122299707</v>
      </c>
      <c r="AJ6281">
        <v>112.79481926925899</v>
      </c>
      <c r="AK6281">
        <v>10.710664037745</v>
      </c>
      <c r="AL6281">
        <v>95.125885939532907</v>
      </c>
      <c r="AM6281">
        <v>109.445977351945</v>
      </c>
      <c r="AN6281">
        <v>0.99999995492597005</v>
      </c>
    </row>
    <row r="6282" spans="1:40" x14ac:dyDescent="0.25">
      <c r="A6282" t="str">
        <f>"20190303154307001"</f>
        <v>20190303154307001</v>
      </c>
      <c r="B6282" t="str">
        <f>"1551598986997106"</f>
        <v>1551598986997106</v>
      </c>
      <c r="C6282" t="s">
        <v>40</v>
      </c>
      <c r="D6282">
        <v>5.6522540000000001</v>
      </c>
      <c r="E6282">
        <v>0.47899849999999999</v>
      </c>
      <c r="F6282" t="s">
        <v>58</v>
      </c>
      <c r="G6282">
        <v>-403.81360000000001</v>
      </c>
      <c r="H6282" s="1">
        <v>-4.5153980000000004E-6</v>
      </c>
      <c r="I6282">
        <v>20.456869999999999</v>
      </c>
      <c r="J6282">
        <v>-413.97390000000001</v>
      </c>
      <c r="K6282">
        <v>1.1228469999999999</v>
      </c>
      <c r="L6282">
        <v>23.955169999999999</v>
      </c>
      <c r="M6282">
        <v>0.74536579999999997</v>
      </c>
      <c r="N6282">
        <v>-1.3483409999999999E-2</v>
      </c>
      <c r="O6282">
        <v>-0.66651949999999904</v>
      </c>
      <c r="P6282">
        <v>0.92066119999999996</v>
      </c>
      <c r="Q6282">
        <v>-0.1000582</v>
      </c>
      <c r="R6282">
        <v>-0.37732120000000002</v>
      </c>
      <c r="S6282">
        <v>2.8227229999999999</v>
      </c>
      <c r="T6282">
        <v>-0.30959569999999997</v>
      </c>
      <c r="U6282">
        <v>-0.98260499999999995</v>
      </c>
      <c r="V6282">
        <v>-0.33204070000000002</v>
      </c>
      <c r="W6282">
        <v>-8.8859170000000001E-2</v>
      </c>
      <c r="X6282">
        <v>0.93907030000000002</v>
      </c>
      <c r="Y6282">
        <v>-0.38023469999999998</v>
      </c>
      <c r="Z6282">
        <v>7.7038780000000001E-2</v>
      </c>
      <c r="AA6282">
        <v>0.92167600000000005</v>
      </c>
      <c r="AB6282">
        <v>17</v>
      </c>
      <c r="AC6282">
        <v>10.160299999999999</v>
      </c>
      <c r="AD6282">
        <v>-1.1228515153980001</v>
      </c>
      <c r="AE6282">
        <v>-3.4983</v>
      </c>
      <c r="AF6282">
        <v>-4.1199183440567397</v>
      </c>
      <c r="AG6282">
        <v>-1.1228515153980001</v>
      </c>
      <c r="AH6282">
        <v>9.7987339418949908</v>
      </c>
      <c r="AI6282">
        <v>96.030029447640104</v>
      </c>
      <c r="AJ6282">
        <v>112.80452118463</v>
      </c>
      <c r="AK6282">
        <v>10.6887655765935</v>
      </c>
      <c r="AL6282">
        <v>95.097979364866305</v>
      </c>
      <c r="AM6282">
        <v>109.47280487301499</v>
      </c>
      <c r="AN6282">
        <v>1.0000000034458301</v>
      </c>
    </row>
    <row r="6283" spans="1:40" x14ac:dyDescent="0.25">
      <c r="A6283" t="str">
        <f>"20190303154307017"</f>
        <v>20190303154307017</v>
      </c>
      <c r="B6283" t="str">
        <f>"1551598987006865"</f>
        <v>1551598987006865</v>
      </c>
      <c r="C6283" t="s">
        <v>40</v>
      </c>
      <c r="D6283">
        <v>5.6725139999999996</v>
      </c>
      <c r="E6283">
        <v>0.47918640000000001</v>
      </c>
      <c r="F6283" t="s">
        <v>58</v>
      </c>
      <c r="G6283">
        <v>-403.72609999999997</v>
      </c>
      <c r="H6283" s="1">
        <v>-4.5484450000000001E-6</v>
      </c>
      <c r="I6283">
        <v>20.41367</v>
      </c>
      <c r="J6283">
        <v>-413.88479999999998</v>
      </c>
      <c r="K6283">
        <v>1.1228640000000001</v>
      </c>
      <c r="L6283">
        <v>23.880040000000001</v>
      </c>
      <c r="M6283">
        <v>0.74730750000000001</v>
      </c>
      <c r="N6283">
        <v>-1.3478169999999999E-2</v>
      </c>
      <c r="O6283">
        <v>-0.66434190000000004</v>
      </c>
      <c r="P6283">
        <v>0.92194520000000002</v>
      </c>
      <c r="Q6283">
        <v>-9.8821909999999999E-2</v>
      </c>
      <c r="R6283">
        <v>-0.37450149999999999</v>
      </c>
      <c r="S6283">
        <v>2.824738</v>
      </c>
      <c r="T6283">
        <v>-0.30950759999999899</v>
      </c>
      <c r="U6283">
        <v>-0.97619630000000002</v>
      </c>
      <c r="V6283">
        <v>-0.3322658</v>
      </c>
      <c r="W6283">
        <v>-8.7637229999999997E-2</v>
      </c>
      <c r="X6283">
        <v>0.93910550000000004</v>
      </c>
      <c r="Y6283">
        <v>-0.37962059999999997</v>
      </c>
      <c r="Z6283">
        <v>7.6842960000000002E-2</v>
      </c>
      <c r="AA6283">
        <v>0.92194540000000003</v>
      </c>
      <c r="AB6283">
        <v>17</v>
      </c>
      <c r="AC6283">
        <v>10.1587</v>
      </c>
      <c r="AD6283">
        <v>-1.1228685484449901</v>
      </c>
      <c r="AE6283">
        <v>-3.46637</v>
      </c>
      <c r="AF6283">
        <v>-4.1137646063317099</v>
      </c>
      <c r="AG6283">
        <v>-1.1228685484449901</v>
      </c>
      <c r="AH6283">
        <v>9.7883081882695997</v>
      </c>
      <c r="AI6283">
        <v>96.036882790726594</v>
      </c>
      <c r="AJ6283">
        <v>112.795715438868</v>
      </c>
      <c r="AK6283">
        <v>10.6768380245248</v>
      </c>
      <c r="AL6283">
        <v>95.027693187752305</v>
      </c>
      <c r="AM6283">
        <v>109.48433647173999</v>
      </c>
      <c r="AN6283">
        <v>0.99999999303098097</v>
      </c>
    </row>
    <row r="6284" spans="1:40" x14ac:dyDescent="0.25">
      <c r="A6284" t="str">
        <f>"20190303154307030"</f>
        <v>20190303154307030</v>
      </c>
      <c r="B6284" t="str">
        <f>"1551598987026386"</f>
        <v>1551598987026386</v>
      </c>
      <c r="C6284" t="s">
        <v>40</v>
      </c>
      <c r="D6284">
        <v>5.6763009999999996</v>
      </c>
      <c r="E6284">
        <v>0.47956470000000001</v>
      </c>
      <c r="F6284" t="s">
        <v>58</v>
      </c>
      <c r="G6284">
        <v>-403.5197</v>
      </c>
      <c r="H6284" s="1">
        <v>-4.62935E-6</v>
      </c>
      <c r="I6284">
        <v>20.328119999999998</v>
      </c>
      <c r="J6284">
        <v>-413.81319999999999</v>
      </c>
      <c r="K6284">
        <v>1.1228720000000001</v>
      </c>
      <c r="L6284">
        <v>23.8201</v>
      </c>
      <c r="M6284">
        <v>0.74885990000000002</v>
      </c>
      <c r="N6284">
        <v>-1.3474369999999999E-2</v>
      </c>
      <c r="O6284">
        <v>-0.66259140000000005</v>
      </c>
      <c r="P6284">
        <v>0.92288020000000004</v>
      </c>
      <c r="Q6284">
        <v>-9.8119629999999999E-2</v>
      </c>
      <c r="R6284">
        <v>-0.37237769999999998</v>
      </c>
      <c r="S6284">
        <v>2.8275760000000001</v>
      </c>
      <c r="T6284">
        <v>-0.30631829999999999</v>
      </c>
      <c r="U6284">
        <v>-0.96896360000000004</v>
      </c>
      <c r="V6284">
        <v>-0.33228340000000001</v>
      </c>
      <c r="W6284">
        <v>-8.6941939999999995E-2</v>
      </c>
      <c r="X6284">
        <v>0.93916390000000005</v>
      </c>
      <c r="Y6284">
        <v>-0.37994860000000003</v>
      </c>
      <c r="Z6284">
        <v>7.5874189999999994E-2</v>
      </c>
      <c r="AA6284">
        <v>0.9218906</v>
      </c>
      <c r="AB6284">
        <v>17</v>
      </c>
      <c r="AC6284">
        <v>10.2934999999999</v>
      </c>
      <c r="AD6284">
        <v>-1.1228766293500001</v>
      </c>
      <c r="AE6284">
        <v>-3.4919799999999901</v>
      </c>
      <c r="AF6284">
        <v>-4.1613540796692501</v>
      </c>
      <c r="AG6284">
        <v>-1.1228766293500001</v>
      </c>
      <c r="AH6284">
        <v>9.9172220971884393</v>
      </c>
      <c r="AI6284">
        <v>95.960423794274107</v>
      </c>
      <c r="AJ6284">
        <v>112.763351978174</v>
      </c>
      <c r="AK6284">
        <v>10.813371991478</v>
      </c>
      <c r="AL6284">
        <v>94.987703352497505</v>
      </c>
      <c r="AM6284">
        <v>109.484170420053</v>
      </c>
      <c r="AN6284">
        <v>0.99999999495486602</v>
      </c>
    </row>
    <row r="6285" spans="1:40" x14ac:dyDescent="0.25">
      <c r="A6285" t="str">
        <f>"20190303154307042"</f>
        <v>20190303154307042</v>
      </c>
      <c r="B6285" t="str">
        <f>"1551598987037122"</f>
        <v>1551598987037122</v>
      </c>
      <c r="C6285" t="s">
        <v>40</v>
      </c>
      <c r="D6285">
        <v>5.6827759999999996</v>
      </c>
      <c r="E6285">
        <v>0.4797382</v>
      </c>
      <c r="F6285" t="s">
        <v>58</v>
      </c>
      <c r="G6285">
        <v>-403.44349999999997</v>
      </c>
      <c r="H6285" s="1">
        <v>-4.6567300000000002E-6</v>
      </c>
      <c r="I6285">
        <v>20.282450000000001</v>
      </c>
      <c r="J6285">
        <v>-413.74270000000001</v>
      </c>
      <c r="K6285">
        <v>1.122878</v>
      </c>
      <c r="L6285">
        <v>23.761199999999999</v>
      </c>
      <c r="M6285">
        <v>0.7503843</v>
      </c>
      <c r="N6285">
        <v>-1.3470909999999999E-2</v>
      </c>
      <c r="O6285">
        <v>-0.66086469999999997</v>
      </c>
      <c r="P6285">
        <v>0.92368939999999999</v>
      </c>
      <c r="Q6285">
        <v>-9.7558859999999997E-2</v>
      </c>
      <c r="R6285">
        <v>-0.37051400000000001</v>
      </c>
      <c r="S6285">
        <v>2.828735</v>
      </c>
      <c r="T6285">
        <v>-0.3063073</v>
      </c>
      <c r="U6285">
        <v>-0.96502690000000002</v>
      </c>
      <c r="V6285">
        <v>-0.33205689999999999</v>
      </c>
      <c r="W6285">
        <v>-8.6384559999999999E-2</v>
      </c>
      <c r="X6285">
        <v>0.93929549999999995</v>
      </c>
      <c r="Y6285">
        <v>-0.37909320000000002</v>
      </c>
      <c r="Z6285">
        <v>7.5718160000000007E-2</v>
      </c>
      <c r="AA6285">
        <v>0.92225550000000001</v>
      </c>
      <c r="AB6285">
        <v>17</v>
      </c>
      <c r="AC6285">
        <v>10.299200000000001</v>
      </c>
      <c r="AD6285">
        <v>-1.1228826567299901</v>
      </c>
      <c r="AE6285">
        <v>-3.47874999999999</v>
      </c>
      <c r="AF6285">
        <v>-4.1520584388338904</v>
      </c>
      <c r="AG6285">
        <v>-1.1228826567299901</v>
      </c>
      <c r="AH6285">
        <v>9.9223834675606195</v>
      </c>
      <c r="AI6285">
        <v>95.959813069738004</v>
      </c>
      <c r="AJ6285">
        <v>112.707054450093</v>
      </c>
      <c r="AK6285">
        <v>10.814534128551101</v>
      </c>
      <c r="AL6285">
        <v>94.955646917702296</v>
      </c>
      <c r="AM6285">
        <v>109.46936577676701</v>
      </c>
      <c r="AN6285">
        <v>1.0000000566821201</v>
      </c>
    </row>
    <row r="6286" spans="1:40" x14ac:dyDescent="0.25">
      <c r="A6286" t="str">
        <f>"20190303154307058"</f>
        <v>20190303154307058</v>
      </c>
      <c r="B6286" t="str">
        <f>"1551598987046881"</f>
        <v>1551598987046881</v>
      </c>
      <c r="C6286" t="s">
        <v>40</v>
      </c>
      <c r="D6286">
        <v>5.6722890000000001</v>
      </c>
      <c r="E6286">
        <v>0.4798673</v>
      </c>
      <c r="F6286" t="s">
        <v>58</v>
      </c>
      <c r="G6286">
        <v>-403.33539999999999</v>
      </c>
      <c r="H6286" s="1">
        <v>-4.6975780000000004E-6</v>
      </c>
      <c r="I6286">
        <v>20.228950000000001</v>
      </c>
      <c r="J6286">
        <v>-413.65230000000003</v>
      </c>
      <c r="K6286">
        <v>1.1228849999999999</v>
      </c>
      <c r="L6286">
        <v>23.686129999999999</v>
      </c>
      <c r="M6286">
        <v>0.75232699999999997</v>
      </c>
      <c r="N6286">
        <v>-1.3466830000000001E-2</v>
      </c>
      <c r="O6286">
        <v>-0.65865249999999997</v>
      </c>
      <c r="P6286">
        <v>0.92468289999999997</v>
      </c>
      <c r="Q6286">
        <v>-9.6993449999999995E-2</v>
      </c>
      <c r="R6286">
        <v>-0.36817709999999998</v>
      </c>
      <c r="S6286">
        <v>2.830292</v>
      </c>
      <c r="T6286">
        <v>-0.30536999999999997</v>
      </c>
      <c r="U6286">
        <v>-0.96060179999999995</v>
      </c>
      <c r="V6286">
        <v>-0.331708</v>
      </c>
      <c r="W6286">
        <v>-8.5821259999999996E-2</v>
      </c>
      <c r="X6286">
        <v>0.93947040000000004</v>
      </c>
      <c r="Y6286">
        <v>-0.3778571</v>
      </c>
      <c r="Z6286">
        <v>7.5256409999999996E-2</v>
      </c>
      <c r="AA6286">
        <v>0.92280039999999997</v>
      </c>
      <c r="AB6286">
        <v>17</v>
      </c>
      <c r="AC6286">
        <v>10.3169</v>
      </c>
      <c r="AD6286">
        <v>-1.1228896975780001</v>
      </c>
      <c r="AE6286">
        <v>-3.4571799999999899</v>
      </c>
      <c r="AF6286">
        <v>-4.1504981080404999</v>
      </c>
      <c r="AG6286">
        <v>-1.1228896975780001</v>
      </c>
      <c r="AH6286">
        <v>9.9338735339914201</v>
      </c>
      <c r="AI6286">
        <v>95.954354874532498</v>
      </c>
      <c r="AJ6286">
        <v>112.675789569309</v>
      </c>
      <c r="AK6286">
        <v>10.824479627543701</v>
      </c>
      <c r="AL6286">
        <v>94.923251887010693</v>
      </c>
      <c r="AM6286">
        <v>109.447096139254</v>
      </c>
      <c r="AN6286">
        <v>1.0000000592040701</v>
      </c>
    </row>
    <row r="6287" spans="1:40" x14ac:dyDescent="0.25">
      <c r="A6287" t="str">
        <f>"20190303154307078"</f>
        <v>20190303154307078</v>
      </c>
      <c r="B6287" t="str">
        <f>"1551598987066402"</f>
        <v>1551598987066402</v>
      </c>
      <c r="C6287" t="s">
        <v>40</v>
      </c>
      <c r="D6287">
        <v>5.7253749999999997</v>
      </c>
      <c r="E6287">
        <v>0.47903970000000001</v>
      </c>
      <c r="F6287" t="s">
        <v>58</v>
      </c>
      <c r="G6287">
        <v>-403.21859999999998</v>
      </c>
      <c r="H6287" s="1">
        <v>-4.7416449999999901E-6</v>
      </c>
      <c r="I6287">
        <v>20.17099</v>
      </c>
      <c r="J6287">
        <v>-413.54239999999999</v>
      </c>
      <c r="K6287">
        <v>1.122897</v>
      </c>
      <c r="L6287">
        <v>23.59543</v>
      </c>
      <c r="M6287">
        <v>0.75466949999999999</v>
      </c>
      <c r="N6287">
        <v>-1.346224E-2</v>
      </c>
      <c r="O6287">
        <v>-0.65596719999999997</v>
      </c>
      <c r="P6287">
        <v>0.92579350000000005</v>
      </c>
      <c r="Q6287">
        <v>-9.6947229999999995E-2</v>
      </c>
      <c r="R6287">
        <v>-0.36538710000000002</v>
      </c>
      <c r="S6287">
        <v>2.8324280000000002</v>
      </c>
      <c r="T6287">
        <v>-0.30483130000000003</v>
      </c>
      <c r="U6287">
        <v>-0.95425420000000005</v>
      </c>
      <c r="V6287">
        <v>-0.3311963</v>
      </c>
      <c r="W6287">
        <v>-8.5776050000000006E-2</v>
      </c>
      <c r="X6287">
        <v>0.93965500000000002</v>
      </c>
      <c r="Y6287">
        <v>-0.37665670000000001</v>
      </c>
      <c r="Z6287">
        <v>7.4873060000000005E-2</v>
      </c>
      <c r="AA6287">
        <v>0.92332210000000003</v>
      </c>
      <c r="AB6287">
        <v>17</v>
      </c>
      <c r="AC6287">
        <v>10.3238</v>
      </c>
      <c r="AD6287">
        <v>-1.122901741645</v>
      </c>
      <c r="AE6287">
        <v>-3.4244400000000002</v>
      </c>
      <c r="AF6287">
        <v>-4.1439668621791599</v>
      </c>
      <c r="AG6287">
        <v>-1.122901741645</v>
      </c>
      <c r="AH6287">
        <v>9.9324271054082001</v>
      </c>
      <c r="AI6287">
        <v>95.956533681488807</v>
      </c>
      <c r="AJ6287">
        <v>112.646675040622</v>
      </c>
      <c r="AK6287">
        <v>10.8206505294495</v>
      </c>
      <c r="AL6287">
        <v>94.920652153793</v>
      </c>
      <c r="AM6287">
        <v>109.415813820324</v>
      </c>
      <c r="AN6287">
        <v>1.00000001945614</v>
      </c>
    </row>
    <row r="6288" spans="1:40" x14ac:dyDescent="0.25">
      <c r="A6288" t="str">
        <f>"20190303154307098"</f>
        <v>20190303154307098</v>
      </c>
      <c r="B6288" t="str">
        <f>"1551598987086898"</f>
        <v>1551598987086898</v>
      </c>
      <c r="C6288" t="s">
        <v>40</v>
      </c>
      <c r="D6288">
        <v>5.690226</v>
      </c>
      <c r="E6288">
        <v>0.45150420000000002</v>
      </c>
      <c r="F6288" t="s">
        <v>58</v>
      </c>
      <c r="G6288">
        <v>-403.17500000000001</v>
      </c>
      <c r="H6288" s="1">
        <v>-4.7605329999999998E-6</v>
      </c>
      <c r="I6288">
        <v>20.162980000000001</v>
      </c>
      <c r="J6288">
        <v>-413.42070000000001</v>
      </c>
      <c r="K6288">
        <v>1.1228899999999999</v>
      </c>
      <c r="L6288">
        <v>23.49579</v>
      </c>
      <c r="M6288">
        <v>0.75723609999999997</v>
      </c>
      <c r="N6288">
        <v>-1.345761E-2</v>
      </c>
      <c r="O6288">
        <v>-0.65300290000000005</v>
      </c>
      <c r="P6288">
        <v>0.92694929999999998</v>
      </c>
      <c r="Q6288">
        <v>-9.5488039999999996E-2</v>
      </c>
      <c r="R6288">
        <v>-0.3628325</v>
      </c>
      <c r="S6288">
        <v>2.8375240000000002</v>
      </c>
      <c r="T6288">
        <v>-0.30733539999999998</v>
      </c>
      <c r="U6288">
        <v>-0.93945310000000004</v>
      </c>
      <c r="V6288">
        <v>-0.33020880000000002</v>
      </c>
      <c r="W6288">
        <v>-8.4312170000000006E-2</v>
      </c>
      <c r="X6288">
        <v>0.9401349</v>
      </c>
      <c r="Y6288">
        <v>-0.37779560000000001</v>
      </c>
      <c r="Z6288">
        <v>7.5389849999999994E-2</v>
      </c>
      <c r="AA6288">
        <v>0.92281460000000004</v>
      </c>
      <c r="AB6288">
        <v>17</v>
      </c>
      <c r="AC6288">
        <v>10.245699999999999</v>
      </c>
      <c r="AD6288">
        <v>-1.122894760533</v>
      </c>
      <c r="AE6288">
        <v>-3.3328099999999998</v>
      </c>
      <c r="AF6288">
        <v>-4.1223469955772698</v>
      </c>
      <c r="AG6288">
        <v>-1.122894760533</v>
      </c>
      <c r="AH6288">
        <v>9.8288840482200293</v>
      </c>
      <c r="AI6288">
        <v>96.014119512765205</v>
      </c>
      <c r="AJ6288">
        <v>112.75373717656601</v>
      </c>
      <c r="AK6288">
        <v>10.7173503735079</v>
      </c>
      <c r="AL6288">
        <v>94.836473073458606</v>
      </c>
      <c r="AM6288">
        <v>109.353088170608</v>
      </c>
      <c r="AN6288">
        <v>1.0000000119027701</v>
      </c>
    </row>
    <row r="6289" spans="1:40" x14ac:dyDescent="0.25">
      <c r="A6289" t="str">
        <f>"20190303154307114"</f>
        <v>20190303154307114</v>
      </c>
      <c r="B6289" t="str">
        <f>"1551598987106418"</f>
        <v>1551598987106418</v>
      </c>
      <c r="C6289" t="s">
        <v>40</v>
      </c>
      <c r="D6289">
        <v>5.6534839999999997</v>
      </c>
      <c r="E6289">
        <v>0.44799030000000001</v>
      </c>
      <c r="F6289" t="s">
        <v>42</v>
      </c>
      <c r="G6289">
        <v>-412.4864</v>
      </c>
      <c r="H6289">
        <v>1.0247930000000001</v>
      </c>
      <c r="I6289">
        <v>23.26341</v>
      </c>
      <c r="J6289">
        <v>-413.32639999999998</v>
      </c>
      <c r="K6289">
        <v>1.1228959999999999</v>
      </c>
      <c r="L6289">
        <v>23.419160000000002</v>
      </c>
      <c r="M6289">
        <v>0.75920480000000001</v>
      </c>
      <c r="N6289">
        <v>-1.3454320000000001E-2</v>
      </c>
      <c r="O6289">
        <v>-0.65071290000000004</v>
      </c>
      <c r="P6289">
        <v>0.9278691</v>
      </c>
      <c r="Q6289">
        <v>-9.5338709999999993E-2</v>
      </c>
      <c r="R6289">
        <v>-0.36051299999999997</v>
      </c>
      <c r="S6289">
        <v>2.9203800000000002</v>
      </c>
      <c r="T6289">
        <v>-0.3066585</v>
      </c>
      <c r="U6289">
        <v>-0.72665409999999997</v>
      </c>
      <c r="V6289">
        <v>-0.32973190000000002</v>
      </c>
      <c r="W6289">
        <v>-8.4163580000000002E-2</v>
      </c>
      <c r="X6289">
        <v>0.94031560000000003</v>
      </c>
      <c r="Y6289">
        <v>-0.4437103</v>
      </c>
      <c r="Z6289">
        <v>7.7819819999999998E-2</v>
      </c>
      <c r="AA6289">
        <v>0.8927851</v>
      </c>
      <c r="AB6289">
        <v>17</v>
      </c>
      <c r="AC6289">
        <v>0.83999999999997499</v>
      </c>
      <c r="AD6289">
        <v>-9.8102999999999801E-2</v>
      </c>
      <c r="AE6289">
        <v>-0.155750000000001</v>
      </c>
      <c r="AF6289">
        <v>-0.42281599549592702</v>
      </c>
      <c r="AG6289">
        <v>-9.8102999999999801E-2</v>
      </c>
      <c r="AH6289">
        <v>0.72952754541176201</v>
      </c>
      <c r="AI6289">
        <v>96.636313047711695</v>
      </c>
      <c r="AJ6289">
        <v>120.09551268806101</v>
      </c>
      <c r="AK6289">
        <v>0.84888633171392402</v>
      </c>
      <c r="AL6289">
        <v>94.827929034052502</v>
      </c>
      <c r="AM6289">
        <v>109.32377279970299</v>
      </c>
      <c r="AN6289">
        <v>1.0000000308396899</v>
      </c>
    </row>
    <row r="6290" spans="1:40" x14ac:dyDescent="0.25">
      <c r="A6290" t="str">
        <f>"20190303154307130"</f>
        <v>20190303154307130</v>
      </c>
      <c r="B6290" t="str">
        <f>"1551598987126914"</f>
        <v>1551598987126914</v>
      </c>
      <c r="C6290" t="s">
        <v>40</v>
      </c>
      <c r="D6290">
        <v>5.6314440000000001</v>
      </c>
      <c r="E6290">
        <v>0.44715859999999902</v>
      </c>
      <c r="F6290" t="s">
        <v>58</v>
      </c>
      <c r="G6290">
        <v>-403.125</v>
      </c>
      <c r="H6290" s="1">
        <v>-4.934677E-6</v>
      </c>
      <c r="I6290">
        <v>21.010390000000001</v>
      </c>
      <c r="J6290">
        <v>-413.23079999999999</v>
      </c>
      <c r="K6290">
        <v>1.12290499999999</v>
      </c>
      <c r="L6290">
        <v>23.34198</v>
      </c>
      <c r="M6290">
        <v>0.76118459999999999</v>
      </c>
      <c r="N6290">
        <v>-1.3443490000000001E-2</v>
      </c>
      <c r="O6290">
        <v>-0.64839609999999903</v>
      </c>
      <c r="P6290">
        <v>0.92846169999999995</v>
      </c>
      <c r="Q6290">
        <v>-9.4958929999999997E-2</v>
      </c>
      <c r="R6290">
        <v>-0.35908499999999999</v>
      </c>
      <c r="S6290">
        <v>2.931152</v>
      </c>
      <c r="T6290">
        <v>-0.32264150000000003</v>
      </c>
      <c r="U6290">
        <v>-0.69210819999999995</v>
      </c>
      <c r="V6290">
        <v>-0.32834000000000002</v>
      </c>
      <c r="W6290">
        <v>-8.378447E-2</v>
      </c>
      <c r="X6290">
        <v>0.94083640000000002</v>
      </c>
      <c r="Y6290">
        <v>-0.45114470000000001</v>
      </c>
      <c r="Z6290">
        <v>8.2361359999999995E-2</v>
      </c>
      <c r="AA6290">
        <v>0.8886423</v>
      </c>
      <c r="AB6290">
        <v>17</v>
      </c>
      <c r="AC6290">
        <v>10.105799999999901</v>
      </c>
      <c r="AD6290">
        <v>-1.12290993467699</v>
      </c>
      <c r="AE6290">
        <v>-2.3315899999999901</v>
      </c>
      <c r="AF6290">
        <v>-4.7228578698657904</v>
      </c>
      <c r="AG6290">
        <v>-1.12290993467699</v>
      </c>
      <c r="AH6290">
        <v>9.0983474703882994</v>
      </c>
      <c r="AI6290">
        <v>96.251273022723794</v>
      </c>
      <c r="AJ6290">
        <v>117.433358348417</v>
      </c>
      <c r="AK6290">
        <v>10.3124313269117</v>
      </c>
      <c r="AL6290">
        <v>94.806130486959702</v>
      </c>
      <c r="AM6290">
        <v>109.238341093025</v>
      </c>
      <c r="AN6290">
        <v>1.0000000622890599</v>
      </c>
    </row>
    <row r="6291" spans="1:40" x14ac:dyDescent="0.25">
      <c r="A6291" t="str">
        <f>"20190303154307145"</f>
        <v>20190303154307145</v>
      </c>
      <c r="B6291" t="str">
        <f>"1551598987136674"</f>
        <v>1551598987136674</v>
      </c>
      <c r="C6291" t="s">
        <v>40</v>
      </c>
      <c r="D6291">
        <v>5.6463799999999997</v>
      </c>
      <c r="E6291">
        <v>0.4470034</v>
      </c>
      <c r="F6291" t="s">
        <v>42</v>
      </c>
      <c r="G6291">
        <v>-412.29770000000002</v>
      </c>
      <c r="H6291">
        <v>1.0205150000000001</v>
      </c>
      <c r="I6291">
        <v>23.12527</v>
      </c>
      <c r="J6291">
        <v>-413.14839999999998</v>
      </c>
      <c r="K6291">
        <v>1.122906</v>
      </c>
      <c r="L6291">
        <v>23.275790000000001</v>
      </c>
      <c r="M6291">
        <v>0.76288420000000001</v>
      </c>
      <c r="N6291">
        <v>-1.341092E-2</v>
      </c>
      <c r="O6291">
        <v>-0.64639619999999998</v>
      </c>
      <c r="P6291">
        <v>0.92912609999999995</v>
      </c>
      <c r="Q6291">
        <v>-9.4598080000000001E-2</v>
      </c>
      <c r="R6291">
        <v>-0.35745860000000002</v>
      </c>
      <c r="S6291">
        <v>2.9347530000000002</v>
      </c>
      <c r="T6291">
        <v>-0.32201170000000001</v>
      </c>
      <c r="U6291">
        <v>-0.68124390000000001</v>
      </c>
      <c r="V6291">
        <v>-0.32754280000000002</v>
      </c>
      <c r="W6291">
        <v>-8.3451919999999999E-2</v>
      </c>
      <c r="X6291">
        <v>0.94114379999999997</v>
      </c>
      <c r="Y6291">
        <v>-0.45219239999999999</v>
      </c>
      <c r="Z6291">
        <v>8.2094600000000004E-2</v>
      </c>
      <c r="AA6291">
        <v>0.88813430000000004</v>
      </c>
      <c r="AB6291">
        <v>17</v>
      </c>
      <c r="AC6291">
        <v>0.85069999999996004</v>
      </c>
      <c r="AD6291">
        <v>-0.102390999999999</v>
      </c>
      <c r="AE6291">
        <v>-0.15051999999999999</v>
      </c>
      <c r="AF6291">
        <v>-0.42907183919181002</v>
      </c>
      <c r="AG6291">
        <v>-0.102390999999999</v>
      </c>
      <c r="AH6291">
        <v>0.736009479390073</v>
      </c>
      <c r="AI6291">
        <v>96.853210962236503</v>
      </c>
      <c r="AJ6291">
        <v>120.24092533742601</v>
      </c>
      <c r="AK6291">
        <v>0.85807721903129996</v>
      </c>
      <c r="AL6291">
        <v>94.787009725903701</v>
      </c>
      <c r="AM6291">
        <v>109.189240996073</v>
      </c>
      <c r="AN6291">
        <v>1.0000000805309699</v>
      </c>
    </row>
    <row r="6292" spans="1:40" x14ac:dyDescent="0.25">
      <c r="A6292" t="str">
        <f>"20190303154307158"</f>
        <v>20190303154307158</v>
      </c>
      <c r="B6292" t="str">
        <f>"1551598987146433"</f>
        <v>1551598987146433</v>
      </c>
      <c r="C6292" t="s">
        <v>40</v>
      </c>
      <c r="D6292">
        <v>5.6202290000000001</v>
      </c>
      <c r="E6292">
        <v>0.44696019999999997</v>
      </c>
      <c r="F6292" t="s">
        <v>42</v>
      </c>
      <c r="G6292">
        <v>-412.24020000000002</v>
      </c>
      <c r="H6292">
        <v>1.0233129999999999</v>
      </c>
      <c r="I6292">
        <v>23.067170000000001</v>
      </c>
      <c r="J6292">
        <v>-413.07220000000001</v>
      </c>
      <c r="K6292">
        <v>1.1229070000000001</v>
      </c>
      <c r="L6292">
        <v>23.214839999999999</v>
      </c>
      <c r="M6292">
        <v>0.76444969999999901</v>
      </c>
      <c r="N6292">
        <v>-1.3363679999999999E-2</v>
      </c>
      <c r="O6292">
        <v>-0.64454480000000003</v>
      </c>
      <c r="P6292">
        <v>0.92995519999999998</v>
      </c>
      <c r="Q6292">
        <v>-9.4557160000000001E-2</v>
      </c>
      <c r="R6292">
        <v>-0.35530620000000002</v>
      </c>
      <c r="S6292">
        <v>2.9363709999999998</v>
      </c>
      <c r="T6292">
        <v>-0.32203019999999999</v>
      </c>
      <c r="U6292">
        <v>-0.67489619999999995</v>
      </c>
      <c r="V6292">
        <v>-0.32744109999999998</v>
      </c>
      <c r="W6292">
        <v>-8.3460779999999998E-2</v>
      </c>
      <c r="X6292">
        <v>0.94117830000000002</v>
      </c>
      <c r="Y6292">
        <v>-0.45196920000000002</v>
      </c>
      <c r="Z6292">
        <v>8.1977919999999996E-2</v>
      </c>
      <c r="AA6292">
        <v>0.88825869999999996</v>
      </c>
      <c r="AB6292">
        <v>17</v>
      </c>
      <c r="AC6292">
        <v>0.83199999999999297</v>
      </c>
      <c r="AD6292">
        <v>-9.9593999999999905E-2</v>
      </c>
      <c r="AE6292">
        <v>-0.147669999999997</v>
      </c>
      <c r="AF6292">
        <v>-0.41761155350708401</v>
      </c>
      <c r="AG6292">
        <v>-9.9593999999999905E-2</v>
      </c>
      <c r="AH6292">
        <v>0.72124817664944296</v>
      </c>
      <c r="AI6292">
        <v>96.814505641408203</v>
      </c>
      <c r="AJ6292">
        <v>120.071368391851</v>
      </c>
      <c r="AK6292">
        <v>0.83935529233975004</v>
      </c>
      <c r="AL6292">
        <v>94.787519606449095</v>
      </c>
      <c r="AM6292">
        <v>109.183066509269</v>
      </c>
      <c r="AN6292">
        <v>0.99999998407915403</v>
      </c>
    </row>
    <row r="6293" spans="1:40" x14ac:dyDescent="0.25">
      <c r="A6293" t="str">
        <f>"20190303154307173"</f>
        <v>20190303154307173</v>
      </c>
      <c r="B6293" t="str">
        <f>"1551598987166933"</f>
        <v>1551598987166933</v>
      </c>
      <c r="C6293" t="s">
        <v>40</v>
      </c>
      <c r="D6293">
        <v>5.5267460000000002</v>
      </c>
      <c r="E6293">
        <v>0.44708219999999999</v>
      </c>
      <c r="F6293" t="s">
        <v>42</v>
      </c>
      <c r="G6293">
        <v>-412.12959999999998</v>
      </c>
      <c r="H6293">
        <v>1.01915</v>
      </c>
      <c r="I6293">
        <v>23.00047</v>
      </c>
      <c r="J6293">
        <v>-412.97379999999998</v>
      </c>
      <c r="K6293">
        <v>1.122895</v>
      </c>
      <c r="L6293">
        <v>23.136659999999999</v>
      </c>
      <c r="M6293">
        <v>0.76646139999999996</v>
      </c>
      <c r="N6293">
        <v>-1.3266389999999999E-2</v>
      </c>
      <c r="O6293">
        <v>-0.64215339999999999</v>
      </c>
      <c r="P6293">
        <v>0.93097030000000003</v>
      </c>
      <c r="Q6293">
        <v>-9.4128980000000001E-2</v>
      </c>
      <c r="R6293">
        <v>-0.35275200000000001</v>
      </c>
      <c r="S6293">
        <v>2.9379879999999998</v>
      </c>
      <c r="T6293">
        <v>-0.32337310000000002</v>
      </c>
      <c r="U6293">
        <v>-0.6677246</v>
      </c>
      <c r="V6293">
        <v>-0.32711089999999998</v>
      </c>
      <c r="W6293">
        <v>-8.3130430000000005E-2</v>
      </c>
      <c r="X6293">
        <v>0.94132229999999995</v>
      </c>
      <c r="Y6293">
        <v>-0.45131739999999998</v>
      </c>
      <c r="Z6293">
        <v>8.2187209999999997E-2</v>
      </c>
      <c r="AA6293">
        <v>0.88857070000000005</v>
      </c>
      <c r="AB6293">
        <v>17</v>
      </c>
      <c r="AC6293">
        <v>0.84419999999999995</v>
      </c>
      <c r="AD6293">
        <v>-0.103744999999999</v>
      </c>
      <c r="AE6293">
        <v>-0.13618999999999901</v>
      </c>
      <c r="AF6293">
        <v>-0.43141000337580099</v>
      </c>
      <c r="AG6293">
        <v>-0.103744999999999</v>
      </c>
      <c r="AH6293">
        <v>0.72391078657824004</v>
      </c>
      <c r="AI6293">
        <v>97.018293537298703</v>
      </c>
      <c r="AJ6293">
        <v>120.79255776036899</v>
      </c>
      <c r="AK6293">
        <v>0.84907269592305001</v>
      </c>
      <c r="AL6293">
        <v>94.768526146533702</v>
      </c>
      <c r="AM6293">
        <v>109.162415428497</v>
      </c>
      <c r="AN6293">
        <v>0.99999994088403998</v>
      </c>
    </row>
    <row r="6294" spans="1:40" x14ac:dyDescent="0.25">
      <c r="A6294" t="str">
        <f>"20190303154307187"</f>
        <v>20190303154307187</v>
      </c>
      <c r="B6294" t="str">
        <f>"1551598987176690"</f>
        <v>1551598987176690</v>
      </c>
      <c r="C6294" t="s">
        <v>40</v>
      </c>
      <c r="D6294">
        <v>5.6453610000000003</v>
      </c>
      <c r="E6294">
        <v>0.44682450000000001</v>
      </c>
      <c r="F6294" t="s">
        <v>58</v>
      </c>
      <c r="G6294">
        <v>-402.79329999999999</v>
      </c>
      <c r="H6294" s="1">
        <v>-5.0605549999999997E-6</v>
      </c>
      <c r="I6294">
        <v>20.849509999999999</v>
      </c>
      <c r="J6294">
        <v>-412.90089999999998</v>
      </c>
      <c r="K6294">
        <v>1.122889</v>
      </c>
      <c r="L6294">
        <v>23.079160000000002</v>
      </c>
      <c r="M6294">
        <v>0.76794209999999996</v>
      </c>
      <c r="N6294">
        <v>-1.318852E-2</v>
      </c>
      <c r="O6294">
        <v>-0.64038359999999905</v>
      </c>
      <c r="P6294">
        <v>0.93182410000000004</v>
      </c>
      <c r="Q6294">
        <v>-9.3834589999999996E-2</v>
      </c>
      <c r="R6294">
        <v>-0.35056959999999998</v>
      </c>
      <c r="S6294">
        <v>2.9394230000000001</v>
      </c>
      <c r="T6294">
        <v>-0.32421539999999999</v>
      </c>
      <c r="U6294">
        <v>-0.66036989999999995</v>
      </c>
      <c r="V6294">
        <v>-0.32716299999999998</v>
      </c>
      <c r="W6294">
        <v>-8.2915139999999998E-2</v>
      </c>
      <c r="X6294">
        <v>0.94132320000000003</v>
      </c>
      <c r="Y6294">
        <v>-0.45144469999999998</v>
      </c>
      <c r="Z6294">
        <v>8.2341399999999995E-2</v>
      </c>
      <c r="AA6294">
        <v>0.8884917</v>
      </c>
      <c r="AB6294">
        <v>17</v>
      </c>
      <c r="AC6294">
        <v>10.1075999999999</v>
      </c>
      <c r="AD6294">
        <v>-1.122894060555</v>
      </c>
      <c r="AE6294">
        <v>-2.2296499999999901</v>
      </c>
      <c r="AF6294">
        <v>-4.70553255465886</v>
      </c>
      <c r="AG6294">
        <v>-1.122894060555</v>
      </c>
      <c r="AH6294">
        <v>9.0837728199018901</v>
      </c>
      <c r="AI6294">
        <v>96.263863465937305</v>
      </c>
      <c r="AJ6294">
        <v>117.38484407934099</v>
      </c>
      <c r="AK6294">
        <v>10.291640118939799</v>
      </c>
      <c r="AL6294">
        <v>94.756148123125399</v>
      </c>
      <c r="AM6294">
        <v>109.16522789740399</v>
      </c>
      <c r="AN6294">
        <v>0.99999995793422902</v>
      </c>
    </row>
    <row r="6295" spans="1:40" x14ac:dyDescent="0.25">
      <c r="A6295" t="str">
        <f>"20190303154307208"</f>
        <v>20190303154307208</v>
      </c>
      <c r="B6295" t="str">
        <f>"1551598987196210"</f>
        <v>1551598987196210</v>
      </c>
      <c r="C6295" t="s">
        <v>40</v>
      </c>
      <c r="D6295">
        <v>5.5534790000000003</v>
      </c>
      <c r="E6295">
        <v>0.44673099999999999</v>
      </c>
      <c r="F6295" t="s">
        <v>42</v>
      </c>
      <c r="G6295">
        <v>-411.98110000000003</v>
      </c>
      <c r="H6295">
        <v>1.021285</v>
      </c>
      <c r="I6295">
        <v>22.875409999999999</v>
      </c>
      <c r="J6295">
        <v>-412.77229999999997</v>
      </c>
      <c r="K6295">
        <v>1.122876</v>
      </c>
      <c r="L6295">
        <v>22.97824</v>
      </c>
      <c r="M6295">
        <v>0.77053879999999997</v>
      </c>
      <c r="N6295">
        <v>-1.3060520000000001E-2</v>
      </c>
      <c r="O6295">
        <v>-0.63725949999999998</v>
      </c>
      <c r="P6295">
        <v>0.93346390000000001</v>
      </c>
      <c r="Q6295">
        <v>-9.3162969999999998E-2</v>
      </c>
      <c r="R6295">
        <v>-0.34636129999999998</v>
      </c>
      <c r="S6295">
        <v>2.9416500000000001</v>
      </c>
      <c r="T6295">
        <v>-0.32494220000000001</v>
      </c>
      <c r="U6295">
        <v>-0.65155030000000003</v>
      </c>
      <c r="V6295">
        <v>-0.32762930000000001</v>
      </c>
      <c r="W6295">
        <v>-8.2373470000000004E-2</v>
      </c>
      <c r="X6295">
        <v>0.94120859999999995</v>
      </c>
      <c r="Y6295">
        <v>-0.45049529999999899</v>
      </c>
      <c r="Z6295">
        <v>8.2317230000000005E-2</v>
      </c>
      <c r="AA6295">
        <v>0.88897569999999904</v>
      </c>
      <c r="AB6295">
        <v>17</v>
      </c>
      <c r="AC6295">
        <v>0.79119999999994595</v>
      </c>
      <c r="AD6295">
        <v>-0.101591</v>
      </c>
      <c r="AE6295">
        <v>-0.10282999999999699</v>
      </c>
      <c r="AF6295">
        <v>-0.41822078676702401</v>
      </c>
      <c r="AG6295">
        <v>-0.101591</v>
      </c>
      <c r="AH6295">
        <v>0.66446423068865801</v>
      </c>
      <c r="AI6295">
        <v>97.372803293295505</v>
      </c>
      <c r="AJ6295">
        <v>122.186743566263</v>
      </c>
      <c r="AK6295">
        <v>0.79167043119577096</v>
      </c>
      <c r="AL6295">
        <v>94.725006042143207</v>
      </c>
      <c r="AM6295">
        <v>109.192713165001</v>
      </c>
      <c r="AN6295">
        <v>0.99999998774614496</v>
      </c>
    </row>
    <row r="6296" spans="1:40" x14ac:dyDescent="0.25">
      <c r="A6296" t="str">
        <f>"20190303154307221"</f>
        <v>20190303154307221</v>
      </c>
      <c r="B6296" t="str">
        <f>"1551598987216706"</f>
        <v>1551598987216706</v>
      </c>
      <c r="C6296" t="s">
        <v>40</v>
      </c>
      <c r="D6296">
        <v>5.7294320000000001</v>
      </c>
      <c r="E6296">
        <v>0.44678079999999998</v>
      </c>
      <c r="F6296" t="s">
        <v>42</v>
      </c>
      <c r="G6296">
        <v>-411.8451</v>
      </c>
      <c r="H6296">
        <v>1.020316</v>
      </c>
      <c r="I6296">
        <v>22.777270000000001</v>
      </c>
      <c r="J6296">
        <v>-412.69880000000001</v>
      </c>
      <c r="K6296">
        <v>1.1228689999999999</v>
      </c>
      <c r="L6296">
        <v>22.920870000000001</v>
      </c>
      <c r="M6296">
        <v>0.77201660000000005</v>
      </c>
      <c r="N6296">
        <v>-1.299399E-2</v>
      </c>
      <c r="O6296">
        <v>-0.63546990000000003</v>
      </c>
      <c r="P6296">
        <v>0.93437369999999997</v>
      </c>
      <c r="Q6296">
        <v>-9.3011269999999993E-2</v>
      </c>
      <c r="R6296">
        <v>-0.34394069999999999</v>
      </c>
      <c r="S6296">
        <v>2.9447939999999999</v>
      </c>
      <c r="T6296">
        <v>-0.32564409999999999</v>
      </c>
      <c r="U6296">
        <v>-0.6374512</v>
      </c>
      <c r="V6296">
        <v>-0.3278933</v>
      </c>
      <c r="W6296">
        <v>-8.2287680000000002E-2</v>
      </c>
      <c r="X6296">
        <v>0.94112419999999997</v>
      </c>
      <c r="Y6296">
        <v>-0.4526558</v>
      </c>
      <c r="Z6296">
        <v>8.2528459999999998E-2</v>
      </c>
      <c r="AA6296">
        <v>0.88785800000000004</v>
      </c>
      <c r="AB6296">
        <v>17</v>
      </c>
      <c r="AC6296">
        <v>0.85370000000000301</v>
      </c>
      <c r="AD6296">
        <v>-0.10255300000000001</v>
      </c>
      <c r="AE6296">
        <v>-0.14359999999999901</v>
      </c>
      <c r="AF6296">
        <v>-0.42570129599925399</v>
      </c>
      <c r="AG6296">
        <v>-0.10255300000000001</v>
      </c>
      <c r="AH6296">
        <v>0.74000233621217104</v>
      </c>
      <c r="AI6296">
        <v>96.849885523633304</v>
      </c>
      <c r="AJ6296">
        <v>119.910535338063</v>
      </c>
      <c r="AK6296">
        <v>0.85985008508688099</v>
      </c>
      <c r="AL6296">
        <v>94.720073744340098</v>
      </c>
      <c r="AM6296">
        <v>109.208642277743</v>
      </c>
      <c r="AN6296">
        <v>1.0000000191451499</v>
      </c>
    </row>
    <row r="6297" spans="1:40" x14ac:dyDescent="0.25">
      <c r="A6297" t="str">
        <f>"20190303154307234"</f>
        <v>20190303154307234</v>
      </c>
      <c r="B6297" t="str">
        <f>"1551598987226465"</f>
        <v>1551598987226465</v>
      </c>
      <c r="C6297" t="s">
        <v>40</v>
      </c>
      <c r="D6297">
        <v>5.6259690000000004</v>
      </c>
      <c r="E6297">
        <v>0.44662970000000002</v>
      </c>
      <c r="F6297" t="s">
        <v>42</v>
      </c>
      <c r="G6297">
        <v>-411.77890000000002</v>
      </c>
      <c r="H6297">
        <v>1.0225799999999901</v>
      </c>
      <c r="I6297">
        <v>22.72391</v>
      </c>
      <c r="J6297">
        <v>-412.61950000000002</v>
      </c>
      <c r="K6297">
        <v>1.1228590000000001</v>
      </c>
      <c r="L6297">
        <v>22.859279999999998</v>
      </c>
      <c r="M6297">
        <v>0.7736035</v>
      </c>
      <c r="N6297">
        <v>-1.292595E-2</v>
      </c>
      <c r="O6297">
        <v>-0.63353819999999905</v>
      </c>
      <c r="P6297">
        <v>0.93543609999999999</v>
      </c>
      <c r="Q6297">
        <v>-9.2752000000000001E-2</v>
      </c>
      <c r="R6297">
        <v>-0.34111079999999999</v>
      </c>
      <c r="S6297">
        <v>2.9466549999999998</v>
      </c>
      <c r="T6297">
        <v>-0.32121230000000001</v>
      </c>
      <c r="U6297">
        <v>-0.63052369999999902</v>
      </c>
      <c r="V6297">
        <v>-0.32840589999999997</v>
      </c>
      <c r="W6297">
        <v>-8.2096580000000002E-2</v>
      </c>
      <c r="X6297">
        <v>0.94096210000000002</v>
      </c>
      <c r="Y6297">
        <v>-0.45269110000000001</v>
      </c>
      <c r="Z6297">
        <v>8.1220550000000002E-2</v>
      </c>
      <c r="AA6297">
        <v>0.88796059999999999</v>
      </c>
      <c r="AB6297">
        <v>17</v>
      </c>
      <c r="AC6297">
        <v>0.84059999999999402</v>
      </c>
      <c r="AD6297">
        <v>-0.10027899999999999</v>
      </c>
      <c r="AE6297">
        <v>-0.13536999999999799</v>
      </c>
      <c r="AF6297">
        <v>-0.42201131860466601</v>
      </c>
      <c r="AG6297">
        <v>-0.10027899999999999</v>
      </c>
      <c r="AH6297">
        <v>0.72604335224335703</v>
      </c>
      <c r="AI6297">
        <v>96.809495168625901</v>
      </c>
      <c r="AJ6297">
        <v>120.16721421571501</v>
      </c>
      <c r="AK6297">
        <v>0.84574723186553802</v>
      </c>
      <c r="AL6297">
        <v>94.709087539900594</v>
      </c>
      <c r="AM6297">
        <v>109.239536992238</v>
      </c>
      <c r="AN6297">
        <v>0.999999978619458</v>
      </c>
    </row>
    <row r="6298" spans="1:40" x14ac:dyDescent="0.25">
      <c r="A6298" t="str">
        <f>"20190303154307246"</f>
        <v>20190303154307246</v>
      </c>
      <c r="B6298" t="str">
        <f>"1551598987236226"</f>
        <v>1551598987236226</v>
      </c>
      <c r="C6298" t="s">
        <v>40</v>
      </c>
      <c r="D6298">
        <v>5.6280279999999996</v>
      </c>
      <c r="E6298">
        <v>0.44650410000000001</v>
      </c>
      <c r="F6298" t="s">
        <v>58</v>
      </c>
      <c r="G6298">
        <v>-402.36279999999999</v>
      </c>
      <c r="H6298" s="1">
        <v>-5.2347330000000003E-6</v>
      </c>
      <c r="I6298">
        <v>20.701509999999999</v>
      </c>
      <c r="J6298">
        <v>-412.54730000000001</v>
      </c>
      <c r="K6298">
        <v>1.122851</v>
      </c>
      <c r="L6298">
        <v>22.80368</v>
      </c>
      <c r="M6298">
        <v>0.77504300000000004</v>
      </c>
      <c r="N6298">
        <v>-1.285998E-2</v>
      </c>
      <c r="O6298">
        <v>-0.63177779999999994</v>
      </c>
      <c r="P6298">
        <v>0.93622229999999995</v>
      </c>
      <c r="Q6298">
        <v>-9.2717599999999997E-2</v>
      </c>
      <c r="R6298">
        <v>-0.3389568</v>
      </c>
      <c r="S6298">
        <v>2.9487920000000001</v>
      </c>
      <c r="T6298">
        <v>-0.32282440000000001</v>
      </c>
      <c r="U6298">
        <v>-0.6203613</v>
      </c>
      <c r="V6298">
        <v>-0.32843349999999999</v>
      </c>
      <c r="W6298">
        <v>-8.2124619999999995E-2</v>
      </c>
      <c r="X6298">
        <v>0.94094999999999995</v>
      </c>
      <c r="Y6298">
        <v>-0.45367210000000002</v>
      </c>
      <c r="Z6298">
        <v>8.1615220000000002E-2</v>
      </c>
      <c r="AA6298">
        <v>0.88742359999999898</v>
      </c>
      <c r="AB6298">
        <v>17</v>
      </c>
      <c r="AC6298">
        <v>10.1845</v>
      </c>
      <c r="AD6298">
        <v>-1.122856234733</v>
      </c>
      <c r="AE6298">
        <v>-2.1021700000000001</v>
      </c>
      <c r="AF6298">
        <v>-4.7500859947754703</v>
      </c>
      <c r="AG6298">
        <v>-1.122856234733</v>
      </c>
      <c r="AH6298">
        <v>9.1160107557707395</v>
      </c>
      <c r="AI6298">
        <v>96.233942451184703</v>
      </c>
      <c r="AJ6298">
        <v>117.522699105839</v>
      </c>
      <c r="AK6298">
        <v>10.340492018321401</v>
      </c>
      <c r="AL6298">
        <v>94.710699645791095</v>
      </c>
      <c r="AM6298">
        <v>109.24126431826301</v>
      </c>
      <c r="AN6298">
        <v>0.99999995981619605</v>
      </c>
    </row>
    <row r="6299" spans="1:40" x14ac:dyDescent="0.25">
      <c r="A6299" t="str">
        <f>"20190303154307265"</f>
        <v>20190303154307265</v>
      </c>
      <c r="B6299" t="str">
        <f>"1551598987256723"</f>
        <v>1551598987256723</v>
      </c>
      <c r="C6299" t="s">
        <v>40</v>
      </c>
      <c r="D6299">
        <v>5.624841</v>
      </c>
      <c r="E6299">
        <v>0.44639570000000001</v>
      </c>
      <c r="F6299" t="s">
        <v>42</v>
      </c>
      <c r="G6299">
        <v>-411.63220000000001</v>
      </c>
      <c r="H6299">
        <v>1.0222629999999999</v>
      </c>
      <c r="I6299">
        <v>22.61355</v>
      </c>
      <c r="J6299">
        <v>-412.43790000000001</v>
      </c>
      <c r="K6299">
        <v>1.1228359999999999</v>
      </c>
      <c r="L6299">
        <v>22.719760000000001</v>
      </c>
      <c r="M6299">
        <v>0.77721700000000005</v>
      </c>
      <c r="N6299">
        <v>-1.2752009999999999E-2</v>
      </c>
      <c r="O6299">
        <v>-0.62910350000000004</v>
      </c>
      <c r="P6299">
        <v>0.93753839999999999</v>
      </c>
      <c r="Q6299">
        <v>-9.3069869999999999E-2</v>
      </c>
      <c r="R6299">
        <v>-0.33520139999999998</v>
      </c>
      <c r="S6299">
        <v>2.9504999999999999</v>
      </c>
      <c r="T6299">
        <v>-0.32429789999999997</v>
      </c>
      <c r="U6299">
        <v>-0.61251829999999996</v>
      </c>
      <c r="V6299">
        <v>-0.32893729999999999</v>
      </c>
      <c r="W6299">
        <v>-8.2585130000000007E-2</v>
      </c>
      <c r="X6299">
        <v>0.94073370000000001</v>
      </c>
      <c r="Y6299">
        <v>-0.45293099999999997</v>
      </c>
      <c r="Z6299">
        <v>8.182681E-2</v>
      </c>
      <c r="AA6299">
        <v>0.88778259999999898</v>
      </c>
      <c r="AB6299">
        <v>17</v>
      </c>
      <c r="AC6299">
        <v>0.80570000000000097</v>
      </c>
      <c r="AD6299">
        <v>-0.100573</v>
      </c>
      <c r="AE6299">
        <v>-0.10621</v>
      </c>
      <c r="AF6299">
        <v>-0.41795374484253001</v>
      </c>
      <c r="AG6299">
        <v>-0.100573</v>
      </c>
      <c r="AH6299">
        <v>0.68262237076530297</v>
      </c>
      <c r="AI6299">
        <v>97.161773613157806</v>
      </c>
      <c r="AJ6299">
        <v>121.47816297194299</v>
      </c>
      <c r="AK6299">
        <v>0.80670537510675899</v>
      </c>
      <c r="AL6299">
        <v>94.737174799995699</v>
      </c>
      <c r="AM6299">
        <v>109.27270899257699</v>
      </c>
      <c r="AN6299">
        <v>0.99999997267204799</v>
      </c>
    </row>
    <row r="6300" spans="1:40" x14ac:dyDescent="0.25">
      <c r="A6300" t="str">
        <f>"20190303154307289"</f>
        <v>20190303154307289</v>
      </c>
      <c r="B6300" t="str">
        <f>"1551598987286979"</f>
        <v>1551598987286979</v>
      </c>
      <c r="C6300" t="s">
        <v>40</v>
      </c>
      <c r="D6300">
        <v>5.7577339999999904</v>
      </c>
      <c r="E6300">
        <v>0.44660939999999999</v>
      </c>
      <c r="F6300" t="s">
        <v>42</v>
      </c>
      <c r="G6300">
        <v>-411.53289999999998</v>
      </c>
      <c r="H6300">
        <v>1.0223150000000001</v>
      </c>
      <c r="I6300">
        <v>22.536010000000001</v>
      </c>
      <c r="J6300">
        <v>-412.29430000000002</v>
      </c>
      <c r="K6300">
        <v>1.1228229999999999</v>
      </c>
      <c r="L6300">
        <v>22.610440000000001</v>
      </c>
      <c r="M6300">
        <v>0.780053199999999</v>
      </c>
      <c r="N6300">
        <v>-1.259906E-2</v>
      </c>
      <c r="O6300">
        <v>-0.62558649999999905</v>
      </c>
      <c r="P6300">
        <v>0.93905970000000005</v>
      </c>
      <c r="Q6300">
        <v>-9.2581759999999999E-2</v>
      </c>
      <c r="R6300">
        <v>-0.33105240000000002</v>
      </c>
      <c r="S6300">
        <v>2.9528810000000001</v>
      </c>
      <c r="T6300">
        <v>-0.32797730000000003</v>
      </c>
      <c r="U6300">
        <v>-0.59970089999999998</v>
      </c>
      <c r="V6300">
        <v>-0.32887699999999997</v>
      </c>
      <c r="W6300">
        <v>-8.2245769999999996E-2</v>
      </c>
      <c r="X6300">
        <v>0.94078450000000002</v>
      </c>
      <c r="Y6300">
        <v>-0.45263609999999999</v>
      </c>
      <c r="Z6300">
        <v>8.2617120000000002E-2</v>
      </c>
      <c r="AA6300">
        <v>0.88785979999999998</v>
      </c>
      <c r="AB6300">
        <v>17</v>
      </c>
      <c r="AC6300">
        <v>0.76140000000003705</v>
      </c>
      <c r="AD6300">
        <v>-0.100508</v>
      </c>
      <c r="AE6300">
        <v>-7.4429999999999497E-2</v>
      </c>
      <c r="AF6300">
        <v>-0.41119801117567101</v>
      </c>
      <c r="AG6300">
        <v>-0.100508</v>
      </c>
      <c r="AH6300">
        <v>0.62967734624318705</v>
      </c>
      <c r="AI6300">
        <v>97.612220931973795</v>
      </c>
      <c r="AJ6300">
        <v>123.145729783845</v>
      </c>
      <c r="AK6300">
        <v>0.75873527849355304</v>
      </c>
      <c r="AL6300">
        <v>94.717664583097601</v>
      </c>
      <c r="AM6300">
        <v>109.268472629911</v>
      </c>
      <c r="AN6300">
        <v>0.99999996162606997</v>
      </c>
    </row>
    <row r="6301" spans="1:40" x14ac:dyDescent="0.25">
      <c r="A6301" t="str">
        <f>"20190303154307310"</f>
        <v>20190303154307310</v>
      </c>
      <c r="B6301" t="str">
        <f>"1551598987306498"</f>
        <v>1551598987306498</v>
      </c>
      <c r="C6301" t="s">
        <v>40</v>
      </c>
      <c r="D6301">
        <v>5.7469960000000002</v>
      </c>
      <c r="E6301">
        <v>0.49681839999999999</v>
      </c>
      <c r="F6301" t="s">
        <v>42</v>
      </c>
      <c r="G6301">
        <v>-411.36709999999999</v>
      </c>
      <c r="H6301">
        <v>1.0201480000000001</v>
      </c>
      <c r="I6301">
        <v>22.425609999999999</v>
      </c>
      <c r="J6301">
        <v>-412.173</v>
      </c>
      <c r="K6301">
        <v>1.122819</v>
      </c>
      <c r="L6301">
        <v>22.518920000000001</v>
      </c>
      <c r="M6301">
        <v>0.78243240000000003</v>
      </c>
      <c r="N6301">
        <v>-1.247153E-2</v>
      </c>
      <c r="O6301">
        <v>-0.62261069999999996</v>
      </c>
      <c r="P6301">
        <v>0.9403108</v>
      </c>
      <c r="Q6301">
        <v>-9.2521300000000001E-2</v>
      </c>
      <c r="R6301">
        <v>-0.32749909999999999</v>
      </c>
      <c r="S6301">
        <v>2.9550480000000001</v>
      </c>
      <c r="T6301">
        <v>-0.32716719999999999</v>
      </c>
      <c r="U6301">
        <v>-0.5881653</v>
      </c>
      <c r="V6301">
        <v>-0.328851</v>
      </c>
      <c r="W6301">
        <v>-8.2313209999999998E-2</v>
      </c>
      <c r="X6301">
        <v>0.9407877</v>
      </c>
      <c r="Y6301">
        <v>-0.45273459999999899</v>
      </c>
      <c r="Z6301">
        <v>8.2251009999999999E-2</v>
      </c>
      <c r="AA6301">
        <v>0.88784349999999901</v>
      </c>
      <c r="AB6301">
        <v>17</v>
      </c>
      <c r="AC6301">
        <v>0.80590000000000805</v>
      </c>
      <c r="AD6301">
        <v>-0.102670999999999</v>
      </c>
      <c r="AE6301">
        <v>-9.3310000000002405E-2</v>
      </c>
      <c r="AF6301">
        <v>-0.42202740021327201</v>
      </c>
      <c r="AG6301">
        <v>-0.102670999999999</v>
      </c>
      <c r="AH6301">
        <v>0.677855185827964</v>
      </c>
      <c r="AI6301">
        <v>97.326923060640695</v>
      </c>
      <c r="AJ6301">
        <v>121.906073933767</v>
      </c>
      <c r="AK6301">
        <v>0.80506901177826895</v>
      </c>
      <c r="AL6301">
        <v>94.721541714476302</v>
      </c>
      <c r="AM6301">
        <v>109.2670008903</v>
      </c>
      <c r="AN6301">
        <v>0.999999970606396</v>
      </c>
    </row>
    <row r="6302" spans="1:40" x14ac:dyDescent="0.25">
      <c r="A6302" t="str">
        <f>"20190303154307326"</f>
        <v>20190303154307326</v>
      </c>
      <c r="B6302" t="str">
        <f>"1551598987316258"</f>
        <v>1551598987316258</v>
      </c>
      <c r="C6302" t="s">
        <v>40</v>
      </c>
      <c r="D6302">
        <v>5.7642600000000002</v>
      </c>
      <c r="E6302">
        <v>0.50368570000000001</v>
      </c>
      <c r="F6302" t="s">
        <v>58</v>
      </c>
      <c r="G6302">
        <v>-402.29340000000002</v>
      </c>
      <c r="H6302" s="1">
        <v>-6.8925889999999998E-6</v>
      </c>
      <c r="I6302">
        <v>19.17747</v>
      </c>
      <c r="J6302">
        <v>-412.07859999999999</v>
      </c>
      <c r="K6302">
        <v>1.122816</v>
      </c>
      <c r="L6302">
        <v>22.448239999999998</v>
      </c>
      <c r="M6302">
        <v>0.78427579999999997</v>
      </c>
      <c r="N6302">
        <v>-1.237713E-2</v>
      </c>
      <c r="O6302">
        <v>-0.62028909999999904</v>
      </c>
      <c r="P6302">
        <v>0.94132640000000001</v>
      </c>
      <c r="Q6302">
        <v>-9.2324229999999993E-2</v>
      </c>
      <c r="R6302">
        <v>-0.32462489999999999</v>
      </c>
      <c r="S6302">
        <v>2.825958</v>
      </c>
      <c r="T6302">
        <v>-0.32117010000000001</v>
      </c>
      <c r="U6302">
        <v>-0.95577999999999996</v>
      </c>
      <c r="V6302">
        <v>-0.32894659999999998</v>
      </c>
      <c r="W6302">
        <v>-8.2213910000000001E-2</v>
      </c>
      <c r="X6302">
        <v>0.94076300000000002</v>
      </c>
      <c r="Y6302">
        <v>-0.33205829999999997</v>
      </c>
      <c r="Z6302">
        <v>7.4929640000000006E-2</v>
      </c>
      <c r="AA6302">
        <v>0.94027810000000001</v>
      </c>
      <c r="AB6302">
        <v>17</v>
      </c>
      <c r="AC6302">
        <v>9.7851999999999695</v>
      </c>
      <c r="AD6302">
        <v>-1.122822892589</v>
      </c>
      <c r="AE6302">
        <v>-3.27076999999999</v>
      </c>
      <c r="AF6302">
        <v>-3.4637121802214299</v>
      </c>
      <c r="AG6302">
        <v>-1.122822892589</v>
      </c>
      <c r="AH6302">
        <v>9.5902767794439505</v>
      </c>
      <c r="AI6302">
        <v>96.283941691150801</v>
      </c>
      <c r="AJ6302">
        <v>109.85815644424601</v>
      </c>
      <c r="AK6302">
        <v>10.258237763957201</v>
      </c>
      <c r="AL6302">
        <v>94.715832720029098</v>
      </c>
      <c r="AM6302">
        <v>109.272657706145</v>
      </c>
      <c r="AN6302">
        <v>1.0000000074090201</v>
      </c>
    </row>
    <row r="6303" spans="1:40" x14ac:dyDescent="0.25">
      <c r="A6303" t="str">
        <f>"20190303154307342"</f>
        <v>20190303154307342</v>
      </c>
      <c r="B6303" t="str">
        <f>"1551598987336754"</f>
        <v>1551598987336754</v>
      </c>
      <c r="C6303" t="s">
        <v>40</v>
      </c>
      <c r="D6303">
        <v>5.7808029999999997</v>
      </c>
      <c r="E6303">
        <v>0.51095990000000002</v>
      </c>
      <c r="F6303" t="s">
        <v>58</v>
      </c>
      <c r="G6303">
        <v>-401.87799999999999</v>
      </c>
      <c r="H6303" s="1">
        <v>-6.9916330000000004E-6</v>
      </c>
      <c r="I6303">
        <v>18.821840000000002</v>
      </c>
      <c r="J6303">
        <v>-411.97590000000002</v>
      </c>
      <c r="K6303">
        <v>1.122817</v>
      </c>
      <c r="L6303">
        <v>22.371770000000001</v>
      </c>
      <c r="M6303">
        <v>0.786277</v>
      </c>
      <c r="N6303">
        <v>-1.228021E-2</v>
      </c>
      <c r="O6303">
        <v>-0.61775210000000003</v>
      </c>
      <c r="P6303">
        <v>0.94229039999999997</v>
      </c>
      <c r="Q6303">
        <v>-9.2371200000000001E-2</v>
      </c>
      <c r="R6303">
        <v>-0.32180229999999999</v>
      </c>
      <c r="S6303">
        <v>2.8118590000000001</v>
      </c>
      <c r="T6303">
        <v>-0.30951109999999998</v>
      </c>
      <c r="U6303">
        <v>-0.99963380000000002</v>
      </c>
      <c r="V6303">
        <v>-0.32872000000000001</v>
      </c>
      <c r="W6303">
        <v>-8.236106E-2</v>
      </c>
      <c r="X6303">
        <v>0.94082929999999998</v>
      </c>
      <c r="Y6303">
        <v>-0.31485049999999998</v>
      </c>
      <c r="Z6303">
        <v>7.098604E-2</v>
      </c>
      <c r="AA6303">
        <v>0.94648299999999996</v>
      </c>
      <c r="AB6303">
        <v>17</v>
      </c>
      <c r="AC6303">
        <v>10.0978999999999</v>
      </c>
      <c r="AD6303">
        <v>-1.1228239916329901</v>
      </c>
      <c r="AE6303">
        <v>-3.5499299999999998</v>
      </c>
      <c r="AF6303">
        <v>-3.4095120071641398</v>
      </c>
      <c r="AG6303">
        <v>-1.1228239916329901</v>
      </c>
      <c r="AH6303">
        <v>10.0231913664109</v>
      </c>
      <c r="AI6303">
        <v>96.053857274539993</v>
      </c>
      <c r="AJ6303">
        <v>108.786369244301</v>
      </c>
      <c r="AK6303">
        <v>10.646589642269401</v>
      </c>
      <c r="AL6303">
        <v>94.724292627259601</v>
      </c>
      <c r="AM6303">
        <v>109.259102209128</v>
      </c>
      <c r="AN6303">
        <v>0.99999997717140598</v>
      </c>
    </row>
    <row r="6304" spans="1:40" x14ac:dyDescent="0.25">
      <c r="A6304" t="str">
        <f>"20190303154307355"</f>
        <v>20190303154307355</v>
      </c>
      <c r="B6304" t="str">
        <f>"1551598987346515"</f>
        <v>1551598987346515</v>
      </c>
      <c r="C6304" t="s">
        <v>40</v>
      </c>
      <c r="D6304">
        <v>5.7599210000000003</v>
      </c>
      <c r="E6304">
        <v>0.5131308</v>
      </c>
      <c r="F6304" t="s">
        <v>58</v>
      </c>
      <c r="G6304">
        <v>-401.48039999999997</v>
      </c>
      <c r="H6304" s="1">
        <v>-7.082166E-6</v>
      </c>
      <c r="I6304">
        <v>18.443629999999999</v>
      </c>
      <c r="J6304">
        <v>-411.89710000000002</v>
      </c>
      <c r="K6304">
        <v>1.122822</v>
      </c>
      <c r="L6304">
        <v>22.31345</v>
      </c>
      <c r="M6304">
        <v>0.78780689999999998</v>
      </c>
      <c r="N6304">
        <v>-1.2209889999999999E-2</v>
      </c>
      <c r="O6304">
        <v>-0.6158013</v>
      </c>
      <c r="P6304">
        <v>0.94296000000000002</v>
      </c>
      <c r="Q6304">
        <v>-9.2568319999999996E-2</v>
      </c>
      <c r="R6304">
        <v>-0.3197778</v>
      </c>
      <c r="S6304">
        <v>2.7969360000000001</v>
      </c>
      <c r="T6304">
        <v>-0.29922259999999901</v>
      </c>
      <c r="U6304">
        <v>-1.0468139999999999</v>
      </c>
      <c r="V6304">
        <v>-0.32839230000000003</v>
      </c>
      <c r="W6304">
        <v>-8.2631280000000001E-2</v>
      </c>
      <c r="X6304">
        <v>0.94092010000000004</v>
      </c>
      <c r="Y6304">
        <v>-0.29711929999999998</v>
      </c>
      <c r="Z6304">
        <v>6.7434499999999994E-2</v>
      </c>
      <c r="AA6304">
        <v>0.95245619999999998</v>
      </c>
      <c r="AB6304">
        <v>17</v>
      </c>
      <c r="AC6304">
        <v>10.416700000000001</v>
      </c>
      <c r="AD6304">
        <v>-1.1228290821660001</v>
      </c>
      <c r="AE6304">
        <v>-3.8698199999999998</v>
      </c>
      <c r="AF6304">
        <v>-3.3321763336549099</v>
      </c>
      <c r="AG6304">
        <v>-1.1228290821660001</v>
      </c>
      <c r="AH6304">
        <v>10.483146156068401</v>
      </c>
      <c r="AI6304">
        <v>95.828307384382796</v>
      </c>
      <c r="AJ6304">
        <v>107.633396322647</v>
      </c>
      <c r="AK6304">
        <v>11.057146901249901</v>
      </c>
      <c r="AL6304">
        <v>94.739827782970096</v>
      </c>
      <c r="AM6304">
        <v>109.239594446491</v>
      </c>
      <c r="AN6304">
        <v>1.0000000328588601</v>
      </c>
    </row>
    <row r="6305" spans="1:40" x14ac:dyDescent="0.25">
      <c r="A6305" t="str">
        <f>"20190303154307367"</f>
        <v>20190303154307367</v>
      </c>
      <c r="B6305" t="str">
        <f>"1551598987356274"</f>
        <v>1551598987356274</v>
      </c>
      <c r="C6305" t="s">
        <v>40</v>
      </c>
      <c r="D6305">
        <v>5.7449399999999997</v>
      </c>
      <c r="E6305">
        <v>0.5148682</v>
      </c>
      <c r="F6305" t="s">
        <v>58</v>
      </c>
      <c r="G6305">
        <v>-401.32990000000001</v>
      </c>
      <c r="H6305" s="1">
        <v>-7.1179939999999997E-6</v>
      </c>
      <c r="I6305">
        <v>18.314160000000001</v>
      </c>
      <c r="J6305">
        <v>-411.82220000000001</v>
      </c>
      <c r="K6305">
        <v>1.1228290000000001</v>
      </c>
      <c r="L6305">
        <v>22.258420000000001</v>
      </c>
      <c r="M6305">
        <v>0.78926419999999997</v>
      </c>
      <c r="N6305">
        <v>-1.2149E-2</v>
      </c>
      <c r="O6305">
        <v>-0.61393390000000003</v>
      </c>
      <c r="P6305">
        <v>0.94367069999999997</v>
      </c>
      <c r="Q6305">
        <v>-9.3069020000000002E-2</v>
      </c>
      <c r="R6305">
        <v>-0.31752849999999999</v>
      </c>
      <c r="S6305">
        <v>2.793793</v>
      </c>
      <c r="T6305">
        <v>-0.29685689999999998</v>
      </c>
      <c r="U6305">
        <v>-1.0573429999999999</v>
      </c>
      <c r="V6305">
        <v>-0.32837129999999998</v>
      </c>
      <c r="W6305">
        <v>-8.3200720000000006E-2</v>
      </c>
      <c r="X6305">
        <v>0.94087719999999997</v>
      </c>
      <c r="Y6305">
        <v>-0.29144560000000003</v>
      </c>
      <c r="Z6305">
        <v>6.6463839999999996E-2</v>
      </c>
      <c r="AA6305">
        <v>0.95427569999999995</v>
      </c>
      <c r="AB6305">
        <v>17</v>
      </c>
      <c r="AC6305">
        <v>10.4923</v>
      </c>
      <c r="AD6305">
        <v>-1.1228361179940001</v>
      </c>
      <c r="AE6305">
        <v>-3.9442599999999999</v>
      </c>
      <c r="AF6305">
        <v>-3.29569059390652</v>
      </c>
      <c r="AG6305">
        <v>-1.1228361179940001</v>
      </c>
      <c r="AH6305">
        <v>10.5971646591547</v>
      </c>
      <c r="AI6305">
        <v>95.777316907735198</v>
      </c>
      <c r="AJ6305">
        <v>107.27555765947901</v>
      </c>
      <c r="AK6305">
        <v>11.154471581024101</v>
      </c>
      <c r="AL6305">
        <v>94.772567242018894</v>
      </c>
      <c r="AM6305">
        <v>109.23926725589401</v>
      </c>
      <c r="AN6305">
        <v>0.99999998797602396</v>
      </c>
    </row>
    <row r="6306" spans="1:40" x14ac:dyDescent="0.25">
      <c r="A6306" t="str">
        <f>"20190303154307381"</f>
        <v>20190303154307381</v>
      </c>
      <c r="B6306" t="str">
        <f>"1551598987376769"</f>
        <v>1551598987376769</v>
      </c>
      <c r="C6306" t="s">
        <v>40</v>
      </c>
      <c r="D6306">
        <v>5.7603679999999997</v>
      </c>
      <c r="E6306">
        <v>0.51741300000000001</v>
      </c>
      <c r="F6306" t="s">
        <v>58</v>
      </c>
      <c r="G6306">
        <v>-401.23200000000003</v>
      </c>
      <c r="H6306" s="1">
        <v>-7.1404740000000002E-6</v>
      </c>
      <c r="I6306">
        <v>18.222660000000001</v>
      </c>
      <c r="J6306">
        <v>-411.74239999999998</v>
      </c>
      <c r="K6306">
        <v>1.1228370000000001</v>
      </c>
      <c r="L6306">
        <v>22.200040000000001</v>
      </c>
      <c r="M6306">
        <v>0.79081480000000004</v>
      </c>
      <c r="N6306">
        <v>-1.208686E-2</v>
      </c>
      <c r="O6306">
        <v>-0.61193640000000005</v>
      </c>
      <c r="P6306">
        <v>0.94436710000000001</v>
      </c>
      <c r="Q6306">
        <v>-9.3416910000000006E-2</v>
      </c>
      <c r="R6306">
        <v>-0.31534820000000002</v>
      </c>
      <c r="S6306">
        <v>2.7919309999999999</v>
      </c>
      <c r="T6306">
        <v>-0.296018</v>
      </c>
      <c r="U6306">
        <v>-1.063965</v>
      </c>
      <c r="V6306">
        <v>-0.32813900000000001</v>
      </c>
      <c r="W6306">
        <v>-8.3618449999999997E-2</v>
      </c>
      <c r="X6306">
        <v>0.94092120000000001</v>
      </c>
      <c r="Y6306">
        <v>-0.28688079999999999</v>
      </c>
      <c r="Z6306">
        <v>6.591487E-2</v>
      </c>
      <c r="AA6306">
        <v>0.95569590000000004</v>
      </c>
      <c r="AB6306">
        <v>17</v>
      </c>
      <c r="AC6306">
        <v>10.510400000000001</v>
      </c>
      <c r="AD6306">
        <v>-1.1228441404739999</v>
      </c>
      <c r="AE6306">
        <v>-3.9773799999999899</v>
      </c>
      <c r="AF6306">
        <v>-3.2540783292972502</v>
      </c>
      <c r="AG6306">
        <v>-1.1228441404739999</v>
      </c>
      <c r="AH6306">
        <v>10.640241543881</v>
      </c>
      <c r="AI6306">
        <v>95.762453146597394</v>
      </c>
      <c r="AJ6306">
        <v>107.005072270447</v>
      </c>
      <c r="AK6306">
        <v>11.183226048378399</v>
      </c>
      <c r="AL6306">
        <v>94.796585157228705</v>
      </c>
      <c r="AM6306">
        <v>109.225822995733</v>
      </c>
      <c r="AN6306">
        <v>0.99999997655542106</v>
      </c>
    </row>
    <row r="6307" spans="1:40" x14ac:dyDescent="0.25">
      <c r="A6307" t="str">
        <f>"20190303154307399"</f>
        <v>20190303154307399</v>
      </c>
      <c r="B6307" t="str">
        <f>"1551598987386530"</f>
        <v>1551598987386530</v>
      </c>
      <c r="C6307" t="s">
        <v>40</v>
      </c>
      <c r="D6307">
        <v>5.7732150000000004</v>
      </c>
      <c r="E6307">
        <v>0.5184569</v>
      </c>
      <c r="F6307" t="s">
        <v>58</v>
      </c>
      <c r="G6307">
        <v>-401.07780000000002</v>
      </c>
      <c r="H6307" s="1">
        <v>-7.1761429999999999E-6</v>
      </c>
      <c r="I6307">
        <v>18.080749999999998</v>
      </c>
      <c r="J6307">
        <v>-411.63510000000002</v>
      </c>
      <c r="K6307">
        <v>1.12286</v>
      </c>
      <c r="L6307">
        <v>22.122039999999998</v>
      </c>
      <c r="M6307">
        <v>0.79290289999999997</v>
      </c>
      <c r="N6307">
        <v>-1.2009799999999999E-2</v>
      </c>
      <c r="O6307">
        <v>-0.60922989999999999</v>
      </c>
      <c r="P6307">
        <v>0.94527220000000001</v>
      </c>
      <c r="Q6307">
        <v>-9.382124E-2</v>
      </c>
      <c r="R6307">
        <v>-0.31250359999999899</v>
      </c>
      <c r="S6307">
        <v>2.7880549999999999</v>
      </c>
      <c r="T6307">
        <v>-0.29354439999999998</v>
      </c>
      <c r="U6307">
        <v>-1.0769040000000001</v>
      </c>
      <c r="V6307">
        <v>-0.3277233</v>
      </c>
      <c r="W6307">
        <v>-8.411267E-2</v>
      </c>
      <c r="X6307">
        <v>0.94102200000000003</v>
      </c>
      <c r="Y6307">
        <v>-0.27938879999999999</v>
      </c>
      <c r="Z6307">
        <v>6.4784530000000007E-2</v>
      </c>
      <c r="AA6307">
        <v>0.95799000000000001</v>
      </c>
      <c r="AB6307">
        <v>17</v>
      </c>
      <c r="AC6307">
        <v>10.5572999999999</v>
      </c>
      <c r="AD6307">
        <v>-1.122867176143</v>
      </c>
      <c r="AE6307">
        <v>-4.04129</v>
      </c>
      <c r="AF6307">
        <v>-3.1961694212275402</v>
      </c>
      <c r="AG6307">
        <v>-1.122867176143</v>
      </c>
      <c r="AH6307">
        <v>10.727920716843901</v>
      </c>
      <c r="AI6307">
        <v>95.728205509243793</v>
      </c>
      <c r="AJ6307">
        <v>106.590372932223</v>
      </c>
      <c r="AK6307">
        <v>11.2500938916676</v>
      </c>
      <c r="AL6307">
        <v>94.8250020998737</v>
      </c>
      <c r="AM6307">
        <v>109.201344963203</v>
      </c>
      <c r="AN6307">
        <v>0.99999995355070803</v>
      </c>
    </row>
    <row r="6308" spans="1:40" x14ac:dyDescent="0.25">
      <c r="A6308" t="str">
        <f>"20190303154307411"</f>
        <v>20190303154307411</v>
      </c>
      <c r="B6308" t="str">
        <f>"1551598987407027"</f>
        <v>1551598987407027</v>
      </c>
      <c r="C6308" t="s">
        <v>40</v>
      </c>
      <c r="D6308">
        <v>5.7973140000000001</v>
      </c>
      <c r="E6308">
        <v>0.5200418</v>
      </c>
      <c r="F6308" t="s">
        <v>58</v>
      </c>
      <c r="G6308">
        <v>-400.96730000000002</v>
      </c>
      <c r="H6308" s="1">
        <v>-7.2044250000000001E-6</v>
      </c>
      <c r="I6308">
        <v>18.00329</v>
      </c>
      <c r="J6308">
        <v>-411.5496</v>
      </c>
      <c r="K6308">
        <v>1.1228800000000001</v>
      </c>
      <c r="L6308">
        <v>22.06024</v>
      </c>
      <c r="M6308">
        <v>0.79457230000000001</v>
      </c>
      <c r="N6308">
        <v>-1.195384E-2</v>
      </c>
      <c r="O6308">
        <v>-0.60705209999999998</v>
      </c>
      <c r="P6308">
        <v>0.94607090000000005</v>
      </c>
      <c r="Q6308">
        <v>-9.3653589999999995E-2</v>
      </c>
      <c r="R6308">
        <v>-0.31012779999999901</v>
      </c>
      <c r="S6308">
        <v>2.7886350000000002</v>
      </c>
      <c r="T6308">
        <v>-0.29352279999999997</v>
      </c>
      <c r="U6308">
        <v>-1.07666</v>
      </c>
      <c r="V6308">
        <v>-0.32751160000000001</v>
      </c>
      <c r="W6308">
        <v>-8.4014080000000005E-2</v>
      </c>
      <c r="X6308">
        <v>0.94110459999999996</v>
      </c>
      <c r="Y6308">
        <v>-0.27691080000000001</v>
      </c>
      <c r="Z6308">
        <v>6.4520579999999994E-2</v>
      </c>
      <c r="AA6308">
        <v>0.95872710000000005</v>
      </c>
      <c r="AB6308">
        <v>17</v>
      </c>
      <c r="AC6308">
        <v>10.582299999999901</v>
      </c>
      <c r="AD6308">
        <v>-1.12288720442499</v>
      </c>
      <c r="AE6308">
        <v>-4.0569499999999996</v>
      </c>
      <c r="AF6308">
        <v>-3.16958123438818</v>
      </c>
      <c r="AG6308">
        <v>-1.12288720442499</v>
      </c>
      <c r="AH6308">
        <v>10.7662701181283</v>
      </c>
      <c r="AI6308">
        <v>95.713491659156006</v>
      </c>
      <c r="AJ6308">
        <v>106.404386249681</v>
      </c>
      <c r="AK6308">
        <v>11.279170764366899</v>
      </c>
      <c r="AL6308">
        <v>94.8193328210413</v>
      </c>
      <c r="AM6308">
        <v>109.188287555369</v>
      </c>
      <c r="AN6308">
        <v>1.00000004095698</v>
      </c>
    </row>
    <row r="6309" spans="1:40" x14ac:dyDescent="0.25">
      <c r="A6309" t="str">
        <f>"20190303154307424"</f>
        <v>20190303154307424</v>
      </c>
      <c r="B6309" t="str">
        <f>"1551598987416786"</f>
        <v>1551598987416786</v>
      </c>
      <c r="C6309" t="s">
        <v>40</v>
      </c>
      <c r="D6309">
        <v>5.7880580000000004</v>
      </c>
      <c r="E6309">
        <v>0.52072940000000001</v>
      </c>
      <c r="F6309" t="s">
        <v>58</v>
      </c>
      <c r="G6309">
        <v>-400.90870000000001</v>
      </c>
      <c r="H6309" s="1">
        <v>-7.2159760000000002E-6</v>
      </c>
      <c r="I6309">
        <v>17.931729999999899</v>
      </c>
      <c r="J6309">
        <v>-411.4751</v>
      </c>
      <c r="K6309">
        <v>1.1228910000000001</v>
      </c>
      <c r="L6309">
        <v>22.00684</v>
      </c>
      <c r="M6309">
        <v>0.79602850000000003</v>
      </c>
      <c r="N6309">
        <v>-1.190896E-2</v>
      </c>
      <c r="O6309">
        <v>-0.60514199999999996</v>
      </c>
      <c r="P6309">
        <v>0.94674320000000001</v>
      </c>
      <c r="Q6309">
        <v>-9.3815239999999994E-2</v>
      </c>
      <c r="R6309">
        <v>-0.3080195</v>
      </c>
      <c r="S6309">
        <v>2.7873540000000001</v>
      </c>
      <c r="T6309">
        <v>-0.29413739999999999</v>
      </c>
      <c r="U6309">
        <v>-1.0814509999999999</v>
      </c>
      <c r="V6309">
        <v>-0.32733230000000002</v>
      </c>
      <c r="W6309">
        <v>-8.4233059999999998E-2</v>
      </c>
      <c r="X6309">
        <v>0.94114739999999997</v>
      </c>
      <c r="Y6309">
        <v>-0.27302739999999998</v>
      </c>
      <c r="Z6309">
        <v>6.4354410000000001E-2</v>
      </c>
      <c r="AA6309">
        <v>0.95985129999999996</v>
      </c>
      <c r="AB6309">
        <v>17</v>
      </c>
      <c r="AC6309">
        <v>10.5663999999999</v>
      </c>
      <c r="AD6309">
        <v>-1.1228982159759999</v>
      </c>
      <c r="AE6309">
        <v>-4.0751099999999996</v>
      </c>
      <c r="AF6309">
        <v>-3.11982058810647</v>
      </c>
      <c r="AG6309">
        <v>-1.1228982159759999</v>
      </c>
      <c r="AH6309">
        <v>10.7720451169542</v>
      </c>
      <c r="AI6309">
        <v>95.717800822206001</v>
      </c>
      <c r="AJ6309">
        <v>106.152176062346</v>
      </c>
      <c r="AK6309">
        <v>11.270809061780501</v>
      </c>
      <c r="AL6309">
        <v>94.831924107316993</v>
      </c>
      <c r="AM6309">
        <v>109.177741688905</v>
      </c>
      <c r="AN6309">
        <v>1.0000000357734999</v>
      </c>
    </row>
    <row r="6310" spans="1:40" x14ac:dyDescent="0.25">
      <c r="A6310" t="str">
        <f>"20190303154307443"</f>
        <v>20190303154307443</v>
      </c>
      <c r="B6310" t="str">
        <f>"1551598987436306"</f>
        <v>1551598987436306</v>
      </c>
      <c r="C6310" t="s">
        <v>40</v>
      </c>
      <c r="D6310">
        <v>5.8169300000000002</v>
      </c>
      <c r="E6310">
        <v>0.52194949999999996</v>
      </c>
      <c r="F6310" t="s">
        <v>58</v>
      </c>
      <c r="G6310">
        <v>-400.8922</v>
      </c>
      <c r="H6310" s="1">
        <v>-7.2184969999999997E-6</v>
      </c>
      <c r="I6310">
        <v>17.90504</v>
      </c>
      <c r="J6310">
        <v>-411.36040000000003</v>
      </c>
      <c r="K6310">
        <v>1.1229199999999999</v>
      </c>
      <c r="L6310">
        <v>21.925139999999999</v>
      </c>
      <c r="M6310">
        <v>0.7982745</v>
      </c>
      <c r="N6310">
        <v>-1.184525E-2</v>
      </c>
      <c r="O6310">
        <v>-0.60217739999999997</v>
      </c>
      <c r="P6310">
        <v>0.94785929999999996</v>
      </c>
      <c r="Q6310">
        <v>-9.3914789999999998E-2</v>
      </c>
      <c r="R6310">
        <v>-0.30453709999999901</v>
      </c>
      <c r="S6310">
        <v>2.7879330000000002</v>
      </c>
      <c r="T6310">
        <v>-0.29581380000000002</v>
      </c>
      <c r="U6310">
        <v>-1.0805659999999999</v>
      </c>
      <c r="V6310">
        <v>-0.32727779999999901</v>
      </c>
      <c r="W6310">
        <v>-8.4418800000000002E-2</v>
      </c>
      <c r="X6310">
        <v>0.94114969999999998</v>
      </c>
      <c r="Y6310">
        <v>-0.26976339999999999</v>
      </c>
      <c r="Z6310">
        <v>6.4403619999999995E-2</v>
      </c>
      <c r="AA6310">
        <v>0.96077040000000002</v>
      </c>
      <c r="AB6310">
        <v>17</v>
      </c>
      <c r="AC6310">
        <v>10.4682</v>
      </c>
      <c r="AD6310">
        <v>-1.1229272184970001</v>
      </c>
      <c r="AE6310">
        <v>-4.0200999999999896</v>
      </c>
      <c r="AF6310">
        <v>-3.0640606821279501</v>
      </c>
      <c r="AG6310">
        <v>-1.1229272184970001</v>
      </c>
      <c r="AH6310">
        <v>10.671056661870701</v>
      </c>
      <c r="AI6310">
        <v>95.775490374169493</v>
      </c>
      <c r="AJ6310">
        <v>106.02075816401999</v>
      </c>
      <c r="AK6310">
        <v>11.158892583167001</v>
      </c>
      <c r="AL6310">
        <v>94.842604317702794</v>
      </c>
      <c r="AM6310">
        <v>109.17473835111301</v>
      </c>
      <c r="AN6310">
        <v>1.00000002498818</v>
      </c>
    </row>
    <row r="6311" spans="1:40" x14ac:dyDescent="0.25">
      <c r="A6311" t="str">
        <f>"20190303154307458"</f>
        <v>20190303154307458</v>
      </c>
      <c r="B6311" t="str">
        <f>"1551598987447043"</f>
        <v>1551598987447043</v>
      </c>
      <c r="C6311" t="s">
        <v>40</v>
      </c>
      <c r="D6311">
        <v>5.802791</v>
      </c>
      <c r="E6311">
        <v>0.52241599999999999</v>
      </c>
      <c r="F6311" t="s">
        <v>58</v>
      </c>
      <c r="G6311">
        <v>-400.81299999999999</v>
      </c>
      <c r="H6311" s="1">
        <v>-7.237979E-6</v>
      </c>
      <c r="I6311">
        <v>17.842610000000001</v>
      </c>
      <c r="J6311">
        <v>-411.27280000000002</v>
      </c>
      <c r="K6311">
        <v>1.1229480000000001</v>
      </c>
      <c r="L6311">
        <v>21.863130000000002</v>
      </c>
      <c r="M6311">
        <v>0.79999609999999999</v>
      </c>
      <c r="N6311">
        <v>-1.18009E-2</v>
      </c>
      <c r="O6311">
        <v>-0.59988929999999996</v>
      </c>
      <c r="P6311">
        <v>0.94865319999999997</v>
      </c>
      <c r="Q6311">
        <v>-9.4186409999999998E-2</v>
      </c>
      <c r="R6311">
        <v>-0.30197089999999999</v>
      </c>
      <c r="S6311">
        <v>2.7888489999999999</v>
      </c>
      <c r="T6311">
        <v>-0.29691469999999998</v>
      </c>
      <c r="U6311">
        <v>-1.0794680000000001</v>
      </c>
      <c r="V6311">
        <v>-0.32710689999999998</v>
      </c>
      <c r="W6311">
        <v>-8.4752350000000004E-2</v>
      </c>
      <c r="X6311">
        <v>0.94117910000000005</v>
      </c>
      <c r="Y6311">
        <v>-0.26743270000000002</v>
      </c>
      <c r="Z6311">
        <v>6.4392179999999993E-2</v>
      </c>
      <c r="AA6311">
        <v>0.96142260000000002</v>
      </c>
      <c r="AB6311">
        <v>17</v>
      </c>
      <c r="AC6311">
        <v>10.4597999999999</v>
      </c>
      <c r="AD6311">
        <v>-1.122955237979</v>
      </c>
      <c r="AE6311">
        <v>-4.0205199999999897</v>
      </c>
      <c r="AF6311">
        <v>-3.0281251948099999</v>
      </c>
      <c r="AG6311">
        <v>-1.122955237979</v>
      </c>
      <c r="AH6311">
        <v>10.6732322371567</v>
      </c>
      <c r="AI6311">
        <v>95.779651581668205</v>
      </c>
      <c r="AJ6311">
        <v>105.83928129310701</v>
      </c>
      <c r="AK6311">
        <v>11.151163932533199</v>
      </c>
      <c r="AL6311">
        <v>94.861784223452602</v>
      </c>
      <c r="AM6311">
        <v>109.164901074393</v>
      </c>
      <c r="AN6311">
        <v>0.99999999156747099</v>
      </c>
    </row>
    <row r="6312" spans="1:40" x14ac:dyDescent="0.25">
      <c r="A6312" t="str">
        <f>"20190303154307473"</f>
        <v>20190303154307473</v>
      </c>
      <c r="B6312" t="str">
        <f>"1551598987466562"</f>
        <v>1551598987466562</v>
      </c>
      <c r="C6312" t="s">
        <v>40</v>
      </c>
      <c r="D6312">
        <v>5.8365939999999998</v>
      </c>
      <c r="E6312">
        <v>0.52328739999999996</v>
      </c>
      <c r="F6312" t="s">
        <v>58</v>
      </c>
      <c r="G6312">
        <v>-400.74520000000001</v>
      </c>
      <c r="H6312" s="1">
        <v>-7.2565169999999997E-6</v>
      </c>
      <c r="I6312">
        <v>17.805599999999998</v>
      </c>
      <c r="J6312">
        <v>-411.17809999999997</v>
      </c>
      <c r="K6312">
        <v>1.1229739999999999</v>
      </c>
      <c r="L6312">
        <v>21.79663</v>
      </c>
      <c r="M6312">
        <v>0.80186729999999995</v>
      </c>
      <c r="N6312">
        <v>-1.1758609999999999E-2</v>
      </c>
      <c r="O6312">
        <v>-0.59738659999999999</v>
      </c>
      <c r="P6312">
        <v>0.94963790000000003</v>
      </c>
      <c r="Q6312">
        <v>-9.4165760000000001E-2</v>
      </c>
      <c r="R6312">
        <v>-0.29886550000000001</v>
      </c>
      <c r="S6312">
        <v>2.7904659999999999</v>
      </c>
      <c r="T6312">
        <v>-0.29765399999999997</v>
      </c>
      <c r="U6312">
        <v>-1.0754999999999999</v>
      </c>
      <c r="V6312">
        <v>-0.32723980000000003</v>
      </c>
      <c r="W6312">
        <v>-8.4796289999999996E-2</v>
      </c>
      <c r="X6312">
        <v>0.94112890000000005</v>
      </c>
      <c r="Y6312">
        <v>-0.26579599999999998</v>
      </c>
      <c r="Z6312">
        <v>6.4317399999999997E-2</v>
      </c>
      <c r="AA6312">
        <v>0.96188130000000005</v>
      </c>
      <c r="AB6312">
        <v>17</v>
      </c>
      <c r="AC6312">
        <v>10.432899999999901</v>
      </c>
      <c r="AD6312">
        <v>-1.1229812565170001</v>
      </c>
      <c r="AE6312">
        <v>-3.9910299999999999</v>
      </c>
      <c r="AF6312">
        <v>-3.00206572703223</v>
      </c>
      <c r="AG6312">
        <v>-1.1229812565170001</v>
      </c>
      <c r="AH6312">
        <v>10.643161135871599</v>
      </c>
      <c r="AI6312">
        <v>95.798487395061898</v>
      </c>
      <c r="AJ6312">
        <v>105.751914094987</v>
      </c>
      <c r="AK6312">
        <v>11.1153211602741</v>
      </c>
      <c r="AL6312">
        <v>94.864311088730503</v>
      </c>
      <c r="AM6312">
        <v>109.173067314631</v>
      </c>
      <c r="AN6312">
        <v>0.99999995195850599</v>
      </c>
    </row>
    <row r="6313" spans="1:40" x14ac:dyDescent="0.25">
      <c r="A6313" t="str">
        <f>"20190303154307489"</f>
        <v>20190303154307489</v>
      </c>
      <c r="B6313" t="str">
        <f>"1551598987487058"</f>
        <v>1551598987487058</v>
      </c>
      <c r="C6313" t="s">
        <v>40</v>
      </c>
      <c r="D6313">
        <v>5.859693</v>
      </c>
      <c r="E6313">
        <v>0.52400769999999997</v>
      </c>
      <c r="F6313" t="s">
        <v>58</v>
      </c>
      <c r="G6313">
        <v>-400.62979999999999</v>
      </c>
      <c r="H6313" s="1">
        <v>-7.288073E-6</v>
      </c>
      <c r="I6313">
        <v>17.742709999999999</v>
      </c>
      <c r="J6313">
        <v>-411.07830000000001</v>
      </c>
      <c r="K6313">
        <v>1.123003</v>
      </c>
      <c r="L6313">
        <v>21.727139999999999</v>
      </c>
      <c r="M6313">
        <v>0.80384860000000002</v>
      </c>
      <c r="N6313">
        <v>-1.171899E-2</v>
      </c>
      <c r="O6313">
        <v>-0.59471879999999999</v>
      </c>
      <c r="P6313">
        <v>0.95074639999999999</v>
      </c>
      <c r="Q6313">
        <v>-9.3917039999999993E-2</v>
      </c>
      <c r="R6313">
        <v>-0.2954002</v>
      </c>
      <c r="S6313">
        <v>2.7919309999999999</v>
      </c>
      <c r="T6313">
        <v>-0.29723250000000001</v>
      </c>
      <c r="U6313">
        <v>-1.0729979999999999</v>
      </c>
      <c r="V6313">
        <v>-0.32755319999999999</v>
      </c>
      <c r="W6313">
        <v>-8.4612560000000003E-2</v>
      </c>
      <c r="X6313">
        <v>0.94103650000000005</v>
      </c>
      <c r="Y6313">
        <v>-0.26354090000000002</v>
      </c>
      <c r="Z6313">
        <v>6.3917999999999905E-2</v>
      </c>
      <c r="AA6313">
        <v>0.9625283</v>
      </c>
      <c r="AB6313">
        <v>17</v>
      </c>
      <c r="AC6313">
        <v>10.448499999999999</v>
      </c>
      <c r="AD6313">
        <v>-1.123010288073</v>
      </c>
      <c r="AE6313">
        <v>-3.9844300000000001</v>
      </c>
      <c r="AF6313">
        <v>-2.9811806349997698</v>
      </c>
      <c r="AG6313">
        <v>-1.123010288073</v>
      </c>
      <c r="AH6313">
        <v>10.661835844275799</v>
      </c>
      <c r="AI6313">
        <v>95.792220835919395</v>
      </c>
      <c r="AJ6313">
        <v>105.621646702794</v>
      </c>
      <c r="AK6313">
        <v>11.127593345189201</v>
      </c>
      <c r="AL6313">
        <v>94.853745740953798</v>
      </c>
      <c r="AM6313">
        <v>109.191833790346</v>
      </c>
      <c r="AN6313">
        <v>1.0000000392361199</v>
      </c>
    </row>
    <row r="6314" spans="1:40" x14ac:dyDescent="0.25">
      <c r="A6314" t="str">
        <f>"20190303154307510"</f>
        <v>20190303154307510</v>
      </c>
      <c r="B6314" t="str">
        <f>"1551598987506578"</f>
        <v>1551598987506578</v>
      </c>
      <c r="C6314" t="s">
        <v>40</v>
      </c>
      <c r="D6314">
        <v>5.8380419999999997</v>
      </c>
      <c r="E6314">
        <v>0.52472149999999995</v>
      </c>
      <c r="F6314" t="s">
        <v>58</v>
      </c>
      <c r="G6314">
        <v>-400.5104</v>
      </c>
      <c r="H6314" s="1">
        <v>-7.3217760000000001E-6</v>
      </c>
      <c r="I6314">
        <v>17.687089999999898</v>
      </c>
      <c r="J6314">
        <v>-410.94839999999999</v>
      </c>
      <c r="K6314">
        <v>1.1230450000000001</v>
      </c>
      <c r="L6314">
        <v>21.637419999999999</v>
      </c>
      <c r="M6314">
        <v>0.8064405</v>
      </c>
      <c r="N6314">
        <v>-1.1673390000000001E-2</v>
      </c>
      <c r="O6314">
        <v>-0.59120039999999996</v>
      </c>
      <c r="P6314">
        <v>0.95230459999999995</v>
      </c>
      <c r="Q6314">
        <v>-9.317164E-2</v>
      </c>
      <c r="R6314">
        <v>-0.2905779</v>
      </c>
      <c r="S6314">
        <v>2.7941889999999998</v>
      </c>
      <c r="T6314">
        <v>-0.29692849999999998</v>
      </c>
      <c r="U6314">
        <v>-1.0682069999999999</v>
      </c>
      <c r="V6314">
        <v>-0.32824789999999998</v>
      </c>
      <c r="W6314">
        <v>-8.3949010000000004E-2</v>
      </c>
      <c r="X6314">
        <v>0.94085379999999996</v>
      </c>
      <c r="Y6314">
        <v>-0.26105400000000001</v>
      </c>
      <c r="Z6314">
        <v>6.3474870000000003E-2</v>
      </c>
      <c r="AA6314">
        <v>0.96323499999999995</v>
      </c>
      <c r="AB6314">
        <v>17</v>
      </c>
      <c r="AC6314">
        <v>10.437999999999899</v>
      </c>
      <c r="AD6314">
        <v>-1.123052321776</v>
      </c>
      <c r="AE6314">
        <v>-3.9503300000000001</v>
      </c>
      <c r="AF6314">
        <v>-2.9555192237199899</v>
      </c>
      <c r="AG6314">
        <v>-1.123052321776</v>
      </c>
      <c r="AH6314">
        <v>10.6459930024453</v>
      </c>
      <c r="AI6314">
        <v>95.803968910737794</v>
      </c>
      <c r="AJ6314">
        <v>105.51561151941701</v>
      </c>
      <c r="AK6314">
        <v>11.1055620032188</v>
      </c>
      <c r="AL6314">
        <v>94.815591581755697</v>
      </c>
      <c r="AM6314">
        <v>109.233011531244</v>
      </c>
      <c r="AN6314">
        <v>0.99999999655441496</v>
      </c>
    </row>
    <row r="6315" spans="1:40" x14ac:dyDescent="0.25">
      <c r="A6315" t="str">
        <f>"20190303154307525"</f>
        <v>20190303154307525</v>
      </c>
      <c r="B6315" t="str">
        <f>"1551598987516338"</f>
        <v>1551598987516338</v>
      </c>
      <c r="C6315" t="s">
        <v>40</v>
      </c>
      <c r="D6315">
        <v>5.8538059999999996</v>
      </c>
      <c r="E6315">
        <v>0.52501489999999995</v>
      </c>
      <c r="F6315" t="s">
        <v>58</v>
      </c>
      <c r="G6315">
        <v>-400.29160000000002</v>
      </c>
      <c r="H6315" s="1">
        <v>-7.3855459999999998E-6</v>
      </c>
      <c r="I6315">
        <v>17.602689999999999</v>
      </c>
      <c r="J6315">
        <v>-410.85559999999998</v>
      </c>
      <c r="K6315">
        <v>1.1230770000000001</v>
      </c>
      <c r="L6315">
        <v>21.57394</v>
      </c>
      <c r="M6315">
        <v>0.80830139999999995</v>
      </c>
      <c r="N6315">
        <v>-1.164312E-2</v>
      </c>
      <c r="O6315">
        <v>-0.58865389999999995</v>
      </c>
      <c r="P6315">
        <v>0.95332810000000001</v>
      </c>
      <c r="Q6315">
        <v>-9.3087290000000003E-2</v>
      </c>
      <c r="R6315">
        <v>-0.28722890000000001</v>
      </c>
      <c r="S6315">
        <v>2.7981259999999999</v>
      </c>
      <c r="T6315">
        <v>-0.29487609999999997</v>
      </c>
      <c r="U6315">
        <v>-1.0593870000000001</v>
      </c>
      <c r="V6315">
        <v>-0.32858510000000002</v>
      </c>
      <c r="W6315">
        <v>-8.3920120000000001E-2</v>
      </c>
      <c r="X6315">
        <v>0.94073870000000004</v>
      </c>
      <c r="Y6315">
        <v>-0.26117000000000001</v>
      </c>
      <c r="Z6315">
        <v>6.2814430000000004E-2</v>
      </c>
      <c r="AA6315">
        <v>0.96324690000000002</v>
      </c>
      <c r="AB6315">
        <v>17</v>
      </c>
      <c r="AC6315">
        <v>10.563999999999901</v>
      </c>
      <c r="AD6315">
        <v>-1.123084385546</v>
      </c>
      <c r="AE6315">
        <v>-3.9712499999999999</v>
      </c>
      <c r="AF6315">
        <v>-2.9792732442779299</v>
      </c>
      <c r="AG6315">
        <v>-1.123084385546</v>
      </c>
      <c r="AH6315">
        <v>10.7706638487309</v>
      </c>
      <c r="AI6315">
        <v>95.7388798276464</v>
      </c>
      <c r="AJ6315">
        <v>105.461976051251</v>
      </c>
      <c r="AK6315">
        <v>11.231410745916399</v>
      </c>
      <c r="AL6315">
        <v>94.813930292852604</v>
      </c>
      <c r="AM6315">
        <v>109.25349799365</v>
      </c>
      <c r="AN6315">
        <v>1.0000000280802499</v>
      </c>
    </row>
    <row r="6316" spans="1:40" x14ac:dyDescent="0.25">
      <c r="A6316" t="str">
        <f>"20190303154307544"</f>
        <v>20190303154307544</v>
      </c>
      <c r="B6316" t="str">
        <f>"1551598987536833"</f>
        <v>1551598987536833</v>
      </c>
      <c r="C6316" t="s">
        <v>40</v>
      </c>
      <c r="D6316">
        <v>5.8701080000000001</v>
      </c>
      <c r="E6316">
        <v>0.52562699999999996</v>
      </c>
      <c r="F6316" t="s">
        <v>58</v>
      </c>
      <c r="G6316">
        <v>-400.17509999999999</v>
      </c>
      <c r="H6316" s="1">
        <v>-7.4200369999999996E-6</v>
      </c>
      <c r="I6316">
        <v>17.562850000000001</v>
      </c>
      <c r="J6316">
        <v>-410.73250000000002</v>
      </c>
      <c r="K6316">
        <v>1.1231089999999999</v>
      </c>
      <c r="L6316">
        <v>21.490359999999999</v>
      </c>
      <c r="M6316">
        <v>0.8107818</v>
      </c>
      <c r="N6316">
        <v>-1.160367E-2</v>
      </c>
      <c r="O6316">
        <v>-0.58523369999999997</v>
      </c>
      <c r="P6316">
        <v>0.95485989999999998</v>
      </c>
      <c r="Q6316">
        <v>-9.3293790000000001E-2</v>
      </c>
      <c r="R6316">
        <v>-0.28202739999999998</v>
      </c>
      <c r="S6316">
        <v>2.8011170000000001</v>
      </c>
      <c r="T6316">
        <v>-0.29454599999999997</v>
      </c>
      <c r="U6316">
        <v>-1.051971</v>
      </c>
      <c r="V6316">
        <v>-0.32971719999999999</v>
      </c>
      <c r="W6316">
        <v>-8.4205820000000001E-2</v>
      </c>
      <c r="X6316">
        <v>0.94031690000000001</v>
      </c>
      <c r="Y6316">
        <v>-0.25969009999999998</v>
      </c>
      <c r="Z6316">
        <v>6.2424220000000002E-2</v>
      </c>
      <c r="AA6316">
        <v>0.96367230000000004</v>
      </c>
      <c r="AB6316">
        <v>17</v>
      </c>
      <c r="AC6316">
        <v>10.557399999999999</v>
      </c>
      <c r="AD6316">
        <v>-1.1231164200370001</v>
      </c>
      <c r="AE6316">
        <v>-3.9275099999999901</v>
      </c>
      <c r="AF6316">
        <v>-2.9649187441285898</v>
      </c>
      <c r="AG6316">
        <v>-1.1231164200370001</v>
      </c>
      <c r="AH6316">
        <v>10.752098977526201</v>
      </c>
      <c r="AI6316">
        <v>95.750141867845301</v>
      </c>
      <c r="AJ6316">
        <v>105.416330100171</v>
      </c>
      <c r="AK6316">
        <v>11.2098066921228</v>
      </c>
      <c r="AL6316">
        <v>94.830358161564803</v>
      </c>
      <c r="AM6316">
        <v>109.322950432715</v>
      </c>
      <c r="AN6316">
        <v>0.99999996226165999</v>
      </c>
    </row>
    <row r="6317" spans="1:40" x14ac:dyDescent="0.25">
      <c r="A6317" t="str">
        <f>"20190303154307556"</f>
        <v>20190303154307556</v>
      </c>
      <c r="B6317" t="str">
        <f>"1551598987546594"</f>
        <v>1551598987546594</v>
      </c>
      <c r="C6317" t="s">
        <v>40</v>
      </c>
      <c r="D6317">
        <v>5.8637290000000002</v>
      </c>
      <c r="E6317">
        <v>0.52594010000000002</v>
      </c>
      <c r="F6317" t="s">
        <v>58</v>
      </c>
      <c r="G6317">
        <v>-400.06799999999998</v>
      </c>
      <c r="H6317" s="1">
        <v>-7.4524220000000002E-6</v>
      </c>
      <c r="I6317">
        <v>17.531860000000002</v>
      </c>
      <c r="J6317">
        <v>-410.65769999999998</v>
      </c>
      <c r="K6317">
        <v>1.123135</v>
      </c>
      <c r="L6317">
        <v>21.43994</v>
      </c>
      <c r="M6317">
        <v>0.81229019999999996</v>
      </c>
      <c r="N6317">
        <v>-1.157976E-2</v>
      </c>
      <c r="O6317">
        <v>-0.58313859999999995</v>
      </c>
      <c r="P6317">
        <v>0.95564740000000004</v>
      </c>
      <c r="Q6317">
        <v>-9.3684550000000005E-2</v>
      </c>
      <c r="R6317">
        <v>-0.27921580000000001</v>
      </c>
      <c r="S6317">
        <v>2.8053889999999999</v>
      </c>
      <c r="T6317">
        <v>-0.2954465</v>
      </c>
      <c r="U6317">
        <v>-1.0413209999999999</v>
      </c>
      <c r="V6317">
        <v>-0.33002730000000002</v>
      </c>
      <c r="W6317">
        <v>-8.4640789999999994E-2</v>
      </c>
      <c r="X6317">
        <v>0.94016909999999998</v>
      </c>
      <c r="Y6317">
        <v>-0.26087349999999998</v>
      </c>
      <c r="Z6317">
        <v>6.2532080000000004E-2</v>
      </c>
      <c r="AA6317">
        <v>0.96334560000000002</v>
      </c>
      <c r="AB6317">
        <v>17</v>
      </c>
      <c r="AC6317">
        <v>10.589699999999899</v>
      </c>
      <c r="AD6317">
        <v>-1.1231424524219999</v>
      </c>
      <c r="AE6317">
        <v>-3.9080799999999898</v>
      </c>
      <c r="AF6317">
        <v>-2.971549503621</v>
      </c>
      <c r="AG6317">
        <v>-1.1231424524219999</v>
      </c>
      <c r="AH6317">
        <v>10.7749157188798</v>
      </c>
      <c r="AI6317">
        <v>95.738132979919101</v>
      </c>
      <c r="AJ6317">
        <v>105.41800526399599</v>
      </c>
      <c r="AK6317">
        <v>11.233448454052899</v>
      </c>
      <c r="AL6317">
        <v>94.855369169426694</v>
      </c>
      <c r="AM6317">
        <v>109.34258956443</v>
      </c>
      <c r="AN6317">
        <v>1.00000000933596</v>
      </c>
    </row>
    <row r="6318" spans="1:40" x14ac:dyDescent="0.25">
      <c r="A6318" t="str">
        <f>"20190303154307569"</f>
        <v>20190303154307569</v>
      </c>
      <c r="B6318" t="str">
        <f>"1551598987556354"</f>
        <v>1551598987556354</v>
      </c>
      <c r="C6318" t="s">
        <v>40</v>
      </c>
      <c r="D6318">
        <v>5.8683079999999999</v>
      </c>
      <c r="E6318">
        <v>0.52619919999999998</v>
      </c>
      <c r="F6318" t="s">
        <v>58</v>
      </c>
      <c r="G6318">
        <v>-400.03190000000001</v>
      </c>
      <c r="H6318" s="1">
        <v>-7.463285E-6</v>
      </c>
      <c r="I6318">
        <v>17.521000000000001</v>
      </c>
      <c r="J6318">
        <v>-410.58</v>
      </c>
      <c r="K6318">
        <v>1.123154</v>
      </c>
      <c r="L6318">
        <v>21.388000000000002</v>
      </c>
      <c r="M6318">
        <v>0.81386519999999996</v>
      </c>
      <c r="N6318">
        <v>-1.155453E-2</v>
      </c>
      <c r="O6318">
        <v>-0.58093899999999998</v>
      </c>
      <c r="P6318">
        <v>0.95648650000000002</v>
      </c>
      <c r="Q6318">
        <v>-9.4152529999999998E-2</v>
      </c>
      <c r="R6318">
        <v>-0.27616859999999999</v>
      </c>
      <c r="S6318">
        <v>2.807617</v>
      </c>
      <c r="T6318">
        <v>-0.296765</v>
      </c>
      <c r="U6318">
        <v>-1.0354920000000001</v>
      </c>
      <c r="V6318">
        <v>-0.3304454</v>
      </c>
      <c r="W6318">
        <v>-8.5153989999999999E-2</v>
      </c>
      <c r="X6318">
        <v>0.93997589999999998</v>
      </c>
      <c r="Y6318">
        <v>-0.26025039999999999</v>
      </c>
      <c r="Z6318">
        <v>6.2646179999999996E-2</v>
      </c>
      <c r="AA6318">
        <v>0.96350670000000005</v>
      </c>
      <c r="AB6318">
        <v>17</v>
      </c>
      <c r="AC6318">
        <v>10.5480999999999</v>
      </c>
      <c r="AD6318">
        <v>-1.123161463285</v>
      </c>
      <c r="AE6318">
        <v>-3.867</v>
      </c>
      <c r="AF6318">
        <v>-2.9512874122850699</v>
      </c>
      <c r="AG6318">
        <v>-1.123161463285</v>
      </c>
      <c r="AH6318">
        <v>10.724754016584701</v>
      </c>
      <c r="AI6318">
        <v>95.765766758994502</v>
      </c>
      <c r="AJ6318">
        <v>105.386085283894</v>
      </c>
      <c r="AK6318">
        <v>11.179979328190701</v>
      </c>
      <c r="AL6318">
        <v>94.884879812377406</v>
      </c>
      <c r="AM6318">
        <v>109.368954942602</v>
      </c>
      <c r="AN6318">
        <v>1.00000002848744</v>
      </c>
    </row>
    <row r="6319" spans="1:40" x14ac:dyDescent="0.25">
      <c r="A6319" t="str">
        <f>"20190303154307588"</f>
        <v>20190303154307588</v>
      </c>
      <c r="B6319" t="str">
        <f>"1551598987576854"</f>
        <v>1551598987576854</v>
      </c>
      <c r="C6319" t="s">
        <v>40</v>
      </c>
      <c r="D6319">
        <v>5.8805160000000001</v>
      </c>
      <c r="E6319">
        <v>0.52672249999999998</v>
      </c>
      <c r="F6319" t="s">
        <v>58</v>
      </c>
      <c r="G6319">
        <v>-400.00400000000002</v>
      </c>
      <c r="H6319" s="1">
        <v>-7.4721909999999998E-6</v>
      </c>
      <c r="I6319">
        <v>17.517250000000001</v>
      </c>
      <c r="J6319">
        <v>-410.46030000000002</v>
      </c>
      <c r="K6319">
        <v>1.1231739999999999</v>
      </c>
      <c r="L6319">
        <v>21.308589999999999</v>
      </c>
      <c r="M6319">
        <v>0.81628869999999998</v>
      </c>
      <c r="N6319">
        <v>-1.151607E-2</v>
      </c>
      <c r="O6319">
        <v>-0.57752930000000002</v>
      </c>
      <c r="P6319">
        <v>0.95768240000000004</v>
      </c>
      <c r="Q6319">
        <v>-9.4309820000000003E-2</v>
      </c>
      <c r="R6319">
        <v>-0.27193790000000001</v>
      </c>
      <c r="S6319">
        <v>2.8101500000000001</v>
      </c>
      <c r="T6319">
        <v>-0.29843720000000001</v>
      </c>
      <c r="U6319">
        <v>-1.0285029999999999</v>
      </c>
      <c r="V6319">
        <v>-0.33065169999999999</v>
      </c>
      <c r="W6319">
        <v>-8.5373089999999999E-2</v>
      </c>
      <c r="X6319">
        <v>0.93988349999999998</v>
      </c>
      <c r="Y6319">
        <v>-0.25858449999999999</v>
      </c>
      <c r="Z6319">
        <v>6.2703410000000001E-2</v>
      </c>
      <c r="AA6319">
        <v>0.96395140000000001</v>
      </c>
      <c r="AB6319">
        <v>17</v>
      </c>
      <c r="AC6319">
        <v>10.456300000000001</v>
      </c>
      <c r="AD6319">
        <v>-1.1231814721909901</v>
      </c>
      <c r="AE6319">
        <v>-3.7913399999999902</v>
      </c>
      <c r="AF6319">
        <v>-2.91446619414952</v>
      </c>
      <c r="AG6319">
        <v>-1.1231814721909901</v>
      </c>
      <c r="AH6319">
        <v>10.6174082644488</v>
      </c>
      <c r="AI6319">
        <v>95.824778716228906</v>
      </c>
      <c r="AJ6319">
        <v>105.349552032266</v>
      </c>
      <c r="AK6319">
        <v>11.067294523518299</v>
      </c>
      <c r="AL6319">
        <v>94.897479081482004</v>
      </c>
      <c r="AM6319">
        <v>109.38190916555899</v>
      </c>
      <c r="AN6319">
        <v>1.00000005239064</v>
      </c>
    </row>
    <row r="6320" spans="1:40" x14ac:dyDescent="0.25">
      <c r="A6320" t="str">
        <f>"20190303154307601"</f>
        <v>20190303154307601</v>
      </c>
      <c r="B6320" t="str">
        <f>"1551598987596370"</f>
        <v>1551598987596370</v>
      </c>
      <c r="C6320" t="s">
        <v>40</v>
      </c>
      <c r="D6320">
        <v>5.8461259999999999</v>
      </c>
      <c r="E6320">
        <v>0.52722659999999999</v>
      </c>
      <c r="F6320" t="s">
        <v>41</v>
      </c>
      <c r="G6320">
        <v>-399.92169999999999</v>
      </c>
      <c r="H6320" s="1">
        <v>-5.8059019999999896E-7</v>
      </c>
      <c r="I6320">
        <v>17.4879</v>
      </c>
      <c r="J6320">
        <v>-410.38060000000002</v>
      </c>
      <c r="K6320">
        <v>1.1231880000000001</v>
      </c>
      <c r="L6320">
        <v>21.2561</v>
      </c>
      <c r="M6320">
        <v>0.81790369999999901</v>
      </c>
      <c r="N6320">
        <v>-1.149157E-2</v>
      </c>
      <c r="O6320">
        <v>-0.57524049999999904</v>
      </c>
      <c r="P6320">
        <v>0.95842059999999996</v>
      </c>
      <c r="Q6320">
        <v>-9.4272359999999999E-2</v>
      </c>
      <c r="R6320">
        <v>-0.26933759999999901</v>
      </c>
      <c r="S6320">
        <v>2.8134160000000001</v>
      </c>
      <c r="T6320">
        <v>-0.29984749999999999</v>
      </c>
      <c r="U6320">
        <v>-1.019989</v>
      </c>
      <c r="V6320">
        <v>-0.33056839999999998</v>
      </c>
      <c r="W6320">
        <v>-8.5371600000000006E-2</v>
      </c>
      <c r="X6320">
        <v>0.93991290000000005</v>
      </c>
      <c r="Y6320">
        <v>-0.25879039999999998</v>
      </c>
      <c r="Z6320">
        <v>6.2862979999999999E-2</v>
      </c>
      <c r="AA6320">
        <v>0.96388580000000001</v>
      </c>
      <c r="AB6320">
        <v>17</v>
      </c>
      <c r="AC6320">
        <v>10.4589</v>
      </c>
      <c r="AD6320">
        <v>-1.12318858059019</v>
      </c>
      <c r="AE6320">
        <v>-3.7682000000000002</v>
      </c>
      <c r="AF6320">
        <v>-2.9048992518972998</v>
      </c>
      <c r="AG6320">
        <v>-1.12318858059019</v>
      </c>
      <c r="AH6320">
        <v>10.6143529813976</v>
      </c>
      <c r="AI6320">
        <v>95.827693594716806</v>
      </c>
      <c r="AJ6320">
        <v>105.305729374493</v>
      </c>
      <c r="AK6320">
        <v>11.061848013101001</v>
      </c>
      <c r="AL6320">
        <v>94.897393564945602</v>
      </c>
      <c r="AM6320">
        <v>109.376829342397</v>
      </c>
      <c r="AN6320">
        <v>1.00000001837576</v>
      </c>
    </row>
    <row r="6321" spans="1:40" x14ac:dyDescent="0.25">
      <c r="A6321" t="str">
        <f>"20190303154307614"</f>
        <v>20190303154307614</v>
      </c>
      <c r="B6321" t="str">
        <f>"1551598987607107"</f>
        <v>1551598987607107</v>
      </c>
      <c r="C6321" t="s">
        <v>40</v>
      </c>
      <c r="D6321">
        <v>5.8878969999999997</v>
      </c>
      <c r="E6321">
        <v>0.52744729999999995</v>
      </c>
      <c r="F6321" t="s">
        <v>41</v>
      </c>
      <c r="G6321">
        <v>-399.86259999999999</v>
      </c>
      <c r="H6321" s="1">
        <v>-6.110008E-7</v>
      </c>
      <c r="I6321">
        <v>17.45889</v>
      </c>
      <c r="J6321">
        <v>-410.28579999999999</v>
      </c>
      <c r="K6321">
        <v>1.123202</v>
      </c>
      <c r="L6321">
        <v>21.19406</v>
      </c>
      <c r="M6321">
        <v>0.81982389999999905</v>
      </c>
      <c r="N6321">
        <v>-1.146437E-2</v>
      </c>
      <c r="O6321">
        <v>-0.57250119999999904</v>
      </c>
      <c r="P6321">
        <v>0.95929690000000001</v>
      </c>
      <c r="Q6321">
        <v>-9.4027570000000005E-2</v>
      </c>
      <c r="R6321">
        <v>-0.26628689999999999</v>
      </c>
      <c r="S6321">
        <v>2.814972</v>
      </c>
      <c r="T6321">
        <v>-0.3006045</v>
      </c>
      <c r="U6321">
        <v>-1.0162659999999999</v>
      </c>
      <c r="V6321">
        <v>-0.33042630000000001</v>
      </c>
      <c r="W6321">
        <v>-8.5165350000000001E-2</v>
      </c>
      <c r="X6321">
        <v>0.93998150000000003</v>
      </c>
      <c r="Y6321">
        <v>-0.25685780000000002</v>
      </c>
      <c r="Z6321">
        <v>6.2734890000000001E-2</v>
      </c>
      <c r="AA6321">
        <v>0.96441089999999996</v>
      </c>
      <c r="AB6321">
        <v>17</v>
      </c>
      <c r="AC6321">
        <v>10.4232</v>
      </c>
      <c r="AD6321">
        <v>-1.1232026110008</v>
      </c>
      <c r="AE6321">
        <v>-3.7351699999999899</v>
      </c>
      <c r="AF6321">
        <v>-2.8757103208727401</v>
      </c>
      <c r="AG6321">
        <v>-1.1232026110008</v>
      </c>
      <c r="AH6321">
        <v>10.5754496475486</v>
      </c>
      <c r="AI6321">
        <v>95.851642158147399</v>
      </c>
      <c r="AJ6321">
        <v>105.212230508754</v>
      </c>
      <c r="AK6321">
        <v>11.0168702090371</v>
      </c>
      <c r="AL6321">
        <v>94.885533457415804</v>
      </c>
      <c r="AM6321">
        <v>109.367811965953</v>
      </c>
      <c r="AN6321">
        <v>0.99999994845727902</v>
      </c>
    </row>
    <row r="6322" spans="1:40" x14ac:dyDescent="0.25">
      <c r="A6322" t="str">
        <f>"20190303154307633"</f>
        <v>20190303154307633</v>
      </c>
      <c r="B6322" t="str">
        <f>"1551598987626626"</f>
        <v>1551598987626626</v>
      </c>
      <c r="C6322" t="s">
        <v>40</v>
      </c>
      <c r="D6322">
        <v>5.8816620000000004</v>
      </c>
      <c r="E6322">
        <v>0.52766630000000003</v>
      </c>
      <c r="F6322" t="s">
        <v>41</v>
      </c>
      <c r="G6322">
        <v>-399.74549999999999</v>
      </c>
      <c r="H6322" s="1">
        <v>-6.6618169999999997E-7</v>
      </c>
      <c r="I6322">
        <v>17.420500000000001</v>
      </c>
      <c r="J6322">
        <v>-410.1737</v>
      </c>
      <c r="K6322">
        <v>1.1232169999999999</v>
      </c>
      <c r="L6322">
        <v>21.12152</v>
      </c>
      <c r="M6322">
        <v>0.82209469999999996</v>
      </c>
      <c r="N6322">
        <v>-1.143659E-2</v>
      </c>
      <c r="O6322">
        <v>-0.56923599999999996</v>
      </c>
      <c r="P6322">
        <v>0.96022890000000005</v>
      </c>
      <c r="Q6322">
        <v>-9.3774679999999999E-2</v>
      </c>
      <c r="R6322">
        <v>-0.2629958</v>
      </c>
      <c r="S6322">
        <v>2.8178100000000001</v>
      </c>
      <c r="T6322">
        <v>-0.30027559999999998</v>
      </c>
      <c r="U6322">
        <v>-1.0088200000000001</v>
      </c>
      <c r="V6322">
        <v>-0.3299223</v>
      </c>
      <c r="W6322">
        <v>-8.4948499999999996E-2</v>
      </c>
      <c r="X6322">
        <v>0.94017819999999996</v>
      </c>
      <c r="Y6322">
        <v>-0.2556061</v>
      </c>
      <c r="Z6322">
        <v>6.2354159999999999E-2</v>
      </c>
      <c r="AA6322">
        <v>0.96476810000000002</v>
      </c>
      <c r="AB6322">
        <v>17</v>
      </c>
      <c r="AC6322">
        <v>10.4282</v>
      </c>
      <c r="AD6322">
        <v>-1.1232176661816999</v>
      </c>
      <c r="AE6322">
        <v>-3.7010200000000002</v>
      </c>
      <c r="AF6322">
        <v>-2.86419561056608</v>
      </c>
      <c r="AG6322">
        <v>-1.1232176661816999</v>
      </c>
      <c r="AH6322">
        <v>10.5714956582441</v>
      </c>
      <c r="AI6322">
        <v>95.855344977193397</v>
      </c>
      <c r="AJ6322">
        <v>105.159532445742</v>
      </c>
      <c r="AK6322">
        <v>11.0100751529443</v>
      </c>
      <c r="AL6322">
        <v>94.873063378370404</v>
      </c>
      <c r="AM6322">
        <v>109.336719171277</v>
      </c>
      <c r="AN6322">
        <v>1.00000000972238</v>
      </c>
    </row>
    <row r="6323" spans="1:40" x14ac:dyDescent="0.25">
      <c r="A6323" t="str">
        <f>"20190303154307645"</f>
        <v>20190303154307645</v>
      </c>
      <c r="B6323" t="str">
        <f>"1551598987636387"</f>
        <v>1551598987636387</v>
      </c>
      <c r="C6323" t="s">
        <v>40</v>
      </c>
      <c r="D6323">
        <v>5.8993710000000004</v>
      </c>
      <c r="E6323">
        <v>0.53615080000000004</v>
      </c>
      <c r="F6323" t="s">
        <v>41</v>
      </c>
      <c r="G6323">
        <v>-399.6071</v>
      </c>
      <c r="H6323" s="1">
        <v>-7.3211169999999898E-7</v>
      </c>
      <c r="I6323">
        <v>17.372450000000001</v>
      </c>
      <c r="J6323">
        <v>-410.09719999999999</v>
      </c>
      <c r="K6323">
        <v>1.123227</v>
      </c>
      <c r="L6323">
        <v>21.07236</v>
      </c>
      <c r="M6323">
        <v>0.82364490000000001</v>
      </c>
      <c r="N6323">
        <v>-1.1417460000000001E-2</v>
      </c>
      <c r="O6323">
        <v>-0.56699100000000002</v>
      </c>
      <c r="P6323">
        <v>0.96088079999999998</v>
      </c>
      <c r="Q6323">
        <v>-9.4248269999999995E-2</v>
      </c>
      <c r="R6323">
        <v>-0.26043349999999998</v>
      </c>
      <c r="S6323">
        <v>2.820862</v>
      </c>
      <c r="T6323">
        <v>-0.29985489999999998</v>
      </c>
      <c r="U6323">
        <v>-1.0008539999999999</v>
      </c>
      <c r="V6323">
        <v>-0.3298333</v>
      </c>
      <c r="W6323">
        <v>-8.5450109999999996E-2</v>
      </c>
      <c r="X6323">
        <v>0.940164</v>
      </c>
      <c r="Y6323">
        <v>-0.25573439999999997</v>
      </c>
      <c r="Z6323">
        <v>6.2094620000000003E-2</v>
      </c>
      <c r="AA6323">
        <v>0.96475080000000002</v>
      </c>
      <c r="AB6323">
        <v>17</v>
      </c>
      <c r="AC6323">
        <v>10.490099999999901</v>
      </c>
      <c r="AD6323">
        <v>-1.1232277321116999</v>
      </c>
      <c r="AE6323">
        <v>-3.6999099999999898</v>
      </c>
      <c r="AF6323">
        <v>-2.8712918380350998</v>
      </c>
      <c r="AG6323">
        <v>-1.1232277321116999</v>
      </c>
      <c r="AH6323">
        <v>10.630240324411901</v>
      </c>
      <c r="AI6323">
        <v>95.824471714996093</v>
      </c>
      <c r="AJ6323">
        <v>105.11523638800401</v>
      </c>
      <c r="AK6323">
        <v>11.0683317041054</v>
      </c>
      <c r="AL6323">
        <v>94.901908262904499</v>
      </c>
      <c r="AM6323">
        <v>109.332160229385</v>
      </c>
      <c r="AN6323">
        <v>1.0000000369919499</v>
      </c>
    </row>
    <row r="6324" spans="1:40" x14ac:dyDescent="0.25">
      <c r="A6324" t="str">
        <f>"20190303154307657"</f>
        <v>20190303154307657</v>
      </c>
      <c r="B6324" t="str">
        <f>"1551598987646146"</f>
        <v>1551598987646146</v>
      </c>
      <c r="C6324" t="s">
        <v>40</v>
      </c>
      <c r="D6324">
        <v>5.8728829999999999</v>
      </c>
      <c r="E6324">
        <v>0.53913459999999902</v>
      </c>
      <c r="F6324" t="s">
        <v>58</v>
      </c>
      <c r="G6324">
        <v>-400.22980000000001</v>
      </c>
      <c r="H6324" s="1">
        <v>-7.3777949999999902E-6</v>
      </c>
      <c r="I6324">
        <v>17.349959999999999</v>
      </c>
      <c r="J6324">
        <v>-410.01490000000001</v>
      </c>
      <c r="K6324">
        <v>1.1232359999999999</v>
      </c>
      <c r="L6324">
        <v>21.019680000000001</v>
      </c>
      <c r="M6324">
        <v>0.82531049999999995</v>
      </c>
      <c r="N6324">
        <v>-1.139654E-2</v>
      </c>
      <c r="O6324">
        <v>-0.56456430000000002</v>
      </c>
      <c r="P6324">
        <v>0.96152280000000001</v>
      </c>
      <c r="Q6324">
        <v>-9.4756960000000001E-2</v>
      </c>
      <c r="R6324">
        <v>-0.25786730000000002</v>
      </c>
      <c r="S6324">
        <v>2.8041079999999998</v>
      </c>
      <c r="T6324">
        <v>-0.31920090000000001</v>
      </c>
      <c r="U6324">
        <v>-1.057831</v>
      </c>
      <c r="V6324">
        <v>-0.329541799999999</v>
      </c>
      <c r="W6324">
        <v>-8.598749E-2</v>
      </c>
      <c r="X6324">
        <v>0.94021719999999998</v>
      </c>
      <c r="Y6324">
        <v>-0.2334128</v>
      </c>
      <c r="Z6324">
        <v>6.4989720000000001E-2</v>
      </c>
      <c r="AA6324">
        <v>0.9702035</v>
      </c>
      <c r="AB6324">
        <v>17</v>
      </c>
      <c r="AC6324">
        <v>9.7850999999999999</v>
      </c>
      <c r="AD6324">
        <v>-1.1232433777949999</v>
      </c>
      <c r="AE6324">
        <v>-3.6697199999999901</v>
      </c>
      <c r="AF6324">
        <v>-2.4673185807315199</v>
      </c>
      <c r="AG6324">
        <v>-1.1232433777949999</v>
      </c>
      <c r="AH6324">
        <v>10.032301634375299</v>
      </c>
      <c r="AI6324">
        <v>96.204990096174299</v>
      </c>
      <c r="AJ6324">
        <v>103.81695958834599</v>
      </c>
      <c r="AK6324">
        <v>10.392132252222</v>
      </c>
      <c r="AL6324">
        <v>94.932811721762306</v>
      </c>
      <c r="AM6324">
        <v>109.315328824247</v>
      </c>
      <c r="AN6324">
        <v>1.0000000147797901</v>
      </c>
    </row>
    <row r="6325" spans="1:40" x14ac:dyDescent="0.25">
      <c r="A6325" t="str">
        <f>"20190303154307678"</f>
        <v>20190303154307678</v>
      </c>
      <c r="B6325" t="str">
        <f>"1551598987666642"</f>
        <v>1551598987666642</v>
      </c>
      <c r="C6325" t="s">
        <v>40</v>
      </c>
      <c r="D6325">
        <v>5.8583889999999998</v>
      </c>
      <c r="E6325">
        <v>0.54165319999999995</v>
      </c>
      <c r="F6325" t="s">
        <v>41</v>
      </c>
      <c r="G6325">
        <v>-399.59300000000002</v>
      </c>
      <c r="H6325" s="1">
        <v>-8.3017639999999995E-7</v>
      </c>
      <c r="I6325">
        <v>17.024239999999999</v>
      </c>
      <c r="J6325">
        <v>-409.88319999999999</v>
      </c>
      <c r="K6325">
        <v>1.123245</v>
      </c>
      <c r="L6325">
        <v>20.93637</v>
      </c>
      <c r="M6325">
        <v>0.82797089999999995</v>
      </c>
      <c r="N6325">
        <v>-1.1361649999999999E-2</v>
      </c>
      <c r="O6325">
        <v>-0.56065619999999905</v>
      </c>
      <c r="P6325">
        <v>0.96256370000000002</v>
      </c>
      <c r="Q6325">
        <v>-9.5284729999999998E-2</v>
      </c>
      <c r="R6325">
        <v>-0.25375679999999901</v>
      </c>
      <c r="S6325">
        <v>2.8021850000000001</v>
      </c>
      <c r="T6325">
        <v>-0.30201149999999999</v>
      </c>
      <c r="U6325">
        <v>-1.0742799999999999</v>
      </c>
      <c r="V6325">
        <v>-0.32907700000000001</v>
      </c>
      <c r="W6325">
        <v>-8.656237E-2</v>
      </c>
      <c r="X6325">
        <v>0.94032720000000003</v>
      </c>
      <c r="Y6325">
        <v>-0.2240625</v>
      </c>
      <c r="Z6325">
        <v>6.0390350000000002E-2</v>
      </c>
      <c r="AA6325">
        <v>0.97270190000000001</v>
      </c>
      <c r="AB6325">
        <v>17</v>
      </c>
      <c r="AC6325">
        <v>10.290199999999899</v>
      </c>
      <c r="AD6325">
        <v>-1.1232458301763999</v>
      </c>
      <c r="AE6325">
        <v>-3.9121299999999999</v>
      </c>
      <c r="AF6325">
        <v>-2.50422731285123</v>
      </c>
      <c r="AG6325">
        <v>-1.1232458301763999</v>
      </c>
      <c r="AH6325">
        <v>10.6036467629668</v>
      </c>
      <c r="AI6325">
        <v>95.886064258964296</v>
      </c>
      <c r="AJ6325">
        <v>103.287878404949</v>
      </c>
      <c r="AK6325">
        <v>10.9530890758368</v>
      </c>
      <c r="AL6325">
        <v>94.9658733694761</v>
      </c>
      <c r="AM6325">
        <v>109.288009526442</v>
      </c>
      <c r="AN6325">
        <v>0.99999997944442798</v>
      </c>
    </row>
    <row r="6326" spans="1:40" x14ac:dyDescent="0.25">
      <c r="A6326" t="str">
        <f>"20190303154307700"</f>
        <v>20190303154307700</v>
      </c>
      <c r="B6326" t="str">
        <f>"1551598987696899"</f>
        <v>1551598987696899</v>
      </c>
      <c r="C6326" t="s">
        <v>40</v>
      </c>
      <c r="D6326">
        <v>5.9673480000000003</v>
      </c>
      <c r="E6326">
        <v>0.51440010000000003</v>
      </c>
      <c r="F6326" t="s">
        <v>41</v>
      </c>
      <c r="G6326">
        <v>-398.84750000000003</v>
      </c>
      <c r="H6326" s="1">
        <v>-1.2095950000000001E-6</v>
      </c>
      <c r="I6326">
        <v>16.674320000000002</v>
      </c>
      <c r="J6326">
        <v>-409.74149999999997</v>
      </c>
      <c r="K6326">
        <v>1.1232500000000001</v>
      </c>
      <c r="L6326">
        <v>20.847750000000001</v>
      </c>
      <c r="M6326">
        <v>0.83082269999999903</v>
      </c>
      <c r="N6326">
        <v>-1.1326660000000001E-2</v>
      </c>
      <c r="O6326">
        <v>-0.55642199999999997</v>
      </c>
      <c r="P6326">
        <v>0.9637097</v>
      </c>
      <c r="Q6326">
        <v>-9.5993449999999994E-2</v>
      </c>
      <c r="R6326">
        <v>-0.24909680000000001</v>
      </c>
      <c r="S6326">
        <v>2.8030400000000002</v>
      </c>
      <c r="T6326">
        <v>-0.28530139999999998</v>
      </c>
      <c r="U6326">
        <v>-1.0825499999999999</v>
      </c>
      <c r="V6326">
        <v>-0.32877810000000002</v>
      </c>
      <c r="W6326">
        <v>-8.732036E-2</v>
      </c>
      <c r="X6326">
        <v>0.94036169999999997</v>
      </c>
      <c r="Y6326">
        <v>-0.21707799999999999</v>
      </c>
      <c r="Z6326">
        <v>5.6076019999999997E-2</v>
      </c>
      <c r="AA6326">
        <v>0.97454229999999997</v>
      </c>
      <c r="AB6326">
        <v>17</v>
      </c>
      <c r="AC6326">
        <v>10.893999999999901</v>
      </c>
      <c r="AD6326">
        <v>-1.123251209595</v>
      </c>
      <c r="AE6326">
        <v>-4.1734299999999998</v>
      </c>
      <c r="AF6326">
        <v>-2.5706161412133999</v>
      </c>
      <c r="AG6326">
        <v>-1.123251209595</v>
      </c>
      <c r="AH6326">
        <v>11.2694259440477</v>
      </c>
      <c r="AI6326">
        <v>95.550367785427795</v>
      </c>
      <c r="AJ6326">
        <v>102.849619545162</v>
      </c>
      <c r="AK6326">
        <v>11.6133424014665</v>
      </c>
      <c r="AL6326">
        <v>95.009467942536801</v>
      </c>
      <c r="AM6326">
        <v>109.271127659341</v>
      </c>
      <c r="AN6326">
        <v>1.0000000055685101</v>
      </c>
    </row>
    <row r="6327" spans="1:40" x14ac:dyDescent="0.25">
      <c r="A6327" t="str">
        <f>"20190303154307713"</f>
        <v>20190303154307713</v>
      </c>
      <c r="B6327" t="str">
        <f>"1551598987706659"</f>
        <v>1551598987706659</v>
      </c>
      <c r="C6327" t="s">
        <v>40</v>
      </c>
      <c r="D6327">
        <v>5.908442</v>
      </c>
      <c r="E6327">
        <v>0.50509680000000001</v>
      </c>
      <c r="F6327" t="s">
        <v>58</v>
      </c>
      <c r="G6327">
        <v>-401.47699999999998</v>
      </c>
      <c r="H6327" s="1">
        <v>-7.0757439999999901E-6</v>
      </c>
      <c r="I6327">
        <v>18.376290000000001</v>
      </c>
      <c r="J6327">
        <v>-409.65530000000001</v>
      </c>
      <c r="K6327">
        <v>1.1232660000000001</v>
      </c>
      <c r="L6327">
        <v>20.794250000000002</v>
      </c>
      <c r="M6327">
        <v>0.83255170000000001</v>
      </c>
      <c r="N6327">
        <v>-1.130778E-2</v>
      </c>
      <c r="O6327">
        <v>-0.553832199999999</v>
      </c>
      <c r="P6327">
        <v>0.96450119999999895</v>
      </c>
      <c r="Q6327">
        <v>-9.5897990000000002E-2</v>
      </c>
      <c r="R6327">
        <v>-0.24605099999999999</v>
      </c>
      <c r="S6327">
        <v>2.853729</v>
      </c>
      <c r="T6327">
        <v>-0.38785950000000002</v>
      </c>
      <c r="U6327">
        <v>-0.85339359999999997</v>
      </c>
      <c r="V6327">
        <v>-0.32882309999999998</v>
      </c>
      <c r="W6327">
        <v>-8.7252940000000001E-2</v>
      </c>
      <c r="X6327">
        <v>0.94035230000000003</v>
      </c>
      <c r="Y6327">
        <v>-0.28624640000000001</v>
      </c>
      <c r="Z6327">
        <v>8.2674639999999994E-2</v>
      </c>
      <c r="AA6327">
        <v>0.95458259999999995</v>
      </c>
      <c r="AB6327">
        <v>17</v>
      </c>
      <c r="AC6327">
        <v>8.1783000000000303</v>
      </c>
      <c r="AD6327">
        <v>-1.1232730757439999</v>
      </c>
      <c r="AE6327">
        <v>-2.4179599999999999</v>
      </c>
      <c r="AF6327">
        <v>-2.4735779517068801</v>
      </c>
      <c r="AG6327">
        <v>-1.1232730757439999</v>
      </c>
      <c r="AH6327">
        <v>8.0095710492720809</v>
      </c>
      <c r="AI6327">
        <v>97.631995740177402</v>
      </c>
      <c r="AJ6327">
        <v>107.16214052360201</v>
      </c>
      <c r="AK6327">
        <v>8.4577513961572102</v>
      </c>
      <c r="AL6327">
        <v>95.005589900564402</v>
      </c>
      <c r="AM6327">
        <v>109.27374925038799</v>
      </c>
      <c r="AN6327">
        <v>1.0000000773737601</v>
      </c>
    </row>
    <row r="6328" spans="1:40" x14ac:dyDescent="0.25">
      <c r="A6328" t="str">
        <f>"20190303154307726"</f>
        <v>20190303154307726</v>
      </c>
      <c r="B6328" t="str">
        <f>"1551598987716419"</f>
        <v>1551598987716419</v>
      </c>
      <c r="C6328" t="s">
        <v>40</v>
      </c>
      <c r="D6328">
        <v>5.9011829999999996</v>
      </c>
      <c r="E6328">
        <v>0.4989808</v>
      </c>
      <c r="F6328" t="s">
        <v>58</v>
      </c>
      <c r="G6328">
        <v>-401.52179999999998</v>
      </c>
      <c r="H6328" s="1">
        <v>-7.0869489999999997E-6</v>
      </c>
      <c r="I6328">
        <v>18.609200000000001</v>
      </c>
      <c r="J6328">
        <v>-409.57740000000001</v>
      </c>
      <c r="K6328">
        <v>1.123275</v>
      </c>
      <c r="L6328">
        <v>20.746400000000001</v>
      </c>
      <c r="M6328">
        <v>0.834109199999999</v>
      </c>
      <c r="N6328">
        <v>-1.129288E-2</v>
      </c>
      <c r="O6328">
        <v>-0.55148399999999997</v>
      </c>
      <c r="P6328">
        <v>0.9651383</v>
      </c>
      <c r="Q6328">
        <v>-9.5960019999999993E-2</v>
      </c>
      <c r="R6328">
        <v>-0.2435157</v>
      </c>
      <c r="S6328">
        <v>2.873993</v>
      </c>
      <c r="T6328">
        <v>-0.39691199999999999</v>
      </c>
      <c r="U6328">
        <v>-0.77209469999999902</v>
      </c>
      <c r="V6328">
        <v>-0.32863819999999999</v>
      </c>
      <c r="W6328">
        <v>-8.7335319999999994E-2</v>
      </c>
      <c r="X6328">
        <v>0.94040919999999895</v>
      </c>
      <c r="Y6328">
        <v>-0.30982900000000002</v>
      </c>
      <c r="Z6328">
        <v>8.6058399999999993E-2</v>
      </c>
      <c r="AA6328">
        <v>0.9468896</v>
      </c>
      <c r="AB6328">
        <v>17</v>
      </c>
      <c r="AC6328">
        <v>8.0556000000000196</v>
      </c>
      <c r="AD6328">
        <v>-1.1232820869489999</v>
      </c>
      <c r="AE6328">
        <v>-2.1372</v>
      </c>
      <c r="AF6328">
        <v>-2.6125873147597498</v>
      </c>
      <c r="AG6328">
        <v>-1.1232820869489999</v>
      </c>
      <c r="AH6328">
        <v>7.7574679929952897</v>
      </c>
      <c r="AI6328">
        <v>97.813709358942106</v>
      </c>
      <c r="AJ6328">
        <v>108.612676901768</v>
      </c>
      <c r="AK6328">
        <v>8.2623050528560391</v>
      </c>
      <c r="AL6328">
        <v>95.010328432516204</v>
      </c>
      <c r="AM6328">
        <v>109.262630434245</v>
      </c>
      <c r="AN6328">
        <v>0.99999999403169004</v>
      </c>
    </row>
    <row r="6329" spans="1:40" x14ac:dyDescent="0.25">
      <c r="A6329" t="str">
        <f>"20190303154307744"</f>
        <v>20190303154307744</v>
      </c>
      <c r="B6329" t="str">
        <f>"1551598987736918"</f>
        <v>1551598987736918</v>
      </c>
      <c r="C6329" t="s">
        <v>40</v>
      </c>
      <c r="D6329">
        <v>5.8609619999999998</v>
      </c>
      <c r="E6329">
        <v>0.49289500000000003</v>
      </c>
      <c r="F6329" t="s">
        <v>58</v>
      </c>
      <c r="G6329">
        <v>-401.28140000000002</v>
      </c>
      <c r="H6329" s="1">
        <v>-7.1760070000000004E-6</v>
      </c>
      <c r="I6329">
        <v>18.685680000000001</v>
      </c>
      <c r="J6329">
        <v>-409.45600000000002</v>
      </c>
      <c r="K6329">
        <v>1.1232930000000001</v>
      </c>
      <c r="L6329">
        <v>20.672329999999999</v>
      </c>
      <c r="M6329">
        <v>0.83653120000000003</v>
      </c>
      <c r="N6329">
        <v>-1.12716E-2</v>
      </c>
      <c r="O6329">
        <v>-0.5478035</v>
      </c>
      <c r="P6329">
        <v>0.96638690000000005</v>
      </c>
      <c r="Q6329">
        <v>-9.5784220000000003E-2</v>
      </c>
      <c r="R6329">
        <v>-0.23858299999999999</v>
      </c>
      <c r="S6329">
        <v>2.8884889999999999</v>
      </c>
      <c r="T6329">
        <v>-0.39110309999999998</v>
      </c>
      <c r="U6329">
        <v>-0.71749879999999999</v>
      </c>
      <c r="V6329">
        <v>-0.32930389999999998</v>
      </c>
      <c r="W6329">
        <v>-8.7199150000000003E-2</v>
      </c>
      <c r="X6329">
        <v>0.94018889999999999</v>
      </c>
      <c r="Y6329">
        <v>-0.32368989999999997</v>
      </c>
      <c r="Z6329">
        <v>8.5251599999999997E-2</v>
      </c>
      <c r="AA6329">
        <v>0.94231469999999995</v>
      </c>
      <c r="AB6329">
        <v>17</v>
      </c>
      <c r="AC6329">
        <v>8.1745999999999395</v>
      </c>
      <c r="AD6329">
        <v>-1.1233001760070001</v>
      </c>
      <c r="AE6329">
        <v>-1.98665</v>
      </c>
      <c r="AF6329">
        <v>-2.76702402638321</v>
      </c>
      <c r="AG6329">
        <v>-1.1233001760070001</v>
      </c>
      <c r="AH6329">
        <v>7.7882447998246898</v>
      </c>
      <c r="AI6329">
        <v>97.739509599115195</v>
      </c>
      <c r="AJ6329">
        <v>109.55921558931701</v>
      </c>
      <c r="AK6329">
        <v>8.3411619280526903</v>
      </c>
      <c r="AL6329">
        <v>95.002496762882103</v>
      </c>
      <c r="AM6329">
        <v>109.30295458796201</v>
      </c>
      <c r="AN6329">
        <v>0.99999995899956995</v>
      </c>
    </row>
    <row r="6330" spans="1:40" x14ac:dyDescent="0.25">
      <c r="A6330" t="str">
        <f>"20190303154307757"</f>
        <v>20190303154307757</v>
      </c>
      <c r="B6330" t="str">
        <f>"1551598987746675"</f>
        <v>1551598987746675</v>
      </c>
      <c r="C6330" t="s">
        <v>40</v>
      </c>
      <c r="D6330">
        <v>5.8157690000000004</v>
      </c>
      <c r="E6330">
        <v>0.49136299999999999</v>
      </c>
      <c r="F6330" t="s">
        <v>58</v>
      </c>
      <c r="G6330">
        <v>-400.97489999999999</v>
      </c>
      <c r="H6330" s="1">
        <v>-7.2866389999999998E-6</v>
      </c>
      <c r="I6330">
        <v>18.75684</v>
      </c>
      <c r="J6330">
        <v>-409.37299999999999</v>
      </c>
      <c r="K6330">
        <v>1.123302</v>
      </c>
      <c r="L6330">
        <v>20.622039999999998</v>
      </c>
      <c r="M6330">
        <v>0.83818320000000002</v>
      </c>
      <c r="N6330">
        <v>-1.1258219999999999E-2</v>
      </c>
      <c r="O6330">
        <v>-0.5452726</v>
      </c>
      <c r="P6330">
        <v>0.96714230000000001</v>
      </c>
      <c r="Q6330">
        <v>-9.558672E-2</v>
      </c>
      <c r="R6330">
        <v>-0.2355834</v>
      </c>
      <c r="S6330">
        <v>2.9042970000000001</v>
      </c>
      <c r="T6330">
        <v>-0.38466479999999997</v>
      </c>
      <c r="U6330">
        <v>-0.65594479999999999</v>
      </c>
      <c r="V6330">
        <v>-0.32938919999999999</v>
      </c>
      <c r="W6330">
        <v>-8.7024669999999998E-2</v>
      </c>
      <c r="X6330">
        <v>0.94017519999999999</v>
      </c>
      <c r="Y6330">
        <v>-0.34099079999999998</v>
      </c>
      <c r="Z6330">
        <v>8.4610640000000001E-2</v>
      </c>
      <c r="AA6330">
        <v>0.93625119999999895</v>
      </c>
      <c r="AB6330">
        <v>17</v>
      </c>
      <c r="AC6330">
        <v>8.3981000000000492</v>
      </c>
      <c r="AD6330">
        <v>-1.123309286639</v>
      </c>
      <c r="AE6330">
        <v>-1.86519999999999</v>
      </c>
      <c r="AF6330">
        <v>-2.9655036376081099</v>
      </c>
      <c r="AG6330">
        <v>-1.123309286639</v>
      </c>
      <c r="AH6330">
        <v>7.9216350051983397</v>
      </c>
      <c r="AI6330">
        <v>97.564738458847501</v>
      </c>
      <c r="AJ6330">
        <v>110.523638544561</v>
      </c>
      <c r="AK6330">
        <v>8.5327801292251806</v>
      </c>
      <c r="AL6330">
        <v>94.992461579201205</v>
      </c>
      <c r="AM6330">
        <v>109.30784520191401</v>
      </c>
      <c r="AN6330">
        <v>0.99999997248014405</v>
      </c>
    </row>
    <row r="6331" spans="1:40" x14ac:dyDescent="0.25">
      <c r="A6331" t="str">
        <f>"20190303154307770"</f>
        <v>20190303154307770</v>
      </c>
      <c r="B6331" t="str">
        <f>"1551598987766194"</f>
        <v>1551598987766194</v>
      </c>
      <c r="C6331" t="s">
        <v>40</v>
      </c>
      <c r="D6331">
        <v>5.7797609999999997</v>
      </c>
      <c r="E6331">
        <v>0.48964479999999999</v>
      </c>
      <c r="F6331" t="s">
        <v>58</v>
      </c>
      <c r="G6331">
        <v>-400.839</v>
      </c>
      <c r="H6331" s="1">
        <v>-7.33234299999999E-6</v>
      </c>
      <c r="I6331">
        <v>18.758900000000001</v>
      </c>
      <c r="J6331">
        <v>-409.28859999999997</v>
      </c>
      <c r="K6331">
        <v>1.1233120000000001</v>
      </c>
      <c r="L6331">
        <v>20.571380000000001</v>
      </c>
      <c r="M6331">
        <v>0.83986489999999903</v>
      </c>
      <c r="N6331">
        <v>-1.124582E-2</v>
      </c>
      <c r="O6331">
        <v>-0.54267900000000002</v>
      </c>
      <c r="P6331">
        <v>0.96794619999999998</v>
      </c>
      <c r="Q6331">
        <v>-9.5854739999999994E-2</v>
      </c>
      <c r="R6331">
        <v>-0.23214679999999999</v>
      </c>
      <c r="S6331">
        <v>2.909332</v>
      </c>
      <c r="T6331">
        <v>-0.38294650000000002</v>
      </c>
      <c r="U6331">
        <v>-0.63516240000000002</v>
      </c>
      <c r="V6331">
        <v>-0.32980199999999998</v>
      </c>
      <c r="W6331">
        <v>-8.7320389999999998E-2</v>
      </c>
      <c r="X6331">
        <v>0.94000309999999998</v>
      </c>
      <c r="Y6331">
        <v>-0.344852299999999</v>
      </c>
      <c r="Z6331">
        <v>8.4197330000000001E-2</v>
      </c>
      <c r="AA6331">
        <v>0.93487310000000001</v>
      </c>
      <c r="AB6331">
        <v>17</v>
      </c>
      <c r="AC6331">
        <v>8.44959999999997</v>
      </c>
      <c r="AD6331">
        <v>-1.123319332343</v>
      </c>
      <c r="AE6331">
        <v>-1.8124799999999901</v>
      </c>
      <c r="AF6331">
        <v>-3.0124754729752201</v>
      </c>
      <c r="AG6331">
        <v>-1.123319332343</v>
      </c>
      <c r="AH6331">
        <v>7.9463623173447697</v>
      </c>
      <c r="AI6331">
        <v>97.529872923741607</v>
      </c>
      <c r="AJ6331">
        <v>110.761777963279</v>
      </c>
      <c r="AK6331">
        <v>8.5721367742360393</v>
      </c>
      <c r="AL6331">
        <v>95.009469601239005</v>
      </c>
      <c r="AM6331">
        <v>109.33352506214401</v>
      </c>
      <c r="AN6331">
        <v>1.00000001886168</v>
      </c>
    </row>
    <row r="6332" spans="1:40" x14ac:dyDescent="0.25">
      <c r="A6332" t="str">
        <f>"20190303154307782"</f>
        <v>20190303154307782</v>
      </c>
      <c r="B6332" t="str">
        <f>"1551598987776930"</f>
        <v>1551598987776930</v>
      </c>
      <c r="C6332" t="s">
        <v>40</v>
      </c>
      <c r="D6332">
        <v>5.8486289999999999</v>
      </c>
      <c r="E6332">
        <v>0.48886780000000002</v>
      </c>
      <c r="F6332" t="s">
        <v>58</v>
      </c>
      <c r="G6332">
        <v>-400.71440000000001</v>
      </c>
      <c r="H6332" s="1">
        <v>-7.3755970000000003E-6</v>
      </c>
      <c r="I6332">
        <v>18.772469999999998</v>
      </c>
      <c r="J6332">
        <v>-409.21089999999998</v>
      </c>
      <c r="K6332">
        <v>1.123326</v>
      </c>
      <c r="L6332">
        <v>20.525120000000001</v>
      </c>
      <c r="M6332">
        <v>0.84140869999999901</v>
      </c>
      <c r="N6332">
        <v>-1.1235240000000001E-2</v>
      </c>
      <c r="O6332">
        <v>-0.54028240000000005</v>
      </c>
      <c r="P6332">
        <v>0.96863180000000004</v>
      </c>
      <c r="Q6332">
        <v>-9.5964190000000005E-2</v>
      </c>
      <c r="R6332">
        <v>-0.22922319999999999</v>
      </c>
      <c r="S6332">
        <v>2.914825</v>
      </c>
      <c r="T6332">
        <v>-0.38187359999999998</v>
      </c>
      <c r="U6332">
        <v>-0.61154169999999997</v>
      </c>
      <c r="V6332">
        <v>-0.32995049999999998</v>
      </c>
      <c r="W6332">
        <v>-8.7452970000000005E-2</v>
      </c>
      <c r="X6332">
        <v>0.93993870000000002</v>
      </c>
      <c r="Y6332">
        <v>-0.34979949999999999</v>
      </c>
      <c r="Z6332">
        <v>8.4022440000000004E-2</v>
      </c>
      <c r="AA6332">
        <v>0.93304900000000002</v>
      </c>
      <c r="AB6332">
        <v>17</v>
      </c>
      <c r="AC6332">
        <v>8.4964999999999602</v>
      </c>
      <c r="AD6332">
        <v>-1.1233333755970001</v>
      </c>
      <c r="AE6332">
        <v>-1.75264999999999</v>
      </c>
      <c r="AF6332">
        <v>-3.0646284863711699</v>
      </c>
      <c r="AG6332">
        <v>-1.1233333755970001</v>
      </c>
      <c r="AH6332">
        <v>7.9629562635883397</v>
      </c>
      <c r="AI6332">
        <v>97.500205223217407</v>
      </c>
      <c r="AJ6332">
        <v>111.049751546617</v>
      </c>
      <c r="AK6332">
        <v>8.6059571279450697</v>
      </c>
      <c r="AL6332">
        <v>95.017094854683407</v>
      </c>
      <c r="AM6332">
        <v>109.342810835248</v>
      </c>
      <c r="AN6332">
        <v>1.0000000570848699</v>
      </c>
    </row>
    <row r="6333" spans="1:40" x14ac:dyDescent="0.25">
      <c r="A6333" t="str">
        <f>"20190303154307799"</f>
        <v>20190303154307799</v>
      </c>
      <c r="B6333" t="str">
        <f>"1551598987796450"</f>
        <v>1551598987796450</v>
      </c>
      <c r="C6333" t="s">
        <v>40</v>
      </c>
      <c r="D6333">
        <v>5.7969730000000004</v>
      </c>
      <c r="E6333">
        <v>0.48792590000000002</v>
      </c>
      <c r="F6333" t="s">
        <v>58</v>
      </c>
      <c r="G6333">
        <v>-400.59219999999999</v>
      </c>
      <c r="H6333" s="1">
        <v>-7.4153799999999996E-6</v>
      </c>
      <c r="I6333">
        <v>18.762519999999999</v>
      </c>
      <c r="J6333">
        <v>-409.09500000000003</v>
      </c>
      <c r="K6333">
        <v>1.123348</v>
      </c>
      <c r="L6333">
        <v>20.45654</v>
      </c>
      <c r="M6333">
        <v>0.84370979999999995</v>
      </c>
      <c r="N6333">
        <v>-1.1221139999999999E-2</v>
      </c>
      <c r="O6333">
        <v>-0.53668260000000001</v>
      </c>
      <c r="P6333">
        <v>0.96952059999999995</v>
      </c>
      <c r="Q6333">
        <v>-9.5919240000000003E-2</v>
      </c>
      <c r="R6333">
        <v>-0.22545499999999999</v>
      </c>
      <c r="S6333">
        <v>2.9182429999999999</v>
      </c>
      <c r="T6333">
        <v>-0.3803513</v>
      </c>
      <c r="U6333">
        <v>-0.59680180000000005</v>
      </c>
      <c r="V6333">
        <v>-0.32958749999999998</v>
      </c>
      <c r="W6333">
        <v>-8.7436780000000006E-2</v>
      </c>
      <c r="X6333">
        <v>0.94006749999999994</v>
      </c>
      <c r="Y6333">
        <v>-0.35060809999999998</v>
      </c>
      <c r="Z6333">
        <v>8.3361889999999994E-2</v>
      </c>
      <c r="AA6333">
        <v>0.93280479999999999</v>
      </c>
      <c r="AB6333">
        <v>17</v>
      </c>
      <c r="AC6333">
        <v>8.5028000000000308</v>
      </c>
      <c r="AD6333">
        <v>-1.1233554153799901</v>
      </c>
      <c r="AE6333">
        <v>-1.6940199999999901</v>
      </c>
      <c r="AF6333">
        <v>-3.0824906950544801</v>
      </c>
      <c r="AG6333">
        <v>-1.1233554153799901</v>
      </c>
      <c r="AH6333">
        <v>7.9500862369614698</v>
      </c>
      <c r="AI6333">
        <v>97.505193411223701</v>
      </c>
      <c r="AJ6333">
        <v>111.19282975815899</v>
      </c>
      <c r="AK6333">
        <v>8.6004387940084399</v>
      </c>
      <c r="AL6333">
        <v>95.016163917866606</v>
      </c>
      <c r="AM6333">
        <v>109.320657311397</v>
      </c>
      <c r="AN6333">
        <v>1.00000000760463</v>
      </c>
    </row>
    <row r="6334" spans="1:40" x14ac:dyDescent="0.25">
      <c r="A6334" t="str">
        <f>"20190303154307812"</f>
        <v>20190303154307812</v>
      </c>
      <c r="B6334" t="str">
        <f>"1551598987806211"</f>
        <v>1551598987806211</v>
      </c>
      <c r="C6334" t="s">
        <v>40</v>
      </c>
      <c r="D6334">
        <v>5.766375</v>
      </c>
      <c r="E6334">
        <v>0.48771100000000001</v>
      </c>
      <c r="F6334" t="s">
        <v>58</v>
      </c>
      <c r="G6334">
        <v>-400.44779999999997</v>
      </c>
      <c r="H6334" s="1">
        <v>-7.4618899999999998E-6</v>
      </c>
      <c r="I6334">
        <v>18.746220000000001</v>
      </c>
      <c r="J6334">
        <v>-409.01190000000003</v>
      </c>
      <c r="K6334">
        <v>1.123364</v>
      </c>
      <c r="L6334">
        <v>20.40784</v>
      </c>
      <c r="M6334">
        <v>0.84535949999999904</v>
      </c>
      <c r="N6334">
        <v>-1.121246E-2</v>
      </c>
      <c r="O6334">
        <v>-0.53408009999999995</v>
      </c>
      <c r="P6334">
        <v>0.97009959999999995</v>
      </c>
      <c r="Q6334">
        <v>-9.5944329999999994E-2</v>
      </c>
      <c r="R6334">
        <v>-0.2229381</v>
      </c>
      <c r="S6334">
        <v>2.9223330000000001</v>
      </c>
      <c r="T6334">
        <v>-0.37963570000000002</v>
      </c>
      <c r="U6334">
        <v>-0.57800289999999999</v>
      </c>
      <c r="V6334">
        <v>-0.32912449999999999</v>
      </c>
      <c r="W6334">
        <v>-8.7481240000000002E-2</v>
      </c>
      <c r="X6334">
        <v>0.94022559999999999</v>
      </c>
      <c r="Y6334">
        <v>-0.35376350000000001</v>
      </c>
      <c r="Z6334">
        <v>8.3138240000000002E-2</v>
      </c>
      <c r="AA6334">
        <v>0.93163269999999998</v>
      </c>
      <c r="AB6334">
        <v>17</v>
      </c>
      <c r="AC6334">
        <v>8.5641000000000496</v>
      </c>
      <c r="AD6334">
        <v>-1.1233714618899999</v>
      </c>
      <c r="AE6334">
        <v>-1.6616199999999901</v>
      </c>
      <c r="AF6334">
        <v>-3.1177501574471398</v>
      </c>
      <c r="AG6334">
        <v>-1.1233714618899999</v>
      </c>
      <c r="AH6334">
        <v>7.9951181656223698</v>
      </c>
      <c r="AI6334">
        <v>97.457957210427196</v>
      </c>
      <c r="AJ6334">
        <v>111.303631834329</v>
      </c>
      <c r="AK6334">
        <v>8.6547237950101703</v>
      </c>
      <c r="AL6334">
        <v>95.018720917059099</v>
      </c>
      <c r="AM6334">
        <v>109.29251845946899</v>
      </c>
      <c r="AN6334">
        <v>1.00000004137377</v>
      </c>
    </row>
    <row r="6335" spans="1:40" x14ac:dyDescent="0.25">
      <c r="A6335" t="str">
        <f>"20190303154307834"</f>
        <v>20190303154307834</v>
      </c>
      <c r="B6335" t="str">
        <f>"1551598987826706"</f>
        <v>1551598987826706</v>
      </c>
      <c r="C6335" t="s">
        <v>40</v>
      </c>
      <c r="D6335">
        <v>5.719055</v>
      </c>
      <c r="E6335">
        <v>0.48731790000000003</v>
      </c>
      <c r="F6335" t="s">
        <v>58</v>
      </c>
      <c r="G6335">
        <v>-400.3766</v>
      </c>
      <c r="H6335" s="1">
        <v>-7.4837169999999999E-6</v>
      </c>
      <c r="I6335">
        <v>18.728629999999999</v>
      </c>
      <c r="J6335">
        <v>-408.86599999999999</v>
      </c>
      <c r="K6335">
        <v>1.1233979999999999</v>
      </c>
      <c r="L6335">
        <v>20.32321</v>
      </c>
      <c r="M6335">
        <v>0.84825010000000001</v>
      </c>
      <c r="N6335">
        <v>-1.119969E-2</v>
      </c>
      <c r="O6335">
        <v>-0.52947749999999905</v>
      </c>
      <c r="P6335">
        <v>0.97095640000000005</v>
      </c>
      <c r="Q6335">
        <v>-9.6206050000000001E-2</v>
      </c>
      <c r="R6335">
        <v>-0.21906249999999999</v>
      </c>
      <c r="S6335">
        <v>2.9241640000000002</v>
      </c>
      <c r="T6335">
        <v>-0.38040879999999999</v>
      </c>
      <c r="U6335">
        <v>-0.56863399999999997</v>
      </c>
      <c r="V6335">
        <v>-0.3277465</v>
      </c>
      <c r="W6335">
        <v>-8.7771340000000003E-2</v>
      </c>
      <c r="X6335">
        <v>0.94067979999999995</v>
      </c>
      <c r="Y6335">
        <v>-0.35168850000000001</v>
      </c>
      <c r="Z6335">
        <v>8.2725670000000001E-2</v>
      </c>
      <c r="AA6335">
        <v>0.93245460000000002</v>
      </c>
      <c r="AB6335">
        <v>17</v>
      </c>
      <c r="AC6335">
        <v>8.4893999999999892</v>
      </c>
      <c r="AD6335">
        <v>-1.123405483717</v>
      </c>
      <c r="AE6335">
        <v>-1.5945800000000001</v>
      </c>
      <c r="AF6335">
        <v>-3.09027001755077</v>
      </c>
      <c r="AG6335">
        <v>-1.123405483717</v>
      </c>
      <c r="AH6335">
        <v>7.9121030965293402</v>
      </c>
      <c r="AI6335">
        <v>97.5339785620519</v>
      </c>
      <c r="AJ6335">
        <v>111.334375925112</v>
      </c>
      <c r="AK6335">
        <v>8.5681493960089092</v>
      </c>
      <c r="AL6335">
        <v>95.035406655989604</v>
      </c>
      <c r="AM6335">
        <v>109.20907851955501</v>
      </c>
      <c r="AN6335">
        <v>1.0000000312578401</v>
      </c>
    </row>
    <row r="6336" spans="1:40" x14ac:dyDescent="0.25">
      <c r="A6336" t="str">
        <f>"20190303154307847"</f>
        <v>20190303154307847</v>
      </c>
      <c r="B6336" t="str">
        <f>"1551598987836467"</f>
        <v>1551598987836467</v>
      </c>
      <c r="C6336" t="s">
        <v>40</v>
      </c>
      <c r="D6336">
        <v>5.7185329999999999</v>
      </c>
      <c r="E6336">
        <v>0.48727769999999998</v>
      </c>
      <c r="F6336" t="s">
        <v>58</v>
      </c>
      <c r="G6336">
        <v>-400.27409999999998</v>
      </c>
      <c r="H6336" s="1">
        <v>-7.5145139999999998E-6</v>
      </c>
      <c r="I6336">
        <v>18.697299999999998</v>
      </c>
      <c r="J6336">
        <v>-408.78309999999999</v>
      </c>
      <c r="K6336">
        <v>1.1234189999999999</v>
      </c>
      <c r="L6336">
        <v>20.275759999999998</v>
      </c>
      <c r="M6336">
        <v>0.8498964</v>
      </c>
      <c r="N6336">
        <v>-1.119415E-2</v>
      </c>
      <c r="O6336">
        <v>-0.52683119999999894</v>
      </c>
      <c r="P6336">
        <v>0.97138610000000003</v>
      </c>
      <c r="Q6336">
        <v>-9.6486119999999995E-2</v>
      </c>
      <c r="R6336">
        <v>-0.217025</v>
      </c>
      <c r="S6336">
        <v>2.9268190000000001</v>
      </c>
      <c r="T6336">
        <v>-0.38268550000000001</v>
      </c>
      <c r="U6336">
        <v>-0.55386349999999995</v>
      </c>
      <c r="V6336">
        <v>-0.32676709999999998</v>
      </c>
      <c r="W6336">
        <v>-8.8066060000000002E-2</v>
      </c>
      <c r="X6336">
        <v>0.94099290000000002</v>
      </c>
      <c r="Y6336">
        <v>-0.3533965</v>
      </c>
      <c r="Z6336">
        <v>8.309424E-2</v>
      </c>
      <c r="AA6336">
        <v>0.93177589999999999</v>
      </c>
      <c r="AB6336">
        <v>17</v>
      </c>
      <c r="AC6336">
        <v>8.5090000000000092</v>
      </c>
      <c r="AD6336">
        <v>-1.1234265145140001</v>
      </c>
      <c r="AE6336">
        <v>-1.57846</v>
      </c>
      <c r="AF6336">
        <v>-3.0894142663358202</v>
      </c>
      <c r="AG6336">
        <v>-1.1234265145140001</v>
      </c>
      <c r="AH6336">
        <v>7.9302183076794801</v>
      </c>
      <c r="AI6336">
        <v>97.519621209817402</v>
      </c>
      <c r="AJ6336">
        <v>111.284641316232</v>
      </c>
      <c r="AK6336">
        <v>8.5845751234413008</v>
      </c>
      <c r="AL6336">
        <v>95.052358653199093</v>
      </c>
      <c r="AM6336">
        <v>109.14995525473699</v>
      </c>
      <c r="AN6336">
        <v>1.00000000320837</v>
      </c>
    </row>
    <row r="6337" spans="1:40" x14ac:dyDescent="0.25">
      <c r="A6337" t="str">
        <f>"20190303154307861"</f>
        <v>20190303154307861</v>
      </c>
      <c r="B6337" t="str">
        <f>"1551598987856963"</f>
        <v>1551598987856963</v>
      </c>
      <c r="C6337" t="s">
        <v>40</v>
      </c>
      <c r="D6337">
        <v>5.7684949999999997</v>
      </c>
      <c r="E6337">
        <v>0.48699989999999999</v>
      </c>
      <c r="F6337" t="s">
        <v>58</v>
      </c>
      <c r="G6337">
        <v>-400.23250000000002</v>
      </c>
      <c r="H6337" s="1">
        <v>-7.5261730000000004E-6</v>
      </c>
      <c r="I6337">
        <v>18.676960000000001</v>
      </c>
      <c r="J6337">
        <v>-408.6902</v>
      </c>
      <c r="K6337">
        <v>1.123443</v>
      </c>
      <c r="L6337">
        <v>20.222930000000002</v>
      </c>
      <c r="M6337">
        <v>0.85173909999999997</v>
      </c>
      <c r="N6337">
        <v>-1.1188679999999999E-2</v>
      </c>
      <c r="O6337">
        <v>-0.5238469</v>
      </c>
      <c r="P6337">
        <v>0.97183989999999998</v>
      </c>
      <c r="Q6337">
        <v>-9.6969319999999998E-2</v>
      </c>
      <c r="R6337">
        <v>-0.2147657</v>
      </c>
      <c r="S6337">
        <v>2.9278870000000001</v>
      </c>
      <c r="T6337">
        <v>-0.38468039999999998</v>
      </c>
      <c r="U6337">
        <v>-0.54745480000000002</v>
      </c>
      <c r="V6337">
        <v>-0.3256212</v>
      </c>
      <c r="W6337">
        <v>-8.8565699999999997E-2</v>
      </c>
      <c r="X6337">
        <v>0.94134320000000005</v>
      </c>
      <c r="Y6337">
        <v>-0.35211209999999998</v>
      </c>
      <c r="Z6337">
        <v>8.3164020000000005E-2</v>
      </c>
      <c r="AA6337">
        <v>0.93225570000000002</v>
      </c>
      <c r="AB6337">
        <v>17</v>
      </c>
      <c r="AC6337">
        <v>8.4576999999999796</v>
      </c>
      <c r="AD6337">
        <v>-1.1234505261729999</v>
      </c>
      <c r="AE6337">
        <v>-1.5459699999999901</v>
      </c>
      <c r="AF6337">
        <v>-3.0616965780740402</v>
      </c>
      <c r="AG6337">
        <v>-1.1234505261729999</v>
      </c>
      <c r="AH6337">
        <v>7.8795718209488603</v>
      </c>
      <c r="AI6337">
        <v>97.570118065311704</v>
      </c>
      <c r="AJ6337">
        <v>111.23419935372399</v>
      </c>
      <c r="AK6337">
        <v>8.52782381985228</v>
      </c>
      <c r="AL6337">
        <v>95.081098055842403</v>
      </c>
      <c r="AM6337">
        <v>109.081078461549</v>
      </c>
      <c r="AN6337">
        <v>1.00000003464608</v>
      </c>
    </row>
    <row r="6338" spans="1:40" x14ac:dyDescent="0.25">
      <c r="A6338" t="str">
        <f>"20190303154307879"</f>
        <v>20190303154307879</v>
      </c>
      <c r="B6338" t="str">
        <f>"1551598987876482"</f>
        <v>1551598987876482</v>
      </c>
      <c r="C6338" t="s">
        <v>40</v>
      </c>
      <c r="D6338">
        <v>5.7181730000000002</v>
      </c>
      <c r="E6338">
        <v>0.48702030000000002</v>
      </c>
      <c r="F6338" t="s">
        <v>58</v>
      </c>
      <c r="G6338">
        <v>-400.23020000000002</v>
      </c>
      <c r="H6338" s="1">
        <v>-7.525906E-6</v>
      </c>
      <c r="I6338">
        <v>18.667850000000001</v>
      </c>
      <c r="J6338">
        <v>-408.5675</v>
      </c>
      <c r="K6338">
        <v>1.1234770000000001</v>
      </c>
      <c r="L6338">
        <v>20.153780000000001</v>
      </c>
      <c r="M6338">
        <v>0.85418130000000003</v>
      </c>
      <c r="N6338">
        <v>-1.1183200000000001E-2</v>
      </c>
      <c r="O6338">
        <v>-0.51985499999999996</v>
      </c>
      <c r="P6338">
        <v>0.97241690000000003</v>
      </c>
      <c r="Q6338">
        <v>-9.758754E-2</v>
      </c>
      <c r="R6338">
        <v>-0.21185409999999999</v>
      </c>
      <c r="S6338">
        <v>2.9291689999999999</v>
      </c>
      <c r="T6338">
        <v>-0.38897749999999998</v>
      </c>
      <c r="U6338">
        <v>-0.53842159999999994</v>
      </c>
      <c r="V6338">
        <v>-0.32399119999999998</v>
      </c>
      <c r="W6338">
        <v>-8.9204939999999996E-2</v>
      </c>
      <c r="X6338">
        <v>0.94184509999999999</v>
      </c>
      <c r="Y6338">
        <v>-0.35048170000000001</v>
      </c>
      <c r="Z6338">
        <v>8.3624589999999999E-2</v>
      </c>
      <c r="AA6338">
        <v>0.93282880000000001</v>
      </c>
      <c r="AB6338">
        <v>17</v>
      </c>
      <c r="AC6338">
        <v>8.3372999999999706</v>
      </c>
      <c r="AD6338">
        <v>-1.123484525906</v>
      </c>
      <c r="AE6338">
        <v>-1.48592999999999</v>
      </c>
      <c r="AF6338">
        <v>-3.01211321233786</v>
      </c>
      <c r="AG6338">
        <v>-1.123484525906</v>
      </c>
      <c r="AH6338">
        <v>7.7579901817948898</v>
      </c>
      <c r="AI6338">
        <v>97.688351097269503</v>
      </c>
      <c r="AJ6338">
        <v>111.21917366722499</v>
      </c>
      <c r="AK6338">
        <v>8.3977053499581906</v>
      </c>
      <c r="AL6338">
        <v>95.1178695035712</v>
      </c>
      <c r="AM6338">
        <v>108.98302588799601</v>
      </c>
      <c r="AN6338">
        <v>1.00000000569592</v>
      </c>
    </row>
    <row r="6339" spans="1:40" x14ac:dyDescent="0.25">
      <c r="A6339" t="str">
        <f>"20190303154307900"</f>
        <v>20190303154307900</v>
      </c>
      <c r="B6339" t="str">
        <f>"1551598987896978"</f>
        <v>1551598987896978</v>
      </c>
      <c r="C6339" t="s">
        <v>40</v>
      </c>
      <c r="D6339">
        <v>5.6830420000000004</v>
      </c>
      <c r="E6339">
        <v>0.48715079999999999</v>
      </c>
      <c r="F6339" t="s">
        <v>58</v>
      </c>
      <c r="G6339">
        <v>-400.12560000000002</v>
      </c>
      <c r="H6339" s="1">
        <v>-7.5563549999999996E-6</v>
      </c>
      <c r="I6339">
        <v>18.62745</v>
      </c>
      <c r="J6339">
        <v>-408.4246</v>
      </c>
      <c r="K6339">
        <v>1.1235200000000001</v>
      </c>
      <c r="L6339">
        <v>20.074369999999998</v>
      </c>
      <c r="M6339">
        <v>0.85702889999999998</v>
      </c>
      <c r="N6339">
        <v>-1.11789E-2</v>
      </c>
      <c r="O6339">
        <v>-0.51514700000000002</v>
      </c>
      <c r="P6339">
        <v>0.97319219999999895</v>
      </c>
      <c r="Q6339">
        <v>-9.7997849999999997E-2</v>
      </c>
      <c r="R6339">
        <v>-0.2080707</v>
      </c>
      <c r="S6339">
        <v>2.9304809999999999</v>
      </c>
      <c r="T6339">
        <v>-0.39000420000000002</v>
      </c>
      <c r="U6339">
        <v>-0.52984619999999905</v>
      </c>
      <c r="V6339">
        <v>-0.32243850000000002</v>
      </c>
      <c r="W6339">
        <v>-8.964134E-2</v>
      </c>
      <c r="X6339">
        <v>0.94233639999999996</v>
      </c>
      <c r="Y6339">
        <v>-0.3480647</v>
      </c>
      <c r="Z6339">
        <v>8.3213949999999995E-2</v>
      </c>
      <c r="AA6339">
        <v>0.93376999999999999</v>
      </c>
      <c r="AB6339">
        <v>17</v>
      </c>
      <c r="AC6339">
        <v>8.2989999999999693</v>
      </c>
      <c r="AD6339">
        <v>-1.123527556355</v>
      </c>
      <c r="AE6339">
        <v>-1.44692</v>
      </c>
      <c r="AF6339">
        <v>-2.9822953440094202</v>
      </c>
      <c r="AG6339">
        <v>-1.123527556355</v>
      </c>
      <c r="AH6339">
        <v>7.72101428098917</v>
      </c>
      <c r="AI6339">
        <v>97.730167597928897</v>
      </c>
      <c r="AJ6339">
        <v>111.119399701898</v>
      </c>
      <c r="AK6339">
        <v>8.3528714353824505</v>
      </c>
      <c r="AL6339">
        <v>95.142973865619993</v>
      </c>
      <c r="AM6339">
        <v>108.889367226942</v>
      </c>
      <c r="AN6339">
        <v>1.0000000234421</v>
      </c>
    </row>
    <row r="6340" spans="1:40" x14ac:dyDescent="0.25">
      <c r="A6340" t="str">
        <f>"20190303154307913"</f>
        <v>20190303154307913</v>
      </c>
      <c r="B6340" t="str">
        <f>"1551598987906738"</f>
        <v>1551598987906738</v>
      </c>
      <c r="C6340" t="s">
        <v>40</v>
      </c>
      <c r="D6340">
        <v>5.6782370000000002</v>
      </c>
      <c r="E6340">
        <v>0.48727179999999998</v>
      </c>
      <c r="F6340" t="s">
        <v>58</v>
      </c>
      <c r="G6340">
        <v>-400.03579999999999</v>
      </c>
      <c r="H6340" s="1">
        <v>-7.5820069999999902E-6</v>
      </c>
      <c r="I6340">
        <v>18.58812</v>
      </c>
      <c r="J6340">
        <v>-408.334</v>
      </c>
      <c r="K6340">
        <v>1.123545</v>
      </c>
      <c r="L6340">
        <v>20.024539999999998</v>
      </c>
      <c r="M6340">
        <v>0.8588346</v>
      </c>
      <c r="N6340">
        <v>-1.117693E-2</v>
      </c>
      <c r="O6340">
        <v>-0.512131</v>
      </c>
      <c r="P6340">
        <v>0.97378790000000004</v>
      </c>
      <c r="Q6340">
        <v>-9.8089229999999999E-2</v>
      </c>
      <c r="R6340">
        <v>-0.2052215</v>
      </c>
      <c r="S6340">
        <v>2.9320369999999998</v>
      </c>
      <c r="T6340">
        <v>-0.39269169999999998</v>
      </c>
      <c r="U6340">
        <v>-0.51947019999999999</v>
      </c>
      <c r="V6340">
        <v>-0.32187270000000001</v>
      </c>
      <c r="W6340">
        <v>-8.9751949999999997E-2</v>
      </c>
      <c r="X6340">
        <v>0.9425192</v>
      </c>
      <c r="Y6340">
        <v>-0.34799000000000002</v>
      </c>
      <c r="Z6340">
        <v>8.3499190000000001E-2</v>
      </c>
      <c r="AA6340">
        <v>0.93377239999999995</v>
      </c>
      <c r="AB6340">
        <v>17</v>
      </c>
      <c r="AC6340">
        <v>8.2981999999999996</v>
      </c>
      <c r="AD6340">
        <v>-1.123552582007</v>
      </c>
      <c r="AE6340">
        <v>-1.43641999999999</v>
      </c>
      <c r="AF6340">
        <v>-2.9635581918199798</v>
      </c>
      <c r="AG6340">
        <v>-1.123552582007</v>
      </c>
      <c r="AH6340">
        <v>7.7254028926496403</v>
      </c>
      <c r="AI6340">
        <v>97.732770093293595</v>
      </c>
      <c r="AJ6340">
        <v>110.987419019416</v>
      </c>
      <c r="AK6340">
        <v>8.3502633140876092</v>
      </c>
      <c r="AL6340">
        <v>95.149337405869801</v>
      </c>
      <c r="AM6340">
        <v>108.85516633064699</v>
      </c>
      <c r="AN6340">
        <v>0.99999994495136402</v>
      </c>
    </row>
    <row r="6341" spans="1:40" x14ac:dyDescent="0.25">
      <c r="A6341" t="str">
        <f>"20190303154307927"</f>
        <v>20190303154307927</v>
      </c>
      <c r="B6341" t="str">
        <f>"1551598987916499"</f>
        <v>1551598987916499</v>
      </c>
      <c r="C6341" t="s">
        <v>40</v>
      </c>
      <c r="D6341">
        <v>5.6701519999999999</v>
      </c>
      <c r="E6341">
        <v>0.48737789999999998</v>
      </c>
      <c r="F6341" t="s">
        <v>58</v>
      </c>
      <c r="G6341">
        <v>-399.97390000000001</v>
      </c>
      <c r="H6341" s="1">
        <v>-7.6002340000000002E-6</v>
      </c>
      <c r="I6341">
        <v>18.566040000000001</v>
      </c>
      <c r="J6341">
        <v>-408.24400000000003</v>
      </c>
      <c r="K6341">
        <v>1.1235710000000001</v>
      </c>
      <c r="L6341">
        <v>19.975619999999999</v>
      </c>
      <c r="M6341">
        <v>0.86063310000000004</v>
      </c>
      <c r="N6341">
        <v>-1.1175869999999999E-2</v>
      </c>
      <c r="O6341">
        <v>-0.50910319999999998</v>
      </c>
      <c r="P6341">
        <v>0.97435179999999999</v>
      </c>
      <c r="Q6341">
        <v>-9.8169800000000002E-2</v>
      </c>
      <c r="R6341">
        <v>-0.2024878</v>
      </c>
      <c r="S6341">
        <v>2.9331670000000001</v>
      </c>
      <c r="T6341">
        <v>-0.39420379999999999</v>
      </c>
      <c r="U6341">
        <v>-0.51171880000000003</v>
      </c>
      <c r="V6341">
        <v>-0.32118799999999997</v>
      </c>
      <c r="W6341">
        <v>-8.9848410000000004E-2</v>
      </c>
      <c r="X6341">
        <v>0.94274360000000001</v>
      </c>
      <c r="Y6341">
        <v>-0.34712290000000001</v>
      </c>
      <c r="Z6341">
        <v>8.3463179999999998E-2</v>
      </c>
      <c r="AA6341">
        <v>0.93409830000000005</v>
      </c>
      <c r="AB6341">
        <v>17</v>
      </c>
      <c r="AC6341">
        <v>8.27010000000001</v>
      </c>
      <c r="AD6341">
        <v>-1.12357860023399</v>
      </c>
      <c r="AE6341">
        <v>-1.4095800000000001</v>
      </c>
      <c r="AF6341">
        <v>-2.9445732490977399</v>
      </c>
      <c r="AG6341">
        <v>-1.12357860023399</v>
      </c>
      <c r="AH6341">
        <v>7.6975608985627701</v>
      </c>
      <c r="AI6341">
        <v>97.763339960031203</v>
      </c>
      <c r="AJ6341">
        <v>110.933516153833</v>
      </c>
      <c r="AK6341">
        <v>8.3177751999731502</v>
      </c>
      <c r="AL6341">
        <v>95.154886386704106</v>
      </c>
      <c r="AM6341">
        <v>108.813718286643</v>
      </c>
      <c r="AN6341">
        <v>0.99999998173224303</v>
      </c>
    </row>
    <row r="6342" spans="1:40" x14ac:dyDescent="0.25">
      <c r="A6342" t="str">
        <f>"20190303154307946"</f>
        <v>20190303154307946</v>
      </c>
      <c r="B6342" t="str">
        <f>"1551598987936994"</f>
        <v>1551598987936994</v>
      </c>
      <c r="C6342" t="s">
        <v>40</v>
      </c>
      <c r="D6342">
        <v>5.6702870000000001</v>
      </c>
      <c r="E6342">
        <v>0.48762050000000001</v>
      </c>
      <c r="F6342" t="s">
        <v>41</v>
      </c>
      <c r="G6342">
        <v>-399.90589999999997</v>
      </c>
      <c r="H6342" s="1">
        <v>-3.061348E-7</v>
      </c>
      <c r="I6342">
        <v>18.54233</v>
      </c>
      <c r="J6342">
        <v>-408.11579999999998</v>
      </c>
      <c r="K6342">
        <v>1.12361</v>
      </c>
      <c r="L6342">
        <v>19.906649999999999</v>
      </c>
      <c r="M6342">
        <v>0.86319319999999899</v>
      </c>
      <c r="N6342">
        <v>-1.117523E-2</v>
      </c>
      <c r="O6342">
        <v>-0.50475009999999998</v>
      </c>
      <c r="P6342">
        <v>0.97501700000000002</v>
      </c>
      <c r="Q6342">
        <v>-9.8402050000000005E-2</v>
      </c>
      <c r="R6342">
        <v>-0.19914580000000001</v>
      </c>
      <c r="S6342">
        <v>2.9342959999999998</v>
      </c>
      <c r="T6342">
        <v>-0.39539999999999997</v>
      </c>
      <c r="U6342">
        <v>-0.50439449999999997</v>
      </c>
      <c r="V6342">
        <v>-0.31963849999999999</v>
      </c>
      <c r="W6342">
        <v>-9.0097300000000005E-2</v>
      </c>
      <c r="X6342">
        <v>0.94324640000000004</v>
      </c>
      <c r="Y6342">
        <v>-0.3447249</v>
      </c>
      <c r="Z6342">
        <v>8.3106860000000005E-2</v>
      </c>
      <c r="AA6342">
        <v>0.9350176</v>
      </c>
      <c r="AB6342">
        <v>17</v>
      </c>
      <c r="AC6342">
        <v>8.2098999999999993</v>
      </c>
      <c r="AD6342">
        <v>-1.1236103061348</v>
      </c>
      <c r="AE6342">
        <v>-1.36431999999999</v>
      </c>
      <c r="AF6342">
        <v>-2.9133582919731502</v>
      </c>
      <c r="AG6342">
        <v>-1.1236103061348</v>
      </c>
      <c r="AH6342">
        <v>7.63665936246682</v>
      </c>
      <c r="AI6342">
        <v>97.827377468898604</v>
      </c>
      <c r="AJ6342">
        <v>110.881674404059</v>
      </c>
      <c r="AK6342">
        <v>8.2503771353686197</v>
      </c>
      <c r="AL6342">
        <v>95.169204542131297</v>
      </c>
      <c r="AM6342">
        <v>108.720010183192</v>
      </c>
      <c r="AN6342">
        <v>1.0000000326312399</v>
      </c>
    </row>
    <row r="6343" spans="1:40" x14ac:dyDescent="0.25">
      <c r="A6343" t="str">
        <f>"20190303154307959"</f>
        <v>20190303154307959</v>
      </c>
      <c r="B6343" t="str">
        <f>"1551598987956514"</f>
        <v>1551598987956514</v>
      </c>
      <c r="C6343" t="s">
        <v>40</v>
      </c>
      <c r="D6343">
        <v>5.6947070000000002</v>
      </c>
      <c r="E6343">
        <v>0.4876431</v>
      </c>
      <c r="F6343" t="s">
        <v>41</v>
      </c>
      <c r="G6343">
        <v>-399.79640000000001</v>
      </c>
      <c r="H6343" s="1">
        <v>-3.5942579999999999E-7</v>
      </c>
      <c r="I6343">
        <v>18.49991</v>
      </c>
      <c r="J6343">
        <v>-408.02800000000002</v>
      </c>
      <c r="K6343">
        <v>1.123642</v>
      </c>
      <c r="L6343">
        <v>19.859829999999999</v>
      </c>
      <c r="M6343">
        <v>0.86495100000000003</v>
      </c>
      <c r="N6343">
        <v>-1.117544E-2</v>
      </c>
      <c r="O6343">
        <v>-0.50173190000000001</v>
      </c>
      <c r="P6343">
        <v>0.9756011</v>
      </c>
      <c r="Q6343">
        <v>-9.8120089999999993E-2</v>
      </c>
      <c r="R6343">
        <v>-0.196405</v>
      </c>
      <c r="S6343">
        <v>2.935486</v>
      </c>
      <c r="T6343">
        <v>-0.39646740000000003</v>
      </c>
      <c r="U6343">
        <v>-0.49636839999999999</v>
      </c>
      <c r="V6343">
        <v>-0.31900440000000002</v>
      </c>
      <c r="W6343">
        <v>-8.9831049999999996E-2</v>
      </c>
      <c r="X6343">
        <v>0.94348639999999995</v>
      </c>
      <c r="Y6343">
        <v>-0.34398759999999901</v>
      </c>
      <c r="Z6343">
        <v>8.2973699999999997E-2</v>
      </c>
      <c r="AA6343">
        <v>0.93530089999999999</v>
      </c>
      <c r="AB6343">
        <v>17</v>
      </c>
      <c r="AC6343">
        <v>8.2316000000000091</v>
      </c>
      <c r="AD6343">
        <v>-1.1236423594258</v>
      </c>
      <c r="AE6343">
        <v>-1.35991999999999</v>
      </c>
      <c r="AF6343">
        <v>-2.9013514089188299</v>
      </c>
      <c r="AG6343">
        <v>-1.1236423594258</v>
      </c>
      <c r="AH6343">
        <v>7.6637271756559002</v>
      </c>
      <c r="AI6343">
        <v>97.807751365301201</v>
      </c>
      <c r="AJ6343">
        <v>110.735778404432</v>
      </c>
      <c r="AK6343">
        <v>8.2712227858290692</v>
      </c>
      <c r="AL6343">
        <v>95.153887568711497</v>
      </c>
      <c r="AM6343">
        <v>108.68103002380199</v>
      </c>
      <c r="AN6343">
        <v>1.00000000587421</v>
      </c>
    </row>
    <row r="6344" spans="1:40" x14ac:dyDescent="0.25">
      <c r="A6344" t="str">
        <f>"20190303154307978"</f>
        <v>20190303154307978</v>
      </c>
      <c r="B6344" t="str">
        <f>"1551598987966275"</f>
        <v>1551598987966275</v>
      </c>
      <c r="C6344" t="s">
        <v>40</v>
      </c>
      <c r="D6344">
        <v>5.7307399999999999</v>
      </c>
      <c r="E6344">
        <v>0.4876279</v>
      </c>
      <c r="F6344" t="s">
        <v>41</v>
      </c>
      <c r="G6344">
        <v>-399.70940000000002</v>
      </c>
      <c r="H6344" s="1">
        <v>-3.9899969999999998E-7</v>
      </c>
      <c r="I6344">
        <v>18.476780000000002</v>
      </c>
      <c r="J6344">
        <v>-407.89819999999997</v>
      </c>
      <c r="K6344">
        <v>1.1236930000000001</v>
      </c>
      <c r="L6344">
        <v>19.79156</v>
      </c>
      <c r="M6344">
        <v>0.86755099999999996</v>
      </c>
      <c r="N6344">
        <v>-1.1177049999999999E-2</v>
      </c>
      <c r="O6344">
        <v>-0.49722250000000001</v>
      </c>
      <c r="P6344">
        <v>0.97649759999999997</v>
      </c>
      <c r="Q6344">
        <v>-9.7248600000000004E-2</v>
      </c>
      <c r="R6344">
        <v>-0.19234100000000001</v>
      </c>
      <c r="S6344">
        <v>2.9368289999999999</v>
      </c>
      <c r="T6344">
        <v>-0.3966982</v>
      </c>
      <c r="U6344">
        <v>-0.48828129999999997</v>
      </c>
      <c r="V6344">
        <v>-0.31806210000000001</v>
      </c>
      <c r="W6344">
        <v>-8.8982190000000003E-2</v>
      </c>
      <c r="X6344">
        <v>0.94388490000000003</v>
      </c>
      <c r="Y6344">
        <v>-0.34172329999999901</v>
      </c>
      <c r="Z6344">
        <v>8.2388039999999996E-2</v>
      </c>
      <c r="AA6344">
        <v>0.93618239999999997</v>
      </c>
      <c r="AB6344">
        <v>17</v>
      </c>
      <c r="AC6344">
        <v>8.1887999999999508</v>
      </c>
      <c r="AD6344">
        <v>-1.1236933989997</v>
      </c>
      <c r="AE6344">
        <v>-1.3147800000000001</v>
      </c>
      <c r="AF6344">
        <v>-2.87836213156461</v>
      </c>
      <c r="AG6344">
        <v>-1.1236933989997</v>
      </c>
      <c r="AH6344">
        <v>7.6185709423411598</v>
      </c>
      <c r="AI6344">
        <v>97.855790875556295</v>
      </c>
      <c r="AJ6344">
        <v>110.696999499773</v>
      </c>
      <c r="AK6344">
        <v>8.2213307085207195</v>
      </c>
      <c r="AL6344">
        <v>95.105055854456893</v>
      </c>
      <c r="AM6344">
        <v>108.622338571295</v>
      </c>
      <c r="AN6344">
        <v>1.0000000170208001</v>
      </c>
    </row>
    <row r="6345" spans="1:40" x14ac:dyDescent="0.25">
      <c r="A6345" t="str">
        <f>"20190303154308001"</f>
        <v>20190303154308001</v>
      </c>
      <c r="B6345" t="str">
        <f>"1551598987996531"</f>
        <v>1551598987996531</v>
      </c>
      <c r="C6345" t="s">
        <v>40</v>
      </c>
      <c r="D6345">
        <v>5.6457629999999996</v>
      </c>
      <c r="E6345">
        <v>0.48799900000000002</v>
      </c>
      <c r="F6345" t="s">
        <v>41</v>
      </c>
      <c r="G6345">
        <v>-399.53649999999999</v>
      </c>
      <c r="H6345" s="1">
        <v>-4.7575000000000001E-7</v>
      </c>
      <c r="I6345">
        <v>18.437930000000001</v>
      </c>
      <c r="J6345">
        <v>-407.74419999999998</v>
      </c>
      <c r="K6345">
        <v>1.1237490000000001</v>
      </c>
      <c r="L6345">
        <v>19.711819999999999</v>
      </c>
      <c r="M6345">
        <v>0.87064129999999995</v>
      </c>
      <c r="N6345">
        <v>-1.118068E-2</v>
      </c>
      <c r="O6345">
        <v>-0.49179129999999899</v>
      </c>
      <c r="P6345">
        <v>0.97771889999999995</v>
      </c>
      <c r="Q6345">
        <v>-9.7266249999999999E-2</v>
      </c>
      <c r="R6345">
        <v>-0.1860243</v>
      </c>
      <c r="S6345">
        <v>2.939117</v>
      </c>
      <c r="T6345">
        <v>-0.39497539999999998</v>
      </c>
      <c r="U6345">
        <v>-0.47579959999999999</v>
      </c>
      <c r="V6345">
        <v>-0.3182526</v>
      </c>
      <c r="W6345">
        <v>-8.9041090000000003E-2</v>
      </c>
      <c r="X6345">
        <v>0.94381510000000002</v>
      </c>
      <c r="Y6345">
        <v>-0.33995809999999999</v>
      </c>
      <c r="Z6345">
        <v>8.131091E-2</v>
      </c>
      <c r="AA6345">
        <v>0.9369189</v>
      </c>
      <c r="AB6345">
        <v>17</v>
      </c>
      <c r="AC6345">
        <v>8.2076999999999796</v>
      </c>
      <c r="AD6345">
        <v>-1.1237494757499999</v>
      </c>
      <c r="AE6345">
        <v>-1.27389</v>
      </c>
      <c r="AF6345">
        <v>-2.8749329863298199</v>
      </c>
      <c r="AG6345">
        <v>-1.1237494757499999</v>
      </c>
      <c r="AH6345">
        <v>7.63321430098891</v>
      </c>
      <c r="AI6345">
        <v>97.844297377066795</v>
      </c>
      <c r="AJ6345">
        <v>110.63811259307199</v>
      </c>
      <c r="AK6345">
        <v>8.2337119894344895</v>
      </c>
      <c r="AL6345">
        <v>95.108444173245402</v>
      </c>
      <c r="AM6345">
        <v>108.634005374968</v>
      </c>
      <c r="AN6345">
        <v>0.99999998805157897</v>
      </c>
    </row>
    <row r="6346" spans="1:40" x14ac:dyDescent="0.25">
      <c r="A6346" t="str">
        <f>"20190303154308013"</f>
        <v>20190303154308013</v>
      </c>
      <c r="B6346" t="str">
        <f>"1551598988006291"</f>
        <v>1551598988006291</v>
      </c>
      <c r="C6346" t="s">
        <v>40</v>
      </c>
      <c r="D6346">
        <v>5.6111940000000002</v>
      </c>
      <c r="E6346">
        <v>0.48813390000000001</v>
      </c>
      <c r="F6346" t="s">
        <v>41</v>
      </c>
      <c r="G6346">
        <v>-399.3381</v>
      </c>
      <c r="H6346" s="1">
        <v>-5.6259390000000002E-7</v>
      </c>
      <c r="I6346">
        <v>18.397829999999999</v>
      </c>
      <c r="J6346">
        <v>-407.65969999999999</v>
      </c>
      <c r="K6346">
        <v>1.1237820000000001</v>
      </c>
      <c r="L6346">
        <v>19.668579999999999</v>
      </c>
      <c r="M6346">
        <v>0.87233379999999905</v>
      </c>
      <c r="N6346">
        <v>-1.118303E-2</v>
      </c>
      <c r="O6346">
        <v>-0.48878280000000002</v>
      </c>
      <c r="P6346">
        <v>0.97838080000000005</v>
      </c>
      <c r="Q6346">
        <v>-9.7405649999999996E-2</v>
      </c>
      <c r="R6346">
        <v>-0.1824366</v>
      </c>
      <c r="S6346">
        <v>2.9417420000000001</v>
      </c>
      <c r="T6346">
        <v>-0.39326109999999997</v>
      </c>
      <c r="U6346">
        <v>-0.45983889999999999</v>
      </c>
      <c r="V6346">
        <v>-0.31844240000000001</v>
      </c>
      <c r="W6346">
        <v>-8.920322E-2</v>
      </c>
      <c r="X6346">
        <v>0.94373580000000001</v>
      </c>
      <c r="Y6346">
        <v>-0.3418658</v>
      </c>
      <c r="Z6346">
        <v>8.0753779999999997E-2</v>
      </c>
      <c r="AA6346">
        <v>0.93627269999999896</v>
      </c>
      <c r="AB6346">
        <v>17</v>
      </c>
      <c r="AC6346">
        <v>8.3215999999999894</v>
      </c>
      <c r="AD6346">
        <v>-1.1237825625939</v>
      </c>
      <c r="AE6346">
        <v>-1.2707499999999901</v>
      </c>
      <c r="AF6346">
        <v>-2.9073097873182601</v>
      </c>
      <c r="AG6346">
        <v>-1.1237825625939</v>
      </c>
      <c r="AH6346">
        <v>7.7428390796684097</v>
      </c>
      <c r="AI6346">
        <v>97.737713013742393</v>
      </c>
      <c r="AJ6346">
        <v>110.58033802161199</v>
      </c>
      <c r="AK6346">
        <v>8.3466696628695605</v>
      </c>
      <c r="AL6346">
        <v>95.117770495248095</v>
      </c>
      <c r="AM6346">
        <v>108.645808868476</v>
      </c>
      <c r="AN6346">
        <v>1.00000001838888</v>
      </c>
    </row>
    <row r="6347" spans="1:40" x14ac:dyDescent="0.25">
      <c r="A6347" t="str">
        <f>"20190303154308025"</f>
        <v>20190303154308025</v>
      </c>
      <c r="B6347" t="str">
        <f>"1551598988017027"</f>
        <v>1551598988017027</v>
      </c>
      <c r="C6347" t="s">
        <v>40</v>
      </c>
      <c r="D6347">
        <v>5.6531310000000001</v>
      </c>
      <c r="E6347">
        <v>0.4881257</v>
      </c>
      <c r="F6347" t="s">
        <v>41</v>
      </c>
      <c r="G6347">
        <v>-399.25490000000002</v>
      </c>
      <c r="H6347" s="1">
        <v>-5.9841640000000005E-7</v>
      </c>
      <c r="I6347">
        <v>18.383310000000002</v>
      </c>
      <c r="J6347">
        <v>-407.57549999999998</v>
      </c>
      <c r="K6347">
        <v>1.12381</v>
      </c>
      <c r="L6347">
        <v>19.625979999999998</v>
      </c>
      <c r="M6347">
        <v>0.87402440000000003</v>
      </c>
      <c r="N6347">
        <v>-1.118562E-2</v>
      </c>
      <c r="O6347">
        <v>-0.4857534</v>
      </c>
      <c r="P6347">
        <v>0.9790179</v>
      </c>
      <c r="Q6347">
        <v>-9.7451490000000002E-2</v>
      </c>
      <c r="R6347">
        <v>-0.17896210000000001</v>
      </c>
      <c r="S6347">
        <v>2.9431759999999998</v>
      </c>
      <c r="T6347">
        <v>-0.39352290000000001</v>
      </c>
      <c r="U6347">
        <v>-0.45007320000000001</v>
      </c>
      <c r="V6347">
        <v>-0.31851020000000002</v>
      </c>
      <c r="W6347">
        <v>-8.9268710000000001E-2</v>
      </c>
      <c r="X6347">
        <v>0.94370670000000001</v>
      </c>
      <c r="Y6347">
        <v>-0.34172590000000003</v>
      </c>
      <c r="Z6347">
        <v>8.047994E-2</v>
      </c>
      <c r="AA6347">
        <v>0.93634740000000005</v>
      </c>
      <c r="AB6347">
        <v>17</v>
      </c>
      <c r="AC6347">
        <v>8.3205999999999491</v>
      </c>
      <c r="AD6347">
        <v>-1.1238105984164</v>
      </c>
      <c r="AE6347">
        <v>-1.2426699999999899</v>
      </c>
      <c r="AF6347">
        <v>-2.9040010550553399</v>
      </c>
      <c r="AG6347">
        <v>-1.1238105984164</v>
      </c>
      <c r="AH6347">
        <v>7.7384446702554204</v>
      </c>
      <c r="AI6347">
        <v>97.742783939580903</v>
      </c>
      <c r="AJ6347">
        <v>110.569573687069</v>
      </c>
      <c r="AK6347">
        <v>8.3414446172998193</v>
      </c>
      <c r="AL6347">
        <v>95.121537956605493</v>
      </c>
      <c r="AM6347">
        <v>108.65003958609501</v>
      </c>
      <c r="AN6347">
        <v>0.99999999285699703</v>
      </c>
    </row>
    <row r="6348" spans="1:40" x14ac:dyDescent="0.25">
      <c r="A6348" t="str">
        <f>"20190303154308038"</f>
        <v>20190303154308038</v>
      </c>
      <c r="B6348" t="str">
        <f>"1551598988026787"</f>
        <v>1551598988026787</v>
      </c>
      <c r="C6348" t="s">
        <v>40</v>
      </c>
      <c r="D6348">
        <v>5.6598350000000002</v>
      </c>
      <c r="E6348">
        <v>0.48807669999999997</v>
      </c>
      <c r="F6348" t="s">
        <v>41</v>
      </c>
      <c r="G6348">
        <v>-399.1866</v>
      </c>
      <c r="H6348" s="1">
        <v>-6.271683E-7</v>
      </c>
      <c r="I6348">
        <v>18.37379</v>
      </c>
      <c r="J6348">
        <v>-407.48989999999998</v>
      </c>
      <c r="K6348">
        <v>1.123839</v>
      </c>
      <c r="L6348">
        <v>19.58295</v>
      </c>
      <c r="M6348">
        <v>0.87573579999999995</v>
      </c>
      <c r="N6348">
        <v>-1.118827E-2</v>
      </c>
      <c r="O6348">
        <v>-0.48266150000000002</v>
      </c>
      <c r="P6348">
        <v>0.97960559999999997</v>
      </c>
      <c r="Q6348">
        <v>-9.7602460000000002E-2</v>
      </c>
      <c r="R6348">
        <v>-0.17563239999999999</v>
      </c>
      <c r="S6348">
        <v>2.9446720000000002</v>
      </c>
      <c r="T6348">
        <v>-0.39448250000000001</v>
      </c>
      <c r="U6348">
        <v>-0.43954470000000001</v>
      </c>
      <c r="V6348">
        <v>-0.31836900000000001</v>
      </c>
      <c r="W6348">
        <v>-8.9437310000000006E-2</v>
      </c>
      <c r="X6348">
        <v>0.94373839999999998</v>
      </c>
      <c r="Y6348">
        <v>-0.34174159999999998</v>
      </c>
      <c r="Z6348">
        <v>8.0357170000000006E-2</v>
      </c>
      <c r="AA6348">
        <v>0.93635219999999997</v>
      </c>
      <c r="AB6348">
        <v>17</v>
      </c>
      <c r="AC6348">
        <v>8.3032999999999699</v>
      </c>
      <c r="AD6348">
        <v>-1.1238396271683</v>
      </c>
      <c r="AE6348">
        <v>-1.20916</v>
      </c>
      <c r="AF6348">
        <v>-2.89699375386316</v>
      </c>
      <c r="AG6348">
        <v>-1.1238396271683</v>
      </c>
      <c r="AH6348">
        <v>7.7171650168395702</v>
      </c>
      <c r="AI6348">
        <v>97.763752445272402</v>
      </c>
      <c r="AJ6348">
        <v>110.575940163521</v>
      </c>
      <c r="AK6348">
        <v>8.3192682499513495</v>
      </c>
      <c r="AL6348">
        <v>95.131236731619694</v>
      </c>
      <c r="AM6348">
        <v>108.641760239522</v>
      </c>
      <c r="AN6348">
        <v>1.0000000101077899</v>
      </c>
    </row>
    <row r="6349" spans="1:40" x14ac:dyDescent="0.25">
      <c r="A6349" t="str">
        <f>"20190303154308049"</f>
        <v>20190303154308049</v>
      </c>
      <c r="B6349" t="str">
        <f>"1551598988046307"</f>
        <v>1551598988046307</v>
      </c>
      <c r="C6349" t="s">
        <v>40</v>
      </c>
      <c r="D6349">
        <v>5.6281129999999999</v>
      </c>
      <c r="E6349">
        <v>0.48816130000000002</v>
      </c>
      <c r="F6349" t="s">
        <v>41</v>
      </c>
      <c r="G6349">
        <v>-399.12360000000001</v>
      </c>
      <c r="H6349" s="1">
        <v>-6.5391589999999997E-7</v>
      </c>
      <c r="I6349">
        <v>18.364270000000001</v>
      </c>
      <c r="J6349">
        <v>-407.40649999999999</v>
      </c>
      <c r="K6349">
        <v>1.123866</v>
      </c>
      <c r="L6349">
        <v>19.541530000000002</v>
      </c>
      <c r="M6349">
        <v>0.87740890000000005</v>
      </c>
      <c r="N6349">
        <v>-1.119125E-2</v>
      </c>
      <c r="O6349">
        <v>-0.47961280000000001</v>
      </c>
      <c r="P6349">
        <v>0.98024299999999998</v>
      </c>
      <c r="Q6349">
        <v>-9.7217440000000002E-2</v>
      </c>
      <c r="R6349">
        <v>-0.1722571</v>
      </c>
      <c r="S6349">
        <v>2.946075</v>
      </c>
      <c r="T6349">
        <v>-0.39574150000000002</v>
      </c>
      <c r="U6349">
        <v>-0.42913820000000003</v>
      </c>
      <c r="V6349">
        <v>-0.318353</v>
      </c>
      <c r="W6349">
        <v>-8.9070700000000003E-2</v>
      </c>
      <c r="X6349">
        <v>0.94377849999999996</v>
      </c>
      <c r="Y6349">
        <v>-0.3417578</v>
      </c>
      <c r="Z6349">
        <v>8.0300699999999905E-2</v>
      </c>
      <c r="AA6349">
        <v>0.93635109999999999</v>
      </c>
      <c r="AB6349">
        <v>17</v>
      </c>
      <c r="AC6349">
        <v>8.2828999999999802</v>
      </c>
      <c r="AD6349">
        <v>-1.1238666539158999</v>
      </c>
      <c r="AE6349">
        <v>-1.17725999999999</v>
      </c>
      <c r="AF6349">
        <v>-2.8877189517000899</v>
      </c>
      <c r="AG6349">
        <v>-1.1238666539158999</v>
      </c>
      <c r="AH6349">
        <v>7.6937683466393096</v>
      </c>
      <c r="AI6349">
        <v>97.787419432399702</v>
      </c>
      <c r="AJ6349">
        <v>110.572730125205</v>
      </c>
      <c r="AK6349">
        <v>8.2943395379946292</v>
      </c>
      <c r="AL6349">
        <v>95.110147204822695</v>
      </c>
      <c r="AM6349">
        <v>108.64015079047201</v>
      </c>
      <c r="AN6349">
        <v>1.0000000396348601</v>
      </c>
    </row>
    <row r="6350" spans="1:40" x14ac:dyDescent="0.25">
      <c r="A6350" t="str">
        <f>"20190303154308070"</f>
        <v>20190303154308070</v>
      </c>
      <c r="B6350" t="str">
        <f>"1551598988066802"</f>
        <v>1551598988066802</v>
      </c>
      <c r="C6350" t="s">
        <v>40</v>
      </c>
      <c r="D6350">
        <v>5.6382459999999996</v>
      </c>
      <c r="E6350">
        <v>0.48846279999999997</v>
      </c>
      <c r="F6350" t="s">
        <v>41</v>
      </c>
      <c r="G6350">
        <v>-398.9984</v>
      </c>
      <c r="H6350" s="1">
        <v>-7.0720270000000003E-7</v>
      </c>
      <c r="I6350">
        <v>18.34468</v>
      </c>
      <c r="J6350">
        <v>-407.2731</v>
      </c>
      <c r="K6350">
        <v>1.1239159999999999</v>
      </c>
      <c r="L6350">
        <v>19.47607</v>
      </c>
      <c r="M6350">
        <v>0.88008319999999995</v>
      </c>
      <c r="N6350">
        <v>-1.119678E-2</v>
      </c>
      <c r="O6350">
        <v>-0.47468769999999999</v>
      </c>
      <c r="P6350">
        <v>0.98107219999999995</v>
      </c>
      <c r="Q6350">
        <v>-9.701274E-2</v>
      </c>
      <c r="R6350">
        <v>-0.16758719999999999</v>
      </c>
      <c r="S6350">
        <v>2.9476619999999998</v>
      </c>
      <c r="T6350">
        <v>-0.39399810000000002</v>
      </c>
      <c r="U6350">
        <v>-0.41958620000000002</v>
      </c>
      <c r="V6350">
        <v>-0.31755929999999999</v>
      </c>
      <c r="W6350">
        <v>-8.8886889999999996E-2</v>
      </c>
      <c r="X6350">
        <v>0.94406310000000004</v>
      </c>
      <c r="Y6350">
        <v>-0.33965190000000001</v>
      </c>
      <c r="Z6350">
        <v>7.9255899999999893E-2</v>
      </c>
      <c r="AA6350">
        <v>0.93720599999999998</v>
      </c>
      <c r="AB6350">
        <v>17</v>
      </c>
      <c r="AC6350">
        <v>8.2746999999999904</v>
      </c>
      <c r="AD6350">
        <v>-1.1239167072027001</v>
      </c>
      <c r="AE6350">
        <v>-1.1313899999999899</v>
      </c>
      <c r="AF6350">
        <v>-2.8802038387510001</v>
      </c>
      <c r="AG6350">
        <v>-1.1239167072027001</v>
      </c>
      <c r="AH6350">
        <v>7.6808697763362597</v>
      </c>
      <c r="AI6350">
        <v>97.801561324735403</v>
      </c>
      <c r="AJ6350">
        <v>110.555245209842</v>
      </c>
      <c r="AK6350">
        <v>8.2797659048140506</v>
      </c>
      <c r="AL6350">
        <v>95.099574122885699</v>
      </c>
      <c r="AM6350">
        <v>108.591656710834</v>
      </c>
      <c r="AN6350">
        <v>0.999999962505985</v>
      </c>
    </row>
    <row r="6351" spans="1:40" x14ac:dyDescent="0.25">
      <c r="A6351" t="str">
        <f>"20190303154308092"</f>
        <v>20190303154308092</v>
      </c>
      <c r="B6351" t="str">
        <f>"1551598988086323"</f>
        <v>1551598988086323</v>
      </c>
      <c r="C6351" t="s">
        <v>40</v>
      </c>
      <c r="D6351">
        <v>5.6063400000000003</v>
      </c>
      <c r="E6351">
        <v>0.50809799999999905</v>
      </c>
      <c r="F6351" t="s">
        <v>41</v>
      </c>
      <c r="G6351">
        <v>-398.81189999999998</v>
      </c>
      <c r="H6351" s="1">
        <v>-7.8918769999999996E-7</v>
      </c>
      <c r="I6351">
        <v>18.30566</v>
      </c>
      <c r="J6351">
        <v>-407.11919999999998</v>
      </c>
      <c r="K6351">
        <v>1.1239699999999999</v>
      </c>
      <c r="L6351">
        <v>19.401759999999999</v>
      </c>
      <c r="M6351">
        <v>0.88316659999999902</v>
      </c>
      <c r="N6351">
        <v>-1.12044E-2</v>
      </c>
      <c r="O6351">
        <v>-0.4689255</v>
      </c>
      <c r="P6351">
        <v>0.98196229999999995</v>
      </c>
      <c r="Q6351">
        <v>-9.7368609999999994E-2</v>
      </c>
      <c r="R6351">
        <v>-0.16207769999999999</v>
      </c>
      <c r="S6351">
        <v>2.9494319999999998</v>
      </c>
      <c r="T6351">
        <v>-0.39178099999999999</v>
      </c>
      <c r="U6351">
        <v>-0.4079895</v>
      </c>
      <c r="V6351">
        <v>-0.31665880000000002</v>
      </c>
      <c r="W6351">
        <v>-8.9267739999999998E-2</v>
      </c>
      <c r="X6351">
        <v>0.94432959999999999</v>
      </c>
      <c r="Y6351">
        <v>-0.33733600000000002</v>
      </c>
      <c r="Z6351">
        <v>7.8015710000000002E-2</v>
      </c>
      <c r="AA6351">
        <v>0.93814600000000004</v>
      </c>
      <c r="AB6351">
        <v>17</v>
      </c>
      <c r="AC6351">
        <v>8.3072999999999908</v>
      </c>
      <c r="AD6351">
        <v>-1.1239707891877</v>
      </c>
      <c r="AE6351">
        <v>-1.0961000000000001</v>
      </c>
      <c r="AF6351">
        <v>-2.87590472487341</v>
      </c>
      <c r="AG6351">
        <v>-1.1239707891877</v>
      </c>
      <c r="AH6351">
        <v>7.7124451870384103</v>
      </c>
      <c r="AI6351">
        <v>97.775652441738302</v>
      </c>
      <c r="AJ6351">
        <v>110.450054419853</v>
      </c>
      <c r="AK6351">
        <v>8.3075838295239794</v>
      </c>
      <c r="AL6351">
        <v>95.121482329610103</v>
      </c>
      <c r="AM6351">
        <v>108.53767061983299</v>
      </c>
      <c r="AN6351">
        <v>0.99999995922915297</v>
      </c>
    </row>
    <row r="6352" spans="1:40" x14ac:dyDescent="0.25">
      <c r="A6352" t="str">
        <f>"20190303154308105"</f>
        <v>20190303154308105</v>
      </c>
      <c r="B6352" t="str">
        <f>"1551598988097058"</f>
        <v>1551598988097058</v>
      </c>
      <c r="C6352" t="s">
        <v>40</v>
      </c>
      <c r="D6352">
        <v>5.6114110000000004</v>
      </c>
      <c r="E6352">
        <v>0.5109475</v>
      </c>
      <c r="F6352" t="s">
        <v>41</v>
      </c>
      <c r="G6352">
        <v>-396.29899999999998</v>
      </c>
      <c r="H6352" s="1">
        <v>-2.127447E-6</v>
      </c>
      <c r="I6352">
        <v>17.375529999999898</v>
      </c>
      <c r="J6352">
        <v>-407.01990000000001</v>
      </c>
      <c r="K6352">
        <v>1.1240019999999999</v>
      </c>
      <c r="L6352">
        <v>19.354610000000001</v>
      </c>
      <c r="M6352">
        <v>0.88515630000000001</v>
      </c>
      <c r="N6352">
        <v>-1.1210060000000001E-2</v>
      </c>
      <c r="O6352">
        <v>-0.46515840000000003</v>
      </c>
      <c r="P6352">
        <v>0.98256699999999997</v>
      </c>
      <c r="Q6352">
        <v>-9.7731860000000004E-2</v>
      </c>
      <c r="R6352">
        <v>-0.1581467</v>
      </c>
      <c r="S6352">
        <v>2.9342039999999998</v>
      </c>
      <c r="T6352">
        <v>-0.30479620000000002</v>
      </c>
      <c r="U6352">
        <v>-0.54946899999999999</v>
      </c>
      <c r="V6352">
        <v>-0.31638709999999998</v>
      </c>
      <c r="W6352">
        <v>-8.9651259999999997E-2</v>
      </c>
      <c r="X6352">
        <v>0.94438440000000001</v>
      </c>
      <c r="Y6352">
        <v>-0.29093550000000001</v>
      </c>
      <c r="Z6352">
        <v>5.7036910000000003E-2</v>
      </c>
      <c r="AA6352">
        <v>0.95504100000000003</v>
      </c>
      <c r="AB6352">
        <v>17</v>
      </c>
      <c r="AC6352">
        <v>10.720899999999901</v>
      </c>
      <c r="AD6352">
        <v>-1.1240041274469901</v>
      </c>
      <c r="AE6352">
        <v>-1.97908</v>
      </c>
      <c r="AF6352">
        <v>-3.2012966011464501</v>
      </c>
      <c r="AG6352">
        <v>-1.1240041274469901</v>
      </c>
      <c r="AH6352">
        <v>10.301412942896301</v>
      </c>
      <c r="AI6352">
        <v>95.948541696915697</v>
      </c>
      <c r="AJ6352">
        <v>107.263304376124</v>
      </c>
      <c r="AK6352">
        <v>10.845773085728</v>
      </c>
      <c r="AL6352">
        <v>95.1435445541006</v>
      </c>
      <c r="AM6352">
        <v>108.52184912366999</v>
      </c>
      <c r="AN6352">
        <v>1.0000000202146699</v>
      </c>
    </row>
    <row r="6353" spans="1:40" x14ac:dyDescent="0.25">
      <c r="A6353" t="str">
        <f>"20190303154308125"</f>
        <v>20190303154308125</v>
      </c>
      <c r="B6353" t="str">
        <f>"1551598988116582"</f>
        <v>1551598988116582</v>
      </c>
      <c r="C6353" t="s">
        <v>40</v>
      </c>
      <c r="D6353">
        <v>5.6190009999999999</v>
      </c>
      <c r="E6353">
        <v>0.51360430000000001</v>
      </c>
      <c r="F6353" t="s">
        <v>41</v>
      </c>
      <c r="G6353">
        <v>-396.20600000000002</v>
      </c>
      <c r="H6353" s="1">
        <v>-2.1867409999999998E-6</v>
      </c>
      <c r="I6353">
        <v>17.288969999999999</v>
      </c>
      <c r="J6353">
        <v>-406.88659999999999</v>
      </c>
      <c r="K6353">
        <v>1.1240410000000001</v>
      </c>
      <c r="L6353">
        <v>19.29214</v>
      </c>
      <c r="M6353">
        <v>0.88782629999999996</v>
      </c>
      <c r="N6353">
        <v>-1.121815E-2</v>
      </c>
      <c r="O6353">
        <v>-0.46004220000000001</v>
      </c>
      <c r="P6353">
        <v>0.9830932</v>
      </c>
      <c r="Q6353">
        <v>-9.9546570000000001E-2</v>
      </c>
      <c r="R6353">
        <v>-0.15368289999999901</v>
      </c>
      <c r="S6353">
        <v>2.9327700000000001</v>
      </c>
      <c r="T6353">
        <v>-0.30483500000000002</v>
      </c>
      <c r="U6353">
        <v>-0.56021119999999902</v>
      </c>
      <c r="V6353">
        <v>-0.31511689999999998</v>
      </c>
      <c r="W6353">
        <v>-9.1484839999999998E-2</v>
      </c>
      <c r="X6353">
        <v>0.94463319999999995</v>
      </c>
      <c r="Y6353">
        <v>-0.28200920000000002</v>
      </c>
      <c r="Z6353">
        <v>5.6133469999999998E-2</v>
      </c>
      <c r="AA6353">
        <v>0.95776810000000001</v>
      </c>
      <c r="AB6353">
        <v>17</v>
      </c>
      <c r="AC6353">
        <v>10.6806</v>
      </c>
      <c r="AD6353">
        <v>-1.1240431867409999</v>
      </c>
      <c r="AE6353">
        <v>-2.0031699999999901</v>
      </c>
      <c r="AF6353">
        <v>-3.10206633126985</v>
      </c>
      <c r="AG6353">
        <v>-1.1240431867409999</v>
      </c>
      <c r="AH6353">
        <v>10.2945679420927</v>
      </c>
      <c r="AI6353">
        <v>95.968293325722101</v>
      </c>
      <c r="AJ6353">
        <v>106.769151274775</v>
      </c>
      <c r="AK6353">
        <v>10.8103847167258</v>
      </c>
      <c r="AL6353">
        <v>95.249034553819399</v>
      </c>
      <c r="AM6353">
        <v>108.44800360402201</v>
      </c>
      <c r="AN6353">
        <v>1.00000000957883</v>
      </c>
    </row>
    <row r="6354" spans="1:40" x14ac:dyDescent="0.25">
      <c r="A6354" t="str">
        <f>"20190303154308138"</f>
        <v>20190303154308138</v>
      </c>
      <c r="B6354" t="str">
        <f>"1551598988126339"</f>
        <v>1551598988126339</v>
      </c>
      <c r="C6354" t="s">
        <v>40</v>
      </c>
      <c r="D6354">
        <v>5.6111690000000003</v>
      </c>
      <c r="E6354">
        <v>0.51438539999999999</v>
      </c>
      <c r="F6354" t="s">
        <v>41</v>
      </c>
      <c r="G6354">
        <v>-395.99239999999998</v>
      </c>
      <c r="H6354" s="1">
        <v>-2.306796E-6</v>
      </c>
      <c r="I6354">
        <v>17.181349999999998</v>
      </c>
      <c r="J6354">
        <v>-406.79349999999999</v>
      </c>
      <c r="K6354">
        <v>1.1240699999999999</v>
      </c>
      <c r="L6354">
        <v>19.249079999999999</v>
      </c>
      <c r="M6354">
        <v>0.88968590000000003</v>
      </c>
      <c r="N6354">
        <v>-1.122398E-2</v>
      </c>
      <c r="O6354">
        <v>-0.45643529999999999</v>
      </c>
      <c r="P6354">
        <v>0.98356359999999998</v>
      </c>
      <c r="Q6354">
        <v>-0.1002107</v>
      </c>
      <c r="R6354">
        <v>-0.15020310000000001</v>
      </c>
      <c r="S6354">
        <v>2.9321290000000002</v>
      </c>
      <c r="T6354">
        <v>-0.30253360000000001</v>
      </c>
      <c r="U6354">
        <v>-0.56811519999999904</v>
      </c>
      <c r="V6354">
        <v>-0.31458259999999899</v>
      </c>
      <c r="W6354">
        <v>-9.2165860000000002E-2</v>
      </c>
      <c r="X6354">
        <v>0.9447451</v>
      </c>
      <c r="Y6354">
        <v>-0.27568310000000001</v>
      </c>
      <c r="Z6354">
        <v>5.5035199999999999E-2</v>
      </c>
      <c r="AA6354">
        <v>0.95967179999999996</v>
      </c>
      <c r="AB6354">
        <v>18</v>
      </c>
      <c r="AC6354">
        <v>10.8011</v>
      </c>
      <c r="AD6354">
        <v>-1.1240723067959999</v>
      </c>
      <c r="AE6354">
        <v>-2.0677300000000001</v>
      </c>
      <c r="AF6354">
        <v>-3.0586120256322902</v>
      </c>
      <c r="AG6354">
        <v>-1.1240723067959999</v>
      </c>
      <c r="AH6354">
        <v>10.4449098907742</v>
      </c>
      <c r="AI6354">
        <v>95.896712021324703</v>
      </c>
      <c r="AJ6354">
        <v>106.321760722554</v>
      </c>
      <c r="AK6354">
        <v>10.941425350503501</v>
      </c>
      <c r="AL6354">
        <v>95.288219564669404</v>
      </c>
      <c r="AM6354">
        <v>108.41680198788301</v>
      </c>
      <c r="AN6354">
        <v>1.00000003097315</v>
      </c>
    </row>
    <row r="6355" spans="1:40" x14ac:dyDescent="0.25">
      <c r="A6355" t="str">
        <f>"20190303154308151"</f>
        <v>20190303154308151</v>
      </c>
      <c r="B6355" t="str">
        <f>"1551598988146834"</f>
        <v>1551598988146834</v>
      </c>
      <c r="C6355" t="s">
        <v>40</v>
      </c>
      <c r="D6355">
        <v>5.6776390000000001</v>
      </c>
      <c r="E6355">
        <v>0.51568899999999995</v>
      </c>
      <c r="F6355" t="s">
        <v>41</v>
      </c>
      <c r="G6355">
        <v>-395.94189999999998</v>
      </c>
      <c r="H6355" s="1">
        <v>-2.3339869999999999E-6</v>
      </c>
      <c r="I6355">
        <v>17.162759999999999</v>
      </c>
      <c r="J6355">
        <v>-406.70209999999997</v>
      </c>
      <c r="K6355">
        <v>1.1241019999999999</v>
      </c>
      <c r="L6355">
        <v>19.207339999999999</v>
      </c>
      <c r="M6355">
        <v>0.89151539999999996</v>
      </c>
      <c r="N6355">
        <v>-1.1229899999999999E-2</v>
      </c>
      <c r="O6355">
        <v>-0.45285170000000002</v>
      </c>
      <c r="P6355">
        <v>0.98396280000000003</v>
      </c>
      <c r="Q6355">
        <v>-0.10096960000000001</v>
      </c>
      <c r="R6355">
        <v>-0.14704779999999901</v>
      </c>
      <c r="S6355">
        <v>2.9330440000000002</v>
      </c>
      <c r="T6355">
        <v>-0.30382100000000001</v>
      </c>
      <c r="U6355">
        <v>-0.56390379999999996</v>
      </c>
      <c r="V6355">
        <v>-0.31376300000000001</v>
      </c>
      <c r="W6355">
        <v>-9.2937480000000003E-2</v>
      </c>
      <c r="X6355">
        <v>0.94494199999999995</v>
      </c>
      <c r="Y6355">
        <v>-0.27319890000000002</v>
      </c>
      <c r="Z6355">
        <v>5.4853470000000001E-2</v>
      </c>
      <c r="AA6355">
        <v>0.96039240000000003</v>
      </c>
      <c r="AB6355">
        <v>18</v>
      </c>
      <c r="AC6355">
        <v>10.7601999999999</v>
      </c>
      <c r="AD6355">
        <v>-1.1241043339869901</v>
      </c>
      <c r="AE6355">
        <v>-2.0445799999999901</v>
      </c>
      <c r="AF6355">
        <v>-3.0183979012220798</v>
      </c>
      <c r="AG6355">
        <v>-1.1241043339869901</v>
      </c>
      <c r="AH6355">
        <v>10.409785841799399</v>
      </c>
      <c r="AI6355">
        <v>95.921172976601696</v>
      </c>
      <c r="AJ6355">
        <v>106.16992512430301</v>
      </c>
      <c r="AK6355">
        <v>10.896695724664299</v>
      </c>
      <c r="AL6355">
        <v>95.3326209312591</v>
      </c>
      <c r="AM6355">
        <v>108.368474161208</v>
      </c>
      <c r="AN6355">
        <v>0.99999998936087497</v>
      </c>
    </row>
    <row r="6356" spans="1:40" x14ac:dyDescent="0.25">
      <c r="A6356" t="str">
        <f>"20190303154308169"</f>
        <v>20190303154308169</v>
      </c>
      <c r="B6356" t="str">
        <f>"1551598988166354"</f>
        <v>1551598988166354</v>
      </c>
      <c r="C6356" t="s">
        <v>40</v>
      </c>
      <c r="D6356">
        <v>5.652717</v>
      </c>
      <c r="E6356">
        <v>0.51657799999999998</v>
      </c>
      <c r="F6356" t="s">
        <v>41</v>
      </c>
      <c r="G6356">
        <v>-395.80270000000002</v>
      </c>
      <c r="H6356" s="1">
        <v>-2.4094499999999999E-6</v>
      </c>
      <c r="I6356">
        <v>17.108219999999999</v>
      </c>
      <c r="J6356">
        <v>-406.57920000000001</v>
      </c>
      <c r="K6356">
        <v>1.124142</v>
      </c>
      <c r="L6356">
        <v>19.15204</v>
      </c>
      <c r="M6356">
        <v>0.89397000000000004</v>
      </c>
      <c r="N6356">
        <v>-1.1238140000000001E-2</v>
      </c>
      <c r="O6356">
        <v>-0.44798559999999998</v>
      </c>
      <c r="P6356">
        <v>0.98449109999999995</v>
      </c>
      <c r="Q6356">
        <v>-0.1014486</v>
      </c>
      <c r="R6356">
        <v>-0.14312739999999999</v>
      </c>
      <c r="S6356">
        <v>2.9333800000000001</v>
      </c>
      <c r="T6356">
        <v>-0.30253350000000001</v>
      </c>
      <c r="U6356">
        <v>-0.56494140000000004</v>
      </c>
      <c r="V6356">
        <v>-0.31234060000000002</v>
      </c>
      <c r="W6356">
        <v>-9.3428570000000002E-2</v>
      </c>
      <c r="X6356">
        <v>0.94536469999999995</v>
      </c>
      <c r="Y6356">
        <v>-0.26772269999999998</v>
      </c>
      <c r="Z6356">
        <v>5.3904540000000001E-2</v>
      </c>
      <c r="AA6356">
        <v>0.96198689999999998</v>
      </c>
      <c r="AB6356">
        <v>18</v>
      </c>
      <c r="AC6356">
        <v>10.7765</v>
      </c>
      <c r="AD6356">
        <v>-1.1241444094499999</v>
      </c>
      <c r="AE6356">
        <v>-2.04381999999999</v>
      </c>
      <c r="AF6356">
        <v>-2.9696011485558</v>
      </c>
      <c r="AG6356">
        <v>-1.1241444094499999</v>
      </c>
      <c r="AH6356">
        <v>10.440473660931501</v>
      </c>
      <c r="AI6356">
        <v>95.912702072819897</v>
      </c>
      <c r="AJ6356">
        <v>105.877429669859</v>
      </c>
      <c r="AK6356">
        <v>10.912640464131799</v>
      </c>
      <c r="AL6356">
        <v>95.360881316373394</v>
      </c>
      <c r="AM6356">
        <v>108.28312358732801</v>
      </c>
      <c r="AN6356">
        <v>0.99999998205334695</v>
      </c>
    </row>
    <row r="6357" spans="1:40" x14ac:dyDescent="0.25">
      <c r="A6357" t="str">
        <f>"20190303154308191"</f>
        <v>20190303154308191</v>
      </c>
      <c r="B6357" t="str">
        <f>"1551598988186850"</f>
        <v>1551598988186850</v>
      </c>
      <c r="C6357" t="s">
        <v>40</v>
      </c>
      <c r="D6357">
        <v>5.6379260000000002</v>
      </c>
      <c r="E6357">
        <v>0.51723609999999998</v>
      </c>
      <c r="F6357" t="s">
        <v>41</v>
      </c>
      <c r="G6357">
        <v>-395.62860000000001</v>
      </c>
      <c r="H6357" s="1">
        <v>-2.500063E-6</v>
      </c>
      <c r="I6357">
        <v>17.061260000000001</v>
      </c>
      <c r="J6357">
        <v>-406.42250000000001</v>
      </c>
      <c r="K6357">
        <v>1.124207</v>
      </c>
      <c r="L6357">
        <v>19.082730000000002</v>
      </c>
      <c r="M6357">
        <v>0.89709810000000001</v>
      </c>
      <c r="N6357">
        <v>-1.124937E-2</v>
      </c>
      <c r="O6357">
        <v>-0.44168809999999897</v>
      </c>
      <c r="P6357">
        <v>0.9852592</v>
      </c>
      <c r="Q6357">
        <v>-0.1013415</v>
      </c>
      <c r="R6357">
        <v>-0.13781969999999999</v>
      </c>
      <c r="S6357">
        <v>2.9347840000000001</v>
      </c>
      <c r="T6357">
        <v>-0.30127359999999997</v>
      </c>
      <c r="U6357">
        <v>-0.56033330000000003</v>
      </c>
      <c r="V6357">
        <v>-0.31078090000000003</v>
      </c>
      <c r="W6357">
        <v>-9.3339069999999996E-2</v>
      </c>
      <c r="X6357">
        <v>0.94588740000000004</v>
      </c>
      <c r="Y6357">
        <v>-0.2625673</v>
      </c>
      <c r="Z6357">
        <v>5.2864939999999999E-2</v>
      </c>
      <c r="AA6357">
        <v>0.9634644</v>
      </c>
      <c r="AB6357">
        <v>18</v>
      </c>
      <c r="AC6357">
        <v>10.793900000000001</v>
      </c>
      <c r="AD6357">
        <v>-1.1242095000629999</v>
      </c>
      <c r="AE6357">
        <v>-2.0214699999999901</v>
      </c>
      <c r="AF6357">
        <v>-2.9236273409603202</v>
      </c>
      <c r="AG6357">
        <v>-1.1242095000629999</v>
      </c>
      <c r="AH6357">
        <v>10.467020354933601</v>
      </c>
      <c r="AI6357">
        <v>95.905976481019806</v>
      </c>
      <c r="AJ6357">
        <v>105.60600589838999</v>
      </c>
      <c r="AK6357">
        <v>10.925655995840099</v>
      </c>
      <c r="AL6357">
        <v>95.355730947033194</v>
      </c>
      <c r="AM6357">
        <v>108.188462120582</v>
      </c>
      <c r="AN6357">
        <v>0.99999996163601601</v>
      </c>
    </row>
    <row r="6358" spans="1:40" x14ac:dyDescent="0.25">
      <c r="A6358" t="str">
        <f>"20190303154308204"</f>
        <v>20190303154308204</v>
      </c>
      <c r="B6358" t="str">
        <f>"1551598988196610"</f>
        <v>1551598988196610</v>
      </c>
      <c r="C6358" t="s">
        <v>40</v>
      </c>
      <c r="D6358">
        <v>5.6716470000000001</v>
      </c>
      <c r="E6358">
        <v>0.51755819999999997</v>
      </c>
      <c r="F6358" t="s">
        <v>41</v>
      </c>
      <c r="G6358">
        <v>-395.39550000000003</v>
      </c>
      <c r="H6358" s="1">
        <v>-2.617831E-6</v>
      </c>
      <c r="I6358">
        <v>17.018729999999898</v>
      </c>
      <c r="J6358">
        <v>-406.33179999999999</v>
      </c>
      <c r="K6358">
        <v>1.124244</v>
      </c>
      <c r="L6358">
        <v>19.043299999999999</v>
      </c>
      <c r="M6358">
        <v>0.89890939999999997</v>
      </c>
      <c r="N6358">
        <v>-1.1256499999999999E-2</v>
      </c>
      <c r="O6358">
        <v>-0.43798979999999998</v>
      </c>
      <c r="P6358">
        <v>0.98572420000000005</v>
      </c>
      <c r="Q6358">
        <v>-0.1011302</v>
      </c>
      <c r="R6358">
        <v>-0.13461400000000001</v>
      </c>
      <c r="S6358">
        <v>2.937195</v>
      </c>
      <c r="T6358">
        <v>-0.29944749999999998</v>
      </c>
      <c r="U6358">
        <v>-0.54977419999999899</v>
      </c>
      <c r="V6358">
        <v>-0.30996610000000002</v>
      </c>
      <c r="W6358">
        <v>-9.3138689999999996E-2</v>
      </c>
      <c r="X6358">
        <v>0.94617450000000003</v>
      </c>
      <c r="Y6358">
        <v>-0.2621405</v>
      </c>
      <c r="Z6358">
        <v>5.2191170000000002E-2</v>
      </c>
      <c r="AA6358">
        <v>0.96361739999999996</v>
      </c>
      <c r="AB6358">
        <v>18</v>
      </c>
      <c r="AC6358">
        <v>10.9362999999999</v>
      </c>
      <c r="AD6358">
        <v>-1.124246617831</v>
      </c>
      <c r="AE6358">
        <v>-2.0245700000000002</v>
      </c>
      <c r="AF6358">
        <v>-2.9402291767787498</v>
      </c>
      <c r="AG6358">
        <v>-1.124246617831</v>
      </c>
      <c r="AH6358">
        <v>10.609757519782899</v>
      </c>
      <c r="AI6358">
        <v>95.830540803624203</v>
      </c>
      <c r="AJ6358">
        <v>105.489383549959</v>
      </c>
      <c r="AK6358">
        <v>11.0668799893319</v>
      </c>
      <c r="AL6358">
        <v>95.344199625317302</v>
      </c>
      <c r="AM6358">
        <v>108.13875941851001</v>
      </c>
      <c r="AN6358">
        <v>0.999999991587188</v>
      </c>
    </row>
    <row r="6359" spans="1:40" x14ac:dyDescent="0.25">
      <c r="A6359" t="str">
        <f>"20190303154308216"</f>
        <v>20190303154308216</v>
      </c>
      <c r="B6359" t="str">
        <f>"1551598988206370"</f>
        <v>1551598988206370</v>
      </c>
      <c r="C6359" t="s">
        <v>40</v>
      </c>
      <c r="D6359">
        <v>5.6527849999999997</v>
      </c>
      <c r="E6359">
        <v>0.517775599999999</v>
      </c>
      <c r="F6359" t="s">
        <v>41</v>
      </c>
      <c r="G6359">
        <v>-395.26609999999999</v>
      </c>
      <c r="H6359" s="1">
        <v>-2.6823640000000002E-6</v>
      </c>
      <c r="I6359">
        <v>16.999569999999999</v>
      </c>
      <c r="J6359">
        <v>-406.24220000000003</v>
      </c>
      <c r="K6359">
        <v>1.124282</v>
      </c>
      <c r="L6359">
        <v>19.0047</v>
      </c>
      <c r="M6359">
        <v>0.90069279999999996</v>
      </c>
      <c r="N6359">
        <v>-1.126367E-2</v>
      </c>
      <c r="O6359">
        <v>-0.4343108</v>
      </c>
      <c r="P6359">
        <v>0.98607940000000005</v>
      </c>
      <c r="Q6359">
        <v>-0.10157960000000001</v>
      </c>
      <c r="R6359">
        <v>-0.1316407</v>
      </c>
      <c r="S6359">
        <v>2.9386899999999998</v>
      </c>
      <c r="T6359">
        <v>-0.29856559999999999</v>
      </c>
      <c r="U6359">
        <v>-0.54275509999999905</v>
      </c>
      <c r="V6359">
        <v>-0.30891940000000001</v>
      </c>
      <c r="W6359">
        <v>-9.3596700000000005E-2</v>
      </c>
      <c r="X6359">
        <v>0.94647159999999997</v>
      </c>
      <c r="Y6359">
        <v>-0.26055010000000001</v>
      </c>
      <c r="Z6359">
        <v>5.163968E-2</v>
      </c>
      <c r="AA6359">
        <v>0.96407830000000005</v>
      </c>
      <c r="AB6359">
        <v>18</v>
      </c>
      <c r="AC6359">
        <v>10.976100000000001</v>
      </c>
      <c r="AD6359">
        <v>-1.124284682364</v>
      </c>
      <c r="AE6359">
        <v>-2.0051299999999901</v>
      </c>
      <c r="AF6359">
        <v>-2.9314566477324</v>
      </c>
      <c r="AG6359">
        <v>-1.124284682364</v>
      </c>
      <c r="AH6359">
        <v>10.6494992279526</v>
      </c>
      <c r="AI6359">
        <v>95.811878221241997</v>
      </c>
      <c r="AJ6359">
        <v>105.39047740146</v>
      </c>
      <c r="AK6359">
        <v>11.102670306313501</v>
      </c>
      <c r="AL6359">
        <v>95.370556682398103</v>
      </c>
      <c r="AM6359">
        <v>108.07619406972201</v>
      </c>
      <c r="AN6359">
        <v>1.0000000137769001</v>
      </c>
    </row>
    <row r="6360" spans="1:40" x14ac:dyDescent="0.25">
      <c r="A6360" t="str">
        <f>"20190303154308228"</f>
        <v>20190303154308228</v>
      </c>
      <c r="B6360" t="str">
        <f>"1551598988217107"</f>
        <v>1551598988217107</v>
      </c>
      <c r="C6360" t="s">
        <v>40</v>
      </c>
      <c r="D6360">
        <v>5.6640069999999998</v>
      </c>
      <c r="E6360">
        <v>0.51801759999999997</v>
      </c>
      <c r="F6360" t="s">
        <v>41</v>
      </c>
      <c r="G6360">
        <v>-395.23680000000002</v>
      </c>
      <c r="H6360" s="1">
        <v>-2.696212E-6</v>
      </c>
      <c r="I6360">
        <v>16.999790000000001</v>
      </c>
      <c r="J6360">
        <v>-406.15480000000002</v>
      </c>
      <c r="K6360">
        <v>1.1243179999999999</v>
      </c>
      <c r="L6360">
        <v>18.9678</v>
      </c>
      <c r="M6360">
        <v>0.90243510000000005</v>
      </c>
      <c r="N6360">
        <v>-1.127126E-2</v>
      </c>
      <c r="O6360">
        <v>-0.43067850000000002</v>
      </c>
      <c r="P6360">
        <v>0.98646469999999997</v>
      </c>
      <c r="Q6360">
        <v>-0.101844</v>
      </c>
      <c r="R6360">
        <v>-0.12851209999999999</v>
      </c>
      <c r="S6360">
        <v>2.9399410000000001</v>
      </c>
      <c r="T6360">
        <v>-0.30033720000000003</v>
      </c>
      <c r="U6360">
        <v>-0.53558349999999999</v>
      </c>
      <c r="V6360">
        <v>-0.30808720000000001</v>
      </c>
      <c r="W6360">
        <v>-9.3871880000000005E-2</v>
      </c>
      <c r="X6360">
        <v>0.94671550000000004</v>
      </c>
      <c r="Y6360">
        <v>-0.25899460000000002</v>
      </c>
      <c r="Z6360">
        <v>5.1584570000000003E-2</v>
      </c>
      <c r="AA6360">
        <v>0.96450029999999998</v>
      </c>
      <c r="AB6360">
        <v>18</v>
      </c>
      <c r="AC6360">
        <v>10.917999999999999</v>
      </c>
      <c r="AD6360">
        <v>-1.124320696212</v>
      </c>
      <c r="AE6360">
        <v>-1.96801</v>
      </c>
      <c r="AF6360">
        <v>-2.89658181934041</v>
      </c>
      <c r="AG6360">
        <v>-1.124320696212</v>
      </c>
      <c r="AH6360">
        <v>10.592253330039201</v>
      </c>
      <c r="AI6360">
        <v>95.845930528808793</v>
      </c>
      <c r="AJ6360">
        <v>105.29430906627201</v>
      </c>
      <c r="AK6360">
        <v>11.038573905708599</v>
      </c>
      <c r="AL6360">
        <v>95.386393428389397</v>
      </c>
      <c r="AM6360">
        <v>108.02630956278701</v>
      </c>
      <c r="AN6360">
        <v>0.99999994529941005</v>
      </c>
    </row>
    <row r="6361" spans="1:40" x14ac:dyDescent="0.25">
      <c r="A6361" t="str">
        <f>"20190303154308247"</f>
        <v>20190303154308247</v>
      </c>
      <c r="B6361" t="str">
        <f>"1551598988236627"</f>
        <v>1551598988236627</v>
      </c>
      <c r="C6361" t="s">
        <v>40</v>
      </c>
      <c r="D6361">
        <v>5.6907569999999996</v>
      </c>
      <c r="E6361">
        <v>0.51858609999999905</v>
      </c>
      <c r="F6361" t="s">
        <v>41</v>
      </c>
      <c r="G6361">
        <v>-395.19630000000001</v>
      </c>
      <c r="H6361" s="1">
        <v>-2.7153250000000001E-6</v>
      </c>
      <c r="I6361">
        <v>16.99991</v>
      </c>
      <c r="J6361">
        <v>-406.0224</v>
      </c>
      <c r="K6361">
        <v>1.124371</v>
      </c>
      <c r="L6361">
        <v>18.912479999999999</v>
      </c>
      <c r="M6361">
        <v>0.90506830000000005</v>
      </c>
      <c r="N6361">
        <v>-1.128526E-2</v>
      </c>
      <c r="O6361">
        <v>-0.42511670000000001</v>
      </c>
      <c r="P6361">
        <v>0.98689570000000004</v>
      </c>
      <c r="Q6361">
        <v>-0.10284600000000001</v>
      </c>
      <c r="R6361">
        <v>-0.1243379</v>
      </c>
      <c r="S6361">
        <v>2.9411930000000002</v>
      </c>
      <c r="T6361">
        <v>-0.3017589</v>
      </c>
      <c r="U6361">
        <v>-0.52816770000000002</v>
      </c>
      <c r="V6361">
        <v>-0.30620269999999999</v>
      </c>
      <c r="W6361">
        <v>-9.4879370000000005E-2</v>
      </c>
      <c r="X6361">
        <v>0.94722629999999997</v>
      </c>
      <c r="Y6361">
        <v>-0.2554881</v>
      </c>
      <c r="Z6361">
        <v>5.1195900000000003E-2</v>
      </c>
      <c r="AA6361">
        <v>0.96545579999999998</v>
      </c>
      <c r="AB6361">
        <v>18</v>
      </c>
      <c r="AC6361">
        <v>10.826099999999901</v>
      </c>
      <c r="AD6361">
        <v>-1.124373715325</v>
      </c>
      <c r="AE6361">
        <v>-1.9125699999999899</v>
      </c>
      <c r="AF6361">
        <v>-2.8418068074093501</v>
      </c>
      <c r="AG6361">
        <v>-1.124373715325</v>
      </c>
      <c r="AH6361">
        <v>10.502246979897199</v>
      </c>
      <c r="AI6361">
        <v>95.900216045296403</v>
      </c>
      <c r="AJ6361">
        <v>105.14109734938199</v>
      </c>
      <c r="AK6361">
        <v>10.9378825102993</v>
      </c>
      <c r="AL6361">
        <v>95.444377266187502</v>
      </c>
      <c r="AM6361">
        <v>107.914072527832</v>
      </c>
      <c r="AN6361">
        <v>0.99999992587528497</v>
      </c>
    </row>
    <row r="6362" spans="1:40" x14ac:dyDescent="0.25">
      <c r="A6362" t="str">
        <f>"20190303154308260"</f>
        <v>20190303154308260</v>
      </c>
      <c r="B6362" t="str">
        <f>"1551598988256147"</f>
        <v>1551598988256147</v>
      </c>
      <c r="C6362" t="s">
        <v>40</v>
      </c>
      <c r="D6362">
        <v>5.7834949999999896</v>
      </c>
      <c r="E6362">
        <v>0.51884940000000002</v>
      </c>
      <c r="F6362" t="s">
        <v>41</v>
      </c>
      <c r="G6362">
        <v>-395.13380000000001</v>
      </c>
      <c r="H6362" s="1">
        <v>-2.747088E-6</v>
      </c>
      <c r="I6362">
        <v>16.987449999999999</v>
      </c>
      <c r="J6362">
        <v>-405.92939999999999</v>
      </c>
      <c r="K6362">
        <v>1.1244080000000001</v>
      </c>
      <c r="L6362">
        <v>18.87424</v>
      </c>
      <c r="M6362">
        <v>0.90691109999999997</v>
      </c>
      <c r="N6362">
        <v>-1.129818E-2</v>
      </c>
      <c r="O6362">
        <v>-0.4211705</v>
      </c>
      <c r="P6362">
        <v>0.98730709999999999</v>
      </c>
      <c r="Q6362">
        <v>-0.10303710000000001</v>
      </c>
      <c r="R6362">
        <v>-0.1208636</v>
      </c>
      <c r="S6362">
        <v>2.9426269999999999</v>
      </c>
      <c r="T6362">
        <v>-0.3038594</v>
      </c>
      <c r="U6362">
        <v>-0.52023319999999995</v>
      </c>
      <c r="V6362">
        <v>-0.30539240000000001</v>
      </c>
      <c r="W6362">
        <v>-9.5076099999999997E-2</v>
      </c>
      <c r="X6362">
        <v>0.94746819999999998</v>
      </c>
      <c r="Y6362">
        <v>-0.25386389999999998</v>
      </c>
      <c r="Z6362">
        <v>5.1154409999999997E-2</v>
      </c>
      <c r="AA6362">
        <v>0.96588629999999998</v>
      </c>
      <c r="AB6362">
        <v>18</v>
      </c>
      <c r="AC6362">
        <v>10.795599999999901</v>
      </c>
      <c r="AD6362">
        <v>-1.124410747088</v>
      </c>
      <c r="AE6362">
        <v>-1.88679</v>
      </c>
      <c r="AF6362">
        <v>-2.8062778533664701</v>
      </c>
      <c r="AG6362">
        <v>-1.124410747088</v>
      </c>
      <c r="AH6362">
        <v>10.4757116571461</v>
      </c>
      <c r="AI6362">
        <v>95.919240432442393</v>
      </c>
      <c r="AJ6362">
        <v>104.996526703973</v>
      </c>
      <c r="AK6362">
        <v>10.9032118956814</v>
      </c>
      <c r="AL6362">
        <v>95.455699921326698</v>
      </c>
      <c r="AM6362">
        <v>107.865412989874</v>
      </c>
      <c r="AN6362">
        <v>0.99999998639010501</v>
      </c>
    </row>
    <row r="6363" spans="1:40" x14ac:dyDescent="0.25">
      <c r="A6363" t="str">
        <f>"20190303154308274"</f>
        <v>20190303154308274</v>
      </c>
      <c r="B6363" t="str">
        <f>"1551598988266883"</f>
        <v>1551598988266883</v>
      </c>
      <c r="C6363" t="s">
        <v>40</v>
      </c>
      <c r="D6363">
        <v>5.6729640000000003</v>
      </c>
      <c r="E6363">
        <v>0.51908469999999995</v>
      </c>
      <c r="F6363" t="s">
        <v>41</v>
      </c>
      <c r="G6363">
        <v>-395.03559999999999</v>
      </c>
      <c r="H6363" s="1">
        <v>-2.7948649999999998E-6</v>
      </c>
      <c r="I6363">
        <v>16.979579999999999</v>
      </c>
      <c r="J6363">
        <v>-405.82400000000001</v>
      </c>
      <c r="K6363">
        <v>1.124452</v>
      </c>
      <c r="L6363">
        <v>18.83154</v>
      </c>
      <c r="M6363">
        <v>0.90899050000000003</v>
      </c>
      <c r="N6363">
        <v>-1.131715E-2</v>
      </c>
      <c r="O6363">
        <v>-0.41666310000000001</v>
      </c>
      <c r="P6363">
        <v>0.98776419999999998</v>
      </c>
      <c r="Q6363">
        <v>-0.10334069999999999</v>
      </c>
      <c r="R6363">
        <v>-0.1168033</v>
      </c>
      <c r="S6363">
        <v>2.944153</v>
      </c>
      <c r="T6363">
        <v>-0.30388549999999998</v>
      </c>
      <c r="U6363">
        <v>-0.51205440000000002</v>
      </c>
      <c r="V6363">
        <v>-0.30456070000000002</v>
      </c>
      <c r="W6363">
        <v>-9.5381670000000002E-2</v>
      </c>
      <c r="X6363">
        <v>0.94770520000000003</v>
      </c>
      <c r="Y6363">
        <v>-0.25178109999999998</v>
      </c>
      <c r="Z6363">
        <v>5.0663920000000001E-2</v>
      </c>
      <c r="AA6363">
        <v>0.96645720000000002</v>
      </c>
      <c r="AB6363">
        <v>18</v>
      </c>
      <c r="AC6363">
        <v>10.788399999999999</v>
      </c>
      <c r="AD6363">
        <v>-1.1244547948649899</v>
      </c>
      <c r="AE6363">
        <v>-1.8519600000000001</v>
      </c>
      <c r="AF6363">
        <v>-2.7825315120080498</v>
      </c>
      <c r="AG6363">
        <v>-1.1244547948649899</v>
      </c>
      <c r="AH6363">
        <v>10.4684059730386</v>
      </c>
      <c r="AI6363">
        <v>95.926622662888605</v>
      </c>
      <c r="AJ6363">
        <v>104.88519682155</v>
      </c>
      <c r="AK6363">
        <v>10.8901057762248</v>
      </c>
      <c r="AL6363">
        <v>95.473287567953307</v>
      </c>
      <c r="AM6363">
        <v>107.815665282362</v>
      </c>
      <c r="AN6363">
        <v>1.00000001453175</v>
      </c>
    </row>
    <row r="6364" spans="1:40" x14ac:dyDescent="0.25">
      <c r="A6364" t="str">
        <f>"20190303154308295"</f>
        <v>20190303154308295</v>
      </c>
      <c r="B6364" t="str">
        <f>"1551598988286403"</f>
        <v>1551598988286403</v>
      </c>
      <c r="C6364" t="s">
        <v>40</v>
      </c>
      <c r="D6364">
        <v>5.6933439999999997</v>
      </c>
      <c r="E6364">
        <v>0.51951040000000004</v>
      </c>
      <c r="F6364" t="s">
        <v>41</v>
      </c>
      <c r="G6364">
        <v>-394.923</v>
      </c>
      <c r="H6364" s="1">
        <v>-2.848932E-6</v>
      </c>
      <c r="I6364">
        <v>16.974900000000002</v>
      </c>
      <c r="J6364">
        <v>-405.68119999999999</v>
      </c>
      <c r="K6364">
        <v>1.1245080000000001</v>
      </c>
      <c r="L6364">
        <v>18.774840000000001</v>
      </c>
      <c r="M6364">
        <v>0.91180059999999996</v>
      </c>
      <c r="N6364">
        <v>-1.1347879999999999E-2</v>
      </c>
      <c r="O6364">
        <v>-0.41047640000000002</v>
      </c>
      <c r="P6364">
        <v>0.98836329999999994</v>
      </c>
      <c r="Q6364">
        <v>-0.1035368</v>
      </c>
      <c r="R6364">
        <v>-0.1114358</v>
      </c>
      <c r="S6364">
        <v>2.9460449999999998</v>
      </c>
      <c r="T6364">
        <v>-0.30389060000000001</v>
      </c>
      <c r="U6364">
        <v>-0.50176999999999905</v>
      </c>
      <c r="V6364">
        <v>-0.3032475</v>
      </c>
      <c r="W6364">
        <v>-9.5570870000000002E-2</v>
      </c>
      <c r="X6364">
        <v>0.94810709999999998</v>
      </c>
      <c r="Y6364">
        <v>-0.24862870000000001</v>
      </c>
      <c r="Z6364">
        <v>4.9966950000000003E-2</v>
      </c>
      <c r="AA6364">
        <v>0.96730919999999998</v>
      </c>
      <c r="AB6364">
        <v>18</v>
      </c>
      <c r="AC6364">
        <v>10.758199999999899</v>
      </c>
      <c r="AD6364">
        <v>-1.1245108489319999</v>
      </c>
      <c r="AE6364">
        <v>-1.7999399999999901</v>
      </c>
      <c r="AF6364">
        <v>-2.7457967573285602</v>
      </c>
      <c r="AG6364">
        <v>-1.1245108489319999</v>
      </c>
      <c r="AH6364">
        <v>10.4379096078772</v>
      </c>
      <c r="AI6364">
        <v>95.948110650272795</v>
      </c>
      <c r="AJ6364">
        <v>104.73831834281501</v>
      </c>
      <c r="AK6364">
        <v>10.8514460540583</v>
      </c>
      <c r="AL6364">
        <v>95.484178004574105</v>
      </c>
      <c r="AM6364">
        <v>107.736625463389</v>
      </c>
      <c r="AN6364">
        <v>0.99999995525960705</v>
      </c>
    </row>
    <row r="6365" spans="1:40" x14ac:dyDescent="0.25">
      <c r="A6365" t="str">
        <f>"20190303154308318"</f>
        <v>20190303154308318</v>
      </c>
      <c r="B6365" t="str">
        <f>"1551598988306899"</f>
        <v>1551598988306899</v>
      </c>
      <c r="C6365" t="s">
        <v>40</v>
      </c>
      <c r="D6365">
        <v>5.7014199999999997</v>
      </c>
      <c r="E6365">
        <v>0.5199066</v>
      </c>
      <c r="F6365" t="s">
        <v>41</v>
      </c>
      <c r="G6365">
        <v>-394.75209999999998</v>
      </c>
      <c r="H6365" s="1">
        <v>-2.9320719999999999E-6</v>
      </c>
      <c r="I6365">
        <v>16.961600000000001</v>
      </c>
      <c r="J6365">
        <v>-405.51799999999997</v>
      </c>
      <c r="K6365">
        <v>1.124557</v>
      </c>
      <c r="L6365">
        <v>18.71152</v>
      </c>
      <c r="M6365">
        <v>0.91499909999999995</v>
      </c>
      <c r="N6365">
        <v>-1.138291E-2</v>
      </c>
      <c r="O6365">
        <v>-0.40329569999999998</v>
      </c>
      <c r="P6365">
        <v>0.98911729999999998</v>
      </c>
      <c r="Q6365">
        <v>-0.103473</v>
      </c>
      <c r="R6365">
        <v>-0.10459930000000001</v>
      </c>
      <c r="S6365">
        <v>2.9483950000000001</v>
      </c>
      <c r="T6365">
        <v>-0.30336439999999998</v>
      </c>
      <c r="U6365">
        <v>-0.4891663</v>
      </c>
      <c r="V6365">
        <v>-0.30234100000000003</v>
      </c>
      <c r="W6365">
        <v>-9.5506250000000001E-2</v>
      </c>
      <c r="X6365">
        <v>0.94840310000000005</v>
      </c>
      <c r="Y6365">
        <v>-0.2452221</v>
      </c>
      <c r="Z6365">
        <v>4.9077379999999997E-2</v>
      </c>
      <c r="AA6365">
        <v>0.96822390000000003</v>
      </c>
      <c r="AB6365">
        <v>18</v>
      </c>
      <c r="AC6365">
        <v>10.7659</v>
      </c>
      <c r="AD6365">
        <v>-1.1245599320719999</v>
      </c>
      <c r="AE6365">
        <v>-1.7499199999999899</v>
      </c>
      <c r="AF6365">
        <v>-2.7120139385074999</v>
      </c>
      <c r="AG6365">
        <v>-1.1245599320719999</v>
      </c>
      <c r="AH6365">
        <v>10.44616191684</v>
      </c>
      <c r="AI6365">
        <v>95.948673596825699</v>
      </c>
      <c r="AJ6365">
        <v>104.553724863829</v>
      </c>
      <c r="AK6365">
        <v>10.850896434687799</v>
      </c>
      <c r="AL6365">
        <v>95.480458389848707</v>
      </c>
      <c r="AM6365">
        <v>107.68173814148901</v>
      </c>
      <c r="AN6365">
        <v>0.99999998207983598</v>
      </c>
    </row>
    <row r="6366" spans="1:40" x14ac:dyDescent="0.25">
      <c r="A6366" t="str">
        <f>"20190303154308338"</f>
        <v>20190303154308338</v>
      </c>
      <c r="B6366" t="str">
        <f>"1551598988326420"</f>
        <v>1551598988326420</v>
      </c>
      <c r="C6366" t="s">
        <v>40</v>
      </c>
      <c r="D6366">
        <v>5.6908859999999999</v>
      </c>
      <c r="E6366">
        <v>0.52018039999999999</v>
      </c>
      <c r="F6366" t="s">
        <v>41</v>
      </c>
      <c r="G6366">
        <v>-394.53609999999998</v>
      </c>
      <c r="H6366" s="1">
        <v>-3.035224E-6</v>
      </c>
      <c r="I6366">
        <v>16.95571</v>
      </c>
      <c r="J6366">
        <v>-405.36900000000003</v>
      </c>
      <c r="K6366">
        <v>1.124614</v>
      </c>
      <c r="L6366">
        <v>18.65512</v>
      </c>
      <c r="M6366">
        <v>0.91790340000000004</v>
      </c>
      <c r="N6366">
        <v>-1.1416539999999999E-2</v>
      </c>
      <c r="O6366">
        <v>-0.39663989999999999</v>
      </c>
      <c r="P6366">
        <v>0.9897821</v>
      </c>
      <c r="Q6366">
        <v>-0.10397729999999999</v>
      </c>
      <c r="R6366">
        <v>-9.7572030000000004E-2</v>
      </c>
      <c r="S6366">
        <v>2.951508</v>
      </c>
      <c r="T6366">
        <v>-0.3022379</v>
      </c>
      <c r="U6366">
        <v>-0.47189330000000002</v>
      </c>
      <c r="V6366">
        <v>-0.30215059999999999</v>
      </c>
      <c r="W6366">
        <v>-9.6016790000000005E-2</v>
      </c>
      <c r="X6366">
        <v>0.94841220000000004</v>
      </c>
      <c r="Y6366">
        <v>-0.24392449999999999</v>
      </c>
      <c r="Z6366">
        <v>4.8244830000000002E-2</v>
      </c>
      <c r="AA6366">
        <v>0.96859340000000005</v>
      </c>
      <c r="AB6366">
        <v>18</v>
      </c>
      <c r="AC6366">
        <v>10.8329</v>
      </c>
      <c r="AD6366">
        <v>-1.1246170352239999</v>
      </c>
      <c r="AE6366">
        <v>-1.6994100000000001</v>
      </c>
      <c r="AF6366">
        <v>-2.7085538387650598</v>
      </c>
      <c r="AG6366">
        <v>-1.1246170352239999</v>
      </c>
      <c r="AH6366">
        <v>10.507772569293101</v>
      </c>
      <c r="AI6366">
        <v>95.916977492808996</v>
      </c>
      <c r="AJ6366">
        <v>104.454294669136</v>
      </c>
      <c r="AK6366">
        <v>10.909368072505099</v>
      </c>
      <c r="AL6366">
        <v>95.509845380175307</v>
      </c>
      <c r="AM6366">
        <v>107.671137047291</v>
      </c>
      <c r="AN6366">
        <v>0.99999995507555095</v>
      </c>
    </row>
    <row r="6367" spans="1:40" x14ac:dyDescent="0.25">
      <c r="A6367" t="str">
        <f>"20190303154308359"</f>
        <v>20190303154308359</v>
      </c>
      <c r="B6367" t="str">
        <f>"1551598988356675"</f>
        <v>1551598988356675</v>
      </c>
      <c r="C6367" t="s">
        <v>40</v>
      </c>
      <c r="D6367">
        <v>5.6952540000000003</v>
      </c>
      <c r="E6367">
        <v>0.52047149999999998</v>
      </c>
      <c r="F6367" t="s">
        <v>41</v>
      </c>
      <c r="G6367">
        <v>-394.39710000000002</v>
      </c>
      <c r="H6367" s="1">
        <v>-3.0980089999999999E-6</v>
      </c>
      <c r="I6367">
        <v>16.972370000000002</v>
      </c>
      <c r="J6367">
        <v>-405.21010000000001</v>
      </c>
      <c r="K6367">
        <v>1.1246719999999999</v>
      </c>
      <c r="L6367">
        <v>18.596530000000001</v>
      </c>
      <c r="M6367">
        <v>0.92096809999999996</v>
      </c>
      <c r="N6367">
        <v>-1.145583E-2</v>
      </c>
      <c r="O6367">
        <v>-0.38946999999999998</v>
      </c>
      <c r="P6367">
        <v>0.99053789999999997</v>
      </c>
      <c r="Q6367">
        <v>-0.1043998</v>
      </c>
      <c r="R6367">
        <v>-8.9082910000000001E-2</v>
      </c>
      <c r="S6367">
        <v>2.9544980000000001</v>
      </c>
      <c r="T6367">
        <v>-0.30283389999999999</v>
      </c>
      <c r="U6367">
        <v>-0.453125</v>
      </c>
      <c r="V6367">
        <v>-0.30285289999999998</v>
      </c>
      <c r="W6367">
        <v>-9.6447630000000006E-2</v>
      </c>
      <c r="X6367">
        <v>0.94814449999999995</v>
      </c>
      <c r="Y6367">
        <v>-0.24254729999999999</v>
      </c>
      <c r="Z6367">
        <v>4.7659939999999998E-2</v>
      </c>
      <c r="AA6367">
        <v>0.96896819999999895</v>
      </c>
      <c r="AB6367">
        <v>18</v>
      </c>
      <c r="AC6367">
        <v>10.812999999999899</v>
      </c>
      <c r="AD6367">
        <v>-1.1246750980089999</v>
      </c>
      <c r="AE6367">
        <v>-1.6241599999999901</v>
      </c>
      <c r="AF6367">
        <v>-2.6872866574750498</v>
      </c>
      <c r="AG6367">
        <v>-1.1246750980089999</v>
      </c>
      <c r="AH6367">
        <v>10.480799328417501</v>
      </c>
      <c r="AI6367">
        <v>95.934341192576795</v>
      </c>
      <c r="AJ6367">
        <v>104.38089299887299</v>
      </c>
      <c r="AK6367">
        <v>10.8781229179524</v>
      </c>
      <c r="AL6367">
        <v>95.534645498768896</v>
      </c>
      <c r="AM6367">
        <v>107.714334494461</v>
      </c>
      <c r="AN6367">
        <v>1.00000000862563</v>
      </c>
    </row>
    <row r="6368" spans="1:40" x14ac:dyDescent="0.25">
      <c r="A6368" t="str">
        <f>"20190303154308371"</f>
        <v>20190303154308371</v>
      </c>
      <c r="B6368" t="str">
        <f>"1551598988366435"</f>
        <v>1551598988366435</v>
      </c>
      <c r="C6368" t="s">
        <v>40</v>
      </c>
      <c r="D6368">
        <v>5.719239</v>
      </c>
      <c r="E6368">
        <v>0.52654809999999996</v>
      </c>
      <c r="F6368" t="s">
        <v>41</v>
      </c>
      <c r="G6368">
        <v>-394.22489999999999</v>
      </c>
      <c r="H6368" s="1">
        <v>-3.1746590000000002E-6</v>
      </c>
      <c r="I6368">
        <v>16.999110000000002</v>
      </c>
      <c r="J6368">
        <v>-405.12049999999999</v>
      </c>
      <c r="K6368">
        <v>1.1246959999999999</v>
      </c>
      <c r="L6368">
        <v>18.56409</v>
      </c>
      <c r="M6368">
        <v>0.92268190000000005</v>
      </c>
      <c r="N6368">
        <v>-1.14801E-2</v>
      </c>
      <c r="O6368">
        <v>-0.3853914</v>
      </c>
      <c r="P6368">
        <v>0.990981</v>
      </c>
      <c r="Q6368">
        <v>-0.10430150000000001</v>
      </c>
      <c r="R6368">
        <v>-8.4131419999999998E-2</v>
      </c>
      <c r="S6368">
        <v>2.9580690000000001</v>
      </c>
      <c r="T6368">
        <v>-0.30284809999999901</v>
      </c>
      <c r="U6368">
        <v>-0.43014530000000001</v>
      </c>
      <c r="V6368">
        <v>-0.30339549999999998</v>
      </c>
      <c r="W6368">
        <v>-9.6350959999999999E-2</v>
      </c>
      <c r="X6368">
        <v>0.94798079999999996</v>
      </c>
      <c r="Y6368">
        <v>-0.24579239999999999</v>
      </c>
      <c r="Z6368">
        <v>4.748873E-2</v>
      </c>
      <c r="AA6368">
        <v>0.96815850000000003</v>
      </c>
      <c r="AB6368">
        <v>18</v>
      </c>
      <c r="AC6368">
        <v>10.8956</v>
      </c>
      <c r="AD6368">
        <v>-1.1246991746589901</v>
      </c>
      <c r="AE6368">
        <v>-1.56497999999999</v>
      </c>
      <c r="AF6368">
        <v>-2.7268051626752201</v>
      </c>
      <c r="AG6368">
        <v>-1.1246991746589901</v>
      </c>
      <c r="AH6368">
        <v>10.5468939889835</v>
      </c>
      <c r="AI6368">
        <v>95.894515097900197</v>
      </c>
      <c r="AJ6368">
        <v>104.49589032381201</v>
      </c>
      <c r="AK6368">
        <v>10.951592918088499</v>
      </c>
      <c r="AL6368">
        <v>95.529081030216503</v>
      </c>
      <c r="AM6368">
        <v>107.74695475582099</v>
      </c>
      <c r="AN6368">
        <v>0.99999996704090499</v>
      </c>
    </row>
    <row r="6369" spans="1:40" x14ac:dyDescent="0.25">
      <c r="A6369" t="str">
        <f>"20190303154308385"</f>
        <v>20190303154308385</v>
      </c>
      <c r="B6369" t="str">
        <f>"1551598988376195"</f>
        <v>1551598988376195</v>
      </c>
      <c r="C6369" t="s">
        <v>40</v>
      </c>
      <c r="D6369">
        <v>5.7055910000000001</v>
      </c>
      <c r="E6369">
        <v>0.52691399999999999</v>
      </c>
      <c r="F6369" t="s">
        <v>41</v>
      </c>
      <c r="G6369">
        <v>-393.25709999999998</v>
      </c>
      <c r="H6369" s="1">
        <v>-3.68476E-6</v>
      </c>
      <c r="I6369">
        <v>16.70233</v>
      </c>
      <c r="J6369">
        <v>-405.0222</v>
      </c>
      <c r="K6369">
        <v>1.1247210000000001</v>
      </c>
      <c r="L6369">
        <v>18.529170000000001</v>
      </c>
      <c r="M6369">
        <v>0.92454860000000005</v>
      </c>
      <c r="N6369">
        <v>-1.1507720000000001E-2</v>
      </c>
      <c r="O6369">
        <v>-0.38089060000000002</v>
      </c>
      <c r="P6369">
        <v>0.99143380000000003</v>
      </c>
      <c r="Q6369">
        <v>-0.1043297</v>
      </c>
      <c r="R6369">
        <v>-7.8577820000000007E-2</v>
      </c>
      <c r="S6369">
        <v>2.9583439999999999</v>
      </c>
      <c r="T6369">
        <v>-0.28046459999999901</v>
      </c>
      <c r="U6369">
        <v>-0.46426390000000001</v>
      </c>
      <c r="V6369">
        <v>-0.30407980000000001</v>
      </c>
      <c r="W6369">
        <v>-9.637946E-2</v>
      </c>
      <c r="X6369">
        <v>0.94775860000000001</v>
      </c>
      <c r="Y6369">
        <v>-0.2306484</v>
      </c>
      <c r="Z6369">
        <v>4.2562669999999997E-2</v>
      </c>
      <c r="AA6369">
        <v>0.97210589999999997</v>
      </c>
      <c r="AB6369">
        <v>18</v>
      </c>
      <c r="AC6369">
        <v>11.7651</v>
      </c>
      <c r="AD6369">
        <v>-1.1247246847600001</v>
      </c>
      <c r="AE6369">
        <v>-1.82684</v>
      </c>
      <c r="AF6369">
        <v>-2.7676996165832102</v>
      </c>
      <c r="AG6369">
        <v>-1.1247246847600001</v>
      </c>
      <c r="AH6369">
        <v>11.471626641568699</v>
      </c>
      <c r="AI6369">
        <v>95.444378544071796</v>
      </c>
      <c r="AJ6369">
        <v>103.56423405673</v>
      </c>
      <c r="AK6369">
        <v>11.854255969384599</v>
      </c>
      <c r="AL6369">
        <v>95.530721720294295</v>
      </c>
      <c r="AM6369">
        <v>107.788369878629</v>
      </c>
      <c r="AN6369">
        <v>0.99999994447594398</v>
      </c>
    </row>
    <row r="6370" spans="1:40" x14ac:dyDescent="0.25">
      <c r="A6370" t="str">
        <f>"20190303154308404"</f>
        <v>20190303154308404</v>
      </c>
      <c r="B6370" t="str">
        <f>"1551598988396690"</f>
        <v>1551598988396690</v>
      </c>
      <c r="C6370" t="s">
        <v>40</v>
      </c>
      <c r="D6370">
        <v>5.6683070000000004</v>
      </c>
      <c r="E6370">
        <v>0.52685760000000004</v>
      </c>
      <c r="F6370" t="s">
        <v>41</v>
      </c>
      <c r="G6370">
        <v>-393.20769999999999</v>
      </c>
      <c r="H6370" s="1">
        <v>-3.7029839999999999E-6</v>
      </c>
      <c r="I6370">
        <v>16.73141</v>
      </c>
      <c r="J6370">
        <v>-404.88510000000002</v>
      </c>
      <c r="K6370">
        <v>1.1247529999999999</v>
      </c>
      <c r="L6370">
        <v>18.481290000000001</v>
      </c>
      <c r="M6370">
        <v>0.92713199999999996</v>
      </c>
      <c r="N6370">
        <v>-1.154792E-2</v>
      </c>
      <c r="O6370">
        <v>-0.37455739999999998</v>
      </c>
      <c r="P6370">
        <v>0.99197900000000006</v>
      </c>
      <c r="Q6370">
        <v>-0.1045432</v>
      </c>
      <c r="R6370">
        <v>-7.1054580000000006E-2</v>
      </c>
      <c r="S6370">
        <v>2.9606020000000002</v>
      </c>
      <c r="T6370">
        <v>-0.28184369999999997</v>
      </c>
      <c r="U6370">
        <v>-0.45050050000000003</v>
      </c>
      <c r="V6370">
        <v>-0.30476819999999999</v>
      </c>
      <c r="W6370">
        <v>-9.658775E-2</v>
      </c>
      <c r="X6370">
        <v>0.94751629999999998</v>
      </c>
      <c r="Y6370">
        <v>-0.2285286</v>
      </c>
      <c r="Z6370">
        <v>4.2176070000000003E-2</v>
      </c>
      <c r="AA6370">
        <v>0.97262320000000002</v>
      </c>
      <c r="AB6370">
        <v>18</v>
      </c>
      <c r="AC6370">
        <v>11.6774</v>
      </c>
      <c r="AD6370">
        <v>-1.124756702984</v>
      </c>
      <c r="AE6370">
        <v>-1.7498799999999901</v>
      </c>
      <c r="AF6370">
        <v>-2.7269267551642198</v>
      </c>
      <c r="AG6370">
        <v>-1.124756702984</v>
      </c>
      <c r="AH6370">
        <v>11.3794327850248</v>
      </c>
      <c r="AI6370">
        <v>95.490394254432999</v>
      </c>
      <c r="AJ6370">
        <v>103.47603565881001</v>
      </c>
      <c r="AK6370">
        <v>11.7555390211523</v>
      </c>
      <c r="AL6370">
        <v>95.542711522510999</v>
      </c>
      <c r="AM6370">
        <v>107.83036417066501</v>
      </c>
      <c r="AN6370">
        <v>0.99999999397349604</v>
      </c>
    </row>
    <row r="6371" spans="1:40" x14ac:dyDescent="0.25">
      <c r="A6371" t="str">
        <f>"20190303154308426"</f>
        <v>20190303154308426</v>
      </c>
      <c r="B6371" t="str">
        <f>"1551598988416211"</f>
        <v>1551598988416211</v>
      </c>
      <c r="C6371" t="s">
        <v>40</v>
      </c>
      <c r="D6371">
        <v>5.6780549999999996</v>
      </c>
      <c r="E6371">
        <v>0.538159099999999</v>
      </c>
      <c r="F6371" t="s">
        <v>41</v>
      </c>
      <c r="G6371">
        <v>-393.18459999999999</v>
      </c>
      <c r="H6371" s="1">
        <v>-3.7029120000000001E-6</v>
      </c>
      <c r="I6371">
        <v>16.793310000000002</v>
      </c>
      <c r="J6371">
        <v>-404.7176</v>
      </c>
      <c r="K6371">
        <v>1.1247929999999999</v>
      </c>
      <c r="L6371">
        <v>18.42435</v>
      </c>
      <c r="M6371">
        <v>0.93025159999999996</v>
      </c>
      <c r="N6371">
        <v>-1.1599699999999999E-2</v>
      </c>
      <c r="O6371">
        <v>-0.36673929999999999</v>
      </c>
      <c r="P6371">
        <v>0.99250360000000004</v>
      </c>
      <c r="Q6371">
        <v>-0.10498440000000001</v>
      </c>
      <c r="R6371">
        <v>-6.2569680000000003E-2</v>
      </c>
      <c r="S6371">
        <v>2.9636230000000001</v>
      </c>
      <c r="T6371">
        <v>-0.28489049999999999</v>
      </c>
      <c r="U6371">
        <v>-0.42755130000000002</v>
      </c>
      <c r="V6371">
        <v>-0.30486360000000001</v>
      </c>
      <c r="W6371">
        <v>-9.7011420000000001E-2</v>
      </c>
      <c r="X6371">
        <v>0.94744240000000002</v>
      </c>
      <c r="Y6371">
        <v>-0.2278297</v>
      </c>
      <c r="Z6371">
        <v>4.2006469999999997E-2</v>
      </c>
      <c r="AA6371">
        <v>0.97279450000000001</v>
      </c>
      <c r="AB6371">
        <v>18</v>
      </c>
      <c r="AC6371">
        <v>11.532999999999999</v>
      </c>
      <c r="AD6371">
        <v>-1.1247967029119901</v>
      </c>
      <c r="AE6371">
        <v>-1.6310399999999901</v>
      </c>
      <c r="AF6371">
        <v>-2.6874475884490701</v>
      </c>
      <c r="AG6371">
        <v>-1.1247967029119901</v>
      </c>
      <c r="AH6371">
        <v>11.222861930279</v>
      </c>
      <c r="AI6371">
        <v>95.5669287705568</v>
      </c>
      <c r="AJ6371">
        <v>103.466576782573</v>
      </c>
      <c r="AK6371">
        <v>11.5948338526107</v>
      </c>
      <c r="AL6371">
        <v>95.567100158326596</v>
      </c>
      <c r="AM6371">
        <v>107.836894942255</v>
      </c>
      <c r="AN6371">
        <v>1.00000006576656</v>
      </c>
    </row>
    <row r="6372" spans="1:40" x14ac:dyDescent="0.25">
      <c r="A6372" t="str">
        <f>"20190303154308438"</f>
        <v>20190303154308438</v>
      </c>
      <c r="B6372" t="str">
        <f>"1551598988426947"</f>
        <v>1551598988426947</v>
      </c>
      <c r="C6372" t="s">
        <v>40</v>
      </c>
      <c r="D6372">
        <v>5.7025990000000002</v>
      </c>
      <c r="E6372">
        <v>0.53868149999999904</v>
      </c>
      <c r="F6372" t="s">
        <v>59</v>
      </c>
      <c r="G6372">
        <v>-389.59410000000003</v>
      </c>
      <c r="H6372" s="1">
        <v>-1.142936E-6</v>
      </c>
      <c r="I6372">
        <v>15.908149999999999</v>
      </c>
      <c r="J6372">
        <v>-404.63260000000002</v>
      </c>
      <c r="K6372">
        <v>1.124816</v>
      </c>
      <c r="L6372">
        <v>18.39603</v>
      </c>
      <c r="M6372">
        <v>0.93181840000000005</v>
      </c>
      <c r="N6372">
        <v>-1.1626279999999999E-2</v>
      </c>
      <c r="O6372">
        <v>-0.36273909999999998</v>
      </c>
      <c r="P6372">
        <v>0.99272680000000002</v>
      </c>
      <c r="Q6372">
        <v>-0.1051349</v>
      </c>
      <c r="R6372">
        <v>-5.8655110000000003E-2</v>
      </c>
      <c r="S6372">
        <v>2.9681700000000002</v>
      </c>
      <c r="T6372">
        <v>-0.22075520000000001</v>
      </c>
      <c r="U6372">
        <v>-0.49383539999999998</v>
      </c>
      <c r="V6372">
        <v>-0.30451790000000001</v>
      </c>
      <c r="W6372">
        <v>-9.7147789999999998E-2</v>
      </c>
      <c r="X6372">
        <v>0.94753949999999998</v>
      </c>
      <c r="Y6372">
        <v>-0.20363310000000001</v>
      </c>
      <c r="Z6372">
        <v>3.0503249999999999E-2</v>
      </c>
      <c r="AA6372">
        <v>0.978572</v>
      </c>
      <c r="AB6372">
        <v>18</v>
      </c>
      <c r="AC6372">
        <v>15.038500000000001</v>
      </c>
      <c r="AD6372">
        <v>-1.1248171429359901</v>
      </c>
      <c r="AE6372">
        <v>-2.4878800000000001</v>
      </c>
      <c r="AF6372">
        <v>-3.1200213414473499</v>
      </c>
      <c r="AG6372">
        <v>-1.1248171429359901</v>
      </c>
      <c r="AH6372">
        <v>14.8358211245089</v>
      </c>
      <c r="AI6372">
        <v>94.243267417777105</v>
      </c>
      <c r="AJ6372">
        <v>101.876418966846</v>
      </c>
      <c r="AK6372">
        <v>15.202017471854001</v>
      </c>
      <c r="AL6372">
        <v>95.574951175774601</v>
      </c>
      <c r="AM6372">
        <v>107.816238043672</v>
      </c>
      <c r="AN6372">
        <v>0.99999997429127097</v>
      </c>
    </row>
    <row r="6373" spans="1:40" x14ac:dyDescent="0.25">
      <c r="A6373" t="str">
        <f>"20190303154308460"</f>
        <v>20190303154308460</v>
      </c>
      <c r="B6373" t="str">
        <f>"1551598988456227"</f>
        <v>1551598988456227</v>
      </c>
      <c r="C6373" t="s">
        <v>40</v>
      </c>
      <c r="D6373">
        <v>5.6810340000000004</v>
      </c>
      <c r="E6373">
        <v>0.54059519999999905</v>
      </c>
      <c r="F6373" t="s">
        <v>59</v>
      </c>
      <c r="G6373">
        <v>-389.40190000000001</v>
      </c>
      <c r="H6373" s="1">
        <v>-1.218437E-6</v>
      </c>
      <c r="I6373">
        <v>15.90189</v>
      </c>
      <c r="J6373">
        <v>-404.47539999999998</v>
      </c>
      <c r="K6373">
        <v>1.1248640000000001</v>
      </c>
      <c r="L6373">
        <v>18.344940000000001</v>
      </c>
      <c r="M6373">
        <v>0.93468680000000004</v>
      </c>
      <c r="N6373">
        <v>-1.167441E-2</v>
      </c>
      <c r="O6373">
        <v>-0.35528100000000001</v>
      </c>
      <c r="P6373">
        <v>0.99306240000000001</v>
      </c>
      <c r="Q6373">
        <v>-0.1057216</v>
      </c>
      <c r="R6373">
        <v>-5.1481399999999997E-2</v>
      </c>
      <c r="S6373">
        <v>2.9700009999999999</v>
      </c>
      <c r="T6373">
        <v>-0.2193406</v>
      </c>
      <c r="U6373">
        <v>-0.48635859999999898</v>
      </c>
      <c r="V6373">
        <v>-0.30375560000000001</v>
      </c>
      <c r="W6373">
        <v>-9.770856E-2</v>
      </c>
      <c r="X6373">
        <v>0.94772650000000003</v>
      </c>
      <c r="Y6373">
        <v>-0.1983502</v>
      </c>
      <c r="Z6373">
        <v>2.9623219999999999E-2</v>
      </c>
      <c r="AA6373">
        <v>0.97968350000000004</v>
      </c>
      <c r="AB6373">
        <v>18</v>
      </c>
      <c r="AC6373">
        <v>15.0734999999999</v>
      </c>
      <c r="AD6373">
        <v>-1.1248652184369901</v>
      </c>
      <c r="AE6373">
        <v>-2.4430499999999999</v>
      </c>
      <c r="AF6373">
        <v>-3.0554702673528298</v>
      </c>
      <c r="AG6373">
        <v>-1.1248652184369901</v>
      </c>
      <c r="AH6373">
        <v>14.877257941970999</v>
      </c>
      <c r="AI6373">
        <v>94.235810917661894</v>
      </c>
      <c r="AJ6373">
        <v>101.605941487598</v>
      </c>
      <c r="AK6373">
        <v>15.2293802955427</v>
      </c>
      <c r="AL6373">
        <v>95.607234524601907</v>
      </c>
      <c r="AM6373">
        <v>107.77116218449299</v>
      </c>
      <c r="AN6373">
        <v>0.99999997301544097</v>
      </c>
    </row>
    <row r="6374" spans="1:40" x14ac:dyDescent="0.25">
      <c r="A6374" t="str">
        <f>"20190303154308473"</f>
        <v>20190303154308473</v>
      </c>
      <c r="B6374" t="str">
        <f>"1551598988467106"</f>
        <v>1551598988467106</v>
      </c>
      <c r="C6374" t="s">
        <v>40</v>
      </c>
      <c r="D6374">
        <v>5.6919969999999998</v>
      </c>
      <c r="E6374">
        <v>0.54085159999999999</v>
      </c>
      <c r="F6374" t="s">
        <v>59</v>
      </c>
      <c r="G6374">
        <v>-389.15289999999999</v>
      </c>
      <c r="H6374" s="1">
        <v>-1.3224639999999999E-6</v>
      </c>
      <c r="I6374">
        <v>15.87026</v>
      </c>
      <c r="J6374">
        <v>-404.37349999999998</v>
      </c>
      <c r="K6374">
        <v>1.124892</v>
      </c>
      <c r="L6374">
        <v>18.312529999999999</v>
      </c>
      <c r="M6374">
        <v>0.93652299999999999</v>
      </c>
      <c r="N6374">
        <v>-1.170616E-2</v>
      </c>
      <c r="O6374">
        <v>-0.35041099999999997</v>
      </c>
      <c r="P6374">
        <v>0.9932879</v>
      </c>
      <c r="Q6374">
        <v>-0.1056338</v>
      </c>
      <c r="R6374">
        <v>-4.7123900000000003E-2</v>
      </c>
      <c r="S6374">
        <v>2.972839</v>
      </c>
      <c r="T6374">
        <v>-0.21824399999999999</v>
      </c>
      <c r="U6374">
        <v>-0.48013309999999998</v>
      </c>
      <c r="V6374">
        <v>-0.30297960000000002</v>
      </c>
      <c r="W6374">
        <v>-9.7598889999999994E-2</v>
      </c>
      <c r="X6374">
        <v>0.9479862</v>
      </c>
      <c r="Y6374">
        <v>-0.1954282</v>
      </c>
      <c r="Z6374">
        <v>2.903408E-2</v>
      </c>
      <c r="AA6374">
        <v>0.9802881</v>
      </c>
      <c r="AB6374">
        <v>18</v>
      </c>
      <c r="AC6374">
        <v>15.2205999999999</v>
      </c>
      <c r="AD6374">
        <v>-1.1248933224640001</v>
      </c>
      <c r="AE6374">
        <v>-2.4422700000000002</v>
      </c>
      <c r="AF6374">
        <v>-3.0302957247878899</v>
      </c>
      <c r="AG6374">
        <v>-1.1248933224640001</v>
      </c>
      <c r="AH6374">
        <v>15.03123271326</v>
      </c>
      <c r="AI6374">
        <v>94.195766325172499</v>
      </c>
      <c r="AJ6374">
        <v>101.398049749265</v>
      </c>
      <c r="AK6374">
        <v>15.374850699983099</v>
      </c>
      <c r="AL6374">
        <v>95.6009205205185</v>
      </c>
      <c r="AM6374">
        <v>107.724055798122</v>
      </c>
      <c r="AN6374">
        <v>1.0000000083679099</v>
      </c>
    </row>
    <row r="6375" spans="1:40" x14ac:dyDescent="0.25">
      <c r="A6375" t="str">
        <f>"20190303154308494"</f>
        <v>20190303154308494</v>
      </c>
      <c r="B6375" t="str">
        <f>"1551598988486626"</f>
        <v>1551598988486626</v>
      </c>
      <c r="C6375" t="s">
        <v>40</v>
      </c>
      <c r="D6375">
        <v>5.6869670000000001</v>
      </c>
      <c r="E6375">
        <v>0.51802409999999999</v>
      </c>
      <c r="F6375" t="s">
        <v>59</v>
      </c>
      <c r="G6375">
        <v>-388.99</v>
      </c>
      <c r="H6375" s="1">
        <v>-1.38057E-6</v>
      </c>
      <c r="I6375">
        <v>15.886990000000001</v>
      </c>
      <c r="J6375">
        <v>-404.22030000000001</v>
      </c>
      <c r="K6375">
        <v>1.124927</v>
      </c>
      <c r="L6375">
        <v>18.26511</v>
      </c>
      <c r="M6375">
        <v>0.93924580000000002</v>
      </c>
      <c r="N6375">
        <v>-1.175439E-2</v>
      </c>
      <c r="O6375">
        <v>-0.34304400000000002</v>
      </c>
      <c r="P6375">
        <v>0.9935349</v>
      </c>
      <c r="Q6375">
        <v>-0.10604669999999999</v>
      </c>
      <c r="R6375">
        <v>-4.0530669999999998E-2</v>
      </c>
      <c r="S6375">
        <v>2.9748839999999999</v>
      </c>
      <c r="T6375">
        <v>-0.2175338</v>
      </c>
      <c r="U6375">
        <v>-0.46905520000000001</v>
      </c>
      <c r="V6375">
        <v>-0.30179919999999999</v>
      </c>
      <c r="W6375">
        <v>-9.797612E-2</v>
      </c>
      <c r="X6375">
        <v>0.94832369999999999</v>
      </c>
      <c r="Y6375">
        <v>-0.1914236</v>
      </c>
      <c r="Z6375">
        <v>2.8330109999999999E-2</v>
      </c>
      <c r="AA6375">
        <v>0.98109860000000004</v>
      </c>
      <c r="AB6375">
        <v>18</v>
      </c>
      <c r="AC6375">
        <v>15.2303</v>
      </c>
      <c r="AD6375">
        <v>-1.1249283805700001</v>
      </c>
      <c r="AE6375">
        <v>-2.37812</v>
      </c>
      <c r="AF6375">
        <v>-2.97538461433974</v>
      </c>
      <c r="AG6375">
        <v>-1.1249283805700001</v>
      </c>
      <c r="AH6375">
        <v>15.041732848139899</v>
      </c>
      <c r="AI6375">
        <v>94.196021176162503</v>
      </c>
      <c r="AJ6375">
        <v>101.189154760864</v>
      </c>
      <c r="AK6375">
        <v>15.374397696803401</v>
      </c>
      <c r="AL6375">
        <v>95.622638574526505</v>
      </c>
      <c r="AM6375">
        <v>107.653407246857</v>
      </c>
      <c r="AN6375">
        <v>0.99999995859629098</v>
      </c>
    </row>
    <row r="6376" spans="1:40" x14ac:dyDescent="0.25">
      <c r="A6376" t="str">
        <f>"20190303154308516"</f>
        <v>20190303154308516</v>
      </c>
      <c r="B6376" t="str">
        <f>"1551598988507122"</f>
        <v>1551598988507122</v>
      </c>
      <c r="C6376" t="s">
        <v>40</v>
      </c>
      <c r="D6376">
        <v>5.7034379999999896</v>
      </c>
      <c r="E6376">
        <v>0.5119051</v>
      </c>
      <c r="F6376" t="s">
        <v>41</v>
      </c>
      <c r="G6376">
        <v>-392.57170000000002</v>
      </c>
      <c r="H6376" s="1">
        <v>-3.9160380000000001E-6</v>
      </c>
      <c r="I6376">
        <v>17.22514</v>
      </c>
      <c r="J6376">
        <v>-404.05810000000002</v>
      </c>
      <c r="K6376">
        <v>1.1249670000000001</v>
      </c>
      <c r="L6376">
        <v>18.21631</v>
      </c>
      <c r="M6376">
        <v>0.94208599999999998</v>
      </c>
      <c r="N6376">
        <v>-1.1808890000000001E-2</v>
      </c>
      <c r="O6376">
        <v>-0.3351634</v>
      </c>
      <c r="P6376">
        <v>0.99375539999999996</v>
      </c>
      <c r="Q6376">
        <v>-0.1062481</v>
      </c>
      <c r="R6376">
        <v>-3.4083139999999998E-2</v>
      </c>
      <c r="S6376">
        <v>2.9779969999999998</v>
      </c>
      <c r="T6376">
        <v>-0.28759069999999998</v>
      </c>
      <c r="U6376">
        <v>-0.26586910000000002</v>
      </c>
      <c r="V6376">
        <v>-0.29999310000000001</v>
      </c>
      <c r="W6376">
        <v>-9.8126660000000004E-2</v>
      </c>
      <c r="X6376">
        <v>0.94888110000000003</v>
      </c>
      <c r="Y6376">
        <v>-0.24767230000000001</v>
      </c>
      <c r="Z6376">
        <v>4.0989650000000002E-2</v>
      </c>
      <c r="AA6376">
        <v>0.96797639999999996</v>
      </c>
      <c r="AB6376">
        <v>18</v>
      </c>
      <c r="AC6376">
        <v>11.4864</v>
      </c>
      <c r="AD6376">
        <v>-1.1249709160379999</v>
      </c>
      <c r="AE6376">
        <v>-0.99117</v>
      </c>
      <c r="AF6376">
        <v>-2.8887523944063598</v>
      </c>
      <c r="AG6376">
        <v>-1.1249709160379999</v>
      </c>
      <c r="AH6376">
        <v>11.0489587263244</v>
      </c>
      <c r="AI6376">
        <v>95.625818266575806</v>
      </c>
      <c r="AJ6376">
        <v>104.652017404197</v>
      </c>
      <c r="AK6376">
        <v>11.475623682142</v>
      </c>
      <c r="AL6376">
        <v>95.631305288629207</v>
      </c>
      <c r="AM6376">
        <v>107.544588178609</v>
      </c>
      <c r="AN6376">
        <v>1.0000000216937801</v>
      </c>
    </row>
    <row r="6377" spans="1:40" x14ac:dyDescent="0.25">
      <c r="A6377" t="str">
        <f>"20190303154308529"</f>
        <v>20190303154308529</v>
      </c>
      <c r="B6377" t="str">
        <f>"1551598988516883"</f>
        <v>1551598988516883</v>
      </c>
      <c r="C6377" t="s">
        <v>40</v>
      </c>
      <c r="D6377">
        <v>5.6905859999999997</v>
      </c>
      <c r="E6377">
        <v>0.5106385</v>
      </c>
      <c r="F6377" t="s">
        <v>41</v>
      </c>
      <c r="G6377">
        <v>-391.88659999999999</v>
      </c>
      <c r="H6377" s="1">
        <v>-4.2074179999999998E-6</v>
      </c>
      <c r="I6377">
        <v>17.40831</v>
      </c>
      <c r="J6377">
        <v>-403.95769999999999</v>
      </c>
      <c r="K6377">
        <v>1.1249929999999999</v>
      </c>
      <c r="L6377">
        <v>18.187100000000001</v>
      </c>
      <c r="M6377">
        <v>0.94382149999999998</v>
      </c>
      <c r="N6377">
        <v>-1.184637E-2</v>
      </c>
      <c r="O6377">
        <v>-0.33024300000000001</v>
      </c>
      <c r="P6377">
        <v>0.99386289999999999</v>
      </c>
      <c r="Q6377">
        <v>-0.1064335</v>
      </c>
      <c r="R6377">
        <v>-3.0138939999999999E-2</v>
      </c>
      <c r="S6377">
        <v>2.982605</v>
      </c>
      <c r="T6377">
        <v>-0.27567180000000002</v>
      </c>
      <c r="U6377">
        <v>-0.19799800000000001</v>
      </c>
      <c r="V6377">
        <v>-0.29879620000000001</v>
      </c>
      <c r="W6377">
        <v>-9.8275360000000006E-2</v>
      </c>
      <c r="X6377">
        <v>0.94924319999999895</v>
      </c>
      <c r="Y6377">
        <v>-0.26474340000000002</v>
      </c>
      <c r="Z6377">
        <v>3.9703509999999997E-2</v>
      </c>
      <c r="AA6377">
        <v>0.96350119999999895</v>
      </c>
      <c r="AB6377">
        <v>18</v>
      </c>
      <c r="AC6377">
        <v>12.071099999999999</v>
      </c>
      <c r="AD6377">
        <v>-1.1249972074179999</v>
      </c>
      <c r="AE6377">
        <v>-0.77878999999999998</v>
      </c>
      <c r="AF6377">
        <v>-3.2237017026000698</v>
      </c>
      <c r="AG6377">
        <v>-1.1249972074179999</v>
      </c>
      <c r="AH6377">
        <v>11.5510582303636</v>
      </c>
      <c r="AI6377">
        <v>95.359157686199296</v>
      </c>
      <c r="AJ6377">
        <v>105.593503827617</v>
      </c>
      <c r="AK6377">
        <v>12.045115924112</v>
      </c>
      <c r="AL6377">
        <v>95.639867046308296</v>
      </c>
      <c r="AM6377">
        <v>107.472598307591</v>
      </c>
      <c r="AN6377">
        <v>0.99999993413190202</v>
      </c>
    </row>
    <row r="6378" spans="1:40" x14ac:dyDescent="0.25">
      <c r="A6378" t="str">
        <f>"20190303154308543"</f>
        <v>20190303154308543</v>
      </c>
      <c r="B6378" t="str">
        <f>"1551598988536402"</f>
        <v>1551598988536402</v>
      </c>
      <c r="C6378" t="s">
        <v>40</v>
      </c>
      <c r="D6378">
        <v>5.6863859999999997</v>
      </c>
      <c r="E6378">
        <v>0.50980509999999901</v>
      </c>
      <c r="F6378" t="s">
        <v>41</v>
      </c>
      <c r="G6378">
        <v>-391.584</v>
      </c>
      <c r="H6378" s="1">
        <v>-4.3419029999999998E-6</v>
      </c>
      <c r="I6378">
        <v>17.45646</v>
      </c>
      <c r="J6378">
        <v>-403.85919999999999</v>
      </c>
      <c r="K6378">
        <v>1.1250150000000001</v>
      </c>
      <c r="L6378">
        <v>18.158909999999999</v>
      </c>
      <c r="M6378">
        <v>0.94550420000000002</v>
      </c>
      <c r="N6378">
        <v>-1.1883680000000001E-2</v>
      </c>
      <c r="O6378">
        <v>-0.32539289999999998</v>
      </c>
      <c r="P6378">
        <v>0.9939462</v>
      </c>
      <c r="Q6378">
        <v>-0.1066918</v>
      </c>
      <c r="R6378">
        <v>-2.6225700000000001E-2</v>
      </c>
      <c r="S6378">
        <v>2.9841609999999998</v>
      </c>
      <c r="T6378">
        <v>-0.27131490000000003</v>
      </c>
      <c r="U6378">
        <v>-0.17620849999999999</v>
      </c>
      <c r="V6378">
        <v>-0.2976452</v>
      </c>
      <c r="W6378">
        <v>-9.8496210000000001E-2</v>
      </c>
      <c r="X6378">
        <v>0.94958189999999998</v>
      </c>
      <c r="Y6378">
        <v>-0.26691379999999998</v>
      </c>
      <c r="Z6378">
        <v>3.8783360000000003E-2</v>
      </c>
      <c r="AA6378">
        <v>0.96293969999999995</v>
      </c>
      <c r="AB6378">
        <v>18</v>
      </c>
      <c r="AC6378">
        <v>12.2751999999999</v>
      </c>
      <c r="AD6378">
        <v>-1.1250193419029999</v>
      </c>
      <c r="AE6378">
        <v>-0.70245000000000202</v>
      </c>
      <c r="AF6378">
        <v>-3.3026778506398702</v>
      </c>
      <c r="AG6378">
        <v>-1.1250193419029999</v>
      </c>
      <c r="AH6378">
        <v>11.737392869107699</v>
      </c>
      <c r="AI6378">
        <v>95.271535512555005</v>
      </c>
      <c r="AJ6378">
        <v>105.715586393577</v>
      </c>
      <c r="AK6378">
        <v>12.2449883980567</v>
      </c>
      <c r="AL6378">
        <v>95.652582270025405</v>
      </c>
      <c r="AM6378">
        <v>107.40353110568</v>
      </c>
      <c r="AN6378">
        <v>0.99999997663750595</v>
      </c>
    </row>
    <row r="6379" spans="1:40" x14ac:dyDescent="0.25">
      <c r="A6379" t="str">
        <f>"20190303154308560"</f>
        <v>20190303154308560</v>
      </c>
      <c r="B6379" t="str">
        <f>"1551598988556899"</f>
        <v>1551598988556899</v>
      </c>
      <c r="C6379" t="s">
        <v>40</v>
      </c>
      <c r="D6379">
        <v>5.6711220000000004</v>
      </c>
      <c r="E6379">
        <v>0.51011799999999996</v>
      </c>
      <c r="F6379" t="s">
        <v>41</v>
      </c>
      <c r="G6379">
        <v>-391.3032</v>
      </c>
      <c r="H6379" s="1">
        <v>-4.4678349999999997E-6</v>
      </c>
      <c r="I6379">
        <v>17.494820000000001</v>
      </c>
      <c r="J6379">
        <v>-403.72370000000001</v>
      </c>
      <c r="K6379">
        <v>1.1250469999999999</v>
      </c>
      <c r="L6379">
        <v>18.12097</v>
      </c>
      <c r="M6379">
        <v>0.9477873</v>
      </c>
      <c r="N6379">
        <v>-1.193483E-2</v>
      </c>
      <c r="O6379">
        <v>-0.3186795</v>
      </c>
      <c r="P6379">
        <v>0.99396340000000005</v>
      </c>
      <c r="Q6379">
        <v>-0.1074317</v>
      </c>
      <c r="R6379">
        <v>-2.22486E-2</v>
      </c>
      <c r="S6379">
        <v>2.985382</v>
      </c>
      <c r="T6379">
        <v>-0.26749129999999999</v>
      </c>
      <c r="U6379">
        <v>-0.15789790000000001</v>
      </c>
      <c r="V6379">
        <v>-0.29467510000000002</v>
      </c>
      <c r="W6379">
        <v>-9.9163840000000003E-2</v>
      </c>
      <c r="X6379">
        <v>0.95043840000000002</v>
      </c>
      <c r="Y6379">
        <v>-0.26608039999999999</v>
      </c>
      <c r="Z6379">
        <v>3.766328E-2</v>
      </c>
      <c r="AA6379">
        <v>0.96321480000000004</v>
      </c>
      <c r="AB6379">
        <v>18</v>
      </c>
      <c r="AC6379">
        <v>12.420500000000001</v>
      </c>
      <c r="AD6379">
        <v>-1.1250514678350001</v>
      </c>
      <c r="AE6379">
        <v>-0.62614999999999899</v>
      </c>
      <c r="AF6379">
        <v>-3.3376266053530199</v>
      </c>
      <c r="AG6379">
        <v>-1.1250514678350001</v>
      </c>
      <c r="AH6379">
        <v>11.875200706066099</v>
      </c>
      <c r="AI6379">
        <v>95.211283077183893</v>
      </c>
      <c r="AJ6379">
        <v>105.698471742837</v>
      </c>
      <c r="AK6379">
        <v>12.386520252734</v>
      </c>
      <c r="AL6379">
        <v>95.691022615113297</v>
      </c>
      <c r="AM6379">
        <v>107.225591875455</v>
      </c>
      <c r="AN6379">
        <v>1.0000000169590499</v>
      </c>
    </row>
    <row r="6380" spans="1:40" x14ac:dyDescent="0.25">
      <c r="A6380" t="str">
        <f>"20190303154308572"</f>
        <v>20190303154308572</v>
      </c>
      <c r="B6380" t="str">
        <f>"1551598988566659"</f>
        <v>1551598988566659</v>
      </c>
      <c r="C6380" t="s">
        <v>40</v>
      </c>
      <c r="D6380">
        <v>5.6835950000000004</v>
      </c>
      <c r="E6380">
        <v>0.51028689999999999</v>
      </c>
      <c r="F6380" t="s">
        <v>41</v>
      </c>
      <c r="G6380">
        <v>-391.13260000000002</v>
      </c>
      <c r="H6380" s="1">
        <v>-4.5485060000000003E-6</v>
      </c>
      <c r="I6380">
        <v>17.494679999999999</v>
      </c>
      <c r="J6380">
        <v>-403.62959999999998</v>
      </c>
      <c r="K6380">
        <v>1.1250659999999999</v>
      </c>
      <c r="L6380">
        <v>18.095279999999999</v>
      </c>
      <c r="M6380">
        <v>0.94935119999999895</v>
      </c>
      <c r="N6380">
        <v>-1.1968589999999999E-2</v>
      </c>
      <c r="O6380">
        <v>-0.31398910000000002</v>
      </c>
      <c r="P6380">
        <v>0.99405529999999998</v>
      </c>
      <c r="Q6380">
        <v>-0.1073031</v>
      </c>
      <c r="R6380">
        <v>-1.8452469999999999E-2</v>
      </c>
      <c r="S6380">
        <v>2.986084</v>
      </c>
      <c r="T6380">
        <v>-0.26681510000000003</v>
      </c>
      <c r="U6380">
        <v>-0.1485291</v>
      </c>
      <c r="V6380">
        <v>-0.293608799999999</v>
      </c>
      <c r="W6380">
        <v>-9.8999690000000001E-2</v>
      </c>
      <c r="X6380">
        <v>0.9507854</v>
      </c>
      <c r="Y6380">
        <v>-0.2643742</v>
      </c>
      <c r="Z6380">
        <v>3.7126760000000002E-2</v>
      </c>
      <c r="AA6380">
        <v>0.96370529999999999</v>
      </c>
      <c r="AB6380">
        <v>18</v>
      </c>
      <c r="AC6380">
        <v>12.4969999999999</v>
      </c>
      <c r="AD6380">
        <v>-1.125070548506</v>
      </c>
      <c r="AE6380">
        <v>-0.60060000000000002</v>
      </c>
      <c r="AF6380">
        <v>-3.3270779977023999</v>
      </c>
      <c r="AG6380">
        <v>-1.125070548506</v>
      </c>
      <c r="AH6380">
        <v>11.9568010931266</v>
      </c>
      <c r="AI6380">
        <v>95.179739698094707</v>
      </c>
      <c r="AJ6380">
        <v>105.54966241929699</v>
      </c>
      <c r="AK6380">
        <v>12.4619550682268</v>
      </c>
      <c r="AL6380">
        <v>95.681571263854295</v>
      </c>
      <c r="AM6380">
        <v>107.16103290065701</v>
      </c>
      <c r="AN6380">
        <v>0.99999997145534703</v>
      </c>
    </row>
    <row r="6381" spans="1:40" x14ac:dyDescent="0.25">
      <c r="A6381" t="str">
        <f>"20190303154308587"</f>
        <v>20190303154308587</v>
      </c>
      <c r="B6381" t="str">
        <f>"1551598988576419"</f>
        <v>1551598988576419</v>
      </c>
      <c r="C6381" t="s">
        <v>40</v>
      </c>
      <c r="D6381">
        <v>5.7139749999999996</v>
      </c>
      <c r="E6381">
        <v>0.51061959999999995</v>
      </c>
      <c r="F6381" t="s">
        <v>41</v>
      </c>
      <c r="G6381">
        <v>-390.9357</v>
      </c>
      <c r="H6381" s="1">
        <v>-4.6394230000000004E-6</v>
      </c>
      <c r="I6381">
        <v>17.506699999999999</v>
      </c>
      <c r="J6381">
        <v>-403.52760000000001</v>
      </c>
      <c r="K6381">
        <v>1.125097</v>
      </c>
      <c r="L6381">
        <v>18.068149999999999</v>
      </c>
      <c r="M6381">
        <v>0.95102600000000004</v>
      </c>
      <c r="N6381">
        <v>-1.2001960000000001E-2</v>
      </c>
      <c r="O6381">
        <v>-0.30887819999999999</v>
      </c>
      <c r="P6381">
        <v>0.99410759999999998</v>
      </c>
      <c r="Q6381">
        <v>-0.1074548</v>
      </c>
      <c r="R6381">
        <v>-1.426909E-2</v>
      </c>
      <c r="S6381">
        <v>2.9868160000000001</v>
      </c>
      <c r="T6381">
        <v>-0.26472519999999999</v>
      </c>
      <c r="U6381">
        <v>-0.1384888</v>
      </c>
      <c r="V6381">
        <v>-0.29248669999999999</v>
      </c>
      <c r="W6381">
        <v>-9.9116590000000004E-2</v>
      </c>
      <c r="X6381">
        <v>0.9511191</v>
      </c>
      <c r="Y6381">
        <v>-0.26248899999999997</v>
      </c>
      <c r="Z6381">
        <v>3.6347600000000001E-2</v>
      </c>
      <c r="AA6381">
        <v>0.9642501</v>
      </c>
      <c r="AB6381">
        <v>18</v>
      </c>
      <c r="AC6381">
        <v>12.591900000000001</v>
      </c>
      <c r="AD6381">
        <v>-1.125101639423</v>
      </c>
      <c r="AE6381">
        <v>-0.56145</v>
      </c>
      <c r="AF6381">
        <v>-3.32912534265038</v>
      </c>
      <c r="AG6381">
        <v>-1.125101639423</v>
      </c>
      <c r="AH6381">
        <v>12.053477867001201</v>
      </c>
      <c r="AI6381">
        <v>95.141273154812197</v>
      </c>
      <c r="AJ6381">
        <v>105.43995271046499</v>
      </c>
      <c r="AK6381">
        <v>12.5552880467314</v>
      </c>
      <c r="AL6381">
        <v>95.688301767870399</v>
      </c>
      <c r="AM6381">
        <v>107.09363030545499</v>
      </c>
      <c r="AN6381">
        <v>1.0000000552374599</v>
      </c>
    </row>
    <row r="6382" spans="1:40" x14ac:dyDescent="0.25">
      <c r="A6382" t="str">
        <f>"20190303154308605"</f>
        <v>20190303154308605</v>
      </c>
      <c r="B6382" t="str">
        <f>"1551598988596914"</f>
        <v>1551598988596914</v>
      </c>
      <c r="C6382" t="s">
        <v>40</v>
      </c>
      <c r="D6382">
        <v>5.7375150000000001</v>
      </c>
      <c r="E6382">
        <v>0.511216</v>
      </c>
      <c r="F6382" t="s">
        <v>41</v>
      </c>
      <c r="G6382">
        <v>-390.7552</v>
      </c>
      <c r="H6382" s="1">
        <v>-4.7226990000000003E-6</v>
      </c>
      <c r="I6382">
        <v>17.518470000000001</v>
      </c>
      <c r="J6382">
        <v>-403.38850000000002</v>
      </c>
      <c r="K6382">
        <v>1.1251260000000001</v>
      </c>
      <c r="L6382">
        <v>18.03201</v>
      </c>
      <c r="M6382">
        <v>0.95327399999999995</v>
      </c>
      <c r="N6382">
        <v>-1.2046680000000001E-2</v>
      </c>
      <c r="O6382">
        <v>-0.30186679999999999</v>
      </c>
      <c r="P6382">
        <v>0.99426320000000001</v>
      </c>
      <c r="Q6382">
        <v>-0.10655820000000001</v>
      </c>
      <c r="R6382">
        <v>-9.2861880000000008E-3</v>
      </c>
      <c r="S6382">
        <v>2.9874879999999999</v>
      </c>
      <c r="T6382">
        <v>-0.26316270000000003</v>
      </c>
      <c r="U6382">
        <v>-0.12857060000000001</v>
      </c>
      <c r="V6382">
        <v>-0.29028569999999998</v>
      </c>
      <c r="W6382">
        <v>-9.8162029999999997E-2</v>
      </c>
      <c r="X6382">
        <v>0.95189199999999996</v>
      </c>
      <c r="Y6382">
        <v>-0.2586504</v>
      </c>
      <c r="Z6382">
        <v>3.5415889999999998E-2</v>
      </c>
      <c r="AA6382">
        <v>0.96532150000000005</v>
      </c>
      <c r="AB6382">
        <v>18</v>
      </c>
      <c r="AC6382">
        <v>12.6333</v>
      </c>
      <c r="AD6382">
        <v>-1.1251307226989999</v>
      </c>
      <c r="AE6382">
        <v>-0.513539999999999</v>
      </c>
      <c r="AF6382">
        <v>-3.2981535515312301</v>
      </c>
      <c r="AG6382">
        <v>-1.1251307226989999</v>
      </c>
      <c r="AH6382">
        <v>12.103061434011799</v>
      </c>
      <c r="AI6382">
        <v>95.125252457405296</v>
      </c>
      <c r="AJ6382">
        <v>105.24330317843101</v>
      </c>
      <c r="AK6382">
        <v>12.594754148775699</v>
      </c>
      <c r="AL6382">
        <v>95.633341931450502</v>
      </c>
      <c r="AM6382">
        <v>106.959428217298</v>
      </c>
      <c r="AN6382">
        <v>0.99999997571110499</v>
      </c>
    </row>
    <row r="6383" spans="1:40" x14ac:dyDescent="0.25">
      <c r="A6383" t="str">
        <f>"20190303154308619"</f>
        <v>20190303154308619</v>
      </c>
      <c r="B6383" t="str">
        <f>"1551598988616435"</f>
        <v>1551598988616435</v>
      </c>
      <c r="C6383" t="s">
        <v>40</v>
      </c>
      <c r="D6383">
        <v>5.753654</v>
      </c>
      <c r="E6383">
        <v>0.51182799999999995</v>
      </c>
      <c r="F6383" t="s">
        <v>41</v>
      </c>
      <c r="G6383">
        <v>-390.28730000000002</v>
      </c>
      <c r="H6383" s="1">
        <v>-4.9448039999999998E-6</v>
      </c>
      <c r="I6383">
        <v>17.513100000000001</v>
      </c>
      <c r="J6383">
        <v>-403.28489999999999</v>
      </c>
      <c r="K6383">
        <v>1.1251500000000001</v>
      </c>
      <c r="L6383">
        <v>18.005769999999998</v>
      </c>
      <c r="M6383">
        <v>0.95491999999999999</v>
      </c>
      <c r="N6383">
        <v>-1.2080499999999999E-2</v>
      </c>
      <c r="O6383">
        <v>-0.29661799999999999</v>
      </c>
      <c r="P6383">
        <v>0.99426820000000005</v>
      </c>
      <c r="Q6383">
        <v>-0.1068027</v>
      </c>
      <c r="R6383">
        <v>-4.919751E-3</v>
      </c>
      <c r="S6383">
        <v>2.9887079999999999</v>
      </c>
      <c r="T6383">
        <v>-0.25667079999999998</v>
      </c>
      <c r="U6383">
        <v>-0.1183777</v>
      </c>
      <c r="V6383">
        <v>-0.28921659999999999</v>
      </c>
      <c r="W6383">
        <v>-9.837158E-2</v>
      </c>
      <c r="X6383">
        <v>0.95219580000000004</v>
      </c>
      <c r="Y6383">
        <v>-0.25676320000000002</v>
      </c>
      <c r="Z6383">
        <v>3.4019540000000001E-2</v>
      </c>
      <c r="AA6383">
        <v>0.96587540000000005</v>
      </c>
      <c r="AB6383">
        <v>18</v>
      </c>
      <c r="AC6383">
        <v>12.997599999999901</v>
      </c>
      <c r="AD6383">
        <v>-1.1251549448039999</v>
      </c>
      <c r="AE6383">
        <v>-0.49267</v>
      </c>
      <c r="AF6383">
        <v>-3.35996548322961</v>
      </c>
      <c r="AG6383">
        <v>-1.1251549448039999</v>
      </c>
      <c r="AH6383">
        <v>12.465438339546299</v>
      </c>
      <c r="AI6383">
        <v>94.980831024956004</v>
      </c>
      <c r="AJ6383">
        <v>105.085140863909</v>
      </c>
      <c r="AK6383">
        <v>12.959262891667199</v>
      </c>
      <c r="AL6383">
        <v>95.645406372348504</v>
      </c>
      <c r="AM6383">
        <v>106.895449489467</v>
      </c>
      <c r="AN6383">
        <v>1.0000000255024399</v>
      </c>
    </row>
    <row r="6384" spans="1:40" x14ac:dyDescent="0.25">
      <c r="A6384" t="str">
        <f>"20190303154308638"</f>
        <v>20190303154308638</v>
      </c>
      <c r="B6384" t="str">
        <f>"1551598988636931"</f>
        <v>1551598988636931</v>
      </c>
      <c r="C6384" t="s">
        <v>40</v>
      </c>
      <c r="D6384">
        <v>5.7269329999999998</v>
      </c>
      <c r="E6384">
        <v>0.51248340000000003</v>
      </c>
      <c r="F6384" t="s">
        <v>41</v>
      </c>
      <c r="G6384">
        <v>-390.13369999999998</v>
      </c>
      <c r="H6384" s="1">
        <v>-5.0159700000000004E-6</v>
      </c>
      <c r="I6384">
        <v>17.521360000000001</v>
      </c>
      <c r="J6384">
        <v>-403.13409999999999</v>
      </c>
      <c r="K6384">
        <v>1.1251719999999901</v>
      </c>
      <c r="L6384">
        <v>17.968869999999999</v>
      </c>
      <c r="M6384">
        <v>0.95726940000000005</v>
      </c>
      <c r="N6384">
        <v>-1.2131680000000001E-2</v>
      </c>
      <c r="O6384">
        <v>-0.28894309999999901</v>
      </c>
      <c r="P6384">
        <v>0.99422290000000002</v>
      </c>
      <c r="Q6384">
        <v>-0.10733620000000001</v>
      </c>
      <c r="R6384" s="1">
        <v>3.05706599999999E-7</v>
      </c>
      <c r="S6384">
        <v>2.9893190000000001</v>
      </c>
      <c r="T6384">
        <v>-0.25575239999999999</v>
      </c>
      <c r="U6384">
        <v>-0.11010739999999899</v>
      </c>
      <c r="V6384">
        <v>-0.28626040000000003</v>
      </c>
      <c r="W6384">
        <v>-9.8830070000000006E-2</v>
      </c>
      <c r="X6384">
        <v>0.95304129999999998</v>
      </c>
      <c r="Y6384">
        <v>-0.2517354</v>
      </c>
      <c r="Z6384">
        <v>3.3099820000000002E-2</v>
      </c>
      <c r="AA6384">
        <v>0.96722989999999998</v>
      </c>
      <c r="AB6384">
        <v>18</v>
      </c>
      <c r="AC6384">
        <v>13.000400000000001</v>
      </c>
      <c r="AD6384">
        <v>-1.1251770159700001</v>
      </c>
      <c r="AE6384">
        <v>-0.44751000000000102</v>
      </c>
      <c r="AF6384">
        <v>-3.3035164851349599</v>
      </c>
      <c r="AG6384">
        <v>-1.1251770159700001</v>
      </c>
      <c r="AH6384">
        <v>12.481727989990601</v>
      </c>
      <c r="AI6384">
        <v>94.980478821895503</v>
      </c>
      <c r="AJ6384">
        <v>104.824462309878</v>
      </c>
      <c r="AK6384">
        <v>12.9604312467194</v>
      </c>
      <c r="AL6384">
        <v>95.671804357408902</v>
      </c>
      <c r="AM6384">
        <v>106.71843677491501</v>
      </c>
      <c r="AN6384">
        <v>1.00000005942502</v>
      </c>
    </row>
    <row r="6385" spans="1:40" x14ac:dyDescent="0.25">
      <c r="A6385" t="str">
        <f>"20190303154308651"</f>
        <v>20190303154308651</v>
      </c>
      <c r="B6385" t="str">
        <f>"1551598988646692"</f>
        <v>1551598988646692</v>
      </c>
      <c r="C6385" t="s">
        <v>40</v>
      </c>
      <c r="D6385">
        <v>5.7597820000000004</v>
      </c>
      <c r="E6385">
        <v>0.51287839999999996</v>
      </c>
      <c r="F6385" t="s">
        <v>59</v>
      </c>
      <c r="G6385">
        <v>-389.98579999999998</v>
      </c>
      <c r="H6385" s="1">
        <v>-5.618252E-7</v>
      </c>
      <c r="I6385">
        <v>17.52692</v>
      </c>
      <c r="J6385">
        <v>-403.03969999999998</v>
      </c>
      <c r="K6385">
        <v>1.1251799999999901</v>
      </c>
      <c r="L6385">
        <v>17.94641</v>
      </c>
      <c r="M6385">
        <v>0.95871410000000001</v>
      </c>
      <c r="N6385">
        <v>-1.2165E-2</v>
      </c>
      <c r="O6385">
        <v>-0.28411180000000003</v>
      </c>
      <c r="P6385">
        <v>0.99410180000000004</v>
      </c>
      <c r="Q6385">
        <v>-0.10839699999999999</v>
      </c>
      <c r="R6385">
        <v>3.4572309999999998E-3</v>
      </c>
      <c r="S6385">
        <v>2.9897770000000001</v>
      </c>
      <c r="T6385">
        <v>-0.255851</v>
      </c>
      <c r="U6385">
        <v>-0.1004944</v>
      </c>
      <c r="V6385">
        <v>-0.28472360000000002</v>
      </c>
      <c r="W6385">
        <v>-9.9846210000000005E-2</v>
      </c>
      <c r="X6385">
        <v>0.95339560000000001</v>
      </c>
      <c r="Y6385">
        <v>-0.24998619999999999</v>
      </c>
      <c r="Z6385">
        <v>3.2684860000000003E-2</v>
      </c>
      <c r="AA6385">
        <v>0.96769760000000005</v>
      </c>
      <c r="AB6385">
        <v>18</v>
      </c>
      <c r="AC6385">
        <v>13.053900000000001</v>
      </c>
      <c r="AD6385">
        <v>-1.12518056182519</v>
      </c>
      <c r="AE6385">
        <v>-0.41948999999999897</v>
      </c>
      <c r="AF6385">
        <v>-3.2824781119770998</v>
      </c>
      <c r="AG6385">
        <v>-1.12518056182519</v>
      </c>
      <c r="AH6385">
        <v>12.541988065594399</v>
      </c>
      <c r="AI6385">
        <v>94.960265703742905</v>
      </c>
      <c r="AJ6385">
        <v>104.66643909274001</v>
      </c>
      <c r="AK6385">
        <v>13.013153287725</v>
      </c>
      <c r="AL6385">
        <v>95.730314740351403</v>
      </c>
      <c r="AM6385">
        <v>106.627814051134</v>
      </c>
      <c r="AN6385">
        <v>0.999999982073841</v>
      </c>
    </row>
    <row r="6386" spans="1:40" x14ac:dyDescent="0.25">
      <c r="A6386" t="str">
        <f>"20190303154308664"</f>
        <v>20190303154308664</v>
      </c>
      <c r="B6386" t="str">
        <f>"1551598988656450"</f>
        <v>1551598988656450</v>
      </c>
      <c r="C6386" t="s">
        <v>40</v>
      </c>
      <c r="D6386">
        <v>5.7520410000000002</v>
      </c>
      <c r="E6386">
        <v>0.51330880000000001</v>
      </c>
      <c r="F6386" t="s">
        <v>59</v>
      </c>
      <c r="G6386">
        <v>-389.983</v>
      </c>
      <c r="H6386" s="1">
        <v>-5.5965569999999898E-7</v>
      </c>
      <c r="I6386">
        <v>17.539159999999999</v>
      </c>
      <c r="J6386">
        <v>-402.94619999999998</v>
      </c>
      <c r="K6386">
        <v>1.1251869999999999</v>
      </c>
      <c r="L6386">
        <v>17.924769999999999</v>
      </c>
      <c r="M6386">
        <v>0.96012180000000003</v>
      </c>
      <c r="N6386">
        <v>-1.2197349999999999E-2</v>
      </c>
      <c r="O6386">
        <v>-0.27931600000000001</v>
      </c>
      <c r="P6386">
        <v>0.99394369999999999</v>
      </c>
      <c r="Q6386">
        <v>-0.10968749999999999</v>
      </c>
      <c r="R6386">
        <v>6.6770349999999996E-3</v>
      </c>
      <c r="S6386">
        <v>2.990021</v>
      </c>
      <c r="T6386">
        <v>-0.25766810000000001</v>
      </c>
      <c r="U6386">
        <v>-9.3261720000000006E-2</v>
      </c>
      <c r="V6386">
        <v>-0.28299350000000001</v>
      </c>
      <c r="W6386">
        <v>-0.1010885</v>
      </c>
      <c r="X6386">
        <v>0.95377979999999996</v>
      </c>
      <c r="Y6386">
        <v>-0.24748519999999999</v>
      </c>
      <c r="Z6386">
        <v>3.2464859999999998E-2</v>
      </c>
      <c r="AA6386">
        <v>0.96834759999999998</v>
      </c>
      <c r="AB6386">
        <v>18</v>
      </c>
      <c r="AC6386">
        <v>12.963199999999899</v>
      </c>
      <c r="AD6386">
        <v>-1.1251875596556999</v>
      </c>
      <c r="AE6386">
        <v>-0.38561000000000301</v>
      </c>
      <c r="AF6386">
        <v>-3.22655098255338</v>
      </c>
      <c r="AG6386">
        <v>-1.1251875596556999</v>
      </c>
      <c r="AH6386">
        <v>12.4610926326036</v>
      </c>
      <c r="AI6386">
        <v>94.995714343440994</v>
      </c>
      <c r="AJ6386">
        <v>104.516777818466</v>
      </c>
      <c r="AK6386">
        <v>12.921126417064</v>
      </c>
      <c r="AL6386">
        <v>95.801854254449296</v>
      </c>
      <c r="AM6386">
        <v>106.52601110928001</v>
      </c>
      <c r="AN6386">
        <v>1.0000000563812601</v>
      </c>
    </row>
    <row r="6387" spans="1:40" x14ac:dyDescent="0.25">
      <c r="A6387" t="str">
        <f>"20190303154308678"</f>
        <v>20190303154308678</v>
      </c>
      <c r="B6387" t="str">
        <f>"1551598988666211"</f>
        <v>1551598988666211</v>
      </c>
      <c r="C6387" t="s">
        <v>40</v>
      </c>
      <c r="D6387">
        <v>5.7697019999999997</v>
      </c>
      <c r="E6387">
        <v>0.51367450000000003</v>
      </c>
      <c r="F6387" t="s">
        <v>41</v>
      </c>
      <c r="G6387">
        <v>-390.09660000000002</v>
      </c>
      <c r="H6387" s="1">
        <v>-5.0282740000000003E-6</v>
      </c>
      <c r="I6387">
        <v>17.550850000000001</v>
      </c>
      <c r="J6387">
        <v>-402.83539999999999</v>
      </c>
      <c r="K6387">
        <v>1.1251930000000001</v>
      </c>
      <c r="L6387">
        <v>17.8996</v>
      </c>
      <c r="M6387">
        <v>0.96176119999999998</v>
      </c>
      <c r="N6387">
        <v>-1.223453E-2</v>
      </c>
      <c r="O6387">
        <v>-0.27361600000000003</v>
      </c>
      <c r="P6387">
        <v>0.99383960000000005</v>
      </c>
      <c r="Q6387">
        <v>-0.1103121</v>
      </c>
      <c r="R6387">
        <v>1.0691010000000001E-2</v>
      </c>
      <c r="S6387">
        <v>2.9899290000000001</v>
      </c>
      <c r="T6387">
        <v>-0.26181589999999999</v>
      </c>
      <c r="U6387">
        <v>-8.7005620000000006E-2</v>
      </c>
      <c r="V6387">
        <v>-0.28116289999999999</v>
      </c>
      <c r="W6387">
        <v>-0.10165689999999999</v>
      </c>
      <c r="X6387">
        <v>0.95426060000000001</v>
      </c>
      <c r="Y6387">
        <v>-0.24373359999999999</v>
      </c>
      <c r="Z6387">
        <v>3.2417979999999999E-2</v>
      </c>
      <c r="AA6387">
        <v>0.9693003</v>
      </c>
      <c r="AB6387">
        <v>18</v>
      </c>
      <c r="AC6387">
        <v>12.7387999999999</v>
      </c>
      <c r="AD6387">
        <v>-1.125198028274</v>
      </c>
      <c r="AE6387">
        <v>-0.34874999999999801</v>
      </c>
      <c r="AF6387">
        <v>-3.1259906329615101</v>
      </c>
      <c r="AG6387">
        <v>-1.125198028274</v>
      </c>
      <c r="AH6387">
        <v>12.252509932286101</v>
      </c>
      <c r="AI6387">
        <v>95.084996936897696</v>
      </c>
      <c r="AJ6387">
        <v>104.312579446968</v>
      </c>
      <c r="AK6387">
        <v>12.6949552059456</v>
      </c>
      <c r="AL6387">
        <v>95.834590157318601</v>
      </c>
      <c r="AM6387">
        <v>106.41705772042501</v>
      </c>
      <c r="AN6387">
        <v>0.99999999718318999</v>
      </c>
    </row>
    <row r="6388" spans="1:40" x14ac:dyDescent="0.25">
      <c r="A6388" t="str">
        <f>"20190303154308696"</f>
        <v>20190303154308696</v>
      </c>
      <c r="B6388" t="str">
        <f>"1551598988686707"</f>
        <v>1551598988686707</v>
      </c>
      <c r="C6388" t="s">
        <v>40</v>
      </c>
      <c r="D6388">
        <v>5.7596210000000001</v>
      </c>
      <c r="E6388">
        <v>0.5144782</v>
      </c>
      <c r="F6388" t="s">
        <v>41</v>
      </c>
      <c r="G6388">
        <v>-390.07440000000003</v>
      </c>
      <c r="H6388" s="1">
        <v>-5.0358439999999997E-6</v>
      </c>
      <c r="I6388">
        <v>17.567350000000001</v>
      </c>
      <c r="J6388">
        <v>-402.70490000000001</v>
      </c>
      <c r="K6388">
        <v>1.1251949999999999</v>
      </c>
      <c r="L6388">
        <v>17.87088</v>
      </c>
      <c r="M6388">
        <v>0.96365179999999995</v>
      </c>
      <c r="N6388">
        <v>-1.227468E-2</v>
      </c>
      <c r="O6388">
        <v>-0.26687939999999999</v>
      </c>
      <c r="P6388">
        <v>0.99363769999999996</v>
      </c>
      <c r="Q6388">
        <v>-0.1119708</v>
      </c>
      <c r="R6388">
        <v>1.211125E-2</v>
      </c>
      <c r="S6388">
        <v>2.9901119999999999</v>
      </c>
      <c r="T6388">
        <v>-0.26365050000000001</v>
      </c>
      <c r="U6388">
        <v>-7.7850340000000004E-2</v>
      </c>
      <c r="V6388">
        <v>-0.27578459999999899</v>
      </c>
      <c r="W6388">
        <v>-0.1032049</v>
      </c>
      <c r="X6388">
        <v>0.95566289999999998</v>
      </c>
      <c r="Y6388">
        <v>-0.239924</v>
      </c>
      <c r="Z6388">
        <v>3.1973019999999998E-2</v>
      </c>
      <c r="AA6388">
        <v>0.97026500000000004</v>
      </c>
      <c r="AB6388">
        <v>18</v>
      </c>
      <c r="AC6388">
        <v>12.6304999999999</v>
      </c>
      <c r="AD6388">
        <v>-1.125200035844</v>
      </c>
      <c r="AE6388">
        <v>-0.30352999999999802</v>
      </c>
      <c r="AF6388">
        <v>-3.0543287500659901</v>
      </c>
      <c r="AG6388">
        <v>-1.125200035844</v>
      </c>
      <c r="AH6388">
        <v>12.1569073928253</v>
      </c>
      <c r="AI6388">
        <v>95.129500819681596</v>
      </c>
      <c r="AJ6388">
        <v>104.10321266748799</v>
      </c>
      <c r="AK6388">
        <v>12.5851260061976</v>
      </c>
      <c r="AL6388">
        <v>95.923753075574098</v>
      </c>
      <c r="AM6388">
        <v>106.09704891745</v>
      </c>
      <c r="AN6388">
        <v>0.99999998770878995</v>
      </c>
    </row>
    <row r="6389" spans="1:40" x14ac:dyDescent="0.25">
      <c r="A6389" t="str">
        <f>"20190303154308728"</f>
        <v>20190303154308728</v>
      </c>
      <c r="B6389" t="str">
        <f>"1551598988716966"</f>
        <v>1551598988716966</v>
      </c>
      <c r="C6389" t="s">
        <v>40</v>
      </c>
      <c r="D6389">
        <v>5.7752629999999998</v>
      </c>
      <c r="E6389">
        <v>0.52424579999999998</v>
      </c>
      <c r="F6389" t="s">
        <v>41</v>
      </c>
      <c r="G6389">
        <v>-390.09989999999999</v>
      </c>
      <c r="H6389" s="1">
        <v>-5.0297189999999998E-6</v>
      </c>
      <c r="I6389">
        <v>17.533819999999999</v>
      </c>
      <c r="J6389">
        <v>-402.46</v>
      </c>
      <c r="K6389">
        <v>1.1251979999999999</v>
      </c>
      <c r="L6389">
        <v>17.819890000000001</v>
      </c>
      <c r="M6389">
        <v>0.96707050000000006</v>
      </c>
      <c r="N6389">
        <v>-1.233679E-2</v>
      </c>
      <c r="O6389">
        <v>-0.2542103</v>
      </c>
      <c r="P6389">
        <v>0.99351409999999996</v>
      </c>
      <c r="Q6389">
        <v>-0.1121214</v>
      </c>
      <c r="R6389">
        <v>1.8947499999999999E-2</v>
      </c>
      <c r="S6389">
        <v>2.9900820000000001</v>
      </c>
      <c r="T6389">
        <v>-0.26691340000000002</v>
      </c>
      <c r="U6389">
        <v>-7.9956050000000001E-2</v>
      </c>
      <c r="V6389">
        <v>-0.26981929999999998</v>
      </c>
      <c r="W6389">
        <v>-0.1032057</v>
      </c>
      <c r="X6389">
        <v>0.95736410000000005</v>
      </c>
      <c r="Y6389">
        <v>-0.22653300000000001</v>
      </c>
      <c r="Z6389">
        <v>3.0765379999999998E-2</v>
      </c>
      <c r="AA6389">
        <v>0.97351750000000004</v>
      </c>
      <c r="AB6389">
        <v>18</v>
      </c>
      <c r="AC6389">
        <v>12.3600999999999</v>
      </c>
      <c r="AD6389">
        <v>-1.1252030297190001</v>
      </c>
      <c r="AE6389">
        <v>-0.28606999999999799</v>
      </c>
      <c r="AF6389">
        <v>-2.8420914278843599</v>
      </c>
      <c r="AG6389">
        <v>-1.1252030297190001</v>
      </c>
      <c r="AH6389">
        <v>11.927924272852</v>
      </c>
      <c r="AI6389">
        <v>95.243038849242097</v>
      </c>
      <c r="AJ6389">
        <v>103.40208654883401</v>
      </c>
      <c r="AK6389">
        <v>12.3133644062634</v>
      </c>
      <c r="AL6389">
        <v>95.923799408809899</v>
      </c>
      <c r="AM6389">
        <v>105.739726793342</v>
      </c>
      <c r="AN6389">
        <v>0.99999994556689298</v>
      </c>
    </row>
    <row r="6390" spans="1:40" x14ac:dyDescent="0.25">
      <c r="A6390" t="str">
        <f>"20190303154308750"</f>
        <v>20190303154308750</v>
      </c>
      <c r="B6390" t="str">
        <f>"1551598988746243"</f>
        <v>1551598988746243</v>
      </c>
      <c r="C6390" t="s">
        <v>40</v>
      </c>
      <c r="D6390">
        <v>5.7613719999999997</v>
      </c>
      <c r="E6390">
        <v>0.52514510000000003</v>
      </c>
      <c r="F6390" t="s">
        <v>59</v>
      </c>
      <c r="G6390">
        <v>-388.65600000000001</v>
      </c>
      <c r="H6390" s="1">
        <v>-1.1630379999999999E-6</v>
      </c>
      <c r="I6390">
        <v>17.186579999999999</v>
      </c>
      <c r="J6390">
        <v>-402.29599999999999</v>
      </c>
      <c r="K6390">
        <v>1.1251899999999999</v>
      </c>
      <c r="L6390">
        <v>17.787510000000001</v>
      </c>
      <c r="M6390">
        <v>0.96926120000000004</v>
      </c>
      <c r="N6390">
        <v>-1.237274E-2</v>
      </c>
      <c r="O6390">
        <v>-0.24572269999999999</v>
      </c>
      <c r="P6390">
        <v>0.99348559999999997</v>
      </c>
      <c r="Q6390">
        <v>-0.11162469999999999</v>
      </c>
      <c r="R6390">
        <v>2.2946230000000001E-2</v>
      </c>
      <c r="S6390">
        <v>2.994659</v>
      </c>
      <c r="T6390">
        <v>-0.2441026</v>
      </c>
      <c r="U6390">
        <v>-0.13739009999999999</v>
      </c>
      <c r="V6390">
        <v>-0.26530629999999999</v>
      </c>
      <c r="W6390">
        <v>-0.1026012</v>
      </c>
      <c r="X6390">
        <v>0.95868949999999997</v>
      </c>
      <c r="Y6390">
        <v>-0.19972980000000001</v>
      </c>
      <c r="Z6390">
        <v>2.6100749999999999E-2</v>
      </c>
      <c r="AA6390">
        <v>0.97950329999999997</v>
      </c>
      <c r="AB6390">
        <v>18</v>
      </c>
      <c r="AC6390">
        <v>13.639999999999899</v>
      </c>
      <c r="AD6390">
        <v>-1.12519116303799</v>
      </c>
      <c r="AE6390">
        <v>-0.60093000000000096</v>
      </c>
      <c r="AF6390">
        <v>-2.7507292076069501</v>
      </c>
      <c r="AG6390">
        <v>-1.12519116303799</v>
      </c>
      <c r="AH6390">
        <v>13.279219101424401</v>
      </c>
      <c r="AI6390">
        <v>94.743069719703897</v>
      </c>
      <c r="AJ6390">
        <v>101.703041409017</v>
      </c>
      <c r="AK6390">
        <v>13.607726712077801</v>
      </c>
      <c r="AL6390">
        <v>95.888978948360105</v>
      </c>
      <c r="AM6390">
        <v>105.468815775324</v>
      </c>
      <c r="AN6390">
        <v>0.99999999823568997</v>
      </c>
    </row>
    <row r="6391" spans="1:40" x14ac:dyDescent="0.25">
      <c r="A6391" t="str">
        <f>"20190303154308772"</f>
        <v>20190303154308772</v>
      </c>
      <c r="B6391" t="str">
        <f>"1551598988766739"</f>
        <v>1551598988766739</v>
      </c>
      <c r="C6391" t="s">
        <v>40</v>
      </c>
      <c r="D6391">
        <v>5.7628170000000001</v>
      </c>
      <c r="E6391">
        <v>0.52574929999999997</v>
      </c>
      <c r="F6391" t="s">
        <v>59</v>
      </c>
      <c r="G6391">
        <v>-388.4196</v>
      </c>
      <c r="H6391" s="1">
        <v>-1.2572269999999999E-6</v>
      </c>
      <c r="I6391">
        <v>17.17381</v>
      </c>
      <c r="J6391">
        <v>-402.12729999999999</v>
      </c>
      <c r="K6391">
        <v>1.1251819999999999</v>
      </c>
      <c r="L6391">
        <v>17.755739999999999</v>
      </c>
      <c r="M6391">
        <v>0.97143109999999999</v>
      </c>
      <c r="N6391">
        <v>-1.240526E-2</v>
      </c>
      <c r="O6391">
        <v>-0.23699770000000001</v>
      </c>
      <c r="P6391">
        <v>0.99357470000000003</v>
      </c>
      <c r="Q6391">
        <v>-0.1100278</v>
      </c>
      <c r="R6391">
        <v>2.6525900000000002E-2</v>
      </c>
      <c r="S6391">
        <v>2.9954830000000001</v>
      </c>
      <c r="T6391">
        <v>-0.2428932</v>
      </c>
      <c r="U6391">
        <v>-0.13247679999999901</v>
      </c>
      <c r="V6391">
        <v>-0.26020870000000001</v>
      </c>
      <c r="W6391">
        <v>-0.1008863</v>
      </c>
      <c r="X6391">
        <v>0.96026739999999999</v>
      </c>
      <c r="Y6391">
        <v>-0.1925924</v>
      </c>
      <c r="Z6391">
        <v>2.5042209999999999E-2</v>
      </c>
      <c r="AA6391">
        <v>0.98095920000000003</v>
      </c>
      <c r="AB6391">
        <v>18</v>
      </c>
      <c r="AC6391">
        <v>13.7076999999999</v>
      </c>
      <c r="AD6391">
        <v>-1.125183257227</v>
      </c>
      <c r="AE6391">
        <v>-0.58192999999999895</v>
      </c>
      <c r="AF6391">
        <v>-2.6656663419914501</v>
      </c>
      <c r="AG6391">
        <v>-1.125183257227</v>
      </c>
      <c r="AH6391">
        <v>13.3651467524721</v>
      </c>
      <c r="AI6391">
        <v>94.719734475583195</v>
      </c>
      <c r="AJ6391">
        <v>101.279578410665</v>
      </c>
      <c r="AK6391">
        <v>13.6747563826302</v>
      </c>
      <c r="AL6391">
        <v>95.790209575748193</v>
      </c>
      <c r="AM6391">
        <v>105.161643400617</v>
      </c>
      <c r="AN6391">
        <v>1.0000000462930601</v>
      </c>
    </row>
    <row r="6392" spans="1:40" x14ac:dyDescent="0.25">
      <c r="A6392" t="str">
        <f>"20190303154308796"</f>
        <v>20190303154308796</v>
      </c>
      <c r="B6392" t="str">
        <f>"1551598988786258"</f>
        <v>1551598988786258</v>
      </c>
      <c r="C6392" t="s">
        <v>40</v>
      </c>
      <c r="D6392">
        <v>5.8474899999999996</v>
      </c>
      <c r="E6392">
        <v>0.52406540000000001</v>
      </c>
      <c r="F6392" t="s">
        <v>59</v>
      </c>
      <c r="G6392">
        <v>-387.99540000000002</v>
      </c>
      <c r="H6392" s="1">
        <v>-1.424365E-6</v>
      </c>
      <c r="I6392">
        <v>17.15785</v>
      </c>
      <c r="J6392">
        <v>-401.94690000000003</v>
      </c>
      <c r="K6392">
        <v>1.125167</v>
      </c>
      <c r="L6392">
        <v>17.723389999999998</v>
      </c>
      <c r="M6392">
        <v>0.97365239999999997</v>
      </c>
      <c r="N6392">
        <v>-1.243873E-2</v>
      </c>
      <c r="O6392">
        <v>-0.2276986</v>
      </c>
      <c r="P6392">
        <v>0.99367050000000001</v>
      </c>
      <c r="Q6392">
        <v>-0.1082847</v>
      </c>
      <c r="R6392">
        <v>2.9890739999999999E-2</v>
      </c>
      <c r="S6392">
        <v>2.9963679999999999</v>
      </c>
      <c r="T6392">
        <v>-0.2385709</v>
      </c>
      <c r="U6392">
        <v>-0.12676999999999999</v>
      </c>
      <c r="V6392">
        <v>-0.25435259999999998</v>
      </c>
      <c r="W6392">
        <v>-9.900776E-2</v>
      </c>
      <c r="X6392">
        <v>0.96203019999999995</v>
      </c>
      <c r="Y6392">
        <v>-0.18517800000000001</v>
      </c>
      <c r="Z6392">
        <v>2.3612149999999998E-2</v>
      </c>
      <c r="AA6392">
        <v>0.98242130000000005</v>
      </c>
      <c r="AB6392">
        <v>18</v>
      </c>
      <c r="AC6392">
        <v>13.951499999999999</v>
      </c>
      <c r="AD6392">
        <v>-1.125168424365</v>
      </c>
      <c r="AE6392">
        <v>-0.56553999999999804</v>
      </c>
      <c r="AF6392">
        <v>-2.6093564242873701</v>
      </c>
      <c r="AG6392">
        <v>-1.125168424365</v>
      </c>
      <c r="AH6392">
        <v>13.6252665840637</v>
      </c>
      <c r="AI6392">
        <v>94.636861797454401</v>
      </c>
      <c r="AJ6392">
        <v>100.841371558929</v>
      </c>
      <c r="AK6392">
        <v>13.9184278716729</v>
      </c>
      <c r="AL6392">
        <v>95.682036081938506</v>
      </c>
      <c r="AM6392">
        <v>104.809644950305</v>
      </c>
      <c r="AN6392">
        <v>0.99999994368950695</v>
      </c>
    </row>
    <row r="6393" spans="1:40" x14ac:dyDescent="0.25">
      <c r="A6393" t="str">
        <f>"20190303154308820"</f>
        <v>20190303154308820</v>
      </c>
      <c r="B6393" t="str">
        <f>"1551598988816515"</f>
        <v>1551598988816515</v>
      </c>
      <c r="C6393" t="s">
        <v>40</v>
      </c>
      <c r="D6393">
        <v>5.7734329999999998</v>
      </c>
      <c r="E6393">
        <v>0.52503279999999997</v>
      </c>
      <c r="F6393" t="s">
        <v>59</v>
      </c>
      <c r="G6393">
        <v>-386.82130000000001</v>
      </c>
      <c r="H6393" s="1">
        <v>-1.931682E-6</v>
      </c>
      <c r="I6393">
        <v>17.19988</v>
      </c>
      <c r="J6393">
        <v>-401.76740000000001</v>
      </c>
      <c r="K6393">
        <v>1.1251260000000001</v>
      </c>
      <c r="L6393">
        <v>17.693079999999998</v>
      </c>
      <c r="M6393">
        <v>0.97575650000000003</v>
      </c>
      <c r="N6393">
        <v>-1.248895E-2</v>
      </c>
      <c r="O6393">
        <v>-0.21850259999999999</v>
      </c>
      <c r="P6393">
        <v>0.99372090000000002</v>
      </c>
      <c r="Q6393">
        <v>-0.106696</v>
      </c>
      <c r="R6393">
        <v>3.3690400000000002E-2</v>
      </c>
      <c r="S6393">
        <v>2.997925</v>
      </c>
      <c r="T6393">
        <v>-0.22301009999999999</v>
      </c>
      <c r="U6393">
        <v>-0.1037598</v>
      </c>
      <c r="V6393">
        <v>-0.24902450000000001</v>
      </c>
      <c r="W6393">
        <v>-9.7266679999999994E-2</v>
      </c>
      <c r="X6393">
        <v>0.96360060000000003</v>
      </c>
      <c r="Y6393">
        <v>-0.18363570000000001</v>
      </c>
      <c r="Z6393">
        <v>2.1335449999999999E-2</v>
      </c>
      <c r="AA6393">
        <v>0.98276280000000005</v>
      </c>
      <c r="AB6393">
        <v>18</v>
      </c>
      <c r="AC6393">
        <v>14.946099999999999</v>
      </c>
      <c r="AD6393">
        <v>-1.125127931682</v>
      </c>
      <c r="AE6393">
        <v>-0.49319999999999797</v>
      </c>
      <c r="AF6393">
        <v>-2.76906062477812</v>
      </c>
      <c r="AG6393">
        <v>-1.125127931682</v>
      </c>
      <c r="AH6393">
        <v>14.6099611902057</v>
      </c>
      <c r="AI6393">
        <v>94.326982152158394</v>
      </c>
      <c r="AJ6393">
        <v>100.732105389259</v>
      </c>
      <c r="AK6393">
        <v>14.9125643531106</v>
      </c>
      <c r="AL6393">
        <v>95.581794990904399</v>
      </c>
      <c r="AM6393">
        <v>104.489992245406</v>
      </c>
      <c r="AN6393">
        <v>1.0000000624794101</v>
      </c>
    </row>
    <row r="6394" spans="1:40" x14ac:dyDescent="0.25">
      <c r="A6394" t="str">
        <f>"20190303154308839"</f>
        <v>20190303154308839</v>
      </c>
      <c r="B6394" t="str">
        <f>"1551598988837011"</f>
        <v>1551598988837011</v>
      </c>
      <c r="C6394" t="s">
        <v>40</v>
      </c>
      <c r="D6394">
        <v>5.7646990000000002</v>
      </c>
      <c r="E6394">
        <v>0.52542509999999998</v>
      </c>
      <c r="F6394" t="s">
        <v>59</v>
      </c>
      <c r="G6394">
        <v>-386.42540000000002</v>
      </c>
      <c r="H6394" s="1">
        <v>-2.1225180000000001E-6</v>
      </c>
      <c r="I6394">
        <v>17.178940000000001</v>
      </c>
      <c r="J6394">
        <v>-401.61279999999999</v>
      </c>
      <c r="K6394">
        <v>1.125089</v>
      </c>
      <c r="L6394">
        <v>17.66827</v>
      </c>
      <c r="M6394">
        <v>0.9774851</v>
      </c>
      <c r="N6394">
        <v>-1.254401E-2</v>
      </c>
      <c r="O6394">
        <v>-0.21063129999999999</v>
      </c>
      <c r="P6394">
        <v>0.99379660000000003</v>
      </c>
      <c r="Q6394">
        <v>-0.1053197</v>
      </c>
      <c r="R6394">
        <v>3.5722240000000002E-2</v>
      </c>
      <c r="S6394">
        <v>2.9987490000000001</v>
      </c>
      <c r="T6394">
        <v>-0.2199179</v>
      </c>
      <c r="U6394">
        <v>-0.1004944</v>
      </c>
      <c r="V6394">
        <v>-0.24328859999999999</v>
      </c>
      <c r="W6394">
        <v>-9.5729939999999999E-2</v>
      </c>
      <c r="X6394">
        <v>0.96521840000000003</v>
      </c>
      <c r="Y6394">
        <v>-0.17685290000000001</v>
      </c>
      <c r="Z6394">
        <v>2.0250580000000001E-2</v>
      </c>
      <c r="AA6394">
        <v>0.98402889999999998</v>
      </c>
      <c r="AB6394">
        <v>18</v>
      </c>
      <c r="AC6394">
        <v>15.187399999999901</v>
      </c>
      <c r="AD6394">
        <v>-1.125091122518</v>
      </c>
      <c r="AE6394">
        <v>-0.48932999999999799</v>
      </c>
      <c r="AF6394">
        <v>-2.7060080897873702</v>
      </c>
      <c r="AG6394">
        <v>-1.125091122518</v>
      </c>
      <c r="AH6394">
        <v>14.868190554462201</v>
      </c>
      <c r="AI6394">
        <v>94.257704920979407</v>
      </c>
      <c r="AJ6394">
        <v>100.31492053820899</v>
      </c>
      <c r="AK6394">
        <v>15.1542535342313</v>
      </c>
      <c r="AL6394">
        <v>95.493333436932502</v>
      </c>
      <c r="AM6394">
        <v>104.147033129093</v>
      </c>
      <c r="AN6394">
        <v>1.0000000620004501</v>
      </c>
    </row>
    <row r="6395" spans="1:40" x14ac:dyDescent="0.25">
      <c r="A6395" t="str">
        <f>"20190303154308862"</f>
        <v>20190303154308862</v>
      </c>
      <c r="B6395" t="str">
        <f>"1551598988856531"</f>
        <v>1551598988856531</v>
      </c>
      <c r="C6395" t="s">
        <v>40</v>
      </c>
      <c r="D6395">
        <v>5.7789330000000003</v>
      </c>
      <c r="E6395">
        <v>0.525761699999999</v>
      </c>
      <c r="F6395" t="s">
        <v>59</v>
      </c>
      <c r="G6395">
        <v>-386.07760000000002</v>
      </c>
      <c r="H6395" s="1">
        <v>-2.2896949999999999E-6</v>
      </c>
      <c r="I6395">
        <v>17.16338</v>
      </c>
      <c r="J6395">
        <v>-401.44450000000001</v>
      </c>
      <c r="K6395">
        <v>1.125046</v>
      </c>
      <c r="L6395">
        <v>17.642610000000001</v>
      </c>
      <c r="M6395">
        <v>0.97927819999999999</v>
      </c>
      <c r="N6395">
        <v>-1.262667E-2</v>
      </c>
      <c r="O6395">
        <v>-0.2021261</v>
      </c>
      <c r="P6395">
        <v>0.99370789999999998</v>
      </c>
      <c r="Q6395">
        <v>-0.1052637</v>
      </c>
      <c r="R6395">
        <v>3.8266469999999997E-2</v>
      </c>
      <c r="S6395">
        <v>2.9992070000000002</v>
      </c>
      <c r="T6395">
        <v>-0.2172087</v>
      </c>
      <c r="U6395">
        <v>-9.747314E-2</v>
      </c>
      <c r="V6395">
        <v>-0.2373894</v>
      </c>
      <c r="W6395">
        <v>-9.5480579999999995E-2</v>
      </c>
      <c r="X6395">
        <v>0.96671079999999998</v>
      </c>
      <c r="Y6395">
        <v>-0.16935039999999901</v>
      </c>
      <c r="Z6395">
        <v>1.9156739999999998E-2</v>
      </c>
      <c r="AA6395">
        <v>0.98536970000000002</v>
      </c>
      <c r="AB6395">
        <v>18</v>
      </c>
      <c r="AC6395">
        <v>15.3668999999999</v>
      </c>
      <c r="AD6395">
        <v>-1.125048289695</v>
      </c>
      <c r="AE6395">
        <v>-0.47923000000000099</v>
      </c>
      <c r="AF6395">
        <v>-2.6229167106469302</v>
      </c>
      <c r="AG6395">
        <v>-1.125048289695</v>
      </c>
      <c r="AH6395">
        <v>15.0658656196258</v>
      </c>
      <c r="AI6395">
        <v>94.207597004201801</v>
      </c>
      <c r="AJ6395">
        <v>99.876017579620495</v>
      </c>
      <c r="AK6395">
        <v>15.3338101133984</v>
      </c>
      <c r="AL6395">
        <v>95.478980648645404</v>
      </c>
      <c r="AM6395">
        <v>103.796783296279</v>
      </c>
      <c r="AN6395">
        <v>1.0000000196130601</v>
      </c>
    </row>
    <row r="6396" spans="1:40" x14ac:dyDescent="0.25">
      <c r="A6396" t="str">
        <f>"20190303154308885"</f>
        <v>20190303154308885</v>
      </c>
      <c r="B6396" t="str">
        <f>"1551598988877026"</f>
        <v>1551598988877026</v>
      </c>
      <c r="C6396" t="s">
        <v>40</v>
      </c>
      <c r="D6396">
        <v>5.7703980000000001</v>
      </c>
      <c r="E6396">
        <v>0.52597700000000003</v>
      </c>
      <c r="F6396" t="s">
        <v>59</v>
      </c>
      <c r="G6396">
        <v>-386.0086</v>
      </c>
      <c r="H6396" s="1">
        <v>-2.3216450000000001E-6</v>
      </c>
      <c r="I6396">
        <v>17.167210000000001</v>
      </c>
      <c r="J6396">
        <v>-401.26179999999999</v>
      </c>
      <c r="K6396">
        <v>1.1249830000000001</v>
      </c>
      <c r="L6396">
        <v>17.61636</v>
      </c>
      <c r="M6396">
        <v>0.98111550000000003</v>
      </c>
      <c r="N6396">
        <v>-1.275388E-2</v>
      </c>
      <c r="O6396">
        <v>-0.1930017</v>
      </c>
      <c r="P6396">
        <v>0.99346829999999997</v>
      </c>
      <c r="Q6396">
        <v>-0.10682369999999999</v>
      </c>
      <c r="R6396">
        <v>4.0115249999999998E-2</v>
      </c>
      <c r="S6396">
        <v>2.9994510000000001</v>
      </c>
      <c r="T6396">
        <v>-0.2186147</v>
      </c>
      <c r="U6396">
        <v>-9.2376710000000001E-2</v>
      </c>
      <c r="V6396">
        <v>-0.2301647</v>
      </c>
      <c r="W6396">
        <v>-9.6778989999999995E-2</v>
      </c>
      <c r="X6396">
        <v>0.96832750000000001</v>
      </c>
      <c r="Y6396">
        <v>-0.16187599999999999</v>
      </c>
      <c r="Z6396">
        <v>1.842009E-2</v>
      </c>
      <c r="AA6396">
        <v>0.98663920000000005</v>
      </c>
      <c r="AB6396">
        <v>18</v>
      </c>
      <c r="AC6396">
        <v>15.2531999999999</v>
      </c>
      <c r="AD6396">
        <v>-1.1249853216450001</v>
      </c>
      <c r="AE6396">
        <v>-0.44914999999999899</v>
      </c>
      <c r="AF6396">
        <v>-2.48989673149471</v>
      </c>
      <c r="AG6396">
        <v>-1.1249853216450001</v>
      </c>
      <c r="AH6396">
        <v>14.9716920564713</v>
      </c>
      <c r="AI6396">
        <v>94.239169868505599</v>
      </c>
      <c r="AJ6396">
        <v>99.442268903028406</v>
      </c>
      <c r="AK6396">
        <v>15.2189599099686</v>
      </c>
      <c r="AL6396">
        <v>95.553720003697904</v>
      </c>
      <c r="AM6396">
        <v>103.370687401887</v>
      </c>
      <c r="AN6396">
        <v>1.0000000546438701</v>
      </c>
    </row>
    <row r="6397" spans="1:40" x14ac:dyDescent="0.25">
      <c r="A6397" t="str">
        <f>"20190303154308908"</f>
        <v>20190303154308908</v>
      </c>
      <c r="B6397" t="str">
        <f>"1551598988896546"</f>
        <v>1551598988896546</v>
      </c>
      <c r="C6397" t="s">
        <v>40</v>
      </c>
      <c r="D6397">
        <v>5.8002529999999997</v>
      </c>
      <c r="E6397">
        <v>0.52607349999999997</v>
      </c>
      <c r="F6397" t="s">
        <v>59</v>
      </c>
      <c r="G6397">
        <v>-386.23590000000002</v>
      </c>
      <c r="H6397" s="1">
        <v>-2.213169E-6</v>
      </c>
      <c r="I6397">
        <v>17.172969999999999</v>
      </c>
      <c r="J6397">
        <v>-401.09010000000001</v>
      </c>
      <c r="K6397">
        <v>1.124914</v>
      </c>
      <c r="L6397">
        <v>17.59308</v>
      </c>
      <c r="M6397">
        <v>0.98274110000000003</v>
      </c>
      <c r="N6397">
        <v>-1.288247E-2</v>
      </c>
      <c r="O6397">
        <v>-0.18453739999999999</v>
      </c>
      <c r="P6397">
        <v>0.99326099999999995</v>
      </c>
      <c r="Q6397">
        <v>-0.10912139999999999</v>
      </c>
      <c r="R6397">
        <v>3.9056819999999999E-2</v>
      </c>
      <c r="S6397">
        <v>2.9991460000000001</v>
      </c>
      <c r="T6397">
        <v>-0.22454479999999999</v>
      </c>
      <c r="U6397">
        <v>-8.8500980000000007E-2</v>
      </c>
      <c r="V6397">
        <v>-0.2207422</v>
      </c>
      <c r="W6397">
        <v>-9.8786609999999997E-2</v>
      </c>
      <c r="X6397">
        <v>0.97031650000000003</v>
      </c>
      <c r="Y6397">
        <v>-0.15462879999999901</v>
      </c>
      <c r="Z6397">
        <v>1.8115760000000002E-2</v>
      </c>
      <c r="AA6397">
        <v>0.98780659999999998</v>
      </c>
      <c r="AB6397">
        <v>18</v>
      </c>
      <c r="AC6397">
        <v>14.854199999999899</v>
      </c>
      <c r="AD6397">
        <v>-1.124916213169</v>
      </c>
      <c r="AE6397">
        <v>-0.42011000000000098</v>
      </c>
      <c r="AF6397">
        <v>-2.31522177342555</v>
      </c>
      <c r="AG6397">
        <v>-1.124916213169</v>
      </c>
      <c r="AH6397">
        <v>14.5929508679056</v>
      </c>
      <c r="AI6397">
        <v>94.353760522381606</v>
      </c>
      <c r="AJ6397">
        <v>99.015034436809401</v>
      </c>
      <c r="AK6397">
        <v>14.8182287531237</v>
      </c>
      <c r="AL6397">
        <v>95.669302309437299</v>
      </c>
      <c r="AM6397">
        <v>102.816377952704</v>
      </c>
      <c r="AN6397">
        <v>1.0000000116741901</v>
      </c>
    </row>
    <row r="6398" spans="1:40" x14ac:dyDescent="0.25">
      <c r="A6398" t="str">
        <f>"20190303154308929"</f>
        <v>20190303154308929</v>
      </c>
      <c r="B6398" t="str">
        <f>"1551598988926803"</f>
        <v>1551598988926803</v>
      </c>
      <c r="C6398" t="s">
        <v>40</v>
      </c>
      <c r="D6398">
        <v>5.7601420000000001</v>
      </c>
      <c r="E6398">
        <v>0.5015501</v>
      </c>
      <c r="F6398" t="s">
        <v>59</v>
      </c>
      <c r="G6398">
        <v>-386.62270000000001</v>
      </c>
      <c r="H6398" s="1">
        <v>-2.0350430000000001E-6</v>
      </c>
      <c r="I6398">
        <v>17.146470000000001</v>
      </c>
      <c r="J6398">
        <v>-400.92770000000002</v>
      </c>
      <c r="K6398">
        <v>1.124841</v>
      </c>
      <c r="L6398">
        <v>17.572299999999998</v>
      </c>
      <c r="M6398">
        <v>0.98418899999999998</v>
      </c>
      <c r="N6398">
        <v>-1.2988029999999999E-2</v>
      </c>
      <c r="O6398">
        <v>-0.17664549999999901</v>
      </c>
      <c r="P6398">
        <v>0.99321610000000005</v>
      </c>
      <c r="Q6398">
        <v>-0.11031199999999999</v>
      </c>
      <c r="R6398">
        <v>3.6787210000000001E-2</v>
      </c>
      <c r="S6398">
        <v>2.9983520000000001</v>
      </c>
      <c r="T6398">
        <v>-0.2331375</v>
      </c>
      <c r="U6398">
        <v>-9.2559810000000006E-2</v>
      </c>
      <c r="V6398">
        <v>-0.21072840000000001</v>
      </c>
      <c r="W6398">
        <v>-9.9706429999999999E-2</v>
      </c>
      <c r="X6398">
        <v>0.97244649999999999</v>
      </c>
      <c r="Y6398">
        <v>-0.14533090000000001</v>
      </c>
      <c r="Z6398">
        <v>1.7931799999999901E-2</v>
      </c>
      <c r="AA6398">
        <v>0.98922060000000001</v>
      </c>
      <c r="AB6398">
        <v>18</v>
      </c>
      <c r="AC6398">
        <v>14.305</v>
      </c>
      <c r="AD6398">
        <v>-1.1248430350430001</v>
      </c>
      <c r="AE6398">
        <v>-0.42582999999999699</v>
      </c>
      <c r="AF6398">
        <v>-2.0950516543026998</v>
      </c>
      <c r="AG6398">
        <v>-1.1248430350430001</v>
      </c>
      <c r="AH6398">
        <v>14.0683271432067</v>
      </c>
      <c r="AI6398">
        <v>94.521745133420197</v>
      </c>
      <c r="AJ6398">
        <v>98.470223812605994</v>
      </c>
      <c r="AK6398">
        <v>14.267877974526099</v>
      </c>
      <c r="AL6398">
        <v>95.722265593035303</v>
      </c>
      <c r="AM6398">
        <v>102.226904309356</v>
      </c>
      <c r="AN6398">
        <v>1.00000001305607</v>
      </c>
    </row>
    <row r="6399" spans="1:40" x14ac:dyDescent="0.25">
      <c r="A6399" t="str">
        <f>"20190303154308952"</f>
        <v>20190303154308952</v>
      </c>
      <c r="B6399" t="str">
        <f>"1551598988946323"</f>
        <v>1551598988946323</v>
      </c>
      <c r="C6399" t="s">
        <v>40</v>
      </c>
      <c r="D6399">
        <v>5.7921559999999896</v>
      </c>
      <c r="E6399">
        <v>0.49934539999999999</v>
      </c>
      <c r="F6399" t="s">
        <v>59</v>
      </c>
      <c r="G6399">
        <v>-385.38819999999998</v>
      </c>
      <c r="H6399" s="1">
        <v>-2.4549259999999999E-6</v>
      </c>
      <c r="I6399">
        <v>18.069040000000001</v>
      </c>
      <c r="J6399">
        <v>-400.75799999999998</v>
      </c>
      <c r="K6399">
        <v>1.12477</v>
      </c>
      <c r="L6399">
        <v>17.551909999999999</v>
      </c>
      <c r="M6399">
        <v>0.98561149999999997</v>
      </c>
      <c r="N6399">
        <v>-1.308048E-2</v>
      </c>
      <c r="O6399">
        <v>-0.16851949999999999</v>
      </c>
      <c r="P6399">
        <v>0.99333800000000005</v>
      </c>
      <c r="Q6399">
        <v>-0.10957799999999999</v>
      </c>
      <c r="R6399">
        <v>3.567145E-2</v>
      </c>
      <c r="S6399">
        <v>2.9928889999999999</v>
      </c>
      <c r="T6399">
        <v>-0.21664349999999999</v>
      </c>
      <c r="U6399">
        <v>9.5672610000000005E-2</v>
      </c>
      <c r="V6399">
        <v>-0.2016599</v>
      </c>
      <c r="W6399">
        <v>-9.8726300000000003E-2</v>
      </c>
      <c r="X6399">
        <v>0.97446719999999998</v>
      </c>
      <c r="Y6399">
        <v>-0.1990336</v>
      </c>
      <c r="Z6399">
        <v>1.8432270000000001E-2</v>
      </c>
      <c r="AA6399">
        <v>0.97981929999999995</v>
      </c>
      <c r="AB6399">
        <v>18</v>
      </c>
      <c r="AC6399">
        <v>15.3698</v>
      </c>
      <c r="AD6399">
        <v>-1.1247724549259901</v>
      </c>
      <c r="AE6399">
        <v>0.51713000000000098</v>
      </c>
      <c r="AF6399">
        <v>-3.08357046628121</v>
      </c>
      <c r="AG6399">
        <v>-1.1247724549259901</v>
      </c>
      <c r="AH6399">
        <v>14.982646671490899</v>
      </c>
      <c r="AI6399">
        <v>94.205421526722404</v>
      </c>
      <c r="AJ6399">
        <v>101.62962748119099</v>
      </c>
      <c r="AK6399">
        <v>15.337966657240401</v>
      </c>
      <c r="AL6399">
        <v>95.665830115841999</v>
      </c>
      <c r="AM6399">
        <v>101.691962596398</v>
      </c>
      <c r="AN6399">
        <v>0.99999996072776898</v>
      </c>
    </row>
    <row r="6400" spans="1:40" x14ac:dyDescent="0.25">
      <c r="A6400" t="str">
        <f>"20190303154308973"</f>
        <v>20190303154308973</v>
      </c>
      <c r="B6400" t="str">
        <f>"1551598988966819"</f>
        <v>1551598988966819</v>
      </c>
      <c r="C6400" t="s">
        <v>40</v>
      </c>
      <c r="D6400">
        <v>5.7891729999999999</v>
      </c>
      <c r="E6400">
        <v>0.49883850000000002</v>
      </c>
      <c r="F6400" t="s">
        <v>59</v>
      </c>
      <c r="G6400">
        <v>-383.56079999999997</v>
      </c>
      <c r="H6400" s="1">
        <v>-3.2987689999999999E-6</v>
      </c>
      <c r="I6400">
        <v>18.181609999999999</v>
      </c>
      <c r="J6400">
        <v>-400.59039999999999</v>
      </c>
      <c r="K6400">
        <v>1.124701</v>
      </c>
      <c r="L6400">
        <v>17.53293</v>
      </c>
      <c r="M6400">
        <v>0.98692729999999995</v>
      </c>
      <c r="N6400">
        <v>-1.316441E-2</v>
      </c>
      <c r="O6400">
        <v>-0.1606283</v>
      </c>
      <c r="P6400">
        <v>0.99351900000000004</v>
      </c>
      <c r="Q6400">
        <v>-0.1084056</v>
      </c>
      <c r="R6400">
        <v>3.4187509999999997E-2</v>
      </c>
      <c r="S6400">
        <v>2.9945680000000001</v>
      </c>
      <c r="T6400">
        <v>-0.19585849999999999</v>
      </c>
      <c r="U6400">
        <v>0.1096497</v>
      </c>
      <c r="V6400">
        <v>-0.19246550000000001</v>
      </c>
      <c r="W6400">
        <v>-9.7318600000000005E-2</v>
      </c>
      <c r="X6400">
        <v>0.97646619999999995</v>
      </c>
      <c r="Y6400">
        <v>-0.19593160000000001</v>
      </c>
      <c r="Z6400">
        <v>1.603723E-2</v>
      </c>
      <c r="AA6400">
        <v>0.98048639999999998</v>
      </c>
      <c r="AB6400">
        <v>18</v>
      </c>
      <c r="AC6400">
        <v>17.029599999999999</v>
      </c>
      <c r="AD6400">
        <v>-1.1247042987689999</v>
      </c>
      <c r="AE6400">
        <v>0.64867999999999804</v>
      </c>
      <c r="AF6400">
        <v>-3.36128772718852</v>
      </c>
      <c r="AG6400">
        <v>-1.1247042987689999</v>
      </c>
      <c r="AH6400">
        <v>16.631786444394798</v>
      </c>
      <c r="AI6400">
        <v>93.792227136558495</v>
      </c>
      <c r="AJ6400">
        <v>101.425591216822</v>
      </c>
      <c r="AK6400">
        <v>17.005279629473002</v>
      </c>
      <c r="AL6400">
        <v>95.584783986386498</v>
      </c>
      <c r="AM6400">
        <v>101.15030326685699</v>
      </c>
      <c r="AN6400">
        <v>1.0000000591693201</v>
      </c>
    </row>
    <row r="6401" spans="1:40" x14ac:dyDescent="0.25">
      <c r="A6401" t="str">
        <f>"20190303154308997"</f>
        <v>20190303154308997</v>
      </c>
      <c r="B6401" t="str">
        <f>"1551598988986357"</f>
        <v>1551598988986357</v>
      </c>
      <c r="C6401" t="s">
        <v>40</v>
      </c>
      <c r="D6401">
        <v>5.7419560000000001</v>
      </c>
      <c r="E6401">
        <v>0.49831150000000002</v>
      </c>
      <c r="F6401" t="s">
        <v>59</v>
      </c>
      <c r="G6401">
        <v>-382.40690000000001</v>
      </c>
      <c r="H6401" s="1">
        <v>-3.8416569999999999E-6</v>
      </c>
      <c r="I6401">
        <v>18.196100000000001</v>
      </c>
      <c r="J6401">
        <v>-400.41359999999997</v>
      </c>
      <c r="K6401">
        <v>1.1246149999999999</v>
      </c>
      <c r="L6401">
        <v>17.514279999999999</v>
      </c>
      <c r="M6401">
        <v>0.98822270000000001</v>
      </c>
      <c r="N6401">
        <v>-1.3248340000000001E-2</v>
      </c>
      <c r="O6401">
        <v>-0.15244829999999901</v>
      </c>
      <c r="P6401">
        <v>0.99357300000000004</v>
      </c>
      <c r="Q6401">
        <v>-0.10817549999999999</v>
      </c>
      <c r="R6401">
        <v>3.3331010000000001E-2</v>
      </c>
      <c r="S6401">
        <v>2.9956049999999999</v>
      </c>
      <c r="T6401">
        <v>-0.18528810000000001</v>
      </c>
      <c r="U6401">
        <v>0.1092529</v>
      </c>
      <c r="V6401">
        <v>-0.18356890000000001</v>
      </c>
      <c r="W6401">
        <v>-9.6860100000000005E-2</v>
      </c>
      <c r="X6401">
        <v>0.97822319999999996</v>
      </c>
      <c r="Y6401">
        <v>-0.1877674</v>
      </c>
      <c r="Z6401">
        <v>1.441928E-2</v>
      </c>
      <c r="AA6401">
        <v>0.98210770000000003</v>
      </c>
      <c r="AB6401">
        <v>17</v>
      </c>
      <c r="AC6401">
        <v>18.006699999999899</v>
      </c>
      <c r="AD6401">
        <v>-1.124618841657</v>
      </c>
      <c r="AE6401">
        <v>0.68182000000000098</v>
      </c>
      <c r="AF6401">
        <v>-3.4059142729130598</v>
      </c>
      <c r="AG6401">
        <v>-1.124618841657</v>
      </c>
      <c r="AH6401">
        <v>17.6235932530622</v>
      </c>
      <c r="AI6401">
        <v>93.585120658531693</v>
      </c>
      <c r="AJ6401">
        <v>100.93806811405101</v>
      </c>
      <c r="AK6401">
        <v>17.984884173183399</v>
      </c>
      <c r="AL6401">
        <v>95.558389368203095</v>
      </c>
      <c r="AM6401">
        <v>100.628258336305</v>
      </c>
      <c r="AN6401">
        <v>1.0000000245187199</v>
      </c>
    </row>
    <row r="6402" spans="1:40" x14ac:dyDescent="0.25">
      <c r="A6402" t="str">
        <f>"20190303154309018"</f>
        <v>20190303154309018</v>
      </c>
      <c r="B6402" t="str">
        <f>"1551598989006857"</f>
        <v>1551598989006857</v>
      </c>
      <c r="C6402" t="s">
        <v>40</v>
      </c>
      <c r="D6402">
        <v>5.8179689999999997</v>
      </c>
      <c r="E6402">
        <v>0.49751780000000001</v>
      </c>
      <c r="F6402" t="s">
        <v>59</v>
      </c>
      <c r="G6402">
        <v>-382.03019999999998</v>
      </c>
      <c r="H6402" s="1">
        <v>-4.0200270000000002E-6</v>
      </c>
      <c r="I6402">
        <v>18.194649999999999</v>
      </c>
      <c r="J6402">
        <v>-400.24970000000002</v>
      </c>
      <c r="K6402">
        <v>1.1245449999999999</v>
      </c>
      <c r="L6402">
        <v>17.498200000000001</v>
      </c>
      <c r="M6402">
        <v>0.98934350000000004</v>
      </c>
      <c r="N6402">
        <v>-1.331709E-2</v>
      </c>
      <c r="O6402">
        <v>-0.1449908</v>
      </c>
      <c r="P6402">
        <v>0.99368480000000003</v>
      </c>
      <c r="Q6402">
        <v>-0.1077226</v>
      </c>
      <c r="R6402">
        <v>3.1407020000000001E-2</v>
      </c>
      <c r="S6402">
        <v>2.9956969999999998</v>
      </c>
      <c r="T6402">
        <v>-0.1832635</v>
      </c>
      <c r="U6402">
        <v>0.11087039999999999</v>
      </c>
      <c r="V6402">
        <v>-0.17433399999999999</v>
      </c>
      <c r="W6402">
        <v>-9.6198430000000001E-2</v>
      </c>
      <c r="X6402">
        <v>0.97997630000000002</v>
      </c>
      <c r="Y6402">
        <v>-0.180922</v>
      </c>
      <c r="Z6402">
        <v>1.3641739999999999E-2</v>
      </c>
      <c r="AA6402">
        <v>0.98340280000000002</v>
      </c>
      <c r="AB6402">
        <v>17</v>
      </c>
      <c r="AC6402">
        <v>18.2195</v>
      </c>
      <c r="AD6402">
        <v>-1.1245490200270001</v>
      </c>
      <c r="AE6402">
        <v>0.69644999999999802</v>
      </c>
      <c r="AF6402">
        <v>-3.3183598348903098</v>
      </c>
      <c r="AG6402">
        <v>-1.1245490200270001</v>
      </c>
      <c r="AH6402">
        <v>17.8580191804561</v>
      </c>
      <c r="AI6402">
        <v>93.542766170999997</v>
      </c>
      <c r="AJ6402">
        <v>100.526585626472</v>
      </c>
      <c r="AK6402">
        <v>18.198488166377899</v>
      </c>
      <c r="AL6402">
        <v>95.520300653604494</v>
      </c>
      <c r="AM6402">
        <v>100.087171681716</v>
      </c>
      <c r="AN6402">
        <v>1.0000000150260699</v>
      </c>
    </row>
    <row r="6403" spans="1:40" x14ac:dyDescent="0.25">
      <c r="A6403" t="str">
        <f>"20190303154309041"</f>
        <v>20190303154309041</v>
      </c>
      <c r="B6403" t="str">
        <f>"1551598989037110"</f>
        <v>1551598989037110</v>
      </c>
      <c r="C6403" t="s">
        <v>40</v>
      </c>
      <c r="D6403">
        <v>5.9623629999999999</v>
      </c>
      <c r="E6403">
        <v>0.49666529999999998</v>
      </c>
      <c r="F6403" t="s">
        <v>59</v>
      </c>
      <c r="G6403">
        <v>-381.72460000000001</v>
      </c>
      <c r="H6403" s="1">
        <v>-4.1656199999999899E-6</v>
      </c>
      <c r="I6403">
        <v>18.188130000000001</v>
      </c>
      <c r="J6403">
        <v>-400.08260000000001</v>
      </c>
      <c r="K6403">
        <v>1.124484</v>
      </c>
      <c r="L6403">
        <v>17.482970000000002</v>
      </c>
      <c r="M6403">
        <v>0.99041489999999999</v>
      </c>
      <c r="N6403">
        <v>-1.3375639999999999E-2</v>
      </c>
      <c r="O6403">
        <v>-0.1374764</v>
      </c>
      <c r="P6403">
        <v>0.99393920000000002</v>
      </c>
      <c r="Q6403">
        <v>-0.10502019999999999</v>
      </c>
      <c r="R6403">
        <v>3.2492350000000003E-2</v>
      </c>
      <c r="S6403">
        <v>2.995819</v>
      </c>
      <c r="T6403">
        <v>-0.18185809999999999</v>
      </c>
      <c r="U6403">
        <v>0.1115723</v>
      </c>
      <c r="V6403">
        <v>-0.16805110000000001</v>
      </c>
      <c r="W6403">
        <v>-9.3335609999999999E-2</v>
      </c>
      <c r="X6403">
        <v>0.98134969999999999</v>
      </c>
      <c r="Y6403">
        <v>-0.17371420000000001</v>
      </c>
      <c r="Z6403">
        <v>1.2909489999999999E-2</v>
      </c>
      <c r="AA6403">
        <v>0.98471149999999996</v>
      </c>
      <c r="AB6403">
        <v>17</v>
      </c>
      <c r="AC6403">
        <v>18.358000000000001</v>
      </c>
      <c r="AD6403">
        <v>-1.1244881656200001</v>
      </c>
      <c r="AE6403">
        <v>0.70515999999999501</v>
      </c>
      <c r="AF6403">
        <v>-3.2104526793533799</v>
      </c>
      <c r="AG6403">
        <v>-1.1244881656200001</v>
      </c>
      <c r="AH6403">
        <v>18.019200928780101</v>
      </c>
      <c r="AI6403">
        <v>93.515689303529001</v>
      </c>
      <c r="AJ6403">
        <v>100.102293332584</v>
      </c>
      <c r="AK6403">
        <v>18.337477529713201</v>
      </c>
      <c r="AL6403">
        <v>95.355531784127393</v>
      </c>
      <c r="AM6403">
        <v>99.717353304840998</v>
      </c>
      <c r="AN6403">
        <v>0.99999997099768501</v>
      </c>
    </row>
    <row r="6404" spans="1:40" x14ac:dyDescent="0.25">
      <c r="A6404" t="str">
        <f>"20190303154309063"</f>
        <v>20190303154309063</v>
      </c>
      <c r="B6404" t="str">
        <f>"1551598989056630"</f>
        <v>1551598989056630</v>
      </c>
      <c r="C6404" t="s">
        <v>40</v>
      </c>
      <c r="D6404">
        <v>5.8213850000000003</v>
      </c>
      <c r="E6404">
        <v>0.49019030000000002</v>
      </c>
      <c r="F6404" t="s">
        <v>59</v>
      </c>
      <c r="G6404">
        <v>-380.62020000000001</v>
      </c>
      <c r="H6404" s="1">
        <v>-4.6725639999999998E-6</v>
      </c>
      <c r="I6404">
        <v>18.27317</v>
      </c>
      <c r="J6404">
        <v>-399.90699999999998</v>
      </c>
      <c r="K6404">
        <v>1.1244379999999901</v>
      </c>
      <c r="L6404">
        <v>17.4682</v>
      </c>
      <c r="M6404">
        <v>0.99146489999999998</v>
      </c>
      <c r="N6404">
        <v>-1.34272E-2</v>
      </c>
      <c r="O6404">
        <v>-0.12968070000000001</v>
      </c>
      <c r="P6404">
        <v>0.99409190000000003</v>
      </c>
      <c r="Q6404">
        <v>-0.1025919</v>
      </c>
      <c r="R6404">
        <v>3.5445049999999999E-2</v>
      </c>
      <c r="S6404">
        <v>2.9960330000000002</v>
      </c>
      <c r="T6404">
        <v>-0.173103799999999</v>
      </c>
      <c r="U6404">
        <v>0.1216431</v>
      </c>
      <c r="V6404">
        <v>-0.1633192</v>
      </c>
      <c r="W6404">
        <v>-9.0777120000000003E-2</v>
      </c>
      <c r="X6404">
        <v>0.98238809999999999</v>
      </c>
      <c r="Y6404">
        <v>-0.16933670000000001</v>
      </c>
      <c r="Z6404">
        <v>1.175474E-2</v>
      </c>
      <c r="AA6404">
        <v>0.98548820000000004</v>
      </c>
      <c r="AB6404">
        <v>17</v>
      </c>
      <c r="AC6404">
        <v>19.2867999999999</v>
      </c>
      <c r="AD6404">
        <v>-1.12444267256399</v>
      </c>
      <c r="AE6404">
        <v>0.80496999999999996</v>
      </c>
      <c r="AF6404">
        <v>-3.2883648421854401</v>
      </c>
      <c r="AG6404">
        <v>-1.12444267256399</v>
      </c>
      <c r="AH6404">
        <v>18.9551934161308</v>
      </c>
      <c r="AI6404">
        <v>93.345023281264005</v>
      </c>
      <c r="AJ6404">
        <v>99.841774524402993</v>
      </c>
      <c r="AK6404">
        <v>19.2711461024541</v>
      </c>
      <c r="AL6404">
        <v>95.208315732961495</v>
      </c>
      <c r="AM6404">
        <v>99.438932481523594</v>
      </c>
      <c r="AN6404">
        <v>1.0000000128128701</v>
      </c>
    </row>
    <row r="6405" spans="1:40" x14ac:dyDescent="0.25">
      <c r="A6405" t="str">
        <f>"20190303154309087"</f>
        <v>20190303154309087</v>
      </c>
      <c r="B6405" t="str">
        <f>"1551598989077125"</f>
        <v>1551598989077125</v>
      </c>
      <c r="C6405" t="s">
        <v>40</v>
      </c>
      <c r="D6405">
        <v>5.8535839999999997</v>
      </c>
      <c r="E6405">
        <v>0.49017889999999997</v>
      </c>
      <c r="F6405" t="s">
        <v>43</v>
      </c>
      <c r="G6405">
        <v>-379.07810000000001</v>
      </c>
      <c r="H6405">
        <v>-0.05</v>
      </c>
      <c r="I6405">
        <v>18.734649999999998</v>
      </c>
      <c r="J6405">
        <v>-399.72719999999998</v>
      </c>
      <c r="K6405">
        <v>1.1243840000000001</v>
      </c>
      <c r="L6405">
        <v>17.454350000000002</v>
      </c>
      <c r="M6405">
        <v>0.99246230000000002</v>
      </c>
      <c r="N6405">
        <v>-1.347225E-2</v>
      </c>
      <c r="O6405">
        <v>-0.1218081</v>
      </c>
      <c r="P6405">
        <v>0.99397179999999996</v>
      </c>
      <c r="Q6405">
        <v>-0.1023983</v>
      </c>
      <c r="R6405">
        <v>3.9176580000000003E-2</v>
      </c>
      <c r="S6405">
        <v>2.9939269999999998</v>
      </c>
      <c r="T6405">
        <v>-0.16881199999999999</v>
      </c>
      <c r="U6405">
        <v>0.18203739999999999</v>
      </c>
      <c r="V6405">
        <v>-0.15923219999999999</v>
      </c>
      <c r="W6405">
        <v>-9.0472650000000002E-2</v>
      </c>
      <c r="X6405">
        <v>0.98308689999999999</v>
      </c>
      <c r="Y6405">
        <v>-0.18136530000000001</v>
      </c>
      <c r="Z6405">
        <v>1.153818E-2</v>
      </c>
      <c r="AA6405">
        <v>0.98334809999999995</v>
      </c>
      <c r="AB6405">
        <v>17</v>
      </c>
      <c r="AC6405">
        <v>20.649099999999901</v>
      </c>
      <c r="AD6405">
        <v>-1.1743840000000001</v>
      </c>
      <c r="AE6405">
        <v>1.28029999999999</v>
      </c>
      <c r="AF6405">
        <v>-3.7740597381524901</v>
      </c>
      <c r="AG6405">
        <v>-1.1743840000000001</v>
      </c>
      <c r="AH6405">
        <v>20.2740201075061</v>
      </c>
      <c r="AI6405">
        <v>93.259318207909502</v>
      </c>
      <c r="AJ6405">
        <v>100.54505371340299</v>
      </c>
      <c r="AK6405">
        <v>20.6557158192632</v>
      </c>
      <c r="AL6405">
        <v>95.190798751430407</v>
      </c>
      <c r="AM6405">
        <v>99.2003899506294</v>
      </c>
      <c r="AN6405">
        <v>1.00000002343323</v>
      </c>
    </row>
    <row r="6406" spans="1:40" x14ac:dyDescent="0.25">
      <c r="A6406" t="str">
        <f>"20190303154309109"</f>
        <v>20190303154309109</v>
      </c>
      <c r="B6406" t="str">
        <f>"1551598989106911"</f>
        <v>1551598989106911</v>
      </c>
      <c r="C6406" t="s">
        <v>40</v>
      </c>
      <c r="D6406">
        <v>5.8387479999999998</v>
      </c>
      <c r="E6406">
        <v>0.49004500000000001</v>
      </c>
      <c r="F6406" t="s">
        <v>59</v>
      </c>
      <c r="G6406">
        <v>-380.69560000000001</v>
      </c>
      <c r="H6406" s="1">
        <v>-4.5643760000000001E-6</v>
      </c>
      <c r="I6406">
        <v>18.682179999999999</v>
      </c>
      <c r="J6406">
        <v>-399.5573</v>
      </c>
      <c r="K6406">
        <v>1.1243160000000001</v>
      </c>
      <c r="L6406">
        <v>17.442439999999898</v>
      </c>
      <c r="M6406">
        <v>0.99333329999999997</v>
      </c>
      <c r="N6406">
        <v>-1.3507089999999999E-2</v>
      </c>
      <c r="O6406">
        <v>-0.114484</v>
      </c>
      <c r="P6406">
        <v>0.99359280000000005</v>
      </c>
      <c r="Q6406">
        <v>-0.10484880000000001</v>
      </c>
      <c r="R6406">
        <v>4.2190070000000003E-2</v>
      </c>
      <c r="S6406">
        <v>2.9923709999999999</v>
      </c>
      <c r="T6406">
        <v>-0.17678959999999999</v>
      </c>
      <c r="U6406">
        <v>0.19305420000000001</v>
      </c>
      <c r="V6406">
        <v>-0.15493029999999999</v>
      </c>
      <c r="W6406">
        <v>-9.2824069999999995E-2</v>
      </c>
      <c r="X6406">
        <v>0.98355490000000001</v>
      </c>
      <c r="Y6406">
        <v>-0.177717299999999</v>
      </c>
      <c r="Z6406">
        <v>1.16436E-2</v>
      </c>
      <c r="AA6406">
        <v>0.98401269999999996</v>
      </c>
      <c r="AB6406">
        <v>17</v>
      </c>
      <c r="AC6406">
        <v>18.8616999999999</v>
      </c>
      <c r="AD6406">
        <v>-1.1243205643759999</v>
      </c>
      <c r="AE6406">
        <v>1.2397400000000001</v>
      </c>
      <c r="AF6406">
        <v>-3.3791918541452901</v>
      </c>
      <c r="AG6406">
        <v>-1.1243205643759999</v>
      </c>
      <c r="AH6406">
        <v>18.530162030270599</v>
      </c>
      <c r="AI6406">
        <v>93.415974701615099</v>
      </c>
      <c r="AJ6406">
        <v>100.334988374061</v>
      </c>
      <c r="AK6406">
        <v>18.869285603506199</v>
      </c>
      <c r="AL6406">
        <v>95.326094890280203</v>
      </c>
      <c r="AM6406">
        <v>98.951718448547396</v>
      </c>
      <c r="AN6406">
        <v>0.99999997357173198</v>
      </c>
    </row>
    <row r="6407" spans="1:40" x14ac:dyDescent="0.25">
      <c r="A6407" t="str">
        <f>"20190303154309130"</f>
        <v>20190303154309130</v>
      </c>
      <c r="B6407" t="str">
        <f>"1551598989126431"</f>
        <v>1551598989126431</v>
      </c>
      <c r="C6407" t="s">
        <v>40</v>
      </c>
      <c r="D6407">
        <v>5.8576110000000003</v>
      </c>
      <c r="E6407">
        <v>0.48993340000000002</v>
      </c>
      <c r="F6407" t="s">
        <v>59</v>
      </c>
      <c r="G6407">
        <v>-381.56509999999997</v>
      </c>
      <c r="H6407" s="1">
        <v>-4.1569489999999998E-6</v>
      </c>
      <c r="I6407">
        <v>18.662099999999999</v>
      </c>
      <c r="J6407">
        <v>-399.39940000000001</v>
      </c>
      <c r="K6407">
        <v>1.1242350000000001</v>
      </c>
      <c r="L6407">
        <v>17.432369999999999</v>
      </c>
      <c r="M6407">
        <v>0.99408079999999999</v>
      </c>
      <c r="N6407">
        <v>-1.3531799999999899E-2</v>
      </c>
      <c r="O6407">
        <v>-0.1077972</v>
      </c>
      <c r="P6407">
        <v>0.99323980000000001</v>
      </c>
      <c r="Q6407">
        <v>-0.1072104</v>
      </c>
      <c r="R6407">
        <v>4.4503500000000001E-2</v>
      </c>
      <c r="S6407">
        <v>2.9910580000000002</v>
      </c>
      <c r="T6407">
        <v>-0.1869094</v>
      </c>
      <c r="U6407">
        <v>0.20275879999999999</v>
      </c>
      <c r="V6407">
        <v>-0.15057699999999999</v>
      </c>
      <c r="W6407">
        <v>-9.5094040000000005E-2</v>
      </c>
      <c r="X6407">
        <v>0.9840141</v>
      </c>
      <c r="Y6407">
        <v>-0.17425850000000001</v>
      </c>
      <c r="Z6407">
        <v>1.18764E-2</v>
      </c>
      <c r="AA6407">
        <v>0.98462830000000001</v>
      </c>
      <c r="AB6407">
        <v>17</v>
      </c>
      <c r="AC6407">
        <v>17.834299999999999</v>
      </c>
      <c r="AD6407">
        <v>-1.124239156949</v>
      </c>
      <c r="AE6407">
        <v>1.22972999999999</v>
      </c>
      <c r="AF6407">
        <v>-3.1328362531762299</v>
      </c>
      <c r="AG6407">
        <v>-1.124239156949</v>
      </c>
      <c r="AH6407">
        <v>17.528460275038</v>
      </c>
      <c r="AI6407">
        <v>93.6127128331037</v>
      </c>
      <c r="AJ6407">
        <v>100.133395505219</v>
      </c>
      <c r="AK6407">
        <v>17.8416786285601</v>
      </c>
      <c r="AL6407">
        <v>95.456732251788097</v>
      </c>
      <c r="AM6407">
        <v>98.700095779556904</v>
      </c>
      <c r="AN6407">
        <v>1.0000000291856601</v>
      </c>
    </row>
    <row r="6408" spans="1:40" x14ac:dyDescent="0.25">
      <c r="A6408" t="str">
        <f>"20190303154309152"</f>
        <v>20190303154309152</v>
      </c>
      <c r="B6408" t="str">
        <f>"1551598989146927"</f>
        <v>1551598989146927</v>
      </c>
      <c r="C6408" t="s">
        <v>40</v>
      </c>
      <c r="D6408">
        <v>5.8776549999999999</v>
      </c>
      <c r="E6408">
        <v>0.48967109999999903</v>
      </c>
      <c r="F6408" t="s">
        <v>59</v>
      </c>
      <c r="G6408">
        <v>-382.2088</v>
      </c>
      <c r="H6408" s="1">
        <v>-3.8563739999999997E-6</v>
      </c>
      <c r="I6408">
        <v>18.641110000000001</v>
      </c>
      <c r="J6408">
        <v>-399.23140000000001</v>
      </c>
      <c r="K6408">
        <v>1.124133</v>
      </c>
      <c r="L6408">
        <v>17.422639999999902</v>
      </c>
      <c r="M6408">
        <v>0.99481299999999995</v>
      </c>
      <c r="N6408">
        <v>-1.355052E-2</v>
      </c>
      <c r="O6408">
        <v>-0.1008151</v>
      </c>
      <c r="P6408">
        <v>0.99301079999999997</v>
      </c>
      <c r="Q6408">
        <v>-0.10824689999999999</v>
      </c>
      <c r="R6408">
        <v>4.7036639999999998E-2</v>
      </c>
      <c r="S6408">
        <v>2.98996</v>
      </c>
      <c r="T6408">
        <v>-0.19553880000000001</v>
      </c>
      <c r="U6408">
        <v>0.21023559999999999</v>
      </c>
      <c r="V6408">
        <v>-0.14618589999999901</v>
      </c>
      <c r="W6408">
        <v>-9.6035910000000002E-2</v>
      </c>
      <c r="X6408">
        <v>0.98458460000000003</v>
      </c>
      <c r="Y6408">
        <v>-0.1697882</v>
      </c>
      <c r="Z6408">
        <v>1.1904090000000001E-2</v>
      </c>
      <c r="AA6408">
        <v>0.98540870000000003</v>
      </c>
      <c r="AB6408">
        <v>17</v>
      </c>
      <c r="AC6408">
        <v>17.022600000000001</v>
      </c>
      <c r="AD6408">
        <v>-1.124136856374</v>
      </c>
      <c r="AE6408">
        <v>1.2184699999999999</v>
      </c>
      <c r="AF6408">
        <v>-2.9159020514953502</v>
      </c>
      <c r="AG6408">
        <v>-1.124136856374</v>
      </c>
      <c r="AH6408">
        <v>16.740372805221298</v>
      </c>
      <c r="AI6408">
        <v>93.784896843481803</v>
      </c>
      <c r="AJ6408">
        <v>99.880865033010593</v>
      </c>
      <c r="AK6408">
        <v>17.029569874297099</v>
      </c>
      <c r="AL6408">
        <v>95.510945580735793</v>
      </c>
      <c r="AM6408">
        <v>98.445276193628899</v>
      </c>
      <c r="AN6408">
        <v>1.00000002396274</v>
      </c>
    </row>
    <row r="6409" spans="1:40" x14ac:dyDescent="0.25">
      <c r="A6409" t="str">
        <f>"20190303154309175"</f>
        <v>20190303154309175</v>
      </c>
      <c r="B6409" t="str">
        <f>"1551598989166450"</f>
        <v>1551598989166450</v>
      </c>
      <c r="C6409" t="s">
        <v>40</v>
      </c>
      <c r="D6409">
        <v>5.9033379999999998</v>
      </c>
      <c r="E6409">
        <v>0.48963050000000002</v>
      </c>
      <c r="F6409" t="s">
        <v>59</v>
      </c>
      <c r="G6409">
        <v>-382.47620000000001</v>
      </c>
      <c r="H6409" s="1">
        <v>-3.7274099999999999E-6</v>
      </c>
      <c r="I6409">
        <v>18.65559</v>
      </c>
      <c r="J6409">
        <v>-399.06270000000001</v>
      </c>
      <c r="K6409">
        <v>1.1240209999999999</v>
      </c>
      <c r="L6409">
        <v>17.41385</v>
      </c>
      <c r="M6409">
        <v>0.99548199999999998</v>
      </c>
      <c r="N6409">
        <v>-1.3562579999999999E-2</v>
      </c>
      <c r="O6409">
        <v>-9.397751E-2</v>
      </c>
      <c r="P6409">
        <v>0.99297679999999999</v>
      </c>
      <c r="Q6409">
        <v>-0.10770059999999999</v>
      </c>
      <c r="R6409">
        <v>4.8964809999999998E-2</v>
      </c>
      <c r="S6409">
        <v>2.988861</v>
      </c>
      <c r="T6409">
        <v>-0.2005286</v>
      </c>
      <c r="U6409">
        <v>0.2199402</v>
      </c>
      <c r="V6409">
        <v>-0.1413741</v>
      </c>
      <c r="W6409">
        <v>-9.5391329999999996E-2</v>
      </c>
      <c r="X6409">
        <v>0.98534960000000005</v>
      </c>
      <c r="Y6409">
        <v>-0.16621469999999999</v>
      </c>
      <c r="Z6409">
        <v>1.170826E-2</v>
      </c>
      <c r="AA6409">
        <v>0.98602009999999995</v>
      </c>
      <c r="AB6409">
        <v>17</v>
      </c>
      <c r="AC6409">
        <v>16.586500000000001</v>
      </c>
      <c r="AD6409">
        <v>-1.1240247274099999</v>
      </c>
      <c r="AE6409">
        <v>1.2417400000000001</v>
      </c>
      <c r="AF6409">
        <v>-2.7824377724060998</v>
      </c>
      <c r="AG6409">
        <v>-1.1240247274099999</v>
      </c>
      <c r="AH6409">
        <v>16.321834522446501</v>
      </c>
      <c r="AI6409">
        <v>93.883676912856998</v>
      </c>
      <c r="AJ6409">
        <v>99.674402304416404</v>
      </c>
      <c r="AK6409">
        <v>16.595411224891901</v>
      </c>
      <c r="AL6409">
        <v>95.473843725515707</v>
      </c>
      <c r="AM6409">
        <v>98.1648526869037</v>
      </c>
      <c r="AN6409">
        <v>0.99999998810506896</v>
      </c>
    </row>
    <row r="6410" spans="1:40" x14ac:dyDescent="0.25">
      <c r="A6410" t="str">
        <f>"20190303154309198"</f>
        <v>20190303154309198</v>
      </c>
      <c r="B6410" t="str">
        <f>"1551598989187291"</f>
        <v>1551598989187291</v>
      </c>
      <c r="C6410" t="s">
        <v>40</v>
      </c>
      <c r="D6410">
        <v>5.8985050000000001</v>
      </c>
      <c r="E6410">
        <v>0.48961900000000003</v>
      </c>
      <c r="F6410" t="s">
        <v>59</v>
      </c>
      <c r="G6410">
        <v>-382.19690000000003</v>
      </c>
      <c r="H6410" s="1">
        <v>-3.85338199999999E-6</v>
      </c>
      <c r="I6410">
        <v>18.689730000000001</v>
      </c>
      <c r="J6410">
        <v>-398.89010000000002</v>
      </c>
      <c r="K6410">
        <v>1.123885</v>
      </c>
      <c r="L6410">
        <v>17.405819999999999</v>
      </c>
      <c r="M6410">
        <v>0.99609910000000002</v>
      </c>
      <c r="N6410">
        <v>-1.356861E-2</v>
      </c>
      <c r="O6410">
        <v>-8.7192270000000002E-2</v>
      </c>
      <c r="P6410">
        <v>0.99297519999999995</v>
      </c>
      <c r="Q6410">
        <v>-0.10737089999999901</v>
      </c>
      <c r="R6410">
        <v>4.971573E-2</v>
      </c>
      <c r="S6410">
        <v>2.988464</v>
      </c>
      <c r="T6410">
        <v>-0.19916629999999999</v>
      </c>
      <c r="U6410">
        <v>0.2260742</v>
      </c>
      <c r="V6410">
        <v>-0.13544679999999901</v>
      </c>
      <c r="W6410">
        <v>-9.4956860000000004E-2</v>
      </c>
      <c r="X6410">
        <v>0.98622379999999998</v>
      </c>
      <c r="Y6410">
        <v>-0.1615462</v>
      </c>
      <c r="Z6410">
        <v>1.108348E-2</v>
      </c>
      <c r="AA6410">
        <v>0.98680290000000004</v>
      </c>
      <c r="AB6410">
        <v>17</v>
      </c>
      <c r="AC6410">
        <v>16.693199999999901</v>
      </c>
      <c r="AD6410">
        <v>-1.123888853382</v>
      </c>
      <c r="AE6410">
        <v>1.2839099999999899</v>
      </c>
      <c r="AF6410">
        <v>-2.7224037519313602</v>
      </c>
      <c r="AG6410">
        <v>-1.123888853382</v>
      </c>
      <c r="AH6410">
        <v>16.4435577091764</v>
      </c>
      <c r="AI6410">
        <v>93.857636695062297</v>
      </c>
      <c r="AJ6410">
        <v>99.400645817060806</v>
      </c>
      <c r="AK6410">
        <v>16.705244639881901</v>
      </c>
      <c r="AL6410">
        <v>95.448836780664905</v>
      </c>
      <c r="AM6410">
        <v>97.820011999173602</v>
      </c>
      <c r="AN6410">
        <v>1.0000000122888599</v>
      </c>
    </row>
    <row r="6411" spans="1:40" x14ac:dyDescent="0.25">
      <c r="A6411" t="str">
        <f>"20190303154309219"</f>
        <v>20190303154309219</v>
      </c>
      <c r="B6411" t="str">
        <f>"1551598989216572"</f>
        <v>1551598989216572</v>
      </c>
      <c r="C6411" t="s">
        <v>40</v>
      </c>
      <c r="D6411">
        <v>5.9326749999999997</v>
      </c>
      <c r="E6411">
        <v>0.48945040000000001</v>
      </c>
      <c r="F6411" t="s">
        <v>59</v>
      </c>
      <c r="G6411">
        <v>-382.08609999999999</v>
      </c>
      <c r="H6411" s="1">
        <v>-3.9055570000000002E-6</v>
      </c>
      <c r="I6411">
        <v>18.690899999999999</v>
      </c>
      <c r="J6411">
        <v>-398.72309999999999</v>
      </c>
      <c r="K6411">
        <v>1.1237549999999901</v>
      </c>
      <c r="L6411">
        <v>17.398959999999999</v>
      </c>
      <c r="M6411">
        <v>0.9966334</v>
      </c>
      <c r="N6411">
        <v>-1.356919E-2</v>
      </c>
      <c r="O6411">
        <v>-8.0857700000000005E-2</v>
      </c>
      <c r="P6411">
        <v>0.99275550000000001</v>
      </c>
      <c r="Q6411">
        <v>-0.1083997</v>
      </c>
      <c r="R6411">
        <v>5.1827720000000001E-2</v>
      </c>
      <c r="S6411">
        <v>2.9881289999999998</v>
      </c>
      <c r="T6411">
        <v>-0.1998528</v>
      </c>
      <c r="U6411">
        <v>0.22851560000000001</v>
      </c>
      <c r="V6411">
        <v>-0.13129379999999999</v>
      </c>
      <c r="W6411">
        <v>-9.5906909999999998E-2</v>
      </c>
      <c r="X6411">
        <v>0.98669340000000005</v>
      </c>
      <c r="Y6411">
        <v>-0.15609979999999901</v>
      </c>
      <c r="Z6411">
        <v>1.056793E-2</v>
      </c>
      <c r="AA6411">
        <v>0.98768469999999997</v>
      </c>
      <c r="AB6411">
        <v>17</v>
      </c>
      <c r="AC6411">
        <v>16.637</v>
      </c>
      <c r="AD6411">
        <v>-1.1237589055570001</v>
      </c>
      <c r="AE6411">
        <v>1.2919400000000001</v>
      </c>
      <c r="AF6411">
        <v>-2.62117498306</v>
      </c>
      <c r="AG6411">
        <v>-1.1237589055570001</v>
      </c>
      <c r="AH6411">
        <v>16.403649879908802</v>
      </c>
      <c r="AI6411">
        <v>93.8700731566191</v>
      </c>
      <c r="AJ6411">
        <v>99.078666581430099</v>
      </c>
      <c r="AK6411">
        <v>16.6497183685571</v>
      </c>
      <c r="AL6411">
        <v>95.503520108885198</v>
      </c>
      <c r="AM6411">
        <v>97.579505221437799</v>
      </c>
      <c r="AN6411">
        <v>1.00000003145387</v>
      </c>
    </row>
    <row r="6412" spans="1:40" x14ac:dyDescent="0.25">
      <c r="A6412" t="str">
        <f>"20190303154309241"</f>
        <v>20190303154309241</v>
      </c>
      <c r="B6412" t="str">
        <f>"1551598989237067"</f>
        <v>1551598989237067</v>
      </c>
      <c r="C6412" t="s">
        <v>40</v>
      </c>
      <c r="D6412">
        <v>5.9281699999999997</v>
      </c>
      <c r="E6412">
        <v>0.48939339999999998</v>
      </c>
      <c r="F6412" t="s">
        <v>59</v>
      </c>
      <c r="G6412">
        <v>-382.15570000000002</v>
      </c>
      <c r="H6412" s="1">
        <v>-3.8694639999999998E-6</v>
      </c>
      <c r="I6412">
        <v>18.708880000000001</v>
      </c>
      <c r="J6412">
        <v>-398.55770000000001</v>
      </c>
      <c r="K6412">
        <v>1.1236360000000001</v>
      </c>
      <c r="L6412">
        <v>17.392910000000001</v>
      </c>
      <c r="M6412">
        <v>0.99710779999999999</v>
      </c>
      <c r="N6412">
        <v>-1.35665E-2</v>
      </c>
      <c r="O6412">
        <v>-7.4778890000000001E-2</v>
      </c>
      <c r="P6412">
        <v>0.99278370000000005</v>
      </c>
      <c r="Q6412">
        <v>-0.1087948</v>
      </c>
      <c r="R6412">
        <v>5.0440350000000002E-2</v>
      </c>
      <c r="S6412">
        <v>2.987457</v>
      </c>
      <c r="T6412">
        <v>-0.2026374</v>
      </c>
      <c r="U6412">
        <v>0.2362061</v>
      </c>
      <c r="V6412">
        <v>-0.1239267</v>
      </c>
      <c r="W6412">
        <v>-9.6206929999999996E-2</v>
      </c>
      <c r="X6412">
        <v>0.98761650000000001</v>
      </c>
      <c r="Y6412">
        <v>-0.15262390000000001</v>
      </c>
      <c r="Z6412">
        <v>1.0247310000000001E-2</v>
      </c>
      <c r="AA6412">
        <v>0.98823119999999998</v>
      </c>
      <c r="AB6412">
        <v>17</v>
      </c>
      <c r="AC6412">
        <v>16.401999999999902</v>
      </c>
      <c r="AD6412">
        <v>-1.123639869464</v>
      </c>
      <c r="AE6412">
        <v>1.3159699999999901</v>
      </c>
      <c r="AF6412">
        <v>-2.5271368195222501</v>
      </c>
      <c r="AG6412">
        <v>-1.123639869464</v>
      </c>
      <c r="AH6412">
        <v>16.182193319724501</v>
      </c>
      <c r="AI6412">
        <v>93.924642408005994</v>
      </c>
      <c r="AJ6412">
        <v>98.876059167349496</v>
      </c>
      <c r="AK6412">
        <v>16.4168318410639</v>
      </c>
      <c r="AL6412">
        <v>95.520790154850403</v>
      </c>
      <c r="AM6412">
        <v>97.152126831003201</v>
      </c>
      <c r="AN6412">
        <v>0.99999997571258203</v>
      </c>
    </row>
    <row r="6413" spans="1:40" x14ac:dyDescent="0.25">
      <c r="A6413" t="str">
        <f>"20190303154309253"</f>
        <v>20190303154309253</v>
      </c>
      <c r="B6413" t="str">
        <f>"1551598989246828"</f>
        <v>1551598989246828</v>
      </c>
      <c r="C6413" t="s">
        <v>40</v>
      </c>
      <c r="D6413">
        <v>5.9243220000000001</v>
      </c>
      <c r="E6413">
        <v>0.48936790000000002</v>
      </c>
      <c r="F6413" t="s">
        <v>59</v>
      </c>
      <c r="G6413">
        <v>-382.08330000000001</v>
      </c>
      <c r="H6413" s="1">
        <v>-3.909859E-6</v>
      </c>
      <c r="I6413">
        <v>18.674189999999999</v>
      </c>
      <c r="J6413">
        <v>-398.46600000000001</v>
      </c>
      <c r="K6413">
        <v>1.123577</v>
      </c>
      <c r="L6413">
        <v>17.389890000000001</v>
      </c>
      <c r="M6413">
        <v>0.99734970000000001</v>
      </c>
      <c r="N6413">
        <v>-1.356416E-2</v>
      </c>
      <c r="O6413">
        <v>-7.1482390000000007E-2</v>
      </c>
      <c r="P6413">
        <v>0.9928032</v>
      </c>
      <c r="Q6413">
        <v>-0.1087666</v>
      </c>
      <c r="R6413">
        <v>5.0116429999999997E-2</v>
      </c>
      <c r="S6413">
        <v>2.9876710000000002</v>
      </c>
      <c r="T6413">
        <v>-0.2037737</v>
      </c>
      <c r="U6413">
        <v>0.23236080000000001</v>
      </c>
      <c r="V6413">
        <v>-0.12035899999999999</v>
      </c>
      <c r="W6413">
        <v>-9.6134090000000005E-2</v>
      </c>
      <c r="X6413">
        <v>0.98806479999999997</v>
      </c>
      <c r="Y6413">
        <v>-0.1480976</v>
      </c>
      <c r="Z6413">
        <v>9.9399099999999997E-3</v>
      </c>
      <c r="AA6413">
        <v>0.98892279999999999</v>
      </c>
      <c r="AB6413">
        <v>17</v>
      </c>
      <c r="AC6413">
        <v>16.3827</v>
      </c>
      <c r="AD6413">
        <v>-1.1235809098589999</v>
      </c>
      <c r="AE6413">
        <v>1.28429999999999</v>
      </c>
      <c r="AF6413">
        <v>-2.44078564156949</v>
      </c>
      <c r="AG6413">
        <v>-1.1235809098589999</v>
      </c>
      <c r="AH6413">
        <v>16.173360159073098</v>
      </c>
      <c r="AI6413">
        <v>93.929659782843501</v>
      </c>
      <c r="AJ6413">
        <v>98.5819718259674</v>
      </c>
      <c r="AK6413">
        <v>16.395043380369099</v>
      </c>
      <c r="AL6413">
        <v>95.516596881498899</v>
      </c>
      <c r="AM6413">
        <v>96.9451461402642</v>
      </c>
      <c r="AN6413">
        <v>1.0000000505700799</v>
      </c>
    </row>
    <row r="6414" spans="1:40" x14ac:dyDescent="0.25">
      <c r="A6414" t="str">
        <f>"20190303154309267"</f>
        <v>20190303154309267</v>
      </c>
      <c r="B6414" t="str">
        <f>"1551598989256588"</f>
        <v>1551598989256588</v>
      </c>
      <c r="C6414" t="s">
        <v>40</v>
      </c>
      <c r="D6414">
        <v>5.9075040000000003</v>
      </c>
      <c r="E6414">
        <v>0.48930620000000002</v>
      </c>
      <c r="F6414" t="s">
        <v>59</v>
      </c>
      <c r="G6414">
        <v>-381.99639999999999</v>
      </c>
      <c r="H6414" s="1">
        <v>-3.952246E-6</v>
      </c>
      <c r="I6414">
        <v>18.666740000000001</v>
      </c>
      <c r="J6414">
        <v>-398.36750000000001</v>
      </c>
      <c r="K6414">
        <v>1.123515</v>
      </c>
      <c r="L6414">
        <v>17.386959999999998</v>
      </c>
      <c r="M6414">
        <v>0.99759039999999999</v>
      </c>
      <c r="N6414">
        <v>-1.356045E-2</v>
      </c>
      <c r="O6414">
        <v>-6.8042640000000001E-2</v>
      </c>
      <c r="P6414">
        <v>0.99280690000000005</v>
      </c>
      <c r="Q6414">
        <v>-0.10871359999999999</v>
      </c>
      <c r="R6414">
        <v>5.0160379999999997E-2</v>
      </c>
      <c r="S6414">
        <v>2.9877009999999999</v>
      </c>
      <c r="T6414">
        <v>-0.20382539999999999</v>
      </c>
      <c r="U6414">
        <v>0.23162840000000001</v>
      </c>
      <c r="V6414">
        <v>-0.1170152</v>
      </c>
      <c r="W6414">
        <v>-9.6039929999999996E-2</v>
      </c>
      <c r="X6414">
        <v>0.98847549999999995</v>
      </c>
      <c r="Y6414">
        <v>-0.14445959999999999</v>
      </c>
      <c r="Z6414">
        <v>9.6064849999999997E-3</v>
      </c>
      <c r="AA6414">
        <v>0.98946400000000001</v>
      </c>
      <c r="AB6414">
        <v>17</v>
      </c>
      <c r="AC6414">
        <v>16.371099999999998</v>
      </c>
      <c r="AD6414">
        <v>-1.1235189522460001</v>
      </c>
      <c r="AE6414">
        <v>1.2797799999999899</v>
      </c>
      <c r="AF6414">
        <v>-2.3797086446621498</v>
      </c>
      <c r="AG6414">
        <v>-1.1235189522460001</v>
      </c>
      <c r="AH6414">
        <v>16.170366922060801</v>
      </c>
      <c r="AI6414">
        <v>93.932311043033195</v>
      </c>
      <c r="AJ6414">
        <v>98.371828915274307</v>
      </c>
      <c r="AK6414">
        <v>16.3831033221309</v>
      </c>
      <c r="AL6414">
        <v>95.511177003244697</v>
      </c>
      <c r="AM6414">
        <v>96.751224132567103</v>
      </c>
      <c r="AN6414">
        <v>1.00000001964284</v>
      </c>
    </row>
    <row r="6415" spans="1:40" x14ac:dyDescent="0.25">
      <c r="A6415" t="str">
        <f>"20190303154309289"</f>
        <v>20190303154309289</v>
      </c>
      <c r="B6415" t="str">
        <f>"1551598989277084"</f>
        <v>1551598989277084</v>
      </c>
      <c r="C6415" t="s">
        <v>40</v>
      </c>
      <c r="D6415">
        <v>5.9705620000000001</v>
      </c>
      <c r="E6415">
        <v>0.4892416</v>
      </c>
      <c r="F6415" t="s">
        <v>59</v>
      </c>
      <c r="G6415">
        <v>-381.92200000000003</v>
      </c>
      <c r="H6415" s="1">
        <v>-3.9875259999999998E-6</v>
      </c>
      <c r="I6415">
        <v>18.665990000000001</v>
      </c>
      <c r="J6415">
        <v>-398.2022</v>
      </c>
      <c r="K6415">
        <v>1.1233949999999999</v>
      </c>
      <c r="L6415">
        <v>17.382539999999999</v>
      </c>
      <c r="M6415">
        <v>0.99795639999999997</v>
      </c>
      <c r="N6415">
        <v>-1.3551789999999999E-2</v>
      </c>
      <c r="O6415">
        <v>-6.2448160000000003E-2</v>
      </c>
      <c r="P6415">
        <v>0.99301399999999995</v>
      </c>
      <c r="Q6415">
        <v>-0.1073578</v>
      </c>
      <c r="R6415">
        <v>4.8970850000000003E-2</v>
      </c>
      <c r="S6415">
        <v>2.9876399999999999</v>
      </c>
      <c r="T6415">
        <v>-0.20410880000000001</v>
      </c>
      <c r="U6415">
        <v>0.23236080000000001</v>
      </c>
      <c r="V6415">
        <v>-0.1103403</v>
      </c>
      <c r="W6415">
        <v>-9.4607070000000001E-2</v>
      </c>
      <c r="X6415">
        <v>0.98938090000000001</v>
      </c>
      <c r="Y6415">
        <v>-0.1391742</v>
      </c>
      <c r="Z6415">
        <v>9.0984529999999994E-3</v>
      </c>
      <c r="AA6415">
        <v>0.9902261</v>
      </c>
      <c r="AB6415">
        <v>17</v>
      </c>
      <c r="AC6415">
        <v>16.280200000000001</v>
      </c>
      <c r="AD6415">
        <v>-1.123398987526</v>
      </c>
      <c r="AE6415">
        <v>1.28345</v>
      </c>
      <c r="AF6415">
        <v>-2.2868843515227</v>
      </c>
      <c r="AG6415">
        <v>-1.123398987526</v>
      </c>
      <c r="AH6415">
        <v>16.092112018230001</v>
      </c>
      <c r="AI6415">
        <v>93.953772862375999</v>
      </c>
      <c r="AJ6415">
        <v>98.0882657544784</v>
      </c>
      <c r="AK6415">
        <v>16.292572986783799</v>
      </c>
      <c r="AL6415">
        <v>95.428704601383004</v>
      </c>
      <c r="AM6415">
        <v>96.363592412451894</v>
      </c>
      <c r="AN6415">
        <v>1.00000002239144</v>
      </c>
    </row>
    <row r="6416" spans="1:40" x14ac:dyDescent="0.25">
      <c r="A6416" t="str">
        <f>"20190303154309312"</f>
        <v>20190303154309312</v>
      </c>
      <c r="B6416" t="str">
        <f>"1551598989306870"</f>
        <v>1551598989306870</v>
      </c>
      <c r="C6416" t="s">
        <v>40</v>
      </c>
      <c r="D6416">
        <v>5.9635369999999996</v>
      </c>
      <c r="E6416">
        <v>0.4889888</v>
      </c>
      <c r="F6416" t="s">
        <v>59</v>
      </c>
      <c r="G6416">
        <v>-381.44920000000002</v>
      </c>
      <c r="H6416" s="1">
        <v>-4.2102919999999999E-6</v>
      </c>
      <c r="I6416">
        <v>18.670200000000001</v>
      </c>
      <c r="J6416">
        <v>-398.02539999999999</v>
      </c>
      <c r="K6416">
        <v>1.123238</v>
      </c>
      <c r="L6416">
        <v>17.37848</v>
      </c>
      <c r="M6416">
        <v>0.99829610000000002</v>
      </c>
      <c r="N6416">
        <v>-1.353823E-2</v>
      </c>
      <c r="O6416">
        <v>-5.6759959999999998E-2</v>
      </c>
      <c r="P6416">
        <v>0.99306450000000002</v>
      </c>
      <c r="Q6416">
        <v>-0.1071097</v>
      </c>
      <c r="R6416">
        <v>4.8484619999999999E-2</v>
      </c>
      <c r="S6416">
        <v>2.988159</v>
      </c>
      <c r="T6416">
        <v>-0.2003759</v>
      </c>
      <c r="U6416">
        <v>0.2296753</v>
      </c>
      <c r="V6416">
        <v>-0.1042617</v>
      </c>
      <c r="W6416">
        <v>-9.4288410000000003E-2</v>
      </c>
      <c r="X6416">
        <v>0.99007029999999996</v>
      </c>
      <c r="Y6416">
        <v>-0.13267300000000001</v>
      </c>
      <c r="Z6416">
        <v>8.3677159999999903E-3</v>
      </c>
      <c r="AA6416">
        <v>0.99112460000000002</v>
      </c>
      <c r="AB6416">
        <v>17</v>
      </c>
      <c r="AC6416">
        <v>16.576199999999901</v>
      </c>
      <c r="AD6416">
        <v>-1.1232422102920001</v>
      </c>
      <c r="AE6416">
        <v>1.29172</v>
      </c>
      <c r="AF6416">
        <v>-2.2204536263296402</v>
      </c>
      <c r="AG6416">
        <v>-1.1232422102920001</v>
      </c>
      <c r="AH6416">
        <v>16.4012913194032</v>
      </c>
      <c r="AI6416">
        <v>93.882474615403893</v>
      </c>
      <c r="AJ6416">
        <v>97.709989961182401</v>
      </c>
      <c r="AK6416">
        <v>16.5889856324488</v>
      </c>
      <c r="AL6416">
        <v>95.410364853335395</v>
      </c>
      <c r="AM6416">
        <v>96.011511386138295</v>
      </c>
      <c r="AN6416">
        <v>1.0000000026446501</v>
      </c>
    </row>
    <row r="6417" spans="1:40" x14ac:dyDescent="0.25">
      <c r="A6417" t="str">
        <f>"20190303154309333"</f>
        <v>20190303154309333</v>
      </c>
      <c r="B6417" t="str">
        <f>"1551598989326391"</f>
        <v>1551598989326391</v>
      </c>
      <c r="C6417" t="s">
        <v>40</v>
      </c>
      <c r="D6417">
        <v>5.9264039999999998</v>
      </c>
      <c r="E6417">
        <v>0.48893449999999999</v>
      </c>
      <c r="F6417" t="s">
        <v>59</v>
      </c>
      <c r="G6417">
        <v>-381.30889999999999</v>
      </c>
      <c r="H6417" s="1">
        <v>-4.2770760000000003E-6</v>
      </c>
      <c r="I6417">
        <v>18.667480000000001</v>
      </c>
      <c r="J6417">
        <v>-397.86520000000002</v>
      </c>
      <c r="K6417">
        <v>1.1230709999999999</v>
      </c>
      <c r="L6417">
        <v>17.375429999999898</v>
      </c>
      <c r="M6417">
        <v>0.99856199999999995</v>
      </c>
      <c r="N6417">
        <v>-1.352271E-2</v>
      </c>
      <c r="O6417">
        <v>-5.1876060000000002E-2</v>
      </c>
      <c r="P6417">
        <v>0.99289910000000003</v>
      </c>
      <c r="Q6417">
        <v>-0.1090802</v>
      </c>
      <c r="R6417">
        <v>4.7467750000000003E-2</v>
      </c>
      <c r="S6417">
        <v>2.9880369999999998</v>
      </c>
      <c r="T6417">
        <v>-0.20077790000000001</v>
      </c>
      <c r="U6417">
        <v>0.23040769999999999</v>
      </c>
      <c r="V6417">
        <v>-9.8427009999999995E-2</v>
      </c>
      <c r="W6417">
        <v>-9.6198530000000004E-2</v>
      </c>
      <c r="X6417">
        <v>0.99048369999999997</v>
      </c>
      <c r="Y6417">
        <v>-0.1280858</v>
      </c>
      <c r="Z6417">
        <v>7.9381130000000001E-3</v>
      </c>
      <c r="AA6417">
        <v>0.99173129999999998</v>
      </c>
      <c r="AB6417">
        <v>17</v>
      </c>
      <c r="AC6417">
        <v>16.5563</v>
      </c>
      <c r="AD6417">
        <v>-1.123075277076</v>
      </c>
      <c r="AE6417">
        <v>1.2920499999999899</v>
      </c>
      <c r="AF6417">
        <v>-2.13947907036933</v>
      </c>
      <c r="AG6417">
        <v>-1.123075277076</v>
      </c>
      <c r="AH6417">
        <v>16.392001005769099</v>
      </c>
      <c r="AI6417">
        <v>93.886553642360099</v>
      </c>
      <c r="AJ6417">
        <v>97.436191992985997</v>
      </c>
      <c r="AK6417">
        <v>16.5691389560128</v>
      </c>
      <c r="AL6417">
        <v>95.5203065112552</v>
      </c>
      <c r="AM6417">
        <v>95.675003453028694</v>
      </c>
      <c r="AN6417">
        <v>0.99999999671869499</v>
      </c>
    </row>
    <row r="6418" spans="1:40" x14ac:dyDescent="0.25">
      <c r="A6418" t="str">
        <f>"20190303154309355"</f>
        <v>20190303154309355</v>
      </c>
      <c r="B6418" t="str">
        <f>"1551598989346888"</f>
        <v>1551598989346888</v>
      </c>
      <c r="C6418" t="s">
        <v>40</v>
      </c>
      <c r="D6418">
        <v>5.9201569999999997</v>
      </c>
      <c r="E6418">
        <v>0.48529270000000002</v>
      </c>
      <c r="F6418" t="s">
        <v>59</v>
      </c>
      <c r="G6418">
        <v>-381.63220000000001</v>
      </c>
      <c r="H6418" s="1">
        <v>-4.1339990000000003E-6</v>
      </c>
      <c r="I6418">
        <v>18.612629999999999</v>
      </c>
      <c r="J6418">
        <v>-397.69589999999999</v>
      </c>
      <c r="K6418">
        <v>1.1228860000000001</v>
      </c>
      <c r="L6418">
        <v>17.372620000000001</v>
      </c>
      <c r="M6418">
        <v>0.99880420000000003</v>
      </c>
      <c r="N6418">
        <v>-1.350494E-2</v>
      </c>
      <c r="O6418">
        <v>-4.6991060000000001E-2</v>
      </c>
      <c r="P6418">
        <v>0.99269090000000004</v>
      </c>
      <c r="Q6418">
        <v>-0.1114113</v>
      </c>
      <c r="R6418">
        <v>4.6394820000000003E-2</v>
      </c>
      <c r="S6418">
        <v>2.9878849999999999</v>
      </c>
      <c r="T6418">
        <v>-0.2067157</v>
      </c>
      <c r="U6418">
        <v>0.22772220000000001</v>
      </c>
      <c r="V6418">
        <v>-9.2537750000000002E-2</v>
      </c>
      <c r="W6418">
        <v>-9.8471370000000003E-2</v>
      </c>
      <c r="X6418">
        <v>0.99082800000000004</v>
      </c>
      <c r="Y6418">
        <v>-0.12234970000000001</v>
      </c>
      <c r="Z6418">
        <v>7.6598159999999998E-3</v>
      </c>
      <c r="AA6418">
        <v>0.99245749999999999</v>
      </c>
      <c r="AB6418">
        <v>17</v>
      </c>
      <c r="AC6418">
        <v>16.063699999999901</v>
      </c>
      <c r="AD6418">
        <v>-1.1228901339990001</v>
      </c>
      <c r="AE6418">
        <v>1.2400099999999901</v>
      </c>
      <c r="AF6418">
        <v>-1.9839222307358999</v>
      </c>
      <c r="AG6418">
        <v>-1.1228901339990001</v>
      </c>
      <c r="AH6418">
        <v>15.910393649595299</v>
      </c>
      <c r="AI6418">
        <v>94.006084672350397</v>
      </c>
      <c r="AJ6418">
        <v>97.107723152775193</v>
      </c>
      <c r="AK6418">
        <v>16.072879510396501</v>
      </c>
      <c r="AL6418">
        <v>95.651152038656505</v>
      </c>
      <c r="AM6418">
        <v>95.335625412533304</v>
      </c>
      <c r="AN6418">
        <v>0.99999998573436899</v>
      </c>
    </row>
    <row r="6419" spans="1:40" x14ac:dyDescent="0.25">
      <c r="A6419" t="str">
        <f>"20190303154309378"</f>
        <v>20190303154309378</v>
      </c>
      <c r="B6419" t="str">
        <f>"1551598989366410"</f>
        <v>1551598989366410</v>
      </c>
      <c r="C6419" t="s">
        <v>40</v>
      </c>
      <c r="D6419">
        <v>5.9778159999999998</v>
      </c>
      <c r="E6419">
        <v>0.48541450000000003</v>
      </c>
      <c r="F6419" t="s">
        <v>59</v>
      </c>
      <c r="G6419">
        <v>-382.32479999999998</v>
      </c>
      <c r="H6419" s="1">
        <v>-3.7948320000000001E-6</v>
      </c>
      <c r="I6419">
        <v>18.67897</v>
      </c>
      <c r="J6419">
        <v>-397.53190000000001</v>
      </c>
      <c r="K6419">
        <v>1.1226969999999901</v>
      </c>
      <c r="L6419">
        <v>17.370360000000002</v>
      </c>
      <c r="M6419">
        <v>0.99900140000000004</v>
      </c>
      <c r="N6419">
        <v>-1.3486959999999999E-2</v>
      </c>
      <c r="O6419">
        <v>-4.2593840000000001E-2</v>
      </c>
      <c r="P6419">
        <v>0.99271180000000003</v>
      </c>
      <c r="Q6419">
        <v>-0.1110394</v>
      </c>
      <c r="R6419">
        <v>4.6837950000000003E-2</v>
      </c>
      <c r="S6419">
        <v>2.985779</v>
      </c>
      <c r="T6419">
        <v>-0.2181177</v>
      </c>
      <c r="U6419">
        <v>0.25375370000000003</v>
      </c>
      <c r="V6419">
        <v>-8.8670280000000004E-2</v>
      </c>
      <c r="W6419">
        <v>-9.8053970000000004E-2</v>
      </c>
      <c r="X6419">
        <v>0.99122299999999997</v>
      </c>
      <c r="Y6419">
        <v>-0.12657750000000001</v>
      </c>
      <c r="Z6419">
        <v>7.9952979999999996E-3</v>
      </c>
      <c r="AA6419">
        <v>0.99192449999999999</v>
      </c>
      <c r="AB6419">
        <v>17</v>
      </c>
      <c r="AC6419">
        <v>15.207100000000001</v>
      </c>
      <c r="AD6419">
        <v>-1.12270079483199</v>
      </c>
      <c r="AE6419">
        <v>1.3086099999999901</v>
      </c>
      <c r="AF6419">
        <v>-1.9446883224676399</v>
      </c>
      <c r="AG6419">
        <v>-1.12270079483199</v>
      </c>
      <c r="AH6419">
        <v>15.0560929838687</v>
      </c>
      <c r="AI6419">
        <v>94.229526164820399</v>
      </c>
      <c r="AJ6419">
        <v>97.359740725850997</v>
      </c>
      <c r="AK6419">
        <v>15.2226215115911</v>
      </c>
      <c r="AL6419">
        <v>95.627120299135797</v>
      </c>
      <c r="AM6419">
        <v>95.111812213116394</v>
      </c>
      <c r="AN6419">
        <v>1.00000001765851</v>
      </c>
    </row>
    <row r="6420" spans="1:40" x14ac:dyDescent="0.25">
      <c r="A6420" t="str">
        <f>"20190303154309391"</f>
        <v>20190303154309391</v>
      </c>
      <c r="B6420" t="str">
        <f>"1551598989386434"</f>
        <v>1551598989386434</v>
      </c>
      <c r="C6420" t="s">
        <v>40</v>
      </c>
      <c r="D6420">
        <v>5.9519840000000004</v>
      </c>
      <c r="E6420">
        <v>0.50607760000000002</v>
      </c>
      <c r="F6420" t="s">
        <v>59</v>
      </c>
      <c r="G6420">
        <v>-382.2799</v>
      </c>
      <c r="H6420" s="1">
        <v>-3.8176179999999997E-6</v>
      </c>
      <c r="I6420">
        <v>18.670159999999999</v>
      </c>
      <c r="J6420">
        <v>-397.42509999999999</v>
      </c>
      <c r="K6420">
        <v>1.122576</v>
      </c>
      <c r="L6420">
        <v>17.36908</v>
      </c>
      <c r="M6420">
        <v>0.99911209999999995</v>
      </c>
      <c r="N6420">
        <v>-1.3474649999999999E-2</v>
      </c>
      <c r="O6420">
        <v>-3.991782E-2</v>
      </c>
      <c r="P6420">
        <v>0.99272899999999997</v>
      </c>
      <c r="Q6420">
        <v>-0.1103862</v>
      </c>
      <c r="R6420">
        <v>4.8004079999999998E-2</v>
      </c>
      <c r="S6420">
        <v>2.9854430000000001</v>
      </c>
      <c r="T6420">
        <v>-0.21975890000000001</v>
      </c>
      <c r="U6420">
        <v>0.25442500000000001</v>
      </c>
      <c r="V6420">
        <v>-8.7216920000000003E-2</v>
      </c>
      <c r="W6420">
        <v>-9.7378229999999996E-2</v>
      </c>
      <c r="X6420">
        <v>0.99141849999999998</v>
      </c>
      <c r="Y6420">
        <v>-0.12415669999999999</v>
      </c>
      <c r="Z6420">
        <v>7.7881039999999997E-3</v>
      </c>
      <c r="AA6420">
        <v>0.99223209999999995</v>
      </c>
      <c r="AB6420">
        <v>17</v>
      </c>
      <c r="AC6420">
        <v>15.1451999999999</v>
      </c>
      <c r="AD6420">
        <v>-1.122579817618</v>
      </c>
      <c r="AE6420">
        <v>1.30107999999999</v>
      </c>
      <c r="AF6420">
        <v>-1.89432996601741</v>
      </c>
      <c r="AG6420">
        <v>-1.122579817618</v>
      </c>
      <c r="AH6420">
        <v>14.999383467166201</v>
      </c>
      <c r="AI6420">
        <v>94.246528265637096</v>
      </c>
      <c r="AJ6420">
        <v>97.197996639669995</v>
      </c>
      <c r="AK6420">
        <v>15.1601509181859</v>
      </c>
      <c r="AL6420">
        <v>95.588217301886203</v>
      </c>
      <c r="AM6420">
        <v>95.027473120495401</v>
      </c>
      <c r="AN6420">
        <v>0.99999997647723404</v>
      </c>
    </row>
    <row r="6421" spans="1:40" x14ac:dyDescent="0.25">
      <c r="A6421" t="str">
        <f>"20190303154309410"</f>
        <v>20190303154309410</v>
      </c>
      <c r="B6421" t="str">
        <f>"1551598989406929"</f>
        <v>1551598989406929</v>
      </c>
      <c r="C6421" t="s">
        <v>40</v>
      </c>
      <c r="D6421">
        <v>5.9707140000000001</v>
      </c>
      <c r="E6421">
        <v>0.51006819999999997</v>
      </c>
      <c r="F6421" t="s">
        <v>59</v>
      </c>
      <c r="G6421">
        <v>-381.27199999999999</v>
      </c>
      <c r="H6421" s="1">
        <v>-4.4355549999999998E-6</v>
      </c>
      <c r="I6421">
        <v>17.872520000000002</v>
      </c>
      <c r="J6421">
        <v>-397.28070000000002</v>
      </c>
      <c r="K6421">
        <v>1.122439</v>
      </c>
      <c r="L6421">
        <v>17.367519999999999</v>
      </c>
      <c r="M6421">
        <v>0.99924389999999996</v>
      </c>
      <c r="N6421">
        <v>-1.345827E-2</v>
      </c>
      <c r="O6421">
        <v>-3.6479190000000002E-2</v>
      </c>
      <c r="P6421">
        <v>0.99293359999999997</v>
      </c>
      <c r="Q6421">
        <v>-0.10817</v>
      </c>
      <c r="R6421">
        <v>4.8811800000000002E-2</v>
      </c>
      <c r="S6421">
        <v>2.9942929999999999</v>
      </c>
      <c r="T6421">
        <v>-0.208092</v>
      </c>
      <c r="U6421">
        <v>9.3322749999999996E-2</v>
      </c>
      <c r="V6421">
        <v>-8.4666229999999995E-2</v>
      </c>
      <c r="W6421">
        <v>-9.5132030000000006E-2</v>
      </c>
      <c r="X6421">
        <v>0.99185760000000001</v>
      </c>
      <c r="Y6421">
        <v>-6.7344810000000005E-2</v>
      </c>
      <c r="Z6421">
        <v>4.8317250000000003E-3</v>
      </c>
      <c r="AA6421">
        <v>0.99771799999999999</v>
      </c>
      <c r="AB6421">
        <v>17</v>
      </c>
      <c r="AC6421">
        <v>16.008700000000001</v>
      </c>
      <c r="AD6421">
        <v>-1.1224434355549999</v>
      </c>
      <c r="AE6421">
        <v>0.50499999999999901</v>
      </c>
      <c r="AF6421">
        <v>-1.08338039056462</v>
      </c>
      <c r="AG6421">
        <v>-1.1224434355549999</v>
      </c>
      <c r="AH6421">
        <v>15.901524163314299</v>
      </c>
      <c r="AI6421">
        <v>94.028341675022503</v>
      </c>
      <c r="AJ6421">
        <v>93.897572755777404</v>
      </c>
      <c r="AK6421">
        <v>15.9778616545878</v>
      </c>
      <c r="AL6421">
        <v>95.458919066900705</v>
      </c>
      <c r="AM6421">
        <v>94.879013380028596</v>
      </c>
      <c r="AN6421">
        <v>0.99999998615604602</v>
      </c>
    </row>
    <row r="6422" spans="1:40" x14ac:dyDescent="0.25">
      <c r="A6422" t="str">
        <f>"20190303154309432"</f>
        <v>20190303154309432</v>
      </c>
      <c r="B6422" t="str">
        <f>"1551598989426449"</f>
        <v>1551598989426449</v>
      </c>
      <c r="C6422" t="s">
        <v>40</v>
      </c>
      <c r="D6422">
        <v>5.9571940000000003</v>
      </c>
      <c r="E6422">
        <v>0.51191600000000004</v>
      </c>
      <c r="F6422" t="s">
        <v>59</v>
      </c>
      <c r="G6422">
        <v>-380.46339999999998</v>
      </c>
      <c r="H6422" s="1">
        <v>-4.843368E-6</v>
      </c>
      <c r="I6422">
        <v>17.72824</v>
      </c>
      <c r="J6422">
        <v>-397.12290000000002</v>
      </c>
      <c r="K6422">
        <v>1.12229</v>
      </c>
      <c r="L6422">
        <v>17.366119999999999</v>
      </c>
      <c r="M6422">
        <v>0.99936530000000001</v>
      </c>
      <c r="N6422">
        <v>-1.344015E-2</v>
      </c>
      <c r="O6422">
        <v>-3.2991670000000001E-2</v>
      </c>
      <c r="P6422">
        <v>0.99300180000000005</v>
      </c>
      <c r="Q6422">
        <v>-0.10701140000000001</v>
      </c>
      <c r="R6422">
        <v>4.996051E-2</v>
      </c>
      <c r="S6422">
        <v>2.9963679999999999</v>
      </c>
      <c r="T6422">
        <v>-0.19998779999999999</v>
      </c>
      <c r="U6422">
        <v>6.4270019999999997E-2</v>
      </c>
      <c r="V6422">
        <v>-8.2396620000000004E-2</v>
      </c>
      <c r="W6422">
        <v>-9.3949359999999996E-2</v>
      </c>
      <c r="X6422">
        <v>0.99216150000000003</v>
      </c>
      <c r="Y6422">
        <v>-5.4228020000000002E-2</v>
      </c>
      <c r="Z6422">
        <v>3.9285850000000001E-3</v>
      </c>
      <c r="AA6422">
        <v>0.99852090000000004</v>
      </c>
      <c r="AB6422">
        <v>17</v>
      </c>
      <c r="AC6422">
        <v>16.659500000000001</v>
      </c>
      <c r="AD6422">
        <v>-1.122294843368</v>
      </c>
      <c r="AE6422">
        <v>0.362119999999997</v>
      </c>
      <c r="AF6422">
        <v>-0.90748074087276398</v>
      </c>
      <c r="AG6422">
        <v>-1.122294843368</v>
      </c>
      <c r="AH6422">
        <v>16.563347961683899</v>
      </c>
      <c r="AI6422">
        <v>93.870519781508605</v>
      </c>
      <c r="AJ6422">
        <v>93.136013590323699</v>
      </c>
      <c r="AK6422">
        <v>16.6261108714674</v>
      </c>
      <c r="AL6422">
        <v>95.390851771580202</v>
      </c>
      <c r="AM6422">
        <v>94.7473822451404</v>
      </c>
      <c r="AN6422">
        <v>1.0000000636570301</v>
      </c>
    </row>
    <row r="6423" spans="1:40" x14ac:dyDescent="0.25">
      <c r="A6423" t="str">
        <f>"20190303154309446"</f>
        <v>20190303154309446</v>
      </c>
      <c r="B6423" t="str">
        <f>"1551598989436210"</f>
        <v>1551598989436210</v>
      </c>
      <c r="C6423" t="s">
        <v>40</v>
      </c>
      <c r="D6423">
        <v>5.9697789999999999</v>
      </c>
      <c r="E6423">
        <v>0.51264480000000001</v>
      </c>
      <c r="F6423" t="s">
        <v>60</v>
      </c>
      <c r="G6423">
        <v>-379.8997</v>
      </c>
      <c r="H6423" s="1">
        <v>-5.4044389999999899E-7</v>
      </c>
      <c r="I6423">
        <v>17.670529999999999</v>
      </c>
      <c r="J6423">
        <v>-397.01150000000001</v>
      </c>
      <c r="K6423">
        <v>1.122188</v>
      </c>
      <c r="L6423">
        <v>17.36523</v>
      </c>
      <c r="M6423">
        <v>0.99943760000000004</v>
      </c>
      <c r="N6423">
        <v>-1.342749E-2</v>
      </c>
      <c r="O6423">
        <v>-3.0726949999999999E-2</v>
      </c>
      <c r="P6423">
        <v>0.99285489999999998</v>
      </c>
      <c r="Q6423">
        <v>-0.1078144</v>
      </c>
      <c r="R6423">
        <v>5.1139940000000002E-2</v>
      </c>
      <c r="S6423">
        <v>2.9974669999999999</v>
      </c>
      <c r="T6423">
        <v>-0.19531970000000001</v>
      </c>
      <c r="U6423">
        <v>5.2978520000000001E-2</v>
      </c>
      <c r="V6423">
        <v>-8.1347230000000006E-2</v>
      </c>
      <c r="W6423">
        <v>-9.474088E-2</v>
      </c>
      <c r="X6423">
        <v>0.99217279999999997</v>
      </c>
      <c r="Y6423">
        <v>-4.8223820000000001E-2</v>
      </c>
      <c r="Z6423">
        <v>3.4811920000000001E-3</v>
      </c>
      <c r="AA6423">
        <v>0.99883049999999995</v>
      </c>
      <c r="AB6423">
        <v>17</v>
      </c>
      <c r="AC6423">
        <v>17.111799999999999</v>
      </c>
      <c r="AD6423">
        <v>-1.1221885404439</v>
      </c>
      <c r="AE6423">
        <v>0.30529999999999802</v>
      </c>
      <c r="AF6423">
        <v>-0.82743921132804699</v>
      </c>
      <c r="AG6423">
        <v>-1.1221885404439</v>
      </c>
      <c r="AH6423">
        <v>17.0211570525281</v>
      </c>
      <c r="AI6423">
        <v>93.767560658099697</v>
      </c>
      <c r="AJ6423">
        <v>92.783094146326107</v>
      </c>
      <c r="AK6423">
        <v>17.078165890269801</v>
      </c>
      <c r="AL6423">
        <v>95.436405869227301</v>
      </c>
      <c r="AM6423">
        <v>94.687138328850594</v>
      </c>
      <c r="AN6423">
        <v>1.0000000356158401</v>
      </c>
    </row>
    <row r="6424" spans="1:40" x14ac:dyDescent="0.25">
      <c r="A6424" t="str">
        <f>"20190303154309459"</f>
        <v>20190303154309459</v>
      </c>
      <c r="B6424" t="str">
        <f>"1551598989456706"</f>
        <v>1551598989456706</v>
      </c>
      <c r="C6424" t="s">
        <v>40</v>
      </c>
      <c r="D6424">
        <v>5.9615200000000002</v>
      </c>
      <c r="E6424">
        <v>0.51377890000000004</v>
      </c>
      <c r="F6424" t="s">
        <v>60</v>
      </c>
      <c r="G6424">
        <v>-379.89760000000001</v>
      </c>
      <c r="H6424" s="1">
        <v>-5.4543220000000002E-7</v>
      </c>
      <c r="I6424">
        <v>17.654800000000002</v>
      </c>
      <c r="J6424">
        <v>-396.9128</v>
      </c>
      <c r="K6424">
        <v>1.1221000000000001</v>
      </c>
      <c r="L6424">
        <v>17.364529999999998</v>
      </c>
      <c r="M6424">
        <v>0.99949449999999995</v>
      </c>
      <c r="N6424">
        <v>-1.341644E-2</v>
      </c>
      <c r="O6424">
        <v>-2.88238E-2</v>
      </c>
      <c r="P6424">
        <v>0.99283520000000003</v>
      </c>
      <c r="Q6424">
        <v>-0.1077425</v>
      </c>
      <c r="R6424">
        <v>5.1672700000000002E-2</v>
      </c>
      <c r="S6424">
        <v>2.99762</v>
      </c>
      <c r="T6424">
        <v>-0.19655929999999999</v>
      </c>
      <c r="U6424">
        <v>5.0720210000000002E-2</v>
      </c>
      <c r="V6424">
        <v>-8.0014130000000003E-2</v>
      </c>
      <c r="W6424">
        <v>-9.465614E-2</v>
      </c>
      <c r="X6424">
        <v>0.99228919999999998</v>
      </c>
      <c r="Y6424">
        <v>-4.5575919999999999E-2</v>
      </c>
      <c r="Z6424">
        <v>3.300098E-3</v>
      </c>
      <c r="AA6424">
        <v>0.99895540000000005</v>
      </c>
      <c r="AB6424">
        <v>17</v>
      </c>
      <c r="AC6424">
        <v>17.015199999999901</v>
      </c>
      <c r="AD6424">
        <v>-1.1221005454321999</v>
      </c>
      <c r="AE6424">
        <v>0.29027000000000303</v>
      </c>
      <c r="AF6424">
        <v>-0.77725691750350501</v>
      </c>
      <c r="AG6424">
        <v>-1.1221005454321999</v>
      </c>
      <c r="AH6424">
        <v>16.926171104703599</v>
      </c>
      <c r="AI6424">
        <v>93.788825341032606</v>
      </c>
      <c r="AJ6424">
        <v>92.629199352541093</v>
      </c>
      <c r="AK6424">
        <v>16.981122054080199</v>
      </c>
      <c r="AL6424">
        <v>95.431529167291501</v>
      </c>
      <c r="AM6424">
        <v>94.610121959143399</v>
      </c>
      <c r="AN6424">
        <v>0.999999951137997</v>
      </c>
    </row>
    <row r="6425" spans="1:40" x14ac:dyDescent="0.25">
      <c r="A6425" t="str">
        <f>"20190303154309477"</f>
        <v>20190303154309477</v>
      </c>
      <c r="B6425" t="str">
        <f>"1551598989466466"</f>
        <v>1551598989466466</v>
      </c>
      <c r="C6425" t="s">
        <v>40</v>
      </c>
      <c r="D6425">
        <v>5.9765550000000003</v>
      </c>
      <c r="E6425">
        <v>0.51414589999999905</v>
      </c>
      <c r="F6425" t="s">
        <v>60</v>
      </c>
      <c r="G6425">
        <v>-379.6617</v>
      </c>
      <c r="H6425" s="1">
        <v>-6.4691769999999899E-7</v>
      </c>
      <c r="I6425">
        <v>17.613869999999999</v>
      </c>
      <c r="J6425">
        <v>-396.77980000000002</v>
      </c>
      <c r="K6425">
        <v>1.121972</v>
      </c>
      <c r="L6425">
        <v>17.363679999999999</v>
      </c>
      <c r="M6425">
        <v>0.99956009999999995</v>
      </c>
      <c r="N6425">
        <v>-1.3401669999999999E-2</v>
      </c>
      <c r="O6425">
        <v>-2.6458280000000001E-2</v>
      </c>
      <c r="P6425">
        <v>0.99280009999999996</v>
      </c>
      <c r="Q6425">
        <v>-0.10770830000000001</v>
      </c>
      <c r="R6425">
        <v>5.2412439999999998E-2</v>
      </c>
      <c r="S6425">
        <v>2.9981990000000001</v>
      </c>
      <c r="T6425">
        <v>-0.1950192</v>
      </c>
      <c r="U6425">
        <v>4.3334959999999999E-2</v>
      </c>
      <c r="V6425">
        <v>-7.8436899999999907E-2</v>
      </c>
      <c r="W6425">
        <v>-9.4605430000000004E-2</v>
      </c>
      <c r="X6425">
        <v>0.99241999999999997</v>
      </c>
      <c r="Y6425">
        <v>-4.0765830000000003E-2</v>
      </c>
      <c r="Z6425">
        <v>2.9626040000000002E-3</v>
      </c>
      <c r="AA6425">
        <v>0.99916430000000001</v>
      </c>
      <c r="AB6425">
        <v>17</v>
      </c>
      <c r="AC6425">
        <v>17.118099999999998</v>
      </c>
      <c r="AD6425">
        <v>-1.1219726469177</v>
      </c>
      <c r="AE6425">
        <v>0.25019000000000302</v>
      </c>
      <c r="AF6425">
        <v>-0.70005184449422297</v>
      </c>
      <c r="AG6425">
        <v>-1.1219726469177</v>
      </c>
      <c r="AH6425">
        <v>17.0323325550867</v>
      </c>
      <c r="AI6425">
        <v>93.765635781386905</v>
      </c>
      <c r="AJ6425">
        <v>92.353609092383095</v>
      </c>
      <c r="AK6425">
        <v>17.0835958589659</v>
      </c>
      <c r="AL6425">
        <v>95.428610359191794</v>
      </c>
      <c r="AM6425">
        <v>94.519034774910494</v>
      </c>
      <c r="AN6425">
        <v>0.99999999553354701</v>
      </c>
    </row>
    <row r="6426" spans="1:40" x14ac:dyDescent="0.25">
      <c r="A6426" t="str">
        <f>"20190303154309491"</f>
        <v>20190303154309491</v>
      </c>
      <c r="B6426" t="str">
        <f>"1551598989486961"</f>
        <v>1551598989486961</v>
      </c>
      <c r="C6426" t="s">
        <v>40</v>
      </c>
      <c r="D6426">
        <v>5.9769370000000004</v>
      </c>
      <c r="E6426">
        <v>0.51443859999999997</v>
      </c>
      <c r="F6426" t="s">
        <v>60</v>
      </c>
      <c r="G6426">
        <v>-379.54219999999998</v>
      </c>
      <c r="H6426" s="1">
        <v>-6.9406759999999899E-7</v>
      </c>
      <c r="I6426">
        <v>17.60913</v>
      </c>
      <c r="J6426">
        <v>-396.67380000000003</v>
      </c>
      <c r="K6426">
        <v>1.121875</v>
      </c>
      <c r="L6426">
        <v>17.363039999999899</v>
      </c>
      <c r="M6426">
        <v>0.99960439999999995</v>
      </c>
      <c r="N6426">
        <v>-1.3390239999999999E-2</v>
      </c>
      <c r="O6426">
        <v>-2.4732959999999998E-2</v>
      </c>
      <c r="P6426">
        <v>0.99281699999999995</v>
      </c>
      <c r="Q6426">
        <v>-0.1071873</v>
      </c>
      <c r="R6426">
        <v>5.3152570000000003E-2</v>
      </c>
      <c r="S6426">
        <v>2.998291</v>
      </c>
      <c r="T6426">
        <v>-0.19515469999999999</v>
      </c>
      <c r="U6426">
        <v>4.2694089999999997E-2</v>
      </c>
      <c r="V6426">
        <v>-7.7491989999999997E-2</v>
      </c>
      <c r="W6426">
        <v>-9.4071890000000005E-2</v>
      </c>
      <c r="X6426">
        <v>0.99254489999999995</v>
      </c>
      <c r="Y6426">
        <v>-3.8834239999999999E-2</v>
      </c>
      <c r="Z6426">
        <v>2.7998789999999999E-3</v>
      </c>
      <c r="AA6426">
        <v>0.99924179999999996</v>
      </c>
      <c r="AB6426">
        <v>17</v>
      </c>
      <c r="AC6426">
        <v>17.131599999999999</v>
      </c>
      <c r="AD6426">
        <v>-1.1218756940676</v>
      </c>
      <c r="AE6426">
        <v>0.246090000000002</v>
      </c>
      <c r="AF6426">
        <v>-0.66690851031082699</v>
      </c>
      <c r="AG6426">
        <v>-1.1218756940676</v>
      </c>
      <c r="AH6426">
        <v>17.047181541010701</v>
      </c>
      <c r="AI6426">
        <v>93.762338417695304</v>
      </c>
      <c r="AJ6426">
        <v>92.240344952033396</v>
      </c>
      <c r="AK6426">
        <v>17.097069062451599</v>
      </c>
      <c r="AL6426">
        <v>95.397904048508096</v>
      </c>
      <c r="AM6426">
        <v>94.464256956999705</v>
      </c>
      <c r="AN6426">
        <v>0.99999995375916995</v>
      </c>
    </row>
    <row r="6427" spans="1:40" x14ac:dyDescent="0.25">
      <c r="A6427" t="str">
        <f>"20190303154309512"</f>
        <v>20190303154309512</v>
      </c>
      <c r="B6427" t="str">
        <f>"1551598989506482"</f>
        <v>1551598989506482</v>
      </c>
      <c r="C6427" t="s">
        <v>40</v>
      </c>
      <c r="D6427">
        <v>5.9787460000000001</v>
      </c>
      <c r="E6427">
        <v>0.51501889999999995</v>
      </c>
      <c r="F6427" t="s">
        <v>60</v>
      </c>
      <c r="G6427">
        <v>-379.09289999999999</v>
      </c>
      <c r="H6427" s="1">
        <v>-8.6557869999999899E-7</v>
      </c>
      <c r="I6427">
        <v>17.61298</v>
      </c>
      <c r="J6427">
        <v>-396.5258</v>
      </c>
      <c r="K6427">
        <v>1.121748</v>
      </c>
      <c r="L6427">
        <v>17.362210000000001</v>
      </c>
      <c r="M6427">
        <v>0.99965749999999998</v>
      </c>
      <c r="N6427">
        <v>-1.3375349999999999E-2</v>
      </c>
      <c r="O6427">
        <v>-2.2498400000000002E-2</v>
      </c>
      <c r="P6427">
        <v>0.9929692</v>
      </c>
      <c r="Q6427">
        <v>-0.1054567</v>
      </c>
      <c r="R6427">
        <v>5.3771670000000001E-2</v>
      </c>
      <c r="S6427">
        <v>2.9987490000000001</v>
      </c>
      <c r="T6427">
        <v>-0.19135740000000001</v>
      </c>
      <c r="U6427">
        <v>4.263306E-2</v>
      </c>
      <c r="V6427">
        <v>-7.5933550000000002E-2</v>
      </c>
      <c r="W6427">
        <v>-9.2323089999999997E-2</v>
      </c>
      <c r="X6427">
        <v>0.99282959999999998</v>
      </c>
      <c r="Y6427">
        <v>-3.659142E-2</v>
      </c>
      <c r="Z6427">
        <v>2.544709E-3</v>
      </c>
      <c r="AA6427">
        <v>0.99932710000000002</v>
      </c>
      <c r="AB6427">
        <v>17</v>
      </c>
      <c r="AC6427">
        <v>17.4329</v>
      </c>
      <c r="AD6427">
        <v>-1.1217488655787</v>
      </c>
      <c r="AE6427">
        <v>0.25076999999999899</v>
      </c>
      <c r="AF6427">
        <v>-0.64030329813101095</v>
      </c>
      <c r="AG6427">
        <v>-1.1217488655787</v>
      </c>
      <c r="AH6427">
        <v>17.351017255815599</v>
      </c>
      <c r="AI6427">
        <v>93.696533605686298</v>
      </c>
      <c r="AJ6427">
        <v>92.113422862915897</v>
      </c>
      <c r="AK6427">
        <v>17.399026083164401</v>
      </c>
      <c r="AL6427">
        <v>95.297266727862905</v>
      </c>
      <c r="AM6427">
        <v>94.373578827086405</v>
      </c>
      <c r="AN6427">
        <v>1.0000000357994501</v>
      </c>
    </row>
    <row r="6428" spans="1:40" x14ac:dyDescent="0.25">
      <c r="A6428" t="str">
        <f>"20190303154309533"</f>
        <v>20190303154309533</v>
      </c>
      <c r="B6428" t="str">
        <f>"1551598989526977"</f>
        <v>1551598989526977</v>
      </c>
      <c r="C6428" t="s">
        <v>40</v>
      </c>
      <c r="D6428">
        <v>5.9658449999999998</v>
      </c>
      <c r="E6428">
        <v>0.51545659999999904</v>
      </c>
      <c r="F6428" t="s">
        <v>60</v>
      </c>
      <c r="G6428">
        <v>-378.66559999999998</v>
      </c>
      <c r="H6428" s="1">
        <v>-1.0328089999999999E-6</v>
      </c>
      <c r="I6428">
        <v>17.601199999999999</v>
      </c>
      <c r="J6428">
        <v>-396.35649999999998</v>
      </c>
      <c r="K6428">
        <v>1.121604</v>
      </c>
      <c r="L6428">
        <v>17.3613</v>
      </c>
      <c r="M6428">
        <v>0.99970630000000005</v>
      </c>
      <c r="N6428">
        <v>-1.3354110000000001E-2</v>
      </c>
      <c r="O6428">
        <v>-2.022558E-2</v>
      </c>
      <c r="P6428">
        <v>0.99315140000000002</v>
      </c>
      <c r="Q6428">
        <v>-0.1036726</v>
      </c>
      <c r="R6428">
        <v>5.3875369999999999E-2</v>
      </c>
      <c r="S6428">
        <v>2.9990839999999999</v>
      </c>
      <c r="T6428">
        <v>-0.18836449999999999</v>
      </c>
      <c r="U6428">
        <v>4.0130619999999999E-2</v>
      </c>
      <c r="V6428">
        <v>-7.3823269999999996E-2</v>
      </c>
      <c r="W6428">
        <v>-9.0524060000000003E-2</v>
      </c>
      <c r="X6428">
        <v>0.99315430000000005</v>
      </c>
      <c r="Y6428">
        <v>-3.3497829999999999E-2</v>
      </c>
      <c r="Z6428">
        <v>2.2739219999999998E-3</v>
      </c>
      <c r="AA6428">
        <v>0.9994362</v>
      </c>
      <c r="AB6428">
        <v>17</v>
      </c>
      <c r="AC6428">
        <v>17.690899999999999</v>
      </c>
      <c r="AD6428">
        <v>-1.1216050328089999</v>
      </c>
      <c r="AE6428">
        <v>0.239899999999998</v>
      </c>
      <c r="AF6428">
        <v>-0.59529911414862702</v>
      </c>
      <c r="AG6428">
        <v>-1.1216050328089999</v>
      </c>
      <c r="AH6428">
        <v>17.611649675077999</v>
      </c>
      <c r="AI6428">
        <v>93.641909436556205</v>
      </c>
      <c r="AJ6428">
        <v>91.935942763981799</v>
      </c>
      <c r="AK6428">
        <v>17.657366257814498</v>
      </c>
      <c r="AL6428">
        <v>95.193756731287806</v>
      </c>
      <c r="AM6428">
        <v>94.251099089339206</v>
      </c>
      <c r="AN6428">
        <v>0.99999997212043201</v>
      </c>
    </row>
    <row r="6429" spans="1:40" x14ac:dyDescent="0.25">
      <c r="A6429" t="str">
        <f>"20190303154309555"</f>
        <v>20190303154309555</v>
      </c>
      <c r="B6429" t="str">
        <f>"1551598989546501"</f>
        <v>1551598989546501</v>
      </c>
      <c r="C6429" t="s">
        <v>40</v>
      </c>
      <c r="D6429">
        <v>5.9929670000000002</v>
      </c>
      <c r="E6429">
        <v>0.5158507</v>
      </c>
      <c r="F6429" t="s">
        <v>60</v>
      </c>
      <c r="G6429">
        <v>-378.20240000000001</v>
      </c>
      <c r="H6429" s="1">
        <v>-1.214599E-6</v>
      </c>
      <c r="I6429">
        <v>17.586459999999999</v>
      </c>
      <c r="J6429">
        <v>-396.1968</v>
      </c>
      <c r="K6429">
        <v>1.121462</v>
      </c>
      <c r="L6429">
        <v>17.360440000000001</v>
      </c>
      <c r="M6429">
        <v>0.99974240000000003</v>
      </c>
      <c r="N6429">
        <v>-1.329751E-2</v>
      </c>
      <c r="O6429">
        <v>-1.8399639999999998E-2</v>
      </c>
      <c r="P6429">
        <v>0.99334840000000002</v>
      </c>
      <c r="Q6429">
        <v>-0.1022468</v>
      </c>
      <c r="R6429">
        <v>5.2960599999999997E-2</v>
      </c>
      <c r="S6429">
        <v>2.9993289999999999</v>
      </c>
      <c r="T6429">
        <v>-0.1853062</v>
      </c>
      <c r="U6429">
        <v>3.720093E-2</v>
      </c>
      <c r="V6429">
        <v>-7.1134580000000003E-2</v>
      </c>
      <c r="W6429">
        <v>-8.9120630000000006E-2</v>
      </c>
      <c r="X6429">
        <v>0.99347739999999995</v>
      </c>
      <c r="Y6429">
        <v>-3.0707109999999999E-2</v>
      </c>
      <c r="Z6429">
        <v>2.0432029999999999E-3</v>
      </c>
      <c r="AA6429">
        <v>0.99952629999999998</v>
      </c>
      <c r="AB6429">
        <v>17</v>
      </c>
      <c r="AC6429">
        <v>17.994399999999899</v>
      </c>
      <c r="AD6429">
        <v>-1.121463214599</v>
      </c>
      <c r="AE6429">
        <v>0.226019999999998</v>
      </c>
      <c r="AF6429">
        <v>-0.55494629850770605</v>
      </c>
      <c r="AG6429">
        <v>-1.121463214599</v>
      </c>
      <c r="AH6429">
        <v>17.917610575437401</v>
      </c>
      <c r="AI6429">
        <v>93.579758699385494</v>
      </c>
      <c r="AJ6429">
        <v>91.774004376627005</v>
      </c>
      <c r="AK6429">
        <v>17.961247558812701</v>
      </c>
      <c r="AL6429">
        <v>95.113019712585697</v>
      </c>
      <c r="AM6429">
        <v>94.095480634807004</v>
      </c>
      <c r="AN6429">
        <v>0.999999979737066</v>
      </c>
    </row>
    <row r="6430" spans="1:40" x14ac:dyDescent="0.25">
      <c r="A6430" t="str">
        <f>"20190303154309568"</f>
        <v>20190303154309568</v>
      </c>
      <c r="B6430" t="str">
        <f>"1551598989556258"</f>
        <v>1551598989556258</v>
      </c>
      <c r="C6430" t="s">
        <v>40</v>
      </c>
      <c r="D6430">
        <v>5.9895990000000001</v>
      </c>
      <c r="E6430">
        <v>0.51601520000000001</v>
      </c>
      <c r="F6430" t="s">
        <v>60</v>
      </c>
      <c r="G6430">
        <v>-377.83640000000003</v>
      </c>
      <c r="H6430" s="1">
        <v>-1.3695829999999999E-6</v>
      </c>
      <c r="I6430">
        <v>17.55097</v>
      </c>
      <c r="J6430">
        <v>-396.09629999999999</v>
      </c>
      <c r="K6430">
        <v>1.1213519999999999</v>
      </c>
      <c r="L6430">
        <v>17.359829999999999</v>
      </c>
      <c r="M6430">
        <v>0.99976050000000005</v>
      </c>
      <c r="N6430">
        <v>-1.322213E-2</v>
      </c>
      <c r="O6430">
        <v>-1.744302E-2</v>
      </c>
      <c r="P6430">
        <v>0.99345090000000003</v>
      </c>
      <c r="Q6430">
        <v>-0.1016934</v>
      </c>
      <c r="R6430">
        <v>5.209519E-2</v>
      </c>
      <c r="S6430">
        <v>2.9995729999999998</v>
      </c>
      <c r="T6430">
        <v>-0.1832154</v>
      </c>
      <c r="U6430">
        <v>3.1127930000000002E-2</v>
      </c>
      <c r="V6430">
        <v>-6.9342139999999997E-2</v>
      </c>
      <c r="W6430">
        <v>-8.8622030000000004E-2</v>
      </c>
      <c r="X6430">
        <v>0.99364870000000005</v>
      </c>
      <c r="Y6430">
        <v>-2.7736070000000002E-2</v>
      </c>
      <c r="Z6430">
        <v>1.863759E-3</v>
      </c>
      <c r="AA6430">
        <v>0.99961350000000004</v>
      </c>
      <c r="AB6430">
        <v>17</v>
      </c>
      <c r="AC6430">
        <v>18.259899999999899</v>
      </c>
      <c r="AD6430">
        <v>-1.121353369583</v>
      </c>
      <c r="AE6430">
        <v>0.19114</v>
      </c>
      <c r="AF6430">
        <v>-0.50773195128619497</v>
      </c>
      <c r="AG6430">
        <v>-1.121353369583</v>
      </c>
      <c r="AH6430">
        <v>18.185213159443901</v>
      </c>
      <c r="AI6430">
        <v>93.527186412040905</v>
      </c>
      <c r="AJ6430">
        <v>91.599285207513702</v>
      </c>
      <c r="AK6430">
        <v>18.2268264590478</v>
      </c>
      <c r="AL6430">
        <v>95.084338608828503</v>
      </c>
      <c r="AM6430">
        <v>93.991935203115403</v>
      </c>
      <c r="AN6430">
        <v>0.999999967796394</v>
      </c>
    </row>
    <row r="6431" spans="1:40" x14ac:dyDescent="0.25">
      <c r="A6431" t="str">
        <f>"20190303154309588"</f>
        <v>20190303154309588</v>
      </c>
      <c r="B6431" t="str">
        <f>"1551598989576758"</f>
        <v>1551598989576758</v>
      </c>
      <c r="C6431" t="s">
        <v>40</v>
      </c>
      <c r="D6431">
        <v>5.9645760000000001</v>
      </c>
      <c r="E6431">
        <v>0.51647650000000001</v>
      </c>
      <c r="F6431" t="s">
        <v>60</v>
      </c>
      <c r="G6431">
        <v>-377.61919999999998</v>
      </c>
      <c r="H6431" s="1">
        <v>-1.47647E-6</v>
      </c>
      <c r="I6431">
        <v>17.52713</v>
      </c>
      <c r="J6431">
        <v>-395.94920000000002</v>
      </c>
      <c r="K6431">
        <v>1.1211880000000001</v>
      </c>
      <c r="L6431">
        <v>17.358920000000001</v>
      </c>
      <c r="M6431">
        <v>0.99978299999999998</v>
      </c>
      <c r="N6431">
        <v>-1.308378E-2</v>
      </c>
      <c r="O6431">
        <v>-1.6216210000000002E-2</v>
      </c>
      <c r="P6431">
        <v>0.99355349999999998</v>
      </c>
      <c r="Q6431">
        <v>-0.1016555</v>
      </c>
      <c r="R6431">
        <v>5.0176730000000003E-2</v>
      </c>
      <c r="S6431">
        <v>2.9997560000000001</v>
      </c>
      <c r="T6431">
        <v>-0.1820514</v>
      </c>
      <c r="U6431">
        <v>2.716064E-2</v>
      </c>
      <c r="V6431">
        <v>-6.6237459999999998E-2</v>
      </c>
      <c r="W6431">
        <v>-8.8693980000000006E-2</v>
      </c>
      <c r="X6431">
        <v>0.99385409999999996</v>
      </c>
      <c r="Y6431">
        <v>-2.5194930000000001E-2</v>
      </c>
      <c r="Z6431">
        <v>1.700001E-3</v>
      </c>
      <c r="AA6431">
        <v>0.99968109999999999</v>
      </c>
      <c r="AB6431">
        <v>17</v>
      </c>
      <c r="AC6431">
        <v>18.329999999999998</v>
      </c>
      <c r="AD6431">
        <v>-1.1211894764699999</v>
      </c>
      <c r="AE6431">
        <v>0.168209999999998</v>
      </c>
      <c r="AF6431">
        <v>-0.46372160529288298</v>
      </c>
      <c r="AG6431">
        <v>-1.1211894764699999</v>
      </c>
      <c r="AH6431">
        <v>18.256562203293701</v>
      </c>
      <c r="AI6431">
        <v>93.513159315147007</v>
      </c>
      <c r="AJ6431">
        <v>91.455015398378194</v>
      </c>
      <c r="AK6431">
        <v>18.296834891644401</v>
      </c>
      <c r="AL6431">
        <v>95.088477185830101</v>
      </c>
      <c r="AM6431">
        <v>93.812956778190994</v>
      </c>
      <c r="AN6431">
        <v>0.99999999764115</v>
      </c>
    </row>
    <row r="6432" spans="1:40" x14ac:dyDescent="0.25">
      <c r="A6432" t="str">
        <f>"20190303154309602"</f>
        <v>20190303154309602</v>
      </c>
      <c r="B6432" t="str">
        <f>"1551598989596274"</f>
        <v>1551598989596274</v>
      </c>
      <c r="C6432" t="s">
        <v>40</v>
      </c>
      <c r="D6432">
        <v>5.9599500000000001</v>
      </c>
      <c r="E6432">
        <v>0.51688990000000001</v>
      </c>
      <c r="F6432" t="s">
        <v>60</v>
      </c>
      <c r="G6432">
        <v>-377.63029999999998</v>
      </c>
      <c r="H6432" s="1">
        <v>-1.481994E-6</v>
      </c>
      <c r="I6432">
        <v>17.466449999999998</v>
      </c>
      <c r="J6432">
        <v>-395.84269999999998</v>
      </c>
      <c r="K6432">
        <v>1.1210690000000001</v>
      </c>
      <c r="L6432">
        <v>17.358149999999998</v>
      </c>
      <c r="M6432">
        <v>0.99979629999999997</v>
      </c>
      <c r="N6432">
        <v>-1.2971450000000001E-2</v>
      </c>
      <c r="O6432">
        <v>-1.5471230000000001E-2</v>
      </c>
      <c r="P6432">
        <v>0.99362399999999995</v>
      </c>
      <c r="Q6432">
        <v>-0.1012826</v>
      </c>
      <c r="R6432">
        <v>4.9529570000000002E-2</v>
      </c>
      <c r="S6432">
        <v>2.9998170000000002</v>
      </c>
      <c r="T6432">
        <v>-0.18360090000000001</v>
      </c>
      <c r="U6432">
        <v>1.7608639999999998E-2</v>
      </c>
      <c r="V6432">
        <v>-6.4872260000000001E-2</v>
      </c>
      <c r="W6432">
        <v>-8.8415279999999999E-2</v>
      </c>
      <c r="X6432">
        <v>0.99396899999999999</v>
      </c>
      <c r="Y6432">
        <v>-2.127513E-2</v>
      </c>
      <c r="Z6432">
        <v>1.53404E-3</v>
      </c>
      <c r="AA6432">
        <v>0.99977249999999995</v>
      </c>
      <c r="AB6432">
        <v>17</v>
      </c>
      <c r="AC6432">
        <v>18.212399999999999</v>
      </c>
      <c r="AD6432">
        <v>-1.1210704819939901</v>
      </c>
      <c r="AE6432">
        <v>0.10829999999999899</v>
      </c>
      <c r="AF6432">
        <v>-0.38860653507371201</v>
      </c>
      <c r="AG6432">
        <v>-1.1210704819939901</v>
      </c>
      <c r="AH6432">
        <v>18.1398137665491</v>
      </c>
      <c r="AI6432">
        <v>93.535666846747404</v>
      </c>
      <c r="AJ6432">
        <v>91.227251250058799</v>
      </c>
      <c r="AK6432">
        <v>18.178576884612902</v>
      </c>
      <c r="AL6432">
        <v>95.072445744145298</v>
      </c>
      <c r="AM6432">
        <v>93.734163336758499</v>
      </c>
      <c r="AN6432">
        <v>1.0000000224079899</v>
      </c>
    </row>
    <row r="6433" spans="1:40" x14ac:dyDescent="0.25">
      <c r="A6433" t="str">
        <f>"20190303154309621"</f>
        <v>20190303154309621</v>
      </c>
      <c r="B6433" t="str">
        <f>"1551598989616770"</f>
        <v>1551598989616770</v>
      </c>
      <c r="C6433" t="s">
        <v>40</v>
      </c>
      <c r="D6433">
        <v>5.9806030000000003</v>
      </c>
      <c r="E6433">
        <v>0.51714499999999997</v>
      </c>
      <c r="F6433" t="s">
        <v>60</v>
      </c>
      <c r="G6433">
        <v>-377.6096</v>
      </c>
      <c r="H6433" s="1">
        <v>-1.497673E-6</v>
      </c>
      <c r="I6433">
        <v>17.43328</v>
      </c>
      <c r="J6433">
        <v>-395.7</v>
      </c>
      <c r="K6433">
        <v>1.1209290000000001</v>
      </c>
      <c r="L6433">
        <v>17.357089999999999</v>
      </c>
      <c r="M6433">
        <v>0.99981050000000005</v>
      </c>
      <c r="N6433">
        <v>-1.282347E-2</v>
      </c>
      <c r="O6433">
        <v>-1.464651E-2</v>
      </c>
      <c r="P6433">
        <v>0.99369850000000004</v>
      </c>
      <c r="Q6433">
        <v>-0.1012777</v>
      </c>
      <c r="R6433">
        <v>4.8022370000000002E-2</v>
      </c>
      <c r="S6433">
        <v>2.9998469999999999</v>
      </c>
      <c r="T6433">
        <v>-0.18444659999999999</v>
      </c>
      <c r="U6433">
        <v>1.235962E-2</v>
      </c>
      <c r="V6433">
        <v>-6.2572710000000004E-2</v>
      </c>
      <c r="W6433">
        <v>-8.8537080000000004E-2</v>
      </c>
      <c r="X6433">
        <v>0.99410560000000003</v>
      </c>
      <c r="Y6433">
        <v>-1.8707169999999999E-2</v>
      </c>
      <c r="Z6433">
        <v>1.406636E-3</v>
      </c>
      <c r="AA6433">
        <v>0.99982400000000005</v>
      </c>
      <c r="AB6433">
        <v>17</v>
      </c>
      <c r="AC6433">
        <v>18.090399999999899</v>
      </c>
      <c r="AD6433">
        <v>-1.1209304976729999</v>
      </c>
      <c r="AE6433">
        <v>7.6190000000000396E-2</v>
      </c>
      <c r="AF6433">
        <v>-0.33986001049828202</v>
      </c>
      <c r="AG6433">
        <v>-1.1209304976729999</v>
      </c>
      <c r="AH6433">
        <v>18.0181658409339</v>
      </c>
      <c r="AI6433">
        <v>93.559216114241906</v>
      </c>
      <c r="AJ6433">
        <v>91.080589200433195</v>
      </c>
      <c r="AK6433">
        <v>18.0561981125248</v>
      </c>
      <c r="AL6433">
        <v>95.079451698870301</v>
      </c>
      <c r="AM6433">
        <v>93.601658347426707</v>
      </c>
      <c r="AN6433">
        <v>1.0000000512615099</v>
      </c>
    </row>
    <row r="6434" spans="1:40" x14ac:dyDescent="0.25">
      <c r="A6434" t="str">
        <f>"20190303154309635"</f>
        <v>20190303154309635</v>
      </c>
      <c r="B6434" t="str">
        <f>"1551598989626530"</f>
        <v>1551598989626530</v>
      </c>
      <c r="C6434" t="s">
        <v>40</v>
      </c>
      <c r="D6434">
        <v>5.9968300000000001</v>
      </c>
      <c r="E6434">
        <v>0.51727599999999996</v>
      </c>
      <c r="F6434" t="s">
        <v>60</v>
      </c>
      <c r="G6434">
        <v>-377.66309999999999</v>
      </c>
      <c r="H6434" s="1">
        <v>-1.4795519999999999E-6</v>
      </c>
      <c r="I6434">
        <v>17.392869999999998</v>
      </c>
      <c r="J6434">
        <v>-395.59249999999997</v>
      </c>
      <c r="K6434">
        <v>1.1208340000000001</v>
      </c>
      <c r="L6434">
        <v>17.356169999999999</v>
      </c>
      <c r="M6434">
        <v>0.99981920000000002</v>
      </c>
      <c r="N6434">
        <v>-1.2720769999999999E-2</v>
      </c>
      <c r="O6434">
        <v>-1.412951E-2</v>
      </c>
      <c r="P6434">
        <v>0.99367640000000002</v>
      </c>
      <c r="Q6434">
        <v>-0.10168770000000001</v>
      </c>
      <c r="R6434">
        <v>4.7611889999999997E-2</v>
      </c>
      <c r="S6434">
        <v>2.9997250000000002</v>
      </c>
      <c r="T6434">
        <v>-0.18642210000000001</v>
      </c>
      <c r="U6434">
        <v>5.9509280000000003E-3</v>
      </c>
      <c r="V6434">
        <v>-6.1665480000000002E-2</v>
      </c>
      <c r="W6434">
        <v>-8.9037110000000003E-2</v>
      </c>
      <c r="X6434">
        <v>0.99411760000000005</v>
      </c>
      <c r="Y6434">
        <v>-1.6059670000000002E-2</v>
      </c>
      <c r="Z6434">
        <v>1.2984330000000001E-3</v>
      </c>
      <c r="AA6434">
        <v>0.99987020000000004</v>
      </c>
      <c r="AB6434">
        <v>17</v>
      </c>
      <c r="AC6434">
        <v>17.929399999999902</v>
      </c>
      <c r="AD6434">
        <v>-1.1208354795519999</v>
      </c>
      <c r="AE6434">
        <v>3.6699999999999698E-2</v>
      </c>
      <c r="AF6434">
        <v>-0.288921391275415</v>
      </c>
      <c r="AG6434">
        <v>-1.1208354795519999</v>
      </c>
      <c r="AH6434">
        <v>17.857305601871399</v>
      </c>
      <c r="AI6434">
        <v>93.591058995264703</v>
      </c>
      <c r="AJ6434">
        <v>90.926933349113696</v>
      </c>
      <c r="AK6434">
        <v>17.894778878242299</v>
      </c>
      <c r="AL6434">
        <v>95.108215060473498</v>
      </c>
      <c r="AM6434">
        <v>93.549530329521005</v>
      </c>
      <c r="AN6434">
        <v>1.0000000205052699</v>
      </c>
    </row>
    <row r="6435" spans="1:40" x14ac:dyDescent="0.25">
      <c r="A6435" t="str">
        <f>"20190303154309648"</f>
        <v>20190303154309648</v>
      </c>
      <c r="B6435" t="str">
        <f>"1551598989636290"</f>
        <v>1551598989636290</v>
      </c>
      <c r="C6435" t="s">
        <v>40</v>
      </c>
      <c r="D6435">
        <v>5.9867280000000003</v>
      </c>
      <c r="E6435">
        <v>0.51743720000000004</v>
      </c>
      <c r="F6435" t="s">
        <v>60</v>
      </c>
      <c r="G6435">
        <v>-377.7971</v>
      </c>
      <c r="H6435" s="1">
        <v>-1.4254499999999901E-6</v>
      </c>
      <c r="I6435">
        <v>17.378979999999999</v>
      </c>
      <c r="J6435">
        <v>-395.49369999999999</v>
      </c>
      <c r="K6435">
        <v>1.120768</v>
      </c>
      <c r="L6435">
        <v>17.35529</v>
      </c>
      <c r="M6435">
        <v>0.99982519999999997</v>
      </c>
      <c r="N6435">
        <v>-1.263568E-2</v>
      </c>
      <c r="O6435">
        <v>-1.377651E-2</v>
      </c>
      <c r="P6435">
        <v>0.99362680000000003</v>
      </c>
      <c r="Q6435">
        <v>-0.1024075</v>
      </c>
      <c r="R6435">
        <v>4.7101509999999999E-2</v>
      </c>
      <c r="S6435">
        <v>2.9995419999999999</v>
      </c>
      <c r="T6435">
        <v>-0.1889248</v>
      </c>
      <c r="U6435">
        <v>3.8452149999999999E-3</v>
      </c>
      <c r="V6435">
        <v>-6.0815889999999997E-2</v>
      </c>
      <c r="W6435">
        <v>-8.9833759999999999E-2</v>
      </c>
      <c r="X6435">
        <v>0.99409820000000004</v>
      </c>
      <c r="Y6435">
        <v>-1.500625E-2</v>
      </c>
      <c r="Z6435">
        <v>1.2599169999999999E-3</v>
      </c>
      <c r="AA6435">
        <v>0.99988659999999996</v>
      </c>
      <c r="AB6435">
        <v>17</v>
      </c>
      <c r="AC6435">
        <v>17.696599999999901</v>
      </c>
      <c r="AD6435">
        <v>-1.12076942545</v>
      </c>
      <c r="AE6435">
        <v>2.36899999999984E-2</v>
      </c>
      <c r="AF6435">
        <v>-0.26643594408454602</v>
      </c>
      <c r="AG6435">
        <v>-1.12076942545</v>
      </c>
      <c r="AH6435">
        <v>17.6239045317567</v>
      </c>
      <c r="AI6435">
        <v>93.6383364476347</v>
      </c>
      <c r="AJ6435">
        <v>90.866124317100898</v>
      </c>
      <c r="AK6435">
        <v>17.661515313296299</v>
      </c>
      <c r="AL6435">
        <v>95.154043738284301</v>
      </c>
      <c r="AM6435">
        <v>93.500817641796402</v>
      </c>
      <c r="AN6435">
        <v>0.99999995407773301</v>
      </c>
    </row>
    <row r="6436" spans="1:40" x14ac:dyDescent="0.25">
      <c r="A6436" t="str">
        <f>"20190303154309667"</f>
        <v>20190303154309667</v>
      </c>
      <c r="B6436" t="str">
        <f>"1551598989656791"</f>
        <v>1551598989656791</v>
      </c>
      <c r="C6436" t="s">
        <v>40</v>
      </c>
      <c r="D6436">
        <v>5.97682</v>
      </c>
      <c r="E6436">
        <v>0.51766939999999995</v>
      </c>
      <c r="F6436" t="s">
        <v>60</v>
      </c>
      <c r="G6436">
        <v>-377.99770000000001</v>
      </c>
      <c r="H6436" s="1">
        <v>-1.3528870000000001E-6</v>
      </c>
      <c r="I6436">
        <v>17.36223</v>
      </c>
      <c r="J6436">
        <v>-395.35579999999999</v>
      </c>
      <c r="K6436">
        <v>1.120687</v>
      </c>
      <c r="L6436">
        <v>17.35388</v>
      </c>
      <c r="M6436">
        <v>0.9998321</v>
      </c>
      <c r="N6436">
        <v>-1.2512290000000001E-2</v>
      </c>
      <c r="O6436">
        <v>-1.339542E-2</v>
      </c>
      <c r="P6436">
        <v>0.99361619999999995</v>
      </c>
      <c r="Q6436">
        <v>-0.1038931</v>
      </c>
      <c r="R6436">
        <v>4.3972230000000001E-2</v>
      </c>
      <c r="S6436">
        <v>2.9994200000000002</v>
      </c>
      <c r="T6436">
        <v>-0.1921388</v>
      </c>
      <c r="U6436">
        <v>1.190186E-3</v>
      </c>
      <c r="V6436">
        <v>-5.7324020000000003E-2</v>
      </c>
      <c r="W6436">
        <v>-9.1433180000000003E-2</v>
      </c>
      <c r="X6436">
        <v>0.99415989999999999</v>
      </c>
      <c r="Y6436">
        <v>-1.374178E-2</v>
      </c>
      <c r="Z6436">
        <v>1.215484E-3</v>
      </c>
      <c r="AA6436">
        <v>0.99990480000000004</v>
      </c>
      <c r="AB6436">
        <v>17</v>
      </c>
      <c r="AC6436">
        <v>17.358099999999901</v>
      </c>
      <c r="AD6436">
        <v>-1.120688352887</v>
      </c>
      <c r="AE6436">
        <v>8.3500000000000796E-3</v>
      </c>
      <c r="AF6436">
        <v>-0.23988653461760701</v>
      </c>
      <c r="AG6436">
        <v>-1.120688352887</v>
      </c>
      <c r="AH6436">
        <v>17.284382946426199</v>
      </c>
      <c r="AI6436">
        <v>93.709406428014205</v>
      </c>
      <c r="AJ6436">
        <v>90.795145747884902</v>
      </c>
      <c r="AK6436">
        <v>17.322337653229599</v>
      </c>
      <c r="AL6436">
        <v>95.246062308616303</v>
      </c>
      <c r="AM6436">
        <v>93.300064382326696</v>
      </c>
      <c r="AN6436">
        <v>0.99999998822094105</v>
      </c>
    </row>
    <row r="6437" spans="1:40" x14ac:dyDescent="0.25">
      <c r="A6437" t="str">
        <f>"20190303154309680"</f>
        <v>20190303154309680</v>
      </c>
      <c r="B6437" t="str">
        <f>"1551598989676306"</f>
        <v>1551598989676306</v>
      </c>
      <c r="C6437" t="s">
        <v>40</v>
      </c>
      <c r="D6437">
        <v>5.9776439999999997</v>
      </c>
      <c r="E6437">
        <v>0.51799759999999995</v>
      </c>
      <c r="F6437" t="s">
        <v>60</v>
      </c>
      <c r="G6437">
        <v>-378.37880000000001</v>
      </c>
      <c r="H6437" s="1">
        <v>-1.223255E-6</v>
      </c>
      <c r="I6437">
        <v>17.29946</v>
      </c>
      <c r="J6437">
        <v>-395.25920000000002</v>
      </c>
      <c r="K6437">
        <v>1.120636</v>
      </c>
      <c r="L6437">
        <v>17.352910000000001</v>
      </c>
      <c r="M6437">
        <v>0.99983569999999999</v>
      </c>
      <c r="N6437">
        <v>-1.2420560000000001E-2</v>
      </c>
      <c r="O6437">
        <v>-1.321044E-2</v>
      </c>
      <c r="P6437">
        <v>0.99361259999999996</v>
      </c>
      <c r="Q6437">
        <v>-0.1043205</v>
      </c>
      <c r="R6437">
        <v>4.3030289999999999E-2</v>
      </c>
      <c r="S6437">
        <v>2.998993</v>
      </c>
      <c r="T6437">
        <v>-0.1979697</v>
      </c>
      <c r="U6437">
        <v>-9.6130369999999996E-3</v>
      </c>
      <c r="V6437">
        <v>-5.6206819999999998E-2</v>
      </c>
      <c r="W6437">
        <v>-9.1946749999999994E-2</v>
      </c>
      <c r="X6437">
        <v>0.99417630000000001</v>
      </c>
      <c r="Y6437">
        <v>-9.9615459999999999E-3</v>
      </c>
      <c r="Z6437">
        <v>1.097507E-3</v>
      </c>
      <c r="AA6437">
        <v>0.9999498</v>
      </c>
      <c r="AB6437">
        <v>17</v>
      </c>
      <c r="AC6437">
        <v>16.880400000000002</v>
      </c>
      <c r="AD6437">
        <v>-1.1206372232549999</v>
      </c>
      <c r="AE6437">
        <v>-5.3450000000001503E-2</v>
      </c>
      <c r="AF6437">
        <v>-0.16882531276311</v>
      </c>
      <c r="AG6437">
        <v>-1.1206372232549999</v>
      </c>
      <c r="AH6437">
        <v>16.805567840072801</v>
      </c>
      <c r="AI6437">
        <v>93.814785901246495</v>
      </c>
      <c r="AJ6437">
        <v>90.575562374056204</v>
      </c>
      <c r="AK6437">
        <v>16.843735933564901</v>
      </c>
      <c r="AL6437">
        <v>95.275612309536399</v>
      </c>
      <c r="AM6437">
        <v>93.235833489572201</v>
      </c>
      <c r="AN6437">
        <v>0.99999996346588105</v>
      </c>
    </row>
    <row r="6438" spans="1:40" x14ac:dyDescent="0.25">
      <c r="A6438" t="str">
        <f>"20190303154309702"</f>
        <v>20190303154309702</v>
      </c>
      <c r="B6438" t="str">
        <f>"1551598989696802"</f>
        <v>1551598989696802</v>
      </c>
      <c r="C6438" t="s">
        <v>40</v>
      </c>
      <c r="D6438">
        <v>5.9835719999999997</v>
      </c>
      <c r="E6438">
        <v>0.518424</v>
      </c>
      <c r="F6438" t="s">
        <v>60</v>
      </c>
      <c r="G6438">
        <v>-378.52789999999999</v>
      </c>
      <c r="H6438" s="1">
        <v>-1.1739690000000001E-6</v>
      </c>
      <c r="I6438">
        <v>17.269469999999998</v>
      </c>
      <c r="J6438">
        <v>-395.09280000000001</v>
      </c>
      <c r="K6438">
        <v>1.1205590000000001</v>
      </c>
      <c r="L6438">
        <v>17.35098</v>
      </c>
      <c r="M6438">
        <v>0.99983979999999995</v>
      </c>
      <c r="N6438">
        <v>-1.2249670000000001E-2</v>
      </c>
      <c r="O6438">
        <v>-1.305831E-2</v>
      </c>
      <c r="P6438">
        <v>0.99355740000000003</v>
      </c>
      <c r="Q6438">
        <v>-0.1053216</v>
      </c>
      <c r="R6438">
        <v>4.1850409999999998E-2</v>
      </c>
      <c r="S6438">
        <v>2.99884</v>
      </c>
      <c r="T6438">
        <v>-0.20085800000000001</v>
      </c>
      <c r="U6438">
        <v>-1.4953610000000001E-2</v>
      </c>
      <c r="V6438">
        <v>-5.488813E-2</v>
      </c>
      <c r="W6438">
        <v>-9.3111849999999996E-2</v>
      </c>
      <c r="X6438">
        <v>0.99414159999999996</v>
      </c>
      <c r="Y6438">
        <v>-8.0323219999999997E-3</v>
      </c>
      <c r="Z6438">
        <v>1.031751E-3</v>
      </c>
      <c r="AA6438">
        <v>0.99996719999999895</v>
      </c>
      <c r="AB6438">
        <v>17</v>
      </c>
      <c r="AC6438">
        <v>16.564900000000002</v>
      </c>
      <c r="AD6438">
        <v>-1.1205601739689901</v>
      </c>
      <c r="AE6438">
        <v>-8.1509999999997904E-2</v>
      </c>
      <c r="AF6438">
        <v>-0.13420862622607599</v>
      </c>
      <c r="AG6438">
        <v>-1.1205601739689901</v>
      </c>
      <c r="AH6438">
        <v>16.4890984179765</v>
      </c>
      <c r="AI6438">
        <v>93.887580006240199</v>
      </c>
      <c r="AJ6438">
        <v>90.466333444344201</v>
      </c>
      <c r="AK6438">
        <v>16.527674781909099</v>
      </c>
      <c r="AL6438">
        <v>95.342654930972699</v>
      </c>
      <c r="AM6438">
        <v>93.160182127152396</v>
      </c>
      <c r="AN6438">
        <v>1.0000000221379299</v>
      </c>
    </row>
    <row r="6439" spans="1:40" x14ac:dyDescent="0.25">
      <c r="A6439" t="str">
        <f>"20190303154309724"</f>
        <v>20190303154309724</v>
      </c>
      <c r="B6439" t="str">
        <f>"1551598989716322"</f>
        <v>1551598989716322</v>
      </c>
      <c r="C6439" t="s">
        <v>40</v>
      </c>
      <c r="D6439">
        <v>5.9184190000000001</v>
      </c>
      <c r="E6439">
        <v>0.5347075</v>
      </c>
      <c r="F6439" t="s">
        <v>60</v>
      </c>
      <c r="G6439">
        <v>-378.84410000000003</v>
      </c>
      <c r="H6439" s="1">
        <v>-1.0623289999999999E-6</v>
      </c>
      <c r="I6439">
        <v>17.23274</v>
      </c>
      <c r="J6439">
        <v>-394.9323</v>
      </c>
      <c r="K6439">
        <v>1.1204889999999901</v>
      </c>
      <c r="L6439">
        <v>17.349029999999999</v>
      </c>
      <c r="M6439">
        <v>0.99984189999999995</v>
      </c>
      <c r="N6439">
        <v>-1.2086059999999999E-2</v>
      </c>
      <c r="O6439">
        <v>-1.3048280000000001E-2</v>
      </c>
      <c r="P6439">
        <v>0.99350490000000002</v>
      </c>
      <c r="Q6439">
        <v>-0.1061918</v>
      </c>
      <c r="R6439">
        <v>4.088116E-2</v>
      </c>
      <c r="S6439">
        <v>2.9984440000000001</v>
      </c>
      <c r="T6439">
        <v>-0.20678070000000001</v>
      </c>
      <c r="U6439">
        <v>-2.182007E-2</v>
      </c>
      <c r="V6439">
        <v>-5.391866E-2</v>
      </c>
      <c r="W6439">
        <v>-9.4140210000000002E-2</v>
      </c>
      <c r="X6439">
        <v>0.99409780000000003</v>
      </c>
      <c r="Y6439">
        <v>-5.7354800000000003E-3</v>
      </c>
      <c r="Z6439">
        <v>9.7341810000000002E-4</v>
      </c>
      <c r="AA6439">
        <v>0.99998310000000001</v>
      </c>
      <c r="AB6439">
        <v>17</v>
      </c>
      <c r="AC6439">
        <v>16.088199999999901</v>
      </c>
      <c r="AD6439">
        <v>-1.1204900623289999</v>
      </c>
      <c r="AE6439">
        <v>-0.11628999999999901</v>
      </c>
      <c r="AF6439">
        <v>-9.3206467655146105E-2</v>
      </c>
      <c r="AG6439">
        <v>-1.1204900623289999</v>
      </c>
      <c r="AH6439">
        <v>16.010689266853099</v>
      </c>
      <c r="AI6439">
        <v>94.003185887498603</v>
      </c>
      <c r="AJ6439">
        <v>90.333544471702993</v>
      </c>
      <c r="AK6439">
        <v>16.050120131174001</v>
      </c>
      <c r="AL6439">
        <v>95.401835594645405</v>
      </c>
      <c r="AM6439">
        <v>93.104611603132895</v>
      </c>
      <c r="AN6439">
        <v>1.00000001849993</v>
      </c>
    </row>
    <row r="6440" spans="1:40" x14ac:dyDescent="0.25">
      <c r="A6440" t="str">
        <f>"20190303154309913"</f>
        <v>20190303154309913</v>
      </c>
      <c r="B6440" t="str">
        <f>"1551598989906642"</f>
        <v>1551598989906642</v>
      </c>
      <c r="C6440" t="s">
        <v>40</v>
      </c>
      <c r="D6440">
        <v>5.0590380000000001</v>
      </c>
      <c r="E6440">
        <v>0.5347075</v>
      </c>
      <c r="F6440" t="s">
        <v>60</v>
      </c>
      <c r="G6440">
        <v>-374.18860000000001</v>
      </c>
      <c r="H6440" s="1">
        <v>-3.3190139999999999E-6</v>
      </c>
      <c r="I6440">
        <v>16.28201</v>
      </c>
      <c r="J6440">
        <v>-393.48410000000001</v>
      </c>
      <c r="K6440">
        <v>1.1201719999999999</v>
      </c>
      <c r="L6440">
        <v>17.324400000000001</v>
      </c>
      <c r="M6440">
        <v>0.99980429999999998</v>
      </c>
      <c r="N6440">
        <v>-1.073238E-2</v>
      </c>
      <c r="O6440">
        <v>-1.6621170000000001E-2</v>
      </c>
      <c r="P6440">
        <v>0.99378319999999998</v>
      </c>
      <c r="Q6440">
        <v>-0.1070725</v>
      </c>
      <c r="R6440">
        <v>3.0505790000000001E-2</v>
      </c>
      <c r="S6440">
        <v>3.008575</v>
      </c>
      <c r="T6440">
        <v>-0.16251109999999999</v>
      </c>
      <c r="U6440">
        <v>-0.15475459999999999</v>
      </c>
      <c r="V6440">
        <v>-4.7136030000000002E-2</v>
      </c>
      <c r="W6440">
        <v>-9.6351240000000005E-2</v>
      </c>
      <c r="X6440">
        <v>0.99423070000000002</v>
      </c>
      <c r="Y6440">
        <v>3.4717629999999999E-2</v>
      </c>
      <c r="Z6440">
        <v>-4.047012E-4</v>
      </c>
      <c r="AA6440">
        <v>0.99939710000000004</v>
      </c>
      <c r="AB6440">
        <v>17</v>
      </c>
      <c r="AC6440">
        <v>19.295500000000001</v>
      </c>
      <c r="AD6440">
        <v>-1.120175319014</v>
      </c>
      <c r="AE6440">
        <v>-1.0423899999999999</v>
      </c>
      <c r="AF6440">
        <v>0.719097269232015</v>
      </c>
      <c r="AG6440">
        <v>-1.120175319014</v>
      </c>
      <c r="AH6440">
        <v>19.2454878935572</v>
      </c>
      <c r="AI6440">
        <v>93.328800194218701</v>
      </c>
      <c r="AJ6440">
        <v>87.860169555773595</v>
      </c>
      <c r="AK6440">
        <v>19.291466970891701</v>
      </c>
      <c r="AL6440">
        <v>95.529096822138499</v>
      </c>
      <c r="AM6440">
        <v>92.714334697555799</v>
      </c>
      <c r="AN6440">
        <v>1.0000000257980901</v>
      </c>
    </row>
    <row r="6441" spans="1:40" x14ac:dyDescent="0.25">
      <c r="A6441" t="str">
        <f>"20190303154309936"</f>
        <v>20190303154309936</v>
      </c>
      <c r="B6441" t="str">
        <f>"1551598989927138"</f>
        <v>1551598989927138</v>
      </c>
      <c r="C6441" t="s">
        <v>40</v>
      </c>
      <c r="D6441">
        <v>5.9492320000000003</v>
      </c>
      <c r="E6441">
        <v>0.53647800000000001</v>
      </c>
      <c r="F6441" t="s">
        <v>60</v>
      </c>
      <c r="G6441">
        <v>-373.12619999999998</v>
      </c>
      <c r="H6441" s="1">
        <v>-3.860073E-6</v>
      </c>
      <c r="I6441">
        <v>16.062899999999999</v>
      </c>
      <c r="J6441">
        <v>-393.29750000000001</v>
      </c>
      <c r="K6441">
        <v>1.120163</v>
      </c>
      <c r="L6441">
        <v>17.320339999999899</v>
      </c>
      <c r="M6441">
        <v>0.99979320000000005</v>
      </c>
      <c r="N6441">
        <v>-1.0544700000000001E-2</v>
      </c>
      <c r="O6441">
        <v>-1.7401409999999999E-2</v>
      </c>
      <c r="P6441">
        <v>0.99391620000000003</v>
      </c>
      <c r="Q6441">
        <v>-0.1064565</v>
      </c>
      <c r="R6441">
        <v>2.8257979999999999E-2</v>
      </c>
      <c r="S6441">
        <v>3.006653</v>
      </c>
      <c r="T6441">
        <v>-0.16543840000000001</v>
      </c>
      <c r="U6441">
        <v>-0.1863098</v>
      </c>
      <c r="V6441">
        <v>-4.5662519999999998E-2</v>
      </c>
      <c r="W6441">
        <v>-9.5923499999999995E-2</v>
      </c>
      <c r="X6441">
        <v>0.99434080000000002</v>
      </c>
      <c r="Y6441">
        <v>4.4406149999999998E-2</v>
      </c>
      <c r="Z6441">
        <v>-6.8172789999999903E-4</v>
      </c>
      <c r="AA6441">
        <v>0.99901329999999999</v>
      </c>
      <c r="AB6441">
        <v>17</v>
      </c>
      <c r="AC6441">
        <v>20.171299999999999</v>
      </c>
      <c r="AD6441">
        <v>-1.1201668600729999</v>
      </c>
      <c r="AE6441">
        <v>-1.2574399999999899</v>
      </c>
      <c r="AF6441">
        <v>0.90344574796486699</v>
      </c>
      <c r="AG6441">
        <v>-1.1201668600729999</v>
      </c>
      <c r="AH6441">
        <v>20.128294856628901</v>
      </c>
      <c r="AI6441">
        <v>93.182104904030695</v>
      </c>
      <c r="AJ6441">
        <v>87.430040170163906</v>
      </c>
      <c r="AK6441">
        <v>20.1796739777756</v>
      </c>
      <c r="AL6441">
        <v>95.504475194285007</v>
      </c>
      <c r="AM6441">
        <v>92.629312686097293</v>
      </c>
      <c r="AN6441">
        <v>1.0000000050648199</v>
      </c>
    </row>
    <row r="6442" spans="1:40" x14ac:dyDescent="0.25">
      <c r="A6442" t="str">
        <f>"20190303154309957"</f>
        <v>20190303154309957</v>
      </c>
      <c r="B6442" t="str">
        <f>"1551598989946661"</f>
        <v>1551598989946661</v>
      </c>
      <c r="C6442" t="s">
        <v>40</v>
      </c>
      <c r="D6442">
        <v>6.0605200000000004</v>
      </c>
      <c r="E6442">
        <v>0.53707130000000003</v>
      </c>
      <c r="F6442" t="s">
        <v>60</v>
      </c>
      <c r="G6442">
        <v>-370.53500000000003</v>
      </c>
      <c r="H6442" s="1">
        <v>-5.1401750000000003E-6</v>
      </c>
      <c r="I6442">
        <v>15.751569999999999</v>
      </c>
      <c r="J6442">
        <v>-393.13729999999998</v>
      </c>
      <c r="K6442">
        <v>1.120179</v>
      </c>
      <c r="L6442">
        <v>17.316739999999999</v>
      </c>
      <c r="M6442">
        <v>0.99978279999999997</v>
      </c>
      <c r="N6442">
        <v>-1.03887999999999E-2</v>
      </c>
      <c r="O6442">
        <v>-1.8071489999999999E-2</v>
      </c>
      <c r="P6442">
        <v>0.99407120000000004</v>
      </c>
      <c r="Q6442">
        <v>-0.10542550000000001</v>
      </c>
      <c r="R6442">
        <v>2.6606680000000001E-2</v>
      </c>
      <c r="S6442">
        <v>3.0083920000000002</v>
      </c>
      <c r="T6442">
        <v>-0.1480466</v>
      </c>
      <c r="U6442">
        <v>-0.2073364</v>
      </c>
      <c r="V6442">
        <v>-4.467198E-2</v>
      </c>
      <c r="W6442">
        <v>-9.5050300000000004E-2</v>
      </c>
      <c r="X6442">
        <v>0.99446959999999995</v>
      </c>
      <c r="Y6442">
        <v>5.0654930000000001E-2</v>
      </c>
      <c r="Z6442">
        <v>-8.0771559999999996E-4</v>
      </c>
      <c r="AA6442">
        <v>0.99871589999999999</v>
      </c>
      <c r="AB6442">
        <v>17</v>
      </c>
      <c r="AC6442">
        <v>22.6022999999999</v>
      </c>
      <c r="AD6442">
        <v>-1.1201841401749999</v>
      </c>
      <c r="AE6442">
        <v>-1.56516999999999</v>
      </c>
      <c r="AF6442">
        <v>1.15361507467951</v>
      </c>
      <c r="AG6442">
        <v>-1.1201841401749999</v>
      </c>
      <c r="AH6442">
        <v>22.571717747066401</v>
      </c>
      <c r="AI6442">
        <v>92.837433747813606</v>
      </c>
      <c r="AJ6442">
        <v>87.074222951893105</v>
      </c>
      <c r="AK6442">
        <v>22.628921368497899</v>
      </c>
      <c r="AL6442">
        <v>95.454215080421903</v>
      </c>
      <c r="AM6442">
        <v>92.572020734147699</v>
      </c>
      <c r="AN6442">
        <v>0.99999996532568403</v>
      </c>
    </row>
    <row r="6443" spans="1:40" x14ac:dyDescent="0.25">
      <c r="A6443" t="str">
        <f>"20190303154309978"</f>
        <v>20190303154309978</v>
      </c>
      <c r="B6443" t="str">
        <f>"1551598989967154"</f>
        <v>1551598989967154</v>
      </c>
      <c r="C6443" t="s">
        <v>40</v>
      </c>
      <c r="D6443">
        <v>5.9314</v>
      </c>
      <c r="E6443">
        <v>0.53817119999999996</v>
      </c>
      <c r="F6443" t="s">
        <v>41</v>
      </c>
      <c r="G6443">
        <v>-344.53320000000002</v>
      </c>
      <c r="H6443" s="1">
        <v>-3.3926380000000001E-6</v>
      </c>
      <c r="I6443">
        <v>13.805070000000001</v>
      </c>
      <c r="J6443">
        <v>-392.97269999999997</v>
      </c>
      <c r="K6443">
        <v>1.1202030000000001</v>
      </c>
      <c r="L6443">
        <v>17.31296</v>
      </c>
      <c r="M6443">
        <v>0.99977199999999999</v>
      </c>
      <c r="N6443">
        <v>-1.023866E-2</v>
      </c>
      <c r="O6443">
        <v>-1.8742200000000001E-2</v>
      </c>
      <c r="P6443">
        <v>0.9941818</v>
      </c>
      <c r="Q6443">
        <v>-0.10481269999999999</v>
      </c>
      <c r="R6443">
        <v>2.4839750000000001E-2</v>
      </c>
      <c r="S6443">
        <v>3.016327</v>
      </c>
      <c r="T6443">
        <v>-6.9517609999999994E-2</v>
      </c>
      <c r="U6443">
        <v>-0.21792600000000001</v>
      </c>
      <c r="V6443">
        <v>-4.3564230000000002E-2</v>
      </c>
      <c r="W6443">
        <v>-9.4591040000000001E-2</v>
      </c>
      <c r="X6443">
        <v>0.99456259999999996</v>
      </c>
      <c r="Y6443">
        <v>5.3335019999999997E-2</v>
      </c>
      <c r="Z6443">
        <v>-6.4761660000000004E-4</v>
      </c>
      <c r="AA6443">
        <v>0.99857649999999998</v>
      </c>
      <c r="AB6443">
        <v>17</v>
      </c>
      <c r="AC6443">
        <v>48.439499999999903</v>
      </c>
      <c r="AD6443">
        <v>-1.1202063926379999</v>
      </c>
      <c r="AE6443">
        <v>-3.5078900000000002</v>
      </c>
      <c r="AF6443">
        <v>2.5979812867194401</v>
      </c>
      <c r="AG6443">
        <v>-1.1202063926379999</v>
      </c>
      <c r="AH6443">
        <v>48.470952357206698</v>
      </c>
      <c r="AI6443">
        <v>91.322023312386193</v>
      </c>
      <c r="AJ6443">
        <v>86.931954958451598</v>
      </c>
      <c r="AK6443">
        <v>48.553450871620399</v>
      </c>
      <c r="AL6443">
        <v>95.427781937756905</v>
      </c>
      <c r="AM6443">
        <v>92.508089490879001</v>
      </c>
      <c r="AN6443">
        <v>1.00000003615126</v>
      </c>
    </row>
    <row r="6444" spans="1:40" x14ac:dyDescent="0.25">
      <c r="A6444" t="str">
        <f>"20190303154310001"</f>
        <v>20190303154310001</v>
      </c>
      <c r="B6444" t="str">
        <f>"1551598989996434"</f>
        <v>1551598989996434</v>
      </c>
      <c r="C6444" t="s">
        <v>40</v>
      </c>
      <c r="D6444">
        <v>6.0183439999999999</v>
      </c>
      <c r="E6444">
        <v>0.53374319999999997</v>
      </c>
      <c r="F6444" t="s">
        <v>61</v>
      </c>
      <c r="G6444">
        <v>-241.07</v>
      </c>
      <c r="H6444">
        <v>0.65741439999999995</v>
      </c>
      <c r="I6444">
        <v>5.6347430000000003</v>
      </c>
      <c r="J6444">
        <v>-392.80009999999999</v>
      </c>
      <c r="K6444">
        <v>1.1202369999999999</v>
      </c>
      <c r="L6444">
        <v>17.308900000000001</v>
      </c>
      <c r="M6444">
        <v>0.99976080000000001</v>
      </c>
      <c r="N6444">
        <v>-1.0089509999999999E-2</v>
      </c>
      <c r="O6444">
        <v>-1.9404649999999999E-2</v>
      </c>
      <c r="P6444">
        <v>0.99431890000000001</v>
      </c>
      <c r="Q6444">
        <v>-0.103773</v>
      </c>
      <c r="R6444">
        <v>2.3692399999999999E-2</v>
      </c>
      <c r="S6444">
        <v>3.0224000000000002</v>
      </c>
      <c r="T6444">
        <v>-9.2082020000000004E-3</v>
      </c>
      <c r="U6444">
        <v>-0.23236080000000001</v>
      </c>
      <c r="V6444">
        <v>-4.3067059999999997E-2</v>
      </c>
      <c r="W6444">
        <v>-9.3703460000000002E-2</v>
      </c>
      <c r="X6444">
        <v>0.9946682</v>
      </c>
      <c r="Y6444">
        <v>5.7289739999999999E-2</v>
      </c>
      <c r="Z6444">
        <v>-5.1311970000000005E-4</v>
      </c>
      <c r="AA6444">
        <v>0.99835750000000001</v>
      </c>
      <c r="AB6444">
        <v>17</v>
      </c>
      <c r="AC6444">
        <v>151.73009999999999</v>
      </c>
      <c r="AD6444">
        <v>-0.46282259999999997</v>
      </c>
      <c r="AE6444">
        <v>-11.674156999999999</v>
      </c>
      <c r="AF6444">
        <v>8.7274585845833705</v>
      </c>
      <c r="AG6444">
        <v>-0.46282259999999997</v>
      </c>
      <c r="AH6444">
        <v>151.92666734563301</v>
      </c>
      <c r="AI6444">
        <v>90.174255479789593</v>
      </c>
      <c r="AJ6444">
        <v>86.712245487395094</v>
      </c>
      <c r="AK6444">
        <v>152.17784000588</v>
      </c>
      <c r="AL6444">
        <v>95.376700822120995</v>
      </c>
      <c r="AM6444">
        <v>92.479239327877906</v>
      </c>
      <c r="AN6444">
        <v>0.99999996908212696</v>
      </c>
    </row>
    <row r="6445" spans="1:40" x14ac:dyDescent="0.25">
      <c r="A6445" t="str">
        <f>"20190303154310023"</f>
        <v>20190303154310023</v>
      </c>
      <c r="B6445" t="str">
        <f>"1551598990016930"</f>
        <v>1551598990016930</v>
      </c>
      <c r="C6445" t="s">
        <v>40</v>
      </c>
      <c r="D6445">
        <v>6.0399269999999996</v>
      </c>
      <c r="E6445">
        <v>0.53132959999999996</v>
      </c>
      <c r="F6445" t="s">
        <v>43</v>
      </c>
      <c r="G6445">
        <v>-260.9425</v>
      </c>
      <c r="H6445">
        <v>-0.05</v>
      </c>
      <c r="I6445">
        <v>8.5721439999999998</v>
      </c>
      <c r="J6445">
        <v>-392.62029999999999</v>
      </c>
      <c r="K6445">
        <v>1.120276</v>
      </c>
      <c r="L6445">
        <v>17.30463</v>
      </c>
      <c r="M6445">
        <v>0.99975000000000003</v>
      </c>
      <c r="N6445">
        <v>-9.9394110000000004E-3</v>
      </c>
      <c r="O6445">
        <v>-2.003156E-2</v>
      </c>
      <c r="P6445">
        <v>0.99451369999999895</v>
      </c>
      <c r="Q6445">
        <v>-0.1021215</v>
      </c>
      <c r="R6445">
        <v>2.2667530000000002E-2</v>
      </c>
      <c r="S6445">
        <v>3.019104</v>
      </c>
      <c r="T6445">
        <v>-2.679455E-2</v>
      </c>
      <c r="U6445">
        <v>-0.20004269999999999</v>
      </c>
      <c r="V6445">
        <v>-4.2658050000000003E-2</v>
      </c>
      <c r="W6445">
        <v>-9.2204750000000002E-2</v>
      </c>
      <c r="X6445">
        <v>0.99482590000000004</v>
      </c>
      <c r="Y6445">
        <v>4.610819E-2</v>
      </c>
      <c r="Z6445">
        <v>-4.5517600000000001E-4</v>
      </c>
      <c r="AA6445">
        <v>0.99893639999999995</v>
      </c>
      <c r="AB6445">
        <v>17</v>
      </c>
      <c r="AC6445">
        <v>131.67779999999999</v>
      </c>
      <c r="AD6445">
        <v>-1.1702760000000001</v>
      </c>
      <c r="AE6445">
        <v>-8.7324859999999997</v>
      </c>
      <c r="AF6445">
        <v>6.0924126301642003</v>
      </c>
      <c r="AG6445">
        <v>-1.1702760000000001</v>
      </c>
      <c r="AH6445">
        <v>131.81594389208999</v>
      </c>
      <c r="AI6445">
        <v>90.508122265051398</v>
      </c>
      <c r="AJ6445">
        <v>87.353724615436505</v>
      </c>
      <c r="AK6445">
        <v>131.96185093327099</v>
      </c>
      <c r="AL6445">
        <v>95.290457499858604</v>
      </c>
      <c r="AM6445">
        <v>92.455334027024605</v>
      </c>
      <c r="AN6445">
        <v>0.99999999823158703</v>
      </c>
    </row>
    <row r="6446" spans="1:40" x14ac:dyDescent="0.25">
      <c r="A6446" t="str">
        <f>"20190303154310046"</f>
        <v>20190303154310046</v>
      </c>
      <c r="B6446" t="str">
        <f>"1551598990036454"</f>
        <v>1551598990036454</v>
      </c>
      <c r="C6446" t="s">
        <v>40</v>
      </c>
      <c r="D6446">
        <v>6.1114449999999998</v>
      </c>
      <c r="E6446">
        <v>0.5290357</v>
      </c>
      <c r="F6446" t="s">
        <v>43</v>
      </c>
      <c r="G6446">
        <v>-297.44069999999999</v>
      </c>
      <c r="H6446">
        <v>-0.05</v>
      </c>
      <c r="I6446">
        <v>11.51163</v>
      </c>
      <c r="J6446">
        <v>-392.44279999999998</v>
      </c>
      <c r="K6446">
        <v>1.120323</v>
      </c>
      <c r="L6446">
        <v>17.300380000000001</v>
      </c>
      <c r="M6446">
        <v>0.99974019999999997</v>
      </c>
      <c r="N6446">
        <v>-9.7987149999999995E-3</v>
      </c>
      <c r="O6446">
        <v>-2.0580029999999999E-2</v>
      </c>
      <c r="P6446">
        <v>0.9947513</v>
      </c>
      <c r="Q6446">
        <v>-0.1002297</v>
      </c>
      <c r="R6446">
        <v>2.059457E-2</v>
      </c>
      <c r="S6446">
        <v>3.0169679999999999</v>
      </c>
      <c r="T6446">
        <v>-3.7094950000000002E-2</v>
      </c>
      <c r="U6446">
        <v>-0.18362429999999999</v>
      </c>
      <c r="V6446">
        <v>-4.1124340000000002E-2</v>
      </c>
      <c r="W6446">
        <v>-9.0456250000000002E-2</v>
      </c>
      <c r="X6446">
        <v>0.99505100000000002</v>
      </c>
      <c r="Y6446">
        <v>4.0190179999999999E-2</v>
      </c>
      <c r="Z6446">
        <v>-3.9271919999999999E-4</v>
      </c>
      <c r="AA6446">
        <v>0.99919199999999997</v>
      </c>
      <c r="AB6446">
        <v>17</v>
      </c>
      <c r="AC6446">
        <v>95.002099999999899</v>
      </c>
      <c r="AD6446">
        <v>-1.170323</v>
      </c>
      <c r="AE6446">
        <v>-5.7887500000000003</v>
      </c>
      <c r="AF6446">
        <v>3.8317046267580301</v>
      </c>
      <c r="AG6446">
        <v>-1.170323</v>
      </c>
      <c r="AH6446">
        <v>95.086739243201805</v>
      </c>
      <c r="AI6446">
        <v>90.704586305714997</v>
      </c>
      <c r="AJ6446">
        <v>87.6924039280822</v>
      </c>
      <c r="AK6446">
        <v>95.171106939951599</v>
      </c>
      <c r="AL6446">
        <v>95.189855257340298</v>
      </c>
      <c r="AM6446">
        <v>92.366623357438101</v>
      </c>
      <c r="AN6446">
        <v>1.00000001855274</v>
      </c>
    </row>
    <row r="6447" spans="1:40" x14ac:dyDescent="0.25">
      <c r="A6447" t="str">
        <f>"20190303154310069"</f>
        <v>20190303154310069</v>
      </c>
      <c r="B6447" t="str">
        <f>"1551598990066706"</f>
        <v>1551598990066706</v>
      </c>
      <c r="C6447" t="s">
        <v>40</v>
      </c>
      <c r="D6447">
        <v>6.0942210000000001</v>
      </c>
      <c r="E6447">
        <v>0.52653969999999894</v>
      </c>
      <c r="F6447" t="s">
        <v>43</v>
      </c>
      <c r="G6447">
        <v>-315.29579999999999</v>
      </c>
      <c r="H6447">
        <v>-0.05</v>
      </c>
      <c r="I6447">
        <v>12.911530000000001</v>
      </c>
      <c r="J6447">
        <v>-392.26589999999999</v>
      </c>
      <c r="K6447">
        <v>1.1203559999999999</v>
      </c>
      <c r="L6447">
        <v>17.296140000000001</v>
      </c>
      <c r="M6447">
        <v>0.9997317</v>
      </c>
      <c r="N6447">
        <v>-9.665491E-3</v>
      </c>
      <c r="O6447">
        <v>-2.105684E-2</v>
      </c>
      <c r="P6447">
        <v>0.99495149999999999</v>
      </c>
      <c r="Q6447">
        <v>-9.8588449999999994E-2</v>
      </c>
      <c r="R6447">
        <v>1.8755669999999999E-2</v>
      </c>
      <c r="S6447">
        <v>3.0147710000000001</v>
      </c>
      <c r="T6447">
        <v>-4.5734169999999998E-2</v>
      </c>
      <c r="U6447">
        <v>-0.17150879999999999</v>
      </c>
      <c r="V6447">
        <v>-3.9753730000000001E-2</v>
      </c>
      <c r="W6447">
        <v>-8.8950479999999998E-2</v>
      </c>
      <c r="X6447">
        <v>0.99524239999999997</v>
      </c>
      <c r="Y6447">
        <v>3.5754840000000003E-2</v>
      </c>
      <c r="Z6447">
        <v>-3.2823180000000001E-4</v>
      </c>
      <c r="AA6447">
        <v>0.99936060000000004</v>
      </c>
      <c r="AB6447">
        <v>18</v>
      </c>
      <c r="AC6447">
        <v>76.970100000000002</v>
      </c>
      <c r="AD6447">
        <v>-1.170356</v>
      </c>
      <c r="AE6447">
        <v>-4.3846099999999897</v>
      </c>
      <c r="AF6447">
        <v>2.76217863650175</v>
      </c>
      <c r="AG6447">
        <v>-1.170356</v>
      </c>
      <c r="AH6447">
        <v>77.027611597404203</v>
      </c>
      <c r="AI6447">
        <v>90.869924896773895</v>
      </c>
      <c r="AJ6447">
        <v>87.946276788469007</v>
      </c>
      <c r="AK6447">
        <v>77.086005943927603</v>
      </c>
      <c r="AL6447">
        <v>95.103231906077696</v>
      </c>
      <c r="AM6447">
        <v>92.287393237975095</v>
      </c>
      <c r="AN6447">
        <v>0.99999999084945101</v>
      </c>
    </row>
    <row r="6448" spans="1:40" x14ac:dyDescent="0.25">
      <c r="A6448" t="str">
        <f>"20190303154310091"</f>
        <v>20190303154310091</v>
      </c>
      <c r="B6448" t="str">
        <f>"1551598990086226"</f>
        <v>1551598990086226</v>
      </c>
      <c r="C6448" t="s">
        <v>40</v>
      </c>
      <c r="D6448">
        <v>6.1244509999999996</v>
      </c>
      <c r="E6448">
        <v>0.52495029999999998</v>
      </c>
      <c r="F6448" t="s">
        <v>41</v>
      </c>
      <c r="G6448">
        <v>-335.54320000000001</v>
      </c>
      <c r="H6448" s="1">
        <v>-2.9079639999999998E-6</v>
      </c>
      <c r="I6448">
        <v>14.334879999999901</v>
      </c>
      <c r="J6448">
        <v>-392.09280000000001</v>
      </c>
      <c r="K6448">
        <v>1.120382</v>
      </c>
      <c r="L6448">
        <v>17.29196</v>
      </c>
      <c r="M6448">
        <v>0.99972419999999995</v>
      </c>
      <c r="N6448">
        <v>-9.5387719999999992E-3</v>
      </c>
      <c r="O6448">
        <v>-2.146284E-2</v>
      </c>
      <c r="P6448">
        <v>0.99502120000000005</v>
      </c>
      <c r="Q6448">
        <v>-9.8264619999999997E-2</v>
      </c>
      <c r="R6448">
        <v>1.664349E-2</v>
      </c>
      <c r="S6448">
        <v>3.0123289999999998</v>
      </c>
      <c r="T6448">
        <v>-5.949807E-2</v>
      </c>
      <c r="U6448">
        <v>-0.15725710000000001</v>
      </c>
      <c r="V6448">
        <v>-3.8039240000000002E-2</v>
      </c>
      <c r="W6448">
        <v>-8.8756290000000002E-2</v>
      </c>
      <c r="X6448">
        <v>0.99532679999999996</v>
      </c>
      <c r="Y6448">
        <v>3.0679120000000001E-2</v>
      </c>
      <c r="Z6448">
        <v>-2.303029E-4</v>
      </c>
      <c r="AA6448">
        <v>0.99952920000000001</v>
      </c>
      <c r="AB6448">
        <v>18</v>
      </c>
      <c r="AC6448">
        <v>56.549599999999998</v>
      </c>
      <c r="AD6448">
        <v>-1.120384907964</v>
      </c>
      <c r="AE6448">
        <v>-2.9570799999999999</v>
      </c>
      <c r="AF6448">
        <v>1.7419466932198899</v>
      </c>
      <c r="AG6448">
        <v>-1.120384907964</v>
      </c>
      <c r="AH6448">
        <v>56.577894558859903</v>
      </c>
      <c r="AI6448">
        <v>91.1339153984852</v>
      </c>
      <c r="AJ6448">
        <v>88.236507810332697</v>
      </c>
      <c r="AK6448">
        <v>56.615791024567301</v>
      </c>
      <c r="AL6448">
        <v>95.092061150171006</v>
      </c>
      <c r="AM6448">
        <v>92.188655740465506</v>
      </c>
      <c r="AN6448">
        <v>1.0000000507962801</v>
      </c>
    </row>
    <row r="6449" spans="1:40" x14ac:dyDescent="0.25">
      <c r="A6449" t="str">
        <f>"20190303154310113"</f>
        <v>20190303154310113</v>
      </c>
      <c r="B6449" t="str">
        <f>"1551598990106723"</f>
        <v>1551598990106723</v>
      </c>
      <c r="C6449" t="s">
        <v>40</v>
      </c>
      <c r="D6449">
        <v>6.0863250000000004</v>
      </c>
      <c r="E6449">
        <v>0.52381160000000004</v>
      </c>
      <c r="F6449" t="s">
        <v>41</v>
      </c>
      <c r="G6449">
        <v>-341.60930000000002</v>
      </c>
      <c r="H6449" s="1">
        <v>-4.4429009999999997E-6</v>
      </c>
      <c r="I6449">
        <v>14.76215</v>
      </c>
      <c r="J6449">
        <v>-391.91230000000002</v>
      </c>
      <c r="K6449">
        <v>1.120401</v>
      </c>
      <c r="L6449">
        <v>17.287569999999999</v>
      </c>
      <c r="M6449">
        <v>0.99971750000000004</v>
      </c>
      <c r="N6449">
        <v>-9.4049570000000002E-3</v>
      </c>
      <c r="O6449">
        <v>-2.1834429999999998E-2</v>
      </c>
      <c r="P6449">
        <v>0.99498640000000005</v>
      </c>
      <c r="Q6449">
        <v>-9.8892179999999996E-2</v>
      </c>
      <c r="R6449">
        <v>1.492622E-2</v>
      </c>
      <c r="S6449">
        <v>3.0109560000000002</v>
      </c>
      <c r="T6449">
        <v>-6.6822649999999997E-2</v>
      </c>
      <c r="U6449">
        <v>-0.15087890000000001</v>
      </c>
      <c r="V6449">
        <v>-3.668453E-2</v>
      </c>
      <c r="W6449">
        <v>-8.9520740000000001E-2</v>
      </c>
      <c r="X6449">
        <v>0.99530909999999995</v>
      </c>
      <c r="Y6449">
        <v>2.821912E-2</v>
      </c>
      <c r="Z6449">
        <v>-1.6684689999999999E-4</v>
      </c>
      <c r="AA6449">
        <v>0.99960170000000004</v>
      </c>
      <c r="AB6449">
        <v>18</v>
      </c>
      <c r="AC6449">
        <v>50.302999999999997</v>
      </c>
      <c r="AD6449">
        <v>-1.120405442901</v>
      </c>
      <c r="AE6449">
        <v>-2.52542</v>
      </c>
      <c r="AF6449">
        <v>1.4257266137749001</v>
      </c>
      <c r="AG6449">
        <v>-1.120405442901</v>
      </c>
      <c r="AH6449">
        <v>50.321249034652602</v>
      </c>
      <c r="AI6449">
        <v>91.274971560749606</v>
      </c>
      <c r="AJ6449">
        <v>88.377101682630197</v>
      </c>
      <c r="AK6449">
        <v>50.353908578592304</v>
      </c>
      <c r="AL6449">
        <v>95.136036422861693</v>
      </c>
      <c r="AM6449">
        <v>92.110819385068794</v>
      </c>
      <c r="AN6449">
        <v>0.99999996108713796</v>
      </c>
    </row>
    <row r="6450" spans="1:40" x14ac:dyDescent="0.25">
      <c r="A6450" t="str">
        <f>"20190303154310136"</f>
        <v>20190303154310136</v>
      </c>
      <c r="B6450" t="str">
        <f>"1551598990126243"</f>
        <v>1551598990126243</v>
      </c>
      <c r="C6450" t="s">
        <v>40</v>
      </c>
      <c r="D6450">
        <v>6.1106379999999998</v>
      </c>
      <c r="E6450">
        <v>0.52296769999999904</v>
      </c>
      <c r="F6450" t="s">
        <v>41</v>
      </c>
      <c r="G6450">
        <v>-347.4289</v>
      </c>
      <c r="H6450" s="1">
        <v>-2.0577580000000001E-6</v>
      </c>
      <c r="I6450">
        <v>15.1184799999999</v>
      </c>
      <c r="J6450">
        <v>-391.72919999999999</v>
      </c>
      <c r="K6450">
        <v>1.1204050000000001</v>
      </c>
      <c r="L6450">
        <v>17.28314</v>
      </c>
      <c r="M6450">
        <v>0.99971140000000003</v>
      </c>
      <c r="N6450">
        <v>-9.2651750000000005E-3</v>
      </c>
      <c r="O6450">
        <v>-2.2170579999999999E-2</v>
      </c>
      <c r="P6450">
        <v>0.99489930000000004</v>
      </c>
      <c r="Q6450">
        <v>-9.9986119999999998E-2</v>
      </c>
      <c r="R6450">
        <v>1.336295E-2</v>
      </c>
      <c r="S6450">
        <v>3.009827</v>
      </c>
      <c r="T6450">
        <v>-7.5808529999999999E-2</v>
      </c>
      <c r="U6450">
        <v>-0.146759</v>
      </c>
      <c r="V6450">
        <v>-3.5448929999999997E-2</v>
      </c>
      <c r="W6450">
        <v>-9.0757019999999994E-2</v>
      </c>
      <c r="X6450">
        <v>0.99524190000000001</v>
      </c>
      <c r="Y6450">
        <v>2.6536219999999999E-2</v>
      </c>
      <c r="Z6450">
        <v>-1.0440179999999999E-4</v>
      </c>
      <c r="AA6450">
        <v>0.99964790000000003</v>
      </c>
      <c r="AB6450">
        <v>18</v>
      </c>
      <c r="AC6450">
        <v>44.300299999999901</v>
      </c>
      <c r="AD6450">
        <v>-1.1204070577580001</v>
      </c>
      <c r="AE6450">
        <v>-2.16466</v>
      </c>
      <c r="AF6450">
        <v>1.18116878281551</v>
      </c>
      <c r="AG6450">
        <v>-1.1204070577580001</v>
      </c>
      <c r="AH6450">
        <v>44.309129425430399</v>
      </c>
      <c r="AI6450">
        <v>91.447966542676895</v>
      </c>
      <c r="AJ6450">
        <v>88.473001766945004</v>
      </c>
      <c r="AK6450">
        <v>44.339028204372198</v>
      </c>
      <c r="AL6450">
        <v>95.207159634869001</v>
      </c>
      <c r="AM6450">
        <v>92.039921961675503</v>
      </c>
      <c r="AN6450">
        <v>0.99999995141651599</v>
      </c>
    </row>
    <row r="6451" spans="1:40" x14ac:dyDescent="0.25">
      <c r="A6451" t="str">
        <f>"20190303154310157"</f>
        <v>20190303154310157</v>
      </c>
      <c r="B6451" t="str">
        <f>"1551598990146738"</f>
        <v>1551598990146738</v>
      </c>
      <c r="C6451" t="s">
        <v>40</v>
      </c>
      <c r="D6451">
        <v>6.0995229999999996</v>
      </c>
      <c r="E6451">
        <v>0.52225639999999995</v>
      </c>
      <c r="F6451" t="s">
        <v>41</v>
      </c>
      <c r="G6451">
        <v>-352.0222</v>
      </c>
      <c r="H6451" s="1">
        <v>-4.1572660000000003E-6</v>
      </c>
      <c r="I6451">
        <v>15.37406</v>
      </c>
      <c r="J6451">
        <v>-391.56130000000002</v>
      </c>
      <c r="K6451">
        <v>1.1203970000000001</v>
      </c>
      <c r="L6451">
        <v>17.279019999999999</v>
      </c>
      <c r="M6451">
        <v>0.99970610000000004</v>
      </c>
      <c r="N6451">
        <v>-9.1382189999999995E-3</v>
      </c>
      <c r="O6451">
        <v>-2.2456420000000001E-2</v>
      </c>
      <c r="P6451">
        <v>0.99478840000000002</v>
      </c>
      <c r="Q6451">
        <v>-0.1011522</v>
      </c>
      <c r="R6451">
        <v>1.281615E-2</v>
      </c>
      <c r="S6451">
        <v>3.0087890000000002</v>
      </c>
      <c r="T6451">
        <v>-8.4898710000000002E-2</v>
      </c>
      <c r="U6451">
        <v>-0.14465329999999901</v>
      </c>
      <c r="V6451">
        <v>-3.5181339999999998E-2</v>
      </c>
      <c r="W6451">
        <v>-9.2051510000000003E-2</v>
      </c>
      <c r="X6451">
        <v>0.99513260000000003</v>
      </c>
      <c r="Y6451">
        <v>2.5568520000000001E-2</v>
      </c>
      <c r="Z6451" s="1">
        <v>-4.9455149999999997E-5</v>
      </c>
      <c r="AA6451">
        <v>0.99967309999999998</v>
      </c>
      <c r="AB6451">
        <v>18</v>
      </c>
      <c r="AC6451">
        <v>39.539099999999998</v>
      </c>
      <c r="AD6451">
        <v>-1.12040115726599</v>
      </c>
      <c r="AE6451">
        <v>-1.90496</v>
      </c>
      <c r="AF6451">
        <v>1.0157222034381801</v>
      </c>
      <c r="AG6451">
        <v>-1.12040115726599</v>
      </c>
      <c r="AH6451">
        <v>39.540233003234803</v>
      </c>
      <c r="AI6451">
        <v>91.6225481528693</v>
      </c>
      <c r="AJ6451">
        <v>88.528491236712995</v>
      </c>
      <c r="AK6451">
        <v>39.569142223427797</v>
      </c>
      <c r="AL6451">
        <v>95.281639724233401</v>
      </c>
      <c r="AM6451">
        <v>92.024758436636702</v>
      </c>
      <c r="AN6451">
        <v>1.00000004938011</v>
      </c>
    </row>
    <row r="6452" spans="1:40" x14ac:dyDescent="0.25">
      <c r="A6452" t="str">
        <f>"20190303154310180"</f>
        <v>20190303154310180</v>
      </c>
      <c r="B6452" t="str">
        <f>"1551598990176994"</f>
        <v>1551598990176994</v>
      </c>
      <c r="C6452" t="s">
        <v>40</v>
      </c>
      <c r="D6452">
        <v>6.1210060000000004</v>
      </c>
      <c r="E6452">
        <v>0.52136070000000001</v>
      </c>
      <c r="F6452" t="s">
        <v>41</v>
      </c>
      <c r="G6452">
        <v>-355.26069999999999</v>
      </c>
      <c r="H6452" s="1">
        <v>-2.730557E-6</v>
      </c>
      <c r="I6452">
        <v>15.584879999999901</v>
      </c>
      <c r="J6452">
        <v>-391.37689999999998</v>
      </c>
      <c r="K6452">
        <v>1.1203730000000001</v>
      </c>
      <c r="L6452">
        <v>17.274509999999999</v>
      </c>
      <c r="M6452">
        <v>0.99970040000000004</v>
      </c>
      <c r="N6452">
        <v>-9.0090369999999993E-3</v>
      </c>
      <c r="O6452">
        <v>-2.2760969999999998E-2</v>
      </c>
      <c r="P6452">
        <v>0.99473489999999998</v>
      </c>
      <c r="Q6452">
        <v>-0.1016734</v>
      </c>
      <c r="R6452">
        <v>1.283865E-2</v>
      </c>
      <c r="S6452">
        <v>3.0081180000000001</v>
      </c>
      <c r="T6452">
        <v>-9.2844010000000005E-2</v>
      </c>
      <c r="U6452">
        <v>-0.1403809</v>
      </c>
      <c r="V6452">
        <v>-3.5505189999999999E-2</v>
      </c>
      <c r="W6452">
        <v>-9.2701980000000003E-2</v>
      </c>
      <c r="X6452">
        <v>0.99506070000000002</v>
      </c>
      <c r="Y6452">
        <v>2.3858150000000002E-2</v>
      </c>
      <c r="Z6452" s="1">
        <v>2.1404880000000001E-5</v>
      </c>
      <c r="AA6452">
        <v>0.99971529999999997</v>
      </c>
      <c r="AB6452">
        <v>18</v>
      </c>
      <c r="AC6452">
        <v>36.1161999999999</v>
      </c>
      <c r="AD6452">
        <v>-1.1203757305569999</v>
      </c>
      <c r="AE6452">
        <v>-1.68963</v>
      </c>
      <c r="AF6452">
        <v>0.86628734991109302</v>
      </c>
      <c r="AG6452">
        <v>-1.1203757305569999</v>
      </c>
      <c r="AH6452">
        <v>36.110627604283998</v>
      </c>
      <c r="AI6452">
        <v>91.776589690635404</v>
      </c>
      <c r="AJ6452">
        <v>88.625748323566896</v>
      </c>
      <c r="AK6452">
        <v>36.1383884743843</v>
      </c>
      <c r="AL6452">
        <v>95.319069021962505</v>
      </c>
      <c r="AM6452">
        <v>92.043528465027194</v>
      </c>
      <c r="AN6452">
        <v>1.0000000361486701</v>
      </c>
    </row>
    <row r="6453" spans="1:40" x14ac:dyDescent="0.25">
      <c r="A6453" t="str">
        <f>"20190303154310202"</f>
        <v>20190303154310202</v>
      </c>
      <c r="B6453" t="str">
        <f>"1551598990196515"</f>
        <v>1551598990196515</v>
      </c>
      <c r="C6453" t="s">
        <v>40</v>
      </c>
      <c r="D6453">
        <v>6.121677</v>
      </c>
      <c r="E6453">
        <v>0.52087659999999902</v>
      </c>
      <c r="F6453" t="s">
        <v>41</v>
      </c>
      <c r="G6453">
        <v>-357.81709999999998</v>
      </c>
      <c r="H6453" s="1">
        <v>-1.7467890000000001E-6</v>
      </c>
      <c r="I6453">
        <v>15.790629999999901</v>
      </c>
      <c r="J6453">
        <v>-391.20190000000002</v>
      </c>
      <c r="K6453">
        <v>1.12035</v>
      </c>
      <c r="L6453">
        <v>17.270199999999999</v>
      </c>
      <c r="M6453">
        <v>0.99969479999999999</v>
      </c>
      <c r="N6453">
        <v>-8.8980889999999997E-3</v>
      </c>
      <c r="O6453">
        <v>-2.3051039999999998E-2</v>
      </c>
      <c r="P6453">
        <v>0.99474680000000004</v>
      </c>
      <c r="Q6453">
        <v>-0.1013686</v>
      </c>
      <c r="R6453">
        <v>1.42662999999999E-2</v>
      </c>
      <c r="S6453">
        <v>3.007355</v>
      </c>
      <c r="T6453">
        <v>-0.100399</v>
      </c>
      <c r="U6453">
        <v>-0.1329651</v>
      </c>
      <c r="V6453">
        <v>-3.7222480000000002E-2</v>
      </c>
      <c r="W6453">
        <v>-9.2506779999999997E-2</v>
      </c>
      <c r="X6453">
        <v>0.99501609999999996</v>
      </c>
      <c r="Y6453">
        <v>2.1120969999999999E-2</v>
      </c>
      <c r="Z6453">
        <v>1.1746140000000001E-4</v>
      </c>
      <c r="AA6453">
        <v>0.99977689999999997</v>
      </c>
      <c r="AB6453">
        <v>18</v>
      </c>
      <c r="AC6453">
        <v>33.384799999999998</v>
      </c>
      <c r="AD6453">
        <v>-1.1203517467889901</v>
      </c>
      <c r="AE6453">
        <v>-1.4795700000000001</v>
      </c>
      <c r="AF6453">
        <v>0.70879541628490605</v>
      </c>
      <c r="AG6453">
        <v>-1.1203517467889901</v>
      </c>
      <c r="AH6453">
        <v>33.372525488776297</v>
      </c>
      <c r="AI6453">
        <v>91.922325930617603</v>
      </c>
      <c r="AJ6453">
        <v>88.7832841374981</v>
      </c>
      <c r="AK6453">
        <v>33.398847831589997</v>
      </c>
      <c r="AL6453">
        <v>95.307836662080703</v>
      </c>
      <c r="AM6453">
        <v>92.142374372348399</v>
      </c>
      <c r="AN6453">
        <v>1.00000002831126</v>
      </c>
    </row>
    <row r="6454" spans="1:40" x14ac:dyDescent="0.25">
      <c r="A6454" t="str">
        <f>"20190303154310224"</f>
        <v>20190303154310224</v>
      </c>
      <c r="B6454" t="str">
        <f>"1551598990217014"</f>
        <v>1551598990217014</v>
      </c>
      <c r="C6454" t="s">
        <v>40</v>
      </c>
      <c r="D6454">
        <v>6.1283099999999999</v>
      </c>
      <c r="E6454">
        <v>0.52045669999999999</v>
      </c>
      <c r="F6454" t="s">
        <v>41</v>
      </c>
      <c r="G6454">
        <v>-358.63900000000001</v>
      </c>
      <c r="H6454" s="1">
        <v>-1.431945E-6</v>
      </c>
      <c r="I6454">
        <v>15.922790000000001</v>
      </c>
      <c r="J6454">
        <v>-391.0154</v>
      </c>
      <c r="K6454">
        <v>1.1203069999999999</v>
      </c>
      <c r="L6454">
        <v>17.265499999999999</v>
      </c>
      <c r="M6454">
        <v>0.99968829999999997</v>
      </c>
      <c r="N6454">
        <v>-8.7872349999999991E-3</v>
      </c>
      <c r="O6454">
        <v>-2.3369190000000001E-2</v>
      </c>
      <c r="P6454">
        <v>0.99463520000000005</v>
      </c>
      <c r="Q6454">
        <v>-0.10226209999999999</v>
      </c>
      <c r="R6454">
        <v>1.560632E-2</v>
      </c>
      <c r="S6454">
        <v>3.00705</v>
      </c>
      <c r="T6454">
        <v>-0.1034598</v>
      </c>
      <c r="U6454">
        <v>-0.12442019999999999</v>
      </c>
      <c r="V6454">
        <v>-3.8878910000000003E-2</v>
      </c>
      <c r="W6454">
        <v>-9.3510330000000003E-2</v>
      </c>
      <c r="X6454">
        <v>0.99485889999999999</v>
      </c>
      <c r="Y6454">
        <v>1.7973699999999999E-2</v>
      </c>
      <c r="Z6454">
        <v>2.100313E-4</v>
      </c>
      <c r="AA6454">
        <v>0.99983840000000002</v>
      </c>
      <c r="AB6454">
        <v>18</v>
      </c>
      <c r="AC6454">
        <v>32.376399999999897</v>
      </c>
      <c r="AD6454">
        <v>-1.1203084319449901</v>
      </c>
      <c r="AE6454">
        <v>-1.3427100000000001</v>
      </c>
      <c r="AF6454">
        <v>0.585004590314947</v>
      </c>
      <c r="AG6454">
        <v>-1.1203084319449901</v>
      </c>
      <c r="AH6454">
        <v>32.360256923943901</v>
      </c>
      <c r="AI6454">
        <v>91.982457851238493</v>
      </c>
      <c r="AJ6454">
        <v>88.9643270308339</v>
      </c>
      <c r="AK6454">
        <v>32.384927814294102</v>
      </c>
      <c r="AL6454">
        <v>95.365586368491805</v>
      </c>
      <c r="AM6454">
        <v>92.237970101363601</v>
      </c>
      <c r="AN6454">
        <v>0.99999999118435301</v>
      </c>
    </row>
    <row r="6455" spans="1:40" x14ac:dyDescent="0.25">
      <c r="A6455" t="str">
        <f>"20190303154310236"</f>
        <v>20190303154310236</v>
      </c>
      <c r="B6455" t="str">
        <f>"1551598990226771"</f>
        <v>1551598990226771</v>
      </c>
      <c r="C6455" t="s">
        <v>40</v>
      </c>
      <c r="D6455">
        <v>6.118474</v>
      </c>
      <c r="E6455">
        <v>0.5202504</v>
      </c>
      <c r="F6455" t="s">
        <v>62</v>
      </c>
      <c r="G6455">
        <v>-360.14460000000003</v>
      </c>
      <c r="H6455" s="1">
        <v>-5.28831199999999E-6</v>
      </c>
      <c r="I6455">
        <v>16.06954</v>
      </c>
      <c r="J6455">
        <v>-390.92189999999999</v>
      </c>
      <c r="K6455">
        <v>1.120285</v>
      </c>
      <c r="L6455">
        <v>17.263120000000001</v>
      </c>
      <c r="M6455">
        <v>0.99968500000000005</v>
      </c>
      <c r="N6455">
        <v>-8.7331939999999997E-3</v>
      </c>
      <c r="O6455">
        <v>-2.3532930000000001E-2</v>
      </c>
      <c r="P6455">
        <v>0.99452010000000002</v>
      </c>
      <c r="Q6455">
        <v>-0.1032057</v>
      </c>
      <c r="R6455">
        <v>1.6701589999999999E-2</v>
      </c>
      <c r="S6455">
        <v>3.0068049999999999</v>
      </c>
      <c r="T6455">
        <v>-0.109117699999999</v>
      </c>
      <c r="U6455">
        <v>-0.11648559999999999</v>
      </c>
      <c r="V6455">
        <v>-4.0135990000000003E-2</v>
      </c>
      <c r="W6455">
        <v>-9.4507919999999995E-2</v>
      </c>
      <c r="X6455">
        <v>0.99471469999999995</v>
      </c>
      <c r="Y6455">
        <v>1.518124E-2</v>
      </c>
      <c r="Z6455">
        <v>3.0621320000000002E-4</v>
      </c>
      <c r="AA6455">
        <v>0.99988469999999996</v>
      </c>
      <c r="AB6455">
        <v>18</v>
      </c>
      <c r="AC6455">
        <v>30.777299999999901</v>
      </c>
      <c r="AD6455">
        <v>-1.1202902883120001</v>
      </c>
      <c r="AE6455">
        <v>-1.1935800000000001</v>
      </c>
      <c r="AF6455">
        <v>0.468322247232689</v>
      </c>
      <c r="AG6455">
        <v>-1.1202902883120001</v>
      </c>
      <c r="AH6455">
        <v>30.7561762008758</v>
      </c>
      <c r="AI6455">
        <v>92.085828543443597</v>
      </c>
      <c r="AJ6455">
        <v>89.127628398546605</v>
      </c>
      <c r="AK6455">
        <v>30.780135648769601</v>
      </c>
      <c r="AL6455">
        <v>95.422998335504104</v>
      </c>
      <c r="AM6455">
        <v>92.310588227156302</v>
      </c>
      <c r="AN6455">
        <v>0.99999998951604796</v>
      </c>
    </row>
    <row r="6456" spans="1:40" x14ac:dyDescent="0.25">
      <c r="A6456" t="str">
        <f>"20190303154310248"</f>
        <v>20190303154310248</v>
      </c>
      <c r="B6456" t="str">
        <f>"1551598990236531"</f>
        <v>1551598990236531</v>
      </c>
      <c r="C6456" t="s">
        <v>40</v>
      </c>
      <c r="D6456">
        <v>6.1129499999999997</v>
      </c>
      <c r="E6456">
        <v>0.52004150000000005</v>
      </c>
      <c r="F6456" t="s">
        <v>62</v>
      </c>
      <c r="G6456">
        <v>-361.2319</v>
      </c>
      <c r="H6456" s="1">
        <v>-4.757745E-6</v>
      </c>
      <c r="I6456">
        <v>16.162859999999998</v>
      </c>
      <c r="J6456">
        <v>-390.822</v>
      </c>
      <c r="K6456">
        <v>1.1202700000000001</v>
      </c>
      <c r="L6456">
        <v>17.260560000000002</v>
      </c>
      <c r="M6456">
        <v>0.99968109999999999</v>
      </c>
      <c r="N6456">
        <v>-8.6788960000000002E-3</v>
      </c>
      <c r="O6456">
        <v>-2.3715279999999998E-2</v>
      </c>
      <c r="P6456">
        <v>0.99436080000000004</v>
      </c>
      <c r="Q6456">
        <v>-0.1046228</v>
      </c>
      <c r="R6456">
        <v>1.734726E-2</v>
      </c>
      <c r="S6456">
        <v>3.0066220000000001</v>
      </c>
      <c r="T6456">
        <v>-0.11344890000000001</v>
      </c>
      <c r="U6456">
        <v>-0.111419699999999</v>
      </c>
      <c r="V6456">
        <v>-4.0960719999999999E-2</v>
      </c>
      <c r="W6456">
        <v>-9.5979519999999999E-2</v>
      </c>
      <c r="X6456">
        <v>0.99454019999999999</v>
      </c>
      <c r="Y6456">
        <v>1.332069E-2</v>
      </c>
      <c r="Z6456">
        <v>3.7933630000000002E-4</v>
      </c>
      <c r="AA6456">
        <v>0.9999112</v>
      </c>
      <c r="AB6456">
        <v>18</v>
      </c>
      <c r="AC6456">
        <v>29.5900999999999</v>
      </c>
      <c r="AD6456">
        <v>-1.1202747577450001</v>
      </c>
      <c r="AE6456">
        <v>-1.0976999999999899</v>
      </c>
      <c r="AF6456">
        <v>0.39506184031517699</v>
      </c>
      <c r="AG6456">
        <v>-1.1202747577450001</v>
      </c>
      <c r="AH6456">
        <v>29.565490649944302</v>
      </c>
      <c r="AI6456">
        <v>92.169779712092705</v>
      </c>
      <c r="AJ6456">
        <v>89.234444328136107</v>
      </c>
      <c r="AK6456">
        <v>29.589344818066799</v>
      </c>
      <c r="AL6456">
        <v>95.507699649105902</v>
      </c>
      <c r="AM6456">
        <v>92.358427307203996</v>
      </c>
      <c r="AN6456">
        <v>1.0000000291291899</v>
      </c>
    </row>
    <row r="6457" spans="1:40" x14ac:dyDescent="0.25">
      <c r="A6457" t="str">
        <f>"20190303154310260"</f>
        <v>20190303154310260</v>
      </c>
      <c r="B6457" t="str">
        <f>"1551598990257027"</f>
        <v>1551598990257027</v>
      </c>
      <c r="C6457" t="s">
        <v>40</v>
      </c>
      <c r="D6457">
        <v>6.1214209999999998</v>
      </c>
      <c r="E6457">
        <v>0.51986030000000005</v>
      </c>
      <c r="F6457" t="s">
        <v>62</v>
      </c>
      <c r="G6457">
        <v>-362.5967</v>
      </c>
      <c r="H6457" s="1">
        <v>-4.0973870000000002E-6</v>
      </c>
      <c r="I6457">
        <v>16.24858</v>
      </c>
      <c r="J6457">
        <v>-390.72289999999998</v>
      </c>
      <c r="K6457">
        <v>1.120261</v>
      </c>
      <c r="L6457">
        <v>17.258089999999999</v>
      </c>
      <c r="M6457">
        <v>0.99967709999999999</v>
      </c>
      <c r="N6457">
        <v>-8.6263529999999998E-3</v>
      </c>
      <c r="O6457">
        <v>-2.3900859999999999E-2</v>
      </c>
      <c r="P6457">
        <v>0.99414999999999998</v>
      </c>
      <c r="Q6457">
        <v>-0.1063872</v>
      </c>
      <c r="R6457">
        <v>1.8639389999999999E-2</v>
      </c>
      <c r="S6457">
        <v>3.006348</v>
      </c>
      <c r="T6457">
        <v>-0.1193236</v>
      </c>
      <c r="U6457">
        <v>-0.1077881</v>
      </c>
      <c r="V6457">
        <v>-4.2434630000000001E-2</v>
      </c>
      <c r="W6457">
        <v>-9.7796980000000006E-2</v>
      </c>
      <c r="X6457">
        <v>0.99430130000000005</v>
      </c>
      <c r="Y6457">
        <v>1.1933920000000001E-2</v>
      </c>
      <c r="Z6457">
        <v>4.5352540000000001E-4</v>
      </c>
      <c r="AA6457">
        <v>0.9999287</v>
      </c>
      <c r="AB6457">
        <v>18</v>
      </c>
      <c r="AC6457">
        <v>28.126199999999901</v>
      </c>
      <c r="AD6457">
        <v>-1.1202650973870001</v>
      </c>
      <c r="AE6457">
        <v>-1.0095099999999899</v>
      </c>
      <c r="AF6457">
        <v>0.33642317980284298</v>
      </c>
      <c r="AG6457">
        <v>-1.1202650973870001</v>
      </c>
      <c r="AH6457">
        <v>28.097776088979</v>
      </c>
      <c r="AI6457">
        <v>92.283023755573495</v>
      </c>
      <c r="AJ6457">
        <v>89.314013065184596</v>
      </c>
      <c r="AK6457">
        <v>28.122112217803501</v>
      </c>
      <c r="AL6457">
        <v>95.612324782500394</v>
      </c>
      <c r="AM6457">
        <v>92.4437770305952</v>
      </c>
      <c r="AN6457">
        <v>1.0000000111510201</v>
      </c>
    </row>
    <row r="6458" spans="1:40" x14ac:dyDescent="0.25">
      <c r="A6458" t="str">
        <f>"20190303154310274"</f>
        <v>20190303154310274</v>
      </c>
      <c r="B6458" t="str">
        <f>"1551598990266787"</f>
        <v>1551598990266787</v>
      </c>
      <c r="C6458" t="s">
        <v>40</v>
      </c>
      <c r="D6458">
        <v>6.1374459999999997</v>
      </c>
      <c r="E6458">
        <v>0.51366400000000001</v>
      </c>
      <c r="F6458" t="s">
        <v>62</v>
      </c>
      <c r="G6458">
        <v>-363.97340000000003</v>
      </c>
      <c r="H6458" s="1">
        <v>-3.4293060000000001E-6</v>
      </c>
      <c r="I6458">
        <v>16.346170000000001</v>
      </c>
      <c r="J6458">
        <v>-390.6121</v>
      </c>
      <c r="K6458">
        <v>1.120234</v>
      </c>
      <c r="L6458">
        <v>17.255189999999999</v>
      </c>
      <c r="M6458">
        <v>0.99967240000000002</v>
      </c>
      <c r="N6458">
        <v>-8.5696669999999996E-3</v>
      </c>
      <c r="O6458">
        <v>-2.411576E-2</v>
      </c>
      <c r="P6458">
        <v>0.993946</v>
      </c>
      <c r="Q6458">
        <v>-0.1081974</v>
      </c>
      <c r="R6458">
        <v>1.9107789999999999E-2</v>
      </c>
      <c r="S6458">
        <v>3.0060419999999999</v>
      </c>
      <c r="T6458">
        <v>-0.125892899999999</v>
      </c>
      <c r="U6458">
        <v>-0.102478</v>
      </c>
      <c r="V6458">
        <v>-4.311454E-2</v>
      </c>
      <c r="W6458">
        <v>-9.966411E-2</v>
      </c>
      <c r="X6458">
        <v>0.99408660000000004</v>
      </c>
      <c r="Y6458">
        <v>9.9611749999999992E-3</v>
      </c>
      <c r="Z6458">
        <v>5.5132979999999998E-4</v>
      </c>
      <c r="AA6458">
        <v>0.99995020000000001</v>
      </c>
      <c r="AB6458">
        <v>18</v>
      </c>
      <c r="AC6458">
        <v>26.638699999999901</v>
      </c>
      <c r="AD6458">
        <v>-1.120237429306</v>
      </c>
      <c r="AE6458">
        <v>-0.90901999999999805</v>
      </c>
      <c r="AF6458">
        <v>0.265849902726839</v>
      </c>
      <c r="AG6458">
        <v>-1.120237429306</v>
      </c>
      <c r="AH6458">
        <v>26.6058781021252</v>
      </c>
      <c r="AI6458">
        <v>92.4108878896443</v>
      </c>
      <c r="AJ6458">
        <v>89.427511076946303</v>
      </c>
      <c r="AK6458">
        <v>26.630778389937099</v>
      </c>
      <c r="AL6458">
        <v>95.719828868081095</v>
      </c>
      <c r="AM6458">
        <v>92.483419473191404</v>
      </c>
      <c r="AN6458">
        <v>0.99999998334053097</v>
      </c>
    </row>
    <row r="6459" spans="1:40" x14ac:dyDescent="0.25">
      <c r="A6459" t="str">
        <f>"20190303154310292"</f>
        <v>20190303154310292</v>
      </c>
      <c r="B6459" t="str">
        <f>"1551598990287286"</f>
        <v>1551598990287286</v>
      </c>
      <c r="C6459" t="s">
        <v>40</v>
      </c>
      <c r="D6459">
        <v>6.1303010000000002</v>
      </c>
      <c r="E6459">
        <v>0.51394399999999996</v>
      </c>
      <c r="F6459" t="s">
        <v>60</v>
      </c>
      <c r="G6459">
        <v>-377.33819999999997</v>
      </c>
      <c r="H6459" s="1">
        <v>-1.6982290000000001E-6</v>
      </c>
      <c r="I6459">
        <v>17.025950000000002</v>
      </c>
      <c r="J6459">
        <v>-390.46710000000002</v>
      </c>
      <c r="K6459">
        <v>1.1201829999999999</v>
      </c>
      <c r="L6459">
        <v>17.251339999999999</v>
      </c>
      <c r="M6459">
        <v>0.99966569999999999</v>
      </c>
      <c r="N6459">
        <v>-8.4993840000000005E-3</v>
      </c>
      <c r="O6459">
        <v>-2.4419730000000001E-2</v>
      </c>
      <c r="P6459">
        <v>0.99356750000000005</v>
      </c>
      <c r="Q6459">
        <v>-0.1114289</v>
      </c>
      <c r="R6459">
        <v>2.0184170000000001E-2</v>
      </c>
      <c r="S6459">
        <v>2.9917910000000001</v>
      </c>
      <c r="T6459">
        <v>-0.25248799999999999</v>
      </c>
      <c r="U6459">
        <v>-5.1666259999999999E-2</v>
      </c>
      <c r="V6459">
        <v>-4.4488800000000002E-2</v>
      </c>
      <c r="W6459">
        <v>-0.1029665</v>
      </c>
      <c r="X6459">
        <v>0.99368939999999994</v>
      </c>
      <c r="Y6459">
        <v>-7.0575819999999997E-3</v>
      </c>
      <c r="Z6459">
        <v>2.1768730000000002E-3</v>
      </c>
      <c r="AA6459">
        <v>0.99997270000000005</v>
      </c>
      <c r="AB6459">
        <v>18</v>
      </c>
      <c r="AC6459">
        <v>13.1289</v>
      </c>
      <c r="AD6459">
        <v>-1.120184698229</v>
      </c>
      <c r="AE6459">
        <v>-0.22538999999999701</v>
      </c>
      <c r="AF6459">
        <v>-9.4604475816452302E-2</v>
      </c>
      <c r="AG6459">
        <v>-1.120184698229</v>
      </c>
      <c r="AH6459">
        <v>13.035619333005</v>
      </c>
      <c r="AI6459">
        <v>94.911380933938204</v>
      </c>
      <c r="AJ6459">
        <v>90.415810088326594</v>
      </c>
      <c r="AK6459">
        <v>13.084003025068601</v>
      </c>
      <c r="AL6459">
        <v>95.910020596427898</v>
      </c>
      <c r="AM6459">
        <v>92.563496575491499</v>
      </c>
      <c r="AN6459">
        <v>0.99999998856002403</v>
      </c>
    </row>
    <row r="6460" spans="1:40" x14ac:dyDescent="0.25">
      <c r="A6460" t="str">
        <f>"20190303154310306"</f>
        <v>20190303154310306</v>
      </c>
      <c r="B6460" t="str">
        <f>"1551598990297042"</f>
        <v>1551598990297042</v>
      </c>
      <c r="C6460" t="s">
        <v>40</v>
      </c>
      <c r="D6460">
        <v>6.1242789999999996</v>
      </c>
      <c r="E6460">
        <v>0.51405990000000001</v>
      </c>
      <c r="F6460" t="s">
        <v>60</v>
      </c>
      <c r="G6460">
        <v>-377.41640000000001</v>
      </c>
      <c r="H6460" s="1">
        <v>-1.664565E-6</v>
      </c>
      <c r="I6460">
        <v>17.029820000000001</v>
      </c>
      <c r="J6460">
        <v>-390.35180000000003</v>
      </c>
      <c r="K6460">
        <v>1.120152</v>
      </c>
      <c r="L6460">
        <v>17.248259999999998</v>
      </c>
      <c r="M6460">
        <v>0.99965959999999998</v>
      </c>
      <c r="N6460">
        <v>-8.4474570000000002E-3</v>
      </c>
      <c r="O6460">
        <v>-2.4684830000000001E-2</v>
      </c>
      <c r="P6460">
        <v>0.99342189999999997</v>
      </c>
      <c r="Q6460">
        <v>-0.112674499999999</v>
      </c>
      <c r="R6460">
        <v>2.0434440000000002E-2</v>
      </c>
      <c r="S6460">
        <v>2.9916689999999999</v>
      </c>
      <c r="T6460">
        <v>-0.25678519999999999</v>
      </c>
      <c r="U6460">
        <v>-5.078125E-2</v>
      </c>
      <c r="V6460">
        <v>-4.5004370000000002E-2</v>
      </c>
      <c r="W6460">
        <v>-0.1042628</v>
      </c>
      <c r="X6460">
        <v>0.99353100000000005</v>
      </c>
      <c r="Y6460">
        <v>-7.6110780000000003E-3</v>
      </c>
      <c r="Z6460">
        <v>2.2645120000000002E-3</v>
      </c>
      <c r="AA6460">
        <v>0.99996850000000004</v>
      </c>
      <c r="AB6460">
        <v>18</v>
      </c>
      <c r="AC6460">
        <v>12.9354</v>
      </c>
      <c r="AD6460">
        <v>-1.1201536645649901</v>
      </c>
      <c r="AE6460">
        <v>-0.21844000000000099</v>
      </c>
      <c r="AF6460">
        <v>-0.100194973648182</v>
      </c>
      <c r="AG6460">
        <v>-1.1201536645649901</v>
      </c>
      <c r="AH6460">
        <v>12.840588057680799</v>
      </c>
      <c r="AI6460">
        <v>94.985447216253306</v>
      </c>
      <c r="AJ6460">
        <v>90.447069291942299</v>
      </c>
      <c r="AK6460">
        <v>12.8897434005506</v>
      </c>
      <c r="AL6460">
        <v>95.984695068878594</v>
      </c>
      <c r="AM6460">
        <v>92.593576867263707</v>
      </c>
      <c r="AN6460">
        <v>0.99999998637196796</v>
      </c>
    </row>
    <row r="6461" spans="1:40" x14ac:dyDescent="0.25">
      <c r="A6461" t="str">
        <f>"20190303154310328"</f>
        <v>20190303154310328</v>
      </c>
      <c r="B6461" t="str">
        <f>"1551598990316563"</f>
        <v>1551598990316563</v>
      </c>
      <c r="C6461" t="s">
        <v>40</v>
      </c>
      <c r="D6461">
        <v>6.0365719999999996</v>
      </c>
      <c r="E6461">
        <v>0.5145208</v>
      </c>
      <c r="F6461" t="s">
        <v>60</v>
      </c>
      <c r="G6461">
        <v>-377.28039999999999</v>
      </c>
      <c r="H6461" s="1">
        <v>-1.7256499999999999E-6</v>
      </c>
      <c r="I6461">
        <v>17.02533</v>
      </c>
      <c r="J6461">
        <v>-390.16989999999998</v>
      </c>
      <c r="K6461">
        <v>1.12009</v>
      </c>
      <c r="L6461">
        <v>17.243259999999999</v>
      </c>
      <c r="M6461">
        <v>0.99964889999999995</v>
      </c>
      <c r="N6461">
        <v>-8.3722659999999997E-3</v>
      </c>
      <c r="O6461">
        <v>-2.5146020000000002E-2</v>
      </c>
      <c r="P6461">
        <v>0.99329020000000001</v>
      </c>
      <c r="Q6461">
        <v>-0.11375879999999999</v>
      </c>
      <c r="R6461">
        <v>2.0829529999999999E-2</v>
      </c>
      <c r="S6461">
        <v>2.9918209999999998</v>
      </c>
      <c r="T6461">
        <v>-0.25638369999999999</v>
      </c>
      <c r="U6461">
        <v>-5.1025389999999997E-2</v>
      </c>
      <c r="V6461">
        <v>-4.586428E-2</v>
      </c>
      <c r="W6461">
        <v>-0.1054182</v>
      </c>
      <c r="X6461">
        <v>0.99336979999999997</v>
      </c>
      <c r="Y6461">
        <v>-7.9890280000000004E-3</v>
      </c>
      <c r="Z6461">
        <v>2.315475E-3</v>
      </c>
      <c r="AA6461">
        <v>0.9999654</v>
      </c>
      <c r="AB6461">
        <v>18</v>
      </c>
      <c r="AC6461">
        <v>12.8894999999999</v>
      </c>
      <c r="AD6461">
        <v>-1.12009172565</v>
      </c>
      <c r="AE6461">
        <v>-0.21792999999999901</v>
      </c>
      <c r="AF6461">
        <v>-0.105473586984987</v>
      </c>
      <c r="AG6461">
        <v>-1.12009172565</v>
      </c>
      <c r="AH6461">
        <v>12.794315113546601</v>
      </c>
      <c r="AI6461">
        <v>95.0030937600024</v>
      </c>
      <c r="AJ6461">
        <v>90.472323405971693</v>
      </c>
      <c r="AK6461">
        <v>12.8436844159356</v>
      </c>
      <c r="AL6461">
        <v>96.051261109464804</v>
      </c>
      <c r="AM6461">
        <v>92.643491684400402</v>
      </c>
      <c r="AN6461">
        <v>1.00000004431159</v>
      </c>
    </row>
    <row r="6462" spans="1:40" x14ac:dyDescent="0.25">
      <c r="A6462" t="str">
        <f>"20190303154310350"</f>
        <v>20190303154310350</v>
      </c>
      <c r="B6462" t="str">
        <f>"1551598990346819"</f>
        <v>1551598990346819</v>
      </c>
      <c r="C6462" t="s">
        <v>40</v>
      </c>
      <c r="D6462">
        <v>6.123704</v>
      </c>
      <c r="E6462">
        <v>0.51477010000000001</v>
      </c>
      <c r="F6462" t="s">
        <v>60</v>
      </c>
      <c r="G6462">
        <v>-377.10570000000001</v>
      </c>
      <c r="H6462" s="1">
        <v>-1.8110980000000001E-6</v>
      </c>
      <c r="I6462">
        <v>17.009270000000001</v>
      </c>
      <c r="J6462">
        <v>-389.99040000000002</v>
      </c>
      <c r="K6462">
        <v>1.120026</v>
      </c>
      <c r="L6462">
        <v>17.238189999999999</v>
      </c>
      <c r="M6462">
        <v>0.99963619999999997</v>
      </c>
      <c r="N6462">
        <v>-8.307053E-3</v>
      </c>
      <c r="O6462">
        <v>-2.5660280000000001E-2</v>
      </c>
      <c r="P6462">
        <v>0.9931913</v>
      </c>
      <c r="Q6462">
        <v>-0.1145197</v>
      </c>
      <c r="R6462">
        <v>2.1360219999999999E-2</v>
      </c>
      <c r="S6462">
        <v>2.992035</v>
      </c>
      <c r="T6462">
        <v>-0.25652809999999998</v>
      </c>
      <c r="U6462">
        <v>-5.3588869999999997E-2</v>
      </c>
      <c r="V6462">
        <v>-4.691596E-2</v>
      </c>
      <c r="W6462">
        <v>-0.106238899999999</v>
      </c>
      <c r="X6462">
        <v>0.99323320000000004</v>
      </c>
      <c r="Y6462">
        <v>-7.647811E-3</v>
      </c>
      <c r="Z6462">
        <v>2.3417569999999999E-3</v>
      </c>
      <c r="AA6462">
        <v>0.99996799999999997</v>
      </c>
      <c r="AB6462">
        <v>18</v>
      </c>
      <c r="AC6462">
        <v>12.8847</v>
      </c>
      <c r="AD6462">
        <v>-1.120027811098</v>
      </c>
      <c r="AE6462">
        <v>-0.22891999999999799</v>
      </c>
      <c r="AF6462">
        <v>-0.101028642113608</v>
      </c>
      <c r="AG6462">
        <v>-1.120027811098</v>
      </c>
      <c r="AH6462">
        <v>12.789718985225701</v>
      </c>
      <c r="AI6462">
        <v>95.004612257261002</v>
      </c>
      <c r="AJ6462">
        <v>90.452581829045798</v>
      </c>
      <c r="AK6462">
        <v>12.839064639030401</v>
      </c>
      <c r="AL6462">
        <v>96.098549575930093</v>
      </c>
      <c r="AM6462">
        <v>92.704390017597603</v>
      </c>
      <c r="AN6462">
        <v>1.0000000003790801</v>
      </c>
    </row>
    <row r="6463" spans="1:40" x14ac:dyDescent="0.25">
      <c r="A6463" t="str">
        <f>"20190303154310370"</f>
        <v>20190303154310370</v>
      </c>
      <c r="B6463" t="str">
        <f>"1551598990366339"</f>
        <v>1551598990366339</v>
      </c>
      <c r="C6463" t="s">
        <v>40</v>
      </c>
      <c r="D6463">
        <v>6.1168889999999996</v>
      </c>
      <c r="E6463">
        <v>0.51499379999999995</v>
      </c>
      <c r="F6463" t="s">
        <v>60</v>
      </c>
      <c r="G6463">
        <v>-376.85579999999999</v>
      </c>
      <c r="H6463" s="1">
        <v>-1.9306249999999998E-6</v>
      </c>
      <c r="I6463">
        <v>17.00122</v>
      </c>
      <c r="J6463">
        <v>-389.82089999999999</v>
      </c>
      <c r="K6463">
        <v>1.119958</v>
      </c>
      <c r="L6463">
        <v>17.233280000000001</v>
      </c>
      <c r="M6463">
        <v>0.99962269999999998</v>
      </c>
      <c r="N6463">
        <v>-8.2525329999999994E-3</v>
      </c>
      <c r="O6463">
        <v>-2.62025E-2</v>
      </c>
      <c r="P6463">
        <v>0.99312120000000004</v>
      </c>
      <c r="Q6463">
        <v>-0.1150187</v>
      </c>
      <c r="R6463">
        <v>2.1933359999999999E-2</v>
      </c>
      <c r="S6463">
        <v>2.9923099999999998</v>
      </c>
      <c r="T6463">
        <v>-0.25516440000000001</v>
      </c>
      <c r="U6463">
        <v>-5.3985600000000002E-2</v>
      </c>
      <c r="V6463">
        <v>-4.8037919999999998E-2</v>
      </c>
      <c r="W6463">
        <v>-0.10678650000000001</v>
      </c>
      <c r="X6463">
        <v>0.99312080000000003</v>
      </c>
      <c r="Y6463">
        <v>-8.0572149999999995E-3</v>
      </c>
      <c r="Z6463">
        <v>2.3901230000000001E-3</v>
      </c>
      <c r="AA6463">
        <v>0.99996470000000004</v>
      </c>
      <c r="AB6463">
        <v>18</v>
      </c>
      <c r="AC6463">
        <v>12.9651</v>
      </c>
      <c r="AD6463">
        <v>-1.1199599306250001</v>
      </c>
      <c r="AE6463">
        <v>-0.23205999999999999</v>
      </c>
      <c r="AF6463">
        <v>-0.106951434114579</v>
      </c>
      <c r="AG6463">
        <v>-1.1199599306250001</v>
      </c>
      <c r="AH6463">
        <v>12.8707188615279</v>
      </c>
      <c r="AI6463">
        <v>94.972958602664605</v>
      </c>
      <c r="AJ6463">
        <v>90.476098096390999</v>
      </c>
      <c r="AK6463">
        <v>12.919796936018599</v>
      </c>
      <c r="AL6463">
        <v>96.130104492079496</v>
      </c>
      <c r="AM6463">
        <v>92.769276897171494</v>
      </c>
      <c r="AN6463">
        <v>0.99999996086640697</v>
      </c>
    </row>
    <row r="6464" spans="1:40" x14ac:dyDescent="0.25">
      <c r="A6464" t="str">
        <f>"20190303154310392"</f>
        <v>20190303154310392</v>
      </c>
      <c r="B6464" t="str">
        <f>"1551598990386834"</f>
        <v>1551598990386834</v>
      </c>
      <c r="C6464" t="s">
        <v>40</v>
      </c>
      <c r="D6464">
        <v>5.997433</v>
      </c>
      <c r="E6464">
        <v>0.51504280000000002</v>
      </c>
      <c r="F6464" t="s">
        <v>60</v>
      </c>
      <c r="G6464">
        <v>-376.63170000000002</v>
      </c>
      <c r="H6464" s="1">
        <v>-2.037585E-6</v>
      </c>
      <c r="I6464">
        <v>16.995480000000001</v>
      </c>
      <c r="J6464">
        <v>-389.63639999999998</v>
      </c>
      <c r="K6464">
        <v>1.1198920000000001</v>
      </c>
      <c r="L6464">
        <v>17.227720000000001</v>
      </c>
      <c r="M6464">
        <v>0.99960570000000004</v>
      </c>
      <c r="N6464">
        <v>-8.1993729999999994E-3</v>
      </c>
      <c r="O6464">
        <v>-2.6856330000000001E-2</v>
      </c>
      <c r="P6464">
        <v>0.99299340000000003</v>
      </c>
      <c r="Q6464">
        <v>-0.115992</v>
      </c>
      <c r="R6464">
        <v>2.2593780000000001E-2</v>
      </c>
      <c r="S6464">
        <v>2.9925540000000002</v>
      </c>
      <c r="T6464">
        <v>-0.25411309999999998</v>
      </c>
      <c r="U6464">
        <v>-5.3955080000000002E-2</v>
      </c>
      <c r="V6464">
        <v>-4.9358840000000001E-2</v>
      </c>
      <c r="W6464">
        <v>-0.10780670000000001</v>
      </c>
      <c r="X6464">
        <v>0.99294579999999999</v>
      </c>
      <c r="Y6464">
        <v>-8.7192869999999992E-3</v>
      </c>
      <c r="Z6464">
        <v>2.4613439999999999E-3</v>
      </c>
      <c r="AA6464">
        <v>0.99995889999999998</v>
      </c>
      <c r="AB6464">
        <v>19</v>
      </c>
      <c r="AC6464">
        <v>13.0046999999999</v>
      </c>
      <c r="AD6464">
        <v>-1.1198940375849999</v>
      </c>
      <c r="AE6464">
        <v>-0.23224</v>
      </c>
      <c r="AF6464">
        <v>-0.11625220236150401</v>
      </c>
      <c r="AG6464">
        <v>-1.1198940375849999</v>
      </c>
      <c r="AH6464">
        <v>12.910535895293201</v>
      </c>
      <c r="AI6464">
        <v>94.957378291928094</v>
      </c>
      <c r="AJ6464">
        <v>90.515902716896804</v>
      </c>
      <c r="AK6464">
        <v>12.9595375817822</v>
      </c>
      <c r="AL6464">
        <v>96.188896996410705</v>
      </c>
      <c r="AM6464">
        <v>92.845802112812606</v>
      </c>
      <c r="AN6464">
        <v>0.99999997069433699</v>
      </c>
    </row>
    <row r="6465" spans="1:40" x14ac:dyDescent="0.25">
      <c r="A6465" t="str">
        <f>"20190303154310415"</f>
        <v>20190303154310415</v>
      </c>
      <c r="B6465" t="str">
        <f>"1551598990406354"</f>
        <v>1551598990406354</v>
      </c>
      <c r="C6465" t="s">
        <v>40</v>
      </c>
      <c r="D6465">
        <v>6.02698</v>
      </c>
      <c r="E6465">
        <v>0.51483350000000005</v>
      </c>
      <c r="F6465" t="s">
        <v>60</v>
      </c>
      <c r="G6465">
        <v>-376.5634</v>
      </c>
      <c r="H6465" s="1">
        <v>-2.0691429999999999E-6</v>
      </c>
      <c r="I6465">
        <v>16.999610000000001</v>
      </c>
      <c r="J6465">
        <v>-389.44779999999997</v>
      </c>
      <c r="K6465">
        <v>1.119828</v>
      </c>
      <c r="L6465">
        <v>17.221829999999901</v>
      </c>
      <c r="M6465">
        <v>0.99958619999999998</v>
      </c>
      <c r="N6465">
        <v>-8.1469769999999997E-3</v>
      </c>
      <c r="O6465">
        <v>-2.7593550000000001E-2</v>
      </c>
      <c r="P6465">
        <v>0.99275310000000005</v>
      </c>
      <c r="Q6465">
        <v>-0.11803619999999999</v>
      </c>
      <c r="R6465">
        <v>2.2559840000000001E-2</v>
      </c>
      <c r="S6465">
        <v>2.9923709999999999</v>
      </c>
      <c r="T6465">
        <v>-0.25633919999999999</v>
      </c>
      <c r="U6465">
        <v>-5.2215579999999998E-2</v>
      </c>
      <c r="V6465">
        <v>-5.0063650000000001E-2</v>
      </c>
      <c r="W6465">
        <v>-0.1098988</v>
      </c>
      <c r="X6465">
        <v>0.99268109999999998</v>
      </c>
      <c r="Y6465">
        <v>-1.0027080000000001E-2</v>
      </c>
      <c r="Z6465">
        <v>2.6040550000000001E-3</v>
      </c>
      <c r="AA6465">
        <v>0.99994640000000001</v>
      </c>
      <c r="AB6465">
        <v>19</v>
      </c>
      <c r="AC6465">
        <v>12.8843999999999</v>
      </c>
      <c r="AD6465">
        <v>-1.1198300691429901</v>
      </c>
      <c r="AE6465">
        <v>-0.222219999999996</v>
      </c>
      <c r="AF6465">
        <v>-0.13240282337050799</v>
      </c>
      <c r="AG6465">
        <v>-1.1198300691429901</v>
      </c>
      <c r="AH6465">
        <v>12.789046191618</v>
      </c>
      <c r="AI6465">
        <v>95.0038836004898</v>
      </c>
      <c r="AJ6465">
        <v>90.593152284295897</v>
      </c>
      <c r="AK6465">
        <v>12.8386624062918</v>
      </c>
      <c r="AL6465">
        <v>96.309482242890198</v>
      </c>
      <c r="AM6465">
        <v>92.887138312539903</v>
      </c>
      <c r="AN6465">
        <v>0.999999940794984</v>
      </c>
    </row>
    <row r="6466" spans="1:40" x14ac:dyDescent="0.25">
      <c r="A6466" t="str">
        <f>"20190303154310427"</f>
        <v>20190303154310427</v>
      </c>
      <c r="B6466" t="str">
        <f>"1551598990417091"</f>
        <v>1551598990417091</v>
      </c>
      <c r="C6466" t="s">
        <v>40</v>
      </c>
      <c r="D6466">
        <v>6.0366489999999997</v>
      </c>
      <c r="E6466">
        <v>0.4908651</v>
      </c>
      <c r="F6466" t="s">
        <v>60</v>
      </c>
      <c r="G6466">
        <v>-375.71460000000002</v>
      </c>
      <c r="H6466" s="1">
        <v>-2.4721049999999999E-6</v>
      </c>
      <c r="I6466">
        <v>16.989879999999999</v>
      </c>
      <c r="J6466">
        <v>-389.33960000000002</v>
      </c>
      <c r="K6466">
        <v>1.119799</v>
      </c>
      <c r="L6466">
        <v>17.218350000000001</v>
      </c>
      <c r="M6466">
        <v>0.99957379999999996</v>
      </c>
      <c r="N6466">
        <v>-8.1122569999999995E-3</v>
      </c>
      <c r="O6466">
        <v>-2.804827E-2</v>
      </c>
      <c r="P6466">
        <v>0.99269410000000002</v>
      </c>
      <c r="Q6466">
        <v>-0.118614</v>
      </c>
      <c r="R6466">
        <v>2.212867E-2</v>
      </c>
      <c r="S6466">
        <v>2.9939879999999999</v>
      </c>
      <c r="T6466">
        <v>-0.24413409999999999</v>
      </c>
      <c r="U6466">
        <v>-5.0567630000000002E-2</v>
      </c>
      <c r="V6466">
        <v>-5.0087699999999902E-2</v>
      </c>
      <c r="W6466">
        <v>-0.1105093</v>
      </c>
      <c r="X6466">
        <v>0.99261219999999994</v>
      </c>
      <c r="Y6466">
        <v>-1.1048759999999999E-2</v>
      </c>
      <c r="Z6466">
        <v>2.5501539999999998E-3</v>
      </c>
      <c r="AA6466">
        <v>0.99993569999999998</v>
      </c>
      <c r="AB6466">
        <v>19</v>
      </c>
      <c r="AC6466">
        <v>13.625</v>
      </c>
      <c r="AD6466">
        <v>-1.119801472105</v>
      </c>
      <c r="AE6466">
        <v>-0.22847000000000101</v>
      </c>
      <c r="AF6466">
        <v>-0.15275853525670499</v>
      </c>
      <c r="AG6466">
        <v>-1.119801472105</v>
      </c>
      <c r="AH6466">
        <v>13.534650131929499</v>
      </c>
      <c r="AI6466">
        <v>94.729345881754298</v>
      </c>
      <c r="AJ6466">
        <v>90.6466401167947</v>
      </c>
      <c r="AK6466">
        <v>13.581754109862301</v>
      </c>
      <c r="AL6466">
        <v>96.344675105978794</v>
      </c>
      <c r="AM6466">
        <v>92.888723073096202</v>
      </c>
      <c r="AN6466">
        <v>1.0000000313333</v>
      </c>
    </row>
    <row r="6467" spans="1:40" x14ac:dyDescent="0.25">
      <c r="A6467" t="str">
        <f>"20190303154310441"</f>
        <v>20190303154310441</v>
      </c>
      <c r="B6467" t="str">
        <f>"1551598990436611"</f>
        <v>1551598990436611</v>
      </c>
      <c r="C6467" t="s">
        <v>40</v>
      </c>
      <c r="D6467">
        <v>6.0403669999999998</v>
      </c>
      <c r="E6467">
        <v>0.49142959999999902</v>
      </c>
      <c r="F6467" t="s">
        <v>60</v>
      </c>
      <c r="G6467">
        <v>-375.1583</v>
      </c>
      <c r="H6467" s="1">
        <v>-2.5774140000000001E-6</v>
      </c>
      <c r="I6467">
        <v>17.87866</v>
      </c>
      <c r="J6467">
        <v>-389.2319</v>
      </c>
      <c r="K6467">
        <v>1.1197779999999999</v>
      </c>
      <c r="L6467">
        <v>17.214839999999999</v>
      </c>
      <c r="M6467">
        <v>0.99956100000000003</v>
      </c>
      <c r="N6467">
        <v>-8.0721669999999999E-3</v>
      </c>
      <c r="O6467">
        <v>-2.8510190000000001E-2</v>
      </c>
      <c r="P6467">
        <v>0.9926507</v>
      </c>
      <c r="Q6467">
        <v>-0.11897729999999999</v>
      </c>
      <c r="R6467">
        <v>2.2122670000000001E-2</v>
      </c>
      <c r="S6467">
        <v>2.990723</v>
      </c>
      <c r="T6467">
        <v>-0.23615659999999999</v>
      </c>
      <c r="U6467">
        <v>0.13925170000000001</v>
      </c>
      <c r="V6467">
        <v>-5.0544070000000003E-2</v>
      </c>
      <c r="W6467">
        <v>-0.1109105</v>
      </c>
      <c r="X6467">
        <v>0.99254430000000005</v>
      </c>
      <c r="Y6467">
        <v>-7.4645059999999999E-2</v>
      </c>
      <c r="Z6467">
        <v>5.2598940000000002E-3</v>
      </c>
      <c r="AA6467">
        <v>0.99719630000000004</v>
      </c>
      <c r="AB6467">
        <v>19</v>
      </c>
      <c r="AC6467">
        <v>14.073600000000001</v>
      </c>
      <c r="AD6467">
        <v>-1.1197805774139999</v>
      </c>
      <c r="AE6467">
        <v>0.66382000000000096</v>
      </c>
      <c r="AF6467">
        <v>-1.0581203573362199</v>
      </c>
      <c r="AG6467">
        <v>-1.1197805774139999</v>
      </c>
      <c r="AH6467">
        <v>13.960766501704001</v>
      </c>
      <c r="AI6467">
        <v>94.572766229680695</v>
      </c>
      <c r="AJ6467">
        <v>94.334299336319404</v>
      </c>
      <c r="AK6467">
        <v>14.045516314726999</v>
      </c>
      <c r="AL6467">
        <v>96.367804459159203</v>
      </c>
      <c r="AM6467">
        <v>92.915197318815302</v>
      </c>
      <c r="AN6467">
        <v>1.0000000147424499</v>
      </c>
    </row>
    <row r="6468" spans="1:40" x14ac:dyDescent="0.25">
      <c r="A6468" t="str">
        <f>"20190303154310459"</f>
        <v>20190303154310459</v>
      </c>
      <c r="B6468" t="str">
        <f>"1551598990457107"</f>
        <v>1551598990457107</v>
      </c>
      <c r="C6468" t="s">
        <v>40</v>
      </c>
      <c r="D6468">
        <v>5.9855140000000002</v>
      </c>
      <c r="E6468">
        <v>0.48940459999999902</v>
      </c>
      <c r="F6468" t="s">
        <v>60</v>
      </c>
      <c r="G6468">
        <v>-375.0829</v>
      </c>
      <c r="H6468" s="1">
        <v>-2.6176909999999999E-6</v>
      </c>
      <c r="I6468">
        <v>17.852529999999899</v>
      </c>
      <c r="J6468">
        <v>-389.0745</v>
      </c>
      <c r="K6468">
        <v>1.119753</v>
      </c>
      <c r="L6468">
        <v>17.20956</v>
      </c>
      <c r="M6468">
        <v>0.99954160000000003</v>
      </c>
      <c r="N6468">
        <v>-7.996866E-3</v>
      </c>
      <c r="O6468">
        <v>-2.920642E-2</v>
      </c>
      <c r="P6468">
        <v>0.99276830000000005</v>
      </c>
      <c r="Q6468">
        <v>-0.11797779999999999</v>
      </c>
      <c r="R6468">
        <v>2.220018E-2</v>
      </c>
      <c r="S6468">
        <v>2.990875</v>
      </c>
      <c r="T6468">
        <v>-0.23670359999999999</v>
      </c>
      <c r="U6468">
        <v>0.1347961</v>
      </c>
      <c r="V6468">
        <v>-5.1317979999999999E-2</v>
      </c>
      <c r="W6468">
        <v>-0.1099825</v>
      </c>
      <c r="X6468">
        <v>0.99260780000000004</v>
      </c>
      <c r="Y6468">
        <v>-7.3854359999999994E-2</v>
      </c>
      <c r="Z6468">
        <v>5.2861219999999999E-3</v>
      </c>
      <c r="AA6468">
        <v>0.997255</v>
      </c>
      <c r="AB6468">
        <v>19</v>
      </c>
      <c r="AC6468">
        <v>13.9916</v>
      </c>
      <c r="AD6468">
        <v>-1.119755617691</v>
      </c>
      <c r="AE6468">
        <v>0.64296999999999804</v>
      </c>
      <c r="AF6468">
        <v>-1.0446762914501</v>
      </c>
      <c r="AG6468">
        <v>-1.119755617691</v>
      </c>
      <c r="AH6468">
        <v>13.878150650698499</v>
      </c>
      <c r="AI6468">
        <v>94.599947112754606</v>
      </c>
      <c r="AJ6468">
        <v>94.304815059958301</v>
      </c>
      <c r="AK6468">
        <v>13.962387570926101</v>
      </c>
      <c r="AL6468">
        <v>96.314306994301305</v>
      </c>
      <c r="AM6468">
        <v>92.9595658443655</v>
      </c>
      <c r="AN6468">
        <v>0.99999996499918398</v>
      </c>
    </row>
    <row r="6469" spans="1:40" x14ac:dyDescent="0.25">
      <c r="A6469" t="str">
        <f>"20190303154310471"</f>
        <v>20190303154310471</v>
      </c>
      <c r="B6469" t="str">
        <f>"1551598990466867"</f>
        <v>1551598990466867</v>
      </c>
      <c r="C6469" t="s">
        <v>40</v>
      </c>
      <c r="D6469">
        <v>6.0608950000000004</v>
      </c>
      <c r="E6469">
        <v>0.48871100000000001</v>
      </c>
      <c r="F6469" t="s">
        <v>60</v>
      </c>
      <c r="G6469">
        <v>-375.1182</v>
      </c>
      <c r="H6469" s="1">
        <v>-2.589831E-6</v>
      </c>
      <c r="I6469">
        <v>17.91554</v>
      </c>
      <c r="J6469">
        <v>-388.96719999999999</v>
      </c>
      <c r="K6469">
        <v>1.119742</v>
      </c>
      <c r="L6469">
        <v>17.205929999999999</v>
      </c>
      <c r="M6469">
        <v>0.99952790000000002</v>
      </c>
      <c r="N6469">
        <v>-7.9340000000000001E-3</v>
      </c>
      <c r="O6469">
        <v>-2.9688969999999999E-2</v>
      </c>
      <c r="P6469">
        <v>0.99295199999999995</v>
      </c>
      <c r="Q6469">
        <v>-0.116465</v>
      </c>
      <c r="R6469">
        <v>2.1964330000000001E-2</v>
      </c>
      <c r="S6469">
        <v>2.9899290000000001</v>
      </c>
      <c r="T6469">
        <v>-0.2398913</v>
      </c>
      <c r="U6469">
        <v>0.15124509999999999</v>
      </c>
      <c r="V6469">
        <v>-5.1565760000000002E-2</v>
      </c>
      <c r="W6469">
        <v>-0.10853</v>
      </c>
      <c r="X6469">
        <v>0.9927549</v>
      </c>
      <c r="Y6469">
        <v>-7.9791429999999997E-2</v>
      </c>
      <c r="Z6469">
        <v>5.6529269999999899E-3</v>
      </c>
      <c r="AA6469">
        <v>0.99679549999999995</v>
      </c>
      <c r="AB6469">
        <v>19</v>
      </c>
      <c r="AC6469">
        <v>13.848999999999901</v>
      </c>
      <c r="AD6469">
        <v>-1.1197445898309999</v>
      </c>
      <c r="AE6469">
        <v>0.70961000000000096</v>
      </c>
      <c r="AF6469">
        <v>-1.11321417386732</v>
      </c>
      <c r="AG6469">
        <v>-1.1197445898309999</v>
      </c>
      <c r="AH6469">
        <v>13.732288952663099</v>
      </c>
      <c r="AI6469">
        <v>94.646466521769</v>
      </c>
      <c r="AJ6469">
        <v>94.634573640285495</v>
      </c>
      <c r="AK6469">
        <v>13.822765049829499</v>
      </c>
      <c r="AL6469">
        <v>96.230583194979602</v>
      </c>
      <c r="AM6469">
        <v>92.973390156088698</v>
      </c>
      <c r="AN6469">
        <v>1.00000003998919</v>
      </c>
    </row>
    <row r="6470" spans="1:40" x14ac:dyDescent="0.25">
      <c r="A6470" t="str">
        <f>"20190303154310485"</f>
        <v>20190303154310485</v>
      </c>
      <c r="B6470" t="str">
        <f>"1551598990476627"</f>
        <v>1551598990476627</v>
      </c>
      <c r="C6470" t="s">
        <v>40</v>
      </c>
      <c r="D6470">
        <v>5.9935289999999997</v>
      </c>
      <c r="E6470">
        <v>0.48888239999999999</v>
      </c>
      <c r="F6470" t="s">
        <v>60</v>
      </c>
      <c r="G6470">
        <v>-375.43779999999998</v>
      </c>
      <c r="H6470" s="1">
        <v>-2.439312E-6</v>
      </c>
      <c r="I6470">
        <v>17.912400000000002</v>
      </c>
      <c r="J6470">
        <v>-388.85520000000002</v>
      </c>
      <c r="K6470">
        <v>1.119742</v>
      </c>
      <c r="L6470">
        <v>17.202059999999999</v>
      </c>
      <c r="M6470">
        <v>0.99951319999999999</v>
      </c>
      <c r="N6470">
        <v>-7.8602940000000003E-3</v>
      </c>
      <c r="O6470">
        <v>-3.019312E-2</v>
      </c>
      <c r="P6470">
        <v>0.9930928</v>
      </c>
      <c r="Q6470">
        <v>-0.1152691</v>
      </c>
      <c r="R6470">
        <v>2.189992E-2</v>
      </c>
      <c r="S6470">
        <v>2.9887999999999999</v>
      </c>
      <c r="T6470">
        <v>-0.247364</v>
      </c>
      <c r="U6470">
        <v>0.15606689999999901</v>
      </c>
      <c r="V6470">
        <v>-5.2004330000000001E-2</v>
      </c>
      <c r="W6470">
        <v>-0.107406</v>
      </c>
      <c r="X6470">
        <v>0.99285420000000002</v>
      </c>
      <c r="Y6470">
        <v>-8.1885079999999999E-2</v>
      </c>
      <c r="Z6470">
        <v>5.9594869999999899E-3</v>
      </c>
      <c r="AA6470">
        <v>0.99662390000000001</v>
      </c>
      <c r="AB6470">
        <v>19</v>
      </c>
      <c r="AC6470">
        <v>13.417400000000001</v>
      </c>
      <c r="AD6470">
        <v>-1.119744439312</v>
      </c>
      <c r="AE6470">
        <v>0.71034000000000197</v>
      </c>
      <c r="AF6470">
        <v>-1.1074503209614699</v>
      </c>
      <c r="AG6470">
        <v>-1.119744439312</v>
      </c>
      <c r="AH6470">
        <v>13.2974805397845</v>
      </c>
      <c r="AI6470">
        <v>94.796836410610695</v>
      </c>
      <c r="AJ6470">
        <v>94.760761629957003</v>
      </c>
      <c r="AK6470">
        <v>13.390416816840199</v>
      </c>
      <c r="AL6470">
        <v>96.165804429274502</v>
      </c>
      <c r="AM6470">
        <v>92.998333705321798</v>
      </c>
      <c r="AN6470">
        <v>0.99999998081619401</v>
      </c>
    </row>
    <row r="6471" spans="1:40" x14ac:dyDescent="0.25">
      <c r="A6471" t="str">
        <f>"20190303154310503"</f>
        <v>20190303154310503</v>
      </c>
      <c r="B6471" t="str">
        <f>"1551598990497123"</f>
        <v>1551598990497123</v>
      </c>
      <c r="C6471" t="s">
        <v>40</v>
      </c>
      <c r="D6471">
        <v>6.0554579999999998</v>
      </c>
      <c r="E6471">
        <v>0.48858180000000001</v>
      </c>
      <c r="F6471" t="s">
        <v>60</v>
      </c>
      <c r="G6471">
        <v>-374.8501</v>
      </c>
      <c r="H6471" s="1">
        <v>-2.7147699999999998E-6</v>
      </c>
      <c r="I6471">
        <v>17.925550000000001</v>
      </c>
      <c r="J6471">
        <v>-388.68990000000002</v>
      </c>
      <c r="K6471">
        <v>1.1197360000000001</v>
      </c>
      <c r="L6471">
        <v>17.19623</v>
      </c>
      <c r="M6471">
        <v>0.99949180000000004</v>
      </c>
      <c r="N6471">
        <v>-7.7363140000000002E-3</v>
      </c>
      <c r="O6471">
        <v>-3.0929430000000001E-2</v>
      </c>
      <c r="P6471">
        <v>0.99339750000000004</v>
      </c>
      <c r="Q6471">
        <v>-0.1126687</v>
      </c>
      <c r="R6471">
        <v>2.1620500000000001E-2</v>
      </c>
      <c r="S6471">
        <v>2.9897459999999998</v>
      </c>
      <c r="T6471">
        <v>-0.2390389</v>
      </c>
      <c r="U6471">
        <v>0.15444949999999999</v>
      </c>
      <c r="V6471">
        <v>-5.2460010000000001E-2</v>
      </c>
      <c r="W6471">
        <v>-0.1049271</v>
      </c>
      <c r="X6471">
        <v>0.99309530000000001</v>
      </c>
      <c r="Y6471">
        <v>-8.2088320000000006E-2</v>
      </c>
      <c r="Z6471">
        <v>5.8212569999999998E-3</v>
      </c>
      <c r="AA6471">
        <v>0.9966081</v>
      </c>
      <c r="AB6471">
        <v>19</v>
      </c>
      <c r="AC6471">
        <v>13.8398</v>
      </c>
      <c r="AD6471">
        <v>-1.11973871477</v>
      </c>
      <c r="AE6471">
        <v>0.72932000000000097</v>
      </c>
      <c r="AF6471">
        <v>-1.14953692311484</v>
      </c>
      <c r="AG6471">
        <v>-1.11973871477</v>
      </c>
      <c r="AH6471">
        <v>13.721051311897</v>
      </c>
      <c r="AI6471">
        <v>94.649202616341299</v>
      </c>
      <c r="AJ6471">
        <v>94.789003473253302</v>
      </c>
      <c r="AK6471">
        <v>13.814575600816299</v>
      </c>
      <c r="AL6471">
        <v>96.022966424870603</v>
      </c>
      <c r="AM6471">
        <v>93.023824649331104</v>
      </c>
      <c r="AN6471">
        <v>1.00000001192285</v>
      </c>
    </row>
    <row r="6472" spans="1:40" x14ac:dyDescent="0.25">
      <c r="A6472" t="str">
        <f>"20190303154310517"</f>
        <v>20190303154310517</v>
      </c>
      <c r="B6472" t="str">
        <f>"1551598990506883"</f>
        <v>1551598990506883</v>
      </c>
      <c r="C6472" t="s">
        <v>40</v>
      </c>
      <c r="D6472">
        <v>5.9887139999999999</v>
      </c>
      <c r="E6472">
        <v>0.4887089</v>
      </c>
      <c r="F6472" t="s">
        <v>60</v>
      </c>
      <c r="G6472">
        <v>-374.21030000000002</v>
      </c>
      <c r="H6472" s="1">
        <v>-3.01258E-6</v>
      </c>
      <c r="I6472">
        <v>17.951779999999999</v>
      </c>
      <c r="J6472">
        <v>-388.57580000000002</v>
      </c>
      <c r="K6472">
        <v>1.119731</v>
      </c>
      <c r="L6472">
        <v>17.192170000000001</v>
      </c>
      <c r="M6472">
        <v>0.99947699999999995</v>
      </c>
      <c r="N6472">
        <v>-7.6399459999999999E-3</v>
      </c>
      <c r="O6472">
        <v>-3.142839E-2</v>
      </c>
      <c r="P6472">
        <v>0.99349390000000004</v>
      </c>
      <c r="Q6472">
        <v>-0.11187560000000001</v>
      </c>
      <c r="R6472">
        <v>2.1307679999999999E-2</v>
      </c>
      <c r="S6472">
        <v>2.9903559999999998</v>
      </c>
      <c r="T6472">
        <v>-0.2312496</v>
      </c>
      <c r="U6472">
        <v>0.15603639999999999</v>
      </c>
      <c r="V6472">
        <v>-5.2642410000000001E-2</v>
      </c>
      <c r="W6472">
        <v>-0.1042303</v>
      </c>
      <c r="X6472">
        <v>0.99315900000000001</v>
      </c>
      <c r="Y6472">
        <v>-8.3121639999999997E-2</v>
      </c>
      <c r="Z6472">
        <v>5.7110049999999999E-3</v>
      </c>
      <c r="AA6472">
        <v>0.99652300000000005</v>
      </c>
      <c r="AB6472">
        <v>19</v>
      </c>
      <c r="AC6472">
        <v>14.3654999999999</v>
      </c>
      <c r="AD6472">
        <v>-1.1197340125799999</v>
      </c>
      <c r="AE6472">
        <v>0.75960999999999801</v>
      </c>
      <c r="AF6472">
        <v>-1.20344113683809</v>
      </c>
      <c r="AG6472">
        <v>-1.1197340125799999</v>
      </c>
      <c r="AH6472">
        <v>14.248204268471</v>
      </c>
      <c r="AI6472">
        <v>94.477631667223804</v>
      </c>
      <c r="AJ6472">
        <v>94.827894681479606</v>
      </c>
      <c r="AK6472">
        <v>14.3427124249508</v>
      </c>
      <c r="AL6472">
        <v>95.982822738757605</v>
      </c>
      <c r="AM6472">
        <v>93.0341244216511</v>
      </c>
      <c r="AN6472">
        <v>0.99999998902484899</v>
      </c>
    </row>
    <row r="6473" spans="1:40" x14ac:dyDescent="0.25">
      <c r="A6473" t="str">
        <f>"20190303154310539"</f>
        <v>20190303154310539</v>
      </c>
      <c r="B6473" t="str">
        <f>"1551598990526403"</f>
        <v>1551598990526403</v>
      </c>
      <c r="C6473" t="s">
        <v>40</v>
      </c>
      <c r="D6473">
        <v>5.9768919999999897</v>
      </c>
      <c r="E6473">
        <v>0.48881819999999998</v>
      </c>
      <c r="F6473" t="s">
        <v>60</v>
      </c>
      <c r="G6473">
        <v>-373.77749999999997</v>
      </c>
      <c r="H6473" s="1">
        <v>-3.2167320000000001E-6</v>
      </c>
      <c r="I6473">
        <v>17.954260000000001</v>
      </c>
      <c r="J6473">
        <v>-388.3954</v>
      </c>
      <c r="K6473">
        <v>1.1197220000000001</v>
      </c>
      <c r="L6473">
        <v>17.18561</v>
      </c>
      <c r="M6473">
        <v>0.99945430000000002</v>
      </c>
      <c r="N6473">
        <v>-7.4657719999999999E-3</v>
      </c>
      <c r="O6473">
        <v>-3.2182929999999998E-2</v>
      </c>
      <c r="P6473">
        <v>0.99371799999999999</v>
      </c>
      <c r="Q6473">
        <v>-0.1099958</v>
      </c>
      <c r="R6473">
        <v>2.0627300000000001E-2</v>
      </c>
      <c r="S6473">
        <v>2.9908450000000002</v>
      </c>
      <c r="T6473">
        <v>-0.22630520000000001</v>
      </c>
      <c r="U6473">
        <v>0.1540222</v>
      </c>
      <c r="V6473">
        <v>-5.2710519999999997E-2</v>
      </c>
      <c r="W6473">
        <v>-0.10252500000000001</v>
      </c>
      <c r="X6473">
        <v>0.99333289999999996</v>
      </c>
      <c r="Y6473">
        <v>-8.3208959999999998E-2</v>
      </c>
      <c r="Z6473">
        <v>5.6432590000000003E-3</v>
      </c>
      <c r="AA6473">
        <v>0.99651619999999996</v>
      </c>
      <c r="AB6473">
        <v>19</v>
      </c>
      <c r="AC6473">
        <v>14.617900000000001</v>
      </c>
      <c r="AD6473">
        <v>-1.119725216732</v>
      </c>
      <c r="AE6473">
        <v>0.76865000000000006</v>
      </c>
      <c r="AF6473">
        <v>-1.23150575550074</v>
      </c>
      <c r="AG6473">
        <v>-1.119725216732</v>
      </c>
      <c r="AH6473">
        <v>14.5007408812553</v>
      </c>
      <c r="AI6473">
        <v>94.399755118706693</v>
      </c>
      <c r="AJ6473">
        <v>94.854315539872303</v>
      </c>
      <c r="AK6473">
        <v>14.595954134352599</v>
      </c>
      <c r="AL6473">
        <v>95.884589780572796</v>
      </c>
      <c r="AM6473">
        <v>93.037511829219895</v>
      </c>
      <c r="AN6473">
        <v>1.0000000123830399</v>
      </c>
    </row>
    <row r="6474" spans="1:40" x14ac:dyDescent="0.25">
      <c r="A6474" t="str">
        <f>"20190303154310560"</f>
        <v>20190303154310560</v>
      </c>
      <c r="B6474" t="str">
        <f>"1551598990556658"</f>
        <v>1551598990556658</v>
      </c>
      <c r="C6474" t="s">
        <v>40</v>
      </c>
      <c r="D6474">
        <v>5.9928350000000004</v>
      </c>
      <c r="E6474">
        <v>0.48918739999999999</v>
      </c>
      <c r="F6474" t="s">
        <v>60</v>
      </c>
      <c r="G6474">
        <v>-372.91460000000001</v>
      </c>
      <c r="H6474" s="1">
        <v>-3.6223110000000001E-6</v>
      </c>
      <c r="I6474">
        <v>17.96724</v>
      </c>
      <c r="J6474">
        <v>-388.20859999999999</v>
      </c>
      <c r="K6474">
        <v>1.1197189999999999</v>
      </c>
      <c r="L6474">
        <v>17.178739999999902</v>
      </c>
      <c r="M6474">
        <v>0.99943179999999998</v>
      </c>
      <c r="N6474">
        <v>-7.2688619999999897E-3</v>
      </c>
      <c r="O6474">
        <v>-3.2912660000000003E-2</v>
      </c>
      <c r="P6474">
        <v>0.99374689999999999</v>
      </c>
      <c r="Q6474">
        <v>-0.10998380000000001</v>
      </c>
      <c r="R6474">
        <v>1.9257969999999999E-2</v>
      </c>
      <c r="S6474">
        <v>2.9918819999999999</v>
      </c>
      <c r="T6474">
        <v>-0.2164034</v>
      </c>
      <c r="U6474">
        <v>0.151062</v>
      </c>
      <c r="V6474">
        <v>-5.2059639999999997E-2</v>
      </c>
      <c r="W6474">
        <v>-0.1027132</v>
      </c>
      <c r="X6474">
        <v>0.9933478</v>
      </c>
      <c r="Y6474">
        <v>-8.2963229999999999E-2</v>
      </c>
      <c r="Z6474">
        <v>5.4340559999999996E-3</v>
      </c>
      <c r="AA6474">
        <v>0.99653780000000003</v>
      </c>
      <c r="AB6474">
        <v>19</v>
      </c>
      <c r="AC6474">
        <v>15.293999999999899</v>
      </c>
      <c r="AD6474">
        <v>-1.1197226223109999</v>
      </c>
      <c r="AE6474">
        <v>0.78850000000000198</v>
      </c>
      <c r="AF6474">
        <v>-1.2845849702107</v>
      </c>
      <c r="AG6474">
        <v>-1.1197226223109999</v>
      </c>
      <c r="AH6474">
        <v>15.1786171236876</v>
      </c>
      <c r="AI6474">
        <v>94.204077744366401</v>
      </c>
      <c r="AJ6474">
        <v>94.837484614387293</v>
      </c>
      <c r="AK6474">
        <v>15.2739764005353</v>
      </c>
      <c r="AL6474">
        <v>95.895429972793394</v>
      </c>
      <c r="AM6474">
        <v>93.0000280558924</v>
      </c>
      <c r="AN6474">
        <v>1.0000000296680001</v>
      </c>
    </row>
    <row r="6475" spans="1:40" x14ac:dyDescent="0.25">
      <c r="A6475" t="str">
        <f>"20190303154310571"</f>
        <v>20190303154310571</v>
      </c>
      <c r="B6475" t="str">
        <f>"1551598990566419"</f>
        <v>1551598990566419</v>
      </c>
      <c r="C6475" t="s">
        <v>40</v>
      </c>
      <c r="D6475">
        <v>5.9778830000000003</v>
      </c>
      <c r="E6475">
        <v>0.48921419999999999</v>
      </c>
      <c r="F6475" t="s">
        <v>60</v>
      </c>
      <c r="G6475">
        <v>-372.5804</v>
      </c>
      <c r="H6475" s="1">
        <v>-3.786758E-6</v>
      </c>
      <c r="I6475">
        <v>17.930889999999899</v>
      </c>
      <c r="J6475">
        <v>-388.10239999999999</v>
      </c>
      <c r="K6475">
        <v>1.1197170000000001</v>
      </c>
      <c r="L6475">
        <v>17.174800000000001</v>
      </c>
      <c r="M6475">
        <v>0.99941959999999996</v>
      </c>
      <c r="N6475">
        <v>-7.1540579999999996E-3</v>
      </c>
      <c r="O6475">
        <v>-3.3302520000000002E-2</v>
      </c>
      <c r="P6475">
        <v>0.99378239999999995</v>
      </c>
      <c r="Q6475">
        <v>-0.10980139999999999</v>
      </c>
      <c r="R6475">
        <v>1.8444459999999999E-2</v>
      </c>
      <c r="S6475">
        <v>2.9923099999999998</v>
      </c>
      <c r="T6475">
        <v>-0.2143912</v>
      </c>
      <c r="U6475">
        <v>0.14401249999999999</v>
      </c>
      <c r="V6475">
        <v>-5.1629889999999998E-2</v>
      </c>
      <c r="W6475">
        <v>-0.10264760000000001</v>
      </c>
      <c r="X6475">
        <v>0.99337699999999995</v>
      </c>
      <c r="Y6475">
        <v>-8.101303E-2</v>
      </c>
      <c r="Z6475">
        <v>5.3310989999999997E-3</v>
      </c>
      <c r="AA6475">
        <v>0.9966988</v>
      </c>
      <c r="AB6475">
        <v>19</v>
      </c>
      <c r="AC6475">
        <v>15.521999999999901</v>
      </c>
      <c r="AD6475">
        <v>-1.1197207867579999</v>
      </c>
      <c r="AE6475">
        <v>0.75608999999999604</v>
      </c>
      <c r="AF6475">
        <v>-1.26603295002036</v>
      </c>
      <c r="AG6475">
        <v>-1.1197207867579999</v>
      </c>
      <c r="AH6475">
        <v>15.4082172909725</v>
      </c>
      <c r="AI6475">
        <v>94.142487754624597</v>
      </c>
      <c r="AJ6475">
        <v>94.697218346872404</v>
      </c>
      <c r="AK6475">
        <v>15.500637862896401</v>
      </c>
      <c r="AL6475">
        <v>95.891651456498806</v>
      </c>
      <c r="AM6475">
        <v>92.975220339264794</v>
      </c>
      <c r="AN6475">
        <v>1.0000000197280801</v>
      </c>
    </row>
    <row r="6476" spans="1:40" x14ac:dyDescent="0.25">
      <c r="A6476" t="str">
        <f>"20190303154310584"</f>
        <v>20190303154310584</v>
      </c>
      <c r="B6476" t="str">
        <f>"1551598990577155"</f>
        <v>1551598990577155</v>
      </c>
      <c r="C6476" t="s">
        <v>40</v>
      </c>
      <c r="D6476">
        <v>5.9669119999999998</v>
      </c>
      <c r="E6476">
        <v>0.48924240000000002</v>
      </c>
      <c r="F6476" t="s">
        <v>60</v>
      </c>
      <c r="G6476">
        <v>-372.41109999999998</v>
      </c>
      <c r="H6476" s="1">
        <v>-3.8693380000000002E-6</v>
      </c>
      <c r="I6476">
        <v>17.916319999999999</v>
      </c>
      <c r="J6476">
        <v>-387.98860000000002</v>
      </c>
      <c r="K6476">
        <v>1.11972</v>
      </c>
      <c r="L6476">
        <v>17.170559999999998</v>
      </c>
      <c r="M6476">
        <v>0.9994075</v>
      </c>
      <c r="N6476">
        <v>-7.0323299999999998E-3</v>
      </c>
      <c r="O6476">
        <v>-3.3693880000000002E-2</v>
      </c>
      <c r="P6476">
        <v>0.99379720000000005</v>
      </c>
      <c r="Q6476">
        <v>-0.1097578</v>
      </c>
      <c r="R6476">
        <v>1.7902919999999999E-2</v>
      </c>
      <c r="S6476">
        <v>2.9925839999999999</v>
      </c>
      <c r="T6476">
        <v>-0.21354890000000001</v>
      </c>
      <c r="U6476">
        <v>0.1414185</v>
      </c>
      <c r="V6476">
        <v>-5.147173E-2</v>
      </c>
      <c r="W6476">
        <v>-0.1027279</v>
      </c>
      <c r="X6476">
        <v>0.99337690000000001</v>
      </c>
      <c r="Y6476">
        <v>-8.0539849999999996E-2</v>
      </c>
      <c r="Z6476">
        <v>5.3157289999999999E-3</v>
      </c>
      <c r="AA6476">
        <v>0.99673719999999999</v>
      </c>
      <c r="AB6476">
        <v>19</v>
      </c>
      <c r="AC6476">
        <v>15.577500000000001</v>
      </c>
      <c r="AD6476">
        <v>-1.1197238693380001</v>
      </c>
      <c r="AE6476">
        <v>0.74575999999999998</v>
      </c>
      <c r="AF6476">
        <v>-1.2637014766444401</v>
      </c>
      <c r="AG6476">
        <v>-1.1197238693380001</v>
      </c>
      <c r="AH6476">
        <v>15.463809918100599</v>
      </c>
      <c r="AI6476">
        <v>94.127807722161094</v>
      </c>
      <c r="AJ6476">
        <v>94.6718258800435</v>
      </c>
      <c r="AK6476">
        <v>15.555710853213499</v>
      </c>
      <c r="AL6476">
        <v>95.896276798676595</v>
      </c>
      <c r="AM6476">
        <v>92.966122820526707</v>
      </c>
      <c r="AN6476">
        <v>1.0000000129405999</v>
      </c>
    </row>
    <row r="6477" spans="1:40" x14ac:dyDescent="0.25">
      <c r="A6477" t="str">
        <f>"20190303154310598"</f>
        <v>20190303154310598</v>
      </c>
      <c r="B6477" t="str">
        <f>"1551598990586915"</f>
        <v>1551598990586915</v>
      </c>
      <c r="C6477" t="s">
        <v>40</v>
      </c>
      <c r="D6477">
        <v>5.9763320000000002</v>
      </c>
      <c r="E6477">
        <v>0.48930810000000002</v>
      </c>
      <c r="F6477" t="s">
        <v>60</v>
      </c>
      <c r="G6477">
        <v>-372.29880000000003</v>
      </c>
      <c r="H6477" s="1">
        <v>-3.9248780000000001E-6</v>
      </c>
      <c r="I6477">
        <v>17.902560000000001</v>
      </c>
      <c r="J6477">
        <v>-387.87079999999997</v>
      </c>
      <c r="K6477">
        <v>1.119726</v>
      </c>
      <c r="L6477">
        <v>17.166139999999999</v>
      </c>
      <c r="M6477">
        <v>0.99939529999999999</v>
      </c>
      <c r="N6477">
        <v>-6.9083840000000001E-3</v>
      </c>
      <c r="O6477">
        <v>-3.4077360000000001E-2</v>
      </c>
      <c r="P6477">
        <v>0.99375340000000001</v>
      </c>
      <c r="Q6477">
        <v>-0.1102614</v>
      </c>
      <c r="R6477">
        <v>1.7221650000000002E-2</v>
      </c>
      <c r="S6477">
        <v>2.9926149999999998</v>
      </c>
      <c r="T6477">
        <v>-0.2135726</v>
      </c>
      <c r="U6477">
        <v>0.13961789999999999</v>
      </c>
      <c r="V6477">
        <v>-5.1164260000000003E-2</v>
      </c>
      <c r="W6477">
        <v>-0.10335850000000001</v>
      </c>
      <c r="X6477">
        <v>0.99332739999999997</v>
      </c>
      <c r="Y6477">
        <v>-8.0323249999999999E-2</v>
      </c>
      <c r="Z6477">
        <v>5.3316939999999997E-3</v>
      </c>
      <c r="AA6477">
        <v>0.99675460000000005</v>
      </c>
      <c r="AB6477">
        <v>20</v>
      </c>
      <c r="AC6477">
        <v>15.5719999999999</v>
      </c>
      <c r="AD6477">
        <v>-1.1197299248779999</v>
      </c>
      <c r="AE6477">
        <v>0.73642000000000196</v>
      </c>
      <c r="AF6477">
        <v>-1.26015641223771</v>
      </c>
      <c r="AG6477">
        <v>-1.1197299248779999</v>
      </c>
      <c r="AH6477">
        <v>15.458110702024801</v>
      </c>
      <c r="AI6477">
        <v>94.129413050391094</v>
      </c>
      <c r="AJ6477">
        <v>94.6604878369277</v>
      </c>
      <c r="AK6477">
        <v>15.549758061269801</v>
      </c>
      <c r="AL6477">
        <v>95.932600699899197</v>
      </c>
      <c r="AM6477">
        <v>92.948582503237802</v>
      </c>
      <c r="AN6477">
        <v>1.00000004230717</v>
      </c>
    </row>
    <row r="6478" spans="1:40" x14ac:dyDescent="0.25">
      <c r="A6478" t="str">
        <f>"20190303154310614"</f>
        <v>20190303154310614</v>
      </c>
      <c r="B6478" t="str">
        <f>"1551598990606438"</f>
        <v>1551598990606438</v>
      </c>
      <c r="C6478" t="s">
        <v>40</v>
      </c>
      <c r="D6478">
        <v>5.9838190000000004</v>
      </c>
      <c r="E6478">
        <v>0.48936049999999998</v>
      </c>
      <c r="F6478" t="s">
        <v>60</v>
      </c>
      <c r="G6478">
        <v>-372.29059999999998</v>
      </c>
      <c r="H6478" s="1">
        <v>-3.9327550000000001E-6</v>
      </c>
      <c r="I6478">
        <v>17.88015</v>
      </c>
      <c r="J6478">
        <v>-387.72809999999998</v>
      </c>
      <c r="K6478">
        <v>1.1197410000000001</v>
      </c>
      <c r="L6478">
        <v>17.160769999999999</v>
      </c>
      <c r="M6478">
        <v>0.99938199999999999</v>
      </c>
      <c r="N6478">
        <v>-6.7641869999999996E-3</v>
      </c>
      <c r="O6478">
        <v>-3.449551E-2</v>
      </c>
      <c r="P6478">
        <v>0.99364200000000003</v>
      </c>
      <c r="Q6478">
        <v>-0.111369</v>
      </c>
      <c r="R6478">
        <v>1.6508990000000001E-2</v>
      </c>
      <c r="S6478">
        <v>2.992645</v>
      </c>
      <c r="T6478">
        <v>-0.2150763</v>
      </c>
      <c r="U6478">
        <v>0.13714599999999999</v>
      </c>
      <c r="V6478">
        <v>-5.0854879999999998E-2</v>
      </c>
      <c r="W6478">
        <v>-0.10461479999999999</v>
      </c>
      <c r="X6478">
        <v>0.99321170000000003</v>
      </c>
      <c r="Y6478">
        <v>-7.9914460000000007E-2</v>
      </c>
      <c r="Z6478">
        <v>5.379099E-3</v>
      </c>
      <c r="AA6478">
        <v>0.99678719999999998</v>
      </c>
      <c r="AB6478">
        <v>20</v>
      </c>
      <c r="AC6478">
        <v>15.4375</v>
      </c>
      <c r="AD6478">
        <v>-1.119744932755</v>
      </c>
      <c r="AE6478">
        <v>0.71938000000000102</v>
      </c>
      <c r="AF6478">
        <v>-1.24495269726702</v>
      </c>
      <c r="AG6478">
        <v>-1.119744932755</v>
      </c>
      <c r="AH6478">
        <v>15.323053184337301</v>
      </c>
      <c r="AI6478">
        <v>94.165829650691194</v>
      </c>
      <c r="AJ6478">
        <v>94.644909876761801</v>
      </c>
      <c r="AK6478">
        <v>15.414269195226</v>
      </c>
      <c r="AL6478">
        <v>96.004974132997901</v>
      </c>
      <c r="AM6478">
        <v>92.9311250099841</v>
      </c>
      <c r="AN6478">
        <v>0.999999978107872</v>
      </c>
    </row>
    <row r="6479" spans="1:40" x14ac:dyDescent="0.25">
      <c r="A6479" t="str">
        <f>"20190303154310638"</f>
        <v>20190303154310638</v>
      </c>
      <c r="B6479" t="str">
        <f>"1551598990626930"</f>
        <v>1551598990626930</v>
      </c>
      <c r="C6479" t="s">
        <v>40</v>
      </c>
      <c r="D6479">
        <v>5.9707589999999904</v>
      </c>
      <c r="E6479">
        <v>0.48945610000000001</v>
      </c>
      <c r="F6479" t="s">
        <v>60</v>
      </c>
      <c r="G6479">
        <v>-372.36770000000001</v>
      </c>
      <c r="H6479" s="1">
        <v>-3.901292E-6</v>
      </c>
      <c r="I6479">
        <v>17.851879999999898</v>
      </c>
      <c r="J6479">
        <v>-387.51769999999999</v>
      </c>
      <c r="K6479">
        <v>1.119769</v>
      </c>
      <c r="L6479">
        <v>17.152829999999899</v>
      </c>
      <c r="M6479">
        <v>0.99936519999999995</v>
      </c>
      <c r="N6479">
        <v>-6.5678730000000001E-3</v>
      </c>
      <c r="O6479">
        <v>-3.5016409999999998E-2</v>
      </c>
      <c r="P6479">
        <v>0.99354589999999998</v>
      </c>
      <c r="Q6479">
        <v>-0.1123687</v>
      </c>
      <c r="R6479">
        <v>1.549262E-2</v>
      </c>
      <c r="S6479">
        <v>2.9925229999999998</v>
      </c>
      <c r="T6479">
        <v>-0.2181488</v>
      </c>
      <c r="U6479">
        <v>0.1346436</v>
      </c>
      <c r="V6479">
        <v>-5.0338830000000001E-2</v>
      </c>
      <c r="W6479">
        <v>-0.1058177</v>
      </c>
      <c r="X6479">
        <v>0.99311059999999995</v>
      </c>
      <c r="Y6479">
        <v>-7.9595340000000001E-2</v>
      </c>
      <c r="Z6479">
        <v>5.4762489999999999E-3</v>
      </c>
      <c r="AA6479">
        <v>0.99681220000000004</v>
      </c>
      <c r="AB6479">
        <v>20</v>
      </c>
      <c r="AC6479">
        <v>15.149999999999901</v>
      </c>
      <c r="AD6479">
        <v>-1.1197729012919999</v>
      </c>
      <c r="AE6479">
        <v>0.69904999999999895</v>
      </c>
      <c r="AF6479">
        <v>-1.2224671085796901</v>
      </c>
      <c r="AG6479">
        <v>-1.1197729012919999</v>
      </c>
      <c r="AH6479">
        <v>15.034271543838701</v>
      </c>
      <c r="AI6479">
        <v>94.245641454676999</v>
      </c>
      <c r="AJ6479">
        <v>94.648609042537501</v>
      </c>
      <c r="AK6479">
        <v>15.125397119940599</v>
      </c>
      <c r="AL6479">
        <v>96.074279645556402</v>
      </c>
      <c r="AM6479">
        <v>92.901727360507095</v>
      </c>
      <c r="AN6479">
        <v>1.0000000236357001</v>
      </c>
    </row>
    <row r="6480" spans="1:40" x14ac:dyDescent="0.25">
      <c r="A6480" t="str">
        <f>"20190303154310652"</f>
        <v>20190303154310652</v>
      </c>
      <c r="B6480" t="str">
        <f>"1551598990646451"</f>
        <v>1551598990646451</v>
      </c>
      <c r="C6480" t="s">
        <v>40</v>
      </c>
      <c r="D6480">
        <v>5.988289</v>
      </c>
      <c r="E6480">
        <v>0.48953659999999999</v>
      </c>
      <c r="F6480" t="s">
        <v>60</v>
      </c>
      <c r="G6480">
        <v>-372.30419999999998</v>
      </c>
      <c r="H6480" s="1">
        <v>-3.937493E-6</v>
      </c>
      <c r="I6480">
        <v>17.817160000000001</v>
      </c>
      <c r="J6480">
        <v>-387.39179999999999</v>
      </c>
      <c r="K6480">
        <v>1.119788</v>
      </c>
      <c r="L6480">
        <v>17.148099999999999</v>
      </c>
      <c r="M6480">
        <v>0.99935689999999999</v>
      </c>
      <c r="N6480">
        <v>-6.4598449999999996E-3</v>
      </c>
      <c r="O6480">
        <v>-3.5275569999999999E-2</v>
      </c>
      <c r="P6480">
        <v>0.9935098</v>
      </c>
      <c r="Q6480">
        <v>-0.1127573</v>
      </c>
      <c r="R6480">
        <v>1.498584E-2</v>
      </c>
      <c r="S6480">
        <v>2.9925839999999999</v>
      </c>
      <c r="T6480">
        <v>-0.22026570000000001</v>
      </c>
      <c r="U6480">
        <v>0.1306763</v>
      </c>
      <c r="V6480">
        <v>-5.0078530000000003E-2</v>
      </c>
      <c r="W6480">
        <v>-0.1063185</v>
      </c>
      <c r="X6480">
        <v>0.99307020000000001</v>
      </c>
      <c r="Y6480">
        <v>-7.8530649999999994E-2</v>
      </c>
      <c r="Z6480">
        <v>5.5032459999999998E-3</v>
      </c>
      <c r="AA6480">
        <v>0.99689649999999996</v>
      </c>
      <c r="AB6480">
        <v>20</v>
      </c>
      <c r="AC6480">
        <v>15.0876</v>
      </c>
      <c r="AD6480">
        <v>-1.1197919374930001</v>
      </c>
      <c r="AE6480">
        <v>0.66906000000000099</v>
      </c>
      <c r="AF6480">
        <v>-1.1943123156339801</v>
      </c>
      <c r="AG6480">
        <v>-1.1197919374930001</v>
      </c>
      <c r="AH6480">
        <v>14.9722942754193</v>
      </c>
      <c r="AI6480">
        <v>94.2637484569224</v>
      </c>
      <c r="AJ6480">
        <v>94.560721847863704</v>
      </c>
      <c r="AK6480">
        <v>15.0615374965607</v>
      </c>
      <c r="AL6480">
        <v>96.103136591551106</v>
      </c>
      <c r="AM6480">
        <v>92.886865334185103</v>
      </c>
      <c r="AN6480">
        <v>0.99999995236862405</v>
      </c>
    </row>
    <row r="6481" spans="1:40" x14ac:dyDescent="0.25">
      <c r="A6481" t="str">
        <f>"20190303154310665"</f>
        <v>20190303154310665</v>
      </c>
      <c r="B6481" t="str">
        <f>"1551598990657187"</f>
        <v>1551598990657187</v>
      </c>
      <c r="C6481" t="s">
        <v>40</v>
      </c>
      <c r="D6481">
        <v>5.9634549999999997</v>
      </c>
      <c r="E6481">
        <v>0.48951060000000002</v>
      </c>
      <c r="F6481" t="s">
        <v>60</v>
      </c>
      <c r="G6481">
        <v>-372.22280000000001</v>
      </c>
      <c r="H6481" s="1">
        <v>-3.9791349999999996E-6</v>
      </c>
      <c r="I6481">
        <v>17.799189999999999</v>
      </c>
      <c r="J6481">
        <v>-387.27260000000001</v>
      </c>
      <c r="K6481">
        <v>1.11981</v>
      </c>
      <c r="L6481">
        <v>17.143619999999999</v>
      </c>
      <c r="M6481">
        <v>0.99934990000000001</v>
      </c>
      <c r="N6481">
        <v>-6.3644330000000001E-3</v>
      </c>
      <c r="O6481">
        <v>-3.5486799999999999E-2</v>
      </c>
      <c r="P6481">
        <v>0.99347289999999999</v>
      </c>
      <c r="Q6481">
        <v>-0.1131051</v>
      </c>
      <c r="R6481">
        <v>1.478719E-2</v>
      </c>
      <c r="S6481">
        <v>2.9925839999999999</v>
      </c>
      <c r="T6481">
        <v>-0.22091649999999999</v>
      </c>
      <c r="U6481">
        <v>0.12844849999999999</v>
      </c>
      <c r="V6481">
        <v>-5.0079899999999997E-2</v>
      </c>
      <c r="W6481">
        <v>-0.1067656</v>
      </c>
      <c r="X6481">
        <v>0.99302219999999997</v>
      </c>
      <c r="Y6481">
        <v>-7.7999890000000002E-2</v>
      </c>
      <c r="Z6481">
        <v>5.5120369999999896E-3</v>
      </c>
      <c r="AA6481">
        <v>0.99693810000000005</v>
      </c>
      <c r="AB6481">
        <v>20</v>
      </c>
      <c r="AC6481">
        <v>15.049799999999999</v>
      </c>
      <c r="AD6481">
        <v>-1.1198139791349999</v>
      </c>
      <c r="AE6481">
        <v>0.65556999999999699</v>
      </c>
      <c r="AF6481">
        <v>-1.1827015668099099</v>
      </c>
      <c r="AG6481">
        <v>-1.1198139791349999</v>
      </c>
      <c r="AH6481">
        <v>14.934528402611701</v>
      </c>
      <c r="AI6481">
        <v>94.274768033893395</v>
      </c>
      <c r="AJ6481">
        <v>94.527942104687298</v>
      </c>
      <c r="AK6481">
        <v>15.023079076954099</v>
      </c>
      <c r="AL6481">
        <v>96.128899947531707</v>
      </c>
      <c r="AM6481">
        <v>92.887083487619606</v>
      </c>
      <c r="AN6481">
        <v>0.99999998971010495</v>
      </c>
    </row>
    <row r="6482" spans="1:40" x14ac:dyDescent="0.25">
      <c r="A6482" t="str">
        <f>"20190303154310682"</f>
        <v>20190303154310682</v>
      </c>
      <c r="B6482" t="str">
        <f>"1551598990676706"</f>
        <v>1551598990676706</v>
      </c>
      <c r="C6482" t="s">
        <v>40</v>
      </c>
      <c r="D6482">
        <v>5.9287799999999997</v>
      </c>
      <c r="E6482">
        <v>0.48956240000000001</v>
      </c>
      <c r="F6482" t="s">
        <v>60</v>
      </c>
      <c r="G6482">
        <v>-372.13</v>
      </c>
      <c r="H6482" s="1">
        <v>-4.0243809999999996E-6</v>
      </c>
      <c r="I6482">
        <v>17.791399999999999</v>
      </c>
      <c r="J6482">
        <v>-387.12290000000002</v>
      </c>
      <c r="K6482">
        <v>1.1198399999999999</v>
      </c>
      <c r="L6482">
        <v>17.137999999999899</v>
      </c>
      <c r="M6482">
        <v>0.99934270000000003</v>
      </c>
      <c r="N6482">
        <v>-6.2518080000000002E-3</v>
      </c>
      <c r="O6482">
        <v>-3.5714259999999998E-2</v>
      </c>
      <c r="P6482">
        <v>0.9934402</v>
      </c>
      <c r="Q6482">
        <v>-0.113436</v>
      </c>
      <c r="R6482">
        <v>1.446676E-2</v>
      </c>
      <c r="S6482">
        <v>2.9925839999999999</v>
      </c>
      <c r="T6482">
        <v>-0.22130569999999999</v>
      </c>
      <c r="U6482">
        <v>0.1280212</v>
      </c>
      <c r="V6482">
        <v>-4.9973789999999997E-2</v>
      </c>
      <c r="W6482">
        <v>-0.10721360000000001</v>
      </c>
      <c r="X6482">
        <v>0.99297930000000001</v>
      </c>
      <c r="Y6482">
        <v>-7.8082899999999997E-2</v>
      </c>
      <c r="Z6482">
        <v>5.5399780000000001E-3</v>
      </c>
      <c r="AA6482">
        <v>0.99693149999999997</v>
      </c>
      <c r="AB6482">
        <v>20</v>
      </c>
      <c r="AC6482">
        <v>14.992900000000001</v>
      </c>
      <c r="AD6482">
        <v>-1.1198440243809999</v>
      </c>
      <c r="AE6482">
        <v>0.65340000000000098</v>
      </c>
      <c r="AF6482">
        <v>-1.1818728431318899</v>
      </c>
      <c r="AG6482">
        <v>-1.1198440243809999</v>
      </c>
      <c r="AH6482">
        <v>14.8771587163208</v>
      </c>
      <c r="AI6482">
        <v>94.291221615806506</v>
      </c>
      <c r="AJ6482">
        <v>94.542158247374502</v>
      </c>
      <c r="AK6482">
        <v>14.965985618290301</v>
      </c>
      <c r="AL6482">
        <v>96.154716497748296</v>
      </c>
      <c r="AM6482">
        <v>92.881100868924605</v>
      </c>
      <c r="AN6482">
        <v>1.0000000129702</v>
      </c>
    </row>
    <row r="6483" spans="1:40" x14ac:dyDescent="0.25">
      <c r="A6483" t="str">
        <f>"20190303154310695"</f>
        <v>20190303154310695</v>
      </c>
      <c r="B6483" t="str">
        <f>"1551598990686467"</f>
        <v>1551598990686467</v>
      </c>
      <c r="C6483" t="s">
        <v>40</v>
      </c>
      <c r="D6483">
        <v>5.9730720000000002</v>
      </c>
      <c r="E6483">
        <v>0.48954710000000001</v>
      </c>
      <c r="F6483" t="s">
        <v>60</v>
      </c>
      <c r="G6483">
        <v>-372.02690000000001</v>
      </c>
      <c r="H6483" s="1">
        <v>-4.0755500000000003E-6</v>
      </c>
      <c r="I6483">
        <v>17.777629999999998</v>
      </c>
      <c r="J6483">
        <v>-387.00299999999999</v>
      </c>
      <c r="K6483">
        <v>1.1198669999999999</v>
      </c>
      <c r="L6483">
        <v>17.13354</v>
      </c>
      <c r="M6483">
        <v>0.99933760000000005</v>
      </c>
      <c r="N6483">
        <v>-6.1669419999999999E-3</v>
      </c>
      <c r="O6483">
        <v>-3.586752E-2</v>
      </c>
      <c r="P6483">
        <v>0.99348499999999995</v>
      </c>
      <c r="Q6483">
        <v>-0.11303100000000001</v>
      </c>
      <c r="R6483">
        <v>1.4545819999999999E-2</v>
      </c>
      <c r="S6483">
        <v>2.992645</v>
      </c>
      <c r="T6483">
        <v>-0.222</v>
      </c>
      <c r="U6483">
        <v>0.12680050000000001</v>
      </c>
      <c r="V6483">
        <v>-5.0197569999999997E-2</v>
      </c>
      <c r="W6483">
        <v>-0.10689659999999999</v>
      </c>
      <c r="X6483">
        <v>0.99300219999999995</v>
      </c>
      <c r="Y6483">
        <v>-7.7827480000000004E-2</v>
      </c>
      <c r="Z6483">
        <v>5.5570369999999999E-3</v>
      </c>
      <c r="AA6483">
        <v>0.99695129999999998</v>
      </c>
      <c r="AB6483">
        <v>20</v>
      </c>
      <c r="AC6483">
        <v>14.976100000000001</v>
      </c>
      <c r="AD6483">
        <v>-1.1198710755500001</v>
      </c>
      <c r="AE6483">
        <v>0.64408999999999805</v>
      </c>
      <c r="AF6483">
        <v>-1.1742872283964501</v>
      </c>
      <c r="AG6483">
        <v>-1.1198710755500001</v>
      </c>
      <c r="AH6483">
        <v>14.8604203760302</v>
      </c>
      <c r="AI6483">
        <v>94.296282294883298</v>
      </c>
      <c r="AJ6483">
        <v>94.518188552255793</v>
      </c>
      <c r="AK6483">
        <v>14.9487509669859</v>
      </c>
      <c r="AL6483">
        <v>96.136448683740596</v>
      </c>
      <c r="AM6483">
        <v>92.893913778310704</v>
      </c>
      <c r="AN6483">
        <v>1.0000000241651501</v>
      </c>
    </row>
    <row r="6484" spans="1:40" x14ac:dyDescent="0.25">
      <c r="A6484" t="str">
        <f>"20190303154310706"</f>
        <v>20190303154310706</v>
      </c>
      <c r="B6484" t="str">
        <f>"1551598990697203"</f>
        <v>1551598990697203</v>
      </c>
      <c r="C6484" t="s">
        <v>40</v>
      </c>
      <c r="D6484">
        <v>5.95242</v>
      </c>
      <c r="E6484">
        <v>0.48954039999999999</v>
      </c>
      <c r="F6484" t="s">
        <v>60</v>
      </c>
      <c r="G6484">
        <v>-371.82650000000001</v>
      </c>
      <c r="H6484" s="1">
        <v>-4.1701869999999998E-6</v>
      </c>
      <c r="I6484">
        <v>17.778279999999999</v>
      </c>
      <c r="J6484">
        <v>-386.89789999999999</v>
      </c>
      <c r="K6484">
        <v>1.119891</v>
      </c>
      <c r="L6484">
        <v>17.129639999999998</v>
      </c>
      <c r="M6484">
        <v>0.99933459999999996</v>
      </c>
      <c r="N6484">
        <v>-6.1000189999999999E-3</v>
      </c>
      <c r="O6484">
        <v>-3.5962349999999997E-2</v>
      </c>
      <c r="P6484">
        <v>0.99353029999999998</v>
      </c>
      <c r="Q6484">
        <v>-0.1126332</v>
      </c>
      <c r="R6484">
        <v>1.454945E-2</v>
      </c>
      <c r="S6484">
        <v>2.9926759999999999</v>
      </c>
      <c r="T6484">
        <v>-0.22082850000000001</v>
      </c>
      <c r="U6484">
        <v>0.1271362</v>
      </c>
      <c r="V6484">
        <v>-5.0290260000000003E-2</v>
      </c>
      <c r="W6484">
        <v>-0.1065682</v>
      </c>
      <c r="X6484">
        <v>0.99303280000000005</v>
      </c>
      <c r="Y6484">
        <v>-7.8035779999999999E-2</v>
      </c>
      <c r="Z6484">
        <v>5.5423249999999999E-3</v>
      </c>
      <c r="AA6484">
        <v>0.99693509999999996</v>
      </c>
      <c r="AB6484">
        <v>20</v>
      </c>
      <c r="AC6484">
        <v>15.071399999999899</v>
      </c>
      <c r="AD6484">
        <v>-1.1198951701869999</v>
      </c>
      <c r="AE6484">
        <v>0.64863999999999999</v>
      </c>
      <c r="AF6484">
        <v>-1.1837097890681501</v>
      </c>
      <c r="AG6484">
        <v>-1.1198951701869999</v>
      </c>
      <c r="AH6484">
        <v>14.955899069864399</v>
      </c>
      <c r="AI6484">
        <v>94.269006020209602</v>
      </c>
      <c r="AJ6484">
        <v>94.525337377102204</v>
      </c>
      <c r="AK6484">
        <v>15.0444092953134</v>
      </c>
      <c r="AL6484">
        <v>96.117524697847998</v>
      </c>
      <c r="AM6484">
        <v>92.899159105325694</v>
      </c>
      <c r="AN6484">
        <v>1.00000001668897</v>
      </c>
    </row>
    <row r="6485" spans="1:40" x14ac:dyDescent="0.25">
      <c r="A6485" t="str">
        <f>"20190303154310720"</f>
        <v>20190303154310720</v>
      </c>
      <c r="B6485" t="str">
        <f>"1551598990716723"</f>
        <v>1551598990716723</v>
      </c>
      <c r="C6485" t="s">
        <v>40</v>
      </c>
      <c r="D6485">
        <v>5.9709079999999997</v>
      </c>
      <c r="E6485">
        <v>0.48968440000000002</v>
      </c>
      <c r="F6485" t="s">
        <v>60</v>
      </c>
      <c r="G6485">
        <v>-371.63569999999999</v>
      </c>
      <c r="H6485" s="1">
        <v>-4.260319E-6</v>
      </c>
      <c r="I6485">
        <v>17.778459999999999</v>
      </c>
      <c r="J6485">
        <v>-386.78289999999998</v>
      </c>
      <c r="K6485">
        <v>1.11992</v>
      </c>
      <c r="L6485">
        <v>17.12537</v>
      </c>
      <c r="M6485">
        <v>0.99933179999999999</v>
      </c>
      <c r="N6485">
        <v>-6.0294529999999997E-3</v>
      </c>
      <c r="O6485">
        <v>-3.6050980000000003E-2</v>
      </c>
      <c r="P6485">
        <v>0.99360130000000002</v>
      </c>
      <c r="Q6485">
        <v>-0.1119463</v>
      </c>
      <c r="R6485">
        <v>1.4990939999999999E-2</v>
      </c>
      <c r="S6485">
        <v>2.992737</v>
      </c>
      <c r="T6485">
        <v>-0.21959909999999999</v>
      </c>
      <c r="U6485">
        <v>0.1272278</v>
      </c>
      <c r="V6485">
        <v>-5.0814959999999999E-2</v>
      </c>
      <c r="W6485">
        <v>-0.1059544</v>
      </c>
      <c r="X6485">
        <v>0.9930717</v>
      </c>
      <c r="Y6485">
        <v>-7.8156690000000001E-2</v>
      </c>
      <c r="Z6485">
        <v>5.5220649999999996E-3</v>
      </c>
      <c r="AA6485">
        <v>0.99692579999999997</v>
      </c>
      <c r="AB6485">
        <v>20</v>
      </c>
      <c r="AC6485">
        <v>15.1471999999999</v>
      </c>
      <c r="AD6485">
        <v>-1.1199242603190001</v>
      </c>
      <c r="AE6485">
        <v>0.65308999999999795</v>
      </c>
      <c r="AF6485">
        <v>-1.19224141247481</v>
      </c>
      <c r="AG6485">
        <v>-1.1199242603190001</v>
      </c>
      <c r="AH6485">
        <v>15.0317888652242</v>
      </c>
      <c r="AI6485">
        <v>94.247586458646097</v>
      </c>
      <c r="AJ6485">
        <v>94.534902479452001</v>
      </c>
      <c r="AK6485">
        <v>15.1205273196126</v>
      </c>
      <c r="AL6485">
        <v>96.082156719228607</v>
      </c>
      <c r="AM6485">
        <v>92.929240324331303</v>
      </c>
      <c r="AN6485">
        <v>0.99999994819002402</v>
      </c>
    </row>
    <row r="6486" spans="1:40" x14ac:dyDescent="0.25">
      <c r="A6486" t="str">
        <f>"20190303154310733"</f>
        <v>20190303154310733</v>
      </c>
      <c r="B6486" t="str">
        <f>"1551598990726483"</f>
        <v>1551598990726483</v>
      </c>
      <c r="C6486" t="s">
        <v>40</v>
      </c>
      <c r="D6486">
        <v>6.0707089999999999</v>
      </c>
      <c r="E6486">
        <v>0.48968440000000002</v>
      </c>
      <c r="F6486" t="s">
        <v>60</v>
      </c>
      <c r="G6486">
        <v>-371.3526</v>
      </c>
      <c r="H6486" s="1">
        <v>-4.393495E-6</v>
      </c>
      <c r="I6486">
        <v>17.782250000000001</v>
      </c>
      <c r="J6486">
        <v>-386.65960000000001</v>
      </c>
      <c r="K6486">
        <v>1.119947</v>
      </c>
      <c r="L6486">
        <v>17.12079</v>
      </c>
      <c r="M6486">
        <v>0.99932989999999999</v>
      </c>
      <c r="N6486">
        <v>-5.9592760000000003E-3</v>
      </c>
      <c r="O6486">
        <v>-3.61147E-2</v>
      </c>
      <c r="P6486">
        <v>0.99365570000000003</v>
      </c>
      <c r="Q6486">
        <v>-0.1114216</v>
      </c>
      <c r="R6486">
        <v>1.5282469999999999E-2</v>
      </c>
      <c r="S6486">
        <v>2.9929199999999998</v>
      </c>
      <c r="T6486">
        <v>-0.21722449999999999</v>
      </c>
      <c r="U6486">
        <v>0.12741089999999999</v>
      </c>
      <c r="V6486">
        <v>-5.1163569999999998E-2</v>
      </c>
      <c r="W6486">
        <v>-0.1055027</v>
      </c>
      <c r="X6486">
        <v>0.99310200000000004</v>
      </c>
      <c r="Y6486">
        <v>-7.8284679999999995E-2</v>
      </c>
      <c r="Z6486">
        <v>5.4713959999999999E-3</v>
      </c>
      <c r="AA6486">
        <v>0.99691609999999997</v>
      </c>
      <c r="AB6486">
        <v>20</v>
      </c>
      <c r="AC6486">
        <v>15.307</v>
      </c>
      <c r="AD6486">
        <v>-1.1199513934950001</v>
      </c>
      <c r="AE6486">
        <v>0.66146000000000105</v>
      </c>
      <c r="AF6486">
        <v>-1.20739455445696</v>
      </c>
      <c r="AG6486">
        <v>-1.1199513934950001</v>
      </c>
      <c r="AH6486">
        <v>15.1919504431941</v>
      </c>
      <c r="AI6486">
        <v>94.203015652220003</v>
      </c>
      <c r="AJ6486">
        <v>94.544084587546294</v>
      </c>
      <c r="AK6486">
        <v>15.280950592237</v>
      </c>
      <c r="AL6486">
        <v>96.056129678505997</v>
      </c>
      <c r="AM6486">
        <v>92.949210845398198</v>
      </c>
      <c r="AN6486">
        <v>1.0000000565032101</v>
      </c>
    </row>
    <row r="6487" spans="1:40" x14ac:dyDescent="0.25">
      <c r="A6487" t="str">
        <f>"20190303154310752"</f>
        <v>20190303154310752</v>
      </c>
      <c r="B6487" t="str">
        <f>"1551598990746979"</f>
        <v>1551598990746979</v>
      </c>
      <c r="C6487" t="s">
        <v>40</v>
      </c>
      <c r="D6487">
        <v>6.0556549999999998</v>
      </c>
      <c r="E6487">
        <v>0.52130429999999905</v>
      </c>
      <c r="F6487" t="s">
        <v>60</v>
      </c>
      <c r="G6487">
        <v>-371.11739999999998</v>
      </c>
      <c r="H6487" s="1">
        <v>-4.5038489999999998E-6</v>
      </c>
      <c r="I6487">
        <v>17.787009999999999</v>
      </c>
      <c r="J6487">
        <v>-386.49079999999998</v>
      </c>
      <c r="K6487">
        <v>1.1199779999999999</v>
      </c>
      <c r="L6487">
        <v>17.114619999999999</v>
      </c>
      <c r="M6487">
        <v>0.99932900000000002</v>
      </c>
      <c r="N6487">
        <v>-5.8727969999999999E-3</v>
      </c>
      <c r="O6487">
        <v>-3.6153650000000002E-2</v>
      </c>
      <c r="P6487">
        <v>0.99374510000000005</v>
      </c>
      <c r="Q6487">
        <v>-0.11047559999999999</v>
      </c>
      <c r="R6487">
        <v>1.629968E-2</v>
      </c>
      <c r="S6487">
        <v>2.9930110000000001</v>
      </c>
      <c r="T6487">
        <v>-0.21567149999999999</v>
      </c>
      <c r="U6487">
        <v>0.12829589999999999</v>
      </c>
      <c r="V6487">
        <v>-5.2212939999999999E-2</v>
      </c>
      <c r="W6487">
        <v>-0.1046468</v>
      </c>
      <c r="X6487">
        <v>0.99313790000000002</v>
      </c>
      <c r="Y6487">
        <v>-7.8619789999999995E-2</v>
      </c>
      <c r="Z6487">
        <v>5.4476560000000004E-3</v>
      </c>
      <c r="AA6487">
        <v>0.99688980000000005</v>
      </c>
      <c r="AB6487">
        <v>20</v>
      </c>
      <c r="AC6487">
        <v>15.3734</v>
      </c>
      <c r="AD6487">
        <v>-1.1199825038490001</v>
      </c>
      <c r="AE6487">
        <v>0.67238999999999904</v>
      </c>
      <c r="AF6487">
        <v>-1.2212949688274799</v>
      </c>
      <c r="AG6487">
        <v>-1.1199825038490001</v>
      </c>
      <c r="AH6487">
        <v>15.258212446820901</v>
      </c>
      <c r="AI6487">
        <v>94.184756975915803</v>
      </c>
      <c r="AJ6487">
        <v>94.576301656153603</v>
      </c>
      <c r="AK6487">
        <v>15.3479304559974</v>
      </c>
      <c r="AL6487">
        <v>96.006817487906602</v>
      </c>
      <c r="AM6487">
        <v>93.009480779995499</v>
      </c>
      <c r="AN6487">
        <v>1.00000001613504</v>
      </c>
    </row>
    <row r="6488" spans="1:40" x14ac:dyDescent="0.25">
      <c r="A6488" t="str">
        <f>"20190303154310773"</f>
        <v>20190303154310773</v>
      </c>
      <c r="B6488" t="str">
        <f>"1551598990766500"</f>
        <v>1551598990766500</v>
      </c>
      <c r="C6488" t="s">
        <v>40</v>
      </c>
      <c r="D6488">
        <v>6.0474969999999999</v>
      </c>
      <c r="E6488">
        <v>0.52214919999999998</v>
      </c>
      <c r="F6488" t="s">
        <v>62</v>
      </c>
      <c r="G6488">
        <v>-369.75880000000001</v>
      </c>
      <c r="H6488" s="1">
        <v>-9.3763570000000004E-7</v>
      </c>
      <c r="I6488">
        <v>16.442160000000001</v>
      </c>
      <c r="J6488">
        <v>-386.29640000000001</v>
      </c>
      <c r="K6488">
        <v>1.1200129999999999</v>
      </c>
      <c r="L6488">
        <v>17.10754</v>
      </c>
      <c r="M6488">
        <v>0.99932989999999999</v>
      </c>
      <c r="N6488">
        <v>-5.7836320000000004E-3</v>
      </c>
      <c r="O6488">
        <v>-3.6144929999999999E-2</v>
      </c>
      <c r="P6488">
        <v>0.99386399999999997</v>
      </c>
      <c r="Q6488">
        <v>-0.1091173</v>
      </c>
      <c r="R6488">
        <v>1.8114539999999998E-2</v>
      </c>
      <c r="S6488">
        <v>2.9985659999999998</v>
      </c>
      <c r="T6488">
        <v>-0.2007128</v>
      </c>
      <c r="U6488">
        <v>-0.12051389999999999</v>
      </c>
      <c r="V6488">
        <v>-5.4013430000000001E-2</v>
      </c>
      <c r="W6488">
        <v>-0.1033816</v>
      </c>
      <c r="X6488">
        <v>0.99317409999999995</v>
      </c>
      <c r="Y6488">
        <v>4.0729499999999997E-3</v>
      </c>
      <c r="Z6488">
        <v>2.058168E-3</v>
      </c>
      <c r="AA6488">
        <v>0.99998960000000003</v>
      </c>
      <c r="AB6488">
        <v>20</v>
      </c>
      <c r="AC6488">
        <v>16.537599999999902</v>
      </c>
      <c r="AD6488">
        <v>-1.1200139376356999</v>
      </c>
      <c r="AE6488">
        <v>-0.66537999999999897</v>
      </c>
      <c r="AF6488">
        <v>6.6878595583375305E-2</v>
      </c>
      <c r="AG6488">
        <v>-1.1200139376356999</v>
      </c>
      <c r="AH6488">
        <v>16.475397954450699</v>
      </c>
      <c r="AI6488">
        <v>93.889008536538</v>
      </c>
      <c r="AJ6488">
        <v>89.7674204756417</v>
      </c>
      <c r="AK6488">
        <v>16.513559329368199</v>
      </c>
      <c r="AL6488">
        <v>95.933931616414895</v>
      </c>
      <c r="AM6488">
        <v>93.112944531169703</v>
      </c>
      <c r="AN6488">
        <v>0.99999999937486705</v>
      </c>
    </row>
    <row r="6489" spans="1:40" x14ac:dyDescent="0.25">
      <c r="A6489" t="str">
        <f>"20190303154310795"</f>
        <v>20190303154310795</v>
      </c>
      <c r="B6489" t="str">
        <f>"1551598990786995"</f>
        <v>1551598990786995</v>
      </c>
      <c r="C6489" t="s">
        <v>40</v>
      </c>
      <c r="D6489">
        <v>6.0383009999999997</v>
      </c>
      <c r="E6489">
        <v>0.52277829999999903</v>
      </c>
      <c r="F6489" t="s">
        <v>60</v>
      </c>
      <c r="G6489">
        <v>-370.17340000000002</v>
      </c>
      <c r="H6489" s="1">
        <v>-5.1865019999999999E-6</v>
      </c>
      <c r="I6489">
        <v>16.453979999999898</v>
      </c>
      <c r="J6489">
        <v>-386.09219999999999</v>
      </c>
      <c r="K6489">
        <v>1.120052</v>
      </c>
      <c r="L6489">
        <v>17.10022</v>
      </c>
      <c r="M6489">
        <v>0.99933300000000003</v>
      </c>
      <c r="N6489">
        <v>-5.7012640000000002E-3</v>
      </c>
      <c r="O6489">
        <v>-3.6070909999999998E-2</v>
      </c>
      <c r="P6489">
        <v>0.99405350000000003</v>
      </c>
      <c r="Q6489">
        <v>-0.1070184</v>
      </c>
      <c r="R6489">
        <v>2.011816E-2</v>
      </c>
      <c r="S6489">
        <v>2.9978639999999999</v>
      </c>
      <c r="T6489">
        <v>-0.2082531</v>
      </c>
      <c r="U6489">
        <v>-0.121521</v>
      </c>
      <c r="V6489">
        <v>-5.5940610000000002E-2</v>
      </c>
      <c r="W6489">
        <v>-0.1013691</v>
      </c>
      <c r="X6489">
        <v>0.99327489999999996</v>
      </c>
      <c r="Y6489">
        <v>4.4957110000000003E-3</v>
      </c>
      <c r="Z6489">
        <v>2.1266919999999999E-3</v>
      </c>
      <c r="AA6489">
        <v>0.99998770000000003</v>
      </c>
      <c r="AB6489">
        <v>21</v>
      </c>
      <c r="AC6489">
        <v>15.9187999999999</v>
      </c>
      <c r="AD6489">
        <v>-1.1200571865019999</v>
      </c>
      <c r="AE6489">
        <v>-0.64624000000000204</v>
      </c>
      <c r="AF6489">
        <v>7.1252354336461002E-2</v>
      </c>
      <c r="AG6489">
        <v>-1.1200571865019999</v>
      </c>
      <c r="AH6489">
        <v>15.8533960422949</v>
      </c>
      <c r="AI6489">
        <v>94.041244300896494</v>
      </c>
      <c r="AJ6489">
        <v>89.742488506274697</v>
      </c>
      <c r="AK6489">
        <v>15.8930730531539</v>
      </c>
      <c r="AL6489">
        <v>95.818014576864897</v>
      </c>
      <c r="AM6489">
        <v>93.223456573630997</v>
      </c>
      <c r="AN6489">
        <v>1.00000003662599</v>
      </c>
    </row>
    <row r="6490" spans="1:40" x14ac:dyDescent="0.25">
      <c r="A6490" t="str">
        <f>"20190303154310819"</f>
        <v>20190303154310819</v>
      </c>
      <c r="B6490" t="str">
        <f>"1551598990806518"</f>
        <v>1551598990806518</v>
      </c>
      <c r="C6490" t="s">
        <v>40</v>
      </c>
      <c r="D6490">
        <v>6.0066860000000002</v>
      </c>
      <c r="E6490">
        <v>0.52327139999999905</v>
      </c>
      <c r="F6490" t="s">
        <v>62</v>
      </c>
      <c r="G6490">
        <v>-369.58280000000002</v>
      </c>
      <c r="H6490" s="1">
        <v>-1.006308E-6</v>
      </c>
      <c r="I6490">
        <v>16.438009999999998</v>
      </c>
      <c r="J6490">
        <v>-385.87310000000002</v>
      </c>
      <c r="K6490">
        <v>1.120096</v>
      </c>
      <c r="L6490">
        <v>17.092469999999999</v>
      </c>
      <c r="M6490">
        <v>0.99933989999999995</v>
      </c>
      <c r="N6490">
        <v>-5.6301959999999996E-3</v>
      </c>
      <c r="O6490">
        <v>-3.5890039999999998E-2</v>
      </c>
      <c r="P6490">
        <v>0.99425850000000005</v>
      </c>
      <c r="Q6490">
        <v>-0.1046918</v>
      </c>
      <c r="R6490">
        <v>2.2128439999999999E-2</v>
      </c>
      <c r="S6490">
        <v>2.9984440000000001</v>
      </c>
      <c r="T6490">
        <v>-0.20342470000000001</v>
      </c>
      <c r="U6490">
        <v>-0.1202698</v>
      </c>
      <c r="V6490">
        <v>-5.7765789999999997E-2</v>
      </c>
      <c r="W6490">
        <v>-9.911963E-2</v>
      </c>
      <c r="X6490">
        <v>0.99339739999999999</v>
      </c>
      <c r="Y6490">
        <v>4.2495600000000003E-3</v>
      </c>
      <c r="Z6490">
        <v>2.072548E-3</v>
      </c>
      <c r="AA6490">
        <v>0.99998880000000001</v>
      </c>
      <c r="AB6490">
        <v>21</v>
      </c>
      <c r="AC6490">
        <v>16.290299999999998</v>
      </c>
      <c r="AD6490">
        <v>-1.120097006308</v>
      </c>
      <c r="AE6490">
        <v>-0.65446000000000004</v>
      </c>
      <c r="AF6490">
        <v>6.9043676598551901E-2</v>
      </c>
      <c r="AG6490">
        <v>-1.120097006308</v>
      </c>
      <c r="AH6490">
        <v>16.226701606044799</v>
      </c>
      <c r="AI6490">
        <v>93.948714504783197</v>
      </c>
      <c r="AJ6490">
        <v>89.756211244024996</v>
      </c>
      <c r="AK6490">
        <v>16.265461239830699</v>
      </c>
      <c r="AL6490">
        <v>95.688477175972395</v>
      </c>
      <c r="AM6490">
        <v>93.327986376595405</v>
      </c>
      <c r="AN6490">
        <v>0.99999999093620995</v>
      </c>
    </row>
    <row r="6491" spans="1:40" x14ac:dyDescent="0.25">
      <c r="A6491" t="str">
        <f>"20190303154310839"</f>
        <v>20190303154310839</v>
      </c>
      <c r="B6491" t="str">
        <f>"1551598990836771"</f>
        <v>1551598990836771</v>
      </c>
      <c r="C6491" t="s">
        <v>40</v>
      </c>
      <c r="D6491">
        <v>6.033201</v>
      </c>
      <c r="E6491">
        <v>0.52427509999999999</v>
      </c>
      <c r="F6491" t="s">
        <v>62</v>
      </c>
      <c r="G6491">
        <v>-368.81479999999999</v>
      </c>
      <c r="H6491" s="1">
        <v>-1.3056470000000001E-6</v>
      </c>
      <c r="I6491">
        <v>16.42144</v>
      </c>
      <c r="J6491">
        <v>-385.68270000000001</v>
      </c>
      <c r="K6491">
        <v>1.1201410000000001</v>
      </c>
      <c r="L6491">
        <v>17.085850000000001</v>
      </c>
      <c r="M6491">
        <v>0.99934920000000005</v>
      </c>
      <c r="N6491">
        <v>-5.5808740000000004E-3</v>
      </c>
      <c r="O6491">
        <v>-3.5639940000000002E-2</v>
      </c>
      <c r="P6491">
        <v>0.99415229999999999</v>
      </c>
      <c r="Q6491">
        <v>-0.1052676</v>
      </c>
      <c r="R6491">
        <v>2.4091930000000001E-2</v>
      </c>
      <c r="S6491">
        <v>2.9992070000000002</v>
      </c>
      <c r="T6491">
        <v>-0.1969368</v>
      </c>
      <c r="U6491">
        <v>-0.117981</v>
      </c>
      <c r="V6491">
        <v>-5.9462460000000002E-2</v>
      </c>
      <c r="W6491">
        <v>-9.9753960000000003E-2</v>
      </c>
      <c r="X6491">
        <v>0.99323380000000006</v>
      </c>
      <c r="Y6491">
        <v>3.7244859999999999E-3</v>
      </c>
      <c r="Z6491">
        <v>2.0048179999999998E-3</v>
      </c>
      <c r="AA6491">
        <v>0.99999110000000002</v>
      </c>
      <c r="AB6491">
        <v>21</v>
      </c>
      <c r="AC6491">
        <v>16.867899999999999</v>
      </c>
      <c r="AD6491">
        <v>-1.1201423056469999</v>
      </c>
      <c r="AE6491">
        <v>-0.66440999999999995</v>
      </c>
      <c r="AF6491">
        <v>6.2532299432081204E-2</v>
      </c>
      <c r="AG6491">
        <v>-1.1201423056469999</v>
      </c>
      <c r="AH6491">
        <v>16.806862292091999</v>
      </c>
      <c r="AI6491">
        <v>93.812978800813696</v>
      </c>
      <c r="AJ6491">
        <v>89.786823962380794</v>
      </c>
      <c r="AK6491">
        <v>16.8442645781499</v>
      </c>
      <c r="AL6491">
        <v>95.725002529110597</v>
      </c>
      <c r="AM6491">
        <v>93.426067883145194</v>
      </c>
      <c r="AN6491">
        <v>1.00000000907368</v>
      </c>
    </row>
    <row r="6492" spans="1:40" x14ac:dyDescent="0.25">
      <c r="A6492" t="str">
        <f>"20190303154310852"</f>
        <v>20190303154310852</v>
      </c>
      <c r="B6492" t="str">
        <f>"1551598990846531"</f>
        <v>1551598990846531</v>
      </c>
      <c r="C6492" t="s">
        <v>40</v>
      </c>
      <c r="D6492">
        <v>6.0055069999999997</v>
      </c>
      <c r="E6492">
        <v>0.52451049999999999</v>
      </c>
      <c r="F6492" t="s">
        <v>62</v>
      </c>
      <c r="G6492">
        <v>-369.00009999999997</v>
      </c>
      <c r="H6492" s="1">
        <v>-1.23509E-6</v>
      </c>
      <c r="I6492">
        <v>16.419239999999999</v>
      </c>
      <c r="J6492">
        <v>-385.55759999999998</v>
      </c>
      <c r="K6492">
        <v>1.1201669999999999</v>
      </c>
      <c r="L6492">
        <v>17.081569999999999</v>
      </c>
      <c r="M6492">
        <v>0.99935669999999999</v>
      </c>
      <c r="N6492">
        <v>-5.5532139999999999E-3</v>
      </c>
      <c r="O6492">
        <v>-3.5432569999999997E-2</v>
      </c>
      <c r="P6492">
        <v>0.99406620000000001</v>
      </c>
      <c r="Q6492">
        <v>-0.105891899999999</v>
      </c>
      <c r="R6492">
        <v>2.4891819999999999E-2</v>
      </c>
      <c r="S6492">
        <v>2.9992369999999999</v>
      </c>
      <c r="T6492">
        <v>-0.2013807</v>
      </c>
      <c r="U6492">
        <v>-0.1198425</v>
      </c>
      <c r="V6492">
        <v>-6.0042409999999997E-2</v>
      </c>
      <c r="W6492">
        <v>-0.10041219999999999</v>
      </c>
      <c r="X6492">
        <v>0.99313260000000003</v>
      </c>
      <c r="Y6492">
        <v>4.5517709999999996E-3</v>
      </c>
      <c r="Z6492">
        <v>2.0128809999999998E-3</v>
      </c>
      <c r="AA6492">
        <v>0.99998759999999998</v>
      </c>
      <c r="AB6492">
        <v>21</v>
      </c>
      <c r="AC6492">
        <v>16.557500000000001</v>
      </c>
      <c r="AD6492">
        <v>-1.12016823509</v>
      </c>
      <c r="AE6492">
        <v>-0.66233000000000397</v>
      </c>
      <c r="AF6492">
        <v>7.4888088761537297E-2</v>
      </c>
      <c r="AG6492">
        <v>-1.12016823509</v>
      </c>
      <c r="AH6492">
        <v>16.4951939288805</v>
      </c>
      <c r="AI6492">
        <v>93.884881092605994</v>
      </c>
      <c r="AJ6492">
        <v>89.739879266598095</v>
      </c>
      <c r="AK6492">
        <v>16.533354404116501</v>
      </c>
      <c r="AL6492">
        <v>95.762907092609098</v>
      </c>
      <c r="AM6492">
        <v>93.459753946553604</v>
      </c>
      <c r="AN6492">
        <v>1.0000000310451</v>
      </c>
    </row>
    <row r="6493" spans="1:40" x14ac:dyDescent="0.25">
      <c r="A6493" t="str">
        <f>"20190303154310865"</f>
        <v>20190303154310865</v>
      </c>
      <c r="B6493" t="str">
        <f>"1551598990857268"</f>
        <v>1551598990857268</v>
      </c>
      <c r="C6493" t="s">
        <v>40</v>
      </c>
      <c r="D6493">
        <v>6.0292909999999997</v>
      </c>
      <c r="E6493">
        <v>0.52481809999999995</v>
      </c>
      <c r="F6493" t="s">
        <v>62</v>
      </c>
      <c r="G6493">
        <v>-369.18770000000001</v>
      </c>
      <c r="H6493" s="1">
        <v>-1.1599629999999999E-6</v>
      </c>
      <c r="I6493">
        <v>16.43075</v>
      </c>
      <c r="J6493">
        <v>-385.44439999999997</v>
      </c>
      <c r="K6493">
        <v>1.1201970000000001</v>
      </c>
      <c r="L6493">
        <v>17.077760000000001</v>
      </c>
      <c r="M6493">
        <v>0.9993649</v>
      </c>
      <c r="N6493">
        <v>-5.5305519999999898E-3</v>
      </c>
      <c r="O6493">
        <v>-3.5208179999999999E-2</v>
      </c>
      <c r="P6493">
        <v>0.99393710000000002</v>
      </c>
      <c r="Q6493">
        <v>-0.10691879999999999</v>
      </c>
      <c r="R6493">
        <v>2.564936E-2</v>
      </c>
      <c r="S6493">
        <v>2.9990230000000002</v>
      </c>
      <c r="T6493">
        <v>-0.2052187</v>
      </c>
      <c r="U6493">
        <v>-0.119232199999999</v>
      </c>
      <c r="V6493">
        <v>-6.0562009999999999E-2</v>
      </c>
      <c r="W6493">
        <v>-0.10146819999999999</v>
      </c>
      <c r="X6493">
        <v>0.99299369999999998</v>
      </c>
      <c r="Y6493">
        <v>4.5779180000000003E-3</v>
      </c>
      <c r="Z6493">
        <v>2.0411219999999998E-3</v>
      </c>
      <c r="AA6493">
        <v>0.99998739999999997</v>
      </c>
      <c r="AB6493">
        <v>21</v>
      </c>
      <c r="AC6493">
        <v>16.256699999999899</v>
      </c>
      <c r="AD6493">
        <v>-1.120198159963</v>
      </c>
      <c r="AE6493">
        <v>-0.64701000000000097</v>
      </c>
      <c r="AF6493">
        <v>7.3881139982910099E-2</v>
      </c>
      <c r="AG6493">
        <v>-1.120198159963</v>
      </c>
      <c r="AH6493">
        <v>16.192637362266701</v>
      </c>
      <c r="AI6493">
        <v>93.957345865294499</v>
      </c>
      <c r="AJ6493">
        <v>89.738581922262696</v>
      </c>
      <c r="AK6493">
        <v>16.2315066178808</v>
      </c>
      <c r="AL6493">
        <v>95.823722111417695</v>
      </c>
      <c r="AM6493">
        <v>93.490107504109403</v>
      </c>
      <c r="AN6493">
        <v>1.0000000204530799</v>
      </c>
    </row>
    <row r="6494" spans="1:40" x14ac:dyDescent="0.25">
      <c r="A6494" t="str">
        <f>"20190303154310884"</f>
        <v>20190303154310884</v>
      </c>
      <c r="B6494" t="str">
        <f>"1551598990876787"</f>
        <v>1551598990876787</v>
      </c>
      <c r="C6494" t="s">
        <v>40</v>
      </c>
      <c r="D6494">
        <v>5.9993559999999997</v>
      </c>
      <c r="E6494">
        <v>0.52532630000000002</v>
      </c>
      <c r="F6494" t="s">
        <v>62</v>
      </c>
      <c r="G6494">
        <v>-369.35809999999998</v>
      </c>
      <c r="H6494" s="1">
        <v>-1.09277E-6</v>
      </c>
      <c r="I6494">
        <v>16.437379999999902</v>
      </c>
      <c r="J6494">
        <v>-385.25700000000001</v>
      </c>
      <c r="K6494">
        <v>1.120255</v>
      </c>
      <c r="L6494">
        <v>17.07159</v>
      </c>
      <c r="M6494">
        <v>0.9993805</v>
      </c>
      <c r="N6494">
        <v>-5.4981619999999896E-3</v>
      </c>
      <c r="O6494">
        <v>-3.4763179999999998E-2</v>
      </c>
      <c r="P6494">
        <v>0.99377850000000001</v>
      </c>
      <c r="Q6494">
        <v>-0.10822900000000001</v>
      </c>
      <c r="R6494">
        <v>2.6278949999999999E-2</v>
      </c>
      <c r="S6494">
        <v>2.9989620000000001</v>
      </c>
      <c r="T6494">
        <v>-0.208838</v>
      </c>
      <c r="U6494">
        <v>-0.1193848</v>
      </c>
      <c r="V6494">
        <v>-6.072541E-2</v>
      </c>
      <c r="W6494">
        <v>-0.1028218</v>
      </c>
      <c r="X6494">
        <v>0.99284450000000002</v>
      </c>
      <c r="Y6494">
        <v>5.074963E-3</v>
      </c>
      <c r="Z6494">
        <v>2.0348279999999998E-3</v>
      </c>
      <c r="AA6494">
        <v>0.99998500000000001</v>
      </c>
      <c r="AB6494">
        <v>21</v>
      </c>
      <c r="AC6494">
        <v>15.8988999999999</v>
      </c>
      <c r="AD6494">
        <v>-1.12025609277</v>
      </c>
      <c r="AE6494">
        <v>-0.63421000000000205</v>
      </c>
      <c r="AF6494">
        <v>8.0721876730320996E-2</v>
      </c>
      <c r="AG6494">
        <v>-1.12025609277</v>
      </c>
      <c r="AH6494">
        <v>15.832855706784301</v>
      </c>
      <c r="AI6494">
        <v>94.047174221123697</v>
      </c>
      <c r="AJ6494">
        <v>89.707887012686697</v>
      </c>
      <c r="AK6494">
        <v>15.8726434334872</v>
      </c>
      <c r="AL6494">
        <v>95.901685296382695</v>
      </c>
      <c r="AM6494">
        <v>93.500025238441694</v>
      </c>
      <c r="AN6494">
        <v>1.00000004957757</v>
      </c>
    </row>
    <row r="6495" spans="1:40" x14ac:dyDescent="0.25">
      <c r="A6495" t="str">
        <f>"20190303154310907"</f>
        <v>20190303154310907</v>
      </c>
      <c r="B6495" t="str">
        <f>"1551598990896317"</f>
        <v>1551598990896317</v>
      </c>
      <c r="C6495" t="s">
        <v>40</v>
      </c>
      <c r="D6495">
        <v>6.0077179999999997</v>
      </c>
      <c r="E6495">
        <v>0.52572549999999996</v>
      </c>
      <c r="F6495" t="s">
        <v>62</v>
      </c>
      <c r="G6495">
        <v>-369.56939999999997</v>
      </c>
      <c r="H6495" s="1">
        <v>-1.0119049999999999E-6</v>
      </c>
      <c r="I6495">
        <v>16.436339999999898</v>
      </c>
      <c r="J6495">
        <v>-385.0487</v>
      </c>
      <c r="K6495">
        <v>1.120336</v>
      </c>
      <c r="L6495">
        <v>17.064969999999999</v>
      </c>
      <c r="M6495">
        <v>0.99940249999999997</v>
      </c>
      <c r="N6495">
        <v>-5.4720979999999999E-3</v>
      </c>
      <c r="O6495">
        <v>-3.4131300000000003E-2</v>
      </c>
      <c r="P6495">
        <v>0.99370769999999997</v>
      </c>
      <c r="Q6495">
        <v>-0.1089236</v>
      </c>
      <c r="R6495">
        <v>2.6096890000000001E-2</v>
      </c>
      <c r="S6495">
        <v>2.998688</v>
      </c>
      <c r="T6495">
        <v>-0.21413679999999999</v>
      </c>
      <c r="U6495">
        <v>-0.12142940000000001</v>
      </c>
      <c r="V6495">
        <v>-5.9891359999999998E-2</v>
      </c>
      <c r="W6495">
        <v>-0.1035547</v>
      </c>
      <c r="X6495">
        <v>0.99281900000000001</v>
      </c>
      <c r="Y6495">
        <v>6.3900379999999998E-3</v>
      </c>
      <c r="Z6495">
        <v>2.000632E-3</v>
      </c>
      <c r="AA6495">
        <v>0.99997760000000002</v>
      </c>
      <c r="AB6495">
        <v>21</v>
      </c>
      <c r="AC6495">
        <v>15.4793</v>
      </c>
      <c r="AD6495">
        <v>-1.120337011905</v>
      </c>
      <c r="AE6495">
        <v>-0.62863000000000402</v>
      </c>
      <c r="AF6495">
        <v>9.9407371816279802E-2</v>
      </c>
      <c r="AG6495">
        <v>-1.120337011905</v>
      </c>
      <c r="AH6495">
        <v>15.4111410425995</v>
      </c>
      <c r="AI6495">
        <v>94.157805913733696</v>
      </c>
      <c r="AJ6495">
        <v>89.630426854768302</v>
      </c>
      <c r="AK6495">
        <v>15.4521294675106</v>
      </c>
      <c r="AL6495">
        <v>95.943902680133803</v>
      </c>
      <c r="AM6495">
        <v>93.4521586785566</v>
      </c>
      <c r="AN6495">
        <v>1.0000000588278599</v>
      </c>
    </row>
    <row r="6496" spans="1:40" x14ac:dyDescent="0.25">
      <c r="A6496" t="str">
        <f>"20190303154310919"</f>
        <v>20190303154310919</v>
      </c>
      <c r="B6496" t="str">
        <f>"1551598990916803"</f>
        <v>1551598990916803</v>
      </c>
      <c r="C6496" t="s">
        <v>40</v>
      </c>
      <c r="D6496">
        <v>6.028619</v>
      </c>
      <c r="E6496">
        <v>0.5260146</v>
      </c>
      <c r="F6496" t="s">
        <v>62</v>
      </c>
      <c r="G6496">
        <v>-369.61399999999998</v>
      </c>
      <c r="H6496" s="1">
        <v>-9.988125000000001E-7</v>
      </c>
      <c r="I6496">
        <v>16.421199999999999</v>
      </c>
      <c r="J6496">
        <v>-384.91849999999999</v>
      </c>
      <c r="K6496">
        <v>1.1203939999999999</v>
      </c>
      <c r="L6496">
        <v>17.060970000000001</v>
      </c>
      <c r="M6496">
        <v>0.99941820000000003</v>
      </c>
      <c r="N6496">
        <v>-5.460131E-3</v>
      </c>
      <c r="O6496">
        <v>-3.3667839999999997E-2</v>
      </c>
      <c r="P6496">
        <v>0.99367470000000002</v>
      </c>
      <c r="Q6496">
        <v>-0.1092056</v>
      </c>
      <c r="R6496">
        <v>2.6169970000000001E-2</v>
      </c>
      <c r="S6496">
        <v>2.998383</v>
      </c>
      <c r="T6496">
        <v>-0.21763930000000001</v>
      </c>
      <c r="U6496">
        <v>-0.12506099999999901</v>
      </c>
      <c r="V6496">
        <v>-5.948755E-2</v>
      </c>
      <c r="W6496">
        <v>-0.1038568</v>
      </c>
      <c r="X6496">
        <v>0.99281169999999996</v>
      </c>
      <c r="Y6496">
        <v>8.0633409999999999E-3</v>
      </c>
      <c r="Z6496">
        <v>1.940988E-3</v>
      </c>
      <c r="AA6496">
        <v>0.99996560000000001</v>
      </c>
      <c r="AB6496">
        <v>21</v>
      </c>
      <c r="AC6496">
        <v>15.3044999999999</v>
      </c>
      <c r="AD6496">
        <v>-1.1203949988124999</v>
      </c>
      <c r="AE6496">
        <v>-0.63977000000000195</v>
      </c>
      <c r="AF6496">
        <v>0.12346961995023099</v>
      </c>
      <c r="AG6496">
        <v>-1.1203949988124999</v>
      </c>
      <c r="AH6496">
        <v>15.235852960827501</v>
      </c>
      <c r="AI6496">
        <v>94.205637173171795</v>
      </c>
      <c r="AJ6496">
        <v>89.535691681827998</v>
      </c>
      <c r="AK6496">
        <v>15.2774914545671</v>
      </c>
      <c r="AL6496">
        <v>95.961305697264095</v>
      </c>
      <c r="AM6496">
        <v>93.428963806877803</v>
      </c>
      <c r="AN6496">
        <v>1.0000000375840601</v>
      </c>
    </row>
    <row r="6497" spans="1:40" x14ac:dyDescent="0.25">
      <c r="A6497" t="str">
        <f>"20190303154310932"</f>
        <v>20190303154310932</v>
      </c>
      <c r="B6497" t="str">
        <f>"1551598990926563"</f>
        <v>1551598990926563</v>
      </c>
      <c r="C6497" t="s">
        <v>40</v>
      </c>
      <c r="D6497">
        <v>6.0283239999999996</v>
      </c>
      <c r="E6497">
        <v>0.52612510000000001</v>
      </c>
      <c r="F6497" t="s">
        <v>62</v>
      </c>
      <c r="G6497">
        <v>-369.62729999999999</v>
      </c>
      <c r="H6497" s="1">
        <v>-9.9605039999999994E-7</v>
      </c>
      <c r="I6497">
        <v>16.412269999999999</v>
      </c>
      <c r="J6497">
        <v>-384.79219999999998</v>
      </c>
      <c r="K6497">
        <v>1.1204459999999901</v>
      </c>
      <c r="L6497">
        <v>17.057220000000001</v>
      </c>
      <c r="M6497">
        <v>0.99943519999999997</v>
      </c>
      <c r="N6497">
        <v>-5.4512569999999897E-3</v>
      </c>
      <c r="O6497">
        <v>-3.3161610000000001E-2</v>
      </c>
      <c r="P6497">
        <v>0.9936353</v>
      </c>
      <c r="Q6497">
        <v>-0.10955189999999999</v>
      </c>
      <c r="R6497">
        <v>2.6223059999999999E-2</v>
      </c>
      <c r="S6497">
        <v>2.998291</v>
      </c>
      <c r="T6497">
        <v>-0.21968779999999999</v>
      </c>
      <c r="U6497">
        <v>-0.12719730000000001</v>
      </c>
      <c r="V6497">
        <v>-5.9021339999999999E-2</v>
      </c>
      <c r="W6497">
        <v>-0.104219699999999</v>
      </c>
      <c r="X6497">
        <v>0.99280139999999995</v>
      </c>
      <c r="Y6497">
        <v>9.2788130000000003E-3</v>
      </c>
      <c r="Z6497">
        <v>1.879496E-3</v>
      </c>
      <c r="AA6497">
        <v>0.99995520000000004</v>
      </c>
      <c r="AB6497">
        <v>21</v>
      </c>
      <c r="AC6497">
        <v>15.1648999999999</v>
      </c>
      <c r="AD6497">
        <v>-1.12044699605039</v>
      </c>
      <c r="AE6497">
        <v>-0.64495000000000102</v>
      </c>
      <c r="AF6497">
        <v>0.14092741219968299</v>
      </c>
      <c r="AG6497">
        <v>-1.12044699605039</v>
      </c>
      <c r="AH6497">
        <v>15.095690215470499</v>
      </c>
      <c r="AI6497">
        <v>94.244695098176294</v>
      </c>
      <c r="AJ6497">
        <v>89.465124730390897</v>
      </c>
      <c r="AK6497">
        <v>15.137870559887901</v>
      </c>
      <c r="AL6497">
        <v>95.982212359153706</v>
      </c>
      <c r="AM6497">
        <v>93.402189251730306</v>
      </c>
      <c r="AN6497">
        <v>0.99999994214272103</v>
      </c>
    </row>
    <row r="6498" spans="1:40" x14ac:dyDescent="0.25">
      <c r="A6498" t="str">
        <f>"20190303154310952"</f>
        <v>20190303154310952</v>
      </c>
      <c r="B6498" t="str">
        <f>"1551598990947059"</f>
        <v>1551598990947059</v>
      </c>
      <c r="C6498" t="s">
        <v>40</v>
      </c>
      <c r="D6498">
        <v>5.9981330000000002</v>
      </c>
      <c r="E6498">
        <v>0.52637429999999996</v>
      </c>
      <c r="F6498" t="s">
        <v>62</v>
      </c>
      <c r="G6498">
        <v>-369.64350000000002</v>
      </c>
      <c r="H6498" s="1">
        <v>-9.9022669999999993E-7</v>
      </c>
      <c r="I6498">
        <v>16.410829999999901</v>
      </c>
      <c r="J6498">
        <v>-384.60570000000001</v>
      </c>
      <c r="K6498">
        <v>1.12052</v>
      </c>
      <c r="L6498">
        <v>17.051880000000001</v>
      </c>
      <c r="M6498">
        <v>0.99946290000000004</v>
      </c>
      <c r="N6498">
        <v>-5.440439E-3</v>
      </c>
      <c r="O6498">
        <v>-3.2318390000000002E-2</v>
      </c>
      <c r="P6498">
        <v>0.99354310000000001</v>
      </c>
      <c r="Q6498">
        <v>-0.1105213</v>
      </c>
      <c r="R6498">
        <v>2.5631600000000001E-2</v>
      </c>
      <c r="S6498">
        <v>2.998138</v>
      </c>
      <c r="T6498">
        <v>-0.2217528</v>
      </c>
      <c r="U6498">
        <v>-0.12792970000000001</v>
      </c>
      <c r="V6498">
        <v>-5.756758E-2</v>
      </c>
      <c r="W6498">
        <v>-0.10520980000000001</v>
      </c>
      <c r="X6498">
        <v>0.99278239999999995</v>
      </c>
      <c r="Y6498">
        <v>1.0364399999999999E-2</v>
      </c>
      <c r="Z6498">
        <v>1.7988920000000001E-3</v>
      </c>
      <c r="AA6498">
        <v>0.99994470000000002</v>
      </c>
      <c r="AB6498">
        <v>21</v>
      </c>
      <c r="AC6498">
        <v>14.9621999999999</v>
      </c>
      <c r="AD6498">
        <v>-1.1205209902266999</v>
      </c>
      <c r="AE6498">
        <v>-0.64105000000000301</v>
      </c>
      <c r="AF6498">
        <v>0.156278901000273</v>
      </c>
      <c r="AG6498">
        <v>-1.1205209902266999</v>
      </c>
      <c r="AH6498">
        <v>14.891734180948401</v>
      </c>
      <c r="AI6498">
        <v>94.302847099903005</v>
      </c>
      <c r="AJ6498">
        <v>89.398740760614501</v>
      </c>
      <c r="AK6498">
        <v>14.934648884405201</v>
      </c>
      <c r="AL6498">
        <v>96.039254099469204</v>
      </c>
      <c r="AM6498">
        <v>93.318642635831694</v>
      </c>
      <c r="AN6498">
        <v>1.00000001101642</v>
      </c>
    </row>
    <row r="6499" spans="1:40" x14ac:dyDescent="0.25">
      <c r="A6499" t="str">
        <f>"20190303154310973"</f>
        <v>20190303154310973</v>
      </c>
      <c r="B6499" t="str">
        <f>"1551598990966580"</f>
        <v>1551598990966580</v>
      </c>
      <c r="C6499" t="s">
        <v>40</v>
      </c>
      <c r="D6499">
        <v>5.9856249999999998</v>
      </c>
      <c r="E6499">
        <v>0.52665589999999995</v>
      </c>
      <c r="F6499" t="s">
        <v>62</v>
      </c>
      <c r="G6499">
        <v>-369.83390000000003</v>
      </c>
      <c r="H6499" s="1">
        <v>-9.193457E-7</v>
      </c>
      <c r="I6499">
        <v>16.4025</v>
      </c>
      <c r="J6499">
        <v>-384.4008</v>
      </c>
      <c r="K6499">
        <v>1.120601</v>
      </c>
      <c r="L6499">
        <v>17.046329999999902</v>
      </c>
      <c r="M6499">
        <v>0.99949600000000005</v>
      </c>
      <c r="N6499">
        <v>-5.4303270000000004E-3</v>
      </c>
      <c r="O6499">
        <v>-3.1279929999999997E-2</v>
      </c>
      <c r="P6499">
        <v>0.99349149999999997</v>
      </c>
      <c r="Q6499">
        <v>-0.1110464</v>
      </c>
      <c r="R6499">
        <v>2.5364879999999999E-2</v>
      </c>
      <c r="S6499">
        <v>2.9975890000000001</v>
      </c>
      <c r="T6499">
        <v>-0.22738269999999999</v>
      </c>
      <c r="U6499">
        <v>-0.1317749</v>
      </c>
      <c r="V6499">
        <v>-5.6246329999999997E-2</v>
      </c>
      <c r="W6499">
        <v>-0.1057541</v>
      </c>
      <c r="X6499">
        <v>0.99280029999999997</v>
      </c>
      <c r="Y6499">
        <v>1.268447E-2</v>
      </c>
      <c r="Z6499">
        <v>1.6832209999999999E-3</v>
      </c>
      <c r="AA6499">
        <v>0.99991810000000003</v>
      </c>
      <c r="AB6499">
        <v>21</v>
      </c>
      <c r="AC6499">
        <v>14.566899999999899</v>
      </c>
      <c r="AD6499">
        <v>-1.1206019193457</v>
      </c>
      <c r="AE6499">
        <v>-0.64382999999999702</v>
      </c>
      <c r="AF6499">
        <v>0.18675361405294799</v>
      </c>
      <c r="AG6499">
        <v>-1.1206019193457</v>
      </c>
      <c r="AH6499">
        <v>14.494302165348801</v>
      </c>
      <c r="AI6499">
        <v>94.420564220731194</v>
      </c>
      <c r="AJ6499">
        <v>89.261806349459704</v>
      </c>
      <c r="AK6499">
        <v>14.538755821404999</v>
      </c>
      <c r="AL6499">
        <v>96.0706151702515</v>
      </c>
      <c r="AM6499">
        <v>93.242581618339003</v>
      </c>
      <c r="AN6499">
        <v>1.00000000749268</v>
      </c>
    </row>
    <row r="6500" spans="1:40" x14ac:dyDescent="0.25">
      <c r="A6500" t="str">
        <f>"20190303154310995"</f>
        <v>20190303154310995</v>
      </c>
      <c r="B6500" t="str">
        <f>"1551598990987081"</f>
        <v>1551598990987081</v>
      </c>
      <c r="C6500" t="s">
        <v>40</v>
      </c>
      <c r="D6500">
        <v>5.9849610000000002</v>
      </c>
      <c r="E6500">
        <v>0.52690859999999995</v>
      </c>
      <c r="F6500" t="s">
        <v>62</v>
      </c>
      <c r="G6500">
        <v>-369.74979999999999</v>
      </c>
      <c r="H6500" s="1">
        <v>-9.5568999999999995E-7</v>
      </c>
      <c r="I6500">
        <v>16.38719</v>
      </c>
      <c r="J6500">
        <v>-384.18329999999997</v>
      </c>
      <c r="K6500">
        <v>1.1206689999999999</v>
      </c>
      <c r="L6500">
        <v>17.040800000000001</v>
      </c>
      <c r="M6500">
        <v>0.999533</v>
      </c>
      <c r="N6500">
        <v>-5.42166E-3</v>
      </c>
      <c r="O6500">
        <v>-3.0071899999999999E-2</v>
      </c>
      <c r="P6500">
        <v>0.99352410000000002</v>
      </c>
      <c r="Q6500">
        <v>-0.1107524</v>
      </c>
      <c r="R6500">
        <v>2.5378290000000001E-2</v>
      </c>
      <c r="S6500">
        <v>2.997528</v>
      </c>
      <c r="T6500">
        <v>-0.2292708</v>
      </c>
      <c r="U6500">
        <v>-0.13485720000000001</v>
      </c>
      <c r="V6500">
        <v>-5.5044530000000001E-2</v>
      </c>
      <c r="W6500">
        <v>-0.1054755</v>
      </c>
      <c r="X6500">
        <v>0.99289729999999998</v>
      </c>
      <c r="Y6500">
        <v>1.491079E-2</v>
      </c>
      <c r="Z6500">
        <v>1.522533E-3</v>
      </c>
      <c r="AA6500">
        <v>0.99988759999999999</v>
      </c>
      <c r="AB6500">
        <v>22</v>
      </c>
      <c r="AC6500">
        <v>14.433499999999899</v>
      </c>
      <c r="AD6500">
        <v>-1.1206699556899999</v>
      </c>
      <c r="AE6500">
        <v>-0.65361000000000002</v>
      </c>
      <c r="AF6500">
        <v>0.21795397030024599</v>
      </c>
      <c r="AG6500">
        <v>-1.1206699556899999</v>
      </c>
      <c r="AH6500">
        <v>14.3602335930669</v>
      </c>
      <c r="AI6500">
        <v>94.461796024689704</v>
      </c>
      <c r="AJ6500">
        <v>89.130453987448902</v>
      </c>
      <c r="AK6500">
        <v>14.405544555142701</v>
      </c>
      <c r="AL6500">
        <v>96.054562742238005</v>
      </c>
      <c r="AM6500">
        <v>93.173132017004505</v>
      </c>
      <c r="AN6500">
        <v>1.0000000148652299</v>
      </c>
    </row>
    <row r="6501" spans="1:40" x14ac:dyDescent="0.25">
      <c r="A6501" t="str">
        <f>"20190303154311018"</f>
        <v>20190303154311018</v>
      </c>
      <c r="B6501" t="str">
        <f>"1551598991006598"</f>
        <v>1551598991006598</v>
      </c>
      <c r="C6501" t="s">
        <v>40</v>
      </c>
      <c r="D6501">
        <v>5.9868139999999999</v>
      </c>
      <c r="E6501">
        <v>0.52708480000000002</v>
      </c>
      <c r="F6501" t="s">
        <v>62</v>
      </c>
      <c r="G6501">
        <v>-369.48649999999998</v>
      </c>
      <c r="H6501" s="1">
        <v>-1.061419E-6</v>
      </c>
      <c r="I6501">
        <v>16.369869999999999</v>
      </c>
      <c r="J6501">
        <v>-383.96559999999999</v>
      </c>
      <c r="K6501">
        <v>1.120709</v>
      </c>
      <c r="L6501">
        <v>17.035640000000001</v>
      </c>
      <c r="M6501">
        <v>0.99957110000000005</v>
      </c>
      <c r="N6501">
        <v>-5.4149230000000003E-3</v>
      </c>
      <c r="O6501">
        <v>-2.8781999999999999E-2</v>
      </c>
      <c r="P6501">
        <v>0.99351730000000005</v>
      </c>
      <c r="Q6501">
        <v>-0.11063149999999999</v>
      </c>
      <c r="R6501">
        <v>2.6154050000000002E-2</v>
      </c>
      <c r="S6501">
        <v>2.997528</v>
      </c>
      <c r="T6501">
        <v>-0.22856969999999999</v>
      </c>
      <c r="U6501">
        <v>-0.13684079999999901</v>
      </c>
      <c r="V6501">
        <v>-5.452767E-2</v>
      </c>
      <c r="W6501">
        <v>-0.105366</v>
      </c>
      <c r="X6501">
        <v>0.99293739999999997</v>
      </c>
      <c r="Y6501">
        <v>1.6851999999999999E-2</v>
      </c>
      <c r="Z6501">
        <v>1.3472359999999999E-3</v>
      </c>
      <c r="AA6501">
        <v>0.99985710000000005</v>
      </c>
      <c r="AB6501">
        <v>22</v>
      </c>
      <c r="AC6501">
        <v>14.479100000000001</v>
      </c>
      <c r="AD6501">
        <v>-1.120710061419</v>
      </c>
      <c r="AE6501">
        <v>-0.66576999999999797</v>
      </c>
      <c r="AF6501">
        <v>0.24727233146456501</v>
      </c>
      <c r="AG6501">
        <v>-1.120710061419</v>
      </c>
      <c r="AH6501">
        <v>14.4061378965266</v>
      </c>
      <c r="AI6501">
        <v>94.447652155983306</v>
      </c>
      <c r="AJ6501">
        <v>89.016650403294094</v>
      </c>
      <c r="AK6501">
        <v>14.451779950629399</v>
      </c>
      <c r="AL6501">
        <v>96.048253967755798</v>
      </c>
      <c r="AM6501">
        <v>93.143270117763905</v>
      </c>
      <c r="AN6501">
        <v>0.99999997053519396</v>
      </c>
    </row>
    <row r="6502" spans="1:40" x14ac:dyDescent="0.25">
      <c r="A6502" t="str">
        <f>"20190303154311030"</f>
        <v>20190303154311030</v>
      </c>
      <c r="B6502" t="str">
        <f>"1551598991027092"</f>
        <v>1551598991027092</v>
      </c>
      <c r="C6502" t="s">
        <v>40</v>
      </c>
      <c r="D6502">
        <v>5.9706250000000001</v>
      </c>
      <c r="E6502">
        <v>0.52727590000000002</v>
      </c>
      <c r="F6502" t="s">
        <v>42</v>
      </c>
      <c r="G6502">
        <v>-383.05840000000001</v>
      </c>
      <c r="H6502">
        <v>1.051517</v>
      </c>
      <c r="I6502">
        <v>16.994679999999999</v>
      </c>
      <c r="J6502">
        <v>-383.83199999999999</v>
      </c>
      <c r="K6502">
        <v>1.1207260000000001</v>
      </c>
      <c r="L6502">
        <v>17.03265</v>
      </c>
      <c r="M6502">
        <v>0.99959419999999999</v>
      </c>
      <c r="N6502">
        <v>-5.4116479999999998E-3</v>
      </c>
      <c r="O6502">
        <v>-2.7968929999999999E-2</v>
      </c>
      <c r="P6502">
        <v>0.99347090000000005</v>
      </c>
      <c r="Q6502">
        <v>-0.1109455</v>
      </c>
      <c r="R6502">
        <v>2.6589149999999999E-2</v>
      </c>
      <c r="S6502">
        <v>2.9977109999999998</v>
      </c>
      <c r="T6502">
        <v>-0.2285722</v>
      </c>
      <c r="U6502">
        <v>-0.13595579999999999</v>
      </c>
      <c r="V6502">
        <v>-5.4149900000000001E-2</v>
      </c>
      <c r="W6502">
        <v>-0.1056844</v>
      </c>
      <c r="X6502">
        <v>0.99292429999999998</v>
      </c>
      <c r="Y6502">
        <v>1.7364299999999999E-2</v>
      </c>
      <c r="Z6502">
        <v>1.2689699999999999E-3</v>
      </c>
      <c r="AA6502">
        <v>0.99984839999999997</v>
      </c>
      <c r="AB6502">
        <v>22</v>
      </c>
      <c r="AC6502">
        <v>0.77359999999998696</v>
      </c>
      <c r="AD6502">
        <v>-6.9209000000000007E-2</v>
      </c>
      <c r="AE6502">
        <v>-3.7970000000001301E-2</v>
      </c>
      <c r="AF6502">
        <v>1.6188806182701399E-2</v>
      </c>
      <c r="AG6502">
        <v>-6.9209000000000007E-2</v>
      </c>
      <c r="AH6502">
        <v>0.76822545981329105</v>
      </c>
      <c r="AI6502">
        <v>95.146711281206507</v>
      </c>
      <c r="AJ6502">
        <v>88.792785379596594</v>
      </c>
      <c r="AK6502">
        <v>0.77150652637029804</v>
      </c>
      <c r="AL6502">
        <v>96.066598982439601</v>
      </c>
      <c r="AM6502">
        <v>93.121577727525604</v>
      </c>
      <c r="AN6502">
        <v>1.00000003480192</v>
      </c>
    </row>
    <row r="6503" spans="1:40" x14ac:dyDescent="0.25">
      <c r="A6503" t="str">
        <f>"20190303154311044"</f>
        <v>20190303154311044</v>
      </c>
      <c r="B6503" t="str">
        <f>"1551598991036851"</f>
        <v>1551598991036851</v>
      </c>
      <c r="C6503" t="s">
        <v>40</v>
      </c>
      <c r="D6503">
        <v>5.9492859999999999</v>
      </c>
      <c r="E6503">
        <v>0.5273352</v>
      </c>
      <c r="F6503" t="s">
        <v>62</v>
      </c>
      <c r="G6503">
        <v>-369.16969999999998</v>
      </c>
      <c r="H6503" s="1">
        <v>-1.1838429999999999E-6</v>
      </c>
      <c r="I6503">
        <v>16.36694</v>
      </c>
      <c r="J6503">
        <v>-383.70330000000001</v>
      </c>
      <c r="K6503">
        <v>1.1207320000000001</v>
      </c>
      <c r="L6503">
        <v>17.029879999999999</v>
      </c>
      <c r="M6503">
        <v>0.99961610000000001</v>
      </c>
      <c r="N6503">
        <v>-5.4088919999999898E-3</v>
      </c>
      <c r="O6503">
        <v>-2.717878E-2</v>
      </c>
      <c r="P6503">
        <v>0.99342370000000002</v>
      </c>
      <c r="Q6503">
        <v>-0.1111982</v>
      </c>
      <c r="R6503">
        <v>2.7287909999999999E-2</v>
      </c>
      <c r="S6503">
        <v>2.9977719999999999</v>
      </c>
      <c r="T6503">
        <v>-0.2291378</v>
      </c>
      <c r="U6503">
        <v>-0.13610839999999999</v>
      </c>
      <c r="V6503">
        <v>-5.4060829999999997E-2</v>
      </c>
      <c r="W6503">
        <v>-0.10594050000000001</v>
      </c>
      <c r="X6503">
        <v>0.99290179999999995</v>
      </c>
      <c r="Y6503">
        <v>1.8200049999999999E-2</v>
      </c>
      <c r="Z6503">
        <v>1.1825449999999999E-3</v>
      </c>
      <c r="AA6503">
        <v>0.99983359999999999</v>
      </c>
      <c r="AB6503">
        <v>22</v>
      </c>
      <c r="AC6503">
        <v>14.5336</v>
      </c>
      <c r="AD6503">
        <v>-1.1207331838429999</v>
      </c>
      <c r="AE6503">
        <v>-0.66293999999999897</v>
      </c>
      <c r="AF6503">
        <v>0.26610476315118597</v>
      </c>
      <c r="AG6503">
        <v>-1.1207331838429999</v>
      </c>
      <c r="AH6503">
        <v>14.460439335719601</v>
      </c>
      <c r="AI6503">
        <v>94.431011026237201</v>
      </c>
      <c r="AJ6503">
        <v>88.945747167756195</v>
      </c>
      <c r="AK6503">
        <v>14.5062455651476</v>
      </c>
      <c r="AL6503">
        <v>96.0813556445747</v>
      </c>
      <c r="AM6503">
        <v>93.116523723665495</v>
      </c>
      <c r="AN6503">
        <v>0.99999997366188897</v>
      </c>
    </row>
    <row r="6504" spans="1:40" x14ac:dyDescent="0.25">
      <c r="A6504" t="str">
        <f>"20190303154311062"</f>
        <v>20190303154311062</v>
      </c>
      <c r="B6504" t="str">
        <f>"1551598991056372"</f>
        <v>1551598991056372</v>
      </c>
      <c r="C6504" t="s">
        <v>40</v>
      </c>
      <c r="D6504">
        <v>5.9608939999999997</v>
      </c>
      <c r="E6504">
        <v>0.5274413</v>
      </c>
      <c r="F6504" t="s">
        <v>62</v>
      </c>
      <c r="G6504">
        <v>-369.10739999999998</v>
      </c>
      <c r="H6504" s="1">
        <v>-1.205603E-6</v>
      </c>
      <c r="I6504">
        <v>16.3752</v>
      </c>
      <c r="J6504">
        <v>-383.53289999999998</v>
      </c>
      <c r="K6504">
        <v>1.120736</v>
      </c>
      <c r="L6504">
        <v>17.02637</v>
      </c>
      <c r="M6504">
        <v>0.99964410000000004</v>
      </c>
      <c r="N6504">
        <v>-5.4057929999999999E-3</v>
      </c>
      <c r="O6504">
        <v>-2.612795E-2</v>
      </c>
      <c r="P6504">
        <v>0.99340030000000001</v>
      </c>
      <c r="Q6504">
        <v>-0.1111702</v>
      </c>
      <c r="R6504">
        <v>2.824016E-2</v>
      </c>
      <c r="S6504">
        <v>2.9978030000000002</v>
      </c>
      <c r="T6504">
        <v>-0.23018259999999999</v>
      </c>
      <c r="U6504">
        <v>-0.13446040000000001</v>
      </c>
      <c r="V6504">
        <v>-5.396865E-2</v>
      </c>
      <c r="W6504">
        <v>-0.1059156</v>
      </c>
      <c r="X6504">
        <v>0.9929095</v>
      </c>
      <c r="Y6504">
        <v>1.8698059999999999E-2</v>
      </c>
      <c r="Z6504">
        <v>1.0936920000000001E-3</v>
      </c>
      <c r="AA6504">
        <v>0.99982459999999995</v>
      </c>
      <c r="AB6504">
        <v>22</v>
      </c>
      <c r="AC6504">
        <v>14.4255</v>
      </c>
      <c r="AD6504">
        <v>-1.1207372056029901</v>
      </c>
      <c r="AE6504">
        <v>-0.65117000000000003</v>
      </c>
      <c r="AF6504">
        <v>0.27239267394254502</v>
      </c>
      <c r="AG6504">
        <v>-1.1207372056029901</v>
      </c>
      <c r="AH6504">
        <v>14.351142404062299</v>
      </c>
      <c r="AI6504">
        <v>94.464589169291102</v>
      </c>
      <c r="AJ6504">
        <v>88.912624768247099</v>
      </c>
      <c r="AK6504">
        <v>14.3974142801586</v>
      </c>
      <c r="AL6504">
        <v>96.079920732436605</v>
      </c>
      <c r="AM6504">
        <v>93.111196057047593</v>
      </c>
      <c r="AN6504">
        <v>1.0000000023482101</v>
      </c>
    </row>
    <row r="6505" spans="1:40" x14ac:dyDescent="0.25">
      <c r="A6505" t="str">
        <f>"20190303154311074"</f>
        <v>20190303154311074</v>
      </c>
      <c r="B6505" t="str">
        <f>"1551598991067107"</f>
        <v>1551598991067107</v>
      </c>
      <c r="C6505" t="s">
        <v>40</v>
      </c>
      <c r="D6505">
        <v>5.9596080000000002</v>
      </c>
      <c r="E6505">
        <v>0.5274818</v>
      </c>
      <c r="F6505" t="s">
        <v>62</v>
      </c>
      <c r="G6505">
        <v>-368.9769</v>
      </c>
      <c r="H6505" s="1">
        <v>-1.253526E-6</v>
      </c>
      <c r="I6505">
        <v>16.383430000000001</v>
      </c>
      <c r="J6505">
        <v>-383.40190000000001</v>
      </c>
      <c r="K6505">
        <v>1.12073</v>
      </c>
      <c r="L6505">
        <v>17.023769999999999</v>
      </c>
      <c r="M6505">
        <v>0.99966500000000003</v>
      </c>
      <c r="N6505">
        <v>-5.403845E-3</v>
      </c>
      <c r="O6505">
        <v>-2.5319850000000001E-2</v>
      </c>
      <c r="P6505">
        <v>0.99344829999999995</v>
      </c>
      <c r="Q6505">
        <v>-0.11056580000000001</v>
      </c>
      <c r="R6505">
        <v>2.891312E-2</v>
      </c>
      <c r="S6505">
        <v>2.9978940000000001</v>
      </c>
      <c r="T6505">
        <v>-0.23082169999999999</v>
      </c>
      <c r="U6505">
        <v>-0.1324158</v>
      </c>
      <c r="V6505">
        <v>-5.3842389999999997E-2</v>
      </c>
      <c r="W6505">
        <v>-0.105312</v>
      </c>
      <c r="X6505">
        <v>0.99298050000000004</v>
      </c>
      <c r="Y6505">
        <v>1.8821999999999998E-2</v>
      </c>
      <c r="Z6505">
        <v>1.0345020000000001E-3</v>
      </c>
      <c r="AA6505">
        <v>0.99982230000000005</v>
      </c>
      <c r="AB6505">
        <v>22</v>
      </c>
      <c r="AC6505">
        <v>14.425000000000001</v>
      </c>
      <c r="AD6505">
        <v>-1.1207312535259999</v>
      </c>
      <c r="AE6505">
        <v>-0.64034000000000102</v>
      </c>
      <c r="AF6505">
        <v>0.27324446368050798</v>
      </c>
      <c r="AG6505">
        <v>-1.1207312535259999</v>
      </c>
      <c r="AH6505">
        <v>14.35013729832</v>
      </c>
      <c r="AI6505">
        <v>94.464871866522302</v>
      </c>
      <c r="AJ6505">
        <v>88.909148913813993</v>
      </c>
      <c r="AK6505">
        <v>14.3964280833892</v>
      </c>
      <c r="AL6505">
        <v>96.045142829307295</v>
      </c>
      <c r="AM6505">
        <v>93.103710140215497</v>
      </c>
      <c r="AN6505">
        <v>0.99999994684257898</v>
      </c>
    </row>
    <row r="6506" spans="1:40" x14ac:dyDescent="0.25">
      <c r="A6506" t="str">
        <f>"20190303154311088"</f>
        <v>20190303154311088</v>
      </c>
      <c r="B6506" t="str">
        <f>"1551598991076867"</f>
        <v>1551598991076867</v>
      </c>
      <c r="C6506" t="s">
        <v>40</v>
      </c>
      <c r="D6506">
        <v>5.9512609999999997</v>
      </c>
      <c r="E6506">
        <v>0.5274818</v>
      </c>
      <c r="F6506" t="s">
        <v>62</v>
      </c>
      <c r="G6506">
        <v>-368.74340000000001</v>
      </c>
      <c r="H6506" s="1">
        <v>-1.3428249999999999E-6</v>
      </c>
      <c r="I6506">
        <v>16.384699999999999</v>
      </c>
      <c r="J6506">
        <v>-383.27550000000002</v>
      </c>
      <c r="K6506">
        <v>1.1207180000000001</v>
      </c>
      <c r="L6506">
        <v>17.02139</v>
      </c>
      <c r="M6506">
        <v>0.99968420000000002</v>
      </c>
      <c r="N6506">
        <v>-5.4023530000000004E-3</v>
      </c>
      <c r="O6506">
        <v>-2.4547759999999998E-2</v>
      </c>
      <c r="P6506">
        <v>0.99349540000000003</v>
      </c>
      <c r="Q6506">
        <v>-0.1099456</v>
      </c>
      <c r="R6506">
        <v>2.9653970000000002E-2</v>
      </c>
      <c r="S6506">
        <v>2.9980470000000001</v>
      </c>
      <c r="T6506">
        <v>-0.22922020000000001</v>
      </c>
      <c r="U6506">
        <v>-0.13070680000000001</v>
      </c>
      <c r="V6506">
        <v>-5.3820840000000002E-2</v>
      </c>
      <c r="W6506">
        <v>-0.1046921</v>
      </c>
      <c r="X6506">
        <v>0.99304729999999997</v>
      </c>
      <c r="Y6506">
        <v>1.90204E-2</v>
      </c>
      <c r="Z6506">
        <v>9.6322499999999995E-4</v>
      </c>
      <c r="AA6506">
        <v>0.9998186</v>
      </c>
      <c r="AB6506">
        <v>22</v>
      </c>
      <c r="AC6506">
        <v>14.5321</v>
      </c>
      <c r="AD6506">
        <v>-1.120719342825</v>
      </c>
      <c r="AE6506">
        <v>-0.63669000000000098</v>
      </c>
      <c r="AF6506">
        <v>0.27811156472116499</v>
      </c>
      <c r="AG6506">
        <v>-1.120719342825</v>
      </c>
      <c r="AH6506">
        <v>14.4575283740775</v>
      </c>
      <c r="AI6506">
        <v>94.431775848411107</v>
      </c>
      <c r="AJ6506">
        <v>88.897968350589494</v>
      </c>
      <c r="AK6506">
        <v>14.5035679946374</v>
      </c>
      <c r="AL6506">
        <v>96.009427242742007</v>
      </c>
      <c r="AM6506">
        <v>93.102262043135894</v>
      </c>
      <c r="AN6506">
        <v>1.0000000293289999</v>
      </c>
    </row>
    <row r="6507" spans="1:40" x14ac:dyDescent="0.25">
      <c r="A6507" t="str">
        <f>"20190303154311100"</f>
        <v>20190303154311100</v>
      </c>
      <c r="B6507" t="str">
        <f>"1551598991097015"</f>
        <v>1551598991097015</v>
      </c>
      <c r="C6507" t="s">
        <v>40</v>
      </c>
      <c r="D6507">
        <v>5.850848</v>
      </c>
      <c r="E6507">
        <v>0.52680919999999998</v>
      </c>
      <c r="F6507" t="s">
        <v>62</v>
      </c>
      <c r="G6507">
        <v>-368.48750000000001</v>
      </c>
      <c r="H6507" s="1">
        <v>-1.440237E-6</v>
      </c>
      <c r="I6507">
        <v>16.388020000000001</v>
      </c>
      <c r="J6507">
        <v>-383.14620000000002</v>
      </c>
      <c r="K6507">
        <v>1.120711</v>
      </c>
      <c r="L6507">
        <v>17.01904</v>
      </c>
      <c r="M6507">
        <v>0.99970300000000001</v>
      </c>
      <c r="N6507">
        <v>-5.4010799999999999E-3</v>
      </c>
      <c r="O6507">
        <v>-2.376232E-2</v>
      </c>
      <c r="P6507">
        <v>0.99356440000000001</v>
      </c>
      <c r="Q6507">
        <v>-0.10909820000000001</v>
      </c>
      <c r="R6507">
        <v>3.0455490000000002E-2</v>
      </c>
      <c r="S6507">
        <v>2.998291</v>
      </c>
      <c r="T6507">
        <v>-0.22722709999999999</v>
      </c>
      <c r="U6507">
        <v>-0.128418</v>
      </c>
      <c r="V6507">
        <v>-5.3847440000000003E-2</v>
      </c>
      <c r="W6507">
        <v>-0.1038446</v>
      </c>
      <c r="X6507">
        <v>0.99313479999999998</v>
      </c>
      <c r="Y6507">
        <v>1.903844E-2</v>
      </c>
      <c r="Z6507">
        <v>8.9737270000000004E-4</v>
      </c>
      <c r="AA6507">
        <v>0.99981830000000005</v>
      </c>
      <c r="AB6507">
        <v>22</v>
      </c>
      <c r="AC6507">
        <v>14.6587</v>
      </c>
      <c r="AD6507">
        <v>-1.1207124402369999</v>
      </c>
      <c r="AE6507">
        <v>-0.63101999999999903</v>
      </c>
      <c r="AF6507">
        <v>0.28087328397158301</v>
      </c>
      <c r="AG6507">
        <v>-1.1207124402369999</v>
      </c>
      <c r="AH6507">
        <v>14.5844644543453</v>
      </c>
      <c r="AI6507">
        <v>94.393326701402302</v>
      </c>
      <c r="AJ6507">
        <v>88.896711997413405</v>
      </c>
      <c r="AK6507">
        <v>14.6301568547781</v>
      </c>
      <c r="AL6507">
        <v>95.960603177124</v>
      </c>
      <c r="AM6507">
        <v>93.103519359737902</v>
      </c>
      <c r="AN6507">
        <v>0.999999989357376</v>
      </c>
    </row>
    <row r="6508" spans="1:40" x14ac:dyDescent="0.25">
      <c r="A6508" t="str">
        <f>"20190303154311117"</f>
        <v>20190303154311117</v>
      </c>
      <c r="B6508" t="str">
        <f>"1551598991106779"</f>
        <v>1551598991106779</v>
      </c>
      <c r="C6508" t="s">
        <v>40</v>
      </c>
      <c r="D6508">
        <v>5.8449869999999997</v>
      </c>
      <c r="E6508">
        <v>0.52636090000000002</v>
      </c>
      <c r="F6508" t="s">
        <v>62</v>
      </c>
      <c r="G6508">
        <v>-367.96159999999998</v>
      </c>
      <c r="H6508" s="1">
        <v>-1.6366689999999999E-6</v>
      </c>
      <c r="I6508">
        <v>16.408660000000001</v>
      </c>
      <c r="J6508">
        <v>-382.98169999999999</v>
      </c>
      <c r="K6508">
        <v>1.1207</v>
      </c>
      <c r="L6508">
        <v>17.016169999999999</v>
      </c>
      <c r="M6508">
        <v>0.99972609999999995</v>
      </c>
      <c r="N6508">
        <v>-5.3999649999999996E-3</v>
      </c>
      <c r="O6508">
        <v>-2.277351E-2</v>
      </c>
      <c r="P6508">
        <v>0.9937047</v>
      </c>
      <c r="Q6508">
        <v>-0.1077419</v>
      </c>
      <c r="R6508">
        <v>3.0703749999999998E-2</v>
      </c>
      <c r="S6508">
        <v>2.9988100000000002</v>
      </c>
      <c r="T6508">
        <v>-0.22133030000000001</v>
      </c>
      <c r="U6508">
        <v>-0.1205444</v>
      </c>
      <c r="V6508">
        <v>-5.312186E-2</v>
      </c>
      <c r="W6508">
        <v>-0.1024859</v>
      </c>
      <c r="X6508">
        <v>0.99331499999999995</v>
      </c>
      <c r="Y6508">
        <v>1.7401489999999999E-2</v>
      </c>
      <c r="Z6508">
        <v>8.6666079999999995E-4</v>
      </c>
      <c r="AA6508">
        <v>0.99984819999999996</v>
      </c>
      <c r="AB6508">
        <v>22</v>
      </c>
      <c r="AC6508">
        <v>15.020099999999999</v>
      </c>
      <c r="AD6508">
        <v>-1.1207016366689999</v>
      </c>
      <c r="AE6508">
        <v>-0.60751000000000099</v>
      </c>
      <c r="AF6508">
        <v>0.263820728742304</v>
      </c>
      <c r="AG6508">
        <v>-1.1207016366689999</v>
      </c>
      <c r="AH6508">
        <v>14.9469634024529</v>
      </c>
      <c r="AI6508">
        <v>94.287265901324901</v>
      </c>
      <c r="AJ6508">
        <v>88.988808330399394</v>
      </c>
      <c r="AK6508">
        <v>14.9912403919627</v>
      </c>
      <c r="AL6508">
        <v>95.882337781781203</v>
      </c>
      <c r="AM6508">
        <v>93.061225978146794</v>
      </c>
      <c r="AN6508">
        <v>0.99999999046683397</v>
      </c>
    </row>
    <row r="6509" spans="1:40" x14ac:dyDescent="0.25">
      <c r="A6509" t="str">
        <f>"20190303154311140"</f>
        <v>20190303154311140</v>
      </c>
      <c r="B6509" t="str">
        <f>"1551598991137031"</f>
        <v>1551598991137031</v>
      </c>
      <c r="C6509" t="s">
        <v>40</v>
      </c>
      <c r="D6509">
        <v>5.8566929999999999</v>
      </c>
      <c r="E6509">
        <v>0.52522049999999998</v>
      </c>
      <c r="F6509" t="s">
        <v>62</v>
      </c>
      <c r="G6509">
        <v>-367.31779999999998</v>
      </c>
      <c r="H6509" s="1">
        <v>-1.8835770000000001E-6</v>
      </c>
      <c r="I6509">
        <v>16.4099</v>
      </c>
      <c r="J6509">
        <v>-382.74349999999998</v>
      </c>
      <c r="K6509">
        <v>1.1206849999999999</v>
      </c>
      <c r="L6509">
        <v>17.012329999999999</v>
      </c>
      <c r="M6509">
        <v>0.99975709999999995</v>
      </c>
      <c r="N6509">
        <v>-5.3989149999999998E-3</v>
      </c>
      <c r="O6509">
        <v>-2.1370710000000001E-2</v>
      </c>
      <c r="P6509">
        <v>0.99363710000000005</v>
      </c>
      <c r="Q6509">
        <v>-0.1083972</v>
      </c>
      <c r="R6509">
        <v>3.0589689999999999E-2</v>
      </c>
      <c r="S6509">
        <v>2.999298</v>
      </c>
      <c r="T6509">
        <v>-0.21459030000000001</v>
      </c>
      <c r="U6509">
        <v>-0.11608889999999999</v>
      </c>
      <c r="V6509">
        <v>-5.1614470000000003E-2</v>
      </c>
      <c r="W6509">
        <v>-0.1031378</v>
      </c>
      <c r="X6509">
        <v>0.99332699999999996</v>
      </c>
      <c r="Y6509">
        <v>1.7311610000000002E-2</v>
      </c>
      <c r="Z6509">
        <v>7.459341E-4</v>
      </c>
      <c r="AA6509">
        <v>0.99984989999999996</v>
      </c>
      <c r="AB6509">
        <v>22</v>
      </c>
      <c r="AC6509">
        <v>15.425700000000001</v>
      </c>
      <c r="AD6509">
        <v>-1.1206868835770001</v>
      </c>
      <c r="AE6509">
        <v>-0.60242999999999802</v>
      </c>
      <c r="AF6509">
        <v>0.27120022028767599</v>
      </c>
      <c r="AG6509">
        <v>-1.1206868835770001</v>
      </c>
      <c r="AH6509">
        <v>15.3541340597447</v>
      </c>
      <c r="AI6509">
        <v>94.173925057290305</v>
      </c>
      <c r="AJ6509">
        <v>88.988089309119005</v>
      </c>
      <c r="AK6509">
        <v>15.3973673520871</v>
      </c>
      <c r="AL6509">
        <v>95.919887864539007</v>
      </c>
      <c r="AM6509">
        <v>92.974482790111097</v>
      </c>
      <c r="AN6509">
        <v>0.99999999411561002</v>
      </c>
    </row>
    <row r="6510" spans="1:40" x14ac:dyDescent="0.25">
      <c r="A6510" t="str">
        <f>"20190303154311157"</f>
        <v>20190303154311157</v>
      </c>
      <c r="B6510" t="str">
        <f>"1551598991146791"</f>
        <v>1551598991146791</v>
      </c>
      <c r="C6510" t="s">
        <v>40</v>
      </c>
      <c r="D6510">
        <v>5.866892</v>
      </c>
      <c r="E6510">
        <v>0.52487450000000002</v>
      </c>
      <c r="F6510" t="s">
        <v>62</v>
      </c>
      <c r="G6510">
        <v>-366.77100000000002</v>
      </c>
      <c r="H6510" s="1">
        <v>-2.090004E-6</v>
      </c>
      <c r="I6510">
        <v>16.441289999999999</v>
      </c>
      <c r="J6510">
        <v>-382.57889999999998</v>
      </c>
      <c r="K6510">
        <v>1.1206719999999999</v>
      </c>
      <c r="L6510">
        <v>17.009829999999901</v>
      </c>
      <c r="M6510">
        <v>0.99977700000000003</v>
      </c>
      <c r="N6510">
        <v>-5.3986629999999997E-3</v>
      </c>
      <c r="O6510">
        <v>-2.0418140000000001E-2</v>
      </c>
      <c r="P6510">
        <v>0.99356949999999999</v>
      </c>
      <c r="Q6510">
        <v>-0.1090174</v>
      </c>
      <c r="R6510">
        <v>3.0578020000000001E-2</v>
      </c>
      <c r="S6510">
        <v>2.9995419999999999</v>
      </c>
      <c r="T6510">
        <v>-0.2104588</v>
      </c>
      <c r="U6510">
        <v>-0.1072388</v>
      </c>
      <c r="V6510">
        <v>-5.0655810000000003E-2</v>
      </c>
      <c r="W6510">
        <v>-0.10375570000000001</v>
      </c>
      <c r="X6510">
        <v>0.99331199999999997</v>
      </c>
      <c r="Y6510">
        <v>1.531823E-2</v>
      </c>
      <c r="Z6510">
        <v>7.4212639999999999E-4</v>
      </c>
      <c r="AA6510">
        <v>0.99988239999999995</v>
      </c>
      <c r="AB6510">
        <v>23</v>
      </c>
      <c r="AC6510">
        <v>15.8079</v>
      </c>
      <c r="AD6510">
        <v>-1.120674090004</v>
      </c>
      <c r="AE6510">
        <v>-0.56853999999999805</v>
      </c>
      <c r="AF6510">
        <v>0.24442202463932799</v>
      </c>
      <c r="AG6510">
        <v>-1.120674090004</v>
      </c>
      <c r="AH6510">
        <v>15.737222214561299</v>
      </c>
      <c r="AI6510">
        <v>94.072763369909097</v>
      </c>
      <c r="AJ6510">
        <v>89.110184482895605</v>
      </c>
      <c r="AK6510">
        <v>15.778967506545399</v>
      </c>
      <c r="AL6510">
        <v>95.955481897206596</v>
      </c>
      <c r="AM6510">
        <v>92.919376790028807</v>
      </c>
      <c r="AN6510">
        <v>0.999999992856623</v>
      </c>
    </row>
    <row r="6511" spans="1:40" x14ac:dyDescent="0.25">
      <c r="A6511" t="str">
        <f>"20190303154311175"</f>
        <v>20190303154311175</v>
      </c>
      <c r="B6511" t="str">
        <f>"1551598991167288"</f>
        <v>1551598991167288</v>
      </c>
      <c r="C6511" t="s">
        <v>40</v>
      </c>
      <c r="D6511">
        <v>5.8408300000000004</v>
      </c>
      <c r="E6511">
        <v>0.52426609999999996</v>
      </c>
      <c r="F6511" t="s">
        <v>62</v>
      </c>
      <c r="G6511">
        <v>-366.63920000000002</v>
      </c>
      <c r="H6511" s="1">
        <v>-2.1499719999999998E-6</v>
      </c>
      <c r="I6511">
        <v>16.454529999999998</v>
      </c>
      <c r="J6511">
        <v>-382.3929</v>
      </c>
      <c r="K6511">
        <v>1.1206510000000001</v>
      </c>
      <c r="L6511">
        <v>17.00723</v>
      </c>
      <c r="M6511">
        <v>0.99979810000000002</v>
      </c>
      <c r="N6511">
        <v>-5.3986379999999999E-3</v>
      </c>
      <c r="O6511">
        <v>-1.9362939999999999E-2</v>
      </c>
      <c r="P6511">
        <v>0.99338749999999998</v>
      </c>
      <c r="Q6511">
        <v>-0.1110497</v>
      </c>
      <c r="R6511">
        <v>2.9145230000000001E-2</v>
      </c>
      <c r="S6511">
        <v>2.9994510000000001</v>
      </c>
      <c r="T6511">
        <v>-0.2108815</v>
      </c>
      <c r="U6511">
        <v>-0.10449219999999999</v>
      </c>
      <c r="V6511">
        <v>-4.817051E-2</v>
      </c>
      <c r="W6511">
        <v>-0.1057826</v>
      </c>
      <c r="X6511">
        <v>0.99322189999999999</v>
      </c>
      <c r="Y6511">
        <v>1.545762E-2</v>
      </c>
      <c r="Z6511">
        <v>6.7033320000000002E-4</v>
      </c>
      <c r="AA6511">
        <v>0.99988030000000006</v>
      </c>
      <c r="AB6511">
        <v>23</v>
      </c>
      <c r="AC6511">
        <v>15.753699999999901</v>
      </c>
      <c r="AD6511">
        <v>-1.1206531499720001</v>
      </c>
      <c r="AE6511">
        <v>-0.55270000000000097</v>
      </c>
      <c r="AF6511">
        <v>0.24630916230512101</v>
      </c>
      <c r="AG6511">
        <v>-1.1206531499720001</v>
      </c>
      <c r="AH6511">
        <v>15.682189261833001</v>
      </c>
      <c r="AI6511">
        <v>94.086920198243803</v>
      </c>
      <c r="AJ6511">
        <v>89.100169311000499</v>
      </c>
      <c r="AK6511">
        <v>15.724108614796901</v>
      </c>
      <c r="AL6511">
        <v>96.072257054604194</v>
      </c>
      <c r="AM6511">
        <v>92.776626242755796</v>
      </c>
      <c r="AN6511">
        <v>1.0000000495680099</v>
      </c>
    </row>
    <row r="6512" spans="1:40" x14ac:dyDescent="0.25">
      <c r="A6512" t="str">
        <f>"20190303154311198"</f>
        <v>20190303154311198</v>
      </c>
      <c r="B6512" t="str">
        <f>"1551598991186807"</f>
        <v>1551598991186807</v>
      </c>
      <c r="C6512" t="s">
        <v>40</v>
      </c>
      <c r="D6512">
        <v>5.8024380000000004</v>
      </c>
      <c r="E6512">
        <v>0.52362819999999999</v>
      </c>
      <c r="F6512" t="s">
        <v>62</v>
      </c>
      <c r="G6512">
        <v>-366.67129999999997</v>
      </c>
      <c r="H6512" s="1">
        <v>-2.1333660000000001E-6</v>
      </c>
      <c r="I6512">
        <v>16.462529999999902</v>
      </c>
      <c r="J6512">
        <v>-382.16289999999998</v>
      </c>
      <c r="K6512">
        <v>1.1206259999999999</v>
      </c>
      <c r="L6512">
        <v>17.00421</v>
      </c>
      <c r="M6512">
        <v>0.99982179999999998</v>
      </c>
      <c r="N6512">
        <v>-5.3996360000000002E-3</v>
      </c>
      <c r="O6512">
        <v>-1.809846E-2</v>
      </c>
      <c r="P6512">
        <v>0.99334250000000002</v>
      </c>
      <c r="Q6512">
        <v>-0.1118426</v>
      </c>
      <c r="R6512">
        <v>2.7608130000000002E-2</v>
      </c>
      <c r="S6512">
        <v>2.9991759999999998</v>
      </c>
      <c r="T6512">
        <v>-0.2137848</v>
      </c>
      <c r="U6512">
        <v>-0.1039124</v>
      </c>
      <c r="V6512">
        <v>-4.538027E-2</v>
      </c>
      <c r="W6512">
        <v>-0.1065668</v>
      </c>
      <c r="X6512">
        <v>0.99326939999999997</v>
      </c>
      <c r="Y6512">
        <v>1.6526760000000001E-2</v>
      </c>
      <c r="Z6512">
        <v>5.5751719999999995E-4</v>
      </c>
      <c r="AA6512">
        <v>0.99986330000000001</v>
      </c>
      <c r="AB6512">
        <v>23</v>
      </c>
      <c r="AC6512">
        <v>15.4916</v>
      </c>
      <c r="AD6512">
        <v>-1.120628133366</v>
      </c>
      <c r="AE6512">
        <v>-0.54168000000000205</v>
      </c>
      <c r="AF6512">
        <v>0.25985503543211103</v>
      </c>
      <c r="AG6512">
        <v>-1.120628133366</v>
      </c>
      <c r="AH6512">
        <v>15.4182846622595</v>
      </c>
      <c r="AI6512">
        <v>94.156460365375494</v>
      </c>
      <c r="AJ6512">
        <v>89.034445939034498</v>
      </c>
      <c r="AK6512">
        <v>15.46113947868</v>
      </c>
      <c r="AL6512">
        <v>96.117444271939206</v>
      </c>
      <c r="AM6512">
        <v>92.615897642602704</v>
      </c>
      <c r="AN6512">
        <v>0.99999997637193605</v>
      </c>
    </row>
    <row r="6513" spans="1:40" x14ac:dyDescent="0.25">
      <c r="A6513" t="str">
        <f>"20190303154311211"</f>
        <v>20190303154311211</v>
      </c>
      <c r="B6513" t="str">
        <f>"1551598991207060"</f>
        <v>1551598991207060</v>
      </c>
      <c r="C6513" t="s">
        <v>40</v>
      </c>
      <c r="D6513">
        <v>5.8541270000000001</v>
      </c>
      <c r="E6513">
        <v>0.52307519999999996</v>
      </c>
      <c r="F6513" t="s">
        <v>62</v>
      </c>
      <c r="G6513">
        <v>-366.3494</v>
      </c>
      <c r="H6513" s="1">
        <v>-2.2860420000000001E-6</v>
      </c>
      <c r="I6513">
        <v>16.459529999999901</v>
      </c>
      <c r="J6513">
        <v>-382.01949999999999</v>
      </c>
      <c r="K6513">
        <v>1.1206050000000001</v>
      </c>
      <c r="L6513">
        <v>17.002469999999999</v>
      </c>
      <c r="M6513">
        <v>0.99983500000000003</v>
      </c>
      <c r="N6513">
        <v>-5.4030399999999996E-3</v>
      </c>
      <c r="O6513">
        <v>-1.734349E-2</v>
      </c>
      <c r="P6513">
        <v>0.99337520000000001</v>
      </c>
      <c r="Q6513">
        <v>-0.1116065</v>
      </c>
      <c r="R6513">
        <v>2.7381119999999998E-2</v>
      </c>
      <c r="S6513">
        <v>2.9990839999999999</v>
      </c>
      <c r="T6513">
        <v>-0.21253159999999999</v>
      </c>
      <c r="U6513">
        <v>-0.103302</v>
      </c>
      <c r="V6513">
        <v>-4.4410480000000002E-2</v>
      </c>
      <c r="W6513">
        <v>-0.1063228</v>
      </c>
      <c r="X6513">
        <v>0.99333939999999998</v>
      </c>
      <c r="Y6513">
        <v>1.7076480000000002E-2</v>
      </c>
      <c r="Z6513">
        <v>4.8309399999999999E-4</v>
      </c>
      <c r="AA6513">
        <v>0.99985409999999997</v>
      </c>
      <c r="AB6513">
        <v>23</v>
      </c>
      <c r="AC6513">
        <v>15.6700999999999</v>
      </c>
      <c r="AD6513">
        <v>-1.12060728604199</v>
      </c>
      <c r="AE6513">
        <v>-0.54294000000000497</v>
      </c>
      <c r="AF6513">
        <v>0.26970253354124202</v>
      </c>
      <c r="AG6513">
        <v>-1.12060728604199</v>
      </c>
      <c r="AH6513">
        <v>15.5974892111253</v>
      </c>
      <c r="AI6513">
        <v>94.108763200320993</v>
      </c>
      <c r="AJ6513">
        <v>89.009374081331302</v>
      </c>
      <c r="AK6513">
        <v>15.640018217294299</v>
      </c>
      <c r="AL6513">
        <v>96.103384100139706</v>
      </c>
      <c r="AM6513">
        <v>92.559890142736293</v>
      </c>
      <c r="AN6513">
        <v>0.99999999606301504</v>
      </c>
    </row>
    <row r="6514" spans="1:40" x14ac:dyDescent="0.25">
      <c r="A6514" t="str">
        <f>"20190303154311229"</f>
        <v>20190303154311229</v>
      </c>
      <c r="B6514" t="str">
        <f>"1551598991226578"</f>
        <v>1551598991226578</v>
      </c>
      <c r="C6514" t="s">
        <v>40</v>
      </c>
      <c r="D6514">
        <v>5.8363389999999997</v>
      </c>
      <c r="E6514">
        <v>0.52247460000000001</v>
      </c>
      <c r="F6514" t="s">
        <v>62</v>
      </c>
      <c r="G6514">
        <v>-365.91090000000003</v>
      </c>
      <c r="H6514" s="1">
        <v>-2.49186E-6</v>
      </c>
      <c r="I6514">
        <v>16.46799</v>
      </c>
      <c r="J6514">
        <v>-381.83769999999998</v>
      </c>
      <c r="K6514">
        <v>1.1205780000000001</v>
      </c>
      <c r="L6514">
        <v>17.00037</v>
      </c>
      <c r="M6514">
        <v>0.99985060000000003</v>
      </c>
      <c r="N6514">
        <v>-5.4100869999999896E-3</v>
      </c>
      <c r="O6514">
        <v>-1.6420250000000001E-2</v>
      </c>
      <c r="P6514">
        <v>0.99348860000000005</v>
      </c>
      <c r="Q6514">
        <v>-0.11090079999999999</v>
      </c>
      <c r="R6514">
        <v>2.6101860000000001E-2</v>
      </c>
      <c r="S6514">
        <v>2.999298</v>
      </c>
      <c r="T6514">
        <v>-0.20864840000000001</v>
      </c>
      <c r="U6514">
        <v>-9.9517820000000007E-2</v>
      </c>
      <c r="V6514">
        <v>-4.2226270000000003E-2</v>
      </c>
      <c r="W6514">
        <v>-0.1056018</v>
      </c>
      <c r="X6514">
        <v>0.99351160000000005</v>
      </c>
      <c r="Y6514">
        <v>1.6736350000000001E-2</v>
      </c>
      <c r="Z6514">
        <v>4.2513750000000003E-4</v>
      </c>
      <c r="AA6514">
        <v>0.99985990000000002</v>
      </c>
      <c r="AB6514">
        <v>23</v>
      </c>
      <c r="AC6514">
        <v>15.926799999999901</v>
      </c>
      <c r="AD6514">
        <v>-1.12058049186</v>
      </c>
      <c r="AE6514">
        <v>-0.53237999999999897</v>
      </c>
      <c r="AF6514">
        <v>0.26945000969313099</v>
      </c>
      <c r="AG6514">
        <v>-1.12058049186</v>
      </c>
      <c r="AH6514">
        <v>15.8549956616085</v>
      </c>
      <c r="AI6514">
        <v>94.042178548776405</v>
      </c>
      <c r="AJ6514">
        <v>89.026372340835493</v>
      </c>
      <c r="AK6514">
        <v>15.896829601404299</v>
      </c>
      <c r="AL6514">
        <v>96.061839634414795</v>
      </c>
      <c r="AM6514">
        <v>92.433722786965106</v>
      </c>
      <c r="AN6514">
        <v>1.0000000486879499</v>
      </c>
    </row>
    <row r="6515" spans="1:40" x14ac:dyDescent="0.25">
      <c r="A6515" t="str">
        <f>"20190303154311251"</f>
        <v>20190303154311251</v>
      </c>
      <c r="B6515" t="str">
        <f>"1551598991247075"</f>
        <v>1551598991247075</v>
      </c>
      <c r="C6515" t="s">
        <v>40</v>
      </c>
      <c r="D6515">
        <v>5.8049650000000002</v>
      </c>
      <c r="E6515">
        <v>0.52195879999999995</v>
      </c>
      <c r="F6515" t="s">
        <v>62</v>
      </c>
      <c r="G6515">
        <v>-365.30380000000002</v>
      </c>
      <c r="H6515" s="1">
        <v>-2.780665E-6</v>
      </c>
      <c r="I6515">
        <v>16.457529999999998</v>
      </c>
      <c r="J6515">
        <v>-381.60610000000003</v>
      </c>
      <c r="K6515">
        <v>1.1205270000000001</v>
      </c>
      <c r="L6515">
        <v>16.99783</v>
      </c>
      <c r="M6515">
        <v>0.99986819999999998</v>
      </c>
      <c r="N6515">
        <v>-5.424669E-3</v>
      </c>
      <c r="O6515">
        <v>-1.53151E-2</v>
      </c>
      <c r="P6515">
        <v>0.99359299999999995</v>
      </c>
      <c r="Q6515">
        <v>-0.1099599</v>
      </c>
      <c r="R6515">
        <v>2.611511E-2</v>
      </c>
      <c r="S6515">
        <v>2.9995729999999998</v>
      </c>
      <c r="T6515">
        <v>-0.20329549999999999</v>
      </c>
      <c r="U6515">
        <v>-9.8480219999999993E-2</v>
      </c>
      <c r="V6515">
        <v>-4.1158859999999999E-2</v>
      </c>
      <c r="W6515">
        <v>-0.1046383</v>
      </c>
      <c r="X6515">
        <v>0.99365829999999999</v>
      </c>
      <c r="Y6515">
        <v>1.748922E-2</v>
      </c>
      <c r="Z6515">
        <v>3.141024E-4</v>
      </c>
      <c r="AA6515">
        <v>0.99984700000000004</v>
      </c>
      <c r="AB6515">
        <v>23</v>
      </c>
      <c r="AC6515">
        <v>16.302299999999999</v>
      </c>
      <c r="AD6515">
        <v>-1.1205297806649901</v>
      </c>
      <c r="AE6515">
        <v>-0.540300000000002</v>
      </c>
      <c r="AF6515">
        <v>0.28919686128602001</v>
      </c>
      <c r="AG6515">
        <v>-1.1205297806649901</v>
      </c>
      <c r="AH6515">
        <v>16.232059808789501</v>
      </c>
      <c r="AI6515">
        <v>93.948346518162694</v>
      </c>
      <c r="AJ6515">
        <v>88.979303494719403</v>
      </c>
      <c r="AK6515">
        <v>16.273259890079</v>
      </c>
      <c r="AL6515">
        <v>96.006327753705705</v>
      </c>
      <c r="AM6515">
        <v>92.371923676761696</v>
      </c>
      <c r="AN6515">
        <v>1.00000002137113</v>
      </c>
    </row>
    <row r="6516" spans="1:40" x14ac:dyDescent="0.25">
      <c r="A6516" t="str">
        <f>"20190303154311265"</f>
        <v>20190303154311265</v>
      </c>
      <c r="B6516" t="str">
        <f>"1551598991256834"</f>
        <v>1551598991256834</v>
      </c>
      <c r="C6516" t="s">
        <v>40</v>
      </c>
      <c r="D6516">
        <v>5.8447769999999997</v>
      </c>
      <c r="E6516">
        <v>0.52169880000000002</v>
      </c>
      <c r="F6516" t="s">
        <v>62</v>
      </c>
      <c r="G6516">
        <v>-364.55020000000002</v>
      </c>
      <c r="H6516" s="1">
        <v>-3.135971E-6</v>
      </c>
      <c r="I6516">
        <v>16.46274</v>
      </c>
      <c r="J6516">
        <v>-381.46749999999997</v>
      </c>
      <c r="K6516">
        <v>1.1204860000000001</v>
      </c>
      <c r="L6516">
        <v>16.99643</v>
      </c>
      <c r="M6516">
        <v>0.99987709999999996</v>
      </c>
      <c r="N6516">
        <v>-5.4361959999999999E-3</v>
      </c>
      <c r="O6516">
        <v>-1.47089E-2</v>
      </c>
      <c r="P6516">
        <v>0.99366429999999994</v>
      </c>
      <c r="Q6516">
        <v>-0.10935300000000001</v>
      </c>
      <c r="R6516">
        <v>2.5951950000000001E-2</v>
      </c>
      <c r="S6516">
        <v>2.9999389999999999</v>
      </c>
      <c r="T6516">
        <v>-0.1970884</v>
      </c>
      <c r="U6516">
        <v>-9.4116210000000006E-2</v>
      </c>
      <c r="V6516">
        <v>-4.0406249999999998E-2</v>
      </c>
      <c r="W6516">
        <v>-0.1040141</v>
      </c>
      <c r="X6516">
        <v>0.99375469999999999</v>
      </c>
      <c r="Y6516">
        <v>1.6639850000000001E-2</v>
      </c>
      <c r="Z6516">
        <v>2.9394049999999998E-4</v>
      </c>
      <c r="AA6516">
        <v>0.99986149999999996</v>
      </c>
      <c r="AB6516">
        <v>23</v>
      </c>
      <c r="AC6516">
        <v>16.917299999999901</v>
      </c>
      <c r="AD6516">
        <v>-1.1204891359710001</v>
      </c>
      <c r="AE6516">
        <v>-0.53369</v>
      </c>
      <c r="AF6516">
        <v>0.28355106628102</v>
      </c>
      <c r="AG6516">
        <v>-1.1204891359710001</v>
      </c>
      <c r="AH6516">
        <v>16.849477201628599</v>
      </c>
      <c r="AI6516">
        <v>93.8040269431431</v>
      </c>
      <c r="AJ6516">
        <v>89.0358902057189</v>
      </c>
      <c r="AK6516">
        <v>16.8890727714466</v>
      </c>
      <c r="AL6516">
        <v>95.970367620612706</v>
      </c>
      <c r="AM6516">
        <v>92.328374434150604</v>
      </c>
      <c r="AN6516">
        <v>1.0000000009049801</v>
      </c>
    </row>
    <row r="6517" spans="1:40" x14ac:dyDescent="0.25">
      <c r="A6517" t="str">
        <f>"20190303154311279"</f>
        <v>20190303154311279</v>
      </c>
      <c r="B6517" t="str">
        <f>"1551598991276354"</f>
        <v>1551598991276354</v>
      </c>
      <c r="C6517" t="s">
        <v>40</v>
      </c>
      <c r="D6517">
        <v>5.8574989999999998</v>
      </c>
      <c r="E6517">
        <v>0.52125690000000002</v>
      </c>
      <c r="F6517" t="s">
        <v>62</v>
      </c>
      <c r="G6517">
        <v>-364.11700000000002</v>
      </c>
      <c r="H6517" s="1">
        <v>-3.340907E-6</v>
      </c>
      <c r="I6517">
        <v>16.462029999999999</v>
      </c>
      <c r="J6517">
        <v>-381.32350000000002</v>
      </c>
      <c r="K6517">
        <v>1.1204270000000001</v>
      </c>
      <c r="L6517">
        <v>16.994959999999999</v>
      </c>
      <c r="M6517">
        <v>0.99988699999999997</v>
      </c>
      <c r="N6517">
        <v>-5.4158870000000003E-3</v>
      </c>
      <c r="O6517">
        <v>-1.403104E-2</v>
      </c>
      <c r="P6517">
        <v>0.99373359999999999</v>
      </c>
      <c r="Q6517">
        <v>-0.1085797</v>
      </c>
      <c r="R6517">
        <v>2.65349E-2</v>
      </c>
      <c r="S6517">
        <v>3.0002140000000002</v>
      </c>
      <c r="T6517">
        <v>-0.19375239999999999</v>
      </c>
      <c r="U6517">
        <v>-9.2407230000000007E-2</v>
      </c>
      <c r="V6517">
        <v>-4.0330320000000003E-2</v>
      </c>
      <c r="W6517">
        <v>-0.1032555</v>
      </c>
      <c r="X6517">
        <v>0.99383690000000002</v>
      </c>
      <c r="Y6517">
        <v>1.6744720000000001E-2</v>
      </c>
      <c r="Z6517">
        <v>2.4358459999999999E-4</v>
      </c>
      <c r="AA6517">
        <v>0.99985979999999997</v>
      </c>
      <c r="AB6517">
        <v>23</v>
      </c>
      <c r="AC6517">
        <v>17.206499999999998</v>
      </c>
      <c r="AD6517">
        <v>-1.120430340907</v>
      </c>
      <c r="AE6517">
        <v>-0.53293000000000001</v>
      </c>
      <c r="AF6517">
        <v>0.29021952760101499</v>
      </c>
      <c r="AG6517">
        <v>-1.120430340907</v>
      </c>
      <c r="AH6517">
        <v>17.1396780876313</v>
      </c>
      <c r="AI6517">
        <v>93.739601080143999</v>
      </c>
      <c r="AJ6517">
        <v>89.029925471080404</v>
      </c>
      <c r="AK6517">
        <v>17.178712305369501</v>
      </c>
      <c r="AL6517">
        <v>95.926667691019603</v>
      </c>
      <c r="AM6517">
        <v>92.323811829963702</v>
      </c>
      <c r="AN6517">
        <v>1.0000000083965801</v>
      </c>
    </row>
    <row r="6518" spans="1:40" x14ac:dyDescent="0.25">
      <c r="A6518" t="str">
        <f>"20190303154311298"</f>
        <v>20190303154311298</v>
      </c>
      <c r="B6518" t="str">
        <f>"1551598991287090"</f>
        <v>1551598991287090</v>
      </c>
      <c r="C6518" t="s">
        <v>40</v>
      </c>
      <c r="D6518">
        <v>5.844093</v>
      </c>
      <c r="E6518">
        <v>0.52104740000000005</v>
      </c>
      <c r="F6518" t="s">
        <v>62</v>
      </c>
      <c r="G6518">
        <v>-363.49959999999999</v>
      </c>
      <c r="H6518" s="1">
        <v>-3.6298349999999999E-6</v>
      </c>
      <c r="I6518">
        <v>16.47851</v>
      </c>
      <c r="J6518">
        <v>-381.12009999999998</v>
      </c>
      <c r="K6518">
        <v>1.1202989999999999</v>
      </c>
      <c r="L6518">
        <v>16.99286</v>
      </c>
      <c r="M6518">
        <v>0.9999036</v>
      </c>
      <c r="N6518">
        <v>-5.289083E-3</v>
      </c>
      <c r="O6518">
        <v>-1.2842910000000001E-2</v>
      </c>
      <c r="P6518">
        <v>0.99375259999999999</v>
      </c>
      <c r="Q6518">
        <v>-0.1081652</v>
      </c>
      <c r="R6518">
        <v>2.7497400000000002E-2</v>
      </c>
      <c r="S6518">
        <v>3.0006409999999999</v>
      </c>
      <c r="T6518">
        <v>-0.1886227</v>
      </c>
      <c r="U6518">
        <v>-8.6944579999999994E-2</v>
      </c>
      <c r="V6518">
        <v>-4.0133469999999997E-2</v>
      </c>
      <c r="W6518">
        <v>-0.1029587</v>
      </c>
      <c r="X6518">
        <v>0.99387570000000003</v>
      </c>
      <c r="Y6518">
        <v>1.610988E-2</v>
      </c>
      <c r="Z6518">
        <v>1.9004739999999999E-4</v>
      </c>
      <c r="AA6518">
        <v>0.99987020000000004</v>
      </c>
      <c r="AB6518">
        <v>23</v>
      </c>
      <c r="AC6518">
        <v>17.6204999999999</v>
      </c>
      <c r="AD6518">
        <v>-1.1203026298349901</v>
      </c>
      <c r="AE6518">
        <v>-0.51434999999999997</v>
      </c>
      <c r="AF6518">
        <v>0.28684738032808399</v>
      </c>
      <c r="AG6518">
        <v>-1.1203026298349901</v>
      </c>
      <c r="AH6518">
        <v>17.554750489585299</v>
      </c>
      <c r="AI6518">
        <v>93.651043173161398</v>
      </c>
      <c r="AJ6518">
        <v>89.063861273940404</v>
      </c>
      <c r="AK6518">
        <v>17.5928003499616</v>
      </c>
      <c r="AL6518">
        <v>95.909570947828101</v>
      </c>
      <c r="AM6518">
        <v>92.312391601001494</v>
      </c>
      <c r="AN6518">
        <v>1.0000000481852001</v>
      </c>
    </row>
    <row r="6519" spans="1:40" x14ac:dyDescent="0.25">
      <c r="A6519" t="str">
        <f>"20190303154311320"</f>
        <v>20190303154311320</v>
      </c>
      <c r="B6519" t="str">
        <f>"1551598991316878"</f>
        <v>1551598991316878</v>
      </c>
      <c r="C6519" t="s">
        <v>40</v>
      </c>
      <c r="D6519">
        <v>5.8268820000000003</v>
      </c>
      <c r="E6519">
        <v>0.52034519999999995</v>
      </c>
      <c r="F6519" t="s">
        <v>62</v>
      </c>
      <c r="G6519">
        <v>-363.0421</v>
      </c>
      <c r="H6519" s="1">
        <v>-3.8425769999999999E-6</v>
      </c>
      <c r="I6519">
        <v>16.49832</v>
      </c>
      <c r="J6519">
        <v>-380.89350000000002</v>
      </c>
      <c r="K6519">
        <v>1.1203320000000001</v>
      </c>
      <c r="L6519">
        <v>16.990629999999999</v>
      </c>
      <c r="M6519">
        <v>0.99991070000000004</v>
      </c>
      <c r="N6519">
        <v>-5.5292869999999999E-3</v>
      </c>
      <c r="O6519">
        <v>-1.216532E-2</v>
      </c>
      <c r="P6519">
        <v>0.99373979999999995</v>
      </c>
      <c r="Q6519">
        <v>-0.1081071</v>
      </c>
      <c r="R6519">
        <v>2.8179030000000001E-2</v>
      </c>
      <c r="S6519">
        <v>3.0009160000000001</v>
      </c>
      <c r="T6519">
        <v>-0.1859682</v>
      </c>
      <c r="U6519">
        <v>-8.2092289999999998E-2</v>
      </c>
      <c r="V6519">
        <v>-4.0134690000000001E-2</v>
      </c>
      <c r="W6519">
        <v>-0.1026647</v>
      </c>
      <c r="X6519">
        <v>0.99390599999999996</v>
      </c>
      <c r="Y6519">
        <v>1.51702E-2</v>
      </c>
      <c r="Z6519">
        <v>1.74277099999999E-4</v>
      </c>
      <c r="AA6519">
        <v>0.99988489999999997</v>
      </c>
      <c r="AB6519">
        <v>24</v>
      </c>
      <c r="AC6519">
        <v>17.851400000000002</v>
      </c>
      <c r="AD6519">
        <v>-1.12033584257699</v>
      </c>
      <c r="AE6519">
        <v>-0.49230999999999903</v>
      </c>
      <c r="AF6519">
        <v>0.27402377724453097</v>
      </c>
      <c r="AG6519">
        <v>-1.12033584257699</v>
      </c>
      <c r="AH6519">
        <v>17.786067569278998</v>
      </c>
      <c r="AI6519">
        <v>93.603845204504296</v>
      </c>
      <c r="AJ6519">
        <v>89.117333621050705</v>
      </c>
      <c r="AK6519">
        <v>17.823423941813601</v>
      </c>
      <c r="AL6519">
        <v>95.892636620945794</v>
      </c>
      <c r="AM6519">
        <v>92.312391397409797</v>
      </c>
      <c r="AN6519">
        <v>0.99999998540174295</v>
      </c>
    </row>
    <row r="6520" spans="1:40" x14ac:dyDescent="0.25">
      <c r="A6520" t="str">
        <f>"20190303154311333"</f>
        <v>20190303154311333</v>
      </c>
      <c r="B6520" t="str">
        <f>"1551598991326639"</f>
        <v>1551598991326639</v>
      </c>
      <c r="C6520" t="s">
        <v>40</v>
      </c>
      <c r="D6520">
        <v>5.8581810000000001</v>
      </c>
      <c r="E6520">
        <v>0.52019259999999901</v>
      </c>
      <c r="F6520" t="s">
        <v>62</v>
      </c>
      <c r="G6520">
        <v>-362.48509999999999</v>
      </c>
      <c r="H6520" s="1">
        <v>-4.0994040000000002E-6</v>
      </c>
      <c r="I6520">
        <v>16.53464</v>
      </c>
      <c r="J6520">
        <v>-380.74590000000001</v>
      </c>
      <c r="K6520">
        <v>1.1204050000000001</v>
      </c>
      <c r="L6520">
        <v>16.989229999999999</v>
      </c>
      <c r="M6520">
        <v>0.99991070000000004</v>
      </c>
      <c r="N6520">
        <v>-5.7614240000000002E-3</v>
      </c>
      <c r="O6520">
        <v>-1.207621E-2</v>
      </c>
      <c r="P6520">
        <v>0.99373849999999997</v>
      </c>
      <c r="Q6520">
        <v>-0.1080969</v>
      </c>
      <c r="R6520">
        <v>2.8269450000000002E-2</v>
      </c>
      <c r="S6520">
        <v>3.0011290000000002</v>
      </c>
      <c r="T6520">
        <v>-0.1826496</v>
      </c>
      <c r="U6520">
        <v>-7.4340820000000002E-2</v>
      </c>
      <c r="V6520">
        <v>-4.0122409999999997E-2</v>
      </c>
      <c r="W6520">
        <v>-0.10242950000000001</v>
      </c>
      <c r="X6520">
        <v>0.9939308</v>
      </c>
      <c r="Y6520">
        <v>1.268147E-2</v>
      </c>
      <c r="Z6520">
        <v>2.425599E-4</v>
      </c>
      <c r="AA6520">
        <v>0.99991949999999996</v>
      </c>
      <c r="AB6520">
        <v>24</v>
      </c>
      <c r="AC6520">
        <v>18.2608</v>
      </c>
      <c r="AD6520">
        <v>-1.1204090994039999</v>
      </c>
      <c r="AE6520">
        <v>-0.45458999999999899</v>
      </c>
      <c r="AF6520">
        <v>0.23315480220911999</v>
      </c>
      <c r="AG6520">
        <v>-1.1204090994039999</v>
      </c>
      <c r="AH6520">
        <v>18.196498895411199</v>
      </c>
      <c r="AI6520">
        <v>93.523124028323707</v>
      </c>
      <c r="AJ6520">
        <v>89.265899708573201</v>
      </c>
      <c r="AK6520">
        <v>18.232450459620701</v>
      </c>
      <c r="AL6520">
        <v>95.879089013398499</v>
      </c>
      <c r="AM6520">
        <v>92.311627026065906</v>
      </c>
      <c r="AN6520">
        <v>1.00000002272154</v>
      </c>
    </row>
    <row r="6521" spans="1:40" x14ac:dyDescent="0.25">
      <c r="A6521" t="str">
        <f>"20190303154311354"</f>
        <v>20190303154311354</v>
      </c>
      <c r="B6521" t="str">
        <f>"1551598991347135"</f>
        <v>1551598991347135</v>
      </c>
      <c r="C6521" t="s">
        <v>40</v>
      </c>
      <c r="D6521">
        <v>5.8644879999999997</v>
      </c>
      <c r="E6521">
        <v>0.51983270000000004</v>
      </c>
      <c r="F6521" t="s">
        <v>62</v>
      </c>
      <c r="G6521">
        <v>-362.25760000000002</v>
      </c>
      <c r="H6521" s="1">
        <v>-4.2060610000000003E-6</v>
      </c>
      <c r="I6521">
        <v>16.539719999999999</v>
      </c>
      <c r="J6521">
        <v>-380.54149999999998</v>
      </c>
      <c r="K6521">
        <v>1.120411</v>
      </c>
      <c r="L6521">
        <v>16.987400000000001</v>
      </c>
      <c r="M6521">
        <v>0.99990919999999905</v>
      </c>
      <c r="N6521">
        <v>-5.934089E-3</v>
      </c>
      <c r="O6521">
        <v>-1.2095659999999999E-2</v>
      </c>
      <c r="P6521">
        <v>0.99379499999999998</v>
      </c>
      <c r="Q6521">
        <v>-0.10742930000000001</v>
      </c>
      <c r="R6521">
        <v>2.8816350000000001E-2</v>
      </c>
      <c r="S6521">
        <v>3.0011899999999998</v>
      </c>
      <c r="T6521">
        <v>-0.1818746</v>
      </c>
      <c r="U6521">
        <v>-7.2967530000000003E-2</v>
      </c>
      <c r="V6521">
        <v>-4.0684680000000001E-2</v>
      </c>
      <c r="W6521">
        <v>-0.101593</v>
      </c>
      <c r="X6521">
        <v>0.99399380000000004</v>
      </c>
      <c r="Y6521">
        <v>1.220508E-2</v>
      </c>
      <c r="Z6521">
        <v>2.5479490000000001E-4</v>
      </c>
      <c r="AA6521">
        <v>0.99992550000000002</v>
      </c>
      <c r="AB6521">
        <v>24</v>
      </c>
      <c r="AC6521">
        <v>18.2838999999999</v>
      </c>
      <c r="AD6521">
        <v>-1.120415206061</v>
      </c>
      <c r="AE6521">
        <v>-0.44767999999999802</v>
      </c>
      <c r="AF6521">
        <v>0.22564071536270999</v>
      </c>
      <c r="AG6521">
        <v>-1.120415206061</v>
      </c>
      <c r="AH6521">
        <v>18.219602222957899</v>
      </c>
      <c r="AI6521">
        <v>93.518705852278302</v>
      </c>
      <c r="AJ6521">
        <v>89.290456530391495</v>
      </c>
      <c r="AK6521">
        <v>18.255414241512501</v>
      </c>
      <c r="AL6521">
        <v>95.830909725334706</v>
      </c>
      <c r="AM6521">
        <v>92.343837571531495</v>
      </c>
      <c r="AN6521">
        <v>1.00000002763707</v>
      </c>
    </row>
    <row r="6522" spans="1:40" x14ac:dyDescent="0.25">
      <c r="A6522" t="str">
        <f>"20190303154311377"</f>
        <v>20190303154311377</v>
      </c>
      <c r="B6522" t="str">
        <f>"1551598991366654"</f>
        <v>1551598991366654</v>
      </c>
      <c r="C6522" t="s">
        <v>40</v>
      </c>
      <c r="D6522">
        <v>5.8398750000000001</v>
      </c>
      <c r="E6522">
        <v>0.51953269999999996</v>
      </c>
      <c r="F6522" t="s">
        <v>62</v>
      </c>
      <c r="G6522">
        <v>-361.7278</v>
      </c>
      <c r="H6522" s="1">
        <v>-4.4532099999999998E-6</v>
      </c>
      <c r="I6522">
        <v>16.558319999999998</v>
      </c>
      <c r="J6522">
        <v>-380.29430000000002</v>
      </c>
      <c r="K6522">
        <v>1.1202540000000001</v>
      </c>
      <c r="L6522">
        <v>16.98517</v>
      </c>
      <c r="M6522">
        <v>0.99991079999999999</v>
      </c>
      <c r="N6522">
        <v>-5.9816510000000002E-3</v>
      </c>
      <c r="O6522">
        <v>-1.194431E-2</v>
      </c>
      <c r="P6522">
        <v>0.99391949999999996</v>
      </c>
      <c r="Q6522">
        <v>-0.10588210000000001</v>
      </c>
      <c r="R6522">
        <v>3.0222769999999999E-2</v>
      </c>
      <c r="S6522">
        <v>3.001404</v>
      </c>
      <c r="T6522">
        <v>-0.1787426</v>
      </c>
      <c r="U6522">
        <v>-6.8450929999999993E-2</v>
      </c>
      <c r="V6522">
        <v>-4.1967909999999997E-2</v>
      </c>
      <c r="W6522">
        <v>-9.9989930000000005E-2</v>
      </c>
      <c r="X6522">
        <v>0.99410299999999996</v>
      </c>
      <c r="Y6522">
        <v>1.085329E-2</v>
      </c>
      <c r="Z6522">
        <v>2.8383480000000001E-4</v>
      </c>
      <c r="AA6522">
        <v>0.99994110000000003</v>
      </c>
      <c r="AB6522">
        <v>24</v>
      </c>
      <c r="AC6522">
        <v>18.566500000000001</v>
      </c>
      <c r="AD6522">
        <v>-1.1202584532099999</v>
      </c>
      <c r="AE6522">
        <v>-0.42684999999999801</v>
      </c>
      <c r="AF6522">
        <v>0.20430813906706799</v>
      </c>
      <c r="AG6522">
        <v>-1.1202584532099999</v>
      </c>
      <c r="AH6522">
        <v>18.502947243226401</v>
      </c>
      <c r="AI6522">
        <v>93.464525175766596</v>
      </c>
      <c r="AJ6522">
        <v>89.367370061531702</v>
      </c>
      <c r="AK6522">
        <v>18.5379550518199</v>
      </c>
      <c r="AL6522">
        <v>95.738590411873304</v>
      </c>
      <c r="AM6522">
        <v>92.4174125915345</v>
      </c>
      <c r="AN6522">
        <v>1.00000003309008</v>
      </c>
    </row>
    <row r="6523" spans="1:40" x14ac:dyDescent="0.25">
      <c r="A6523" t="str">
        <f>"20190303154311399"</f>
        <v>20190303154311399</v>
      </c>
      <c r="B6523" t="str">
        <f>"1551598991387151"</f>
        <v>1551598991387151</v>
      </c>
      <c r="C6523" t="s">
        <v>40</v>
      </c>
      <c r="D6523">
        <v>5.8500160000000001</v>
      </c>
      <c r="E6523">
        <v>0.51927129999999999</v>
      </c>
      <c r="F6523" t="s">
        <v>62</v>
      </c>
      <c r="G6523">
        <v>-360.82909999999998</v>
      </c>
      <c r="H6523" s="1">
        <v>-4.873337E-6</v>
      </c>
      <c r="I6523">
        <v>16.58484</v>
      </c>
      <c r="J6523">
        <v>-380.05610000000001</v>
      </c>
      <c r="K6523">
        <v>1.120055</v>
      </c>
      <c r="L6523">
        <v>16.98282</v>
      </c>
      <c r="M6523">
        <v>0.9999152</v>
      </c>
      <c r="N6523">
        <v>-6.0480669999999999E-3</v>
      </c>
      <c r="O6523">
        <v>-1.1541360000000001E-2</v>
      </c>
      <c r="P6523">
        <v>0.99400999999999995</v>
      </c>
      <c r="Q6523">
        <v>-0.1044453</v>
      </c>
      <c r="R6523">
        <v>3.2180920000000002E-2</v>
      </c>
      <c r="S6523">
        <v>3.0018310000000001</v>
      </c>
      <c r="T6523">
        <v>-0.1727612</v>
      </c>
      <c r="U6523">
        <v>-6.1737060000000003E-2</v>
      </c>
      <c r="V6523">
        <v>-4.3568629999999997E-2</v>
      </c>
      <c r="W6523">
        <v>-9.8470929999999998E-2</v>
      </c>
      <c r="X6523">
        <v>0.99418569999999995</v>
      </c>
      <c r="Y6523">
        <v>9.0204139999999992E-3</v>
      </c>
      <c r="Z6523">
        <v>3.0719470000000002E-4</v>
      </c>
      <c r="AA6523">
        <v>0.9999593</v>
      </c>
      <c r="AB6523">
        <v>24</v>
      </c>
      <c r="AC6523">
        <v>19.227</v>
      </c>
      <c r="AD6523">
        <v>-1.120059873337</v>
      </c>
      <c r="AE6523">
        <v>-0.39798</v>
      </c>
      <c r="AF6523">
        <v>0.17544858007442099</v>
      </c>
      <c r="AG6523">
        <v>-1.120059873337</v>
      </c>
      <c r="AH6523">
        <v>19.165301348886999</v>
      </c>
      <c r="AI6523">
        <v>93.344539676844505</v>
      </c>
      <c r="AJ6523">
        <v>89.475500949534705</v>
      </c>
      <c r="AK6523">
        <v>19.198804445010602</v>
      </c>
      <c r="AL6523">
        <v>95.651126750206203</v>
      </c>
      <c r="AM6523">
        <v>92.509292193116707</v>
      </c>
      <c r="AN6523">
        <v>0.99999997782981498</v>
      </c>
    </row>
    <row r="6524" spans="1:40" x14ac:dyDescent="0.25">
      <c r="A6524" t="str">
        <f>"20190303154311419"</f>
        <v>20190303154311419</v>
      </c>
      <c r="B6524" t="str">
        <f>"1551598991416937"</f>
        <v>1551598991416937</v>
      </c>
      <c r="C6524" t="s">
        <v>40</v>
      </c>
      <c r="D6524">
        <v>5.8155970000000003</v>
      </c>
      <c r="E6524">
        <v>0.51885800000000004</v>
      </c>
      <c r="F6524" t="s">
        <v>43</v>
      </c>
      <c r="G6524">
        <v>-359.0718</v>
      </c>
      <c r="H6524">
        <v>-0.05</v>
      </c>
      <c r="I6524">
        <v>16.60698</v>
      </c>
      <c r="J6524">
        <v>-379.8372</v>
      </c>
      <c r="K6524">
        <v>1.1199269999999999</v>
      </c>
      <c r="L6524">
        <v>16.980560000000001</v>
      </c>
      <c r="M6524">
        <v>0.99991909999999895</v>
      </c>
      <c r="N6524">
        <v>-6.1805710000000002E-3</v>
      </c>
      <c r="O6524">
        <v>-1.111607E-2</v>
      </c>
      <c r="P6524">
        <v>0.99409000000000003</v>
      </c>
      <c r="Q6524">
        <v>-0.1033353</v>
      </c>
      <c r="R6524">
        <v>3.3272219999999998E-2</v>
      </c>
      <c r="S6524">
        <v>3.0022280000000001</v>
      </c>
      <c r="T6524">
        <v>-0.16740079999999999</v>
      </c>
      <c r="U6524">
        <v>-5.3771970000000002E-2</v>
      </c>
      <c r="V6524">
        <v>-4.4270990000000003E-2</v>
      </c>
      <c r="W6524">
        <v>-9.7214800000000004E-2</v>
      </c>
      <c r="X6524">
        <v>0.99427829999999995</v>
      </c>
      <c r="Y6524">
        <v>6.7941319999999996E-3</v>
      </c>
      <c r="Z6524">
        <v>3.403398E-4</v>
      </c>
      <c r="AA6524">
        <v>0.99997689999999995</v>
      </c>
      <c r="AB6524">
        <v>24</v>
      </c>
      <c r="AC6524">
        <v>20.7654</v>
      </c>
      <c r="AD6524">
        <v>-1.1699269999999999</v>
      </c>
      <c r="AE6524">
        <v>-0.37358000000000002</v>
      </c>
      <c r="AF6524">
        <v>0.142271410781597</v>
      </c>
      <c r="AG6524">
        <v>-1.1699269999999999</v>
      </c>
      <c r="AH6524">
        <v>20.7025765175262</v>
      </c>
      <c r="AI6524">
        <v>93.234335702812302</v>
      </c>
      <c r="AJ6524">
        <v>89.606260454750597</v>
      </c>
      <c r="AK6524">
        <v>20.736095215919601</v>
      </c>
      <c r="AL6524">
        <v>95.578808749480601</v>
      </c>
      <c r="AM6524">
        <v>92.549453816055305</v>
      </c>
      <c r="AN6524">
        <v>0.99999998787275501</v>
      </c>
    </row>
    <row r="6525" spans="1:40" x14ac:dyDescent="0.25">
      <c r="A6525" t="str">
        <f>"20190303154311432"</f>
        <v>20190303154311432</v>
      </c>
      <c r="B6525" t="str">
        <f>"1551598991426697"</f>
        <v>1551598991426697</v>
      </c>
      <c r="C6525" t="s">
        <v>40</v>
      </c>
      <c r="D6525">
        <v>5.9050909999999996</v>
      </c>
      <c r="E6525">
        <v>0.51876739999999999</v>
      </c>
      <c r="F6525" t="s">
        <v>41</v>
      </c>
      <c r="G6525">
        <v>-359.15100000000001</v>
      </c>
      <c r="H6525" s="1">
        <v>-1.062785E-6</v>
      </c>
      <c r="I6525">
        <v>16.655419999999999</v>
      </c>
      <c r="J6525">
        <v>-379.69740000000002</v>
      </c>
      <c r="K6525">
        <v>1.1198840000000001</v>
      </c>
      <c r="L6525">
        <v>16.979099999999999</v>
      </c>
      <c r="M6525">
        <v>0.99992110000000001</v>
      </c>
      <c r="N6525">
        <v>-6.2960200000000003E-3</v>
      </c>
      <c r="O6525">
        <v>-1.088365E-2</v>
      </c>
      <c r="P6525">
        <v>0.99409069999999999</v>
      </c>
      <c r="Q6525">
        <v>-0.103213899999999</v>
      </c>
      <c r="R6525">
        <v>3.3627669999999998E-2</v>
      </c>
      <c r="S6525">
        <v>3.0025330000000001</v>
      </c>
      <c r="T6525">
        <v>-0.16255320000000001</v>
      </c>
      <c r="U6525">
        <v>-4.7180180000000002E-2</v>
      </c>
      <c r="V6525">
        <v>-4.4409070000000002E-2</v>
      </c>
      <c r="W6525">
        <v>-9.6972290000000003E-2</v>
      </c>
      <c r="X6525">
        <v>0.99429579999999995</v>
      </c>
      <c r="Y6525">
        <v>4.8326130000000004E-3</v>
      </c>
      <c r="Z6525">
        <v>3.7432090000000002E-4</v>
      </c>
      <c r="AA6525">
        <v>0.99998830000000005</v>
      </c>
      <c r="AB6525">
        <v>24</v>
      </c>
      <c r="AC6525">
        <v>20.546399999999998</v>
      </c>
      <c r="AD6525">
        <v>-1.1198850627850001</v>
      </c>
      <c r="AE6525">
        <v>-0.32367999999999902</v>
      </c>
      <c r="AF6525">
        <v>9.9740366490107896E-2</v>
      </c>
      <c r="AG6525">
        <v>-1.1198850627850001</v>
      </c>
      <c r="AH6525">
        <v>20.487855404197798</v>
      </c>
      <c r="AI6525">
        <v>93.128689582850896</v>
      </c>
      <c r="AJ6525">
        <v>89.721071005790193</v>
      </c>
      <c r="AK6525">
        <v>20.518681969314599</v>
      </c>
      <c r="AL6525">
        <v>95.564848120908394</v>
      </c>
      <c r="AM6525">
        <v>92.557350000246004</v>
      </c>
      <c r="AN6525">
        <v>0.99999996421187298</v>
      </c>
    </row>
    <row r="6526" spans="1:40" x14ac:dyDescent="0.25">
      <c r="A6526" t="str">
        <f>"20190303154311445"</f>
        <v>20190303154311445</v>
      </c>
      <c r="B6526" t="str">
        <f>"1551598991436457"</f>
        <v>1551598991436457</v>
      </c>
      <c r="C6526" t="s">
        <v>40</v>
      </c>
      <c r="D6526">
        <v>5.8536029999999997</v>
      </c>
      <c r="E6526">
        <v>0.51863870000000001</v>
      </c>
      <c r="F6526" t="s">
        <v>41</v>
      </c>
      <c r="G6526">
        <v>-358.92250000000001</v>
      </c>
      <c r="H6526" s="1">
        <v>-1.1380350000000001E-6</v>
      </c>
      <c r="I6526">
        <v>16.664809999999999</v>
      </c>
      <c r="J6526">
        <v>-379.56299999999999</v>
      </c>
      <c r="K6526">
        <v>1.1198779999999999</v>
      </c>
      <c r="L6526">
        <v>16.977689999999999</v>
      </c>
      <c r="M6526">
        <v>0.99992190000000003</v>
      </c>
      <c r="N6526">
        <v>-6.4314649999999999E-3</v>
      </c>
      <c r="O6526">
        <v>-1.072537E-2</v>
      </c>
      <c r="P6526">
        <v>0.99407809999999996</v>
      </c>
      <c r="Q6526">
        <v>-0.1033259</v>
      </c>
      <c r="R6526">
        <v>3.3656800000000001E-2</v>
      </c>
      <c r="S6526">
        <v>3.0025629999999999</v>
      </c>
      <c r="T6526">
        <v>-0.16185559999999999</v>
      </c>
      <c r="U6526">
        <v>-4.5410159999999998E-2</v>
      </c>
      <c r="V6526">
        <v>-4.4288279999999999E-2</v>
      </c>
      <c r="W6526">
        <v>-9.6946320000000002E-2</v>
      </c>
      <c r="X6526">
        <v>0.99430379999999996</v>
      </c>
      <c r="Y6526">
        <v>4.4017520000000001E-3</v>
      </c>
      <c r="Z6526">
        <v>3.760379E-4</v>
      </c>
      <c r="AA6526">
        <v>0.99999020000000005</v>
      </c>
      <c r="AB6526">
        <v>24</v>
      </c>
      <c r="AC6526">
        <v>20.640499999999999</v>
      </c>
      <c r="AD6526">
        <v>-1.1198791380349999</v>
      </c>
      <c r="AE6526">
        <v>-0.31287999999999899</v>
      </c>
      <c r="AF6526">
        <v>9.1212003047259405E-2</v>
      </c>
      <c r="AG6526">
        <v>-1.1198791380349999</v>
      </c>
      <c r="AH6526">
        <v>20.5820938114706</v>
      </c>
      <c r="AI6526">
        <v>93.114382508933701</v>
      </c>
      <c r="AJ6526">
        <v>89.746088583025994</v>
      </c>
      <c r="AK6526">
        <v>20.612739618437001</v>
      </c>
      <c r="AL6526">
        <v>95.563352661847006</v>
      </c>
      <c r="AM6526">
        <v>92.550382866067807</v>
      </c>
      <c r="AN6526">
        <v>1.00000004370066</v>
      </c>
    </row>
    <row r="6527" spans="1:40" x14ac:dyDescent="0.25">
      <c r="A6527" t="str">
        <f>"20190303154311458"</f>
        <v>20190303154311458</v>
      </c>
      <c r="B6527" t="str">
        <f>"1551598991447193"</f>
        <v>1551598991447193</v>
      </c>
      <c r="C6527" t="s">
        <v>40</v>
      </c>
      <c r="D6527">
        <v>5.7851530000000002</v>
      </c>
      <c r="E6527">
        <v>0.51847979999999905</v>
      </c>
      <c r="F6527" t="s">
        <v>41</v>
      </c>
      <c r="G6527">
        <v>-358.79079999999999</v>
      </c>
      <c r="H6527" s="1">
        <v>-1.18119E-6</v>
      </c>
      <c r="I6527">
        <v>16.671050000000001</v>
      </c>
      <c r="J6527">
        <v>-379.42070000000001</v>
      </c>
      <c r="K6527">
        <v>1.1198920000000001</v>
      </c>
      <c r="L6527">
        <v>16.976199999999999</v>
      </c>
      <c r="M6527">
        <v>0.99992219999999998</v>
      </c>
      <c r="N6527">
        <v>-6.5932669999999999E-3</v>
      </c>
      <c r="O6527">
        <v>-1.059762E-2</v>
      </c>
      <c r="P6527">
        <v>0.9940698</v>
      </c>
      <c r="Q6527">
        <v>-0.103470699999999</v>
      </c>
      <c r="R6527">
        <v>3.3457630000000002E-2</v>
      </c>
      <c r="S6527">
        <v>3.0025629999999999</v>
      </c>
      <c r="T6527">
        <v>-0.1618754</v>
      </c>
      <c r="U6527">
        <v>-4.431152E-2</v>
      </c>
      <c r="V6527">
        <v>-4.3965949999999997E-2</v>
      </c>
      <c r="W6527">
        <v>-9.6928180000000003E-2</v>
      </c>
      <c r="X6527">
        <v>0.99431990000000003</v>
      </c>
      <c r="Y6527">
        <v>4.1638329999999996E-3</v>
      </c>
      <c r="Z6527">
        <v>3.7515820000000002E-4</v>
      </c>
      <c r="AA6527">
        <v>0.99999119999999997</v>
      </c>
      <c r="AB6527">
        <v>24</v>
      </c>
      <c r="AC6527">
        <v>20.629899999999999</v>
      </c>
      <c r="AD6527">
        <v>-1.1198931811899999</v>
      </c>
      <c r="AE6527">
        <v>-0.30514999999999698</v>
      </c>
      <c r="AF6527">
        <v>8.6246191034453107E-2</v>
      </c>
      <c r="AG6527">
        <v>-1.1198931811899999</v>
      </c>
      <c r="AH6527">
        <v>20.571367779902001</v>
      </c>
      <c r="AI6527">
        <v>93.116045370436794</v>
      </c>
      <c r="AJ6527">
        <v>89.7597868141075</v>
      </c>
      <c r="AK6527">
        <v>20.602008918519001</v>
      </c>
      <c r="AL6527">
        <v>95.562308250700696</v>
      </c>
      <c r="AM6527">
        <v>92.531804485366493</v>
      </c>
      <c r="AN6527">
        <v>1.00000007018676</v>
      </c>
    </row>
    <row r="6528" spans="1:40" x14ac:dyDescent="0.25">
      <c r="A6528" t="str">
        <f>"20190303154311476"</f>
        <v>20190303154311476</v>
      </c>
      <c r="B6528" t="str">
        <f>"1551598991466713"</f>
        <v>1551598991466713</v>
      </c>
      <c r="C6528" t="s">
        <v>40</v>
      </c>
      <c r="D6528">
        <v>5.8875209999999996</v>
      </c>
      <c r="E6528">
        <v>0.51828560000000001</v>
      </c>
      <c r="F6528" t="s">
        <v>41</v>
      </c>
      <c r="G6528">
        <v>-358.62299999999999</v>
      </c>
      <c r="H6528" s="1">
        <v>-1.2376279999999999E-6</v>
      </c>
      <c r="I6528">
        <v>16.67361</v>
      </c>
      <c r="J6528">
        <v>-379.22989999999999</v>
      </c>
      <c r="K6528">
        <v>1.119953</v>
      </c>
      <c r="L6528">
        <v>16.974239999999899</v>
      </c>
      <c r="M6528">
        <v>0.99992119999999995</v>
      </c>
      <c r="N6528">
        <v>-6.8638079999999999E-3</v>
      </c>
      <c r="O6528">
        <v>-1.051442E-2</v>
      </c>
      <c r="P6528">
        <v>0.99406470000000002</v>
      </c>
      <c r="Q6528">
        <v>-0.1038685</v>
      </c>
      <c r="R6528">
        <v>3.2353239999999998E-2</v>
      </c>
      <c r="S6528">
        <v>3.0025019999999998</v>
      </c>
      <c r="T6528">
        <v>-0.16167529999999999</v>
      </c>
      <c r="U6528">
        <v>-4.3670649999999998E-2</v>
      </c>
      <c r="V6528">
        <v>-4.2778160000000003E-2</v>
      </c>
      <c r="W6528">
        <v>-9.7056959999999998E-2</v>
      </c>
      <c r="X6528">
        <v>0.99435910000000005</v>
      </c>
      <c r="Y6528">
        <v>4.0338639999999999E-3</v>
      </c>
      <c r="Z6528">
        <v>3.712101E-4</v>
      </c>
      <c r="AA6528">
        <v>0.99999179999999999</v>
      </c>
      <c r="AB6528">
        <v>24</v>
      </c>
      <c r="AC6528">
        <v>20.6068999999999</v>
      </c>
      <c r="AD6528">
        <v>-1.1199542376279901</v>
      </c>
      <c r="AE6528">
        <v>-0.30062999999999801</v>
      </c>
      <c r="AF6528">
        <v>8.3691531043620093E-2</v>
      </c>
      <c r="AG6528">
        <v>-1.1199542376279901</v>
      </c>
      <c r="AH6528">
        <v>20.5482402036933</v>
      </c>
      <c r="AI6528">
        <v>93.119716917294099</v>
      </c>
      <c r="AJ6528">
        <v>89.766639627179202</v>
      </c>
      <c r="AK6528">
        <v>20.5789085530653</v>
      </c>
      <c r="AL6528">
        <v>95.569722023205003</v>
      </c>
      <c r="AM6528">
        <v>92.463393353539004</v>
      </c>
      <c r="AN6528">
        <v>1.00000002210511</v>
      </c>
    </row>
    <row r="6529" spans="1:40" x14ac:dyDescent="0.25">
      <c r="A6529" t="str">
        <f>"20190303154311488"</f>
        <v>20190303154311488</v>
      </c>
      <c r="B6529" t="str">
        <f>"1551598991476474"</f>
        <v>1551598991476474</v>
      </c>
      <c r="C6529" t="s">
        <v>40</v>
      </c>
      <c r="D6529">
        <v>5.8734349999999997</v>
      </c>
      <c r="E6529">
        <v>0.51818679999999995</v>
      </c>
      <c r="F6529" t="s">
        <v>41</v>
      </c>
      <c r="G6529">
        <v>-358.51089999999999</v>
      </c>
      <c r="H6529" s="1">
        <v>-1.279286E-6</v>
      </c>
      <c r="I6529">
        <v>16.66038</v>
      </c>
      <c r="J6529">
        <v>-379.09190000000001</v>
      </c>
      <c r="K6529">
        <v>1.120015</v>
      </c>
      <c r="L6529">
        <v>16.972839999999898</v>
      </c>
      <c r="M6529">
        <v>0.99991980000000003</v>
      </c>
      <c r="N6529">
        <v>-7.0943059999999999E-3</v>
      </c>
      <c r="O6529">
        <v>-1.04922E-2</v>
      </c>
      <c r="P6529">
        <v>0.99405509999999997</v>
      </c>
      <c r="Q6529">
        <v>-0.1043081</v>
      </c>
      <c r="R6529">
        <v>3.121488E-2</v>
      </c>
      <c r="S6529">
        <v>3.0024410000000001</v>
      </c>
      <c r="T6529">
        <v>-0.16229549999999901</v>
      </c>
      <c r="U6529">
        <v>-4.5471190000000002E-2</v>
      </c>
      <c r="V6529">
        <v>-4.1615140000000002E-2</v>
      </c>
      <c r="W6529">
        <v>-9.7268229999999997E-2</v>
      </c>
      <c r="X6529">
        <v>0.99438780000000004</v>
      </c>
      <c r="Y6529">
        <v>4.654778E-3</v>
      </c>
      <c r="Z6529">
        <v>3.5006579999999999E-4</v>
      </c>
      <c r="AA6529">
        <v>0.99998909999999996</v>
      </c>
      <c r="AB6529">
        <v>24</v>
      </c>
      <c r="AC6529">
        <v>20.581</v>
      </c>
      <c r="AD6529">
        <v>-1.120016279286</v>
      </c>
      <c r="AE6529">
        <v>-0.31245999999999802</v>
      </c>
      <c r="AF6529">
        <v>9.6212529438657102E-2</v>
      </c>
      <c r="AG6529">
        <v>-1.120016279286</v>
      </c>
      <c r="AH6529">
        <v>20.522381957695401</v>
      </c>
      <c r="AI6529">
        <v>93.123804282242503</v>
      </c>
      <c r="AJ6529">
        <v>89.731389294961502</v>
      </c>
      <c r="AK6529">
        <v>20.553147071293701</v>
      </c>
      <c r="AL6529">
        <v>95.581884501679994</v>
      </c>
      <c r="AM6529">
        <v>92.396430579625104</v>
      </c>
      <c r="AN6529">
        <v>1.0000000126166899</v>
      </c>
    </row>
    <row r="6530" spans="1:40" x14ac:dyDescent="0.25">
      <c r="A6530" t="str">
        <f>"20190303154311501"</f>
        <v>20190303154311501</v>
      </c>
      <c r="B6530" t="str">
        <f>"1551598991496500"</f>
        <v>1551598991496500</v>
      </c>
      <c r="C6530" t="s">
        <v>40</v>
      </c>
      <c r="D6530">
        <v>5.9113049999999996</v>
      </c>
      <c r="E6530">
        <v>0.51803770000000005</v>
      </c>
      <c r="F6530" t="s">
        <v>41</v>
      </c>
      <c r="G6530">
        <v>-358.53339999999997</v>
      </c>
      <c r="H6530" s="1">
        <v>-1.276316E-6</v>
      </c>
      <c r="I6530">
        <v>16.642779999999998</v>
      </c>
      <c r="J6530">
        <v>-378.95830000000001</v>
      </c>
      <c r="K6530">
        <v>1.1200749999999999</v>
      </c>
      <c r="L6530">
        <v>16.971529999999898</v>
      </c>
      <c r="M6530">
        <v>0.99991839999999999</v>
      </c>
      <c r="N6530">
        <v>-7.3226640000000004E-3</v>
      </c>
      <c r="O6530">
        <v>-1.0470490000000001E-2</v>
      </c>
      <c r="P6530">
        <v>0.99403520000000001</v>
      </c>
      <c r="Q6530">
        <v>-0.1047729</v>
      </c>
      <c r="R6530">
        <v>3.0279339999999998E-2</v>
      </c>
      <c r="S6530">
        <v>3.0022280000000001</v>
      </c>
      <c r="T6530">
        <v>-0.1635596</v>
      </c>
      <c r="U6530">
        <v>-4.8187260000000003E-2</v>
      </c>
      <c r="V6530">
        <v>-4.0655410000000003E-2</v>
      </c>
      <c r="W6530">
        <v>-9.7506629999999997E-2</v>
      </c>
      <c r="X6530">
        <v>0.99440410000000001</v>
      </c>
      <c r="Y6530">
        <v>5.5803789999999999E-3</v>
      </c>
      <c r="Z6530">
        <v>3.2098949999999999E-4</v>
      </c>
      <c r="AA6530">
        <v>0.9999844</v>
      </c>
      <c r="AB6530">
        <v>24</v>
      </c>
      <c r="AC6530">
        <v>20.424900000000001</v>
      </c>
      <c r="AD6530">
        <v>-1.1200762763159999</v>
      </c>
      <c r="AE6530">
        <v>-0.32874999999999899</v>
      </c>
      <c r="AF6530">
        <v>0.11452322376556499</v>
      </c>
      <c r="AG6530">
        <v>-1.1200762763159999</v>
      </c>
      <c r="AH6530">
        <v>20.3659919897663</v>
      </c>
      <c r="AI6530">
        <v>93.147896980489605</v>
      </c>
      <c r="AJ6530">
        <v>89.677814455585093</v>
      </c>
      <c r="AK6530">
        <v>20.397090874945199</v>
      </c>
      <c r="AL6530">
        <v>95.595609351575504</v>
      </c>
      <c r="AM6530">
        <v>92.3411878925682</v>
      </c>
      <c r="AN6530">
        <v>0.999999959676516</v>
      </c>
    </row>
    <row r="6531" spans="1:40" x14ac:dyDescent="0.25">
      <c r="A6531" t="str">
        <f>"20190303154311520"</f>
        <v>20190303154311520</v>
      </c>
      <c r="B6531" t="str">
        <f>"1551598991516996"</f>
        <v>1551598991516996</v>
      </c>
      <c r="C6531" t="s">
        <v>40</v>
      </c>
      <c r="D6531">
        <v>5.8665609999999999</v>
      </c>
      <c r="E6531">
        <v>0.51785820000000005</v>
      </c>
      <c r="F6531" t="s">
        <v>41</v>
      </c>
      <c r="G6531">
        <v>-358.53609999999998</v>
      </c>
      <c r="H6531" s="1">
        <v>-1.2780399999999999E-6</v>
      </c>
      <c r="I6531">
        <v>16.632850000000001</v>
      </c>
      <c r="J6531">
        <v>-378.74900000000002</v>
      </c>
      <c r="K6531">
        <v>1.1201430000000001</v>
      </c>
      <c r="L6531">
        <v>16.969449999999998</v>
      </c>
      <c r="M6531">
        <v>0.99991739999999996</v>
      </c>
      <c r="N6531">
        <v>-7.6536159999999898E-3</v>
      </c>
      <c r="O6531">
        <v>-1.031689E-2</v>
      </c>
      <c r="P6531">
        <v>0.99401309999999998</v>
      </c>
      <c r="Q6531">
        <v>-0.105502</v>
      </c>
      <c r="R6531">
        <v>2.8412840000000002E-2</v>
      </c>
      <c r="S6531">
        <v>3.0021360000000001</v>
      </c>
      <c r="T6531">
        <v>-0.1646552</v>
      </c>
      <c r="U6531">
        <v>-4.977417E-2</v>
      </c>
      <c r="V6531">
        <v>-3.8634790000000002E-2</v>
      </c>
      <c r="W6531">
        <v>-9.7906320000000005E-2</v>
      </c>
      <c r="X6531">
        <v>0.99444540000000003</v>
      </c>
      <c r="Y6531">
        <v>6.2614039999999999E-3</v>
      </c>
      <c r="Z6531">
        <v>2.9089859999999998E-4</v>
      </c>
      <c r="AA6531">
        <v>0.99998030000000004</v>
      </c>
      <c r="AB6531">
        <v>24</v>
      </c>
      <c r="AC6531">
        <v>20.212900000000001</v>
      </c>
      <c r="AD6531">
        <v>-1.1201442780399999</v>
      </c>
      <c r="AE6531">
        <v>-0.33659999999999701</v>
      </c>
      <c r="AF6531">
        <v>0.12764977896686799</v>
      </c>
      <c r="AG6531">
        <v>-1.1201442780399999</v>
      </c>
      <c r="AH6531">
        <v>20.153421417146401</v>
      </c>
      <c r="AI6531">
        <v>93.181211201026599</v>
      </c>
      <c r="AJ6531">
        <v>89.637099049541604</v>
      </c>
      <c r="AK6531">
        <v>20.1849303314822</v>
      </c>
      <c r="AL6531">
        <v>95.618619921453003</v>
      </c>
      <c r="AM6531">
        <v>92.224855883589399</v>
      </c>
      <c r="AN6531">
        <v>0.99999997403772201</v>
      </c>
    </row>
    <row r="6532" spans="1:40" x14ac:dyDescent="0.25">
      <c r="A6532" t="str">
        <f>"20190303154311533"</f>
        <v>20190303154311533</v>
      </c>
      <c r="B6532" t="str">
        <f>"1551598991526756"</f>
        <v>1551598991526756</v>
      </c>
      <c r="C6532" t="s">
        <v>40</v>
      </c>
      <c r="D6532">
        <v>5.8560589999999904</v>
      </c>
      <c r="E6532">
        <v>0.51773659999999999</v>
      </c>
      <c r="F6532" t="s">
        <v>41</v>
      </c>
      <c r="G6532">
        <v>-358.57490000000001</v>
      </c>
      <c r="H6532" s="1">
        <v>-1.2715470000000001E-6</v>
      </c>
      <c r="I6532">
        <v>16.607579999999999</v>
      </c>
      <c r="J6532">
        <v>-378.61009999999999</v>
      </c>
      <c r="K6532">
        <v>1.1201490000000001</v>
      </c>
      <c r="L6532">
        <v>16.96808</v>
      </c>
      <c r="M6532">
        <v>0.99991989999999997</v>
      </c>
      <c r="N6532">
        <v>-7.7991579999999996E-3</v>
      </c>
      <c r="O6532">
        <v>-9.9768649999999997E-3</v>
      </c>
      <c r="P6532">
        <v>0.99403180000000002</v>
      </c>
      <c r="Q6532">
        <v>-0.105501</v>
      </c>
      <c r="R6532">
        <v>2.7759019999999999E-2</v>
      </c>
      <c r="S6532">
        <v>3.0019230000000001</v>
      </c>
      <c r="T6532">
        <v>-0.1666783</v>
      </c>
      <c r="U6532">
        <v>-5.3833010000000001E-2</v>
      </c>
      <c r="V6532">
        <v>-3.7647109999999998E-2</v>
      </c>
      <c r="W6532">
        <v>-9.7758629999999999E-2</v>
      </c>
      <c r="X6532">
        <v>0.99449779999999999</v>
      </c>
      <c r="Y6532">
        <v>7.9508909999999999E-3</v>
      </c>
      <c r="Z6532">
        <v>2.2412699999999999E-4</v>
      </c>
      <c r="AA6532">
        <v>0.99996830000000003</v>
      </c>
      <c r="AB6532">
        <v>24</v>
      </c>
      <c r="AC6532">
        <v>20.0351999999999</v>
      </c>
      <c r="AD6532">
        <v>-1.120150271547</v>
      </c>
      <c r="AE6532">
        <v>-0.36050000000000099</v>
      </c>
      <c r="AF6532">
        <v>0.16008726520012101</v>
      </c>
      <c r="AG6532">
        <v>-1.120150271547</v>
      </c>
      <c r="AH6532">
        <v>19.975380140243999</v>
      </c>
      <c r="AI6532">
        <v>93.209484964276896</v>
      </c>
      <c r="AJ6532">
        <v>89.540828348697403</v>
      </c>
      <c r="AK6532">
        <v>20.007403037640302</v>
      </c>
      <c r="AL6532">
        <v>95.610117172871</v>
      </c>
      <c r="AM6532">
        <v>92.167919365614694</v>
      </c>
      <c r="AN6532">
        <v>0.99999996441783301</v>
      </c>
    </row>
    <row r="6533" spans="1:40" x14ac:dyDescent="0.25">
      <c r="A6533" t="str">
        <f>"20190303154311555"</f>
        <v>20190303154311555</v>
      </c>
      <c r="B6533" t="str">
        <f>"1551598991547252"</f>
        <v>1551598991547252</v>
      </c>
      <c r="C6533" t="s">
        <v>40</v>
      </c>
      <c r="D6533">
        <v>5.9293909999999999</v>
      </c>
      <c r="E6533">
        <v>0.51772450000000003</v>
      </c>
      <c r="F6533" t="s">
        <v>41</v>
      </c>
      <c r="G6533">
        <v>-358.37439999999998</v>
      </c>
      <c r="H6533" s="1">
        <v>-1.3420930000000001E-6</v>
      </c>
      <c r="I6533">
        <v>16.598929999999999</v>
      </c>
      <c r="J6533">
        <v>-378.38959999999997</v>
      </c>
      <c r="K6533">
        <v>1.1202719999999999</v>
      </c>
      <c r="L6533">
        <v>16.965910000000001</v>
      </c>
      <c r="M6533">
        <v>0.99991850000000004</v>
      </c>
      <c r="N6533">
        <v>-8.2266869999999999E-3</v>
      </c>
      <c r="O6533">
        <v>-9.7703870000000002E-3</v>
      </c>
      <c r="P6533">
        <v>0.99406139999999998</v>
      </c>
      <c r="Q6533">
        <v>-0.1056339</v>
      </c>
      <c r="R6533">
        <v>2.6148569999999999E-2</v>
      </c>
      <c r="S6533">
        <v>3.001862</v>
      </c>
      <c r="T6533">
        <v>-0.16616810000000001</v>
      </c>
      <c r="U6533">
        <v>-5.4748539999999998E-2</v>
      </c>
      <c r="V6533">
        <v>-3.5814760000000001E-2</v>
      </c>
      <c r="W6533">
        <v>-9.7471619999999995E-2</v>
      </c>
      <c r="X6533">
        <v>0.99459370000000002</v>
      </c>
      <c r="Y6533">
        <v>8.461161E-3</v>
      </c>
      <c r="Z6533">
        <v>1.912169E-4</v>
      </c>
      <c r="AA6533">
        <v>0.99996419999999997</v>
      </c>
      <c r="AB6533">
        <v>24</v>
      </c>
      <c r="AC6533">
        <v>20.0152</v>
      </c>
      <c r="AD6533">
        <v>-1.120273342093</v>
      </c>
      <c r="AE6533">
        <v>-0.36698000000000103</v>
      </c>
      <c r="AF6533">
        <v>0.17086452997863599</v>
      </c>
      <c r="AG6533">
        <v>-1.120273342093</v>
      </c>
      <c r="AH6533">
        <v>19.955335826017802</v>
      </c>
      <c r="AI6533">
        <v>93.213039684096699</v>
      </c>
      <c r="AJ6533">
        <v>89.5094255847536</v>
      </c>
      <c r="AK6533">
        <v>19.9874869600397</v>
      </c>
      <c r="AL6533">
        <v>95.593593481871594</v>
      </c>
      <c r="AM6533">
        <v>92.062297738139705</v>
      </c>
      <c r="AN6533">
        <v>1.0000000209094799</v>
      </c>
    </row>
    <row r="6534" spans="1:40" x14ac:dyDescent="0.25">
      <c r="A6534" t="str">
        <f>"20190303154311578"</f>
        <v>20190303154311578</v>
      </c>
      <c r="B6534" t="str">
        <f>"1551598991566772"</f>
        <v>1551598991566772</v>
      </c>
      <c r="C6534" t="s">
        <v>40</v>
      </c>
      <c r="D6534">
        <v>6.0397410000000002</v>
      </c>
      <c r="E6534">
        <v>0.51768649999999905</v>
      </c>
      <c r="F6534" t="s">
        <v>41</v>
      </c>
      <c r="G6534">
        <v>-358.11959999999999</v>
      </c>
      <c r="H6534" s="1">
        <v>-1.4378189999999999E-6</v>
      </c>
      <c r="I6534">
        <v>16.565020000000001</v>
      </c>
      <c r="J6534">
        <v>-378.13159999999999</v>
      </c>
      <c r="K6534">
        <v>1.1205149999999999</v>
      </c>
      <c r="L6534">
        <v>16.963529999999999</v>
      </c>
      <c r="M6534">
        <v>0.99991039999999998</v>
      </c>
      <c r="N6534">
        <v>-8.9052809999999993E-3</v>
      </c>
      <c r="O6534">
        <v>-1.000265E-2</v>
      </c>
      <c r="P6534">
        <v>0.99412040000000002</v>
      </c>
      <c r="Q6534">
        <v>-0.10545889999999999</v>
      </c>
      <c r="R6534">
        <v>2.4560229999999999E-2</v>
      </c>
      <c r="S6534">
        <v>3.001862</v>
      </c>
      <c r="T6534">
        <v>-0.16590550000000001</v>
      </c>
      <c r="U6534">
        <v>-5.9356689999999997E-2</v>
      </c>
      <c r="V6534">
        <v>-3.4420850000000003E-2</v>
      </c>
      <c r="W6534">
        <v>-9.6633780000000002E-2</v>
      </c>
      <c r="X6534">
        <v>0.99472459999999996</v>
      </c>
      <c r="Y6534">
        <v>9.7607890000000006E-3</v>
      </c>
      <c r="Z6534">
        <v>1.503098E-4</v>
      </c>
      <c r="AA6534">
        <v>0.99995239999999996</v>
      </c>
      <c r="AB6534">
        <v>24</v>
      </c>
      <c r="AC6534">
        <v>20.012</v>
      </c>
      <c r="AD6534">
        <v>-1.120516437819</v>
      </c>
      <c r="AE6534">
        <v>-0.39850999999999798</v>
      </c>
      <c r="AF6534">
        <v>0.197689572128563</v>
      </c>
      <c r="AG6534">
        <v>-1.120516437819</v>
      </c>
      <c r="AH6534">
        <v>19.952456341694599</v>
      </c>
      <c r="AI6534">
        <v>93.214158409835406</v>
      </c>
      <c r="AJ6534">
        <v>89.432330169375803</v>
      </c>
      <c r="AK6534">
        <v>19.984873087452399</v>
      </c>
      <c r="AL6534">
        <v>95.545361452700803</v>
      </c>
      <c r="AM6534">
        <v>91.981837829258893</v>
      </c>
      <c r="AN6534">
        <v>0.99999995609848402</v>
      </c>
    </row>
    <row r="6535" spans="1:40" x14ac:dyDescent="0.25">
      <c r="A6535" t="str">
        <f>"20190303154311598"</f>
        <v>20190303154311598</v>
      </c>
      <c r="B6535" t="str">
        <f>"1551598991587268"</f>
        <v>1551598991587268</v>
      </c>
      <c r="C6535" t="s">
        <v>40</v>
      </c>
      <c r="D6535">
        <v>6.0270780000000004</v>
      </c>
      <c r="E6535">
        <v>0.51768429999999999</v>
      </c>
      <c r="F6535" t="s">
        <v>41</v>
      </c>
      <c r="G6535">
        <v>-358.03109999999998</v>
      </c>
      <c r="H6535" s="1">
        <v>-1.475955E-6</v>
      </c>
      <c r="I6535">
        <v>16.534890000000001</v>
      </c>
      <c r="J6535">
        <v>-377.91199999999998</v>
      </c>
      <c r="K6535">
        <v>1.1206179999999999</v>
      </c>
      <c r="L6535">
        <v>16.96161</v>
      </c>
      <c r="M6535">
        <v>0.9999036</v>
      </c>
      <c r="N6535">
        <v>-9.4319309999999993E-3</v>
      </c>
      <c r="O6535">
        <v>-1.019924E-2</v>
      </c>
      <c r="P6535">
        <v>0.99424650000000003</v>
      </c>
      <c r="Q6535">
        <v>-0.104301</v>
      </c>
      <c r="R6535">
        <v>2.4399210000000001E-2</v>
      </c>
      <c r="S6535">
        <v>3.001617</v>
      </c>
      <c r="T6535">
        <v>-0.167327</v>
      </c>
      <c r="U6535">
        <v>-6.3995360000000001E-2</v>
      </c>
      <c r="V6535">
        <v>-3.4444460000000003E-2</v>
      </c>
      <c r="W6535">
        <v>-9.4955789999999998E-2</v>
      </c>
      <c r="X6535">
        <v>0.99488540000000003</v>
      </c>
      <c r="Y6535">
        <v>1.110772E-2</v>
      </c>
      <c r="Z6535">
        <v>1.1013680000000001E-4</v>
      </c>
      <c r="AA6535">
        <v>0.99993829999999995</v>
      </c>
      <c r="AB6535">
        <v>24</v>
      </c>
      <c r="AC6535">
        <v>19.8809</v>
      </c>
      <c r="AD6535">
        <v>-1.1206194759550001</v>
      </c>
      <c r="AE6535">
        <v>-0.42671999999999899</v>
      </c>
      <c r="AF6535">
        <v>0.22320987674666801</v>
      </c>
      <c r="AG6535">
        <v>-1.1206194759550001</v>
      </c>
      <c r="AH6535">
        <v>19.821271144624799</v>
      </c>
      <c r="AI6535">
        <v>93.235636611236998</v>
      </c>
      <c r="AJ6535">
        <v>89.354812149641702</v>
      </c>
      <c r="AK6535">
        <v>19.854178412810299</v>
      </c>
      <c r="AL6535">
        <v>95.448775312222494</v>
      </c>
      <c r="AM6535">
        <v>91.982875847775802</v>
      </c>
      <c r="AN6535">
        <v>0.99999999100618697</v>
      </c>
    </row>
    <row r="6536" spans="1:40" x14ac:dyDescent="0.25">
      <c r="A6536" t="str">
        <f>"20190303154311611"</f>
        <v>20190303154311611</v>
      </c>
      <c r="B6536" t="str">
        <f>"1551598991606788"</f>
        <v>1551598991606788</v>
      </c>
      <c r="C6536" t="s">
        <v>40</v>
      </c>
      <c r="D6536">
        <v>6.0621539999999996</v>
      </c>
      <c r="E6536">
        <v>0.51762929999999996</v>
      </c>
      <c r="F6536" t="s">
        <v>41</v>
      </c>
      <c r="G6536">
        <v>-357.58780000000002</v>
      </c>
      <c r="H6536" s="1">
        <v>-1.6293739999999999E-6</v>
      </c>
      <c r="I6536">
        <v>16.525300000000001</v>
      </c>
      <c r="J6536">
        <v>-377.77319999999997</v>
      </c>
      <c r="K6536">
        <v>1.1206130000000001</v>
      </c>
      <c r="L6536">
        <v>16.960450000000002</v>
      </c>
      <c r="M6536">
        <v>0.99990129999999999</v>
      </c>
      <c r="N6536">
        <v>-9.7046809999999997E-3</v>
      </c>
      <c r="O6536">
        <v>-1.015843E-2</v>
      </c>
      <c r="P6536">
        <v>0.99429380000000001</v>
      </c>
      <c r="Q6536">
        <v>-0.10378560000000001</v>
      </c>
      <c r="R6536">
        <v>2.4667229999999998E-2</v>
      </c>
      <c r="S6536">
        <v>3.0015559999999999</v>
      </c>
      <c r="T6536">
        <v>-0.16549720000000001</v>
      </c>
      <c r="U6536">
        <v>-6.4422610000000005E-2</v>
      </c>
      <c r="V6536">
        <v>-3.4678100000000003E-2</v>
      </c>
      <c r="W6536">
        <v>-9.4167009999999995E-2</v>
      </c>
      <c r="X6536">
        <v>0.99495230000000001</v>
      </c>
      <c r="Y6536">
        <v>1.129076E-2</v>
      </c>
      <c r="Z6536" s="1">
        <v>9.5235970000000006E-5</v>
      </c>
      <c r="AA6536">
        <v>0.9999363</v>
      </c>
      <c r="AB6536">
        <v>24</v>
      </c>
      <c r="AC6536">
        <v>20.185399999999898</v>
      </c>
      <c r="AD6536">
        <v>-1.12061462937399</v>
      </c>
      <c r="AE6536">
        <v>-0.43514999999999998</v>
      </c>
      <c r="AF6536">
        <v>0.22935934809158401</v>
      </c>
      <c r="AG6536">
        <v>-1.12061462937399</v>
      </c>
      <c r="AH6536">
        <v>20.126776365114001</v>
      </c>
      <c r="AI6536">
        <v>93.186606135528606</v>
      </c>
      <c r="AJ6536">
        <v>89.347100917327694</v>
      </c>
      <c r="AK6536">
        <v>20.159253699217999</v>
      </c>
      <c r="AL6536">
        <v>95.403377868466293</v>
      </c>
      <c r="AM6536">
        <v>91.996180911875101</v>
      </c>
      <c r="AN6536">
        <v>1.00000003783361</v>
      </c>
    </row>
    <row r="6537" spans="1:40" x14ac:dyDescent="0.25">
      <c r="A6537" t="str">
        <f>"20190303154311625"</f>
        <v>20190303154311625</v>
      </c>
      <c r="B6537" t="str">
        <f>"1551598991616548"</f>
        <v>1551598991616548</v>
      </c>
      <c r="C6537" t="s">
        <v>40</v>
      </c>
      <c r="D6537">
        <v>6.0263410000000004</v>
      </c>
      <c r="E6537">
        <v>0.51765229999999995</v>
      </c>
      <c r="F6537" t="s">
        <v>41</v>
      </c>
      <c r="G6537">
        <v>-357.45260000000002</v>
      </c>
      <c r="H6537" s="1">
        <v>-1.6732229999999999E-6</v>
      </c>
      <c r="I6537">
        <v>16.533300000000001</v>
      </c>
      <c r="J6537">
        <v>-377.63189999999997</v>
      </c>
      <c r="K6537">
        <v>1.1205889999999901</v>
      </c>
      <c r="L6537">
        <v>16.95917</v>
      </c>
      <c r="M6537">
        <v>0.99990049999999997</v>
      </c>
      <c r="N6537">
        <v>-9.9595699999999992E-3</v>
      </c>
      <c r="O6537">
        <v>-9.9870429999999993E-3</v>
      </c>
      <c r="P6537">
        <v>0.99432399999999999</v>
      </c>
      <c r="Q6537">
        <v>-0.1033463</v>
      </c>
      <c r="R6537">
        <v>2.5283159999999999E-2</v>
      </c>
      <c r="S6537">
        <v>3.001465</v>
      </c>
      <c r="T6537">
        <v>-0.16552130000000001</v>
      </c>
      <c r="U6537">
        <v>-6.3079830000000003E-2</v>
      </c>
      <c r="V6537">
        <v>-3.513397E-2</v>
      </c>
      <c r="W6537">
        <v>-9.3470659999999997E-2</v>
      </c>
      <c r="X6537">
        <v>0.99500189999999999</v>
      </c>
      <c r="Y6537">
        <v>1.101575E-2</v>
      </c>
      <c r="Z6537" s="1">
        <v>9.2463040000000002E-5</v>
      </c>
      <c r="AA6537">
        <v>0.99993929999999998</v>
      </c>
      <c r="AB6537">
        <v>24</v>
      </c>
      <c r="AC6537">
        <v>20.179299999999898</v>
      </c>
      <c r="AD6537">
        <v>-1.12059067322299</v>
      </c>
      <c r="AE6537">
        <v>-0.42586999999999903</v>
      </c>
      <c r="AF6537">
        <v>0.22361794150619299</v>
      </c>
      <c r="AG6537">
        <v>-1.12059067322299</v>
      </c>
      <c r="AH6537">
        <v>20.120527483638401</v>
      </c>
      <c r="AI6537">
        <v>93.187535852079904</v>
      </c>
      <c r="AJ6537">
        <v>89.363245481671697</v>
      </c>
      <c r="AK6537">
        <v>20.1529490313583</v>
      </c>
      <c r="AL6537">
        <v>95.363303556996698</v>
      </c>
      <c r="AM6537">
        <v>92.022299847259603</v>
      </c>
      <c r="AN6537">
        <v>0.99999997056620205</v>
      </c>
    </row>
    <row r="6538" spans="1:40" x14ac:dyDescent="0.25">
      <c r="A6538" t="str">
        <f>"20190303154311642"</f>
        <v>20190303154311642</v>
      </c>
      <c r="B6538" t="str">
        <f>"1551598991637044"</f>
        <v>1551598991637044</v>
      </c>
      <c r="C6538" t="s">
        <v>40</v>
      </c>
      <c r="D6538">
        <v>5.955667</v>
      </c>
      <c r="E6538">
        <v>0.51778290000000005</v>
      </c>
      <c r="F6538" t="s">
        <v>41</v>
      </c>
      <c r="G6538">
        <v>-357.25459999999998</v>
      </c>
      <c r="H6538" s="1">
        <v>-1.7381389999999999E-6</v>
      </c>
      <c r="I6538">
        <v>16.542639999999999</v>
      </c>
      <c r="J6538">
        <v>-377.4452</v>
      </c>
      <c r="K6538">
        <v>1.1205459999999901</v>
      </c>
      <c r="L6538">
        <v>16.957550000000001</v>
      </c>
      <c r="M6538">
        <v>0.99990080000000003</v>
      </c>
      <c r="N6538">
        <v>-1.0278789999999999E-2</v>
      </c>
      <c r="O6538">
        <v>-9.643759E-3</v>
      </c>
      <c r="P6538">
        <v>0.99436190000000002</v>
      </c>
      <c r="Q6538">
        <v>-0.10241210000000001</v>
      </c>
      <c r="R6538">
        <v>2.7501299999999999E-2</v>
      </c>
      <c r="S6538">
        <v>3.0015260000000001</v>
      </c>
      <c r="T6538">
        <v>-0.16505989999999901</v>
      </c>
      <c r="U6538">
        <v>-6.1340329999999998E-2</v>
      </c>
      <c r="V6538">
        <v>-3.7026110000000001E-2</v>
      </c>
      <c r="W6538">
        <v>-9.2214589999999999E-2</v>
      </c>
      <c r="X6538">
        <v>0.99505049999999995</v>
      </c>
      <c r="Y6538">
        <v>1.0779220000000001E-2</v>
      </c>
      <c r="Z6538" s="1">
        <v>7.9207459999999994E-5</v>
      </c>
      <c r="AA6538">
        <v>0.99994190000000005</v>
      </c>
      <c r="AB6538">
        <v>24</v>
      </c>
      <c r="AC6538">
        <v>20.1906</v>
      </c>
      <c r="AD6538">
        <v>-1.1205477381390001</v>
      </c>
      <c r="AE6538">
        <v>-0.414910000000002</v>
      </c>
      <c r="AF6538">
        <v>0.21949139613781199</v>
      </c>
      <c r="AG6538">
        <v>-1.1205477381390001</v>
      </c>
      <c r="AH6538">
        <v>20.131681442689601</v>
      </c>
      <c r="AI6538">
        <v>93.185659014020999</v>
      </c>
      <c r="AJ6538">
        <v>89.375341180211507</v>
      </c>
      <c r="AK6538">
        <v>20.164037329274102</v>
      </c>
      <c r="AL6538">
        <v>95.291023796709496</v>
      </c>
      <c r="AM6538">
        <v>92.131008957423305</v>
      </c>
      <c r="AN6538">
        <v>0.99999998049042405</v>
      </c>
    </row>
    <row r="6539" spans="1:40" x14ac:dyDescent="0.25">
      <c r="A6539" t="str">
        <f>"20190303154311654"</f>
        <v>20190303154311654</v>
      </c>
      <c r="B6539" t="str">
        <f>"1551598991646805"</f>
        <v>1551598991646805</v>
      </c>
      <c r="C6539" t="s">
        <v>40</v>
      </c>
      <c r="D6539">
        <v>6.0233930000000004</v>
      </c>
      <c r="E6539">
        <v>0.5177988</v>
      </c>
      <c r="F6539" t="s">
        <v>41</v>
      </c>
      <c r="G6539">
        <v>-356.66</v>
      </c>
      <c r="H6539" s="1">
        <v>-1.9551870000000002E-6</v>
      </c>
      <c r="I6539">
        <v>16.571829999999999</v>
      </c>
      <c r="J6539">
        <v>-377.3098</v>
      </c>
      <c r="K6539">
        <v>1.1205290000000001</v>
      </c>
      <c r="L6539">
        <v>16.956329999999902</v>
      </c>
      <c r="M6539">
        <v>0.99990109999999999</v>
      </c>
      <c r="N6539">
        <v>-1.0506140000000001E-2</v>
      </c>
      <c r="O6539">
        <v>-9.3515520000000008E-3</v>
      </c>
      <c r="P6539">
        <v>0.99434259999999997</v>
      </c>
      <c r="Q6539">
        <v>-0.1023095</v>
      </c>
      <c r="R6539">
        <v>2.856291E-2</v>
      </c>
      <c r="S6539">
        <v>3.0018310000000001</v>
      </c>
      <c r="T6539">
        <v>-0.16183159999999999</v>
      </c>
      <c r="U6539">
        <v>-5.569458E-2</v>
      </c>
      <c r="V6539">
        <v>-3.7805409999999998E-2</v>
      </c>
      <c r="W6539">
        <v>-9.1883210000000007E-2</v>
      </c>
      <c r="X6539">
        <v>0.99505189999999999</v>
      </c>
      <c r="Y6539">
        <v>9.1919259999999996E-3</v>
      </c>
      <c r="Z6539">
        <v>1.09632E-4</v>
      </c>
      <c r="AA6539">
        <v>0.99995769999999995</v>
      </c>
      <c r="AB6539">
        <v>24</v>
      </c>
      <c r="AC6539">
        <v>20.6497999999999</v>
      </c>
      <c r="AD6539">
        <v>-1.120530955187</v>
      </c>
      <c r="AE6539">
        <v>-0.38449999999999901</v>
      </c>
      <c r="AF6539">
        <v>0.19080322109324999</v>
      </c>
      <c r="AG6539">
        <v>-1.120530955187</v>
      </c>
      <c r="AH6539">
        <v>20.591880422706101</v>
      </c>
      <c r="AI6539">
        <v>93.114610622759898</v>
      </c>
      <c r="AJ6539">
        <v>89.469115680257502</v>
      </c>
      <c r="AK6539">
        <v>20.623228041064198</v>
      </c>
      <c r="AL6539">
        <v>95.271955915167297</v>
      </c>
      <c r="AM6539">
        <v>92.175815239234495</v>
      </c>
      <c r="AN6539">
        <v>1.00000002849939</v>
      </c>
    </row>
    <row r="6540" spans="1:40" x14ac:dyDescent="0.25">
      <c r="A6540" t="str">
        <f>"20190303154311667"</f>
        <v>20190303154311667</v>
      </c>
      <c r="B6540" t="str">
        <f>"1551598991656564"</f>
        <v>1551598991656564</v>
      </c>
      <c r="C6540" t="s">
        <v>40</v>
      </c>
      <c r="D6540">
        <v>5.9441990000000002</v>
      </c>
      <c r="E6540">
        <v>0.5178857</v>
      </c>
      <c r="F6540" t="s">
        <v>41</v>
      </c>
      <c r="G6540">
        <v>-356.62869999999998</v>
      </c>
      <c r="H6540" s="1">
        <v>-1.96479E-6</v>
      </c>
      <c r="I6540">
        <v>16.593350000000001</v>
      </c>
      <c r="J6540">
        <v>-377.17880000000002</v>
      </c>
      <c r="K6540">
        <v>1.1205459999999901</v>
      </c>
      <c r="L6540">
        <v>16.955200000000001</v>
      </c>
      <c r="M6540">
        <v>0.99990109999999999</v>
      </c>
      <c r="N6540">
        <v>-1.071862E-2</v>
      </c>
      <c r="O6540">
        <v>-9.1052010000000003E-3</v>
      </c>
      <c r="P6540">
        <v>0.99425969999999997</v>
      </c>
      <c r="Q6540">
        <v>-0.1027738</v>
      </c>
      <c r="R6540">
        <v>2.9759689999999998E-2</v>
      </c>
      <c r="S6540">
        <v>3.0018919999999998</v>
      </c>
      <c r="T6540">
        <v>-0.16264679999999901</v>
      </c>
      <c r="U6540">
        <v>-5.2673339999999999E-2</v>
      </c>
      <c r="V6540">
        <v>-3.8757699999999999E-2</v>
      </c>
      <c r="W6540">
        <v>-9.2137070000000001E-2</v>
      </c>
      <c r="X6540">
        <v>0.99499179999999998</v>
      </c>
      <c r="Y6540">
        <v>8.4327369999999992E-3</v>
      </c>
      <c r="Z6540">
        <v>1.2188020000000001E-4</v>
      </c>
      <c r="AA6540">
        <v>0.99996439999999998</v>
      </c>
      <c r="AB6540">
        <v>24</v>
      </c>
      <c r="AC6540">
        <v>20.5501</v>
      </c>
      <c r="AD6540">
        <v>-1.1205479647900001</v>
      </c>
      <c r="AE6540">
        <v>-0.36185</v>
      </c>
      <c r="AF6540">
        <v>0.17419369538648299</v>
      </c>
      <c r="AG6540">
        <v>-1.1205479647900001</v>
      </c>
      <c r="AH6540">
        <v>20.491634848221398</v>
      </c>
      <c r="AI6540">
        <v>93.129885802534503</v>
      </c>
      <c r="AJ6540">
        <v>89.512956226201894</v>
      </c>
      <c r="AK6540">
        <v>20.5229888159047</v>
      </c>
      <c r="AL6540">
        <v>95.286562919795998</v>
      </c>
      <c r="AM6540">
        <v>92.230702311960997</v>
      </c>
      <c r="AN6540">
        <v>1.0000000405223499</v>
      </c>
    </row>
    <row r="6541" spans="1:40" x14ac:dyDescent="0.25">
      <c r="A6541" t="str">
        <f>"20190303154311681"</f>
        <v>20190303154311681</v>
      </c>
      <c r="B6541" t="str">
        <f>"1551598991677061"</f>
        <v>1551598991677061</v>
      </c>
      <c r="C6541" t="s">
        <v>40</v>
      </c>
      <c r="D6541">
        <v>5.9342129999999997</v>
      </c>
      <c r="E6541">
        <v>0.51802590000000004</v>
      </c>
      <c r="F6541" t="s">
        <v>41</v>
      </c>
      <c r="G6541">
        <v>-356.6653</v>
      </c>
      <c r="H6541" s="1">
        <v>-1.9453140000000002E-6</v>
      </c>
      <c r="I6541">
        <v>16.61477</v>
      </c>
      <c r="J6541">
        <v>-377.02120000000002</v>
      </c>
      <c r="K6541">
        <v>1.120581</v>
      </c>
      <c r="L6541">
        <v>16.95392</v>
      </c>
      <c r="M6541">
        <v>0.99990080000000003</v>
      </c>
      <c r="N6541">
        <v>-1.096505E-2</v>
      </c>
      <c r="O6541">
        <v>-8.8473149999999997E-3</v>
      </c>
      <c r="P6541">
        <v>0.99420370000000002</v>
      </c>
      <c r="Q6541">
        <v>-0.1029003</v>
      </c>
      <c r="R6541">
        <v>3.115484E-2</v>
      </c>
      <c r="S6541">
        <v>3.0018310000000001</v>
      </c>
      <c r="T6541">
        <v>-0.16397419999999999</v>
      </c>
      <c r="U6541">
        <v>-4.9804689999999999E-2</v>
      </c>
      <c r="V6541">
        <v>-3.9893940000000003E-2</v>
      </c>
      <c r="W6541">
        <v>-9.2020450000000004E-2</v>
      </c>
      <c r="X6541">
        <v>0.9949576</v>
      </c>
      <c r="Y6541">
        <v>7.7364499999999998E-3</v>
      </c>
      <c r="Z6541">
        <v>1.3233670000000001E-4</v>
      </c>
      <c r="AA6541">
        <v>0.99997009999999997</v>
      </c>
      <c r="AB6541">
        <v>24</v>
      </c>
      <c r="AC6541">
        <v>20.355899999999998</v>
      </c>
      <c r="AD6541">
        <v>-1.1205829453139999</v>
      </c>
      <c r="AE6541">
        <v>-0.33915000000000001</v>
      </c>
      <c r="AF6541">
        <v>0.158550501872216</v>
      </c>
      <c r="AG6541">
        <v>-1.1205829453139999</v>
      </c>
      <c r="AH6541">
        <v>20.296613115766601</v>
      </c>
      <c r="AI6541">
        <v>93.160015086888393</v>
      </c>
      <c r="AJ6541">
        <v>89.552433217748899</v>
      </c>
      <c r="AK6541">
        <v>20.328141783500001</v>
      </c>
      <c r="AL6541">
        <v>95.279853017259299</v>
      </c>
      <c r="AM6541">
        <v>92.296108533121597</v>
      </c>
      <c r="AN6541">
        <v>0.99999995773234196</v>
      </c>
    </row>
    <row r="6542" spans="1:40" x14ac:dyDescent="0.25">
      <c r="A6542" t="str">
        <f>"20190303154311699"</f>
        <v>20190303154311699</v>
      </c>
      <c r="B6542" t="str">
        <f>"1551598991696581"</f>
        <v>1551598991696581</v>
      </c>
      <c r="C6542" t="s">
        <v>40</v>
      </c>
      <c r="D6542">
        <v>6.0426320000000002</v>
      </c>
      <c r="E6542">
        <v>0.51802000000000004</v>
      </c>
      <c r="F6542" t="s">
        <v>41</v>
      </c>
      <c r="G6542">
        <v>-356.50729999999999</v>
      </c>
      <c r="H6542" s="1">
        <v>-2.009617E-6</v>
      </c>
      <c r="I6542">
        <v>16.634350000000001</v>
      </c>
      <c r="J6542">
        <v>-376.83920000000001</v>
      </c>
      <c r="K6542">
        <v>1.1206499999999999</v>
      </c>
      <c r="L6542">
        <v>16.952479999999898</v>
      </c>
      <c r="M6542">
        <v>0.99989980000000001</v>
      </c>
      <c r="N6542">
        <v>-1.123102E-2</v>
      </c>
      <c r="O6542">
        <v>-8.6159870000000003E-3</v>
      </c>
      <c r="P6542">
        <v>0.99414119999999995</v>
      </c>
      <c r="Q6542">
        <v>-0.1029487</v>
      </c>
      <c r="R6542">
        <v>3.2940690000000002E-2</v>
      </c>
      <c r="S6542">
        <v>3.002014</v>
      </c>
      <c r="T6542">
        <v>-0.1639861</v>
      </c>
      <c r="U6542">
        <v>-4.6752929999999998E-2</v>
      </c>
      <c r="V6542">
        <v>-4.1442779999999999E-2</v>
      </c>
      <c r="W6542">
        <v>-9.1808819999999999E-2</v>
      </c>
      <c r="X6542">
        <v>0.99491390000000002</v>
      </c>
      <c r="Y6542">
        <v>6.9515089999999998E-3</v>
      </c>
      <c r="Z6542">
        <v>1.4476499999999999E-4</v>
      </c>
      <c r="AA6542">
        <v>0.99997579999999997</v>
      </c>
      <c r="AB6542">
        <v>24</v>
      </c>
      <c r="AC6542">
        <v>20.331900000000001</v>
      </c>
      <c r="AD6542">
        <v>-1.1206520096169901</v>
      </c>
      <c r="AE6542">
        <v>-0.31812999999999603</v>
      </c>
      <c r="AF6542">
        <v>0.142494961487663</v>
      </c>
      <c r="AG6542">
        <v>-1.1206520096169901</v>
      </c>
      <c r="AH6542">
        <v>20.272314483863202</v>
      </c>
      <c r="AI6542">
        <v>93.164007960381696</v>
      </c>
      <c r="AJ6542">
        <v>89.597272159251105</v>
      </c>
      <c r="AK6542">
        <v>20.303765667318</v>
      </c>
      <c r="AL6542">
        <v>95.267675656673603</v>
      </c>
      <c r="AM6542">
        <v>92.385256127757103</v>
      </c>
      <c r="AN6542">
        <v>1.00000001592856</v>
      </c>
    </row>
    <row r="6543" spans="1:40" x14ac:dyDescent="0.25">
      <c r="A6543" t="str">
        <f>"20190303154311712"</f>
        <v>20190303154311712</v>
      </c>
      <c r="B6543" t="str">
        <f>"1551598991707317"</f>
        <v>1551598991707317</v>
      </c>
      <c r="C6543" t="s">
        <v>40</v>
      </c>
      <c r="D6543">
        <v>6.044168</v>
      </c>
      <c r="E6543">
        <v>0.51799839999999997</v>
      </c>
      <c r="F6543" t="s">
        <v>41</v>
      </c>
      <c r="G6543">
        <v>-356.62220000000002</v>
      </c>
      <c r="H6543" s="1">
        <v>-1.9534420000000001E-6</v>
      </c>
      <c r="I6543">
        <v>16.673079999999999</v>
      </c>
      <c r="J6543">
        <v>-376.69569999999999</v>
      </c>
      <c r="K6543">
        <v>1.120703</v>
      </c>
      <c r="L6543">
        <v>16.951450000000001</v>
      </c>
      <c r="M6543">
        <v>0.99989899999999998</v>
      </c>
      <c r="N6543">
        <v>-1.142406E-2</v>
      </c>
      <c r="O6543">
        <v>-8.4682549999999992E-3</v>
      </c>
      <c r="P6543">
        <v>0.99411780000000005</v>
      </c>
      <c r="Q6543">
        <v>-0.1029351</v>
      </c>
      <c r="R6543">
        <v>3.3680199999999903E-2</v>
      </c>
      <c r="S6543">
        <v>3.0018310000000001</v>
      </c>
      <c r="T6543">
        <v>-0.16639470000000001</v>
      </c>
      <c r="U6543">
        <v>-4.1473389999999999E-2</v>
      </c>
      <c r="V6543">
        <v>-4.2029450000000003E-2</v>
      </c>
      <c r="W6543">
        <v>-9.1606519999999997E-2</v>
      </c>
      <c r="X6543">
        <v>0.99490789999999996</v>
      </c>
      <c r="Y6543">
        <v>5.3445139999999999E-3</v>
      </c>
      <c r="Z6543">
        <v>1.937632E-4</v>
      </c>
      <c r="AA6543">
        <v>0.99998569999999998</v>
      </c>
      <c r="AB6543">
        <v>24</v>
      </c>
      <c r="AC6543">
        <v>20.0734999999999</v>
      </c>
      <c r="AD6543">
        <v>-1.1207049534419999</v>
      </c>
      <c r="AE6543">
        <v>-0.278370000000002</v>
      </c>
      <c r="AF6543">
        <v>0.108024778531468</v>
      </c>
      <c r="AG6543">
        <v>-1.1207049534419999</v>
      </c>
      <c r="AH6543">
        <v>20.0127698573116</v>
      </c>
      <c r="AI6543">
        <v>93.205140343295895</v>
      </c>
      <c r="AJ6543">
        <v>89.690732276120201</v>
      </c>
      <c r="AK6543">
        <v>20.044415838511402</v>
      </c>
      <c r="AL6543">
        <v>95.256035862333604</v>
      </c>
      <c r="AM6543">
        <v>92.418996899332598</v>
      </c>
      <c r="AN6543">
        <v>0.99999997932811102</v>
      </c>
    </row>
    <row r="6544" spans="1:40" x14ac:dyDescent="0.25">
      <c r="A6544" t="str">
        <f>"20190303154311725"</f>
        <v>20190303154311725</v>
      </c>
      <c r="B6544" t="str">
        <f>"1551598991717076"</f>
        <v>1551598991717076</v>
      </c>
      <c r="C6544" t="s">
        <v>40</v>
      </c>
      <c r="D6544">
        <v>6.0633739999999996</v>
      </c>
      <c r="E6544">
        <v>0.51797749999999998</v>
      </c>
      <c r="F6544" t="s">
        <v>41</v>
      </c>
      <c r="G6544">
        <v>-356.60809999999998</v>
      </c>
      <c r="H6544" s="1">
        <v>-1.956667E-6</v>
      </c>
      <c r="I6544">
        <v>16.688929999999999</v>
      </c>
      <c r="J6544">
        <v>-376.56169999999997</v>
      </c>
      <c r="K6544">
        <v>1.120741</v>
      </c>
      <c r="L6544">
        <v>16.950559999999999</v>
      </c>
      <c r="M6544">
        <v>0.99989830000000002</v>
      </c>
      <c r="N6544">
        <v>-1.159193E-2</v>
      </c>
      <c r="O6544">
        <v>-8.3243569999999992E-3</v>
      </c>
      <c r="P6544">
        <v>0.99413430000000003</v>
      </c>
      <c r="Q6544">
        <v>-0.10266939999999999</v>
      </c>
      <c r="R6544">
        <v>3.4001009999999998E-2</v>
      </c>
      <c r="S6544">
        <v>3.0017399999999999</v>
      </c>
      <c r="T6544">
        <v>-0.1674696</v>
      </c>
      <c r="U6544">
        <v>-3.9215090000000001E-2</v>
      </c>
      <c r="V6544">
        <v>-4.2204770000000003E-2</v>
      </c>
      <c r="W6544">
        <v>-9.1175240000000005E-2</v>
      </c>
      <c r="X6544">
        <v>0.99494009999999999</v>
      </c>
      <c r="Y6544">
        <v>4.7375719999999998E-3</v>
      </c>
      <c r="Z6544">
        <v>2.080599E-4</v>
      </c>
      <c r="AA6544">
        <v>0.99998869999999895</v>
      </c>
      <c r="AB6544">
        <v>24</v>
      </c>
      <c r="AC6544">
        <v>19.953599999999899</v>
      </c>
      <c r="AD6544">
        <v>-1.120742956667</v>
      </c>
      <c r="AE6544">
        <v>-0.26162999999999997</v>
      </c>
      <c r="AF6544">
        <v>9.5208595386981995E-2</v>
      </c>
      <c r="AG6544">
        <v>-1.120742956667</v>
      </c>
      <c r="AH6544">
        <v>19.892341365253301</v>
      </c>
      <c r="AI6544">
        <v>93.224622615209697</v>
      </c>
      <c r="AJ6544">
        <v>89.725773405185095</v>
      </c>
      <c r="AK6544">
        <v>19.924115399267301</v>
      </c>
      <c r="AL6544">
        <v>95.231221463422699</v>
      </c>
      <c r="AM6544">
        <v>92.428996826823706</v>
      </c>
      <c r="AN6544">
        <v>0.99999998479390995</v>
      </c>
    </row>
    <row r="6545" spans="1:40" x14ac:dyDescent="0.25">
      <c r="A6545" t="str">
        <f>"20190303154311744"</f>
        <v>20190303154311744</v>
      </c>
      <c r="B6545" t="str">
        <f>"1551598991736596"</f>
        <v>1551598991736596</v>
      </c>
      <c r="C6545" t="s">
        <v>40</v>
      </c>
      <c r="D6545">
        <v>6.0721499999999997</v>
      </c>
      <c r="E6545">
        <v>0.51797850000000001</v>
      </c>
      <c r="F6545" t="s">
        <v>41</v>
      </c>
      <c r="G6545">
        <v>-356.50229999999999</v>
      </c>
      <c r="H6545" s="1">
        <v>-2.0009059999999999E-6</v>
      </c>
      <c r="I6545">
        <v>16.695550000000001</v>
      </c>
      <c r="J6545">
        <v>-376.3639</v>
      </c>
      <c r="K6545">
        <v>1.120787</v>
      </c>
      <c r="L6545">
        <v>16.949249999999999</v>
      </c>
      <c r="M6545">
        <v>0.99989740000000005</v>
      </c>
      <c r="N6545">
        <v>-1.182399E-2</v>
      </c>
      <c r="O6545">
        <v>-8.0836299999999996E-3</v>
      </c>
      <c r="P6545">
        <v>0.99417120000000003</v>
      </c>
      <c r="Q6545">
        <v>-0.102102</v>
      </c>
      <c r="R6545">
        <v>3.4622720000000003E-2</v>
      </c>
      <c r="S6545">
        <v>3.001709</v>
      </c>
      <c r="T6545">
        <v>-0.16770879999999999</v>
      </c>
      <c r="U6545">
        <v>-3.8146970000000002E-2</v>
      </c>
      <c r="V6545">
        <v>-4.2585980000000002E-2</v>
      </c>
      <c r="W6545">
        <v>-9.0377680000000002E-2</v>
      </c>
      <c r="X6545">
        <v>0.99499669999999896</v>
      </c>
      <c r="Y6545">
        <v>4.6225320000000004E-3</v>
      </c>
      <c r="Z6545">
        <v>1.993547E-4</v>
      </c>
      <c r="AA6545">
        <v>0.99998929999999997</v>
      </c>
      <c r="AB6545">
        <v>24</v>
      </c>
      <c r="AC6545">
        <v>19.861599999999999</v>
      </c>
      <c r="AD6545">
        <v>-1.120789000906</v>
      </c>
      <c r="AE6545">
        <v>-0.25369999999999798</v>
      </c>
      <c r="AF6545">
        <v>9.2831099179562795E-2</v>
      </c>
      <c r="AG6545">
        <v>-1.120789000906</v>
      </c>
      <c r="AH6545">
        <v>19.799962428541999</v>
      </c>
      <c r="AI6545">
        <v>93.239769790600604</v>
      </c>
      <c r="AJ6545">
        <v>89.731373671125795</v>
      </c>
      <c r="AK6545">
        <v>19.8318758005692</v>
      </c>
      <c r="AL6545">
        <v>95.185334787851303</v>
      </c>
      <c r="AM6545">
        <v>92.450770593229507</v>
      </c>
      <c r="AN6545">
        <v>1.00000006187281</v>
      </c>
    </row>
    <row r="6546" spans="1:40" x14ac:dyDescent="0.25">
      <c r="A6546" t="str">
        <f>"20190303154311759"</f>
        <v>20190303154311759</v>
      </c>
      <c r="B6546" t="str">
        <f>"1551598991747334"</f>
        <v>1551598991747334</v>
      </c>
      <c r="C6546" t="s">
        <v>40</v>
      </c>
      <c r="D6546">
        <v>6.0639310000000002</v>
      </c>
      <c r="E6546">
        <v>0.51799269999999997</v>
      </c>
      <c r="F6546" t="s">
        <v>41</v>
      </c>
      <c r="G6546">
        <v>-356.38819999999998</v>
      </c>
      <c r="H6546" s="1">
        <v>-2.0479159999999999E-6</v>
      </c>
      <c r="I6546">
        <v>16.70646</v>
      </c>
      <c r="J6546">
        <v>-376.20760000000001</v>
      </c>
      <c r="K6546">
        <v>1.1208199999999999</v>
      </c>
      <c r="L6546">
        <v>16.9483</v>
      </c>
      <c r="M6546">
        <v>0.99989720000000004</v>
      </c>
      <c r="N6546">
        <v>-1.1994289999999999E-2</v>
      </c>
      <c r="O6546">
        <v>-7.8580119999999993E-3</v>
      </c>
      <c r="P6546">
        <v>0.9941605</v>
      </c>
      <c r="Q6546">
        <v>-0.1022633</v>
      </c>
      <c r="R6546">
        <v>3.4458179999999998E-2</v>
      </c>
      <c r="S6546">
        <v>3.0015559999999999</v>
      </c>
      <c r="T6546">
        <v>-0.1684098</v>
      </c>
      <c r="U6546">
        <v>-3.6468510000000003E-2</v>
      </c>
      <c r="V6546">
        <v>-4.2198390000000002E-2</v>
      </c>
      <c r="W6546">
        <v>-9.0368799999999999E-2</v>
      </c>
      <c r="X6546">
        <v>0.99501399999999995</v>
      </c>
      <c r="Y6546">
        <v>4.2900439999999998E-3</v>
      </c>
      <c r="Z6546">
        <v>2.0032000000000001E-4</v>
      </c>
      <c r="AA6546">
        <v>0.99999079999999996</v>
      </c>
      <c r="AB6546">
        <v>24</v>
      </c>
      <c r="AC6546">
        <v>19.819400000000002</v>
      </c>
      <c r="AD6546">
        <v>-1.120822047916</v>
      </c>
      <c r="AE6546">
        <v>-0.241839999999999</v>
      </c>
      <c r="AF6546">
        <v>8.5805871888729193E-2</v>
      </c>
      <c r="AG6546">
        <v>-1.120822047916</v>
      </c>
      <c r="AH6546">
        <v>19.7575113810883</v>
      </c>
      <c r="AI6546">
        <v>93.246816474633604</v>
      </c>
      <c r="AJ6546">
        <v>89.751168894048604</v>
      </c>
      <c r="AK6546">
        <v>19.7894633753566</v>
      </c>
      <c r="AL6546">
        <v>95.184824013301593</v>
      </c>
      <c r="AM6546">
        <v>92.428449921377407</v>
      </c>
      <c r="AN6546">
        <v>1.0000000421640101</v>
      </c>
    </row>
    <row r="6547" spans="1:40" x14ac:dyDescent="0.25">
      <c r="A6547" t="str">
        <f>"20190303154311778"</f>
        <v>20190303154311778</v>
      </c>
      <c r="B6547" t="str">
        <f>"1551598991766852"</f>
        <v>1551598991766852</v>
      </c>
      <c r="C6547" t="s">
        <v>40</v>
      </c>
      <c r="D6547">
        <v>6.0449089999999996</v>
      </c>
      <c r="E6547">
        <v>0.51795389999999997</v>
      </c>
      <c r="F6547" t="s">
        <v>41</v>
      </c>
      <c r="G6547">
        <v>-356.3974</v>
      </c>
      <c r="H6547" s="1">
        <v>-2.0445539999999999E-6</v>
      </c>
      <c r="I6547">
        <v>16.70308</v>
      </c>
      <c r="J6547">
        <v>-375.99950000000001</v>
      </c>
      <c r="K6547">
        <v>1.1208450000000001</v>
      </c>
      <c r="L6547">
        <v>16.947109999999999</v>
      </c>
      <c r="M6547">
        <v>0.99989749999999999</v>
      </c>
      <c r="N6547">
        <v>-1.2199349999999999E-2</v>
      </c>
      <c r="O6547">
        <v>-7.502206E-3</v>
      </c>
      <c r="P6547">
        <v>0.99414530000000001</v>
      </c>
      <c r="Q6547">
        <v>-0.1026065</v>
      </c>
      <c r="R6547">
        <v>3.3870190000000001E-2</v>
      </c>
      <c r="S6547">
        <v>3.0014340000000002</v>
      </c>
      <c r="T6547">
        <v>-0.1698152</v>
      </c>
      <c r="U6547">
        <v>-3.7139890000000002E-2</v>
      </c>
      <c r="V6547">
        <v>-4.1258900000000001E-2</v>
      </c>
      <c r="W6547">
        <v>-9.0505820000000001E-2</v>
      </c>
      <c r="X6547">
        <v>0.99504090000000001</v>
      </c>
      <c r="Y6547">
        <v>4.8684770000000004E-3</v>
      </c>
      <c r="Z6547">
        <v>1.652941E-4</v>
      </c>
      <c r="AA6547">
        <v>0.99998810000000005</v>
      </c>
      <c r="AB6547">
        <v>24</v>
      </c>
      <c r="AC6547">
        <v>19.6021</v>
      </c>
      <c r="AD6547">
        <v>-1.120847044554</v>
      </c>
      <c r="AE6547">
        <v>-0.244030000000002</v>
      </c>
      <c r="AF6547">
        <v>9.6637292592572699E-2</v>
      </c>
      <c r="AG6547">
        <v>-1.120847044554</v>
      </c>
      <c r="AH6547">
        <v>19.539503762159399</v>
      </c>
      <c r="AI6547">
        <v>93.283027184160005</v>
      </c>
      <c r="AJ6547">
        <v>89.7166323192085</v>
      </c>
      <c r="AK6547">
        <v>19.571863583599999</v>
      </c>
      <c r="AL6547">
        <v>95.192707221797903</v>
      </c>
      <c r="AM6547">
        <v>92.374382240735798</v>
      </c>
      <c r="AN6547">
        <v>0.99999999647794602</v>
      </c>
    </row>
    <row r="6548" spans="1:40" x14ac:dyDescent="0.25">
      <c r="A6548" t="str">
        <f>"20190303154311799"</f>
        <v>20190303154311799</v>
      </c>
      <c r="B6548" t="str">
        <f>"1551598991787349"</f>
        <v>1551598991787349</v>
      </c>
      <c r="C6548" t="s">
        <v>40</v>
      </c>
      <c r="D6548">
        <v>6.0649540000000002</v>
      </c>
      <c r="E6548">
        <v>0.51791149999999997</v>
      </c>
      <c r="F6548" t="s">
        <v>41</v>
      </c>
      <c r="G6548">
        <v>-356.51089999999999</v>
      </c>
      <c r="H6548" s="1">
        <v>-1.9971860000000002E-6</v>
      </c>
      <c r="I6548">
        <v>16.695550000000001</v>
      </c>
      <c r="J6548">
        <v>-375.78160000000003</v>
      </c>
      <c r="K6548">
        <v>1.120871</v>
      </c>
      <c r="L6548">
        <v>16.945920000000001</v>
      </c>
      <c r="M6548">
        <v>0.99989810000000001</v>
      </c>
      <c r="N6548">
        <v>-1.238933E-2</v>
      </c>
      <c r="O6548">
        <v>-7.0933530000000002E-3</v>
      </c>
      <c r="P6548">
        <v>0.99410770000000004</v>
      </c>
      <c r="Q6548">
        <v>-0.1032734</v>
      </c>
      <c r="R6548">
        <v>3.293401E-2</v>
      </c>
      <c r="S6548">
        <v>3.0011899999999998</v>
      </c>
      <c r="T6548">
        <v>-0.17260809999999999</v>
      </c>
      <c r="U6548">
        <v>-3.872681E-2</v>
      </c>
      <c r="V6548">
        <v>-3.9918170000000003E-2</v>
      </c>
      <c r="W6548">
        <v>-9.0981880000000001E-2</v>
      </c>
      <c r="X6548">
        <v>0.99505220000000005</v>
      </c>
      <c r="Y6548">
        <v>5.8046640000000002E-3</v>
      </c>
      <c r="Z6548">
        <v>1.169998E-4</v>
      </c>
      <c r="AA6548">
        <v>0.99998310000000001</v>
      </c>
      <c r="AB6548">
        <v>24</v>
      </c>
      <c r="AC6548">
        <v>19.270700000000001</v>
      </c>
      <c r="AD6548">
        <v>-1.1208729971860001</v>
      </c>
      <c r="AE6548">
        <v>-0.25036999999999998</v>
      </c>
      <c r="AF6548">
        <v>0.113276169272684</v>
      </c>
      <c r="AG6548">
        <v>-1.1208729971860001</v>
      </c>
      <c r="AH6548">
        <v>19.207022450145299</v>
      </c>
      <c r="AI6548">
        <v>93.339790119245606</v>
      </c>
      <c r="AJ6548">
        <v>89.662093841520402</v>
      </c>
      <c r="AK6548">
        <v>19.2400337620995</v>
      </c>
      <c r="AL6548">
        <v>95.220096319319396</v>
      </c>
      <c r="AM6548">
        <v>92.2972834142426</v>
      </c>
      <c r="AN6548">
        <v>1.0000000217546601</v>
      </c>
    </row>
    <row r="6549" spans="1:40" x14ac:dyDescent="0.25">
      <c r="A6549" t="str">
        <f>"20190303154311823"</f>
        <v>20190303154311823</v>
      </c>
      <c r="B6549" t="str">
        <f>"1551598991816629"</f>
        <v>1551598991816629</v>
      </c>
      <c r="C6549" t="s">
        <v>40</v>
      </c>
      <c r="D6549">
        <v>6.042745</v>
      </c>
      <c r="E6549">
        <v>0.52189379999999996</v>
      </c>
      <c r="F6549" t="s">
        <v>41</v>
      </c>
      <c r="G6549">
        <v>-356.71769999999998</v>
      </c>
      <c r="H6549" s="1">
        <v>-1.9105709999999998E-6</v>
      </c>
      <c r="I6549">
        <v>16.683720000000001</v>
      </c>
      <c r="J6549">
        <v>-375.52820000000003</v>
      </c>
      <c r="K6549">
        <v>1.120914</v>
      </c>
      <c r="L6549">
        <v>16.944669999999999</v>
      </c>
      <c r="M6549">
        <v>0.99989910000000004</v>
      </c>
      <c r="N6549">
        <v>-1.258165E-2</v>
      </c>
      <c r="O6549">
        <v>-6.5979230000000003E-3</v>
      </c>
      <c r="P6549">
        <v>0.99408229999999997</v>
      </c>
      <c r="Q6549">
        <v>-0.1038198</v>
      </c>
      <c r="R6549">
        <v>3.1969730000000002E-2</v>
      </c>
      <c r="S6549">
        <v>3.0008539999999999</v>
      </c>
      <c r="T6549">
        <v>-0.1764368</v>
      </c>
      <c r="U6549">
        <v>-4.1259770000000001E-2</v>
      </c>
      <c r="V6549">
        <v>-3.8460220000000003E-2</v>
      </c>
      <c r="W6549">
        <v>-9.1336249999999994E-2</v>
      </c>
      <c r="X6549">
        <v>0.99507710000000005</v>
      </c>
      <c r="Y6549">
        <v>7.1419830000000002E-3</v>
      </c>
      <c r="Z6549" s="1">
        <v>4.9864409999999997E-5</v>
      </c>
      <c r="AA6549">
        <v>0.99997449999999999</v>
      </c>
      <c r="AB6549">
        <v>24</v>
      </c>
      <c r="AC6549">
        <v>18.810500000000001</v>
      </c>
      <c r="AD6549">
        <v>-1.120915910571</v>
      </c>
      <c r="AE6549">
        <v>-0.26095000000000101</v>
      </c>
      <c r="AF6549">
        <v>0.13634022161405401</v>
      </c>
      <c r="AG6549">
        <v>-1.120915910571</v>
      </c>
      <c r="AH6549">
        <v>18.7452615538364</v>
      </c>
      <c r="AI6549">
        <v>93.421967371256002</v>
      </c>
      <c r="AJ6549">
        <v>89.5832770053009</v>
      </c>
      <c r="AK6549">
        <v>18.779240449398799</v>
      </c>
      <c r="AL6549">
        <v>95.240485403960804</v>
      </c>
      <c r="AM6549">
        <v>92.213408361129794</v>
      </c>
      <c r="AN6549">
        <v>0.99999996701546001</v>
      </c>
    </row>
    <row r="6550" spans="1:40" x14ac:dyDescent="0.25">
      <c r="A6550" t="str">
        <f>"20190303154311843"</f>
        <v>20190303154311843</v>
      </c>
      <c r="B6550" t="str">
        <f>"1551598991837126"</f>
        <v>1551598991837126</v>
      </c>
      <c r="C6550" t="s">
        <v>40</v>
      </c>
      <c r="D6550">
        <v>6.2652039999999998</v>
      </c>
      <c r="E6550">
        <v>0.52108639999999995</v>
      </c>
      <c r="F6550" t="s">
        <v>42</v>
      </c>
      <c r="G6550">
        <v>-374.66500000000002</v>
      </c>
      <c r="H6550">
        <v>1.0392129999999999</v>
      </c>
      <c r="I6550">
        <v>16.921979999999898</v>
      </c>
      <c r="J6550">
        <v>-375.30630000000002</v>
      </c>
      <c r="K6550">
        <v>1.1209629999999999</v>
      </c>
      <c r="L6550">
        <v>16.9437</v>
      </c>
      <c r="M6550">
        <v>0.99990009999999996</v>
      </c>
      <c r="N6550">
        <v>-1.2729030000000001E-2</v>
      </c>
      <c r="O6550">
        <v>-6.1463200000000003E-3</v>
      </c>
      <c r="P6550">
        <v>0.99423490000000003</v>
      </c>
      <c r="Q6550">
        <v>-0.1025591</v>
      </c>
      <c r="R6550">
        <v>3.1284819999999998E-2</v>
      </c>
      <c r="S6550">
        <v>2.9908139999999999</v>
      </c>
      <c r="T6550">
        <v>-0.28312730000000003</v>
      </c>
      <c r="U6550">
        <v>-7.8063960000000002E-2</v>
      </c>
      <c r="V6550">
        <v>-3.7324799999999998E-2</v>
      </c>
      <c r="W6550">
        <v>-8.9927179999999995E-2</v>
      </c>
      <c r="X6550">
        <v>0.99524869999999999</v>
      </c>
      <c r="Y6550">
        <v>1.9866950000000001E-2</v>
      </c>
      <c r="Z6550">
        <v>-5.6253539999999999E-4</v>
      </c>
      <c r="AA6550">
        <v>0.99980250000000004</v>
      </c>
      <c r="AB6550">
        <v>24</v>
      </c>
      <c r="AC6550">
        <v>0.64130000000000098</v>
      </c>
      <c r="AD6550">
        <v>-8.1749999999999906E-2</v>
      </c>
      <c r="AE6550">
        <v>-2.1720000000001901E-2</v>
      </c>
      <c r="AF6550">
        <v>1.7493688796419101E-2</v>
      </c>
      <c r="AG6550">
        <v>-8.1749999999999906E-2</v>
      </c>
      <c r="AH6550">
        <v>0.631176534234974</v>
      </c>
      <c r="AI6550">
        <v>97.377065242323297</v>
      </c>
      <c r="AJ6550">
        <v>88.412396614126394</v>
      </c>
      <c r="AK6550">
        <v>0.63668902065025301</v>
      </c>
      <c r="AL6550">
        <v>95.159417790665699</v>
      </c>
      <c r="AM6550">
        <v>92.147756384603397</v>
      </c>
      <c r="AN6550">
        <v>1.0000000066247401</v>
      </c>
    </row>
    <row r="6551" spans="1:40" x14ac:dyDescent="0.25">
      <c r="A6551" t="str">
        <f>"20190303154311866"</f>
        <v>20190303154311866</v>
      </c>
      <c r="B6551" t="str">
        <f>"1551598991856648"</f>
        <v>1551598991856648</v>
      </c>
      <c r="C6551" t="s">
        <v>40</v>
      </c>
      <c r="D6551">
        <v>6.0678029999999996</v>
      </c>
      <c r="E6551">
        <v>0.52100429999999998</v>
      </c>
      <c r="F6551" t="s">
        <v>42</v>
      </c>
      <c r="G6551">
        <v>-374.44889999999998</v>
      </c>
      <c r="H6551">
        <v>1.0452980000000001</v>
      </c>
      <c r="I6551">
        <v>16.922419999999999</v>
      </c>
      <c r="J6551">
        <v>-375.0702</v>
      </c>
      <c r="K6551">
        <v>1.121016</v>
      </c>
      <c r="L6551">
        <v>16.942869999999999</v>
      </c>
      <c r="M6551">
        <v>0.99990140000000005</v>
      </c>
      <c r="N6551">
        <v>-1.286638E-2</v>
      </c>
      <c r="O6551">
        <v>-5.6346119999999998E-3</v>
      </c>
      <c r="P6551">
        <v>0.99430300000000005</v>
      </c>
      <c r="Q6551">
        <v>-0.1019861</v>
      </c>
      <c r="R6551">
        <v>3.098795E-2</v>
      </c>
      <c r="S6551">
        <v>2.992432</v>
      </c>
      <c r="T6551">
        <v>-0.26413249999999999</v>
      </c>
      <c r="U6551">
        <v>-7.3394780000000007E-2</v>
      </c>
      <c r="V6551">
        <v>-3.6515619999999999E-2</v>
      </c>
      <c r="W6551">
        <v>-8.9217599999999994E-2</v>
      </c>
      <c r="X6551">
        <v>0.99534259999999997</v>
      </c>
      <c r="Y6551">
        <v>1.8817799999999999E-2</v>
      </c>
      <c r="Z6551">
        <v>-5.2618059999999999E-4</v>
      </c>
      <c r="AA6551">
        <v>0.99982280000000001</v>
      </c>
      <c r="AB6551">
        <v>24</v>
      </c>
      <c r="AC6551">
        <v>0.62130000000001895</v>
      </c>
      <c r="AD6551">
        <v>-7.5717999999999896E-2</v>
      </c>
      <c r="AE6551">
        <v>-2.0450000000000301E-2</v>
      </c>
      <c r="AF6551">
        <v>1.6700823003699398E-2</v>
      </c>
      <c r="AG6551">
        <v>-7.5717999999999896E-2</v>
      </c>
      <c r="AH6551">
        <v>0.61232080399187105</v>
      </c>
      <c r="AI6551">
        <v>97.046667978291694</v>
      </c>
      <c r="AJ6551">
        <v>88.437666180215302</v>
      </c>
      <c r="AK6551">
        <v>0.61721057995975104</v>
      </c>
      <c r="AL6551">
        <v>95.118597642001404</v>
      </c>
      <c r="AM6551">
        <v>92.101038420647498</v>
      </c>
      <c r="AN6551">
        <v>1.0000000310142501</v>
      </c>
    </row>
    <row r="6552" spans="1:40" x14ac:dyDescent="0.25">
      <c r="A6552" t="str">
        <f>"20190303154311879"</f>
        <v>20190303154311879</v>
      </c>
      <c r="B6552" t="str">
        <f>"1551598991867381"</f>
        <v>1551598991867381</v>
      </c>
      <c r="C6552" t="s">
        <v>40</v>
      </c>
      <c r="D6552">
        <v>6.0806610000000001</v>
      </c>
      <c r="E6552">
        <v>0.52077119999999999</v>
      </c>
      <c r="F6552" t="s">
        <v>62</v>
      </c>
      <c r="G6552">
        <v>-361.36829999999998</v>
      </c>
      <c r="H6552" s="1">
        <v>-4.6144369999999998E-6</v>
      </c>
      <c r="I6552">
        <v>16.60744</v>
      </c>
      <c r="J6552">
        <v>-374.93939999999998</v>
      </c>
      <c r="K6552">
        <v>1.1210439999999999</v>
      </c>
      <c r="L6552">
        <v>16.942409999999999</v>
      </c>
      <c r="M6552">
        <v>0.99990219999999996</v>
      </c>
      <c r="N6552">
        <v>-1.2935550000000001E-2</v>
      </c>
      <c r="O6552">
        <v>-5.3351689999999998E-3</v>
      </c>
      <c r="P6552">
        <v>0.99426409999999998</v>
      </c>
      <c r="Q6552">
        <v>-0.1022776</v>
      </c>
      <c r="R6552">
        <v>3.1282339999999999E-2</v>
      </c>
      <c r="S6552">
        <v>2.994354</v>
      </c>
      <c r="T6552">
        <v>-0.2449827</v>
      </c>
      <c r="U6552">
        <v>-7.3303220000000002E-2</v>
      </c>
      <c r="V6552">
        <v>-3.6509659999999999E-2</v>
      </c>
      <c r="W6552">
        <v>-8.9441690000000004E-2</v>
      </c>
      <c r="X6552">
        <v>0.9953227</v>
      </c>
      <c r="Y6552">
        <v>1.9077589999999998E-2</v>
      </c>
      <c r="Z6552">
        <v>-5.3586520000000002E-4</v>
      </c>
      <c r="AA6552">
        <v>0.99981779999999998</v>
      </c>
      <c r="AB6552">
        <v>24</v>
      </c>
      <c r="AC6552">
        <v>13.571099999999999</v>
      </c>
      <c r="AD6552">
        <v>-1.121048614437</v>
      </c>
      <c r="AE6552">
        <v>-0.33496999999999799</v>
      </c>
      <c r="AF6552">
        <v>0.26077669493001299</v>
      </c>
      <c r="AG6552">
        <v>-1.121048614437</v>
      </c>
      <c r="AH6552">
        <v>13.480761667993001</v>
      </c>
      <c r="AI6552">
        <v>94.752845012140895</v>
      </c>
      <c r="AJ6552">
        <v>88.891788083720002</v>
      </c>
      <c r="AK6552">
        <v>13.529807449841201</v>
      </c>
      <c r="AL6552">
        <v>95.131488624644902</v>
      </c>
      <c r="AM6552">
        <v>92.100737763657506</v>
      </c>
      <c r="AN6552">
        <v>1.0000000241593301</v>
      </c>
    </row>
    <row r="6553" spans="1:40" x14ac:dyDescent="0.25">
      <c r="A6553" t="str">
        <f>"20190303154311891"</f>
        <v>20190303154311891</v>
      </c>
      <c r="B6553" t="str">
        <f>"1551598991886901"</f>
        <v>1551598991886901</v>
      </c>
      <c r="C6553" t="s">
        <v>40</v>
      </c>
      <c r="D6553">
        <v>6.0713460000000001</v>
      </c>
      <c r="E6553">
        <v>0.52081769999999905</v>
      </c>
      <c r="F6553" t="s">
        <v>42</v>
      </c>
      <c r="G6553">
        <v>-374.02620000000002</v>
      </c>
      <c r="H6553">
        <v>1.0471900000000001</v>
      </c>
      <c r="I6553">
        <v>16.9207</v>
      </c>
      <c r="J6553">
        <v>-374.80110000000002</v>
      </c>
      <c r="K6553">
        <v>1.12107</v>
      </c>
      <c r="L6553">
        <v>16.942079999999901</v>
      </c>
      <c r="M6553">
        <v>0.99990299999999999</v>
      </c>
      <c r="N6553">
        <v>-1.3001830000000001E-2</v>
      </c>
      <c r="O6553">
        <v>-5.0000620000000004E-3</v>
      </c>
      <c r="P6553">
        <v>0.99420960000000003</v>
      </c>
      <c r="Q6553">
        <v>-0.1026873</v>
      </c>
      <c r="R6553">
        <v>3.1668160000000001E-2</v>
      </c>
      <c r="S6553">
        <v>2.9945979999999999</v>
      </c>
      <c r="T6553">
        <v>-0.24220530000000001</v>
      </c>
      <c r="U6553">
        <v>-7.0465089999999994E-2</v>
      </c>
      <c r="V6553">
        <v>-3.655883E-2</v>
      </c>
      <c r="W6553">
        <v>-8.978709E-2</v>
      </c>
      <c r="X6553">
        <v>0.99528970000000005</v>
      </c>
      <c r="Y6553">
        <v>1.8466320000000001E-2</v>
      </c>
      <c r="Z6553">
        <v>-5.2699089999999995E-4</v>
      </c>
      <c r="AA6553">
        <v>0.99982939999999998</v>
      </c>
      <c r="AB6553">
        <v>24</v>
      </c>
      <c r="AC6553">
        <v>0.77490000000000203</v>
      </c>
      <c r="AD6553">
        <v>-7.3879999999999904E-2</v>
      </c>
      <c r="AE6553">
        <v>-2.1379999999996999E-2</v>
      </c>
      <c r="AF6553">
        <v>1.7347290824041899E-2</v>
      </c>
      <c r="AG6553">
        <v>-7.3879999999999904E-2</v>
      </c>
      <c r="AH6553">
        <v>0.76802124251294601</v>
      </c>
      <c r="AI6553">
        <v>95.493282911215402</v>
      </c>
      <c r="AJ6553">
        <v>88.706080610371998</v>
      </c>
      <c r="AK6553">
        <v>0.77176149933127802</v>
      </c>
      <c r="AL6553">
        <v>95.1513590277373</v>
      </c>
      <c r="AM6553">
        <v>92.103634111158499</v>
      </c>
      <c r="AN6553">
        <v>0.99999992825386097</v>
      </c>
    </row>
    <row r="6554" spans="1:40" x14ac:dyDescent="0.25">
      <c r="A6554" t="str">
        <f>"20190303154311911"</f>
        <v>20190303154311911</v>
      </c>
      <c r="B6554" t="str">
        <f>"1551598991906421"</f>
        <v>1551598991906421</v>
      </c>
      <c r="C6554" t="s">
        <v>40</v>
      </c>
      <c r="D6554">
        <v>6.0537669999999997</v>
      </c>
      <c r="E6554">
        <v>0.52087209999999995</v>
      </c>
      <c r="F6554" t="s">
        <v>62</v>
      </c>
      <c r="G6554">
        <v>-360.47239999999999</v>
      </c>
      <c r="H6554" s="1">
        <v>-5.0375670000000004E-6</v>
      </c>
      <c r="I6554">
        <v>16.609539999999999</v>
      </c>
      <c r="J6554">
        <v>-374.60149999999999</v>
      </c>
      <c r="K6554">
        <v>1.1211</v>
      </c>
      <c r="L6554">
        <v>16.941649999999999</v>
      </c>
      <c r="M6554">
        <v>0.99990440000000003</v>
      </c>
      <c r="N6554">
        <v>-1.308819E-2</v>
      </c>
      <c r="O6554">
        <v>-4.4904970000000004E-3</v>
      </c>
      <c r="P6554">
        <v>0.9941352</v>
      </c>
      <c r="Q6554">
        <v>-0.10317079999999999</v>
      </c>
      <c r="R6554">
        <v>3.2420150000000002E-2</v>
      </c>
      <c r="S6554">
        <v>2.9954830000000001</v>
      </c>
      <c r="T6554">
        <v>-0.23436589999999999</v>
      </c>
      <c r="U6554">
        <v>-6.9519040000000004E-2</v>
      </c>
      <c r="V6554">
        <v>-3.6799999999999999E-2</v>
      </c>
      <c r="W6554">
        <v>-9.0187119999999996E-2</v>
      </c>
      <c r="X6554">
        <v>0.99524469999999998</v>
      </c>
      <c r="Y6554">
        <v>1.8654770000000001E-2</v>
      </c>
      <c r="Z6554">
        <v>-5.5882529999999998E-4</v>
      </c>
      <c r="AA6554">
        <v>0.99982579999999999</v>
      </c>
      <c r="AB6554">
        <v>24</v>
      </c>
      <c r="AC6554">
        <v>14.1290999999999</v>
      </c>
      <c r="AD6554">
        <v>-1.121105037567</v>
      </c>
      <c r="AE6554">
        <v>-0.33211000000000002</v>
      </c>
      <c r="AF6554">
        <v>0.26697460395787698</v>
      </c>
      <c r="AG6554">
        <v>-1.121105037567</v>
      </c>
      <c r="AH6554">
        <v>14.042089040197499</v>
      </c>
      <c r="AI6554">
        <v>94.5639285660952</v>
      </c>
      <c r="AJ6554">
        <v>88.910797723576493</v>
      </c>
      <c r="AK6554">
        <v>14.089301492879301</v>
      </c>
      <c r="AL6554">
        <v>95.174372134082603</v>
      </c>
      <c r="AM6554">
        <v>92.117594354760598</v>
      </c>
      <c r="AN6554">
        <v>0.99999998474599205</v>
      </c>
    </row>
    <row r="6555" spans="1:40" x14ac:dyDescent="0.25">
      <c r="A6555" t="str">
        <f>"20190303154311923"</f>
        <v>20190303154311923</v>
      </c>
      <c r="B6555" t="str">
        <f>"1551598991917157"</f>
        <v>1551598991917157</v>
      </c>
      <c r="C6555" t="s">
        <v>40</v>
      </c>
      <c r="D6555">
        <v>6.0448069999999996</v>
      </c>
      <c r="E6555">
        <v>0.52083489999999999</v>
      </c>
      <c r="F6555" t="s">
        <v>62</v>
      </c>
      <c r="G6555">
        <v>-360.09710000000001</v>
      </c>
      <c r="H6555" s="1">
        <v>-5.2140630000000002E-6</v>
      </c>
      <c r="I6555">
        <v>16.61468</v>
      </c>
      <c r="J6555">
        <v>-374.47269999999997</v>
      </c>
      <c r="K6555">
        <v>1.121122</v>
      </c>
      <c r="L6555">
        <v>16.941469999999999</v>
      </c>
      <c r="M6555">
        <v>0.99990509999999999</v>
      </c>
      <c r="N6555">
        <v>-1.31383E-2</v>
      </c>
      <c r="O6555">
        <v>-4.146627E-3</v>
      </c>
      <c r="P6555">
        <v>0.99410699999999996</v>
      </c>
      <c r="Q6555">
        <v>-0.10320269999999999</v>
      </c>
      <c r="R6555">
        <v>3.317341E-2</v>
      </c>
      <c r="S6555">
        <v>2.9958800000000001</v>
      </c>
      <c r="T6555">
        <v>-0.23156399999999999</v>
      </c>
      <c r="U6555">
        <v>-6.7535399999999995E-2</v>
      </c>
      <c r="V6555">
        <v>-3.7209140000000002E-2</v>
      </c>
      <c r="W6555">
        <v>-9.0170680000000003E-2</v>
      </c>
      <c r="X6555">
        <v>0.99523099999999998</v>
      </c>
      <c r="Y6555">
        <v>1.8335440000000001E-2</v>
      </c>
      <c r="Z6555">
        <v>-5.6256559999999999E-4</v>
      </c>
      <c r="AA6555">
        <v>0.99983169999999999</v>
      </c>
      <c r="AB6555">
        <v>24</v>
      </c>
      <c r="AC6555">
        <v>14.375599999999899</v>
      </c>
      <c r="AD6555">
        <v>-1.121127214063</v>
      </c>
      <c r="AE6555">
        <v>-0.32679000000000202</v>
      </c>
      <c r="AF6555">
        <v>0.26555746524198998</v>
      </c>
      <c r="AG6555">
        <v>-1.121127214063</v>
      </c>
      <c r="AH6555">
        <v>14.289962633795801</v>
      </c>
      <c r="AI6555">
        <v>94.485212894687194</v>
      </c>
      <c r="AJ6555">
        <v>88.935366647853201</v>
      </c>
      <c r="AK6555">
        <v>14.336334227156501</v>
      </c>
      <c r="AL6555">
        <v>95.173426219867494</v>
      </c>
      <c r="AM6555">
        <v>92.141145285028998</v>
      </c>
      <c r="AN6555">
        <v>1.0000000074961</v>
      </c>
    </row>
    <row r="6556" spans="1:40" x14ac:dyDescent="0.25">
      <c r="A6556" t="str">
        <f>"20190303154311944"</f>
        <v>20190303154311944</v>
      </c>
      <c r="B6556" t="str">
        <f>"1551598991936677"</f>
        <v>1551598991936677</v>
      </c>
      <c r="C6556" t="s">
        <v>40</v>
      </c>
      <c r="D6556">
        <v>6.092708</v>
      </c>
      <c r="E6556">
        <v>0.52071000000000001</v>
      </c>
      <c r="F6556" t="s">
        <v>41</v>
      </c>
      <c r="G6556">
        <v>-359.87119999999999</v>
      </c>
      <c r="H6556" s="1">
        <v>-8.2584350000000003E-7</v>
      </c>
      <c r="I6556">
        <v>16.624739999999999</v>
      </c>
      <c r="J6556">
        <v>-374.2527</v>
      </c>
      <c r="K6556">
        <v>1.121156</v>
      </c>
      <c r="L6556">
        <v>16.941189999999999</v>
      </c>
      <c r="M6556">
        <v>0.99990639999999997</v>
      </c>
      <c r="N6556">
        <v>-1.321545E-2</v>
      </c>
      <c r="O6556">
        <v>-3.539759E-3</v>
      </c>
      <c r="P6556">
        <v>0.99410149999999997</v>
      </c>
      <c r="Q6556">
        <v>-0.10300040000000001</v>
      </c>
      <c r="R6556">
        <v>3.396126E-2</v>
      </c>
      <c r="S6556">
        <v>2.9960330000000002</v>
      </c>
      <c r="T6556">
        <v>-0.23004060000000001</v>
      </c>
      <c r="U6556">
        <v>-6.4971920000000002E-2</v>
      </c>
      <c r="V6556">
        <v>-3.7390409999999999E-2</v>
      </c>
      <c r="W6556">
        <v>-8.9893009999999995E-2</v>
      </c>
      <c r="X6556">
        <v>0.9952493</v>
      </c>
      <c r="Y6556">
        <v>1.8086250000000002E-2</v>
      </c>
      <c r="Z6556">
        <v>-5.883447E-4</v>
      </c>
      <c r="AA6556">
        <v>0.99983630000000001</v>
      </c>
      <c r="AB6556">
        <v>23</v>
      </c>
      <c r="AC6556">
        <v>14.381500000000001</v>
      </c>
      <c r="AD6556">
        <v>-1.1211568258435001</v>
      </c>
      <c r="AE6556">
        <v>-0.31644999999999901</v>
      </c>
      <c r="AF6556">
        <v>0.26393325089624697</v>
      </c>
      <c r="AG6556">
        <v>-1.1211568258435001</v>
      </c>
      <c r="AH6556">
        <v>14.295690249022201</v>
      </c>
      <c r="AI6556">
        <v>94.483551152639507</v>
      </c>
      <c r="AJ6556">
        <v>88.942300564818098</v>
      </c>
      <c r="AK6556">
        <v>14.3420156562825</v>
      </c>
      <c r="AL6556">
        <v>95.157452156699406</v>
      </c>
      <c r="AM6556">
        <v>92.151526896797705</v>
      </c>
      <c r="AN6556">
        <v>0.99999998257865896</v>
      </c>
    </row>
    <row r="6557" spans="1:40" x14ac:dyDescent="0.25">
      <c r="A6557" t="str">
        <f>"20190303154311968"</f>
        <v>20190303154311968</v>
      </c>
      <c r="B6557" t="str">
        <f>"1551598991957172"</f>
        <v>1551598991957172</v>
      </c>
      <c r="C6557" t="s">
        <v>40</v>
      </c>
      <c r="D6557">
        <v>6.0459559999999897</v>
      </c>
      <c r="E6557">
        <v>0.52041910000000002</v>
      </c>
      <c r="F6557" t="s">
        <v>41</v>
      </c>
      <c r="G6557">
        <v>-359.52850000000001</v>
      </c>
      <c r="H6557" s="1">
        <v>-9.3877829999999997E-7</v>
      </c>
      <c r="I6557">
        <v>16.63862</v>
      </c>
      <c r="J6557">
        <v>-374.00290000000001</v>
      </c>
      <c r="K6557">
        <v>1.121192</v>
      </c>
      <c r="L6557">
        <v>16.94116</v>
      </c>
      <c r="M6557">
        <v>0.99990769999999995</v>
      </c>
      <c r="N6557">
        <v>-1.32912E-2</v>
      </c>
      <c r="O6557">
        <v>-2.8274210000000001E-3</v>
      </c>
      <c r="P6557">
        <v>0.99414659999999999</v>
      </c>
      <c r="Q6557">
        <v>-0.10235039999999999</v>
      </c>
      <c r="R6557">
        <v>3.4601930000000003E-2</v>
      </c>
      <c r="S6557">
        <v>2.9962770000000001</v>
      </c>
      <c r="T6557">
        <v>-0.22814770000000001</v>
      </c>
      <c r="U6557">
        <v>-6.1553959999999998E-2</v>
      </c>
      <c r="V6557">
        <v>-3.7321189999999997E-2</v>
      </c>
      <c r="W6557">
        <v>-8.916789E-2</v>
      </c>
      <c r="X6557">
        <v>0.99531720000000001</v>
      </c>
      <c r="Y6557">
        <v>1.7657530000000001E-2</v>
      </c>
      <c r="Z6557">
        <v>-6.1135249999999996E-4</v>
      </c>
      <c r="AA6557">
        <v>0.99984390000000001</v>
      </c>
      <c r="AB6557">
        <v>23</v>
      </c>
      <c r="AC6557">
        <v>14.474399999999999</v>
      </c>
      <c r="AD6557">
        <v>-1.1211929387783</v>
      </c>
      <c r="AE6557">
        <v>-0.30253999999999998</v>
      </c>
      <c r="AF6557">
        <v>0.260050303525518</v>
      </c>
      <c r="AG6557">
        <v>-1.1211929387783</v>
      </c>
      <c r="AH6557">
        <v>14.3889002635706</v>
      </c>
      <c r="AI6557">
        <v>94.454798850060698</v>
      </c>
      <c r="AJ6557">
        <v>88.964607256548405</v>
      </c>
      <c r="AK6557">
        <v>14.4348588687701</v>
      </c>
      <c r="AL6557">
        <v>95.115737942438301</v>
      </c>
      <c r="AM6557">
        <v>92.1474011904251</v>
      </c>
      <c r="AN6557">
        <v>1.0000000562229501</v>
      </c>
    </row>
    <row r="6558" spans="1:40" x14ac:dyDescent="0.25">
      <c r="A6558" t="str">
        <f>"20190303154311992"</f>
        <v>20190303154311992</v>
      </c>
      <c r="B6558" t="str">
        <f>"1551598991986452"</f>
        <v>1551598991986452</v>
      </c>
      <c r="C6558" t="s">
        <v>40</v>
      </c>
      <c r="D6558">
        <v>5.9613529999999999</v>
      </c>
      <c r="E6558">
        <v>0.52025580000000005</v>
      </c>
      <c r="F6558" t="s">
        <v>41</v>
      </c>
      <c r="G6558">
        <v>-359.5224</v>
      </c>
      <c r="H6558" s="1">
        <v>-9.3421580000000002E-7</v>
      </c>
      <c r="I6558">
        <v>16.663609999999998</v>
      </c>
      <c r="J6558">
        <v>-373.76060000000001</v>
      </c>
      <c r="K6558">
        <v>1.1212249999999999</v>
      </c>
      <c r="L6558">
        <v>16.94125</v>
      </c>
      <c r="M6558">
        <v>0.99990869999999998</v>
      </c>
      <c r="N6558">
        <v>-1.3354049999999999E-2</v>
      </c>
      <c r="O6558">
        <v>-2.1228470000000002E-3</v>
      </c>
      <c r="P6558">
        <v>0.99409289999999995</v>
      </c>
      <c r="Q6558">
        <v>-0.102571</v>
      </c>
      <c r="R6558">
        <v>3.548196E-2</v>
      </c>
      <c r="S6558">
        <v>2.995819</v>
      </c>
      <c r="T6558">
        <v>-0.2319591</v>
      </c>
      <c r="U6558">
        <v>-5.7403559999999999E-2</v>
      </c>
      <c r="V6558">
        <v>-3.749864E-2</v>
      </c>
      <c r="W6558">
        <v>-8.9327160000000003E-2</v>
      </c>
      <c r="X6558">
        <v>0.99529619999999996</v>
      </c>
      <c r="Y6558">
        <v>1.697978E-2</v>
      </c>
      <c r="Z6558">
        <v>-6.3410490000000001E-4</v>
      </c>
      <c r="AA6558">
        <v>0.99985559999999996</v>
      </c>
      <c r="AB6558">
        <v>23</v>
      </c>
      <c r="AC6558">
        <v>14.238200000000001</v>
      </c>
      <c r="AD6558">
        <v>-1.1212259342158</v>
      </c>
      <c r="AE6558">
        <v>-0.277639999999998</v>
      </c>
      <c r="AF6558">
        <v>0.24588694661608701</v>
      </c>
      <c r="AG6558">
        <v>-1.1212259342158</v>
      </c>
      <c r="AH6558">
        <v>14.151037223028901</v>
      </c>
      <c r="AI6558">
        <v>94.529558451476902</v>
      </c>
      <c r="AJ6558">
        <v>89.0045346881586</v>
      </c>
      <c r="AK6558">
        <v>14.1975160670317</v>
      </c>
      <c r="AL6558">
        <v>95.124900251865498</v>
      </c>
      <c r="AM6558">
        <v>92.157647231535407</v>
      </c>
      <c r="AN6558">
        <v>1.00000000762497</v>
      </c>
    </row>
    <row r="6559" spans="1:40" x14ac:dyDescent="0.25">
      <c r="A6559" t="str">
        <f>"20190303154312011"</f>
        <v>20190303154312011</v>
      </c>
      <c r="B6559" t="str">
        <f>"1551598992006948"</f>
        <v>1551598992006948</v>
      </c>
      <c r="C6559" t="s">
        <v>40</v>
      </c>
      <c r="D6559">
        <v>5.9869760000000003</v>
      </c>
      <c r="E6559">
        <v>0.5135651</v>
      </c>
      <c r="F6559" t="s">
        <v>41</v>
      </c>
      <c r="G6559">
        <v>-359.49299999999999</v>
      </c>
      <c r="H6559" s="1">
        <v>-9.3813969999999998E-7</v>
      </c>
      <c r="I6559">
        <v>16.686360000000001</v>
      </c>
      <c r="J6559">
        <v>-373.54829999999998</v>
      </c>
      <c r="K6559">
        <v>1.121243</v>
      </c>
      <c r="L6559">
        <v>16.94153</v>
      </c>
      <c r="M6559">
        <v>0.99990900000000005</v>
      </c>
      <c r="N6559">
        <v>-1.340156E-2</v>
      </c>
      <c r="O6559">
        <v>-1.4992060000000001E-3</v>
      </c>
      <c r="P6559">
        <v>0.99414309999999995</v>
      </c>
      <c r="Q6559">
        <v>-0.10192080000000001</v>
      </c>
      <c r="R6559">
        <v>3.5936709999999997E-2</v>
      </c>
      <c r="S6559">
        <v>2.9954529999999999</v>
      </c>
      <c r="T6559">
        <v>-0.23539969999999999</v>
      </c>
      <c r="U6559">
        <v>-5.3497309999999999E-2</v>
      </c>
      <c r="V6559">
        <v>-3.7333440000000002E-2</v>
      </c>
      <c r="W6559">
        <v>-8.8628659999999998E-2</v>
      </c>
      <c r="X6559">
        <v>0.99536480000000005</v>
      </c>
      <c r="Y6559">
        <v>1.630187E-2</v>
      </c>
      <c r="Z6559">
        <v>-6.513965E-4</v>
      </c>
      <c r="AA6559">
        <v>0.9998669</v>
      </c>
      <c r="AB6559">
        <v>23</v>
      </c>
      <c r="AC6559">
        <v>14.0552999999999</v>
      </c>
      <c r="AD6559">
        <v>-1.1212439381396999</v>
      </c>
      <c r="AE6559">
        <v>-0.25516999999999901</v>
      </c>
      <c r="AF6559">
        <v>0.23261618218710101</v>
      </c>
      <c r="AG6559">
        <v>-1.1212439381396999</v>
      </c>
      <c r="AH6559">
        <v>13.9668133601458</v>
      </c>
      <c r="AI6559">
        <v>94.589179723540099</v>
      </c>
      <c r="AJ6559">
        <v>89.045831499376703</v>
      </c>
      <c r="AK6559">
        <v>14.0136780929982</v>
      </c>
      <c r="AL6559">
        <v>95.084720045285593</v>
      </c>
      <c r="AM6559">
        <v>92.148002745761502</v>
      </c>
      <c r="AN6559">
        <v>0.99999995509733297</v>
      </c>
    </row>
    <row r="6560" spans="1:40" x14ac:dyDescent="0.25">
      <c r="A6560" t="str">
        <f>"20190303154312025"</f>
        <v>20190303154312025</v>
      </c>
      <c r="B6560" t="str">
        <f>"1551598992016709"</f>
        <v>1551598992016709</v>
      </c>
      <c r="C6560" t="s">
        <v>40</v>
      </c>
      <c r="D6560">
        <v>6.00345</v>
      </c>
      <c r="E6560">
        <v>0.51086529999999997</v>
      </c>
      <c r="F6560" t="s">
        <v>41</v>
      </c>
      <c r="G6560">
        <v>-349.36500000000001</v>
      </c>
      <c r="H6560" s="1">
        <v>-9.0693870000000004E-7</v>
      </c>
      <c r="I6560">
        <v>16.967489999999898</v>
      </c>
      <c r="J6560">
        <v>-373.41059999999999</v>
      </c>
      <c r="K6560">
        <v>1.121251</v>
      </c>
      <c r="L6560">
        <v>16.941770000000002</v>
      </c>
      <c r="M6560">
        <v>0.99990919999999905</v>
      </c>
      <c r="N6560">
        <v>-1.342877E-2</v>
      </c>
      <c r="O6560">
        <v>-1.0939789999999999E-3</v>
      </c>
      <c r="P6560">
        <v>0.99417639999999996</v>
      </c>
      <c r="Q6560">
        <v>-0.10160089999999999</v>
      </c>
      <c r="R6560">
        <v>3.592654E-2</v>
      </c>
      <c r="S6560">
        <v>3.0033259999999999</v>
      </c>
      <c r="T6560">
        <v>-0.13924690000000001</v>
      </c>
      <c r="U6560">
        <v>3.2348630000000001E-3</v>
      </c>
      <c r="V6560">
        <v>-3.6921660000000002E-2</v>
      </c>
      <c r="W6560">
        <v>-8.8280490000000003E-2</v>
      </c>
      <c r="X6560">
        <v>0.99541120000000005</v>
      </c>
      <c r="Y6560">
        <v>-2.1675729999999999E-3</v>
      </c>
      <c r="Z6560">
        <v>1.00795E-4</v>
      </c>
      <c r="AA6560">
        <v>0.99999769999999999</v>
      </c>
      <c r="AB6560">
        <v>23</v>
      </c>
      <c r="AC6560">
        <v>24.045599999999901</v>
      </c>
      <c r="AD6560">
        <v>-1.1212519069386999</v>
      </c>
      <c r="AE6560">
        <v>2.57199999999961E-2</v>
      </c>
      <c r="AF6560">
        <v>-5.1914856628250697E-2</v>
      </c>
      <c r="AG6560">
        <v>-1.1212519069386999</v>
      </c>
      <c r="AH6560">
        <v>23.9933868232864</v>
      </c>
      <c r="AI6560">
        <v>92.675576728520497</v>
      </c>
      <c r="AJ6560">
        <v>90.123971557615903</v>
      </c>
      <c r="AK6560">
        <v>24.019627645802601</v>
      </c>
      <c r="AL6560">
        <v>95.064692360660899</v>
      </c>
      <c r="AM6560">
        <v>92.1242336214613</v>
      </c>
      <c r="AN6560">
        <v>1.0000000554886099</v>
      </c>
    </row>
    <row r="6561" spans="1:40" x14ac:dyDescent="0.25">
      <c r="A6561" t="str">
        <f>"20190303154312038"</f>
        <v>20190303154312038</v>
      </c>
      <c r="B6561" t="str">
        <f>"1551598992026469"</f>
        <v>1551598992026469</v>
      </c>
      <c r="C6561" t="s">
        <v>40</v>
      </c>
      <c r="D6561">
        <v>5.9452740000000004</v>
      </c>
      <c r="E6561">
        <v>0.50974949999999997</v>
      </c>
      <c r="F6561" t="s">
        <v>41</v>
      </c>
      <c r="G6561">
        <v>-346.65260000000001</v>
      </c>
      <c r="H6561" s="1">
        <v>-1.8533440000000001E-6</v>
      </c>
      <c r="I6561">
        <v>17.163789999999999</v>
      </c>
      <c r="J6561">
        <v>-373.27379999999999</v>
      </c>
      <c r="K6561">
        <v>1.121259</v>
      </c>
      <c r="L6561">
        <v>16.942049999999998</v>
      </c>
      <c r="M6561">
        <v>0.99990919999999905</v>
      </c>
      <c r="N6561">
        <v>-1.3454020000000001E-2</v>
      </c>
      <c r="O6561">
        <v>-6.9161449999999996E-4</v>
      </c>
      <c r="P6561">
        <v>0.99414880000000005</v>
      </c>
      <c r="Q6561">
        <v>-0.10178039999999999</v>
      </c>
      <c r="R6561">
        <v>3.6178269999999998E-2</v>
      </c>
      <c r="S6561">
        <v>3.0038149999999999</v>
      </c>
      <c r="T6561">
        <v>-0.12587019999999999</v>
      </c>
      <c r="U6561">
        <v>2.4932860000000001E-2</v>
      </c>
      <c r="V6561">
        <v>-3.677354E-2</v>
      </c>
      <c r="W6561">
        <v>-8.8434719999999994E-2</v>
      </c>
      <c r="X6561">
        <v>0.99540289999999998</v>
      </c>
      <c r="Y6561">
        <v>-8.9810719999999997E-3</v>
      </c>
      <c r="Z6561">
        <v>2.6820320000000002E-4</v>
      </c>
      <c r="AA6561">
        <v>0.99995959999999995</v>
      </c>
      <c r="AB6561">
        <v>23</v>
      </c>
      <c r="AC6561">
        <v>26.621199999999899</v>
      </c>
      <c r="AD6561">
        <v>-1.1212608533440001</v>
      </c>
      <c r="AE6561">
        <v>0.22173999999999999</v>
      </c>
      <c r="AF6561">
        <v>-0.23972797013586</v>
      </c>
      <c r="AG6561">
        <v>-1.1212608533440001</v>
      </c>
      <c r="AH6561">
        <v>26.573900946917401</v>
      </c>
      <c r="AI6561">
        <v>92.416010394400004</v>
      </c>
      <c r="AJ6561">
        <v>90.516861576408999</v>
      </c>
      <c r="AK6561">
        <v>26.598626034768799</v>
      </c>
      <c r="AL6561">
        <v>95.073564255788199</v>
      </c>
      <c r="AM6561">
        <v>92.115737139902905</v>
      </c>
      <c r="AN6561">
        <v>0.99999996313700901</v>
      </c>
    </row>
    <row r="6562" spans="1:40" x14ac:dyDescent="0.25">
      <c r="A6562" t="str">
        <f>"20190303154312056"</f>
        <v>20190303154312056</v>
      </c>
      <c r="B6562" t="str">
        <f>"1551598992046968"</f>
        <v>1551598992046968</v>
      </c>
      <c r="C6562" t="s">
        <v>40</v>
      </c>
      <c r="D6562">
        <v>5.9567449999999997</v>
      </c>
      <c r="E6562">
        <v>0.50827020000000001</v>
      </c>
      <c r="F6562" t="s">
        <v>41</v>
      </c>
      <c r="G6562">
        <v>-345.61619999999999</v>
      </c>
      <c r="H6562" s="1">
        <v>-2.28079E-6</v>
      </c>
      <c r="I6562">
        <v>17.260590000000001</v>
      </c>
      <c r="J6562">
        <v>-373.08240000000001</v>
      </c>
      <c r="K6562">
        <v>1.1212679999999999</v>
      </c>
      <c r="L6562">
        <v>16.94257</v>
      </c>
      <c r="M6562">
        <v>0.9999091</v>
      </c>
      <c r="N6562">
        <v>-1.3485260000000001E-2</v>
      </c>
      <c r="O6562">
        <v>-1.3089889999999999E-4</v>
      </c>
      <c r="P6562">
        <v>0.99411609999999995</v>
      </c>
      <c r="Q6562">
        <v>-0.1022211</v>
      </c>
      <c r="R6562">
        <v>3.5833810000000001E-2</v>
      </c>
      <c r="S6562">
        <v>3.0039669999999998</v>
      </c>
      <c r="T6562">
        <v>-0.1217833</v>
      </c>
      <c r="U6562">
        <v>3.4606930000000001E-2</v>
      </c>
      <c r="V6562">
        <v>-3.5872279999999999E-2</v>
      </c>
      <c r="W6562">
        <v>-8.8843099999999994E-2</v>
      </c>
      <c r="X6562">
        <v>0.99539949999999999</v>
      </c>
      <c r="Y6562">
        <v>-1.163776E-2</v>
      </c>
      <c r="Z6562">
        <v>3.1785530000000002E-4</v>
      </c>
      <c r="AA6562">
        <v>0.99993220000000005</v>
      </c>
      <c r="AB6562">
        <v>23</v>
      </c>
      <c r="AC6562">
        <v>27.466200000000001</v>
      </c>
      <c r="AD6562">
        <v>-1.1212702807899999</v>
      </c>
      <c r="AE6562">
        <v>0.31802000000000002</v>
      </c>
      <c r="AF6562">
        <v>-0.32108058802119199</v>
      </c>
      <c r="AG6562">
        <v>-1.1212702807899999</v>
      </c>
      <c r="AH6562">
        <v>27.4204661416045</v>
      </c>
      <c r="AI6562">
        <v>92.341458587162606</v>
      </c>
      <c r="AJ6562">
        <v>90.670875606166504</v>
      </c>
      <c r="AK6562">
        <v>27.4452601228239</v>
      </c>
      <c r="AL6562">
        <v>95.097054774996906</v>
      </c>
      <c r="AM6562">
        <v>92.063936295425606</v>
      </c>
      <c r="AN6562">
        <v>1.0000000407451199</v>
      </c>
    </row>
    <row r="6563" spans="1:40" x14ac:dyDescent="0.25">
      <c r="A6563" t="str">
        <f>"20190303154312068"</f>
        <v>20190303154312068</v>
      </c>
      <c r="B6563" t="str">
        <f>"1551598992056725"</f>
        <v>1551598992056725</v>
      </c>
      <c r="C6563" t="s">
        <v>40</v>
      </c>
      <c r="D6563">
        <v>5.914682</v>
      </c>
      <c r="E6563">
        <v>0.50794929999999905</v>
      </c>
      <c r="F6563" t="s">
        <v>41</v>
      </c>
      <c r="G6563">
        <v>-345.4717</v>
      </c>
      <c r="H6563" s="1">
        <v>-2.3253119999999999E-6</v>
      </c>
      <c r="I6563">
        <v>17.359079999999999</v>
      </c>
      <c r="J6563">
        <v>-372.95370000000003</v>
      </c>
      <c r="K6563">
        <v>1.1212719999999901</v>
      </c>
      <c r="L6563">
        <v>16.942959999999999</v>
      </c>
      <c r="M6563">
        <v>0.99990900000000005</v>
      </c>
      <c r="N6563">
        <v>-1.350373E-2</v>
      </c>
      <c r="O6563">
        <v>2.4347680000000001E-4</v>
      </c>
      <c r="P6563">
        <v>0.99411769999999999</v>
      </c>
      <c r="Q6563">
        <v>-0.1023371</v>
      </c>
      <c r="R6563">
        <v>3.5458000000000003E-2</v>
      </c>
      <c r="S6563">
        <v>3.0035400000000001</v>
      </c>
      <c r="T6563">
        <v>-0.12197379999999999</v>
      </c>
      <c r="U6563">
        <v>4.5318600000000001E-2</v>
      </c>
      <c r="V6563">
        <v>-3.5124410000000002E-2</v>
      </c>
      <c r="W6563">
        <v>-8.8939439999999995E-2</v>
      </c>
      <c r="X6563">
        <v>0.99541749999999996</v>
      </c>
      <c r="Y6563">
        <v>-1.482701E-2</v>
      </c>
      <c r="Z6563">
        <v>3.945005E-4</v>
      </c>
      <c r="AA6563">
        <v>0.99988999999999995</v>
      </c>
      <c r="AB6563">
        <v>23</v>
      </c>
      <c r="AC6563">
        <v>27.481999999999999</v>
      </c>
      <c r="AD6563">
        <v>-1.1212743253120001</v>
      </c>
      <c r="AE6563">
        <v>0.41611999999999899</v>
      </c>
      <c r="AF6563">
        <v>-0.408747876795719</v>
      </c>
      <c r="AG6563">
        <v>-1.1212743253120001</v>
      </c>
      <c r="AH6563">
        <v>27.436438475077502</v>
      </c>
      <c r="AI6563">
        <v>92.340006302571695</v>
      </c>
      <c r="AJ6563">
        <v>90.853528996518193</v>
      </c>
      <c r="AK6563">
        <v>27.462383129220601</v>
      </c>
      <c r="AL6563">
        <v>95.102596931178596</v>
      </c>
      <c r="AM6563">
        <v>92.020906626119995</v>
      </c>
      <c r="AN6563">
        <v>0.99999997373580496</v>
      </c>
    </row>
    <row r="6564" spans="1:40" x14ac:dyDescent="0.25">
      <c r="A6564" t="str">
        <f>"20190303154312089"</f>
        <v>20190303154312089</v>
      </c>
      <c r="B6564" t="str">
        <f>"1551598992086981"</f>
        <v>1551598992086981</v>
      </c>
      <c r="C6564" t="s">
        <v>40</v>
      </c>
      <c r="D6564">
        <v>5.9803089999999903</v>
      </c>
      <c r="E6564">
        <v>0.50788580000000005</v>
      </c>
      <c r="F6564" t="s">
        <v>41</v>
      </c>
      <c r="G6564">
        <v>-345.15789999999998</v>
      </c>
      <c r="H6564" s="1">
        <v>-2.4570789999999998E-6</v>
      </c>
      <c r="I6564">
        <v>17.375260000000001</v>
      </c>
      <c r="J6564">
        <v>-372.73829999999998</v>
      </c>
      <c r="K6564">
        <v>1.1212789999999999</v>
      </c>
      <c r="L6564">
        <v>16.943760000000001</v>
      </c>
      <c r="M6564">
        <v>0.99990820000000002</v>
      </c>
      <c r="N6564">
        <v>-1.3531990000000001E-2</v>
      </c>
      <c r="O6564">
        <v>8.67135E-4</v>
      </c>
      <c r="P6564">
        <v>0.99414219999999998</v>
      </c>
      <c r="Q6564">
        <v>-0.10252029999999999</v>
      </c>
      <c r="R6564">
        <v>3.4226510000000002E-2</v>
      </c>
      <c r="S6564">
        <v>3.0036010000000002</v>
      </c>
      <c r="T6564">
        <v>-0.1211641</v>
      </c>
      <c r="U6564">
        <v>4.6722409999999999E-2</v>
      </c>
      <c r="V6564">
        <v>-3.327418E-2</v>
      </c>
      <c r="W6564">
        <v>-8.9091530000000002E-2</v>
      </c>
      <c r="X6564">
        <v>0.99546749999999995</v>
      </c>
      <c r="Y6564">
        <v>-1.4670839999999999E-2</v>
      </c>
      <c r="Z6564">
        <v>3.7186450000000002E-4</v>
      </c>
      <c r="AA6564">
        <v>0.99989229999999996</v>
      </c>
      <c r="AB6564">
        <v>23</v>
      </c>
      <c r="AC6564">
        <v>27.580400000000001</v>
      </c>
      <c r="AD6564">
        <v>-1.121281457079</v>
      </c>
      <c r="AE6564">
        <v>0.431499999999999</v>
      </c>
      <c r="AF6564">
        <v>-0.40690933356894898</v>
      </c>
      <c r="AG6564">
        <v>-1.121281457079</v>
      </c>
      <c r="AH6564">
        <v>27.5352638617065</v>
      </c>
      <c r="AI6564">
        <v>92.3316361610527</v>
      </c>
      <c r="AJ6564">
        <v>90.846641262074897</v>
      </c>
      <c r="AK6564">
        <v>27.561088571490401</v>
      </c>
      <c r="AL6564">
        <v>95.111345603442203</v>
      </c>
      <c r="AM6564">
        <v>91.914437727461205</v>
      </c>
      <c r="AN6564">
        <v>1.0000000076643301</v>
      </c>
    </row>
    <row r="6565" spans="1:40" x14ac:dyDescent="0.25">
      <c r="A6565" t="str">
        <f>"20190303154312103"</f>
        <v>20190303154312103</v>
      </c>
      <c r="B6565" t="str">
        <f>"1551598992096741"</f>
        <v>1551598992096741</v>
      </c>
      <c r="C6565" t="s">
        <v>40</v>
      </c>
      <c r="D6565">
        <v>5.9204990000000004</v>
      </c>
      <c r="E6565">
        <v>0.50788089999999997</v>
      </c>
      <c r="F6565" t="s">
        <v>41</v>
      </c>
      <c r="G6565">
        <v>-344.92689999999999</v>
      </c>
      <c r="H6565" s="1">
        <v>-2.561408E-6</v>
      </c>
      <c r="I6565">
        <v>17.345759999999999</v>
      </c>
      <c r="J6565">
        <v>-372.59660000000002</v>
      </c>
      <c r="K6565">
        <v>1.1212819999999999</v>
      </c>
      <c r="L6565">
        <v>16.94434</v>
      </c>
      <c r="M6565">
        <v>0.99990760000000001</v>
      </c>
      <c r="N6565">
        <v>-1.354843E-2</v>
      </c>
      <c r="O6565">
        <v>1.274362E-3</v>
      </c>
      <c r="P6565">
        <v>0.99418810000000002</v>
      </c>
      <c r="Q6565">
        <v>-0.1022097</v>
      </c>
      <c r="R6565">
        <v>3.3816619999999999E-2</v>
      </c>
      <c r="S6565">
        <v>3.0036930000000002</v>
      </c>
      <c r="T6565">
        <v>-0.12110070000000001</v>
      </c>
      <c r="U6565">
        <v>4.3426510000000001E-2</v>
      </c>
      <c r="V6565">
        <v>-3.2460099999999999E-2</v>
      </c>
      <c r="W6565">
        <v>-8.8762750000000001E-2</v>
      </c>
      <c r="X6565">
        <v>0.99552379999999996</v>
      </c>
      <c r="Y6565">
        <v>-1.3168010000000001E-2</v>
      </c>
      <c r="Z6565">
        <v>3.2049310000000002E-4</v>
      </c>
      <c r="AA6565">
        <v>0.9999133</v>
      </c>
      <c r="AB6565">
        <v>23</v>
      </c>
      <c r="AC6565">
        <v>27.669699999999999</v>
      </c>
      <c r="AD6565">
        <v>-1.12128456140799</v>
      </c>
      <c r="AE6565">
        <v>0.401420000000001</v>
      </c>
      <c r="AF6565">
        <v>-0.365555046293282</v>
      </c>
      <c r="AG6565">
        <v>-1.12128456140799</v>
      </c>
      <c r="AH6565">
        <v>27.624833514636801</v>
      </c>
      <c r="AI6565">
        <v>92.324141109772896</v>
      </c>
      <c r="AJ6565">
        <v>90.758141724807601</v>
      </c>
      <c r="AK6565">
        <v>27.649997039256998</v>
      </c>
      <c r="AL6565">
        <v>95.092432699929901</v>
      </c>
      <c r="AM6565">
        <v>91.867527484779202</v>
      </c>
      <c r="AN6565">
        <v>1.0000000601229999</v>
      </c>
    </row>
    <row r="6566" spans="1:40" x14ac:dyDescent="0.25">
      <c r="A6566" t="str">
        <f>"20190303154312116"</f>
        <v>20190303154312116</v>
      </c>
      <c r="B6566" t="str">
        <f>"1551598992106501"</f>
        <v>1551598992106501</v>
      </c>
      <c r="C6566" t="s">
        <v>40</v>
      </c>
      <c r="D6566">
        <v>5.9118500000000003</v>
      </c>
      <c r="E6566">
        <v>0.50775859999999995</v>
      </c>
      <c r="F6566" t="s">
        <v>41</v>
      </c>
      <c r="G6566">
        <v>-344.75709999999998</v>
      </c>
      <c r="H6566" s="1">
        <v>-2.6362089999999999E-6</v>
      </c>
      <c r="I6566">
        <v>17.334589999999999</v>
      </c>
      <c r="J6566">
        <v>-372.4667</v>
      </c>
      <c r="K6566">
        <v>1.1212930000000001</v>
      </c>
      <c r="L6566">
        <v>16.944890000000001</v>
      </c>
      <c r="M6566">
        <v>0.99990670000000004</v>
      </c>
      <c r="N6566">
        <v>-1.356254E-2</v>
      </c>
      <c r="O6566">
        <v>1.647159E-3</v>
      </c>
      <c r="P6566">
        <v>0.99422390000000005</v>
      </c>
      <c r="Q6566">
        <v>-0.1020741</v>
      </c>
      <c r="R6566">
        <v>3.3162289999999997E-2</v>
      </c>
      <c r="S6566">
        <v>3.0036619999999998</v>
      </c>
      <c r="T6566">
        <v>-0.1209776</v>
      </c>
      <c r="U6566">
        <v>4.2114260000000001E-2</v>
      </c>
      <c r="V6566">
        <v>-3.1436100000000002E-2</v>
      </c>
      <c r="W6566">
        <v>-8.8611229999999999E-2</v>
      </c>
      <c r="X6566">
        <v>0.99557010000000001</v>
      </c>
      <c r="Y6566">
        <v>-1.235962E-2</v>
      </c>
      <c r="Z6566">
        <v>2.8867850000000001E-4</v>
      </c>
      <c r="AA6566">
        <v>0.99992360000000002</v>
      </c>
      <c r="AB6566">
        <v>23</v>
      </c>
      <c r="AC6566">
        <v>27.709599999999998</v>
      </c>
      <c r="AD6566">
        <v>-1.1212956362090001</v>
      </c>
      <c r="AE6566">
        <v>0.38969999999999699</v>
      </c>
      <c r="AF6566">
        <v>-0.34349080440118601</v>
      </c>
      <c r="AG6566">
        <v>-1.1212956362090001</v>
      </c>
      <c r="AH6566">
        <v>27.664912187086301</v>
      </c>
      <c r="AI6566">
        <v>92.320824942352203</v>
      </c>
      <c r="AJ6566">
        <v>90.711354586462207</v>
      </c>
      <c r="AK6566">
        <v>27.6897572426283</v>
      </c>
      <c r="AL6566">
        <v>95.083717199853993</v>
      </c>
      <c r="AM6566">
        <v>91.8085693841211</v>
      </c>
      <c r="AN6566">
        <v>1.0000000012396599</v>
      </c>
    </row>
    <row r="6567" spans="1:40" x14ac:dyDescent="0.25">
      <c r="A6567" t="str">
        <f>"20190303154312133"</f>
        <v>20190303154312133</v>
      </c>
      <c r="B6567" t="str">
        <f>"1551598992126996"</f>
        <v>1551598992126996</v>
      </c>
      <c r="C6567" t="s">
        <v>40</v>
      </c>
      <c r="D6567">
        <v>5.9676850000000004</v>
      </c>
      <c r="E6567">
        <v>0.50748349999999998</v>
      </c>
      <c r="F6567" t="s">
        <v>41</v>
      </c>
      <c r="G6567">
        <v>-344.81849999999997</v>
      </c>
      <c r="H6567" s="1">
        <v>-2.6120979999999999E-6</v>
      </c>
      <c r="I6567">
        <v>17.32207</v>
      </c>
      <c r="J6567">
        <v>-372.2724</v>
      </c>
      <c r="K6567">
        <v>1.121297</v>
      </c>
      <c r="L6567">
        <v>16.945829999999901</v>
      </c>
      <c r="M6567">
        <v>0.99990540000000006</v>
      </c>
      <c r="N6567">
        <v>-1.358085E-2</v>
      </c>
      <c r="O6567">
        <v>2.2015820000000001E-3</v>
      </c>
      <c r="P6567">
        <v>0.99430730000000001</v>
      </c>
      <c r="Q6567">
        <v>-0.10142660000000001</v>
      </c>
      <c r="R6567">
        <v>3.2649699999999997E-2</v>
      </c>
      <c r="S6567">
        <v>3.003571</v>
      </c>
      <c r="T6567">
        <v>-0.1218123</v>
      </c>
      <c r="U6567">
        <v>4.0985109999999998E-2</v>
      </c>
      <c r="V6567">
        <v>-3.0373560000000001E-2</v>
      </c>
      <c r="W6567">
        <v>-8.7942930000000002E-2</v>
      </c>
      <c r="X6567">
        <v>0.9956623</v>
      </c>
      <c r="Y6567">
        <v>-1.1430839999999999E-2</v>
      </c>
      <c r="Z6567">
        <v>2.5000309999999998E-4</v>
      </c>
      <c r="AA6567">
        <v>0.99993460000000001</v>
      </c>
      <c r="AB6567">
        <v>23</v>
      </c>
      <c r="AC6567">
        <v>27.453900000000001</v>
      </c>
      <c r="AD6567">
        <v>-1.1212996120980001</v>
      </c>
      <c r="AE6567">
        <v>0.37624000000000202</v>
      </c>
      <c r="AF6567">
        <v>-0.31526569222446399</v>
      </c>
      <c r="AG6567">
        <v>-1.1212996120980001</v>
      </c>
      <c r="AH6567">
        <v>27.408948186127901</v>
      </c>
      <c r="AI6567">
        <v>92.342508268011798</v>
      </c>
      <c r="AJ6567">
        <v>90.6590036552453</v>
      </c>
      <c r="AK6567">
        <v>27.4336863353547</v>
      </c>
      <c r="AL6567">
        <v>95.045276544103999</v>
      </c>
      <c r="AM6567">
        <v>91.747316594096802</v>
      </c>
      <c r="AN6567">
        <v>0.99999996386267298</v>
      </c>
    </row>
    <row r="6568" spans="1:40" x14ac:dyDescent="0.25">
      <c r="A6568" t="str">
        <f>"20190303154312158"</f>
        <v>20190303154312158</v>
      </c>
      <c r="B6568" t="str">
        <f>"1551598992146520"</f>
        <v>1551598992146520</v>
      </c>
      <c r="C6568" t="s">
        <v>40</v>
      </c>
      <c r="D6568">
        <v>5.9831919999999998</v>
      </c>
      <c r="E6568">
        <v>0.50726499999999997</v>
      </c>
      <c r="F6568" t="s">
        <v>41</v>
      </c>
      <c r="G6568">
        <v>-343.84719999999999</v>
      </c>
      <c r="H6568" s="1">
        <v>-3.025629E-6</v>
      </c>
      <c r="I6568">
        <v>17.339960000000001</v>
      </c>
      <c r="J6568">
        <v>-372.04180000000002</v>
      </c>
      <c r="K6568">
        <v>1.1213029999999999</v>
      </c>
      <c r="L6568">
        <v>16.947140000000001</v>
      </c>
      <c r="M6568">
        <v>0.9999036</v>
      </c>
      <c r="N6568">
        <v>-1.359955E-2</v>
      </c>
      <c r="O6568">
        <v>2.8582149999999999E-3</v>
      </c>
      <c r="P6568">
        <v>0.99433199999999999</v>
      </c>
      <c r="Q6568">
        <v>-0.1011954</v>
      </c>
      <c r="R6568">
        <v>3.2614339999999999E-2</v>
      </c>
      <c r="S6568">
        <v>3.0037229999999999</v>
      </c>
      <c r="T6568">
        <v>-0.11848880000000001</v>
      </c>
      <c r="U6568">
        <v>4.1656489999999997E-2</v>
      </c>
      <c r="V6568">
        <v>-2.9685799999999998E-2</v>
      </c>
      <c r="W6568">
        <v>-8.7691499999999895E-2</v>
      </c>
      <c r="X6568">
        <v>0.99570519999999996</v>
      </c>
      <c r="Y6568">
        <v>-1.099814E-2</v>
      </c>
      <c r="Z6568">
        <v>2.1782170000000001E-4</v>
      </c>
      <c r="AA6568">
        <v>0.99993949999999998</v>
      </c>
      <c r="AB6568">
        <v>23</v>
      </c>
      <c r="AC6568">
        <v>28.194600000000001</v>
      </c>
      <c r="AD6568">
        <v>-1.1213060256289999</v>
      </c>
      <c r="AE6568">
        <v>0.39282</v>
      </c>
      <c r="AF6568">
        <v>-0.31173176478793502</v>
      </c>
      <c r="AG6568">
        <v>-1.1213060256289999</v>
      </c>
      <c r="AH6568">
        <v>28.151090528448702</v>
      </c>
      <c r="AI6568">
        <v>92.280843285966199</v>
      </c>
      <c r="AJ6568">
        <v>90.634440234052406</v>
      </c>
      <c r="AK6568">
        <v>28.1751380091954</v>
      </c>
      <c r="AL6568">
        <v>95.030814886362606</v>
      </c>
      <c r="AM6568">
        <v>91.707701608499804</v>
      </c>
      <c r="AN6568">
        <v>0.99999994560046301</v>
      </c>
    </row>
    <row r="6569" spans="1:40" x14ac:dyDescent="0.25">
      <c r="A6569" t="str">
        <f>"20190303154312172"</f>
        <v>20190303154312172</v>
      </c>
      <c r="B6569" t="str">
        <f>"1551598992167013"</f>
        <v>1551598992167013</v>
      </c>
      <c r="C6569" t="s">
        <v>40</v>
      </c>
      <c r="D6569">
        <v>5.9437319999999998</v>
      </c>
      <c r="E6569">
        <v>0.50664359999999997</v>
      </c>
      <c r="F6569" t="s">
        <v>41</v>
      </c>
      <c r="G6569">
        <v>-342.96499999999997</v>
      </c>
      <c r="H6569" s="1">
        <v>-3.3994680000000002E-6</v>
      </c>
      <c r="I6569">
        <v>17.365939999999998</v>
      </c>
      <c r="J6569">
        <v>-371.88200000000001</v>
      </c>
      <c r="K6569">
        <v>1.1213089999999999</v>
      </c>
      <c r="L6569">
        <v>16.948090000000001</v>
      </c>
      <c r="M6569">
        <v>0.99990199999999996</v>
      </c>
      <c r="N6569">
        <v>-1.361071E-2</v>
      </c>
      <c r="O6569">
        <v>3.3130500000000001E-3</v>
      </c>
      <c r="P6569">
        <v>0.99430730000000001</v>
      </c>
      <c r="Q6569">
        <v>-0.1013312</v>
      </c>
      <c r="R6569">
        <v>3.2943109999999998E-2</v>
      </c>
      <c r="S6569">
        <v>3.0039060000000002</v>
      </c>
      <c r="T6569">
        <v>-0.11584129999999999</v>
      </c>
      <c r="U6569">
        <v>4.3273930000000002E-2</v>
      </c>
      <c r="V6569">
        <v>-2.9562970000000001E-2</v>
      </c>
      <c r="W6569">
        <v>-8.7816039999999998E-2</v>
      </c>
      <c r="X6569">
        <v>0.99569790000000002</v>
      </c>
      <c r="Y6569">
        <v>-1.1081189999999999E-2</v>
      </c>
      <c r="Z6569">
        <v>2.064054E-4</v>
      </c>
      <c r="AA6569">
        <v>0.99993860000000001</v>
      </c>
      <c r="AB6569">
        <v>23</v>
      </c>
      <c r="AC6569">
        <v>28.916999999999899</v>
      </c>
      <c r="AD6569">
        <v>-1.1213123994679901</v>
      </c>
      <c r="AE6569">
        <v>0.417849999999997</v>
      </c>
      <c r="AF6569">
        <v>-0.32155197505469002</v>
      </c>
      <c r="AG6569">
        <v>-1.1213123994679901</v>
      </c>
      <c r="AH6569">
        <v>28.874817198229099</v>
      </c>
      <c r="AI6569">
        <v>92.223744791145094</v>
      </c>
      <c r="AJ6569">
        <v>90.638023417198795</v>
      </c>
      <c r="AK6569">
        <v>28.898370289706801</v>
      </c>
      <c r="AL6569">
        <v>95.037978029108899</v>
      </c>
      <c r="AM6569">
        <v>91.700652324265405</v>
      </c>
      <c r="AN6569">
        <v>0.99999996707045502</v>
      </c>
    </row>
    <row r="6570" spans="1:40" x14ac:dyDescent="0.25">
      <c r="A6570" t="str">
        <f>"20190303154312192"</f>
        <v>20190303154312192</v>
      </c>
      <c r="B6570" t="str">
        <f>"1551598992186532"</f>
        <v>1551598992186532</v>
      </c>
      <c r="C6570" t="s">
        <v>40</v>
      </c>
      <c r="D6570">
        <v>5.8663980000000002</v>
      </c>
      <c r="E6570">
        <v>0.50611499999999998</v>
      </c>
      <c r="F6570" t="s">
        <v>41</v>
      </c>
      <c r="G6570">
        <v>-342.6216</v>
      </c>
      <c r="H6570" s="1">
        <v>-3.5359119999999998E-6</v>
      </c>
      <c r="I6570">
        <v>17.427199999999999</v>
      </c>
      <c r="J6570">
        <v>-371.6891</v>
      </c>
      <c r="K6570">
        <v>1.1213040000000001</v>
      </c>
      <c r="L6570">
        <v>16.949400000000001</v>
      </c>
      <c r="M6570">
        <v>0.99989980000000001</v>
      </c>
      <c r="N6570">
        <v>-1.362259E-2</v>
      </c>
      <c r="O6570">
        <v>3.86199E-3</v>
      </c>
      <c r="P6570">
        <v>0.9943147</v>
      </c>
      <c r="Q6570">
        <v>-0.10125530000000001</v>
      </c>
      <c r="R6570">
        <v>3.2952339999999997E-2</v>
      </c>
      <c r="S6570">
        <v>3.0038450000000001</v>
      </c>
      <c r="T6570">
        <v>-0.11511299999999999</v>
      </c>
      <c r="U6570">
        <v>4.9194340000000003E-2</v>
      </c>
      <c r="V6570">
        <v>-2.9026690000000001E-2</v>
      </c>
      <c r="W6570">
        <v>-8.7727319999999998E-2</v>
      </c>
      <c r="X6570">
        <v>0.99572150000000004</v>
      </c>
      <c r="Y6570">
        <v>-1.2501709999999999E-2</v>
      </c>
      <c r="Z6570">
        <v>2.2930969999999999E-4</v>
      </c>
      <c r="AA6570">
        <v>0.99992179999999997</v>
      </c>
      <c r="AB6570">
        <v>23</v>
      </c>
      <c r="AC6570">
        <v>29.0674999999999</v>
      </c>
      <c r="AD6570">
        <v>-1.1213075359119999</v>
      </c>
      <c r="AE6570">
        <v>0.477799999999998</v>
      </c>
      <c r="AF6570">
        <v>-0.36498464036906902</v>
      </c>
      <c r="AG6570">
        <v>-1.1213075359119999</v>
      </c>
      <c r="AH6570">
        <v>29.025946575816501</v>
      </c>
      <c r="AI6570">
        <v>92.212130689405001</v>
      </c>
      <c r="AJ6570">
        <v>90.720423616525295</v>
      </c>
      <c r="AK6570">
        <v>29.049890171908601</v>
      </c>
      <c r="AL6570">
        <v>95.032875045914594</v>
      </c>
      <c r="AM6570">
        <v>91.669780119060704</v>
      </c>
      <c r="AN6570">
        <v>0.99999996848449302</v>
      </c>
    </row>
    <row r="6571" spans="1:40" x14ac:dyDescent="0.25">
      <c r="A6571" t="str">
        <f>"20190303154312213"</f>
        <v>20190303154312213</v>
      </c>
      <c r="B6571" t="str">
        <f>"1551598992207029"</f>
        <v>1551598992207029</v>
      </c>
      <c r="C6571" t="s">
        <v>40</v>
      </c>
      <c r="D6571">
        <v>5.92584</v>
      </c>
      <c r="E6571">
        <v>0.50578519999999905</v>
      </c>
      <c r="F6571" t="s">
        <v>41</v>
      </c>
      <c r="G6571">
        <v>-342.12349999999998</v>
      </c>
      <c r="H6571" s="1">
        <v>-3.7411430000000002E-6</v>
      </c>
      <c r="I6571">
        <v>17.474989999999998</v>
      </c>
      <c r="J6571">
        <v>-371.46280000000002</v>
      </c>
      <c r="K6571">
        <v>1.12131</v>
      </c>
      <c r="L6571">
        <v>16.95102</v>
      </c>
      <c r="M6571">
        <v>0.99989700000000004</v>
      </c>
      <c r="N6571">
        <v>-1.363461E-2</v>
      </c>
      <c r="O6571">
        <v>4.5050280000000003E-3</v>
      </c>
      <c r="P6571">
        <v>0.99431460000000005</v>
      </c>
      <c r="Q6571">
        <v>-0.10120079999999999</v>
      </c>
      <c r="R6571">
        <v>3.3121820000000003E-2</v>
      </c>
      <c r="S6571">
        <v>3.0037539999999998</v>
      </c>
      <c r="T6571">
        <v>-0.1139203</v>
      </c>
      <c r="U6571">
        <v>5.3405759999999997E-2</v>
      </c>
      <c r="V6571">
        <v>-2.8557280000000001E-2</v>
      </c>
      <c r="W6571">
        <v>-8.7659909999999994E-2</v>
      </c>
      <c r="X6571">
        <v>0.99574110000000005</v>
      </c>
      <c r="Y6571">
        <v>-1.3260320000000001E-2</v>
      </c>
      <c r="Z6571">
        <v>2.3242860000000001E-4</v>
      </c>
      <c r="AA6571">
        <v>0.99991200000000002</v>
      </c>
      <c r="AB6571">
        <v>23</v>
      </c>
      <c r="AC6571">
        <v>29.339300000000001</v>
      </c>
      <c r="AD6571">
        <v>-1.1213137411430001</v>
      </c>
      <c r="AE6571">
        <v>0.52396999999999805</v>
      </c>
      <c r="AF6571">
        <v>-0.39120679485186399</v>
      </c>
      <c r="AG6571">
        <v>-1.1213137411430001</v>
      </c>
      <c r="AH6571">
        <v>29.298580760024901</v>
      </c>
      <c r="AI6571">
        <v>92.191556195793396</v>
      </c>
      <c r="AJ6571">
        <v>90.764991537197304</v>
      </c>
      <c r="AK6571">
        <v>29.3226400894278</v>
      </c>
      <c r="AL6571">
        <v>95.028997348114402</v>
      </c>
      <c r="AM6571">
        <v>91.642759588688904</v>
      </c>
      <c r="AN6571">
        <v>1.0000000581457</v>
      </c>
    </row>
    <row r="6572" spans="1:40" x14ac:dyDescent="0.25">
      <c r="A6572" t="str">
        <f>"20190303154312226"</f>
        <v>20190303154312226</v>
      </c>
      <c r="B6572" t="str">
        <f>"1551598992216789"</f>
        <v>1551598992216789</v>
      </c>
      <c r="C6572" t="s">
        <v>40</v>
      </c>
      <c r="D6572">
        <v>5.9667329999999996</v>
      </c>
      <c r="E6572">
        <v>0.50567439999999997</v>
      </c>
      <c r="F6572" t="s">
        <v>41</v>
      </c>
      <c r="G6572">
        <v>-341.65120000000002</v>
      </c>
      <c r="H6572" s="1">
        <v>-3.9371069999999999E-6</v>
      </c>
      <c r="I6572">
        <v>17.51248</v>
      </c>
      <c r="J6572">
        <v>-371.32549999999998</v>
      </c>
      <c r="K6572">
        <v>1.1213109999999999</v>
      </c>
      <c r="L6572">
        <v>16.952089999999998</v>
      </c>
      <c r="M6572">
        <v>0.99989510000000004</v>
      </c>
      <c r="N6572">
        <v>-1.364082E-2</v>
      </c>
      <c r="O6572">
        <v>4.8920600000000002E-3</v>
      </c>
      <c r="P6572">
        <v>0.99432310000000002</v>
      </c>
      <c r="Q6572">
        <v>-0.10112019999999999</v>
      </c>
      <c r="R6572">
        <v>3.3114640000000001E-2</v>
      </c>
      <c r="S6572">
        <v>3.0037539999999998</v>
      </c>
      <c r="T6572">
        <v>-0.1129811</v>
      </c>
      <c r="U6572">
        <v>5.6579589999999999E-2</v>
      </c>
      <c r="V6572">
        <v>-2.816625E-2</v>
      </c>
      <c r="W6572">
        <v>-8.7572280000000002E-2</v>
      </c>
      <c r="X6572">
        <v>0.99575990000000003</v>
      </c>
      <c r="Y6572">
        <v>-1.392906E-2</v>
      </c>
      <c r="Z6572">
        <v>2.396961E-4</v>
      </c>
      <c r="AA6572">
        <v>0.99990299999999999</v>
      </c>
      <c r="AB6572">
        <v>23</v>
      </c>
      <c r="AC6572">
        <v>29.674299999999899</v>
      </c>
      <c r="AD6572">
        <v>-1.1213149371069999</v>
      </c>
      <c r="AE6572">
        <v>0.56039000000000105</v>
      </c>
      <c r="AF6572">
        <v>-0.41460953973573</v>
      </c>
      <c r="AG6572">
        <v>-1.1213149371069999</v>
      </c>
      <c r="AH6572">
        <v>29.634387051205401</v>
      </c>
      <c r="AI6572">
        <v>92.166729488003696</v>
      </c>
      <c r="AJ6572">
        <v>90.801562958909898</v>
      </c>
      <c r="AK6572">
        <v>29.658491940071201</v>
      </c>
      <c r="AL6572">
        <v>95.023957377901695</v>
      </c>
      <c r="AM6572">
        <v>91.620247058893895</v>
      </c>
      <c r="AN6572">
        <v>1.00000001015573</v>
      </c>
    </row>
    <row r="6573" spans="1:40" x14ac:dyDescent="0.25">
      <c r="A6573" t="str">
        <f>"20190303154312258"</f>
        <v>20190303154312258</v>
      </c>
      <c r="B6573" t="str">
        <f>"1551598992247047"</f>
        <v>1551598992247047</v>
      </c>
      <c r="C6573" t="s">
        <v>40</v>
      </c>
      <c r="D6573">
        <v>5.9251480000000001</v>
      </c>
      <c r="E6573">
        <v>0.50529650000000004</v>
      </c>
      <c r="F6573" t="s">
        <v>41</v>
      </c>
      <c r="G6573">
        <v>-341.34449999999998</v>
      </c>
      <c r="H6573" s="1">
        <v>-4.0663460000000004E-6</v>
      </c>
      <c r="I6573">
        <v>17.525559999999999</v>
      </c>
      <c r="J6573">
        <v>-371.00810000000001</v>
      </c>
      <c r="K6573">
        <v>1.121318</v>
      </c>
      <c r="L6573">
        <v>16.954709999999999</v>
      </c>
      <c r="M6573">
        <v>0.9998901</v>
      </c>
      <c r="N6573">
        <v>-1.365331E-2</v>
      </c>
      <c r="O6573">
        <v>5.7778769999999998E-3</v>
      </c>
      <c r="P6573">
        <v>0.99442770000000003</v>
      </c>
      <c r="Q6573">
        <v>-0.10002750000000001</v>
      </c>
      <c r="R6573">
        <v>3.3294219999999999E-2</v>
      </c>
      <c r="S6573">
        <v>3.003784</v>
      </c>
      <c r="T6573">
        <v>-0.112343899999999</v>
      </c>
      <c r="U6573">
        <v>5.7464599999999998E-2</v>
      </c>
      <c r="V6573">
        <v>-2.7467140000000001E-2</v>
      </c>
      <c r="W6573">
        <v>-8.646421E-2</v>
      </c>
      <c r="X6573">
        <v>0.99587630000000005</v>
      </c>
      <c r="Y6573">
        <v>-1.333846E-2</v>
      </c>
      <c r="Z6573">
        <v>2.0330709999999999E-4</v>
      </c>
      <c r="AA6573">
        <v>0.99991099999999999</v>
      </c>
      <c r="AB6573">
        <v>23</v>
      </c>
      <c r="AC6573">
        <v>29.663599999999999</v>
      </c>
      <c r="AD6573">
        <v>-1.121322066346</v>
      </c>
      <c r="AE6573">
        <v>0.57084999999999997</v>
      </c>
      <c r="AF6573">
        <v>-0.39886212322645698</v>
      </c>
      <c r="AG6573">
        <v>-1.121322066346</v>
      </c>
      <c r="AH6573">
        <v>29.624088090181701</v>
      </c>
      <c r="AI6573">
        <v>92.167511465492893</v>
      </c>
      <c r="AJ6573">
        <v>90.771390342659501</v>
      </c>
      <c r="AK6573">
        <v>29.647985586623999</v>
      </c>
      <c r="AL6573">
        <v>94.960227678157594</v>
      </c>
      <c r="AM6573">
        <v>91.579867224506501</v>
      </c>
      <c r="AN6573">
        <v>1.00000005414619</v>
      </c>
    </row>
    <row r="6574" spans="1:40" x14ac:dyDescent="0.25">
      <c r="A6574" t="str">
        <f>"20190303154312282"</f>
        <v>20190303154312282</v>
      </c>
      <c r="B6574" t="str">
        <f>"1551598992276325"</f>
        <v>1551598992276325</v>
      </c>
      <c r="C6574" t="s">
        <v>40</v>
      </c>
      <c r="D6574">
        <v>5.9100380000000001</v>
      </c>
      <c r="E6574">
        <v>0.50507460000000004</v>
      </c>
      <c r="F6574" t="s">
        <v>41</v>
      </c>
      <c r="G6574">
        <v>-339.8449</v>
      </c>
      <c r="H6574" s="1">
        <v>-5.7906610000000005E-7</v>
      </c>
      <c r="I6574">
        <v>17.585929999999902</v>
      </c>
      <c r="J6574">
        <v>-370.76960000000003</v>
      </c>
      <c r="K6574">
        <v>1.1213169999999999</v>
      </c>
      <c r="L6574">
        <v>16.956879999999899</v>
      </c>
      <c r="M6574">
        <v>0.9998861</v>
      </c>
      <c r="N6574">
        <v>-1.3660510000000001E-2</v>
      </c>
      <c r="O6574">
        <v>6.4296020000000004E-3</v>
      </c>
      <c r="P6574">
        <v>0.99446789999999996</v>
      </c>
      <c r="Q6574">
        <v>-9.9470539999999996E-2</v>
      </c>
      <c r="R6574">
        <v>3.3761520000000003E-2</v>
      </c>
      <c r="S6574">
        <v>3.0039060000000002</v>
      </c>
      <c r="T6574">
        <v>-0.1080868</v>
      </c>
      <c r="U6574">
        <v>6.0852049999999998E-2</v>
      </c>
      <c r="V6574">
        <v>-2.7288509999999998E-2</v>
      </c>
      <c r="W6574">
        <v>-8.5898409999999994E-2</v>
      </c>
      <c r="X6574">
        <v>0.99593010000000004</v>
      </c>
      <c r="Y6574">
        <v>-1.381345E-2</v>
      </c>
      <c r="Z6574">
        <v>1.993822E-4</v>
      </c>
      <c r="AA6574">
        <v>0.99990460000000003</v>
      </c>
      <c r="AB6574">
        <v>23</v>
      </c>
      <c r="AC6574">
        <v>30.924700000000001</v>
      </c>
      <c r="AD6574">
        <v>-1.1213175790661001</v>
      </c>
      <c r="AE6574">
        <v>0.629049999999999</v>
      </c>
      <c r="AF6574">
        <v>-0.429620329774905</v>
      </c>
      <c r="AG6574">
        <v>-1.1213175790661001</v>
      </c>
      <c r="AH6574">
        <v>30.887512731932102</v>
      </c>
      <c r="AI6574">
        <v>92.078909938614999</v>
      </c>
      <c r="AJ6574">
        <v>90.796886582413507</v>
      </c>
      <c r="AK6574">
        <v>30.9108454996971</v>
      </c>
      <c r="AL6574">
        <v>94.927689022171805</v>
      </c>
      <c r="AM6574">
        <v>91.569513113852693</v>
      </c>
      <c r="AN6574">
        <v>0.99999998185227901</v>
      </c>
    </row>
    <row r="6575" spans="1:40" x14ac:dyDescent="0.25">
      <c r="A6575" t="str">
        <f>"20190303154312301"</f>
        <v>20190303154312301</v>
      </c>
      <c r="B6575" t="str">
        <f>"1551598992296821"</f>
        <v>1551598992296821</v>
      </c>
      <c r="C6575" t="s">
        <v>40</v>
      </c>
      <c r="D6575">
        <v>5.9310910000000003</v>
      </c>
      <c r="E6575">
        <v>0.50502060000000004</v>
      </c>
      <c r="F6575" t="s">
        <v>41</v>
      </c>
      <c r="G6575">
        <v>-338.84289999999999</v>
      </c>
      <c r="H6575" s="1">
        <v>-9.0553230000000001E-7</v>
      </c>
      <c r="I6575">
        <v>17.640519999999999</v>
      </c>
      <c r="J6575">
        <v>-370.55990000000003</v>
      </c>
      <c r="K6575">
        <v>1.12131</v>
      </c>
      <c r="L6575">
        <v>16.95889</v>
      </c>
      <c r="M6575">
        <v>0.9998823</v>
      </c>
      <c r="N6575">
        <v>-1.366556E-2</v>
      </c>
      <c r="O6575">
        <v>6.9929040000000003E-3</v>
      </c>
      <c r="P6575">
        <v>0.99446109999999999</v>
      </c>
      <c r="Q6575">
        <v>-9.9279389999999995E-2</v>
      </c>
      <c r="R6575">
        <v>3.4511380000000001E-2</v>
      </c>
      <c r="S6575">
        <v>3.0039669999999998</v>
      </c>
      <c r="T6575">
        <v>-0.105504</v>
      </c>
      <c r="U6575">
        <v>6.4331050000000001E-2</v>
      </c>
      <c r="V6575">
        <v>-2.7479880000000002E-2</v>
      </c>
      <c r="W6575">
        <v>-8.5701639999999996E-2</v>
      </c>
      <c r="X6575">
        <v>0.99594179999999999</v>
      </c>
      <c r="Y6575">
        <v>-1.440725E-2</v>
      </c>
      <c r="Z6575">
        <v>2.0144330000000001E-4</v>
      </c>
      <c r="AA6575">
        <v>0.99989620000000001</v>
      </c>
      <c r="AB6575">
        <v>23</v>
      </c>
      <c r="AC6575">
        <v>31.716999999999999</v>
      </c>
      <c r="AD6575">
        <v>-1.1213109055323001</v>
      </c>
      <c r="AE6575">
        <v>0.68163000000000196</v>
      </c>
      <c r="AF6575">
        <v>-0.45922500026470198</v>
      </c>
      <c r="AG6575">
        <v>-1.1213109055323001</v>
      </c>
      <c r="AH6575">
        <v>31.681411728475801</v>
      </c>
      <c r="AI6575">
        <v>92.026830003078999</v>
      </c>
      <c r="AJ6575">
        <v>90.830449478050895</v>
      </c>
      <c r="AK6575">
        <v>31.7045749830673</v>
      </c>
      <c r="AL6575">
        <v>94.916373153211197</v>
      </c>
      <c r="AM6575">
        <v>91.580495739475893</v>
      </c>
      <c r="AN6575">
        <v>0.99999999194537204</v>
      </c>
    </row>
    <row r="6576" spans="1:40" x14ac:dyDescent="0.25">
      <c r="A6576" t="str">
        <f>"20190303154312336"</f>
        <v>20190303154312336</v>
      </c>
      <c r="B6576" t="str">
        <f>"1551598992327076"</f>
        <v>1551598992327076</v>
      </c>
      <c r="C6576" t="s">
        <v>40</v>
      </c>
      <c r="D6576">
        <v>5.898396</v>
      </c>
      <c r="E6576">
        <v>0.50500480000000003</v>
      </c>
      <c r="F6576" t="s">
        <v>41</v>
      </c>
      <c r="G6576">
        <v>-338.26729999999998</v>
      </c>
      <c r="H6576" s="1">
        <v>-1.0904899999999999E-6</v>
      </c>
      <c r="I6576">
        <v>17.681529999999999</v>
      </c>
      <c r="J6576">
        <v>-370.202</v>
      </c>
      <c r="K6576">
        <v>1.1212959999999901</v>
      </c>
      <c r="L6576">
        <v>16.96255</v>
      </c>
      <c r="M6576">
        <v>0.99987519999999996</v>
      </c>
      <c r="N6576">
        <v>-1.3672129999999999E-2</v>
      </c>
      <c r="O6576">
        <v>7.922307E-3</v>
      </c>
      <c r="P6576">
        <v>0.99441550000000001</v>
      </c>
      <c r="Q6576">
        <v>-9.9538740000000001E-2</v>
      </c>
      <c r="R6576">
        <v>3.5071070000000003E-2</v>
      </c>
      <c r="S6576">
        <v>3.0039980000000002</v>
      </c>
      <c r="T6576">
        <v>-0.1043091</v>
      </c>
      <c r="U6576">
        <v>6.7230219999999993E-2</v>
      </c>
      <c r="V6576">
        <v>-2.7118840000000002E-2</v>
      </c>
      <c r="W6576">
        <v>-8.5953119999999994E-2</v>
      </c>
      <c r="X6576">
        <v>0.99592999999999998</v>
      </c>
      <c r="Y6576">
        <v>-1.444251E-2</v>
      </c>
      <c r="Z6576">
        <v>1.827539E-4</v>
      </c>
      <c r="AA6576">
        <v>0.99989570000000005</v>
      </c>
      <c r="AB6576">
        <v>23</v>
      </c>
      <c r="AC6576">
        <v>31.934699999999999</v>
      </c>
      <c r="AD6576">
        <v>-1.1212970904899999</v>
      </c>
      <c r="AE6576">
        <v>0.71897999999999795</v>
      </c>
      <c r="AF6576">
        <v>-0.46536385913112699</v>
      </c>
      <c r="AG6576">
        <v>-1.1212970904899999</v>
      </c>
      <c r="AH6576">
        <v>31.900085560544099</v>
      </c>
      <c r="AI6576">
        <v>92.012920130785503</v>
      </c>
      <c r="AJ6576">
        <v>90.835781264713006</v>
      </c>
      <c r="AK6576">
        <v>31.923178561298698</v>
      </c>
      <c r="AL6576">
        <v>94.930835381140795</v>
      </c>
      <c r="AM6576">
        <v>91.559759446129803</v>
      </c>
      <c r="AN6576">
        <v>0.99999996761033905</v>
      </c>
    </row>
    <row r="6577" spans="1:40" x14ac:dyDescent="0.25">
      <c r="A6577" t="str">
        <f>"20190303154312358"</f>
        <v>20190303154312358</v>
      </c>
      <c r="B6577" t="str">
        <f>"1551598992346600"</f>
        <v>1551598992346600</v>
      </c>
      <c r="C6577" t="s">
        <v>40</v>
      </c>
      <c r="D6577">
        <v>5.8663059999999998</v>
      </c>
      <c r="E6577">
        <v>0.50514250000000005</v>
      </c>
      <c r="F6577" t="s">
        <v>41</v>
      </c>
      <c r="G6577">
        <v>-338.12200000000001</v>
      </c>
      <c r="H6577" s="1">
        <v>-1.135277E-6</v>
      </c>
      <c r="I6577">
        <v>17.69904</v>
      </c>
      <c r="J6577">
        <v>-369.98320000000001</v>
      </c>
      <c r="K6577">
        <v>1.1212879999999901</v>
      </c>
      <c r="L6577">
        <v>16.964939999999999</v>
      </c>
      <c r="M6577">
        <v>0.9998707</v>
      </c>
      <c r="N6577">
        <v>-1.3675029999999999E-2</v>
      </c>
      <c r="O6577">
        <v>8.4640380000000001E-3</v>
      </c>
      <c r="P6577">
        <v>0.99446690000000004</v>
      </c>
      <c r="Q6577">
        <v>-9.9242040000000004E-2</v>
      </c>
      <c r="R6577">
        <v>3.444672E-2</v>
      </c>
      <c r="S6577">
        <v>3.003876</v>
      </c>
      <c r="T6577">
        <v>-0.104995</v>
      </c>
      <c r="U6577">
        <v>6.8969730000000007E-2</v>
      </c>
      <c r="V6577">
        <v>-2.595838E-2</v>
      </c>
      <c r="W6577">
        <v>-8.5650909999999997E-2</v>
      </c>
      <c r="X6577">
        <v>0.99598699999999996</v>
      </c>
      <c r="Y6577">
        <v>-1.4480389999999999E-2</v>
      </c>
      <c r="Z6577">
        <v>1.7203929999999999E-4</v>
      </c>
      <c r="AA6577">
        <v>0.99989519999999998</v>
      </c>
      <c r="AB6577">
        <v>23</v>
      </c>
      <c r="AC6577">
        <v>31.8612</v>
      </c>
      <c r="AD6577">
        <v>-1.12128913527699</v>
      </c>
      <c r="AE6577">
        <v>0.73410000000000097</v>
      </c>
      <c r="AF6577">
        <v>-0.46379994995753798</v>
      </c>
      <c r="AG6577">
        <v>-1.12128913527699</v>
      </c>
      <c r="AH6577">
        <v>31.826874503362301</v>
      </c>
      <c r="AI6577">
        <v>92.017532765537695</v>
      </c>
      <c r="AJ6577">
        <v>90.834888730135503</v>
      </c>
      <c r="AK6577">
        <v>31.849997494053898</v>
      </c>
      <c r="AL6577">
        <v>94.913455722268196</v>
      </c>
      <c r="AM6577">
        <v>91.492960238741901</v>
      </c>
      <c r="AN6577">
        <v>1.0000000100225199</v>
      </c>
    </row>
    <row r="6578" spans="1:40" x14ac:dyDescent="0.25">
      <c r="A6578" t="str">
        <f>"20190303154312382"</f>
        <v>20190303154312382</v>
      </c>
      <c r="B6578" t="str">
        <f>"1551598992376853"</f>
        <v>1551598992376853</v>
      </c>
      <c r="C6578" t="s">
        <v>40</v>
      </c>
      <c r="D6578">
        <v>5.8566799999999999</v>
      </c>
      <c r="E6578">
        <v>0.50528809999999902</v>
      </c>
      <c r="F6578" t="s">
        <v>41</v>
      </c>
      <c r="G6578">
        <v>-337.685</v>
      </c>
      <c r="H6578" s="1">
        <v>-1.3195039999999999E-6</v>
      </c>
      <c r="I6578">
        <v>17.67653</v>
      </c>
      <c r="J6578">
        <v>-369.74149999999997</v>
      </c>
      <c r="K6578">
        <v>1.1212719999999901</v>
      </c>
      <c r="L6578">
        <v>16.967649999999999</v>
      </c>
      <c r="M6578">
        <v>0.99986569999999997</v>
      </c>
      <c r="N6578">
        <v>-1.367736E-2</v>
      </c>
      <c r="O6578">
        <v>9.0421670000000003E-3</v>
      </c>
      <c r="P6578">
        <v>0.99445600000000001</v>
      </c>
      <c r="Q6578">
        <v>-9.9548970000000001E-2</v>
      </c>
      <c r="R6578">
        <v>3.3875519999999999E-2</v>
      </c>
      <c r="S6578">
        <v>3.0039980000000002</v>
      </c>
      <c r="T6578">
        <v>-0.1042893</v>
      </c>
      <c r="U6578">
        <v>6.6192630000000002E-2</v>
      </c>
      <c r="V6578">
        <v>-2.4815050000000002E-2</v>
      </c>
      <c r="W6578">
        <v>-8.5953710000000003E-2</v>
      </c>
      <c r="X6578">
        <v>0.99599000000000004</v>
      </c>
      <c r="Y6578">
        <v>-1.297888E-2</v>
      </c>
      <c r="Z6578">
        <v>1.2388199999999999E-4</v>
      </c>
      <c r="AA6578">
        <v>0.99991580000000002</v>
      </c>
      <c r="AB6578">
        <v>23</v>
      </c>
      <c r="AC6578">
        <v>32.0564999999999</v>
      </c>
      <c r="AD6578">
        <v>-1.1212733195040001</v>
      </c>
      <c r="AE6578">
        <v>0.70887999999999995</v>
      </c>
      <c r="AF6578">
        <v>-0.41845199822988</v>
      </c>
      <c r="AG6578">
        <v>-1.1212733195040001</v>
      </c>
      <c r="AH6578">
        <v>32.022440540363597</v>
      </c>
      <c r="AI6578">
        <v>92.005234875618598</v>
      </c>
      <c r="AJ6578">
        <v>90.748667761948496</v>
      </c>
      <c r="AK6578">
        <v>32.0447976135437</v>
      </c>
      <c r="AL6578">
        <v>94.930869380799095</v>
      </c>
      <c r="AM6578">
        <v>91.427226726020507</v>
      </c>
      <c r="AN6578">
        <v>0.999999953534632</v>
      </c>
    </row>
    <row r="6579" spans="1:40" x14ac:dyDescent="0.25">
      <c r="A6579" t="str">
        <f>"20190303154312404"</f>
        <v>20190303154312404</v>
      </c>
      <c r="B6579" t="str">
        <f>"1551598992396374"</f>
        <v>1551598992396374</v>
      </c>
      <c r="C6579" t="s">
        <v>40</v>
      </c>
      <c r="D6579">
        <v>5.8646520000000004</v>
      </c>
      <c r="E6579">
        <v>0.50537219999999905</v>
      </c>
      <c r="F6579" t="s">
        <v>41</v>
      </c>
      <c r="G6579">
        <v>-337.74939999999998</v>
      </c>
      <c r="H6579" s="1">
        <v>-1.297913E-6</v>
      </c>
      <c r="I6579">
        <v>17.642610000000001</v>
      </c>
      <c r="J6579">
        <v>-369.51220000000001</v>
      </c>
      <c r="K6579">
        <v>1.1212599999999999</v>
      </c>
      <c r="L6579">
        <v>16.970369999999999</v>
      </c>
      <c r="M6579">
        <v>0.99986079999999999</v>
      </c>
      <c r="N6579">
        <v>-1.3678940000000001E-2</v>
      </c>
      <c r="O6579">
        <v>9.5695789999999999E-3</v>
      </c>
      <c r="P6579">
        <v>0.99449929999999997</v>
      </c>
      <c r="Q6579">
        <v>-9.9281910000000001E-2</v>
      </c>
      <c r="R6579">
        <v>3.3388170000000002E-2</v>
      </c>
      <c r="S6579">
        <v>3.0039980000000002</v>
      </c>
      <c r="T6579">
        <v>-0.1052854</v>
      </c>
      <c r="U6579">
        <v>6.3385010000000006E-2</v>
      </c>
      <c r="V6579">
        <v>-2.3805900000000001E-2</v>
      </c>
      <c r="W6579">
        <v>-8.5682709999999995E-2</v>
      </c>
      <c r="X6579">
        <v>0.99603799999999998</v>
      </c>
      <c r="Y6579">
        <v>-1.1518570000000001E-2</v>
      </c>
      <c r="Z6579" s="1">
        <v>7.6223760000000004E-5</v>
      </c>
      <c r="AA6579">
        <v>0.99993370000000004</v>
      </c>
      <c r="AB6579">
        <v>23</v>
      </c>
      <c r="AC6579">
        <v>31.762799999999999</v>
      </c>
      <c r="AD6579">
        <v>-1.1212612979129899</v>
      </c>
      <c r="AE6579">
        <v>0.67223999999999795</v>
      </c>
      <c r="AF6579">
        <v>-0.367766102136937</v>
      </c>
      <c r="AG6579">
        <v>-1.1212612979129899</v>
      </c>
      <c r="AH6579">
        <v>31.728257988786201</v>
      </c>
      <c r="AI6579">
        <v>92.023827027758401</v>
      </c>
      <c r="AJ6579">
        <v>90.664092617550594</v>
      </c>
      <c r="AK6579">
        <v>31.750194232587901</v>
      </c>
      <c r="AL6579">
        <v>94.915284635345898</v>
      </c>
      <c r="AM6579">
        <v>91.369142510323002</v>
      </c>
      <c r="AN6579">
        <v>0.99999997255587603</v>
      </c>
    </row>
    <row r="6580" spans="1:40" x14ac:dyDescent="0.25">
      <c r="A6580" t="str">
        <f>"20190303154312425"</f>
        <v>20190303154312425</v>
      </c>
      <c r="B6580" t="str">
        <f>"1551598992416874"</f>
        <v>1551598992416874</v>
      </c>
      <c r="C6580" t="s">
        <v>40</v>
      </c>
      <c r="D6580">
        <v>5.8621980000000002</v>
      </c>
      <c r="E6580">
        <v>0.50543720000000003</v>
      </c>
      <c r="F6580" t="s">
        <v>41</v>
      </c>
      <c r="G6580">
        <v>-337.48829999999998</v>
      </c>
      <c r="H6580" s="1">
        <v>-1.4137689999999999E-6</v>
      </c>
      <c r="I6580">
        <v>17.620929999999898</v>
      </c>
      <c r="J6580">
        <v>-369.29910000000001</v>
      </c>
      <c r="K6580">
        <v>1.1212489999999999</v>
      </c>
      <c r="L6580">
        <v>16.972989999999999</v>
      </c>
      <c r="M6580">
        <v>0.99985610000000003</v>
      </c>
      <c r="N6580">
        <v>-1.36799E-2</v>
      </c>
      <c r="O6580">
        <v>1.003768E-2</v>
      </c>
      <c r="P6580">
        <v>0.99456540000000004</v>
      </c>
      <c r="Q6580">
        <v>-9.9270999999999998E-2</v>
      </c>
      <c r="R6580">
        <v>3.1390229999999998E-2</v>
      </c>
      <c r="S6580">
        <v>3.0040589999999998</v>
      </c>
      <c r="T6580">
        <v>-0.10518180000000001</v>
      </c>
      <c r="U6580">
        <v>6.1035159999999998E-2</v>
      </c>
      <c r="V6580">
        <v>-2.1344680000000001E-2</v>
      </c>
      <c r="W6580">
        <v>-8.5667480000000004E-2</v>
      </c>
      <c r="X6580">
        <v>0.99609510000000001</v>
      </c>
      <c r="Y6580">
        <v>-1.026933E-2</v>
      </c>
      <c r="Z6580" s="1">
        <v>3.5981569999999999E-5</v>
      </c>
      <c r="AA6580">
        <v>0.99994720000000004</v>
      </c>
      <c r="AB6580">
        <v>23</v>
      </c>
      <c r="AC6580">
        <v>31.8108</v>
      </c>
      <c r="AD6580">
        <v>-1.121250413769</v>
      </c>
      <c r="AE6580">
        <v>0.64793999999999796</v>
      </c>
      <c r="AF6580">
        <v>-0.32816332131921899</v>
      </c>
      <c r="AG6580">
        <v>-1.121250413769</v>
      </c>
      <c r="AH6580">
        <v>31.7762395956081</v>
      </c>
      <c r="AI6580">
        <v>92.020781979435398</v>
      </c>
      <c r="AJ6580">
        <v>90.591690682673104</v>
      </c>
      <c r="AK6580">
        <v>31.797708981832798</v>
      </c>
      <c r="AL6580">
        <v>94.9144087617765</v>
      </c>
      <c r="AM6580">
        <v>91.227566470926504</v>
      </c>
      <c r="AN6580">
        <v>0.99999998036893101</v>
      </c>
    </row>
    <row r="6581" spans="1:40" x14ac:dyDescent="0.25">
      <c r="A6581" t="str">
        <f>"20190303154312447"</f>
        <v>20190303154312447</v>
      </c>
      <c r="B6581" t="str">
        <f>"1551598992437368"</f>
        <v>1551598992437368</v>
      </c>
      <c r="C6581" t="s">
        <v>40</v>
      </c>
      <c r="D6581">
        <v>5.9075139999999999</v>
      </c>
      <c r="E6581">
        <v>0.50554030000000005</v>
      </c>
      <c r="F6581" t="s">
        <v>41</v>
      </c>
      <c r="G6581">
        <v>-337.40519999999998</v>
      </c>
      <c r="H6581" s="1">
        <v>-1.4620269999999901E-6</v>
      </c>
      <c r="I6581">
        <v>17.549939999999999</v>
      </c>
      <c r="J6581">
        <v>-369.07380000000001</v>
      </c>
      <c r="K6581">
        <v>1.121238</v>
      </c>
      <c r="L6581">
        <v>16.9758</v>
      </c>
      <c r="M6581">
        <v>0.99985119999999905</v>
      </c>
      <c r="N6581">
        <v>-1.368044E-2</v>
      </c>
      <c r="O6581">
        <v>1.050766E-2</v>
      </c>
      <c r="P6581">
        <v>0.99456849999999997</v>
      </c>
      <c r="Q6581">
        <v>-9.9541630000000006E-2</v>
      </c>
      <c r="R6581">
        <v>3.0415359999999999E-2</v>
      </c>
      <c r="S6581">
        <v>3.004181</v>
      </c>
      <c r="T6581">
        <v>-0.1056136</v>
      </c>
      <c r="U6581">
        <v>5.435181E-2</v>
      </c>
      <c r="V6581">
        <v>-1.9905969999999999E-2</v>
      </c>
      <c r="W6581">
        <v>-8.5935650000000002E-2</v>
      </c>
      <c r="X6581">
        <v>0.99610180000000004</v>
      </c>
      <c r="Y6581">
        <v>-7.577093E-3</v>
      </c>
      <c r="Z6581" s="1">
        <v>-4.0527320000000002E-5</v>
      </c>
      <c r="AA6581">
        <v>0.99997130000000001</v>
      </c>
      <c r="AB6581">
        <v>23</v>
      </c>
      <c r="AC6581">
        <v>31.668600000000001</v>
      </c>
      <c r="AD6581">
        <v>-1.1212394620270001</v>
      </c>
      <c r="AE6581">
        <v>0.57413999999999898</v>
      </c>
      <c r="AF6581">
        <v>-0.24101225077524699</v>
      </c>
      <c r="AG6581">
        <v>-1.1212394620270001</v>
      </c>
      <c r="AH6581">
        <v>31.633244194545401</v>
      </c>
      <c r="AI6581">
        <v>92.029938604669596</v>
      </c>
      <c r="AJ6581">
        <v>90.436525495391606</v>
      </c>
      <c r="AK6581">
        <v>31.654026649195401</v>
      </c>
      <c r="AL6581">
        <v>94.929830596951504</v>
      </c>
      <c r="AM6581">
        <v>91.144839090991894</v>
      </c>
      <c r="AN6581">
        <v>0.99999998977290105</v>
      </c>
    </row>
    <row r="6582" spans="1:40" x14ac:dyDescent="0.25">
      <c r="A6582" t="str">
        <f>"20190303154312469"</f>
        <v>20190303154312469</v>
      </c>
      <c r="B6582" t="str">
        <f>"1551598992466645"</f>
        <v>1551598992466645</v>
      </c>
      <c r="C6582" t="s">
        <v>40</v>
      </c>
      <c r="D6582">
        <v>6.0255239999999999</v>
      </c>
      <c r="E6582">
        <v>0.50604649999999995</v>
      </c>
      <c r="F6582" t="s">
        <v>41</v>
      </c>
      <c r="G6582">
        <v>-337.60669999999999</v>
      </c>
      <c r="H6582" s="1">
        <v>-1.3836969999999999E-6</v>
      </c>
      <c r="I6582">
        <v>17.504110000000001</v>
      </c>
      <c r="J6582">
        <v>-368.85199999999998</v>
      </c>
      <c r="K6582">
        <v>1.121227</v>
      </c>
      <c r="L6582">
        <v>16.978639999999999</v>
      </c>
      <c r="M6582">
        <v>0.99984660000000003</v>
      </c>
      <c r="N6582">
        <v>-1.368056E-2</v>
      </c>
      <c r="O6582">
        <v>1.0942439999999999E-2</v>
      </c>
      <c r="P6582">
        <v>0.99461310000000003</v>
      </c>
      <c r="Q6582">
        <v>-9.9427710000000002E-2</v>
      </c>
      <c r="R6582">
        <v>2.9309109999999999E-2</v>
      </c>
      <c r="S6582">
        <v>3.0041199999999999</v>
      </c>
      <c r="T6582">
        <v>-0.1070431</v>
      </c>
      <c r="U6582">
        <v>5.044556E-2</v>
      </c>
      <c r="V6582">
        <v>-1.8370529999999999E-2</v>
      </c>
      <c r="W6582">
        <v>-8.5819190000000004E-2</v>
      </c>
      <c r="X6582">
        <v>0.99614139999999995</v>
      </c>
      <c r="Y6582">
        <v>-5.8443310000000004E-3</v>
      </c>
      <c r="Z6582" s="1">
        <v>-9.5983130000000001E-5</v>
      </c>
      <c r="AA6582">
        <v>0.99998290000000001</v>
      </c>
      <c r="AB6582">
        <v>23</v>
      </c>
      <c r="AC6582">
        <v>31.245299999999901</v>
      </c>
      <c r="AD6582">
        <v>-1.1212283836970001</v>
      </c>
      <c r="AE6582">
        <v>0.52547000000000199</v>
      </c>
      <c r="AF6582">
        <v>-0.18327080137906099</v>
      </c>
      <c r="AG6582">
        <v>-1.1212283836970001</v>
      </c>
      <c r="AH6582">
        <v>31.209002600332202</v>
      </c>
      <c r="AI6582">
        <v>92.057513056239898</v>
      </c>
      <c r="AJ6582">
        <v>90.336458132290602</v>
      </c>
      <c r="AK6582">
        <v>31.2296747434645</v>
      </c>
      <c r="AL6582">
        <v>94.923132894597998</v>
      </c>
      <c r="AM6582">
        <v>91.056511191765495</v>
      </c>
      <c r="AN6582">
        <v>1.0000000492693399</v>
      </c>
    </row>
    <row r="6583" spans="1:40" x14ac:dyDescent="0.25">
      <c r="A6583" t="str">
        <f>"20190303154312491"</f>
        <v>20190303154312491</v>
      </c>
      <c r="B6583" t="str">
        <f>"1551598992487141"</f>
        <v>1551598992487141</v>
      </c>
      <c r="C6583" t="s">
        <v>40</v>
      </c>
      <c r="D6583">
        <v>6.0165519999999999</v>
      </c>
      <c r="E6583">
        <v>0.52413900000000002</v>
      </c>
      <c r="F6583" t="s">
        <v>41</v>
      </c>
      <c r="G6583">
        <v>-337.92099999999999</v>
      </c>
      <c r="H6583" s="1">
        <v>-1.277851E-6</v>
      </c>
      <c r="I6583">
        <v>17.420349999999999</v>
      </c>
      <c r="J6583">
        <v>-368.63099999999997</v>
      </c>
      <c r="K6583">
        <v>1.121208</v>
      </c>
      <c r="L6583">
        <v>16.981570000000001</v>
      </c>
      <c r="M6583">
        <v>0.99984209999999996</v>
      </c>
      <c r="N6583">
        <v>-1.3680400000000001E-2</v>
      </c>
      <c r="O6583">
        <v>1.1345310000000001E-2</v>
      </c>
      <c r="P6583">
        <v>0.99468659999999998</v>
      </c>
      <c r="Q6583">
        <v>-9.8888139999999999E-2</v>
      </c>
      <c r="R6583">
        <v>2.8633099999999901E-2</v>
      </c>
      <c r="S6583">
        <v>3.004089</v>
      </c>
      <c r="T6583">
        <v>-0.10889600000000001</v>
      </c>
      <c r="U6583">
        <v>4.2907710000000002E-2</v>
      </c>
      <c r="V6583">
        <v>-1.729783E-2</v>
      </c>
      <c r="W6583">
        <v>-8.5277249999999999E-2</v>
      </c>
      <c r="X6583">
        <v>0.99620710000000001</v>
      </c>
      <c r="Y6583">
        <v>-2.9357459999999999E-3</v>
      </c>
      <c r="Z6583">
        <v>-1.8262519999999999E-4</v>
      </c>
      <c r="AA6583">
        <v>0.99999559999999998</v>
      </c>
      <c r="AB6583">
        <v>23</v>
      </c>
      <c r="AC6583">
        <v>30.709999999999901</v>
      </c>
      <c r="AD6583">
        <v>-1.1212092778510001</v>
      </c>
      <c r="AE6583">
        <v>0.43877999999999701</v>
      </c>
      <c r="AF6583">
        <v>-9.0184506218850602E-2</v>
      </c>
      <c r="AG6583">
        <v>-1.1212092778510001</v>
      </c>
      <c r="AH6583">
        <v>30.672125638856102</v>
      </c>
      <c r="AI6583">
        <v>92.0934868438802</v>
      </c>
      <c r="AJ6583">
        <v>90.168464903744294</v>
      </c>
      <c r="AK6583">
        <v>30.692744007267802</v>
      </c>
      <c r="AL6583">
        <v>94.891967986790206</v>
      </c>
      <c r="AM6583">
        <v>90.994766116103506</v>
      </c>
      <c r="AN6583">
        <v>1.0000000051903399</v>
      </c>
    </row>
    <row r="6584" spans="1:40" x14ac:dyDescent="0.25">
      <c r="A6584" t="str">
        <f>"20190303154312513"</f>
        <v>20190303154312513</v>
      </c>
      <c r="B6584" t="str">
        <f>"1551598992506669"</f>
        <v>1551598992506669</v>
      </c>
      <c r="C6584" t="s">
        <v>40</v>
      </c>
      <c r="D6584">
        <v>5.9974619999999996</v>
      </c>
      <c r="E6584">
        <v>0.52311409999999903</v>
      </c>
      <c r="F6584" t="s">
        <v>41</v>
      </c>
      <c r="G6584">
        <v>-353.3664</v>
      </c>
      <c r="H6584" s="1">
        <v>-3.3905209999999999E-6</v>
      </c>
      <c r="I6584">
        <v>16.44557</v>
      </c>
      <c r="J6584">
        <v>-368.40089999999998</v>
      </c>
      <c r="K6584">
        <v>1.1211850000000001</v>
      </c>
      <c r="L6584">
        <v>16.984649999999998</v>
      </c>
      <c r="M6584">
        <v>0.99983759999999999</v>
      </c>
      <c r="N6584">
        <v>-1.367996E-2</v>
      </c>
      <c r="O6584">
        <v>1.172953E-2</v>
      </c>
      <c r="P6584">
        <v>0.99476030000000004</v>
      </c>
      <c r="Q6584">
        <v>-9.8396109999999995E-2</v>
      </c>
      <c r="R6584">
        <v>2.7755390000000001E-2</v>
      </c>
      <c r="S6584">
        <v>2.9971619999999999</v>
      </c>
      <c r="T6584">
        <v>-0.22014729999999999</v>
      </c>
      <c r="U6584">
        <v>-0.1052246</v>
      </c>
      <c r="V6584">
        <v>-1.6042520000000001E-2</v>
      </c>
      <c r="W6584">
        <v>-8.4783090000000005E-2</v>
      </c>
      <c r="X6584">
        <v>0.99627030000000005</v>
      </c>
      <c r="Y6584">
        <v>4.6637600000000001E-2</v>
      </c>
      <c r="Z6584">
        <v>-2.72953E-3</v>
      </c>
      <c r="AA6584">
        <v>0.99890820000000002</v>
      </c>
      <c r="AB6584">
        <v>23</v>
      </c>
      <c r="AC6584">
        <v>15.0344999999999</v>
      </c>
      <c r="AD6584">
        <v>-1.1211883905210001</v>
      </c>
      <c r="AE6584">
        <v>-0.53907999999999801</v>
      </c>
      <c r="AF6584">
        <v>0.71145547129910003</v>
      </c>
      <c r="AG6584">
        <v>-1.1211883905210001</v>
      </c>
      <c r="AH6584">
        <v>14.944139107934101</v>
      </c>
      <c r="AI6584">
        <v>94.285758360966895</v>
      </c>
      <c r="AJ6584">
        <v>87.2743400782701</v>
      </c>
      <c r="AK6584">
        <v>15.0030172289432</v>
      </c>
      <c r="AL6584">
        <v>94.863551705981095</v>
      </c>
      <c r="AM6584">
        <v>90.922530016642199</v>
      </c>
      <c r="AN6584">
        <v>1.0000000227299899</v>
      </c>
    </row>
    <row r="6585" spans="1:40" x14ac:dyDescent="0.25">
      <c r="A6585" t="str">
        <f>"20190303154312536"</f>
        <v>20190303154312536</v>
      </c>
      <c r="B6585" t="str">
        <f>"1551598992527162"</f>
        <v>1551598992527162</v>
      </c>
      <c r="C6585" t="s">
        <v>40</v>
      </c>
      <c r="D6585">
        <v>5.9561809999999999</v>
      </c>
      <c r="E6585">
        <v>0.52305999999999997</v>
      </c>
      <c r="F6585" t="s">
        <v>41</v>
      </c>
      <c r="G6585">
        <v>-352.77879999999999</v>
      </c>
      <c r="H6585" s="1">
        <v>-3.6391110000000001E-6</v>
      </c>
      <c r="I6585">
        <v>16.465239999999898</v>
      </c>
      <c r="J6585">
        <v>-368.17380000000003</v>
      </c>
      <c r="K6585">
        <v>1.1211610000000001</v>
      </c>
      <c r="L6585">
        <v>16.987729999999999</v>
      </c>
      <c r="M6585">
        <v>0.99983359999999999</v>
      </c>
      <c r="N6585">
        <v>-1.3679169999999999E-2</v>
      </c>
      <c r="O6585">
        <v>1.20698E-2</v>
      </c>
      <c r="P6585">
        <v>0.9947994</v>
      </c>
      <c r="Q6585">
        <v>-9.8370579999999999E-2</v>
      </c>
      <c r="R6585">
        <v>2.6405250000000002E-2</v>
      </c>
      <c r="S6585">
        <v>2.9973139999999998</v>
      </c>
      <c r="T6585">
        <v>-0.2151158</v>
      </c>
      <c r="U6585">
        <v>-9.9639889999999995E-2</v>
      </c>
      <c r="V6585">
        <v>-1.435845E-2</v>
      </c>
      <c r="W6585">
        <v>-8.4756230000000002E-2</v>
      </c>
      <c r="X6585">
        <v>0.99629829999999997</v>
      </c>
      <c r="Y6585">
        <v>4.5128090000000003E-2</v>
      </c>
      <c r="Z6585">
        <v>-2.6261449999999999E-3</v>
      </c>
      <c r="AA6585">
        <v>0.99897780000000003</v>
      </c>
      <c r="AB6585">
        <v>23</v>
      </c>
      <c r="AC6585">
        <v>15.395</v>
      </c>
      <c r="AD6585">
        <v>-1.1211646391109999</v>
      </c>
      <c r="AE6585">
        <v>-0.52249000000000101</v>
      </c>
      <c r="AF6585">
        <v>0.70455145478835901</v>
      </c>
      <c r="AG6585">
        <v>-1.1211646391109999</v>
      </c>
      <c r="AH6585">
        <v>15.306483756694499</v>
      </c>
      <c r="AI6585">
        <v>94.184887035276006</v>
      </c>
      <c r="AJ6585">
        <v>87.3645579089319</v>
      </c>
      <c r="AK6585">
        <v>15.3636534683124</v>
      </c>
      <c r="AL6585">
        <v>94.862007082718705</v>
      </c>
      <c r="AM6585">
        <v>90.825678048116799</v>
      </c>
      <c r="AN6585">
        <v>1.0000000430965501</v>
      </c>
    </row>
    <row r="6586" spans="1:40" x14ac:dyDescent="0.25">
      <c r="A6586" t="str">
        <f>"20190303154312558"</f>
        <v>20190303154312558</v>
      </c>
      <c r="B6586" t="str">
        <f>"1551598992546682"</f>
        <v>1551598992546682</v>
      </c>
      <c r="C6586" t="s">
        <v>40</v>
      </c>
      <c r="D6586">
        <v>6.0004379999999999</v>
      </c>
      <c r="E6586">
        <v>0.5228351</v>
      </c>
      <c r="F6586" t="s">
        <v>41</v>
      </c>
      <c r="G6586">
        <v>-352.40359999999998</v>
      </c>
      <c r="H6586" s="1">
        <v>-3.803758E-6</v>
      </c>
      <c r="I6586">
        <v>16.44445</v>
      </c>
      <c r="J6586">
        <v>-367.95179999999999</v>
      </c>
      <c r="K6586">
        <v>1.1211390000000001</v>
      </c>
      <c r="L6586">
        <v>16.990779999999901</v>
      </c>
      <c r="M6586">
        <v>0.99983010000000005</v>
      </c>
      <c r="N6586">
        <v>-1.367817E-2</v>
      </c>
      <c r="O6586">
        <v>1.236227E-2</v>
      </c>
      <c r="P6586">
        <v>0.99482420000000005</v>
      </c>
      <c r="Q6586">
        <v>-9.8363640000000002E-2</v>
      </c>
      <c r="R6586">
        <v>2.5487159999999998E-2</v>
      </c>
      <c r="S6586">
        <v>2.9973139999999998</v>
      </c>
      <c r="T6586">
        <v>-0.21309040000000001</v>
      </c>
      <c r="U6586">
        <v>-0.103241</v>
      </c>
      <c r="V6586">
        <v>-1.3154620000000001E-2</v>
      </c>
      <c r="W6586">
        <v>-8.4748680000000007E-2</v>
      </c>
      <c r="X6586">
        <v>0.99631550000000002</v>
      </c>
      <c r="Y6586">
        <v>4.6616989999999997E-2</v>
      </c>
      <c r="Z6586">
        <v>-2.6825880000000001E-3</v>
      </c>
      <c r="AA6586">
        <v>0.99890919999999905</v>
      </c>
      <c r="AB6586">
        <v>23</v>
      </c>
      <c r="AC6586">
        <v>15.5482</v>
      </c>
      <c r="AD6586">
        <v>-1.12114280375799</v>
      </c>
      <c r="AE6586">
        <v>-0.54632999999999698</v>
      </c>
      <c r="AF6586">
        <v>0.73470188721098095</v>
      </c>
      <c r="AG6586">
        <v>-1.12114280375799</v>
      </c>
      <c r="AH6586">
        <v>15.459972130934</v>
      </c>
      <c r="AI6586">
        <v>94.143116249581198</v>
      </c>
      <c r="AJ6586">
        <v>87.279188461394796</v>
      </c>
      <c r="AK6586">
        <v>15.517973009988999</v>
      </c>
      <c r="AL6586">
        <v>94.861573249121903</v>
      </c>
      <c r="AM6586">
        <v>90.756447545846797</v>
      </c>
      <c r="AN6586">
        <v>0.99999997916466798</v>
      </c>
    </row>
    <row r="6587" spans="1:40" x14ac:dyDescent="0.25">
      <c r="A6587" t="str">
        <f>"20190303154312582"</f>
        <v>20190303154312582</v>
      </c>
      <c r="B6587" t="str">
        <f>"1551598992576938"</f>
        <v>1551598992576938</v>
      </c>
      <c r="C6587" t="s">
        <v>40</v>
      </c>
      <c r="D6587">
        <v>5.9962999999999997</v>
      </c>
      <c r="E6587">
        <v>0.52260209999999996</v>
      </c>
      <c r="F6587" t="s">
        <v>41</v>
      </c>
      <c r="G6587">
        <v>-352.13310000000001</v>
      </c>
      <c r="H6587" s="1">
        <v>-3.9203880000000003E-6</v>
      </c>
      <c r="I6587">
        <v>16.440999999999999</v>
      </c>
      <c r="J6587">
        <v>-367.71890000000002</v>
      </c>
      <c r="K6587">
        <v>1.1211169999999999</v>
      </c>
      <c r="L6587">
        <v>16.99399</v>
      </c>
      <c r="M6587">
        <v>0.99982660000000001</v>
      </c>
      <c r="N6587">
        <v>-1.3677089999999999E-2</v>
      </c>
      <c r="O6587">
        <v>1.26354E-2</v>
      </c>
      <c r="P6587">
        <v>0.99482979999999999</v>
      </c>
      <c r="Q6587">
        <v>-9.8350870000000007E-2</v>
      </c>
      <c r="R6587">
        <v>2.5321440000000001E-2</v>
      </c>
      <c r="S6587">
        <v>2.9972840000000001</v>
      </c>
      <c r="T6587">
        <v>-0.2124326</v>
      </c>
      <c r="U6587">
        <v>-0.1041565</v>
      </c>
      <c r="V6587">
        <v>-1.272183E-2</v>
      </c>
      <c r="W6587">
        <v>-8.4736000000000006E-2</v>
      </c>
      <c r="X6587">
        <v>0.99632220000000005</v>
      </c>
      <c r="Y6587">
        <v>4.7193739999999998E-2</v>
      </c>
      <c r="Z6587">
        <v>-2.7147479999999999E-3</v>
      </c>
      <c r="AA6587">
        <v>0.99888209999999999</v>
      </c>
      <c r="AB6587">
        <v>23</v>
      </c>
      <c r="AC6587">
        <v>15.585800000000001</v>
      </c>
      <c r="AD6587">
        <v>-1.1211209203879999</v>
      </c>
      <c r="AE6587">
        <v>-0.55299000000000098</v>
      </c>
      <c r="AF6587">
        <v>0.74604174422728298</v>
      </c>
      <c r="AG6587">
        <v>-1.1211209203879999</v>
      </c>
      <c r="AH6587">
        <v>15.497480757431701</v>
      </c>
      <c r="AI6587">
        <v>94.132921830866493</v>
      </c>
      <c r="AJ6587">
        <v>87.243934647396202</v>
      </c>
      <c r="AK6587">
        <v>15.555879924620999</v>
      </c>
      <c r="AL6587">
        <v>94.860844109672598</v>
      </c>
      <c r="AM6587">
        <v>90.731558080699998</v>
      </c>
      <c r="AN6587">
        <v>0.99999998043369398</v>
      </c>
    </row>
    <row r="6588" spans="1:40" x14ac:dyDescent="0.25">
      <c r="A6588" t="str">
        <f>"20190303154312604"</f>
        <v>20190303154312604</v>
      </c>
      <c r="B6588" t="str">
        <f>"1551598992596458"</f>
        <v>1551598992596458</v>
      </c>
      <c r="C6588" t="s">
        <v>40</v>
      </c>
      <c r="D6588">
        <v>5.9829999999999997</v>
      </c>
      <c r="E6588">
        <v>0.52246369999999998</v>
      </c>
      <c r="F6588" t="s">
        <v>41</v>
      </c>
      <c r="G6588">
        <v>-351.91410000000002</v>
      </c>
      <c r="H6588" s="1">
        <v>-4.0123900000000001E-6</v>
      </c>
      <c r="I6588">
        <v>16.452069999999999</v>
      </c>
      <c r="J6588">
        <v>-367.49880000000002</v>
      </c>
      <c r="K6588">
        <v>1.1210979999999999</v>
      </c>
      <c r="L6588">
        <v>16.997070000000001</v>
      </c>
      <c r="M6588">
        <v>0.99982380000000004</v>
      </c>
      <c r="N6588">
        <v>-1.367578E-2</v>
      </c>
      <c r="O6588">
        <v>1.286175E-2</v>
      </c>
      <c r="P6588">
        <v>0.9948359</v>
      </c>
      <c r="Q6588">
        <v>-9.8376389999999994E-2</v>
      </c>
      <c r="R6588">
        <v>2.498531E-2</v>
      </c>
      <c r="S6588">
        <v>2.9971920000000001</v>
      </c>
      <c r="T6588">
        <v>-0.21260770000000001</v>
      </c>
      <c r="U6588">
        <v>-0.1027527</v>
      </c>
      <c r="V6588">
        <v>-1.2165E-2</v>
      </c>
      <c r="W6588">
        <v>-8.4761980000000001E-2</v>
      </c>
      <c r="X6588">
        <v>0.99632699999999996</v>
      </c>
      <c r="Y6588">
        <v>4.6953719999999997E-2</v>
      </c>
      <c r="Z6588">
        <v>-2.7197329999999998E-3</v>
      </c>
      <c r="AA6588">
        <v>0.99889340000000004</v>
      </c>
      <c r="AB6588">
        <v>23</v>
      </c>
      <c r="AC6588">
        <v>15.5846999999999</v>
      </c>
      <c r="AD6588">
        <v>-1.12110201239</v>
      </c>
      <c r="AE6588">
        <v>-0.54499999999999804</v>
      </c>
      <c r="AF6588">
        <v>0.74158728865642398</v>
      </c>
      <c r="AG6588">
        <v>-1.12110201239</v>
      </c>
      <c r="AH6588">
        <v>15.496308037990101</v>
      </c>
      <c r="AI6588">
        <v>94.133220028060805</v>
      </c>
      <c r="AJ6588">
        <v>87.260158365252295</v>
      </c>
      <c r="AK6588">
        <v>15.554497235113701</v>
      </c>
      <c r="AL6588">
        <v>94.862337759288494</v>
      </c>
      <c r="AM6588">
        <v>90.699537927187507</v>
      </c>
      <c r="AN6588">
        <v>1.00000003570375</v>
      </c>
    </row>
    <row r="6589" spans="1:40" x14ac:dyDescent="0.25">
      <c r="A6589" t="str">
        <f>"20190303154312626"</f>
        <v>20190303154312626</v>
      </c>
      <c r="B6589" t="str">
        <f>"1551598992616957"</f>
        <v>1551598992616957</v>
      </c>
      <c r="C6589" t="s">
        <v>40</v>
      </c>
      <c r="D6589">
        <v>5.9859739999999997</v>
      </c>
      <c r="E6589">
        <v>0.52241150000000003</v>
      </c>
      <c r="F6589" t="s">
        <v>41</v>
      </c>
      <c r="G6589">
        <v>-351.70269999999999</v>
      </c>
      <c r="H6589" s="1">
        <v>-4.1024129999999996E-6</v>
      </c>
      <c r="I6589">
        <v>16.455919999999999</v>
      </c>
      <c r="J6589">
        <v>-367.27249999999998</v>
      </c>
      <c r="K6589">
        <v>1.121081</v>
      </c>
      <c r="L6589">
        <v>17.000239999999899</v>
      </c>
      <c r="M6589">
        <v>0.99982130000000002</v>
      </c>
      <c r="N6589">
        <v>-1.367428E-2</v>
      </c>
      <c r="O6589">
        <v>1.3062249999999999E-2</v>
      </c>
      <c r="P6589">
        <v>0.99478569999999999</v>
      </c>
      <c r="Q6589">
        <v>-9.8942279999999994E-2</v>
      </c>
      <c r="R6589">
        <v>2.47408E-2</v>
      </c>
      <c r="S6589">
        <v>2.997131</v>
      </c>
      <c r="T6589">
        <v>-0.2127163</v>
      </c>
      <c r="U6589">
        <v>-0.10266110000000001</v>
      </c>
      <c r="V6589">
        <v>-1.1724969999999999E-2</v>
      </c>
      <c r="W6589">
        <v>-8.5329360000000007E-2</v>
      </c>
      <c r="X6589">
        <v>0.99628380000000005</v>
      </c>
      <c r="Y6589">
        <v>4.7123249999999998E-2</v>
      </c>
      <c r="Z6589">
        <v>-2.7397200000000002E-3</v>
      </c>
      <c r="AA6589">
        <v>0.99888529999999998</v>
      </c>
      <c r="AB6589">
        <v>22</v>
      </c>
      <c r="AC6589">
        <v>15.569799999999899</v>
      </c>
      <c r="AD6589">
        <v>-1.121085102413</v>
      </c>
      <c r="AE6589">
        <v>-0.54431999999999503</v>
      </c>
      <c r="AF6589">
        <v>0.74381751347737701</v>
      </c>
      <c r="AG6589">
        <v>-1.121085102413</v>
      </c>
      <c r="AH6589">
        <v>15.481195648926301</v>
      </c>
      <c r="AI6589">
        <v>94.137140964086996</v>
      </c>
      <c r="AJ6589">
        <v>87.249252785403002</v>
      </c>
      <c r="AK6589">
        <v>15.5395468087246</v>
      </c>
      <c r="AL6589">
        <v>94.894964655285804</v>
      </c>
      <c r="AM6589">
        <v>90.674265990864399</v>
      </c>
      <c r="AN6589">
        <v>0.99999999237097503</v>
      </c>
    </row>
    <row r="6590" spans="1:40" x14ac:dyDescent="0.25">
      <c r="A6590" t="str">
        <f>"20190303154312648"</f>
        <v>20190303154312648</v>
      </c>
      <c r="B6590" t="str">
        <f>"1551598992636477"</f>
        <v>1551598992636477</v>
      </c>
      <c r="C6590" t="s">
        <v>40</v>
      </c>
      <c r="D6590">
        <v>5.9768330000000001</v>
      </c>
      <c r="E6590">
        <v>0.5223759</v>
      </c>
      <c r="F6590" t="s">
        <v>41</v>
      </c>
      <c r="G6590">
        <v>-351.64760000000001</v>
      </c>
      <c r="H6590" s="1">
        <v>-4.1247819999999998E-6</v>
      </c>
      <c r="I6590">
        <v>16.463170000000002</v>
      </c>
      <c r="J6590">
        <v>-367.05059999999997</v>
      </c>
      <c r="K6590">
        <v>1.1210580000000001</v>
      </c>
      <c r="L6590">
        <v>17.003360000000001</v>
      </c>
      <c r="M6590">
        <v>0.99981909999999896</v>
      </c>
      <c r="N6590">
        <v>-1.3672770000000001E-2</v>
      </c>
      <c r="O6590">
        <v>1.322956E-2</v>
      </c>
      <c r="P6590">
        <v>0.99478460000000002</v>
      </c>
      <c r="Q6590">
        <v>-9.9086779999999999E-2</v>
      </c>
      <c r="R6590">
        <v>2.4198230000000001E-2</v>
      </c>
      <c r="S6590">
        <v>2.996918</v>
      </c>
      <c r="T6590">
        <v>-0.21502769999999999</v>
      </c>
      <c r="U6590">
        <v>-0.1029968</v>
      </c>
      <c r="V6590">
        <v>-1.1019360000000001E-2</v>
      </c>
      <c r="W6590">
        <v>-8.5474770000000005E-2</v>
      </c>
      <c r="X6590">
        <v>0.99627940000000004</v>
      </c>
      <c r="Y6590">
        <v>4.7400039999999997E-2</v>
      </c>
      <c r="Z6590">
        <v>-2.7895419999999999E-3</v>
      </c>
      <c r="AA6590">
        <v>0.99887210000000004</v>
      </c>
      <c r="AB6590">
        <v>22</v>
      </c>
      <c r="AC6590">
        <v>15.402999999999899</v>
      </c>
      <c r="AD6590">
        <v>-1.1210621247819901</v>
      </c>
      <c r="AE6590">
        <v>-0.54018999999999895</v>
      </c>
      <c r="AF6590">
        <v>0.74002141194264104</v>
      </c>
      <c r="AG6590">
        <v>-1.1210621247819901</v>
      </c>
      <c r="AH6590">
        <v>15.3134852336494</v>
      </c>
      <c r="AI6590">
        <v>94.182149076187002</v>
      </c>
      <c r="AJ6590">
        <v>87.233344095779501</v>
      </c>
      <c r="AK6590">
        <v>15.3722881178747</v>
      </c>
      <c r="AL6590">
        <v>94.903326533447995</v>
      </c>
      <c r="AM6590">
        <v>90.633694801797702</v>
      </c>
      <c r="AN6590">
        <v>1.0000000027328599</v>
      </c>
    </row>
    <row r="6591" spans="1:40" x14ac:dyDescent="0.25">
      <c r="A6591" t="str">
        <f>"20190303154312670"</f>
        <v>20190303154312670</v>
      </c>
      <c r="B6591" t="str">
        <f>"1551598992666730"</f>
        <v>1551598992666730</v>
      </c>
      <c r="C6591" t="s">
        <v>40</v>
      </c>
      <c r="D6591">
        <v>5.9803309999999996</v>
      </c>
      <c r="E6591">
        <v>0.52229910000000002</v>
      </c>
      <c r="F6591" t="s">
        <v>41</v>
      </c>
      <c r="G6591">
        <v>-351.49380000000002</v>
      </c>
      <c r="H6591" s="1">
        <v>-4.1910579999999997E-6</v>
      </c>
      <c r="I6591">
        <v>16.461310000000001</v>
      </c>
      <c r="J6591">
        <v>-366.83170000000001</v>
      </c>
      <c r="K6591">
        <v>1.12104</v>
      </c>
      <c r="L6591">
        <v>17.006409999999999</v>
      </c>
      <c r="M6591">
        <v>0.99981730000000002</v>
      </c>
      <c r="N6591">
        <v>-1.367118E-2</v>
      </c>
      <c r="O6591">
        <v>1.337199E-2</v>
      </c>
      <c r="P6591">
        <v>0.99468029999999996</v>
      </c>
      <c r="Q6591">
        <v>-0.1000668</v>
      </c>
      <c r="R6591">
        <v>2.4458440000000001E-2</v>
      </c>
      <c r="S6591">
        <v>2.9967649999999999</v>
      </c>
      <c r="T6591">
        <v>-0.21595490000000001</v>
      </c>
      <c r="U6591">
        <v>-0.1044006</v>
      </c>
      <c r="V6591">
        <v>-1.1142880000000001E-2</v>
      </c>
      <c r="W6591">
        <v>-8.6457249999999999E-2</v>
      </c>
      <c r="X6591">
        <v>0.9961932</v>
      </c>
      <c r="Y6591">
        <v>4.8007899999999999E-2</v>
      </c>
      <c r="Z6591">
        <v>-2.8353609999999998E-3</v>
      </c>
      <c r="AA6591">
        <v>0.99884300000000004</v>
      </c>
      <c r="AB6591">
        <v>22</v>
      </c>
      <c r="AC6591">
        <v>15.3378999999999</v>
      </c>
      <c r="AD6591">
        <v>-1.121044191058</v>
      </c>
      <c r="AE6591">
        <v>-0.54509999999999703</v>
      </c>
      <c r="AF6591">
        <v>0.74618743873921101</v>
      </c>
      <c r="AG6591">
        <v>-1.121044191058</v>
      </c>
      <c r="AH6591">
        <v>15.2478853609931</v>
      </c>
      <c r="AI6591">
        <v>94.199886116681398</v>
      </c>
      <c r="AJ6591">
        <v>87.198345231244005</v>
      </c>
      <c r="AK6591">
        <v>15.3072382797821</v>
      </c>
      <c r="AL6591">
        <v>94.959827889674102</v>
      </c>
      <c r="AM6591">
        <v>90.640852970667297</v>
      </c>
      <c r="AN6591">
        <v>0.99999995578924705</v>
      </c>
    </row>
    <row r="6592" spans="1:40" x14ac:dyDescent="0.25">
      <c r="A6592" t="str">
        <f>"20190303154312692"</f>
        <v>20190303154312692</v>
      </c>
      <c r="B6592" t="str">
        <f>"1551598992687226"</f>
        <v>1551598992687226</v>
      </c>
      <c r="C6592" t="s">
        <v>40</v>
      </c>
      <c r="D6592">
        <v>5.9866840000000003</v>
      </c>
      <c r="E6592">
        <v>0.52236099999999996</v>
      </c>
      <c r="F6592" t="s">
        <v>41</v>
      </c>
      <c r="G6592">
        <v>-351.46859999999998</v>
      </c>
      <c r="H6592" s="1">
        <v>-4.1989219999999999E-6</v>
      </c>
      <c r="I6592">
        <v>16.477959999999999</v>
      </c>
      <c r="J6592">
        <v>-366.61219999999997</v>
      </c>
      <c r="K6592">
        <v>1.121024</v>
      </c>
      <c r="L6592">
        <v>17.009519999999998</v>
      </c>
      <c r="M6592">
        <v>0.99981549999999997</v>
      </c>
      <c r="N6592">
        <v>-1.3669519999999999E-2</v>
      </c>
      <c r="O6592">
        <v>1.349875E-2</v>
      </c>
      <c r="P6592">
        <v>0.99459219999999904</v>
      </c>
      <c r="Q6592">
        <v>-0.1009927</v>
      </c>
      <c r="R6592">
        <v>2.4232009999999998E-2</v>
      </c>
      <c r="S6592">
        <v>2.9965820000000001</v>
      </c>
      <c r="T6592">
        <v>-0.2186612</v>
      </c>
      <c r="U6592">
        <v>-0.10305789999999999</v>
      </c>
      <c r="V6592">
        <v>-1.0793809999999999E-2</v>
      </c>
      <c r="W6592">
        <v>-8.7385519999999994E-2</v>
      </c>
      <c r="X6592">
        <v>0.99611609999999995</v>
      </c>
      <c r="Y6592">
        <v>4.7686230000000003E-2</v>
      </c>
      <c r="Z6592">
        <v>-2.8627380000000001E-3</v>
      </c>
      <c r="AA6592">
        <v>0.99885829999999998</v>
      </c>
      <c r="AB6592">
        <v>22</v>
      </c>
      <c r="AC6592">
        <v>15.1435999999999</v>
      </c>
      <c r="AD6592">
        <v>-1.1210281989219999</v>
      </c>
      <c r="AE6592">
        <v>-0.53156000000000203</v>
      </c>
      <c r="AF6592">
        <v>0.73194425455108703</v>
      </c>
      <c r="AG6592">
        <v>-1.1210281989219999</v>
      </c>
      <c r="AH6592">
        <v>15.052657941974701</v>
      </c>
      <c r="AI6592">
        <v>94.254162181192001</v>
      </c>
      <c r="AJ6592">
        <v>87.2161520748882</v>
      </c>
      <c r="AK6592">
        <v>15.112079861244901</v>
      </c>
      <c r="AL6592">
        <v>95.013215638870406</v>
      </c>
      <c r="AM6592">
        <v>90.620826783678496</v>
      </c>
      <c r="AN6592">
        <v>1.00000001005959</v>
      </c>
    </row>
    <row r="6593" spans="1:40" x14ac:dyDescent="0.25">
      <c r="A6593" t="str">
        <f>"20190303154312715"</f>
        <v>20190303154312715</v>
      </c>
      <c r="B6593" t="str">
        <f>"1551598992706746"</f>
        <v>1551598992706746</v>
      </c>
      <c r="C6593" t="s">
        <v>40</v>
      </c>
      <c r="D6593">
        <v>5.9859589999999896</v>
      </c>
      <c r="E6593">
        <v>0.52233890000000005</v>
      </c>
      <c r="F6593" t="s">
        <v>41</v>
      </c>
      <c r="G6593">
        <v>-351.45440000000002</v>
      </c>
      <c r="H6593" s="1">
        <v>-4.2044279999999999E-6</v>
      </c>
      <c r="I6593">
        <v>16.481300000000001</v>
      </c>
      <c r="J6593">
        <v>-366.38159999999999</v>
      </c>
      <c r="K6593">
        <v>1.12101299999999</v>
      </c>
      <c r="L6593">
        <v>17.012789999999999</v>
      </c>
      <c r="M6593">
        <v>0.99981399999999998</v>
      </c>
      <c r="N6593">
        <v>-1.365653E-2</v>
      </c>
      <c r="O6593">
        <v>1.3620719999999999E-2</v>
      </c>
      <c r="P6593">
        <v>0.99451080000000003</v>
      </c>
      <c r="Q6593">
        <v>-0.1017696</v>
      </c>
      <c r="R6593">
        <v>2.4314860000000001E-2</v>
      </c>
      <c r="S6593">
        <v>2.9963679999999999</v>
      </c>
      <c r="T6593">
        <v>-0.22160289999999999</v>
      </c>
      <c r="U6593">
        <v>-0.1044006</v>
      </c>
      <c r="V6593">
        <v>-1.0757910000000001E-2</v>
      </c>
      <c r="W6593">
        <v>-8.8176199999999996E-2</v>
      </c>
      <c r="X6593">
        <v>0.99604680000000001</v>
      </c>
      <c r="Y6593">
        <v>4.825103E-2</v>
      </c>
      <c r="Z6593">
        <v>-2.9313590000000001E-3</v>
      </c>
      <c r="AA6593">
        <v>0.99883089999999997</v>
      </c>
      <c r="AB6593">
        <v>22</v>
      </c>
      <c r="AC6593">
        <v>14.9271999999999</v>
      </c>
      <c r="AD6593">
        <v>-1.12101720442799</v>
      </c>
      <c r="AE6593">
        <v>-0.53148999999999802</v>
      </c>
      <c r="AF6593">
        <v>0.73066323790587895</v>
      </c>
      <c r="AG6593">
        <v>-1.12101720442799</v>
      </c>
      <c r="AH6593">
        <v>14.8350136745523</v>
      </c>
      <c r="AI6593">
        <v>94.316166948836297</v>
      </c>
      <c r="AJ6593">
        <v>87.180311495991901</v>
      </c>
      <c r="AK6593">
        <v>14.895240147913199</v>
      </c>
      <c r="AL6593">
        <v>95.058693865272303</v>
      </c>
      <c r="AM6593">
        <v>90.618805133855602</v>
      </c>
      <c r="AN6593">
        <v>1.00000000133212</v>
      </c>
    </row>
    <row r="6594" spans="1:40" x14ac:dyDescent="0.25">
      <c r="A6594" t="str">
        <f>"20190303154312737"</f>
        <v>20190303154312737</v>
      </c>
      <c r="B6594" t="str">
        <f>"1551598992727242"</f>
        <v>1551598992727242</v>
      </c>
      <c r="C6594" t="s">
        <v>40</v>
      </c>
      <c r="D6594">
        <v>6.0041449999999896</v>
      </c>
      <c r="E6594">
        <v>0.52234849999999999</v>
      </c>
      <c r="F6594" t="s">
        <v>41</v>
      </c>
      <c r="G6594">
        <v>-351.38869999999997</v>
      </c>
      <c r="H6594" s="1">
        <v>-4.2308299999999998E-6</v>
      </c>
      <c r="I6594">
        <v>16.491350000000001</v>
      </c>
      <c r="J6594">
        <v>-366.15910000000002</v>
      </c>
      <c r="K6594">
        <v>1.120995</v>
      </c>
      <c r="L6594">
        <v>17.01596</v>
      </c>
      <c r="M6594">
        <v>0.99981339999999996</v>
      </c>
      <c r="N6594">
        <v>-1.3593310000000001E-2</v>
      </c>
      <c r="O6594">
        <v>1.373184E-2</v>
      </c>
      <c r="P6594">
        <v>0.994475</v>
      </c>
      <c r="Q6594">
        <v>-0.102288</v>
      </c>
      <c r="R6594">
        <v>2.3603430000000002E-2</v>
      </c>
      <c r="S6594">
        <v>2.9961850000000001</v>
      </c>
      <c r="T6594">
        <v>-0.22402449999999999</v>
      </c>
      <c r="U6594">
        <v>-0.104187</v>
      </c>
      <c r="V6594">
        <v>-9.9366750000000007E-3</v>
      </c>
      <c r="W6594">
        <v>-8.8758080000000003E-2</v>
      </c>
      <c r="X6594">
        <v>0.99600359999999999</v>
      </c>
      <c r="Y6594">
        <v>4.8288909999999997E-2</v>
      </c>
      <c r="Z6594">
        <v>-2.96971E-3</v>
      </c>
      <c r="AA6594">
        <v>0.99882899999999997</v>
      </c>
      <c r="AB6594">
        <v>22</v>
      </c>
      <c r="AC6594">
        <v>14.7704</v>
      </c>
      <c r="AD6594">
        <v>-1.1209992308300001</v>
      </c>
      <c r="AE6594">
        <v>-0.52460999999999902</v>
      </c>
      <c r="AF6594">
        <v>0.72324335258128902</v>
      </c>
      <c r="AG6594">
        <v>-1.1209992308300001</v>
      </c>
      <c r="AH6594">
        <v>14.6773667495055</v>
      </c>
      <c r="AI6594">
        <v>94.362273418353396</v>
      </c>
      <c r="AJ6594">
        <v>87.178969395124795</v>
      </c>
      <c r="AK6594">
        <v>14.7378700944901</v>
      </c>
      <c r="AL6594">
        <v>95.092164616603299</v>
      </c>
      <c r="AM6594">
        <v>90.571594974444295</v>
      </c>
      <c r="AN6594">
        <v>0.99999995274414899</v>
      </c>
    </row>
    <row r="6595" spans="1:40" x14ac:dyDescent="0.25">
      <c r="A6595" t="str">
        <f>"20190303154312759"</f>
        <v>20190303154312759</v>
      </c>
      <c r="B6595" t="str">
        <f>"1551598992756522"</f>
        <v>1551598992756522</v>
      </c>
      <c r="C6595" t="s">
        <v>40</v>
      </c>
      <c r="D6595">
        <v>5.9081409999999996</v>
      </c>
      <c r="E6595">
        <v>0.52076769999999994</v>
      </c>
      <c r="F6595" t="s">
        <v>42</v>
      </c>
      <c r="G6595">
        <v>-365.23950000000002</v>
      </c>
      <c r="H6595">
        <v>1.0519849999999999</v>
      </c>
      <c r="I6595">
        <v>16.983160000000002</v>
      </c>
      <c r="J6595">
        <v>-365.94240000000002</v>
      </c>
      <c r="K6595">
        <v>1.12096</v>
      </c>
      <c r="L6595">
        <v>17.019069999999999</v>
      </c>
      <c r="M6595">
        <v>0.99981359999999997</v>
      </c>
      <c r="N6595">
        <v>-1.346315E-2</v>
      </c>
      <c r="O6595">
        <v>1.383676E-2</v>
      </c>
      <c r="P6595">
        <v>0.99448440000000005</v>
      </c>
      <c r="Q6595">
        <v>-0.10231170000000001</v>
      </c>
      <c r="R6595">
        <v>2.307994E-2</v>
      </c>
      <c r="S6595">
        <v>2.9960629999999999</v>
      </c>
      <c r="T6595">
        <v>-0.2248338</v>
      </c>
      <c r="U6595">
        <v>-0.10632320000000001</v>
      </c>
      <c r="V6595">
        <v>-9.3072610000000007E-3</v>
      </c>
      <c r="W6595">
        <v>-8.8911459999999998E-2</v>
      </c>
      <c r="X6595">
        <v>0.99599610000000005</v>
      </c>
      <c r="Y6595">
        <v>4.910233E-2</v>
      </c>
      <c r="Z6595">
        <v>-3.0210290000000002E-3</v>
      </c>
      <c r="AA6595">
        <v>0.99878920000000004</v>
      </c>
      <c r="AB6595">
        <v>22</v>
      </c>
      <c r="AC6595">
        <v>0.70289999999999897</v>
      </c>
      <c r="AD6595">
        <v>-6.8974999999999995E-2</v>
      </c>
      <c r="AE6595">
        <v>-3.5910000000001198E-2</v>
      </c>
      <c r="AF6595">
        <v>4.5199196818431403E-2</v>
      </c>
      <c r="AG6595">
        <v>-6.8974999999999995E-2</v>
      </c>
      <c r="AH6595">
        <v>0.69565452150307705</v>
      </c>
      <c r="AI6595">
        <v>95.650602235996899</v>
      </c>
      <c r="AJ6595">
        <v>86.282510781408305</v>
      </c>
      <c r="AK6595">
        <v>0.700525325242212</v>
      </c>
      <c r="AL6595">
        <v>95.100987018405505</v>
      </c>
      <c r="AM6595">
        <v>90.5353949205155</v>
      </c>
      <c r="AN6595">
        <v>1.00000005202093</v>
      </c>
    </row>
    <row r="6596" spans="1:40" x14ac:dyDescent="0.25">
      <c r="A6596" t="str">
        <f>"20190303154312783"</f>
        <v>20190303154312783</v>
      </c>
      <c r="B6596" t="str">
        <f>"1551598992777018"</f>
        <v>1551598992777018</v>
      </c>
      <c r="C6596" t="s">
        <v>40</v>
      </c>
      <c r="D6596">
        <v>5.8855680000000001</v>
      </c>
      <c r="E6596">
        <v>0.51978029999999997</v>
      </c>
      <c r="F6596" t="s">
        <v>41</v>
      </c>
      <c r="G6596">
        <v>-350.43740000000003</v>
      </c>
      <c r="H6596" s="1">
        <v>-4.6326219999999997E-6</v>
      </c>
      <c r="I6596">
        <v>16.526789999999998</v>
      </c>
      <c r="J6596">
        <v>-365.70569999999998</v>
      </c>
      <c r="K6596">
        <v>1.1209290000000001</v>
      </c>
      <c r="L6596">
        <v>17.022489999999902</v>
      </c>
      <c r="M6596">
        <v>0.99981450000000005</v>
      </c>
      <c r="N6596">
        <v>-1.3284539999999999E-2</v>
      </c>
      <c r="O6596">
        <v>1.395659E-2</v>
      </c>
      <c r="P6596">
        <v>0.99455170000000004</v>
      </c>
      <c r="Q6596">
        <v>-0.1016179</v>
      </c>
      <c r="R6596">
        <v>2.3258689999999999E-2</v>
      </c>
      <c r="S6596">
        <v>2.996521</v>
      </c>
      <c r="T6596">
        <v>-0.21663979999999999</v>
      </c>
      <c r="U6596">
        <v>-9.5123289999999999E-2</v>
      </c>
      <c r="V6596">
        <v>-9.3646830000000004E-3</v>
      </c>
      <c r="W6596">
        <v>-8.8394849999999997E-2</v>
      </c>
      <c r="X6596">
        <v>0.99604150000000002</v>
      </c>
      <c r="Y6596">
        <v>4.5511490000000002E-2</v>
      </c>
      <c r="Z6596">
        <v>-2.7677919999999998E-3</v>
      </c>
      <c r="AA6596">
        <v>0.99895999999999996</v>
      </c>
      <c r="AB6596">
        <v>22</v>
      </c>
      <c r="AC6596">
        <v>15.268299999999901</v>
      </c>
      <c r="AD6596">
        <v>-1.1209336326220001</v>
      </c>
      <c r="AE6596">
        <v>-0.49569999999999897</v>
      </c>
      <c r="AF6596">
        <v>0.70496820083581402</v>
      </c>
      <c r="AG6596">
        <v>-1.1209336326220001</v>
      </c>
      <c r="AH6596">
        <v>15.1781714865506</v>
      </c>
      <c r="AI6596">
        <v>94.219190501799702</v>
      </c>
      <c r="AJ6596">
        <v>87.340740602830707</v>
      </c>
      <c r="AK6596">
        <v>15.2358249546281</v>
      </c>
      <c r="AL6596">
        <v>95.071270662152102</v>
      </c>
      <c r="AM6596">
        <v>90.538673341862804</v>
      </c>
      <c r="AN6596">
        <v>1.0000000082582301</v>
      </c>
    </row>
    <row r="6597" spans="1:40" x14ac:dyDescent="0.25">
      <c r="A6597" t="str">
        <f>"20190303154312805"</f>
        <v>20190303154312805</v>
      </c>
      <c r="B6597" t="str">
        <f>"1551598992796539"</f>
        <v>1551598992796539</v>
      </c>
      <c r="C6597" t="s">
        <v>40</v>
      </c>
      <c r="D6597">
        <v>5.8561699999999997</v>
      </c>
      <c r="E6597">
        <v>0.51886350000000003</v>
      </c>
      <c r="F6597" t="s">
        <v>41</v>
      </c>
      <c r="G6597">
        <v>-349.69080000000002</v>
      </c>
      <c r="H6597" s="1">
        <v>-9.0471099999999998E-7</v>
      </c>
      <c r="I6597">
        <v>16.55911</v>
      </c>
      <c r="J6597">
        <v>-365.48289999999997</v>
      </c>
      <c r="K6597">
        <v>1.120895</v>
      </c>
      <c r="L6597">
        <v>17.025759999999998</v>
      </c>
      <c r="M6597">
        <v>0.99981520000000002</v>
      </c>
      <c r="N6597">
        <v>-1.3096679999999999E-2</v>
      </c>
      <c r="O6597">
        <v>1.407775E-2</v>
      </c>
      <c r="P6597">
        <v>0.99458519999999995</v>
      </c>
      <c r="Q6597">
        <v>-0.1012894</v>
      </c>
      <c r="R6597">
        <v>2.3260949999999999E-2</v>
      </c>
      <c r="S6597">
        <v>2.9970400000000001</v>
      </c>
      <c r="T6597">
        <v>-0.2097706</v>
      </c>
      <c r="U6597">
        <v>-8.6700440000000004E-2</v>
      </c>
      <c r="V6597">
        <v>-9.2451129999999992E-3</v>
      </c>
      <c r="W6597">
        <v>-8.8253040000000005E-2</v>
      </c>
      <c r="X6597">
        <v>0.99605520000000003</v>
      </c>
      <c r="Y6597">
        <v>4.2839670000000003E-2</v>
      </c>
      <c r="Z6597">
        <v>-2.5778929999999999E-3</v>
      </c>
      <c r="AA6597">
        <v>0.99907860000000004</v>
      </c>
      <c r="AB6597">
        <v>22</v>
      </c>
      <c r="AC6597">
        <v>15.7920999999999</v>
      </c>
      <c r="AD6597">
        <v>-1.1208959047110001</v>
      </c>
      <c r="AE6597">
        <v>-0.46665000000000101</v>
      </c>
      <c r="AF6597">
        <v>0.68548961238885997</v>
      </c>
      <c r="AG6597">
        <v>-1.1208959047110001</v>
      </c>
      <c r="AH6597">
        <v>15.704913857998401</v>
      </c>
      <c r="AI6597">
        <v>94.078539157806702</v>
      </c>
      <c r="AJ6597">
        <v>87.500734583823402</v>
      </c>
      <c r="AK6597">
        <v>15.7597786445445</v>
      </c>
      <c r="AL6597">
        <v>95.063113627684601</v>
      </c>
      <c r="AM6597">
        <v>90.531788544787503</v>
      </c>
      <c r="AN6597">
        <v>1.00000001631533</v>
      </c>
    </row>
    <row r="6598" spans="1:40" x14ac:dyDescent="0.25">
      <c r="A6598" t="str">
        <f>"20190303154312827"</f>
        <v>20190303154312827</v>
      </c>
      <c r="B6598" t="str">
        <f>"1551598992817034"</f>
        <v>1551598992817034</v>
      </c>
      <c r="C6598" t="s">
        <v>40</v>
      </c>
      <c r="D6598">
        <v>5.876563</v>
      </c>
      <c r="E6598">
        <v>0.51799719999999905</v>
      </c>
      <c r="F6598" t="s">
        <v>41</v>
      </c>
      <c r="G6598">
        <v>-349.05700000000002</v>
      </c>
      <c r="H6598" s="1">
        <v>-1.1118690000000001E-6</v>
      </c>
      <c r="I6598">
        <v>16.591179999999898</v>
      </c>
      <c r="J6598">
        <v>-365.26069999999999</v>
      </c>
      <c r="K6598">
        <v>1.120865</v>
      </c>
      <c r="L6598">
        <v>17.029019999999999</v>
      </c>
      <c r="M6598">
        <v>0.99981589999999998</v>
      </c>
      <c r="N6598">
        <v>-1.289503E-2</v>
      </c>
      <c r="O6598">
        <v>1.4205280000000001E-2</v>
      </c>
      <c r="P6598">
        <v>0.99457439999999997</v>
      </c>
      <c r="Q6598">
        <v>-0.10131179999999999</v>
      </c>
      <c r="R6598">
        <v>2.3620749999999999E-2</v>
      </c>
      <c r="S6598">
        <v>2.9973139999999998</v>
      </c>
      <c r="T6598">
        <v>-0.20453479999999999</v>
      </c>
      <c r="U6598">
        <v>-7.9284670000000002E-2</v>
      </c>
      <c r="V6598">
        <v>-9.4781280000000006E-3</v>
      </c>
      <c r="W6598">
        <v>-8.8476509999999994E-2</v>
      </c>
      <c r="X6598">
        <v>0.99603319999999995</v>
      </c>
      <c r="Y6598">
        <v>4.0507769999999999E-2</v>
      </c>
      <c r="Z6598">
        <v>-2.4269669999999999E-3</v>
      </c>
      <c r="AA6598">
        <v>0.99917630000000002</v>
      </c>
      <c r="AB6598">
        <v>22</v>
      </c>
      <c r="AC6598">
        <v>16.203700000000001</v>
      </c>
      <c r="AD6598">
        <v>-1.120866111869</v>
      </c>
      <c r="AE6598">
        <v>-0.437840000000004</v>
      </c>
      <c r="AF6598">
        <v>0.664814266125618</v>
      </c>
      <c r="AG6598">
        <v>-1.120866111869</v>
      </c>
      <c r="AH6598">
        <v>16.118773065968199</v>
      </c>
      <c r="AI6598">
        <v>93.974458273176893</v>
      </c>
      <c r="AJ6598">
        <v>87.638190311662797</v>
      </c>
      <c r="AK6598">
        <v>16.171368649603</v>
      </c>
      <c r="AL6598">
        <v>95.075967720649203</v>
      </c>
      <c r="AM6598">
        <v>90.545203052841103</v>
      </c>
      <c r="AN6598">
        <v>1.0000000316172</v>
      </c>
    </row>
    <row r="6599" spans="1:40" x14ac:dyDescent="0.25">
      <c r="A6599" t="str">
        <f>"20190303154312839"</f>
        <v>20190303154312839</v>
      </c>
      <c r="B6599" t="str">
        <f>"1551598992836554"</f>
        <v>1551598992836554</v>
      </c>
      <c r="C6599" t="s">
        <v>40</v>
      </c>
      <c r="D6599">
        <v>5.897799</v>
      </c>
      <c r="E6599">
        <v>0.51722259999999998</v>
      </c>
      <c r="F6599" t="s">
        <v>41</v>
      </c>
      <c r="G6599">
        <v>-348.5077</v>
      </c>
      <c r="H6599" s="1">
        <v>-1.288237E-6</v>
      </c>
      <c r="I6599">
        <v>16.630859999999998</v>
      </c>
      <c r="J6599">
        <v>-365.14109999999999</v>
      </c>
      <c r="K6599">
        <v>1.1208480000000001</v>
      </c>
      <c r="L6599">
        <v>17.03079</v>
      </c>
      <c r="M6599">
        <v>0.99981640000000005</v>
      </c>
      <c r="N6599">
        <v>-1.27838E-2</v>
      </c>
      <c r="O6599">
        <v>1.427552E-2</v>
      </c>
      <c r="P6599">
        <v>0.99459350000000002</v>
      </c>
      <c r="Q6599">
        <v>-0.10110040000000001</v>
      </c>
      <c r="R6599">
        <v>2.3723950000000001E-2</v>
      </c>
      <c r="S6599">
        <v>2.9975890000000001</v>
      </c>
      <c r="T6599">
        <v>-0.20055480000000001</v>
      </c>
      <c r="U6599">
        <v>-7.1228029999999998E-2</v>
      </c>
      <c r="V6599">
        <v>-9.5109830000000006E-3</v>
      </c>
      <c r="W6599">
        <v>-8.837565E-2</v>
      </c>
      <c r="X6599">
        <v>0.99604179999999998</v>
      </c>
      <c r="Y6599">
        <v>3.79035E-2</v>
      </c>
      <c r="Z6599">
        <v>-2.2806369999999999E-3</v>
      </c>
      <c r="AA6599">
        <v>0.99927880000000002</v>
      </c>
      <c r="AB6599">
        <v>22</v>
      </c>
      <c r="AC6599">
        <v>16.633399999999899</v>
      </c>
      <c r="AD6599">
        <v>-1.120849288237</v>
      </c>
      <c r="AE6599">
        <v>-0.39992999999999701</v>
      </c>
      <c r="AF6599">
        <v>0.63447969304295804</v>
      </c>
      <c r="AG6599">
        <v>-1.120849288237</v>
      </c>
      <c r="AH6599">
        <v>16.550884263251799</v>
      </c>
      <c r="AI6599">
        <v>93.871400816378795</v>
      </c>
      <c r="AJ6599">
        <v>87.804635944008695</v>
      </c>
      <c r="AK6599">
        <v>16.600922790717998</v>
      </c>
      <c r="AL6599">
        <v>95.0701663495731</v>
      </c>
      <c r="AM6599">
        <v>90.547088107604793</v>
      </c>
      <c r="AN6599">
        <v>0.99999999082889401</v>
      </c>
    </row>
    <row r="6600" spans="1:40" x14ac:dyDescent="0.25">
      <c r="A6600" t="str">
        <f>"20190303154312853"</f>
        <v>20190303154312853</v>
      </c>
      <c r="B6600" t="str">
        <f>"1551598992847290"</f>
        <v>1551598992847290</v>
      </c>
      <c r="C6600" t="s">
        <v>40</v>
      </c>
      <c r="D6600">
        <v>5.8615500000000003</v>
      </c>
      <c r="E6600">
        <v>0.51683599999999996</v>
      </c>
      <c r="F6600" t="s">
        <v>41</v>
      </c>
      <c r="G6600">
        <v>-348.0539</v>
      </c>
      <c r="H6600" s="1">
        <v>-1.434356E-6</v>
      </c>
      <c r="I6600">
        <v>16.662120000000002</v>
      </c>
      <c r="J6600">
        <v>-365.0052</v>
      </c>
      <c r="K6600">
        <v>1.1208359999999999</v>
      </c>
      <c r="L6600">
        <v>17.032810000000001</v>
      </c>
      <c r="M6600">
        <v>0.99981679999999995</v>
      </c>
      <c r="N6600">
        <v>-1.265692E-2</v>
      </c>
      <c r="O6600">
        <v>1.435634E-2</v>
      </c>
      <c r="P6600">
        <v>0.99454509999999996</v>
      </c>
      <c r="Q6600">
        <v>-0.1015249</v>
      </c>
      <c r="R6600">
        <v>2.3933800000000002E-2</v>
      </c>
      <c r="S6600">
        <v>2.9978030000000002</v>
      </c>
      <c r="T6600">
        <v>-0.19664309999999999</v>
      </c>
      <c r="U6600">
        <v>-6.4666749999999995E-2</v>
      </c>
      <c r="V6600">
        <v>-9.6406440000000003E-3</v>
      </c>
      <c r="W6600">
        <v>-8.892717E-2</v>
      </c>
      <c r="X6600">
        <v>0.99599150000000003</v>
      </c>
      <c r="Y6600">
        <v>3.5806409999999997E-2</v>
      </c>
      <c r="Z6600">
        <v>-2.158976E-3</v>
      </c>
      <c r="AA6600">
        <v>0.99935640000000003</v>
      </c>
      <c r="AB6600">
        <v>22</v>
      </c>
      <c r="AC6600">
        <v>16.9513</v>
      </c>
      <c r="AD6600">
        <v>-1.1208374343559999</v>
      </c>
      <c r="AE6600">
        <v>-0.37068999999999902</v>
      </c>
      <c r="AF6600">
        <v>0.61135834515237997</v>
      </c>
      <c r="AG6600">
        <v>-1.1208374343559999</v>
      </c>
      <c r="AH6600">
        <v>16.870508131229499</v>
      </c>
      <c r="AI6600">
        <v>93.798526752170901</v>
      </c>
      <c r="AJ6600">
        <v>87.924607157489206</v>
      </c>
      <c r="AK6600">
        <v>16.918749368269602</v>
      </c>
      <c r="AL6600">
        <v>95.101890848742201</v>
      </c>
      <c r="AM6600">
        <v>90.554573972967702</v>
      </c>
      <c r="AN6600">
        <v>1.00000002582659</v>
      </c>
    </row>
    <row r="6601" spans="1:40" x14ac:dyDescent="0.25">
      <c r="A6601" t="str">
        <f>"20190303154312870"</f>
        <v>20190303154312870</v>
      </c>
      <c r="B6601" t="str">
        <f>"1551598992866810"</f>
        <v>1551598992866810</v>
      </c>
      <c r="C6601" t="s">
        <v>40</v>
      </c>
      <c r="D6601">
        <v>5.8496860000000002</v>
      </c>
      <c r="E6601">
        <v>0.5161713</v>
      </c>
      <c r="F6601" t="s">
        <v>41</v>
      </c>
      <c r="G6601">
        <v>-347.90210000000002</v>
      </c>
      <c r="H6601" s="1">
        <v>-1.4798779999999901E-6</v>
      </c>
      <c r="I6601">
        <v>16.685210000000001</v>
      </c>
      <c r="J6601">
        <v>-364.83139999999997</v>
      </c>
      <c r="K6601">
        <v>1.1208149999999999</v>
      </c>
      <c r="L6601">
        <v>17.035429999999899</v>
      </c>
      <c r="M6601">
        <v>0.99981739999999997</v>
      </c>
      <c r="N6601">
        <v>-1.2497050000000001E-2</v>
      </c>
      <c r="O6601">
        <v>1.4459609999999999E-2</v>
      </c>
      <c r="P6601">
        <v>0.99451250000000002</v>
      </c>
      <c r="Q6601">
        <v>-0.1016364</v>
      </c>
      <c r="R6601">
        <v>2.47981E-2</v>
      </c>
      <c r="S6601">
        <v>2.9978639999999999</v>
      </c>
      <c r="T6601">
        <v>-0.19646189999999999</v>
      </c>
      <c r="U6601">
        <v>-6.0913090000000003E-2</v>
      </c>
      <c r="V6601">
        <v>-1.040169E-2</v>
      </c>
      <c r="W6601">
        <v>-8.9198280000000005E-2</v>
      </c>
      <c r="X6601">
        <v>0.99595959999999994</v>
      </c>
      <c r="Y6601">
        <v>3.466143E-2</v>
      </c>
      <c r="Z6601">
        <v>-2.1172679999999998E-3</v>
      </c>
      <c r="AA6601">
        <v>0.99939690000000003</v>
      </c>
      <c r="AB6601">
        <v>22</v>
      </c>
      <c r="AC6601">
        <v>16.929299999999898</v>
      </c>
      <c r="AD6601">
        <v>-1.12081647987799</v>
      </c>
      <c r="AE6601">
        <v>-0.35021999999999598</v>
      </c>
      <c r="AF6601">
        <v>0.59239807555354895</v>
      </c>
      <c r="AG6601">
        <v>-1.12081647987799</v>
      </c>
      <c r="AH6601">
        <v>16.848646052495599</v>
      </c>
      <c r="AI6601">
        <v>93.803515998161402</v>
      </c>
      <c r="AJ6601">
        <v>87.986310996366299</v>
      </c>
      <c r="AK6601">
        <v>16.896272928186299</v>
      </c>
      <c r="AL6601">
        <v>95.117486279307201</v>
      </c>
      <c r="AM6601">
        <v>90.598368919463397</v>
      </c>
      <c r="AN6601">
        <v>1.0000000265709801</v>
      </c>
    </row>
    <row r="6602" spans="1:40" x14ac:dyDescent="0.25">
      <c r="A6602" t="str">
        <f>"20190303154312894"</f>
        <v>20190303154312894</v>
      </c>
      <c r="B6602" t="str">
        <f>"1551598992887307"</f>
        <v>1551598992887307</v>
      </c>
      <c r="C6602" t="s">
        <v>40</v>
      </c>
      <c r="D6602">
        <v>5.4787689999999998</v>
      </c>
      <c r="E6602">
        <v>0.51543779999999995</v>
      </c>
      <c r="F6602" t="s">
        <v>41</v>
      </c>
      <c r="G6602">
        <v>-347.48509999999999</v>
      </c>
      <c r="H6602" s="1">
        <v>-1.610205E-6</v>
      </c>
      <c r="I6602">
        <v>16.728649999999998</v>
      </c>
      <c r="J6602">
        <v>-364.59370000000001</v>
      </c>
      <c r="K6602">
        <v>1.1208009999999999</v>
      </c>
      <c r="L6602">
        <v>17.03903</v>
      </c>
      <c r="M6602">
        <v>0.99981810000000004</v>
      </c>
      <c r="N6602">
        <v>-1.228276E-2</v>
      </c>
      <c r="O6602">
        <v>1.4600760000000001E-2</v>
      </c>
      <c r="P6602">
        <v>0.99444880000000002</v>
      </c>
      <c r="Q6602">
        <v>-0.10201490000000001</v>
      </c>
      <c r="R6602">
        <v>2.5781749999999999E-2</v>
      </c>
      <c r="S6602">
        <v>2.9981080000000002</v>
      </c>
      <c r="T6602">
        <v>-0.1937207</v>
      </c>
      <c r="U6602">
        <v>-5.3009029999999999E-2</v>
      </c>
      <c r="V6602">
        <v>-1.124501E-2</v>
      </c>
      <c r="W6602">
        <v>-8.979094E-2</v>
      </c>
      <c r="X6602">
        <v>0.99589720000000004</v>
      </c>
      <c r="Y6602">
        <v>3.2175929999999998E-2</v>
      </c>
      <c r="Z6602">
        <v>-1.999411E-3</v>
      </c>
      <c r="AA6602">
        <v>0.99948020000000004</v>
      </c>
      <c r="AB6602">
        <v>22</v>
      </c>
      <c r="AC6602">
        <v>17.108599999999999</v>
      </c>
      <c r="AD6602">
        <v>-1.1208026102049999</v>
      </c>
      <c r="AE6602">
        <v>-0.31038000000000199</v>
      </c>
      <c r="AF6602">
        <v>0.557771282856664</v>
      </c>
      <c r="AG6602">
        <v>-1.1208026102049999</v>
      </c>
      <c r="AH6602">
        <v>17.0291837820001</v>
      </c>
      <c r="AI6602">
        <v>93.763568698453199</v>
      </c>
      <c r="AJ6602">
        <v>88.124013464949996</v>
      </c>
      <c r="AK6602">
        <v>17.075140045579602</v>
      </c>
      <c r="AL6602">
        <v>95.151579892248705</v>
      </c>
      <c r="AM6602">
        <v>90.6469184113718</v>
      </c>
      <c r="AN6602">
        <v>1.00000004806191</v>
      </c>
    </row>
    <row r="6603" spans="1:40" x14ac:dyDescent="0.25">
      <c r="A6603" t="str">
        <f>"20190303154312905"</f>
        <v>20190303154312905</v>
      </c>
      <c r="B6603" t="str">
        <f>"1551598992897067"</f>
        <v>1551598992897067</v>
      </c>
      <c r="C6603" t="s">
        <v>40</v>
      </c>
      <c r="D6603">
        <v>5.8518299999999996</v>
      </c>
      <c r="E6603">
        <v>0.51515559999999905</v>
      </c>
      <c r="F6603" t="s">
        <v>41</v>
      </c>
      <c r="G6603">
        <v>-347.11399999999998</v>
      </c>
      <c r="H6603" s="1">
        <v>-1.7231639999999999E-6</v>
      </c>
      <c r="I6603">
        <v>16.781849999999999</v>
      </c>
      <c r="J6603">
        <v>-364.4803</v>
      </c>
      <c r="K6603">
        <v>1.1207910000000001</v>
      </c>
      <c r="L6603">
        <v>17.040769999999998</v>
      </c>
      <c r="M6603">
        <v>0.99981830000000005</v>
      </c>
      <c r="N6603">
        <v>-1.2183060000000001E-2</v>
      </c>
      <c r="O6603">
        <v>1.466785E-2</v>
      </c>
      <c r="P6603">
        <v>0.99448110000000001</v>
      </c>
      <c r="Q6603">
        <v>-0.1015974</v>
      </c>
      <c r="R6603">
        <v>2.618767E-2</v>
      </c>
      <c r="S6603">
        <v>2.9981990000000001</v>
      </c>
      <c r="T6603">
        <v>-0.1922449</v>
      </c>
      <c r="U6603">
        <v>-4.4097900000000002E-2</v>
      </c>
      <c r="V6603">
        <v>-1.1583929999999999E-2</v>
      </c>
      <c r="W6603">
        <v>-8.9472410000000002E-2</v>
      </c>
      <c r="X6603">
        <v>0.99592190000000003</v>
      </c>
      <c r="Y6603">
        <v>2.9280980000000002E-2</v>
      </c>
      <c r="Z6603">
        <v>-1.8772769999999999E-3</v>
      </c>
      <c r="AA6603">
        <v>0.9995695</v>
      </c>
      <c r="AB6603">
        <v>22</v>
      </c>
      <c r="AC6603">
        <v>17.366299999999899</v>
      </c>
      <c r="AD6603">
        <v>-1.120792723164</v>
      </c>
      <c r="AE6603">
        <v>-0.25892000000000298</v>
      </c>
      <c r="AF6603">
        <v>0.51150724783642598</v>
      </c>
      <c r="AG6603">
        <v>-1.120792723164</v>
      </c>
      <c r="AH6603">
        <v>17.288638738951601</v>
      </c>
      <c r="AI6603">
        <v>93.707578628460595</v>
      </c>
      <c r="AJ6603">
        <v>88.305322931265493</v>
      </c>
      <c r="AK6603">
        <v>17.332479494834601</v>
      </c>
      <c r="AL6603">
        <v>95.133256139511104</v>
      </c>
      <c r="AM6603">
        <v>90.6663980085048</v>
      </c>
      <c r="AN6603">
        <v>0.99999996524253099</v>
      </c>
    </row>
    <row r="6604" spans="1:40" x14ac:dyDescent="0.25">
      <c r="A6604" t="str">
        <f>"20190303154312917"</f>
        <v>20190303154312917</v>
      </c>
      <c r="B6604" t="str">
        <f>"1551598992906827"</f>
        <v>1551598992906827</v>
      </c>
      <c r="C6604" t="s">
        <v>40</v>
      </c>
      <c r="D6604">
        <v>5.8609349999999996</v>
      </c>
      <c r="E6604">
        <v>0.5148914</v>
      </c>
      <c r="F6604" t="s">
        <v>41</v>
      </c>
      <c r="G6604">
        <v>-346.7747</v>
      </c>
      <c r="H6604" s="1">
        <v>-1.8653430000000001E-6</v>
      </c>
      <c r="I6604">
        <v>16.800999999999998</v>
      </c>
      <c r="J6604">
        <v>-364.35599999999999</v>
      </c>
      <c r="K6604">
        <v>1.120784</v>
      </c>
      <c r="L6604">
        <v>17.04269</v>
      </c>
      <c r="M6604">
        <v>0.9998186</v>
      </c>
      <c r="N6604">
        <v>-1.2074730000000001E-2</v>
      </c>
      <c r="O6604">
        <v>1.4741300000000001E-2</v>
      </c>
      <c r="P6604">
        <v>0.99447580000000002</v>
      </c>
      <c r="Q6604">
        <v>-0.101524</v>
      </c>
      <c r="R6604">
        <v>2.666965E-2</v>
      </c>
      <c r="S6604">
        <v>2.9983219999999999</v>
      </c>
      <c r="T6604">
        <v>-0.1897982</v>
      </c>
      <c r="U6604">
        <v>-4.058838E-2</v>
      </c>
      <c r="V6604">
        <v>-1.1992299999999999E-2</v>
      </c>
      <c r="W6604">
        <v>-8.9506939999999993E-2</v>
      </c>
      <c r="X6604">
        <v>0.99591399999999997</v>
      </c>
      <c r="Y6604">
        <v>2.818884E-2</v>
      </c>
      <c r="Z6604">
        <v>-1.815985E-3</v>
      </c>
      <c r="AA6604">
        <v>0.99960090000000001</v>
      </c>
      <c r="AB6604">
        <v>22</v>
      </c>
      <c r="AC6604">
        <v>17.581299999999999</v>
      </c>
      <c r="AD6604">
        <v>-1.1207858653430001</v>
      </c>
      <c r="AE6604">
        <v>-0.24169000000000199</v>
      </c>
      <c r="AF6604">
        <v>0.49882700236802802</v>
      </c>
      <c r="AG6604">
        <v>-1.1207858653430001</v>
      </c>
      <c r="AH6604">
        <v>17.5047023047455</v>
      </c>
      <c r="AI6604">
        <v>93.662033760049397</v>
      </c>
      <c r="AJ6604">
        <v>88.367698646817004</v>
      </c>
      <c r="AK6604">
        <v>17.547637792934001</v>
      </c>
      <c r="AL6604">
        <v>95.135242346156502</v>
      </c>
      <c r="AM6604">
        <v>90.689893876206199</v>
      </c>
      <c r="AN6604">
        <v>1.0000000014817201</v>
      </c>
    </row>
    <row r="6605" spans="1:40" x14ac:dyDescent="0.25">
      <c r="A6605" t="str">
        <f>"20190303154312938"</f>
        <v>20190303154312938</v>
      </c>
      <c r="B6605" t="str">
        <f>"1551598992927322"</f>
        <v>1551598992927322</v>
      </c>
      <c r="C6605" t="s">
        <v>40</v>
      </c>
      <c r="D6605">
        <v>5.8245839999999998</v>
      </c>
      <c r="E6605">
        <v>0.51441250000000005</v>
      </c>
      <c r="F6605" t="s">
        <v>41</v>
      </c>
      <c r="G6605">
        <v>-346.49029999999999</v>
      </c>
      <c r="H6605" s="1">
        <v>-1.983593E-6</v>
      </c>
      <c r="I6605">
        <v>16.822229999999902</v>
      </c>
      <c r="J6605">
        <v>-364.15260000000001</v>
      </c>
      <c r="K6605">
        <v>1.120771</v>
      </c>
      <c r="L6605">
        <v>17.045839999999998</v>
      </c>
      <c r="M6605">
        <v>0.99981880000000001</v>
      </c>
      <c r="N6605">
        <v>-1.1902650000000001E-2</v>
      </c>
      <c r="O6605">
        <v>1.486168E-2</v>
      </c>
      <c r="P6605">
        <v>0.99453060000000004</v>
      </c>
      <c r="Q6605">
        <v>-0.1007062</v>
      </c>
      <c r="R6605">
        <v>2.7695850000000001E-2</v>
      </c>
      <c r="S6605">
        <v>2.9984440000000001</v>
      </c>
      <c r="T6605">
        <v>-0.1881033</v>
      </c>
      <c r="U6605">
        <v>-3.6987300000000001E-2</v>
      </c>
      <c r="V6605">
        <v>-1.2897230000000001E-2</v>
      </c>
      <c r="W6605">
        <v>-8.8859949999999993E-2</v>
      </c>
      <c r="X6605">
        <v>0.99596070000000003</v>
      </c>
      <c r="Y6605">
        <v>2.7112199999999999E-2</v>
      </c>
      <c r="Z6605">
        <v>-1.7657300000000001E-3</v>
      </c>
      <c r="AA6605">
        <v>0.99963080000000004</v>
      </c>
      <c r="AB6605">
        <v>22</v>
      </c>
      <c r="AC6605">
        <v>17.662299999999998</v>
      </c>
      <c r="AD6605">
        <v>-1.120772983593</v>
      </c>
      <c r="AE6605">
        <v>-0.22361</v>
      </c>
      <c r="AF6605">
        <v>0.48414616355165502</v>
      </c>
      <c r="AG6605">
        <v>-1.120772983593</v>
      </c>
      <c r="AH6605">
        <v>17.586223912309201</v>
      </c>
      <c r="AI6605">
        <v>93.645160742234296</v>
      </c>
      <c r="AJ6605">
        <v>88.423053902972995</v>
      </c>
      <c r="AK6605">
        <v>17.6285507368674</v>
      </c>
      <c r="AL6605">
        <v>95.098023879582101</v>
      </c>
      <c r="AM6605">
        <v>90.741912351777202</v>
      </c>
      <c r="AN6605">
        <v>1.0000000726000799</v>
      </c>
    </row>
    <row r="6606" spans="1:40" x14ac:dyDescent="0.25">
      <c r="A6606" t="str">
        <f>"20190303154312950"</f>
        <v>20190303154312950</v>
      </c>
      <c r="B6606" t="str">
        <f>"1551598992946842"</f>
        <v>1551598992946842</v>
      </c>
      <c r="C6606" t="s">
        <v>40</v>
      </c>
      <c r="D6606">
        <v>5.8517950000000001</v>
      </c>
      <c r="E6606">
        <v>0.51396239999999904</v>
      </c>
      <c r="F6606" t="s">
        <v>41</v>
      </c>
      <c r="G6606">
        <v>-345.80540000000002</v>
      </c>
      <c r="H6606" s="1">
        <v>-2.27042E-6</v>
      </c>
      <c r="I6606">
        <v>16.861470000000001</v>
      </c>
      <c r="J6606">
        <v>-364.02330000000001</v>
      </c>
      <c r="K6606">
        <v>1.120762</v>
      </c>
      <c r="L6606">
        <v>17.047820000000002</v>
      </c>
      <c r="M6606">
        <v>0.99981889999999995</v>
      </c>
      <c r="N6606">
        <v>-1.179913E-2</v>
      </c>
      <c r="O6606">
        <v>1.4937880000000001E-2</v>
      </c>
      <c r="P6606">
        <v>0.99455320000000003</v>
      </c>
      <c r="Q6606">
        <v>-0.10039099999999999</v>
      </c>
      <c r="R6606">
        <v>2.803307E-2</v>
      </c>
      <c r="S6606">
        <v>2.9987490000000001</v>
      </c>
      <c r="T6606">
        <v>-0.18318470000000001</v>
      </c>
      <c r="U6606">
        <v>-3.0120850000000001E-2</v>
      </c>
      <c r="V6606">
        <v>-1.315821E-2</v>
      </c>
      <c r="W6606">
        <v>-8.8647599999999993E-2</v>
      </c>
      <c r="X6606">
        <v>0.99597619999999998</v>
      </c>
      <c r="Y6606">
        <v>2.4907479999999999E-2</v>
      </c>
      <c r="Z6606">
        <v>-1.6426559999999999E-3</v>
      </c>
      <c r="AA6606">
        <v>0.99968840000000003</v>
      </c>
      <c r="AB6606">
        <v>22</v>
      </c>
      <c r="AC6606">
        <v>18.217899999999901</v>
      </c>
      <c r="AD6606">
        <v>-1.12076427042</v>
      </c>
      <c r="AE6606">
        <v>-0.18634999999999999</v>
      </c>
      <c r="AF6606">
        <v>0.456756421025516</v>
      </c>
      <c r="AG6606">
        <v>-1.12076427042</v>
      </c>
      <c r="AH6606">
        <v>18.144419090704599</v>
      </c>
      <c r="AI6606">
        <v>93.533500847901294</v>
      </c>
      <c r="AJ6606">
        <v>88.557975918368001</v>
      </c>
      <c r="AK6606">
        <v>18.184737642240599</v>
      </c>
      <c r="AL6606">
        <v>95.085808964322496</v>
      </c>
      <c r="AM6606">
        <v>90.756911702295398</v>
      </c>
      <c r="AN6606">
        <v>1.0000000632213</v>
      </c>
    </row>
    <row r="6607" spans="1:40" x14ac:dyDescent="0.25">
      <c r="A6607" t="str">
        <f>"20190303154312964"</f>
        <v>20190303154312964</v>
      </c>
      <c r="B6607" t="str">
        <f>"1551598992956603"</f>
        <v>1551598992956603</v>
      </c>
      <c r="C6607" t="s">
        <v>40</v>
      </c>
      <c r="D6607">
        <v>5.8260249999999996</v>
      </c>
      <c r="E6607">
        <v>0.51372289999999998</v>
      </c>
      <c r="F6607" t="s">
        <v>41</v>
      </c>
      <c r="G6607">
        <v>-345.43759999999997</v>
      </c>
      <c r="H6607" s="1">
        <v>-2.4231609999999999E-6</v>
      </c>
      <c r="I6607">
        <v>16.89</v>
      </c>
      <c r="J6607">
        <v>-363.88760000000002</v>
      </c>
      <c r="K6607">
        <v>1.120754</v>
      </c>
      <c r="L6607">
        <v>17.04993</v>
      </c>
      <c r="M6607">
        <v>0.99981889999999995</v>
      </c>
      <c r="N6607">
        <v>-1.169688E-2</v>
      </c>
      <c r="O6607">
        <v>1.5018180000000001E-2</v>
      </c>
      <c r="P6607">
        <v>0.99454949999999998</v>
      </c>
      <c r="Q6607">
        <v>-0.1003294</v>
      </c>
      <c r="R6607">
        <v>2.8378830000000001E-2</v>
      </c>
      <c r="S6607">
        <v>2.998901</v>
      </c>
      <c r="T6607">
        <v>-0.1808408</v>
      </c>
      <c r="U6607">
        <v>-2.5451660000000001E-2</v>
      </c>
      <c r="V6607">
        <v>-1.342411E-2</v>
      </c>
      <c r="W6607">
        <v>-8.8687870000000002E-2</v>
      </c>
      <c r="X6607">
        <v>0.99596899999999999</v>
      </c>
      <c r="Y6607">
        <v>2.3435830000000001E-2</v>
      </c>
      <c r="Z6607">
        <v>-1.5724230000000001E-3</v>
      </c>
      <c r="AA6607">
        <v>0.9997241</v>
      </c>
      <c r="AB6607">
        <v>22</v>
      </c>
      <c r="AC6607">
        <v>18.45</v>
      </c>
      <c r="AD6607">
        <v>-1.1207564231610001</v>
      </c>
      <c r="AE6607">
        <v>-0.15992999999999899</v>
      </c>
      <c r="AF6607">
        <v>0.435409757859339</v>
      </c>
      <c r="AG6607">
        <v>-1.1207564231610001</v>
      </c>
      <c r="AH6607">
        <v>18.377707745326799</v>
      </c>
      <c r="AI6607">
        <v>93.488859191376406</v>
      </c>
      <c r="AJ6607">
        <v>88.642786380582805</v>
      </c>
      <c r="AK6607">
        <v>18.416998088449098</v>
      </c>
      <c r="AL6607">
        <v>95.088125726905702</v>
      </c>
      <c r="AM6607">
        <v>90.772211058136094</v>
      </c>
      <c r="AN6607">
        <v>0.99999999698771402</v>
      </c>
    </row>
    <row r="6608" spans="1:40" x14ac:dyDescent="0.25">
      <c r="A6608" t="str">
        <f>"20190303154312977"</f>
        <v>20190303154312977</v>
      </c>
      <c r="B6608" t="str">
        <f>"1551598992967338"</f>
        <v>1551598992967338</v>
      </c>
      <c r="C6608" t="s">
        <v>40</v>
      </c>
      <c r="D6608">
        <v>5.8189609999999998</v>
      </c>
      <c r="E6608">
        <v>0.51345629999999998</v>
      </c>
      <c r="F6608" t="s">
        <v>41</v>
      </c>
      <c r="G6608">
        <v>-345.26780000000002</v>
      </c>
      <c r="H6608" s="1">
        <v>-2.4924239999999999E-6</v>
      </c>
      <c r="I6608">
        <v>16.91019</v>
      </c>
      <c r="J6608">
        <v>-363.76569999999998</v>
      </c>
      <c r="K6608">
        <v>1.1207480000000001</v>
      </c>
      <c r="L6608">
        <v>17.051880000000001</v>
      </c>
      <c r="M6608">
        <v>0.99981889999999995</v>
      </c>
      <c r="N6608">
        <v>-1.160888E-2</v>
      </c>
      <c r="O6608">
        <v>1.50901E-2</v>
      </c>
      <c r="P6608">
        <v>0.99452810000000003</v>
      </c>
      <c r="Q6608">
        <v>-0.1005407</v>
      </c>
      <c r="R6608">
        <v>2.8388690000000001E-2</v>
      </c>
      <c r="S6608">
        <v>2.9988709999999998</v>
      </c>
      <c r="T6608">
        <v>-0.1805069</v>
      </c>
      <c r="U6608">
        <v>-2.2491460000000001E-2</v>
      </c>
      <c r="V6608">
        <v>-1.336296E-2</v>
      </c>
      <c r="W6608">
        <v>-8.89871E-2</v>
      </c>
      <c r="X6608">
        <v>0.99594309999999997</v>
      </c>
      <c r="Y6608">
        <v>2.2523169999999999E-2</v>
      </c>
      <c r="Z6608">
        <v>-1.5405060000000001E-3</v>
      </c>
      <c r="AA6608">
        <v>0.99974510000000005</v>
      </c>
      <c r="AB6608">
        <v>23</v>
      </c>
      <c r="AC6608">
        <v>18.497899999999898</v>
      </c>
      <c r="AD6608">
        <v>-1.1207504924239999</v>
      </c>
      <c r="AE6608">
        <v>-0.14169000000000001</v>
      </c>
      <c r="AF6608">
        <v>0.41928871480975799</v>
      </c>
      <c r="AG6608">
        <v>-1.1207504924239999</v>
      </c>
      <c r="AH6608">
        <v>18.4260190701307</v>
      </c>
      <c r="AI6608">
        <v>93.479791358698705</v>
      </c>
      <c r="AJ6608">
        <v>88.696445038468894</v>
      </c>
      <c r="AK6608">
        <v>18.4648331556355</v>
      </c>
      <c r="AL6608">
        <v>95.105338560643702</v>
      </c>
      <c r="AM6608">
        <v>90.768713864823198</v>
      </c>
      <c r="AN6608">
        <v>0.99999996555199</v>
      </c>
    </row>
    <row r="6609" spans="1:40" x14ac:dyDescent="0.25">
      <c r="A6609" t="str">
        <f>"20190303154312996"</f>
        <v>20190303154312996</v>
      </c>
      <c r="B6609" t="str">
        <f>"1551598992986858"</f>
        <v>1551598992986858</v>
      </c>
      <c r="C6609" t="s">
        <v>40</v>
      </c>
      <c r="D6609">
        <v>5.7923049999999998</v>
      </c>
      <c r="E6609">
        <v>0.51291220000000004</v>
      </c>
      <c r="F6609" t="s">
        <v>41</v>
      </c>
      <c r="G6609">
        <v>-345.21370000000002</v>
      </c>
      <c r="H6609" s="1">
        <v>-2.5127309999999999E-6</v>
      </c>
      <c r="I6609">
        <v>16.92643</v>
      </c>
      <c r="J6609">
        <v>-363.5702</v>
      </c>
      <c r="K6609">
        <v>1.120735</v>
      </c>
      <c r="L6609">
        <v>17.054960000000001</v>
      </c>
      <c r="M6609">
        <v>0.9998186</v>
      </c>
      <c r="N6609">
        <v>-1.148151E-2</v>
      </c>
      <c r="O6609">
        <v>1.5205460000000001E-2</v>
      </c>
      <c r="P6609">
        <v>0.99446259999999997</v>
      </c>
      <c r="Q6609">
        <v>-0.1012102</v>
      </c>
      <c r="R6609">
        <v>2.8304039999999999E-2</v>
      </c>
      <c r="S6609">
        <v>2.9987789999999999</v>
      </c>
      <c r="T6609">
        <v>-0.18116070000000001</v>
      </c>
      <c r="U6609">
        <v>-2.0263670000000001E-2</v>
      </c>
      <c r="V6609">
        <v>-1.316399E-2</v>
      </c>
      <c r="W6609">
        <v>-8.9784100000000006E-2</v>
      </c>
      <c r="X6609">
        <v>0.99587420000000004</v>
      </c>
      <c r="Y6609">
        <v>2.1896780000000001E-2</v>
      </c>
      <c r="Z6609">
        <v>-1.529908E-3</v>
      </c>
      <c r="AA6609">
        <v>0.99975910000000001</v>
      </c>
      <c r="AB6609">
        <v>23</v>
      </c>
      <c r="AC6609">
        <v>18.356499999999901</v>
      </c>
      <c r="AD6609">
        <v>-1.120737512731</v>
      </c>
      <c r="AE6609">
        <v>-0.128530000000001</v>
      </c>
      <c r="AF6609">
        <v>0.40613868362766398</v>
      </c>
      <c r="AG6609">
        <v>-1.120737512731</v>
      </c>
      <c r="AH6609">
        <v>18.2842701361362</v>
      </c>
      <c r="AI6609">
        <v>93.5067035623305</v>
      </c>
      <c r="AJ6609">
        <v>88.727528835788405</v>
      </c>
      <c r="AK6609">
        <v>18.323087502219298</v>
      </c>
      <c r="AL6609">
        <v>95.151186912829104</v>
      </c>
      <c r="AM6609">
        <v>90.757321701656807</v>
      </c>
      <c r="AN6609">
        <v>0.99999994873558296</v>
      </c>
    </row>
    <row r="6610" spans="1:40" x14ac:dyDescent="0.25">
      <c r="A6610" t="str">
        <f>"20190303154313018"</f>
        <v>20190303154313018</v>
      </c>
      <c r="B6610" t="str">
        <f>"1551598993007354"</f>
        <v>1551598993007354</v>
      </c>
      <c r="C6610" t="s">
        <v>40</v>
      </c>
      <c r="D6610">
        <v>5.8028510000000004</v>
      </c>
      <c r="E6610">
        <v>0.51242500000000002</v>
      </c>
      <c r="F6610" t="s">
        <v>41</v>
      </c>
      <c r="G6610">
        <v>-345.16739999999999</v>
      </c>
      <c r="H6610" s="1">
        <v>-2.5272929999999999E-6</v>
      </c>
      <c r="I6610">
        <v>16.95636</v>
      </c>
      <c r="J6610">
        <v>-363.34719999999999</v>
      </c>
      <c r="K6610">
        <v>1.120722</v>
      </c>
      <c r="L6610">
        <v>17.05847</v>
      </c>
      <c r="M6610">
        <v>0.99981799999999998</v>
      </c>
      <c r="N6610">
        <v>-1.135184E-2</v>
      </c>
      <c r="O6610">
        <v>1.5336310000000001E-2</v>
      </c>
      <c r="P6610">
        <v>0.99449620000000005</v>
      </c>
      <c r="Q6610">
        <v>-0.1009902</v>
      </c>
      <c r="R6610">
        <v>2.7905530000000001E-2</v>
      </c>
      <c r="S6610">
        <v>2.9985659999999998</v>
      </c>
      <c r="T6610">
        <v>-0.18261350000000001</v>
      </c>
      <c r="U6610">
        <v>-1.6052250000000001E-2</v>
      </c>
      <c r="V6610">
        <v>-1.2634609999999999E-2</v>
      </c>
      <c r="W6610">
        <v>-8.9692830000000001E-2</v>
      </c>
      <c r="X6610">
        <v>0.99588929999999998</v>
      </c>
      <c r="Y6610">
        <v>2.062553E-2</v>
      </c>
      <c r="Z6610">
        <v>-1.503791E-3</v>
      </c>
      <c r="AA6610">
        <v>0.99978610000000001</v>
      </c>
      <c r="AB6610">
        <v>23</v>
      </c>
      <c r="AC6610">
        <v>18.1798</v>
      </c>
      <c r="AD6610">
        <v>-1.120724527293</v>
      </c>
      <c r="AE6610">
        <v>-0.10210999999999899</v>
      </c>
      <c r="AF6610">
        <v>0.37948487382384699</v>
      </c>
      <c r="AG6610">
        <v>-1.120724527293</v>
      </c>
      <c r="AH6610">
        <v>18.1072843347496</v>
      </c>
      <c r="AI6610">
        <v>93.540947006551704</v>
      </c>
      <c r="AJ6610">
        <v>88.799394829633997</v>
      </c>
      <c r="AK6610">
        <v>18.145902518612999</v>
      </c>
      <c r="AL6610">
        <v>95.145936245862003</v>
      </c>
      <c r="AM6610">
        <v>90.726858892686806</v>
      </c>
      <c r="AN6610">
        <v>0.99999996748887499</v>
      </c>
    </row>
    <row r="6611" spans="1:40" x14ac:dyDescent="0.25">
      <c r="A6611" t="str">
        <f>"20190303154313039"</f>
        <v>20190303154313039</v>
      </c>
      <c r="B6611" t="str">
        <f>"1551598993026874"</f>
        <v>1551598993026874</v>
      </c>
      <c r="C6611" t="s">
        <v>40</v>
      </c>
      <c r="D6611">
        <v>5.8323289999999997</v>
      </c>
      <c r="E6611">
        <v>0.51194779999999995</v>
      </c>
      <c r="F6611" t="s">
        <v>41</v>
      </c>
      <c r="G6611">
        <v>-344.81549999999999</v>
      </c>
      <c r="H6611" s="1">
        <v>-2.6748970000000001E-6</v>
      </c>
      <c r="I6611">
        <v>16.9754</v>
      </c>
      <c r="J6611">
        <v>-363.13290000000001</v>
      </c>
      <c r="K6611">
        <v>1.1207149999999999</v>
      </c>
      <c r="L6611">
        <v>17.061920000000001</v>
      </c>
      <c r="M6611">
        <v>0.99981739999999997</v>
      </c>
      <c r="N6611">
        <v>-1.1240470000000001E-2</v>
      </c>
      <c r="O6611">
        <v>1.546146E-2</v>
      </c>
      <c r="P6611">
        <v>0.99450870000000002</v>
      </c>
      <c r="Q6611">
        <v>-0.1008549</v>
      </c>
      <c r="R6611">
        <v>2.79457E-2</v>
      </c>
      <c r="S6611">
        <v>2.9986269999999999</v>
      </c>
      <c r="T6611">
        <v>-0.18134500000000001</v>
      </c>
      <c r="U6611">
        <v>-1.3427730000000001E-2</v>
      </c>
      <c r="V6611">
        <v>-1.255011E-2</v>
      </c>
      <c r="W6611">
        <v>-8.9668310000000001E-2</v>
      </c>
      <c r="X6611">
        <v>0.99589260000000002</v>
      </c>
      <c r="Y6611">
        <v>1.9877849999999999E-2</v>
      </c>
      <c r="Z6611">
        <v>-1.472854E-3</v>
      </c>
      <c r="AA6611">
        <v>0.9998013</v>
      </c>
      <c r="AB6611">
        <v>23</v>
      </c>
      <c r="AC6611">
        <v>18.317399999999999</v>
      </c>
      <c r="AD6611">
        <v>-1.12071767489699</v>
      </c>
      <c r="AE6611">
        <v>-8.6520000000000097E-2</v>
      </c>
      <c r="AF6611">
        <v>0.36836237127936</v>
      </c>
      <c r="AG6611">
        <v>-1.12071767489699</v>
      </c>
      <c r="AH6611">
        <v>18.245573605949598</v>
      </c>
      <c r="AI6611">
        <v>93.514210465695797</v>
      </c>
      <c r="AJ6611">
        <v>88.843404827646694</v>
      </c>
      <c r="AK6611">
        <v>18.283671818142199</v>
      </c>
      <c r="AL6611">
        <v>95.144525548697004</v>
      </c>
      <c r="AM6611">
        <v>90.721995800203302</v>
      </c>
      <c r="AN6611">
        <v>0.99999999090701397</v>
      </c>
    </row>
    <row r="6612" spans="1:40" x14ac:dyDescent="0.25">
      <c r="A6612" t="str">
        <f>"20190303154313052"</f>
        <v>20190303154313052</v>
      </c>
      <c r="B6612" t="str">
        <f>"1551598993047371"</f>
        <v>1551598993047371</v>
      </c>
      <c r="C6612" t="s">
        <v>40</v>
      </c>
      <c r="D6612">
        <v>5.7924699999999998</v>
      </c>
      <c r="E6612">
        <v>0.51159189999999999</v>
      </c>
      <c r="F6612" t="s">
        <v>41</v>
      </c>
      <c r="G6612">
        <v>-344.74059999999997</v>
      </c>
      <c r="H6612" s="1">
        <v>-2.702003E-6</v>
      </c>
      <c r="I6612">
        <v>17.003609999999998</v>
      </c>
      <c r="J6612">
        <v>-363.00020000000001</v>
      </c>
      <c r="K6612">
        <v>1.120709</v>
      </c>
      <c r="L6612">
        <v>17.06409</v>
      </c>
      <c r="M6612">
        <v>0.99981690000000001</v>
      </c>
      <c r="N6612">
        <v>-1.117776E-2</v>
      </c>
      <c r="O6612">
        <v>1.5538700000000001E-2</v>
      </c>
      <c r="P6612">
        <v>0.99451800000000001</v>
      </c>
      <c r="Q6612">
        <v>-0.10076789999999999</v>
      </c>
      <c r="R6612">
        <v>2.7926719999999999E-2</v>
      </c>
      <c r="S6612">
        <v>2.998291</v>
      </c>
      <c r="T6612">
        <v>-0.18269840000000001</v>
      </c>
      <c r="U6612">
        <v>-9.4909669999999995E-3</v>
      </c>
      <c r="V6612">
        <v>-1.245421E-2</v>
      </c>
      <c r="W6612">
        <v>-8.9643669999999995E-2</v>
      </c>
      <c r="X6612">
        <v>0.995896</v>
      </c>
      <c r="Y6612">
        <v>1.8644500000000001E-2</v>
      </c>
      <c r="Z6612">
        <v>-1.4442050000000001E-3</v>
      </c>
      <c r="AA6612">
        <v>0.99982510000000002</v>
      </c>
      <c r="AB6612">
        <v>23</v>
      </c>
      <c r="AC6612">
        <v>18.259599999999999</v>
      </c>
      <c r="AD6612">
        <v>-1.120711702003</v>
      </c>
      <c r="AE6612">
        <v>-6.0479999999998299E-2</v>
      </c>
      <c r="AF6612">
        <v>0.34292900991589398</v>
      </c>
      <c r="AG6612">
        <v>-1.120711702003</v>
      </c>
      <c r="AH6612">
        <v>18.187940604812699</v>
      </c>
      <c r="AI6612">
        <v>93.525390901561806</v>
      </c>
      <c r="AJ6612">
        <v>88.919830588798305</v>
      </c>
      <c r="AK6612">
        <v>18.225662634566799</v>
      </c>
      <c r="AL6612">
        <v>95.143108185865003</v>
      </c>
      <c r="AM6612">
        <v>90.716476896640899</v>
      </c>
      <c r="AN6612">
        <v>0.99999996886689602</v>
      </c>
    </row>
    <row r="6613" spans="1:40" x14ac:dyDescent="0.25">
      <c r="A6613" t="str">
        <f>"20190303154313077"</f>
        <v>20190303154313077</v>
      </c>
      <c r="B6613" t="str">
        <f>"1551598993066891"</f>
        <v>1551598993066891</v>
      </c>
      <c r="C6613" t="s">
        <v>40</v>
      </c>
      <c r="D6613">
        <v>5.7966850000000001</v>
      </c>
      <c r="E6613">
        <v>0.51141550000000002</v>
      </c>
      <c r="F6613" t="s">
        <v>41</v>
      </c>
      <c r="G6613">
        <v>-344.59719999999999</v>
      </c>
      <c r="H6613" s="1">
        <v>-2.760137E-6</v>
      </c>
      <c r="I6613">
        <v>17.022790000000001</v>
      </c>
      <c r="J6613">
        <v>-362.7473</v>
      </c>
      <c r="K6613">
        <v>1.1207020000000001</v>
      </c>
      <c r="L6613">
        <v>17.068149999999999</v>
      </c>
      <c r="M6613">
        <v>0.99981580000000003</v>
      </c>
      <c r="N6613">
        <v>-1.107057E-2</v>
      </c>
      <c r="O6613">
        <v>1.5686160000000001E-2</v>
      </c>
      <c r="P6613">
        <v>0.99450059999999996</v>
      </c>
      <c r="Q6613">
        <v>-0.10081420000000001</v>
      </c>
      <c r="R6613">
        <v>2.8377059999999999E-2</v>
      </c>
      <c r="S6613">
        <v>2.998291</v>
      </c>
      <c r="T6613">
        <v>-0.18259040000000001</v>
      </c>
      <c r="U6613">
        <v>-6.7138669999999897E-3</v>
      </c>
      <c r="V6613">
        <v>-1.2757950000000001E-2</v>
      </c>
      <c r="W6613">
        <v>-8.9796890000000004E-2</v>
      </c>
      <c r="X6613">
        <v>0.99587840000000005</v>
      </c>
      <c r="Y6613">
        <v>1.786745E-2</v>
      </c>
      <c r="Z6613">
        <v>-1.42337E-3</v>
      </c>
      <c r="AA6613">
        <v>0.99983940000000004</v>
      </c>
      <c r="AB6613">
        <v>23</v>
      </c>
      <c r="AC6613">
        <v>18.150099999999998</v>
      </c>
      <c r="AD6613">
        <v>-1.1207047601369999</v>
      </c>
      <c r="AE6613">
        <v>-4.53599999999987E-2</v>
      </c>
      <c r="AF6613">
        <v>0.32882353002787201</v>
      </c>
      <c r="AG6613">
        <v>-1.1207047601369999</v>
      </c>
      <c r="AH6613">
        <v>18.0782299265916</v>
      </c>
      <c r="AI6613">
        <v>93.546752561392694</v>
      </c>
      <c r="AJ6613">
        <v>88.957966389072794</v>
      </c>
      <c r="AK6613">
        <v>18.115918451792801</v>
      </c>
      <c r="AL6613">
        <v>95.151922344469696</v>
      </c>
      <c r="AM6613">
        <v>90.733961802981497</v>
      </c>
      <c r="AN6613">
        <v>1.0000000171642101</v>
      </c>
    </row>
    <row r="6614" spans="1:40" x14ac:dyDescent="0.25">
      <c r="A6614" t="str">
        <f>"20190303154313094"</f>
        <v>20190303154313094</v>
      </c>
      <c r="B6614" t="str">
        <f>"1551598993086410"</f>
        <v>1551598993086410</v>
      </c>
      <c r="C6614" t="s">
        <v>40</v>
      </c>
      <c r="D6614">
        <v>5.8585279999999997</v>
      </c>
      <c r="E6614">
        <v>0.51098750000000004</v>
      </c>
      <c r="F6614" t="s">
        <v>41</v>
      </c>
      <c r="G6614">
        <v>-344.36040000000003</v>
      </c>
      <c r="H6614" s="1">
        <v>-2.8579880000000001E-6</v>
      </c>
      <c r="I6614">
        <v>17.04392</v>
      </c>
      <c r="J6614">
        <v>-362.5727</v>
      </c>
      <c r="K6614">
        <v>1.120706</v>
      </c>
      <c r="L6614">
        <v>17.07104</v>
      </c>
      <c r="M6614">
        <v>0.9998148</v>
      </c>
      <c r="N6614">
        <v>-1.1005920000000001E-2</v>
      </c>
      <c r="O6614">
        <v>1.5787900000000001E-2</v>
      </c>
      <c r="P6614">
        <v>0.99448389999999998</v>
      </c>
      <c r="Q6614">
        <v>-0.1008715</v>
      </c>
      <c r="R6614">
        <v>2.8750209999999998E-2</v>
      </c>
      <c r="S6614">
        <v>2.9981689999999999</v>
      </c>
      <c r="T6614">
        <v>-0.18274199999999999</v>
      </c>
      <c r="U6614">
        <v>-3.9367680000000002E-3</v>
      </c>
      <c r="V6614">
        <v>-1.302991E-2</v>
      </c>
      <c r="W6614">
        <v>-8.9918719999999994E-2</v>
      </c>
      <c r="X6614">
        <v>0.99586390000000002</v>
      </c>
      <c r="Y6614">
        <v>1.7044710000000001E-2</v>
      </c>
      <c r="Z6614">
        <v>-1.400601E-3</v>
      </c>
      <c r="AA6614">
        <v>0.99985369999999996</v>
      </c>
      <c r="AB6614">
        <v>23</v>
      </c>
      <c r="AC6614">
        <v>18.2122999999999</v>
      </c>
      <c r="AD6614">
        <v>-1.120708857988</v>
      </c>
      <c r="AE6614">
        <v>-2.7119999999999998E-2</v>
      </c>
      <c r="AF6614">
        <v>0.31348096113532398</v>
      </c>
      <c r="AG6614">
        <v>-1.120708857988</v>
      </c>
      <c r="AH6614">
        <v>18.140908357804101</v>
      </c>
      <c r="AI6614">
        <v>93.534599022762094</v>
      </c>
      <c r="AJ6614">
        <v>89.010008307993999</v>
      </c>
      <c r="AK6614">
        <v>18.178196134479698</v>
      </c>
      <c r="AL6614">
        <v>95.158930970333799</v>
      </c>
      <c r="AM6614">
        <v>90.749616743047298</v>
      </c>
      <c r="AN6614">
        <v>1.00000003104212</v>
      </c>
    </row>
    <row r="6615" spans="1:40" x14ac:dyDescent="0.25">
      <c r="A6615" t="str">
        <f>"20190303154313106"</f>
        <v>20190303154313106</v>
      </c>
      <c r="B6615" t="str">
        <f>"1551598993097146"</f>
        <v>1551598993097146</v>
      </c>
      <c r="C6615" t="s">
        <v>40</v>
      </c>
      <c r="D6615">
        <v>5.7272610000000004</v>
      </c>
      <c r="E6615">
        <v>0.51083009999999995</v>
      </c>
      <c r="F6615" t="s">
        <v>41</v>
      </c>
      <c r="G6615">
        <v>-344.39170000000001</v>
      </c>
      <c r="H6615" s="1">
        <v>-2.839151E-6</v>
      </c>
      <c r="I6615">
        <v>17.074289999999898</v>
      </c>
      <c r="J6615">
        <v>-362.44729999999998</v>
      </c>
      <c r="K6615">
        <v>1.120703</v>
      </c>
      <c r="L6615">
        <v>17.073090000000001</v>
      </c>
      <c r="M6615">
        <v>0.99981419999999999</v>
      </c>
      <c r="N6615">
        <v>-1.096447E-2</v>
      </c>
      <c r="O6615">
        <v>1.5860840000000001E-2</v>
      </c>
      <c r="P6615">
        <v>0.99446319999999999</v>
      </c>
      <c r="Q6615">
        <v>-0.10095800000000001</v>
      </c>
      <c r="R6615">
        <v>2.916289E-2</v>
      </c>
      <c r="S6615">
        <v>2.997925</v>
      </c>
      <c r="T6615">
        <v>-0.1847975</v>
      </c>
      <c r="U6615">
        <v>5.4931640000000002E-4</v>
      </c>
      <c r="V6615">
        <v>-1.3370709999999999E-2</v>
      </c>
      <c r="W6615">
        <v>-9.0046699999999993E-2</v>
      </c>
      <c r="X6615">
        <v>0.99584779999999995</v>
      </c>
      <c r="Y6615">
        <v>1.562331E-2</v>
      </c>
      <c r="Z6615">
        <v>-1.3697689999999901E-3</v>
      </c>
      <c r="AA6615">
        <v>0.99987700000000002</v>
      </c>
      <c r="AB6615">
        <v>23</v>
      </c>
      <c r="AC6615">
        <v>18.055599999999899</v>
      </c>
      <c r="AD6615">
        <v>-1.1207058391509901</v>
      </c>
      <c r="AE6615">
        <v>1.1999999999972001E-3</v>
      </c>
      <c r="AF6615">
        <v>0.28409978105572198</v>
      </c>
      <c r="AG6615">
        <v>-1.1207058391509901</v>
      </c>
      <c r="AH6615">
        <v>17.984061257514501</v>
      </c>
      <c r="AI6615">
        <v>93.565424299843897</v>
      </c>
      <c r="AJ6615">
        <v>89.094956121267501</v>
      </c>
      <c r="AK6615">
        <v>18.021186242241001</v>
      </c>
      <c r="AL6615">
        <v>95.166293648041901</v>
      </c>
      <c r="AM6615">
        <v>90.769233233288602</v>
      </c>
      <c r="AN6615">
        <v>1.0000000124158099</v>
      </c>
    </row>
    <row r="6616" spans="1:40" x14ac:dyDescent="0.25">
      <c r="A6616" t="str">
        <f>"20190303154313120"</f>
        <v>20190303154313120</v>
      </c>
      <c r="B6616" t="str">
        <f>"1551598993116667"</f>
        <v>1551598993116667</v>
      </c>
      <c r="C6616" t="s">
        <v>40</v>
      </c>
      <c r="D6616">
        <v>5.7232890000000003</v>
      </c>
      <c r="E6616">
        <v>0.51057059999999999</v>
      </c>
      <c r="F6616" t="s">
        <v>41</v>
      </c>
      <c r="G6616">
        <v>-344.3186</v>
      </c>
      <c r="H6616" s="1">
        <v>-2.8674529999999998E-6</v>
      </c>
      <c r="I6616">
        <v>17.091460000000001</v>
      </c>
      <c r="J6616">
        <v>-362.31729999999999</v>
      </c>
      <c r="K6616">
        <v>1.1207049999999901</v>
      </c>
      <c r="L6616">
        <v>17.075229999999902</v>
      </c>
      <c r="M6616">
        <v>0.99981330000000002</v>
      </c>
      <c r="N6616">
        <v>-1.0923570000000001E-2</v>
      </c>
      <c r="O6616">
        <v>1.593671E-2</v>
      </c>
      <c r="P6616">
        <v>0.99442600000000003</v>
      </c>
      <c r="Q6616">
        <v>-0.1012902</v>
      </c>
      <c r="R6616">
        <v>2.9280710000000001E-2</v>
      </c>
      <c r="S6616">
        <v>2.997833</v>
      </c>
      <c r="T6616">
        <v>-0.18532419999999999</v>
      </c>
      <c r="U6616">
        <v>3.0517579999999999E-3</v>
      </c>
      <c r="V6616">
        <v>-1.341299E-2</v>
      </c>
      <c r="W6616">
        <v>-9.0419990000000006E-2</v>
      </c>
      <c r="X6616">
        <v>0.99581339999999996</v>
      </c>
      <c r="Y6616">
        <v>1.486577E-2</v>
      </c>
      <c r="Z6616">
        <v>-1.3506099999999999E-3</v>
      </c>
      <c r="AA6616">
        <v>0.99988860000000002</v>
      </c>
      <c r="AB6616">
        <v>23</v>
      </c>
      <c r="AC6616">
        <v>17.9986999999999</v>
      </c>
      <c r="AD6616">
        <v>-1.12070786745299</v>
      </c>
      <c r="AE6616">
        <v>1.62300000000037E-2</v>
      </c>
      <c r="AF6616">
        <v>0.26958405481943698</v>
      </c>
      <c r="AG6616">
        <v>-1.12070786745299</v>
      </c>
      <c r="AH6616">
        <v>17.927167950590999</v>
      </c>
      <c r="AI6616">
        <v>93.576758357028993</v>
      </c>
      <c r="AJ6616">
        <v>89.138466015536196</v>
      </c>
      <c r="AK6616">
        <v>17.964186940005899</v>
      </c>
      <c r="AL6616">
        <v>95.187769232932297</v>
      </c>
      <c r="AM6616">
        <v>90.771692013187007</v>
      </c>
      <c r="AN6616">
        <v>1.0000000052559499</v>
      </c>
    </row>
    <row r="6617" spans="1:40" x14ac:dyDescent="0.25">
      <c r="A6617" t="str">
        <f>"20190303154313132"</f>
        <v>20190303154313132</v>
      </c>
      <c r="B6617" t="str">
        <f>"1551598993127403"</f>
        <v>1551598993127403</v>
      </c>
      <c r="C6617" t="s">
        <v>40</v>
      </c>
      <c r="D6617">
        <v>5.7798910000000001</v>
      </c>
      <c r="E6617">
        <v>0.51036229999999905</v>
      </c>
      <c r="F6617" t="s">
        <v>41</v>
      </c>
      <c r="G6617">
        <v>-344.36660000000001</v>
      </c>
      <c r="H6617" s="1">
        <v>-2.843914E-6</v>
      </c>
      <c r="I6617">
        <v>17.108039999999999</v>
      </c>
      <c r="J6617">
        <v>-362.18599999999998</v>
      </c>
      <c r="K6617">
        <v>1.1207039999999999</v>
      </c>
      <c r="L6617">
        <v>17.07742</v>
      </c>
      <c r="M6617">
        <v>0.99981260000000005</v>
      </c>
      <c r="N6617">
        <v>-1.088576E-2</v>
      </c>
      <c r="O6617">
        <v>1.601315E-2</v>
      </c>
      <c r="P6617">
        <v>0.9943978</v>
      </c>
      <c r="Q6617">
        <v>-0.10152369999999999</v>
      </c>
      <c r="R6617">
        <v>2.9430390000000001E-2</v>
      </c>
      <c r="S6617">
        <v>2.9975890000000001</v>
      </c>
      <c r="T6617">
        <v>-0.18714710000000001</v>
      </c>
      <c r="U6617">
        <v>5.493164E-3</v>
      </c>
      <c r="V6617">
        <v>-1.3487209999999999E-2</v>
      </c>
      <c r="W6617">
        <v>-9.0691369999999993E-2</v>
      </c>
      <c r="X6617">
        <v>0.99578770000000005</v>
      </c>
      <c r="Y6617">
        <v>1.412821E-2</v>
      </c>
      <c r="Z6617">
        <v>-1.3421360000000001E-3</v>
      </c>
      <c r="AA6617">
        <v>0.99989930000000005</v>
      </c>
      <c r="AB6617">
        <v>23</v>
      </c>
      <c r="AC6617">
        <v>17.819399999999899</v>
      </c>
      <c r="AD6617">
        <v>-1.120706843914</v>
      </c>
      <c r="AE6617">
        <v>3.0619999999998902E-2</v>
      </c>
      <c r="AF6617">
        <v>0.25374187259693498</v>
      </c>
      <c r="AG6617">
        <v>-1.120706843914</v>
      </c>
      <c r="AH6617">
        <v>17.747406207635901</v>
      </c>
      <c r="AI6617">
        <v>93.612927343085303</v>
      </c>
      <c r="AJ6617">
        <v>89.180874787288005</v>
      </c>
      <c r="AK6617">
        <v>17.784566226555501</v>
      </c>
      <c r="AL6617">
        <v>95.203382407653606</v>
      </c>
      <c r="AM6617">
        <v>90.775981629498901</v>
      </c>
      <c r="AN6617">
        <v>0.99999998644867505</v>
      </c>
    </row>
    <row r="6618" spans="1:40" x14ac:dyDescent="0.25">
      <c r="A6618" t="str">
        <f>"20190303154313150"</f>
        <v>20190303154313150</v>
      </c>
      <c r="B6618" t="str">
        <f>"1551598993146922"</f>
        <v>1551598993146922</v>
      </c>
      <c r="C6618" t="s">
        <v>40</v>
      </c>
      <c r="D6618">
        <v>5.7505610000000003</v>
      </c>
      <c r="E6618">
        <v>0.4922974</v>
      </c>
      <c r="F6618" t="s">
        <v>41</v>
      </c>
      <c r="G6618">
        <v>-344.28730000000002</v>
      </c>
      <c r="H6618" s="1">
        <v>-2.8753939999999999E-6</v>
      </c>
      <c r="I6618">
        <v>17.122529999999902</v>
      </c>
      <c r="J6618">
        <v>-362.00510000000003</v>
      </c>
      <c r="K6618">
        <v>1.120698</v>
      </c>
      <c r="L6618">
        <v>17.080439999999999</v>
      </c>
      <c r="M6618">
        <v>0.99981149999999996</v>
      </c>
      <c r="N6618">
        <v>-1.0839120000000001E-2</v>
      </c>
      <c r="O6618">
        <v>1.6118420000000001E-2</v>
      </c>
      <c r="P6618">
        <v>0.99443729999999997</v>
      </c>
      <c r="Q6618">
        <v>-0.1011934</v>
      </c>
      <c r="R6618">
        <v>2.923854E-2</v>
      </c>
      <c r="S6618">
        <v>2.997528</v>
      </c>
      <c r="T6618">
        <v>-0.18768599999999999</v>
      </c>
      <c r="U6618">
        <v>7.5683590000000002E-3</v>
      </c>
      <c r="V6618">
        <v>-1.319031E-2</v>
      </c>
      <c r="W6618">
        <v>-9.0407080000000001E-2</v>
      </c>
      <c r="X6618">
        <v>0.99581750000000002</v>
      </c>
      <c r="Y6618">
        <v>1.354209E-2</v>
      </c>
      <c r="Z6618">
        <v>-1.3306479999999901E-3</v>
      </c>
      <c r="AA6618">
        <v>0.9999074</v>
      </c>
      <c r="AB6618">
        <v>23</v>
      </c>
      <c r="AC6618">
        <v>17.7178</v>
      </c>
      <c r="AD6618">
        <v>-1.120700875394</v>
      </c>
      <c r="AE6618">
        <v>4.2089999999998101E-2</v>
      </c>
      <c r="AF6618">
        <v>0.24254474493240499</v>
      </c>
      <c r="AG6618">
        <v>-1.120700875394</v>
      </c>
      <c r="AH6618">
        <v>17.645578328813201</v>
      </c>
      <c r="AI6618">
        <v>93.633729617997105</v>
      </c>
      <c r="AJ6618">
        <v>89.212498742051494</v>
      </c>
      <c r="AK6618">
        <v>17.6827948289767</v>
      </c>
      <c r="AL6618">
        <v>95.187026743801297</v>
      </c>
      <c r="AM6618">
        <v>90.758878910731994</v>
      </c>
      <c r="AN6618">
        <v>0.99999995884913495</v>
      </c>
    </row>
    <row r="6619" spans="1:40" x14ac:dyDescent="0.25">
      <c r="A6619" t="str">
        <f>"20190303154313163"</f>
        <v>20190303154313163</v>
      </c>
      <c r="B6619" t="str">
        <f>"1551598993156682"</f>
        <v>1551598993156682</v>
      </c>
      <c r="C6619" t="s">
        <v>40</v>
      </c>
      <c r="D6619">
        <v>5.7412749999999999</v>
      </c>
      <c r="E6619">
        <v>0.49190780000000001</v>
      </c>
      <c r="F6619" t="s">
        <v>41</v>
      </c>
      <c r="G6619">
        <v>-336.35039999999998</v>
      </c>
      <c r="H6619" s="1">
        <v>-1.767145E-6</v>
      </c>
      <c r="I6619">
        <v>18.380739999999999</v>
      </c>
      <c r="J6619">
        <v>-361.87939999999998</v>
      </c>
      <c r="K6619">
        <v>1.1206959999999999</v>
      </c>
      <c r="L6619">
        <v>17.08258</v>
      </c>
      <c r="M6619">
        <v>0.99981059999999999</v>
      </c>
      <c r="N6619">
        <v>-1.080973E-2</v>
      </c>
      <c r="O6619">
        <v>1.6191830000000001E-2</v>
      </c>
      <c r="P6619">
        <v>0.99444639999999995</v>
      </c>
      <c r="Q6619">
        <v>-0.101114</v>
      </c>
      <c r="R6619">
        <v>2.9199949999999999E-2</v>
      </c>
      <c r="S6619">
        <v>2.9989319999999999</v>
      </c>
      <c r="T6619">
        <v>-0.13100519999999999</v>
      </c>
      <c r="U6619">
        <v>0.15200810000000001</v>
      </c>
      <c r="V6619">
        <v>-1.3078299999999999E-2</v>
      </c>
      <c r="W6619">
        <v>-9.0356889999999995E-2</v>
      </c>
      <c r="X6619">
        <v>0.99582360000000003</v>
      </c>
      <c r="Y6619">
        <v>-3.4411619999999997E-2</v>
      </c>
      <c r="Z6619">
        <v>4.0544939999999997E-4</v>
      </c>
      <c r="AA6619">
        <v>0.99940759999999995</v>
      </c>
      <c r="AB6619">
        <v>23</v>
      </c>
      <c r="AC6619">
        <v>25.529</v>
      </c>
      <c r="AD6619">
        <v>-1.120697767145</v>
      </c>
      <c r="AE6619">
        <v>1.29815999999999</v>
      </c>
      <c r="AF6619">
        <v>-0.88290738663542601</v>
      </c>
      <c r="AG6619">
        <v>-1.120697767145</v>
      </c>
      <c r="AH6619">
        <v>25.497663263625999</v>
      </c>
      <c r="AI6619">
        <v>92.515193780430707</v>
      </c>
      <c r="AJ6619">
        <v>91.983188129780999</v>
      </c>
      <c r="AK6619">
        <v>25.537547275412301</v>
      </c>
      <c r="AL6619">
        <v>95.184138901896304</v>
      </c>
      <c r="AM6619">
        <v>90.752430768061302</v>
      </c>
      <c r="AN6619">
        <v>1.0000000259091599</v>
      </c>
    </row>
    <row r="6620" spans="1:40" x14ac:dyDescent="0.25">
      <c r="A6620" t="str">
        <f>"20190303154313177"</f>
        <v>20190303154313177</v>
      </c>
      <c r="B6620" t="str">
        <f>"1551598993166443"</f>
        <v>1551598993166443</v>
      </c>
      <c r="C6620" t="s">
        <v>40</v>
      </c>
      <c r="D6620">
        <v>5.760713</v>
      </c>
      <c r="E6620">
        <v>0.49206490000000003</v>
      </c>
      <c r="F6620" t="s">
        <v>41</v>
      </c>
      <c r="G6620">
        <v>-333.97230000000002</v>
      </c>
      <c r="H6620" s="1">
        <v>-2.761478E-6</v>
      </c>
      <c r="I6620">
        <v>18.52666</v>
      </c>
      <c r="J6620">
        <v>-361.73919999999998</v>
      </c>
      <c r="K6620">
        <v>1.1206940000000001</v>
      </c>
      <c r="L6620">
        <v>17.08493</v>
      </c>
      <c r="M6620">
        <v>0.99980959999999997</v>
      </c>
      <c r="N6620">
        <v>-1.077907E-2</v>
      </c>
      <c r="O6620">
        <v>1.6273599999999999E-2</v>
      </c>
      <c r="P6620">
        <v>0.9945058</v>
      </c>
      <c r="Q6620">
        <v>-0.1005438</v>
      </c>
      <c r="R6620">
        <v>2.9150780000000001E-2</v>
      </c>
      <c r="S6620">
        <v>2.9999389999999999</v>
      </c>
      <c r="T6620">
        <v>-0.1204718</v>
      </c>
      <c r="U6620">
        <v>0.15524289999999999</v>
      </c>
      <c r="V6620">
        <v>-1.2946930000000001E-2</v>
      </c>
      <c r="W6620">
        <v>-8.9816610000000005E-2</v>
      </c>
      <c r="X6620">
        <v>0.99587420000000004</v>
      </c>
      <c r="Y6620">
        <v>-3.53908E-2</v>
      </c>
      <c r="Z6620">
        <v>4.233711E-4</v>
      </c>
      <c r="AA6620">
        <v>0.99937339999999997</v>
      </c>
      <c r="AB6620">
        <v>23</v>
      </c>
      <c r="AC6620">
        <v>27.7668999999999</v>
      </c>
      <c r="AD6620">
        <v>-1.1206967614779999</v>
      </c>
      <c r="AE6620">
        <v>1.44172999999999</v>
      </c>
      <c r="AF6620">
        <v>-0.98804024769590104</v>
      </c>
      <c r="AG6620">
        <v>-1.1206967614779999</v>
      </c>
      <c r="AH6620">
        <v>27.741616448235501</v>
      </c>
      <c r="AI6620">
        <v>92.311894045009197</v>
      </c>
      <c r="AJ6620">
        <v>92.039773634957299</v>
      </c>
      <c r="AK6620">
        <v>27.781819017538499</v>
      </c>
      <c r="AL6620">
        <v>95.1530567126444</v>
      </c>
      <c r="AM6620">
        <v>90.744835702061195</v>
      </c>
      <c r="AN6620">
        <v>1.0000000343269699</v>
      </c>
    </row>
    <row r="6621" spans="1:40" x14ac:dyDescent="0.25">
      <c r="A6621" t="str">
        <f>"20190303154313198"</f>
        <v>20190303154313198</v>
      </c>
      <c r="B6621" t="str">
        <f>"1551598993186938"</f>
        <v>1551598993186938</v>
      </c>
      <c r="C6621" t="s">
        <v>40</v>
      </c>
      <c r="D6621">
        <v>5.7226839999999903</v>
      </c>
      <c r="E6621">
        <v>0.49161919999999998</v>
      </c>
      <c r="F6621" t="s">
        <v>41</v>
      </c>
      <c r="G6621">
        <v>-332.6583</v>
      </c>
      <c r="H6621" s="1">
        <v>-3.3161950000000002E-6</v>
      </c>
      <c r="I6621">
        <v>18.57713</v>
      </c>
      <c r="J6621">
        <v>-361.53050000000002</v>
      </c>
      <c r="K6621">
        <v>1.1206910000000001</v>
      </c>
      <c r="L6621">
        <v>17.088470000000001</v>
      </c>
      <c r="M6621">
        <v>0.99980789999999997</v>
      </c>
      <c r="N6621">
        <v>-1.073913E-2</v>
      </c>
      <c r="O6621">
        <v>1.639552E-2</v>
      </c>
      <c r="P6621">
        <v>0.99456659999999997</v>
      </c>
      <c r="Q6621">
        <v>-9.9958089999999999E-2</v>
      </c>
      <c r="R6621">
        <v>2.9081449999999998E-2</v>
      </c>
      <c r="S6621">
        <v>3.0003359999999999</v>
      </c>
      <c r="T6621">
        <v>-0.11562450000000001</v>
      </c>
      <c r="U6621">
        <v>0.15396119999999999</v>
      </c>
      <c r="V6621">
        <v>-1.2755239999999999E-2</v>
      </c>
      <c r="W6621">
        <v>-8.9269979999999999E-2</v>
      </c>
      <c r="X6621">
        <v>0.99592579999999997</v>
      </c>
      <c r="Y6621">
        <v>-3.4838729999999998E-2</v>
      </c>
      <c r="Z6621">
        <v>4.0272920000000001E-4</v>
      </c>
      <c r="AA6621">
        <v>0.99939290000000003</v>
      </c>
      <c r="AB6621">
        <v>23</v>
      </c>
      <c r="AC6621">
        <v>28.872199999999999</v>
      </c>
      <c r="AD6621">
        <v>-1.12069431619499</v>
      </c>
      <c r="AE6621">
        <v>1.4886599999999901</v>
      </c>
      <c r="AF6621">
        <v>-1.0135348398491499</v>
      </c>
      <c r="AG6621">
        <v>-1.12069431619499</v>
      </c>
      <c r="AH6621">
        <v>28.849376554356599</v>
      </c>
      <c r="AI6621">
        <v>92.2232457728377</v>
      </c>
      <c r="AJ6621">
        <v>92.012084896115994</v>
      </c>
      <c r="AK6621">
        <v>28.888920647836599</v>
      </c>
      <c r="AL6621">
        <v>95.121610914125597</v>
      </c>
      <c r="AM6621">
        <v>90.733770993509594</v>
      </c>
      <c r="AN6621">
        <v>1.0000000122911401</v>
      </c>
    </row>
    <row r="6622" spans="1:40" x14ac:dyDescent="0.25">
      <c r="A6622" t="str">
        <f>"20190303154313220"</f>
        <v>20190303154313220</v>
      </c>
      <c r="B6622" t="str">
        <f>"1551598993216725"</f>
        <v>1551598993216725</v>
      </c>
      <c r="C6622" t="s">
        <v>40</v>
      </c>
      <c r="D6622">
        <v>5.7213469999999997</v>
      </c>
      <c r="E6622">
        <v>0.49156109999999997</v>
      </c>
      <c r="F6622" t="s">
        <v>41</v>
      </c>
      <c r="G6622">
        <v>-332.58260000000001</v>
      </c>
      <c r="H6622" s="1">
        <v>-3.343354E-6</v>
      </c>
      <c r="I6622">
        <v>18.607209999999998</v>
      </c>
      <c r="J6622">
        <v>-361.29790000000003</v>
      </c>
      <c r="K6622">
        <v>1.120698</v>
      </c>
      <c r="L6622">
        <v>17.09244</v>
      </c>
      <c r="M6622">
        <v>0.99980610000000003</v>
      </c>
      <c r="N6622">
        <v>-1.0700909999999999E-2</v>
      </c>
      <c r="O6622">
        <v>1.653133E-2</v>
      </c>
      <c r="P6622">
        <v>0.99465239999999999</v>
      </c>
      <c r="Q6622">
        <v>-9.9138069999999995E-2</v>
      </c>
      <c r="R6622">
        <v>2.8955169999999999E-2</v>
      </c>
      <c r="S6622">
        <v>3.0001530000000001</v>
      </c>
      <c r="T6622">
        <v>-0.11614819999999999</v>
      </c>
      <c r="U6622">
        <v>0.15740970000000001</v>
      </c>
      <c r="V6622">
        <v>-1.2493020000000001E-2</v>
      </c>
      <c r="W6622">
        <v>-8.8487129999999997E-2</v>
      </c>
      <c r="X6622">
        <v>0.99599899999999997</v>
      </c>
      <c r="Y6622">
        <v>-3.5850680000000003E-2</v>
      </c>
      <c r="Z6622">
        <v>4.2280939999999998E-4</v>
      </c>
      <c r="AA6622">
        <v>0.99935700000000005</v>
      </c>
      <c r="AB6622">
        <v>23</v>
      </c>
      <c r="AC6622">
        <v>28.715299999999999</v>
      </c>
      <c r="AD6622">
        <v>-1.1207013433540001</v>
      </c>
      <c r="AE6622">
        <v>1.5147699999999999</v>
      </c>
      <c r="AF6622">
        <v>-1.03825663631878</v>
      </c>
      <c r="AG6622">
        <v>-1.1207013433540001</v>
      </c>
      <c r="AH6622">
        <v>28.692834891986301</v>
      </c>
      <c r="AI6622">
        <v>92.235293269752901</v>
      </c>
      <c r="AJ6622">
        <v>92.0723563946908</v>
      </c>
      <c r="AK6622">
        <v>28.7334773823608</v>
      </c>
      <c r="AL6622">
        <v>95.076578616905707</v>
      </c>
      <c r="AM6622">
        <v>90.718635042445797</v>
      </c>
      <c r="AN6622">
        <v>1.0000000278626699</v>
      </c>
    </row>
    <row r="6623" spans="1:40" x14ac:dyDescent="0.25">
      <c r="A6623" t="str">
        <f>"20190303154313240"</f>
        <v>20190303154313240</v>
      </c>
      <c r="B6623" t="str">
        <f>"1551598993237221"</f>
        <v>1551598993237221</v>
      </c>
      <c r="C6623" t="s">
        <v>40</v>
      </c>
      <c r="D6623">
        <v>5.8184990000000001</v>
      </c>
      <c r="E6623">
        <v>0.4910368</v>
      </c>
      <c r="F6623" t="s">
        <v>41</v>
      </c>
      <c r="G6623">
        <v>-331.35840000000002</v>
      </c>
      <c r="H6623" s="1">
        <v>-3.8581070000000004E-6</v>
      </c>
      <c r="I6623">
        <v>18.66583</v>
      </c>
      <c r="J6623">
        <v>-361.0933</v>
      </c>
      <c r="K6623">
        <v>1.1206969999999901</v>
      </c>
      <c r="L6623">
        <v>17.095949999999998</v>
      </c>
      <c r="M6623">
        <v>0.99980460000000004</v>
      </c>
      <c r="N6623">
        <v>-1.067191E-2</v>
      </c>
      <c r="O6623">
        <v>1.665051E-2</v>
      </c>
      <c r="P6623">
        <v>0.99472830000000001</v>
      </c>
      <c r="Q6623">
        <v>-9.8270789999999997E-2</v>
      </c>
      <c r="R6623">
        <v>2.9308830000000001E-2</v>
      </c>
      <c r="S6623">
        <v>3.0003660000000001</v>
      </c>
      <c r="T6623">
        <v>-0.1123103</v>
      </c>
      <c r="U6623">
        <v>0.157684299999999</v>
      </c>
      <c r="V6623">
        <v>-1.272621E-2</v>
      </c>
      <c r="W6623">
        <v>-8.7647939999999994E-2</v>
      </c>
      <c r="X6623">
        <v>0.99607020000000002</v>
      </c>
      <c r="Y6623">
        <v>-3.5820579999999998E-2</v>
      </c>
      <c r="Z6623">
        <v>4.1611360000000001E-4</v>
      </c>
      <c r="AA6623">
        <v>0.99935819999999997</v>
      </c>
      <c r="AB6623">
        <v>23</v>
      </c>
      <c r="AC6623">
        <v>29.7348999999999</v>
      </c>
      <c r="AD6623">
        <v>-1.1207008581069999</v>
      </c>
      <c r="AE6623">
        <v>1.5698799999999999</v>
      </c>
      <c r="AF6623">
        <v>-1.07301299274311</v>
      </c>
      <c r="AG6623">
        <v>-1.1207008581069999</v>
      </c>
      <c r="AH6623">
        <v>29.7148251039097</v>
      </c>
      <c r="AI6623">
        <v>92.158493115487502</v>
      </c>
      <c r="AJ6623">
        <v>92.068072568405398</v>
      </c>
      <c r="AK6623">
        <v>29.755304707764299</v>
      </c>
      <c r="AL6623">
        <v>95.028309258795105</v>
      </c>
      <c r="AM6623">
        <v>90.731995045045807</v>
      </c>
      <c r="AN6623">
        <v>0.99999998056762296</v>
      </c>
    </row>
    <row r="6624" spans="1:40" x14ac:dyDescent="0.25">
      <c r="A6624" t="str">
        <f>"20190303154313252"</f>
        <v>20190303154313252</v>
      </c>
      <c r="B6624" t="str">
        <f>"1551598993246982"</f>
        <v>1551598993246982</v>
      </c>
      <c r="C6624" t="s">
        <v>40</v>
      </c>
      <c r="D6624">
        <v>5.6191230000000001</v>
      </c>
      <c r="E6624">
        <v>0.49075619999999998</v>
      </c>
      <c r="F6624" t="s">
        <v>41</v>
      </c>
      <c r="G6624">
        <v>-330.44830000000002</v>
      </c>
      <c r="H6624" s="1">
        <v>-4.231719E-6</v>
      </c>
      <c r="I6624">
        <v>18.760719999999999</v>
      </c>
      <c r="J6624">
        <v>-360.95749999999998</v>
      </c>
      <c r="K6624">
        <v>1.120698</v>
      </c>
      <c r="L6624">
        <v>17.098329999999901</v>
      </c>
      <c r="M6624">
        <v>0.99980329999999995</v>
      </c>
      <c r="N6624">
        <v>-1.0654530000000001E-2</v>
      </c>
      <c r="O6624">
        <v>1.6729819999999999E-2</v>
      </c>
      <c r="P6624">
        <v>0.99474479999999998</v>
      </c>
      <c r="Q6624">
        <v>-9.8077479999999995E-2</v>
      </c>
      <c r="R6624">
        <v>2.939027E-2</v>
      </c>
      <c r="S6624">
        <v>3.0002439999999999</v>
      </c>
      <c r="T6624">
        <v>-0.1097202</v>
      </c>
      <c r="U6624">
        <v>0.16299439999999901</v>
      </c>
      <c r="V6624">
        <v>-1.272878E-2</v>
      </c>
      <c r="W6624">
        <v>-8.7471779999999999E-2</v>
      </c>
      <c r="X6624">
        <v>0.99608560000000002</v>
      </c>
      <c r="Y6624">
        <v>-3.7506619999999997E-2</v>
      </c>
      <c r="Z6624">
        <v>4.5216439999999999E-4</v>
      </c>
      <c r="AA6624">
        <v>0.99929619999999997</v>
      </c>
      <c r="AB6624">
        <v>23</v>
      </c>
      <c r="AC6624">
        <v>30.5091999999999</v>
      </c>
      <c r="AD6624">
        <v>-1.1207022317190001</v>
      </c>
      <c r="AE6624">
        <v>1.66239</v>
      </c>
      <c r="AF6624">
        <v>-1.15016756660325</v>
      </c>
      <c r="AG6624">
        <v>-1.1207022317190001</v>
      </c>
      <c r="AH6624">
        <v>30.491721053174899</v>
      </c>
      <c r="AI6624">
        <v>92.103424922574803</v>
      </c>
      <c r="AJ6624">
        <v>92.160209938393194</v>
      </c>
      <c r="AK6624">
        <v>30.533979624478601</v>
      </c>
      <c r="AL6624">
        <v>95.018177381949002</v>
      </c>
      <c r="AM6624">
        <v>90.732131533937206</v>
      </c>
      <c r="AN6624">
        <v>0.99999992833200502</v>
      </c>
    </row>
    <row r="6625" spans="1:40" x14ac:dyDescent="0.25">
      <c r="A6625" t="str">
        <f>"20190303154313266"</f>
        <v>20190303154313266</v>
      </c>
      <c r="B6625" t="str">
        <f>"1551598993256742"</f>
        <v>1551598993256742</v>
      </c>
      <c r="C6625" t="s">
        <v>40</v>
      </c>
      <c r="D6625">
        <v>5.7163360000000001</v>
      </c>
      <c r="E6625">
        <v>0.49076259999999999</v>
      </c>
      <c r="F6625" t="s">
        <v>41</v>
      </c>
      <c r="G6625">
        <v>-331.44130000000001</v>
      </c>
      <c r="H6625" s="1">
        <v>-3.8119919999999999E-6</v>
      </c>
      <c r="I6625">
        <v>18.725470000000001</v>
      </c>
      <c r="J6625">
        <v>-360.82589999999999</v>
      </c>
      <c r="K6625">
        <v>1.120698</v>
      </c>
      <c r="L6625">
        <v>17.100619999999999</v>
      </c>
      <c r="M6625">
        <v>0.99980219999999997</v>
      </c>
      <c r="N6625">
        <v>-1.0639350000000001E-2</v>
      </c>
      <c r="O6625">
        <v>1.680649E-2</v>
      </c>
      <c r="P6625">
        <v>0.99478829999999996</v>
      </c>
      <c r="Q6625">
        <v>-9.7510399999999997E-2</v>
      </c>
      <c r="R6625">
        <v>2.9798560000000002E-2</v>
      </c>
      <c r="S6625">
        <v>2.9997250000000002</v>
      </c>
      <c r="T6625">
        <v>-0.1138965</v>
      </c>
      <c r="U6625">
        <v>0.16537479999999999</v>
      </c>
      <c r="V6625">
        <v>-1.305952E-2</v>
      </c>
      <c r="W6625">
        <v>-8.6919360000000001E-2</v>
      </c>
      <c r="X6625">
        <v>0.99612979999999995</v>
      </c>
      <c r="Y6625">
        <v>-3.822772E-2</v>
      </c>
      <c r="Z6625">
        <v>4.6987949999999999E-4</v>
      </c>
      <c r="AA6625">
        <v>0.99926890000000002</v>
      </c>
      <c r="AB6625">
        <v>23</v>
      </c>
      <c r="AC6625">
        <v>29.384599999999899</v>
      </c>
      <c r="AD6625">
        <v>-1.120701811992</v>
      </c>
      <c r="AE6625">
        <v>1.6248499999999899</v>
      </c>
      <c r="AF6625">
        <v>-1.12910318973213</v>
      </c>
      <c r="AG6625">
        <v>-1.120701811992</v>
      </c>
      <c r="AH6625">
        <v>29.365174766868201</v>
      </c>
      <c r="AI6625">
        <v>92.183981259626407</v>
      </c>
      <c r="AJ6625">
        <v>92.201961840562802</v>
      </c>
      <c r="AK6625">
        <v>29.408235847346798</v>
      </c>
      <c r="AL6625">
        <v>94.986404410752797</v>
      </c>
      <c r="AM6625">
        <v>90.751119495789396</v>
      </c>
      <c r="AN6625">
        <v>1.0000000523267301</v>
      </c>
    </row>
    <row r="6626" spans="1:40" x14ac:dyDescent="0.25">
      <c r="A6626" t="str">
        <f>"20190303154313286"</f>
        <v>20190303154313286</v>
      </c>
      <c r="B6626" t="str">
        <f>"1551598993277238"</f>
        <v>1551598993277238</v>
      </c>
      <c r="C6626" t="s">
        <v>40</v>
      </c>
      <c r="D6626">
        <v>5.6676330000000004</v>
      </c>
      <c r="E6626">
        <v>0.49081839999999999</v>
      </c>
      <c r="F6626" t="s">
        <v>41</v>
      </c>
      <c r="G6626">
        <v>-330.99860000000001</v>
      </c>
      <c r="H6626" s="1">
        <v>-3.996455E-6</v>
      </c>
      <c r="I6626">
        <v>18.756180000000001</v>
      </c>
      <c r="J6626">
        <v>-360.6182</v>
      </c>
      <c r="K6626">
        <v>1.1207009999999999</v>
      </c>
      <c r="L6626">
        <v>17.10425</v>
      </c>
      <c r="M6626">
        <v>0.99980029999999998</v>
      </c>
      <c r="N6626">
        <v>-1.061756E-2</v>
      </c>
      <c r="O6626">
        <v>1.6927609999999999E-2</v>
      </c>
      <c r="P6626">
        <v>0.99483509999999997</v>
      </c>
      <c r="Q6626">
        <v>-9.6864549999999994E-2</v>
      </c>
      <c r="R6626">
        <v>3.0340010000000001E-2</v>
      </c>
      <c r="S6626">
        <v>2.9996640000000001</v>
      </c>
      <c r="T6626">
        <v>-0.1127063</v>
      </c>
      <c r="U6626">
        <v>0.16650390000000001</v>
      </c>
      <c r="V6626">
        <v>-1.348015E-2</v>
      </c>
      <c r="W6626">
        <v>-8.6294709999999997E-2</v>
      </c>
      <c r="X6626">
        <v>0.99617840000000002</v>
      </c>
      <c r="Y6626">
        <v>-3.8483099999999999E-2</v>
      </c>
      <c r="Z6626">
        <v>4.7107410000000002E-4</v>
      </c>
      <c r="AA6626">
        <v>0.99925909999999996</v>
      </c>
      <c r="AB6626">
        <v>23</v>
      </c>
      <c r="AC6626">
        <v>29.619599999999899</v>
      </c>
      <c r="AD6626">
        <v>-1.120704996455</v>
      </c>
      <c r="AE6626">
        <v>1.6519299999999999</v>
      </c>
      <c r="AF6626">
        <v>-1.14863666018607</v>
      </c>
      <c r="AG6626">
        <v>-1.120704996455</v>
      </c>
      <c r="AH6626">
        <v>29.601074619037199</v>
      </c>
      <c r="AI6626">
        <v>92.166569751864202</v>
      </c>
      <c r="AJ6626">
        <v>92.222183873804596</v>
      </c>
      <c r="AK6626">
        <v>29.6445435867718</v>
      </c>
      <c r="AL6626">
        <v>94.950480135455095</v>
      </c>
      <c r="AM6626">
        <v>90.775271341983498</v>
      </c>
      <c r="AN6626">
        <v>0.99999994802228198</v>
      </c>
    </row>
    <row r="6627" spans="1:40" x14ac:dyDescent="0.25">
      <c r="A6627" t="str">
        <f>"20190303154313301"</f>
        <v>20190303154313301</v>
      </c>
      <c r="B6627" t="str">
        <f>"1551598993296757"</f>
        <v>1551598993296757</v>
      </c>
      <c r="C6627" t="s">
        <v>40</v>
      </c>
      <c r="D6627">
        <v>5.6816430000000002</v>
      </c>
      <c r="E6627">
        <v>0.49071550000000003</v>
      </c>
      <c r="F6627" t="s">
        <v>41</v>
      </c>
      <c r="G6627">
        <v>-329.75760000000002</v>
      </c>
      <c r="H6627" s="1">
        <v>-2.8644470000000002E-7</v>
      </c>
      <c r="I6627">
        <v>18.830310000000001</v>
      </c>
      <c r="J6627">
        <v>-360.4717</v>
      </c>
      <c r="K6627">
        <v>1.1207009999999999</v>
      </c>
      <c r="L6627">
        <v>17.106839999999998</v>
      </c>
      <c r="M6627">
        <v>0.99979910000000005</v>
      </c>
      <c r="N6627">
        <v>-1.060388E-2</v>
      </c>
      <c r="O6627">
        <v>1.7012909999999999E-2</v>
      </c>
      <c r="P6627">
        <v>0.99483189999999999</v>
      </c>
      <c r="Q6627">
        <v>-9.6634330000000004E-2</v>
      </c>
      <c r="R6627">
        <v>3.1171270000000001E-2</v>
      </c>
      <c r="S6627">
        <v>2.9998779999999998</v>
      </c>
      <c r="T6627">
        <v>-0.1089405</v>
      </c>
      <c r="U6627">
        <v>0.16778560000000001</v>
      </c>
      <c r="V6627">
        <v>-1.422666E-2</v>
      </c>
      <c r="W6627">
        <v>-8.6078150000000006E-2</v>
      </c>
      <c r="X6627">
        <v>0.99618680000000004</v>
      </c>
      <c r="Y6627">
        <v>-3.8820769999999998E-2</v>
      </c>
      <c r="Z6627">
        <v>4.7339570000000001E-4</v>
      </c>
      <c r="AA6627">
        <v>0.99924610000000003</v>
      </c>
      <c r="AB6627">
        <v>23</v>
      </c>
      <c r="AC6627">
        <v>30.714099999999899</v>
      </c>
      <c r="AD6627">
        <v>-1.1207012864446999</v>
      </c>
      <c r="AE6627">
        <v>1.7234700000000001</v>
      </c>
      <c r="AF6627">
        <v>-1.19906356065723</v>
      </c>
      <c r="AG6627">
        <v>-1.1207012864446999</v>
      </c>
      <c r="AH6627">
        <v>30.698234207372501</v>
      </c>
      <c r="AI6627">
        <v>92.089178438946107</v>
      </c>
      <c r="AJ6627">
        <v>92.236818398832597</v>
      </c>
      <c r="AK6627">
        <v>30.7420771621995</v>
      </c>
      <c r="AL6627">
        <v>94.938025595302605</v>
      </c>
      <c r="AM6627">
        <v>90.818192096279304</v>
      </c>
      <c r="AN6627">
        <v>0.99999999312820897</v>
      </c>
    </row>
    <row r="6628" spans="1:40" x14ac:dyDescent="0.25">
      <c r="A6628" t="str">
        <f>"20190303154313320"</f>
        <v>20190303154313320</v>
      </c>
      <c r="B6628" t="str">
        <f>"1551598993316784"</f>
        <v>1551598993316784</v>
      </c>
      <c r="C6628" t="s">
        <v>40</v>
      </c>
      <c r="D6628">
        <v>5.6159290000000004</v>
      </c>
      <c r="E6628">
        <v>0.49089139999999998</v>
      </c>
      <c r="F6628" t="s">
        <v>41</v>
      </c>
      <c r="G6628">
        <v>-331.1841</v>
      </c>
      <c r="H6628" s="1">
        <v>-3.9133070000000003E-6</v>
      </c>
      <c r="I6628">
        <v>18.776250000000001</v>
      </c>
      <c r="J6628">
        <v>-360.2706</v>
      </c>
      <c r="K6628">
        <v>1.1206969999999901</v>
      </c>
      <c r="L6628">
        <v>17.110410000000002</v>
      </c>
      <c r="M6628">
        <v>0.9997973</v>
      </c>
      <c r="N6628">
        <v>-1.058621E-2</v>
      </c>
      <c r="O6628">
        <v>1.713019E-2</v>
      </c>
      <c r="P6628">
        <v>0.99478469999999997</v>
      </c>
      <c r="Q6628">
        <v>-9.6940020000000002E-2</v>
      </c>
      <c r="R6628">
        <v>3.1724139999999998E-2</v>
      </c>
      <c r="S6628">
        <v>2.9991150000000002</v>
      </c>
      <c r="T6628">
        <v>-0.1147625</v>
      </c>
      <c r="U6628">
        <v>0.17095949999999999</v>
      </c>
      <c r="V6628">
        <v>-1.4663259999999999E-2</v>
      </c>
      <c r="W6628">
        <v>-8.6401870000000006E-2</v>
      </c>
      <c r="X6628">
        <v>0.9961525</v>
      </c>
      <c r="Y6628">
        <v>-3.9768669999999999E-2</v>
      </c>
      <c r="Z6628">
        <v>4.9732589999999896E-4</v>
      </c>
      <c r="AA6628">
        <v>0.99920880000000001</v>
      </c>
      <c r="AB6628">
        <v>23</v>
      </c>
      <c r="AC6628">
        <v>29.086500000000001</v>
      </c>
      <c r="AD6628">
        <v>-1.1207009133069901</v>
      </c>
      <c r="AE6628">
        <v>1.66583999999999</v>
      </c>
      <c r="AF6628">
        <v>-1.16558566495893</v>
      </c>
      <c r="AG6628">
        <v>-1.1207009133069901</v>
      </c>
      <c r="AH6628">
        <v>29.067757714463902</v>
      </c>
      <c r="AI6628">
        <v>92.206161217397806</v>
      </c>
      <c r="AJ6628">
        <v>92.296268613358507</v>
      </c>
      <c r="AK6628">
        <v>29.112696526193201</v>
      </c>
      <c r="AL6628">
        <v>94.956642468884894</v>
      </c>
      <c r="AM6628">
        <v>90.843326940788501</v>
      </c>
      <c r="AN6628">
        <v>1.00000004879478</v>
      </c>
    </row>
    <row r="6629" spans="1:40" x14ac:dyDescent="0.25">
      <c r="A6629" t="str">
        <f>"20190303154313342"</f>
        <v>20190303154313342</v>
      </c>
      <c r="B6629" t="str">
        <f>"1551598993337281"</f>
        <v>1551598993337281</v>
      </c>
      <c r="C6629" t="s">
        <v>40</v>
      </c>
      <c r="D6629">
        <v>5.5753979999999999</v>
      </c>
      <c r="E6629">
        <v>0.49101739999999999</v>
      </c>
      <c r="F6629" t="s">
        <v>41</v>
      </c>
      <c r="G6629">
        <v>-330.99979999999999</v>
      </c>
      <c r="H6629" s="1">
        <v>-3.9912120000000003E-6</v>
      </c>
      <c r="I6629">
        <v>18.78275</v>
      </c>
      <c r="J6629">
        <v>-360.05279999999999</v>
      </c>
      <c r="K6629">
        <v>1.1206879999999999</v>
      </c>
      <c r="L6629">
        <v>17.114260000000002</v>
      </c>
      <c r="M6629">
        <v>0.9997954</v>
      </c>
      <c r="N6629">
        <v>-1.056174E-2</v>
      </c>
      <c r="O6629">
        <v>1.7257149999999999E-2</v>
      </c>
      <c r="P6629">
        <v>0.99482250000000005</v>
      </c>
      <c r="Q6629">
        <v>-9.6532759999999995E-2</v>
      </c>
      <c r="R6629">
        <v>3.1778899999999999E-2</v>
      </c>
      <c r="S6629">
        <v>2.9990839999999999</v>
      </c>
      <c r="T6629">
        <v>-0.114827</v>
      </c>
      <c r="U6629">
        <v>0.17135619999999999</v>
      </c>
      <c r="V6629">
        <v>-1.4591069999999999E-2</v>
      </c>
      <c r="W6629">
        <v>-8.6018590000000006E-2</v>
      </c>
      <c r="X6629">
        <v>0.99618669999999998</v>
      </c>
      <c r="Y6629">
        <v>-3.9774160000000003E-2</v>
      </c>
      <c r="Z6629">
        <v>4.931003E-4</v>
      </c>
      <c r="AA6629">
        <v>0.9992086</v>
      </c>
      <c r="AB6629">
        <v>23</v>
      </c>
      <c r="AC6629">
        <v>29.053000000000001</v>
      </c>
      <c r="AD6629">
        <v>-1.1206919912119999</v>
      </c>
      <c r="AE6629">
        <v>1.66848999999999</v>
      </c>
      <c r="AF6629">
        <v>-1.1651136722239701</v>
      </c>
      <c r="AG6629">
        <v>-1.1206919912119999</v>
      </c>
      <c r="AH6629">
        <v>29.034408102750799</v>
      </c>
      <c r="AI6629">
        <v>92.208672558441705</v>
      </c>
      <c r="AJ6629">
        <v>92.297973413195805</v>
      </c>
      <c r="AK6629">
        <v>29.079379193604701</v>
      </c>
      <c r="AL6629">
        <v>94.934600225308202</v>
      </c>
      <c r="AM6629">
        <v>90.8391468725452</v>
      </c>
      <c r="AN6629">
        <v>1.00000001920311</v>
      </c>
    </row>
    <row r="6630" spans="1:40" x14ac:dyDescent="0.25">
      <c r="A6630" t="str">
        <f>"20190303154313356"</f>
        <v>20190303154313356</v>
      </c>
      <c r="B6630" t="str">
        <f>"1551598993347041"</f>
        <v>1551598993347041</v>
      </c>
      <c r="C6630" t="s">
        <v>40</v>
      </c>
      <c r="D6630">
        <v>5.5607110000000004</v>
      </c>
      <c r="E6630">
        <v>0.49107390000000001</v>
      </c>
      <c r="F6630" t="s">
        <v>41</v>
      </c>
      <c r="G6630">
        <v>-330.86649999999997</v>
      </c>
      <c r="H6630" s="1">
        <v>-4.0498240000000004E-6</v>
      </c>
      <c r="I6630">
        <v>18.77469</v>
      </c>
      <c r="J6630">
        <v>-359.90010000000001</v>
      </c>
      <c r="K6630">
        <v>1.120682</v>
      </c>
      <c r="L6630">
        <v>17.11703</v>
      </c>
      <c r="M6630">
        <v>0.99979410000000002</v>
      </c>
      <c r="N6630">
        <v>-1.0537700000000001E-2</v>
      </c>
      <c r="O6630">
        <v>1.7346029999999998E-2</v>
      </c>
      <c r="P6630">
        <v>0.99477599999999999</v>
      </c>
      <c r="Q6630">
        <v>-9.7074930000000004E-2</v>
      </c>
      <c r="R6630">
        <v>3.158354E-2</v>
      </c>
      <c r="S6630">
        <v>2.998993</v>
      </c>
      <c r="T6630">
        <v>-0.11515499999999999</v>
      </c>
      <c r="U6630">
        <v>0.17062379999999999</v>
      </c>
      <c r="V6630">
        <v>-1.4307729999999999E-2</v>
      </c>
      <c r="W6630">
        <v>-8.6585129999999996E-2</v>
      </c>
      <c r="X6630">
        <v>0.99614170000000002</v>
      </c>
      <c r="Y6630">
        <v>-3.9444069999999998E-2</v>
      </c>
      <c r="Z6630">
        <v>4.8195459999999997E-4</v>
      </c>
      <c r="AA6630">
        <v>0.99922169999999999</v>
      </c>
      <c r="AB6630">
        <v>23</v>
      </c>
      <c r="AC6630">
        <v>29.0336</v>
      </c>
      <c r="AD6630">
        <v>-1.1206860498240001</v>
      </c>
      <c r="AE6630">
        <v>1.6576599999999999</v>
      </c>
      <c r="AF6630">
        <v>-1.15205404972443</v>
      </c>
      <c r="AG6630">
        <v>-1.1206860498240001</v>
      </c>
      <c r="AH6630">
        <v>29.014896986502801</v>
      </c>
      <c r="AI6630">
        <v>92.210181838413902</v>
      </c>
      <c r="AJ6630">
        <v>92.273769220566393</v>
      </c>
      <c r="AK6630">
        <v>29.0593773658888</v>
      </c>
      <c r="AL6630">
        <v>94.9671822776087</v>
      </c>
      <c r="AM6630">
        <v>90.822891138242596</v>
      </c>
      <c r="AN6630">
        <v>0.99999999117687899</v>
      </c>
    </row>
    <row r="6631" spans="1:40" x14ac:dyDescent="0.25">
      <c r="A6631" t="str">
        <f>"20190303154313373"</f>
        <v>20190303154313373</v>
      </c>
      <c r="B6631" t="str">
        <f>"1551598993366561"</f>
        <v>1551598993366561</v>
      </c>
      <c r="C6631" t="s">
        <v>40</v>
      </c>
      <c r="D6631">
        <v>5.5493889999999997</v>
      </c>
      <c r="E6631">
        <v>0.49131259999999999</v>
      </c>
      <c r="F6631" t="s">
        <v>41</v>
      </c>
      <c r="G6631">
        <v>-331.02879999999999</v>
      </c>
      <c r="H6631" s="1">
        <v>-3.9845060000000003E-6</v>
      </c>
      <c r="I6631">
        <v>18.750440000000001</v>
      </c>
      <c r="J6631">
        <v>-359.72399999999999</v>
      </c>
      <c r="K6631">
        <v>1.1206739999999999</v>
      </c>
      <c r="L6631">
        <v>17.12021</v>
      </c>
      <c r="M6631">
        <v>0.99979280000000004</v>
      </c>
      <c r="N6631">
        <v>-1.0496460000000001E-2</v>
      </c>
      <c r="O6631">
        <v>1.7448829999999999E-2</v>
      </c>
      <c r="P6631">
        <v>0.99479649999999997</v>
      </c>
      <c r="Q6631">
        <v>-9.7067550000000002E-2</v>
      </c>
      <c r="R6631">
        <v>3.0954800000000001E-2</v>
      </c>
      <c r="S6631">
        <v>2.998993</v>
      </c>
      <c r="T6631">
        <v>-0.1164106</v>
      </c>
      <c r="U6631">
        <v>0.16967769999999999</v>
      </c>
      <c r="V6631">
        <v>-1.357619E-2</v>
      </c>
      <c r="W6631">
        <v>-8.6618609999999999E-2</v>
      </c>
      <c r="X6631">
        <v>0.99614910000000001</v>
      </c>
      <c r="Y6631">
        <v>-3.9027109999999997E-2</v>
      </c>
      <c r="Z6631">
        <v>4.6824010000000001E-4</v>
      </c>
      <c r="AA6631">
        <v>0.99923799999999996</v>
      </c>
      <c r="AB6631">
        <v>23</v>
      </c>
      <c r="AC6631">
        <v>28.6952</v>
      </c>
      <c r="AD6631">
        <v>-1.120677984506</v>
      </c>
      <c r="AE6631">
        <v>1.6302300000000001</v>
      </c>
      <c r="AF6631">
        <v>-1.1275423420119599</v>
      </c>
      <c r="AG6631">
        <v>-1.120677984506</v>
      </c>
      <c r="AH6631">
        <v>28.6756809786887</v>
      </c>
      <c r="AI6631">
        <v>92.236318429328804</v>
      </c>
      <c r="AJ6631">
        <v>92.251739159084494</v>
      </c>
      <c r="AK6631">
        <v>28.719713620952302</v>
      </c>
      <c r="AL6631">
        <v>94.969107416709605</v>
      </c>
      <c r="AM6631">
        <v>90.780817082746097</v>
      </c>
      <c r="AN6631">
        <v>1.00000006298202</v>
      </c>
    </row>
    <row r="6632" spans="1:40" x14ac:dyDescent="0.25">
      <c r="A6632" t="str">
        <f>"20190303154313388"</f>
        <v>20190303154313388</v>
      </c>
      <c r="B6632" t="str">
        <f>"1551598993377298"</f>
        <v>1551598993377298</v>
      </c>
      <c r="C6632" t="s">
        <v>40</v>
      </c>
      <c r="D6632">
        <v>5.5137999999999998</v>
      </c>
      <c r="E6632">
        <v>0.49136730000000001</v>
      </c>
      <c r="F6632" t="s">
        <v>41</v>
      </c>
      <c r="G6632">
        <v>-330.74650000000003</v>
      </c>
      <c r="H6632" s="1">
        <v>-4.1106640000000002E-6</v>
      </c>
      <c r="I6632">
        <v>18.722059999999999</v>
      </c>
      <c r="J6632">
        <v>-359.57850000000002</v>
      </c>
      <c r="K6632">
        <v>1.120663</v>
      </c>
      <c r="L6632">
        <v>17.12283</v>
      </c>
      <c r="M6632">
        <v>0.99979180000000001</v>
      </c>
      <c r="N6632">
        <v>-1.0452609999999999E-2</v>
      </c>
      <c r="O6632">
        <v>1.7532789999999999E-2</v>
      </c>
      <c r="P6632">
        <v>0.99480060000000003</v>
      </c>
      <c r="Q6632">
        <v>-9.7068909999999994E-2</v>
      </c>
      <c r="R6632">
        <v>3.081745E-2</v>
      </c>
      <c r="S6632">
        <v>2.9992070000000002</v>
      </c>
      <c r="T6632">
        <v>-0.11599139999999999</v>
      </c>
      <c r="U6632">
        <v>0.165802</v>
      </c>
      <c r="V6632">
        <v>-1.335574E-2</v>
      </c>
      <c r="W6632">
        <v>-8.6663550000000006E-2</v>
      </c>
      <c r="X6632">
        <v>0.99614809999999998</v>
      </c>
      <c r="Y6632">
        <v>-3.765346E-2</v>
      </c>
      <c r="Z6632">
        <v>4.3023829999999999E-4</v>
      </c>
      <c r="AA6632">
        <v>0.99929080000000003</v>
      </c>
      <c r="AB6632">
        <v>23</v>
      </c>
      <c r="AC6632">
        <v>28.831999999999901</v>
      </c>
      <c r="AD6632">
        <v>-1.120667110664</v>
      </c>
      <c r="AE6632">
        <v>1.5992299999999899</v>
      </c>
      <c r="AF6632">
        <v>-1.0918067807185801</v>
      </c>
      <c r="AG6632">
        <v>-1.120667110664</v>
      </c>
      <c r="AH6632">
        <v>28.812212555475099</v>
      </c>
      <c r="AI6632">
        <v>92.225832647216606</v>
      </c>
      <c r="AJ6632">
        <v>92.170121572736804</v>
      </c>
      <c r="AK6632">
        <v>28.854662173749698</v>
      </c>
      <c r="AL6632">
        <v>94.971692362227202</v>
      </c>
      <c r="AM6632">
        <v>90.768140487653994</v>
      </c>
      <c r="AN6632">
        <v>0.99999999191157996</v>
      </c>
    </row>
    <row r="6633" spans="1:40" x14ac:dyDescent="0.25">
      <c r="A6633" t="str">
        <f>"20190303154313410"</f>
        <v>20190303154313410</v>
      </c>
      <c r="B6633" t="str">
        <f>"1551598993407085"</f>
        <v>1551598993407085</v>
      </c>
      <c r="C6633" t="s">
        <v>40</v>
      </c>
      <c r="D6633">
        <v>5.5014310000000002</v>
      </c>
      <c r="E6633">
        <v>0.49157260000000003</v>
      </c>
      <c r="F6633" t="s">
        <v>41</v>
      </c>
      <c r="G6633">
        <v>-330.62869999999998</v>
      </c>
      <c r="H6633" s="1">
        <v>-4.1626949999999996E-6</v>
      </c>
      <c r="I6633">
        <v>18.713699999999999</v>
      </c>
      <c r="J6633">
        <v>-359.35160000000002</v>
      </c>
      <c r="K6633">
        <v>1.1206419999999999</v>
      </c>
      <c r="L6633">
        <v>17.126950000000001</v>
      </c>
      <c r="M6633">
        <v>0.99979030000000002</v>
      </c>
      <c r="N6633">
        <v>-1.037163E-2</v>
      </c>
      <c r="O6633">
        <v>1.7659660000000001E-2</v>
      </c>
      <c r="P6633">
        <v>0.99478789999999995</v>
      </c>
      <c r="Q6633">
        <v>-9.7171279999999999E-2</v>
      </c>
      <c r="R6633">
        <v>3.0898510000000001E-2</v>
      </c>
      <c r="S6633">
        <v>2.9992679999999998</v>
      </c>
      <c r="T6633">
        <v>-0.1161036</v>
      </c>
      <c r="U6633">
        <v>0.16482539999999901</v>
      </c>
      <c r="V6633">
        <v>-1.3310880000000001E-2</v>
      </c>
      <c r="W6633">
        <v>-8.6846619999999999E-2</v>
      </c>
      <c r="X6633">
        <v>0.99613280000000004</v>
      </c>
      <c r="Y6633">
        <v>-3.7201690000000003E-2</v>
      </c>
      <c r="Z6633">
        <v>4.1267069999999999E-4</v>
      </c>
      <c r="AA6633">
        <v>0.99930770000000002</v>
      </c>
      <c r="AB6633">
        <v>23</v>
      </c>
      <c r="AC6633">
        <v>28.722899999999999</v>
      </c>
      <c r="AD6633">
        <v>-1.1206461626949999</v>
      </c>
      <c r="AE6633">
        <v>1.5867499999999899</v>
      </c>
      <c r="AF6633">
        <v>-1.07760324711098</v>
      </c>
      <c r="AG6633">
        <v>-1.1206461626949999</v>
      </c>
      <c r="AH6633">
        <v>28.702883855870301</v>
      </c>
      <c r="AI6633">
        <v>92.234289967018299</v>
      </c>
      <c r="AJ6633">
        <v>92.1500673678852</v>
      </c>
      <c r="AK6633">
        <v>28.7449581357101</v>
      </c>
      <c r="AL6633">
        <v>94.982220982231595</v>
      </c>
      <c r="AM6633">
        <v>90.765572479536502</v>
      </c>
      <c r="AN6633">
        <v>1.0000000350838101</v>
      </c>
    </row>
    <row r="6634" spans="1:40" x14ac:dyDescent="0.25">
      <c r="A6634" t="str">
        <f>"20190303154313432"</f>
        <v>20190303154313432</v>
      </c>
      <c r="B6634" t="str">
        <f>"1551598993426605"</f>
        <v>1551598993426605</v>
      </c>
      <c r="C6634" t="s">
        <v>40</v>
      </c>
      <c r="D6634">
        <v>5.4460649999999999</v>
      </c>
      <c r="E6634">
        <v>0.49165750000000003</v>
      </c>
      <c r="F6634" t="s">
        <v>41</v>
      </c>
      <c r="G6634">
        <v>-330.36660000000001</v>
      </c>
      <c r="H6634" s="1">
        <v>-4.2764399999999997E-6</v>
      </c>
      <c r="I6634">
        <v>18.70617</v>
      </c>
      <c r="J6634">
        <v>-359.1259</v>
      </c>
      <c r="K6634">
        <v>1.120614</v>
      </c>
      <c r="L6634">
        <v>17.131070000000001</v>
      </c>
      <c r="M6634">
        <v>0.99978920000000004</v>
      </c>
      <c r="N6634">
        <v>-1.027892E-2</v>
      </c>
      <c r="O6634">
        <v>1.77772E-2</v>
      </c>
      <c r="P6634">
        <v>0.99476439999999999</v>
      </c>
      <c r="Q6634">
        <v>-9.7435209999999994E-2</v>
      </c>
      <c r="R6634">
        <v>3.0828620000000001E-2</v>
      </c>
      <c r="S6634">
        <v>2.999298</v>
      </c>
      <c r="T6634">
        <v>-0.11596190000000001</v>
      </c>
      <c r="U6634">
        <v>0.1634216</v>
      </c>
      <c r="V6634">
        <v>-1.3125690000000001E-2</v>
      </c>
      <c r="W6634">
        <v>-8.7202929999999998E-2</v>
      </c>
      <c r="X6634">
        <v>0.99610410000000005</v>
      </c>
      <c r="Y6634">
        <v>-3.6618110000000002E-2</v>
      </c>
      <c r="Z6634">
        <v>3.9166E-4</v>
      </c>
      <c r="AA6634">
        <v>0.99932929999999998</v>
      </c>
      <c r="AB6634">
        <v>23</v>
      </c>
      <c r="AC6634">
        <v>28.7593</v>
      </c>
      <c r="AD6634">
        <v>-1.1206182764399999</v>
      </c>
      <c r="AE6634">
        <v>1.57509999999999</v>
      </c>
      <c r="AF6634">
        <v>-1.0619567083547901</v>
      </c>
      <c r="AG6634">
        <v>-1.1206182764399999</v>
      </c>
      <c r="AH6634">
        <v>28.739252690421299</v>
      </c>
      <c r="AI6634">
        <v>92.231458996384404</v>
      </c>
      <c r="AJ6634">
        <v>92.116198624905294</v>
      </c>
      <c r="AK6634">
        <v>28.780691141384999</v>
      </c>
      <c r="AL6634">
        <v>95.002713931422207</v>
      </c>
      <c r="AM6634">
        <v>90.754944305288603</v>
      </c>
      <c r="AN6634">
        <v>1.0000000063876799</v>
      </c>
    </row>
    <row r="6635" spans="1:40" x14ac:dyDescent="0.25">
      <c r="A6635" t="str">
        <f>"20190303154313452"</f>
        <v>20190303154313452</v>
      </c>
      <c r="B6635" t="str">
        <f>"1551598993447102"</f>
        <v>1551598993447102</v>
      </c>
      <c r="C6635" t="s">
        <v>40</v>
      </c>
      <c r="D6635">
        <v>5.443791</v>
      </c>
      <c r="E6635">
        <v>0.49170320000000001</v>
      </c>
      <c r="F6635" t="s">
        <v>41</v>
      </c>
      <c r="G6635">
        <v>-330.1703</v>
      </c>
      <c r="H6635" s="1">
        <v>-4.3612300000000003E-6</v>
      </c>
      <c r="I6635">
        <v>18.703060000000001</v>
      </c>
      <c r="J6635">
        <v>-358.90780000000001</v>
      </c>
      <c r="K6635">
        <v>1.1205750000000001</v>
      </c>
      <c r="L6635">
        <v>17.135100000000001</v>
      </c>
      <c r="M6635">
        <v>0.99978840000000002</v>
      </c>
      <c r="N6635">
        <v>-1.0183090000000001E-2</v>
      </c>
      <c r="O6635">
        <v>1.7878189999999999E-2</v>
      </c>
      <c r="P6635">
        <v>0.99472329999999998</v>
      </c>
      <c r="Q6635">
        <v>-9.7803909999999994E-2</v>
      </c>
      <c r="R6635">
        <v>3.0985240000000001E-2</v>
      </c>
      <c r="S6635">
        <v>2.9993590000000001</v>
      </c>
      <c r="T6635">
        <v>-0.1160786</v>
      </c>
      <c r="U6635">
        <v>0.16284179999999901</v>
      </c>
      <c r="V6635">
        <v>-1.3184049999999999E-2</v>
      </c>
      <c r="W6635">
        <v>-8.7667179999999997E-2</v>
      </c>
      <c r="X6635">
        <v>0.99606260000000002</v>
      </c>
      <c r="Y6635">
        <v>-3.6323849999999998E-2</v>
      </c>
      <c r="Z6635">
        <v>3.781581E-4</v>
      </c>
      <c r="AA6635">
        <v>0.99934000000000001</v>
      </c>
      <c r="AB6635">
        <v>23</v>
      </c>
      <c r="AC6635">
        <v>28.737500000000001</v>
      </c>
      <c r="AD6635">
        <v>-1.1205793612299999</v>
      </c>
      <c r="AE6635">
        <v>1.56795999999999</v>
      </c>
      <c r="AF6635">
        <v>-1.05231299326629</v>
      </c>
      <c r="AG6635">
        <v>-1.1205793612299999</v>
      </c>
      <c r="AH6635">
        <v>28.717404919691901</v>
      </c>
      <c r="AI6635">
        <v>92.233102692364497</v>
      </c>
      <c r="AJ6635">
        <v>92.098592427775003</v>
      </c>
      <c r="AK6635">
        <v>28.758518843329799</v>
      </c>
      <c r="AL6635">
        <v>95.029415648360498</v>
      </c>
      <c r="AM6635">
        <v>90.758332169794599</v>
      </c>
      <c r="AN6635">
        <v>1.0000000283711501</v>
      </c>
    </row>
    <row r="6636" spans="1:40" x14ac:dyDescent="0.25">
      <c r="A6636" t="str">
        <f>"20190303154313465"</f>
        <v>20190303154313465</v>
      </c>
      <c r="B6636" t="str">
        <f>"1551598993456861"</f>
        <v>1551598993456861</v>
      </c>
      <c r="C6636" t="s">
        <v>40</v>
      </c>
      <c r="D6636">
        <v>5.4368540000000003</v>
      </c>
      <c r="E6636">
        <v>0.49177310000000002</v>
      </c>
      <c r="F6636" t="s">
        <v>41</v>
      </c>
      <c r="G6636">
        <v>-330.12270000000001</v>
      </c>
      <c r="H6636" s="1">
        <v>-4.3823109999999996E-6</v>
      </c>
      <c r="I6636">
        <v>18.699310000000001</v>
      </c>
      <c r="J6636">
        <v>-358.77659999999997</v>
      </c>
      <c r="K6636">
        <v>1.1205540000000001</v>
      </c>
      <c r="L6636">
        <v>17.13748</v>
      </c>
      <c r="M6636">
        <v>0.99978809999999996</v>
      </c>
      <c r="N6636">
        <v>-1.012558E-2</v>
      </c>
      <c r="O6636">
        <v>1.7929170000000001E-2</v>
      </c>
      <c r="P6636">
        <v>0.99473659999999997</v>
      </c>
      <c r="Q6636">
        <v>-9.7651059999999998E-2</v>
      </c>
      <c r="R6636">
        <v>3.1045739999999999E-2</v>
      </c>
      <c r="S6636">
        <v>2.9993289999999999</v>
      </c>
      <c r="T6636">
        <v>-0.1167612</v>
      </c>
      <c r="U6636">
        <v>0.16299439999999901</v>
      </c>
      <c r="V6636">
        <v>-1.319556E-2</v>
      </c>
      <c r="W6636">
        <v>-8.7571220000000005E-2</v>
      </c>
      <c r="X6636">
        <v>0.99607089999999998</v>
      </c>
      <c r="Y6636">
        <v>-3.6323979999999999E-2</v>
      </c>
      <c r="Z6636">
        <v>3.7468750000000002E-4</v>
      </c>
      <c r="AA6636">
        <v>0.99934000000000001</v>
      </c>
      <c r="AB6636">
        <v>23</v>
      </c>
      <c r="AC6636">
        <v>28.653899999999901</v>
      </c>
      <c r="AD6636">
        <v>-1.1205583823109999</v>
      </c>
      <c r="AE6636">
        <v>1.5618300000000001</v>
      </c>
      <c r="AF6636">
        <v>-1.0462167287301201</v>
      </c>
      <c r="AG6636">
        <v>-1.1205583823109999</v>
      </c>
      <c r="AH6636">
        <v>28.633636840911802</v>
      </c>
      <c r="AI6636">
        <v>92.239595775927896</v>
      </c>
      <c r="AJ6636">
        <v>92.092544134207699</v>
      </c>
      <c r="AK6636">
        <v>28.674646977231799</v>
      </c>
      <c r="AL6636">
        <v>95.023896261838701</v>
      </c>
      <c r="AM6636">
        <v>90.758987811259601</v>
      </c>
      <c r="AN6636">
        <v>1.0000000396013999</v>
      </c>
    </row>
    <row r="6637" spans="1:40" x14ac:dyDescent="0.25">
      <c r="A6637" t="str">
        <f>"20190303154313478"</f>
        <v>20190303154313478</v>
      </c>
      <c r="B6637" t="str">
        <f>"1551598993466621"</f>
        <v>1551598993466621</v>
      </c>
      <c r="C6637" t="s">
        <v>40</v>
      </c>
      <c r="D6637">
        <v>5.4125899999999998</v>
      </c>
      <c r="E6637">
        <v>0.49177310000000002</v>
      </c>
      <c r="F6637" t="s">
        <v>41</v>
      </c>
      <c r="G6637">
        <v>-329.93889999999999</v>
      </c>
      <c r="H6637" s="1">
        <v>-2.5134160000000001E-7</v>
      </c>
      <c r="I6637">
        <v>18.700520000000001</v>
      </c>
      <c r="J6637">
        <v>-358.64010000000002</v>
      </c>
      <c r="K6637">
        <v>1.1205339999999999</v>
      </c>
      <c r="L6637">
        <v>17.14001</v>
      </c>
      <c r="M6637">
        <v>0.99978769999999995</v>
      </c>
      <c r="N6637">
        <v>-1.0066210000000001E-2</v>
      </c>
      <c r="O6637">
        <v>1.7976809999999999E-2</v>
      </c>
      <c r="P6637">
        <v>0.99475000000000002</v>
      </c>
      <c r="Q6637">
        <v>-9.7587320000000005E-2</v>
      </c>
      <c r="R6637">
        <v>3.080842E-2</v>
      </c>
      <c r="S6637">
        <v>2.9993289999999999</v>
      </c>
      <c r="T6637">
        <v>-0.116546</v>
      </c>
      <c r="U6637">
        <v>0.16256709999999999</v>
      </c>
      <c r="V6637">
        <v>-1.291249E-2</v>
      </c>
      <c r="W6637">
        <v>-8.7566190000000002E-2</v>
      </c>
      <c r="X6637">
        <v>0.99607500000000004</v>
      </c>
      <c r="Y6637">
        <v>-3.613479E-2</v>
      </c>
      <c r="Z6637">
        <v>3.6653290000000002E-4</v>
      </c>
      <c r="AA6637">
        <v>0.99934690000000004</v>
      </c>
      <c r="AB6637">
        <v>23</v>
      </c>
      <c r="AC6637">
        <v>28.7012</v>
      </c>
      <c r="AD6637">
        <v>-1.1205342513415999</v>
      </c>
      <c r="AE6637">
        <v>1.5605100000000001</v>
      </c>
      <c r="AF6637">
        <v>-1.04269100981602</v>
      </c>
      <c r="AG6637">
        <v>-1.1205342513415999</v>
      </c>
      <c r="AH6637">
        <v>28.6810283513705</v>
      </c>
      <c r="AI6637">
        <v>92.235865708039896</v>
      </c>
      <c r="AJ6637">
        <v>92.082055592518401</v>
      </c>
      <c r="AK6637">
        <v>28.721841668710901</v>
      </c>
      <c r="AL6637">
        <v>95.023607213455605</v>
      </c>
      <c r="AM6637">
        <v>90.742704858122707</v>
      </c>
      <c r="AN6637">
        <v>0.99999998782705801</v>
      </c>
    </row>
    <row r="6638" spans="1:40" x14ac:dyDescent="0.25">
      <c r="A6638" t="str">
        <f>"20190303154313490"</f>
        <v>20190303154313490</v>
      </c>
      <c r="B6638" t="str">
        <f>"1551598993487117"</f>
        <v>1551598993487117</v>
      </c>
      <c r="C6638" t="s">
        <v>40</v>
      </c>
      <c r="D6638">
        <v>5.4944480000000002</v>
      </c>
      <c r="E6638">
        <v>0.50677519999999998</v>
      </c>
      <c r="F6638" t="s">
        <v>41</v>
      </c>
      <c r="G6638">
        <v>-329.76089999999999</v>
      </c>
      <c r="H6638" s="1">
        <v>-3.2007459999999898E-7</v>
      </c>
      <c r="I6638">
        <v>18.699100000000001</v>
      </c>
      <c r="J6638">
        <v>-358.51179999999999</v>
      </c>
      <c r="K6638">
        <v>1.1205160000000001</v>
      </c>
      <c r="L6638">
        <v>17.14236</v>
      </c>
      <c r="M6638">
        <v>0.9997878</v>
      </c>
      <c r="N6638">
        <v>-1.0010969999999999E-2</v>
      </c>
      <c r="O6638">
        <v>1.801034E-2</v>
      </c>
      <c r="P6638">
        <v>0.99472430000000001</v>
      </c>
      <c r="Q6638">
        <v>-9.7726450000000006E-2</v>
      </c>
      <c r="R6638">
        <v>3.1200550000000001E-2</v>
      </c>
      <c r="S6638">
        <v>2.99939</v>
      </c>
      <c r="T6638">
        <v>-0.1163785</v>
      </c>
      <c r="U6638">
        <v>0.1619263</v>
      </c>
      <c r="V6638">
        <v>-1.3273709999999999E-2</v>
      </c>
      <c r="W6638">
        <v>-8.7760249999999998E-2</v>
      </c>
      <c r="X6638">
        <v>0.99605319999999997</v>
      </c>
      <c r="Y6638">
        <v>-3.588765E-2</v>
      </c>
      <c r="Z6638">
        <v>3.575435E-4</v>
      </c>
      <c r="AA6638">
        <v>0.99935580000000002</v>
      </c>
      <c r="AB6638">
        <v>23</v>
      </c>
      <c r="AC6638">
        <v>28.750900000000001</v>
      </c>
      <c r="AD6638">
        <v>-1.1205163200746</v>
      </c>
      <c r="AE6638">
        <v>1.55674</v>
      </c>
      <c r="AF6638">
        <v>-1.0370774722809399</v>
      </c>
      <c r="AG6638">
        <v>-1.1205163200746</v>
      </c>
      <c r="AH6638">
        <v>28.7307629543266</v>
      </c>
      <c r="AI6638">
        <v>92.231984370108506</v>
      </c>
      <c r="AJ6638">
        <v>92.067274553557894</v>
      </c>
      <c r="AK6638">
        <v>28.771302133285001</v>
      </c>
      <c r="AL6638">
        <v>95.034768866200807</v>
      </c>
      <c r="AM6638">
        <v>90.7634959111314</v>
      </c>
      <c r="AN6638">
        <v>1.00000001504373</v>
      </c>
    </row>
    <row r="6639" spans="1:40" x14ac:dyDescent="0.25">
      <c r="A6639" t="str">
        <f>"20190303154313508"</f>
        <v>20190303154313508</v>
      </c>
      <c r="B6639" t="str">
        <f>"1551598993496877"</f>
        <v>1551598993496877</v>
      </c>
      <c r="C6639" t="s">
        <v>40</v>
      </c>
      <c r="D6639">
        <v>5.4566119999999998</v>
      </c>
      <c r="E6639">
        <v>0.50735600000000003</v>
      </c>
      <c r="F6639" t="s">
        <v>41</v>
      </c>
      <c r="G6639">
        <v>-339.34739999999999</v>
      </c>
      <c r="H6639" s="1">
        <v>-7.9454070000000002E-7</v>
      </c>
      <c r="I6639">
        <v>17.412329999999901</v>
      </c>
      <c r="J6639">
        <v>-358.3254</v>
      </c>
      <c r="K6639">
        <v>1.1204889999999901</v>
      </c>
      <c r="L6639">
        <v>17.145779999999998</v>
      </c>
      <c r="M6639">
        <v>0.99978800000000001</v>
      </c>
      <c r="N6639">
        <v>-9.9291870000000008E-3</v>
      </c>
      <c r="O6639">
        <v>1.804586E-2</v>
      </c>
      <c r="P6639">
        <v>0.994668</v>
      </c>
      <c r="Q6639">
        <v>-9.8013879999999998E-2</v>
      </c>
      <c r="R6639">
        <v>3.2076309999999997E-2</v>
      </c>
      <c r="S6639">
        <v>2.9973749999999999</v>
      </c>
      <c r="T6639">
        <v>-0.17525299999999999</v>
      </c>
      <c r="U6639">
        <v>4.2236330000000002E-2</v>
      </c>
      <c r="V6639">
        <v>-1.4118189999999999E-2</v>
      </c>
      <c r="W6639">
        <v>-8.8129070000000004E-2</v>
      </c>
      <c r="X6639">
        <v>0.99600900000000003</v>
      </c>
      <c r="Y6639">
        <v>3.9284649999999999E-3</v>
      </c>
      <c r="Z6639">
        <v>-1.009296E-3</v>
      </c>
      <c r="AA6639">
        <v>0.99999179999999999</v>
      </c>
      <c r="AB6639">
        <v>23</v>
      </c>
      <c r="AC6639">
        <v>18.978000000000002</v>
      </c>
      <c r="AD6639">
        <v>-1.12048979454069</v>
      </c>
      <c r="AE6639">
        <v>0.26654999999999801</v>
      </c>
      <c r="AF6639">
        <v>7.5720671857805996E-2</v>
      </c>
      <c r="AG6639">
        <v>-1.12048979454069</v>
      </c>
      <c r="AH6639">
        <v>18.913801067275799</v>
      </c>
      <c r="AI6639">
        <v>93.390322035533202</v>
      </c>
      <c r="AJ6639">
        <v>89.770619785756296</v>
      </c>
      <c r="AK6639">
        <v>18.9471132844109</v>
      </c>
      <c r="AL6639">
        <v>95.055983008002897</v>
      </c>
      <c r="AM6639">
        <v>90.8120996208593</v>
      </c>
      <c r="AN6639">
        <v>0.99999999217447</v>
      </c>
    </row>
    <row r="6640" spans="1:40" x14ac:dyDescent="0.25">
      <c r="A6640" t="str">
        <f>"20190303154313521"</f>
        <v>20190303154313521</v>
      </c>
      <c r="B6640" t="str">
        <f>"1551598993517374"</f>
        <v>1551598993517374</v>
      </c>
      <c r="C6640" t="s">
        <v>40</v>
      </c>
      <c r="D6640">
        <v>5.4228379999999996</v>
      </c>
      <c r="E6640">
        <v>0.50855620000000001</v>
      </c>
      <c r="F6640" t="s">
        <v>41</v>
      </c>
      <c r="G6640">
        <v>-340.43799999999999</v>
      </c>
      <c r="H6640" s="1">
        <v>-4.4801240000000003E-6</v>
      </c>
      <c r="I6640">
        <v>17.385089999999899</v>
      </c>
      <c r="J6640">
        <v>-358.19330000000002</v>
      </c>
      <c r="K6640">
        <v>1.120471</v>
      </c>
      <c r="L6640">
        <v>17.14819</v>
      </c>
      <c r="M6640">
        <v>0.99978820000000002</v>
      </c>
      <c r="N6640">
        <v>-9.8700509999999995E-3</v>
      </c>
      <c r="O6640">
        <v>1.806236E-2</v>
      </c>
      <c r="P6640">
        <v>0.99460570000000004</v>
      </c>
      <c r="Q6640">
        <v>-9.849368E-2</v>
      </c>
      <c r="R6640">
        <v>3.2538919999999999E-2</v>
      </c>
      <c r="S6640">
        <v>2.9963069999999998</v>
      </c>
      <c r="T6640">
        <v>-0.18769379999999999</v>
      </c>
      <c r="U6640">
        <v>4.01001E-2</v>
      </c>
      <c r="V6640">
        <v>-1.456725E-2</v>
      </c>
      <c r="W6640">
        <v>-8.8667899999999994E-2</v>
      </c>
      <c r="X6640">
        <v>0.99595469999999997</v>
      </c>
      <c r="Y6640">
        <v>4.6461760000000001E-3</v>
      </c>
      <c r="Z6640">
        <v>-1.1204100000000001E-3</v>
      </c>
      <c r="AA6640">
        <v>0.99998860000000001</v>
      </c>
      <c r="AB6640">
        <v>23</v>
      </c>
      <c r="AC6640">
        <v>17.755299999999899</v>
      </c>
      <c r="AD6640">
        <v>-1.120475480124</v>
      </c>
      <c r="AE6640">
        <v>0.236899999999998</v>
      </c>
      <c r="AF6640">
        <v>8.3524305026038498E-2</v>
      </c>
      <c r="AG6640">
        <v>-1.120475480124</v>
      </c>
      <c r="AH6640">
        <v>17.686260495683101</v>
      </c>
      <c r="AI6640">
        <v>93.6249675571827</v>
      </c>
      <c r="AJ6640">
        <v>89.729419648121095</v>
      </c>
      <c r="AK6640">
        <v>17.7219144544896</v>
      </c>
      <c r="AL6640">
        <v>95.086977076697806</v>
      </c>
      <c r="AM6640">
        <v>90.837972282119097</v>
      </c>
      <c r="AN6640">
        <v>0.999999982857531</v>
      </c>
    </row>
    <row r="6641" spans="1:40" x14ac:dyDescent="0.25">
      <c r="A6641" t="str">
        <f>"20190303154313533"</f>
        <v>20190303154313533</v>
      </c>
      <c r="B6641" t="str">
        <f>"1551598993527133"</f>
        <v>1551598993527133</v>
      </c>
      <c r="C6641" t="s">
        <v>40</v>
      </c>
      <c r="D6641">
        <v>5.4156829999999996</v>
      </c>
      <c r="E6641">
        <v>0.50866820000000001</v>
      </c>
      <c r="F6641" t="s">
        <v>41</v>
      </c>
      <c r="G6641">
        <v>-340.45929999999998</v>
      </c>
      <c r="H6641" s="1">
        <v>-4.4794940000000003E-6</v>
      </c>
      <c r="I6641">
        <v>17.337389999999999</v>
      </c>
      <c r="J6641">
        <v>-358.05009999999999</v>
      </c>
      <c r="K6641">
        <v>1.120449</v>
      </c>
      <c r="L6641">
        <v>17.150790000000001</v>
      </c>
      <c r="M6641">
        <v>0.99978880000000003</v>
      </c>
      <c r="N6641">
        <v>-9.8049529999999999E-3</v>
      </c>
      <c r="O6641">
        <v>1.8073470000000001E-2</v>
      </c>
      <c r="P6641">
        <v>0.99457689999999999</v>
      </c>
      <c r="Q6641">
        <v>-9.8695660000000004E-2</v>
      </c>
      <c r="R6641">
        <v>3.280338E-2</v>
      </c>
      <c r="S6641">
        <v>2.9964900000000001</v>
      </c>
      <c r="T6641">
        <v>-0.18932489999999999</v>
      </c>
      <c r="U6641">
        <v>3.1982419999999998E-2</v>
      </c>
      <c r="V6641">
        <v>-1.482382E-2</v>
      </c>
      <c r="W6641">
        <v>-8.8934579999999999E-2</v>
      </c>
      <c r="X6641">
        <v>0.99592720000000001</v>
      </c>
      <c r="Y6641">
        <v>7.3597030000000004E-3</v>
      </c>
      <c r="Z6641">
        <v>-1.2319939999999999E-3</v>
      </c>
      <c r="AA6641">
        <v>0.99997219999999998</v>
      </c>
      <c r="AB6641">
        <v>23</v>
      </c>
      <c r="AC6641">
        <v>17.590800000000002</v>
      </c>
      <c r="AD6641">
        <v>-1.120453479494</v>
      </c>
      <c r="AE6641">
        <v>0.18659999999999799</v>
      </c>
      <c r="AF6641">
        <v>0.130841713528908</v>
      </c>
      <c r="AG6641">
        <v>-1.120453479494</v>
      </c>
      <c r="AH6641">
        <v>17.520225705665901</v>
      </c>
      <c r="AI6641">
        <v>93.659094847272499</v>
      </c>
      <c r="AJ6641">
        <v>89.5721208885751</v>
      </c>
      <c r="AK6641">
        <v>17.556504331192599</v>
      </c>
      <c r="AL6641">
        <v>95.102316993946005</v>
      </c>
      <c r="AM6641">
        <v>90.852752698823394</v>
      </c>
      <c r="AN6641">
        <v>1.0000000464295</v>
      </c>
    </row>
    <row r="6642" spans="1:40" x14ac:dyDescent="0.25">
      <c r="A6642" t="str">
        <f>"20190303154313552"</f>
        <v>20190303154313552</v>
      </c>
      <c r="B6642" t="str">
        <f>"1551598993546653"</f>
        <v>1551598993546653</v>
      </c>
      <c r="C6642" t="s">
        <v>40</v>
      </c>
      <c r="D6642">
        <v>5.407762</v>
      </c>
      <c r="E6642">
        <v>0.50926890000000002</v>
      </c>
      <c r="F6642" t="s">
        <v>41</v>
      </c>
      <c r="G6642">
        <v>-340.7998</v>
      </c>
      <c r="H6642" s="1">
        <v>-4.3340700000000002E-6</v>
      </c>
      <c r="I6642">
        <v>17.33362</v>
      </c>
      <c r="J6642">
        <v>-357.86250000000001</v>
      </c>
      <c r="K6642">
        <v>1.1204289999999999</v>
      </c>
      <c r="L6642">
        <v>17.154170000000001</v>
      </c>
      <c r="M6642">
        <v>0.9997895</v>
      </c>
      <c r="N6642">
        <v>-9.7178879999999992E-3</v>
      </c>
      <c r="O6642">
        <v>1.8076600000000002E-2</v>
      </c>
      <c r="P6642">
        <v>0.99452090000000004</v>
      </c>
      <c r="Q6642">
        <v>-9.9153430000000001E-2</v>
      </c>
      <c r="R6642">
        <v>3.3119490000000001E-2</v>
      </c>
      <c r="S6642">
        <v>2.9960330000000002</v>
      </c>
      <c r="T6642">
        <v>-0.19459960000000001</v>
      </c>
      <c r="U6642">
        <v>3.17688E-2</v>
      </c>
      <c r="V6642">
        <v>-1.513983E-2</v>
      </c>
      <c r="W6642">
        <v>-8.9479160000000002E-2</v>
      </c>
      <c r="X6642">
        <v>0.99587360000000003</v>
      </c>
      <c r="Y6642">
        <v>7.4296029999999999E-3</v>
      </c>
      <c r="Z6642">
        <v>-1.274425E-3</v>
      </c>
      <c r="AA6642">
        <v>0.99997159999999996</v>
      </c>
      <c r="AB6642">
        <v>23</v>
      </c>
      <c r="AC6642">
        <v>17.0627</v>
      </c>
      <c r="AD6642">
        <v>-1.1204333340699999</v>
      </c>
      <c r="AE6642">
        <v>0.179449999999999</v>
      </c>
      <c r="AF6642">
        <v>0.128475531582219</v>
      </c>
      <c r="AG6642">
        <v>-1.1204333340699999</v>
      </c>
      <c r="AH6642">
        <v>16.989903786436301</v>
      </c>
      <c r="AI6642">
        <v>93.772914410770895</v>
      </c>
      <c r="AJ6642">
        <v>89.566744725560099</v>
      </c>
      <c r="AK6642">
        <v>17.027293017114399</v>
      </c>
      <c r="AL6642">
        <v>95.133644363176799</v>
      </c>
      <c r="AM6642">
        <v>90.870975536654697</v>
      </c>
      <c r="AN6642">
        <v>0.99999998085184705</v>
      </c>
    </row>
    <row r="6643" spans="1:40" x14ac:dyDescent="0.25">
      <c r="A6643" t="str">
        <f>"20190303154313566"</f>
        <v>20190303154313566</v>
      </c>
      <c r="B6643" t="str">
        <f>"1551598993556413"</f>
        <v>1551598993556413</v>
      </c>
      <c r="C6643" t="s">
        <v>40</v>
      </c>
      <c r="D6643">
        <v>5.4197199999999999</v>
      </c>
      <c r="E6643">
        <v>0.50944560000000005</v>
      </c>
      <c r="F6643" t="s">
        <v>41</v>
      </c>
      <c r="G6643">
        <v>-340.73719999999997</v>
      </c>
      <c r="H6643" s="1">
        <v>-4.36449599999999E-6</v>
      </c>
      <c r="I6643">
        <v>17.31335</v>
      </c>
      <c r="J6643">
        <v>-357.7276</v>
      </c>
      <c r="K6643">
        <v>1.1204149999999999</v>
      </c>
      <c r="L6643">
        <v>17.15662</v>
      </c>
      <c r="M6643">
        <v>0.99979010000000001</v>
      </c>
      <c r="N6643">
        <v>-9.6549189999999997E-3</v>
      </c>
      <c r="O6643">
        <v>1.8073519999999999E-2</v>
      </c>
      <c r="P6643">
        <v>0.99450919999999998</v>
      </c>
      <c r="Q6643">
        <v>-9.9200860000000002E-2</v>
      </c>
      <c r="R6643">
        <v>3.3330209999999999E-2</v>
      </c>
      <c r="S6643">
        <v>2.9960330000000002</v>
      </c>
      <c r="T6643">
        <v>-0.19601730000000001</v>
      </c>
      <c r="U6643">
        <v>2.786255E-2</v>
      </c>
      <c r="V6643">
        <v>-1.53548E-2</v>
      </c>
      <c r="W6643">
        <v>-8.9589230000000006E-2</v>
      </c>
      <c r="X6643">
        <v>0.99586050000000004</v>
      </c>
      <c r="Y6643">
        <v>8.7262019999999902E-3</v>
      </c>
      <c r="Z6643">
        <v>-1.334085E-3</v>
      </c>
      <c r="AA6643">
        <v>0.99996099999999999</v>
      </c>
      <c r="AB6643">
        <v>23</v>
      </c>
      <c r="AC6643">
        <v>16.990400000000001</v>
      </c>
      <c r="AD6643">
        <v>-1.1204193644960001</v>
      </c>
      <c r="AE6643">
        <v>0.15672999999999901</v>
      </c>
      <c r="AF6643">
        <v>0.14973514311141201</v>
      </c>
      <c r="AG6643">
        <v>-1.1204193644960001</v>
      </c>
      <c r="AH6643">
        <v>16.916898001518799</v>
      </c>
      <c r="AI6643">
        <v>93.789062216182501</v>
      </c>
      <c r="AJ6643">
        <v>89.492875838587295</v>
      </c>
      <c r="AK6643">
        <v>16.9546217344773</v>
      </c>
      <c r="AL6643">
        <v>95.139975892771702</v>
      </c>
      <c r="AM6643">
        <v>90.883352164790793</v>
      </c>
      <c r="AN6643">
        <v>1.0000000677376299</v>
      </c>
    </row>
    <row r="6644" spans="1:40" x14ac:dyDescent="0.25">
      <c r="A6644" t="str">
        <f>"20190303154313578"</f>
        <v>20190303154313578</v>
      </c>
      <c r="B6644" t="str">
        <f>"1551598993567149"</f>
        <v>1551598993567149</v>
      </c>
      <c r="C6644" t="s">
        <v>40</v>
      </c>
      <c r="D6644">
        <v>5.3649209999999998</v>
      </c>
      <c r="E6644">
        <v>0.50972910000000005</v>
      </c>
      <c r="F6644" t="s">
        <v>41</v>
      </c>
      <c r="G6644">
        <v>-340.65890000000002</v>
      </c>
      <c r="H6644" s="1">
        <v>-4.398527E-6</v>
      </c>
      <c r="I6644">
        <v>17.310919999999999</v>
      </c>
      <c r="J6644">
        <v>-357.59030000000001</v>
      </c>
      <c r="K6644">
        <v>1.120404</v>
      </c>
      <c r="L6644">
        <v>17.159120000000001</v>
      </c>
      <c r="M6644">
        <v>0.99979090000000004</v>
      </c>
      <c r="N6644">
        <v>-9.5906480000000002E-3</v>
      </c>
      <c r="O6644">
        <v>1.8068130000000002E-2</v>
      </c>
      <c r="P6644">
        <v>0.99450179999999999</v>
      </c>
      <c r="Q6644">
        <v>-9.9274139999999997E-2</v>
      </c>
      <c r="R6644">
        <v>3.3335419999999998E-2</v>
      </c>
      <c r="S6644">
        <v>2.9960330000000002</v>
      </c>
      <c r="T6644">
        <v>-0.1966649</v>
      </c>
      <c r="U6644">
        <v>2.709961E-2</v>
      </c>
      <c r="V6644">
        <v>-1.536648E-2</v>
      </c>
      <c r="W6644">
        <v>-8.9726420000000001E-2</v>
      </c>
      <c r="X6644">
        <v>0.99584790000000001</v>
      </c>
      <c r="Y6644">
        <v>8.9744209999999998E-3</v>
      </c>
      <c r="Z6644">
        <v>-1.3488319999999999E-3</v>
      </c>
      <c r="AA6644">
        <v>0.99995880000000004</v>
      </c>
      <c r="AB6644">
        <v>23</v>
      </c>
      <c r="AC6644">
        <v>16.931399999999901</v>
      </c>
      <c r="AD6644">
        <v>-1.1204083985269999</v>
      </c>
      <c r="AE6644">
        <v>0.15179999999999699</v>
      </c>
      <c r="AF6644">
        <v>0.15348549922638299</v>
      </c>
      <c r="AG6644">
        <v>-1.1204083985269999</v>
      </c>
      <c r="AH6644">
        <v>16.8575667029518</v>
      </c>
      <c r="AI6644">
        <v>93.80231327573</v>
      </c>
      <c r="AJ6644">
        <v>89.478345333876405</v>
      </c>
      <c r="AK6644">
        <v>16.895455836479599</v>
      </c>
      <c r="AL6644">
        <v>95.147868437031505</v>
      </c>
      <c r="AM6644">
        <v>90.884035184753998</v>
      </c>
      <c r="AN6644">
        <v>0.99999999954400798</v>
      </c>
    </row>
    <row r="6645" spans="1:40" x14ac:dyDescent="0.25">
      <c r="A6645" t="str">
        <f>"20190303154313592"</f>
        <v>20190303154313592</v>
      </c>
      <c r="B6645" t="str">
        <f>"1551598993586669"</f>
        <v>1551598993586669</v>
      </c>
      <c r="C6645" t="s">
        <v>40</v>
      </c>
      <c r="D6645">
        <v>5.3578039999999998</v>
      </c>
      <c r="E6645">
        <v>0.51003299999999996</v>
      </c>
      <c r="F6645" t="s">
        <v>41</v>
      </c>
      <c r="G6645">
        <v>-341.08460000000002</v>
      </c>
      <c r="H6645" s="1">
        <v>-4.218711E-6</v>
      </c>
      <c r="I6645">
        <v>17.295249999999999</v>
      </c>
      <c r="J6645">
        <v>-357.45</v>
      </c>
      <c r="K6645">
        <v>1.1203970000000001</v>
      </c>
      <c r="L6645">
        <v>17.161650000000002</v>
      </c>
      <c r="M6645">
        <v>0.99979169999999995</v>
      </c>
      <c r="N6645">
        <v>-9.5245450000000006E-3</v>
      </c>
      <c r="O6645">
        <v>1.805944E-2</v>
      </c>
      <c r="P6645">
        <v>0.99449690000000002</v>
      </c>
      <c r="Q6645">
        <v>-9.9244059999999995E-2</v>
      </c>
      <c r="R6645">
        <v>3.3568099999999997E-2</v>
      </c>
      <c r="S6645">
        <v>2.9954529999999999</v>
      </c>
      <c r="T6645">
        <v>-0.20333090000000001</v>
      </c>
      <c r="U6645">
        <v>2.471924E-2</v>
      </c>
      <c r="V6645">
        <v>-1.5607660000000001E-2</v>
      </c>
      <c r="W6645">
        <v>-8.9762129999999996E-2</v>
      </c>
      <c r="X6645">
        <v>0.99584090000000003</v>
      </c>
      <c r="Y6645">
        <v>9.7527150000000003E-3</v>
      </c>
      <c r="Z6645">
        <v>-1.4296490000000001E-3</v>
      </c>
      <c r="AA6645">
        <v>0.99995140000000005</v>
      </c>
      <c r="AB6645">
        <v>24</v>
      </c>
      <c r="AC6645">
        <v>16.365399999999902</v>
      </c>
      <c r="AD6645">
        <v>-1.120401218711</v>
      </c>
      <c r="AE6645">
        <v>0.133599999999997</v>
      </c>
      <c r="AF6645">
        <v>0.161229480842771</v>
      </c>
      <c r="AG6645">
        <v>-1.120401218711</v>
      </c>
      <c r="AH6645">
        <v>16.288803310356499</v>
      </c>
      <c r="AI6645">
        <v>93.934615619239096</v>
      </c>
      <c r="AJ6645">
        <v>89.432894673706102</v>
      </c>
      <c r="AK6645">
        <v>16.328086450036398</v>
      </c>
      <c r="AL6645">
        <v>95.149922918763593</v>
      </c>
      <c r="AM6645">
        <v>90.897914351580795</v>
      </c>
      <c r="AN6645">
        <v>0.99999996857281004</v>
      </c>
    </row>
    <row r="6646" spans="1:40" x14ac:dyDescent="0.25">
      <c r="A6646" t="str">
        <f>"20190303154313611"</f>
        <v>20190303154313611</v>
      </c>
      <c r="B6646" t="str">
        <f>"1551598993607166"</f>
        <v>1551598993607166</v>
      </c>
      <c r="C6646" t="s">
        <v>40</v>
      </c>
      <c r="D6646">
        <v>5.3392229999999996</v>
      </c>
      <c r="E6646">
        <v>0.51018949999999996</v>
      </c>
      <c r="F6646" t="s">
        <v>41</v>
      </c>
      <c r="G6646">
        <v>-341.08109999999999</v>
      </c>
      <c r="H6646" s="1">
        <v>-4.2216579999999999E-6</v>
      </c>
      <c r="I6646">
        <v>17.28698</v>
      </c>
      <c r="J6646">
        <v>-357.25060000000002</v>
      </c>
      <c r="K6646">
        <v>1.1203879999999999</v>
      </c>
      <c r="L6646">
        <v>17.16525</v>
      </c>
      <c r="M6646">
        <v>0.99979269999999998</v>
      </c>
      <c r="N6646">
        <v>-9.4337440000000009E-3</v>
      </c>
      <c r="O6646">
        <v>1.8045640000000002E-2</v>
      </c>
      <c r="P6646">
        <v>0.99454129999999996</v>
      </c>
      <c r="Q6646">
        <v>-9.8719950000000001E-2</v>
      </c>
      <c r="R6646">
        <v>3.3797250000000001E-2</v>
      </c>
      <c r="S6646">
        <v>2.995422</v>
      </c>
      <c r="T6646">
        <v>-0.20502790000000001</v>
      </c>
      <c r="U6646">
        <v>2.2949219999999999E-2</v>
      </c>
      <c r="V6646">
        <v>-1.5850449999999999E-2</v>
      </c>
      <c r="W6646">
        <v>-8.9328009999999999E-2</v>
      </c>
      <c r="X6646">
        <v>0.99587610000000004</v>
      </c>
      <c r="Y6646">
        <v>1.0327080000000001E-2</v>
      </c>
      <c r="Z6646">
        <v>-1.4653509999999999E-3</v>
      </c>
      <c r="AA6646">
        <v>0.99994559999999999</v>
      </c>
      <c r="AB6646">
        <v>24</v>
      </c>
      <c r="AC6646">
        <v>16.169499999999999</v>
      </c>
      <c r="AD6646">
        <v>-1.120392221658</v>
      </c>
      <c r="AE6646">
        <v>0.12172999999999901</v>
      </c>
      <c r="AF6646">
        <v>0.16927908096174499</v>
      </c>
      <c r="AG6646">
        <v>-1.120392221658</v>
      </c>
      <c r="AH6646">
        <v>16.091808472849401</v>
      </c>
      <c r="AI6646">
        <v>93.982571790899001</v>
      </c>
      <c r="AJ6646">
        <v>89.397294643977702</v>
      </c>
      <c r="AK6646">
        <v>16.131653172086001</v>
      </c>
      <c r="AL6646">
        <v>95.124949350607096</v>
      </c>
      <c r="AM6646">
        <v>90.911847582376694</v>
      </c>
      <c r="AN6646">
        <v>0.99999996834348504</v>
      </c>
    </row>
    <row r="6647" spans="1:40" x14ac:dyDescent="0.25">
      <c r="A6647" t="str">
        <f>"20190303154313632"</f>
        <v>20190303154313632</v>
      </c>
      <c r="B6647" t="str">
        <f>"1551598993626686"</f>
        <v>1551598993626686</v>
      </c>
      <c r="C6647" t="s">
        <v>40</v>
      </c>
      <c r="D6647">
        <v>5.3071950000000001</v>
      </c>
      <c r="E6647">
        <v>0.51013549999999996</v>
      </c>
      <c r="F6647" t="s">
        <v>41</v>
      </c>
      <c r="G6647">
        <v>-340.90210000000002</v>
      </c>
      <c r="H6647" s="1">
        <v>-4.2984670000000002E-6</v>
      </c>
      <c r="I6647">
        <v>17.286929999999899</v>
      </c>
      <c r="J6647">
        <v>-357.02910000000003</v>
      </c>
      <c r="K6647">
        <v>1.1203799999999999</v>
      </c>
      <c r="L6647">
        <v>17.169250000000002</v>
      </c>
      <c r="M6647">
        <v>0.99979390000000001</v>
      </c>
      <c r="N6647">
        <v>-9.3360709999999996E-3</v>
      </c>
      <c r="O6647">
        <v>1.8031109999999999E-2</v>
      </c>
      <c r="P6647">
        <v>0.99459759999999997</v>
      </c>
      <c r="Q6647">
        <v>-9.8256200000000002E-2</v>
      </c>
      <c r="R6647">
        <v>3.3491090000000001E-2</v>
      </c>
      <c r="S6647">
        <v>2.9953310000000002</v>
      </c>
      <c r="T6647">
        <v>-0.20527490000000001</v>
      </c>
      <c r="U6647">
        <v>2.2308350000000001E-2</v>
      </c>
      <c r="V6647">
        <v>-1.555702E-2</v>
      </c>
      <c r="W6647">
        <v>-8.8961150000000003E-2</v>
      </c>
      <c r="X6647">
        <v>0.99591359999999995</v>
      </c>
      <c r="Y6647">
        <v>1.05255E-2</v>
      </c>
      <c r="Z6647">
        <v>-1.4754239999999999E-3</v>
      </c>
      <c r="AA6647">
        <v>0.99994349999999999</v>
      </c>
      <c r="AB6647">
        <v>24</v>
      </c>
      <c r="AC6647">
        <v>16.126999999999999</v>
      </c>
      <c r="AD6647">
        <v>-1.1203842984669901</v>
      </c>
      <c r="AE6647">
        <v>0.117679999999996</v>
      </c>
      <c r="AF6647">
        <v>0.17230791031453899</v>
      </c>
      <c r="AG6647">
        <v>-1.1203842984669901</v>
      </c>
      <c r="AH6647">
        <v>16.049044324206701</v>
      </c>
      <c r="AI6647">
        <v>93.993112118791004</v>
      </c>
      <c r="AJ6647">
        <v>89.384876972531501</v>
      </c>
      <c r="AK6647">
        <v>16.089026530917199</v>
      </c>
      <c r="AL6647">
        <v>95.103845623805597</v>
      </c>
      <c r="AM6647">
        <v>90.8949361656816</v>
      </c>
      <c r="AN6647">
        <v>1.00000000287278</v>
      </c>
    </row>
    <row r="6648" spans="1:40" x14ac:dyDescent="0.25">
      <c r="A6648" t="str">
        <f>"20190303154313648"</f>
        <v>20190303154313648</v>
      </c>
      <c r="B6648" t="str">
        <f>"1551598993636445"</f>
        <v>1551598993636445</v>
      </c>
      <c r="C6648" t="s">
        <v>40</v>
      </c>
      <c r="D6648">
        <v>5.4858520000000004</v>
      </c>
      <c r="E6648">
        <v>0.51013549999999996</v>
      </c>
      <c r="F6648" t="s">
        <v>41</v>
      </c>
      <c r="G6648">
        <v>-340.70670000000001</v>
      </c>
      <c r="H6648" s="1">
        <v>-4.3822290000000003E-6</v>
      </c>
      <c r="I6648">
        <v>17.287240000000001</v>
      </c>
      <c r="J6648">
        <v>-356.8571</v>
      </c>
      <c r="K6648">
        <v>1.120374</v>
      </c>
      <c r="L6648">
        <v>17.172329999999999</v>
      </c>
      <c r="M6648">
        <v>0.99979479999999998</v>
      </c>
      <c r="N6648">
        <v>-9.2609189999999994E-3</v>
      </c>
      <c r="O6648">
        <v>1.8022119999999999E-2</v>
      </c>
      <c r="P6648">
        <v>0.9946199</v>
      </c>
      <c r="Q6648">
        <v>-9.8192260000000003E-2</v>
      </c>
      <c r="R6648">
        <v>3.3006559999999997E-2</v>
      </c>
      <c r="S6648">
        <v>2.9952700000000001</v>
      </c>
      <c r="T6648">
        <v>-0.20559740000000001</v>
      </c>
      <c r="U6648">
        <v>2.1667479999999999E-2</v>
      </c>
      <c r="V6648">
        <v>-1.5080690000000001E-2</v>
      </c>
      <c r="W6648">
        <v>-8.8972019999999999E-2</v>
      </c>
      <c r="X6648">
        <v>0.99591989999999997</v>
      </c>
      <c r="Y6648">
        <v>1.0729499999999999E-2</v>
      </c>
      <c r="Z6648">
        <v>-1.486322E-3</v>
      </c>
      <c r="AA6648">
        <v>0.99994130000000003</v>
      </c>
      <c r="AB6648">
        <v>24</v>
      </c>
      <c r="AC6648">
        <v>16.150399999999902</v>
      </c>
      <c r="AD6648">
        <v>-1.1203783822290001</v>
      </c>
      <c r="AE6648">
        <v>0.114910000000001</v>
      </c>
      <c r="AF6648">
        <v>0.17534178949432899</v>
      </c>
      <c r="AG6648">
        <v>-1.1203783822290001</v>
      </c>
      <c r="AH6648">
        <v>16.072504164066501</v>
      </c>
      <c r="AI6648">
        <v>93.987274051512898</v>
      </c>
      <c r="AJ6648">
        <v>89.374960747928696</v>
      </c>
      <c r="AK6648">
        <v>16.112460475248501</v>
      </c>
      <c r="AL6648">
        <v>95.104471192411793</v>
      </c>
      <c r="AM6648">
        <v>90.867533480193501</v>
      </c>
      <c r="AN6648">
        <v>0.99999994738488196</v>
      </c>
    </row>
    <row r="6649" spans="1:40" x14ac:dyDescent="0.25">
      <c r="A6649" t="str">
        <f>"20190303154313665"</f>
        <v>20190303154313665</v>
      </c>
      <c r="B6649" t="str">
        <f>"1551598993656945"</f>
        <v>1551598993656945</v>
      </c>
      <c r="C6649" t="s">
        <v>40</v>
      </c>
      <c r="D6649">
        <v>5.322203</v>
      </c>
      <c r="E6649">
        <v>0.51036079999999995</v>
      </c>
      <c r="F6649" t="s">
        <v>41</v>
      </c>
      <c r="G6649">
        <v>-340.51710000000003</v>
      </c>
      <c r="H6649" s="1">
        <v>-4.4643650000000001E-6</v>
      </c>
      <c r="I6649">
        <v>17.282789999999999</v>
      </c>
      <c r="J6649">
        <v>-356.67410000000001</v>
      </c>
      <c r="K6649">
        <v>1.1203669999999999</v>
      </c>
      <c r="L6649">
        <v>17.175629999999899</v>
      </c>
      <c r="M6649">
        <v>0.99979560000000001</v>
      </c>
      <c r="N6649">
        <v>-9.1824000000000003E-3</v>
      </c>
      <c r="O6649">
        <v>1.8015360000000001E-2</v>
      </c>
      <c r="P6649">
        <v>0.99464269999999999</v>
      </c>
      <c r="Q6649">
        <v>-9.81683E-2</v>
      </c>
      <c r="R6649">
        <v>3.2391059999999999E-2</v>
      </c>
      <c r="S6649">
        <v>2.9952390000000002</v>
      </c>
      <c r="T6649">
        <v>-0.20537230000000001</v>
      </c>
      <c r="U6649">
        <v>2.0263670000000001E-2</v>
      </c>
      <c r="V6649">
        <v>-1.4471329999999999E-2</v>
      </c>
      <c r="W6649">
        <v>-8.9026259999999996E-2</v>
      </c>
      <c r="X6649">
        <v>0.99592420000000004</v>
      </c>
      <c r="Y6649">
        <v>1.1190149999999999E-2</v>
      </c>
      <c r="Z6649">
        <v>-1.503072E-3</v>
      </c>
      <c r="AA6649">
        <v>0.9999363</v>
      </c>
      <c r="AB6649">
        <v>24</v>
      </c>
      <c r="AC6649">
        <v>16.156999999999901</v>
      </c>
      <c r="AD6649">
        <v>-1.120371464365</v>
      </c>
      <c r="AE6649">
        <v>0.10716000000000001</v>
      </c>
      <c r="AF6649">
        <v>0.18306361120189499</v>
      </c>
      <c r="AG6649">
        <v>-1.120371464365</v>
      </c>
      <c r="AH6649">
        <v>16.078997058996102</v>
      </c>
      <c r="AI6649">
        <v>93.985623531069294</v>
      </c>
      <c r="AJ6649">
        <v>89.347700661836697</v>
      </c>
      <c r="AK6649">
        <v>16.119022641807899</v>
      </c>
      <c r="AL6649">
        <v>95.107590754989602</v>
      </c>
      <c r="AM6649">
        <v>90.832480811149907</v>
      </c>
      <c r="AN6649">
        <v>1.00000005325359</v>
      </c>
    </row>
    <row r="6650" spans="1:40" x14ac:dyDescent="0.25">
      <c r="A6650" t="str">
        <f>"20190303154313677"</f>
        <v>20190303154313677</v>
      </c>
      <c r="B6650" t="str">
        <f>"1551598993666702"</f>
        <v>1551598993666702</v>
      </c>
      <c r="C6650" t="s">
        <v>40</v>
      </c>
      <c r="D6650">
        <v>5.3421810000000001</v>
      </c>
      <c r="E6650">
        <v>0.51042809999999905</v>
      </c>
      <c r="F6650" t="s">
        <v>41</v>
      </c>
      <c r="G6650">
        <v>-340.19040000000001</v>
      </c>
      <c r="H6650" s="1">
        <v>-4.6072289999999999E-6</v>
      </c>
      <c r="I6650">
        <v>17.267399999999999</v>
      </c>
      <c r="J6650">
        <v>-356.54719999999998</v>
      </c>
      <c r="K6650">
        <v>1.1203609999999999</v>
      </c>
      <c r="L6650">
        <v>17.177889999999898</v>
      </c>
      <c r="M6650">
        <v>0.99979620000000002</v>
      </c>
      <c r="N6650">
        <v>-9.1289950000000009E-3</v>
      </c>
      <c r="O6650">
        <v>1.8011920000000001E-2</v>
      </c>
      <c r="P6650">
        <v>0.99469149999999995</v>
      </c>
      <c r="Q6650">
        <v>-9.7792889999999993E-2</v>
      </c>
      <c r="R6650">
        <v>3.2024879999999999E-2</v>
      </c>
      <c r="S6650">
        <v>2.995514</v>
      </c>
      <c r="T6650">
        <v>-0.20360049999999999</v>
      </c>
      <c r="U6650">
        <v>1.6693119999999999E-2</v>
      </c>
      <c r="V6650">
        <v>-1.410749E-2</v>
      </c>
      <c r="W6650">
        <v>-8.8703740000000003E-2</v>
      </c>
      <c r="X6650">
        <v>0.99595809999999996</v>
      </c>
      <c r="Y6650">
        <v>1.237714E-2</v>
      </c>
      <c r="Z6650">
        <v>-1.535191E-3</v>
      </c>
      <c r="AA6650">
        <v>0.99992219999999998</v>
      </c>
      <c r="AB6650">
        <v>24</v>
      </c>
      <c r="AC6650">
        <v>16.3567999999999</v>
      </c>
      <c r="AD6650">
        <v>-1.120365607229</v>
      </c>
      <c r="AE6650">
        <v>8.9510000000000603E-2</v>
      </c>
      <c r="AF6650">
        <v>0.20417625293730199</v>
      </c>
      <c r="AG6650">
        <v>-1.120365607229</v>
      </c>
      <c r="AH6650">
        <v>16.279384164948301</v>
      </c>
      <c r="AI6650">
        <v>93.936643870121799</v>
      </c>
      <c r="AJ6650">
        <v>89.281433246294398</v>
      </c>
      <c r="AK6650">
        <v>16.319168355835298</v>
      </c>
      <c r="AL6650">
        <v>95.089038818669096</v>
      </c>
      <c r="AM6650">
        <v>90.811525689654204</v>
      </c>
      <c r="AN6650">
        <v>0.99999995585984702</v>
      </c>
    </row>
    <row r="6651" spans="1:40" x14ac:dyDescent="0.25">
      <c r="A6651" t="str">
        <f>"20190303154313689"</f>
        <v>20190303154313689</v>
      </c>
      <c r="B6651" t="str">
        <f>"1551598993687197"</f>
        <v>1551598993687197</v>
      </c>
      <c r="C6651" t="s">
        <v>40</v>
      </c>
      <c r="D6651">
        <v>5.3049799999999996</v>
      </c>
      <c r="E6651">
        <v>0.5105343</v>
      </c>
      <c r="F6651" t="s">
        <v>41</v>
      </c>
      <c r="G6651">
        <v>-339.91059999999999</v>
      </c>
      <c r="H6651" s="1">
        <v>-6.4299669999999896E-7</v>
      </c>
      <c r="I6651">
        <v>17.261700000000001</v>
      </c>
      <c r="J6651">
        <v>-356.41239999999999</v>
      </c>
      <c r="K6651">
        <v>1.1203559999999999</v>
      </c>
      <c r="L6651">
        <v>17.180329999999898</v>
      </c>
      <c r="M6651">
        <v>0.99979669999999998</v>
      </c>
      <c r="N6651">
        <v>-9.0737319999999993E-3</v>
      </c>
      <c r="O6651">
        <v>1.8010160000000001E-2</v>
      </c>
      <c r="P6651">
        <v>0.99469810000000003</v>
      </c>
      <c r="Q6651">
        <v>-9.7852480000000006E-2</v>
      </c>
      <c r="R6651">
        <v>3.1633149999999999E-2</v>
      </c>
      <c r="S6651">
        <v>2.9956670000000001</v>
      </c>
      <c r="T6651">
        <v>-0.20173630000000001</v>
      </c>
      <c r="U6651">
        <v>1.51062E-2</v>
      </c>
      <c r="V6651">
        <v>-1.3717450000000001E-2</v>
      </c>
      <c r="W6651">
        <v>-8.881841E-2</v>
      </c>
      <c r="X6651">
        <v>0.99595339999999999</v>
      </c>
      <c r="Y6651">
        <v>1.2905160000000001E-2</v>
      </c>
      <c r="Z6651">
        <v>-1.540806E-3</v>
      </c>
      <c r="AA6651">
        <v>0.99991549999999996</v>
      </c>
      <c r="AB6651">
        <v>24</v>
      </c>
      <c r="AC6651">
        <v>16.501799999999999</v>
      </c>
      <c r="AD6651">
        <v>-1.1203566429967</v>
      </c>
      <c r="AE6651">
        <v>8.1370000000003204E-2</v>
      </c>
      <c r="AF6651">
        <v>0.21486508417689901</v>
      </c>
      <c r="AG6651">
        <v>-1.1203566429967</v>
      </c>
      <c r="AH6651">
        <v>16.424880826942001</v>
      </c>
      <c r="AI6651">
        <v>93.901822047030393</v>
      </c>
      <c r="AJ6651">
        <v>89.250517526704499</v>
      </c>
      <c r="AK6651">
        <v>16.464448857801202</v>
      </c>
      <c r="AL6651">
        <v>95.095634599501494</v>
      </c>
      <c r="AM6651">
        <v>90.789095451466693</v>
      </c>
      <c r="AN6651">
        <v>1.00000002668049</v>
      </c>
    </row>
    <row r="6652" spans="1:40" x14ac:dyDescent="0.25">
      <c r="A6652" t="str">
        <f>"20190303154313702"</f>
        <v>20190303154313702</v>
      </c>
      <c r="B6652" t="str">
        <f>"1551598993696958"</f>
        <v>1551598993696958</v>
      </c>
      <c r="C6652" t="s">
        <v>40</v>
      </c>
      <c r="D6652">
        <v>5.2948750000000002</v>
      </c>
      <c r="E6652">
        <v>0.51063029999999998</v>
      </c>
      <c r="F6652" t="s">
        <v>41</v>
      </c>
      <c r="G6652">
        <v>-339.66520000000003</v>
      </c>
      <c r="H6652" s="1">
        <v>-7.2865240000000003E-7</v>
      </c>
      <c r="I6652">
        <v>17.253599999999999</v>
      </c>
      <c r="J6652">
        <v>-356.27820000000003</v>
      </c>
      <c r="K6652">
        <v>1.1203529999999999</v>
      </c>
      <c r="L6652">
        <v>17.182739999999999</v>
      </c>
      <c r="M6652">
        <v>0.99979720000000005</v>
      </c>
      <c r="N6652">
        <v>-9.0203690000000003E-3</v>
      </c>
      <c r="O6652">
        <v>1.800941E-2</v>
      </c>
      <c r="P6652">
        <v>0.99472300000000002</v>
      </c>
      <c r="Q6652">
        <v>-9.7680790000000003E-2</v>
      </c>
      <c r="R6652">
        <v>3.1382260000000002E-2</v>
      </c>
      <c r="S6652">
        <v>2.995819</v>
      </c>
      <c r="T6652">
        <v>-0.20041429999999999</v>
      </c>
      <c r="U6652">
        <v>1.312256E-2</v>
      </c>
      <c r="V6652">
        <v>-1.3466840000000001E-2</v>
      </c>
      <c r="W6652">
        <v>-8.8699719999999996E-2</v>
      </c>
      <c r="X6652">
        <v>0.99596739999999995</v>
      </c>
      <c r="Y6652">
        <v>1.3565880000000001E-2</v>
      </c>
      <c r="Z6652">
        <v>-1.555596E-3</v>
      </c>
      <c r="AA6652">
        <v>0.99990679999999998</v>
      </c>
      <c r="AB6652">
        <v>24</v>
      </c>
      <c r="AC6652">
        <v>16.613</v>
      </c>
      <c r="AD6652">
        <v>-1.1203537286523999</v>
      </c>
      <c r="AE6652">
        <v>7.0859999999999701E-2</v>
      </c>
      <c r="AF6652">
        <v>0.22732015402986699</v>
      </c>
      <c r="AG6652">
        <v>-1.1203537286523999</v>
      </c>
      <c r="AH6652">
        <v>16.5363766515866</v>
      </c>
      <c r="AI6652">
        <v>93.875550109347998</v>
      </c>
      <c r="AJ6652">
        <v>89.212423291093998</v>
      </c>
      <c r="AK6652">
        <v>16.5758444639443</v>
      </c>
      <c r="AL6652">
        <v>95.088807205026399</v>
      </c>
      <c r="AM6652">
        <v>90.774670012053605</v>
      </c>
      <c r="AN6652">
        <v>1.00000002898521</v>
      </c>
    </row>
    <row r="6653" spans="1:40" x14ac:dyDescent="0.25">
      <c r="A6653" t="str">
        <f>"20190303154313720"</f>
        <v>20190303154313720</v>
      </c>
      <c r="B6653" t="str">
        <f>"1551598993717453"</f>
        <v>1551598993717453</v>
      </c>
      <c r="C6653" t="s">
        <v>40</v>
      </c>
      <c r="D6653">
        <v>5.3045280000000004</v>
      </c>
      <c r="E6653">
        <v>0.51069900000000001</v>
      </c>
      <c r="F6653" t="s">
        <v>41</v>
      </c>
      <c r="G6653">
        <v>-339.44389999999999</v>
      </c>
      <c r="H6653" s="1">
        <v>-8.0549480000000004E-7</v>
      </c>
      <c r="I6653">
        <v>17.247810000000001</v>
      </c>
      <c r="J6653">
        <v>-356.08870000000002</v>
      </c>
      <c r="K6653">
        <v>1.120349</v>
      </c>
      <c r="L6653">
        <v>17.186160000000001</v>
      </c>
      <c r="M6653">
        <v>0.99979790000000002</v>
      </c>
      <c r="N6653">
        <v>-8.9476090000000005E-3</v>
      </c>
      <c r="O6653">
        <v>1.8009629999999999E-2</v>
      </c>
      <c r="P6653">
        <v>0.99476880000000001</v>
      </c>
      <c r="Q6653">
        <v>-9.7374799999999997E-2</v>
      </c>
      <c r="R6653">
        <v>3.087765E-2</v>
      </c>
      <c r="S6653">
        <v>2.9959720000000001</v>
      </c>
      <c r="T6653">
        <v>-0.19938739999999999</v>
      </c>
      <c r="U6653">
        <v>1.159668E-2</v>
      </c>
      <c r="V6653">
        <v>-1.2960849999999999E-2</v>
      </c>
      <c r="W6653">
        <v>-8.8465940000000007E-2</v>
      </c>
      <c r="X6653">
        <v>0.99599490000000002</v>
      </c>
      <c r="Y6653">
        <v>1.4074939999999999E-2</v>
      </c>
      <c r="Z6653">
        <v>-1.567073E-3</v>
      </c>
      <c r="AA6653">
        <v>0.99989969999999995</v>
      </c>
      <c r="AB6653">
        <v>24</v>
      </c>
      <c r="AC6653">
        <v>16.6448</v>
      </c>
      <c r="AD6653">
        <v>-1.1203498054948</v>
      </c>
      <c r="AE6653">
        <v>6.1650000000000198E-2</v>
      </c>
      <c r="AF6653">
        <v>0.23706463582130799</v>
      </c>
      <c r="AG6653">
        <v>-1.1203498054948</v>
      </c>
      <c r="AH6653">
        <v>16.568148901671901</v>
      </c>
      <c r="AI6653">
        <v>93.868096776986206</v>
      </c>
      <c r="AJ6653">
        <v>89.180241778707398</v>
      </c>
      <c r="AK6653">
        <v>16.607677181237602</v>
      </c>
      <c r="AL6653">
        <v>95.075359761455502</v>
      </c>
      <c r="AM6653">
        <v>90.745546078007493</v>
      </c>
      <c r="AN6653">
        <v>1.0000000234994</v>
      </c>
    </row>
    <row r="6654" spans="1:40" x14ac:dyDescent="0.25">
      <c r="A6654" t="str">
        <f>"20190303154313733"</f>
        <v>20190303154313733</v>
      </c>
      <c r="B6654" t="str">
        <f>"1551598993727213"</f>
        <v>1551598993727213</v>
      </c>
      <c r="C6654" t="s">
        <v>40</v>
      </c>
      <c r="D6654">
        <v>5.28566</v>
      </c>
      <c r="E6654">
        <v>0.51070420000000005</v>
      </c>
      <c r="F6654" t="s">
        <v>41</v>
      </c>
      <c r="G6654">
        <v>-339.15010000000001</v>
      </c>
      <c r="H6654" s="1">
        <v>-9.0751659999999996E-7</v>
      </c>
      <c r="I6654">
        <v>17.240069999999999</v>
      </c>
      <c r="J6654">
        <v>-355.94839999999999</v>
      </c>
      <c r="K6654">
        <v>1.120341</v>
      </c>
      <c r="L6654">
        <v>17.188659999999999</v>
      </c>
      <c r="M6654">
        <v>0.99979819999999997</v>
      </c>
      <c r="N6654">
        <v>-8.8949949999999993E-3</v>
      </c>
      <c r="O6654">
        <v>1.801053E-2</v>
      </c>
      <c r="P6654">
        <v>0.99484709999999998</v>
      </c>
      <c r="Q6654">
        <v>-9.6631510000000004E-2</v>
      </c>
      <c r="R6654">
        <v>3.0688730000000001E-2</v>
      </c>
      <c r="S6654">
        <v>2.9960939999999998</v>
      </c>
      <c r="T6654">
        <v>-0.1981676</v>
      </c>
      <c r="U6654">
        <v>9.5520020000000004E-3</v>
      </c>
      <c r="V6654">
        <v>-1.276976E-2</v>
      </c>
      <c r="W6654">
        <v>-8.7774450000000004E-2</v>
      </c>
      <c r="X6654">
        <v>0.99605849999999996</v>
      </c>
      <c r="Y6654">
        <v>1.475747E-2</v>
      </c>
      <c r="Z6654">
        <v>-1.5830569999999999E-3</v>
      </c>
      <c r="AA6654">
        <v>0.9998899</v>
      </c>
      <c r="AB6654">
        <v>24</v>
      </c>
      <c r="AC6654">
        <v>16.798299999999902</v>
      </c>
      <c r="AD6654">
        <v>-1.1203419075165999</v>
      </c>
      <c r="AE6654">
        <v>5.1410000000000601E-2</v>
      </c>
      <c r="AF6654">
        <v>0.25004440240542303</v>
      </c>
      <c r="AG6654">
        <v>-1.1203419075165999</v>
      </c>
      <c r="AH6654">
        <v>16.722120736029002</v>
      </c>
      <c r="AI6654">
        <v>93.832524282265894</v>
      </c>
      <c r="AJ6654">
        <v>89.143325086163699</v>
      </c>
      <c r="AK6654">
        <v>16.761473983610198</v>
      </c>
      <c r="AL6654">
        <v>95.035585804451401</v>
      </c>
      <c r="AM6654">
        <v>90.7345083371426</v>
      </c>
      <c r="AN6654">
        <v>0.99999997813275399</v>
      </c>
    </row>
    <row r="6655" spans="1:40" x14ac:dyDescent="0.25">
      <c r="A6655" t="str">
        <f>"20190303154313754"</f>
        <v>20190303154313754</v>
      </c>
      <c r="B6655" t="str">
        <f>"1551598993746737"</f>
        <v>1551598993746737</v>
      </c>
      <c r="C6655" t="s">
        <v>40</v>
      </c>
      <c r="D6655">
        <v>5.259684</v>
      </c>
      <c r="E6655">
        <v>0.51056689999999905</v>
      </c>
      <c r="F6655" t="s">
        <v>41</v>
      </c>
      <c r="G6655">
        <v>-338.70409999999998</v>
      </c>
      <c r="H6655" s="1">
        <v>-1.059277E-6</v>
      </c>
      <c r="I6655">
        <v>17.240210000000001</v>
      </c>
      <c r="J6655">
        <v>-355.7201</v>
      </c>
      <c r="K6655">
        <v>1.1203379999999901</v>
      </c>
      <c r="L6655">
        <v>17.192779999999999</v>
      </c>
      <c r="M6655">
        <v>0.99979899999999999</v>
      </c>
      <c r="N6655">
        <v>-8.8131949999999994E-3</v>
      </c>
      <c r="O6655">
        <v>1.801258E-2</v>
      </c>
      <c r="P6655">
        <v>0.99490279999999998</v>
      </c>
      <c r="Q6655">
        <v>-9.5978469999999996E-2</v>
      </c>
      <c r="R6655">
        <v>3.0927389999999999E-2</v>
      </c>
      <c r="S6655">
        <v>2.9963989999999998</v>
      </c>
      <c r="T6655">
        <v>-0.19467190000000001</v>
      </c>
      <c r="U6655">
        <v>8.9721680000000009E-3</v>
      </c>
      <c r="V6655">
        <v>-1.300457E-2</v>
      </c>
      <c r="W6655">
        <v>-8.7202399999999902E-2</v>
      </c>
      <c r="X6655">
        <v>0.99610569999999998</v>
      </c>
      <c r="Y6655">
        <v>1.49552E-2</v>
      </c>
      <c r="Z6655">
        <v>-1.5616269999999999E-3</v>
      </c>
      <c r="AA6655">
        <v>0.99988690000000002</v>
      </c>
      <c r="AB6655">
        <v>24</v>
      </c>
      <c r="AC6655">
        <v>17.015999999999998</v>
      </c>
      <c r="AD6655">
        <v>-1.12033905927699</v>
      </c>
      <c r="AE6655">
        <v>4.7430000000001998E-2</v>
      </c>
      <c r="AF6655">
        <v>0.25797334293686103</v>
      </c>
      <c r="AG6655">
        <v>-1.12033905927699</v>
      </c>
      <c r="AH6655">
        <v>16.940657169637799</v>
      </c>
      <c r="AI6655">
        <v>93.783203539168497</v>
      </c>
      <c r="AJ6655">
        <v>89.127563868153501</v>
      </c>
      <c r="AK6655">
        <v>16.979622351295401</v>
      </c>
      <c r="AL6655">
        <v>95.002683623566796</v>
      </c>
      <c r="AM6655">
        <v>90.7479774955235</v>
      </c>
      <c r="AN6655">
        <v>0.99999997148956699</v>
      </c>
    </row>
    <row r="6656" spans="1:40" x14ac:dyDescent="0.25">
      <c r="A6656" t="str">
        <f>"20190303154313768"</f>
        <v>20190303154313768</v>
      </c>
      <c r="B6656" t="str">
        <f>"1551598993756493"</f>
        <v>1551598993756493</v>
      </c>
      <c r="C6656" t="s">
        <v>40</v>
      </c>
      <c r="D6656">
        <v>5.2328400000000004</v>
      </c>
      <c r="E6656">
        <v>0.48714629999999998</v>
      </c>
      <c r="F6656" t="s">
        <v>41</v>
      </c>
      <c r="G6656">
        <v>-338.30160000000001</v>
      </c>
      <c r="H6656" s="1">
        <v>-1.1922589999999999E-6</v>
      </c>
      <c r="I6656">
        <v>17.255140000000001</v>
      </c>
      <c r="J6656">
        <v>-355.57490000000001</v>
      </c>
      <c r="K6656">
        <v>1.1203350000000001</v>
      </c>
      <c r="L6656">
        <v>17.195399999999999</v>
      </c>
      <c r="M6656">
        <v>0.9997994</v>
      </c>
      <c r="N6656">
        <v>-8.7653850000000005E-3</v>
      </c>
      <c r="O6656">
        <v>1.8013999999999999E-2</v>
      </c>
      <c r="P6656">
        <v>0.99488989999999999</v>
      </c>
      <c r="Q6656">
        <v>-9.6102359999999998E-2</v>
      </c>
      <c r="R6656">
        <v>3.096086E-2</v>
      </c>
      <c r="S6656">
        <v>2.9963679999999999</v>
      </c>
      <c r="T6656">
        <v>-0.1927239</v>
      </c>
      <c r="U6656">
        <v>1.074219E-2</v>
      </c>
      <c r="V6656">
        <v>-1.3037150000000001E-2</v>
      </c>
      <c r="W6656">
        <v>-8.737404E-2</v>
      </c>
      <c r="X6656">
        <v>0.99609020000000004</v>
      </c>
      <c r="Y6656">
        <v>1.43686E-2</v>
      </c>
      <c r="Z6656">
        <v>-1.52427799999999E-3</v>
      </c>
      <c r="AA6656">
        <v>0.9998956</v>
      </c>
      <c r="AB6656">
        <v>24</v>
      </c>
      <c r="AC6656">
        <v>17.273299999999999</v>
      </c>
      <c r="AD6656">
        <v>-1.1203361922590001</v>
      </c>
      <c r="AE6656">
        <v>5.9740000000001403E-2</v>
      </c>
      <c r="AF6656">
        <v>0.25038953535915098</v>
      </c>
      <c r="AG6656">
        <v>-1.1203361922590001</v>
      </c>
      <c r="AH6656">
        <v>17.199221267982299</v>
      </c>
      <c r="AI6656">
        <v>93.726517864094205</v>
      </c>
      <c r="AJ6656">
        <v>89.165936062124601</v>
      </c>
      <c r="AK6656">
        <v>17.237489966004901</v>
      </c>
      <c r="AL6656">
        <v>95.012555718213903</v>
      </c>
      <c r="AM6656">
        <v>90.749862836741102</v>
      </c>
      <c r="AN6656">
        <v>0.99999993834103995</v>
      </c>
    </row>
    <row r="6657" spans="1:40" x14ac:dyDescent="0.25">
      <c r="A6657" t="str">
        <f>"20190303154313779"</f>
        <v>20190303154313779</v>
      </c>
      <c r="B6657" t="str">
        <f>"1551598993776990"</f>
        <v>1551598993776990</v>
      </c>
      <c r="C6657" t="s">
        <v>40</v>
      </c>
      <c r="D6657">
        <v>5.2505850000000001</v>
      </c>
      <c r="E6657">
        <v>0.47171990000000003</v>
      </c>
      <c r="F6657" t="s">
        <v>43</v>
      </c>
      <c r="G6657">
        <v>-315.60750000000002</v>
      </c>
      <c r="H6657">
        <v>-0.05</v>
      </c>
      <c r="I6657">
        <v>19.858599999999999</v>
      </c>
      <c r="J6657">
        <v>-355.4468</v>
      </c>
      <c r="K6657">
        <v>1.1203299999999901</v>
      </c>
      <c r="L6657">
        <v>17.19772</v>
      </c>
      <c r="M6657">
        <v>0.99979969999999996</v>
      </c>
      <c r="N6657">
        <v>-8.7250959999999999E-3</v>
      </c>
      <c r="O6657">
        <v>1.801502E-2</v>
      </c>
      <c r="P6657">
        <v>0.99490080000000003</v>
      </c>
      <c r="Q6657">
        <v>-9.6006809999999998E-2</v>
      </c>
      <c r="R6657">
        <v>3.0907569999999999E-2</v>
      </c>
      <c r="S6657">
        <v>3.0007320000000002</v>
      </c>
      <c r="T6657">
        <v>-8.7868089999999996E-2</v>
      </c>
      <c r="U6657">
        <v>0.1999512</v>
      </c>
      <c r="V6657">
        <v>-1.298212E-2</v>
      </c>
      <c r="W6657">
        <v>-8.7318549999999995E-2</v>
      </c>
      <c r="X6657">
        <v>0.99609579999999998</v>
      </c>
      <c r="Y6657">
        <v>-4.8476980000000003E-2</v>
      </c>
      <c r="Z6657">
        <v>5.5089470000000004E-4</v>
      </c>
      <c r="AA6657">
        <v>0.99882409999999999</v>
      </c>
      <c r="AB6657">
        <v>24</v>
      </c>
      <c r="AC6657">
        <v>39.839299999999902</v>
      </c>
      <c r="AD6657">
        <v>-1.1703300000000001</v>
      </c>
      <c r="AE6657">
        <v>2.6608799999999899</v>
      </c>
      <c r="AF6657">
        <v>-1.94104746517836</v>
      </c>
      <c r="AG6657">
        <v>-1.1703300000000001</v>
      </c>
      <c r="AH6657">
        <v>39.8465384084435</v>
      </c>
      <c r="AI6657">
        <v>91.680355452903996</v>
      </c>
      <c r="AJ6657">
        <v>92.788849126382701</v>
      </c>
      <c r="AK6657">
        <v>39.910950385909601</v>
      </c>
      <c r="AL6657">
        <v>95.009364100054498</v>
      </c>
      <c r="AM6657">
        <v>90.746693816498706</v>
      </c>
      <c r="AN6657">
        <v>0.99999995369571704</v>
      </c>
    </row>
    <row r="6658" spans="1:40" x14ac:dyDescent="0.25">
      <c r="A6658" t="str">
        <f>"20190303154313791"</f>
        <v>20190303154313791</v>
      </c>
      <c r="B6658" t="str">
        <f>"1551598993786750"</f>
        <v>1551598993786750</v>
      </c>
      <c r="C6658" t="s">
        <v>40</v>
      </c>
      <c r="D6658">
        <v>5.2622679999999997</v>
      </c>
      <c r="E6658">
        <v>0.46653719999999999</v>
      </c>
      <c r="F6658" t="s">
        <v>43</v>
      </c>
      <c r="G6658">
        <v>-312.63290000000001</v>
      </c>
      <c r="H6658">
        <v>-0.05</v>
      </c>
      <c r="I6658">
        <v>21.809570000000001</v>
      </c>
      <c r="J6658">
        <v>-355.31199999999899</v>
      </c>
      <c r="K6658">
        <v>1.120328</v>
      </c>
      <c r="L6658">
        <v>17.200129999999898</v>
      </c>
      <c r="M6658">
        <v>0.99980009999999997</v>
      </c>
      <c r="N6658">
        <v>-8.6856889999999999E-3</v>
      </c>
      <c r="O6658">
        <v>1.8016029999999999E-2</v>
      </c>
      <c r="P6658">
        <v>0.99489179999999999</v>
      </c>
      <c r="Q6658">
        <v>-9.6083890000000005E-2</v>
      </c>
      <c r="R6658">
        <v>3.0958759999999998E-2</v>
      </c>
      <c r="S6658">
        <v>2.9974059999999998</v>
      </c>
      <c r="T6658">
        <v>-8.1935049999999995E-2</v>
      </c>
      <c r="U6658">
        <v>0.322876</v>
      </c>
      <c r="V6658">
        <v>-1.3032810000000001E-2</v>
      </c>
      <c r="W6658">
        <v>-8.7434979999999995E-2</v>
      </c>
      <c r="X6658">
        <v>0.996085</v>
      </c>
      <c r="Y6658">
        <v>-8.9128079999999998E-2</v>
      </c>
      <c r="Z6658">
        <v>1.267956E-3</v>
      </c>
      <c r="AA6658">
        <v>0.9960194</v>
      </c>
      <c r="AB6658">
        <v>24</v>
      </c>
      <c r="AC6658">
        <v>42.679099999999899</v>
      </c>
      <c r="AD6658">
        <v>-1.170328</v>
      </c>
      <c r="AE6658">
        <v>4.6094400000000002</v>
      </c>
      <c r="AF6658">
        <v>-3.8369031059502299</v>
      </c>
      <c r="AG6658">
        <v>-1.170328</v>
      </c>
      <c r="AH6658">
        <v>42.7234643294492</v>
      </c>
      <c r="AI6658">
        <v>91.562829772713499</v>
      </c>
      <c r="AJ6658">
        <v>95.131844284209507</v>
      </c>
      <c r="AK6658">
        <v>42.911372587948698</v>
      </c>
      <c r="AL6658">
        <v>95.016060283659002</v>
      </c>
      <c r="AM6658">
        <v>90.749617152622307</v>
      </c>
      <c r="AN6658">
        <v>1.0000000285445401</v>
      </c>
    </row>
    <row r="6659" spans="1:40" x14ac:dyDescent="0.25">
      <c r="A6659" t="str">
        <f>"20190303154313812"</f>
        <v>20190303154313812</v>
      </c>
      <c r="B6659" t="str">
        <f>"1551598993807246"</f>
        <v>1551598993807246</v>
      </c>
      <c r="C6659" t="s">
        <v>40</v>
      </c>
      <c r="D6659">
        <v>5.2361630000000003</v>
      </c>
      <c r="E6659">
        <v>0.46064539999999998</v>
      </c>
      <c r="F6659" t="s">
        <v>43</v>
      </c>
      <c r="G6659">
        <v>-312.85270000000003</v>
      </c>
      <c r="H6659">
        <v>-0.05</v>
      </c>
      <c r="I6659">
        <v>22.362349999999999</v>
      </c>
      <c r="J6659">
        <v>-355.108</v>
      </c>
      <c r="K6659">
        <v>1.1203240000000001</v>
      </c>
      <c r="L6659">
        <v>17.20383</v>
      </c>
      <c r="M6659">
        <v>0.99980060000000004</v>
      </c>
      <c r="N6659">
        <v>-8.6317340000000003E-3</v>
      </c>
      <c r="O6659">
        <v>1.8017229999999999E-2</v>
      </c>
      <c r="P6659">
        <v>0.99489850000000002</v>
      </c>
      <c r="Q6659">
        <v>-9.5996049999999999E-2</v>
      </c>
      <c r="R6659">
        <v>3.102036E-2</v>
      </c>
      <c r="S6659">
        <v>2.9960330000000002</v>
      </c>
      <c r="T6659">
        <v>-8.2581039999999994E-2</v>
      </c>
      <c r="U6659">
        <v>0.36425780000000002</v>
      </c>
      <c r="V6659">
        <v>-1.3092690000000001E-2</v>
      </c>
      <c r="W6659">
        <v>-8.7400820000000004E-2</v>
      </c>
      <c r="X6659">
        <v>0.99608719999999995</v>
      </c>
      <c r="Y6659">
        <v>-0.1027381</v>
      </c>
      <c r="Z6659">
        <v>1.5160320000000001E-3</v>
      </c>
      <c r="AA6659">
        <v>0.99470729999999996</v>
      </c>
      <c r="AB6659">
        <v>24</v>
      </c>
      <c r="AC6659">
        <v>42.255299999999899</v>
      </c>
      <c r="AD6659">
        <v>-1.1703239999999999</v>
      </c>
      <c r="AE6659">
        <v>5.1585199999999896</v>
      </c>
      <c r="AF6659">
        <v>-4.3930105299648901</v>
      </c>
      <c r="AG6659">
        <v>-1.1703239999999999</v>
      </c>
      <c r="AH6659">
        <v>42.309407360545201</v>
      </c>
      <c r="AI6659">
        <v>91.575991113609902</v>
      </c>
      <c r="AJ6659">
        <v>95.927813049695601</v>
      </c>
      <c r="AK6659">
        <v>42.552957018072398</v>
      </c>
      <c r="AL6659">
        <v>95.014095601688993</v>
      </c>
      <c r="AM6659">
        <v>90.753059253245198</v>
      </c>
      <c r="AN6659">
        <v>1.0000000159359701</v>
      </c>
    </row>
    <row r="6660" spans="1:40" x14ac:dyDescent="0.25">
      <c r="A6660" t="str">
        <f>"20190303154313833"</f>
        <v>20190303154313833</v>
      </c>
      <c r="B6660" t="str">
        <f>"1551598993826765"</f>
        <v>1551598993826765</v>
      </c>
      <c r="C6660" t="s">
        <v>40</v>
      </c>
      <c r="D6660">
        <v>5.1919300000000002</v>
      </c>
      <c r="E6660">
        <v>0.45768560000000003</v>
      </c>
      <c r="F6660" t="s">
        <v>43</v>
      </c>
      <c r="G6660">
        <v>-313.65050000000002</v>
      </c>
      <c r="H6660">
        <v>-0.05</v>
      </c>
      <c r="I6660">
        <v>22.900179999999999</v>
      </c>
      <c r="J6660">
        <v>-354.87450000000001</v>
      </c>
      <c r="K6660">
        <v>1.1203209999999999</v>
      </c>
      <c r="L6660">
        <v>17.208010000000002</v>
      </c>
      <c r="M6660">
        <v>0.99980100000000005</v>
      </c>
      <c r="N6660">
        <v>-8.5764689999999998E-3</v>
      </c>
      <c r="O6660">
        <v>1.8018320000000001E-2</v>
      </c>
      <c r="P6660">
        <v>0.99492329999999995</v>
      </c>
      <c r="Q6660">
        <v>-9.5727999999999994E-2</v>
      </c>
      <c r="R6660">
        <v>3.104999E-2</v>
      </c>
      <c r="S6660">
        <v>2.994415</v>
      </c>
      <c r="T6660">
        <v>-8.4530590000000003E-2</v>
      </c>
      <c r="U6660">
        <v>0.41143800000000003</v>
      </c>
      <c r="V6660">
        <v>-1.3120959999999999E-2</v>
      </c>
      <c r="W6660">
        <v>-8.7187630000000002E-2</v>
      </c>
      <c r="X6660">
        <v>0.99610549999999998</v>
      </c>
      <c r="Y6660">
        <v>-0.1181924</v>
      </c>
      <c r="Z6660">
        <v>1.8173250000000001E-3</v>
      </c>
      <c r="AA6660">
        <v>0.99298909999999996</v>
      </c>
      <c r="AB6660">
        <v>24</v>
      </c>
      <c r="AC6660">
        <v>41.223999999999897</v>
      </c>
      <c r="AD6660">
        <v>-1.1703209999999999</v>
      </c>
      <c r="AE6660">
        <v>5.6921699999999902</v>
      </c>
      <c r="AF6660">
        <v>-4.9445209043079696</v>
      </c>
      <c r="AG6660">
        <v>-1.1703209999999999</v>
      </c>
      <c r="AH6660">
        <v>41.287221171840599</v>
      </c>
      <c r="AI6660">
        <v>91.612148663208501</v>
      </c>
      <c r="AJ6660">
        <v>96.829167029991495</v>
      </c>
      <c r="AK6660">
        <v>41.5987087577086</v>
      </c>
      <c r="AL6660">
        <v>95.001833962473896</v>
      </c>
      <c r="AM6660">
        <v>90.754671222963793</v>
      </c>
      <c r="AN6660">
        <v>1.00000000477329</v>
      </c>
    </row>
    <row r="6661" spans="1:40" x14ac:dyDescent="0.25">
      <c r="A6661" t="str">
        <f>"20190303154313855"</f>
        <v>20190303154313855</v>
      </c>
      <c r="B6661" t="str">
        <f>"1551598993847261"</f>
        <v>1551598993847261</v>
      </c>
      <c r="C6661" t="s">
        <v>40</v>
      </c>
      <c r="D6661">
        <v>5.218934</v>
      </c>
      <c r="E6661">
        <v>0.45556659999999999</v>
      </c>
      <c r="F6661" t="s">
        <v>43</v>
      </c>
      <c r="G6661">
        <v>-315.32069999999999</v>
      </c>
      <c r="H6661">
        <v>-0.05</v>
      </c>
      <c r="I6661">
        <v>22.95506</v>
      </c>
      <c r="J6661">
        <v>-354.63639999999998</v>
      </c>
      <c r="K6661">
        <v>1.1203160000000001</v>
      </c>
      <c r="L6661">
        <v>17.21228</v>
      </c>
      <c r="M6661">
        <v>0.99980139999999995</v>
      </c>
      <c r="N6661">
        <v>-8.5269009999999999E-3</v>
      </c>
      <c r="O6661">
        <v>1.8019250000000001E-2</v>
      </c>
      <c r="P6661">
        <v>0.99497089999999999</v>
      </c>
      <c r="Q6661">
        <v>-9.5295169999999998E-2</v>
      </c>
      <c r="R6661">
        <v>3.085719E-2</v>
      </c>
      <c r="S6661">
        <v>2.9932249999999998</v>
      </c>
      <c r="T6661">
        <v>-8.8563680000000006E-2</v>
      </c>
      <c r="U6661">
        <v>0.43490600000000001</v>
      </c>
      <c r="V6661">
        <v>-1.2926180000000001E-2</v>
      </c>
      <c r="W6661">
        <v>-8.6803839999999993E-2</v>
      </c>
      <c r="X6661">
        <v>0.99614159999999996</v>
      </c>
      <c r="Y6661">
        <v>-0.12586510000000001</v>
      </c>
      <c r="Z6661">
        <v>2.014329E-3</v>
      </c>
      <c r="AA6661">
        <v>0.99204530000000002</v>
      </c>
      <c r="AB6661">
        <v>24</v>
      </c>
      <c r="AC6661">
        <v>39.3156999999999</v>
      </c>
      <c r="AD6661">
        <v>-1.1703159999999999</v>
      </c>
      <c r="AE6661">
        <v>5.7427799999999998</v>
      </c>
      <c r="AF6661">
        <v>-5.02901940001456</v>
      </c>
      <c r="AG6661">
        <v>-1.1703159999999999</v>
      </c>
      <c r="AH6661">
        <v>39.378636772715197</v>
      </c>
      <c r="AI6661">
        <v>91.688598127011701</v>
      </c>
      <c r="AJ6661">
        <v>97.277810124861801</v>
      </c>
      <c r="AK6661">
        <v>39.715711119694397</v>
      </c>
      <c r="AL6661">
        <v>94.979760552706395</v>
      </c>
      <c r="AM6661">
        <v>90.743442492916898</v>
      </c>
      <c r="AN6661">
        <v>1.0000000400093401</v>
      </c>
    </row>
    <row r="6662" spans="1:40" x14ac:dyDescent="0.25">
      <c r="A6662" t="str">
        <f>"20190303154313867"</f>
        <v>20190303154313867</v>
      </c>
      <c r="B6662" t="str">
        <f>"1551598993857021"</f>
        <v>1551598993857021</v>
      </c>
      <c r="C6662" t="s">
        <v>40</v>
      </c>
      <c r="D6662">
        <v>5.2067240000000004</v>
      </c>
      <c r="E6662">
        <v>0.45504250000000002</v>
      </c>
      <c r="F6662" t="s">
        <v>43</v>
      </c>
      <c r="G6662">
        <v>-316.29969999999997</v>
      </c>
      <c r="H6662">
        <v>-0.05</v>
      </c>
      <c r="I6662">
        <v>22.992450000000002</v>
      </c>
      <c r="J6662">
        <v>-354.49189999999999</v>
      </c>
      <c r="K6662">
        <v>1.1203129999999999</v>
      </c>
      <c r="L6662">
        <v>17.214870000000001</v>
      </c>
      <c r="M6662">
        <v>0.99980150000000001</v>
      </c>
      <c r="N6662">
        <v>-8.5006279999999997E-3</v>
      </c>
      <c r="O6662">
        <v>1.8019670000000002E-2</v>
      </c>
      <c r="P6662">
        <v>0.99498589999999998</v>
      </c>
      <c r="Q6662">
        <v>-9.5161350000000006E-2</v>
      </c>
      <c r="R6662">
        <v>3.078235E-2</v>
      </c>
      <c r="S6662">
        <v>2.9923709999999999</v>
      </c>
      <c r="T6662">
        <v>-9.1349120000000006E-2</v>
      </c>
      <c r="U6662">
        <v>0.45117190000000001</v>
      </c>
      <c r="V6662">
        <v>-1.2850779999999999E-2</v>
      </c>
      <c r="W6662">
        <v>-8.6696099999999998E-2</v>
      </c>
      <c r="X6662">
        <v>0.99615189999999998</v>
      </c>
      <c r="Y6662">
        <v>-0.1311735</v>
      </c>
      <c r="Z6662">
        <v>2.1570000000000001E-3</v>
      </c>
      <c r="AA6662">
        <v>0.99135709999999999</v>
      </c>
      <c r="AB6662">
        <v>24</v>
      </c>
      <c r="AC6662">
        <v>38.1922</v>
      </c>
      <c r="AD6662">
        <v>-1.1703129999999999</v>
      </c>
      <c r="AE6662">
        <v>5.7775800000000004</v>
      </c>
      <c r="AF6662">
        <v>-5.08373942118555</v>
      </c>
      <c r="AG6662">
        <v>-1.1703129999999999</v>
      </c>
      <c r="AH6662">
        <v>38.254995323327698</v>
      </c>
      <c r="AI6662">
        <v>91.737009042612897</v>
      </c>
      <c r="AJ6662">
        <v>97.569733183403201</v>
      </c>
      <c r="AK6662">
        <v>38.609049537748398</v>
      </c>
      <c r="AL6662">
        <v>94.973564434731301</v>
      </c>
      <c r="AM6662">
        <v>90.739098742417795</v>
      </c>
      <c r="AN6662">
        <v>0.99999998208771401</v>
      </c>
    </row>
    <row r="6663" spans="1:40" x14ac:dyDescent="0.25">
      <c r="A6663" t="str">
        <f>"20190303154313879"</f>
        <v>20190303154313879</v>
      </c>
      <c r="B6663" t="str">
        <f>"1551598993876542"</f>
        <v>1551598993876542</v>
      </c>
      <c r="C6663" t="s">
        <v>40</v>
      </c>
      <c r="D6663">
        <v>5.1359250000000003</v>
      </c>
      <c r="E6663">
        <v>0.45368910000000001</v>
      </c>
      <c r="F6663" t="s">
        <v>43</v>
      </c>
      <c r="G6663">
        <v>-315.78190000000001</v>
      </c>
      <c r="H6663">
        <v>-0.05</v>
      </c>
      <c r="I6663">
        <v>23.102209999999999</v>
      </c>
      <c r="J6663">
        <v>-354.36070000000001</v>
      </c>
      <c r="K6663">
        <v>1.120312</v>
      </c>
      <c r="L6663">
        <v>17.21725</v>
      </c>
      <c r="M6663">
        <v>0.99980170000000002</v>
      </c>
      <c r="N6663">
        <v>-8.4781270000000002E-3</v>
      </c>
      <c r="O6663">
        <v>1.8019940000000002E-2</v>
      </c>
      <c r="P6663">
        <v>0.99500010000000005</v>
      </c>
      <c r="Q6663">
        <v>-9.5040470000000002E-2</v>
      </c>
      <c r="R6663">
        <v>3.0700310000000001E-2</v>
      </c>
      <c r="S6663">
        <v>2.9924010000000001</v>
      </c>
      <c r="T6663">
        <v>-9.0468759999999995E-2</v>
      </c>
      <c r="U6663">
        <v>0.45510859999999898</v>
      </c>
      <c r="V6663">
        <v>-1.276823E-2</v>
      </c>
      <c r="W6663">
        <v>-8.6597519999999997E-2</v>
      </c>
      <c r="X6663">
        <v>0.99616159999999998</v>
      </c>
      <c r="Y6663">
        <v>-0.13244710000000001</v>
      </c>
      <c r="Z6663">
        <v>2.165653E-3</v>
      </c>
      <c r="AA6663">
        <v>0.9911877</v>
      </c>
      <c r="AB6663">
        <v>24</v>
      </c>
      <c r="AC6663">
        <v>38.578800000000001</v>
      </c>
      <c r="AD6663">
        <v>-1.170312</v>
      </c>
      <c r="AE6663">
        <v>5.8849600000000004</v>
      </c>
      <c r="AF6663">
        <v>-5.1841295342501601</v>
      </c>
      <c r="AG6663">
        <v>-1.170312</v>
      </c>
      <c r="AH6663">
        <v>38.643832561660702</v>
      </c>
      <c r="AI6663">
        <v>91.719256020893695</v>
      </c>
      <c r="AJ6663">
        <v>97.640699181749994</v>
      </c>
      <c r="AK6663">
        <v>39.007571370938997</v>
      </c>
      <c r="AL6663">
        <v>94.967894577049407</v>
      </c>
      <c r="AM6663">
        <v>90.734344340000206</v>
      </c>
      <c r="AN6663">
        <v>1.0000000457410201</v>
      </c>
    </row>
    <row r="6664" spans="1:40" x14ac:dyDescent="0.25">
      <c r="A6664" t="str">
        <f>"20190303154313898"</f>
        <v>20190303154313898</v>
      </c>
      <c r="B6664" t="str">
        <f>"1551598993897038"</f>
        <v>1551598993897038</v>
      </c>
      <c r="C6664" t="s">
        <v>40</v>
      </c>
      <c r="D6664">
        <v>5.1988269999999996</v>
      </c>
      <c r="E6664">
        <v>0.45262570000000002</v>
      </c>
      <c r="F6664" t="s">
        <v>43</v>
      </c>
      <c r="G6664">
        <v>-316.85079999999999</v>
      </c>
      <c r="H6664">
        <v>-0.05</v>
      </c>
      <c r="I6664">
        <v>23.05367</v>
      </c>
      <c r="J6664">
        <v>-354.15100000000001</v>
      </c>
      <c r="K6664">
        <v>1.1203149999999999</v>
      </c>
      <c r="L6664">
        <v>17.221039999999999</v>
      </c>
      <c r="M6664">
        <v>0.99980210000000003</v>
      </c>
      <c r="N6664">
        <v>-8.4461359999999999E-3</v>
      </c>
      <c r="O6664">
        <v>1.8020080000000001E-2</v>
      </c>
      <c r="P6664">
        <v>0.99504360000000003</v>
      </c>
      <c r="Q6664">
        <v>-9.4565410000000003E-2</v>
      </c>
      <c r="R6664">
        <v>3.0755419999999999E-2</v>
      </c>
      <c r="S6664">
        <v>2.9918209999999998</v>
      </c>
      <c r="T6664">
        <v>-9.3344930000000007E-2</v>
      </c>
      <c r="U6664">
        <v>0.46551510000000001</v>
      </c>
      <c r="V6664">
        <v>-1.2822409999999999E-2</v>
      </c>
      <c r="W6664">
        <v>-8.6153960000000002E-2</v>
      </c>
      <c r="X6664">
        <v>0.99619930000000001</v>
      </c>
      <c r="Y6664">
        <v>-0.1358367</v>
      </c>
      <c r="Z6664">
        <v>2.2759540000000002E-3</v>
      </c>
      <c r="AA6664">
        <v>0.99072859999999996</v>
      </c>
      <c r="AB6664">
        <v>24</v>
      </c>
      <c r="AC6664">
        <v>37.300199999999997</v>
      </c>
      <c r="AD6664">
        <v>-1.170315</v>
      </c>
      <c r="AE6664">
        <v>5.83263</v>
      </c>
      <c r="AF6664">
        <v>-5.1545532317915903</v>
      </c>
      <c r="AG6664">
        <v>-1.170315</v>
      </c>
      <c r="AH6664">
        <v>37.363347583736797</v>
      </c>
      <c r="AI6664">
        <v>91.7772410580544</v>
      </c>
      <c r="AJ6664">
        <v>97.854800156367801</v>
      </c>
      <c r="AK6664">
        <v>37.735378610552402</v>
      </c>
      <c r="AL6664">
        <v>94.942385438794304</v>
      </c>
      <c r="AM6664">
        <v>90.737432167454003</v>
      </c>
      <c r="AN6664">
        <v>0.99999998217118902</v>
      </c>
    </row>
    <row r="6665" spans="1:40" x14ac:dyDescent="0.25">
      <c r="A6665" t="str">
        <f>"20190303154313921"</f>
        <v>20190303154313921</v>
      </c>
      <c r="B6665" t="str">
        <f>"1551598993916557"</f>
        <v>1551598993916557</v>
      </c>
      <c r="C6665" t="s">
        <v>40</v>
      </c>
      <c r="D6665">
        <v>5.1784509999999999</v>
      </c>
      <c r="E6665">
        <v>0.45207599999999998</v>
      </c>
      <c r="F6665" t="s">
        <v>43</v>
      </c>
      <c r="G6665">
        <v>-316.4409</v>
      </c>
      <c r="H6665">
        <v>-0.05</v>
      </c>
      <c r="I6665">
        <v>23.1981</v>
      </c>
      <c r="J6665">
        <v>-353.91239999999999</v>
      </c>
      <c r="K6665">
        <v>1.1203160000000001</v>
      </c>
      <c r="L6665">
        <v>17.225339999999999</v>
      </c>
      <c r="M6665">
        <v>0.99980219999999997</v>
      </c>
      <c r="N6665">
        <v>-8.4146840000000004E-3</v>
      </c>
      <c r="O6665">
        <v>1.802057E-2</v>
      </c>
      <c r="P6665">
        <v>0.99507120000000004</v>
      </c>
      <c r="Q6665">
        <v>-9.4264829999999994E-2</v>
      </c>
      <c r="R6665">
        <v>3.0780970000000001E-2</v>
      </c>
      <c r="S6665">
        <v>2.9914860000000001</v>
      </c>
      <c r="T6665">
        <v>-9.2839240000000003E-2</v>
      </c>
      <c r="U6665">
        <v>0.47415160000000001</v>
      </c>
      <c r="V6665">
        <v>-1.2846929999999999E-2</v>
      </c>
      <c r="W6665">
        <v>-8.5884500000000003E-2</v>
      </c>
      <c r="X6665">
        <v>0.99622230000000001</v>
      </c>
      <c r="Y6665">
        <v>-0.13864309999999999</v>
      </c>
      <c r="Z6665">
        <v>2.3199280000000002E-3</v>
      </c>
      <c r="AA6665">
        <v>0.99033970000000004</v>
      </c>
      <c r="AB6665">
        <v>24</v>
      </c>
      <c r="AC6665">
        <v>37.471499999999899</v>
      </c>
      <c r="AD6665">
        <v>-1.1703159999999999</v>
      </c>
      <c r="AE6665">
        <v>5.9727600000000001</v>
      </c>
      <c r="AF6665">
        <v>-5.2914746822050001</v>
      </c>
      <c r="AG6665">
        <v>-1.1703159999999999</v>
      </c>
      <c r="AH6665">
        <v>37.537342669031602</v>
      </c>
      <c r="AI6665">
        <v>91.768282490847795</v>
      </c>
      <c r="AJ6665">
        <v>98.023865441845302</v>
      </c>
      <c r="AK6665">
        <v>37.926526844737197</v>
      </c>
      <c r="AL6665">
        <v>94.926888839019696</v>
      </c>
      <c r="AM6665">
        <v>90.738825129949106</v>
      </c>
      <c r="AN6665">
        <v>1.00000003098398</v>
      </c>
    </row>
    <row r="6666" spans="1:40" x14ac:dyDescent="0.25">
      <c r="A6666" t="str">
        <f>"20190303154313933"</f>
        <v>20190303154313933</v>
      </c>
      <c r="B6666" t="str">
        <f>"1551598993927294"</f>
        <v>1551598993927294</v>
      </c>
      <c r="C6666" t="s">
        <v>40</v>
      </c>
      <c r="D6666">
        <v>5.1636739999999897</v>
      </c>
      <c r="E6666">
        <v>0.45169900000000002</v>
      </c>
      <c r="F6666" t="s">
        <v>43</v>
      </c>
      <c r="G6666">
        <v>-315.53339999999997</v>
      </c>
      <c r="H6666">
        <v>-0.05</v>
      </c>
      <c r="I6666">
        <v>23.366810000000001</v>
      </c>
      <c r="J6666">
        <v>-353.77890000000002</v>
      </c>
      <c r="K6666">
        <v>1.120314</v>
      </c>
      <c r="L6666">
        <v>17.22775</v>
      </c>
      <c r="M6666">
        <v>0.99980239999999998</v>
      </c>
      <c r="N6666">
        <v>-8.3990019999999992E-3</v>
      </c>
      <c r="O6666">
        <v>1.8020640000000001E-2</v>
      </c>
      <c r="P6666">
        <v>0.99511400000000005</v>
      </c>
      <c r="Q6666">
        <v>-9.3803200000000003E-2</v>
      </c>
      <c r="R6666">
        <v>3.0809920000000001E-2</v>
      </c>
      <c r="S6666">
        <v>2.9914550000000002</v>
      </c>
      <c r="T6666">
        <v>-9.1220620000000002E-2</v>
      </c>
      <c r="U6666">
        <v>0.47869869999999998</v>
      </c>
      <c r="V6666">
        <v>-1.2874979999999999E-2</v>
      </c>
      <c r="W6666">
        <v>-8.5438150000000004E-2</v>
      </c>
      <c r="X6666">
        <v>0.99626029999999999</v>
      </c>
      <c r="Y6666">
        <v>-0.14011409999999999</v>
      </c>
      <c r="Z6666">
        <v>2.3193599999999999E-3</v>
      </c>
      <c r="AA6666">
        <v>0.99013260000000003</v>
      </c>
      <c r="AB6666">
        <v>25</v>
      </c>
      <c r="AC6666">
        <v>38.2455</v>
      </c>
      <c r="AD6666">
        <v>-1.1703139999999901</v>
      </c>
      <c r="AE6666">
        <v>6.1390599999999997</v>
      </c>
      <c r="AF6666">
        <v>-5.44386099608667</v>
      </c>
      <c r="AG6666">
        <v>-1.1703139999999901</v>
      </c>
      <c r="AH6666">
        <v>38.314947238577702</v>
      </c>
      <c r="AI6666">
        <v>91.732146076545504</v>
      </c>
      <c r="AJ6666">
        <v>98.086568580772493</v>
      </c>
      <c r="AK6666">
        <v>38.717443604895998</v>
      </c>
      <c r="AL6666">
        <v>94.901220603305006</v>
      </c>
      <c r="AM6666">
        <v>90.740409862963901</v>
      </c>
      <c r="AN6666">
        <v>1.0000000139707499</v>
      </c>
    </row>
    <row r="6667" spans="1:40" x14ac:dyDescent="0.25">
      <c r="A6667" t="str">
        <f>"20190303154313944"</f>
        <v>20190303154313944</v>
      </c>
      <c r="B6667" t="str">
        <f>"1551598993937054"</f>
        <v>1551598993937054</v>
      </c>
      <c r="C6667" t="s">
        <v>40</v>
      </c>
      <c r="D6667">
        <v>5.1197089999999896</v>
      </c>
      <c r="E6667">
        <v>0.45153159999999998</v>
      </c>
      <c r="F6667" t="s">
        <v>43</v>
      </c>
      <c r="G6667">
        <v>-314.99549999999999</v>
      </c>
      <c r="H6667">
        <v>-0.05</v>
      </c>
      <c r="I6667">
        <v>23.473510000000001</v>
      </c>
      <c r="J6667">
        <v>-353.64729999999997</v>
      </c>
      <c r="K6667">
        <v>1.1203129999999999</v>
      </c>
      <c r="L6667">
        <v>17.2301</v>
      </c>
      <c r="M6667">
        <v>0.99980239999999998</v>
      </c>
      <c r="N6667">
        <v>-8.3851810000000002E-3</v>
      </c>
      <c r="O6667">
        <v>1.802082E-2</v>
      </c>
      <c r="P6667">
        <v>0.99510719999999997</v>
      </c>
      <c r="Q6667">
        <v>-9.3859739999999997E-2</v>
      </c>
      <c r="R6667">
        <v>3.0856939999999999E-2</v>
      </c>
      <c r="S6667">
        <v>2.9912719999999999</v>
      </c>
      <c r="T6667">
        <v>-9.0263369999999996E-2</v>
      </c>
      <c r="U6667">
        <v>0.48171999999999998</v>
      </c>
      <c r="V6667">
        <v>-1.292193E-2</v>
      </c>
      <c r="W6667">
        <v>-8.5508500000000001E-2</v>
      </c>
      <c r="X6667">
        <v>0.99625370000000002</v>
      </c>
      <c r="Y6667">
        <v>-0.14109910000000001</v>
      </c>
      <c r="Z6667">
        <v>2.3205209999999999E-3</v>
      </c>
      <c r="AA6667">
        <v>0.98999269999999995</v>
      </c>
      <c r="AB6667">
        <v>25</v>
      </c>
      <c r="AC6667">
        <v>38.651799999999902</v>
      </c>
      <c r="AD6667">
        <v>-1.1703129999999999</v>
      </c>
      <c r="AE6667">
        <v>6.2434099999999999</v>
      </c>
      <c r="AF6667">
        <v>-5.5408838236325701</v>
      </c>
      <c r="AG6667">
        <v>-1.1703129999999999</v>
      </c>
      <c r="AH6667">
        <v>38.723440186531903</v>
      </c>
      <c r="AI6667">
        <v>91.713642235710495</v>
      </c>
      <c r="AJ6667">
        <v>98.143099641049503</v>
      </c>
      <c r="AK6667">
        <v>39.135352891533699</v>
      </c>
      <c r="AL6667">
        <v>94.9052659531514</v>
      </c>
      <c r="AM6667">
        <v>90.743114467393696</v>
      </c>
      <c r="AN6667">
        <v>1.00000005730543</v>
      </c>
    </row>
    <row r="6668" spans="1:40" x14ac:dyDescent="0.25">
      <c r="A6668" t="str">
        <f>"20190303154313957"</f>
        <v>20190303154313957</v>
      </c>
      <c r="B6668" t="str">
        <f>"1551598993946814"</f>
        <v>1551598993946814</v>
      </c>
      <c r="C6668" t="s">
        <v>40</v>
      </c>
      <c r="D6668">
        <v>5.1230710000000004</v>
      </c>
      <c r="E6668">
        <v>0.45139410000000002</v>
      </c>
      <c r="F6668" t="s">
        <v>43</v>
      </c>
      <c r="G6668">
        <v>-314.71030000000002</v>
      </c>
      <c r="H6668">
        <v>-0.05</v>
      </c>
      <c r="I6668">
        <v>23.52045</v>
      </c>
      <c r="J6668">
        <v>-353.50819999999999</v>
      </c>
      <c r="K6668">
        <v>1.120309</v>
      </c>
      <c r="L6668">
        <v>17.23264</v>
      </c>
      <c r="M6668">
        <v>0.99980250000000004</v>
      </c>
      <c r="N6668">
        <v>-8.3717710000000001E-3</v>
      </c>
      <c r="O6668">
        <v>1.8020870000000001E-2</v>
      </c>
      <c r="P6668">
        <v>0.99513689999999999</v>
      </c>
      <c r="Q6668">
        <v>-9.3553490000000003E-2</v>
      </c>
      <c r="R6668">
        <v>3.0827500000000001E-2</v>
      </c>
      <c r="S6668">
        <v>2.9912719999999999</v>
      </c>
      <c r="T6668">
        <v>-8.9907409999999993E-2</v>
      </c>
      <c r="U6668">
        <v>0.4832458</v>
      </c>
      <c r="V6668">
        <v>-1.289185E-2</v>
      </c>
      <c r="W6668">
        <v>-8.5215379999999993E-2</v>
      </c>
      <c r="X6668">
        <v>0.99627909999999997</v>
      </c>
      <c r="Y6668">
        <v>-0.14159150000000001</v>
      </c>
      <c r="Z6668">
        <v>2.3224999999999999E-3</v>
      </c>
      <c r="AA6668">
        <v>0.98992250000000004</v>
      </c>
      <c r="AB6668">
        <v>25</v>
      </c>
      <c r="AC6668">
        <v>38.797899999999899</v>
      </c>
      <c r="AD6668">
        <v>-1.170309</v>
      </c>
      <c r="AE6668">
        <v>6.2878099999999897</v>
      </c>
      <c r="AF6668">
        <v>-5.5826428589505301</v>
      </c>
      <c r="AG6668">
        <v>-1.170309</v>
      </c>
      <c r="AH6668">
        <v>38.870452660134902</v>
      </c>
      <c r="AI6668">
        <v>91.707031290347601</v>
      </c>
      <c r="AJ6668">
        <v>98.173030951155894</v>
      </c>
      <c r="AK6668">
        <v>39.286735858936602</v>
      </c>
      <c r="AL6668">
        <v>94.888410402099595</v>
      </c>
      <c r="AM6668">
        <v>90.741365920393605</v>
      </c>
      <c r="AN6668">
        <v>0.99999995294088695</v>
      </c>
    </row>
    <row r="6669" spans="1:40" x14ac:dyDescent="0.25">
      <c r="A6669" t="str">
        <f>"20190303154313969"</f>
        <v>20190303154313969</v>
      </c>
      <c r="B6669" t="str">
        <f>"1551598993956574"</f>
        <v>1551598993956574</v>
      </c>
      <c r="C6669" t="s">
        <v>40</v>
      </c>
      <c r="D6669">
        <v>5.1488490000000002</v>
      </c>
      <c r="E6669">
        <v>0.45114470000000001</v>
      </c>
      <c r="F6669" t="s">
        <v>43</v>
      </c>
      <c r="G6669">
        <v>-313.51029999999997</v>
      </c>
      <c r="H6669">
        <v>-0.05</v>
      </c>
      <c r="I6669">
        <v>23.708390000000001</v>
      </c>
      <c r="J6669">
        <v>-353.37119999999999</v>
      </c>
      <c r="K6669">
        <v>1.120306</v>
      </c>
      <c r="L6669">
        <v>17.23508</v>
      </c>
      <c r="M6669">
        <v>0.99980259999999999</v>
      </c>
      <c r="N6669">
        <v>-8.3626599999999992E-3</v>
      </c>
      <c r="O6669">
        <v>1.802109E-2</v>
      </c>
      <c r="P6669">
        <v>0.99514930000000001</v>
      </c>
      <c r="Q6669">
        <v>-9.3370750000000002E-2</v>
      </c>
      <c r="R6669">
        <v>3.098248E-2</v>
      </c>
      <c r="S6669">
        <v>2.9913940000000001</v>
      </c>
      <c r="T6669">
        <v>-8.7525839999999994E-2</v>
      </c>
      <c r="U6669">
        <v>0.48431400000000002</v>
      </c>
      <c r="V6669">
        <v>-1.3046439999999999E-2</v>
      </c>
      <c r="W6669">
        <v>-8.5041599999999995E-2</v>
      </c>
      <c r="X6669">
        <v>0.99629199999999996</v>
      </c>
      <c r="Y6669">
        <v>-0.14193269999999999</v>
      </c>
      <c r="Z6669">
        <v>2.2862519999999999E-3</v>
      </c>
      <c r="AA6669">
        <v>0.98987360000000002</v>
      </c>
      <c r="AB6669">
        <v>25</v>
      </c>
      <c r="AC6669">
        <v>39.860900000000001</v>
      </c>
      <c r="AD6669">
        <v>-1.1703059999999901</v>
      </c>
      <c r="AE6669">
        <v>6.4733099999999899</v>
      </c>
      <c r="AF6669">
        <v>-5.7490683660592898</v>
      </c>
      <c r="AG6669">
        <v>-1.1703059999999901</v>
      </c>
      <c r="AH6669">
        <v>39.937545227009799</v>
      </c>
      <c r="AI6669">
        <v>91.661365598784897</v>
      </c>
      <c r="AJ6669">
        <v>98.1915392698169</v>
      </c>
      <c r="AK6669">
        <v>40.366185377995699</v>
      </c>
      <c r="AL6669">
        <v>94.878416955962095</v>
      </c>
      <c r="AM6669">
        <v>90.750245135857298</v>
      </c>
      <c r="AN6669">
        <v>1.00000001629561</v>
      </c>
    </row>
    <row r="6670" spans="1:40" x14ac:dyDescent="0.25">
      <c r="A6670" t="str">
        <f>"20190303154313981"</f>
        <v>20190303154313981</v>
      </c>
      <c r="B6670" t="str">
        <f>"1551598993977069"</f>
        <v>1551598993977069</v>
      </c>
      <c r="C6670" t="s">
        <v>40</v>
      </c>
      <c r="D6670">
        <v>5.1009320000000002</v>
      </c>
      <c r="E6670">
        <v>0.4507352</v>
      </c>
      <c r="F6670" t="s">
        <v>43</v>
      </c>
      <c r="G6670">
        <v>-313.16019999999997</v>
      </c>
      <c r="H6670">
        <v>-0.05</v>
      </c>
      <c r="I6670">
        <v>23.778359999999999</v>
      </c>
      <c r="J6670">
        <v>-353.23759999999999</v>
      </c>
      <c r="K6670">
        <v>1.120306</v>
      </c>
      <c r="L6670">
        <v>17.237490000000001</v>
      </c>
      <c r="M6670">
        <v>0.99980279999999999</v>
      </c>
      <c r="N6670">
        <v>-8.3573629999999996E-3</v>
      </c>
      <c r="O6670">
        <v>1.8021289999999999E-2</v>
      </c>
      <c r="P6670">
        <v>0.99514130000000001</v>
      </c>
      <c r="Q6670">
        <v>-9.3404650000000006E-2</v>
      </c>
      <c r="R6670">
        <v>3.1139429999999999E-2</v>
      </c>
      <c r="S6670">
        <v>2.9913020000000001</v>
      </c>
      <c r="T6670">
        <v>-8.7059259999999999E-2</v>
      </c>
      <c r="U6670">
        <v>0.4867554</v>
      </c>
      <c r="V6670">
        <v>-1.3203650000000001E-2</v>
      </c>
      <c r="W6670">
        <v>-8.5080799999999998E-2</v>
      </c>
      <c r="X6670">
        <v>0.99628660000000002</v>
      </c>
      <c r="Y6670">
        <v>-0.14272470000000001</v>
      </c>
      <c r="Z6670">
        <v>2.2923280000000002E-3</v>
      </c>
      <c r="AA6670">
        <v>0.98975979999999997</v>
      </c>
      <c r="AB6670">
        <v>25</v>
      </c>
      <c r="AC6670">
        <v>40.077399999999997</v>
      </c>
      <c r="AD6670">
        <v>-1.1703059999999901</v>
      </c>
      <c r="AE6670">
        <v>6.5408699999999902</v>
      </c>
      <c r="AF6670">
        <v>-5.8127081909309597</v>
      </c>
      <c r="AG6670">
        <v>-1.1703059999999901</v>
      </c>
      <c r="AH6670">
        <v>40.155417707978899</v>
      </c>
      <c r="AI6670">
        <v>91.652168791660102</v>
      </c>
      <c r="AJ6670">
        <v>98.2366532998591</v>
      </c>
      <c r="AK6670">
        <v>40.590821178547401</v>
      </c>
      <c r="AL6670">
        <v>94.880671032975897</v>
      </c>
      <c r="AM6670">
        <v>90.759288675471197</v>
      </c>
      <c r="AN6670">
        <v>1.00000003412076</v>
      </c>
    </row>
    <row r="6671" spans="1:40" x14ac:dyDescent="0.25">
      <c r="A6671" t="str">
        <f>"20190303154313999"</f>
        <v>20190303154313999</v>
      </c>
      <c r="B6671" t="str">
        <f>"1551598993996590"</f>
        <v>1551598993996590</v>
      </c>
      <c r="C6671" t="s">
        <v>40</v>
      </c>
      <c r="D6671">
        <v>5.1111570000000004</v>
      </c>
      <c r="E6671">
        <v>0.45028590000000002</v>
      </c>
      <c r="F6671" t="s">
        <v>43</v>
      </c>
      <c r="G6671">
        <v>-312.9033</v>
      </c>
      <c r="H6671">
        <v>-0.05</v>
      </c>
      <c r="I6671">
        <v>23.850549999999998</v>
      </c>
      <c r="J6671">
        <v>-353.04469999999998</v>
      </c>
      <c r="K6671">
        <v>1.1203069999999999</v>
      </c>
      <c r="L6671">
        <v>17.240970000000001</v>
      </c>
      <c r="M6671">
        <v>0.99980279999999999</v>
      </c>
      <c r="N6671">
        <v>-8.3575509999999995E-3</v>
      </c>
      <c r="O6671">
        <v>1.8021470000000001E-2</v>
      </c>
      <c r="P6671">
        <v>0.99518019999999996</v>
      </c>
      <c r="Q6671">
        <v>-9.2896480000000003E-2</v>
      </c>
      <c r="R6671">
        <v>3.1411759999999997E-2</v>
      </c>
      <c r="S6671">
        <v>2.9911500000000002</v>
      </c>
      <c r="T6671">
        <v>-8.6788649999999995E-2</v>
      </c>
      <c r="U6671">
        <v>0.49041750000000001</v>
      </c>
      <c r="V6671">
        <v>-1.347454E-2</v>
      </c>
      <c r="W6671">
        <v>-8.4572060000000004E-2</v>
      </c>
      <c r="X6671">
        <v>0.9963263</v>
      </c>
      <c r="Y6671">
        <v>-0.1439124</v>
      </c>
      <c r="Z6671">
        <v>2.3096330000000002E-3</v>
      </c>
      <c r="AA6671">
        <v>0.98958769999999996</v>
      </c>
      <c r="AB6671">
        <v>25</v>
      </c>
      <c r="AC6671">
        <v>40.141399999999898</v>
      </c>
      <c r="AD6671">
        <v>-1.170307</v>
      </c>
      <c r="AE6671">
        <v>6.6095799999999896</v>
      </c>
      <c r="AF6671">
        <v>-5.8802081287790404</v>
      </c>
      <c r="AG6671">
        <v>-1.170307</v>
      </c>
      <c r="AH6671">
        <v>40.220714236633903</v>
      </c>
      <c r="AI6671">
        <v>91.649150538795794</v>
      </c>
      <c r="AJ6671">
        <v>98.317630762843905</v>
      </c>
      <c r="AK6671">
        <v>40.665124121499701</v>
      </c>
      <c r="AL6671">
        <v>94.851416880207793</v>
      </c>
      <c r="AM6671">
        <v>90.774833715115705</v>
      </c>
      <c r="AN6671">
        <v>1.0000000463162699</v>
      </c>
    </row>
    <row r="6672" spans="1:40" x14ac:dyDescent="0.25">
      <c r="A6672" t="str">
        <f>"20190303154314013"</f>
        <v>20190303154314013</v>
      </c>
      <c r="B6672" t="str">
        <f>"1551598994007326"</f>
        <v>1551598994007326</v>
      </c>
      <c r="C6672" t="s">
        <v>40</v>
      </c>
      <c r="D6672">
        <v>5.1282110000000003</v>
      </c>
      <c r="E6672">
        <v>0.45003130000000002</v>
      </c>
      <c r="F6672" t="s">
        <v>43</v>
      </c>
      <c r="G6672">
        <v>-312.6379</v>
      </c>
      <c r="H6672">
        <v>-0.05</v>
      </c>
      <c r="I6672">
        <v>23.925630000000002</v>
      </c>
      <c r="J6672">
        <v>-352.88639999999998</v>
      </c>
      <c r="K6672">
        <v>1.1203110000000001</v>
      </c>
      <c r="L6672">
        <v>17.243839999999999</v>
      </c>
      <c r="M6672">
        <v>0.99980259999999999</v>
      </c>
      <c r="N6672">
        <v>-8.3669499999999997E-3</v>
      </c>
      <c r="O6672">
        <v>1.8021720000000001E-2</v>
      </c>
      <c r="P6672">
        <v>0.99518260000000003</v>
      </c>
      <c r="Q6672">
        <v>-9.2801679999999998E-2</v>
      </c>
      <c r="R6672">
        <v>3.1612630000000003E-2</v>
      </c>
      <c r="S6672">
        <v>2.9908139999999999</v>
      </c>
      <c r="T6672">
        <v>-8.6623190000000003E-2</v>
      </c>
      <c r="U6672">
        <v>0.49478149999999999</v>
      </c>
      <c r="V6672">
        <v>-1.3675629999999999E-2</v>
      </c>
      <c r="W6672">
        <v>-8.4467849999999997E-2</v>
      </c>
      <c r="X6672">
        <v>0.99633229999999995</v>
      </c>
      <c r="Y6672">
        <v>-0.14533499999999999</v>
      </c>
      <c r="Z6672">
        <v>2.3340100000000001E-3</v>
      </c>
      <c r="AA6672">
        <v>0.98937980000000003</v>
      </c>
      <c r="AB6672">
        <v>25</v>
      </c>
      <c r="AC6672">
        <v>40.2484999999999</v>
      </c>
      <c r="AD6672">
        <v>-1.1703110000000001</v>
      </c>
      <c r="AE6672">
        <v>6.6817900000000003</v>
      </c>
      <c r="AF6672">
        <v>-5.9504361579754201</v>
      </c>
      <c r="AG6672">
        <v>-1.1703110000000001</v>
      </c>
      <c r="AH6672">
        <v>40.329201589003397</v>
      </c>
      <c r="AI6672">
        <v>91.644403740628505</v>
      </c>
      <c r="AJ6672">
        <v>98.393239546973902</v>
      </c>
      <c r="AK6672">
        <v>40.7826166290656</v>
      </c>
      <c r="AL6672">
        <v>94.845425131678496</v>
      </c>
      <c r="AM6672">
        <v>90.786390924821802</v>
      </c>
      <c r="AN6672">
        <v>0.99999994628140298</v>
      </c>
    </row>
    <row r="6673" spans="1:40" x14ac:dyDescent="0.25">
      <c r="A6673" t="str">
        <f>"20190303154314033"</f>
        <v>20190303154314033</v>
      </c>
      <c r="B6673" t="str">
        <f>"1551598994026845"</f>
        <v>1551598994026845</v>
      </c>
      <c r="C6673" t="s">
        <v>40</v>
      </c>
      <c r="D6673">
        <v>5.1096349999999999</v>
      </c>
      <c r="E6673">
        <v>0.44965090000000002</v>
      </c>
      <c r="F6673" t="s">
        <v>43</v>
      </c>
      <c r="G6673">
        <v>-312.68979999999999</v>
      </c>
      <c r="H6673">
        <v>-0.05</v>
      </c>
      <c r="I6673">
        <v>23.92915</v>
      </c>
      <c r="J6673">
        <v>-352.66480000000001</v>
      </c>
      <c r="K6673">
        <v>1.1203190000000001</v>
      </c>
      <c r="L6673">
        <v>17.24783</v>
      </c>
      <c r="M6673">
        <v>0.99980250000000004</v>
      </c>
      <c r="N6673">
        <v>-8.3931519999999992E-3</v>
      </c>
      <c r="O6673">
        <v>1.8021969999999998E-2</v>
      </c>
      <c r="P6673">
        <v>0.99522630000000001</v>
      </c>
      <c r="Q6673">
        <v>-9.2276549999999999E-2</v>
      </c>
      <c r="R6673">
        <v>3.1781530000000002E-2</v>
      </c>
      <c r="S6673">
        <v>2.99057</v>
      </c>
      <c r="T6673">
        <v>-8.7069270000000004E-2</v>
      </c>
      <c r="U6673">
        <v>0.49737550000000003</v>
      </c>
      <c r="V6673">
        <v>-1.3843029999999999E-2</v>
      </c>
      <c r="W6673">
        <v>-8.3916240000000003E-2</v>
      </c>
      <c r="X6673">
        <v>0.99637659999999995</v>
      </c>
      <c r="Y6673">
        <v>-0.1461818</v>
      </c>
      <c r="Z6673">
        <v>2.3603529999999999E-3</v>
      </c>
      <c r="AA6673">
        <v>0.989255</v>
      </c>
      <c r="AB6673">
        <v>25</v>
      </c>
      <c r="AC6673">
        <v>39.975000000000001</v>
      </c>
      <c r="AD6673">
        <v>-1.1703190000000001</v>
      </c>
      <c r="AE6673">
        <v>6.6813200000000004</v>
      </c>
      <c r="AF6673">
        <v>-5.9548161179255201</v>
      </c>
      <c r="AG6673">
        <v>-1.1703190000000001</v>
      </c>
      <c r="AH6673">
        <v>40.055523415398</v>
      </c>
      <c r="AI6673">
        <v>91.655376201200397</v>
      </c>
      <c r="AJ6673">
        <v>98.455890725696406</v>
      </c>
      <c r="AK6673">
        <v>40.512645404139803</v>
      </c>
      <c r="AL6673">
        <v>94.813707589898101</v>
      </c>
      <c r="AM6673">
        <v>90.795980323070594</v>
      </c>
      <c r="AN6673">
        <v>0.99999994692143701</v>
      </c>
    </row>
    <row r="6674" spans="1:40" x14ac:dyDescent="0.25">
      <c r="A6674" t="str">
        <f>"20190303154314056"</f>
        <v>20190303154314056</v>
      </c>
      <c r="B6674" t="str">
        <f>"1551598994047345"</f>
        <v>1551598994047345</v>
      </c>
      <c r="C6674" t="s">
        <v>40</v>
      </c>
      <c r="D6674">
        <v>5.1412469999999999</v>
      </c>
      <c r="E6674">
        <v>0.4498103</v>
      </c>
      <c r="F6674" t="s">
        <v>43</v>
      </c>
      <c r="G6674">
        <v>-311.76600000000002</v>
      </c>
      <c r="H6674">
        <v>-0.05</v>
      </c>
      <c r="I6674">
        <v>24.09937</v>
      </c>
      <c r="J6674">
        <v>-352.42129999999997</v>
      </c>
      <c r="K6674">
        <v>1.1203270000000001</v>
      </c>
      <c r="L6674">
        <v>17.252229999999901</v>
      </c>
      <c r="M6674">
        <v>0.99980210000000003</v>
      </c>
      <c r="N6674">
        <v>-8.4427329999999991E-3</v>
      </c>
      <c r="O6674">
        <v>1.802223E-2</v>
      </c>
      <c r="P6674">
        <v>0.99517259999999996</v>
      </c>
      <c r="Q6674">
        <v>-9.2895400000000003E-2</v>
      </c>
      <c r="R6674">
        <v>3.1664099999999903E-2</v>
      </c>
      <c r="S6674">
        <v>2.9904790000000001</v>
      </c>
      <c r="T6674">
        <v>-8.557236E-2</v>
      </c>
      <c r="U6674">
        <v>0.50097659999999999</v>
      </c>
      <c r="V6674">
        <v>-1.3726439999999999E-2</v>
      </c>
      <c r="W6674">
        <v>-8.4486099999999995E-2</v>
      </c>
      <c r="X6674">
        <v>0.9963301</v>
      </c>
      <c r="Y6674">
        <v>-0.1473467</v>
      </c>
      <c r="Z6674">
        <v>2.3589610000000001E-3</v>
      </c>
      <c r="AA6674">
        <v>0.98908209999999996</v>
      </c>
      <c r="AB6674">
        <v>25</v>
      </c>
      <c r="AC6674">
        <v>40.655299999999997</v>
      </c>
      <c r="AD6674">
        <v>-1.1703269999999999</v>
      </c>
      <c r="AE6674">
        <v>6.8471399999999996</v>
      </c>
      <c r="AF6674">
        <v>-6.1083804920926399</v>
      </c>
      <c r="AG6674">
        <v>-1.1703269999999999</v>
      </c>
      <c r="AH6674">
        <v>40.739273545028396</v>
      </c>
      <c r="AI6674">
        <v>91.627316557461398</v>
      </c>
      <c r="AJ6674">
        <v>98.527312447196394</v>
      </c>
      <c r="AK6674">
        <v>41.211289551526498</v>
      </c>
      <c r="AL6674">
        <v>94.8464743077501</v>
      </c>
      <c r="AM6674">
        <v>90.789314030311303</v>
      </c>
      <c r="AN6674">
        <v>0.99999999220714597</v>
      </c>
    </row>
    <row r="6675" spans="1:40" x14ac:dyDescent="0.25">
      <c r="A6675" t="str">
        <f>"20190303154314078"</f>
        <v>20190303154314078</v>
      </c>
      <c r="B6675" t="str">
        <f>"1551598994066865"</f>
        <v>1551598994066865</v>
      </c>
      <c r="C6675" t="s">
        <v>40</v>
      </c>
      <c r="D6675">
        <v>5.055288</v>
      </c>
      <c r="E6675">
        <v>0.48508519999999999</v>
      </c>
      <c r="F6675" t="s">
        <v>43</v>
      </c>
      <c r="G6675">
        <v>-312.23469999999998</v>
      </c>
      <c r="H6675">
        <v>-0.05</v>
      </c>
      <c r="I6675">
        <v>23.964220000000001</v>
      </c>
      <c r="J6675">
        <v>-352.16910000000001</v>
      </c>
      <c r="K6675">
        <v>1.1203399999999999</v>
      </c>
      <c r="L6675">
        <v>17.256769999999999</v>
      </c>
      <c r="M6675">
        <v>0.9998011</v>
      </c>
      <c r="N6675">
        <v>-8.5286110000000002E-3</v>
      </c>
      <c r="O6675">
        <v>1.8022690000000001E-2</v>
      </c>
      <c r="P6675">
        <v>0.99513640000000003</v>
      </c>
      <c r="Q6675">
        <v>-9.3291360000000004E-2</v>
      </c>
      <c r="R6675">
        <v>3.1622499999999998E-2</v>
      </c>
      <c r="S6675">
        <v>2.9905400000000002</v>
      </c>
      <c r="T6675">
        <v>-8.7091329999999995E-2</v>
      </c>
      <c r="U6675">
        <v>0.49948120000000001</v>
      </c>
      <c r="V6675">
        <v>-1.368522E-2</v>
      </c>
      <c r="W6675">
        <v>-8.4796830000000004E-2</v>
      </c>
      <c r="X6675">
        <v>0.99630430000000003</v>
      </c>
      <c r="Y6675">
        <v>-0.14685970000000001</v>
      </c>
      <c r="Z6675">
        <v>2.3858030000000001E-3</v>
      </c>
      <c r="AA6675">
        <v>0.98915450000000005</v>
      </c>
      <c r="AB6675">
        <v>25</v>
      </c>
      <c r="AC6675">
        <v>39.934399999999997</v>
      </c>
      <c r="AD6675">
        <v>-1.1703399999999999</v>
      </c>
      <c r="AE6675">
        <v>6.7074499999999997</v>
      </c>
      <c r="AF6675">
        <v>-5.9816124232826002</v>
      </c>
      <c r="AG6675">
        <v>-1.1703399999999999</v>
      </c>
      <c r="AH6675">
        <v>40.015378778540097</v>
      </c>
      <c r="AI6675">
        <v>91.656867973183793</v>
      </c>
      <c r="AJ6675">
        <v>98.501784300823601</v>
      </c>
      <c r="AK6675">
        <v>40.476906029092802</v>
      </c>
      <c r="AL6675">
        <v>94.864341794320595</v>
      </c>
      <c r="AM6675">
        <v>90.786964423427094</v>
      </c>
      <c r="AN6675">
        <v>1.00000002291149</v>
      </c>
    </row>
    <row r="6676" spans="1:40" x14ac:dyDescent="0.25">
      <c r="A6676" t="str">
        <f>"20190303154314090"</f>
        <v>20190303154314090</v>
      </c>
      <c r="B6676" t="str">
        <f>"1551598994087358"</f>
        <v>1551598994087358</v>
      </c>
      <c r="C6676" t="s">
        <v>40</v>
      </c>
      <c r="D6676">
        <v>5.1021910000000004</v>
      </c>
      <c r="E6676">
        <v>0.48835269999999997</v>
      </c>
      <c r="F6676" t="s">
        <v>43</v>
      </c>
      <c r="G6676">
        <v>-316.63389999999998</v>
      </c>
      <c r="H6676">
        <v>-0.05</v>
      </c>
      <c r="I6676">
        <v>19.83652</v>
      </c>
      <c r="J6676">
        <v>-352.0247</v>
      </c>
      <c r="K6676">
        <v>1.1203540000000001</v>
      </c>
      <c r="L6676">
        <v>17.259370000000001</v>
      </c>
      <c r="M6676">
        <v>0.99980069999999999</v>
      </c>
      <c r="N6676">
        <v>-8.5990149999999998E-3</v>
      </c>
      <c r="O6676">
        <v>1.8022570000000002E-2</v>
      </c>
      <c r="P6676">
        <v>0.99511579999999999</v>
      </c>
      <c r="Q6676">
        <v>-9.3466949999999993E-2</v>
      </c>
      <c r="R6676">
        <v>3.1761280000000003E-2</v>
      </c>
      <c r="S6676">
        <v>2.9985050000000002</v>
      </c>
      <c r="T6676">
        <v>-9.8754640000000005E-2</v>
      </c>
      <c r="U6676">
        <v>0.21768190000000001</v>
      </c>
      <c r="V6676">
        <v>-1.3823820000000001E-2</v>
      </c>
      <c r="W6676">
        <v>-8.4902399999999906E-2</v>
      </c>
      <c r="X6676">
        <v>0.9962934</v>
      </c>
      <c r="Y6676">
        <v>-5.4386860000000002E-2</v>
      </c>
      <c r="Z6676">
        <v>6.9068579999999997E-4</v>
      </c>
      <c r="AA6676">
        <v>0.99851970000000001</v>
      </c>
      <c r="AB6676">
        <v>25</v>
      </c>
      <c r="AC6676">
        <v>35.390799999999999</v>
      </c>
      <c r="AD6676">
        <v>-1.1703539999999999</v>
      </c>
      <c r="AE6676">
        <v>2.5771500000000001</v>
      </c>
      <c r="AF6676">
        <v>-1.93676784432757</v>
      </c>
      <c r="AG6676">
        <v>-1.1703539999999999</v>
      </c>
      <c r="AH6676">
        <v>35.392998794772303</v>
      </c>
      <c r="AI6676">
        <v>91.891104371936706</v>
      </c>
      <c r="AJ6676">
        <v>93.132203021812302</v>
      </c>
      <c r="AK6676">
        <v>35.4652669784804</v>
      </c>
      <c r="AL6676">
        <v>94.870412380681103</v>
      </c>
      <c r="AM6676">
        <v>90.794942252629298</v>
      </c>
      <c r="AN6676">
        <v>1.0000000272043501</v>
      </c>
    </row>
    <row r="6677" spans="1:40" x14ac:dyDescent="0.25">
      <c r="A6677" t="str">
        <f>"20190303154314102"</f>
        <v>20190303154314102</v>
      </c>
      <c r="B6677" t="str">
        <f>"1551598994097118"</f>
        <v>1551598994097118</v>
      </c>
      <c r="C6677" t="s">
        <v>40</v>
      </c>
      <c r="D6677">
        <v>5.082897</v>
      </c>
      <c r="E6677">
        <v>0.48887750000000002</v>
      </c>
      <c r="F6677" t="s">
        <v>41</v>
      </c>
      <c r="G6677">
        <v>-323.6936</v>
      </c>
      <c r="H6677" s="1">
        <v>-3.0584720000000001E-6</v>
      </c>
      <c r="I6677">
        <v>19.069929999999999</v>
      </c>
      <c r="J6677">
        <v>-351.88920000000002</v>
      </c>
      <c r="K6677">
        <v>1.120368</v>
      </c>
      <c r="L6677">
        <v>17.261810000000001</v>
      </c>
      <c r="M6677">
        <v>0.99980000000000002</v>
      </c>
      <c r="N6677">
        <v>-8.6719780000000003E-3</v>
      </c>
      <c r="O6677">
        <v>1.8022779999999999E-2</v>
      </c>
      <c r="P6677">
        <v>0.99508149999999995</v>
      </c>
      <c r="Q6677">
        <v>-9.3867590000000001E-2</v>
      </c>
      <c r="R6677">
        <v>3.1647219999999997E-2</v>
      </c>
      <c r="S6677">
        <v>2.9974370000000001</v>
      </c>
      <c r="T6677">
        <v>-0.1185341</v>
      </c>
      <c r="U6677">
        <v>0.1915588</v>
      </c>
      <c r="V6677">
        <v>-1.371084E-2</v>
      </c>
      <c r="W6677">
        <v>-8.523066E-2</v>
      </c>
      <c r="X6677">
        <v>0.99626689999999996</v>
      </c>
      <c r="Y6677">
        <v>-4.5745439999999998E-2</v>
      </c>
      <c r="Z6677">
        <v>5.4642280000000002E-4</v>
      </c>
      <c r="AA6677">
        <v>0.99895299999999998</v>
      </c>
      <c r="AB6677">
        <v>25</v>
      </c>
      <c r="AC6677">
        <v>28.195599999999999</v>
      </c>
      <c r="AD6677">
        <v>-1.1203710584719999</v>
      </c>
      <c r="AE6677">
        <v>1.80811999999999</v>
      </c>
      <c r="AF6677">
        <v>-1.2976036824539401</v>
      </c>
      <c r="AG6677">
        <v>-1.1203710584719999</v>
      </c>
      <c r="AH6677">
        <v>28.179297868496899</v>
      </c>
      <c r="AI6677">
        <v>92.274396567838394</v>
      </c>
      <c r="AJ6677">
        <v>92.636500463888297</v>
      </c>
      <c r="AK6677">
        <v>28.231398034579399</v>
      </c>
      <c r="AL6677">
        <v>94.889288875720496</v>
      </c>
      <c r="AM6677">
        <v>90.788467102266395</v>
      </c>
      <c r="AN6677">
        <v>0.99999999428657504</v>
      </c>
    </row>
    <row r="6678" spans="1:40" x14ac:dyDescent="0.25">
      <c r="A6678" t="str">
        <f>"20190303154314115"</f>
        <v>20190303154314115</v>
      </c>
      <c r="B6678" t="str">
        <f>"1551598994106877"</f>
        <v>1551598994106877</v>
      </c>
      <c r="C6678" t="s">
        <v>40</v>
      </c>
      <c r="D6678">
        <v>5.0977180000000004</v>
      </c>
      <c r="E6678">
        <v>0.48917830000000001</v>
      </c>
      <c r="F6678" t="s">
        <v>41</v>
      </c>
      <c r="G6678">
        <v>-325.67700000000002</v>
      </c>
      <c r="H6678" s="1">
        <v>-2.1517789999999999E-6</v>
      </c>
      <c r="I6678">
        <v>18.895949999999999</v>
      </c>
      <c r="J6678">
        <v>-351.74439999999998</v>
      </c>
      <c r="K6678">
        <v>1.120382</v>
      </c>
      <c r="L6678">
        <v>17.264399999999998</v>
      </c>
      <c r="M6678">
        <v>0.9997994</v>
      </c>
      <c r="N6678">
        <v>-8.755189E-3</v>
      </c>
      <c r="O6678">
        <v>1.802289E-2</v>
      </c>
      <c r="P6678">
        <v>0.99504970000000004</v>
      </c>
      <c r="Q6678">
        <v>-9.4299850000000005E-2</v>
      </c>
      <c r="R6678">
        <v>3.1373409999999997E-2</v>
      </c>
      <c r="S6678">
        <v>2.9967959999999998</v>
      </c>
      <c r="T6678">
        <v>-0.12809000000000001</v>
      </c>
      <c r="U6678">
        <v>0.18682860000000001</v>
      </c>
      <c r="V6678">
        <v>-1.3437279999999999E-2</v>
      </c>
      <c r="W6678">
        <v>-8.5580299999999998E-2</v>
      </c>
      <c r="X6678">
        <v>0.99624069999999998</v>
      </c>
      <c r="Y6678">
        <v>-4.4185160000000001E-2</v>
      </c>
      <c r="Z6678">
        <v>5.2517679999999998E-4</v>
      </c>
      <c r="AA6678">
        <v>0.9990232</v>
      </c>
      <c r="AB6678">
        <v>25</v>
      </c>
      <c r="AC6678">
        <v>26.0673999999999</v>
      </c>
      <c r="AD6678">
        <v>-1.1203841517790001</v>
      </c>
      <c r="AE6678">
        <v>1.6315500000000001</v>
      </c>
      <c r="AF6678">
        <v>-1.1593238919536299</v>
      </c>
      <c r="AG6678">
        <v>-1.1203841517790001</v>
      </c>
      <c r="AH6678">
        <v>26.044647385193301</v>
      </c>
      <c r="AI6678">
        <v>92.460787592789003</v>
      </c>
      <c r="AJ6678">
        <v>92.548721281301496</v>
      </c>
      <c r="AK6678">
        <v>26.094500377532999</v>
      </c>
      <c r="AL6678">
        <v>94.909395008956196</v>
      </c>
      <c r="AM6678">
        <v>90.772757777366394</v>
      </c>
      <c r="AN6678">
        <v>1.00000004028918</v>
      </c>
    </row>
    <row r="6679" spans="1:40" x14ac:dyDescent="0.25">
      <c r="A6679" t="str">
        <f>"20190303154314133"</f>
        <v>20190303154314133</v>
      </c>
      <c r="B6679" t="str">
        <f>"1551598994127374"</f>
        <v>1551598994127374</v>
      </c>
      <c r="C6679" t="s">
        <v>40</v>
      </c>
      <c r="D6679">
        <v>5.0837529999999997</v>
      </c>
      <c r="E6679">
        <v>0.48952250000000003</v>
      </c>
      <c r="F6679" t="s">
        <v>41</v>
      </c>
      <c r="G6679">
        <v>-327.08580000000001</v>
      </c>
      <c r="H6679" s="1">
        <v>-1.507409E-6</v>
      </c>
      <c r="I6679">
        <v>18.774349999999998</v>
      </c>
      <c r="J6679">
        <v>-351.54579999999999</v>
      </c>
      <c r="K6679">
        <v>1.1204080000000001</v>
      </c>
      <c r="L6679">
        <v>17.26801</v>
      </c>
      <c r="M6679">
        <v>0.99979799999999996</v>
      </c>
      <c r="N6679">
        <v>-8.9039299999999991E-3</v>
      </c>
      <c r="O6679">
        <v>1.8023049999999999E-2</v>
      </c>
      <c r="P6679">
        <v>0.99502539999999995</v>
      </c>
      <c r="Q6679">
        <v>-9.4697980000000001E-2</v>
      </c>
      <c r="R6679">
        <v>3.0931770000000001E-2</v>
      </c>
      <c r="S6679">
        <v>2.9962460000000002</v>
      </c>
      <c r="T6679">
        <v>-0.13613649999999999</v>
      </c>
      <c r="U6679">
        <v>0.18347169999999999</v>
      </c>
      <c r="V6679">
        <v>-1.299615E-2</v>
      </c>
      <c r="W6679">
        <v>-8.5830589999999998E-2</v>
      </c>
      <c r="X6679">
        <v>0.99622500000000003</v>
      </c>
      <c r="Y6679">
        <v>-4.3078369999999998E-2</v>
      </c>
      <c r="Z6679">
        <v>5.1204799999999997E-4</v>
      </c>
      <c r="AA6679">
        <v>0.9990715</v>
      </c>
      <c r="AB6679">
        <v>25</v>
      </c>
      <c r="AC6679">
        <v>24.459999999999901</v>
      </c>
      <c r="AD6679">
        <v>-1.1204095074089999</v>
      </c>
      <c r="AE6679">
        <v>1.50633999999999</v>
      </c>
      <c r="AF6679">
        <v>-1.0630121093598699</v>
      </c>
      <c r="AG6679">
        <v>-1.1204095074089999</v>
      </c>
      <c r="AH6679">
        <v>24.432107571699401</v>
      </c>
      <c r="AI6679">
        <v>92.623156653617301</v>
      </c>
      <c r="AJ6679">
        <v>92.491300382034197</v>
      </c>
      <c r="AK6679">
        <v>24.480874016342401</v>
      </c>
      <c r="AL6679">
        <v>94.923788628122907</v>
      </c>
      <c r="AM6679">
        <v>90.747403757761404</v>
      </c>
      <c r="AN6679">
        <v>1.0000000203597801</v>
      </c>
    </row>
    <row r="6680" spans="1:40" x14ac:dyDescent="0.25">
      <c r="A6680" t="str">
        <f>"20190303154314145"</f>
        <v>20190303154314145</v>
      </c>
      <c r="B6680" t="str">
        <f>"1551598994137134"</f>
        <v>1551598994137134</v>
      </c>
      <c r="C6680" t="s">
        <v>40</v>
      </c>
      <c r="D6680">
        <v>5.072635</v>
      </c>
      <c r="E6680">
        <v>0.4896509</v>
      </c>
      <c r="F6680" t="s">
        <v>41</v>
      </c>
      <c r="G6680">
        <v>-328.42009999999999</v>
      </c>
      <c r="H6680" s="1">
        <v>-8.9825099999999996E-7</v>
      </c>
      <c r="I6680">
        <v>18.652560000000001</v>
      </c>
      <c r="J6680">
        <v>-351.41370000000001</v>
      </c>
      <c r="K6680">
        <v>1.1204320000000001</v>
      </c>
      <c r="L6680">
        <v>17.270389999999999</v>
      </c>
      <c r="M6680">
        <v>0.99979689999999999</v>
      </c>
      <c r="N6680">
        <v>-9.0253989999999999E-3</v>
      </c>
      <c r="O6680">
        <v>1.8023330000000001E-2</v>
      </c>
      <c r="P6680">
        <v>0.99501470000000003</v>
      </c>
      <c r="Q6680">
        <v>-9.4924030000000006E-2</v>
      </c>
      <c r="R6680">
        <v>3.0584900000000002E-2</v>
      </c>
      <c r="S6680">
        <v>2.9956360000000002</v>
      </c>
      <c r="T6680">
        <v>-0.1451344</v>
      </c>
      <c r="U6680">
        <v>0.17935179999999901</v>
      </c>
      <c r="V6680">
        <v>-1.2649260000000001E-2</v>
      </c>
      <c r="W6680">
        <v>-8.593576E-2</v>
      </c>
      <c r="X6680">
        <v>0.99622040000000001</v>
      </c>
      <c r="Y6680">
        <v>-4.1718529999999997E-2</v>
      </c>
      <c r="Z6680">
        <v>4.8838970000000001E-4</v>
      </c>
      <c r="AA6680">
        <v>0.9991293</v>
      </c>
      <c r="AB6680">
        <v>25</v>
      </c>
      <c r="AC6680">
        <v>22.993600000000001</v>
      </c>
      <c r="AD6680">
        <v>-1.1204328982509999</v>
      </c>
      <c r="AE6680">
        <v>1.3821699999999999</v>
      </c>
      <c r="AF6680">
        <v>-0.96522378303038903</v>
      </c>
      <c r="AG6680">
        <v>-1.1204328982509999</v>
      </c>
      <c r="AH6680">
        <v>22.960455576266</v>
      </c>
      <c r="AI6680">
        <v>92.791263314607093</v>
      </c>
      <c r="AJ6680">
        <v>92.407212930510894</v>
      </c>
      <c r="AK6680">
        <v>23.008032230082101</v>
      </c>
      <c r="AL6680">
        <v>94.929836763617701</v>
      </c>
      <c r="AM6680">
        <v>90.727459774630901</v>
      </c>
      <c r="AN6680">
        <v>1.0000000220007399</v>
      </c>
    </row>
    <row r="6681" spans="1:40" x14ac:dyDescent="0.25">
      <c r="A6681" t="str">
        <f>"20190303154314157"</f>
        <v>20190303154314157</v>
      </c>
      <c r="B6681" t="str">
        <f>"1551598994146893"</f>
        <v>1551598994146893</v>
      </c>
      <c r="C6681" t="s">
        <v>40</v>
      </c>
      <c r="D6681">
        <v>5.0684259999999997</v>
      </c>
      <c r="E6681">
        <v>0.4896894</v>
      </c>
      <c r="F6681" t="s">
        <v>41</v>
      </c>
      <c r="G6681">
        <v>-328.94069999999999</v>
      </c>
      <c r="H6681" s="1">
        <v>-6.6149349999999997E-7</v>
      </c>
      <c r="I6681">
        <v>18.599979999999999</v>
      </c>
      <c r="J6681">
        <v>-351.27730000000003</v>
      </c>
      <c r="K6681">
        <v>1.120455</v>
      </c>
      <c r="L6681">
        <v>17.272829999999999</v>
      </c>
      <c r="M6681">
        <v>0.99979560000000001</v>
      </c>
      <c r="N6681">
        <v>-9.1617820000000003E-3</v>
      </c>
      <c r="O6681">
        <v>1.8023529999999999E-2</v>
      </c>
      <c r="P6681">
        <v>0.99500290000000002</v>
      </c>
      <c r="Q6681">
        <v>-9.507351E-2</v>
      </c>
      <c r="R6681">
        <v>3.0502540000000002E-2</v>
      </c>
      <c r="S6681">
        <v>2.9953310000000002</v>
      </c>
      <c r="T6681">
        <v>-0.14933759999999999</v>
      </c>
      <c r="U6681">
        <v>0.1772156</v>
      </c>
      <c r="V6681">
        <v>-1.256706E-2</v>
      </c>
      <c r="W6681">
        <v>-8.594947E-2</v>
      </c>
      <c r="X6681">
        <v>0.9962202</v>
      </c>
      <c r="Y6681">
        <v>-4.1012979999999997E-2</v>
      </c>
      <c r="Z6681">
        <v>4.7687780000000001E-4</v>
      </c>
      <c r="AA6681">
        <v>0.99915849999999995</v>
      </c>
      <c r="AB6681">
        <v>25</v>
      </c>
      <c r="AC6681">
        <v>22.336600000000001</v>
      </c>
      <c r="AD6681">
        <v>-1.1204556614935</v>
      </c>
      <c r="AE6681">
        <v>1.3271499999999901</v>
      </c>
      <c r="AF6681">
        <v>-0.92202124975043598</v>
      </c>
      <c r="AG6681">
        <v>-1.1204556614935</v>
      </c>
      <c r="AH6681">
        <v>22.300974727512301</v>
      </c>
      <c r="AI6681">
        <v>92.873810893466</v>
      </c>
      <c r="AJ6681">
        <v>92.367513394347597</v>
      </c>
      <c r="AK6681">
        <v>22.348132312824401</v>
      </c>
      <c r="AL6681">
        <v>94.930625489432501</v>
      </c>
      <c r="AM6681">
        <v>90.722733095385706</v>
      </c>
      <c r="AN6681">
        <v>0.99999996463918095</v>
      </c>
    </row>
    <row r="6682" spans="1:40" x14ac:dyDescent="0.25">
      <c r="A6682" t="str">
        <f>"20190303154314169"</f>
        <v>20190303154314169</v>
      </c>
      <c r="B6682" t="str">
        <f>"1551598994167390"</f>
        <v>1551598994167390</v>
      </c>
      <c r="C6682" t="s">
        <v>40</v>
      </c>
      <c r="D6682">
        <v>5.0116329999999998</v>
      </c>
      <c r="E6682">
        <v>0.49005149999999997</v>
      </c>
      <c r="F6682" t="s">
        <v>41</v>
      </c>
      <c r="G6682">
        <v>-329.24869999999999</v>
      </c>
      <c r="H6682" s="1">
        <v>-5.5078279999999995E-7</v>
      </c>
      <c r="I6682">
        <v>18.571280000000002</v>
      </c>
      <c r="J6682">
        <v>-351.13959999999997</v>
      </c>
      <c r="K6682">
        <v>1.1204860000000001</v>
      </c>
      <c r="L6682">
        <v>17.275300000000001</v>
      </c>
      <c r="M6682">
        <v>0.99979410000000002</v>
      </c>
      <c r="N6682">
        <v>-9.3320239999999995E-3</v>
      </c>
      <c r="O6682">
        <v>1.8023560000000001E-2</v>
      </c>
      <c r="P6682">
        <v>0.99497210000000003</v>
      </c>
      <c r="Q6682">
        <v>-9.5470959999999994E-2</v>
      </c>
      <c r="R6682">
        <v>3.026738E-2</v>
      </c>
      <c r="S6682">
        <v>2.995117</v>
      </c>
      <c r="T6682">
        <v>-0.15234300000000001</v>
      </c>
      <c r="U6682">
        <v>0.17654420000000001</v>
      </c>
      <c r="V6682">
        <v>-1.233215E-2</v>
      </c>
      <c r="W6682">
        <v>-8.6177649999999995E-2</v>
      </c>
      <c r="X6682">
        <v>0.99620350000000002</v>
      </c>
      <c r="Y6682">
        <v>-4.0792450000000001E-2</v>
      </c>
      <c r="Z6682">
        <v>4.7930649999999999E-4</v>
      </c>
      <c r="AA6682">
        <v>0.99916749999999999</v>
      </c>
      <c r="AB6682">
        <v>25</v>
      </c>
      <c r="AC6682">
        <v>21.890899999999899</v>
      </c>
      <c r="AD6682">
        <v>-1.1204865507827999</v>
      </c>
      <c r="AE6682">
        <v>1.2959799999999899</v>
      </c>
      <c r="AF6682">
        <v>-0.89885368085647099</v>
      </c>
      <c r="AG6682">
        <v>-1.1204865507827999</v>
      </c>
      <c r="AH6682">
        <v>21.853648391815</v>
      </c>
      <c r="AI6682">
        <v>92.932640279426494</v>
      </c>
      <c r="AJ6682">
        <v>92.355282250212198</v>
      </c>
      <c r="AK6682">
        <v>21.900807658238399</v>
      </c>
      <c r="AL6682">
        <v>94.943747549591905</v>
      </c>
      <c r="AM6682">
        <v>90.709236674787206</v>
      </c>
      <c r="AN6682">
        <v>1.0000000413476899</v>
      </c>
    </row>
    <row r="6683" spans="1:40" x14ac:dyDescent="0.25">
      <c r="A6683" t="str">
        <f>"20190303154314181"</f>
        <v>20190303154314181</v>
      </c>
      <c r="B6683" t="str">
        <f>"1551598994177150"</f>
        <v>1551598994177150</v>
      </c>
      <c r="C6683" t="s">
        <v>40</v>
      </c>
      <c r="D6683">
        <v>5.0690689999999998</v>
      </c>
      <c r="E6683">
        <v>0.48990430000000001</v>
      </c>
      <c r="F6683" t="s">
        <v>41</v>
      </c>
      <c r="G6683">
        <v>-329.29410000000001</v>
      </c>
      <c r="H6683" s="1">
        <v>-5.4261480000000001E-7</v>
      </c>
      <c r="I6683">
        <v>18.536490000000001</v>
      </c>
      <c r="J6683">
        <v>-351.01639999999998</v>
      </c>
      <c r="K6683">
        <v>1.1205160000000001</v>
      </c>
      <c r="L6683">
        <v>17.277529999999999</v>
      </c>
      <c r="M6683">
        <v>0.99979249999999997</v>
      </c>
      <c r="N6683">
        <v>-9.4959280000000007E-3</v>
      </c>
      <c r="O6683">
        <v>1.802378E-2</v>
      </c>
      <c r="P6683">
        <v>0.99495429999999996</v>
      </c>
      <c r="Q6683">
        <v>-9.5700869999999993E-2</v>
      </c>
      <c r="R6683">
        <v>3.011902E-2</v>
      </c>
      <c r="S6683">
        <v>2.9950869999999998</v>
      </c>
      <c r="T6683">
        <v>-0.15362190000000001</v>
      </c>
      <c r="U6683">
        <v>0.1729126</v>
      </c>
      <c r="V6683">
        <v>-1.2183869999999999E-2</v>
      </c>
      <c r="W6683">
        <v>-8.6244440000000006E-2</v>
      </c>
      <c r="X6683">
        <v>0.99619950000000002</v>
      </c>
      <c r="Y6683">
        <v>-3.9586299999999998E-2</v>
      </c>
      <c r="Z6683">
        <v>4.4998850000000002E-4</v>
      </c>
      <c r="AA6683">
        <v>0.99921610000000005</v>
      </c>
      <c r="AB6683">
        <v>25</v>
      </c>
      <c r="AC6683">
        <v>21.722299999999901</v>
      </c>
      <c r="AD6683">
        <v>-1.1205165426148</v>
      </c>
      <c r="AE6683">
        <v>1.2589600000000001</v>
      </c>
      <c r="AF6683">
        <v>-0.86492612082820997</v>
      </c>
      <c r="AG6683">
        <v>-1.1205165426148</v>
      </c>
      <c r="AH6683">
        <v>21.6839581172</v>
      </c>
      <c r="AI6683">
        <v>92.955776719840003</v>
      </c>
      <c r="AJ6683">
        <v>92.284193639039898</v>
      </c>
      <c r="AK6683">
        <v>21.730110311391599</v>
      </c>
      <c r="AL6683">
        <v>94.947588855465398</v>
      </c>
      <c r="AM6683">
        <v>90.700712583600605</v>
      </c>
      <c r="AN6683">
        <v>0.99999999695967001</v>
      </c>
    </row>
    <row r="6684" spans="1:40" x14ac:dyDescent="0.25">
      <c r="A6684" t="str">
        <f>"20190303154314192"</f>
        <v>20190303154314192</v>
      </c>
      <c r="B6684" t="str">
        <f>"1551598994186910"</f>
        <v>1551598994186910</v>
      </c>
      <c r="C6684" t="s">
        <v>40</v>
      </c>
      <c r="D6684">
        <v>5.0946809999999996</v>
      </c>
      <c r="E6684">
        <v>0.48977890000000002</v>
      </c>
      <c r="F6684" t="s">
        <v>41</v>
      </c>
      <c r="G6684">
        <v>-329.49829999999997</v>
      </c>
      <c r="H6684" s="1">
        <v>-4.6727220000000001E-7</v>
      </c>
      <c r="I6684">
        <v>18.524909999999998</v>
      </c>
      <c r="J6684">
        <v>-350.87939999999998</v>
      </c>
      <c r="K6684">
        <v>1.1205510000000001</v>
      </c>
      <c r="L6684">
        <v>17.28</v>
      </c>
      <c r="M6684">
        <v>0.99979070000000003</v>
      </c>
      <c r="N6684">
        <v>-9.6920649999999997E-3</v>
      </c>
      <c r="O6684">
        <v>1.8023649999999999E-2</v>
      </c>
      <c r="P6684">
        <v>0.99494490000000002</v>
      </c>
      <c r="Q6684">
        <v>-9.576374E-2</v>
      </c>
      <c r="R6684">
        <v>3.0239140000000001E-2</v>
      </c>
      <c r="S6684">
        <v>2.9949650000000001</v>
      </c>
      <c r="T6684">
        <v>-0.1559575</v>
      </c>
      <c r="U6684">
        <v>0.1736145</v>
      </c>
      <c r="V6684">
        <v>-1.230467E-2</v>
      </c>
      <c r="W6684">
        <v>-8.6111960000000001E-2</v>
      </c>
      <c r="X6684">
        <v>0.99620949999999997</v>
      </c>
      <c r="Y6684">
        <v>-3.9820260000000003E-2</v>
      </c>
      <c r="Z6684">
        <v>4.6601550000000002E-4</v>
      </c>
      <c r="AA6684">
        <v>0.9992067</v>
      </c>
      <c r="AB6684">
        <v>25</v>
      </c>
      <c r="AC6684">
        <v>21.3811</v>
      </c>
      <c r="AD6684">
        <v>-1.1205514672721999</v>
      </c>
      <c r="AE6684">
        <v>1.24491</v>
      </c>
      <c r="AF6684">
        <v>-0.856978371451941</v>
      </c>
      <c r="AG6684">
        <v>-1.1205514672721999</v>
      </c>
      <c r="AH6684">
        <v>21.3416454127408</v>
      </c>
      <c r="AI6684">
        <v>93.003161673174503</v>
      </c>
      <c r="AJ6684">
        <v>92.299488976303195</v>
      </c>
      <c r="AK6684">
        <v>21.3882181689616</v>
      </c>
      <c r="AL6684">
        <v>94.939969846142802</v>
      </c>
      <c r="AM6684">
        <v>90.7076521664046</v>
      </c>
      <c r="AN6684">
        <v>1.0000000212245499</v>
      </c>
    </row>
    <row r="6685" spans="1:40" x14ac:dyDescent="0.25">
      <c r="A6685" t="str">
        <f>"20190303154314213"</f>
        <v>20190303154314213</v>
      </c>
      <c r="B6685" t="str">
        <f>"1551598994207405"</f>
        <v>1551598994207405</v>
      </c>
      <c r="C6685" t="s">
        <v>40</v>
      </c>
      <c r="D6685">
        <v>5.0827970000000002</v>
      </c>
      <c r="E6685">
        <v>0.48989769999999999</v>
      </c>
      <c r="F6685" t="s">
        <v>41</v>
      </c>
      <c r="G6685">
        <v>-329.61360000000002</v>
      </c>
      <c r="H6685" s="1">
        <v>-4.236772E-7</v>
      </c>
      <c r="I6685">
        <v>18.522379999999998</v>
      </c>
      <c r="J6685">
        <v>-350.66289999999998</v>
      </c>
      <c r="K6685">
        <v>1.1206050000000001</v>
      </c>
      <c r="L6685">
        <v>17.283940000000001</v>
      </c>
      <c r="M6685">
        <v>0.99978739999999999</v>
      </c>
      <c r="N6685">
        <v>-1.002756E-2</v>
      </c>
      <c r="O6685">
        <v>1.8023629999999999E-2</v>
      </c>
      <c r="P6685">
        <v>0.99493469999999995</v>
      </c>
      <c r="Q6685">
        <v>-9.572282E-2</v>
      </c>
      <c r="R6685">
        <v>3.0698619999999999E-2</v>
      </c>
      <c r="S6685">
        <v>2.9947509999999999</v>
      </c>
      <c r="T6685">
        <v>-0.15780139999999901</v>
      </c>
      <c r="U6685">
        <v>0.17495729999999901</v>
      </c>
      <c r="V6685">
        <v>-1.276396E-2</v>
      </c>
      <c r="W6685">
        <v>-8.5736809999999997E-2</v>
      </c>
      <c r="X6685">
        <v>0.99623609999999896</v>
      </c>
      <c r="Y6685">
        <v>-4.0268569999999997E-2</v>
      </c>
      <c r="Z6685">
        <v>4.9396219999999998E-4</v>
      </c>
      <c r="AA6685">
        <v>0.99918879999999999</v>
      </c>
      <c r="AB6685">
        <v>25</v>
      </c>
      <c r="AC6685">
        <v>21.049299999999899</v>
      </c>
      <c r="AD6685">
        <v>-1.1206054236771901</v>
      </c>
      <c r="AE6685">
        <v>1.23843999999999</v>
      </c>
      <c r="AF6685">
        <v>-0.85641610656478995</v>
      </c>
      <c r="AG6685">
        <v>-1.1206054236771901</v>
      </c>
      <c r="AH6685">
        <v>21.008864866270699</v>
      </c>
      <c r="AI6685">
        <v>93.050714290971996</v>
      </c>
      <c r="AJ6685">
        <v>92.334341989255904</v>
      </c>
      <c r="AK6685">
        <v>21.056153685618401</v>
      </c>
      <c r="AL6685">
        <v>94.9183954378408</v>
      </c>
      <c r="AM6685">
        <v>90.734043893676002</v>
      </c>
      <c r="AN6685">
        <v>1.0000000431035301</v>
      </c>
    </row>
    <row r="6686" spans="1:40" x14ac:dyDescent="0.25">
      <c r="A6686" t="str">
        <f>"20190303154314235"</f>
        <v>20190303154314235</v>
      </c>
      <c r="B6686" t="str">
        <f>"1551598994226925"</f>
        <v>1551598994226925</v>
      </c>
      <c r="C6686" t="s">
        <v>40</v>
      </c>
      <c r="D6686">
        <v>5.1003270000000001</v>
      </c>
      <c r="E6686">
        <v>0.48974420000000002</v>
      </c>
      <c r="F6686" t="s">
        <v>41</v>
      </c>
      <c r="G6686">
        <v>-329.51639999999998</v>
      </c>
      <c r="H6686" s="1">
        <v>-4.6090569999999998E-7</v>
      </c>
      <c r="I6686">
        <v>18.52262</v>
      </c>
      <c r="J6686">
        <v>-350.40800000000002</v>
      </c>
      <c r="K6686">
        <v>1.120668</v>
      </c>
      <c r="L6686">
        <v>17.288509999999999</v>
      </c>
      <c r="M6686">
        <v>0.99978310000000004</v>
      </c>
      <c r="N6686">
        <v>-1.0436010000000001E-2</v>
      </c>
      <c r="O6686">
        <v>1.8023649999999999E-2</v>
      </c>
      <c r="P6686">
        <v>0.99490279999999998</v>
      </c>
      <c r="Q6686">
        <v>-9.5908610000000005E-2</v>
      </c>
      <c r="R6686">
        <v>3.1142050000000001E-2</v>
      </c>
      <c r="S6686">
        <v>2.9946290000000002</v>
      </c>
      <c r="T6686">
        <v>-0.15869339999999901</v>
      </c>
      <c r="U6686">
        <v>0.17541499999999999</v>
      </c>
      <c r="V6686">
        <v>-1.3207429999999999E-2</v>
      </c>
      <c r="W6686">
        <v>-8.5515919999999995E-2</v>
      </c>
      <c r="X6686">
        <v>0.9962493</v>
      </c>
      <c r="Y6686">
        <v>-4.0421600000000002E-2</v>
      </c>
      <c r="Z6686">
        <v>5.1503629999999996E-4</v>
      </c>
      <c r="AA6686">
        <v>0.99918260000000003</v>
      </c>
      <c r="AB6686">
        <v>25</v>
      </c>
      <c r="AC6686">
        <v>20.8916</v>
      </c>
      <c r="AD6686">
        <v>-1.1206684609056901</v>
      </c>
      <c r="AE6686">
        <v>1.23410999999999</v>
      </c>
      <c r="AF6686">
        <v>-0.85489473902947699</v>
      </c>
      <c r="AG6686">
        <v>-1.1206684609056901</v>
      </c>
      <c r="AH6686">
        <v>20.850661860186399</v>
      </c>
      <c r="AI6686">
        <v>93.073960145954203</v>
      </c>
      <c r="AJ6686">
        <v>92.347860281578804</v>
      </c>
      <c r="AK6686">
        <v>20.8982497549896</v>
      </c>
      <c r="AL6686">
        <v>94.905692744384496</v>
      </c>
      <c r="AM6686">
        <v>90.759534455470003</v>
      </c>
      <c r="AN6686">
        <v>1.0000000382655601</v>
      </c>
    </row>
    <row r="6687" spans="1:40" x14ac:dyDescent="0.25">
      <c r="A6687" t="str">
        <f>"20190303154314257"</f>
        <v>20190303154314257</v>
      </c>
      <c r="B6687" t="str">
        <f>"1551598994247425"</f>
        <v>1551598994247425</v>
      </c>
      <c r="C6687" t="s">
        <v>40</v>
      </c>
      <c r="D6687">
        <v>5.0730579999999996</v>
      </c>
      <c r="E6687">
        <v>0.490068</v>
      </c>
      <c r="F6687" t="s">
        <v>41</v>
      </c>
      <c r="G6687">
        <v>-329.4753</v>
      </c>
      <c r="H6687" s="1">
        <v>-4.7408610000000002E-7</v>
      </c>
      <c r="I6687">
        <v>18.532499999999999</v>
      </c>
      <c r="J6687">
        <v>-350.17079999999999</v>
      </c>
      <c r="K6687">
        <v>1.1207100000000001</v>
      </c>
      <c r="L6687">
        <v>17.29279</v>
      </c>
      <c r="M6687">
        <v>0.99977919999999998</v>
      </c>
      <c r="N6687">
        <v>-1.080207E-2</v>
      </c>
      <c r="O6687">
        <v>1.8023689999999998E-2</v>
      </c>
      <c r="P6687">
        <v>0.99483909999999998</v>
      </c>
      <c r="Q6687">
        <v>-9.6448880000000001E-2</v>
      </c>
      <c r="R6687">
        <v>3.1505949999999998E-2</v>
      </c>
      <c r="S6687">
        <v>2.994354</v>
      </c>
      <c r="T6687">
        <v>-0.16030820000000001</v>
      </c>
      <c r="U6687">
        <v>0.177948</v>
      </c>
      <c r="V6687">
        <v>-1.357206E-2</v>
      </c>
      <c r="W6687">
        <v>-8.5692019999999994E-2</v>
      </c>
      <c r="X6687">
        <v>0.99622920000000004</v>
      </c>
      <c r="Y6687">
        <v>-4.1266120000000003E-2</v>
      </c>
      <c r="Z6687">
        <v>5.5736709999999897E-4</v>
      </c>
      <c r="AA6687">
        <v>0.99914800000000004</v>
      </c>
      <c r="AB6687">
        <v>25</v>
      </c>
      <c r="AC6687">
        <v>20.6954999999999</v>
      </c>
      <c r="AD6687">
        <v>-1.1207104740861</v>
      </c>
      <c r="AE6687">
        <v>1.2397099999999901</v>
      </c>
      <c r="AF6687">
        <v>-0.86395308878101196</v>
      </c>
      <c r="AG6687">
        <v>-1.1207104740861</v>
      </c>
      <c r="AH6687">
        <v>20.654132020686198</v>
      </c>
      <c r="AI6687">
        <v>93.103162831321796</v>
      </c>
      <c r="AJ6687">
        <v>92.395260433265804</v>
      </c>
      <c r="AK6687">
        <v>20.7025499983523</v>
      </c>
      <c r="AL6687">
        <v>94.915820035779305</v>
      </c>
      <c r="AM6687">
        <v>90.780516827190695</v>
      </c>
      <c r="AN6687">
        <v>0.99999997101848104</v>
      </c>
    </row>
    <row r="6688" spans="1:40" x14ac:dyDescent="0.25">
      <c r="A6688" t="str">
        <f>"20190303154314280"</f>
        <v>20190303154314280</v>
      </c>
      <c r="B6688" t="str">
        <f>"1551598994276702"</f>
        <v>1551598994276702</v>
      </c>
      <c r="C6688" t="s">
        <v>40</v>
      </c>
      <c r="D6688">
        <v>5.1422470000000002</v>
      </c>
      <c r="E6688">
        <v>0.49008099999999999</v>
      </c>
      <c r="F6688" t="s">
        <v>41</v>
      </c>
      <c r="G6688">
        <v>-328.8272</v>
      </c>
      <c r="H6688" s="1">
        <v>-7.2378669999999999E-7</v>
      </c>
      <c r="I6688">
        <v>18.55124</v>
      </c>
      <c r="J6688">
        <v>-349.91359999999997</v>
      </c>
      <c r="K6688">
        <v>1.1207530000000001</v>
      </c>
      <c r="L6688">
        <v>17.297419999999999</v>
      </c>
      <c r="M6688">
        <v>0.99977519999999998</v>
      </c>
      <c r="N6688">
        <v>-1.116752E-2</v>
      </c>
      <c r="O6688">
        <v>1.802366E-2</v>
      </c>
      <c r="P6688">
        <v>0.99480610000000003</v>
      </c>
      <c r="Q6688">
        <v>-9.6683480000000002E-2</v>
      </c>
      <c r="R6688">
        <v>3.1831289999999998E-2</v>
      </c>
      <c r="S6688">
        <v>2.99472</v>
      </c>
      <c r="T6688">
        <v>-0.1572469</v>
      </c>
      <c r="U6688">
        <v>0.1765747</v>
      </c>
      <c r="V6688">
        <v>-1.389809E-2</v>
      </c>
      <c r="W6688">
        <v>-8.5562780000000005E-2</v>
      </c>
      <c r="X6688">
        <v>0.9962358</v>
      </c>
      <c r="Y6688">
        <v>-4.080404E-2</v>
      </c>
      <c r="Z6688">
        <v>5.5412419999999998E-4</v>
      </c>
      <c r="AA6688">
        <v>0.99916700000000003</v>
      </c>
      <c r="AB6688">
        <v>25</v>
      </c>
      <c r="AC6688">
        <v>21.086399999999902</v>
      </c>
      <c r="AD6688">
        <v>-1.1207537237867</v>
      </c>
      <c r="AE6688">
        <v>1.2538199999999899</v>
      </c>
      <c r="AF6688">
        <v>-0.87108637015704604</v>
      </c>
      <c r="AG6688">
        <v>-1.1207537237867</v>
      </c>
      <c r="AH6688">
        <v>21.0463281445993</v>
      </c>
      <c r="AI6688">
        <v>93.045618537180204</v>
      </c>
      <c r="AJ6688">
        <v>92.370062004905094</v>
      </c>
      <c r="AK6688">
        <v>21.094141573996499</v>
      </c>
      <c r="AL6688">
        <v>94.908387897698304</v>
      </c>
      <c r="AM6688">
        <v>90.7992588177881</v>
      </c>
      <c r="AN6688">
        <v>0.99999995771430705</v>
      </c>
    </row>
    <row r="6689" spans="1:40" x14ac:dyDescent="0.25">
      <c r="A6689" t="str">
        <f>"20190303154314294"</f>
        <v>20190303154314294</v>
      </c>
      <c r="B6689" t="str">
        <f>"1551598994287440"</f>
        <v>1551598994287440</v>
      </c>
      <c r="C6689" t="s">
        <v>40</v>
      </c>
      <c r="D6689">
        <v>5.1548850000000002</v>
      </c>
      <c r="E6689">
        <v>0.49001479999999997</v>
      </c>
      <c r="F6689" t="s">
        <v>41</v>
      </c>
      <c r="G6689">
        <v>-328.58199999999999</v>
      </c>
      <c r="H6689" s="1">
        <v>-8.37775E-7</v>
      </c>
      <c r="I6689">
        <v>18.562149999999999</v>
      </c>
      <c r="J6689">
        <v>-349.75130000000001</v>
      </c>
      <c r="K6689">
        <v>1.1207750000000001</v>
      </c>
      <c r="L6689">
        <v>17.300350000000002</v>
      </c>
      <c r="M6689">
        <v>0.99977280000000002</v>
      </c>
      <c r="N6689">
        <v>-1.1383280000000001E-2</v>
      </c>
      <c r="O6689">
        <v>1.8023549999999999E-2</v>
      </c>
      <c r="P6689">
        <v>0.99479399999999996</v>
      </c>
      <c r="Q6689">
        <v>-9.671275E-2</v>
      </c>
      <c r="R6689">
        <v>3.2118679999999997E-2</v>
      </c>
      <c r="S6689">
        <v>2.9946899999999999</v>
      </c>
      <c r="T6689">
        <v>-0.1573398</v>
      </c>
      <c r="U6689">
        <v>0.1775513</v>
      </c>
      <c r="V6689">
        <v>-1.4185720000000001E-2</v>
      </c>
      <c r="W6689">
        <v>-8.5377190000000006E-2</v>
      </c>
      <c r="X6689">
        <v>0.99624769999999896</v>
      </c>
      <c r="Y6689">
        <v>-4.1128400000000002E-2</v>
      </c>
      <c r="Z6689">
        <v>5.7285639999999998E-4</v>
      </c>
      <c r="AA6689">
        <v>0.99915370000000003</v>
      </c>
      <c r="AB6689">
        <v>25</v>
      </c>
      <c r="AC6689">
        <v>21.1693</v>
      </c>
      <c r="AD6689">
        <v>-1.1207758377749999</v>
      </c>
      <c r="AE6689">
        <v>1.26179999999999</v>
      </c>
      <c r="AF6689">
        <v>-0.87757322796840997</v>
      </c>
      <c r="AG6689">
        <v>-1.1207758377749999</v>
      </c>
      <c r="AH6689">
        <v>21.129587701823102</v>
      </c>
      <c r="AI6689">
        <v>93.033681675631101</v>
      </c>
      <c r="AJ6689">
        <v>92.378293478849102</v>
      </c>
      <c r="AK6689">
        <v>21.177482137828001</v>
      </c>
      <c r="AL6689">
        <v>94.897715163826803</v>
      </c>
      <c r="AM6689">
        <v>90.815788042081294</v>
      </c>
      <c r="AN6689">
        <v>0.99999998948975199</v>
      </c>
    </row>
    <row r="6690" spans="1:40" x14ac:dyDescent="0.25">
      <c r="A6690" t="str">
        <f>"20190303154314313"</f>
        <v>20190303154314313</v>
      </c>
      <c r="B6690" t="str">
        <f>"1551598994306958"</f>
        <v>1551598994306958</v>
      </c>
      <c r="C6690" t="s">
        <v>40</v>
      </c>
      <c r="D6690">
        <v>5.0581750000000003</v>
      </c>
      <c r="E6690">
        <v>0.4902436</v>
      </c>
      <c r="F6690" t="s">
        <v>41</v>
      </c>
      <c r="G6690">
        <v>-328.51100000000002</v>
      </c>
      <c r="H6690" s="1">
        <v>-8.7004679999999997E-7</v>
      </c>
      <c r="I6690">
        <v>18.569469999999999</v>
      </c>
      <c r="J6690">
        <v>-349.53980000000001</v>
      </c>
      <c r="K6690">
        <v>1.1207990000000001</v>
      </c>
      <c r="L6690">
        <v>17.304169999999999</v>
      </c>
      <c r="M6690">
        <v>0.99976989999999999</v>
      </c>
      <c r="N6690">
        <v>-1.1643880000000001E-2</v>
      </c>
      <c r="O6690">
        <v>1.8023689999999998E-2</v>
      </c>
      <c r="P6690">
        <v>0.99480380000000002</v>
      </c>
      <c r="Q6690">
        <v>-9.6485080000000001E-2</v>
      </c>
      <c r="R6690">
        <v>3.2499630000000002E-2</v>
      </c>
      <c r="S6690">
        <v>2.9945369999999998</v>
      </c>
      <c r="T6690">
        <v>-0.15801099999999901</v>
      </c>
      <c r="U6690">
        <v>0.17892459999999999</v>
      </c>
      <c r="V6690">
        <v>-1.456636E-2</v>
      </c>
      <c r="W6690">
        <v>-8.488967E-2</v>
      </c>
      <c r="X6690">
        <v>0.9962839</v>
      </c>
      <c r="Y6690">
        <v>-4.1586209999999998E-2</v>
      </c>
      <c r="Z6690">
        <v>5.9821739999999998E-4</v>
      </c>
      <c r="AA6690">
        <v>0.99913470000000004</v>
      </c>
      <c r="AB6690">
        <v>25</v>
      </c>
      <c r="AC6690">
        <v>21.0288</v>
      </c>
      <c r="AD6690">
        <v>-1.12079987004679</v>
      </c>
      <c r="AE6690">
        <v>1.2653000000000001</v>
      </c>
      <c r="AF6690">
        <v>-0.88355136228453401</v>
      </c>
      <c r="AG6690">
        <v>-1.12079987004679</v>
      </c>
      <c r="AH6690">
        <v>20.988782540475199</v>
      </c>
      <c r="AI6690">
        <v>93.053988676123595</v>
      </c>
      <c r="AJ6690">
        <v>92.410520580764299</v>
      </c>
      <c r="AK6690">
        <v>21.037249057085599</v>
      </c>
      <c r="AL6690">
        <v>94.869680387342001</v>
      </c>
      <c r="AM6690">
        <v>90.837644259651498</v>
      </c>
      <c r="AN6690">
        <v>1.0000000221577801</v>
      </c>
    </row>
    <row r="6691" spans="1:40" x14ac:dyDescent="0.25">
      <c r="A6691" t="str">
        <f>"20190303154314328"</f>
        <v>20190303154314328</v>
      </c>
      <c r="B6691" t="str">
        <f>"1551598994316718"</f>
        <v>1551598994316718</v>
      </c>
      <c r="C6691" t="s">
        <v>40</v>
      </c>
      <c r="D6691">
        <v>5.1312720000000001</v>
      </c>
      <c r="E6691">
        <v>0.49019170000000001</v>
      </c>
      <c r="F6691" t="s">
        <v>41</v>
      </c>
      <c r="G6691">
        <v>-327.86750000000001</v>
      </c>
      <c r="H6691" s="1">
        <v>-1.1698710000000001E-6</v>
      </c>
      <c r="I6691">
        <v>18.593900000000001</v>
      </c>
      <c r="J6691">
        <v>-349.38150000000002</v>
      </c>
      <c r="K6691">
        <v>1.120814</v>
      </c>
      <c r="L6691">
        <v>17.307009999999998</v>
      </c>
      <c r="M6691">
        <v>0.99976779999999998</v>
      </c>
      <c r="N6691">
        <v>-1.1823459999999999E-2</v>
      </c>
      <c r="O6691">
        <v>1.8023810000000001E-2</v>
      </c>
      <c r="P6691">
        <v>0.99479340000000005</v>
      </c>
      <c r="Q6691">
        <v>-9.6628320000000004E-2</v>
      </c>
      <c r="R6691">
        <v>3.2397120000000001E-2</v>
      </c>
      <c r="S6691">
        <v>2.994812</v>
      </c>
      <c r="T6691">
        <v>-0.1548795</v>
      </c>
      <c r="U6691">
        <v>0.17822270000000001</v>
      </c>
      <c r="V6691">
        <v>-1.446427E-2</v>
      </c>
      <c r="W6691">
        <v>-8.485413E-2</v>
      </c>
      <c r="X6691">
        <v>0.99628839999999996</v>
      </c>
      <c r="Y6691">
        <v>-4.1349070000000002E-2</v>
      </c>
      <c r="Z6691">
        <v>5.9475459999999995E-4</v>
      </c>
      <c r="AA6691">
        <v>0.99914460000000005</v>
      </c>
      <c r="AB6691">
        <v>25</v>
      </c>
      <c r="AC6691">
        <v>21.513999999999999</v>
      </c>
      <c r="AD6691">
        <v>-1.120815169871</v>
      </c>
      <c r="AE6691">
        <v>1.2868899999999901</v>
      </c>
      <c r="AF6691">
        <v>-0.89646520963102005</v>
      </c>
      <c r="AG6691">
        <v>-1.120815169871</v>
      </c>
      <c r="AH6691">
        <v>21.475621857933302</v>
      </c>
      <c r="AI6691">
        <v>92.984967931462705</v>
      </c>
      <c r="AJ6691">
        <v>92.390332190274194</v>
      </c>
      <c r="AK6691">
        <v>21.5235269113134</v>
      </c>
      <c r="AL6691">
        <v>94.867636794413897</v>
      </c>
      <c r="AM6691">
        <v>90.831770605364994</v>
      </c>
      <c r="AN6691">
        <v>1.00000000722962</v>
      </c>
    </row>
    <row r="6692" spans="1:40" x14ac:dyDescent="0.25">
      <c r="A6692" t="str">
        <f>"20190303154314345"</f>
        <v>20190303154314345</v>
      </c>
      <c r="B6692" t="str">
        <f>"1551598994337214"</f>
        <v>1551598994337214</v>
      </c>
      <c r="C6692" t="s">
        <v>40</v>
      </c>
      <c r="D6692">
        <v>5.13896</v>
      </c>
      <c r="E6692">
        <v>0.49040479999999997</v>
      </c>
      <c r="F6692" t="s">
        <v>41</v>
      </c>
      <c r="G6692">
        <v>-327.86130000000003</v>
      </c>
      <c r="H6692" s="1">
        <v>-1.1738399999999999E-6</v>
      </c>
      <c r="I6692">
        <v>18.588149999999999</v>
      </c>
      <c r="J6692">
        <v>-349.17779999999999</v>
      </c>
      <c r="K6692">
        <v>1.1208320000000001</v>
      </c>
      <c r="L6692">
        <v>17.310700000000001</v>
      </c>
      <c r="M6692">
        <v>0.99976520000000002</v>
      </c>
      <c r="N6692">
        <v>-1.203853E-2</v>
      </c>
      <c r="O6692">
        <v>1.8023810000000001E-2</v>
      </c>
      <c r="P6692">
        <v>0.99478679999999997</v>
      </c>
      <c r="Q6692">
        <v>-9.6623520000000004E-2</v>
      </c>
      <c r="R6692">
        <v>3.260996E-2</v>
      </c>
      <c r="S6692">
        <v>2.9947509999999999</v>
      </c>
      <c r="T6692">
        <v>-0.15597249999999999</v>
      </c>
      <c r="U6692">
        <v>0.17828369999999999</v>
      </c>
      <c r="V6692">
        <v>-1.4676420000000001E-2</v>
      </c>
      <c r="W6692">
        <v>-8.4635059999999998E-2</v>
      </c>
      <c r="X6692">
        <v>0.99630390000000002</v>
      </c>
      <c r="Y6692">
        <v>-4.1369490000000002E-2</v>
      </c>
      <c r="Z6692">
        <v>6.0470619999999995E-4</v>
      </c>
      <c r="AA6692">
        <v>0.99914369999999997</v>
      </c>
      <c r="AB6692">
        <v>25</v>
      </c>
      <c r="AC6692">
        <v>21.316499999999898</v>
      </c>
      <c r="AD6692">
        <v>-1.1208331738399999</v>
      </c>
      <c r="AE6692">
        <v>1.27744999999999</v>
      </c>
      <c r="AF6692">
        <v>-0.89055679095072704</v>
      </c>
      <c r="AG6692">
        <v>-1.1208331738399999</v>
      </c>
      <c r="AH6692">
        <v>21.277447443523599</v>
      </c>
      <c r="AI6692">
        <v>93.0127527821992</v>
      </c>
      <c r="AJ6692">
        <v>92.396686994118497</v>
      </c>
      <c r="AK6692">
        <v>21.325551062361701</v>
      </c>
      <c r="AL6692">
        <v>94.855039844963002</v>
      </c>
      <c r="AM6692">
        <v>90.843955451585003</v>
      </c>
      <c r="AN6692">
        <v>0.99999997592021395</v>
      </c>
    </row>
    <row r="6693" spans="1:40" x14ac:dyDescent="0.25">
      <c r="A6693" t="str">
        <f>"20190303154314359"</f>
        <v>20190303154314359</v>
      </c>
      <c r="B6693" t="str">
        <f>"1551598994356734"</f>
        <v>1551598994356734</v>
      </c>
      <c r="C6693" t="s">
        <v>40</v>
      </c>
      <c r="D6693">
        <v>5.151135</v>
      </c>
      <c r="E6693">
        <v>0.4905388</v>
      </c>
      <c r="F6693" t="s">
        <v>41</v>
      </c>
      <c r="G6693">
        <v>-327.35610000000003</v>
      </c>
      <c r="H6693" s="1">
        <v>-1.4100259999999999E-6</v>
      </c>
      <c r="I6693">
        <v>18.602799999999998</v>
      </c>
      <c r="J6693">
        <v>-349.03140000000002</v>
      </c>
      <c r="K6693">
        <v>1.1208419999999999</v>
      </c>
      <c r="L6693">
        <v>17.313320000000001</v>
      </c>
      <c r="M6693">
        <v>0.99976339999999997</v>
      </c>
      <c r="N6693">
        <v>-1.21817E-2</v>
      </c>
      <c r="O6693">
        <v>1.8023930000000001E-2</v>
      </c>
      <c r="P6693">
        <v>0.99475000000000002</v>
      </c>
      <c r="Q6693">
        <v>-9.6979369999999995E-2</v>
      </c>
      <c r="R6693">
        <v>3.2672649999999998E-2</v>
      </c>
      <c r="S6693">
        <v>2.9949650000000001</v>
      </c>
      <c r="T6693">
        <v>-0.15383160000000001</v>
      </c>
      <c r="U6693">
        <v>0.17733759999999901</v>
      </c>
      <c r="V6693">
        <v>-1.4739810000000001E-2</v>
      </c>
      <c r="W6693">
        <v>-8.4848670000000001E-2</v>
      </c>
      <c r="X6693">
        <v>0.99628479999999997</v>
      </c>
      <c r="Y6693">
        <v>-4.1052060000000001E-2</v>
      </c>
      <c r="Z6693">
        <v>5.9825989999999995E-4</v>
      </c>
      <c r="AA6693">
        <v>0.99915679999999996</v>
      </c>
      <c r="AB6693">
        <v>25</v>
      </c>
      <c r="AC6693">
        <v>21.6753</v>
      </c>
      <c r="AD6693">
        <v>-1.1208434100260001</v>
      </c>
      <c r="AE6693">
        <v>1.28947999999999</v>
      </c>
      <c r="AF6693">
        <v>-0.89617951909701898</v>
      </c>
      <c r="AG6693">
        <v>-1.1208434100260001</v>
      </c>
      <c r="AH6693">
        <v>21.637367629789299</v>
      </c>
      <c r="AI6693">
        <v>92.962808752887696</v>
      </c>
      <c r="AJ6693">
        <v>92.371729026259501</v>
      </c>
      <c r="AK6693">
        <v>21.6849050177054</v>
      </c>
      <c r="AL6693">
        <v>94.867322956343799</v>
      </c>
      <c r="AM6693">
        <v>90.847616357864197</v>
      </c>
      <c r="AN6693">
        <v>0.99999998075532204</v>
      </c>
    </row>
    <row r="6694" spans="1:40" x14ac:dyDescent="0.25">
      <c r="A6694" t="str">
        <f>"20190303154314370"</f>
        <v>20190303154314370</v>
      </c>
      <c r="B6694" t="str">
        <f>"1551598994366494"</f>
        <v>1551598994366494</v>
      </c>
      <c r="C6694" t="s">
        <v>40</v>
      </c>
      <c r="D6694">
        <v>5.1778760000000004</v>
      </c>
      <c r="E6694">
        <v>0.49059059999999999</v>
      </c>
      <c r="F6694" t="s">
        <v>41</v>
      </c>
      <c r="G6694">
        <v>-327.11059999999998</v>
      </c>
      <c r="H6694" s="1">
        <v>-1.5255480000000001E-6</v>
      </c>
      <c r="I6694">
        <v>18.605869999999999</v>
      </c>
      <c r="J6694">
        <v>-348.90989999999999</v>
      </c>
      <c r="K6694">
        <v>1.1208469999999999</v>
      </c>
      <c r="L6694">
        <v>17.315550000000002</v>
      </c>
      <c r="M6694">
        <v>0.99976200000000004</v>
      </c>
      <c r="N6694">
        <v>-1.2291120000000001E-2</v>
      </c>
      <c r="O6694">
        <v>1.802409E-2</v>
      </c>
      <c r="P6694">
        <v>0.99474879999999999</v>
      </c>
      <c r="Q6694">
        <v>-9.7035499999999997E-2</v>
      </c>
      <c r="R6694">
        <v>3.2540140000000002E-2</v>
      </c>
      <c r="S6694">
        <v>2.995117</v>
      </c>
      <c r="T6694">
        <v>-0.15314510000000001</v>
      </c>
      <c r="U6694">
        <v>0.17660519999999999</v>
      </c>
      <c r="V6694">
        <v>-1.460733E-2</v>
      </c>
      <c r="W6694">
        <v>-8.4795800000000005E-2</v>
      </c>
      <c r="X6694">
        <v>0.99629129999999999</v>
      </c>
      <c r="Y6694">
        <v>-4.080599E-2</v>
      </c>
      <c r="Z6694">
        <v>5.9409890000000003E-4</v>
      </c>
      <c r="AA6694">
        <v>0.99916689999999997</v>
      </c>
      <c r="AB6694">
        <v>25</v>
      </c>
      <c r="AC6694">
        <v>21.799299999999999</v>
      </c>
      <c r="AD6694">
        <v>-1.1208485255480001</v>
      </c>
      <c r="AE6694">
        <v>1.2903199999999899</v>
      </c>
      <c r="AF6694">
        <v>-0.89481079771434602</v>
      </c>
      <c r="AG6694">
        <v>-1.1208485255480001</v>
      </c>
      <c r="AH6694">
        <v>21.7616867732979</v>
      </c>
      <c r="AI6694">
        <v>92.9459625655293</v>
      </c>
      <c r="AJ6694">
        <v>92.354597685014198</v>
      </c>
      <c r="AK6694">
        <v>21.808897244016201</v>
      </c>
      <c r="AL6694">
        <v>94.864282540943904</v>
      </c>
      <c r="AM6694">
        <v>90.839993680259795</v>
      </c>
      <c r="AN6694">
        <v>1.00000002812152</v>
      </c>
    </row>
    <row r="6695" spans="1:40" x14ac:dyDescent="0.25">
      <c r="A6695" t="str">
        <f>"20190303154314391"</f>
        <v>20190303154314391</v>
      </c>
      <c r="B6695" t="str">
        <f>"1551598994386990"</f>
        <v>1551598994386990</v>
      </c>
      <c r="C6695" t="s">
        <v>40</v>
      </c>
      <c r="D6695">
        <v>5.2304779999999997</v>
      </c>
      <c r="E6695">
        <v>0.49047410000000002</v>
      </c>
      <c r="F6695" t="s">
        <v>41</v>
      </c>
      <c r="G6695">
        <v>-326.90719999999999</v>
      </c>
      <c r="H6695" s="1">
        <v>-1.621451E-6</v>
      </c>
      <c r="I6695">
        <v>18.607299999999999</v>
      </c>
      <c r="J6695">
        <v>-348.68810000000002</v>
      </c>
      <c r="K6695">
        <v>1.1208530000000001</v>
      </c>
      <c r="L6695">
        <v>17.31955</v>
      </c>
      <c r="M6695">
        <v>0.99975979999999998</v>
      </c>
      <c r="N6695">
        <v>-1.2474799999999999E-2</v>
      </c>
      <c r="O6695">
        <v>1.8023939999999999E-2</v>
      </c>
      <c r="P6695">
        <v>0.99476889999999996</v>
      </c>
      <c r="Q6695">
        <v>-9.6792520000000007E-2</v>
      </c>
      <c r="R6695">
        <v>3.2655000000000003E-2</v>
      </c>
      <c r="S6695">
        <v>2.9951780000000001</v>
      </c>
      <c r="T6695">
        <v>-0.1525782</v>
      </c>
      <c r="U6695">
        <v>0.17584229999999901</v>
      </c>
      <c r="V6695">
        <v>-1.472189E-2</v>
      </c>
      <c r="W6695">
        <v>-8.4369559999999996E-2</v>
      </c>
      <c r="X6695">
        <v>0.99632580000000004</v>
      </c>
      <c r="Y6695">
        <v>-4.0551660000000003E-2</v>
      </c>
      <c r="Z6695">
        <v>5.9265739999999896E-4</v>
      </c>
      <c r="AA6695">
        <v>0.99917730000000005</v>
      </c>
      <c r="AB6695">
        <v>25</v>
      </c>
      <c r="AC6695">
        <v>21.780899999999999</v>
      </c>
      <c r="AD6695">
        <v>-1.120854621451</v>
      </c>
      <c r="AE6695">
        <v>1.28774999999999</v>
      </c>
      <c r="AF6695">
        <v>-0.89257715413569405</v>
      </c>
      <c r="AG6695">
        <v>-1.120854621451</v>
      </c>
      <c r="AH6695">
        <v>21.7431941516435</v>
      </c>
      <c r="AI6695">
        <v>92.948487879239195</v>
      </c>
      <c r="AJ6695">
        <v>92.350722040331704</v>
      </c>
      <c r="AK6695">
        <v>21.790353392604199</v>
      </c>
      <c r="AL6695">
        <v>94.839772956926296</v>
      </c>
      <c r="AM6695">
        <v>90.846551181019606</v>
      </c>
      <c r="AN6695">
        <v>1.0000000282227</v>
      </c>
    </row>
    <row r="6696" spans="1:40" x14ac:dyDescent="0.25">
      <c r="A6696" t="str">
        <f>"20190303154314404"</f>
        <v>20190303154314404</v>
      </c>
      <c r="B6696" t="str">
        <f>"1551598994396750"</f>
        <v>1551598994396750</v>
      </c>
      <c r="C6696" t="s">
        <v>40</v>
      </c>
      <c r="D6696">
        <v>5.1768549999999998</v>
      </c>
      <c r="E6696">
        <v>0.49060300000000001</v>
      </c>
      <c r="F6696" t="s">
        <v>41</v>
      </c>
      <c r="G6696">
        <v>-326.8578</v>
      </c>
      <c r="H6696" s="1">
        <v>-1.6444059999999901E-6</v>
      </c>
      <c r="I6696">
        <v>18.609480000000001</v>
      </c>
      <c r="J6696">
        <v>-348.54</v>
      </c>
      <c r="K6696">
        <v>1.1208560000000001</v>
      </c>
      <c r="L6696">
        <v>17.322240000000001</v>
      </c>
      <c r="M6696">
        <v>0.99975840000000005</v>
      </c>
      <c r="N6696">
        <v>-1.2585519999999999E-2</v>
      </c>
      <c r="O6696">
        <v>1.8023879999999999E-2</v>
      </c>
      <c r="P6696">
        <v>0.99477119999999997</v>
      </c>
      <c r="Q6696">
        <v>-9.6787059999999994E-2</v>
      </c>
      <c r="R6696">
        <v>3.2596380000000001E-2</v>
      </c>
      <c r="S6696">
        <v>2.9949949999999999</v>
      </c>
      <c r="T6696">
        <v>-0.15377469999999999</v>
      </c>
      <c r="U6696">
        <v>0.1769714</v>
      </c>
      <c r="V6696">
        <v>-1.466312E-2</v>
      </c>
      <c r="W6696">
        <v>-8.4253750000000002E-2</v>
      </c>
      <c r="X6696">
        <v>0.99633649999999996</v>
      </c>
      <c r="Y6696">
        <v>-4.0929199999999999E-2</v>
      </c>
      <c r="Z6696">
        <v>6.0986609999999996E-4</v>
      </c>
      <c r="AA6696">
        <v>0.99916179999999999</v>
      </c>
      <c r="AB6696">
        <v>25</v>
      </c>
      <c r="AC6696">
        <v>21.682200000000002</v>
      </c>
      <c r="AD6696">
        <v>-1.1208576444060001</v>
      </c>
      <c r="AE6696">
        <v>1.2872399999999899</v>
      </c>
      <c r="AF6696">
        <v>-0.89382233914926501</v>
      </c>
      <c r="AG6696">
        <v>-1.1208576444060001</v>
      </c>
      <c r="AH6696">
        <v>21.644242252567999</v>
      </c>
      <c r="AI6696">
        <v>92.961921832151802</v>
      </c>
      <c r="AJ6696">
        <v>92.364747397682606</v>
      </c>
      <c r="AK6696">
        <v>21.6916680529838</v>
      </c>
      <c r="AL6696">
        <v>94.833113662084102</v>
      </c>
      <c r="AM6696">
        <v>90.843163171394295</v>
      </c>
      <c r="AN6696">
        <v>1.00000006135472</v>
      </c>
    </row>
    <row r="6697" spans="1:40" x14ac:dyDescent="0.25">
      <c r="A6697" t="str">
        <f>"20190303154314425"</f>
        <v>20190303154314425</v>
      </c>
      <c r="B6697" t="str">
        <f>"1551598994417246"</f>
        <v>1551598994417246</v>
      </c>
      <c r="C6697" t="s">
        <v>40</v>
      </c>
      <c r="D6697">
        <v>5.2896419999999997</v>
      </c>
      <c r="E6697">
        <v>0.49051220000000001</v>
      </c>
      <c r="F6697" t="s">
        <v>41</v>
      </c>
      <c r="G6697">
        <v>-326.53980000000001</v>
      </c>
      <c r="H6697" s="1">
        <v>-1.794003E-6</v>
      </c>
      <c r="I6697">
        <v>18.613620000000001</v>
      </c>
      <c r="J6697">
        <v>-348.31470000000002</v>
      </c>
      <c r="K6697">
        <v>1.1208629999999999</v>
      </c>
      <c r="L6697">
        <v>17.326260000000001</v>
      </c>
      <c r="M6697">
        <v>0.9997566</v>
      </c>
      <c r="N6697">
        <v>-1.273846E-2</v>
      </c>
      <c r="O6697">
        <v>1.8023910000000001E-2</v>
      </c>
      <c r="P6697">
        <v>0.99478449999999996</v>
      </c>
      <c r="Q6697">
        <v>-9.6710450000000003E-2</v>
      </c>
      <c r="R6697">
        <v>3.2418879999999997E-2</v>
      </c>
      <c r="S6697">
        <v>2.9951479999999999</v>
      </c>
      <c r="T6697">
        <v>-0.15259529999999999</v>
      </c>
      <c r="U6697">
        <v>0.17581179999999999</v>
      </c>
      <c r="V6697">
        <v>-1.448524E-2</v>
      </c>
      <c r="W6697">
        <v>-8.4024669999999996E-2</v>
      </c>
      <c r="X6697">
        <v>0.99635839999999998</v>
      </c>
      <c r="Y6697">
        <v>-4.0541630000000002E-2</v>
      </c>
      <c r="Z6697">
        <v>6.0245760000000002E-4</v>
      </c>
      <c r="AA6697">
        <v>0.99917769999999995</v>
      </c>
      <c r="AB6697">
        <v>25</v>
      </c>
      <c r="AC6697">
        <v>21.774899999999999</v>
      </c>
      <c r="AD6697">
        <v>-1.1208647940030001</v>
      </c>
      <c r="AE6697">
        <v>1.2873599999999901</v>
      </c>
      <c r="AF6697">
        <v>-0.89229417180646597</v>
      </c>
      <c r="AG6697">
        <v>-1.1208647940030001</v>
      </c>
      <c r="AH6697">
        <v>21.737171345578101</v>
      </c>
      <c r="AI6697">
        <v>92.949330304718998</v>
      </c>
      <c r="AJ6697">
        <v>92.350627991483705</v>
      </c>
      <c r="AK6697">
        <v>21.784332555359502</v>
      </c>
      <c r="AL6697">
        <v>94.819941865168502</v>
      </c>
      <c r="AM6697">
        <v>90.832917806219896</v>
      </c>
      <c r="AN6697">
        <v>1.0000000142985099</v>
      </c>
    </row>
    <row r="6698" spans="1:40" x14ac:dyDescent="0.25">
      <c r="A6698" t="str">
        <f>"20190303154314449"</f>
        <v>20190303154314449</v>
      </c>
      <c r="B6698" t="str">
        <f>"1551598994436766"</f>
        <v>1551598994436766</v>
      </c>
      <c r="C6698" t="s">
        <v>40</v>
      </c>
      <c r="D6698">
        <v>5.2621089999999997</v>
      </c>
      <c r="E6698">
        <v>0.49048710000000001</v>
      </c>
      <c r="F6698" t="s">
        <v>41</v>
      </c>
      <c r="G6698">
        <v>-326.49340000000001</v>
      </c>
      <c r="H6698" s="1">
        <v>-1.8168549999999999E-6</v>
      </c>
      <c r="I6698">
        <v>18.608309999999999</v>
      </c>
      <c r="J6698">
        <v>-348.04969999999997</v>
      </c>
      <c r="K6698">
        <v>1.120876</v>
      </c>
      <c r="L6698">
        <v>17.331050000000001</v>
      </c>
      <c r="M6698">
        <v>0.99975449999999999</v>
      </c>
      <c r="N6698">
        <v>-1.2895500000000001E-2</v>
      </c>
      <c r="O6698">
        <v>1.802407E-2</v>
      </c>
      <c r="P6698">
        <v>0.99478200000000006</v>
      </c>
      <c r="Q6698">
        <v>-9.685647E-2</v>
      </c>
      <c r="R6698">
        <v>3.2062210000000001E-2</v>
      </c>
      <c r="S6698">
        <v>2.9950260000000002</v>
      </c>
      <c r="T6698">
        <v>-0.153841899999999</v>
      </c>
      <c r="U6698">
        <v>0.17596439999999999</v>
      </c>
      <c r="V6698">
        <v>-1.4128450000000001E-2</v>
      </c>
      <c r="W6698">
        <v>-8.40143E-2</v>
      </c>
      <c r="X6698">
        <v>0.99636440000000004</v>
      </c>
      <c r="Y6698">
        <v>-4.0593520000000001E-2</v>
      </c>
      <c r="Z6698">
        <v>6.1107390000000004E-4</v>
      </c>
      <c r="AA6698">
        <v>0.99917549999999999</v>
      </c>
      <c r="AB6698">
        <v>25</v>
      </c>
      <c r="AC6698">
        <v>21.556299999999901</v>
      </c>
      <c r="AD6698">
        <v>-1.120877816855</v>
      </c>
      <c r="AE6698">
        <v>1.2772599999999901</v>
      </c>
      <c r="AF6698">
        <v>-0.88610053118014198</v>
      </c>
      <c r="AG6698">
        <v>-1.120877816855</v>
      </c>
      <c r="AH6698">
        <v>21.517845459492101</v>
      </c>
      <c r="AI6698">
        <v>92.979356800116904</v>
      </c>
      <c r="AJ6698">
        <v>92.358096299333596</v>
      </c>
      <c r="AK6698">
        <v>21.565231611328901</v>
      </c>
      <c r="AL6698">
        <v>94.819345588276903</v>
      </c>
      <c r="AM6698">
        <v>90.812399867469694</v>
      </c>
      <c r="AN6698">
        <v>1.00000001664562</v>
      </c>
    </row>
    <row r="6699" spans="1:40" x14ac:dyDescent="0.25">
      <c r="A6699" t="str">
        <f>"20190303154314468"</f>
        <v>20190303154314468</v>
      </c>
      <c r="B6699" t="str">
        <f>"1551598994457262"</f>
        <v>1551598994457262</v>
      </c>
      <c r="C6699" t="s">
        <v>40</v>
      </c>
      <c r="D6699">
        <v>5.3311919999999997</v>
      </c>
      <c r="E6699">
        <v>0.4906874</v>
      </c>
      <c r="F6699" t="s">
        <v>41</v>
      </c>
      <c r="G6699">
        <v>-326.38319999999999</v>
      </c>
      <c r="H6699" s="1">
        <v>-1.870924E-6</v>
      </c>
      <c r="I6699">
        <v>18.597169999999998</v>
      </c>
      <c r="J6699">
        <v>-347.82690000000002</v>
      </c>
      <c r="K6699">
        <v>1.120879</v>
      </c>
      <c r="L6699">
        <v>17.335079999999898</v>
      </c>
      <c r="M6699">
        <v>0.99975290000000006</v>
      </c>
      <c r="N6699">
        <v>-1.301016E-2</v>
      </c>
      <c r="O6699">
        <v>1.8024149999999999E-2</v>
      </c>
      <c r="P6699">
        <v>0.99479589999999996</v>
      </c>
      <c r="Q6699">
        <v>-9.6843410000000005E-2</v>
      </c>
      <c r="R6699">
        <v>3.1664099999999903E-2</v>
      </c>
      <c r="S6699">
        <v>2.9949949999999999</v>
      </c>
      <c r="T6699">
        <v>-0.154941299999999</v>
      </c>
      <c r="U6699">
        <v>0.17501829999999999</v>
      </c>
      <c r="V6699">
        <v>-1.373046E-2</v>
      </c>
      <c r="W6699">
        <v>-8.3886909999999995E-2</v>
      </c>
      <c r="X6699">
        <v>0.99638070000000001</v>
      </c>
      <c r="Y6699">
        <v>-4.0279179999999998E-2</v>
      </c>
      <c r="Z6699">
        <v>6.0613599999999996E-4</v>
      </c>
      <c r="AA6699">
        <v>0.99918830000000003</v>
      </c>
      <c r="AB6699">
        <v>25</v>
      </c>
      <c r="AC6699">
        <v>21.4437</v>
      </c>
      <c r="AD6699">
        <v>-1.1208808709239999</v>
      </c>
      <c r="AE6699">
        <v>1.2620899999999999</v>
      </c>
      <c r="AF6699">
        <v>-0.87297082447595997</v>
      </c>
      <c r="AG6699">
        <v>-1.1208808709239999</v>
      </c>
      <c r="AH6699">
        <v>21.4046850110694</v>
      </c>
      <c r="AI6699">
        <v>92.995135750782595</v>
      </c>
      <c r="AJ6699">
        <v>92.335462511622694</v>
      </c>
      <c r="AK6699">
        <v>21.451782965765101</v>
      </c>
      <c r="AL6699">
        <v>94.812020809367695</v>
      </c>
      <c r="AM6699">
        <v>90.789505072829897</v>
      </c>
      <c r="AN6699">
        <v>1.0000000192668199</v>
      </c>
    </row>
    <row r="6700" spans="1:40" x14ac:dyDescent="0.25">
      <c r="A6700" t="str">
        <f>"20190303154314482"</f>
        <v>20190303154314482</v>
      </c>
      <c r="B6700" t="str">
        <f>"1551598994476782"</f>
        <v>1551598994476782</v>
      </c>
      <c r="C6700" t="s">
        <v>40</v>
      </c>
      <c r="D6700">
        <v>5.2827000000000002</v>
      </c>
      <c r="E6700">
        <v>0.49069239999999997</v>
      </c>
      <c r="F6700" t="s">
        <v>41</v>
      </c>
      <c r="G6700">
        <v>-325.95429999999999</v>
      </c>
      <c r="H6700" s="1">
        <v>-2.07446E-6</v>
      </c>
      <c r="I6700">
        <v>18.59263</v>
      </c>
      <c r="J6700">
        <v>-347.68119999999999</v>
      </c>
      <c r="K6700">
        <v>1.1208830000000001</v>
      </c>
      <c r="L6700">
        <v>17.337710000000001</v>
      </c>
      <c r="M6700">
        <v>0.99975219999999998</v>
      </c>
      <c r="N6700">
        <v>-1.307767E-2</v>
      </c>
      <c r="O6700">
        <v>1.8023999999999998E-2</v>
      </c>
      <c r="P6700">
        <v>0.9947781</v>
      </c>
      <c r="Q6700">
        <v>-9.7115519999999997E-2</v>
      </c>
      <c r="R6700">
        <v>3.1393549999999999E-2</v>
      </c>
      <c r="S6700">
        <v>2.9952700000000001</v>
      </c>
      <c r="T6700">
        <v>-0.1534954</v>
      </c>
      <c r="U6700">
        <v>0.17221069999999999</v>
      </c>
      <c r="V6700">
        <v>-1.3460369999999999E-2</v>
      </c>
      <c r="W6700">
        <v>-8.4092020000000003E-2</v>
      </c>
      <c r="X6700">
        <v>0.99636709999999995</v>
      </c>
      <c r="Y6700">
        <v>-3.9342729999999999E-2</v>
      </c>
      <c r="Z6700">
        <v>5.7759580000000003E-4</v>
      </c>
      <c r="AA6700">
        <v>0.99922560000000005</v>
      </c>
      <c r="AB6700">
        <v>25</v>
      </c>
      <c r="AC6700">
        <v>21.726900000000001</v>
      </c>
      <c r="AD6700">
        <v>-1.1208850744600001</v>
      </c>
      <c r="AE6700">
        <v>1.25491999999999</v>
      </c>
      <c r="AF6700">
        <v>-0.86079365512469697</v>
      </c>
      <c r="AG6700">
        <v>-1.1208850744600001</v>
      </c>
      <c r="AH6700">
        <v>21.688458644995499</v>
      </c>
      <c r="AI6700">
        <v>92.956157980219004</v>
      </c>
      <c r="AJ6700">
        <v>92.272820407353805</v>
      </c>
      <c r="AK6700">
        <v>21.7344562265204</v>
      </c>
      <c r="AL6700">
        <v>94.823814396213606</v>
      </c>
      <c r="AM6700">
        <v>90.773987297910793</v>
      </c>
      <c r="AN6700">
        <v>1.0000000236753099</v>
      </c>
    </row>
    <row r="6701" spans="1:40" x14ac:dyDescent="0.25">
      <c r="A6701" t="str">
        <f>"20190303154314494"</f>
        <v>20190303154314494</v>
      </c>
      <c r="B6701" t="str">
        <f>"1551598994486542"</f>
        <v>1551598994486542</v>
      </c>
      <c r="C6701" t="s">
        <v>40</v>
      </c>
      <c r="D6701">
        <v>5.2955610000000002</v>
      </c>
      <c r="E6701">
        <v>0.49074289999999998</v>
      </c>
      <c r="F6701" t="s">
        <v>41</v>
      </c>
      <c r="G6701">
        <v>-325.9828</v>
      </c>
      <c r="H6701" s="1">
        <v>-2.0634360000000002E-6</v>
      </c>
      <c r="I6701">
        <v>18.579059999999998</v>
      </c>
      <c r="J6701">
        <v>-347.53989999999999</v>
      </c>
      <c r="K6701">
        <v>1.120887</v>
      </c>
      <c r="L6701">
        <v>17.340239999999898</v>
      </c>
      <c r="M6701">
        <v>0.99975130000000001</v>
      </c>
      <c r="N6701">
        <v>-1.3138850000000001E-2</v>
      </c>
      <c r="O6701">
        <v>1.8024120000000001E-2</v>
      </c>
      <c r="P6701">
        <v>0.99477879999999996</v>
      </c>
      <c r="Q6701">
        <v>-9.7151280000000007E-2</v>
      </c>
      <c r="R6701">
        <v>3.1255789999999999E-2</v>
      </c>
      <c r="S6701">
        <v>2.9952390000000002</v>
      </c>
      <c r="T6701">
        <v>-0.15472629999999901</v>
      </c>
      <c r="U6701">
        <v>0.17135619999999999</v>
      </c>
      <c r="V6701">
        <v>-1.332261E-2</v>
      </c>
      <c r="W6701">
        <v>-8.4066849999999999E-2</v>
      </c>
      <c r="X6701">
        <v>0.99637100000000001</v>
      </c>
      <c r="Y6701">
        <v>-3.9058759999999998E-2</v>
      </c>
      <c r="Z6701">
        <v>5.7138389999999897E-4</v>
      </c>
      <c r="AA6701">
        <v>0.99923680000000004</v>
      </c>
      <c r="AB6701">
        <v>25</v>
      </c>
      <c r="AC6701">
        <v>21.557099999999899</v>
      </c>
      <c r="AD6701">
        <v>-1.120889063436</v>
      </c>
      <c r="AE6701">
        <v>1.23882</v>
      </c>
      <c r="AF6701">
        <v>-0.84775300193584102</v>
      </c>
      <c r="AG6701">
        <v>-1.120889063436</v>
      </c>
      <c r="AH6701">
        <v>21.517943353144499</v>
      </c>
      <c r="AI6701">
        <v>92.979586325164803</v>
      </c>
      <c r="AJ6701">
        <v>92.256143199760203</v>
      </c>
      <c r="AK6701">
        <v>21.563788247753699</v>
      </c>
      <c r="AL6701">
        <v>94.822367500562805</v>
      </c>
      <c r="AM6701">
        <v>90.766063884639394</v>
      </c>
      <c r="AN6701">
        <v>0.99999994842356599</v>
      </c>
    </row>
    <row r="6702" spans="1:40" x14ac:dyDescent="0.25">
      <c r="A6702" t="str">
        <f>"20190303154314506"</f>
        <v>20190303154314506</v>
      </c>
      <c r="B6702" t="str">
        <f>"1551598994497278"</f>
        <v>1551598994497278</v>
      </c>
      <c r="C6702" t="s">
        <v>40</v>
      </c>
      <c r="D6702">
        <v>5.2938090000000004</v>
      </c>
      <c r="E6702">
        <v>0.49093340000000002</v>
      </c>
      <c r="F6702" t="s">
        <v>41</v>
      </c>
      <c r="G6702">
        <v>-325.78879999999998</v>
      </c>
      <c r="H6702" s="1">
        <v>-2.1551739999999998E-6</v>
      </c>
      <c r="I6702">
        <v>18.57884</v>
      </c>
      <c r="J6702">
        <v>-347.41629999999998</v>
      </c>
      <c r="K6702">
        <v>1.1208899999999999</v>
      </c>
      <c r="L6702">
        <v>17.342469999999999</v>
      </c>
      <c r="M6702">
        <v>0.99975060000000004</v>
      </c>
      <c r="N6702">
        <v>-1.3186170000000001E-2</v>
      </c>
      <c r="O6702">
        <v>1.802428E-2</v>
      </c>
      <c r="P6702">
        <v>0.99475380000000002</v>
      </c>
      <c r="Q6702">
        <v>-9.7409350000000006E-2</v>
      </c>
      <c r="R6702">
        <v>3.124994E-2</v>
      </c>
      <c r="S6702">
        <v>2.9952700000000001</v>
      </c>
      <c r="T6702">
        <v>-0.15435370000000001</v>
      </c>
      <c r="U6702">
        <v>0.17056270000000001</v>
      </c>
      <c r="V6702">
        <v>-1.331715E-2</v>
      </c>
      <c r="W6702">
        <v>-8.4278110000000003E-2</v>
      </c>
      <c r="X6702">
        <v>0.9963533</v>
      </c>
      <c r="Y6702">
        <v>-3.8794710000000003E-2</v>
      </c>
      <c r="Z6702">
        <v>5.6443040000000002E-4</v>
      </c>
      <c r="AA6702">
        <v>0.999247</v>
      </c>
      <c r="AB6702">
        <v>25</v>
      </c>
      <c r="AC6702">
        <v>21.627500000000001</v>
      </c>
      <c r="AD6702">
        <v>-1.1208921551740001</v>
      </c>
      <c r="AE6702">
        <v>1.23636999999999</v>
      </c>
      <c r="AF6702">
        <v>-0.84405531375769205</v>
      </c>
      <c r="AG6702">
        <v>-1.1208921551740001</v>
      </c>
      <c r="AH6702">
        <v>21.5884736514755</v>
      </c>
      <c r="AI6702">
        <v>92.969912395958502</v>
      </c>
      <c r="AJ6702">
        <v>92.238981265423703</v>
      </c>
      <c r="AK6702">
        <v>21.6340246647882</v>
      </c>
      <c r="AL6702">
        <v>94.834514558023898</v>
      </c>
      <c r="AM6702">
        <v>90.765763568133806</v>
      </c>
      <c r="AN6702">
        <v>1.00000002236509</v>
      </c>
    </row>
    <row r="6703" spans="1:40" x14ac:dyDescent="0.25">
      <c r="A6703" t="str">
        <f>"20190303154314525"</f>
        <v>20190303154314525</v>
      </c>
      <c r="B6703" t="str">
        <f>"1551598994516797"</f>
        <v>1551598994516797</v>
      </c>
      <c r="C6703" t="s">
        <v>40</v>
      </c>
      <c r="D6703">
        <v>5.2703620000000004</v>
      </c>
      <c r="E6703">
        <v>0.51368610000000003</v>
      </c>
      <c r="F6703" t="s">
        <v>41</v>
      </c>
      <c r="G6703">
        <v>-325.63929999999999</v>
      </c>
      <c r="H6703" s="1">
        <v>-2.2271400000000001E-6</v>
      </c>
      <c r="I6703">
        <v>18.571380000000001</v>
      </c>
      <c r="J6703">
        <v>-347.21260000000001</v>
      </c>
      <c r="K6703">
        <v>1.1208959999999999</v>
      </c>
      <c r="L6703">
        <v>17.346160000000001</v>
      </c>
      <c r="M6703">
        <v>0.99974980000000002</v>
      </c>
      <c r="N6703">
        <v>-1.3258870000000001E-2</v>
      </c>
      <c r="O6703">
        <v>1.8024330000000002E-2</v>
      </c>
      <c r="P6703">
        <v>0.99476209999999998</v>
      </c>
      <c r="Q6703">
        <v>-9.7310980000000005E-2</v>
      </c>
      <c r="R6703">
        <v>3.1291920000000001E-2</v>
      </c>
      <c r="S6703">
        <v>2.995422</v>
      </c>
      <c r="T6703">
        <v>-0.1541786</v>
      </c>
      <c r="U6703">
        <v>0.16903689999999999</v>
      </c>
      <c r="V6703">
        <v>-1.335915E-2</v>
      </c>
      <c r="W6703">
        <v>-8.4107150000000006E-2</v>
      </c>
      <c r="X6703">
        <v>0.99636720000000001</v>
      </c>
      <c r="Y6703">
        <v>-3.8285189999999997E-2</v>
      </c>
      <c r="Z6703">
        <v>5.5058919999999897E-4</v>
      </c>
      <c r="AA6703">
        <v>0.99926669999999995</v>
      </c>
      <c r="AB6703">
        <v>25</v>
      </c>
      <c r="AC6703">
        <v>21.5733</v>
      </c>
      <c r="AD6703">
        <v>-1.1208982271400001</v>
      </c>
      <c r="AE6703">
        <v>1.22521999999999</v>
      </c>
      <c r="AF6703">
        <v>-0.83389857634221698</v>
      </c>
      <c r="AG6703">
        <v>-1.1208982271400001</v>
      </c>
      <c r="AH6703">
        <v>21.533934403135198</v>
      </c>
      <c r="AI6703">
        <v>92.977479940315106</v>
      </c>
      <c r="AJ6703">
        <v>92.217662886887894</v>
      </c>
      <c r="AK6703">
        <v>21.579205975887099</v>
      </c>
      <c r="AL6703">
        <v>94.8246842920977</v>
      </c>
      <c r="AM6703">
        <v>90.768167650408998</v>
      </c>
      <c r="AN6703">
        <v>1.00000003840284</v>
      </c>
    </row>
    <row r="6704" spans="1:40" x14ac:dyDescent="0.25">
      <c r="A6704" t="str">
        <f>"20190303154314538"</f>
        <v>20190303154314538</v>
      </c>
      <c r="B6704" t="str">
        <f>"1551598994526559"</f>
        <v>1551598994526559</v>
      </c>
      <c r="C6704" t="s">
        <v>40</v>
      </c>
      <c r="D6704">
        <v>5.3730379999999904</v>
      </c>
      <c r="E6704">
        <v>0.51216300000000003</v>
      </c>
      <c r="F6704" t="s">
        <v>63</v>
      </c>
      <c r="G6704">
        <v>-279.68</v>
      </c>
      <c r="H6704">
        <v>0.26085170000000002</v>
      </c>
      <c r="I6704">
        <v>17.12997</v>
      </c>
      <c r="J6704">
        <v>-347.06189999999998</v>
      </c>
      <c r="K6704">
        <v>1.1208990000000001</v>
      </c>
      <c r="L6704">
        <v>17.348849999999999</v>
      </c>
      <c r="M6704">
        <v>0.99974909999999995</v>
      </c>
      <c r="N6704">
        <v>-1.33078E-2</v>
      </c>
      <c r="O6704">
        <v>1.8024289999999998E-2</v>
      </c>
      <c r="P6704">
        <v>0.99478569999999999</v>
      </c>
      <c r="Q6704">
        <v>-9.7024959999999993E-2</v>
      </c>
      <c r="R6704">
        <v>3.1428919999999999E-2</v>
      </c>
      <c r="S6704">
        <v>3.0123600000000001</v>
      </c>
      <c r="T6704">
        <v>-3.8362979999999998E-2</v>
      </c>
      <c r="U6704">
        <v>-9.6435549999999998E-3</v>
      </c>
      <c r="V6704">
        <v>-1.3495409999999999E-2</v>
      </c>
      <c r="W6704">
        <v>-8.3772059999999995E-2</v>
      </c>
      <c r="X6704">
        <v>0.99639359999999999</v>
      </c>
      <c r="Y6704">
        <v>2.122307E-2</v>
      </c>
      <c r="Z6704">
        <v>-2.6601169999999999E-4</v>
      </c>
      <c r="AA6704">
        <v>0.99977479999999996</v>
      </c>
      <c r="AB6704">
        <v>24</v>
      </c>
      <c r="AC6704">
        <v>67.381899999999902</v>
      </c>
      <c r="AD6704">
        <v>-0.86004729999999896</v>
      </c>
      <c r="AE6704">
        <v>-0.21887999999999799</v>
      </c>
      <c r="AF6704">
        <v>1.43322926700269</v>
      </c>
      <c r="AG6704">
        <v>-0.86004729999999896</v>
      </c>
      <c r="AH6704">
        <v>67.356033201539901</v>
      </c>
      <c r="AI6704">
        <v>90.731385896066698</v>
      </c>
      <c r="AJ6704">
        <v>88.781020882660101</v>
      </c>
      <c r="AK6704">
        <v>67.376769261645194</v>
      </c>
      <c r="AL6704">
        <v>94.805417020520295</v>
      </c>
      <c r="AM6704">
        <v>90.775981257599497</v>
      </c>
      <c r="AN6704">
        <v>1.0000000451243301</v>
      </c>
    </row>
    <row r="6705" spans="1:40" x14ac:dyDescent="0.25">
      <c r="A6705" t="str">
        <f>"20190303154314550"</f>
        <v>20190303154314550</v>
      </c>
      <c r="B6705" t="str">
        <f>"1551598994547054"</f>
        <v>1551598994547054</v>
      </c>
      <c r="C6705" t="s">
        <v>40</v>
      </c>
      <c r="D6705">
        <v>5.4068250000000004</v>
      </c>
      <c r="E6705">
        <v>0.51094620000000002</v>
      </c>
      <c r="F6705" t="s">
        <v>43</v>
      </c>
      <c r="G6705">
        <v>-293.1148</v>
      </c>
      <c r="H6705">
        <v>-0.05</v>
      </c>
      <c r="I6705">
        <v>17.389879999999899</v>
      </c>
      <c r="J6705">
        <v>-346.92669999999998</v>
      </c>
      <c r="K6705">
        <v>1.120906</v>
      </c>
      <c r="L6705">
        <v>17.351289999999999</v>
      </c>
      <c r="M6705">
        <v>0.99974850000000004</v>
      </c>
      <c r="N6705">
        <v>-1.334717E-2</v>
      </c>
      <c r="O6705">
        <v>1.802438E-2</v>
      </c>
      <c r="P6705">
        <v>0.99476980000000004</v>
      </c>
      <c r="Q6705">
        <v>-9.7212900000000005E-2</v>
      </c>
      <c r="R6705">
        <v>3.1355689999999999E-2</v>
      </c>
      <c r="S6705">
        <v>3.009277</v>
      </c>
      <c r="T6705">
        <v>-6.5315010000000007E-2</v>
      </c>
      <c r="U6705">
        <v>2.2888180000000002E-3</v>
      </c>
      <c r="V6705">
        <v>-1.342255E-2</v>
      </c>
      <c r="W6705">
        <v>-8.3920969999999998E-2</v>
      </c>
      <c r="X6705">
        <v>0.99638199999999999</v>
      </c>
      <c r="Y6705">
        <v>1.7258329999999999E-2</v>
      </c>
      <c r="Z6705">
        <v>-4.530359E-4</v>
      </c>
      <c r="AA6705">
        <v>0.99985100000000005</v>
      </c>
      <c r="AB6705">
        <v>24</v>
      </c>
      <c r="AC6705">
        <v>53.811899999999902</v>
      </c>
      <c r="AD6705">
        <v>-1.170906</v>
      </c>
      <c r="AE6705">
        <v>3.8589999999999201E-2</v>
      </c>
      <c r="AF6705">
        <v>0.93098797807174805</v>
      </c>
      <c r="AG6705">
        <v>-1.170906</v>
      </c>
      <c r="AH6705">
        <v>53.778390052329897</v>
      </c>
      <c r="AI6705">
        <v>91.247105539024901</v>
      </c>
      <c r="AJ6705">
        <v>89.008219581004795</v>
      </c>
      <c r="AK6705">
        <v>53.799191407461599</v>
      </c>
      <c r="AL6705">
        <v>94.813979340820694</v>
      </c>
      <c r="AM6705">
        <v>90.771801325956901</v>
      </c>
      <c r="AN6705">
        <v>0.99999999198912104</v>
      </c>
    </row>
    <row r="6706" spans="1:40" x14ac:dyDescent="0.25">
      <c r="A6706" t="str">
        <f>"20190303154314568"</f>
        <v>20190303154314568</v>
      </c>
      <c r="B6706" t="str">
        <f>"1551598994556814"</f>
        <v>1551598994556814</v>
      </c>
      <c r="C6706" t="s">
        <v>40</v>
      </c>
      <c r="D6706">
        <v>5.4270420000000001</v>
      </c>
      <c r="E6706">
        <v>0.51069849999999894</v>
      </c>
      <c r="F6706" t="s">
        <v>43</v>
      </c>
      <c r="G6706">
        <v>-306.63459999999998</v>
      </c>
      <c r="H6706">
        <v>-0.05</v>
      </c>
      <c r="I6706">
        <v>17.50301</v>
      </c>
      <c r="J6706">
        <v>-346.7319</v>
      </c>
      <c r="K6706">
        <v>1.1209129999999901</v>
      </c>
      <c r="L6706">
        <v>17.354800000000001</v>
      </c>
      <c r="M6706">
        <v>0.99974779999999996</v>
      </c>
      <c r="N6706">
        <v>-1.3398530000000001E-2</v>
      </c>
      <c r="O6706">
        <v>1.8024510000000001E-2</v>
      </c>
      <c r="P6706">
        <v>0.99480139999999995</v>
      </c>
      <c r="Q6706">
        <v>-9.6860230000000005E-2</v>
      </c>
      <c r="R6706">
        <v>3.1443850000000002E-2</v>
      </c>
      <c r="S6706">
        <v>3.006866</v>
      </c>
      <c r="T6706">
        <v>-8.7380769999999997E-2</v>
      </c>
      <c r="U6706">
        <v>1.132202E-2</v>
      </c>
      <c r="V6706">
        <v>-1.350996E-2</v>
      </c>
      <c r="W6706">
        <v>-8.3516720000000003E-2</v>
      </c>
      <c r="X6706">
        <v>0.99641480000000004</v>
      </c>
      <c r="Y6706">
        <v>1.4250250000000001E-2</v>
      </c>
      <c r="Z6706">
        <v>-5.846801E-4</v>
      </c>
      <c r="AA6706">
        <v>0.99989830000000002</v>
      </c>
      <c r="AB6706">
        <v>24</v>
      </c>
      <c r="AC6706">
        <v>40.097299999999997</v>
      </c>
      <c r="AD6706">
        <v>-1.1709130000000001</v>
      </c>
      <c r="AE6706">
        <v>0.14820999999999801</v>
      </c>
      <c r="AF6706">
        <v>0.574123549759334</v>
      </c>
      <c r="AG6706">
        <v>-1.1709130000000001</v>
      </c>
      <c r="AH6706">
        <v>40.059296605645301</v>
      </c>
      <c r="AI6706">
        <v>91.674078166759998</v>
      </c>
      <c r="AJ6706">
        <v>89.178902098517995</v>
      </c>
      <c r="AK6706">
        <v>40.080517706774003</v>
      </c>
      <c r="AL6706">
        <v>94.790735848663701</v>
      </c>
      <c r="AM6706">
        <v>90.776801249172493</v>
      </c>
      <c r="AN6706">
        <v>1.0000000075989</v>
      </c>
    </row>
    <row r="6707" spans="1:40" x14ac:dyDescent="0.25">
      <c r="A6707" t="str">
        <f>"20190303154314580"</f>
        <v>20190303154314580</v>
      </c>
      <c r="B6707" t="str">
        <f>"1551598994577310"</f>
        <v>1551598994577310</v>
      </c>
      <c r="C6707" t="s">
        <v>40</v>
      </c>
      <c r="D6707">
        <v>5.4150140000000002</v>
      </c>
      <c r="E6707">
        <v>0.51064509999999996</v>
      </c>
      <c r="F6707" t="s">
        <v>43</v>
      </c>
      <c r="G6707">
        <v>-309.25360000000001</v>
      </c>
      <c r="H6707">
        <v>-0.05</v>
      </c>
      <c r="I6707">
        <v>17.523350000000001</v>
      </c>
      <c r="J6707">
        <v>-346.60730000000001</v>
      </c>
      <c r="K6707">
        <v>1.1209150000000001</v>
      </c>
      <c r="L6707">
        <v>17.357060000000001</v>
      </c>
      <c r="M6707">
        <v>0.99974739999999995</v>
      </c>
      <c r="N6707">
        <v>-1.3428570000000001E-2</v>
      </c>
      <c r="O6707">
        <v>1.8024660000000001E-2</v>
      </c>
      <c r="P6707">
        <v>0.9948032</v>
      </c>
      <c r="Q6707">
        <v>-9.6763310000000005E-2</v>
      </c>
      <c r="R6707">
        <v>3.1676019999999999E-2</v>
      </c>
      <c r="S6707">
        <v>3.0061040000000001</v>
      </c>
      <c r="T6707">
        <v>-9.3917849999999997E-2</v>
      </c>
      <c r="U6707">
        <v>1.351929E-2</v>
      </c>
      <c r="V6707">
        <v>-1.374149E-2</v>
      </c>
      <c r="W6707">
        <v>-8.3389770000000002E-2</v>
      </c>
      <c r="X6707">
        <v>0.99642220000000004</v>
      </c>
      <c r="Y6707">
        <v>1.3517319999999999E-2</v>
      </c>
      <c r="Z6707">
        <v>-6.2283029999999999E-4</v>
      </c>
      <c r="AA6707">
        <v>0.99990840000000003</v>
      </c>
      <c r="AB6707">
        <v>24</v>
      </c>
      <c r="AC6707">
        <v>37.353700000000003</v>
      </c>
      <c r="AD6707">
        <v>-1.1709149999999999</v>
      </c>
      <c r="AE6707">
        <v>0.16628999999999999</v>
      </c>
      <c r="AF6707">
        <v>0.506587678782497</v>
      </c>
      <c r="AG6707">
        <v>-1.1709149999999999</v>
      </c>
      <c r="AH6707">
        <v>37.313963570690703</v>
      </c>
      <c r="AI6707">
        <v>91.797190582713796</v>
      </c>
      <c r="AJ6707">
        <v>89.222179847024293</v>
      </c>
      <c r="AK6707">
        <v>37.335767708302903</v>
      </c>
      <c r="AL6707">
        <v>94.783437004855401</v>
      </c>
      <c r="AM6707">
        <v>90.790106316018594</v>
      </c>
      <c r="AN6707">
        <v>0.99999994147045401</v>
      </c>
    </row>
    <row r="6708" spans="1:40" x14ac:dyDescent="0.25">
      <c r="A6708" t="str">
        <f>"20190303154314591"</f>
        <v>20190303154314591</v>
      </c>
      <c r="B6708" t="str">
        <f>"1551598994587070"</f>
        <v>1551598994587070</v>
      </c>
      <c r="C6708" t="s">
        <v>40</v>
      </c>
      <c r="D6708">
        <v>5.4085049999999999</v>
      </c>
      <c r="E6708">
        <v>0.51056950000000001</v>
      </c>
      <c r="F6708" t="s">
        <v>43</v>
      </c>
      <c r="G6708">
        <v>-312.67180000000002</v>
      </c>
      <c r="H6708">
        <v>-0.05</v>
      </c>
      <c r="I6708">
        <v>17.51971</v>
      </c>
      <c r="J6708">
        <v>-346.47680000000003</v>
      </c>
      <c r="K6708">
        <v>1.1209199999999999</v>
      </c>
      <c r="L6708">
        <v>17.35941</v>
      </c>
      <c r="M6708">
        <v>0.99974700000000005</v>
      </c>
      <c r="N6708">
        <v>-1.345757E-2</v>
      </c>
      <c r="O6708">
        <v>1.8024640000000001E-2</v>
      </c>
      <c r="P6708">
        <v>0.99479819999999997</v>
      </c>
      <c r="Q6708">
        <v>-9.6817520000000004E-2</v>
      </c>
      <c r="R6708">
        <v>3.167304E-2</v>
      </c>
      <c r="S6708">
        <v>3.0051570000000001</v>
      </c>
      <c r="T6708">
        <v>-0.1036905</v>
      </c>
      <c r="U6708">
        <v>1.44043E-2</v>
      </c>
      <c r="V6708">
        <v>-1.373861E-2</v>
      </c>
      <c r="W6708">
        <v>-8.3415139999999999E-2</v>
      </c>
      <c r="X6708">
        <v>0.99642010000000003</v>
      </c>
      <c r="Y6708">
        <v>1.3218779999999999E-2</v>
      </c>
      <c r="Z6708">
        <v>-6.9612929999999997E-4</v>
      </c>
      <c r="AA6708">
        <v>0.99991240000000003</v>
      </c>
      <c r="AB6708">
        <v>24</v>
      </c>
      <c r="AC6708">
        <v>33.805</v>
      </c>
      <c r="AD6708">
        <v>-1.17092</v>
      </c>
      <c r="AE6708">
        <v>0.160299999999999</v>
      </c>
      <c r="AF6708">
        <v>0.44856601051122003</v>
      </c>
      <c r="AG6708">
        <v>-1.17092</v>
      </c>
      <c r="AH6708">
        <v>33.761891669809799</v>
      </c>
      <c r="AI6708">
        <v>91.986144087503504</v>
      </c>
      <c r="AJ6708">
        <v>89.238803696628807</v>
      </c>
      <c r="AK6708">
        <v>33.785168258218903</v>
      </c>
      <c r="AL6708">
        <v>94.784895758360406</v>
      </c>
      <c r="AM6708">
        <v>90.789942407782107</v>
      </c>
      <c r="AN6708">
        <v>0.99999992533497795</v>
      </c>
    </row>
    <row r="6709" spans="1:40" x14ac:dyDescent="0.25">
      <c r="A6709" t="str">
        <f>"20190303154314604"</f>
        <v>20190303154314604</v>
      </c>
      <c r="B6709" t="str">
        <f>"1551598994596830"</f>
        <v>1551598994596830</v>
      </c>
      <c r="C6709" t="s">
        <v>40</v>
      </c>
      <c r="D6709">
        <v>5.402774</v>
      </c>
      <c r="E6709">
        <v>0.51056179999999995</v>
      </c>
      <c r="F6709" t="s">
        <v>43</v>
      </c>
      <c r="G6709">
        <v>-313.22809999999998</v>
      </c>
      <c r="H6709">
        <v>-0.05</v>
      </c>
      <c r="I6709">
        <v>17.52553</v>
      </c>
      <c r="J6709">
        <v>-346.3433</v>
      </c>
      <c r="K6709">
        <v>1.120924</v>
      </c>
      <c r="L6709">
        <v>17.361820000000002</v>
      </c>
      <c r="M6709">
        <v>0.99974669999999999</v>
      </c>
      <c r="N6709">
        <v>-1.348452E-2</v>
      </c>
      <c r="O6709">
        <v>1.8024760000000001E-2</v>
      </c>
      <c r="P6709">
        <v>0.99478800000000001</v>
      </c>
      <c r="Q6709">
        <v>-9.6745399999999995E-2</v>
      </c>
      <c r="R6709">
        <v>3.2207310000000003E-2</v>
      </c>
      <c r="S6709">
        <v>3.004883</v>
      </c>
      <c r="T6709">
        <v>-0.10582279999999999</v>
      </c>
      <c r="U6709">
        <v>1.5014649999999999E-2</v>
      </c>
      <c r="V6709">
        <v>-1.4272770000000001E-2</v>
      </c>
      <c r="W6709">
        <v>-8.3316199999999896E-2</v>
      </c>
      <c r="X6709">
        <v>0.99642090000000005</v>
      </c>
      <c r="Y6709">
        <v>1.3014889999999999E-2</v>
      </c>
      <c r="Z6709">
        <v>-7.0840429999999895E-4</v>
      </c>
      <c r="AA6709">
        <v>0.99991509999999995</v>
      </c>
      <c r="AB6709">
        <v>24</v>
      </c>
      <c r="AC6709">
        <v>33.115200000000002</v>
      </c>
      <c r="AD6709">
        <v>-1.1709240000000001</v>
      </c>
      <c r="AE6709">
        <v>0.163709999999998</v>
      </c>
      <c r="AF6709">
        <v>0.43272334543775898</v>
      </c>
      <c r="AG6709">
        <v>-1.1709240000000001</v>
      </c>
      <c r="AH6709">
        <v>33.071423168368597</v>
      </c>
      <c r="AI6709">
        <v>92.0275890526854</v>
      </c>
      <c r="AJ6709">
        <v>89.2503556164869</v>
      </c>
      <c r="AK6709">
        <v>33.094974586616097</v>
      </c>
      <c r="AL6709">
        <v>94.779206966716799</v>
      </c>
      <c r="AM6709">
        <v>90.820650751503194</v>
      </c>
      <c r="AN6709">
        <v>0.99999995555136001</v>
      </c>
    </row>
    <row r="6710" spans="1:40" x14ac:dyDescent="0.25">
      <c r="A6710" t="str">
        <f>"20190303154314616"</f>
        <v>20190303154314616</v>
      </c>
      <c r="B6710" t="str">
        <f>"1551598994606591"</f>
        <v>1551598994606591</v>
      </c>
      <c r="C6710" t="s">
        <v>40</v>
      </c>
      <c r="D6710">
        <v>5.4136660000000001</v>
      </c>
      <c r="E6710">
        <v>0.51048149999999903</v>
      </c>
      <c r="F6710" t="s">
        <v>43</v>
      </c>
      <c r="G6710">
        <v>-313.5249</v>
      </c>
      <c r="H6710">
        <v>-0.05</v>
      </c>
      <c r="I6710">
        <v>17.544139999999999</v>
      </c>
      <c r="J6710">
        <v>-346.21559999999999</v>
      </c>
      <c r="K6710">
        <v>1.120919</v>
      </c>
      <c r="L6710">
        <v>17.36411</v>
      </c>
      <c r="M6710">
        <v>0.99974629999999998</v>
      </c>
      <c r="N6710">
        <v>-1.350911E-2</v>
      </c>
      <c r="O6710">
        <v>1.8025119999999999E-2</v>
      </c>
      <c r="P6710">
        <v>0.99477890000000002</v>
      </c>
      <c r="Q6710">
        <v>-9.6766630000000006E-2</v>
      </c>
      <c r="R6710">
        <v>3.2427570000000003E-2</v>
      </c>
      <c r="S6710">
        <v>3.0047299999999999</v>
      </c>
      <c r="T6710">
        <v>-0.10720540000000001</v>
      </c>
      <c r="U6710">
        <v>1.6693119999999999E-2</v>
      </c>
      <c r="V6710">
        <v>-1.4493239999999999E-2</v>
      </c>
      <c r="W6710">
        <v>-8.3312940000000002E-2</v>
      </c>
      <c r="X6710">
        <v>0.99641809999999997</v>
      </c>
      <c r="Y6710">
        <v>1.245651E-2</v>
      </c>
      <c r="Z6710">
        <v>-7.0571939999999997E-4</v>
      </c>
      <c r="AA6710">
        <v>0.99992219999999998</v>
      </c>
      <c r="AB6710">
        <v>24</v>
      </c>
      <c r="AC6710">
        <v>32.6906999999999</v>
      </c>
      <c r="AD6710">
        <v>-1.170919</v>
      </c>
      <c r="AE6710">
        <v>0.180029999999998</v>
      </c>
      <c r="AF6710">
        <v>0.40878237470696599</v>
      </c>
      <c r="AG6710">
        <v>-1.170919</v>
      </c>
      <c r="AH6710">
        <v>32.646750824497502</v>
      </c>
      <c r="AI6710">
        <v>92.053947727479297</v>
      </c>
      <c r="AJ6710">
        <v>89.282615259186798</v>
      </c>
      <c r="AK6710">
        <v>32.670299872074402</v>
      </c>
      <c r="AL6710">
        <v>94.779019006571403</v>
      </c>
      <c r="AM6710">
        <v>90.833327826016401</v>
      </c>
      <c r="AN6710">
        <v>1.0000000649923699</v>
      </c>
    </row>
    <row r="6711" spans="1:40" x14ac:dyDescent="0.25">
      <c r="A6711" t="str">
        <f>"20190303154314630"</f>
        <v>20190303154314630</v>
      </c>
      <c r="B6711" t="str">
        <f>"1551598994627086"</f>
        <v>1551598994627086</v>
      </c>
      <c r="C6711" t="s">
        <v>40</v>
      </c>
      <c r="D6711">
        <v>5.466933</v>
      </c>
      <c r="E6711">
        <v>0.51059619999999994</v>
      </c>
      <c r="F6711" t="s">
        <v>43</v>
      </c>
      <c r="G6711">
        <v>-313.8954</v>
      </c>
      <c r="H6711">
        <v>-0.05</v>
      </c>
      <c r="I6711">
        <v>17.5578</v>
      </c>
      <c r="J6711">
        <v>-346.06139999999999</v>
      </c>
      <c r="K6711">
        <v>1.1209229999999999</v>
      </c>
      <c r="L6711">
        <v>17.36694</v>
      </c>
      <c r="M6711">
        <v>0.99974600000000002</v>
      </c>
      <c r="N6711">
        <v>-1.3535180000000001E-2</v>
      </c>
      <c r="O6711">
        <v>1.8025059999999999E-2</v>
      </c>
      <c r="P6711">
        <v>0.99477890000000002</v>
      </c>
      <c r="Q6711">
        <v>-9.6691360000000004E-2</v>
      </c>
      <c r="R6711">
        <v>3.2650819999999997E-2</v>
      </c>
      <c r="S6711">
        <v>3.004578</v>
      </c>
      <c r="T6711">
        <v>-0.108852</v>
      </c>
      <c r="U6711">
        <v>1.800537E-2</v>
      </c>
      <c r="V6711">
        <v>-1.47162E-2</v>
      </c>
      <c r="W6711">
        <v>-8.3211660000000007E-2</v>
      </c>
      <c r="X6711">
        <v>0.99642319999999995</v>
      </c>
      <c r="Y6711">
        <v>1.201935E-2</v>
      </c>
      <c r="Z6711">
        <v>-7.0785809999999896E-4</v>
      </c>
      <c r="AA6711">
        <v>0.99992749999999997</v>
      </c>
      <c r="AB6711">
        <v>24</v>
      </c>
      <c r="AC6711">
        <v>32.165999999999997</v>
      </c>
      <c r="AD6711">
        <v>-1.1709229999999999</v>
      </c>
      <c r="AE6711">
        <v>0.19086</v>
      </c>
      <c r="AF6711">
        <v>0.38850335739451702</v>
      </c>
      <c r="AG6711">
        <v>-1.1709229999999999</v>
      </c>
      <c r="AH6711">
        <v>32.121649523076897</v>
      </c>
      <c r="AI6711">
        <v>92.087512775274902</v>
      </c>
      <c r="AJ6711">
        <v>89.307055592393993</v>
      </c>
      <c r="AK6711">
        <v>32.145331910154901</v>
      </c>
      <c r="AL6711">
        <v>94.773196324037798</v>
      </c>
      <c r="AM6711">
        <v>90.8461413311191</v>
      </c>
      <c r="AN6711">
        <v>0.99999997020031695</v>
      </c>
    </row>
    <row r="6712" spans="1:40" x14ac:dyDescent="0.25">
      <c r="A6712" t="str">
        <f>"20190303154314648"</f>
        <v>20190303154314648</v>
      </c>
      <c r="B6712" t="str">
        <f>"1551598994636845"</f>
        <v>1551598994636845</v>
      </c>
      <c r="C6712" t="s">
        <v>40</v>
      </c>
      <c r="D6712">
        <v>5.4257559999999998</v>
      </c>
      <c r="E6712">
        <v>0.51069359999999997</v>
      </c>
      <c r="F6712" t="s">
        <v>43</v>
      </c>
      <c r="G6712">
        <v>-314.1859</v>
      </c>
      <c r="H6712">
        <v>-0.05</v>
      </c>
      <c r="I6712">
        <v>17.555689999999998</v>
      </c>
      <c r="J6712">
        <v>-345.86930000000001</v>
      </c>
      <c r="K6712">
        <v>1.1209340000000001</v>
      </c>
      <c r="L6712">
        <v>17.37039</v>
      </c>
      <c r="M6712">
        <v>0.99974560000000001</v>
      </c>
      <c r="N6712">
        <v>-1.3564659999999999E-2</v>
      </c>
      <c r="O6712">
        <v>1.8025389999999999E-2</v>
      </c>
      <c r="P6712">
        <v>0.99475309999999995</v>
      </c>
      <c r="Q6712">
        <v>-9.683303E-2</v>
      </c>
      <c r="R6712">
        <v>3.3014849999999998E-2</v>
      </c>
      <c r="S6712">
        <v>3.0044559999999998</v>
      </c>
      <c r="T6712">
        <v>-0.1103666</v>
      </c>
      <c r="U6712">
        <v>1.7791749999999999E-2</v>
      </c>
      <c r="V6712">
        <v>-1.508048E-2</v>
      </c>
      <c r="W6712">
        <v>-8.3324200000000001E-2</v>
      </c>
      <c r="X6712">
        <v>0.99640839999999997</v>
      </c>
      <c r="Y6712">
        <v>1.209001E-2</v>
      </c>
      <c r="Z6712">
        <v>-7.2143009999999896E-4</v>
      </c>
      <c r="AA6712">
        <v>0.9999266</v>
      </c>
      <c r="AB6712">
        <v>24</v>
      </c>
      <c r="AC6712">
        <v>31.683399999999999</v>
      </c>
      <c r="AD6712">
        <v>-1.1709339999999999</v>
      </c>
      <c r="AE6712">
        <v>0.18529999999999799</v>
      </c>
      <c r="AF6712">
        <v>0.385361924100941</v>
      </c>
      <c r="AG6712">
        <v>-1.1709339999999999</v>
      </c>
      <c r="AH6712">
        <v>31.638380215179701</v>
      </c>
      <c r="AI6712">
        <v>92.1193879109032</v>
      </c>
      <c r="AJ6712">
        <v>89.302160227798893</v>
      </c>
      <c r="AK6712">
        <v>31.662386089572902</v>
      </c>
      <c r="AL6712">
        <v>94.779666616951104</v>
      </c>
      <c r="AM6712">
        <v>90.867096154753597</v>
      </c>
      <c r="AN6712">
        <v>1.00000002138661</v>
      </c>
    </row>
    <row r="6713" spans="1:40" x14ac:dyDescent="0.25">
      <c r="A6713" t="str">
        <f>"20190303154314670"</f>
        <v>20190303154314670</v>
      </c>
      <c r="B6713" t="str">
        <f>"1551598994667102"</f>
        <v>1551598994667102</v>
      </c>
      <c r="C6713" t="s">
        <v>40</v>
      </c>
      <c r="D6713">
        <v>5.4556300000000002</v>
      </c>
      <c r="E6713">
        <v>0.51075939999999997</v>
      </c>
      <c r="F6713" t="s">
        <v>43</v>
      </c>
      <c r="G6713">
        <v>-314.6454</v>
      </c>
      <c r="H6713">
        <v>-0.05</v>
      </c>
      <c r="I6713">
        <v>17.557829999999999</v>
      </c>
      <c r="J6713">
        <v>-345.63560000000001</v>
      </c>
      <c r="K6713">
        <v>1.12094</v>
      </c>
      <c r="L6713">
        <v>17.374600000000001</v>
      </c>
      <c r="M6713">
        <v>0.99974510000000005</v>
      </c>
      <c r="N6713">
        <v>-1.3595970000000001E-2</v>
      </c>
      <c r="O6713">
        <v>1.8025659999999999E-2</v>
      </c>
      <c r="P6713">
        <v>0.99475309999999995</v>
      </c>
      <c r="Q6713">
        <v>-9.6878359999999997E-2</v>
      </c>
      <c r="R6713">
        <v>3.2876580000000002E-2</v>
      </c>
      <c r="S6713">
        <v>3.0042719999999998</v>
      </c>
      <c r="T6713">
        <v>-0.11266370000000001</v>
      </c>
      <c r="U6713">
        <v>1.8035889999999999E-2</v>
      </c>
      <c r="V6713">
        <v>-1.494125E-2</v>
      </c>
      <c r="W6713">
        <v>-8.3338369999999995E-2</v>
      </c>
      <c r="X6713">
        <v>0.99640930000000005</v>
      </c>
      <c r="Y6713">
        <v>1.2008019999999999E-2</v>
      </c>
      <c r="Z6713">
        <v>-7.3740959999999995E-4</v>
      </c>
      <c r="AA6713">
        <v>0.99992760000000003</v>
      </c>
      <c r="AB6713">
        <v>24</v>
      </c>
      <c r="AC6713">
        <v>30.990200000000002</v>
      </c>
      <c r="AD6713">
        <v>-1.1709399999999901</v>
      </c>
      <c r="AE6713">
        <v>0.18322999999999801</v>
      </c>
      <c r="AF6713">
        <v>0.37493495523185699</v>
      </c>
      <c r="AG6713">
        <v>-1.1709399999999901</v>
      </c>
      <c r="AH6713">
        <v>30.9442911222825</v>
      </c>
      <c r="AI6713">
        <v>92.166894322904398</v>
      </c>
      <c r="AJ6713">
        <v>89.305812523564896</v>
      </c>
      <c r="AK6713">
        <v>30.968707266607399</v>
      </c>
      <c r="AL6713">
        <v>94.780481391159299</v>
      </c>
      <c r="AM6713">
        <v>90.859091149604794</v>
      </c>
      <c r="AN6713">
        <v>1.00000000899615</v>
      </c>
    </row>
    <row r="6714" spans="1:40" x14ac:dyDescent="0.25">
      <c r="A6714" t="str">
        <f>"20190303154314682"</f>
        <v>20190303154314682</v>
      </c>
      <c r="B6714" t="str">
        <f>"1551598994676862"</f>
        <v>1551598994676862</v>
      </c>
      <c r="C6714" t="s">
        <v>40</v>
      </c>
      <c r="D6714">
        <v>5.4778529999999996</v>
      </c>
      <c r="E6714">
        <v>0.51085979999999998</v>
      </c>
      <c r="F6714" t="s">
        <v>43</v>
      </c>
      <c r="G6714">
        <v>-315.60210000000001</v>
      </c>
      <c r="H6714">
        <v>-0.05</v>
      </c>
      <c r="I6714">
        <v>17.545169999999999</v>
      </c>
      <c r="J6714">
        <v>-345.50450000000001</v>
      </c>
      <c r="K6714">
        <v>1.12094</v>
      </c>
      <c r="L6714">
        <v>17.37698</v>
      </c>
      <c r="M6714">
        <v>0.99974490000000005</v>
      </c>
      <c r="N6714">
        <v>-1.361151E-2</v>
      </c>
      <c r="O6714">
        <v>1.8025909999999999E-2</v>
      </c>
      <c r="P6714">
        <v>0.99476580000000003</v>
      </c>
      <c r="Q6714">
        <v>-9.6891669999999999E-2</v>
      </c>
      <c r="R6714">
        <v>3.2453669999999997E-2</v>
      </c>
      <c r="S6714">
        <v>3.0038149999999999</v>
      </c>
      <c r="T6714">
        <v>-0.1171118</v>
      </c>
      <c r="U6714">
        <v>1.7059330000000001E-2</v>
      </c>
      <c r="V6714">
        <v>-1.4518390000000001E-2</v>
      </c>
      <c r="W6714">
        <v>-8.3336110000000005E-2</v>
      </c>
      <c r="X6714">
        <v>0.99641570000000002</v>
      </c>
      <c r="Y6714">
        <v>1.233064E-2</v>
      </c>
      <c r="Z6714">
        <v>-7.8140220000000001E-4</v>
      </c>
      <c r="AA6714">
        <v>0.99992360000000002</v>
      </c>
      <c r="AB6714">
        <v>24</v>
      </c>
      <c r="AC6714">
        <v>29.9024</v>
      </c>
      <c r="AD6714">
        <v>-1.1709399999999901</v>
      </c>
      <c r="AE6714">
        <v>0.168190000000002</v>
      </c>
      <c r="AF6714">
        <v>0.37033736452988297</v>
      </c>
      <c r="AG6714">
        <v>-1.1709399999999901</v>
      </c>
      <c r="AH6714">
        <v>29.854794542873901</v>
      </c>
      <c r="AI6714">
        <v>92.245883722594598</v>
      </c>
      <c r="AJ6714">
        <v>89.289304111253102</v>
      </c>
      <c r="AK6714">
        <v>29.8800436319022</v>
      </c>
      <c r="AL6714">
        <v>94.780351642126007</v>
      </c>
      <c r="AM6714">
        <v>90.834775698854799</v>
      </c>
      <c r="AN6714">
        <v>0.99999996904230604</v>
      </c>
    </row>
    <row r="6715" spans="1:40" x14ac:dyDescent="0.25">
      <c r="A6715" t="str">
        <f>"20190303154314696"</f>
        <v>20190303154314696</v>
      </c>
      <c r="B6715" t="str">
        <f>"1551598994686622"</f>
        <v>1551598994686622</v>
      </c>
      <c r="C6715" t="s">
        <v>40</v>
      </c>
      <c r="D6715">
        <v>5.4561710000000003</v>
      </c>
      <c r="E6715">
        <v>0.51096179999999902</v>
      </c>
      <c r="F6715" t="s">
        <v>43</v>
      </c>
      <c r="G6715">
        <v>-315.74169999999998</v>
      </c>
      <c r="H6715">
        <v>-0.05</v>
      </c>
      <c r="I6715">
        <v>17.525739999999999</v>
      </c>
      <c r="J6715">
        <v>-345.34640000000002</v>
      </c>
      <c r="K6715">
        <v>1.120943</v>
      </c>
      <c r="L6715">
        <v>17.379819999999999</v>
      </c>
      <c r="M6715">
        <v>0.99974470000000004</v>
      </c>
      <c r="N6715">
        <v>-1.362885E-2</v>
      </c>
      <c r="O6715">
        <v>1.8025969999999999E-2</v>
      </c>
      <c r="P6715">
        <v>0.99477490000000002</v>
      </c>
      <c r="Q6715">
        <v>-9.6912180000000001E-2</v>
      </c>
      <c r="R6715">
        <v>3.2105019999999998E-2</v>
      </c>
      <c r="S6715">
        <v>3.003784</v>
      </c>
      <c r="T6715">
        <v>-0.11817569999999999</v>
      </c>
      <c r="U6715">
        <v>1.5014649999999999E-2</v>
      </c>
      <c r="V6715">
        <v>-1.4169640000000001E-2</v>
      </c>
      <c r="W6715">
        <v>-8.3339319999999995E-2</v>
      </c>
      <c r="X6715">
        <v>0.99642050000000004</v>
      </c>
      <c r="Y6715">
        <v>1.3010209999999999E-2</v>
      </c>
      <c r="Z6715">
        <v>-8.0776660000000001E-4</v>
      </c>
      <c r="AA6715">
        <v>0.99991509999999995</v>
      </c>
      <c r="AB6715">
        <v>24</v>
      </c>
      <c r="AC6715">
        <v>29.604700000000001</v>
      </c>
      <c r="AD6715">
        <v>-1.1709430000000001</v>
      </c>
      <c r="AE6715">
        <v>0.145919999999996</v>
      </c>
      <c r="AF6715">
        <v>0.387200951652029</v>
      </c>
      <c r="AG6715">
        <v>-1.1709430000000001</v>
      </c>
      <c r="AH6715">
        <v>29.5562825217572</v>
      </c>
      <c r="AI6715">
        <v>92.268528779085699</v>
      </c>
      <c r="AJ6715">
        <v>89.249441761725507</v>
      </c>
      <c r="AK6715">
        <v>29.582002443920899</v>
      </c>
      <c r="AL6715">
        <v>94.780535974346094</v>
      </c>
      <c r="AM6715">
        <v>90.814722147937005</v>
      </c>
      <c r="AN6715">
        <v>1.0000000168880201</v>
      </c>
    </row>
    <row r="6716" spans="1:40" x14ac:dyDescent="0.25">
      <c r="A6716" t="str">
        <f>"20190303154314709"</f>
        <v>20190303154314709</v>
      </c>
      <c r="B6716" t="str">
        <f>"1551598994697358"</f>
        <v>1551598994697358</v>
      </c>
      <c r="C6716" t="s">
        <v>40</v>
      </c>
      <c r="D6716">
        <v>5.4422750000000004</v>
      </c>
      <c r="E6716">
        <v>0.51092349999999997</v>
      </c>
      <c r="F6716" t="s">
        <v>43</v>
      </c>
      <c r="G6716">
        <v>-315.6044</v>
      </c>
      <c r="H6716">
        <v>-0.05</v>
      </c>
      <c r="I6716">
        <v>17.510359999999999</v>
      </c>
      <c r="J6716">
        <v>-345.20819999999998</v>
      </c>
      <c r="K6716">
        <v>1.120946</v>
      </c>
      <c r="L6716">
        <v>17.38232</v>
      </c>
      <c r="M6716">
        <v>0.99974450000000004</v>
      </c>
      <c r="N6716">
        <v>-1.364199E-2</v>
      </c>
      <c r="O6716">
        <v>1.8025880000000001E-2</v>
      </c>
      <c r="P6716">
        <v>0.99476960000000003</v>
      </c>
      <c r="Q6716">
        <v>-9.7089220000000004E-2</v>
      </c>
      <c r="R6716">
        <v>3.1737969999999997E-2</v>
      </c>
      <c r="S6716">
        <v>3.0038149999999999</v>
      </c>
      <c r="T6716">
        <v>-0.11826010000000001</v>
      </c>
      <c r="U6716">
        <v>1.318359E-2</v>
      </c>
      <c r="V6716">
        <v>-1.380265E-2</v>
      </c>
      <c r="W6716">
        <v>-8.3503419999999995E-2</v>
      </c>
      <c r="X6716">
        <v>0.99641190000000002</v>
      </c>
      <c r="Y6716">
        <v>1.3619010000000001E-2</v>
      </c>
      <c r="Z6716">
        <v>-8.2442869999999903E-4</v>
      </c>
      <c r="AA6716">
        <v>0.99990690000000004</v>
      </c>
      <c r="AB6716">
        <v>24</v>
      </c>
      <c r="AC6716">
        <v>29.6037999999999</v>
      </c>
      <c r="AD6716">
        <v>-1.1709459999999901</v>
      </c>
      <c r="AE6716">
        <v>0.12804000000000201</v>
      </c>
      <c r="AF6716">
        <v>0.40503132525499103</v>
      </c>
      <c r="AG6716">
        <v>-1.1709459999999901</v>
      </c>
      <c r="AH6716">
        <v>29.555058976315699</v>
      </c>
      <c r="AI6716">
        <v>92.268610064580301</v>
      </c>
      <c r="AJ6716">
        <v>89.214850733419496</v>
      </c>
      <c r="AK6716">
        <v>29.5810188465992</v>
      </c>
      <c r="AL6716">
        <v>94.789971159090101</v>
      </c>
      <c r="AM6716">
        <v>90.793630639269395</v>
      </c>
      <c r="AN6716">
        <v>1.00000000438016</v>
      </c>
    </row>
    <row r="6717" spans="1:40" x14ac:dyDescent="0.25">
      <c r="A6717" t="str">
        <f>"20190303154314726"</f>
        <v>20190303154314726</v>
      </c>
      <c r="B6717" t="str">
        <f>"1551598994716714"</f>
        <v>1551598994716714</v>
      </c>
      <c r="C6717" t="s">
        <v>40</v>
      </c>
      <c r="D6717">
        <v>5.4660359999999999</v>
      </c>
      <c r="E6717">
        <v>0.51099879999999998</v>
      </c>
      <c r="F6717" t="s">
        <v>43</v>
      </c>
      <c r="G6717">
        <v>-315.82080000000002</v>
      </c>
      <c r="H6717">
        <v>-0.05</v>
      </c>
      <c r="I6717">
        <v>17.502939999999999</v>
      </c>
      <c r="J6717">
        <v>-345.02260000000001</v>
      </c>
      <c r="K6717">
        <v>1.1209519999999999</v>
      </c>
      <c r="L6717">
        <v>17.385649999999998</v>
      </c>
      <c r="M6717">
        <v>0.99974439999999998</v>
      </c>
      <c r="N6717">
        <v>-1.365821E-2</v>
      </c>
      <c r="O6717">
        <v>1.8025759999999998E-2</v>
      </c>
      <c r="P6717">
        <v>0.99471929999999997</v>
      </c>
      <c r="Q6717">
        <v>-9.7688319999999995E-2</v>
      </c>
      <c r="R6717">
        <v>3.1478270000000003E-2</v>
      </c>
      <c r="S6717">
        <v>3.0036930000000002</v>
      </c>
      <c r="T6717">
        <v>-0.11968289999999999</v>
      </c>
      <c r="U6717">
        <v>1.2329100000000001E-2</v>
      </c>
      <c r="V6717">
        <v>-1.3544459999999999E-2</v>
      </c>
      <c r="W6717">
        <v>-8.4087049999999997E-2</v>
      </c>
      <c r="X6717">
        <v>0.99636639999999999</v>
      </c>
      <c r="Y6717">
        <v>1.3902350000000001E-2</v>
      </c>
      <c r="Z6717">
        <v>-8.4361569999999995E-4</v>
      </c>
      <c r="AA6717">
        <v>0.99990299999999999</v>
      </c>
      <c r="AB6717">
        <v>24</v>
      </c>
      <c r="AC6717">
        <v>29.201799999999899</v>
      </c>
      <c r="AD6717">
        <v>-1.170952</v>
      </c>
      <c r="AE6717">
        <v>0.11729000000000001</v>
      </c>
      <c r="AF6717">
        <v>0.408505887995048</v>
      </c>
      <c r="AG6717">
        <v>-1.170952</v>
      </c>
      <c r="AH6717">
        <v>29.152295717582</v>
      </c>
      <c r="AI6717">
        <v>92.299921325234294</v>
      </c>
      <c r="AJ6717">
        <v>89.197177068880194</v>
      </c>
      <c r="AK6717">
        <v>29.178662602185501</v>
      </c>
      <c r="AL6717">
        <v>94.823528527174204</v>
      </c>
      <c r="AM6717">
        <v>90.778822526367506</v>
      </c>
      <c r="AN6717">
        <v>1.0000000437116701</v>
      </c>
    </row>
    <row r="6718" spans="1:40" x14ac:dyDescent="0.25">
      <c r="A6718" t="str">
        <f>"20190303154314740"</f>
        <v>20190303154314740</v>
      </c>
      <c r="B6718" t="str">
        <f>"1551598994737207"</f>
        <v>1551598994737207</v>
      </c>
      <c r="C6718" t="s">
        <v>40</v>
      </c>
      <c r="D6718">
        <v>5.4358849999999999</v>
      </c>
      <c r="E6718">
        <v>0.51092079999999995</v>
      </c>
      <c r="F6718" t="s">
        <v>43</v>
      </c>
      <c r="G6718">
        <v>-316.1893</v>
      </c>
      <c r="H6718">
        <v>-0.05</v>
      </c>
      <c r="I6718">
        <v>17.491700000000002</v>
      </c>
      <c r="J6718">
        <v>-344.87860000000001</v>
      </c>
      <c r="K6718">
        <v>1.120954</v>
      </c>
      <c r="L6718">
        <v>17.38824</v>
      </c>
      <c r="M6718">
        <v>0.99974419999999997</v>
      </c>
      <c r="N6718">
        <v>-1.366961E-2</v>
      </c>
      <c r="O6718">
        <v>1.802484E-2</v>
      </c>
      <c r="P6718">
        <v>0.99471830000000006</v>
      </c>
      <c r="Q6718">
        <v>-9.7672990000000001E-2</v>
      </c>
      <c r="R6718">
        <v>3.156204E-2</v>
      </c>
      <c r="S6718">
        <v>3.0036010000000002</v>
      </c>
      <c r="T6718">
        <v>-0.1219792</v>
      </c>
      <c r="U6718">
        <v>1.1047360000000001E-2</v>
      </c>
      <c r="V6718">
        <v>-1.362906E-2</v>
      </c>
      <c r="W6718">
        <v>-8.4060360000000001E-2</v>
      </c>
      <c r="X6718">
        <v>0.99636749999999996</v>
      </c>
      <c r="Y6718">
        <v>1.432666E-2</v>
      </c>
      <c r="Z6718">
        <v>-8.7408699999999995E-4</v>
      </c>
      <c r="AA6718">
        <v>0.99989700000000004</v>
      </c>
      <c r="AB6718">
        <v>24</v>
      </c>
      <c r="AC6718">
        <v>28.689299999999999</v>
      </c>
      <c r="AD6718">
        <v>-1.1709540000000001</v>
      </c>
      <c r="AE6718">
        <v>0.103460000000001</v>
      </c>
      <c r="AF6718">
        <v>0.41303706287179098</v>
      </c>
      <c r="AG6718">
        <v>-1.1709540000000001</v>
      </c>
      <c r="AH6718">
        <v>28.6387955297876</v>
      </c>
      <c r="AI6718">
        <v>92.341104345542405</v>
      </c>
      <c r="AJ6718">
        <v>89.173720841273393</v>
      </c>
      <c r="AK6718">
        <v>28.6656997521847</v>
      </c>
      <c r="AL6718">
        <v>94.821993862160895</v>
      </c>
      <c r="AM6718">
        <v>90.783685656867405</v>
      </c>
      <c r="AN6718">
        <v>1.00000004522803</v>
      </c>
    </row>
    <row r="6719" spans="1:40" x14ac:dyDescent="0.25">
      <c r="A6719" t="str">
        <f>"20190303154314759"</f>
        <v>20190303154314759</v>
      </c>
      <c r="B6719" t="str">
        <f>"1551598994746967"</f>
        <v>1551598994746967</v>
      </c>
      <c r="C6719" t="s">
        <v>40</v>
      </c>
      <c r="D6719">
        <v>5.4889409999999996</v>
      </c>
      <c r="E6719">
        <v>0.51092179999999998</v>
      </c>
      <c r="F6719" t="s">
        <v>43</v>
      </c>
      <c r="G6719">
        <v>-316.3021</v>
      </c>
      <c r="H6719">
        <v>-0.05</v>
      </c>
      <c r="I6719">
        <v>17.502369999999999</v>
      </c>
      <c r="J6719">
        <v>-344.6696</v>
      </c>
      <c r="K6719">
        <v>1.1209530000000001</v>
      </c>
      <c r="L6719">
        <v>17.392060000000001</v>
      </c>
      <c r="M6719">
        <v>0.99974410000000002</v>
      </c>
      <c r="N6719">
        <v>-1.368402E-2</v>
      </c>
      <c r="O6719">
        <v>1.8018670000000001E-2</v>
      </c>
      <c r="P6719">
        <v>0.99460389999999999</v>
      </c>
      <c r="Q6719">
        <v>-9.8544419999999994E-2</v>
      </c>
      <c r="R6719">
        <v>3.2440030000000002E-2</v>
      </c>
      <c r="S6719">
        <v>3.0035099999999999</v>
      </c>
      <c r="T6719">
        <v>-0.1230721</v>
      </c>
      <c r="U6719">
        <v>1.1993409999999999E-2</v>
      </c>
      <c r="V6719">
        <v>-1.4515490000000001E-2</v>
      </c>
      <c r="W6719">
        <v>-8.4918540000000001E-2</v>
      </c>
      <c r="X6719">
        <v>0.99628220000000001</v>
      </c>
      <c r="Y6719">
        <v>1.400538E-2</v>
      </c>
      <c r="Z6719">
        <v>-8.7416929999999896E-4</v>
      </c>
      <c r="AA6719">
        <v>0.9999015</v>
      </c>
      <c r="AB6719">
        <v>24</v>
      </c>
      <c r="AC6719">
        <v>28.3675</v>
      </c>
      <c r="AD6719">
        <v>-1.1709529999999999</v>
      </c>
      <c r="AE6719">
        <v>0.110310000000001</v>
      </c>
      <c r="AF6719">
        <v>0.40021843750994102</v>
      </c>
      <c r="AG6719">
        <v>-1.1709529999999999</v>
      </c>
      <c r="AH6719">
        <v>28.316634344318999</v>
      </c>
      <c r="AI6719">
        <v>92.367716905517398</v>
      </c>
      <c r="AJ6719">
        <v>89.190253320325596</v>
      </c>
      <c r="AK6719">
        <v>28.3436604254955</v>
      </c>
      <c r="AL6719">
        <v>94.871340424018399</v>
      </c>
      <c r="AM6719">
        <v>90.834720799040895</v>
      </c>
      <c r="AN6719">
        <v>1.0000000399612501</v>
      </c>
    </row>
    <row r="6720" spans="1:40" x14ac:dyDescent="0.25">
      <c r="A6720" t="str">
        <f>"20190303154314771"</f>
        <v>20190303154314771</v>
      </c>
      <c r="B6720" t="str">
        <f>"1551598994767463"</f>
        <v>1551598994767463</v>
      </c>
      <c r="C6720" t="s">
        <v>40</v>
      </c>
      <c r="D6720">
        <v>5.4351640000000003</v>
      </c>
      <c r="E6720">
        <v>0.51100579999999995</v>
      </c>
      <c r="F6720" t="s">
        <v>43</v>
      </c>
      <c r="G6720">
        <v>-316.80259999999998</v>
      </c>
      <c r="H6720">
        <v>-0.05</v>
      </c>
      <c r="I6720">
        <v>17.529399999999999</v>
      </c>
      <c r="J6720">
        <v>-344.53859999999997</v>
      </c>
      <c r="K6720">
        <v>1.120951</v>
      </c>
      <c r="L6720">
        <v>17.394379999999899</v>
      </c>
      <c r="M6720">
        <v>0.99974419999999997</v>
      </c>
      <c r="N6720">
        <v>-1.3691969999999999E-2</v>
      </c>
      <c r="O6720">
        <v>1.800968E-2</v>
      </c>
      <c r="P6720">
        <v>0.99456109999999998</v>
      </c>
      <c r="Q6720">
        <v>-9.8808670000000001E-2</v>
      </c>
      <c r="R6720">
        <v>3.2947280000000002E-2</v>
      </c>
      <c r="S6720">
        <v>3.0032960000000002</v>
      </c>
      <c r="T6720">
        <v>-0.12619649999999999</v>
      </c>
      <c r="U6720">
        <v>1.480103E-2</v>
      </c>
      <c r="V6720">
        <v>-1.503298E-2</v>
      </c>
      <c r="W6720">
        <v>-8.5175169999999994E-2</v>
      </c>
      <c r="X6720">
        <v>0.99625260000000004</v>
      </c>
      <c r="Y6720">
        <v>1.306124E-2</v>
      </c>
      <c r="Z6720">
        <v>-8.7360339999999995E-4</v>
      </c>
      <c r="AA6720">
        <v>0.99991430000000003</v>
      </c>
      <c r="AB6720">
        <v>24</v>
      </c>
      <c r="AC6720">
        <v>27.735999999999901</v>
      </c>
      <c r="AD6720">
        <v>-1.1709510000000001</v>
      </c>
      <c r="AE6720">
        <v>0.13502</v>
      </c>
      <c r="AF6720">
        <v>0.36391653845079602</v>
      </c>
      <c r="AG6720">
        <v>-1.1709510000000001</v>
      </c>
      <c r="AH6720">
        <v>27.6845905249507</v>
      </c>
      <c r="AI6720">
        <v>92.4217371156914</v>
      </c>
      <c r="AJ6720">
        <v>89.246884981433894</v>
      </c>
      <c r="AK6720">
        <v>27.711732425554899</v>
      </c>
      <c r="AL6720">
        <v>94.886097795919198</v>
      </c>
      <c r="AM6720">
        <v>90.864500572991801</v>
      </c>
      <c r="AN6720">
        <v>1.00000002153948</v>
      </c>
    </row>
    <row r="6721" spans="1:40" x14ac:dyDescent="0.25">
      <c r="A6721" t="str">
        <f>"20190303154314783"</f>
        <v>20190303154314783</v>
      </c>
      <c r="B6721" t="str">
        <f>"1551598994777223"</f>
        <v>1551598994777223</v>
      </c>
      <c r="C6721" t="s">
        <v>40</v>
      </c>
      <c r="D6721">
        <v>5.4714419999999997</v>
      </c>
      <c r="E6721">
        <v>0.51103310000000002</v>
      </c>
      <c r="F6721" t="s">
        <v>43</v>
      </c>
      <c r="G6721">
        <v>-316.75920000000002</v>
      </c>
      <c r="H6721">
        <v>-0.05</v>
      </c>
      <c r="I6721">
        <v>17.539470000000001</v>
      </c>
      <c r="J6721">
        <v>-344.41890000000001</v>
      </c>
      <c r="K6721">
        <v>1.1209469999999999</v>
      </c>
      <c r="L6721">
        <v>17.396509999999999</v>
      </c>
      <c r="M6721">
        <v>0.99974430000000003</v>
      </c>
      <c r="N6721">
        <v>-1.3698599999999899E-2</v>
      </c>
      <c r="O6721">
        <v>1.7997030000000001E-2</v>
      </c>
      <c r="P6721">
        <v>0.99453320000000001</v>
      </c>
      <c r="Q6721">
        <v>-9.8889489999999997E-2</v>
      </c>
      <c r="R6721">
        <v>3.3535540000000003E-2</v>
      </c>
      <c r="S6721">
        <v>3.0032960000000002</v>
      </c>
      <c r="T6721">
        <v>-0.12659469999999901</v>
      </c>
      <c r="U6721">
        <v>1.5686039999999998E-2</v>
      </c>
      <c r="V6721">
        <v>-1.563525E-2</v>
      </c>
      <c r="W6721">
        <v>-8.5249420000000006E-2</v>
      </c>
      <c r="X6721">
        <v>0.99623700000000004</v>
      </c>
      <c r="Y6721">
        <v>1.275416E-2</v>
      </c>
      <c r="Z6721">
        <v>-8.6784310000000001E-4</v>
      </c>
      <c r="AA6721">
        <v>0.99991830000000004</v>
      </c>
      <c r="AB6721">
        <v>24</v>
      </c>
      <c r="AC6721">
        <v>27.659699999999901</v>
      </c>
      <c r="AD6721">
        <v>-1.170947</v>
      </c>
      <c r="AE6721">
        <v>0.142960000000002</v>
      </c>
      <c r="AF6721">
        <v>0.35426737792651902</v>
      </c>
      <c r="AG6721">
        <v>-1.170947</v>
      </c>
      <c r="AH6721">
        <v>27.608314989877201</v>
      </c>
      <c r="AI6721">
        <v>92.428421408375399</v>
      </c>
      <c r="AJ6721">
        <v>89.264826136067299</v>
      </c>
      <c r="AK6721">
        <v>27.635406254154301</v>
      </c>
      <c r="AL6721">
        <v>94.890367434966095</v>
      </c>
      <c r="AM6721">
        <v>90.899143774191799</v>
      </c>
      <c r="AN6721">
        <v>1.0000000424109401</v>
      </c>
    </row>
    <row r="6722" spans="1:40" x14ac:dyDescent="0.25">
      <c r="A6722" t="str">
        <f>"20190303154314803"</f>
        <v>20190303154314803</v>
      </c>
      <c r="B6722" t="str">
        <f>"1551598994796743"</f>
        <v>1551598994796743</v>
      </c>
      <c r="C6722" t="s">
        <v>40</v>
      </c>
      <c r="D6722">
        <v>5.4566919999999897</v>
      </c>
      <c r="E6722">
        <v>0.51108149999999997</v>
      </c>
      <c r="F6722" t="s">
        <v>43</v>
      </c>
      <c r="G6722">
        <v>-316.65629999999999</v>
      </c>
      <c r="H6722">
        <v>-0.05</v>
      </c>
      <c r="I6722">
        <v>17.555340000000001</v>
      </c>
      <c r="J6722">
        <v>-344.19260000000003</v>
      </c>
      <c r="K6722">
        <v>1.1209359999999999</v>
      </c>
      <c r="L6722">
        <v>17.400600000000001</v>
      </c>
      <c r="M6722">
        <v>0.99974479999999999</v>
      </c>
      <c r="N6722">
        <v>-1.37097E-2</v>
      </c>
      <c r="O6722">
        <v>1.7956119999999999E-2</v>
      </c>
      <c r="P6722">
        <v>0.9944982</v>
      </c>
      <c r="Q6722">
        <v>-9.8888409999999996E-2</v>
      </c>
      <c r="R6722">
        <v>3.4564940000000002E-2</v>
      </c>
      <c r="S6722">
        <v>3.0032960000000002</v>
      </c>
      <c r="T6722">
        <v>-0.12667</v>
      </c>
      <c r="U6722">
        <v>1.7181399999999999E-2</v>
      </c>
      <c r="V6722">
        <v>-1.670932E-2</v>
      </c>
      <c r="W6722">
        <v>-8.5236839999999994E-2</v>
      </c>
      <c r="X6722">
        <v>0.99622060000000001</v>
      </c>
      <c r="Y6722">
        <v>1.2216019999999999E-2</v>
      </c>
      <c r="Z6722">
        <v>-8.5212459999999999E-4</v>
      </c>
      <c r="AA6722">
        <v>0.99992499999999995</v>
      </c>
      <c r="AB6722">
        <v>24</v>
      </c>
      <c r="AC6722">
        <v>27.536300000000001</v>
      </c>
      <c r="AD6722">
        <v>-1.170936</v>
      </c>
      <c r="AE6722">
        <v>0.15473999999999999</v>
      </c>
      <c r="AF6722">
        <v>0.33916325456130397</v>
      </c>
      <c r="AG6722">
        <v>-1.170936</v>
      </c>
      <c r="AH6722">
        <v>27.4849407468183</v>
      </c>
      <c r="AI6722">
        <v>92.439301149443594</v>
      </c>
      <c r="AJ6722">
        <v>89.2930078709187</v>
      </c>
      <c r="AK6722">
        <v>27.511962683266599</v>
      </c>
      <c r="AL6722">
        <v>94.8896442187459</v>
      </c>
      <c r="AM6722">
        <v>90.960915436156796</v>
      </c>
      <c r="AN6722">
        <v>1.0000000020662001</v>
      </c>
    </row>
    <row r="6723" spans="1:40" x14ac:dyDescent="0.25">
      <c r="A6723" t="str">
        <f>"20190303154314819"</f>
        <v>20190303154314819</v>
      </c>
      <c r="B6723" t="str">
        <f>"1551598994807479"</f>
        <v>1551598994807479</v>
      </c>
      <c r="C6723" t="s">
        <v>40</v>
      </c>
      <c r="D6723">
        <v>5.4692069999999999</v>
      </c>
      <c r="E6723">
        <v>0.51110929999999999</v>
      </c>
      <c r="F6723" t="s">
        <v>43</v>
      </c>
      <c r="G6723">
        <v>-316.37360000000001</v>
      </c>
      <c r="H6723">
        <v>-0.05</v>
      </c>
      <c r="I6723">
        <v>17.583210000000001</v>
      </c>
      <c r="J6723">
        <v>-344.03289999999998</v>
      </c>
      <c r="K6723">
        <v>1.1209180000000001</v>
      </c>
      <c r="L6723">
        <v>17.40344</v>
      </c>
      <c r="M6723">
        <v>0.99974549999999995</v>
      </c>
      <c r="N6723">
        <v>-1.3716580000000001E-2</v>
      </c>
      <c r="O6723">
        <v>1.7911070000000001E-2</v>
      </c>
      <c r="P6723">
        <v>0.99446670000000004</v>
      </c>
      <c r="Q6723">
        <v>-9.9034259999999999E-2</v>
      </c>
      <c r="R6723">
        <v>3.5050339999999999E-2</v>
      </c>
      <c r="S6723">
        <v>3.0033569999999998</v>
      </c>
      <c r="T6723">
        <v>-0.12641530000000001</v>
      </c>
      <c r="U6723">
        <v>1.971436E-2</v>
      </c>
      <c r="V6723">
        <v>-1.724258E-2</v>
      </c>
      <c r="W6723">
        <v>-8.5375499999999993E-2</v>
      </c>
      <c r="X6723">
        <v>0.99619959999999996</v>
      </c>
      <c r="Y6723">
        <v>1.1328950000000001E-2</v>
      </c>
      <c r="Z6723">
        <v>-8.2395449999999996E-4</v>
      </c>
      <c r="AA6723">
        <v>0.99993549999999998</v>
      </c>
      <c r="AB6723">
        <v>24</v>
      </c>
      <c r="AC6723">
        <v>27.659299999999899</v>
      </c>
      <c r="AD6723">
        <v>-1.1709179999999999</v>
      </c>
      <c r="AE6723">
        <v>0.17977000000000101</v>
      </c>
      <c r="AF6723">
        <v>0.31514834432107902</v>
      </c>
      <c r="AG6723">
        <v>-1.1709179999999999</v>
      </c>
      <c r="AH6723">
        <v>27.608606099665899</v>
      </c>
      <c r="AI6723">
        <v>92.428377424730698</v>
      </c>
      <c r="AJ6723">
        <v>89.346005162633602</v>
      </c>
      <c r="AK6723">
        <v>27.6352220582387</v>
      </c>
      <c r="AL6723">
        <v>94.897618110137202</v>
      </c>
      <c r="AM6723">
        <v>90.991596890308202</v>
      </c>
      <c r="AN6723">
        <v>0.99999996280273196</v>
      </c>
    </row>
    <row r="6724" spans="1:40" x14ac:dyDescent="0.25">
      <c r="A6724" t="str">
        <f>"20190303154314839"</f>
        <v>20190303154314839</v>
      </c>
      <c r="B6724" t="str">
        <f>"1551598994826999"</f>
        <v>1551598994826999</v>
      </c>
      <c r="C6724" t="s">
        <v>40</v>
      </c>
      <c r="D6724">
        <v>5.4627999999999997</v>
      </c>
      <c r="E6724">
        <v>0.51117520000000005</v>
      </c>
      <c r="F6724" t="s">
        <v>43</v>
      </c>
      <c r="G6724">
        <v>-316.32619999999997</v>
      </c>
      <c r="H6724">
        <v>-0.05</v>
      </c>
      <c r="I6724">
        <v>17.59657</v>
      </c>
      <c r="J6724">
        <v>-343.8091</v>
      </c>
      <c r="K6724">
        <v>1.120895</v>
      </c>
      <c r="L6724">
        <v>17.40738</v>
      </c>
      <c r="M6724">
        <v>0.9997471</v>
      </c>
      <c r="N6724">
        <v>-1.3724800000000001E-2</v>
      </c>
      <c r="O6724">
        <v>1.781551E-2</v>
      </c>
      <c r="P6724">
        <v>0.99439820000000001</v>
      </c>
      <c r="Q6724">
        <v>-9.9506949999999997E-2</v>
      </c>
      <c r="R6724">
        <v>3.5648630000000001E-2</v>
      </c>
      <c r="S6724">
        <v>3.003387</v>
      </c>
      <c r="T6724">
        <v>-0.1269267</v>
      </c>
      <c r="U6724">
        <v>2.0935059999999998E-2</v>
      </c>
      <c r="V6724">
        <v>-1.7942989999999999E-2</v>
      </c>
      <c r="W6724">
        <v>-8.5839529999999997E-2</v>
      </c>
      <c r="X6724">
        <v>0.99614740000000002</v>
      </c>
      <c r="Y6724">
        <v>1.08275E-2</v>
      </c>
      <c r="Z6724">
        <v>-8.1109249999999997E-4</v>
      </c>
      <c r="AA6724">
        <v>0.99994110000000003</v>
      </c>
      <c r="AB6724">
        <v>24</v>
      </c>
      <c r="AC6724">
        <v>27.482900000000001</v>
      </c>
      <c r="AD6724">
        <v>-1.170895</v>
      </c>
      <c r="AE6724">
        <v>0.18919</v>
      </c>
      <c r="AF6724">
        <v>0.29996357573911098</v>
      </c>
      <c r="AG6724">
        <v>-1.170895</v>
      </c>
      <c r="AH6724">
        <v>27.432117384432999</v>
      </c>
      <c r="AI6724">
        <v>92.443947023983299</v>
      </c>
      <c r="AJ6724">
        <v>89.373509463035205</v>
      </c>
      <c r="AK6724">
        <v>27.4587333546379</v>
      </c>
      <c r="AL6724">
        <v>94.924302805087706</v>
      </c>
      <c r="AM6724">
        <v>91.031922020202003</v>
      </c>
      <c r="AN6724">
        <v>1.00000000916376</v>
      </c>
    </row>
    <row r="6725" spans="1:40" x14ac:dyDescent="0.25">
      <c r="A6725" t="str">
        <f>"20190303154314861"</f>
        <v>20190303154314861</v>
      </c>
      <c r="B6725" t="str">
        <f>"1551598994857255"</f>
        <v>1551598994857255</v>
      </c>
      <c r="C6725" t="s">
        <v>40</v>
      </c>
      <c r="D6725">
        <v>5.5361180000000001</v>
      </c>
      <c r="E6725">
        <v>0.51295619999999997</v>
      </c>
      <c r="F6725" t="s">
        <v>43</v>
      </c>
      <c r="G6725">
        <v>-316.4708</v>
      </c>
      <c r="H6725">
        <v>-0.05</v>
      </c>
      <c r="I6725">
        <v>17.61101</v>
      </c>
      <c r="J6725">
        <v>-343.57589999999999</v>
      </c>
      <c r="K6725">
        <v>1.12087</v>
      </c>
      <c r="L6725">
        <v>17.411379999999902</v>
      </c>
      <c r="M6725">
        <v>0.99974969999999996</v>
      </c>
      <c r="N6725">
        <v>-1.3732100000000001E-2</v>
      </c>
      <c r="O6725">
        <v>1.767343E-2</v>
      </c>
      <c r="P6725">
        <v>0.99434460000000002</v>
      </c>
      <c r="Q6725">
        <v>-9.9971560000000001E-2</v>
      </c>
      <c r="R6725">
        <v>3.58476E-2</v>
      </c>
      <c r="S6725">
        <v>3.0032649999999999</v>
      </c>
      <c r="T6725">
        <v>-0.1286292</v>
      </c>
      <c r="U6725">
        <v>2.2369380000000001E-2</v>
      </c>
      <c r="V6725">
        <v>-1.8290919999999999E-2</v>
      </c>
      <c r="W6725">
        <v>-8.6296040000000004E-2</v>
      </c>
      <c r="X6725">
        <v>0.99610160000000003</v>
      </c>
      <c r="Y6725">
        <v>1.020778E-2</v>
      </c>
      <c r="Z6725">
        <v>-8.0253949999999996E-4</v>
      </c>
      <c r="AA6725">
        <v>0.99994749999999999</v>
      </c>
      <c r="AB6725">
        <v>24</v>
      </c>
      <c r="AC6725">
        <v>27.1051</v>
      </c>
      <c r="AD6725">
        <v>-1.1708700000000001</v>
      </c>
      <c r="AE6725">
        <v>0.199630000000002</v>
      </c>
      <c r="AF6725">
        <v>0.27896582757757099</v>
      </c>
      <c r="AG6725">
        <v>-1.1708700000000001</v>
      </c>
      <c r="AH6725">
        <v>27.053913916547</v>
      </c>
      <c r="AI6725">
        <v>92.478033721186904</v>
      </c>
      <c r="AJ6725">
        <v>89.409216790536206</v>
      </c>
      <c r="AK6725">
        <v>27.0806760752717</v>
      </c>
      <c r="AL6725">
        <v>94.950556461018607</v>
      </c>
      <c r="AM6725">
        <v>91.051975777686806</v>
      </c>
      <c r="AN6725">
        <v>0.99999998089834297</v>
      </c>
    </row>
    <row r="6726" spans="1:40" x14ac:dyDescent="0.25">
      <c r="A6726" t="str">
        <f>"20190303154314875"</f>
        <v>20190303154314875</v>
      </c>
      <c r="B6726" t="str">
        <f>"1551598994867015"</f>
        <v>1551598994867015</v>
      </c>
      <c r="C6726" t="s">
        <v>40</v>
      </c>
      <c r="D6726">
        <v>5.6893919999999998</v>
      </c>
      <c r="E6726">
        <v>0.58093950000000005</v>
      </c>
      <c r="F6726" t="s">
        <v>43</v>
      </c>
      <c r="G6726">
        <v>-315.38</v>
      </c>
      <c r="H6726">
        <v>-0.05</v>
      </c>
      <c r="I6726">
        <v>17.4953</v>
      </c>
      <c r="J6726">
        <v>-343.41460000000001</v>
      </c>
      <c r="K6726">
        <v>1.120849</v>
      </c>
      <c r="L6726">
        <v>17.41412</v>
      </c>
      <c r="M6726">
        <v>0.99975170000000002</v>
      </c>
      <c r="N6726">
        <v>-1.3736430000000001E-2</v>
      </c>
      <c r="O6726">
        <v>1.7552669999999999E-2</v>
      </c>
      <c r="P6726">
        <v>0.99433990000000005</v>
      </c>
      <c r="Q6726">
        <v>-0.1000611</v>
      </c>
      <c r="R6726">
        <v>3.5726939999999999E-2</v>
      </c>
      <c r="S6726">
        <v>3.0042420000000001</v>
      </c>
      <c r="T6726">
        <v>-0.12475509999999999</v>
      </c>
      <c r="U6726">
        <v>8.9416500000000006E-3</v>
      </c>
      <c r="V6726">
        <v>-1.8295059999999998E-2</v>
      </c>
      <c r="W6726">
        <v>-8.6380440000000003E-2</v>
      </c>
      <c r="X6726">
        <v>0.99609420000000004</v>
      </c>
      <c r="Y6726">
        <v>1.4554910000000001E-2</v>
      </c>
      <c r="Z6726">
        <v>-8.8958979999999895E-4</v>
      </c>
      <c r="AA6726">
        <v>0.9998937</v>
      </c>
      <c r="AB6726">
        <v>24</v>
      </c>
      <c r="AC6726">
        <v>28.034600000000001</v>
      </c>
      <c r="AD6726">
        <v>-1.170849</v>
      </c>
      <c r="AE6726">
        <v>8.1179999999999794E-2</v>
      </c>
      <c r="AF6726">
        <v>0.41024539073919403</v>
      </c>
      <c r="AG6726">
        <v>-1.170849</v>
      </c>
      <c r="AH6726">
        <v>27.982895993541501</v>
      </c>
      <c r="AI6726">
        <v>92.395692097973694</v>
      </c>
      <c r="AJ6726">
        <v>89.160071007060196</v>
      </c>
      <c r="AK6726">
        <v>28.0103848036185</v>
      </c>
      <c r="AL6726">
        <v>94.955410391844495</v>
      </c>
      <c r="AM6726">
        <v>91.052221645422307</v>
      </c>
      <c r="AN6726">
        <v>0.99999997245431804</v>
      </c>
    </row>
    <row r="6727" spans="1:40" x14ac:dyDescent="0.25">
      <c r="A6727" t="str">
        <f>"20190303154314892"</f>
        <v>20190303154314892</v>
      </c>
      <c r="B6727" t="str">
        <f>"1551598994887512"</f>
        <v>1551598994887512</v>
      </c>
      <c r="C6727" t="s">
        <v>40</v>
      </c>
      <c r="D6727">
        <v>5.6422569999999999</v>
      </c>
      <c r="E6727">
        <v>0.58358429999999994</v>
      </c>
      <c r="F6727" t="s">
        <v>64</v>
      </c>
      <c r="G6727">
        <v>-270.25</v>
      </c>
      <c r="H6727">
        <v>0.18334510000000001</v>
      </c>
      <c r="I6727">
        <v>4.6000079999999999</v>
      </c>
      <c r="J6727">
        <v>-343.23700000000002</v>
      </c>
      <c r="K6727">
        <v>1.1208260000000001</v>
      </c>
      <c r="L6727">
        <v>17.41705</v>
      </c>
      <c r="M6727">
        <v>0.99975460000000005</v>
      </c>
      <c r="N6727">
        <v>-1.374039E-2</v>
      </c>
      <c r="O6727">
        <v>1.7385620000000001E-2</v>
      </c>
      <c r="P6727">
        <v>0.99432619999999905</v>
      </c>
      <c r="Q6727">
        <v>-0.1003315</v>
      </c>
      <c r="R6727">
        <v>3.534868E-2</v>
      </c>
      <c r="S6727">
        <v>3.0322269999999998</v>
      </c>
      <c r="T6727">
        <v>-3.885388E-2</v>
      </c>
      <c r="U6727">
        <v>-0.53106690000000001</v>
      </c>
      <c r="V6727">
        <v>-1.808945E-2</v>
      </c>
      <c r="W6727">
        <v>-8.6646119999999993E-2</v>
      </c>
      <c r="X6727">
        <v>0.99607489999999999</v>
      </c>
      <c r="Y6727">
        <v>0.18958369999999999</v>
      </c>
      <c r="Z6727">
        <v>-2.5020390000000002E-3</v>
      </c>
      <c r="AA6727">
        <v>0.9818614</v>
      </c>
      <c r="AB6727">
        <v>24</v>
      </c>
      <c r="AC6727">
        <v>72.986999999999895</v>
      </c>
      <c r="AD6727">
        <v>-0.93748089999999995</v>
      </c>
      <c r="AE6727">
        <v>-12.817042000000001</v>
      </c>
      <c r="AF6727">
        <v>14.0818945536786</v>
      </c>
      <c r="AG6727">
        <v>-0.93748089999999995</v>
      </c>
      <c r="AH6727">
        <v>72.741471399888795</v>
      </c>
      <c r="AI6727">
        <v>90.724921012654406</v>
      </c>
      <c r="AJ6727">
        <v>79.043735561489299</v>
      </c>
      <c r="AK6727">
        <v>74.097910133010004</v>
      </c>
      <c r="AL6727">
        <v>94.970689923772596</v>
      </c>
      <c r="AM6727">
        <v>91.040418965208403</v>
      </c>
      <c r="AN6727">
        <v>0.99999999236118298</v>
      </c>
    </row>
    <row r="6728" spans="1:40" x14ac:dyDescent="0.25">
      <c r="A6728" t="str">
        <f>"20190303154314904"</f>
        <v>20190303154314904</v>
      </c>
      <c r="B6728" t="str">
        <f>"1551598994897271"</f>
        <v>1551598994897271</v>
      </c>
      <c r="C6728" t="s">
        <v>40</v>
      </c>
      <c r="D6728">
        <v>5.6169330000000004</v>
      </c>
      <c r="E6728">
        <v>0.58388759999999995</v>
      </c>
      <c r="F6728" t="s">
        <v>43</v>
      </c>
      <c r="G6728">
        <v>-290.30149999999998</v>
      </c>
      <c r="H6728">
        <v>-0.05</v>
      </c>
      <c r="I6728">
        <v>7.7389529999999898</v>
      </c>
      <c r="J6728">
        <v>-343.1157</v>
      </c>
      <c r="K6728">
        <v>1.1208089999999999</v>
      </c>
      <c r="L6728">
        <v>17.419039999999999</v>
      </c>
      <c r="M6728">
        <v>0.9997568</v>
      </c>
      <c r="N6728">
        <v>-1.374275E-2</v>
      </c>
      <c r="O6728">
        <v>1.725496E-2</v>
      </c>
      <c r="P6728">
        <v>0.99432149999999997</v>
      </c>
      <c r="Q6728">
        <v>-0.1003681</v>
      </c>
      <c r="R6728">
        <v>3.5369079999999997E-2</v>
      </c>
      <c r="S6728">
        <v>3.03009</v>
      </c>
      <c r="T6728">
        <v>-6.7019460000000003E-2</v>
      </c>
      <c r="U6728">
        <v>-0.55398559999999997</v>
      </c>
      <c r="V6728">
        <v>-1.8243289999999999E-2</v>
      </c>
      <c r="W6728">
        <v>-8.6679679999999995E-2</v>
      </c>
      <c r="X6728">
        <v>0.99606919999999999</v>
      </c>
      <c r="Y6728">
        <v>0.19671849999999999</v>
      </c>
      <c r="Z6728">
        <v>-3.6640309999999999E-3</v>
      </c>
      <c r="AA6728">
        <v>0.98045320000000002</v>
      </c>
      <c r="AB6728">
        <v>24</v>
      </c>
      <c r="AC6728">
        <v>52.8142</v>
      </c>
      <c r="AD6728">
        <v>-1.170809</v>
      </c>
      <c r="AE6728">
        <v>-9.6800870000000003</v>
      </c>
      <c r="AF6728">
        <v>10.5850056107024</v>
      </c>
      <c r="AG6728">
        <v>-1.170809</v>
      </c>
      <c r="AH6728">
        <v>52.614274002639803</v>
      </c>
      <c r="AI6728">
        <v>91.249742748782396</v>
      </c>
      <c r="AJ6728">
        <v>78.625004587512393</v>
      </c>
      <c r="AK6728">
        <v>53.681234768938999</v>
      </c>
      <c r="AL6728">
        <v>94.972619904632097</v>
      </c>
      <c r="AM6728">
        <v>91.0492711422078</v>
      </c>
      <c r="AN6728">
        <v>1.0000000178717801</v>
      </c>
    </row>
    <row r="6729" spans="1:40" x14ac:dyDescent="0.25">
      <c r="A6729" t="str">
        <f>"20190303154314917"</f>
        <v>20190303154314917</v>
      </c>
      <c r="B6729" t="str">
        <f>"1551598994907031"</f>
        <v>1551598994907031</v>
      </c>
      <c r="C6729" t="s">
        <v>40</v>
      </c>
      <c r="D6729">
        <v>5.6434350000000002</v>
      </c>
      <c r="E6729">
        <v>0.58389579999999996</v>
      </c>
      <c r="F6729" t="s">
        <v>43</v>
      </c>
      <c r="G6729">
        <v>-296.22379999999998</v>
      </c>
      <c r="H6729">
        <v>-0.05</v>
      </c>
      <c r="I6729">
        <v>8.8048399999999898</v>
      </c>
      <c r="J6729">
        <v>-342.9744</v>
      </c>
      <c r="K6729">
        <v>1.120789</v>
      </c>
      <c r="L6729">
        <v>17.421299999999999</v>
      </c>
      <c r="M6729">
        <v>0.99975959999999997</v>
      </c>
      <c r="N6729">
        <v>-1.374528E-2</v>
      </c>
      <c r="O6729">
        <v>1.70925E-2</v>
      </c>
      <c r="P6729">
        <v>0.99430839999999998</v>
      </c>
      <c r="Q6729">
        <v>-0.1005981</v>
      </c>
      <c r="R6729">
        <v>3.5086319999999997E-2</v>
      </c>
      <c r="S6729">
        <v>3.0292659999999998</v>
      </c>
      <c r="T6729">
        <v>-7.5635549999999996E-2</v>
      </c>
      <c r="U6729">
        <v>-0.55648799999999998</v>
      </c>
      <c r="V6729">
        <v>-1.812656E-2</v>
      </c>
      <c r="W6729">
        <v>-8.6906559999999994E-2</v>
      </c>
      <c r="X6729">
        <v>0.99605149999999998</v>
      </c>
      <c r="Y6729">
        <v>0.19737250000000001</v>
      </c>
      <c r="Z6729">
        <v>-4.0017309999999997E-3</v>
      </c>
      <c r="AA6729">
        <v>0.98032039999999998</v>
      </c>
      <c r="AB6729">
        <v>24</v>
      </c>
      <c r="AC6729">
        <v>46.750599999999999</v>
      </c>
      <c r="AD6729">
        <v>-1.1707889999999901</v>
      </c>
      <c r="AE6729">
        <v>-8.61646</v>
      </c>
      <c r="AF6729">
        <v>9.4086540621801493</v>
      </c>
      <c r="AG6729">
        <v>-1.1707889999999901</v>
      </c>
      <c r="AH6729">
        <v>46.568231774234199</v>
      </c>
      <c r="AI6729">
        <v>91.411678375648293</v>
      </c>
      <c r="AJ6729">
        <v>78.577713803015897</v>
      </c>
      <c r="AK6729">
        <v>47.523612328221603</v>
      </c>
      <c r="AL6729">
        <v>94.985668718041097</v>
      </c>
      <c r="AM6729">
        <v>91.042577372005098</v>
      </c>
      <c r="AN6729">
        <v>0.999999956500357</v>
      </c>
    </row>
    <row r="6730" spans="1:40" x14ac:dyDescent="0.25">
      <c r="A6730" t="str">
        <f>"20190303154314927"</f>
        <v>20190303154314927</v>
      </c>
      <c r="B6730" t="str">
        <f>"1551598994917193"</f>
        <v>1551598994917193</v>
      </c>
      <c r="C6730" t="s">
        <v>40</v>
      </c>
      <c r="D6730">
        <v>5.6727069999999999</v>
      </c>
      <c r="E6730">
        <v>0.58377480000000004</v>
      </c>
      <c r="F6730" t="s">
        <v>43</v>
      </c>
      <c r="G6730">
        <v>-298.1825</v>
      </c>
      <c r="H6730">
        <v>-0.05</v>
      </c>
      <c r="I6730">
        <v>9.1795039999999997</v>
      </c>
      <c r="J6730">
        <v>-342.8546</v>
      </c>
      <c r="K6730">
        <v>1.1207739999999999</v>
      </c>
      <c r="L6730">
        <v>17.423220000000001</v>
      </c>
      <c r="M6730">
        <v>0.99976220000000005</v>
      </c>
      <c r="N6730">
        <v>-1.3747000000000001E-2</v>
      </c>
      <c r="O6730">
        <v>1.6935760000000001E-2</v>
      </c>
      <c r="P6730">
        <v>0.99430039999999997</v>
      </c>
      <c r="Q6730">
        <v>-0.10068729999999999</v>
      </c>
      <c r="R6730">
        <v>3.5060420000000002E-2</v>
      </c>
      <c r="S6730">
        <v>3.0288390000000001</v>
      </c>
      <c r="T6730">
        <v>-7.9169030000000001E-2</v>
      </c>
      <c r="U6730">
        <v>-0.55731200000000003</v>
      </c>
      <c r="V6730">
        <v>-1.825941E-2</v>
      </c>
      <c r="W6730">
        <v>-8.699345E-2</v>
      </c>
      <c r="X6730">
        <v>0.99604150000000002</v>
      </c>
      <c r="Y6730">
        <v>0.1974938</v>
      </c>
      <c r="Z6730">
        <v>-4.1366420000000003E-3</v>
      </c>
      <c r="AA6730">
        <v>0.98029540000000004</v>
      </c>
      <c r="AB6730">
        <v>24</v>
      </c>
      <c r="AC6730">
        <v>44.6721</v>
      </c>
      <c r="AD6730">
        <v>-1.170774</v>
      </c>
      <c r="AE6730">
        <v>-8.2437159999999992</v>
      </c>
      <c r="AF6730">
        <v>8.9931871219881696</v>
      </c>
      <c r="AG6730">
        <v>-1.170774</v>
      </c>
      <c r="AH6730">
        <v>44.496508434127101</v>
      </c>
      <c r="AI6730">
        <v>91.4773376357453</v>
      </c>
      <c r="AJ6730">
        <v>78.573873231341196</v>
      </c>
      <c r="AK6730">
        <v>45.4113134493874</v>
      </c>
      <c r="AL6730">
        <v>94.990666017317906</v>
      </c>
      <c r="AM6730">
        <v>91.050227283359703</v>
      </c>
      <c r="AN6730">
        <v>0.99999996805934899</v>
      </c>
    </row>
    <row r="6731" spans="1:40" x14ac:dyDescent="0.25">
      <c r="A6731" t="str">
        <f>"20190303154314939"</f>
        <v>20190303154314939</v>
      </c>
      <c r="B6731" t="str">
        <f>"1551598994936711"</f>
        <v>1551598994936711</v>
      </c>
      <c r="C6731" t="s">
        <v>40</v>
      </c>
      <c r="D6731">
        <v>5.6681879999999998</v>
      </c>
      <c r="E6731">
        <v>0.5838681</v>
      </c>
      <c r="F6731" t="s">
        <v>43</v>
      </c>
      <c r="G6731">
        <v>-301.98599999999999</v>
      </c>
      <c r="H6731">
        <v>-0.05</v>
      </c>
      <c r="I6731">
        <v>9.9108280000000004</v>
      </c>
      <c r="J6731">
        <v>-342.73200000000003</v>
      </c>
      <c r="K6731">
        <v>1.12076</v>
      </c>
      <c r="L6731">
        <v>17.425139999999999</v>
      </c>
      <c r="M6731">
        <v>0.99976500000000001</v>
      </c>
      <c r="N6731">
        <v>-1.3748669999999999E-2</v>
      </c>
      <c r="O6731">
        <v>1.6769200000000001E-2</v>
      </c>
      <c r="P6731">
        <v>0.99431530000000001</v>
      </c>
      <c r="Q6731">
        <v>-0.1006235</v>
      </c>
      <c r="R6731">
        <v>3.4818759999999997E-2</v>
      </c>
      <c r="S6731">
        <v>3.0280459999999998</v>
      </c>
      <c r="T6731">
        <v>-8.6745260000000005E-2</v>
      </c>
      <c r="U6731">
        <v>-0.5566101</v>
      </c>
      <c r="V6731">
        <v>-1.8186850000000001E-2</v>
      </c>
      <c r="W6731">
        <v>-8.6927270000000001E-2</v>
      </c>
      <c r="X6731">
        <v>0.99604859999999995</v>
      </c>
      <c r="Y6731">
        <v>0.1971395</v>
      </c>
      <c r="Z6731">
        <v>-4.4145909999999998E-3</v>
      </c>
      <c r="AA6731">
        <v>0.9803655</v>
      </c>
      <c r="AB6731">
        <v>24</v>
      </c>
      <c r="AC6731">
        <v>40.745999999999903</v>
      </c>
      <c r="AD6731">
        <v>-1.17076</v>
      </c>
      <c r="AE6731">
        <v>-7.5143119999999897</v>
      </c>
      <c r="AF6731">
        <v>8.19005825338132</v>
      </c>
      <c r="AG6731">
        <v>-1.17076</v>
      </c>
      <c r="AH6731">
        <v>40.581846537553901</v>
      </c>
      <c r="AI6731">
        <v>91.619847075265298</v>
      </c>
      <c r="AJ6731">
        <v>78.590065737979302</v>
      </c>
      <c r="AK6731">
        <v>41.416590897476702</v>
      </c>
      <c r="AL6731">
        <v>94.986859790484701</v>
      </c>
      <c r="AM6731">
        <v>91.046047321056903</v>
      </c>
      <c r="AN6731">
        <v>0.99999996267226698</v>
      </c>
    </row>
    <row r="6732" spans="1:40" x14ac:dyDescent="0.25">
      <c r="A6732" t="str">
        <f>"20190303154314951"</f>
        <v>20190303154314951</v>
      </c>
      <c r="B6732" t="str">
        <f>"1551598994947448"</f>
        <v>1551598994947448</v>
      </c>
      <c r="C6732" t="s">
        <v>40</v>
      </c>
      <c r="D6732">
        <v>5.6441990000000004</v>
      </c>
      <c r="E6732">
        <v>0.58384230000000004</v>
      </c>
      <c r="F6732" t="s">
        <v>43</v>
      </c>
      <c r="G6732">
        <v>-304.95359999999999</v>
      </c>
      <c r="H6732">
        <v>-0.05</v>
      </c>
      <c r="I6732">
        <v>10.4588</v>
      </c>
      <c r="J6732">
        <v>-342.60390000000001</v>
      </c>
      <c r="K6732">
        <v>1.120749</v>
      </c>
      <c r="L6732">
        <v>17.42709</v>
      </c>
      <c r="M6732">
        <v>0.99976799999999999</v>
      </c>
      <c r="N6732">
        <v>-1.3750210000000001E-2</v>
      </c>
      <c r="O6732">
        <v>1.6584060000000001E-2</v>
      </c>
      <c r="P6732">
        <v>0.99427529999999997</v>
      </c>
      <c r="Q6732">
        <v>-0.1009948</v>
      </c>
      <c r="R6732">
        <v>3.4886029999999998E-2</v>
      </c>
      <c r="S6732">
        <v>3.0272519999999998</v>
      </c>
      <c r="T6732">
        <v>-9.3815330000000002E-2</v>
      </c>
      <c r="U6732">
        <v>-0.55822749999999999</v>
      </c>
      <c r="V6732">
        <v>-1.844225E-2</v>
      </c>
      <c r="W6732">
        <v>-8.7296840000000001E-2</v>
      </c>
      <c r="X6732">
        <v>0.9960116</v>
      </c>
      <c r="Y6732">
        <v>0.197493</v>
      </c>
      <c r="Z6732">
        <v>-4.6872229999999999E-3</v>
      </c>
      <c r="AA6732">
        <v>0.98029310000000003</v>
      </c>
      <c r="AB6732">
        <v>24</v>
      </c>
      <c r="AC6732">
        <v>37.650300000000001</v>
      </c>
      <c r="AD6732">
        <v>-1.170749</v>
      </c>
      <c r="AE6732">
        <v>-6.9682899999999997</v>
      </c>
      <c r="AF6732">
        <v>7.5846944249536703</v>
      </c>
      <c r="AG6732">
        <v>-1.170749</v>
      </c>
      <c r="AH6732">
        <v>37.494494250768902</v>
      </c>
      <c r="AI6732">
        <v>91.752970485747497</v>
      </c>
      <c r="AJ6732">
        <v>78.564060455318895</v>
      </c>
      <c r="AK6732">
        <v>38.271860966797298</v>
      </c>
      <c r="AL6732">
        <v>95.008115302903803</v>
      </c>
      <c r="AM6732">
        <v>91.060773144617997</v>
      </c>
      <c r="AN6732">
        <v>0.99999998109680299</v>
      </c>
    </row>
    <row r="6733" spans="1:40" x14ac:dyDescent="0.25">
      <c r="A6733" t="str">
        <f>"20190303154314965"</f>
        <v>20190303154314965</v>
      </c>
      <c r="B6733" t="str">
        <f>"1551598994957208"</f>
        <v>1551598994957208</v>
      </c>
      <c r="C6733" t="s">
        <v>40</v>
      </c>
      <c r="D6733">
        <v>5.6372260000000001</v>
      </c>
      <c r="E6733">
        <v>0.58388009999999901</v>
      </c>
      <c r="F6733" t="s">
        <v>43</v>
      </c>
      <c r="G6733">
        <v>-306.08780000000002</v>
      </c>
      <c r="H6733">
        <v>-0.05</v>
      </c>
      <c r="I6733">
        <v>10.69627</v>
      </c>
      <c r="J6733">
        <v>-342.46809999999999</v>
      </c>
      <c r="K6733">
        <v>1.1207370000000001</v>
      </c>
      <c r="L6733">
        <v>17.429110000000001</v>
      </c>
      <c r="M6733">
        <v>0.99977130000000003</v>
      </c>
      <c r="N6733">
        <v>-1.3751589999999999E-2</v>
      </c>
      <c r="O6733">
        <v>1.6378690000000001E-2</v>
      </c>
      <c r="P6733">
        <v>0.99431080000000005</v>
      </c>
      <c r="Q6733">
        <v>-0.1006992</v>
      </c>
      <c r="R6733">
        <v>3.4728189999999999E-2</v>
      </c>
      <c r="S6733">
        <v>3.0270079999999999</v>
      </c>
      <c r="T6733">
        <v>-9.7049469999999999E-2</v>
      </c>
      <c r="U6733">
        <v>-0.55795289999999997</v>
      </c>
      <c r="V6733">
        <v>-1.849023E-2</v>
      </c>
      <c r="W6733">
        <v>-8.6998919999999993E-2</v>
      </c>
      <c r="X6733">
        <v>0.99603680000000006</v>
      </c>
      <c r="Y6733">
        <v>0.19721169999999999</v>
      </c>
      <c r="Z6733">
        <v>-4.7996230000000003E-3</v>
      </c>
      <c r="AA6733">
        <v>0.98034920000000003</v>
      </c>
      <c r="AB6733">
        <v>24</v>
      </c>
      <c r="AC6733">
        <v>36.380299999999899</v>
      </c>
      <c r="AD6733">
        <v>-1.1707369999999999</v>
      </c>
      <c r="AE6733">
        <v>-6.7328400000000004</v>
      </c>
      <c r="AF6733">
        <v>7.3205247076567899</v>
      </c>
      <c r="AG6733">
        <v>-1.1707369999999999</v>
      </c>
      <c r="AH6733">
        <v>36.228857862338799</v>
      </c>
      <c r="AI6733">
        <v>91.814229970218506</v>
      </c>
      <c r="AJ6733">
        <v>78.576437998931098</v>
      </c>
      <c r="AK6733">
        <v>36.979600445761001</v>
      </c>
      <c r="AL6733">
        <v>94.990980439069205</v>
      </c>
      <c r="AM6733">
        <v>91.063505354454804</v>
      </c>
      <c r="AN6733">
        <v>1.00000000382042</v>
      </c>
    </row>
    <row r="6734" spans="1:40" x14ac:dyDescent="0.25">
      <c r="A6734" t="str">
        <f>"20190303154314976"</f>
        <v>20190303154314976</v>
      </c>
      <c r="B6734" t="str">
        <f>"1551598994966968"</f>
        <v>1551598994966968</v>
      </c>
      <c r="C6734" t="s">
        <v>40</v>
      </c>
      <c r="D6734">
        <v>5.6445499999999997</v>
      </c>
      <c r="E6734">
        <v>0.58375790000000005</v>
      </c>
      <c r="F6734" t="s">
        <v>43</v>
      </c>
      <c r="G6734">
        <v>-306.05290000000002</v>
      </c>
      <c r="H6734">
        <v>-0.05</v>
      </c>
      <c r="I6734">
        <v>10.70651</v>
      </c>
      <c r="J6734">
        <v>-342.339</v>
      </c>
      <c r="K6734">
        <v>1.1207279999999999</v>
      </c>
      <c r="L6734">
        <v>17.43103</v>
      </c>
      <c r="M6734">
        <v>0.99977459999999996</v>
      </c>
      <c r="N6734">
        <v>-1.3752759999999999E-2</v>
      </c>
      <c r="O6734">
        <v>1.6179079999999998E-2</v>
      </c>
      <c r="P6734">
        <v>0.99436069999999999</v>
      </c>
      <c r="Q6734">
        <v>-0.10038619999999999</v>
      </c>
      <c r="R6734">
        <v>3.4202549999999998E-2</v>
      </c>
      <c r="S6734">
        <v>3.0267940000000002</v>
      </c>
      <c r="T6734">
        <v>-9.7310659999999993E-2</v>
      </c>
      <c r="U6734">
        <v>-0.55877690000000002</v>
      </c>
      <c r="V6734">
        <v>-1.816444E-2</v>
      </c>
      <c r="W6734">
        <v>-8.6683990000000002E-2</v>
      </c>
      <c r="X6734">
        <v>0.99607029999999996</v>
      </c>
      <c r="Y6734">
        <v>0.19728570000000001</v>
      </c>
      <c r="Z6734">
        <v>-4.8078050000000001E-3</v>
      </c>
      <c r="AA6734">
        <v>0.98033419999999905</v>
      </c>
      <c r="AB6734">
        <v>24</v>
      </c>
      <c r="AC6734">
        <v>36.286099999999898</v>
      </c>
      <c r="AD6734">
        <v>-1.170728</v>
      </c>
      <c r="AE6734">
        <v>-6.7245200000000001</v>
      </c>
      <c r="AF6734">
        <v>7.3034207628455503</v>
      </c>
      <c r="AG6734">
        <v>-1.170728</v>
      </c>
      <c r="AH6734">
        <v>36.136175669902201</v>
      </c>
      <c r="AI6734">
        <v>91.818850161587406</v>
      </c>
      <c r="AJ6734">
        <v>78.573964504625593</v>
      </c>
      <c r="AK6734">
        <v>36.8854137964478</v>
      </c>
      <c r="AL6734">
        <v>94.972867613429898</v>
      </c>
      <c r="AM6734">
        <v>91.044735902357999</v>
      </c>
      <c r="AN6734">
        <v>1.0000000517724601</v>
      </c>
    </row>
    <row r="6735" spans="1:40" x14ac:dyDescent="0.25">
      <c r="A6735" t="str">
        <f>"20190303154314993"</f>
        <v>20190303154314993</v>
      </c>
      <c r="B6735" t="str">
        <f>"1551598994987464"</f>
        <v>1551598994987464</v>
      </c>
      <c r="C6735" t="s">
        <v>40</v>
      </c>
      <c r="D6735">
        <v>5.415368</v>
      </c>
      <c r="E6735">
        <v>0.58415090000000003</v>
      </c>
      <c r="F6735" t="s">
        <v>43</v>
      </c>
      <c r="G6735">
        <v>-307.45370000000003</v>
      </c>
      <c r="H6735">
        <v>-0.05</v>
      </c>
      <c r="I6735">
        <v>10.97939</v>
      </c>
      <c r="J6735">
        <v>-342.16180000000003</v>
      </c>
      <c r="K6735">
        <v>1.1207290000000001</v>
      </c>
      <c r="L6735">
        <v>17.433589999999999</v>
      </c>
      <c r="M6735">
        <v>0.99977919999999998</v>
      </c>
      <c r="N6735">
        <v>-1.3753990000000001E-2</v>
      </c>
      <c r="O6735">
        <v>1.5895329999999999E-2</v>
      </c>
      <c r="P6735">
        <v>0.99438119999999997</v>
      </c>
      <c r="Q6735">
        <v>-0.10018059999999999</v>
      </c>
      <c r="R6735">
        <v>3.4208460000000003E-2</v>
      </c>
      <c r="S6735">
        <v>3.0260310000000001</v>
      </c>
      <c r="T6735">
        <v>-0.10155169999999999</v>
      </c>
      <c r="U6735">
        <v>-0.55963130000000005</v>
      </c>
      <c r="V6735">
        <v>-1.8454020000000002E-2</v>
      </c>
      <c r="W6735">
        <v>-8.6476369999999997E-2</v>
      </c>
      <c r="X6735">
        <v>0.99608300000000005</v>
      </c>
      <c r="Y6735">
        <v>0.19730819999999999</v>
      </c>
      <c r="Z6735">
        <v>-4.9632130000000002E-3</v>
      </c>
      <c r="AA6735">
        <v>0.98032900000000001</v>
      </c>
      <c r="AB6735">
        <v>24</v>
      </c>
      <c r="AC6735">
        <v>34.708100000000002</v>
      </c>
      <c r="AD6735">
        <v>-1.1707289999999999</v>
      </c>
      <c r="AE6735">
        <v>-6.4542000000000002</v>
      </c>
      <c r="AF6735">
        <v>6.99743793609378</v>
      </c>
      <c r="AG6735">
        <v>-1.1707289999999999</v>
      </c>
      <c r="AH6735">
        <v>34.563102697491701</v>
      </c>
      <c r="AI6735">
        <v>91.901446141602804</v>
      </c>
      <c r="AJ6735">
        <v>78.554936274166394</v>
      </c>
      <c r="AK6735">
        <v>35.283747138566298</v>
      </c>
      <c r="AL6735">
        <v>94.960927143470499</v>
      </c>
      <c r="AM6735">
        <v>91.061373916025602</v>
      </c>
      <c r="AN6735">
        <v>1.0000000281557599</v>
      </c>
    </row>
    <row r="6736" spans="1:40" x14ac:dyDescent="0.25">
      <c r="A6736" t="str">
        <f>"20190303154315005"</f>
        <v>20190303154315005</v>
      </c>
      <c r="B6736" t="str">
        <f>"1551598994997224"</f>
        <v>1551598994997224</v>
      </c>
      <c r="C6736" t="s">
        <v>40</v>
      </c>
      <c r="D6736">
        <v>5.7181670000000002</v>
      </c>
      <c r="E6736">
        <v>0.58402659999999995</v>
      </c>
      <c r="F6736" t="s">
        <v>43</v>
      </c>
      <c r="G6736">
        <v>-306.26240000000001</v>
      </c>
      <c r="H6736">
        <v>-0.05</v>
      </c>
      <c r="I6736">
        <v>10.76009</v>
      </c>
      <c r="J6736">
        <v>-342.03969999999998</v>
      </c>
      <c r="K6736">
        <v>1.1207279999999999</v>
      </c>
      <c r="L6736">
        <v>17.43533</v>
      </c>
      <c r="M6736">
        <v>0.99978230000000001</v>
      </c>
      <c r="N6736">
        <v>-1.375462E-2</v>
      </c>
      <c r="O6736">
        <v>1.5696559999999998E-2</v>
      </c>
      <c r="P6736">
        <v>0.99442399999999997</v>
      </c>
      <c r="Q6736">
        <v>-9.9884760000000003E-2</v>
      </c>
      <c r="R6736">
        <v>3.3823310000000002E-2</v>
      </c>
      <c r="S6736">
        <v>3.0263979999999999</v>
      </c>
      <c r="T6736">
        <v>-9.8694920000000005E-2</v>
      </c>
      <c r="U6736">
        <v>-0.56259159999999997</v>
      </c>
      <c r="V6736">
        <v>-1.8266879999999999E-2</v>
      </c>
      <c r="W6736">
        <v>-8.6179549999999994E-2</v>
      </c>
      <c r="X6736">
        <v>0.9961122</v>
      </c>
      <c r="Y6736">
        <v>0.19802610000000001</v>
      </c>
      <c r="Z6736">
        <v>-4.8683210000000001E-3</v>
      </c>
      <c r="AA6736">
        <v>0.98018470000000002</v>
      </c>
      <c r="AB6736">
        <v>24</v>
      </c>
      <c r="AC6736">
        <v>35.777299999999897</v>
      </c>
      <c r="AD6736">
        <v>-1.170728</v>
      </c>
      <c r="AE6736">
        <v>-6.6752399999999996</v>
      </c>
      <c r="AF6736">
        <v>7.2285712991020299</v>
      </c>
      <c r="AG6736">
        <v>-1.170728</v>
      </c>
      <c r="AH6736">
        <v>35.631233799293298</v>
      </c>
      <c r="AI6736">
        <v>91.844334272844407</v>
      </c>
      <c r="AJ6736">
        <v>78.531943687266406</v>
      </c>
      <c r="AK6736">
        <v>36.375921557207199</v>
      </c>
      <c r="AL6736">
        <v>94.943856753558805</v>
      </c>
      <c r="AM6736">
        <v>91.050582284742603</v>
      </c>
      <c r="AN6736">
        <v>1.0000000543659799</v>
      </c>
    </row>
    <row r="6737" spans="1:40" x14ac:dyDescent="0.25">
      <c r="A6737" t="str">
        <f>"20190303154315016"</f>
        <v>20190303154315016</v>
      </c>
      <c r="B6737" t="str">
        <f>"1551598995006984"</f>
        <v>1551598995006984</v>
      </c>
      <c r="C6737" t="s">
        <v>40</v>
      </c>
      <c r="D6737">
        <v>5.6715390000000001</v>
      </c>
      <c r="E6737">
        <v>0.58382990000000001</v>
      </c>
      <c r="F6737" t="s">
        <v>43</v>
      </c>
      <c r="G6737">
        <v>-306.33870000000002</v>
      </c>
      <c r="H6737">
        <v>-0.05</v>
      </c>
      <c r="I6737">
        <v>10.79532</v>
      </c>
      <c r="J6737">
        <v>-341.90960000000001</v>
      </c>
      <c r="K6737">
        <v>1.120727</v>
      </c>
      <c r="L6737">
        <v>17.43713</v>
      </c>
      <c r="M6737">
        <v>0.99978549999999999</v>
      </c>
      <c r="N6737">
        <v>-1.37552E-2</v>
      </c>
      <c r="O6737">
        <v>1.5484100000000001E-2</v>
      </c>
      <c r="P6737">
        <v>0.9944191</v>
      </c>
      <c r="Q6737">
        <v>-9.997064E-2</v>
      </c>
      <c r="R6737">
        <v>3.3713149999999997E-2</v>
      </c>
      <c r="S6737">
        <v>3.0260009999999999</v>
      </c>
      <c r="T6737">
        <v>-9.9230289999999999E-2</v>
      </c>
      <c r="U6737">
        <v>-0.56280520000000001</v>
      </c>
      <c r="V6737">
        <v>-1.8368389999999998E-2</v>
      </c>
      <c r="W6737">
        <v>-8.6264800000000003E-2</v>
      </c>
      <c r="X6737">
        <v>0.99610290000000001</v>
      </c>
      <c r="Y6737">
        <v>0.19790650000000001</v>
      </c>
      <c r="Z6737">
        <v>-4.8821610000000003E-3</v>
      </c>
      <c r="AA6737">
        <v>0.98020879999999999</v>
      </c>
      <c r="AB6737">
        <v>24</v>
      </c>
      <c r="AC6737">
        <v>35.570899999999902</v>
      </c>
      <c r="AD6737">
        <v>-1.1707270000000001</v>
      </c>
      <c r="AE6737">
        <v>-6.6418100000000004</v>
      </c>
      <c r="AF6737">
        <v>7.1843289617668402</v>
      </c>
      <c r="AG6737">
        <v>-1.1707270000000001</v>
      </c>
      <c r="AH6737">
        <v>35.4267000837322</v>
      </c>
      <c r="AI6737">
        <v>91.855001428712399</v>
      </c>
      <c r="AJ6737">
        <v>78.536212764478407</v>
      </c>
      <c r="AK6737">
        <v>36.166783975937399</v>
      </c>
      <c r="AL6737">
        <v>94.948759744145903</v>
      </c>
      <c r="AM6737">
        <v>91.056428966502295</v>
      </c>
      <c r="AN6737">
        <v>1.0000000004293199</v>
      </c>
    </row>
    <row r="6738" spans="1:40" x14ac:dyDescent="0.25">
      <c r="A6738" t="str">
        <f>"20190303154315028"</f>
        <v>20190303154315028</v>
      </c>
      <c r="B6738" t="str">
        <f>"1551598995016744"</f>
        <v>1551598995016744</v>
      </c>
      <c r="C6738" t="s">
        <v>40</v>
      </c>
      <c r="D6738">
        <v>5.6812930000000001</v>
      </c>
      <c r="E6738">
        <v>0.58362230000000004</v>
      </c>
      <c r="F6738" t="s">
        <v>43</v>
      </c>
      <c r="G6738">
        <v>-307.79829999999998</v>
      </c>
      <c r="H6738">
        <v>-0.05</v>
      </c>
      <c r="I6738">
        <v>11.102309999999999</v>
      </c>
      <c r="J6738">
        <v>-341.78429999999997</v>
      </c>
      <c r="K6738">
        <v>1.12073</v>
      </c>
      <c r="L6738">
        <v>17.438839999999999</v>
      </c>
      <c r="M6738">
        <v>0.99978880000000003</v>
      </c>
      <c r="N6738">
        <v>-1.375555E-2</v>
      </c>
      <c r="O6738">
        <v>1.5278720000000001E-2</v>
      </c>
      <c r="P6738">
        <v>0.99445779999999995</v>
      </c>
      <c r="Q6738">
        <v>-9.9699999999999997E-2</v>
      </c>
      <c r="R6738">
        <v>3.3376250000000003E-2</v>
      </c>
      <c r="S6738">
        <v>3.025452</v>
      </c>
      <c r="T6738">
        <v>-0.10383589999999999</v>
      </c>
      <c r="U6738">
        <v>-0.56185909999999994</v>
      </c>
      <c r="V6738">
        <v>-1.8235350000000001E-2</v>
      </c>
      <c r="W6738">
        <v>-8.5993539999999993E-2</v>
      </c>
      <c r="X6738">
        <v>0.99612880000000004</v>
      </c>
      <c r="Y6738">
        <v>0.19742889999999999</v>
      </c>
      <c r="Z6738">
        <v>-5.0399310000000001E-3</v>
      </c>
      <c r="AA6738">
        <v>0.98030419999999996</v>
      </c>
      <c r="AB6738">
        <v>24</v>
      </c>
      <c r="AC6738">
        <v>33.985999999999898</v>
      </c>
      <c r="AD6738">
        <v>-1.1707299999999901</v>
      </c>
      <c r="AE6738">
        <v>-6.33652999999999</v>
      </c>
      <c r="AF6738">
        <v>6.8472496928738797</v>
      </c>
      <c r="AG6738">
        <v>-1.1707299999999901</v>
      </c>
      <c r="AH6738">
        <v>33.846395239400998</v>
      </c>
      <c r="AI6738">
        <v>91.941737688258797</v>
      </c>
      <c r="AJ6738">
        <v>78.563210380806396</v>
      </c>
      <c r="AK6738">
        <v>34.551901652314399</v>
      </c>
      <c r="AL6738">
        <v>94.933159715389095</v>
      </c>
      <c r="AM6738">
        <v>91.048751833259303</v>
      </c>
      <c r="AN6738">
        <v>1.00000000155039</v>
      </c>
    </row>
    <row r="6739" spans="1:40" x14ac:dyDescent="0.25">
      <c r="A6739" t="str">
        <f>"20190303154315042"</f>
        <v>20190303154315042</v>
      </c>
      <c r="B6739" t="str">
        <f>"1551598995037240"</f>
        <v>1551598995037240</v>
      </c>
      <c r="C6739" t="s">
        <v>40</v>
      </c>
      <c r="D6739">
        <v>5.6766920000000001</v>
      </c>
      <c r="E6739">
        <v>0.58336960000000004</v>
      </c>
      <c r="F6739" t="s">
        <v>43</v>
      </c>
      <c r="G6739">
        <v>-308.62689999999998</v>
      </c>
      <c r="H6739">
        <v>-0.05</v>
      </c>
      <c r="I6739">
        <v>11.287610000000001</v>
      </c>
      <c r="J6739">
        <v>-341.65030000000002</v>
      </c>
      <c r="K6739">
        <v>1.1207320000000001</v>
      </c>
      <c r="L6739">
        <v>17.440639999999998</v>
      </c>
      <c r="M6739">
        <v>0.99979200000000001</v>
      </c>
      <c r="N6739">
        <v>-1.375582E-2</v>
      </c>
      <c r="O6739">
        <v>1.505977E-2</v>
      </c>
      <c r="P6739">
        <v>0.99451069999999997</v>
      </c>
      <c r="Q6739">
        <v>-9.9214350000000007E-2</v>
      </c>
      <c r="R6739">
        <v>3.3243719999999997E-2</v>
      </c>
      <c r="S6739">
        <v>3.0248409999999999</v>
      </c>
      <c r="T6739">
        <v>-0.10680199999999999</v>
      </c>
      <c r="U6739">
        <v>-0.56115719999999902</v>
      </c>
      <c r="V6739">
        <v>-1.8319240000000001E-2</v>
      </c>
      <c r="W6739">
        <v>-8.5507040000000006E-2</v>
      </c>
      <c r="X6739">
        <v>0.99616910000000003</v>
      </c>
      <c r="Y6739">
        <v>0.19702210000000001</v>
      </c>
      <c r="Z6739">
        <v>-5.1369179999999999E-3</v>
      </c>
      <c r="AA6739">
        <v>0.98038559999999997</v>
      </c>
      <c r="AB6739">
        <v>24</v>
      </c>
      <c r="AC6739">
        <v>33.023400000000002</v>
      </c>
      <c r="AD6739">
        <v>-1.1707319999999899</v>
      </c>
      <c r="AE6739">
        <v>-6.1530299999999896</v>
      </c>
      <c r="AF6739">
        <v>6.6416366932426198</v>
      </c>
      <c r="AG6739">
        <v>-1.1707319999999899</v>
      </c>
      <c r="AH6739">
        <v>32.887036158679301</v>
      </c>
      <c r="AI6739">
        <v>91.998474886818499</v>
      </c>
      <c r="AJ6739">
        <v>78.582511376758504</v>
      </c>
      <c r="AK6739">
        <v>33.571402989495802</v>
      </c>
      <c r="AL6739">
        <v>94.9051824618669</v>
      </c>
      <c r="AM6739">
        <v>91.053532818917702</v>
      </c>
      <c r="AN6739">
        <v>0.999999962119273</v>
      </c>
    </row>
    <row r="6740" spans="1:40" x14ac:dyDescent="0.25">
      <c r="A6740" t="str">
        <f>"20190303154315062"</f>
        <v>20190303154315062</v>
      </c>
      <c r="B6740" t="str">
        <f>"1551598995056759"</f>
        <v>1551598995056759</v>
      </c>
      <c r="C6740" t="s">
        <v>40</v>
      </c>
      <c r="D6740">
        <v>5.6959289999999996</v>
      </c>
      <c r="E6740">
        <v>0.58324659999999995</v>
      </c>
      <c r="F6740" t="s">
        <v>43</v>
      </c>
      <c r="G6740">
        <v>-310.0016</v>
      </c>
      <c r="H6740">
        <v>-0.05</v>
      </c>
      <c r="I6740">
        <v>11.58287</v>
      </c>
      <c r="J6740">
        <v>-341.43650000000002</v>
      </c>
      <c r="K6740">
        <v>1.120736</v>
      </c>
      <c r="L6740">
        <v>17.443479999999902</v>
      </c>
      <c r="M6740">
        <v>0.99979720000000005</v>
      </c>
      <c r="N6740">
        <v>-1.3755969999999999E-2</v>
      </c>
      <c r="O6740">
        <v>1.4713489999999999E-2</v>
      </c>
      <c r="P6740">
        <v>0.99449889999999996</v>
      </c>
      <c r="Q6740">
        <v>-9.9436159999999996E-2</v>
      </c>
      <c r="R6740">
        <v>3.2937149999999998E-2</v>
      </c>
      <c r="S6740">
        <v>3.0241090000000002</v>
      </c>
      <c r="T6740">
        <v>-0.11186599999999999</v>
      </c>
      <c r="U6740">
        <v>-0.55972290000000002</v>
      </c>
      <c r="V6740">
        <v>-1.8356419999999998E-2</v>
      </c>
      <c r="W6740">
        <v>-8.5729109999999997E-2</v>
      </c>
      <c r="X6740">
        <v>0.99614939999999996</v>
      </c>
      <c r="Y6740">
        <v>0.19626189999999999</v>
      </c>
      <c r="Z6740">
        <v>-5.2992480000000003E-3</v>
      </c>
      <c r="AA6740">
        <v>0.9805372</v>
      </c>
      <c r="AB6740">
        <v>24</v>
      </c>
      <c r="AC6740">
        <v>31.434899999999999</v>
      </c>
      <c r="AD6740">
        <v>-1.170736</v>
      </c>
      <c r="AE6740">
        <v>-5.8606099999999897</v>
      </c>
      <c r="AF6740">
        <v>6.3140725116639498</v>
      </c>
      <c r="AG6740">
        <v>-1.170736</v>
      </c>
      <c r="AH6740">
        <v>31.303297467007798</v>
      </c>
      <c r="AI6740">
        <v>92.099603654542904</v>
      </c>
      <c r="AJ6740">
        <v>78.596094448192403</v>
      </c>
      <c r="AK6740">
        <v>31.955196240552599</v>
      </c>
      <c r="AL6740">
        <v>94.917952680860296</v>
      </c>
      <c r="AM6740">
        <v>91.055691416154204</v>
      </c>
      <c r="AN6740">
        <v>1.0000000327884799</v>
      </c>
    </row>
    <row r="6741" spans="1:40" x14ac:dyDescent="0.25">
      <c r="A6741" t="str">
        <f>"20190303154315083"</f>
        <v>20190303154315083</v>
      </c>
      <c r="B6741" t="str">
        <f>"1551598995077256"</f>
        <v>1551598995077256</v>
      </c>
      <c r="C6741" t="s">
        <v>40</v>
      </c>
      <c r="D6741">
        <v>5.6462899999999996</v>
      </c>
      <c r="E6741">
        <v>0.58323259999999999</v>
      </c>
      <c r="F6741" t="s">
        <v>43</v>
      </c>
      <c r="G6741">
        <v>-311.07299999999998</v>
      </c>
      <c r="H6741">
        <v>-0.05</v>
      </c>
      <c r="I6741">
        <v>11.822710000000001</v>
      </c>
      <c r="J6741">
        <v>-341.21800000000002</v>
      </c>
      <c r="K6741">
        <v>1.1207480000000001</v>
      </c>
      <c r="L6741">
        <v>17.446290000000001</v>
      </c>
      <c r="M6741">
        <v>0.99980219999999997</v>
      </c>
      <c r="N6741">
        <v>-1.3755939999999999E-2</v>
      </c>
      <c r="O6741">
        <v>1.436597E-2</v>
      </c>
      <c r="P6741">
        <v>0.99452320000000005</v>
      </c>
      <c r="Q6741">
        <v>-9.9291610000000002E-2</v>
      </c>
      <c r="R6741">
        <v>3.2633820000000001E-2</v>
      </c>
      <c r="S6741">
        <v>3.0234679999999998</v>
      </c>
      <c r="T6741">
        <v>-0.116577</v>
      </c>
      <c r="U6741">
        <v>-0.55969239999999998</v>
      </c>
      <c r="V6741">
        <v>-1.8397500000000001E-2</v>
      </c>
      <c r="W6741">
        <v>-8.5584610000000005E-2</v>
      </c>
      <c r="X6741">
        <v>0.99616099999999996</v>
      </c>
      <c r="Y6741">
        <v>0.1959352</v>
      </c>
      <c r="Z6741">
        <v>-5.4572759999999996E-3</v>
      </c>
      <c r="AA6741">
        <v>0.98060170000000002</v>
      </c>
      <c r="AB6741">
        <v>24</v>
      </c>
      <c r="AC6741">
        <v>30.145</v>
      </c>
      <c r="AD6741">
        <v>-1.1707479999999999</v>
      </c>
      <c r="AE6741">
        <v>-5.6235799999999996</v>
      </c>
      <c r="AF6741">
        <v>6.0472881480819698</v>
      </c>
      <c r="AG6741">
        <v>-1.1707479999999999</v>
      </c>
      <c r="AH6741">
        <v>30.0173393770941</v>
      </c>
      <c r="AI6741">
        <v>92.189592856780294</v>
      </c>
      <c r="AJ6741">
        <v>78.609664946358194</v>
      </c>
      <c r="AK6741">
        <v>30.642797001988502</v>
      </c>
      <c r="AL6741">
        <v>94.909643230225001</v>
      </c>
      <c r="AM6741">
        <v>91.058041103232199</v>
      </c>
      <c r="AN6741">
        <v>0.99999996569805005</v>
      </c>
    </row>
    <row r="6742" spans="1:40" x14ac:dyDescent="0.25">
      <c r="A6742" t="str">
        <f>"20190303154315093"</f>
        <v>20190303154315093</v>
      </c>
      <c r="B6742" t="str">
        <f>"1551598995087015"</f>
        <v>1551598995087015</v>
      </c>
      <c r="C6742" t="s">
        <v>40</v>
      </c>
      <c r="D6742">
        <v>5.6904329999999996</v>
      </c>
      <c r="E6742">
        <v>0.58327390000000001</v>
      </c>
      <c r="F6742" t="s">
        <v>43</v>
      </c>
      <c r="G6742">
        <v>-311.67439999999999</v>
      </c>
      <c r="H6742">
        <v>-0.05</v>
      </c>
      <c r="I6742">
        <v>11.96773</v>
      </c>
      <c r="J6742">
        <v>-341.09840000000003</v>
      </c>
      <c r="K6742">
        <v>1.1207499999999999</v>
      </c>
      <c r="L6742">
        <v>17.447779999999899</v>
      </c>
      <c r="M6742">
        <v>0.9998049</v>
      </c>
      <c r="N6742">
        <v>-1.3755959999999999E-2</v>
      </c>
      <c r="O6742">
        <v>1.417821E-2</v>
      </c>
      <c r="P6742">
        <v>0.99456230000000001</v>
      </c>
      <c r="Q6742">
        <v>-9.8913829999999994E-2</v>
      </c>
      <c r="R6742">
        <v>3.258904E-2</v>
      </c>
      <c r="S6742">
        <v>3.0229490000000001</v>
      </c>
      <c r="T6742">
        <v>-0.1197931</v>
      </c>
      <c r="U6742">
        <v>-0.5605774</v>
      </c>
      <c r="V6742">
        <v>-1.8538229999999999E-2</v>
      </c>
      <c r="W6742">
        <v>-8.520643E-2</v>
      </c>
      <c r="X6742">
        <v>0.99619080000000004</v>
      </c>
      <c r="Y6742">
        <v>0.1960489</v>
      </c>
      <c r="Z6742">
        <v>-5.5745430000000004E-3</v>
      </c>
      <c r="AA6742">
        <v>0.98057819999999996</v>
      </c>
      <c r="AB6742">
        <v>24</v>
      </c>
      <c r="AC6742">
        <v>29.423999999999999</v>
      </c>
      <c r="AD6742">
        <v>-1.17075</v>
      </c>
      <c r="AE6742">
        <v>-5.4800499999999897</v>
      </c>
      <c r="AF6742">
        <v>5.8877094690013099</v>
      </c>
      <c r="AG6742">
        <v>-1.17075</v>
      </c>
      <c r="AH6742">
        <v>29.2985079643863</v>
      </c>
      <c r="AI6742">
        <v>92.243481932124595</v>
      </c>
      <c r="AJ6742">
        <v>78.637411993168797</v>
      </c>
      <c r="AK6742">
        <v>29.9071621404151</v>
      </c>
      <c r="AL6742">
        <v>94.887895718736004</v>
      </c>
      <c r="AM6742">
        <v>91.066100746421895</v>
      </c>
      <c r="AN6742">
        <v>0.99999995584475798</v>
      </c>
    </row>
    <row r="6743" spans="1:40" x14ac:dyDescent="0.25">
      <c r="A6743" t="str">
        <f>"20190303154315105"</f>
        <v>20190303154315105</v>
      </c>
      <c r="B6743" t="str">
        <f>"1551598995096776"</f>
        <v>1551598995096776</v>
      </c>
      <c r="C6743" t="s">
        <v>40</v>
      </c>
      <c r="D6743">
        <v>5.7098019999999998</v>
      </c>
      <c r="E6743">
        <v>0.58333040000000003</v>
      </c>
      <c r="F6743" t="s">
        <v>43</v>
      </c>
      <c r="G6743">
        <v>-311.86009999999999</v>
      </c>
      <c r="H6743">
        <v>-0.05</v>
      </c>
      <c r="I6743">
        <v>12.01933</v>
      </c>
      <c r="J6743">
        <v>-340.97829999999999</v>
      </c>
      <c r="K6743">
        <v>1.1207530000000001</v>
      </c>
      <c r="L6743">
        <v>17.449279999999899</v>
      </c>
      <c r="M6743">
        <v>0.99980760000000002</v>
      </c>
      <c r="N6743">
        <v>-1.3755740000000001E-2</v>
      </c>
      <c r="O6743">
        <v>1.3992009999999999E-2</v>
      </c>
      <c r="P6743">
        <v>0.99459419999999998</v>
      </c>
      <c r="Q6743">
        <v>-9.8595059999999998E-2</v>
      </c>
      <c r="R6743">
        <v>3.258014E-2</v>
      </c>
      <c r="S6743">
        <v>3.0227970000000002</v>
      </c>
      <c r="T6743">
        <v>-0.1210377</v>
      </c>
      <c r="U6743">
        <v>-0.56121829999999995</v>
      </c>
      <c r="V6743">
        <v>-1.8713549999999999E-2</v>
      </c>
      <c r="W6743">
        <v>-8.4887519999999994E-2</v>
      </c>
      <c r="X6743">
        <v>0.99621479999999996</v>
      </c>
      <c r="Y6743">
        <v>0.19607240000000001</v>
      </c>
      <c r="Z6743">
        <v>-5.6162319999999996E-3</v>
      </c>
      <c r="AA6743">
        <v>0.98057340000000004</v>
      </c>
      <c r="AB6743">
        <v>24</v>
      </c>
      <c r="AC6743">
        <v>29.118200000000002</v>
      </c>
      <c r="AD6743">
        <v>-1.1707529999999999</v>
      </c>
      <c r="AE6743">
        <v>-5.4299499999999901</v>
      </c>
      <c r="AF6743">
        <v>5.82777444568557</v>
      </c>
      <c r="AG6743">
        <v>-1.1707529999999999</v>
      </c>
      <c r="AH6743">
        <v>28.994069372083001</v>
      </c>
      <c r="AI6743">
        <v>92.2670011459672</v>
      </c>
      <c r="AJ6743">
        <v>78.635049665623598</v>
      </c>
      <c r="AK6743">
        <v>29.597122771140398</v>
      </c>
      <c r="AL6743">
        <v>94.869556824894602</v>
      </c>
      <c r="AM6743">
        <v>91.076154808394605</v>
      </c>
      <c r="AN6743">
        <v>1.00000000787219</v>
      </c>
    </row>
    <row r="6744" spans="1:40" x14ac:dyDescent="0.25">
      <c r="A6744" t="str">
        <f>"20190303154315117"</f>
        <v>20190303154315117</v>
      </c>
      <c r="B6744" t="str">
        <f>"1551598995106536"</f>
        <v>1551598995106536</v>
      </c>
      <c r="C6744" t="s">
        <v>40</v>
      </c>
      <c r="D6744">
        <v>5.6899889999999997</v>
      </c>
      <c r="E6744">
        <v>0.58344609999999997</v>
      </c>
      <c r="F6744" t="s">
        <v>43</v>
      </c>
      <c r="G6744">
        <v>-311.84809999999999</v>
      </c>
      <c r="H6744">
        <v>-0.05</v>
      </c>
      <c r="I6744">
        <v>12.035399999999999</v>
      </c>
      <c r="J6744">
        <v>-340.85500000000002</v>
      </c>
      <c r="K6744">
        <v>1.120754</v>
      </c>
      <c r="L6744">
        <v>17.450779999999899</v>
      </c>
      <c r="M6744">
        <v>0.99981019999999998</v>
      </c>
      <c r="N6744">
        <v>-1.3755430000000001E-2</v>
      </c>
      <c r="O6744">
        <v>1.3801870000000001E-2</v>
      </c>
      <c r="P6744">
        <v>0.99460000000000004</v>
      </c>
      <c r="Q6744">
        <v>-9.8584560000000002E-2</v>
      </c>
      <c r="R6744">
        <v>3.2435829999999999E-2</v>
      </c>
      <c r="S6744">
        <v>3.022675</v>
      </c>
      <c r="T6744">
        <v>-0.1214821</v>
      </c>
      <c r="U6744">
        <v>-0.56176759999999903</v>
      </c>
      <c r="V6744">
        <v>-1.8757739999999998E-2</v>
      </c>
      <c r="W6744">
        <v>-8.4877389999999997E-2</v>
      </c>
      <c r="X6744">
        <v>0.99621479999999996</v>
      </c>
      <c r="Y6744">
        <v>0.19606399999999999</v>
      </c>
      <c r="Z6744">
        <v>-5.6274410000000004E-3</v>
      </c>
      <c r="AA6744">
        <v>0.98057499999999997</v>
      </c>
      <c r="AB6744">
        <v>24</v>
      </c>
      <c r="AC6744">
        <v>29.006900000000002</v>
      </c>
      <c r="AD6744">
        <v>-1.1707540000000001</v>
      </c>
      <c r="AE6744">
        <v>-5.4153799999999901</v>
      </c>
      <c r="AF6744">
        <v>5.8061116396368497</v>
      </c>
      <c r="AG6744">
        <v>-1.1707540000000001</v>
      </c>
      <c r="AH6744">
        <v>28.883919147393101</v>
      </c>
      <c r="AI6744">
        <v>92.275632077644104</v>
      </c>
      <c r="AJ6744">
        <v>78.634139707762799</v>
      </c>
      <c r="AK6744">
        <v>29.484951799410901</v>
      </c>
      <c r="AL6744">
        <v>94.868974472210198</v>
      </c>
      <c r="AM6744">
        <v>91.078695430444697</v>
      </c>
      <c r="AN6744">
        <v>0.99999997594107903</v>
      </c>
    </row>
    <row r="6745" spans="1:40" x14ac:dyDescent="0.25">
      <c r="A6745" t="str">
        <f>"20190303154315129"</f>
        <v>20190303154315129</v>
      </c>
      <c r="B6745" t="str">
        <f>"1551598995117272"</f>
        <v>1551598995117272</v>
      </c>
      <c r="C6745" t="s">
        <v>40</v>
      </c>
      <c r="D6745">
        <v>5.5793059999999999</v>
      </c>
      <c r="E6745">
        <v>0.58362799999999904</v>
      </c>
      <c r="F6745" t="s">
        <v>43</v>
      </c>
      <c r="G6745">
        <v>-311.7758</v>
      </c>
      <c r="H6745">
        <v>-0.05</v>
      </c>
      <c r="I6745">
        <v>12.03299</v>
      </c>
      <c r="J6745">
        <v>-340.7174</v>
      </c>
      <c r="K6745">
        <v>1.12076</v>
      </c>
      <c r="L6745">
        <v>17.45242</v>
      </c>
      <c r="M6745">
        <v>0.99981299999999995</v>
      </c>
      <c r="N6745">
        <v>-1.3754870000000001E-2</v>
      </c>
      <c r="O6745">
        <v>1.359164E-2</v>
      </c>
      <c r="P6745">
        <v>0.99461109999999997</v>
      </c>
      <c r="Q6745">
        <v>-9.85129E-2</v>
      </c>
      <c r="R6745">
        <v>3.2312309999999997E-2</v>
      </c>
      <c r="S6745">
        <v>3.022583</v>
      </c>
      <c r="T6745">
        <v>-0.1216918</v>
      </c>
      <c r="U6745">
        <v>-0.56314090000000006</v>
      </c>
      <c r="V6745">
        <v>-1.8842879999999999E-2</v>
      </c>
      <c r="W6745">
        <v>-8.4806300000000001E-2</v>
      </c>
      <c r="X6745">
        <v>0.99621930000000003</v>
      </c>
      <c r="Y6745">
        <v>0.19629289999999999</v>
      </c>
      <c r="Z6745">
        <v>-5.6357209999999998E-3</v>
      </c>
      <c r="AA6745">
        <v>0.98052910000000004</v>
      </c>
      <c r="AB6745">
        <v>24</v>
      </c>
      <c r="AC6745">
        <v>28.941599999999902</v>
      </c>
      <c r="AD6745">
        <v>-1.17076</v>
      </c>
      <c r="AE6745">
        <v>-5.4194300000000002</v>
      </c>
      <c r="AF6745">
        <v>5.8031557299537599</v>
      </c>
      <c r="AG6745">
        <v>-1.17076</v>
      </c>
      <c r="AH6745">
        <v>28.819697171051999</v>
      </c>
      <c r="AI6745">
        <v>92.280557289727</v>
      </c>
      <c r="AJ6745">
        <v>78.615120816626103</v>
      </c>
      <c r="AK6745">
        <v>29.421458842736499</v>
      </c>
      <c r="AL6745">
        <v>94.864886321254005</v>
      </c>
      <c r="AM6745">
        <v>91.083585491292197</v>
      </c>
      <c r="AN6745">
        <v>1.0000000281694299</v>
      </c>
    </row>
    <row r="6746" spans="1:40" x14ac:dyDescent="0.25">
      <c r="A6746" t="str">
        <f>"20190303154315143"</f>
        <v>20190303154315143</v>
      </c>
      <c r="B6746" t="str">
        <f>"1551598995136793"</f>
        <v>1551598995136793</v>
      </c>
      <c r="C6746" t="s">
        <v>40</v>
      </c>
      <c r="D6746">
        <v>5.0505040000000001</v>
      </c>
      <c r="E6746">
        <v>0.54646729999999999</v>
      </c>
      <c r="F6746" t="s">
        <v>43</v>
      </c>
      <c r="G6746">
        <v>-310.5949</v>
      </c>
      <c r="H6746">
        <v>-0.05</v>
      </c>
      <c r="I6746">
        <v>11.82457</v>
      </c>
      <c r="J6746">
        <v>-340.57589999999999</v>
      </c>
      <c r="K6746">
        <v>1.120762</v>
      </c>
      <c r="L6746">
        <v>17.4541</v>
      </c>
      <c r="M6746">
        <v>0.99981600000000004</v>
      </c>
      <c r="N6746">
        <v>-1.375413E-2</v>
      </c>
      <c r="O6746">
        <v>1.337672E-2</v>
      </c>
      <c r="P6746">
        <v>0.99462819999999996</v>
      </c>
      <c r="Q6746">
        <v>-9.8351140000000004E-2</v>
      </c>
      <c r="R6746">
        <v>3.2279960000000003E-2</v>
      </c>
      <c r="S6746">
        <v>3.02298</v>
      </c>
      <c r="T6746">
        <v>-0.11749279999999999</v>
      </c>
      <c r="U6746">
        <v>-0.56478879999999998</v>
      </c>
      <c r="V6746">
        <v>-1.9023189999999999E-2</v>
      </c>
      <c r="W6746">
        <v>-8.4645150000000002E-2</v>
      </c>
      <c r="X6746">
        <v>0.99622949999999999</v>
      </c>
      <c r="Y6746">
        <v>0.19658809999999999</v>
      </c>
      <c r="Z6746">
        <v>-5.4835600000000002E-3</v>
      </c>
      <c r="AA6746">
        <v>0.98047079999999998</v>
      </c>
      <c r="AB6746">
        <v>24</v>
      </c>
      <c r="AC6746">
        <v>29.980999999999899</v>
      </c>
      <c r="AD6746">
        <v>-1.1707620000000001</v>
      </c>
      <c r="AE6746">
        <v>-5.6295299999999999</v>
      </c>
      <c r="AF6746">
        <v>6.0212424056418001</v>
      </c>
      <c r="AG6746">
        <v>-1.1707620000000001</v>
      </c>
      <c r="AH6746">
        <v>29.8590235386838</v>
      </c>
      <c r="AI6746">
        <v>92.201133799718804</v>
      </c>
      <c r="AJ6746">
        <v>78.598880446735905</v>
      </c>
      <c r="AK6746">
        <v>30.482574209732</v>
      </c>
      <c r="AL6746">
        <v>94.855620167910402</v>
      </c>
      <c r="AM6746">
        <v>91.093940757877107</v>
      </c>
      <c r="AN6746">
        <v>0.99999994992327301</v>
      </c>
    </row>
    <row r="6747" spans="1:40" x14ac:dyDescent="0.25">
      <c r="A6747" t="str">
        <f>"20190303154315155"</f>
        <v>20190303154315155</v>
      </c>
      <c r="B6747" t="str">
        <f>"1551598995146552"</f>
        <v>1551598995146552</v>
      </c>
      <c r="C6747" t="s">
        <v>40</v>
      </c>
      <c r="D6747">
        <v>5.488734</v>
      </c>
      <c r="E6747">
        <v>0.5369043</v>
      </c>
      <c r="F6747" t="s">
        <v>43</v>
      </c>
      <c r="G6747">
        <v>-311.18900000000002</v>
      </c>
      <c r="H6747">
        <v>-0.05</v>
      </c>
      <c r="I6747">
        <v>14.83215</v>
      </c>
      <c r="J6747">
        <v>-340.44690000000003</v>
      </c>
      <c r="K6747">
        <v>1.120765</v>
      </c>
      <c r="L6747">
        <v>17.455629999999999</v>
      </c>
      <c r="M6747">
        <v>0.99981850000000005</v>
      </c>
      <c r="N6747">
        <v>-1.3753339999999999E-2</v>
      </c>
      <c r="O6747">
        <v>1.318187E-2</v>
      </c>
      <c r="P6747">
        <v>0.99461089999999996</v>
      </c>
      <c r="Q6747">
        <v>-9.8570350000000001E-2</v>
      </c>
      <c r="R6747">
        <v>3.2138420000000001E-2</v>
      </c>
      <c r="S6747">
        <v>3.0130620000000001</v>
      </c>
      <c r="T6747">
        <v>-0.12003900000000001</v>
      </c>
      <c r="U6747">
        <v>-0.26882929999999999</v>
      </c>
      <c r="V6747">
        <v>-1.9075080000000001E-2</v>
      </c>
      <c r="W6747">
        <v>-8.486552E-2</v>
      </c>
      <c r="X6747">
        <v>0.99620980000000003</v>
      </c>
      <c r="Y6747">
        <v>0.101879</v>
      </c>
      <c r="Z6747">
        <v>-3.0700710000000002E-3</v>
      </c>
      <c r="AA6747">
        <v>0.99479200000000001</v>
      </c>
      <c r="AB6747">
        <v>24</v>
      </c>
      <c r="AC6747">
        <v>29.257899999999999</v>
      </c>
      <c r="AD6747">
        <v>-1.1707650000000001</v>
      </c>
      <c r="AE6747">
        <v>-2.62347999999999</v>
      </c>
      <c r="AF6747">
        <v>3.0041903168011399</v>
      </c>
      <c r="AG6747">
        <v>-1.1707650000000001</v>
      </c>
      <c r="AH6747">
        <v>29.174429504803499</v>
      </c>
      <c r="AI6747">
        <v>92.285962293442196</v>
      </c>
      <c r="AJ6747">
        <v>84.120780258109903</v>
      </c>
      <c r="AK6747">
        <v>29.3520559258723</v>
      </c>
      <c r="AL6747">
        <v>94.868291838032704</v>
      </c>
      <c r="AM6747">
        <v>91.096945683874793</v>
      </c>
      <c r="AN6747">
        <v>0.99999999038895804</v>
      </c>
    </row>
    <row r="6748" spans="1:40" x14ac:dyDescent="0.25">
      <c r="A6748" t="str">
        <f>"20190303154315171"</f>
        <v>20190303154315171</v>
      </c>
      <c r="B6748" t="str">
        <f>"1551598995167048"</f>
        <v>1551598995167048</v>
      </c>
      <c r="C6748" t="s">
        <v>40</v>
      </c>
      <c r="D6748">
        <v>5.4817720000000003</v>
      </c>
      <c r="E6748">
        <v>0.5227851</v>
      </c>
      <c r="F6748" t="s">
        <v>43</v>
      </c>
      <c r="G6748">
        <v>-309.97340000000003</v>
      </c>
      <c r="H6748">
        <v>-0.05</v>
      </c>
      <c r="I6748">
        <v>15.502700000000001</v>
      </c>
      <c r="J6748">
        <v>-340.279</v>
      </c>
      <c r="K6748">
        <v>1.120773</v>
      </c>
      <c r="L6748">
        <v>17.457519999999999</v>
      </c>
      <c r="M6748">
        <v>0.99982199999999999</v>
      </c>
      <c r="N6748">
        <v>-1.375234E-2</v>
      </c>
      <c r="O6748">
        <v>1.293072E-2</v>
      </c>
      <c r="P6748">
        <v>0.99463020000000002</v>
      </c>
      <c r="Q6748">
        <v>-9.8489220000000002E-2</v>
      </c>
      <c r="R6748">
        <v>3.1802379999999998E-2</v>
      </c>
      <c r="S6748">
        <v>3.0109859999999999</v>
      </c>
      <c r="T6748">
        <v>-0.11567910000000001</v>
      </c>
      <c r="U6748">
        <v>-0.19296260000000001</v>
      </c>
      <c r="V6748">
        <v>-1.898828E-2</v>
      </c>
      <c r="W6748">
        <v>-8.4785470000000002E-2</v>
      </c>
      <c r="X6748">
        <v>0.9962183</v>
      </c>
      <c r="Y6748">
        <v>7.6774519999999999E-2</v>
      </c>
      <c r="Z6748">
        <v>-2.3200299999999998E-3</v>
      </c>
      <c r="AA6748">
        <v>0.99704579999999998</v>
      </c>
      <c r="AB6748">
        <v>24</v>
      </c>
      <c r="AC6748">
        <v>30.305599999999899</v>
      </c>
      <c r="AD6748">
        <v>-1.1707730000000001</v>
      </c>
      <c r="AE6748">
        <v>-1.95482</v>
      </c>
      <c r="AF6748">
        <v>2.3430843097465401</v>
      </c>
      <c r="AG6748">
        <v>-1.1707730000000001</v>
      </c>
      <c r="AH6748">
        <v>30.2328521529159</v>
      </c>
      <c r="AI6748">
        <v>92.211058172637806</v>
      </c>
      <c r="AJ6748">
        <v>85.568363193174804</v>
      </c>
      <c r="AK6748">
        <v>30.346105232800099</v>
      </c>
      <c r="AL6748">
        <v>94.863688595629299</v>
      </c>
      <c r="AM6748">
        <v>91.091945995518202</v>
      </c>
      <c r="AN6748">
        <v>1.0000000159776801</v>
      </c>
    </row>
    <row r="6749" spans="1:40" x14ac:dyDescent="0.25">
      <c r="A6749" t="str">
        <f>"20190303154315184"</f>
        <v>20190303154315184</v>
      </c>
      <c r="B6749" t="str">
        <f>"1551598995176808"</f>
        <v>1551598995176808</v>
      </c>
      <c r="C6749" t="s">
        <v>40</v>
      </c>
      <c r="D6749">
        <v>5.4421280000000003</v>
      </c>
      <c r="E6749">
        <v>0.51916439999999997</v>
      </c>
      <c r="F6749" t="s">
        <v>43</v>
      </c>
      <c r="G6749">
        <v>-312.93900000000002</v>
      </c>
      <c r="H6749">
        <v>-0.05</v>
      </c>
      <c r="I6749">
        <v>16.71255</v>
      </c>
      <c r="J6749">
        <v>-340.1422</v>
      </c>
      <c r="K6749">
        <v>1.1207800000000001</v>
      </c>
      <c r="L6749">
        <v>17.45908</v>
      </c>
      <c r="M6749">
        <v>0.9998245</v>
      </c>
      <c r="N6749">
        <v>-1.375149E-2</v>
      </c>
      <c r="O6749">
        <v>1.2729280000000001E-2</v>
      </c>
      <c r="P6749">
        <v>0.99464379999999997</v>
      </c>
      <c r="Q6749">
        <v>-9.8400539999999995E-2</v>
      </c>
      <c r="R6749">
        <v>3.1641429999999998E-2</v>
      </c>
      <c r="S6749">
        <v>3.0060419999999999</v>
      </c>
      <c r="T6749">
        <v>-0.12872709999999901</v>
      </c>
      <c r="U6749">
        <v>-8.1909179999999998E-2</v>
      </c>
      <c r="V6749">
        <v>-1.9026899999999999E-2</v>
      </c>
      <c r="W6749">
        <v>-8.4697720000000004E-2</v>
      </c>
      <c r="X6749">
        <v>0.99622500000000003</v>
      </c>
      <c r="Y6749">
        <v>3.9907940000000003E-2</v>
      </c>
      <c r="Z6749">
        <v>-1.498363E-3</v>
      </c>
      <c r="AA6749">
        <v>0.99920229999999999</v>
      </c>
      <c r="AB6749">
        <v>24</v>
      </c>
      <c r="AC6749">
        <v>27.203199999999899</v>
      </c>
      <c r="AD6749">
        <v>-1.1707799999999999</v>
      </c>
      <c r="AE6749">
        <v>-0.74652999999999903</v>
      </c>
      <c r="AF6749">
        <v>1.09076047866696</v>
      </c>
      <c r="AG6749">
        <v>-1.1707799999999999</v>
      </c>
      <c r="AH6749">
        <v>27.141256045797501</v>
      </c>
      <c r="AI6749">
        <v>92.468020892800197</v>
      </c>
      <c r="AJ6749">
        <v>87.698619450745895</v>
      </c>
      <c r="AK6749">
        <v>27.188384725352101</v>
      </c>
      <c r="AL6749">
        <v>94.858642873965195</v>
      </c>
      <c r="AM6749">
        <v>91.094158993099001</v>
      </c>
      <c r="AN6749">
        <v>0.999999988660904</v>
      </c>
    </row>
    <row r="6750" spans="1:40" x14ac:dyDescent="0.25">
      <c r="A6750" t="str">
        <f>"20190303154315196"</f>
        <v>20190303154315196</v>
      </c>
      <c r="B6750" t="str">
        <f>"1551598995187543"</f>
        <v>1551598995187543</v>
      </c>
      <c r="C6750" t="s">
        <v>40</v>
      </c>
      <c r="D6750">
        <v>5.3624150000000004</v>
      </c>
      <c r="E6750">
        <v>0.51669609999999899</v>
      </c>
      <c r="F6750" t="s">
        <v>43</v>
      </c>
      <c r="G6750">
        <v>-313.0514</v>
      </c>
      <c r="H6750">
        <v>-0.05</v>
      </c>
      <c r="I6750">
        <v>16.97597</v>
      </c>
      <c r="J6750">
        <v>-340.02140000000003</v>
      </c>
      <c r="K6750">
        <v>1.1207860000000001</v>
      </c>
      <c r="L6750">
        <v>17.46039</v>
      </c>
      <c r="M6750">
        <v>0.99982680000000002</v>
      </c>
      <c r="N6750">
        <v>-1.3750729999999999E-2</v>
      </c>
      <c r="O6750">
        <v>1.2552509999999999E-2</v>
      </c>
      <c r="P6750">
        <v>0.99466310000000002</v>
      </c>
      <c r="Q6750">
        <v>-9.8347489999999996E-2</v>
      </c>
      <c r="R6750">
        <v>3.120293E-2</v>
      </c>
      <c r="S6750">
        <v>3.0050050000000001</v>
      </c>
      <c r="T6750">
        <v>-0.1298667</v>
      </c>
      <c r="U6750">
        <v>-5.3588869999999997E-2</v>
      </c>
      <c r="V6750">
        <v>-1.8763809999999999E-2</v>
      </c>
      <c r="W6750">
        <v>-8.4645590000000007E-2</v>
      </c>
      <c r="X6750">
        <v>0.99623439999999996</v>
      </c>
      <c r="Y6750">
        <v>3.0337900000000001E-2</v>
      </c>
      <c r="Z6750">
        <v>-1.2335779999999999E-3</v>
      </c>
      <c r="AA6750">
        <v>0.99953899999999996</v>
      </c>
      <c r="AB6750">
        <v>24</v>
      </c>
      <c r="AC6750">
        <v>26.97</v>
      </c>
      <c r="AD6750">
        <v>-1.1707860000000001</v>
      </c>
      <c r="AE6750">
        <v>-0.48442000000000002</v>
      </c>
      <c r="AF6750">
        <v>0.821407552981685</v>
      </c>
      <c r="AG6750">
        <v>-1.1707860000000001</v>
      </c>
      <c r="AH6750">
        <v>26.911096227476701</v>
      </c>
      <c r="AI6750">
        <v>92.489963770312201</v>
      </c>
      <c r="AJ6750">
        <v>88.251703376210401</v>
      </c>
      <c r="AK6750">
        <v>26.949073275168601</v>
      </c>
      <c r="AL6750">
        <v>94.8556453803468</v>
      </c>
      <c r="AM6750">
        <v>91.079023189307804</v>
      </c>
      <c r="AN6750">
        <v>0.99999996810776104</v>
      </c>
    </row>
    <row r="6751" spans="1:40" x14ac:dyDescent="0.25">
      <c r="A6751" t="str">
        <f>"20190303154315216"</f>
        <v>20190303154315216</v>
      </c>
      <c r="B6751" t="str">
        <f>"1551598995207067"</f>
        <v>1551598995207067</v>
      </c>
      <c r="C6751" t="s">
        <v>40</v>
      </c>
      <c r="D6751">
        <v>5.4114719999999998</v>
      </c>
      <c r="E6751">
        <v>0.51246199999999997</v>
      </c>
      <c r="F6751" t="s">
        <v>43</v>
      </c>
      <c r="G6751">
        <v>-312.97680000000003</v>
      </c>
      <c r="H6751">
        <v>-0.05</v>
      </c>
      <c r="I6751">
        <v>17.14284</v>
      </c>
      <c r="J6751">
        <v>-339.80840000000001</v>
      </c>
      <c r="K6751">
        <v>1.120795</v>
      </c>
      <c r="L6751">
        <v>17.462710000000001</v>
      </c>
      <c r="M6751">
        <v>0.99983060000000001</v>
      </c>
      <c r="N6751">
        <v>-1.3749219999999999E-2</v>
      </c>
      <c r="O6751">
        <v>1.2247259999999999E-2</v>
      </c>
      <c r="P6751">
        <v>0.99473080000000003</v>
      </c>
      <c r="Q6751">
        <v>-9.7957849999999999E-2</v>
      </c>
      <c r="R6751">
        <v>3.024957E-2</v>
      </c>
      <c r="S6751">
        <v>3.0043950000000001</v>
      </c>
      <c r="T6751">
        <v>-0.13006319999999999</v>
      </c>
      <c r="U6751">
        <v>-3.5278320000000002E-2</v>
      </c>
      <c r="V6751">
        <v>-1.8111220000000001E-2</v>
      </c>
      <c r="W6751">
        <v>-8.4257520000000002E-2</v>
      </c>
      <c r="X6751">
        <v>0.99627940000000004</v>
      </c>
      <c r="Y6751">
        <v>2.3953220000000001E-2</v>
      </c>
      <c r="Z6751">
        <v>-1.0445929999999999E-3</v>
      </c>
      <c r="AA6751">
        <v>0.9997125</v>
      </c>
      <c r="AB6751">
        <v>23</v>
      </c>
      <c r="AC6751">
        <v>26.831599999999899</v>
      </c>
      <c r="AD6751">
        <v>-1.170795</v>
      </c>
      <c r="AE6751">
        <v>-0.31987000000000099</v>
      </c>
      <c r="AF6751">
        <v>0.64725839853317102</v>
      </c>
      <c r="AG6751">
        <v>-1.170795</v>
      </c>
      <c r="AH6751">
        <v>26.774697364435202</v>
      </c>
      <c r="AI6751">
        <v>92.503085258787806</v>
      </c>
      <c r="AJ6751">
        <v>88.615186853784394</v>
      </c>
      <c r="AK6751">
        <v>26.808098092247999</v>
      </c>
      <c r="AL6751">
        <v>94.833330762286806</v>
      </c>
      <c r="AM6751">
        <v>91.041457026038501</v>
      </c>
      <c r="AN6751">
        <v>0.999999994415399</v>
      </c>
    </row>
    <row r="6752" spans="1:40" x14ac:dyDescent="0.25">
      <c r="A6752" t="str">
        <f>"20190303154315228"</f>
        <v>20190303154315228</v>
      </c>
      <c r="B6752" t="str">
        <f>"1551598995216824"</f>
        <v>1551598995216824</v>
      </c>
      <c r="C6752" t="s">
        <v>40</v>
      </c>
      <c r="D6752">
        <v>5.4213899999999997</v>
      </c>
      <c r="E6752">
        <v>0.51122820000000002</v>
      </c>
      <c r="F6752" t="s">
        <v>43</v>
      </c>
      <c r="G6752">
        <v>-315.30889999999999</v>
      </c>
      <c r="H6752">
        <v>-0.05</v>
      </c>
      <c r="I6752">
        <v>17.42334</v>
      </c>
      <c r="J6752">
        <v>-339.67540000000002</v>
      </c>
      <c r="K6752">
        <v>1.1208</v>
      </c>
      <c r="L6752">
        <v>17.464110000000002</v>
      </c>
      <c r="M6752">
        <v>0.99983279999999997</v>
      </c>
      <c r="N6752">
        <v>-1.37482E-2</v>
      </c>
      <c r="O6752">
        <v>1.2060680000000001E-2</v>
      </c>
      <c r="P6752">
        <v>0.99478069999999996</v>
      </c>
      <c r="Q6752">
        <v>-9.7679940000000007E-2</v>
      </c>
      <c r="R6752">
        <v>2.9504809999999999E-2</v>
      </c>
      <c r="S6752">
        <v>3.0019529999999999</v>
      </c>
      <c r="T6752">
        <v>-0.14345869999999999</v>
      </c>
      <c r="U6752">
        <v>-4.8217770000000002E-3</v>
      </c>
      <c r="V6752">
        <v>-1.755058E-2</v>
      </c>
      <c r="W6752">
        <v>-8.3980659999999999E-2</v>
      </c>
      <c r="X6752">
        <v>0.9963128</v>
      </c>
      <c r="Y6752">
        <v>1.3640859999999999E-2</v>
      </c>
      <c r="Z6752">
        <v>-8.2986159999999998E-4</v>
      </c>
      <c r="AA6752">
        <v>0.99990659999999998</v>
      </c>
      <c r="AB6752">
        <v>23</v>
      </c>
      <c r="AC6752">
        <v>24.366499999999998</v>
      </c>
      <c r="AD6752">
        <v>-1.1708000000000001</v>
      </c>
      <c r="AE6752">
        <v>-4.0770000000001902E-2</v>
      </c>
      <c r="AF6752">
        <v>0.333900461229034</v>
      </c>
      <c r="AG6752">
        <v>-1.1708000000000001</v>
      </c>
      <c r="AH6752">
        <v>24.308114176917599</v>
      </c>
      <c r="AI6752">
        <v>92.757259717090093</v>
      </c>
      <c r="AJ6752">
        <v>89.213024755050597</v>
      </c>
      <c r="AK6752">
        <v>24.338584120611301</v>
      </c>
      <c r="AL6752">
        <v>94.817411476409006</v>
      </c>
      <c r="AM6752">
        <v>91.009191259155699</v>
      </c>
      <c r="AN6752">
        <v>0.99999998477810503</v>
      </c>
    </row>
    <row r="6753" spans="1:40" x14ac:dyDescent="0.25">
      <c r="A6753" t="str">
        <f>"20190303154315243"</f>
        <v>20190303154315243</v>
      </c>
      <c r="B6753" t="str">
        <f>"1551598995237320"</f>
        <v>1551598995237320</v>
      </c>
      <c r="C6753" t="s">
        <v>40</v>
      </c>
      <c r="D6753">
        <v>5.3996620000000002</v>
      </c>
      <c r="E6753">
        <v>0.50947719999999996</v>
      </c>
      <c r="F6753" t="s">
        <v>43</v>
      </c>
      <c r="G6753">
        <v>-315.53980000000001</v>
      </c>
      <c r="H6753">
        <v>-0.05</v>
      </c>
      <c r="I6753">
        <v>17.485720000000001</v>
      </c>
      <c r="J6753">
        <v>-339.5376</v>
      </c>
      <c r="K6753">
        <v>1.1208070000000001</v>
      </c>
      <c r="L6753">
        <v>17.46555</v>
      </c>
      <c r="M6753">
        <v>0.99983520000000004</v>
      </c>
      <c r="N6753">
        <v>-1.37471E-2</v>
      </c>
      <c r="O6753">
        <v>1.1869269999999999E-2</v>
      </c>
      <c r="P6753">
        <v>0.99482780000000004</v>
      </c>
      <c r="Q6753">
        <v>-9.7416249999999996E-2</v>
      </c>
      <c r="R6753">
        <v>2.8777179999999999E-2</v>
      </c>
      <c r="S6753">
        <v>3.0013429999999999</v>
      </c>
      <c r="T6753">
        <v>-0.145593</v>
      </c>
      <c r="U6753">
        <v>2.6855469999999999E-3</v>
      </c>
      <c r="V6753">
        <v>-1.7011740000000001E-2</v>
      </c>
      <c r="W6753">
        <v>-8.3718130000000002E-2</v>
      </c>
      <c r="X6753">
        <v>0.99634429999999996</v>
      </c>
      <c r="Y6753">
        <v>1.095197E-2</v>
      </c>
      <c r="Z6753">
        <v>-7.531301E-4</v>
      </c>
      <c r="AA6753">
        <v>0.99993969999999999</v>
      </c>
      <c r="AB6753">
        <v>23</v>
      </c>
      <c r="AC6753">
        <v>23.997799999999899</v>
      </c>
      <c r="AD6753">
        <v>-1.1708069999999999</v>
      </c>
      <c r="AE6753">
        <v>2.0170000000000202E-2</v>
      </c>
      <c r="AF6753">
        <v>0.26406611541602298</v>
      </c>
      <c r="AG6753">
        <v>-1.1708069999999999</v>
      </c>
      <c r="AH6753">
        <v>23.939366330189898</v>
      </c>
      <c r="AI6753">
        <v>92.799774205760897</v>
      </c>
      <c r="AJ6753">
        <v>89.368017510520303</v>
      </c>
      <c r="AK6753">
        <v>23.9694342911048</v>
      </c>
      <c r="AL6753">
        <v>94.802316170274295</v>
      </c>
      <c r="AM6753">
        <v>90.978182144033497</v>
      </c>
      <c r="AN6753">
        <v>1.0000000443654999</v>
      </c>
    </row>
    <row r="6754" spans="1:40" x14ac:dyDescent="0.25">
      <c r="A6754" t="str">
        <f>"20190303154315262"</f>
        <v>20190303154315262</v>
      </c>
      <c r="B6754" t="str">
        <f>"1551598995256840"</f>
        <v>1551598995256840</v>
      </c>
      <c r="C6754" t="s">
        <v>40</v>
      </c>
      <c r="D6754">
        <v>5.3853400000000002</v>
      </c>
      <c r="E6754">
        <v>0.50788670000000002</v>
      </c>
      <c r="F6754" t="s">
        <v>43</v>
      </c>
      <c r="G6754">
        <v>-315.33909999999997</v>
      </c>
      <c r="H6754">
        <v>-0.05</v>
      </c>
      <c r="I6754">
        <v>17.582179999999902</v>
      </c>
      <c r="J6754">
        <v>-339.33199999999999</v>
      </c>
      <c r="K6754">
        <v>1.120819</v>
      </c>
      <c r="L6754">
        <v>17.467649999999999</v>
      </c>
      <c r="M6754">
        <v>0.99983849999999996</v>
      </c>
      <c r="N6754">
        <v>-1.374537E-2</v>
      </c>
      <c r="O6754">
        <v>1.1590710000000001E-2</v>
      </c>
      <c r="P6754">
        <v>0.99490400000000001</v>
      </c>
      <c r="Q6754">
        <v>-9.6861299999999997E-2</v>
      </c>
      <c r="R6754">
        <v>2.8004049999999999E-2</v>
      </c>
      <c r="S6754">
        <v>3.001007</v>
      </c>
      <c r="T6754">
        <v>-0.14519949999999901</v>
      </c>
      <c r="U6754">
        <v>1.446533E-2</v>
      </c>
      <c r="V6754">
        <v>-1.6513190000000001E-2</v>
      </c>
      <c r="W6754">
        <v>-8.3164660000000001E-2</v>
      </c>
      <c r="X6754">
        <v>0.99639900000000003</v>
      </c>
      <c r="Y6754">
        <v>6.7547900000000001E-3</v>
      </c>
      <c r="Z6754">
        <v>-6.1096839999999996E-4</v>
      </c>
      <c r="AA6754">
        <v>0.999977</v>
      </c>
      <c r="AB6754">
        <v>23</v>
      </c>
      <c r="AC6754">
        <v>23.992899999999999</v>
      </c>
      <c r="AD6754">
        <v>-1.1708190000000001</v>
      </c>
      <c r="AE6754">
        <v>0.11452999999999799</v>
      </c>
      <c r="AF6754">
        <v>0.16321002991830499</v>
      </c>
      <c r="AG6754">
        <v>-1.1708190000000001</v>
      </c>
      <c r="AH6754">
        <v>23.935619012498599</v>
      </c>
      <c r="AI6754">
        <v>92.8003455768566</v>
      </c>
      <c r="AJ6754">
        <v>89.609322785444206</v>
      </c>
      <c r="AK6754">
        <v>23.964793179915201</v>
      </c>
      <c r="AL6754">
        <v>94.770493881545605</v>
      </c>
      <c r="AM6754">
        <v>90.949468521808797</v>
      </c>
      <c r="AN6754">
        <v>1.0000000066589401</v>
      </c>
    </row>
    <row r="6755" spans="1:40" x14ac:dyDescent="0.25">
      <c r="A6755" t="str">
        <f>"20190303154315285"</f>
        <v>20190303154315285</v>
      </c>
      <c r="B6755" t="str">
        <f>"1551598995277337"</f>
        <v>1551598995277337</v>
      </c>
      <c r="C6755" t="s">
        <v>40</v>
      </c>
      <c r="D6755">
        <v>5.4217219999999999</v>
      </c>
      <c r="E6755">
        <v>0.50656599999999996</v>
      </c>
      <c r="F6755" t="s">
        <v>43</v>
      </c>
      <c r="G6755">
        <v>-315.5591</v>
      </c>
      <c r="H6755">
        <v>-0.05</v>
      </c>
      <c r="I6755">
        <v>17.663529999999898</v>
      </c>
      <c r="J6755">
        <v>-339.08969999999999</v>
      </c>
      <c r="K6755">
        <v>1.1208309999999999</v>
      </c>
      <c r="L6755">
        <v>17.47006</v>
      </c>
      <c r="M6755">
        <v>0.99984209999999996</v>
      </c>
      <c r="N6755">
        <v>-1.374327E-2</v>
      </c>
      <c r="O6755">
        <v>1.127528E-2</v>
      </c>
      <c r="P6755">
        <v>0.99494439999999995</v>
      </c>
      <c r="Q6755">
        <v>-9.6627740000000004E-2</v>
      </c>
      <c r="R6755">
        <v>2.7369649999999999E-2</v>
      </c>
      <c r="S6755">
        <v>3.0002749999999998</v>
      </c>
      <c r="T6755">
        <v>-0.14776410000000001</v>
      </c>
      <c r="U6755">
        <v>2.471924E-2</v>
      </c>
      <c r="V6755">
        <v>-1.6190420000000001E-2</v>
      </c>
      <c r="W6755">
        <v>-8.2933309999999996E-2</v>
      </c>
      <c r="X6755">
        <v>0.99642359999999996</v>
      </c>
      <c r="Y6755">
        <v>3.0259789999999998E-3</v>
      </c>
      <c r="Z6755">
        <v>-4.9532760000000004E-4</v>
      </c>
      <c r="AA6755">
        <v>0.99999530000000003</v>
      </c>
      <c r="AB6755">
        <v>23</v>
      </c>
      <c r="AC6755">
        <v>23.5306</v>
      </c>
      <c r="AD6755">
        <v>-1.170831</v>
      </c>
      <c r="AE6755">
        <v>0.19346999999999701</v>
      </c>
      <c r="AF6755">
        <v>7.1703917405796999E-2</v>
      </c>
      <c r="AG6755">
        <v>-1.170831</v>
      </c>
      <c r="AH6755">
        <v>23.473173685568</v>
      </c>
      <c r="AI6755">
        <v>92.855506988513099</v>
      </c>
      <c r="AJ6755">
        <v>89.824978116793204</v>
      </c>
      <c r="AK6755">
        <v>23.502465180384299</v>
      </c>
      <c r="AL6755">
        <v>94.757192455552698</v>
      </c>
      <c r="AM6755">
        <v>90.930890346582302</v>
      </c>
      <c r="AN6755">
        <v>1.0000000271221401</v>
      </c>
    </row>
    <row r="6756" spans="1:40" x14ac:dyDescent="0.25">
      <c r="A6756" t="str">
        <f>"20190303154315307"</f>
        <v>20190303154315307</v>
      </c>
      <c r="B6756" t="str">
        <f>"1551598995296856"</f>
        <v>1551598995296856</v>
      </c>
      <c r="C6756" t="s">
        <v>40</v>
      </c>
      <c r="D6756">
        <v>5.4109089999999904</v>
      </c>
      <c r="E6756">
        <v>0.50570909999999902</v>
      </c>
      <c r="F6756" t="s">
        <v>43</v>
      </c>
      <c r="G6756">
        <v>-315.36750000000001</v>
      </c>
      <c r="H6756">
        <v>-0.05</v>
      </c>
      <c r="I6756">
        <v>17.733829999999902</v>
      </c>
      <c r="J6756">
        <v>-338.86</v>
      </c>
      <c r="K6756">
        <v>1.120844</v>
      </c>
      <c r="L6756">
        <v>17.47232</v>
      </c>
      <c r="M6756">
        <v>0.99984519999999999</v>
      </c>
      <c r="N6756">
        <v>-1.374122E-2</v>
      </c>
      <c r="O6756">
        <v>1.098912E-2</v>
      </c>
      <c r="P6756">
        <v>0.99496260000000003</v>
      </c>
      <c r="Q6756">
        <v>-9.6495449999999997E-2</v>
      </c>
      <c r="R6756">
        <v>2.7166550000000001E-2</v>
      </c>
      <c r="S6756">
        <v>2.9999389999999999</v>
      </c>
      <c r="T6756">
        <v>-0.14806510000000001</v>
      </c>
      <c r="U6756">
        <v>3.3355709999999997E-2</v>
      </c>
      <c r="V6756">
        <v>-1.626994E-2</v>
      </c>
      <c r="W6756">
        <v>-8.2803230000000005E-2</v>
      </c>
      <c r="X6756">
        <v>0.99643309999999996</v>
      </c>
      <c r="Y6756">
        <v>-1.3471770000000001E-4</v>
      </c>
      <c r="Z6756">
        <v>-3.8682270000000001E-4</v>
      </c>
      <c r="AA6756">
        <v>0.99999990000000005</v>
      </c>
      <c r="AB6756">
        <v>23</v>
      </c>
      <c r="AC6756">
        <v>23.4925</v>
      </c>
      <c r="AD6756">
        <v>-1.170844</v>
      </c>
      <c r="AE6756">
        <v>0.26150999999999702</v>
      </c>
      <c r="AF6756">
        <v>-3.2997336639351499E-3</v>
      </c>
      <c r="AG6756">
        <v>-1.170844</v>
      </c>
      <c r="AH6756">
        <v>23.435749657206301</v>
      </c>
      <c r="AI6756">
        <v>92.860104316120697</v>
      </c>
      <c r="AJ6756">
        <v>90.008067197080393</v>
      </c>
      <c r="AK6756">
        <v>23.464979193594498</v>
      </c>
      <c r="AL6756">
        <v>94.749713806233899</v>
      </c>
      <c r="AM6756">
        <v>90.935452730165295</v>
      </c>
      <c r="AN6756">
        <v>1.0000000043108199</v>
      </c>
    </row>
    <row r="6757" spans="1:40" x14ac:dyDescent="0.25">
      <c r="A6757" t="str">
        <f>"20190303154315330"</f>
        <v>20190303154315330</v>
      </c>
      <c r="B6757" t="str">
        <f>"1551598995317352"</f>
        <v>1551598995317352</v>
      </c>
      <c r="C6757" t="s">
        <v>40</v>
      </c>
      <c r="D6757">
        <v>5.4377019999999998</v>
      </c>
      <c r="E6757">
        <v>0.50461699999999998</v>
      </c>
      <c r="F6757" t="s">
        <v>43</v>
      </c>
      <c r="G6757">
        <v>-315.3193</v>
      </c>
      <c r="H6757">
        <v>-0.05</v>
      </c>
      <c r="I6757">
        <v>17.78246</v>
      </c>
      <c r="J6757">
        <v>-338.62540000000001</v>
      </c>
      <c r="K6757">
        <v>1.120852</v>
      </c>
      <c r="L6757">
        <v>17.47458</v>
      </c>
      <c r="M6757">
        <v>0.99984830000000002</v>
      </c>
      <c r="N6757">
        <v>-1.373916E-2</v>
      </c>
      <c r="O6757">
        <v>1.0708260000000001E-2</v>
      </c>
      <c r="P6757">
        <v>0.99495750000000005</v>
      </c>
      <c r="Q6757">
        <v>-9.6508239999999995E-2</v>
      </c>
      <c r="R6757">
        <v>2.730929E-2</v>
      </c>
      <c r="S6757">
        <v>2.9996640000000001</v>
      </c>
      <c r="T6757">
        <v>-0.1491944</v>
      </c>
      <c r="U6757">
        <v>3.9520260000000001E-2</v>
      </c>
      <c r="V6757">
        <v>-1.669089E-2</v>
      </c>
      <c r="W6757">
        <v>-8.2818340000000004E-2</v>
      </c>
      <c r="X6757">
        <v>0.99642489999999995</v>
      </c>
      <c r="Y6757">
        <v>-2.4676949999999998E-3</v>
      </c>
      <c r="Z6757">
        <v>-3.068716E-4</v>
      </c>
      <c r="AA6757">
        <v>0.99999689999999997</v>
      </c>
      <c r="AB6757">
        <v>23</v>
      </c>
      <c r="AC6757">
        <v>23.306100000000001</v>
      </c>
      <c r="AD6757">
        <v>-1.170852</v>
      </c>
      <c r="AE6757">
        <v>0.30787999999999999</v>
      </c>
      <c r="AF6757">
        <v>-5.8124342693816E-2</v>
      </c>
      <c r="AG6757">
        <v>-1.170852</v>
      </c>
      <c r="AH6757">
        <v>23.249392750353401</v>
      </c>
      <c r="AI6757">
        <v>92.883001830786796</v>
      </c>
      <c r="AJ6757">
        <v>90.143241271753794</v>
      </c>
      <c r="AK6757">
        <v>23.278929015427298</v>
      </c>
      <c r="AL6757">
        <v>94.750582443641605</v>
      </c>
      <c r="AM6757">
        <v>90.959659001369701</v>
      </c>
      <c r="AN6757">
        <v>1.0000000222946701</v>
      </c>
    </row>
    <row r="6758" spans="1:40" x14ac:dyDescent="0.25">
      <c r="A6758" t="str">
        <f>"20190303154315350"</f>
        <v>20190303154315350</v>
      </c>
      <c r="B6758" t="str">
        <f>"1551598995336873"</f>
        <v>1551598995336873</v>
      </c>
      <c r="C6758" t="s">
        <v>40</v>
      </c>
      <c r="D6758">
        <v>5.4741879999999998</v>
      </c>
      <c r="E6758">
        <v>0.50378480000000003</v>
      </c>
      <c r="F6758" t="s">
        <v>43</v>
      </c>
      <c r="G6758">
        <v>-316.17189999999999</v>
      </c>
      <c r="H6758">
        <v>-0.05</v>
      </c>
      <c r="I6758">
        <v>17.837219999999999</v>
      </c>
      <c r="J6758">
        <v>-338.41570000000002</v>
      </c>
      <c r="K6758">
        <v>1.1208610000000001</v>
      </c>
      <c r="L6758">
        <v>17.47653</v>
      </c>
      <c r="M6758">
        <v>0.99985089999999999</v>
      </c>
      <c r="N6758">
        <v>-1.3737330000000001E-2</v>
      </c>
      <c r="O6758">
        <v>1.046593E-2</v>
      </c>
      <c r="P6758">
        <v>0.99498089999999995</v>
      </c>
      <c r="Q6758">
        <v>-9.6177750000000006E-2</v>
      </c>
      <c r="R6758">
        <v>2.7620260000000001E-2</v>
      </c>
      <c r="S6758">
        <v>2.9987490000000001</v>
      </c>
      <c r="T6758">
        <v>-0.15637200000000001</v>
      </c>
      <c r="U6758">
        <v>4.8431399999999999E-2</v>
      </c>
      <c r="V6758">
        <v>-1.7241090000000001E-2</v>
      </c>
      <c r="W6758">
        <v>-8.2489439999999997E-2</v>
      </c>
      <c r="X6758">
        <v>0.99644279999999996</v>
      </c>
      <c r="Y6758">
        <v>-5.6799499999999996E-3</v>
      </c>
      <c r="Z6758">
        <v>-2.1459039999999999E-4</v>
      </c>
      <c r="AA6758">
        <v>0.99998379999999998</v>
      </c>
      <c r="AB6758">
        <v>23</v>
      </c>
      <c r="AC6758">
        <v>22.2438</v>
      </c>
      <c r="AD6758">
        <v>-1.1708609999999999</v>
      </c>
      <c r="AE6758">
        <v>0.36069000000000101</v>
      </c>
      <c r="AF6758">
        <v>-0.12749307173462099</v>
      </c>
      <c r="AG6758">
        <v>-1.1708609999999999</v>
      </c>
      <c r="AH6758">
        <v>22.1849047916687</v>
      </c>
      <c r="AI6758">
        <v>93.021067966789502</v>
      </c>
      <c r="AJ6758">
        <v>90.329265984284703</v>
      </c>
      <c r="AK6758">
        <v>22.216146618621</v>
      </c>
      <c r="AL6758">
        <v>94.731673226897698</v>
      </c>
      <c r="AM6758">
        <v>90.9912692715139</v>
      </c>
      <c r="AN6758">
        <v>1.00000000828387</v>
      </c>
    </row>
    <row r="6759" spans="1:40" x14ac:dyDescent="0.25">
      <c r="A6759" t="str">
        <f>"20190303154315362"</f>
        <v>20190303154315362</v>
      </c>
      <c r="B6759" t="str">
        <f>"1551598995357368"</f>
        <v>1551598995357368</v>
      </c>
      <c r="C6759" t="s">
        <v>40</v>
      </c>
      <c r="D6759">
        <v>5.4805659999999996</v>
      </c>
      <c r="E6759">
        <v>0.50300610000000001</v>
      </c>
      <c r="F6759" t="s">
        <v>43</v>
      </c>
      <c r="G6759">
        <v>-316.62380000000002</v>
      </c>
      <c r="H6759">
        <v>-0.05</v>
      </c>
      <c r="I6759">
        <v>17.882709999999999</v>
      </c>
      <c r="J6759">
        <v>-338.28559999999999</v>
      </c>
      <c r="K6759">
        <v>1.1208659999999999</v>
      </c>
      <c r="L6759">
        <v>17.477720000000001</v>
      </c>
      <c r="M6759">
        <v>0.99985250000000003</v>
      </c>
      <c r="N6759">
        <v>-1.3736160000000001E-2</v>
      </c>
      <c r="O6759">
        <v>1.0318910000000001E-2</v>
      </c>
      <c r="P6759">
        <v>0.99499079999999995</v>
      </c>
      <c r="Q6759">
        <v>-9.6054169999999994E-2</v>
      </c>
      <c r="R6759">
        <v>2.7703149999999999E-2</v>
      </c>
      <c r="S6759">
        <v>2.9980159999999998</v>
      </c>
      <c r="T6759">
        <v>-0.1610811</v>
      </c>
      <c r="U6759">
        <v>5.5877690000000001E-2</v>
      </c>
      <c r="V6759">
        <v>-1.74697999999999E-2</v>
      </c>
      <c r="W6759">
        <v>-8.2366980000000006E-2</v>
      </c>
      <c r="X6759">
        <v>0.99644889999999997</v>
      </c>
      <c r="Y6759">
        <v>-8.3090939999999995E-3</v>
      </c>
      <c r="Z6759">
        <v>-1.3212559999999999E-4</v>
      </c>
      <c r="AA6759">
        <v>0.99996549999999995</v>
      </c>
      <c r="AB6759">
        <v>23</v>
      </c>
      <c r="AC6759">
        <v>21.6617999999999</v>
      </c>
      <c r="AD6759">
        <v>-1.170866</v>
      </c>
      <c r="AE6759">
        <v>0.40498999999999802</v>
      </c>
      <c r="AF6759">
        <v>-0.18089288142936999</v>
      </c>
      <c r="AG6759">
        <v>-1.170866</v>
      </c>
      <c r="AH6759">
        <v>21.601735688362599</v>
      </c>
      <c r="AI6759">
        <v>93.102424478649894</v>
      </c>
      <c r="AJ6759">
        <v>90.479783501926903</v>
      </c>
      <c r="AK6759">
        <v>21.6342005670279</v>
      </c>
      <c r="AL6759">
        <v>94.724633047424206</v>
      </c>
      <c r="AM6759">
        <v>91.004410033725406</v>
      </c>
      <c r="AN6759">
        <v>0.99999996180878403</v>
      </c>
    </row>
    <row r="6760" spans="1:40" x14ac:dyDescent="0.25">
      <c r="A6760" t="str">
        <f>"20190303154315373"</f>
        <v>20190303154315373</v>
      </c>
      <c r="B6760" t="str">
        <f>"1551598995367128"</f>
        <v>1551598995367128</v>
      </c>
      <c r="C6760" t="s">
        <v>40</v>
      </c>
      <c r="D6760">
        <v>5.4815339999999999</v>
      </c>
      <c r="E6760">
        <v>0.50266980000000006</v>
      </c>
      <c r="F6760" t="s">
        <v>43</v>
      </c>
      <c r="G6760">
        <v>-317.32130000000001</v>
      </c>
      <c r="H6760">
        <v>-0.05</v>
      </c>
      <c r="I6760">
        <v>17.912320000000001</v>
      </c>
      <c r="J6760">
        <v>-338.16460000000001</v>
      </c>
      <c r="K6760">
        <v>1.1208689999999999</v>
      </c>
      <c r="L6760">
        <v>17.47879</v>
      </c>
      <c r="M6760">
        <v>0.99985389999999996</v>
      </c>
      <c r="N6760">
        <v>-1.373505E-2</v>
      </c>
      <c r="O6760">
        <v>1.0183849999999999E-2</v>
      </c>
      <c r="P6760">
        <v>0.99500509999999998</v>
      </c>
      <c r="Q6760">
        <v>-9.5913719999999994E-2</v>
      </c>
      <c r="R6760">
        <v>2.767267E-2</v>
      </c>
      <c r="S6760">
        <v>2.997223</v>
      </c>
      <c r="T6760">
        <v>-0.1673955</v>
      </c>
      <c r="U6760">
        <v>6.2133790000000001E-2</v>
      </c>
      <c r="V6760">
        <v>-1.757216E-2</v>
      </c>
      <c r="W6760">
        <v>-8.222757E-2</v>
      </c>
      <c r="X6760">
        <v>0.99645859999999997</v>
      </c>
      <c r="Y6760">
        <v>-1.0530869999999999E-2</v>
      </c>
      <c r="Z6760" s="1">
        <v>-6.2235829999999993E-5</v>
      </c>
      <c r="AA6760">
        <v>0.99994459999999996</v>
      </c>
      <c r="AB6760">
        <v>23</v>
      </c>
      <c r="AC6760">
        <v>20.843299999999999</v>
      </c>
      <c r="AD6760">
        <v>-1.1708689999999999</v>
      </c>
      <c r="AE6760">
        <v>0.43353000000000103</v>
      </c>
      <c r="AF6760">
        <v>-0.22052687179880501</v>
      </c>
      <c r="AG6760">
        <v>-1.1708689999999999</v>
      </c>
      <c r="AH6760">
        <v>20.781085656752801</v>
      </c>
      <c r="AI6760">
        <v>93.2246261911245</v>
      </c>
      <c r="AJ6760">
        <v>90.607994450724505</v>
      </c>
      <c r="AK6760">
        <v>20.815212883601301</v>
      </c>
      <c r="AL6760">
        <v>94.716618321165896</v>
      </c>
      <c r="AM6760">
        <v>91.010284078609899</v>
      </c>
      <c r="AN6760">
        <v>0.99999994779456303</v>
      </c>
    </row>
    <row r="6761" spans="1:40" x14ac:dyDescent="0.25">
      <c r="A6761" t="str">
        <f>"20190303154315385"</f>
        <v>20190303154315385</v>
      </c>
      <c r="B6761" t="str">
        <f>"1551598995376887"</f>
        <v>1551598995376887</v>
      </c>
      <c r="C6761" t="s">
        <v>40</v>
      </c>
      <c r="D6761">
        <v>5.450634</v>
      </c>
      <c r="E6761">
        <v>0.50231000000000003</v>
      </c>
      <c r="F6761" t="s">
        <v>43</v>
      </c>
      <c r="G6761">
        <v>-317.53199999999998</v>
      </c>
      <c r="H6761">
        <v>-0.05</v>
      </c>
      <c r="I6761">
        <v>17.923999999999999</v>
      </c>
      <c r="J6761">
        <v>-338.05</v>
      </c>
      <c r="K6761">
        <v>1.1208750000000001</v>
      </c>
      <c r="L6761">
        <v>17.479859999999999</v>
      </c>
      <c r="M6761">
        <v>0.99985520000000006</v>
      </c>
      <c r="N6761">
        <v>-1.373397E-2</v>
      </c>
      <c r="O6761">
        <v>1.00579E-2</v>
      </c>
      <c r="P6761">
        <v>0.99501930000000005</v>
      </c>
      <c r="Q6761">
        <v>-9.57345E-2</v>
      </c>
      <c r="R6761">
        <v>2.7781119999999999E-2</v>
      </c>
      <c r="S6761">
        <v>2.9968870000000001</v>
      </c>
      <c r="T6761">
        <v>-0.17006949999999901</v>
      </c>
      <c r="U6761">
        <v>6.4666749999999995E-2</v>
      </c>
      <c r="V6761">
        <v>-1.7805250000000002E-2</v>
      </c>
      <c r="W6761">
        <v>-8.2049269999999994E-2</v>
      </c>
      <c r="X6761">
        <v>0.99646920000000005</v>
      </c>
      <c r="Y6761">
        <v>-1.150166E-2</v>
      </c>
      <c r="Z6761" s="1">
        <v>-2.70528E-5</v>
      </c>
      <c r="AA6761">
        <v>0.99993379999999998</v>
      </c>
      <c r="AB6761">
        <v>23</v>
      </c>
      <c r="AC6761">
        <v>20.518000000000001</v>
      </c>
      <c r="AD6761">
        <v>-1.1708750000000001</v>
      </c>
      <c r="AE6761">
        <v>0.44413999999999698</v>
      </c>
      <c r="AF6761">
        <v>-0.23695879885170801</v>
      </c>
      <c r="AG6761">
        <v>-1.1708750000000001</v>
      </c>
      <c r="AH6761">
        <v>20.4548494904192</v>
      </c>
      <c r="AI6761">
        <v>93.275926368940802</v>
      </c>
      <c r="AJ6761">
        <v>90.663712134099697</v>
      </c>
      <c r="AK6761">
        <v>20.4897038878965</v>
      </c>
      <c r="AL6761">
        <v>94.706367655982902</v>
      </c>
      <c r="AM6761">
        <v>91.023671506321804</v>
      </c>
      <c r="AN6761">
        <v>0.99999998809186696</v>
      </c>
    </row>
    <row r="6762" spans="1:40" x14ac:dyDescent="0.25">
      <c r="A6762" t="str">
        <f>"20190303154315406"</f>
        <v>20190303154315406</v>
      </c>
      <c r="B6762" t="str">
        <f>"1551598995397387"</f>
        <v>1551598995397387</v>
      </c>
      <c r="C6762" t="s">
        <v>40</v>
      </c>
      <c r="D6762">
        <v>5.4791069999999999</v>
      </c>
      <c r="E6762">
        <v>0.50184449999999903</v>
      </c>
      <c r="F6762" t="s">
        <v>43</v>
      </c>
      <c r="G6762">
        <v>-317.7002</v>
      </c>
      <c r="H6762">
        <v>-0.05</v>
      </c>
      <c r="I6762">
        <v>17.940169999999998</v>
      </c>
      <c r="J6762">
        <v>-337.8295</v>
      </c>
      <c r="K6762">
        <v>1.120879</v>
      </c>
      <c r="L6762">
        <v>17.481780000000001</v>
      </c>
      <c r="M6762">
        <v>0.99985749999999995</v>
      </c>
      <c r="N6762">
        <v>-1.373189E-2</v>
      </c>
      <c r="O6762">
        <v>9.8174669999999999E-3</v>
      </c>
      <c r="P6762">
        <v>0.99499930000000003</v>
      </c>
      <c r="Q6762">
        <v>-9.5948199999999997E-2</v>
      </c>
      <c r="R6762">
        <v>2.7759550000000001E-2</v>
      </c>
      <c r="S6762">
        <v>2.9965519999999999</v>
      </c>
      <c r="T6762">
        <v>-0.17241429999999999</v>
      </c>
      <c r="U6762">
        <v>6.7779539999999999E-2</v>
      </c>
      <c r="V6762">
        <v>-1.8023500000000001E-2</v>
      </c>
      <c r="W6762">
        <v>-8.2265370000000004E-2</v>
      </c>
      <c r="X6762">
        <v>0.99644739999999998</v>
      </c>
      <c r="Y6762">
        <v>-1.277965E-2</v>
      </c>
      <c r="Z6762" s="1">
        <v>2.5564109999999999E-5</v>
      </c>
      <c r="AA6762">
        <v>0.99991830000000004</v>
      </c>
      <c r="AB6762">
        <v>23</v>
      </c>
      <c r="AC6762">
        <v>20.129300000000001</v>
      </c>
      <c r="AD6762">
        <v>-1.170879</v>
      </c>
      <c r="AE6762">
        <v>0.45839000000000102</v>
      </c>
      <c r="AF6762">
        <v>-0.25985177479634097</v>
      </c>
      <c r="AG6762">
        <v>-1.170879</v>
      </c>
      <c r="AH6762">
        <v>20.064975652380099</v>
      </c>
      <c r="AI6762">
        <v>93.339392340304798</v>
      </c>
      <c r="AJ6762">
        <v>90.7419683928712</v>
      </c>
      <c r="AK6762">
        <v>20.100789250875501</v>
      </c>
      <c r="AL6762">
        <v>94.718791551733204</v>
      </c>
      <c r="AM6762">
        <v>91.036239229069693</v>
      </c>
      <c r="AN6762">
        <v>0.99999992931012005</v>
      </c>
    </row>
    <row r="6763" spans="1:40" x14ac:dyDescent="0.25">
      <c r="A6763" t="str">
        <f>"20190303154315429"</f>
        <v>20190303154315429</v>
      </c>
      <c r="B6763" t="str">
        <f>"1551598995416904"</f>
        <v>1551598995416904</v>
      </c>
      <c r="C6763" t="s">
        <v>40</v>
      </c>
      <c r="D6763">
        <v>5.4648510000000003</v>
      </c>
      <c r="E6763">
        <v>0.50131320000000001</v>
      </c>
      <c r="F6763" t="s">
        <v>43</v>
      </c>
      <c r="G6763">
        <v>-318.00990000000002</v>
      </c>
      <c r="H6763">
        <v>-0.05</v>
      </c>
      <c r="I6763">
        <v>17.953579999999999</v>
      </c>
      <c r="J6763">
        <v>-337.59379999999999</v>
      </c>
      <c r="K6763">
        <v>1.1208769999999999</v>
      </c>
      <c r="L6763">
        <v>17.48376</v>
      </c>
      <c r="M6763">
        <v>0.99986010000000003</v>
      </c>
      <c r="N6763">
        <v>-1.3729699999999999E-2</v>
      </c>
      <c r="O6763">
        <v>9.5624630000000002E-3</v>
      </c>
      <c r="P6763">
        <v>0.9949751</v>
      </c>
      <c r="Q6763">
        <v>-9.6127309999999994E-2</v>
      </c>
      <c r="R6763">
        <v>2.7998579999999999E-2</v>
      </c>
      <c r="S6763">
        <v>2.9960330000000002</v>
      </c>
      <c r="T6763">
        <v>-0.17699599999999999</v>
      </c>
      <c r="U6763">
        <v>7.1319579999999994E-2</v>
      </c>
      <c r="V6763">
        <v>-1.8515940000000002E-2</v>
      </c>
      <c r="W6763">
        <v>-8.2446870000000005E-2</v>
      </c>
      <c r="X6763">
        <v>0.99642339999999996</v>
      </c>
      <c r="Y6763">
        <v>-1.4215459999999999E-2</v>
      </c>
      <c r="Z6763" s="1">
        <v>8.405664E-5</v>
      </c>
      <c r="AA6763">
        <v>0.99989899999999998</v>
      </c>
      <c r="AB6763">
        <v>23</v>
      </c>
      <c r="AC6763">
        <v>19.5838999999999</v>
      </c>
      <c r="AD6763">
        <v>-1.1708769999999999</v>
      </c>
      <c r="AE6763">
        <v>0.46981999999999802</v>
      </c>
      <c r="AF6763">
        <v>-0.28150487729962098</v>
      </c>
      <c r="AG6763">
        <v>-1.1708769999999999</v>
      </c>
      <c r="AH6763">
        <v>19.5177699220094</v>
      </c>
      <c r="AI6763">
        <v>93.432720788195994</v>
      </c>
      <c r="AJ6763">
        <v>90.826319973106905</v>
      </c>
      <c r="AK6763">
        <v>19.554885340332898</v>
      </c>
      <c r="AL6763">
        <v>94.729226041425804</v>
      </c>
      <c r="AM6763">
        <v>91.064570674596197</v>
      </c>
      <c r="AN6763">
        <v>0.99999995923721896</v>
      </c>
    </row>
    <row r="6764" spans="1:40" x14ac:dyDescent="0.25">
      <c r="A6764" t="str">
        <f>"20190303154315443"</f>
        <v>20190303154315443</v>
      </c>
      <c r="B6764" t="str">
        <f>"1551598995437400"</f>
        <v>1551598995437400</v>
      </c>
      <c r="C6764" t="s">
        <v>40</v>
      </c>
      <c r="D6764">
        <v>5.4687919999999997</v>
      </c>
      <c r="E6764">
        <v>0.50084620000000002</v>
      </c>
      <c r="F6764" t="s">
        <v>43</v>
      </c>
      <c r="G6764">
        <v>-318.31849999999997</v>
      </c>
      <c r="H6764">
        <v>-0.05</v>
      </c>
      <c r="I6764">
        <v>17.97391</v>
      </c>
      <c r="J6764">
        <v>-337.45659999999998</v>
      </c>
      <c r="K6764">
        <v>1.120876</v>
      </c>
      <c r="L6764">
        <v>17.484919999999999</v>
      </c>
      <c r="M6764">
        <v>0.99986149999999996</v>
      </c>
      <c r="N6764">
        <v>-1.372841E-2</v>
      </c>
      <c r="O6764">
        <v>9.4140049999999996E-3</v>
      </c>
      <c r="P6764">
        <v>0.99499550000000003</v>
      </c>
      <c r="Q6764">
        <v>-9.5957669999999995E-2</v>
      </c>
      <c r="R6764">
        <v>2.785791E-2</v>
      </c>
      <c r="S6764">
        <v>2.995422</v>
      </c>
      <c r="T6764">
        <v>-0.1819569</v>
      </c>
      <c r="U6764">
        <v>7.6171879999999997E-2</v>
      </c>
      <c r="V6764">
        <v>-1.852285E-2</v>
      </c>
      <c r="W6764">
        <v>-8.2278299999999999E-2</v>
      </c>
      <c r="X6764">
        <v>0.99643729999999997</v>
      </c>
      <c r="Y6764">
        <v>-1.5982509999999998E-2</v>
      </c>
      <c r="Z6764">
        <v>1.5268389999999901E-4</v>
      </c>
      <c r="AA6764">
        <v>0.99987230000000005</v>
      </c>
      <c r="AB6764">
        <v>23</v>
      </c>
      <c r="AC6764">
        <v>19.138100000000001</v>
      </c>
      <c r="AD6764">
        <v>-1.170876</v>
      </c>
      <c r="AE6764">
        <v>0.48898999999999698</v>
      </c>
      <c r="AF6764">
        <v>-0.307634452112307</v>
      </c>
      <c r="AG6764">
        <v>-1.170876</v>
      </c>
      <c r="AH6764">
        <v>19.070520464882101</v>
      </c>
      <c r="AI6764">
        <v>93.512932581233997</v>
      </c>
      <c r="AJ6764">
        <v>90.924181754898797</v>
      </c>
      <c r="AK6764">
        <v>19.108907356648899</v>
      </c>
      <c r="AL6764">
        <v>94.719534317719507</v>
      </c>
      <c r="AM6764">
        <v>91.064953019775501</v>
      </c>
      <c r="AN6764">
        <v>1.0000000537271401</v>
      </c>
    </row>
    <row r="6765" spans="1:40" x14ac:dyDescent="0.25">
      <c r="A6765" t="str">
        <f>"20190303154315462"</f>
        <v>20190303154315462</v>
      </c>
      <c r="B6765" t="str">
        <f>"1551598995456920"</f>
        <v>1551598995456920</v>
      </c>
      <c r="C6765" t="s">
        <v>40</v>
      </c>
      <c r="D6765">
        <v>5.4917020000000001</v>
      </c>
      <c r="E6765">
        <v>0.50046109999999999</v>
      </c>
      <c r="F6765" t="s">
        <v>43</v>
      </c>
      <c r="G6765">
        <v>-318.49810000000002</v>
      </c>
      <c r="H6765">
        <v>-0.05</v>
      </c>
      <c r="I6765">
        <v>17.987760000000002</v>
      </c>
      <c r="J6765">
        <v>-337.24759999999998</v>
      </c>
      <c r="K6765">
        <v>1.120876</v>
      </c>
      <c r="L6765">
        <v>17.486599999999999</v>
      </c>
      <c r="M6765">
        <v>0.99986359999999996</v>
      </c>
      <c r="N6765">
        <v>-1.372643E-2</v>
      </c>
      <c r="O6765">
        <v>9.1868090000000006E-3</v>
      </c>
      <c r="P6765">
        <v>0.9949228</v>
      </c>
      <c r="Q6765">
        <v>-9.6657489999999999E-2</v>
      </c>
      <c r="R6765">
        <v>2.8036200000000001E-2</v>
      </c>
      <c r="S6765">
        <v>2.9949949999999999</v>
      </c>
      <c r="T6765">
        <v>-0.18497089999999999</v>
      </c>
      <c r="U6765">
        <v>7.9437259999999996E-2</v>
      </c>
      <c r="V6765">
        <v>-1.8928460000000001E-2</v>
      </c>
      <c r="W6765">
        <v>-8.2980890000000002E-2</v>
      </c>
      <c r="X6765">
        <v>0.99637140000000002</v>
      </c>
      <c r="Y6765">
        <v>-1.7298750000000002E-2</v>
      </c>
      <c r="Z6765">
        <v>2.1175600000000001E-4</v>
      </c>
      <c r="AA6765">
        <v>0.99985029999999997</v>
      </c>
      <c r="AB6765">
        <v>23</v>
      </c>
      <c r="AC6765">
        <v>18.749499999999902</v>
      </c>
      <c r="AD6765">
        <v>-1.170876</v>
      </c>
      <c r="AE6765">
        <v>0.50116000000000205</v>
      </c>
      <c r="AF6765">
        <v>-0.32759789081417601</v>
      </c>
      <c r="AG6765">
        <v>-1.170876</v>
      </c>
      <c r="AH6765">
        <v>18.6805148477576</v>
      </c>
      <c r="AI6765">
        <v>93.586000387833806</v>
      </c>
      <c r="AJ6765">
        <v>91.004686050853806</v>
      </c>
      <c r="AK6765">
        <v>18.7200402233204</v>
      </c>
      <c r="AL6765">
        <v>94.759927952947805</v>
      </c>
      <c r="AM6765">
        <v>91.0883395797117</v>
      </c>
      <c r="AN6765">
        <v>1.00000004072056</v>
      </c>
    </row>
    <row r="6766" spans="1:40" x14ac:dyDescent="0.25">
      <c r="A6766" t="str">
        <f>"20190303154315485"</f>
        <v>20190303154315485</v>
      </c>
      <c r="B6766" t="str">
        <f>"1551598995477415"</f>
        <v>1551598995477415</v>
      </c>
      <c r="C6766" t="s">
        <v>40</v>
      </c>
      <c r="D6766">
        <v>5.4511079999999996</v>
      </c>
      <c r="E6766">
        <v>0.49998569999999998</v>
      </c>
      <c r="F6766" t="s">
        <v>43</v>
      </c>
      <c r="G6766">
        <v>-318.79090000000002</v>
      </c>
      <c r="H6766">
        <v>-0.05</v>
      </c>
      <c r="I6766">
        <v>17.99783</v>
      </c>
      <c r="J6766">
        <v>-337.01389999999998</v>
      </c>
      <c r="K6766">
        <v>1.120878</v>
      </c>
      <c r="L6766">
        <v>17.488429999999902</v>
      </c>
      <c r="M6766">
        <v>0.99986589999999997</v>
      </c>
      <c r="N6766">
        <v>-1.3724210000000001E-2</v>
      </c>
      <c r="O6766">
        <v>8.9309400000000001E-3</v>
      </c>
      <c r="P6766">
        <v>0.99493690000000001</v>
      </c>
      <c r="Q6766">
        <v>-9.6669379999999999E-2</v>
      </c>
      <c r="R6766">
        <v>2.749424E-2</v>
      </c>
      <c r="S6766">
        <v>2.994507</v>
      </c>
      <c r="T6766">
        <v>-0.18996879999999999</v>
      </c>
      <c r="U6766">
        <v>8.2946779999999998E-2</v>
      </c>
      <c r="V6766">
        <v>-1.864147E-2</v>
      </c>
      <c r="W6766">
        <v>-8.2994979999999996E-2</v>
      </c>
      <c r="X6766">
        <v>0.99637560000000003</v>
      </c>
      <c r="Y6766">
        <v>-1.8724810000000001E-2</v>
      </c>
      <c r="Z6766">
        <v>2.7850249999999998E-4</v>
      </c>
      <c r="AA6766">
        <v>0.99982459999999995</v>
      </c>
      <c r="AB6766">
        <v>23</v>
      </c>
      <c r="AC6766">
        <v>18.2229999999999</v>
      </c>
      <c r="AD6766">
        <v>-1.1708780000000001</v>
      </c>
      <c r="AE6766">
        <v>0.50940000000000296</v>
      </c>
      <c r="AF6766">
        <v>-0.34519184300458899</v>
      </c>
      <c r="AG6766">
        <v>-1.1708780000000001</v>
      </c>
      <c r="AH6766">
        <v>18.1519426755453</v>
      </c>
      <c r="AI6766">
        <v>93.690044595636394</v>
      </c>
      <c r="AJ6766">
        <v>91.089450998709196</v>
      </c>
      <c r="AK6766">
        <v>18.1929419170085</v>
      </c>
      <c r="AL6766">
        <v>94.760738221507196</v>
      </c>
      <c r="AM6766">
        <v>91.071837727469898</v>
      </c>
      <c r="AN6766">
        <v>1.0000000036921599</v>
      </c>
    </row>
    <row r="6767" spans="1:40" x14ac:dyDescent="0.25">
      <c r="A6767" t="str">
        <f>"20190303154315497"</f>
        <v>20190303154315497</v>
      </c>
      <c r="B6767" t="str">
        <f>"1551598995487176"</f>
        <v>1551598995487176</v>
      </c>
      <c r="C6767" t="s">
        <v>40</v>
      </c>
      <c r="D6767">
        <v>5.4545450000000004</v>
      </c>
      <c r="E6767">
        <v>0.49977660000000002</v>
      </c>
      <c r="F6767" t="s">
        <v>43</v>
      </c>
      <c r="G6767">
        <v>-318.9597</v>
      </c>
      <c r="H6767">
        <v>-0.05</v>
      </c>
      <c r="I6767">
        <v>18.00076</v>
      </c>
      <c r="J6767">
        <v>-336.88720000000001</v>
      </c>
      <c r="K6767">
        <v>1.120878</v>
      </c>
      <c r="L6767">
        <v>17.489439999999998</v>
      </c>
      <c r="M6767">
        <v>0.99986719999999896</v>
      </c>
      <c r="N6767">
        <v>-1.3723020000000001E-2</v>
      </c>
      <c r="O6767">
        <v>8.7912930000000004E-3</v>
      </c>
      <c r="P6767">
        <v>0.99493719999999997</v>
      </c>
      <c r="Q6767">
        <v>-9.6670000000000006E-2</v>
      </c>
      <c r="R6767">
        <v>2.7480959999999999E-2</v>
      </c>
      <c r="S6767">
        <v>2.9940190000000002</v>
      </c>
      <c r="T6767">
        <v>-0.1941725</v>
      </c>
      <c r="U6767">
        <v>8.4960939999999999E-2</v>
      </c>
      <c r="V6767">
        <v>-1.87669E-2</v>
      </c>
      <c r="W6767">
        <v>-8.2996769999999997E-2</v>
      </c>
      <c r="X6767">
        <v>0.99637310000000001</v>
      </c>
      <c r="Y6767">
        <v>-1.9537550000000001E-2</v>
      </c>
      <c r="Z6767">
        <v>3.1812749999999998E-4</v>
      </c>
      <c r="AA6767">
        <v>0.99980910000000001</v>
      </c>
      <c r="AB6767">
        <v>23</v>
      </c>
      <c r="AC6767">
        <v>17.927499999999998</v>
      </c>
      <c r="AD6767">
        <v>-1.1708780000000001</v>
      </c>
      <c r="AE6767">
        <v>0.511320000000001</v>
      </c>
      <c r="AF6767">
        <v>-0.35217844702646001</v>
      </c>
      <c r="AG6767">
        <v>-1.1708780000000001</v>
      </c>
      <c r="AH6767">
        <v>17.855200777104301</v>
      </c>
      <c r="AI6767">
        <v>93.751145850140603</v>
      </c>
      <c r="AJ6767">
        <v>91.129963352117898</v>
      </c>
      <c r="AK6767">
        <v>17.897015945127301</v>
      </c>
      <c r="AL6767">
        <v>94.760841118397593</v>
      </c>
      <c r="AM6767">
        <v>91.0790506449286</v>
      </c>
      <c r="AN6767">
        <v>1.0000000073848201</v>
      </c>
    </row>
    <row r="6768" spans="1:40" x14ac:dyDescent="0.25">
      <c r="A6768" t="str">
        <f>"20190303154315509"</f>
        <v>20190303154315509</v>
      </c>
      <c r="B6768" t="str">
        <f>"1551598995496937"</f>
        <v>1551598995496937</v>
      </c>
      <c r="C6768" t="s">
        <v>40</v>
      </c>
      <c r="D6768">
        <v>5.4598899999999997</v>
      </c>
      <c r="E6768">
        <v>0.49961050000000001</v>
      </c>
      <c r="F6768" t="s">
        <v>43</v>
      </c>
      <c r="G6768">
        <v>-318.98309999999998</v>
      </c>
      <c r="H6768">
        <v>-0.05</v>
      </c>
      <c r="I6768">
        <v>18.00647</v>
      </c>
      <c r="J6768">
        <v>-336.76249999999999</v>
      </c>
      <c r="K6768">
        <v>1.120878</v>
      </c>
      <c r="L6768">
        <v>17.490359999999999</v>
      </c>
      <c r="M6768">
        <v>0.99986850000000005</v>
      </c>
      <c r="N6768">
        <v>-1.3721840000000001E-2</v>
      </c>
      <c r="O6768">
        <v>8.653137E-3</v>
      </c>
      <c r="P6768">
        <v>0.99492999999999998</v>
      </c>
      <c r="Q6768">
        <v>-9.6846740000000001E-2</v>
      </c>
      <c r="R6768">
        <v>2.7110260000000001E-2</v>
      </c>
      <c r="S6768">
        <v>2.9938959999999999</v>
      </c>
      <c r="T6768">
        <v>-0.19579289999999999</v>
      </c>
      <c r="U6768">
        <v>8.64563E-2</v>
      </c>
      <c r="V6768">
        <v>-1.8533819999999999E-2</v>
      </c>
      <c r="W6768">
        <v>-8.3174929999999994E-2</v>
      </c>
      <c r="X6768">
        <v>0.99636259999999999</v>
      </c>
      <c r="Y6768">
        <v>-2.0173469999999999E-2</v>
      </c>
      <c r="Z6768">
        <v>3.5090220000000001E-4</v>
      </c>
      <c r="AA6768">
        <v>0.99979649999999998</v>
      </c>
      <c r="AB6768">
        <v>23</v>
      </c>
      <c r="AC6768">
        <v>17.779399999999999</v>
      </c>
      <c r="AD6768">
        <v>-1.1708780000000001</v>
      </c>
      <c r="AE6768">
        <v>0.51611000000000096</v>
      </c>
      <c r="AF6768">
        <v>-0.36066572874187097</v>
      </c>
      <c r="AG6768">
        <v>-1.1708780000000001</v>
      </c>
      <c r="AH6768">
        <v>17.7064723643715</v>
      </c>
      <c r="AI6768">
        <v>93.782514374358499</v>
      </c>
      <c r="AJ6768">
        <v>91.166904758091604</v>
      </c>
      <c r="AK6768">
        <v>17.7488083726493</v>
      </c>
      <c r="AL6768">
        <v>94.771084381676701</v>
      </c>
      <c r="AM6768">
        <v>91.065663455002806</v>
      </c>
      <c r="AN6768">
        <v>1.00000000107152</v>
      </c>
    </row>
    <row r="6769" spans="1:40" x14ac:dyDescent="0.25">
      <c r="A6769" t="str">
        <f>"20190303154315522"</f>
        <v>20190303154315522</v>
      </c>
      <c r="B6769" t="str">
        <f>"1551598995517433"</f>
        <v>1551598995517433</v>
      </c>
      <c r="C6769" t="s">
        <v>40</v>
      </c>
      <c r="D6769">
        <v>5.442107</v>
      </c>
      <c r="E6769">
        <v>0.4992453</v>
      </c>
      <c r="F6769" t="s">
        <v>43</v>
      </c>
      <c r="G6769">
        <v>-319.0718</v>
      </c>
      <c r="H6769">
        <v>-0.05</v>
      </c>
      <c r="I6769">
        <v>18.00198</v>
      </c>
      <c r="J6769">
        <v>-336.63959999999997</v>
      </c>
      <c r="K6769">
        <v>1.120876</v>
      </c>
      <c r="L6769">
        <v>17.49127</v>
      </c>
      <c r="M6769">
        <v>0.99986969999999997</v>
      </c>
      <c r="N6769">
        <v>-1.3720710000000001E-2</v>
      </c>
      <c r="O6769">
        <v>8.5167090000000008E-3</v>
      </c>
      <c r="P6769">
        <v>0.99491929999999995</v>
      </c>
      <c r="Q6769">
        <v>-9.7023780000000004E-2</v>
      </c>
      <c r="R6769">
        <v>2.687314E-2</v>
      </c>
      <c r="S6769">
        <v>2.9935909999999999</v>
      </c>
      <c r="T6769">
        <v>-0.19813420000000001</v>
      </c>
      <c r="U6769">
        <v>8.6578370000000002E-2</v>
      </c>
      <c r="V6769">
        <v>-1.8432819999999999E-2</v>
      </c>
      <c r="W6769">
        <v>-8.3353280000000002E-2</v>
      </c>
      <c r="X6769">
        <v>0.99634959999999995</v>
      </c>
      <c r="Y6769">
        <v>-2.035211E-2</v>
      </c>
      <c r="Z6769">
        <v>3.6628760000000001E-4</v>
      </c>
      <c r="AA6769">
        <v>0.99979280000000004</v>
      </c>
      <c r="AB6769">
        <v>23</v>
      </c>
      <c r="AC6769">
        <v>17.567799999999899</v>
      </c>
      <c r="AD6769">
        <v>-1.170876</v>
      </c>
      <c r="AE6769">
        <v>0.510709999999999</v>
      </c>
      <c r="AF6769">
        <v>-0.359462150105337</v>
      </c>
      <c r="AG6769">
        <v>-1.170876</v>
      </c>
      <c r="AH6769">
        <v>17.4938690426685</v>
      </c>
      <c r="AI6769">
        <v>93.828326989520704</v>
      </c>
      <c r="AJ6769">
        <v>91.177141898908104</v>
      </c>
      <c r="AK6769">
        <v>17.536693466180299</v>
      </c>
      <c r="AL6769">
        <v>94.781338544721194</v>
      </c>
      <c r="AM6769">
        <v>91.0598712787625</v>
      </c>
      <c r="AN6769">
        <v>1.0000000317800299</v>
      </c>
    </row>
    <row r="6770" spans="1:40" x14ac:dyDescent="0.25">
      <c r="A6770" t="str">
        <f>"20190303154315535"</f>
        <v>20190303154315535</v>
      </c>
      <c r="B6770" t="str">
        <f>"1551598995527192"</f>
        <v>1551598995527192</v>
      </c>
      <c r="C6770" t="s">
        <v>40</v>
      </c>
      <c r="D6770">
        <v>5.4208850000000002</v>
      </c>
      <c r="E6770">
        <v>0.49907030000000002</v>
      </c>
      <c r="F6770" t="s">
        <v>41</v>
      </c>
      <c r="G6770">
        <v>-320.00760000000002</v>
      </c>
      <c r="H6770" s="1">
        <v>-4.99342E-6</v>
      </c>
      <c r="I6770">
        <v>17.984379999999899</v>
      </c>
      <c r="J6770">
        <v>-336.50529999999998</v>
      </c>
      <c r="K6770">
        <v>1.1208769999999999</v>
      </c>
      <c r="L6770">
        <v>17.492249999999999</v>
      </c>
      <c r="M6770">
        <v>0.99987090000000001</v>
      </c>
      <c r="N6770">
        <v>-1.3719520000000001E-2</v>
      </c>
      <c r="O6770">
        <v>8.3672899999999995E-3</v>
      </c>
      <c r="P6770">
        <v>0.99491770000000002</v>
      </c>
      <c r="Q6770">
        <v>-9.7172079999999994E-2</v>
      </c>
      <c r="R6770">
        <v>2.6395169999999999E-2</v>
      </c>
      <c r="S6770">
        <v>2.9932560000000001</v>
      </c>
      <c r="T6770">
        <v>-0.20172499999999999</v>
      </c>
      <c r="U6770">
        <v>8.8745119999999997E-2</v>
      </c>
      <c r="V6770">
        <v>-1.81043E-2</v>
      </c>
      <c r="W6770">
        <v>-8.3502999999999994E-2</v>
      </c>
      <c r="X6770">
        <v>0.99634310000000004</v>
      </c>
      <c r="Y6770">
        <v>-2.1224E-2</v>
      </c>
      <c r="Z6770">
        <v>4.116015E-4</v>
      </c>
      <c r="AA6770">
        <v>0.99977459999999996</v>
      </c>
      <c r="AB6770">
        <v>23</v>
      </c>
      <c r="AC6770">
        <v>16.497699999999899</v>
      </c>
      <c r="AD6770">
        <v>-1.1208819934200001</v>
      </c>
      <c r="AE6770">
        <v>0.49212999999999901</v>
      </c>
      <c r="AF6770">
        <v>-0.35243332651134202</v>
      </c>
      <c r="AG6770">
        <v>-1.1208819934200001</v>
      </c>
      <c r="AH6770">
        <v>16.425486657333099</v>
      </c>
      <c r="AI6770">
        <v>93.902939891673796</v>
      </c>
      <c r="AJ6770">
        <v>91.229177839885494</v>
      </c>
      <c r="AK6770">
        <v>16.4674587481808</v>
      </c>
      <c r="AL6770">
        <v>94.789946816450694</v>
      </c>
      <c r="AM6770">
        <v>91.040992645767005</v>
      </c>
      <c r="AN6770">
        <v>1.0000000448025399</v>
      </c>
    </row>
    <row r="6771" spans="1:40" x14ac:dyDescent="0.25">
      <c r="A6771" t="str">
        <f>"20190303154315551"</f>
        <v>20190303154315551</v>
      </c>
      <c r="B6771" t="str">
        <f>"1551598995546712"</f>
        <v>1551598995546712</v>
      </c>
      <c r="C6771" t="s">
        <v>40</v>
      </c>
      <c r="D6771">
        <v>5.4337019999999896</v>
      </c>
      <c r="E6771">
        <v>0.49877379999999999</v>
      </c>
      <c r="F6771" t="s">
        <v>41</v>
      </c>
      <c r="G6771">
        <v>-320.02929999999998</v>
      </c>
      <c r="H6771" s="1">
        <v>-4.9838389999999996E-6</v>
      </c>
      <c r="I6771">
        <v>17.980589999999999</v>
      </c>
      <c r="J6771">
        <v>-336.34179999999998</v>
      </c>
      <c r="K6771">
        <v>1.1208720000000001</v>
      </c>
      <c r="L6771">
        <v>17.493410000000001</v>
      </c>
      <c r="M6771">
        <v>0.99987239999999999</v>
      </c>
      <c r="N6771">
        <v>-1.371792E-2</v>
      </c>
      <c r="O6771">
        <v>8.1846729999999999E-3</v>
      </c>
      <c r="P6771">
        <v>0.99494419999999995</v>
      </c>
      <c r="Q6771">
        <v>-9.6995509999999993E-2</v>
      </c>
      <c r="R6771">
        <v>2.6037890000000001E-2</v>
      </c>
      <c r="S6771">
        <v>2.9931030000000001</v>
      </c>
      <c r="T6771">
        <v>-0.20362440000000001</v>
      </c>
      <c r="U6771">
        <v>8.8714600000000005E-2</v>
      </c>
      <c r="V6771">
        <v>-1.7928309999999999E-2</v>
      </c>
      <c r="W6771">
        <v>-8.3327810000000002E-2</v>
      </c>
      <c r="X6771">
        <v>0.99636089999999999</v>
      </c>
      <c r="Y6771">
        <v>-2.1396459999999999E-2</v>
      </c>
      <c r="Z6771">
        <v>4.2994529999999998E-4</v>
      </c>
      <c r="AA6771">
        <v>0.99977099999999997</v>
      </c>
      <c r="AB6771">
        <v>23</v>
      </c>
      <c r="AC6771">
        <v>16.3125</v>
      </c>
      <c r="AD6771">
        <v>-1.12087698383899</v>
      </c>
      <c r="AE6771">
        <v>0.487179999999998</v>
      </c>
      <c r="AF6771">
        <v>-0.35197827078793698</v>
      </c>
      <c r="AG6771">
        <v>-1.12087698383899</v>
      </c>
      <c r="AH6771">
        <v>16.239336501745001</v>
      </c>
      <c r="AI6771">
        <v>93.947502244210597</v>
      </c>
      <c r="AJ6771">
        <v>91.241658628252395</v>
      </c>
      <c r="AK6771">
        <v>16.281778279196502</v>
      </c>
      <c r="AL6771">
        <v>94.779874299913502</v>
      </c>
      <c r="AM6771">
        <v>91.030857047353507</v>
      </c>
      <c r="AN6771">
        <v>0.99999999563383102</v>
      </c>
    </row>
    <row r="6772" spans="1:40" x14ac:dyDescent="0.25">
      <c r="A6772" t="str">
        <f>"20190303154315563"</f>
        <v>20190303154315563</v>
      </c>
      <c r="B6772" t="str">
        <f>"1551598995557449"</f>
        <v>1551598995557449</v>
      </c>
      <c r="C6772" t="s">
        <v>40</v>
      </c>
      <c r="D6772">
        <v>5.4320969999999997</v>
      </c>
      <c r="E6772">
        <v>0.4986293</v>
      </c>
      <c r="F6772" t="s">
        <v>41</v>
      </c>
      <c r="G6772">
        <v>-320.01350000000002</v>
      </c>
      <c r="H6772" s="1">
        <v>-4.9906769999999999E-6</v>
      </c>
      <c r="I6772">
        <v>17.98424</v>
      </c>
      <c r="J6772">
        <v>-336.21289999999999</v>
      </c>
      <c r="K6772">
        <v>1.1208720000000001</v>
      </c>
      <c r="L6772">
        <v>17.494289999999999</v>
      </c>
      <c r="M6772">
        <v>0.99987369999999998</v>
      </c>
      <c r="N6772">
        <v>-1.371665E-2</v>
      </c>
      <c r="O6772">
        <v>8.0404410000000006E-3</v>
      </c>
      <c r="P6772">
        <v>0.99495549999999999</v>
      </c>
      <c r="Q6772">
        <v>-9.6920370000000006E-2</v>
      </c>
      <c r="R6772">
        <v>2.5890980000000001E-2</v>
      </c>
      <c r="S6772">
        <v>2.9928590000000002</v>
      </c>
      <c r="T6772">
        <v>-0.20544870000000001</v>
      </c>
      <c r="U6772">
        <v>8.9965820000000002E-2</v>
      </c>
      <c r="V6772">
        <v>-1.7924619999999999E-2</v>
      </c>
      <c r="W6772">
        <v>-8.3253820000000006E-2</v>
      </c>
      <c r="X6772">
        <v>0.99636720000000001</v>
      </c>
      <c r="Y6772">
        <v>-2.1958169999999999E-2</v>
      </c>
      <c r="Z6772">
        <v>4.6248440000000001E-4</v>
      </c>
      <c r="AA6772">
        <v>0.99975879999999995</v>
      </c>
      <c r="AB6772">
        <v>23</v>
      </c>
      <c r="AC6772">
        <v>16.199399999999901</v>
      </c>
      <c r="AD6772">
        <v>-1.120876990677</v>
      </c>
      <c r="AE6772">
        <v>0.48995</v>
      </c>
      <c r="AF6772">
        <v>-0.357959397553618</v>
      </c>
      <c r="AG6772">
        <v>-1.120876990677</v>
      </c>
      <c r="AH6772">
        <v>16.125683245037401</v>
      </c>
      <c r="AI6772">
        <v>93.975189743353695</v>
      </c>
      <c r="AJ6772">
        <v>91.271648132306197</v>
      </c>
      <c r="AK6772">
        <v>16.168554674979699</v>
      </c>
      <c r="AL6772">
        <v>94.775619972392704</v>
      </c>
      <c r="AM6772">
        <v>91.030638407068906</v>
      </c>
      <c r="AN6772">
        <v>1.0000000438912799</v>
      </c>
    </row>
    <row r="6773" spans="1:40" x14ac:dyDescent="0.25">
      <c r="A6773" t="str">
        <f>"20190303154315575"</f>
        <v>20190303154315575</v>
      </c>
      <c r="B6773" t="str">
        <f>"1551598995567208"</f>
        <v>1551598995567208</v>
      </c>
      <c r="C6773" t="s">
        <v>40</v>
      </c>
      <c r="D6773">
        <v>5.4184140000000003</v>
      </c>
      <c r="E6773">
        <v>0.49847720000000001</v>
      </c>
      <c r="F6773" t="s">
        <v>43</v>
      </c>
      <c r="G6773">
        <v>-319.22089999999997</v>
      </c>
      <c r="H6773">
        <v>-0.05</v>
      </c>
      <c r="I6773">
        <v>18.00873</v>
      </c>
      <c r="J6773">
        <v>-336.0917</v>
      </c>
      <c r="K6773">
        <v>1.1208720000000001</v>
      </c>
      <c r="L6773">
        <v>17.49512</v>
      </c>
      <c r="M6773">
        <v>0.99987470000000001</v>
      </c>
      <c r="N6773">
        <v>-1.371548E-2</v>
      </c>
      <c r="O6773">
        <v>7.9049719999999997E-3</v>
      </c>
      <c r="P6773">
        <v>0.99497119999999994</v>
      </c>
      <c r="Q6773">
        <v>-9.6867560000000005E-2</v>
      </c>
      <c r="R6773">
        <v>2.5473550000000001E-2</v>
      </c>
      <c r="S6773">
        <v>2.9927670000000002</v>
      </c>
      <c r="T6773">
        <v>-0.2062234</v>
      </c>
      <c r="U6773">
        <v>9.0606690000000004E-2</v>
      </c>
      <c r="V6773">
        <v>-1.764201E-2</v>
      </c>
      <c r="W6773">
        <v>-8.3202189999999995E-2</v>
      </c>
      <c r="X6773">
        <v>0.9963765</v>
      </c>
      <c r="Y6773">
        <v>-2.2306929999999999E-2</v>
      </c>
      <c r="Z6773">
        <v>4.8508580000000001E-4</v>
      </c>
      <c r="AA6773">
        <v>0.99975099999999995</v>
      </c>
      <c r="AB6773">
        <v>23</v>
      </c>
      <c r="AC6773">
        <v>16.870799999999999</v>
      </c>
      <c r="AD6773">
        <v>-1.1708719999999999</v>
      </c>
      <c r="AE6773">
        <v>0.51360999999999901</v>
      </c>
      <c r="AF6773">
        <v>-0.37839727382349497</v>
      </c>
      <c r="AG6773">
        <v>-1.1708719999999999</v>
      </c>
      <c r="AH6773">
        <v>16.793519180397698</v>
      </c>
      <c r="AI6773">
        <v>93.987293778702806</v>
      </c>
      <c r="AJ6773">
        <v>91.290789532172198</v>
      </c>
      <c r="AK6773">
        <v>16.838539491286198</v>
      </c>
      <c r="AL6773">
        <v>94.772651762879406</v>
      </c>
      <c r="AM6773">
        <v>91.014382718014303</v>
      </c>
      <c r="AN6773">
        <v>0.999999987344943</v>
      </c>
    </row>
    <row r="6774" spans="1:40" x14ac:dyDescent="0.25">
      <c r="A6774" t="str">
        <f>"20190303154315586"</f>
        <v>20190303154315586</v>
      </c>
      <c r="B6774" t="str">
        <f>"1551598995576968"</f>
        <v>1551598995576968</v>
      </c>
      <c r="C6774" t="s">
        <v>40</v>
      </c>
      <c r="D6774">
        <v>5.4301640000000004</v>
      </c>
      <c r="E6774">
        <v>0.4983321</v>
      </c>
      <c r="F6774" t="s">
        <v>43</v>
      </c>
      <c r="G6774">
        <v>-319.16120000000001</v>
      </c>
      <c r="H6774">
        <v>-0.05</v>
      </c>
      <c r="I6774">
        <v>18.007349999999999</v>
      </c>
      <c r="J6774">
        <v>-335.96910000000003</v>
      </c>
      <c r="K6774">
        <v>1.120868</v>
      </c>
      <c r="L6774">
        <v>17.495940000000001</v>
      </c>
      <c r="M6774">
        <v>0.99987579999999998</v>
      </c>
      <c r="N6774">
        <v>-1.3714260000000001E-2</v>
      </c>
      <c r="O6774">
        <v>7.7677750000000002E-3</v>
      </c>
      <c r="P6774">
        <v>0.99497150000000001</v>
      </c>
      <c r="Q6774">
        <v>-9.6882739999999995E-2</v>
      </c>
      <c r="R6774">
        <v>2.5403749999999999E-2</v>
      </c>
      <c r="S6774">
        <v>2.9927060000000001</v>
      </c>
      <c r="T6774">
        <v>-0.20696899999999999</v>
      </c>
      <c r="U6774">
        <v>9.0545650000000005E-2</v>
      </c>
      <c r="V6774">
        <v>-1.7708970000000001E-2</v>
      </c>
      <c r="W6774">
        <v>-8.3218570000000006E-2</v>
      </c>
      <c r="X6774">
        <v>0.99637399999999998</v>
      </c>
      <c r="Y6774">
        <v>-2.2423499999999999E-2</v>
      </c>
      <c r="Z6774">
        <v>4.9829430000000003E-4</v>
      </c>
      <c r="AA6774">
        <v>0.99974839999999998</v>
      </c>
      <c r="AB6774">
        <v>23</v>
      </c>
      <c r="AC6774">
        <v>16.8079</v>
      </c>
      <c r="AD6774">
        <v>-1.170868</v>
      </c>
      <c r="AE6774">
        <v>0.51140999999999703</v>
      </c>
      <c r="AF6774">
        <v>-0.378984882991378</v>
      </c>
      <c r="AG6774">
        <v>-1.170868</v>
      </c>
      <c r="AH6774">
        <v>16.7302528714898</v>
      </c>
      <c r="AI6774">
        <v>94.002298556445297</v>
      </c>
      <c r="AJ6774">
        <v>91.297680401629805</v>
      </c>
      <c r="AK6774">
        <v>16.775455956812401</v>
      </c>
      <c r="AL6774">
        <v>94.773593267797295</v>
      </c>
      <c r="AM6774">
        <v>91.018234538558602</v>
      </c>
      <c r="AN6774">
        <v>1.00000004294365</v>
      </c>
    </row>
    <row r="6775" spans="1:40" x14ac:dyDescent="0.25">
      <c r="A6775" t="str">
        <f>"20190303154315599"</f>
        <v>20190303154315599</v>
      </c>
      <c r="B6775" t="str">
        <f>"1551598995586728"</f>
        <v>1551598995586728</v>
      </c>
      <c r="C6775" t="s">
        <v>40</v>
      </c>
      <c r="D6775">
        <v>5.4548350000000001</v>
      </c>
      <c r="E6775">
        <v>0.49819249999999998</v>
      </c>
      <c r="F6775" t="s">
        <v>43</v>
      </c>
      <c r="G6775">
        <v>-319.1225</v>
      </c>
      <c r="H6775">
        <v>-0.05</v>
      </c>
      <c r="I6775">
        <v>18.010639999999999</v>
      </c>
      <c r="J6775">
        <v>-335.84620000000001</v>
      </c>
      <c r="K6775">
        <v>1.120865</v>
      </c>
      <c r="L6775">
        <v>17.496729999999999</v>
      </c>
      <c r="M6775">
        <v>0.99987700000000002</v>
      </c>
      <c r="N6775">
        <v>-1.3713029999999999E-2</v>
      </c>
      <c r="O6775">
        <v>7.6302799999999997E-3</v>
      </c>
      <c r="P6775">
        <v>0.99498209999999998</v>
      </c>
      <c r="Q6775">
        <v>-9.6750390000000006E-2</v>
      </c>
      <c r="R6775">
        <v>2.5501490000000002E-2</v>
      </c>
      <c r="S6775">
        <v>2.9925839999999999</v>
      </c>
      <c r="T6775">
        <v>-0.20799090000000001</v>
      </c>
      <c r="U6775">
        <v>9.1430659999999997E-2</v>
      </c>
      <c r="V6775">
        <v>-1.7942920000000001E-2</v>
      </c>
      <c r="W6775">
        <v>-8.3087220000000003E-2</v>
      </c>
      <c r="X6775">
        <v>0.99638070000000001</v>
      </c>
      <c r="Y6775">
        <v>-2.28557E-2</v>
      </c>
      <c r="Z6775">
        <v>5.2507699999999999E-4</v>
      </c>
      <c r="AA6775">
        <v>0.99973860000000003</v>
      </c>
      <c r="AB6775">
        <v>23</v>
      </c>
      <c r="AC6775">
        <v>16.723700000000001</v>
      </c>
      <c r="AD6775">
        <v>-1.170865</v>
      </c>
      <c r="AE6775">
        <v>0.51390999999999898</v>
      </c>
      <c r="AF6775">
        <v>-0.38439412489846297</v>
      </c>
      <c r="AG6775">
        <v>-1.170865</v>
      </c>
      <c r="AH6775">
        <v>16.645619441775601</v>
      </c>
      <c r="AI6775">
        <v>94.022530699859601</v>
      </c>
      <c r="AJ6775">
        <v>91.322885420774696</v>
      </c>
      <c r="AK6775">
        <v>16.691175222011701</v>
      </c>
      <c r="AL6775">
        <v>94.766041676733707</v>
      </c>
      <c r="AM6775">
        <v>91.031676426553403</v>
      </c>
      <c r="AN6775">
        <v>0.99999996691897097</v>
      </c>
    </row>
    <row r="6776" spans="1:40" x14ac:dyDescent="0.25">
      <c r="A6776" t="str">
        <f>"20190303154315618"</f>
        <v>20190303154315618</v>
      </c>
      <c r="B6776" t="str">
        <f>"1551598995607224"</f>
        <v>1551598995607224</v>
      </c>
      <c r="C6776" t="s">
        <v>40</v>
      </c>
      <c r="D6776">
        <v>5.443924</v>
      </c>
      <c r="E6776">
        <v>0.49793579999999998</v>
      </c>
      <c r="F6776" t="s">
        <v>43</v>
      </c>
      <c r="G6776">
        <v>-319.0489</v>
      </c>
      <c r="H6776">
        <v>-0.05</v>
      </c>
      <c r="I6776">
        <v>18.01782</v>
      </c>
      <c r="J6776">
        <v>-335.64760000000001</v>
      </c>
      <c r="K6776">
        <v>1.120873</v>
      </c>
      <c r="L6776">
        <v>17.497989999999898</v>
      </c>
      <c r="M6776">
        <v>0.99987859999999995</v>
      </c>
      <c r="N6776">
        <v>-1.3711040000000001E-2</v>
      </c>
      <c r="O6776">
        <v>7.4080980000000001E-3</v>
      </c>
      <c r="P6776">
        <v>0.9949808</v>
      </c>
      <c r="Q6776">
        <v>-9.6744479999999994E-2</v>
      </c>
      <c r="R6776">
        <v>2.5572049999999999E-2</v>
      </c>
      <c r="S6776">
        <v>2.9924930000000001</v>
      </c>
      <c r="T6776">
        <v>-0.20859340000000001</v>
      </c>
      <c r="U6776">
        <v>9.2834470000000002E-2</v>
      </c>
      <c r="V6776">
        <v>-1.8234650000000002E-2</v>
      </c>
      <c r="W6776">
        <v>-8.3083229999999994E-2</v>
      </c>
      <c r="X6776">
        <v>0.99637580000000003</v>
      </c>
      <c r="Y6776">
        <v>-2.354471E-2</v>
      </c>
      <c r="Z6776">
        <v>5.6693930000000002E-4</v>
      </c>
      <c r="AA6776">
        <v>0.99972260000000002</v>
      </c>
      <c r="AB6776">
        <v>23</v>
      </c>
      <c r="AC6776">
        <v>16.598700000000001</v>
      </c>
      <c r="AD6776">
        <v>-1.1708730000000001</v>
      </c>
      <c r="AE6776">
        <v>0.51983000000000201</v>
      </c>
      <c r="AF6776">
        <v>-0.39487644273203798</v>
      </c>
      <c r="AG6776">
        <v>-1.1708730000000001</v>
      </c>
      <c r="AH6776">
        <v>16.519974595898098</v>
      </c>
      <c r="AI6776">
        <v>94.052973754857405</v>
      </c>
      <c r="AJ6776">
        <v>91.369278508511499</v>
      </c>
      <c r="AK6776">
        <v>16.566123011624502</v>
      </c>
      <c r="AL6776">
        <v>94.765811971123895</v>
      </c>
      <c r="AM6776">
        <v>91.048451667915103</v>
      </c>
      <c r="AN6776">
        <v>1.00000003019674</v>
      </c>
    </row>
    <row r="6777" spans="1:40" x14ac:dyDescent="0.25">
      <c r="A6777" t="str">
        <f>"20190303154315630"</f>
        <v>20190303154315630</v>
      </c>
      <c r="B6777" t="str">
        <f>"1551598995626744"</f>
        <v>1551598995626744</v>
      </c>
      <c r="C6777" t="s">
        <v>40</v>
      </c>
      <c r="D6777">
        <v>5.4255839999999997</v>
      </c>
      <c r="E6777">
        <v>0.49778149999999899</v>
      </c>
      <c r="F6777" t="s">
        <v>43</v>
      </c>
      <c r="G6777">
        <v>-318.99459999999999</v>
      </c>
      <c r="H6777">
        <v>-0.05</v>
      </c>
      <c r="I6777">
        <v>18.02721</v>
      </c>
      <c r="J6777">
        <v>-335.52120000000002</v>
      </c>
      <c r="K6777">
        <v>1.120873</v>
      </c>
      <c r="L6777">
        <v>17.49878</v>
      </c>
      <c r="M6777">
        <v>0.99987969999999904</v>
      </c>
      <c r="N6777">
        <v>-1.370978E-2</v>
      </c>
      <c r="O6777">
        <v>7.2668519999999999E-3</v>
      </c>
      <c r="P6777">
        <v>0.99497919999999995</v>
      </c>
      <c r="Q6777">
        <v>-9.673292E-2</v>
      </c>
      <c r="R6777">
        <v>2.567705E-2</v>
      </c>
      <c r="S6777">
        <v>2.9922789999999999</v>
      </c>
      <c r="T6777">
        <v>-0.21038770000000001</v>
      </c>
      <c r="U6777">
        <v>9.5092769999999993E-2</v>
      </c>
      <c r="V6777">
        <v>-1.8480759999999999E-2</v>
      </c>
      <c r="W6777">
        <v>-8.3072889999999996E-2</v>
      </c>
      <c r="X6777">
        <v>0.99637209999999998</v>
      </c>
      <c r="Y6777">
        <v>-2.4438189999999999E-2</v>
      </c>
      <c r="Z6777">
        <v>6.1502379999999997E-4</v>
      </c>
      <c r="AA6777">
        <v>0.99970110000000001</v>
      </c>
      <c r="AB6777">
        <v>23</v>
      </c>
      <c r="AC6777">
        <v>16.526599999999998</v>
      </c>
      <c r="AD6777">
        <v>-1.1708730000000001</v>
      </c>
      <c r="AE6777">
        <v>0.52842999999999996</v>
      </c>
      <c r="AF6777">
        <v>-0.40627125246254697</v>
      </c>
      <c r="AG6777">
        <v>-1.1708730000000001</v>
      </c>
      <c r="AH6777">
        <v>16.447531371128498</v>
      </c>
      <c r="AI6777">
        <v>94.070686573757598</v>
      </c>
      <c r="AJ6777">
        <v>91.414978034897402</v>
      </c>
      <c r="AK6777">
        <v>16.494159212186698</v>
      </c>
      <c r="AL6777">
        <v>94.765217609448001</v>
      </c>
      <c r="AM6777">
        <v>91.062603165584605</v>
      </c>
      <c r="AN6777">
        <v>1.0000000026007601</v>
      </c>
    </row>
    <row r="6778" spans="1:40" x14ac:dyDescent="0.25">
      <c r="A6778" t="str">
        <f>"20190303154315643"</f>
        <v>20190303154315643</v>
      </c>
      <c r="B6778" t="str">
        <f>"1551598995637482"</f>
        <v>1551598995637482</v>
      </c>
      <c r="C6778" t="s">
        <v>40</v>
      </c>
      <c r="D6778">
        <v>5.460178</v>
      </c>
      <c r="E6778">
        <v>0.48921160000000002</v>
      </c>
      <c r="F6778" t="s">
        <v>43</v>
      </c>
      <c r="G6778">
        <v>-318.93709999999999</v>
      </c>
      <c r="H6778">
        <v>-0.05</v>
      </c>
      <c r="I6778">
        <v>18.034320000000001</v>
      </c>
      <c r="J6778">
        <v>-335.40010000000001</v>
      </c>
      <c r="K6778">
        <v>1.1208739999999999</v>
      </c>
      <c r="L6778">
        <v>17.499510000000001</v>
      </c>
      <c r="M6778">
        <v>0.99988060000000001</v>
      </c>
      <c r="N6778">
        <v>-1.370856E-2</v>
      </c>
      <c r="O6778">
        <v>7.1316259999999899E-3</v>
      </c>
      <c r="P6778">
        <v>0.99497080000000004</v>
      </c>
      <c r="Q6778">
        <v>-9.6826899999999994E-2</v>
      </c>
      <c r="R6778">
        <v>2.564261E-2</v>
      </c>
      <c r="S6778">
        <v>2.9920960000000001</v>
      </c>
      <c r="T6778">
        <v>-0.2112482</v>
      </c>
      <c r="U6778">
        <v>9.661865E-2</v>
      </c>
      <c r="V6778">
        <v>-1.8580869999999999E-2</v>
      </c>
      <c r="W6778">
        <v>-8.3168190000000003E-2</v>
      </c>
      <c r="X6778">
        <v>0.99636230000000003</v>
      </c>
      <c r="Y6778">
        <v>-2.508206E-2</v>
      </c>
      <c r="Z6778">
        <v>6.512356E-4</v>
      </c>
      <c r="AA6778">
        <v>0.99968520000000005</v>
      </c>
      <c r="AB6778">
        <v>23</v>
      </c>
      <c r="AC6778">
        <v>16.463000000000001</v>
      </c>
      <c r="AD6778">
        <v>-1.170874</v>
      </c>
      <c r="AE6778">
        <v>0.53481000000000001</v>
      </c>
      <c r="AF6778">
        <v>-0.41527902392504101</v>
      </c>
      <c r="AG6778">
        <v>-1.170874</v>
      </c>
      <c r="AH6778">
        <v>16.383610255870099</v>
      </c>
      <c r="AI6778">
        <v>94.086452434724293</v>
      </c>
      <c r="AJ6778">
        <v>91.451978001376503</v>
      </c>
      <c r="AK6778">
        <v>16.4306447715188</v>
      </c>
      <c r="AL6778">
        <v>94.770696800260197</v>
      </c>
      <c r="AM6778">
        <v>91.068368446178496</v>
      </c>
      <c r="AN6778">
        <v>1.00000001470956</v>
      </c>
    </row>
    <row r="6779" spans="1:40" x14ac:dyDescent="0.25">
      <c r="A6779" t="str">
        <f>"20190303154315658"</f>
        <v>20190303154315658</v>
      </c>
      <c r="B6779" t="str">
        <f>"1551598995647240"</f>
        <v>1551598995647240</v>
      </c>
      <c r="C6779" t="s">
        <v>40</v>
      </c>
      <c r="D6779">
        <v>5.4847919999999997</v>
      </c>
      <c r="E6779">
        <v>0.48942770000000002</v>
      </c>
      <c r="F6779" t="s">
        <v>41</v>
      </c>
      <c r="G6779">
        <v>-323.22550000000001</v>
      </c>
      <c r="H6779" s="1">
        <v>-3.440118E-6</v>
      </c>
      <c r="I6779">
        <v>18.165849999999999</v>
      </c>
      <c r="J6779">
        <v>-335.24639999999999</v>
      </c>
      <c r="K6779">
        <v>1.120879</v>
      </c>
      <c r="L6779">
        <v>17.500429999999898</v>
      </c>
      <c r="M6779">
        <v>0.99988189999999999</v>
      </c>
      <c r="N6779">
        <v>-1.3707E-2</v>
      </c>
      <c r="O6779">
        <v>6.9599869999999999E-3</v>
      </c>
      <c r="P6779">
        <v>0.99496249999999997</v>
      </c>
      <c r="Q6779">
        <v>-9.6892969999999995E-2</v>
      </c>
      <c r="R6779">
        <v>2.571888E-2</v>
      </c>
      <c r="S6779">
        <v>2.9842219999999999</v>
      </c>
      <c r="T6779">
        <v>-0.27474690000000002</v>
      </c>
      <c r="U6779">
        <v>0.16333010000000001</v>
      </c>
      <c r="V6779">
        <v>-1.882781E-2</v>
      </c>
      <c r="W6779">
        <v>-8.323585E-2</v>
      </c>
      <c r="X6779">
        <v>0.99635200000000002</v>
      </c>
      <c r="Y6779">
        <v>-4.7488870000000002E-2</v>
      </c>
      <c r="Z6779">
        <v>1.962592E-3</v>
      </c>
      <c r="AA6779">
        <v>0.99886980000000003</v>
      </c>
      <c r="AB6779">
        <v>23</v>
      </c>
      <c r="AC6779">
        <v>12.0208999999999</v>
      </c>
      <c r="AD6779">
        <v>-1.120882440118</v>
      </c>
      <c r="AE6779">
        <v>0.66542000000000101</v>
      </c>
      <c r="AF6779">
        <v>-0.57673162437460501</v>
      </c>
      <c r="AG6779">
        <v>-1.120882440118</v>
      </c>
      <c r="AH6779">
        <v>11.9219018416852</v>
      </c>
      <c r="AI6779">
        <v>95.364852244666395</v>
      </c>
      <c r="AJ6779">
        <v>92.769570460060294</v>
      </c>
      <c r="AK6779">
        <v>11.9883585337566</v>
      </c>
      <c r="AL6779">
        <v>94.774586988719307</v>
      </c>
      <c r="AM6779">
        <v>91.0825749082329</v>
      </c>
      <c r="AN6779">
        <v>1.0000000005292999</v>
      </c>
    </row>
    <row r="6780" spans="1:40" x14ac:dyDescent="0.25">
      <c r="A6780" t="str">
        <f>"20190303154315677"</f>
        <v>20190303154315677</v>
      </c>
      <c r="B6780" t="str">
        <f>"1551598995666763"</f>
        <v>1551598995666763</v>
      </c>
      <c r="C6780" t="s">
        <v>40</v>
      </c>
      <c r="D6780">
        <v>5.4734389999999999</v>
      </c>
      <c r="E6780">
        <v>0.49012470000000002</v>
      </c>
      <c r="F6780" t="s">
        <v>41</v>
      </c>
      <c r="G6780">
        <v>-323.06220000000002</v>
      </c>
      <c r="H6780" s="1">
        <v>-3.5181269999999999E-6</v>
      </c>
      <c r="I6780">
        <v>18.161280000000001</v>
      </c>
      <c r="J6780">
        <v>-335.05689999999998</v>
      </c>
      <c r="K6780">
        <v>1.120879</v>
      </c>
      <c r="L6780">
        <v>17.5015</v>
      </c>
      <c r="M6780">
        <v>0.99988339999999998</v>
      </c>
      <c r="N6780">
        <v>-1.370507E-2</v>
      </c>
      <c r="O6780">
        <v>6.748301E-3</v>
      </c>
      <c r="P6780">
        <v>0.99497880000000005</v>
      </c>
      <c r="Q6780">
        <v>-9.6683770000000002E-2</v>
      </c>
      <c r="R6780">
        <v>2.5878189999999999E-2</v>
      </c>
      <c r="S6780">
        <v>2.9843139999999999</v>
      </c>
      <c r="T6780">
        <v>-0.27454079999999997</v>
      </c>
      <c r="U6780">
        <v>0.16186519999999999</v>
      </c>
      <c r="V6780">
        <v>-1.9197769999999999E-2</v>
      </c>
      <c r="W6780">
        <v>-8.3028279999999996E-2</v>
      </c>
      <c r="X6780">
        <v>0.99636230000000003</v>
      </c>
      <c r="Y6780">
        <v>-4.7210809999999999E-2</v>
      </c>
      <c r="Z6780">
        <v>1.9632069999999998E-3</v>
      </c>
      <c r="AA6780">
        <v>0.99888299999999997</v>
      </c>
      <c r="AB6780">
        <v>23</v>
      </c>
      <c r="AC6780">
        <v>11.9946999999999</v>
      </c>
      <c r="AD6780">
        <v>-1.1208825181269999</v>
      </c>
      <c r="AE6780">
        <v>0.65977999999999704</v>
      </c>
      <c r="AF6780">
        <v>-0.573817751954947</v>
      </c>
      <c r="AG6780">
        <v>-1.1208825181269999</v>
      </c>
      <c r="AH6780">
        <v>11.8953164625746</v>
      </c>
      <c r="AI6780">
        <v>95.376807827724093</v>
      </c>
      <c r="AJ6780">
        <v>92.761748224050706</v>
      </c>
      <c r="AK6780">
        <v>11.961780727663401</v>
      </c>
      <c r="AL6780">
        <v>94.762652599581003</v>
      </c>
      <c r="AM6780">
        <v>91.103830512502896</v>
      </c>
      <c r="AN6780">
        <v>1.000000041257</v>
      </c>
    </row>
    <row r="6781" spans="1:40" x14ac:dyDescent="0.25">
      <c r="A6781" t="str">
        <f>"20190303154315697"</f>
        <v>20190303154315697</v>
      </c>
      <c r="B6781" t="str">
        <f>"1551598995687256"</f>
        <v>1551598995687256</v>
      </c>
      <c r="C6781" t="s">
        <v>40</v>
      </c>
      <c r="D6781">
        <v>5.4849329999999998</v>
      </c>
      <c r="E6781">
        <v>0.49010579999999998</v>
      </c>
      <c r="F6781" t="s">
        <v>41</v>
      </c>
      <c r="G6781">
        <v>-322.54840000000002</v>
      </c>
      <c r="H6781" s="1">
        <v>-3.7614230000000001E-6</v>
      </c>
      <c r="I6781">
        <v>18.158919999999998</v>
      </c>
      <c r="J6781">
        <v>-334.84960000000001</v>
      </c>
      <c r="K6781">
        <v>1.1208830000000001</v>
      </c>
      <c r="L6781">
        <v>17.50262</v>
      </c>
      <c r="M6781">
        <v>0.99988500000000002</v>
      </c>
      <c r="N6781">
        <v>-1.370295E-2</v>
      </c>
      <c r="O6781">
        <v>6.5170069999999896E-3</v>
      </c>
      <c r="P6781">
        <v>0.99492990000000003</v>
      </c>
      <c r="Q6781">
        <v>-9.7192410000000007E-2</v>
      </c>
      <c r="R6781">
        <v>2.5855010000000001E-2</v>
      </c>
      <c r="S6781">
        <v>2.985077</v>
      </c>
      <c r="T6781">
        <v>-0.26749109999999998</v>
      </c>
      <c r="U6781">
        <v>0.1568909</v>
      </c>
      <c r="V6781">
        <v>-1.9405510000000001E-2</v>
      </c>
      <c r="W6781">
        <v>-8.3539649999999993E-2</v>
      </c>
      <c r="X6781">
        <v>0.99631550000000002</v>
      </c>
      <c r="Y6781">
        <v>-4.5783810000000001E-2</v>
      </c>
      <c r="Z6781">
        <v>1.867173E-3</v>
      </c>
      <c r="AA6781">
        <v>0.99894959999999999</v>
      </c>
      <c r="AB6781">
        <v>23</v>
      </c>
      <c r="AC6781">
        <v>12.3011999999999</v>
      </c>
      <c r="AD6781">
        <v>-1.120886761423</v>
      </c>
      <c r="AE6781">
        <v>0.65630000000000099</v>
      </c>
      <c r="AF6781">
        <v>-0.571380897737361</v>
      </c>
      <c r="AG6781">
        <v>-1.120886761423</v>
      </c>
      <c r="AH6781">
        <v>12.204174115012901</v>
      </c>
      <c r="AI6781">
        <v>95.241872558632593</v>
      </c>
      <c r="AJ6781">
        <v>92.680543968435501</v>
      </c>
      <c r="AK6781">
        <v>12.268851987524499</v>
      </c>
      <c r="AL6781">
        <v>94.792054230645903</v>
      </c>
      <c r="AM6781">
        <v>91.115824510522501</v>
      </c>
      <c r="AN6781">
        <v>1.00000001124036</v>
      </c>
    </row>
    <row r="6782" spans="1:40" x14ac:dyDescent="0.25">
      <c r="A6782" t="str">
        <f>"20190303154315708"</f>
        <v>20190303154315708</v>
      </c>
      <c r="B6782" t="str">
        <f>"1551598995697017"</f>
        <v>1551598995697017</v>
      </c>
      <c r="C6782" t="s">
        <v>40</v>
      </c>
      <c r="D6782">
        <v>5.4759580000000003</v>
      </c>
      <c r="E6782">
        <v>0.49022549999999998</v>
      </c>
      <c r="F6782" t="s">
        <v>41</v>
      </c>
      <c r="G6782">
        <v>-322.37630000000001</v>
      </c>
      <c r="H6782" s="1">
        <v>-3.8428069999999998E-6</v>
      </c>
      <c r="I6782">
        <v>18.158860000000001</v>
      </c>
      <c r="J6782">
        <v>-334.72399999999999</v>
      </c>
      <c r="K6782">
        <v>1.1208830000000001</v>
      </c>
      <c r="L6782">
        <v>17.503270000000001</v>
      </c>
      <c r="M6782">
        <v>0.99988600000000005</v>
      </c>
      <c r="N6782">
        <v>-1.3701680000000001E-2</v>
      </c>
      <c r="O6782">
        <v>6.3767199999999998E-3</v>
      </c>
      <c r="P6782">
        <v>0.99495120000000004</v>
      </c>
      <c r="Q6782">
        <v>-9.6998680000000004E-2</v>
      </c>
      <c r="R6782">
        <v>2.5764519999999999E-2</v>
      </c>
      <c r="S6782">
        <v>2.9850159999999999</v>
      </c>
      <c r="T6782">
        <v>-0.2682407</v>
      </c>
      <c r="U6782">
        <v>0.1570435</v>
      </c>
      <c r="V6782">
        <v>-1.9453809999999998E-2</v>
      </c>
      <c r="W6782">
        <v>-8.3346950000000003E-2</v>
      </c>
      <c r="X6782">
        <v>0.99633070000000001</v>
      </c>
      <c r="Y6782">
        <v>-4.5973699999999999E-2</v>
      </c>
      <c r="Z6782">
        <v>1.891719E-3</v>
      </c>
      <c r="AA6782">
        <v>0.99894090000000002</v>
      </c>
      <c r="AB6782">
        <v>23</v>
      </c>
      <c r="AC6782">
        <v>12.3476999999999</v>
      </c>
      <c r="AD6782">
        <v>-1.120886842807</v>
      </c>
      <c r="AE6782">
        <v>0.65559000000000001</v>
      </c>
      <c r="AF6782">
        <v>-0.57213010541458398</v>
      </c>
      <c r="AG6782">
        <v>-1.120886842807</v>
      </c>
      <c r="AH6782">
        <v>12.250960063303699</v>
      </c>
      <c r="AI6782">
        <v>95.221993812640406</v>
      </c>
      <c r="AJ6782">
        <v>92.673818228180494</v>
      </c>
      <c r="AK6782">
        <v>12.3154270183605</v>
      </c>
      <c r="AL6782">
        <v>94.780974679886498</v>
      </c>
      <c r="AM6782">
        <v>91.118584013843602</v>
      </c>
      <c r="AN6782">
        <v>1.00000001428015</v>
      </c>
    </row>
    <row r="6783" spans="1:40" x14ac:dyDescent="0.25">
      <c r="A6783" t="str">
        <f>"20190303154315721"</f>
        <v>20190303154315721</v>
      </c>
      <c r="B6783" t="str">
        <f>"1551598995717513"</f>
        <v>1551598995717513</v>
      </c>
      <c r="C6783" t="s">
        <v>40</v>
      </c>
      <c r="D6783">
        <v>5.4829819999999998</v>
      </c>
      <c r="E6783">
        <v>0.49036689999999999</v>
      </c>
      <c r="F6783" t="s">
        <v>41</v>
      </c>
      <c r="G6783">
        <v>-322.14359999999999</v>
      </c>
      <c r="H6783" s="1">
        <v>-3.9525900000000002E-6</v>
      </c>
      <c r="I6783">
        <v>18.160049999999998</v>
      </c>
      <c r="J6783">
        <v>-334.6069</v>
      </c>
      <c r="K6783">
        <v>1.120886</v>
      </c>
      <c r="L6783">
        <v>17.503879999999999</v>
      </c>
      <c r="M6783">
        <v>0.99988670000000002</v>
      </c>
      <c r="N6783">
        <v>-1.3700489999999999E-2</v>
      </c>
      <c r="O6783">
        <v>6.2463240000000001E-3</v>
      </c>
      <c r="P6783">
        <v>0.99494919999999998</v>
      </c>
      <c r="Q6783">
        <v>-9.7047079999999994E-2</v>
      </c>
      <c r="R6783">
        <v>2.5655819999999999E-2</v>
      </c>
      <c r="S6783">
        <v>2.9852910000000001</v>
      </c>
      <c r="T6783">
        <v>-0.26598260000000001</v>
      </c>
      <c r="U6783">
        <v>0.1558533</v>
      </c>
      <c r="V6783">
        <v>-1.9475099999999999E-2</v>
      </c>
      <c r="W6783">
        <v>-8.3396609999999996E-2</v>
      </c>
      <c r="X6783">
        <v>0.99632609999999999</v>
      </c>
      <c r="Y6783">
        <v>-4.5705809999999999E-2</v>
      </c>
      <c r="Z6783">
        <v>1.8751320000000001E-3</v>
      </c>
      <c r="AA6783">
        <v>0.99895319999999999</v>
      </c>
      <c r="AB6783">
        <v>23</v>
      </c>
      <c r="AC6783">
        <v>12.4633</v>
      </c>
      <c r="AD6783">
        <v>-1.12088995259</v>
      </c>
      <c r="AE6783">
        <v>0.65616999999999903</v>
      </c>
      <c r="AF6783">
        <v>-0.57367284465782098</v>
      </c>
      <c r="AG6783">
        <v>-1.12088995259</v>
      </c>
      <c r="AH6783">
        <v>12.367400508967901</v>
      </c>
      <c r="AI6783">
        <v>95.173185710057496</v>
      </c>
      <c r="AJ6783">
        <v>92.655811862790898</v>
      </c>
      <c r="AK6783">
        <v>12.431335011483499</v>
      </c>
      <c r="AL6783">
        <v>94.783830065281094</v>
      </c>
      <c r="AM6783">
        <v>91.119813035082899</v>
      </c>
      <c r="AN6783">
        <v>0.99999998581035598</v>
      </c>
    </row>
    <row r="6784" spans="1:40" x14ac:dyDescent="0.25">
      <c r="A6784" t="str">
        <f>"20190303154315735"</f>
        <v>20190303154315735</v>
      </c>
      <c r="B6784" t="str">
        <f>"1551598995727273"</f>
        <v>1551598995727273</v>
      </c>
      <c r="C6784" t="s">
        <v>40</v>
      </c>
      <c r="D6784">
        <v>5.5124760000000004</v>
      </c>
      <c r="E6784">
        <v>0.490346</v>
      </c>
      <c r="F6784" t="s">
        <v>41</v>
      </c>
      <c r="G6784">
        <v>-322.07709999999997</v>
      </c>
      <c r="H6784" s="1">
        <v>-3.9854720000000003E-6</v>
      </c>
      <c r="I6784">
        <v>18.151759999999999</v>
      </c>
      <c r="J6784">
        <v>-334.45710000000003</v>
      </c>
      <c r="K6784">
        <v>1.1208880000000001</v>
      </c>
      <c r="L6784">
        <v>17.50461</v>
      </c>
      <c r="M6784">
        <v>0.99988779999999999</v>
      </c>
      <c r="N6784">
        <v>-1.369895E-2</v>
      </c>
      <c r="O6784">
        <v>6.0790990000000001E-3</v>
      </c>
      <c r="P6784">
        <v>0.99496969999999996</v>
      </c>
      <c r="Q6784">
        <v>-9.6858899999999998E-2</v>
      </c>
      <c r="R6784">
        <v>2.5571139999999999E-2</v>
      </c>
      <c r="S6784">
        <v>2.9851990000000002</v>
      </c>
      <c r="T6784">
        <v>-0.267049599999999</v>
      </c>
      <c r="U6784">
        <v>0.15435789999999999</v>
      </c>
      <c r="V6784">
        <v>-1.9556170000000001E-2</v>
      </c>
      <c r="W6784">
        <v>-8.3209740000000004E-2</v>
      </c>
      <c r="X6784">
        <v>0.99634020000000001</v>
      </c>
      <c r="Y6784">
        <v>-4.5375060000000002E-2</v>
      </c>
      <c r="Z6784">
        <v>1.876653E-3</v>
      </c>
      <c r="AA6784">
        <v>0.99896819999999997</v>
      </c>
      <c r="AB6784">
        <v>23</v>
      </c>
      <c r="AC6784">
        <v>12.38</v>
      </c>
      <c r="AD6784">
        <v>-1.1208919854720001</v>
      </c>
      <c r="AE6784">
        <v>0.647149999999999</v>
      </c>
      <c r="AF6784">
        <v>-0.56723445582506604</v>
      </c>
      <c r="AG6784">
        <v>-1.1208919854720001</v>
      </c>
      <c r="AH6784">
        <v>12.2832866999386</v>
      </c>
      <c r="AI6784">
        <v>95.208475404086201</v>
      </c>
      <c r="AJ6784">
        <v>92.644004659899196</v>
      </c>
      <c r="AK6784">
        <v>12.3473594717194</v>
      </c>
      <c r="AL6784">
        <v>94.773085554511198</v>
      </c>
      <c r="AM6784">
        <v>91.124457434736101</v>
      </c>
      <c r="AN6784">
        <v>1.00000004937598</v>
      </c>
    </row>
    <row r="6785" spans="1:40" x14ac:dyDescent="0.25">
      <c r="A6785" t="str">
        <f>"20190303154315753"</f>
        <v>20190303154315753</v>
      </c>
      <c r="B6785" t="str">
        <f>"1551598995746793"</f>
        <v>1551598995746793</v>
      </c>
      <c r="C6785" t="s">
        <v>40</v>
      </c>
      <c r="D6785">
        <v>5.5017800000000001</v>
      </c>
      <c r="E6785">
        <v>0.49061700000000003</v>
      </c>
      <c r="F6785" t="s">
        <v>41</v>
      </c>
      <c r="G6785">
        <v>-321.90339999999998</v>
      </c>
      <c r="H6785" s="1">
        <v>-4.0672889999999999E-6</v>
      </c>
      <c r="I6785">
        <v>18.15333</v>
      </c>
      <c r="J6785">
        <v>-334.2826</v>
      </c>
      <c r="K6785">
        <v>1.1208929999999999</v>
      </c>
      <c r="L6785">
        <v>17.50543</v>
      </c>
      <c r="M6785">
        <v>0.99988889999999997</v>
      </c>
      <c r="N6785">
        <v>-1.369713E-2</v>
      </c>
      <c r="O6785">
        <v>5.8843380000000002E-3</v>
      </c>
      <c r="P6785">
        <v>0.99499550000000003</v>
      </c>
      <c r="Q6785">
        <v>-9.6617069999999999E-2</v>
      </c>
      <c r="R6785">
        <v>2.5479999999999999E-2</v>
      </c>
      <c r="S6785">
        <v>2.9852910000000001</v>
      </c>
      <c r="T6785">
        <v>-0.26655010000000001</v>
      </c>
      <c r="U6785">
        <v>0.1542664</v>
      </c>
      <c r="V6785">
        <v>-1.9658709999999999E-2</v>
      </c>
      <c r="W6785">
        <v>-8.2969440000000005E-2</v>
      </c>
      <c r="X6785">
        <v>0.99635819999999997</v>
      </c>
      <c r="Y6785">
        <v>-4.553687E-2</v>
      </c>
      <c r="Z6785">
        <v>1.8967910000000001E-3</v>
      </c>
      <c r="AA6785">
        <v>0.99896090000000004</v>
      </c>
      <c r="AB6785">
        <v>23</v>
      </c>
      <c r="AC6785">
        <v>12.379200000000001</v>
      </c>
      <c r="AD6785">
        <v>-1.120897067289</v>
      </c>
      <c r="AE6785">
        <v>0.64789999999999903</v>
      </c>
      <c r="AF6785">
        <v>-0.57037497883073796</v>
      </c>
      <c r="AG6785">
        <v>-1.120897067289</v>
      </c>
      <c r="AH6785">
        <v>12.282373746674599</v>
      </c>
      <c r="AI6785">
        <v>95.208821879410806</v>
      </c>
      <c r="AJ6785">
        <v>92.658819715924693</v>
      </c>
      <c r="AK6785">
        <v>12.346596401637701</v>
      </c>
      <c r="AL6785">
        <v>94.759269707933996</v>
      </c>
      <c r="AM6785">
        <v>91.1303314264714</v>
      </c>
      <c r="AN6785">
        <v>1.0000000277800001</v>
      </c>
    </row>
    <row r="6786" spans="1:40" x14ac:dyDescent="0.25">
      <c r="A6786" t="str">
        <f>"20190303154315765"</f>
        <v>20190303154315765</v>
      </c>
      <c r="B6786" t="str">
        <f>"1551598995756552"</f>
        <v>1551598995756552</v>
      </c>
      <c r="C6786" t="s">
        <v>40</v>
      </c>
      <c r="D6786">
        <v>5.508832</v>
      </c>
      <c r="E6786">
        <v>0.49089690000000002</v>
      </c>
      <c r="F6786" t="s">
        <v>41</v>
      </c>
      <c r="G6786">
        <v>-321.81299999999999</v>
      </c>
      <c r="H6786" s="1">
        <v>-4.1124879999999997E-6</v>
      </c>
      <c r="I6786">
        <v>18.139510000000001</v>
      </c>
      <c r="J6786">
        <v>-334.15879999999999</v>
      </c>
      <c r="K6786">
        <v>1.120895</v>
      </c>
      <c r="L6786">
        <v>17.50601</v>
      </c>
      <c r="M6786">
        <v>0.99988960000000005</v>
      </c>
      <c r="N6786">
        <v>-1.3695779999999999E-2</v>
      </c>
      <c r="O6786">
        <v>5.7463740000000003E-3</v>
      </c>
      <c r="P6786">
        <v>0.99500060000000001</v>
      </c>
      <c r="Q6786">
        <v>-9.6591830000000004E-2</v>
      </c>
      <c r="R6786">
        <v>2.5375459999999999E-2</v>
      </c>
      <c r="S6786">
        <v>2.9851380000000001</v>
      </c>
      <c r="T6786">
        <v>-0.26833580000000001</v>
      </c>
      <c r="U6786">
        <v>0.1517944</v>
      </c>
      <c r="V6786">
        <v>-1.969154E-2</v>
      </c>
      <c r="W6786">
        <v>-8.2945489999999997E-2</v>
      </c>
      <c r="X6786">
        <v>0.99635949999999995</v>
      </c>
      <c r="Y6786">
        <v>-4.4852690000000001E-2</v>
      </c>
      <c r="Z6786">
        <v>1.8820099999999999E-3</v>
      </c>
      <c r="AA6786">
        <v>0.99899179999999999</v>
      </c>
      <c r="AB6786">
        <v>23</v>
      </c>
      <c r="AC6786">
        <v>12.345799999999899</v>
      </c>
      <c r="AD6786">
        <v>-1.1208991124879999</v>
      </c>
      <c r="AE6786">
        <v>0.63350000000000095</v>
      </c>
      <c r="AF6786">
        <v>-0.55795207417753601</v>
      </c>
      <c r="AG6786">
        <v>-1.1208991124879999</v>
      </c>
      <c r="AH6786">
        <v>12.248535113970799</v>
      </c>
      <c r="AI6786">
        <v>95.223353337028897</v>
      </c>
      <c r="AJ6786">
        <v>92.608166154530494</v>
      </c>
      <c r="AK6786">
        <v>12.3123652388821</v>
      </c>
      <c r="AL6786">
        <v>94.757892945329701</v>
      </c>
      <c r="AM6786">
        <v>91.132217109484202</v>
      </c>
      <c r="AN6786">
        <v>0.99999998214957997</v>
      </c>
    </row>
    <row r="6787" spans="1:40" x14ac:dyDescent="0.25">
      <c r="A6787" t="str">
        <f>"20190303154315777"</f>
        <v>20190303154315777</v>
      </c>
      <c r="B6787" t="str">
        <f>"1551598995767289"</f>
        <v>1551598995767289</v>
      </c>
      <c r="C6787" t="s">
        <v>40</v>
      </c>
      <c r="D6787">
        <v>5.4917660000000001</v>
      </c>
      <c r="E6787">
        <v>0.49116399999999999</v>
      </c>
      <c r="F6787" t="s">
        <v>41</v>
      </c>
      <c r="G6787">
        <v>-321.70870000000002</v>
      </c>
      <c r="H6787" s="1">
        <v>-4.163776E-6</v>
      </c>
      <c r="I6787">
        <v>18.128399999999999</v>
      </c>
      <c r="J6787">
        <v>-334.0376</v>
      </c>
      <c r="K6787">
        <v>1.1208959999999999</v>
      </c>
      <c r="L6787">
        <v>17.50656</v>
      </c>
      <c r="M6787">
        <v>0.99989050000000002</v>
      </c>
      <c r="N6787">
        <v>-1.369445E-2</v>
      </c>
      <c r="O6787">
        <v>5.6110319999999898E-3</v>
      </c>
      <c r="P6787">
        <v>0.99504329999999996</v>
      </c>
      <c r="Q6787">
        <v>-9.611277E-2</v>
      </c>
      <c r="R6787">
        <v>2.551724E-2</v>
      </c>
      <c r="S6787">
        <v>2.9851990000000002</v>
      </c>
      <c r="T6787">
        <v>-0.26875979999999999</v>
      </c>
      <c r="U6787">
        <v>0.149231</v>
      </c>
      <c r="V6787">
        <v>-1.9967410000000001E-2</v>
      </c>
      <c r="W6787">
        <v>-8.2467139999999994E-2</v>
      </c>
      <c r="X6787">
        <v>0.99639370000000005</v>
      </c>
      <c r="Y6787">
        <v>-4.4133569999999997E-2</v>
      </c>
      <c r="Z6787">
        <v>1.8574010000000001E-3</v>
      </c>
      <c r="AA6787">
        <v>0.99902389999999996</v>
      </c>
      <c r="AB6787">
        <v>23</v>
      </c>
      <c r="AC6787">
        <v>12.3288999999999</v>
      </c>
      <c r="AD6787">
        <v>-1.1209001637760001</v>
      </c>
      <c r="AE6787">
        <v>0.62183999999999795</v>
      </c>
      <c r="AF6787">
        <v>-0.54812665833121299</v>
      </c>
      <c r="AG6787">
        <v>-1.1209001637760001</v>
      </c>
      <c r="AH6787">
        <v>12.231349954388699</v>
      </c>
      <c r="AI6787">
        <v>95.230829797694796</v>
      </c>
      <c r="AJ6787">
        <v>92.565893915257803</v>
      </c>
      <c r="AK6787">
        <v>12.294827437481599</v>
      </c>
      <c r="AL6787">
        <v>94.730391363231902</v>
      </c>
      <c r="AM6787">
        <v>91.148035372019194</v>
      </c>
      <c r="AN6787">
        <v>0.999999966020788</v>
      </c>
    </row>
    <row r="6788" spans="1:40" x14ac:dyDescent="0.25">
      <c r="A6788" t="str">
        <f>"20190303154315788"</f>
        <v>20190303154315788</v>
      </c>
      <c r="B6788" t="str">
        <f>"1551598995777050"</f>
        <v>1551598995777050</v>
      </c>
      <c r="C6788" t="s">
        <v>40</v>
      </c>
      <c r="D6788">
        <v>5.54209</v>
      </c>
      <c r="E6788">
        <v>0.49138730000000003</v>
      </c>
      <c r="F6788" t="s">
        <v>41</v>
      </c>
      <c r="G6788">
        <v>-321.5444</v>
      </c>
      <c r="H6788" s="1">
        <v>-4.2422489999999997E-6</v>
      </c>
      <c r="I6788">
        <v>18.123809999999999</v>
      </c>
      <c r="J6788">
        <v>-333.91820000000001</v>
      </c>
      <c r="K6788">
        <v>1.1208929999999999</v>
      </c>
      <c r="L6788">
        <v>17.507079999999998</v>
      </c>
      <c r="M6788">
        <v>0.99989130000000004</v>
      </c>
      <c r="N6788">
        <v>-1.3693210000000001E-2</v>
      </c>
      <c r="O6788">
        <v>5.4778939999999996E-3</v>
      </c>
      <c r="P6788">
        <v>0.99506660000000002</v>
      </c>
      <c r="Q6788">
        <v>-9.5961619999999997E-2</v>
      </c>
      <c r="R6788">
        <v>2.5174749999999999E-2</v>
      </c>
      <c r="S6788">
        <v>2.9852599999999998</v>
      </c>
      <c r="T6788">
        <v>-0.26783899999999999</v>
      </c>
      <c r="U6788">
        <v>0.1474915</v>
      </c>
      <c r="V6788">
        <v>-1.9757179999999999E-2</v>
      </c>
      <c r="W6788">
        <v>-8.2317109999999999E-2</v>
      </c>
      <c r="X6788">
        <v>0.99641029999999997</v>
      </c>
      <c r="Y6788">
        <v>-4.3687730000000001E-2</v>
      </c>
      <c r="Z6788">
        <v>1.8393929999999999E-3</v>
      </c>
      <c r="AA6788">
        <v>0.99904349999999997</v>
      </c>
      <c r="AB6788">
        <v>23</v>
      </c>
      <c r="AC6788">
        <v>12.373799999999999</v>
      </c>
      <c r="AD6788">
        <v>-1.120897242249</v>
      </c>
      <c r="AE6788">
        <v>0.61673</v>
      </c>
      <c r="AF6788">
        <v>-0.54447519957122803</v>
      </c>
      <c r="AG6788">
        <v>-1.120897242249</v>
      </c>
      <c r="AH6788">
        <v>12.2765030749703</v>
      </c>
      <c r="AI6788">
        <v>95.211789978958706</v>
      </c>
      <c r="AJ6788">
        <v>92.539460994759906</v>
      </c>
      <c r="AK6788">
        <v>12.3395863634234</v>
      </c>
      <c r="AL6788">
        <v>94.721765934859405</v>
      </c>
      <c r="AM6788">
        <v>91.135932366287307</v>
      </c>
      <c r="AN6788">
        <v>0.99999996935319602</v>
      </c>
    </row>
    <row r="6789" spans="1:40" x14ac:dyDescent="0.25">
      <c r="A6789" t="str">
        <f>"20190303154315802"</f>
        <v>20190303154315802</v>
      </c>
      <c r="B6789" t="str">
        <f>"1551598995796568"</f>
        <v>1551598995796568</v>
      </c>
      <c r="C6789" t="s">
        <v>40</v>
      </c>
      <c r="D6789">
        <v>5.5114979999999996</v>
      </c>
      <c r="E6789">
        <v>0.4916082</v>
      </c>
      <c r="F6789" t="s">
        <v>41</v>
      </c>
      <c r="G6789">
        <v>-321.44389999999999</v>
      </c>
      <c r="H6789" s="1">
        <v>-4.2919000000000004E-6</v>
      </c>
      <c r="I6789">
        <v>18.111640000000001</v>
      </c>
      <c r="J6789">
        <v>-333.78719999999998</v>
      </c>
      <c r="K6789">
        <v>1.1208940000000001</v>
      </c>
      <c r="L6789">
        <v>17.507629999999999</v>
      </c>
      <c r="M6789">
        <v>0.99989209999999995</v>
      </c>
      <c r="N6789">
        <v>-1.369184E-2</v>
      </c>
      <c r="O6789">
        <v>5.3318239999999998E-3</v>
      </c>
      <c r="P6789">
        <v>0.99509449999999999</v>
      </c>
      <c r="Q6789">
        <v>-9.5674250000000002E-2</v>
      </c>
      <c r="R6789">
        <v>2.5170029999999999E-2</v>
      </c>
      <c r="S6789">
        <v>2.9853519999999998</v>
      </c>
      <c r="T6789">
        <v>-0.26825329999999997</v>
      </c>
      <c r="U6789">
        <v>0.1446838</v>
      </c>
      <c r="V6789">
        <v>-1.9897809999999998E-2</v>
      </c>
      <c r="W6789">
        <v>-8.2030729999999996E-2</v>
      </c>
      <c r="X6789">
        <v>0.99643119999999996</v>
      </c>
      <c r="Y6789">
        <v>-4.2897560000000001E-2</v>
      </c>
      <c r="Z6789">
        <v>1.8118570000000001E-3</v>
      </c>
      <c r="AA6789">
        <v>0.99907789999999996</v>
      </c>
      <c r="AB6789">
        <v>23</v>
      </c>
      <c r="AC6789">
        <v>12.343299999999999</v>
      </c>
      <c r="AD6789">
        <v>-1.1208982918999999</v>
      </c>
      <c r="AE6789">
        <v>0.60400999999999805</v>
      </c>
      <c r="AF6789">
        <v>-0.53379154512504501</v>
      </c>
      <c r="AG6789">
        <v>-1.1208982918999999</v>
      </c>
      <c r="AH6789">
        <v>12.2456031174637</v>
      </c>
      <c r="AI6789">
        <v>95.225046751507705</v>
      </c>
      <c r="AJ6789">
        <v>92.495969635498199</v>
      </c>
      <c r="AK6789">
        <v>12.308376907816401</v>
      </c>
      <c r="AL6789">
        <v>94.705301507677802</v>
      </c>
      <c r="AM6789">
        <v>91.143991710055104</v>
      </c>
      <c r="AN6789">
        <v>1.0000000499202799</v>
      </c>
    </row>
    <row r="6790" spans="1:40" x14ac:dyDescent="0.25">
      <c r="A6790" t="str">
        <f>"20190303154315816"</f>
        <v>20190303154315816</v>
      </c>
      <c r="B6790" t="str">
        <f>"1551598995807304"</f>
        <v>1551598995807304</v>
      </c>
      <c r="C6790" t="s">
        <v>40</v>
      </c>
      <c r="D6790">
        <v>5.5415979999999996</v>
      </c>
      <c r="E6790">
        <v>0.49169220000000002</v>
      </c>
      <c r="F6790" t="s">
        <v>41</v>
      </c>
      <c r="G6790">
        <v>-321.39249999999998</v>
      </c>
      <c r="H6790" s="1">
        <v>-4.3181360000000004E-6</v>
      </c>
      <c r="I6790">
        <v>18.100629999999999</v>
      </c>
      <c r="J6790">
        <v>-333.6497</v>
      </c>
      <c r="K6790">
        <v>1.120895</v>
      </c>
      <c r="L6790">
        <v>17.508179999999999</v>
      </c>
      <c r="M6790">
        <v>0.99989300000000003</v>
      </c>
      <c r="N6790">
        <v>-1.36904E-2</v>
      </c>
      <c r="O6790">
        <v>5.1783640000000004E-3</v>
      </c>
      <c r="P6790">
        <v>0.99512400000000001</v>
      </c>
      <c r="Q6790">
        <v>-9.5443159999999999E-2</v>
      </c>
      <c r="R6790">
        <v>2.488402E-2</v>
      </c>
      <c r="S6790">
        <v>2.9852289999999999</v>
      </c>
      <c r="T6790">
        <v>-0.26996540000000002</v>
      </c>
      <c r="U6790">
        <v>0.14282230000000001</v>
      </c>
      <c r="V6790">
        <v>-1.976373E-2</v>
      </c>
      <c r="W6790">
        <v>-8.1800819999999996E-2</v>
      </c>
      <c r="X6790">
        <v>0.99645269999999997</v>
      </c>
      <c r="Y6790">
        <v>-4.2430870000000002E-2</v>
      </c>
      <c r="Z6790">
        <v>1.808577E-3</v>
      </c>
      <c r="AA6790">
        <v>0.99909780000000004</v>
      </c>
      <c r="AB6790">
        <v>23</v>
      </c>
      <c r="AC6790">
        <v>12.257199999999999</v>
      </c>
      <c r="AD6790">
        <v>-1.1208993181360001</v>
      </c>
      <c r="AE6790">
        <v>0.59244999999999903</v>
      </c>
      <c r="AF6790">
        <v>-0.52458708978813995</v>
      </c>
      <c r="AG6790">
        <v>-1.1208993181360001</v>
      </c>
      <c r="AH6790">
        <v>12.158660631070701</v>
      </c>
      <c r="AI6790">
        <v>95.262305948527697</v>
      </c>
      <c r="AJ6790">
        <v>92.470502120275199</v>
      </c>
      <c r="AK6790">
        <v>12.221482530271</v>
      </c>
      <c r="AL6790">
        <v>94.692084538599502</v>
      </c>
      <c r="AM6790">
        <v>91.136260519259096</v>
      </c>
      <c r="AN6790">
        <v>0.99999998125673695</v>
      </c>
    </row>
    <row r="6791" spans="1:40" x14ac:dyDescent="0.25">
      <c r="A6791" t="str">
        <f>"20190303154315831"</f>
        <v>20190303154315831</v>
      </c>
      <c r="B6791" t="str">
        <f>"1551598995826825"</f>
        <v>1551598995826825</v>
      </c>
      <c r="C6791" t="s">
        <v>40</v>
      </c>
      <c r="D6791">
        <v>5.5547409999999999</v>
      </c>
      <c r="E6791">
        <v>0.49188419999999999</v>
      </c>
      <c r="F6791" t="s">
        <v>41</v>
      </c>
      <c r="G6791">
        <v>-321.29059999999998</v>
      </c>
      <c r="H6791" s="1">
        <v>-4.3676560000000002E-6</v>
      </c>
      <c r="I6791">
        <v>18.093029999999999</v>
      </c>
      <c r="J6791">
        <v>-333.4932</v>
      </c>
      <c r="K6791">
        <v>1.1208990000000001</v>
      </c>
      <c r="L6791">
        <v>17.508790000000001</v>
      </c>
      <c r="M6791">
        <v>0.99989380000000005</v>
      </c>
      <c r="N6791">
        <v>-1.3688779999999999E-2</v>
      </c>
      <c r="O6791">
        <v>5.0036869999999997E-3</v>
      </c>
      <c r="P6791">
        <v>0.99514919999999996</v>
      </c>
      <c r="Q6791">
        <v>-9.52628999999999E-2</v>
      </c>
      <c r="R6791">
        <v>2.4560229999999999E-2</v>
      </c>
      <c r="S6791">
        <v>2.9852289999999999</v>
      </c>
      <c r="T6791">
        <v>-0.27074280000000001</v>
      </c>
      <c r="U6791">
        <v>0.1412659</v>
      </c>
      <c r="V6791">
        <v>-1.9613869999999999E-2</v>
      </c>
      <c r="W6791">
        <v>-8.1621970000000002E-2</v>
      </c>
      <c r="X6791">
        <v>0.99647030000000003</v>
      </c>
      <c r="Y6791">
        <v>-4.2085820000000003E-2</v>
      </c>
      <c r="Z6791">
        <v>1.8081390000000001E-3</v>
      </c>
      <c r="AA6791">
        <v>0.99911240000000001</v>
      </c>
      <c r="AB6791">
        <v>23</v>
      </c>
      <c r="AC6791">
        <v>12.2026</v>
      </c>
      <c r="AD6791">
        <v>-1.1209033676559901</v>
      </c>
      <c r="AE6791">
        <v>0.58423999999999698</v>
      </c>
      <c r="AF6791">
        <v>-0.51880141874776597</v>
      </c>
      <c r="AG6791">
        <v>-1.1209033676559901</v>
      </c>
      <c r="AH6791">
        <v>12.103477138492501</v>
      </c>
      <c r="AI6791">
        <v>95.286245273228502</v>
      </c>
      <c r="AJ6791">
        <v>92.454414269536599</v>
      </c>
      <c r="AK6791">
        <v>12.1663362650277</v>
      </c>
      <c r="AL6791">
        <v>94.681802932787093</v>
      </c>
      <c r="AM6791">
        <v>91.127627058088095</v>
      </c>
      <c r="AN6791">
        <v>0.99999995433257205</v>
      </c>
    </row>
    <row r="6792" spans="1:40" x14ac:dyDescent="0.25">
      <c r="A6792" t="str">
        <f>"20190303154315845"</f>
        <v>20190303154315845</v>
      </c>
      <c r="B6792" t="str">
        <f>"1551598995836585"</f>
        <v>1551598995836585</v>
      </c>
      <c r="C6792" t="s">
        <v>40</v>
      </c>
      <c r="D6792">
        <v>5.5413699999999997</v>
      </c>
      <c r="E6792">
        <v>0.49190230000000001</v>
      </c>
      <c r="F6792" t="s">
        <v>41</v>
      </c>
      <c r="G6792">
        <v>-321.17829999999998</v>
      </c>
      <c r="H6792" s="1">
        <v>-4.4228929999999996E-6</v>
      </c>
      <c r="I6792">
        <v>18.08098</v>
      </c>
      <c r="J6792">
        <v>-333.35750000000002</v>
      </c>
      <c r="K6792">
        <v>1.1208979999999999</v>
      </c>
      <c r="L6792">
        <v>17.509309999999999</v>
      </c>
      <c r="M6792">
        <v>0.99989459999999997</v>
      </c>
      <c r="N6792">
        <v>-1.3687360000000001E-2</v>
      </c>
      <c r="O6792">
        <v>4.8521939999999998E-3</v>
      </c>
      <c r="P6792">
        <v>0.99517239999999996</v>
      </c>
      <c r="Q6792">
        <v>-9.5156519999999994E-2</v>
      </c>
      <c r="R6792">
        <v>2.4024899999999998E-2</v>
      </c>
      <c r="S6792">
        <v>2.9851990000000002</v>
      </c>
      <c r="T6792">
        <v>-0.27171339999999999</v>
      </c>
      <c r="U6792">
        <v>0.138702399999999</v>
      </c>
      <c r="V6792">
        <v>-1.9229159999999999E-2</v>
      </c>
      <c r="W6792">
        <v>-8.1516969999999994E-2</v>
      </c>
      <c r="X6792">
        <v>0.99648639999999999</v>
      </c>
      <c r="Y6792">
        <v>-4.1383259999999998E-2</v>
      </c>
      <c r="Z6792">
        <v>1.788296E-3</v>
      </c>
      <c r="AA6792">
        <v>0.99914179999999997</v>
      </c>
      <c r="AB6792">
        <v>23</v>
      </c>
      <c r="AC6792">
        <v>12.1792</v>
      </c>
      <c r="AD6792">
        <v>-1.120902422893</v>
      </c>
      <c r="AE6792">
        <v>0.57167000000000101</v>
      </c>
      <c r="AF6792">
        <v>-0.508266198449014</v>
      </c>
      <c r="AG6792">
        <v>-1.120902422893</v>
      </c>
      <c r="AH6792">
        <v>12.0797368168944</v>
      </c>
      <c r="AI6792">
        <v>95.296746781094299</v>
      </c>
      <c r="AJ6792">
        <v>92.409352231306102</v>
      </c>
      <c r="AK6792">
        <v>12.1422731947344</v>
      </c>
      <c r="AL6792">
        <v>94.675766728944893</v>
      </c>
      <c r="AM6792">
        <v>91.105497263461501</v>
      </c>
      <c r="AN6792">
        <v>0.999999961188622</v>
      </c>
    </row>
    <row r="6793" spans="1:40" x14ac:dyDescent="0.25">
      <c r="A6793" t="str">
        <f>"20190303154315866"</f>
        <v>20190303154315866</v>
      </c>
      <c r="B6793" t="str">
        <f>"1551598995857080"</f>
        <v>1551598995857080</v>
      </c>
      <c r="C6793" t="s">
        <v>40</v>
      </c>
      <c r="D6793">
        <v>5.5918570000000001</v>
      </c>
      <c r="E6793">
        <v>0.4919192</v>
      </c>
      <c r="F6793" t="s">
        <v>41</v>
      </c>
      <c r="G6793">
        <v>-321.06389999999999</v>
      </c>
      <c r="H6793" s="1">
        <v>-4.4783330000000002E-6</v>
      </c>
      <c r="I6793">
        <v>18.073219999999999</v>
      </c>
      <c r="J6793">
        <v>-333.14229999999998</v>
      </c>
      <c r="K6793">
        <v>1.120895</v>
      </c>
      <c r="L6793">
        <v>17.51004</v>
      </c>
      <c r="M6793">
        <v>0.9998958</v>
      </c>
      <c r="N6793">
        <v>-1.368513E-2</v>
      </c>
      <c r="O6793">
        <v>4.6118419999999997E-3</v>
      </c>
      <c r="P6793">
        <v>0.99515220000000004</v>
      </c>
      <c r="Q6793">
        <v>-9.5501240000000001E-2</v>
      </c>
      <c r="R6793">
        <v>2.3489699999999999E-2</v>
      </c>
      <c r="S6793">
        <v>2.9852289999999999</v>
      </c>
      <c r="T6793">
        <v>-0.2721864</v>
      </c>
      <c r="U6793">
        <v>0.13693239999999901</v>
      </c>
      <c r="V6793">
        <v>-1.8933539999999999E-2</v>
      </c>
      <c r="W6793">
        <v>-8.1864399999999907E-2</v>
      </c>
      <c r="X6793">
        <v>0.9964636</v>
      </c>
      <c r="Y6793">
        <v>-4.103217E-2</v>
      </c>
      <c r="Z6793">
        <v>1.790935E-3</v>
      </c>
      <c r="AA6793">
        <v>0.99915620000000005</v>
      </c>
      <c r="AB6793">
        <v>23</v>
      </c>
      <c r="AC6793">
        <v>12.078399999999901</v>
      </c>
      <c r="AD6793">
        <v>-1.120899478333</v>
      </c>
      <c r="AE6793">
        <v>0.56318000000000201</v>
      </c>
      <c r="AF6793">
        <v>-0.50314136691890698</v>
      </c>
      <c r="AG6793">
        <v>-1.120899478333</v>
      </c>
      <c r="AH6793">
        <v>11.9779363699231</v>
      </c>
      <c r="AI6793">
        <v>95.341506227328495</v>
      </c>
      <c r="AJ6793">
        <v>92.405334148049903</v>
      </c>
      <c r="AK6793">
        <v>12.0407859609561</v>
      </c>
      <c r="AL6793">
        <v>94.695739657331302</v>
      </c>
      <c r="AM6793">
        <v>91.088530893039305</v>
      </c>
      <c r="AN6793">
        <v>0.99999998252462496</v>
      </c>
    </row>
    <row r="6794" spans="1:40" x14ac:dyDescent="0.25">
      <c r="A6794" t="str">
        <f>"20190303154315886"</f>
        <v>20190303154315886</v>
      </c>
      <c r="B6794" t="str">
        <f>"1551598995876600"</f>
        <v>1551598995876600</v>
      </c>
      <c r="C6794" t="s">
        <v>40</v>
      </c>
      <c r="D6794">
        <v>5.5803379999999896</v>
      </c>
      <c r="E6794">
        <v>0.49176249999999999</v>
      </c>
      <c r="F6794" t="s">
        <v>41</v>
      </c>
      <c r="G6794">
        <v>-320.98450000000003</v>
      </c>
      <c r="H6794" s="1">
        <v>-4.518153E-6</v>
      </c>
      <c r="I6794">
        <v>18.060549999999999</v>
      </c>
      <c r="J6794">
        <v>-332.93770000000001</v>
      </c>
      <c r="K6794">
        <v>1.120897</v>
      </c>
      <c r="L6794">
        <v>17.51071</v>
      </c>
      <c r="M6794">
        <v>0.99989680000000003</v>
      </c>
      <c r="N6794">
        <v>-1.3683000000000001E-2</v>
      </c>
      <c r="O6794">
        <v>4.3834690000000001E-3</v>
      </c>
      <c r="P6794">
        <v>0.99514879999999994</v>
      </c>
      <c r="Q6794">
        <v>-9.5687969999999997E-2</v>
      </c>
      <c r="R6794">
        <v>2.2866290000000001E-2</v>
      </c>
      <c r="S6794">
        <v>2.9850159999999999</v>
      </c>
      <c r="T6794">
        <v>-0.2752057</v>
      </c>
      <c r="U6794">
        <v>0.13516239999999999</v>
      </c>
      <c r="V6794">
        <v>-1.853745E-2</v>
      </c>
      <c r="W6794">
        <v>-8.2053550000000003E-2</v>
      </c>
      <c r="X6794">
        <v>0.99645550000000005</v>
      </c>
      <c r="Y6794">
        <v>-4.0669730000000001E-2</v>
      </c>
      <c r="Z6794">
        <v>1.8057209999999999E-3</v>
      </c>
      <c r="AA6794">
        <v>0.99917100000000003</v>
      </c>
      <c r="AB6794">
        <v>23</v>
      </c>
      <c r="AC6794">
        <v>11.953199999999899</v>
      </c>
      <c r="AD6794">
        <v>-1.120901518153</v>
      </c>
      <c r="AE6794">
        <v>0.549839999999999</v>
      </c>
      <c r="AF6794">
        <v>-0.49310630821682599</v>
      </c>
      <c r="AG6794">
        <v>-1.120901518153</v>
      </c>
      <c r="AH6794">
        <v>11.8514983270945</v>
      </c>
      <c r="AI6794">
        <v>95.398256400364801</v>
      </c>
      <c r="AJ6794">
        <v>92.382536208328403</v>
      </c>
      <c r="AK6794">
        <v>11.9145955299257</v>
      </c>
      <c r="AL6794">
        <v>94.706613689387297</v>
      </c>
      <c r="AM6794">
        <v>91.065772776924803</v>
      </c>
      <c r="AN6794">
        <v>0.99999999280017704</v>
      </c>
    </row>
    <row r="6795" spans="1:40" x14ac:dyDescent="0.25">
      <c r="A6795" t="str">
        <f>"20190303154315900"</f>
        <v>20190303154315900</v>
      </c>
      <c r="B6795" t="str">
        <f>"1551598995897097"</f>
        <v>1551598995897097</v>
      </c>
      <c r="C6795" t="s">
        <v>40</v>
      </c>
      <c r="D6795">
        <v>5.6137499999999996</v>
      </c>
      <c r="E6795">
        <v>0.49157590000000001</v>
      </c>
      <c r="F6795" t="s">
        <v>41</v>
      </c>
      <c r="G6795">
        <v>-320.8965</v>
      </c>
      <c r="H6795" s="1">
        <v>-4.5610489999999999E-6</v>
      </c>
      <c r="I6795">
        <v>18.053260000000002</v>
      </c>
      <c r="J6795">
        <v>-332.798</v>
      </c>
      <c r="K6795">
        <v>1.1208940000000001</v>
      </c>
      <c r="L6795">
        <v>17.51117</v>
      </c>
      <c r="M6795">
        <v>0.99989760000000005</v>
      </c>
      <c r="N6795">
        <v>-1.3681540000000001E-2</v>
      </c>
      <c r="O6795">
        <v>4.2272070000000002E-3</v>
      </c>
      <c r="P6795">
        <v>0.99515469999999895</v>
      </c>
      <c r="Q6795">
        <v>-9.5661540000000003E-2</v>
      </c>
      <c r="R6795">
        <v>2.2727359999999999E-2</v>
      </c>
      <c r="S6795">
        <v>2.9848629999999998</v>
      </c>
      <c r="T6795">
        <v>-0.27785650000000001</v>
      </c>
      <c r="U6795">
        <v>0.134491</v>
      </c>
      <c r="V6795">
        <v>-1.855364E-2</v>
      </c>
      <c r="W6795">
        <v>-8.2028530000000002E-2</v>
      </c>
      <c r="X6795">
        <v>0.99645729999999999</v>
      </c>
      <c r="Y6795">
        <v>-4.060047E-2</v>
      </c>
      <c r="Z6795">
        <v>1.8285269999999999E-3</v>
      </c>
      <c r="AA6795">
        <v>0.9991738</v>
      </c>
      <c r="AB6795">
        <v>22</v>
      </c>
      <c r="AC6795">
        <v>11.9015</v>
      </c>
      <c r="AD6795">
        <v>-1.1208985610490001</v>
      </c>
      <c r="AE6795">
        <v>0.54209000000000096</v>
      </c>
      <c r="AF6795">
        <v>-0.48745551441421497</v>
      </c>
      <c r="AG6795">
        <v>-1.1208985610490001</v>
      </c>
      <c r="AH6795">
        <v>11.799241445241099</v>
      </c>
      <c r="AI6795">
        <v>95.422073721652495</v>
      </c>
      <c r="AJ6795">
        <v>92.365683505876405</v>
      </c>
      <c r="AK6795">
        <v>11.862382776903999</v>
      </c>
      <c r="AL6795">
        <v>94.705175105770493</v>
      </c>
      <c r="AM6795">
        <v>91.066701446440106</v>
      </c>
      <c r="AN6795">
        <v>1.0000000340072399</v>
      </c>
    </row>
    <row r="6796" spans="1:40" x14ac:dyDescent="0.25">
      <c r="A6796" t="str">
        <f>"20190303154315912"</f>
        <v>20190303154315912</v>
      </c>
      <c r="B6796" t="str">
        <f>"1551598995906856"</f>
        <v>1551598995906856</v>
      </c>
      <c r="C6796" t="s">
        <v>40</v>
      </c>
      <c r="D6796">
        <v>5.6133559999999996</v>
      </c>
      <c r="E6796">
        <v>0.49136020000000002</v>
      </c>
      <c r="F6796" t="s">
        <v>41</v>
      </c>
      <c r="G6796">
        <v>-320.80529999999999</v>
      </c>
      <c r="H6796" s="1">
        <v>-4.6037109999999997E-6</v>
      </c>
      <c r="I6796">
        <v>18.055720000000001</v>
      </c>
      <c r="J6796">
        <v>-332.67099999999999</v>
      </c>
      <c r="K6796">
        <v>1.1208940000000001</v>
      </c>
      <c r="L6796">
        <v>17.51154</v>
      </c>
      <c r="M6796">
        <v>0.99989810000000001</v>
      </c>
      <c r="N6796">
        <v>-1.368021E-2</v>
      </c>
      <c r="O6796">
        <v>4.085427E-3</v>
      </c>
      <c r="P6796">
        <v>0.99516280000000001</v>
      </c>
      <c r="Q6796">
        <v>-9.562292E-2</v>
      </c>
      <c r="R6796">
        <v>2.2523100000000001E-2</v>
      </c>
      <c r="S6796">
        <v>2.984772</v>
      </c>
      <c r="T6796">
        <v>-0.278972</v>
      </c>
      <c r="U6796">
        <v>0.1355286</v>
      </c>
      <c r="V6796">
        <v>-1.8490980000000001E-2</v>
      </c>
      <c r="W6796">
        <v>-8.1991209999999995E-2</v>
      </c>
      <c r="X6796">
        <v>0.9964615</v>
      </c>
      <c r="Y6796">
        <v>-4.1085900000000002E-2</v>
      </c>
      <c r="Z6796">
        <v>1.8717339999999999E-3</v>
      </c>
      <c r="AA6796">
        <v>0.99915390000000004</v>
      </c>
      <c r="AB6796">
        <v>22</v>
      </c>
      <c r="AC6796">
        <v>11.8657</v>
      </c>
      <c r="AD6796">
        <v>-1.120898603711</v>
      </c>
      <c r="AE6796">
        <v>0.54418</v>
      </c>
      <c r="AF6796">
        <v>-0.491319277703617</v>
      </c>
      <c r="AG6796">
        <v>-1.120898603711</v>
      </c>
      <c r="AH6796">
        <v>11.7630743126509</v>
      </c>
      <c r="AI6796">
        <v>95.4385428950917</v>
      </c>
      <c r="AJ6796">
        <v>92.391735976519399</v>
      </c>
      <c r="AK6796">
        <v>11.826568631576601</v>
      </c>
      <c r="AL6796">
        <v>94.703029770353396</v>
      </c>
      <c r="AM6796">
        <v>91.063095293443794</v>
      </c>
      <c r="AN6796">
        <v>0.99999999792043703</v>
      </c>
    </row>
    <row r="6797" spans="1:40" x14ac:dyDescent="0.25">
      <c r="A6797" t="str">
        <f>"20190303154315926"</f>
        <v>20190303154315926</v>
      </c>
      <c r="B6797" t="str">
        <f>"1551598995916617"</f>
        <v>1551598995916617</v>
      </c>
      <c r="C6797" t="s">
        <v>40</v>
      </c>
      <c r="D6797">
        <v>5.6197710000000001</v>
      </c>
      <c r="E6797">
        <v>0.49121939999999997</v>
      </c>
      <c r="F6797" t="s">
        <v>41</v>
      </c>
      <c r="G6797">
        <v>-320.75479999999999</v>
      </c>
      <c r="H6797" s="1">
        <v>-4.627347E-6</v>
      </c>
      <c r="I6797">
        <v>18.056920000000002</v>
      </c>
      <c r="J6797">
        <v>-332.53269999999998</v>
      </c>
      <c r="K6797">
        <v>1.1208940000000001</v>
      </c>
      <c r="L6797">
        <v>17.511900000000001</v>
      </c>
      <c r="M6797">
        <v>0.99989879999999998</v>
      </c>
      <c r="N6797">
        <v>-1.367876E-2</v>
      </c>
      <c r="O6797">
        <v>3.9310129999999997E-3</v>
      </c>
      <c r="P6797">
        <v>0.99514420000000003</v>
      </c>
      <c r="Q6797">
        <v>-9.5888329999999994E-2</v>
      </c>
      <c r="R6797">
        <v>2.22125E-2</v>
      </c>
      <c r="S6797">
        <v>2.9845579999999998</v>
      </c>
      <c r="T6797">
        <v>-0.28074290000000002</v>
      </c>
      <c r="U6797">
        <v>0.13659669999999999</v>
      </c>
      <c r="V6797">
        <v>-1.8333780000000001E-2</v>
      </c>
      <c r="W6797">
        <v>-8.2258449999999997E-2</v>
      </c>
      <c r="X6797">
        <v>0.99644239999999995</v>
      </c>
      <c r="Y6797">
        <v>-4.1594930000000002E-2</v>
      </c>
      <c r="Z6797">
        <v>1.9212459999999999E-3</v>
      </c>
      <c r="AA6797">
        <v>0.99913269999999998</v>
      </c>
      <c r="AB6797">
        <v>22</v>
      </c>
      <c r="AC6797">
        <v>11.777899999999899</v>
      </c>
      <c r="AD6797">
        <v>-1.1208986273469901</v>
      </c>
      <c r="AE6797">
        <v>0.54502000000000095</v>
      </c>
      <c r="AF6797">
        <v>-0.49424543673579102</v>
      </c>
      <c r="AG6797">
        <v>-1.1208986273469901</v>
      </c>
      <c r="AH6797">
        <v>11.674439143933199</v>
      </c>
      <c r="AI6797">
        <v>95.479453568827594</v>
      </c>
      <c r="AJ6797">
        <v>92.424208740683</v>
      </c>
      <c r="AK6797">
        <v>11.7385357523808</v>
      </c>
      <c r="AL6797">
        <v>94.718393295697396</v>
      </c>
      <c r="AM6797">
        <v>91.054079697772494</v>
      </c>
      <c r="AN6797">
        <v>1.00000001830162</v>
      </c>
    </row>
    <row r="6798" spans="1:40" x14ac:dyDescent="0.25">
      <c r="A6798" t="str">
        <f>"20190303154315942"</f>
        <v>20190303154315942</v>
      </c>
      <c r="B6798" t="str">
        <f>"1551598995936620"</f>
        <v>1551598995936620</v>
      </c>
      <c r="C6798" t="s">
        <v>40</v>
      </c>
      <c r="D6798">
        <v>5.6434069999999998</v>
      </c>
      <c r="E6798">
        <v>0.49101689999999998</v>
      </c>
      <c r="F6798" t="s">
        <v>41</v>
      </c>
      <c r="G6798">
        <v>-320.66669999999999</v>
      </c>
      <c r="H6798" s="1">
        <v>-4.6692199999999998E-6</v>
      </c>
      <c r="I6798">
        <v>18.05574</v>
      </c>
      <c r="J6798">
        <v>-332.37830000000002</v>
      </c>
      <c r="K6798">
        <v>1.120895</v>
      </c>
      <c r="L6798">
        <v>17.512329999999999</v>
      </c>
      <c r="M6798">
        <v>0.99989939999999999</v>
      </c>
      <c r="N6798">
        <v>-1.3677150000000001E-2</v>
      </c>
      <c r="O6798">
        <v>3.7585409999999998E-3</v>
      </c>
      <c r="P6798">
        <v>0.99516499999999997</v>
      </c>
      <c r="Q6798">
        <v>-9.569387E-2</v>
      </c>
      <c r="R6798">
        <v>2.2124000000000001E-2</v>
      </c>
      <c r="S6798">
        <v>2.984375</v>
      </c>
      <c r="T6798">
        <v>-0.2819139</v>
      </c>
      <c r="U6798">
        <v>0.13677979999999901</v>
      </c>
      <c r="V6798">
        <v>-1.8416749999999999E-2</v>
      </c>
      <c r="W6798">
        <v>-8.2065369999999999E-2</v>
      </c>
      <c r="X6798">
        <v>0.99645680000000003</v>
      </c>
      <c r="Y6798">
        <v>-4.1827959999999997E-2</v>
      </c>
      <c r="Z6798">
        <v>1.9543450000000001E-3</v>
      </c>
      <c r="AA6798">
        <v>0.99912290000000004</v>
      </c>
      <c r="AB6798">
        <v>22</v>
      </c>
      <c r="AC6798">
        <v>11.711600000000001</v>
      </c>
      <c r="AD6798">
        <v>-1.12089966922</v>
      </c>
      <c r="AE6798">
        <v>0.54341000000000095</v>
      </c>
      <c r="AF6798">
        <v>-0.49486027456872</v>
      </c>
      <c r="AG6798">
        <v>-1.12089966922</v>
      </c>
      <c r="AH6798">
        <v>11.607462582519901</v>
      </c>
      <c r="AI6798">
        <v>95.510812691500604</v>
      </c>
      <c r="AJ6798">
        <v>92.441209317817197</v>
      </c>
      <c r="AK6798">
        <v>11.6719531512255</v>
      </c>
      <c r="AL6798">
        <v>94.707293051423804</v>
      </c>
      <c r="AM6798">
        <v>91.058833581214103</v>
      </c>
      <c r="AN6798">
        <v>1.0000000279500101</v>
      </c>
    </row>
    <row r="6799" spans="1:40" x14ac:dyDescent="0.25">
      <c r="A6799" t="str">
        <f>"20190303154315956"</f>
        <v>20190303154315956</v>
      </c>
      <c r="B6799" t="str">
        <f>"1551598995947356"</f>
        <v>1551598995947356</v>
      </c>
      <c r="C6799" t="s">
        <v>40</v>
      </c>
      <c r="D6799">
        <v>5.627853</v>
      </c>
      <c r="E6799">
        <v>0.49084929999999899</v>
      </c>
      <c r="F6799" t="s">
        <v>41</v>
      </c>
      <c r="G6799">
        <v>-320.53140000000002</v>
      </c>
      <c r="H6799" s="1">
        <v>-4.7322859999999996E-6</v>
      </c>
      <c r="I6799">
        <v>18.06063</v>
      </c>
      <c r="J6799">
        <v>-332.2398</v>
      </c>
      <c r="K6799">
        <v>1.1208910000000001</v>
      </c>
      <c r="L6799">
        <v>17.51266</v>
      </c>
      <c r="M6799">
        <v>0.99990000000000001</v>
      </c>
      <c r="N6799">
        <v>-1.3675700000000001E-2</v>
      </c>
      <c r="O6799">
        <v>3.6035899999999998E-3</v>
      </c>
      <c r="P6799">
        <v>0.99515750000000003</v>
      </c>
      <c r="Q6799">
        <v>-9.5778740000000001E-2</v>
      </c>
      <c r="R6799">
        <v>2.2087599999999999E-2</v>
      </c>
      <c r="S6799">
        <v>2.9843440000000001</v>
      </c>
      <c r="T6799">
        <v>-0.28236650000000002</v>
      </c>
      <c r="U6799">
        <v>0.13812260000000001</v>
      </c>
      <c r="V6799">
        <v>-1.8534450000000001E-2</v>
      </c>
      <c r="W6799">
        <v>-8.2151749999999996E-2</v>
      </c>
      <c r="X6799">
        <v>0.99644739999999998</v>
      </c>
      <c r="Y6799">
        <v>-4.2427689999999997E-2</v>
      </c>
      <c r="Z6799">
        <v>2.0018089999999998E-3</v>
      </c>
      <c r="AA6799">
        <v>0.99909749999999997</v>
      </c>
      <c r="AB6799">
        <v>22</v>
      </c>
      <c r="AC6799">
        <v>11.7083999999999</v>
      </c>
      <c r="AD6799">
        <v>-1.120895732286</v>
      </c>
      <c r="AE6799">
        <v>0.54796999999999896</v>
      </c>
      <c r="AF6799">
        <v>-0.50118685414675501</v>
      </c>
      <c r="AG6799">
        <v>-1.120895732286</v>
      </c>
      <c r="AH6799">
        <v>11.604178257300701</v>
      </c>
      <c r="AI6799">
        <v>95.512212803886797</v>
      </c>
      <c r="AJ6799">
        <v>92.473079551900597</v>
      </c>
      <c r="AK6799">
        <v>11.6689566171375</v>
      </c>
      <c r="AL6799">
        <v>94.712259498973793</v>
      </c>
      <c r="AM6799">
        <v>91.065608997972006</v>
      </c>
      <c r="AN6799">
        <v>0.99999992841580898</v>
      </c>
    </row>
    <row r="6800" spans="1:40" x14ac:dyDescent="0.25">
      <c r="A6800" t="str">
        <f>"20190303154315976"</f>
        <v>20190303154315976</v>
      </c>
      <c r="B6800" t="str">
        <f>"1551598995967487"</f>
        <v>1551598995967487</v>
      </c>
      <c r="C6800" t="s">
        <v>40</v>
      </c>
      <c r="D6800">
        <v>5.6671420000000001</v>
      </c>
      <c r="E6800">
        <v>0.48521449999999999</v>
      </c>
      <c r="F6800" t="s">
        <v>41</v>
      </c>
      <c r="G6800">
        <v>-320.43380000000002</v>
      </c>
      <c r="H6800" s="1">
        <v>-4.7778689999999998E-6</v>
      </c>
      <c r="I6800">
        <v>18.06381</v>
      </c>
      <c r="J6800">
        <v>-332.03660000000002</v>
      </c>
      <c r="K6800">
        <v>1.1208929999999999</v>
      </c>
      <c r="L6800">
        <v>17.51315</v>
      </c>
      <c r="M6800">
        <v>0.99990089999999998</v>
      </c>
      <c r="N6800">
        <v>-1.3673569999999999E-2</v>
      </c>
      <c r="O6800">
        <v>3.3765879999999998E-3</v>
      </c>
      <c r="P6800">
        <v>0.99517140000000004</v>
      </c>
      <c r="Q6800">
        <v>-9.5735879999999995E-2</v>
      </c>
      <c r="R6800">
        <v>2.1646100000000001E-2</v>
      </c>
      <c r="S6800">
        <v>2.9842219999999999</v>
      </c>
      <c r="T6800">
        <v>-0.28333079999999999</v>
      </c>
      <c r="U6800">
        <v>0.13931270000000001</v>
      </c>
      <c r="V6800">
        <v>-1.8318790000000001E-2</v>
      </c>
      <c r="W6800">
        <v>-8.2111020000000007E-2</v>
      </c>
      <c r="X6800">
        <v>0.99645479999999997</v>
      </c>
      <c r="Y6800">
        <v>-4.3048749999999997E-2</v>
      </c>
      <c r="Z6800">
        <v>2.0595190000000001E-3</v>
      </c>
      <c r="AA6800">
        <v>0.99907080000000004</v>
      </c>
      <c r="AB6800">
        <v>22</v>
      </c>
      <c r="AC6800">
        <v>11.6028</v>
      </c>
      <c r="AD6800">
        <v>-1.1208977778689999</v>
      </c>
      <c r="AE6800">
        <v>0.55066000000000004</v>
      </c>
      <c r="AF6800">
        <v>-0.50675655687506405</v>
      </c>
      <c r="AG6800">
        <v>-1.1208977778689999</v>
      </c>
      <c r="AH6800">
        <v>11.4975317212227</v>
      </c>
      <c r="AI6800">
        <v>95.562819652348594</v>
      </c>
      <c r="AJ6800">
        <v>92.523692313573804</v>
      </c>
      <c r="AK6800">
        <v>11.5631505099989</v>
      </c>
      <c r="AL6800">
        <v>94.709917672802305</v>
      </c>
      <c r="AM6800">
        <v>91.0532049556722</v>
      </c>
      <c r="AN6800">
        <v>0.99999998305777205</v>
      </c>
    </row>
    <row r="6801" spans="1:40" x14ac:dyDescent="0.25">
      <c r="A6801" t="str">
        <f>"20190303154315987"</f>
        <v>20190303154315987</v>
      </c>
      <c r="B6801" t="str">
        <f>"1551598995977251"</f>
        <v>1551598995977251</v>
      </c>
      <c r="C6801" t="s">
        <v>40</v>
      </c>
      <c r="D6801">
        <v>5.6521819999999998</v>
      </c>
      <c r="E6801">
        <v>0.48567749999999998</v>
      </c>
      <c r="F6801" t="s">
        <v>41</v>
      </c>
      <c r="G6801">
        <v>-321.67410000000001</v>
      </c>
      <c r="H6801" s="1">
        <v>-4.1769209999999997E-6</v>
      </c>
      <c r="I6801">
        <v>18.146460000000001</v>
      </c>
      <c r="J6801">
        <v>-331.91480000000001</v>
      </c>
      <c r="K6801">
        <v>1.1208990000000001</v>
      </c>
      <c r="L6801">
        <v>17.513400000000001</v>
      </c>
      <c r="M6801">
        <v>0.99990140000000005</v>
      </c>
      <c r="N6801">
        <v>-1.367228E-2</v>
      </c>
      <c r="O6801">
        <v>3.2402910000000002E-3</v>
      </c>
      <c r="P6801">
        <v>0.99517860000000002</v>
      </c>
      <c r="Q6801">
        <v>-9.5673320000000006E-2</v>
      </c>
      <c r="R6801">
        <v>2.1600850000000001E-2</v>
      </c>
      <c r="S6801">
        <v>2.979584</v>
      </c>
      <c r="T6801">
        <v>-0.32229730000000001</v>
      </c>
      <c r="U6801">
        <v>0.18209839999999999</v>
      </c>
      <c r="V6801">
        <v>-1.8409640000000001E-2</v>
      </c>
      <c r="W6801">
        <v>-8.2049639999999993E-2</v>
      </c>
      <c r="X6801">
        <v>0.99645819999999996</v>
      </c>
      <c r="Y6801">
        <v>-5.7404900000000002E-2</v>
      </c>
      <c r="Z6801">
        <v>3.1819140000000001E-3</v>
      </c>
      <c r="AA6801">
        <v>0.99834590000000001</v>
      </c>
      <c r="AB6801">
        <v>22</v>
      </c>
      <c r="AC6801">
        <v>10.2407</v>
      </c>
      <c r="AD6801">
        <v>-1.1209031769209901</v>
      </c>
      <c r="AE6801">
        <v>0.63305999999999996</v>
      </c>
      <c r="AF6801">
        <v>-0.59279574523929701</v>
      </c>
      <c r="AG6801">
        <v>-1.1209031769209901</v>
      </c>
      <c r="AH6801">
        <v>10.121893474093699</v>
      </c>
      <c r="AI6801">
        <v>96.308491101902007</v>
      </c>
      <c r="AJ6801">
        <v>93.351738666786304</v>
      </c>
      <c r="AK6801">
        <v>10.201007706521301</v>
      </c>
      <c r="AL6801">
        <v>94.706388864801099</v>
      </c>
      <c r="AM6801">
        <v>91.058423412510905</v>
      </c>
      <c r="AN6801">
        <v>1.00000000130814</v>
      </c>
    </row>
    <row r="6802" spans="1:40" x14ac:dyDescent="0.25">
      <c r="A6802" t="str">
        <f>"20190303154316000"</f>
        <v>20190303154316000</v>
      </c>
      <c r="B6802" t="str">
        <f>"1551598995996771"</f>
        <v>1551598995996771</v>
      </c>
      <c r="C6802" t="s">
        <v>40</v>
      </c>
      <c r="D6802">
        <v>5.6269479999999996</v>
      </c>
      <c r="E6802">
        <v>0.48549560000000003</v>
      </c>
      <c r="F6802" t="s">
        <v>41</v>
      </c>
      <c r="G6802">
        <v>-321.38339999999999</v>
      </c>
      <c r="H6802" s="1">
        <v>-4.3148499999999999E-6</v>
      </c>
      <c r="I6802">
        <v>18.143630000000002</v>
      </c>
      <c r="J6802">
        <v>-331.7987</v>
      </c>
      <c r="K6802">
        <v>1.1209</v>
      </c>
      <c r="L6802">
        <v>17.51361</v>
      </c>
      <c r="M6802">
        <v>0.99990179999999995</v>
      </c>
      <c r="N6802">
        <v>-1.3671050000000001E-2</v>
      </c>
      <c r="O6802">
        <v>3.1105500000000001E-3</v>
      </c>
      <c r="P6802">
        <v>0.99520399999999998</v>
      </c>
      <c r="Q6802">
        <v>-9.5406930000000001E-2</v>
      </c>
      <c r="R6802">
        <v>2.1604930000000001E-2</v>
      </c>
      <c r="S6802">
        <v>2.980194</v>
      </c>
      <c r="T6802">
        <v>-0.31719509999999901</v>
      </c>
      <c r="U6802">
        <v>0.17834469999999999</v>
      </c>
      <c r="V6802">
        <v>-1.8542139999999999E-2</v>
      </c>
      <c r="W6802">
        <v>-8.1784170000000003E-2</v>
      </c>
      <c r="X6802">
        <v>0.99647750000000002</v>
      </c>
      <c r="Y6802">
        <v>-5.6286360000000001E-2</v>
      </c>
      <c r="Z6802">
        <v>3.0831959999999999E-3</v>
      </c>
      <c r="AA6802">
        <v>0.99840989999999996</v>
      </c>
      <c r="AB6802">
        <v>22</v>
      </c>
      <c r="AC6802">
        <v>10.4153</v>
      </c>
      <c r="AD6802">
        <v>-1.12090431485</v>
      </c>
      <c r="AE6802">
        <v>0.63001999999999803</v>
      </c>
      <c r="AF6802">
        <v>-0.59079877358071597</v>
      </c>
      <c r="AG6802">
        <v>-1.12090431485</v>
      </c>
      <c r="AH6802">
        <v>10.298365938650299</v>
      </c>
      <c r="AI6802">
        <v>96.201670429792401</v>
      </c>
      <c r="AJ6802">
        <v>93.283357245301005</v>
      </c>
      <c r="AK6802">
        <v>10.3760209464065</v>
      </c>
      <c r="AL6802">
        <v>94.691127575535404</v>
      </c>
      <c r="AM6802">
        <v>91.066018826259807</v>
      </c>
      <c r="AN6802">
        <v>0.99999993471230697</v>
      </c>
    </row>
    <row r="6803" spans="1:40" x14ac:dyDescent="0.25">
      <c r="A6803" t="str">
        <f>"20190303154316011"</f>
        <v>20190303154316011</v>
      </c>
      <c r="B6803" t="str">
        <f>"1551598996007506"</f>
        <v>1551598996007506</v>
      </c>
      <c r="C6803" t="s">
        <v>40</v>
      </c>
      <c r="D6803">
        <v>5.6372790000000004</v>
      </c>
      <c r="E6803">
        <v>0.48548459999999899</v>
      </c>
      <c r="F6803" t="s">
        <v>41</v>
      </c>
      <c r="G6803">
        <v>-321.12180000000001</v>
      </c>
      <c r="H6803" s="1">
        <v>-4.4359059999999999E-6</v>
      </c>
      <c r="I6803">
        <v>18.158159999999999</v>
      </c>
      <c r="J6803">
        <v>-331.68079999999998</v>
      </c>
      <c r="K6803">
        <v>1.1209009999999999</v>
      </c>
      <c r="L6803">
        <v>17.513850000000001</v>
      </c>
      <c r="M6803">
        <v>0.99990210000000002</v>
      </c>
      <c r="N6803">
        <v>-1.36697999999999E-2</v>
      </c>
      <c r="O6803">
        <v>2.978783E-3</v>
      </c>
      <c r="P6803">
        <v>0.99520489999999995</v>
      </c>
      <c r="Q6803">
        <v>-9.5411700000000002E-2</v>
      </c>
      <c r="R6803">
        <v>2.153654E-2</v>
      </c>
      <c r="S6803">
        <v>2.9805600000000001</v>
      </c>
      <c r="T6803">
        <v>-0.31291079999999999</v>
      </c>
      <c r="U6803">
        <v>0.1799316</v>
      </c>
      <c r="V6803">
        <v>-1.8604849999999999E-2</v>
      </c>
      <c r="W6803">
        <v>-8.1790150000000006E-2</v>
      </c>
      <c r="X6803">
        <v>0.99647589999999997</v>
      </c>
      <c r="Y6803">
        <v>-5.6944370000000001E-2</v>
      </c>
      <c r="Z6803">
        <v>3.0980349999999999E-3</v>
      </c>
      <c r="AA6803">
        <v>0.99837260000000005</v>
      </c>
      <c r="AB6803">
        <v>22</v>
      </c>
      <c r="AC6803">
        <v>10.5589999999999</v>
      </c>
      <c r="AD6803">
        <v>-1.120905435906</v>
      </c>
      <c r="AE6803">
        <v>0.64431000000000005</v>
      </c>
      <c r="AF6803">
        <v>-0.606046914095968</v>
      </c>
      <c r="AG6803">
        <v>-1.120905435906</v>
      </c>
      <c r="AH6803">
        <v>10.443618146434501</v>
      </c>
      <c r="AI6803">
        <v>96.115849423261494</v>
      </c>
      <c r="AJ6803">
        <v>93.321169978752593</v>
      </c>
      <c r="AK6803">
        <v>10.521068474583</v>
      </c>
      <c r="AL6803">
        <v>94.691471076427206</v>
      </c>
      <c r="AM6803">
        <v>91.069625010532803</v>
      </c>
      <c r="AN6803">
        <v>0.99999999418067698</v>
      </c>
    </row>
    <row r="6804" spans="1:40" x14ac:dyDescent="0.25">
      <c r="A6804" t="str">
        <f>"20190303154316031"</f>
        <v>20190303154316031</v>
      </c>
      <c r="B6804" t="str">
        <f>"1551598996027026"</f>
        <v>1551598996027026</v>
      </c>
      <c r="C6804" t="s">
        <v>40</v>
      </c>
      <c r="D6804">
        <v>5.6135710000000003</v>
      </c>
      <c r="E6804">
        <v>0.48536810000000002</v>
      </c>
      <c r="F6804" t="s">
        <v>41</v>
      </c>
      <c r="G6804">
        <v>-320.97030000000001</v>
      </c>
      <c r="H6804" s="1">
        <v>-4.5072099999999997E-6</v>
      </c>
      <c r="I6804">
        <v>18.159980000000001</v>
      </c>
      <c r="J6804">
        <v>-331.48439999999999</v>
      </c>
      <c r="K6804">
        <v>1.1208959999999999</v>
      </c>
      <c r="L6804">
        <v>17.51416</v>
      </c>
      <c r="M6804">
        <v>0.99990290000000004</v>
      </c>
      <c r="N6804">
        <v>-1.3667749999999999E-2</v>
      </c>
      <c r="O6804">
        <v>2.7591120000000002E-3</v>
      </c>
      <c r="P6804">
        <v>0.99524219999999997</v>
      </c>
      <c r="Q6804">
        <v>-9.4959589999999997E-2</v>
      </c>
      <c r="R6804">
        <v>2.1816680000000001E-2</v>
      </c>
      <c r="S6804">
        <v>2.980591</v>
      </c>
      <c r="T6804">
        <v>-0.3119344</v>
      </c>
      <c r="U6804">
        <v>0.17980960000000001</v>
      </c>
      <c r="V6804">
        <v>-1.9103040000000002E-2</v>
      </c>
      <c r="W6804">
        <v>-8.1339519999999998E-2</v>
      </c>
      <c r="X6804">
        <v>0.99650340000000004</v>
      </c>
      <c r="Y6804">
        <v>-5.7122329999999999E-2</v>
      </c>
      <c r="Z6804">
        <v>3.1200749999999999E-3</v>
      </c>
      <c r="AA6804">
        <v>0.99836230000000004</v>
      </c>
      <c r="AB6804">
        <v>22</v>
      </c>
      <c r="AC6804">
        <v>10.5140999999999</v>
      </c>
      <c r="AD6804">
        <v>-1.12090050720999</v>
      </c>
      <c r="AE6804">
        <v>0.64581999999999695</v>
      </c>
      <c r="AF6804">
        <v>-0.60989947571996606</v>
      </c>
      <c r="AG6804">
        <v>-1.12090050720999</v>
      </c>
      <c r="AH6804">
        <v>10.398106186228899</v>
      </c>
      <c r="AI6804">
        <v>96.142165849504394</v>
      </c>
      <c r="AJ6804">
        <v>93.356829919107994</v>
      </c>
      <c r="AK6804">
        <v>10.4761160540364</v>
      </c>
      <c r="AL6804">
        <v>94.665565372192603</v>
      </c>
      <c r="AM6804">
        <v>91.098229590945195</v>
      </c>
      <c r="AN6804">
        <v>1.0000000349313101</v>
      </c>
    </row>
    <row r="6805" spans="1:40" x14ac:dyDescent="0.25">
      <c r="A6805" t="str">
        <f>"20190303154316045"</f>
        <v>20190303154316045</v>
      </c>
      <c r="B6805" t="str">
        <f>"1551598996036786"</f>
        <v>1551598996036786</v>
      </c>
      <c r="C6805" t="s">
        <v>40</v>
      </c>
      <c r="D6805">
        <v>5.5778179999999997</v>
      </c>
      <c r="E6805">
        <v>0.4853112</v>
      </c>
      <c r="F6805" t="s">
        <v>41</v>
      </c>
      <c r="G6805">
        <v>-320.70800000000003</v>
      </c>
      <c r="H6805" s="1">
        <v>-4.6293239999999997E-6</v>
      </c>
      <c r="I6805">
        <v>18.170629999999999</v>
      </c>
      <c r="J6805">
        <v>-331.35169999999999</v>
      </c>
      <c r="K6805">
        <v>1.1208979999999999</v>
      </c>
      <c r="L6805">
        <v>17.514340000000001</v>
      </c>
      <c r="M6805">
        <v>0.99990319999999999</v>
      </c>
      <c r="N6805">
        <v>-1.3666360000000001E-2</v>
      </c>
      <c r="O6805">
        <v>2.6106580000000001E-3</v>
      </c>
      <c r="P6805">
        <v>0.99524389999999996</v>
      </c>
      <c r="Q6805">
        <v>-9.4947589999999998E-2</v>
      </c>
      <c r="R6805">
        <v>2.178252E-2</v>
      </c>
      <c r="S6805">
        <v>2.9807739999999998</v>
      </c>
      <c r="T6805">
        <v>-0.31004150000000003</v>
      </c>
      <c r="U6805">
        <v>0.18157960000000001</v>
      </c>
      <c r="V6805">
        <v>-1.9216629999999998E-2</v>
      </c>
      <c r="W6805">
        <v>-8.1328880000000006E-2</v>
      </c>
      <c r="X6805">
        <v>0.996502</v>
      </c>
      <c r="Y6805">
        <v>-5.7856350000000001E-2</v>
      </c>
      <c r="Z6805">
        <v>3.16001E-3</v>
      </c>
      <c r="AA6805">
        <v>0.99831990000000004</v>
      </c>
      <c r="AB6805">
        <v>22</v>
      </c>
      <c r="AC6805">
        <v>10.643700000000001</v>
      </c>
      <c r="AD6805">
        <v>-1.1209026293240001</v>
      </c>
      <c r="AE6805">
        <v>0.65628999999999804</v>
      </c>
      <c r="AF6805">
        <v>-0.62163004081927198</v>
      </c>
      <c r="AG6805">
        <v>-1.1209026293240001</v>
      </c>
      <c r="AH6805">
        <v>10.5290472739932</v>
      </c>
      <c r="AI6805">
        <v>96.0662294854897</v>
      </c>
      <c r="AJ6805">
        <v>93.378793961877193</v>
      </c>
      <c r="AK6805">
        <v>10.6067753398503</v>
      </c>
      <c r="AL6805">
        <v>94.664954111992699</v>
      </c>
      <c r="AM6805">
        <v>91.104759793246302</v>
      </c>
      <c r="AN6805">
        <v>0.99999995079730397</v>
      </c>
    </row>
    <row r="6806" spans="1:40" x14ac:dyDescent="0.25">
      <c r="A6806" t="str">
        <f>"20190303154316068"</f>
        <v>20190303154316068</v>
      </c>
      <c r="B6806" t="str">
        <f>"1551598996057282"</f>
        <v>1551598996057282</v>
      </c>
      <c r="C6806" t="s">
        <v>40</v>
      </c>
      <c r="D6806">
        <v>5.6130079999999998</v>
      </c>
      <c r="E6806">
        <v>0.48533520000000002</v>
      </c>
      <c r="F6806" t="s">
        <v>41</v>
      </c>
      <c r="G6806">
        <v>-320.60149999999999</v>
      </c>
      <c r="H6806" s="1">
        <v>-4.6796979999999998E-6</v>
      </c>
      <c r="I6806">
        <v>18.170439999999999</v>
      </c>
      <c r="J6806">
        <v>-331.11799999999999</v>
      </c>
      <c r="K6806">
        <v>1.120906</v>
      </c>
      <c r="L6806">
        <v>17.514679999999998</v>
      </c>
      <c r="M6806">
        <v>0.99990400000000002</v>
      </c>
      <c r="N6806">
        <v>-1.3664010000000001E-2</v>
      </c>
      <c r="O6806">
        <v>2.3492090000000001E-3</v>
      </c>
      <c r="P6806">
        <v>0.99526990000000004</v>
      </c>
      <c r="Q6806">
        <v>-9.4593140000000006E-2</v>
      </c>
      <c r="R6806">
        <v>2.2141339999999999E-2</v>
      </c>
      <c r="S6806">
        <v>2.9806819999999998</v>
      </c>
      <c r="T6806">
        <v>-0.3107896</v>
      </c>
      <c r="U6806">
        <v>0.1819153</v>
      </c>
      <c r="V6806">
        <v>-1.983586E-2</v>
      </c>
      <c r="W6806">
        <v>-8.0976259999999994E-2</v>
      </c>
      <c r="X6806">
        <v>0.99651860000000003</v>
      </c>
      <c r="Y6806">
        <v>-5.822637E-2</v>
      </c>
      <c r="Z6806">
        <v>3.2119200000000001E-3</v>
      </c>
      <c r="AA6806">
        <v>0.99829820000000002</v>
      </c>
      <c r="AB6806">
        <v>22</v>
      </c>
      <c r="AC6806">
        <v>10.516500000000001</v>
      </c>
      <c r="AD6806">
        <v>-1.120910679698</v>
      </c>
      <c r="AE6806">
        <v>0.65576000000000001</v>
      </c>
      <c r="AF6806">
        <v>-0.62398902419206304</v>
      </c>
      <c r="AG6806">
        <v>-1.120910679698</v>
      </c>
      <c r="AH6806">
        <v>10.400315895354501</v>
      </c>
      <c r="AI6806">
        <v>96.140442576399593</v>
      </c>
      <c r="AJ6806">
        <v>93.4334660708315</v>
      </c>
      <c r="AK6806">
        <v>10.479139935001101</v>
      </c>
      <c r="AL6806">
        <v>94.644683534268793</v>
      </c>
      <c r="AM6806">
        <v>91.140330943806802</v>
      </c>
      <c r="AN6806">
        <v>0.99999996808574299</v>
      </c>
    </row>
    <row r="6807" spans="1:40" x14ac:dyDescent="0.25">
      <c r="A6807" t="str">
        <f>"20190303154316087"</f>
        <v>20190303154316087</v>
      </c>
      <c r="B6807" t="str">
        <f>"1551598996076802"</f>
        <v>1551598996076802</v>
      </c>
      <c r="C6807" t="s">
        <v>40</v>
      </c>
      <c r="D6807">
        <v>5.594322</v>
      </c>
      <c r="E6807">
        <v>0.48512109999999897</v>
      </c>
      <c r="F6807" t="s">
        <v>41</v>
      </c>
      <c r="G6807">
        <v>-320.3159</v>
      </c>
      <c r="H6807" s="1">
        <v>-4.8134990000000003E-6</v>
      </c>
      <c r="I6807">
        <v>18.177250000000001</v>
      </c>
      <c r="J6807">
        <v>-330.92489999999998</v>
      </c>
      <c r="K6807">
        <v>1.120911</v>
      </c>
      <c r="L6807">
        <v>17.514859999999999</v>
      </c>
      <c r="M6807">
        <v>0.99990429999999997</v>
      </c>
      <c r="N6807">
        <v>-1.366207E-2</v>
      </c>
      <c r="O6807">
        <v>2.1333530000000002E-3</v>
      </c>
      <c r="P6807">
        <v>0.99528740000000004</v>
      </c>
      <c r="Q6807">
        <v>-9.4445589999999996E-2</v>
      </c>
      <c r="R6807">
        <v>2.1974049999999998E-2</v>
      </c>
      <c r="S6807">
        <v>2.9807739999999998</v>
      </c>
      <c r="T6807">
        <v>-0.30930639999999998</v>
      </c>
      <c r="U6807">
        <v>0.18283079999999999</v>
      </c>
      <c r="V6807">
        <v>-1.9883140000000001E-2</v>
      </c>
      <c r="W6807">
        <v>-8.0830509999999994E-2</v>
      </c>
      <c r="X6807">
        <v>0.99652949999999996</v>
      </c>
      <c r="Y6807">
        <v>-5.8744570000000003E-2</v>
      </c>
      <c r="Z6807">
        <v>3.2482639999999998E-3</v>
      </c>
      <c r="AA6807">
        <v>0.99826780000000004</v>
      </c>
      <c r="AB6807">
        <v>22</v>
      </c>
      <c r="AC6807">
        <v>10.608999999999901</v>
      </c>
      <c r="AD6807">
        <v>-1.120915813499</v>
      </c>
      <c r="AE6807">
        <v>0.66238999999999804</v>
      </c>
      <c r="AF6807">
        <v>-0.63271777243055904</v>
      </c>
      <c r="AG6807">
        <v>-1.120915813499</v>
      </c>
      <c r="AH6807">
        <v>10.493698478632</v>
      </c>
      <c r="AI6807">
        <v>96.086131036744305</v>
      </c>
      <c r="AJ6807">
        <v>93.450472901380806</v>
      </c>
      <c r="AK6807">
        <v>10.5723456149024</v>
      </c>
      <c r="AL6807">
        <v>94.636305165866602</v>
      </c>
      <c r="AM6807">
        <v>91.143035773613803</v>
      </c>
      <c r="AN6807">
        <v>0.99999997748668401</v>
      </c>
    </row>
    <row r="6808" spans="1:40" x14ac:dyDescent="0.25">
      <c r="A6808" t="str">
        <f>"20190303154316102"</f>
        <v>20190303154316102</v>
      </c>
      <c r="B6808" t="str">
        <f>"1551598996097298"</f>
        <v>1551598996097298</v>
      </c>
      <c r="C6808" t="s">
        <v>40</v>
      </c>
      <c r="D6808">
        <v>5.5709499999999998</v>
      </c>
      <c r="E6808">
        <v>0.4850062</v>
      </c>
      <c r="F6808" t="s">
        <v>41</v>
      </c>
      <c r="G6808">
        <v>-320.21499999999997</v>
      </c>
      <c r="H6808" s="1">
        <v>-4.8614039999999998E-6</v>
      </c>
      <c r="I6808">
        <v>18.175879999999999</v>
      </c>
      <c r="J6808">
        <v>-330.78969999999998</v>
      </c>
      <c r="K6808">
        <v>1.1209119999999999</v>
      </c>
      <c r="L6808">
        <v>17.514949999999999</v>
      </c>
      <c r="M6808">
        <v>0.99990480000000004</v>
      </c>
      <c r="N6808">
        <v>-1.366063E-2</v>
      </c>
      <c r="O6808">
        <v>1.981979E-3</v>
      </c>
      <c r="P6808">
        <v>0.99527770000000004</v>
      </c>
      <c r="Q6808">
        <v>-9.4582020000000003E-2</v>
      </c>
      <c r="R6808">
        <v>2.1831969999999999E-2</v>
      </c>
      <c r="S6808">
        <v>2.9805299999999999</v>
      </c>
      <c r="T6808">
        <v>-0.31194759999999999</v>
      </c>
      <c r="U6808">
        <v>0.18396000000000001</v>
      </c>
      <c r="V6808">
        <v>-1.989194E-2</v>
      </c>
      <c r="W6808">
        <v>-8.096855E-2</v>
      </c>
      <c r="X6808">
        <v>0.99651809999999996</v>
      </c>
      <c r="Y6808">
        <v>-5.9268010000000003E-2</v>
      </c>
      <c r="Z6808">
        <v>3.3169639999999999E-3</v>
      </c>
      <c r="AA6808">
        <v>0.99823660000000003</v>
      </c>
      <c r="AB6808">
        <v>22</v>
      </c>
      <c r="AC6808">
        <v>10.5747</v>
      </c>
      <c r="AD6808">
        <v>-1.1209168614039999</v>
      </c>
      <c r="AE6808">
        <v>0.66093000000000002</v>
      </c>
      <c r="AF6808">
        <v>-0.63288451108767596</v>
      </c>
      <c r="AG6808">
        <v>-1.1209168614039999</v>
      </c>
      <c r="AH6808">
        <v>10.4589303145292</v>
      </c>
      <c r="AI6808">
        <v>96.106137047902394</v>
      </c>
      <c r="AJ6808">
        <v>93.462825397606807</v>
      </c>
      <c r="AK6808">
        <v>10.5378470637381</v>
      </c>
      <c r="AL6808">
        <v>94.644240368435504</v>
      </c>
      <c r="AM6808">
        <v>91.143554609423106</v>
      </c>
      <c r="AN6808">
        <v>0.99999995949683695</v>
      </c>
    </row>
    <row r="6809" spans="1:40" x14ac:dyDescent="0.25">
      <c r="A6809" t="str">
        <f>"20190303154316114"</f>
        <v>20190303154316114</v>
      </c>
      <c r="B6809" t="str">
        <f>"1551598996107058"</f>
        <v>1551598996107058</v>
      </c>
      <c r="C6809" t="s">
        <v>40</v>
      </c>
      <c r="D6809">
        <v>5.5791539999999999</v>
      </c>
      <c r="E6809">
        <v>0.48494559999999998</v>
      </c>
      <c r="F6809" t="s">
        <v>41</v>
      </c>
      <c r="G6809">
        <v>-320.18790000000001</v>
      </c>
      <c r="H6809" s="1">
        <v>-4.8751080000000004E-6</v>
      </c>
      <c r="I6809">
        <v>18.17088</v>
      </c>
      <c r="J6809">
        <v>-330.6574</v>
      </c>
      <c r="K6809">
        <v>1.1209100000000001</v>
      </c>
      <c r="L6809">
        <v>17.515079999999902</v>
      </c>
      <c r="M6809">
        <v>0.99990500000000004</v>
      </c>
      <c r="N6809">
        <v>-1.365914E-2</v>
      </c>
      <c r="O6809">
        <v>1.834123E-3</v>
      </c>
      <c r="P6809">
        <v>0.99531199999999997</v>
      </c>
      <c r="Q6809">
        <v>-9.4303349999999994E-2</v>
      </c>
      <c r="R6809">
        <v>2.1471299999999999E-2</v>
      </c>
      <c r="S6809">
        <v>2.9802550000000001</v>
      </c>
      <c r="T6809">
        <v>-0.31510070000000001</v>
      </c>
      <c r="U6809">
        <v>0.1843872</v>
      </c>
      <c r="V6809">
        <v>-1.9678089999999999E-2</v>
      </c>
      <c r="W6809">
        <v>-8.0691079999999998E-2</v>
      </c>
      <c r="X6809">
        <v>0.99654489999999996</v>
      </c>
      <c r="Y6809">
        <v>-5.9554580000000003E-2</v>
      </c>
      <c r="Z6809">
        <v>3.3767990000000002E-3</v>
      </c>
      <c r="AA6809">
        <v>0.99821930000000003</v>
      </c>
      <c r="AB6809">
        <v>22</v>
      </c>
      <c r="AC6809">
        <v>10.469499999999901</v>
      </c>
      <c r="AD6809">
        <v>-1.120914875108</v>
      </c>
      <c r="AE6809">
        <v>0.65580000000000205</v>
      </c>
      <c r="AF6809">
        <v>-0.62940812794295897</v>
      </c>
      <c r="AG6809">
        <v>-1.120914875108</v>
      </c>
      <c r="AH6809">
        <v>10.3524799778082</v>
      </c>
      <c r="AI6809">
        <v>96.168325578281895</v>
      </c>
      <c r="AJ6809">
        <v>93.479175451493703</v>
      </c>
      <c r="AK6809">
        <v>10.4319914896284</v>
      </c>
      <c r="AL6809">
        <v>94.628290094477407</v>
      </c>
      <c r="AM6809">
        <v>91.131233525011098</v>
      </c>
      <c r="AN6809">
        <v>1.0000000076668101</v>
      </c>
    </row>
    <row r="6810" spans="1:40" x14ac:dyDescent="0.25">
      <c r="A6810" t="str">
        <f>"20190303154316127"</f>
        <v>20190303154316127</v>
      </c>
      <c r="B6810" t="str">
        <f>"1551598996116818"</f>
        <v>1551598996116818</v>
      </c>
      <c r="C6810" t="s">
        <v>40</v>
      </c>
      <c r="D6810">
        <v>5.4898280000000002</v>
      </c>
      <c r="E6810">
        <v>0.4851452</v>
      </c>
      <c r="F6810" t="s">
        <v>41</v>
      </c>
      <c r="G6810">
        <v>-320.02710000000002</v>
      </c>
      <c r="H6810" s="1">
        <v>-4.9511799999999996E-6</v>
      </c>
      <c r="I6810">
        <v>18.170680000000001</v>
      </c>
      <c r="J6810">
        <v>-330.52850000000001</v>
      </c>
      <c r="K6810">
        <v>1.1209129999999901</v>
      </c>
      <c r="L6810">
        <v>17.515139999999999</v>
      </c>
      <c r="M6810">
        <v>0.9999053</v>
      </c>
      <c r="N6810">
        <v>-1.365764E-2</v>
      </c>
      <c r="O6810">
        <v>1.689781E-3</v>
      </c>
      <c r="P6810">
        <v>0.99531219999999998</v>
      </c>
      <c r="Q6810">
        <v>-9.4374269999999996E-2</v>
      </c>
      <c r="R6810">
        <v>2.115131E-2</v>
      </c>
      <c r="S6810">
        <v>2.9803769999999998</v>
      </c>
      <c r="T6810">
        <v>-0.31426569999999998</v>
      </c>
      <c r="U6810">
        <v>0.18380740000000001</v>
      </c>
      <c r="V6810">
        <v>-1.950168E-2</v>
      </c>
      <c r="W6810">
        <v>-8.0763589999999996E-2</v>
      </c>
      <c r="X6810">
        <v>0.9965425</v>
      </c>
      <c r="Y6810">
        <v>-5.9504250000000002E-2</v>
      </c>
      <c r="Z6810">
        <v>3.379094E-3</v>
      </c>
      <c r="AA6810">
        <v>0.99822239999999995</v>
      </c>
      <c r="AB6810">
        <v>22</v>
      </c>
      <c r="AC6810">
        <v>10.501399999999901</v>
      </c>
      <c r="AD6810">
        <v>-1.12091795117999</v>
      </c>
      <c r="AE6810">
        <v>0.65553999999999801</v>
      </c>
      <c r="AF6810">
        <v>-0.63063515536694303</v>
      </c>
      <c r="AG6810">
        <v>-1.12091795117999</v>
      </c>
      <c r="AH6810">
        <v>10.3846358050577</v>
      </c>
      <c r="AI6810">
        <v>96.149414682450498</v>
      </c>
      <c r="AJ6810">
        <v>93.475173717527994</v>
      </c>
      <c r="AK6810">
        <v>10.4639771863355</v>
      </c>
      <c r="AL6810">
        <v>94.632458187462703</v>
      </c>
      <c r="AM6810">
        <v>91.121097550057897</v>
      </c>
      <c r="AN6810">
        <v>1.0000000136493801</v>
      </c>
    </row>
    <row r="6811" spans="1:40" x14ac:dyDescent="0.25">
      <c r="A6811" t="str">
        <f>"20190303154316144"</f>
        <v>20190303154316144</v>
      </c>
      <c r="B6811" t="str">
        <f>"1551598996137314"</f>
        <v>1551598996137314</v>
      </c>
      <c r="C6811" t="s">
        <v>40</v>
      </c>
      <c r="D6811">
        <v>5.5061960000000001</v>
      </c>
      <c r="E6811">
        <v>0.48527029999999899</v>
      </c>
      <c r="F6811" t="s">
        <v>43</v>
      </c>
      <c r="G6811">
        <v>-319.32229999999998</v>
      </c>
      <c r="H6811">
        <v>-0.05</v>
      </c>
      <c r="I6811">
        <v>18.196760000000001</v>
      </c>
      <c r="J6811">
        <v>-330.37470000000002</v>
      </c>
      <c r="K6811">
        <v>1.1209039999999999</v>
      </c>
      <c r="L6811">
        <v>17.5152</v>
      </c>
      <c r="M6811">
        <v>0.99990579999999996</v>
      </c>
      <c r="N6811">
        <v>-1.3649420000000001E-2</v>
      </c>
      <c r="O6811">
        <v>1.517532E-3</v>
      </c>
      <c r="P6811">
        <v>0.9952993</v>
      </c>
      <c r="Q6811">
        <v>-9.4634350000000006E-2</v>
      </c>
      <c r="R6811">
        <v>2.0588789999999999E-2</v>
      </c>
      <c r="S6811">
        <v>2.9807429999999999</v>
      </c>
      <c r="T6811">
        <v>-0.3114518</v>
      </c>
      <c r="U6811">
        <v>0.18130489999999999</v>
      </c>
      <c r="V6811">
        <v>-1.911065E-2</v>
      </c>
      <c r="W6811">
        <v>-8.1032259999999995E-2</v>
      </c>
      <c r="X6811">
        <v>0.99652830000000003</v>
      </c>
      <c r="Y6811">
        <v>-5.8843270000000003E-2</v>
      </c>
      <c r="Z6811">
        <v>3.3289209999999999E-3</v>
      </c>
      <c r="AA6811">
        <v>0.99826170000000003</v>
      </c>
      <c r="AB6811">
        <v>22</v>
      </c>
      <c r="AC6811">
        <v>11.0524</v>
      </c>
      <c r="AD6811">
        <v>-1.1709039999999999</v>
      </c>
      <c r="AE6811">
        <v>0.68156000000000105</v>
      </c>
      <c r="AF6811">
        <v>-0.65743450212705601</v>
      </c>
      <c r="AG6811">
        <v>-1.1709039999999999</v>
      </c>
      <c r="AH6811">
        <v>10.931199806725401</v>
      </c>
      <c r="AI6811">
        <v>96.103025359408406</v>
      </c>
      <c r="AJ6811">
        <v>93.441790815553205</v>
      </c>
      <c r="AK6811">
        <v>11.0133721228494</v>
      </c>
      <c r="AL6811">
        <v>94.6479023027902</v>
      </c>
      <c r="AM6811">
        <v>91.098639535581498</v>
      </c>
      <c r="AN6811">
        <v>1.0000000484025</v>
      </c>
    </row>
    <row r="6812" spans="1:40" x14ac:dyDescent="0.25">
      <c r="A6812" t="str">
        <f>"20190303154316155"</f>
        <v>20190303154316155</v>
      </c>
      <c r="B6812" t="str">
        <f>"1551598996147075"</f>
        <v>1551598996147075</v>
      </c>
      <c r="C6812" t="s">
        <v>40</v>
      </c>
      <c r="D6812">
        <v>5.4272910000000003</v>
      </c>
      <c r="E6812">
        <v>0.48539640000000001</v>
      </c>
      <c r="F6812" t="s">
        <v>43</v>
      </c>
      <c r="G6812">
        <v>-319.27859999999998</v>
      </c>
      <c r="H6812">
        <v>-0.05</v>
      </c>
      <c r="I6812">
        <v>18.179919999999999</v>
      </c>
      <c r="J6812">
        <v>-330.25490000000002</v>
      </c>
      <c r="K6812">
        <v>1.1209009999999999</v>
      </c>
      <c r="L6812">
        <v>17.515229999999999</v>
      </c>
      <c r="M6812">
        <v>0.99990619999999997</v>
      </c>
      <c r="N6812">
        <v>-1.363814E-2</v>
      </c>
      <c r="O6812">
        <v>1.383329E-3</v>
      </c>
      <c r="P6812">
        <v>0.99525669999999999</v>
      </c>
      <c r="Q6812">
        <v>-9.5093090000000005E-2</v>
      </c>
      <c r="R6812">
        <v>2.053876E-2</v>
      </c>
      <c r="S6812">
        <v>2.9805600000000001</v>
      </c>
      <c r="T6812">
        <v>-0.31452010000000002</v>
      </c>
      <c r="U6812">
        <v>0.178558299999999</v>
      </c>
      <c r="V6812">
        <v>-1.9194019999999999E-2</v>
      </c>
      <c r="W6812">
        <v>-8.1502740000000004E-2</v>
      </c>
      <c r="X6812">
        <v>0.99648829999999999</v>
      </c>
      <c r="Y6812">
        <v>-5.8062099999999998E-2</v>
      </c>
      <c r="Z6812">
        <v>3.3231760000000002E-3</v>
      </c>
      <c r="AA6812">
        <v>0.99830750000000001</v>
      </c>
      <c r="AB6812">
        <v>22</v>
      </c>
      <c r="AC6812">
        <v>10.9763</v>
      </c>
      <c r="AD6812">
        <v>-1.170901</v>
      </c>
      <c r="AE6812">
        <v>0.664690000000003</v>
      </c>
      <c r="AF6812">
        <v>-0.64222256260611998</v>
      </c>
      <c r="AG6812">
        <v>-1.170901</v>
      </c>
      <c r="AH6812">
        <v>10.8541441388293</v>
      </c>
      <c r="AI6812">
        <v>96.146359171154103</v>
      </c>
      <c r="AJ6812">
        <v>93.386152917215099</v>
      </c>
      <c r="AK6812">
        <v>10.935991219738799</v>
      </c>
      <c r="AL6812">
        <v>94.674948414599498</v>
      </c>
      <c r="AM6812">
        <v>91.103475437876298</v>
      </c>
      <c r="AN6812">
        <v>1.0000000195340699</v>
      </c>
    </row>
    <row r="6813" spans="1:40" x14ac:dyDescent="0.25">
      <c r="A6813" t="str">
        <f>"20190303154316167"</f>
        <v>20190303154316167</v>
      </c>
      <c r="B6813" t="str">
        <f>"1551598996156835"</f>
        <v>1551598996156835</v>
      </c>
      <c r="C6813" t="s">
        <v>40</v>
      </c>
      <c r="D6813">
        <v>5.4367159999999997</v>
      </c>
      <c r="E6813">
        <v>0.48546729999999999</v>
      </c>
      <c r="F6813" t="s">
        <v>43</v>
      </c>
      <c r="G6813">
        <v>-319.17329999999998</v>
      </c>
      <c r="H6813">
        <v>-0.05</v>
      </c>
      <c r="I6813">
        <v>18.174910000000001</v>
      </c>
      <c r="J6813">
        <v>-330.1379</v>
      </c>
      <c r="K6813">
        <v>1.1208940000000001</v>
      </c>
      <c r="L6813">
        <v>17.515260000000001</v>
      </c>
      <c r="M6813">
        <v>0.99990670000000004</v>
      </c>
      <c r="N6813">
        <v>-1.361527E-2</v>
      </c>
      <c r="O6813">
        <v>1.252122E-3</v>
      </c>
      <c r="P6813">
        <v>0.9952259</v>
      </c>
      <c r="Q6813">
        <v>-9.5429680000000003E-2</v>
      </c>
      <c r="R6813">
        <v>2.0467579999999999E-2</v>
      </c>
      <c r="S6813">
        <v>2.9805299999999999</v>
      </c>
      <c r="T6813">
        <v>-0.31492690000000001</v>
      </c>
      <c r="U6813">
        <v>0.17742920000000001</v>
      </c>
      <c r="V6813">
        <v>-1.925427E-2</v>
      </c>
      <c r="W6813">
        <v>-8.1862530000000003E-2</v>
      </c>
      <c r="X6813">
        <v>0.99645760000000005</v>
      </c>
      <c r="Y6813">
        <v>-5.7817029999999998E-2</v>
      </c>
      <c r="Z6813">
        <v>3.3237330000000002E-3</v>
      </c>
      <c r="AA6813">
        <v>0.99832169999999998</v>
      </c>
      <c r="AB6813">
        <v>22</v>
      </c>
      <c r="AC6813">
        <v>10.964600000000001</v>
      </c>
      <c r="AD6813">
        <v>-1.1708940000000001</v>
      </c>
      <c r="AE6813">
        <v>0.65964999999999896</v>
      </c>
      <c r="AF6813">
        <v>-0.63866228492360599</v>
      </c>
      <c r="AG6813">
        <v>-1.1708940000000001</v>
      </c>
      <c r="AH6813">
        <v>10.842220831593201</v>
      </c>
      <c r="AI6813">
        <v>96.153124648633806</v>
      </c>
      <c r="AJ6813">
        <v>93.371119137251995</v>
      </c>
      <c r="AK6813">
        <v>10.923947767838101</v>
      </c>
      <c r="AL6813">
        <v>94.695632190381602</v>
      </c>
      <c r="AM6813">
        <v>91.106972480450807</v>
      </c>
      <c r="AN6813">
        <v>0.99999997466449597</v>
      </c>
    </row>
    <row r="6814" spans="1:40" x14ac:dyDescent="0.25">
      <c r="A6814" t="str">
        <f>"20190303154316189"</f>
        <v>20190303154316189</v>
      </c>
      <c r="B6814" t="str">
        <f>"1551598996177330"</f>
        <v>1551598996177330</v>
      </c>
      <c r="C6814" t="s">
        <v>40</v>
      </c>
      <c r="D6814">
        <v>5.3982669999999997</v>
      </c>
      <c r="E6814">
        <v>0.48560819999999999</v>
      </c>
      <c r="F6814" t="s">
        <v>43</v>
      </c>
      <c r="G6814">
        <v>-319.0872</v>
      </c>
      <c r="H6814">
        <v>-0.05</v>
      </c>
      <c r="I6814">
        <v>18.170169999999999</v>
      </c>
      <c r="J6814">
        <v>-329.9307</v>
      </c>
      <c r="K6814">
        <v>1.1208849999999999</v>
      </c>
      <c r="L6814">
        <v>17.515229999999999</v>
      </c>
      <c r="M6814">
        <v>0.99990749999999995</v>
      </c>
      <c r="N6814">
        <v>-1.356748E-2</v>
      </c>
      <c r="O6814">
        <v>1.0214200000000001E-3</v>
      </c>
      <c r="P6814">
        <v>0.99520869999999995</v>
      </c>
      <c r="Q6814">
        <v>-9.5682100000000006E-2</v>
      </c>
      <c r="R6814">
        <v>2.0116539999999999E-2</v>
      </c>
      <c r="S6814">
        <v>2.9804689999999998</v>
      </c>
      <c r="T6814">
        <v>-0.3157991</v>
      </c>
      <c r="U6814">
        <v>0.17663570000000001</v>
      </c>
      <c r="V6814">
        <v>-1.9132630000000001E-2</v>
      </c>
      <c r="W6814">
        <v>-8.2162830000000006E-2</v>
      </c>
      <c r="X6814">
        <v>0.99643519999999997</v>
      </c>
      <c r="Y6814">
        <v>-5.7781249999999999E-2</v>
      </c>
      <c r="Z6814">
        <v>3.3494929999999998E-3</v>
      </c>
      <c r="AA6814">
        <v>0.99832359999999998</v>
      </c>
      <c r="AB6814">
        <v>22</v>
      </c>
      <c r="AC6814">
        <v>10.843500000000001</v>
      </c>
      <c r="AD6814">
        <v>-1.170885</v>
      </c>
      <c r="AE6814">
        <v>0.65494000000000296</v>
      </c>
      <c r="AF6814">
        <v>-0.63646877438449501</v>
      </c>
      <c r="AG6814">
        <v>-1.170885</v>
      </c>
      <c r="AH6814">
        <v>10.719629403315</v>
      </c>
      <c r="AI6814">
        <v>96.222725667970593</v>
      </c>
      <c r="AJ6814">
        <v>93.397898509752295</v>
      </c>
      <c r="AK6814">
        <v>10.8021534301456</v>
      </c>
      <c r="AL6814">
        <v>94.712896397262497</v>
      </c>
      <c r="AM6814">
        <v>91.100005561091507</v>
      </c>
      <c r="AN6814">
        <v>0.99999994798168101</v>
      </c>
    </row>
    <row r="6815" spans="1:40" x14ac:dyDescent="0.25">
      <c r="A6815" t="str">
        <f>"20190303154316199"</f>
        <v>20190303154316199</v>
      </c>
      <c r="B6815" t="str">
        <f>"1551598996187090"</f>
        <v>1551598996187090</v>
      </c>
      <c r="C6815" t="s">
        <v>40</v>
      </c>
      <c r="D6815">
        <v>5.3638320000000004</v>
      </c>
      <c r="E6815">
        <v>0.48568240000000001</v>
      </c>
      <c r="F6815" t="s">
        <v>43</v>
      </c>
      <c r="G6815">
        <v>-318.89229999999998</v>
      </c>
      <c r="H6815">
        <v>-0.05</v>
      </c>
      <c r="I6815">
        <v>18.161480000000001</v>
      </c>
      <c r="J6815">
        <v>-329.82089999999999</v>
      </c>
      <c r="K6815">
        <v>1.120878</v>
      </c>
      <c r="L6815">
        <v>17.5152</v>
      </c>
      <c r="M6815">
        <v>0.99990800000000002</v>
      </c>
      <c r="N6815">
        <v>-1.353877E-2</v>
      </c>
      <c r="O6815">
        <v>9.0060949999999998E-4</v>
      </c>
      <c r="P6815">
        <v>0.99519970000000002</v>
      </c>
      <c r="Q6815">
        <v>-9.5801440000000002E-2</v>
      </c>
      <c r="R6815">
        <v>1.9992530000000001E-2</v>
      </c>
      <c r="S6815">
        <v>2.980499</v>
      </c>
      <c r="T6815">
        <v>-0.31615460000000001</v>
      </c>
      <c r="U6815">
        <v>0.1744995</v>
      </c>
      <c r="V6815">
        <v>-1.9130020000000001E-2</v>
      </c>
      <c r="W6815">
        <v>-8.2310910000000001E-2</v>
      </c>
      <c r="X6815">
        <v>0.99642310000000001</v>
      </c>
      <c r="Y6815">
        <v>-5.7190730000000002E-2</v>
      </c>
      <c r="Z6815">
        <v>3.3278689999999998E-3</v>
      </c>
      <c r="AA6815">
        <v>0.99835770000000001</v>
      </c>
      <c r="AB6815">
        <v>22</v>
      </c>
      <c r="AC6815">
        <v>10.928599999999999</v>
      </c>
      <c r="AD6815">
        <v>-1.1708780000000001</v>
      </c>
      <c r="AE6815">
        <v>0.64627999999999697</v>
      </c>
      <c r="AF6815">
        <v>-0.62923873852131296</v>
      </c>
      <c r="AG6815">
        <v>-1.1708780000000001</v>
      </c>
      <c r="AH6815">
        <v>10.8055755242946</v>
      </c>
      <c r="AI6815">
        <v>96.1739877626066</v>
      </c>
      <c r="AJ6815">
        <v>93.332728958000203</v>
      </c>
      <c r="AK6815">
        <v>10.887027100736599</v>
      </c>
      <c r="AL6815">
        <v>94.721409256981104</v>
      </c>
      <c r="AM6815">
        <v>91.099868892159506</v>
      </c>
      <c r="AN6815">
        <v>1.00000001889191</v>
      </c>
    </row>
    <row r="6816" spans="1:40" x14ac:dyDescent="0.25">
      <c r="A6816" t="str">
        <f>"20190303154316211"</f>
        <v>20190303154316211</v>
      </c>
      <c r="B6816" t="str">
        <f>"1551598996207587"</f>
        <v>1551598996207587</v>
      </c>
      <c r="C6816" t="s">
        <v>40</v>
      </c>
      <c r="D6816">
        <v>5.4094160000000002</v>
      </c>
      <c r="E6816">
        <v>0.48559429999999998</v>
      </c>
      <c r="F6816" t="s">
        <v>43</v>
      </c>
      <c r="G6816">
        <v>-318.79860000000002</v>
      </c>
      <c r="H6816">
        <v>-0.05</v>
      </c>
      <c r="I6816">
        <v>18.15701</v>
      </c>
      <c r="J6816">
        <v>-329.70389999999998</v>
      </c>
      <c r="K6816">
        <v>1.120868</v>
      </c>
      <c r="L6816">
        <v>17.515170000000001</v>
      </c>
      <c r="M6816">
        <v>0.99990869999999998</v>
      </c>
      <c r="N6816">
        <v>-1.350642E-2</v>
      </c>
      <c r="O6816">
        <v>7.7361559999999995E-4</v>
      </c>
      <c r="P6816">
        <v>0.99518010000000001</v>
      </c>
      <c r="Q6816">
        <v>-9.6003530000000004E-2</v>
      </c>
      <c r="R6816">
        <v>2.000441E-2</v>
      </c>
      <c r="S6816">
        <v>2.9805600000000001</v>
      </c>
      <c r="T6816">
        <v>-0.31662010000000002</v>
      </c>
      <c r="U6816">
        <v>0.1735535</v>
      </c>
      <c r="V6816">
        <v>-1.9268380000000002E-2</v>
      </c>
      <c r="W6816">
        <v>-8.254533E-2</v>
      </c>
      <c r="X6816">
        <v>0.99640099999999998</v>
      </c>
      <c r="Y6816">
        <v>-5.7000309999999998E-2</v>
      </c>
      <c r="Z6816">
        <v>3.3315269999999999E-3</v>
      </c>
      <c r="AA6816">
        <v>0.99836860000000005</v>
      </c>
      <c r="AB6816">
        <v>22</v>
      </c>
      <c r="AC6816">
        <v>10.905299999999899</v>
      </c>
      <c r="AD6816">
        <v>-1.170868</v>
      </c>
      <c r="AE6816">
        <v>0.64183999999999797</v>
      </c>
      <c r="AF6816">
        <v>-0.62620873646191799</v>
      </c>
      <c r="AG6816">
        <v>-1.170868</v>
      </c>
      <c r="AH6816">
        <v>10.7819320761451</v>
      </c>
      <c r="AI6816">
        <v>96.187423781733003</v>
      </c>
      <c r="AJ6816">
        <v>93.323973490040203</v>
      </c>
      <c r="AK6816">
        <v>10.863384764871901</v>
      </c>
      <c r="AL6816">
        <v>94.734886592898604</v>
      </c>
      <c r="AM6816">
        <v>91.107846406220006</v>
      </c>
      <c r="AN6816">
        <v>0.99999997738681601</v>
      </c>
    </row>
    <row r="6817" spans="1:40" x14ac:dyDescent="0.25">
      <c r="A6817" t="str">
        <f>"20190303154316222"</f>
        <v>20190303154316222</v>
      </c>
      <c r="B6817" t="str">
        <f>"1551598996217346"</f>
        <v>1551598996217346</v>
      </c>
      <c r="C6817" t="s">
        <v>40</v>
      </c>
      <c r="D6817">
        <v>5.5667419999999996</v>
      </c>
      <c r="E6817">
        <v>0.48586040000000003</v>
      </c>
      <c r="F6817" t="s">
        <v>43</v>
      </c>
      <c r="G6817">
        <v>-318.75889999999998</v>
      </c>
      <c r="H6817">
        <v>-0.05</v>
      </c>
      <c r="I6817">
        <v>18.15512</v>
      </c>
      <c r="J6817">
        <v>-329.59769999999997</v>
      </c>
      <c r="K6817">
        <v>1.1208610000000001</v>
      </c>
      <c r="L6817">
        <v>17.51511</v>
      </c>
      <c r="M6817">
        <v>0.99990900000000005</v>
      </c>
      <c r="N6817">
        <v>-1.3477090000000001E-2</v>
      </c>
      <c r="O6817">
        <v>6.5918490000000003E-4</v>
      </c>
      <c r="P6817">
        <v>0.99516859999999996</v>
      </c>
      <c r="Q6817">
        <v>-9.6091590000000005E-2</v>
      </c>
      <c r="R6817">
        <v>2.015989E-2</v>
      </c>
      <c r="S6817">
        <v>2.980286</v>
      </c>
      <c r="T6817">
        <v>-0.31882290000000002</v>
      </c>
      <c r="U6817">
        <v>0.17425539999999901</v>
      </c>
      <c r="V6817">
        <v>-1.9538059999999999E-2</v>
      </c>
      <c r="W6817">
        <v>-8.2662659999999999E-2</v>
      </c>
      <c r="X6817">
        <v>0.99638610000000005</v>
      </c>
      <c r="Y6817">
        <v>-5.734686E-2</v>
      </c>
      <c r="Z6817">
        <v>3.3827060000000001E-3</v>
      </c>
      <c r="AA6817">
        <v>0.99834860000000003</v>
      </c>
      <c r="AB6817">
        <v>22</v>
      </c>
      <c r="AC6817">
        <v>10.8387999999999</v>
      </c>
      <c r="AD6817">
        <v>-1.1708609999999999</v>
      </c>
      <c r="AE6817">
        <v>0.64000999999999997</v>
      </c>
      <c r="AF6817">
        <v>-0.62558955357637003</v>
      </c>
      <c r="AG6817">
        <v>-1.1708609999999999</v>
      </c>
      <c r="AH6817">
        <v>10.7146208781731</v>
      </c>
      <c r="AI6817">
        <v>96.225842967586004</v>
      </c>
      <c r="AJ6817">
        <v>93.341508250379903</v>
      </c>
      <c r="AK6817">
        <v>10.796544740510701</v>
      </c>
      <c r="AL6817">
        <v>94.741631787948094</v>
      </c>
      <c r="AM6817">
        <v>91.123364658834802</v>
      </c>
      <c r="AN6817">
        <v>1.0000000557100199</v>
      </c>
    </row>
    <row r="6818" spans="1:40" x14ac:dyDescent="0.25">
      <c r="A6818" t="str">
        <f>"20190303154316233"</f>
        <v>20190303154316233</v>
      </c>
      <c r="B6818" t="str">
        <f>"1551598996227107"</f>
        <v>1551598996227107</v>
      </c>
      <c r="C6818" t="s">
        <v>40</v>
      </c>
      <c r="D6818">
        <v>5.3205730000000004</v>
      </c>
      <c r="E6818">
        <v>0.48607410000000001</v>
      </c>
      <c r="F6818" t="s">
        <v>43</v>
      </c>
      <c r="G6818">
        <v>-318.65440000000001</v>
      </c>
      <c r="H6818">
        <v>-0.05</v>
      </c>
      <c r="I6818">
        <v>18.148910000000001</v>
      </c>
      <c r="J6818">
        <v>-329.48660000000001</v>
      </c>
      <c r="K6818">
        <v>1.1208530000000001</v>
      </c>
      <c r="L6818">
        <v>17.51501</v>
      </c>
      <c r="M6818">
        <v>0.99990959999999995</v>
      </c>
      <c r="N6818">
        <v>-1.344644E-2</v>
      </c>
      <c r="O6818">
        <v>5.399383E-4</v>
      </c>
      <c r="P6818">
        <v>0.99517350000000004</v>
      </c>
      <c r="Q6818">
        <v>-9.6103850000000005E-2</v>
      </c>
      <c r="R6818">
        <v>1.9855930000000001E-2</v>
      </c>
      <c r="S6818">
        <v>2.980286</v>
      </c>
      <c r="T6818">
        <v>-0.3188703</v>
      </c>
      <c r="U6818">
        <v>0.17260739999999999</v>
      </c>
      <c r="V6818">
        <v>-1.9353169999999999E-2</v>
      </c>
      <c r="W6818">
        <v>-8.270545E-2</v>
      </c>
      <c r="X6818">
        <v>0.99638610000000005</v>
      </c>
      <c r="Y6818">
        <v>-5.6917950000000002E-2</v>
      </c>
      <c r="Z6818">
        <v>3.3676439999999999E-3</v>
      </c>
      <c r="AA6818">
        <v>0.99837319999999996</v>
      </c>
      <c r="AB6818">
        <v>22</v>
      </c>
      <c r="AC6818">
        <v>10.8322</v>
      </c>
      <c r="AD6818">
        <v>-1.1708529999999999</v>
      </c>
      <c r="AE6818">
        <v>0.63390000000000002</v>
      </c>
      <c r="AF6818">
        <v>-0.62082206634371095</v>
      </c>
      <c r="AG6818">
        <v>-1.1708529999999999</v>
      </c>
      <c r="AH6818">
        <v>10.707862821968201</v>
      </c>
      <c r="AI6818">
        <v>96.229845533363999</v>
      </c>
      <c r="AJ6818">
        <v>93.3181885771303</v>
      </c>
      <c r="AK6818">
        <v>10.7895617612467</v>
      </c>
      <c r="AL6818">
        <v>94.744092170315398</v>
      </c>
      <c r="AM6818">
        <v>91.112736867699795</v>
      </c>
      <c r="AN6818">
        <v>0.99999999846097998</v>
      </c>
    </row>
    <row r="6819" spans="1:40" x14ac:dyDescent="0.25">
      <c r="A6819" t="str">
        <f>"20190303154316257"</f>
        <v>20190303154316257</v>
      </c>
      <c r="B6819" t="str">
        <f>"1551598996246626"</f>
        <v>1551598996246626</v>
      </c>
      <c r="C6819" t="s">
        <v>40</v>
      </c>
      <c r="D6819">
        <v>5.3529350000000004</v>
      </c>
      <c r="E6819">
        <v>0.4863729</v>
      </c>
      <c r="F6819" t="s">
        <v>43</v>
      </c>
      <c r="G6819">
        <v>-318.5215</v>
      </c>
      <c r="H6819">
        <v>-0.05</v>
      </c>
      <c r="I6819">
        <v>18.1404</v>
      </c>
      <c r="J6819">
        <v>-329.26209999999998</v>
      </c>
      <c r="K6819">
        <v>1.1208480000000001</v>
      </c>
      <c r="L6819">
        <v>17.514859999999999</v>
      </c>
      <c r="M6819">
        <v>0.99991039999999998</v>
      </c>
      <c r="N6819">
        <v>-1.338698E-2</v>
      </c>
      <c r="O6819">
        <v>2.9345519999999999E-4</v>
      </c>
      <c r="P6819">
        <v>0.99517160000000005</v>
      </c>
      <c r="Q6819">
        <v>-9.6135219999999993E-2</v>
      </c>
      <c r="R6819">
        <v>1.9799480000000001E-2</v>
      </c>
      <c r="S6819">
        <v>2.9804379999999999</v>
      </c>
      <c r="T6819">
        <v>-0.31825019999999998</v>
      </c>
      <c r="U6819">
        <v>0.16998289999999999</v>
      </c>
      <c r="V6819">
        <v>-1.954117E-2</v>
      </c>
      <c r="W6819">
        <v>-8.2796159999999994E-2</v>
      </c>
      <c r="X6819">
        <v>0.99637489999999995</v>
      </c>
      <c r="Y6819">
        <v>-5.62893E-2</v>
      </c>
      <c r="Z6819">
        <v>3.3453340000000002E-3</v>
      </c>
      <c r="AA6819">
        <v>0.99840890000000004</v>
      </c>
      <c r="AB6819">
        <v>22</v>
      </c>
      <c r="AC6819">
        <v>10.740599999999899</v>
      </c>
      <c r="AD6819">
        <v>-1.1708479999999899</v>
      </c>
      <c r="AE6819">
        <v>0.62553999999999699</v>
      </c>
      <c r="AF6819">
        <v>-0.61510294711426405</v>
      </c>
      <c r="AG6819">
        <v>-1.1708479999999899</v>
      </c>
      <c r="AH6819">
        <v>10.6150655436445</v>
      </c>
      <c r="AI6819">
        <v>96.283858128540899</v>
      </c>
      <c r="AJ6819">
        <v>93.316365432790704</v>
      </c>
      <c r="AK6819">
        <v>10.6971422899072</v>
      </c>
      <c r="AL6819">
        <v>94.749307343208102</v>
      </c>
      <c r="AM6819">
        <v>91.123556052488397</v>
      </c>
      <c r="AN6819">
        <v>1.00000000139286</v>
      </c>
    </row>
    <row r="6820" spans="1:40" x14ac:dyDescent="0.25">
      <c r="A6820" t="str">
        <f>"20190303154316272"</f>
        <v>20190303154316272</v>
      </c>
      <c r="B6820" t="str">
        <f>"1551598996267122"</f>
        <v>1551598996267122</v>
      </c>
      <c r="C6820" t="s">
        <v>40</v>
      </c>
      <c r="D6820">
        <v>5.248659</v>
      </c>
      <c r="E6820">
        <v>0.48666140000000002</v>
      </c>
      <c r="F6820" t="s">
        <v>43</v>
      </c>
      <c r="G6820">
        <v>-318.33640000000003</v>
      </c>
      <c r="H6820">
        <v>-0.05</v>
      </c>
      <c r="I6820">
        <v>18.128489999999999</v>
      </c>
      <c r="J6820">
        <v>-329.1112</v>
      </c>
      <c r="K6820">
        <v>1.120849</v>
      </c>
      <c r="L6820">
        <v>17.514679999999998</v>
      </c>
      <c r="M6820">
        <v>0.99991099999999999</v>
      </c>
      <c r="N6820">
        <v>-1.334918E-2</v>
      </c>
      <c r="O6820">
        <v>1.2271959999999999E-4</v>
      </c>
      <c r="P6820">
        <v>0.99518079999999998</v>
      </c>
      <c r="Q6820">
        <v>-9.6091540000000003E-2</v>
      </c>
      <c r="R6820">
        <v>1.95391E-2</v>
      </c>
      <c r="S6820">
        <v>2.9804080000000002</v>
      </c>
      <c r="T6820">
        <v>-0.31939200000000001</v>
      </c>
      <c r="U6820">
        <v>0.16738889999999901</v>
      </c>
      <c r="V6820">
        <v>-1.9449959999999999E-2</v>
      </c>
      <c r="W6820">
        <v>-8.2790290000000002E-2</v>
      </c>
      <c r="X6820">
        <v>0.99637719999999996</v>
      </c>
      <c r="Y6820">
        <v>-5.5595529999999997E-2</v>
      </c>
      <c r="Z6820">
        <v>3.3291979999999998E-3</v>
      </c>
      <c r="AA6820">
        <v>0.9984478</v>
      </c>
      <c r="AB6820">
        <v>22</v>
      </c>
      <c r="AC6820">
        <v>10.7747999999999</v>
      </c>
      <c r="AD6820">
        <v>-1.170849</v>
      </c>
      <c r="AE6820">
        <v>0.61380999999999997</v>
      </c>
      <c r="AF6820">
        <v>-0.60536248595692299</v>
      </c>
      <c r="AG6820">
        <v>-1.170849</v>
      </c>
      <c r="AH6820">
        <v>10.6495303479392</v>
      </c>
      <c r="AI6820">
        <v>96.264080854298797</v>
      </c>
      <c r="AJ6820">
        <v>93.253423236633594</v>
      </c>
      <c r="AK6820">
        <v>10.7307897077467</v>
      </c>
      <c r="AL6820">
        <v>94.748969727519196</v>
      </c>
      <c r="AM6820">
        <v>91.118310517368997</v>
      </c>
      <c r="AN6820">
        <v>1.00000002887106</v>
      </c>
    </row>
    <row r="6821" spans="1:40" x14ac:dyDescent="0.25">
      <c r="A6821" t="str">
        <f>"20190303154316291"</f>
        <v>20190303154316291</v>
      </c>
      <c r="B6821" t="str">
        <f>"1551598996276883"</f>
        <v>1551598996276883</v>
      </c>
      <c r="C6821" t="s">
        <v>40</v>
      </c>
      <c r="D6821">
        <v>5.2167120000000002</v>
      </c>
      <c r="E6821">
        <v>0.48679139999999999</v>
      </c>
      <c r="F6821" t="s">
        <v>43</v>
      </c>
      <c r="G6821">
        <v>-318.15320000000003</v>
      </c>
      <c r="H6821">
        <v>-0.05</v>
      </c>
      <c r="I6821">
        <v>18.118970000000001</v>
      </c>
      <c r="J6821">
        <v>-328.92989999999998</v>
      </c>
      <c r="K6821">
        <v>1.1208450000000001</v>
      </c>
      <c r="L6821">
        <v>17.514469999999999</v>
      </c>
      <c r="M6821">
        <v>0.99991149999999995</v>
      </c>
      <c r="N6821">
        <v>-1.330572E-2</v>
      </c>
      <c r="O6821" s="1">
        <v>-8.4330349999999998E-5</v>
      </c>
      <c r="P6821">
        <v>0.99522659999999996</v>
      </c>
      <c r="Q6821">
        <v>-9.5655840000000006E-2</v>
      </c>
      <c r="R6821">
        <v>1.9343880000000001E-2</v>
      </c>
      <c r="S6821">
        <v>2.9805299999999999</v>
      </c>
      <c r="T6821">
        <v>-0.31846649999999999</v>
      </c>
      <c r="U6821">
        <v>0.16436770000000001</v>
      </c>
      <c r="V6821">
        <v>-1.9460100000000001E-2</v>
      </c>
      <c r="W6821">
        <v>-8.2397600000000001E-2</v>
      </c>
      <c r="X6821">
        <v>0.99640949999999995</v>
      </c>
      <c r="Y6821">
        <v>-5.4797279999999997E-2</v>
      </c>
      <c r="Z6821">
        <v>3.2908830000000001E-3</v>
      </c>
      <c r="AA6821">
        <v>0.99849209999999999</v>
      </c>
      <c r="AB6821">
        <v>22</v>
      </c>
      <c r="AC6821">
        <v>10.7766999999999</v>
      </c>
      <c r="AD6821">
        <v>-1.1708449999999999</v>
      </c>
      <c r="AE6821">
        <v>0.60449999999999704</v>
      </c>
      <c r="AF6821">
        <v>-0.59836793223249995</v>
      </c>
      <c r="AG6821">
        <v>-1.1708449999999999</v>
      </c>
      <c r="AH6821">
        <v>10.651315774917901</v>
      </c>
      <c r="AI6821">
        <v>96.2632511340924</v>
      </c>
      <c r="AJ6821">
        <v>93.215373558198095</v>
      </c>
      <c r="AK6821">
        <v>10.7321689295949</v>
      </c>
      <c r="AL6821">
        <v>94.726393361703799</v>
      </c>
      <c r="AM6821">
        <v>91.118857125510004</v>
      </c>
      <c r="AN6821">
        <v>0.99999997583400901</v>
      </c>
    </row>
    <row r="6822" spans="1:40" x14ac:dyDescent="0.25">
      <c r="A6822" t="str">
        <f>"20190303154316312"</f>
        <v>20190303154316312</v>
      </c>
      <c r="B6822" t="str">
        <f>"1551598996307138"</f>
        <v>1551598996307138</v>
      </c>
      <c r="C6822" t="s">
        <v>40</v>
      </c>
      <c r="D6822">
        <v>5.2010259999999997</v>
      </c>
      <c r="E6822">
        <v>0.48718810000000001</v>
      </c>
      <c r="F6822" t="s">
        <v>43</v>
      </c>
      <c r="G6822">
        <v>-317.9128</v>
      </c>
      <c r="H6822">
        <v>-0.05</v>
      </c>
      <c r="I6822">
        <v>18.116</v>
      </c>
      <c r="J6822">
        <v>-328.7244</v>
      </c>
      <c r="K6822">
        <v>1.120844</v>
      </c>
      <c r="L6822">
        <v>17.51416</v>
      </c>
      <c r="M6822">
        <v>0.99991200000000002</v>
      </c>
      <c r="N6822">
        <v>-1.3259450000000001E-2</v>
      </c>
      <c r="O6822">
        <v>-3.1844570000000001E-4</v>
      </c>
      <c r="P6822">
        <v>0.99523249999999996</v>
      </c>
      <c r="Q6822">
        <v>-9.5551209999999998E-2</v>
      </c>
      <c r="R6822">
        <v>1.9555579999999999E-2</v>
      </c>
      <c r="S6822">
        <v>2.9807429999999999</v>
      </c>
      <c r="T6822">
        <v>-0.3167777</v>
      </c>
      <c r="U6822">
        <v>0.16275020000000001</v>
      </c>
      <c r="V6822">
        <v>-1.9903959999999998E-2</v>
      </c>
      <c r="W6822">
        <v>-8.2339019999999999E-2</v>
      </c>
      <c r="X6822">
        <v>0.9964056</v>
      </c>
      <c r="Y6822">
        <v>-5.4491539999999998E-2</v>
      </c>
      <c r="Z6822">
        <v>3.277477E-3</v>
      </c>
      <c r="AA6822">
        <v>0.99850890000000003</v>
      </c>
      <c r="AB6822">
        <v>22</v>
      </c>
      <c r="AC6822">
        <v>10.8116</v>
      </c>
      <c r="AD6822">
        <v>-1.170844</v>
      </c>
      <c r="AE6822">
        <v>0.60183999999999904</v>
      </c>
      <c r="AF6822">
        <v>-0.59828822507508495</v>
      </c>
      <c r="AG6822">
        <v>-1.170844</v>
      </c>
      <c r="AH6822">
        <v>10.6864657529319</v>
      </c>
      <c r="AI6822">
        <v>96.242874216540301</v>
      </c>
      <c r="AJ6822">
        <v>93.204393600172907</v>
      </c>
      <c r="AK6822">
        <v>10.767050420666999</v>
      </c>
      <c r="AL6822">
        <v>94.723025412761402</v>
      </c>
      <c r="AM6822">
        <v>91.1443745932323</v>
      </c>
      <c r="AN6822">
        <v>1.0000000007748</v>
      </c>
    </row>
    <row r="6823" spans="1:40" x14ac:dyDescent="0.25">
      <c r="A6823" t="str">
        <f>"20190303154316325"</f>
        <v>20190303154316325</v>
      </c>
      <c r="B6823" t="str">
        <f>"1551598996316900"</f>
        <v>1551598996316900</v>
      </c>
      <c r="C6823" t="s">
        <v>40</v>
      </c>
      <c r="D6823">
        <v>5.1915800000000001</v>
      </c>
      <c r="E6823">
        <v>0.48720229999999998</v>
      </c>
      <c r="F6823" t="s">
        <v>43</v>
      </c>
      <c r="G6823">
        <v>-317.69580000000002</v>
      </c>
      <c r="H6823">
        <v>-0.05</v>
      </c>
      <c r="I6823">
        <v>18.106809999999999</v>
      </c>
      <c r="J6823">
        <v>-328.58699999999999</v>
      </c>
      <c r="K6823">
        <v>1.1208419999999999</v>
      </c>
      <c r="L6823">
        <v>17.513950000000001</v>
      </c>
      <c r="M6823">
        <v>0.99991249999999998</v>
      </c>
      <c r="N6823">
        <v>-1.323092E-2</v>
      </c>
      <c r="O6823">
        <v>-4.7321929999999998E-4</v>
      </c>
      <c r="P6823">
        <v>0.99523200000000001</v>
      </c>
      <c r="Q6823">
        <v>-9.5558229999999994E-2</v>
      </c>
      <c r="R6823">
        <v>1.9547640000000002E-2</v>
      </c>
      <c r="S6823">
        <v>2.980804</v>
      </c>
      <c r="T6823">
        <v>-0.31645519999999999</v>
      </c>
      <c r="U6823">
        <v>0.16018679999999999</v>
      </c>
      <c r="V6823">
        <v>-2.0050709999999999E-2</v>
      </c>
      <c r="W6823">
        <v>-8.2374439999999993E-2</v>
      </c>
      <c r="X6823">
        <v>0.9963997</v>
      </c>
      <c r="Y6823">
        <v>-5.3793250000000001E-2</v>
      </c>
      <c r="Z6823">
        <v>3.246507E-3</v>
      </c>
      <c r="AA6823">
        <v>0.99854679999999996</v>
      </c>
      <c r="AB6823">
        <v>22</v>
      </c>
      <c r="AC6823">
        <v>10.8911999999999</v>
      </c>
      <c r="AD6823">
        <v>-1.1708419999999999</v>
      </c>
      <c r="AE6823">
        <v>0.59285999999999806</v>
      </c>
      <c r="AF6823">
        <v>-0.591201974696418</v>
      </c>
      <c r="AG6823">
        <v>-1.1708419999999999</v>
      </c>
      <c r="AH6823">
        <v>10.7668532999415</v>
      </c>
      <c r="AI6823">
        <v>96.196982849287394</v>
      </c>
      <c r="AJ6823">
        <v>93.142923491088695</v>
      </c>
      <c r="AK6823">
        <v>10.846451988844599</v>
      </c>
      <c r="AL6823">
        <v>94.725061889070403</v>
      </c>
      <c r="AM6823">
        <v>91.152816513742394</v>
      </c>
      <c r="AN6823">
        <v>0.99999997074845304</v>
      </c>
    </row>
    <row r="6824" spans="1:40" x14ac:dyDescent="0.25">
      <c r="A6824" t="str">
        <f>"20190303154316339"</f>
        <v>20190303154316339</v>
      </c>
      <c r="B6824" t="str">
        <f>"1551598996327635"</f>
        <v>1551598996327635</v>
      </c>
      <c r="C6824" t="s">
        <v>40</v>
      </c>
      <c r="D6824">
        <v>5.1887169999999996</v>
      </c>
      <c r="E6824">
        <v>0.48724070000000003</v>
      </c>
      <c r="F6824" t="s">
        <v>43</v>
      </c>
      <c r="G6824">
        <v>-317.58409999999998</v>
      </c>
      <c r="H6824">
        <v>-0.05</v>
      </c>
      <c r="I6824">
        <v>18.10455</v>
      </c>
      <c r="J6824">
        <v>-328.45420000000001</v>
      </c>
      <c r="K6824">
        <v>1.1208389999999999</v>
      </c>
      <c r="L6824">
        <v>17.513729999999999</v>
      </c>
      <c r="M6824">
        <v>0.99991260000000004</v>
      </c>
      <c r="N6824">
        <v>-1.3204769999999999E-2</v>
      </c>
      <c r="O6824">
        <v>-6.2182579999999995E-4</v>
      </c>
      <c r="P6824">
        <v>0.99526720000000002</v>
      </c>
      <c r="Q6824">
        <v>-9.5114599999999994E-2</v>
      </c>
      <c r="R6824">
        <v>1.991277E-2</v>
      </c>
      <c r="S6824">
        <v>2.980804</v>
      </c>
      <c r="T6824">
        <v>-0.31719209999999998</v>
      </c>
      <c r="U6824">
        <v>0.1600037</v>
      </c>
      <c r="V6824">
        <v>-2.0563129999999999E-2</v>
      </c>
      <c r="W6824">
        <v>-8.195624E-2</v>
      </c>
      <c r="X6824">
        <v>0.99642379999999997</v>
      </c>
      <c r="Y6824">
        <v>-5.3877880000000003E-2</v>
      </c>
      <c r="Z6824">
        <v>3.271375E-3</v>
      </c>
      <c r="AA6824">
        <v>0.99854219999999905</v>
      </c>
      <c r="AB6824">
        <v>22</v>
      </c>
      <c r="AC6824">
        <v>10.870100000000001</v>
      </c>
      <c r="AD6824">
        <v>-1.170839</v>
      </c>
      <c r="AE6824">
        <v>0.59082000000000001</v>
      </c>
      <c r="AF6824">
        <v>-0.59074622214472505</v>
      </c>
      <c r="AG6824">
        <v>-1.170839</v>
      </c>
      <c r="AH6824">
        <v>10.7454308014528</v>
      </c>
      <c r="AI6824">
        <v>96.209202565119497</v>
      </c>
      <c r="AJ6824">
        <v>93.1467539506273</v>
      </c>
      <c r="AK6824">
        <v>10.825161808107501</v>
      </c>
      <c r="AL6824">
        <v>94.701019227322107</v>
      </c>
      <c r="AM6824">
        <v>91.182241280900598</v>
      </c>
      <c r="AN6824">
        <v>1.0000000283983801</v>
      </c>
    </row>
    <row r="6825" spans="1:40" x14ac:dyDescent="0.25">
      <c r="A6825" t="str">
        <f>"20190303154316357"</f>
        <v>20190303154316357</v>
      </c>
      <c r="B6825" t="str">
        <f>"1551598996347156"</f>
        <v>1551598996347156</v>
      </c>
      <c r="C6825" t="s">
        <v>40</v>
      </c>
      <c r="D6825">
        <v>5.1052369999999998</v>
      </c>
      <c r="E6825">
        <v>0.48734139999999998</v>
      </c>
      <c r="F6825" t="s">
        <v>43</v>
      </c>
      <c r="G6825">
        <v>-317.42849999999999</v>
      </c>
      <c r="H6825">
        <v>-0.05</v>
      </c>
      <c r="I6825">
        <v>18.108509999999999</v>
      </c>
      <c r="J6825">
        <v>-328.27440000000001</v>
      </c>
      <c r="K6825">
        <v>1.120841</v>
      </c>
      <c r="L6825">
        <v>17.513400000000001</v>
      </c>
      <c r="M6825">
        <v>0.99991300000000005</v>
      </c>
      <c r="N6825">
        <v>-1.3172339999999999E-2</v>
      </c>
      <c r="O6825">
        <v>-8.2226949999999999E-4</v>
      </c>
      <c r="P6825">
        <v>0.99527480000000002</v>
      </c>
      <c r="Q6825">
        <v>-9.4888669999999994E-2</v>
      </c>
      <c r="R6825">
        <v>2.060265E-2</v>
      </c>
      <c r="S6825">
        <v>2.9807739999999998</v>
      </c>
      <c r="T6825">
        <v>-0.31653199999999998</v>
      </c>
      <c r="U6825">
        <v>0.1607971</v>
      </c>
      <c r="V6825">
        <v>-2.1453380000000001E-2</v>
      </c>
      <c r="W6825">
        <v>-8.1762119999999994E-2</v>
      </c>
      <c r="X6825">
        <v>0.99642090000000005</v>
      </c>
      <c r="Y6825">
        <v>-5.4341279999999999E-2</v>
      </c>
      <c r="Z6825">
        <v>3.3106379999999999E-3</v>
      </c>
      <c r="AA6825">
        <v>0.99851690000000004</v>
      </c>
      <c r="AB6825">
        <v>22</v>
      </c>
      <c r="AC6825">
        <v>10.8459</v>
      </c>
      <c r="AD6825">
        <v>-1.170841</v>
      </c>
      <c r="AE6825">
        <v>0.59510999999999803</v>
      </c>
      <c r="AF6825">
        <v>-0.597091374015701</v>
      </c>
      <c r="AG6825">
        <v>-1.170841</v>
      </c>
      <c r="AH6825">
        <v>10.7208442291361</v>
      </c>
      <c r="AI6825">
        <v>96.223096792534093</v>
      </c>
      <c r="AJ6825">
        <v>93.187762844786505</v>
      </c>
      <c r="AK6825">
        <v>10.801105857346601</v>
      </c>
      <c r="AL6825">
        <v>94.689859882283301</v>
      </c>
      <c r="AM6825">
        <v>91.233412756617597</v>
      </c>
      <c r="AN6825">
        <v>0.99999995086856297</v>
      </c>
    </row>
    <row r="6826" spans="1:40" x14ac:dyDescent="0.25">
      <c r="A6826" t="str">
        <f>"20190303154316379"</f>
        <v>20190303154316379</v>
      </c>
      <c r="B6826" t="str">
        <f>"1551598996366674"</f>
        <v>1551598996366674</v>
      </c>
      <c r="C6826" t="s">
        <v>40</v>
      </c>
      <c r="D6826">
        <v>5.0838260000000002</v>
      </c>
      <c r="E6826">
        <v>0.48752889999999999</v>
      </c>
      <c r="F6826" t="s">
        <v>43</v>
      </c>
      <c r="G6826">
        <v>-317.25170000000003</v>
      </c>
      <c r="H6826">
        <v>-0.05</v>
      </c>
      <c r="I6826">
        <v>18.112639999999999</v>
      </c>
      <c r="J6826">
        <v>-328.06319999999999</v>
      </c>
      <c r="K6826">
        <v>1.1208340000000001</v>
      </c>
      <c r="L6826">
        <v>17.512910000000002</v>
      </c>
      <c r="M6826">
        <v>0.99991319999999995</v>
      </c>
      <c r="N6826">
        <v>-1.3138399999999901E-2</v>
      </c>
      <c r="O6826">
        <v>-1.059183E-3</v>
      </c>
      <c r="P6826">
        <v>0.99532399999999999</v>
      </c>
      <c r="Q6826">
        <v>-9.4264249999999994E-2</v>
      </c>
      <c r="R6826">
        <v>2.1083299999999999E-2</v>
      </c>
      <c r="S6826">
        <v>2.9807429999999999</v>
      </c>
      <c r="T6826">
        <v>-0.31661729999999999</v>
      </c>
      <c r="U6826">
        <v>0.16204830000000001</v>
      </c>
      <c r="V6826">
        <v>-2.2169999999999999E-2</v>
      </c>
      <c r="W6826">
        <v>-8.1170560000000003E-2</v>
      </c>
      <c r="X6826">
        <v>0.99645360000000005</v>
      </c>
      <c r="Y6826">
        <v>-5.4991119999999998E-2</v>
      </c>
      <c r="Z6826">
        <v>3.3711850000000001E-3</v>
      </c>
      <c r="AA6826">
        <v>0.99848119999999996</v>
      </c>
      <c r="AB6826">
        <v>22</v>
      </c>
      <c r="AC6826">
        <v>10.811499999999899</v>
      </c>
      <c r="AD6826">
        <v>-1.1708339999999999</v>
      </c>
      <c r="AE6826">
        <v>0.59972999999999699</v>
      </c>
      <c r="AF6826">
        <v>-0.604118723149494</v>
      </c>
      <c r="AG6826">
        <v>-1.1708339999999999</v>
      </c>
      <c r="AH6826">
        <v>10.685920134958399</v>
      </c>
      <c r="AI6826">
        <v>96.242947035719993</v>
      </c>
      <c r="AJ6826">
        <v>93.235720202612399</v>
      </c>
      <c r="AK6826">
        <v>10.7668333700269</v>
      </c>
      <c r="AL6826">
        <v>94.655852850435295</v>
      </c>
      <c r="AM6826">
        <v>91.2745579898599</v>
      </c>
      <c r="AN6826">
        <v>0.99999997283183595</v>
      </c>
    </row>
    <row r="6827" spans="1:40" x14ac:dyDescent="0.25">
      <c r="A6827" t="str">
        <f>"20190303154316400"</f>
        <v>20190303154316400</v>
      </c>
      <c r="B6827" t="str">
        <f>"1551598996396931"</f>
        <v>1551598996396931</v>
      </c>
      <c r="C6827" t="s">
        <v>40</v>
      </c>
      <c r="D6827">
        <v>5.0491699999999904</v>
      </c>
      <c r="E6827">
        <v>0.48754059999999999</v>
      </c>
      <c r="F6827" t="s">
        <v>43</v>
      </c>
      <c r="G6827">
        <v>-316.96539999999999</v>
      </c>
      <c r="H6827">
        <v>-0.05</v>
      </c>
      <c r="I6827">
        <v>18.11609</v>
      </c>
      <c r="J6827">
        <v>-327.85109999999997</v>
      </c>
      <c r="K6827">
        <v>1.120835</v>
      </c>
      <c r="L6827">
        <v>17.512419999999999</v>
      </c>
      <c r="M6827">
        <v>0.9999133</v>
      </c>
      <c r="N6827">
        <v>-1.310806E-2</v>
      </c>
      <c r="O6827">
        <v>-1.300753E-3</v>
      </c>
      <c r="P6827">
        <v>0.99533439999999995</v>
      </c>
      <c r="Q6827">
        <v>-9.4112050000000003E-2</v>
      </c>
      <c r="R6827">
        <v>2.1274870000000001E-2</v>
      </c>
      <c r="S6827">
        <v>2.980896</v>
      </c>
      <c r="T6827">
        <v>-0.31449080000000001</v>
      </c>
      <c r="U6827">
        <v>0.16201779999999999</v>
      </c>
      <c r="V6827">
        <v>-2.2603080000000001E-2</v>
      </c>
      <c r="W6827">
        <v>-8.104828E-2</v>
      </c>
      <c r="X6827">
        <v>0.99645379999999995</v>
      </c>
      <c r="Y6827">
        <v>-5.5221480000000003E-2</v>
      </c>
      <c r="Z6827">
        <v>3.3858909999999998E-3</v>
      </c>
      <c r="AA6827">
        <v>0.99846840000000003</v>
      </c>
      <c r="AB6827">
        <v>22</v>
      </c>
      <c r="AC6827">
        <v>10.8856999999999</v>
      </c>
      <c r="AD6827">
        <v>-1.1708350000000001</v>
      </c>
      <c r="AE6827">
        <v>0.60366999999999704</v>
      </c>
      <c r="AF6827">
        <v>-0.61078607002651297</v>
      </c>
      <c r="AG6827">
        <v>-1.1708350000000001</v>
      </c>
      <c r="AH6827">
        <v>10.760800372722899</v>
      </c>
      <c r="AI6827">
        <v>96.199770956424402</v>
      </c>
      <c r="AJ6827">
        <v>93.248638883045203</v>
      </c>
      <c r="AK6827">
        <v>10.841528438470201</v>
      </c>
      <c r="AL6827">
        <v>94.648823672227195</v>
      </c>
      <c r="AM6827">
        <v>91.299447134827602</v>
      </c>
      <c r="AN6827">
        <v>0.999999949225441</v>
      </c>
    </row>
    <row r="6828" spans="1:40" x14ac:dyDescent="0.25">
      <c r="A6828" t="str">
        <f>"20190303154316413"</f>
        <v>20190303154316413</v>
      </c>
      <c r="B6828" t="str">
        <f>"1551598996406691"</f>
        <v>1551598996406691</v>
      </c>
      <c r="C6828" t="s">
        <v>40</v>
      </c>
      <c r="D6828">
        <v>5.0339900000000002</v>
      </c>
      <c r="E6828">
        <v>0.48760409999999998</v>
      </c>
      <c r="F6828" t="s">
        <v>43</v>
      </c>
      <c r="G6828">
        <v>-316.78620000000001</v>
      </c>
      <c r="H6828">
        <v>-0.05</v>
      </c>
      <c r="I6828">
        <v>18.115310000000001</v>
      </c>
      <c r="J6828">
        <v>-327.7183</v>
      </c>
      <c r="K6828">
        <v>1.120843</v>
      </c>
      <c r="L6828">
        <v>17.512049999999999</v>
      </c>
      <c r="M6828">
        <v>0.9999133</v>
      </c>
      <c r="N6828">
        <v>-1.309068E-2</v>
      </c>
      <c r="O6828">
        <v>-1.453942E-3</v>
      </c>
      <c r="P6828">
        <v>0.9953632</v>
      </c>
      <c r="Q6828">
        <v>-9.3839980000000003E-2</v>
      </c>
      <c r="R6828">
        <v>2.112516E-2</v>
      </c>
      <c r="S6828">
        <v>2.9807739999999998</v>
      </c>
      <c r="T6828">
        <v>-0.3154112</v>
      </c>
      <c r="U6828">
        <v>0.16241459999999999</v>
      </c>
      <c r="V6828">
        <v>-2.2605449999999999E-2</v>
      </c>
      <c r="W6828">
        <v>-8.0793190000000001E-2</v>
      </c>
      <c r="X6828">
        <v>0.99647450000000004</v>
      </c>
      <c r="Y6828">
        <v>-5.5504820000000003E-2</v>
      </c>
      <c r="Z6828">
        <v>3.4253539999999998E-3</v>
      </c>
      <c r="AA6828">
        <v>0.99845249999999997</v>
      </c>
      <c r="AB6828">
        <v>22</v>
      </c>
      <c r="AC6828">
        <v>10.932099999999901</v>
      </c>
      <c r="AD6828">
        <v>-1.1708430000000001</v>
      </c>
      <c r="AE6828">
        <v>0.60326000000000202</v>
      </c>
      <c r="AF6828">
        <v>-0.61215483240245006</v>
      </c>
      <c r="AG6828">
        <v>-1.1708430000000001</v>
      </c>
      <c r="AH6828">
        <v>10.8076166317939</v>
      </c>
      <c r="AI6828">
        <v>96.173205816256299</v>
      </c>
      <c r="AJ6828">
        <v>93.241829665920704</v>
      </c>
      <c r="AK6828">
        <v>10.8880753179481</v>
      </c>
      <c r="AL6828">
        <v>94.634159824200793</v>
      </c>
      <c r="AM6828">
        <v>91.299556351697305</v>
      </c>
      <c r="AN6828">
        <v>0.99999998753516395</v>
      </c>
    </row>
    <row r="6829" spans="1:40" x14ac:dyDescent="0.25">
      <c r="A6829" t="str">
        <f>"20190303154316428"</f>
        <v>20190303154316428</v>
      </c>
      <c r="B6829" t="str">
        <f>"1551598996417427"</f>
        <v>1551598996417427</v>
      </c>
      <c r="C6829" t="s">
        <v>40</v>
      </c>
      <c r="D6829">
        <v>5.0943820000000004</v>
      </c>
      <c r="E6829">
        <v>0.48760389999999998</v>
      </c>
      <c r="F6829" t="s">
        <v>43</v>
      </c>
      <c r="G6829">
        <v>-316.61529999999999</v>
      </c>
      <c r="H6829">
        <v>-0.05</v>
      </c>
      <c r="I6829">
        <v>18.11346</v>
      </c>
      <c r="J6829">
        <v>-327.57709999999997</v>
      </c>
      <c r="K6829">
        <v>1.1208450000000001</v>
      </c>
      <c r="L6829">
        <v>17.511659999999999</v>
      </c>
      <c r="M6829">
        <v>0.9999133</v>
      </c>
      <c r="N6829">
        <v>-1.3073939999999999E-2</v>
      </c>
      <c r="O6829">
        <v>-1.6191770000000001E-3</v>
      </c>
      <c r="P6829">
        <v>0.99539639999999996</v>
      </c>
      <c r="Q6829">
        <v>-9.3540040000000005E-2</v>
      </c>
      <c r="R6829">
        <v>2.0887320000000001E-2</v>
      </c>
      <c r="S6829">
        <v>2.980988</v>
      </c>
      <c r="T6829">
        <v>-0.31435410000000003</v>
      </c>
      <c r="U6829">
        <v>0.16146849999999999</v>
      </c>
      <c r="V6829">
        <v>-2.2532320000000002E-2</v>
      </c>
      <c r="W6829">
        <v>-8.0509559999999994E-2</v>
      </c>
      <c r="X6829">
        <v>0.99649909999999997</v>
      </c>
      <c r="Y6829">
        <v>-5.535255E-2</v>
      </c>
      <c r="Z6829">
        <v>3.420654E-3</v>
      </c>
      <c r="AA6829">
        <v>0.99846100000000004</v>
      </c>
      <c r="AB6829">
        <v>22</v>
      </c>
      <c r="AC6829">
        <v>10.961799999999901</v>
      </c>
      <c r="AD6829">
        <v>-1.1708449999999999</v>
      </c>
      <c r="AE6829">
        <v>0.6018</v>
      </c>
      <c r="AF6829">
        <v>-0.61258207433299605</v>
      </c>
      <c r="AG6829">
        <v>-1.1708449999999999</v>
      </c>
      <c r="AH6829">
        <v>10.837540720365601</v>
      </c>
      <c r="AI6829">
        <v>96.156342468071003</v>
      </c>
      <c r="AJ6829">
        <v>93.235149045879794</v>
      </c>
      <c r="AK6829">
        <v>10.917803060936899</v>
      </c>
      <c r="AL6829">
        <v>94.617855965611298</v>
      </c>
      <c r="AM6829">
        <v>91.295321676181004</v>
      </c>
      <c r="AN6829">
        <v>0.99999997549839204</v>
      </c>
    </row>
    <row r="6830" spans="1:40" x14ac:dyDescent="0.25">
      <c r="A6830" t="str">
        <f>"20190303154316445"</f>
        <v>20190303154316445</v>
      </c>
      <c r="B6830" t="str">
        <f>"1551598996436950"</f>
        <v>1551598996436950</v>
      </c>
      <c r="C6830" t="s">
        <v>40</v>
      </c>
      <c r="D6830">
        <v>4.9641209999999996</v>
      </c>
      <c r="E6830">
        <v>0.48999320000000002</v>
      </c>
      <c r="F6830" t="s">
        <v>43</v>
      </c>
      <c r="G6830">
        <v>-316.42079999999999</v>
      </c>
      <c r="H6830">
        <v>-0.05</v>
      </c>
      <c r="I6830">
        <v>18.113399999999999</v>
      </c>
      <c r="J6830">
        <v>-327.4117</v>
      </c>
      <c r="K6830">
        <v>1.1208469999999999</v>
      </c>
      <c r="L6830">
        <v>17.51117</v>
      </c>
      <c r="M6830">
        <v>0.9999131</v>
      </c>
      <c r="N6830">
        <v>-1.3055779999999999E-2</v>
      </c>
      <c r="O6830">
        <v>-1.815529E-3</v>
      </c>
      <c r="P6830">
        <v>0.99545930000000005</v>
      </c>
      <c r="Q6830">
        <v>-9.2901499999999998E-2</v>
      </c>
      <c r="R6830">
        <v>2.0741099999999998E-2</v>
      </c>
      <c r="S6830">
        <v>2.9811100000000001</v>
      </c>
      <c r="T6830">
        <v>-0.31286429999999998</v>
      </c>
      <c r="U6830">
        <v>0.1607971</v>
      </c>
      <c r="V6830">
        <v>-2.2581919999999998E-2</v>
      </c>
      <c r="W6830">
        <v>-7.9888310000000004E-2</v>
      </c>
      <c r="X6830">
        <v>0.99654799999999999</v>
      </c>
      <c r="Y6830">
        <v>-5.5324760000000001E-2</v>
      </c>
      <c r="Z6830">
        <v>3.4218949999999999E-3</v>
      </c>
      <c r="AA6830">
        <v>0.99846259999999998</v>
      </c>
      <c r="AB6830">
        <v>22</v>
      </c>
      <c r="AC6830">
        <v>10.9909</v>
      </c>
      <c r="AD6830">
        <v>-1.170847</v>
      </c>
      <c r="AE6830">
        <v>0.60222999999999804</v>
      </c>
      <c r="AF6830">
        <v>-0.615224109610639</v>
      </c>
      <c r="AG6830">
        <v>-1.170847</v>
      </c>
      <c r="AH6830">
        <v>10.866836599414199</v>
      </c>
      <c r="AI6830">
        <v>96.1398517665192</v>
      </c>
      <c r="AJ6830">
        <v>93.240331773657005</v>
      </c>
      <c r="AK6830">
        <v>10.947032523968501</v>
      </c>
      <c r="AL6830">
        <v>94.582145818813402</v>
      </c>
      <c r="AM6830">
        <v>91.298108391634301</v>
      </c>
      <c r="AN6830">
        <v>1.00000000074477</v>
      </c>
    </row>
    <row r="6831" spans="1:40" x14ac:dyDescent="0.25">
      <c r="A6831" t="str">
        <f>"20190303154316468"</f>
        <v>20190303154316468</v>
      </c>
      <c r="B6831" t="str">
        <f>"1551598996457442"</f>
        <v>1551598996457442</v>
      </c>
      <c r="C6831" t="s">
        <v>40</v>
      </c>
      <c r="D6831">
        <v>4.9862000000000002</v>
      </c>
      <c r="E6831">
        <v>0.49036610000000003</v>
      </c>
      <c r="F6831" t="s">
        <v>43</v>
      </c>
      <c r="G6831">
        <v>-309.3349</v>
      </c>
      <c r="H6831">
        <v>-0.05</v>
      </c>
      <c r="I6831">
        <v>18.380520000000001</v>
      </c>
      <c r="J6831">
        <v>-327.18619999999999</v>
      </c>
      <c r="K6831">
        <v>1.120846</v>
      </c>
      <c r="L6831">
        <v>17.510439999999999</v>
      </c>
      <c r="M6831">
        <v>0.99991289999999999</v>
      </c>
      <c r="N6831">
        <v>-1.3033690000000001E-2</v>
      </c>
      <c r="O6831">
        <v>-2.0891379999999999E-3</v>
      </c>
      <c r="P6831">
        <v>0.99551500000000004</v>
      </c>
      <c r="Q6831">
        <v>-9.2349509999999996E-2</v>
      </c>
      <c r="R6831">
        <v>2.0534130000000001E-2</v>
      </c>
      <c r="S6831">
        <v>2.9925839999999999</v>
      </c>
      <c r="T6831">
        <v>-0.19383130000000001</v>
      </c>
      <c r="U6831">
        <v>0.14392089999999999</v>
      </c>
      <c r="V6831">
        <v>-2.2647509999999999E-2</v>
      </c>
      <c r="W6831">
        <v>-7.9357479999999994E-2</v>
      </c>
      <c r="X6831">
        <v>0.9965889</v>
      </c>
      <c r="Y6831">
        <v>-4.9995369999999997E-2</v>
      </c>
      <c r="Z6831">
        <v>2.0508169999999999E-3</v>
      </c>
      <c r="AA6831">
        <v>0.9987473</v>
      </c>
      <c r="AB6831">
        <v>22</v>
      </c>
      <c r="AC6831">
        <v>17.851299999999899</v>
      </c>
      <c r="AD6831">
        <v>-1.1708459999999901</v>
      </c>
      <c r="AE6831">
        <v>0.87008000000000096</v>
      </c>
      <c r="AF6831">
        <v>-0.90349755682285204</v>
      </c>
      <c r="AG6831">
        <v>-1.1708459999999901</v>
      </c>
      <c r="AH6831">
        <v>17.773166068859201</v>
      </c>
      <c r="AI6831">
        <v>93.764191634401101</v>
      </c>
      <c r="AJ6831">
        <v>92.910121587347206</v>
      </c>
      <c r="AK6831">
        <v>17.834590556055701</v>
      </c>
      <c r="AL6831">
        <v>94.551634734697799</v>
      </c>
      <c r="AM6831">
        <v>91.301824087819597</v>
      </c>
      <c r="AN6831">
        <v>0.99999997747217995</v>
      </c>
    </row>
    <row r="6832" spans="1:40" x14ac:dyDescent="0.25">
      <c r="A6832" t="str">
        <f>"20190303154316481"</f>
        <v>20190303154316481</v>
      </c>
      <c r="B6832" t="str">
        <f>"1551598996476962"</f>
        <v>1551598996476962</v>
      </c>
      <c r="C6832" t="s">
        <v>40</v>
      </c>
      <c r="D6832">
        <v>4.9267409999999998</v>
      </c>
      <c r="E6832">
        <v>0.49124230000000002</v>
      </c>
      <c r="F6832" t="s">
        <v>43</v>
      </c>
      <c r="G6832">
        <v>-307.88299999999998</v>
      </c>
      <c r="H6832">
        <v>-0.05</v>
      </c>
      <c r="I6832">
        <v>18.417539999999999</v>
      </c>
      <c r="J6832">
        <v>-327.05549999999999</v>
      </c>
      <c r="K6832">
        <v>1.120843</v>
      </c>
      <c r="L6832">
        <v>17.509979999999999</v>
      </c>
      <c r="M6832">
        <v>0.99991269999999999</v>
      </c>
      <c r="N6832">
        <v>-1.302218E-2</v>
      </c>
      <c r="O6832">
        <v>-2.25063E-3</v>
      </c>
      <c r="P6832">
        <v>0.99552350000000001</v>
      </c>
      <c r="Q6832">
        <v>-9.231085E-2</v>
      </c>
      <c r="R6832">
        <v>2.0303669999999999E-2</v>
      </c>
      <c r="S6832">
        <v>2.993805</v>
      </c>
      <c r="T6832">
        <v>-0.18159069999999999</v>
      </c>
      <c r="U6832">
        <v>0.14068599999999901</v>
      </c>
      <c r="V6832">
        <v>-2.257866E-2</v>
      </c>
      <c r="W6832">
        <v>-7.9330100000000001E-2</v>
      </c>
      <c r="X6832">
        <v>0.99659260000000005</v>
      </c>
      <c r="Y6832">
        <v>-4.907686E-2</v>
      </c>
      <c r="Z6832">
        <v>1.9133380000000001E-3</v>
      </c>
      <c r="AA6832">
        <v>0.99879320000000005</v>
      </c>
      <c r="AB6832">
        <v>22</v>
      </c>
      <c r="AC6832">
        <v>19.172499999999999</v>
      </c>
      <c r="AD6832">
        <v>-1.1708430000000001</v>
      </c>
      <c r="AE6832">
        <v>0.90756000000000003</v>
      </c>
      <c r="AF6832">
        <v>-0.94718701407904804</v>
      </c>
      <c r="AG6832">
        <v>-1.1708430000000001</v>
      </c>
      <c r="AH6832">
        <v>19.099338712964499</v>
      </c>
      <c r="AI6832">
        <v>93.503706715401094</v>
      </c>
      <c r="AJ6832">
        <v>92.839124102398202</v>
      </c>
      <c r="AK6832">
        <v>19.158621449437199</v>
      </c>
      <c r="AL6832">
        <v>94.550061206085104</v>
      </c>
      <c r="AM6832">
        <v>91.297862991228996</v>
      </c>
      <c r="AN6832">
        <v>0.99999993551407995</v>
      </c>
    </row>
    <row r="6833" spans="1:40" x14ac:dyDescent="0.25">
      <c r="A6833" t="str">
        <f>"20190303154316496"</f>
        <v>20190303154316496</v>
      </c>
      <c r="B6833" t="str">
        <f>"1551598996486723"</f>
        <v>1551598996486723</v>
      </c>
      <c r="C6833" t="s">
        <v>40</v>
      </c>
      <c r="D6833">
        <v>4.8987290000000003</v>
      </c>
      <c r="E6833">
        <v>0.49140410000000001</v>
      </c>
      <c r="F6833" t="s">
        <v>43</v>
      </c>
      <c r="G6833">
        <v>-306.7774</v>
      </c>
      <c r="H6833">
        <v>-0.05</v>
      </c>
      <c r="I6833">
        <v>18.41281</v>
      </c>
      <c r="J6833">
        <v>-326.91849999999999</v>
      </c>
      <c r="K6833">
        <v>1.120841</v>
      </c>
      <c r="L6833">
        <v>17.50949</v>
      </c>
      <c r="M6833">
        <v>0.99991260000000004</v>
      </c>
      <c r="N6833">
        <v>-1.301093E-2</v>
      </c>
      <c r="O6833">
        <v>-2.4215460000000001E-3</v>
      </c>
      <c r="P6833">
        <v>0.99552549999999995</v>
      </c>
      <c r="Q6833">
        <v>-9.2298729999999995E-2</v>
      </c>
      <c r="R6833">
        <v>2.0255849999999999E-2</v>
      </c>
      <c r="S6833">
        <v>2.99472</v>
      </c>
      <c r="T6833">
        <v>-0.1729136</v>
      </c>
      <c r="U6833">
        <v>0.13333130000000001</v>
      </c>
      <c r="V6833">
        <v>-2.270173E-2</v>
      </c>
      <c r="W6833">
        <v>-7.9328979999999993E-2</v>
      </c>
      <c r="X6833">
        <v>0.99658999999999998</v>
      </c>
      <c r="Y6833">
        <v>-4.6799479999999997E-2</v>
      </c>
      <c r="Z6833">
        <v>1.762387E-3</v>
      </c>
      <c r="AA6833">
        <v>0.99890270000000003</v>
      </c>
      <c r="AB6833">
        <v>22</v>
      </c>
      <c r="AC6833">
        <v>20.141099999999899</v>
      </c>
      <c r="AD6833">
        <v>-1.170841</v>
      </c>
      <c r="AE6833">
        <v>0.90332000000000001</v>
      </c>
      <c r="AF6833">
        <v>-0.94889389114485301</v>
      </c>
      <c r="AG6833">
        <v>-1.170841</v>
      </c>
      <c r="AH6833">
        <v>20.071162575477899</v>
      </c>
      <c r="AI6833">
        <v>93.334820228219996</v>
      </c>
      <c r="AJ6833">
        <v>92.706727332661799</v>
      </c>
      <c r="AK6833">
        <v>20.127663436057301</v>
      </c>
      <c r="AL6833">
        <v>94.5499963470523</v>
      </c>
      <c r="AM6833">
        <v>91.304938245420203</v>
      </c>
      <c r="AN6833">
        <v>1.0000000418564099</v>
      </c>
    </row>
    <row r="6834" spans="1:40" x14ac:dyDescent="0.25">
      <c r="A6834" t="str">
        <f>"20190303154316511"</f>
        <v>20190303154316511</v>
      </c>
      <c r="B6834" t="str">
        <f>"1551598996507220"</f>
        <v>1551598996507220</v>
      </c>
      <c r="C6834" t="s">
        <v>40</v>
      </c>
      <c r="D6834">
        <v>4.8625319999999999</v>
      </c>
      <c r="E6834">
        <v>0.4917763</v>
      </c>
      <c r="F6834" t="s">
        <v>43</v>
      </c>
      <c r="G6834">
        <v>-306.27359999999999</v>
      </c>
      <c r="H6834">
        <v>-0.05</v>
      </c>
      <c r="I6834">
        <v>18.419070000000001</v>
      </c>
      <c r="J6834">
        <v>-326.7679</v>
      </c>
      <c r="K6834">
        <v>1.120835</v>
      </c>
      <c r="L6834">
        <v>17.508879999999898</v>
      </c>
      <c r="M6834">
        <v>0.99991209999999997</v>
      </c>
      <c r="N6834">
        <v>-1.29999E-2</v>
      </c>
      <c r="O6834">
        <v>-2.6123700000000001E-3</v>
      </c>
      <c r="P6834">
        <v>0.99556670000000003</v>
      </c>
      <c r="Q6834">
        <v>-9.181926E-2</v>
      </c>
      <c r="R6834">
        <v>2.0405690000000001E-2</v>
      </c>
      <c r="S6834">
        <v>2.9950869999999998</v>
      </c>
      <c r="T6834">
        <v>-0.16986099999999901</v>
      </c>
      <c r="U6834">
        <v>0.13195799999999999</v>
      </c>
      <c r="V6834">
        <v>-2.3041900000000001E-2</v>
      </c>
      <c r="W6834">
        <v>-7.8859760000000001E-2</v>
      </c>
      <c r="X6834">
        <v>0.99661940000000004</v>
      </c>
      <c r="Y6834">
        <v>-4.6531099999999999E-2</v>
      </c>
      <c r="Z6834">
        <v>1.734717E-3</v>
      </c>
      <c r="AA6834">
        <v>0.99891529999999995</v>
      </c>
      <c r="AB6834">
        <v>22</v>
      </c>
      <c r="AC6834">
        <v>20.494299999999999</v>
      </c>
      <c r="AD6834">
        <v>-1.1708350000000001</v>
      </c>
      <c r="AE6834">
        <v>0.91019000000000305</v>
      </c>
      <c r="AF6834">
        <v>-0.96060106183959704</v>
      </c>
      <c r="AG6834">
        <v>-1.1708350000000001</v>
      </c>
      <c r="AH6834">
        <v>20.4253189203998</v>
      </c>
      <c r="AI6834">
        <v>93.277145807083002</v>
      </c>
      <c r="AJ6834">
        <v>92.692631748403997</v>
      </c>
      <c r="AK6834">
        <v>20.481388185307999</v>
      </c>
      <c r="AL6834">
        <v>94.523027678396403</v>
      </c>
      <c r="AM6834">
        <v>91.324445886510702</v>
      </c>
      <c r="AN6834">
        <v>1.00000000967961</v>
      </c>
    </row>
    <row r="6835" spans="1:40" x14ac:dyDescent="0.25">
      <c r="A6835" t="str">
        <f>"20190303154316524"</f>
        <v>20190303154316524</v>
      </c>
      <c r="B6835" t="str">
        <f>"1551598996516978"</f>
        <v>1551598996516978</v>
      </c>
      <c r="C6835" t="s">
        <v>40</v>
      </c>
      <c r="D6835">
        <v>4.9039479999999998</v>
      </c>
      <c r="E6835">
        <v>0.49147059999999998</v>
      </c>
      <c r="F6835" t="s">
        <v>43</v>
      </c>
      <c r="G6835">
        <v>-305.45299999999997</v>
      </c>
      <c r="H6835">
        <v>-0.05</v>
      </c>
      <c r="I6835">
        <v>18.430910000000001</v>
      </c>
      <c r="J6835">
        <v>-326.6413</v>
      </c>
      <c r="K6835">
        <v>1.120833</v>
      </c>
      <c r="L6835">
        <v>17.508389999999999</v>
      </c>
      <c r="M6835">
        <v>0.99991189999999996</v>
      </c>
      <c r="N6835">
        <v>-1.299137E-2</v>
      </c>
      <c r="O6835">
        <v>-2.774463E-3</v>
      </c>
      <c r="P6835">
        <v>0.9956121</v>
      </c>
      <c r="Q6835">
        <v>-9.1337680000000004E-2</v>
      </c>
      <c r="R6835">
        <v>2.035489E-2</v>
      </c>
      <c r="S6835">
        <v>2.9954830000000001</v>
      </c>
      <c r="T6835">
        <v>-0.16454360000000001</v>
      </c>
      <c r="U6835">
        <v>0.12957759999999999</v>
      </c>
      <c r="V6835">
        <v>-2.3152539999999999E-2</v>
      </c>
      <c r="W6835">
        <v>-7.8385969999999999E-2</v>
      </c>
      <c r="X6835">
        <v>0.99665420000000005</v>
      </c>
      <c r="Y6835">
        <v>-4.5901299999999999E-2</v>
      </c>
      <c r="Z6835">
        <v>1.673957E-3</v>
      </c>
      <c r="AA6835">
        <v>0.99894459999999996</v>
      </c>
      <c r="AB6835">
        <v>22</v>
      </c>
      <c r="AC6835">
        <v>21.188300000000002</v>
      </c>
      <c r="AD6835">
        <v>-1.170833</v>
      </c>
      <c r="AE6835">
        <v>0.92252000000000201</v>
      </c>
      <c r="AF6835">
        <v>-0.97832589212286702</v>
      </c>
      <c r="AG6835">
        <v>-1.170833</v>
      </c>
      <c r="AH6835">
        <v>21.121286935821701</v>
      </c>
      <c r="AI6835">
        <v>93.169483643650196</v>
      </c>
      <c r="AJ6835">
        <v>92.652012095244203</v>
      </c>
      <c r="AK6835">
        <v>21.176324829639299</v>
      </c>
      <c r="AL6835">
        <v>94.495797272628906</v>
      </c>
      <c r="AM6835">
        <v>91.3307567293012</v>
      </c>
      <c r="AN6835">
        <v>0.99999999738946599</v>
      </c>
    </row>
    <row r="6836" spans="1:40" x14ac:dyDescent="0.25">
      <c r="A6836" t="str">
        <f>"20190303154316536"</f>
        <v>20190303154316536</v>
      </c>
      <c r="B6836" t="str">
        <f>"1551598996527245"</f>
        <v>1551598996527245</v>
      </c>
      <c r="C6836" t="s">
        <v>40</v>
      </c>
      <c r="D6836">
        <v>4.8913859999999998</v>
      </c>
      <c r="E6836">
        <v>0.49120180000000002</v>
      </c>
      <c r="F6836" t="s">
        <v>43</v>
      </c>
      <c r="G6836">
        <v>-305.59570000000002</v>
      </c>
      <c r="H6836">
        <v>-0.05</v>
      </c>
      <c r="I6836">
        <v>18.434719999999999</v>
      </c>
      <c r="J6836">
        <v>-326.52690000000001</v>
      </c>
      <c r="K6836">
        <v>1.12083</v>
      </c>
      <c r="L6836">
        <v>17.50787</v>
      </c>
      <c r="M6836">
        <v>0.99991149999999995</v>
      </c>
      <c r="N6836">
        <v>-1.2984020000000001E-2</v>
      </c>
      <c r="O6836">
        <v>-2.921416E-3</v>
      </c>
      <c r="P6836">
        <v>0.99564830000000004</v>
      </c>
      <c r="Q6836">
        <v>-9.0858590000000003E-2</v>
      </c>
      <c r="R6836">
        <v>2.0719459999999999E-2</v>
      </c>
      <c r="S6836">
        <v>2.9952390000000002</v>
      </c>
      <c r="T6836">
        <v>-0.16663459999999999</v>
      </c>
      <c r="U6836">
        <v>0.13183590000000001</v>
      </c>
      <c r="V6836">
        <v>-2.3663819999999999E-2</v>
      </c>
      <c r="W6836">
        <v>-7.7913560000000007E-2</v>
      </c>
      <c r="X6836">
        <v>0.99667919999999999</v>
      </c>
      <c r="Y6836">
        <v>-4.6799439999999998E-2</v>
      </c>
      <c r="Z6836">
        <v>1.728872E-3</v>
      </c>
      <c r="AA6836">
        <v>0.99890279999999998</v>
      </c>
      <c r="AB6836">
        <v>22</v>
      </c>
      <c r="AC6836">
        <v>20.931199999999901</v>
      </c>
      <c r="AD6836">
        <v>-1.17083</v>
      </c>
      <c r="AE6836">
        <v>0.92685000000000095</v>
      </c>
      <c r="AF6836">
        <v>-0.98492418451546604</v>
      </c>
      <c r="AG6836">
        <v>-1.17083</v>
      </c>
      <c r="AH6836">
        <v>20.863250283876301</v>
      </c>
      <c r="AI6836">
        <v>93.208461361737605</v>
      </c>
      <c r="AJ6836">
        <v>92.702845038189395</v>
      </c>
      <c r="AK6836">
        <v>20.9192765397326</v>
      </c>
      <c r="AL6836">
        <v>94.468647289874596</v>
      </c>
      <c r="AM6836">
        <v>91.360098947719806</v>
      </c>
      <c r="AN6836">
        <v>0.99999996346075204</v>
      </c>
    </row>
    <row r="6837" spans="1:40" x14ac:dyDescent="0.25">
      <c r="A6837" t="str">
        <f>"20190303154316547"</f>
        <v>20190303154316547</v>
      </c>
      <c r="B6837" t="str">
        <f>"1551598996537005"</f>
        <v>1551598996537005</v>
      </c>
      <c r="C6837" t="s">
        <v>40</v>
      </c>
      <c r="D6837">
        <v>4.8313709999999999</v>
      </c>
      <c r="E6837">
        <v>0.49127539999999997</v>
      </c>
      <c r="F6837" t="s">
        <v>43</v>
      </c>
      <c r="G6837">
        <v>-305.66219999999998</v>
      </c>
      <c r="H6837">
        <v>-0.05</v>
      </c>
      <c r="I6837">
        <v>18.448460000000001</v>
      </c>
      <c r="J6837">
        <v>-326.41520000000003</v>
      </c>
      <c r="K6837">
        <v>1.1208320000000001</v>
      </c>
      <c r="L6837">
        <v>17.50742</v>
      </c>
      <c r="M6837">
        <v>0.99991110000000005</v>
      </c>
      <c r="N6837">
        <v>-1.297745E-2</v>
      </c>
      <c r="O6837">
        <v>-3.06573E-3</v>
      </c>
      <c r="P6837">
        <v>0.99567740000000005</v>
      </c>
      <c r="Q6837">
        <v>-9.042501E-2</v>
      </c>
      <c r="R6837">
        <v>2.1211859999999999E-2</v>
      </c>
      <c r="S6837">
        <v>2.9949340000000002</v>
      </c>
      <c r="T6837">
        <v>-0.16806209999999999</v>
      </c>
      <c r="U6837">
        <v>0.13500980000000001</v>
      </c>
      <c r="V6837">
        <v>-2.429957E-2</v>
      </c>
      <c r="W6837">
        <v>-7.7485960000000006E-2</v>
      </c>
      <c r="X6837">
        <v>0.99669719999999995</v>
      </c>
      <c r="Y6837">
        <v>-4.8000609999999999E-2</v>
      </c>
      <c r="Z6837">
        <v>1.789056E-3</v>
      </c>
      <c r="AA6837">
        <v>0.99884569999999995</v>
      </c>
      <c r="AB6837">
        <v>22</v>
      </c>
      <c r="AC6837">
        <v>20.753</v>
      </c>
      <c r="AD6837">
        <v>-1.1708319999999901</v>
      </c>
      <c r="AE6837">
        <v>0.94104000000000099</v>
      </c>
      <c r="AF6837">
        <v>-1.00148291774522</v>
      </c>
      <c r="AG6837">
        <v>-1.1708319999999901</v>
      </c>
      <c r="AH6837">
        <v>20.6843155574912</v>
      </c>
      <c r="AI6837">
        <v>93.235977486036504</v>
      </c>
      <c r="AJ6837">
        <v>92.771953893537003</v>
      </c>
      <c r="AK6837">
        <v>20.741618203231699</v>
      </c>
      <c r="AL6837">
        <v>94.444073489267197</v>
      </c>
      <c r="AM6837">
        <v>91.396599744428201</v>
      </c>
      <c r="AN6837">
        <v>0.99999992579357</v>
      </c>
    </row>
    <row r="6838" spans="1:40" x14ac:dyDescent="0.25">
      <c r="A6838" t="str">
        <f>"20190303154316559"</f>
        <v>20190303154316559</v>
      </c>
      <c r="B6838" t="str">
        <f>"1551598996546765"</f>
        <v>1551598996546765</v>
      </c>
      <c r="C6838" t="s">
        <v>40</v>
      </c>
      <c r="D6838">
        <v>4.8586580000000001</v>
      </c>
      <c r="E6838">
        <v>0.49096689999999998</v>
      </c>
      <c r="F6838" t="s">
        <v>43</v>
      </c>
      <c r="G6838">
        <v>-305.1927</v>
      </c>
      <c r="H6838">
        <v>-0.05</v>
      </c>
      <c r="I6838">
        <v>18.47119</v>
      </c>
      <c r="J6838">
        <v>-326.30360000000002</v>
      </c>
      <c r="K6838">
        <v>1.1208309999999999</v>
      </c>
      <c r="L6838">
        <v>17.506900000000002</v>
      </c>
      <c r="M6838">
        <v>0.99991079999999999</v>
      </c>
      <c r="N6838">
        <v>-1.2971109999999999E-2</v>
      </c>
      <c r="O6838">
        <v>-3.209801E-3</v>
      </c>
      <c r="P6838">
        <v>0.99570610000000004</v>
      </c>
      <c r="Q6838">
        <v>-8.9929510000000004E-2</v>
      </c>
      <c r="R6838">
        <v>2.1955019999999999E-2</v>
      </c>
      <c r="S6838">
        <v>2.995117</v>
      </c>
      <c r="T6838">
        <v>-0.16523850000000001</v>
      </c>
      <c r="U6838">
        <v>0.13601679999999999</v>
      </c>
      <c r="V6838">
        <v>-2.5186409999999999E-2</v>
      </c>
      <c r="W6838">
        <v>-7.6996129999999996E-2</v>
      </c>
      <c r="X6838">
        <v>0.99671319999999997</v>
      </c>
      <c r="Y6838">
        <v>-4.8478880000000002E-2</v>
      </c>
      <c r="Z6838">
        <v>1.785722E-3</v>
      </c>
      <c r="AA6838">
        <v>0.9988226</v>
      </c>
      <c r="AB6838">
        <v>22</v>
      </c>
      <c r="AC6838">
        <v>21.110900000000001</v>
      </c>
      <c r="AD6838">
        <v>-1.170831</v>
      </c>
      <c r="AE6838">
        <v>0.96428999999999798</v>
      </c>
      <c r="AF6838">
        <v>-1.02889430890802</v>
      </c>
      <c r="AG6838">
        <v>-1.170831</v>
      </c>
      <c r="AH6838">
        <v>21.0431036702605</v>
      </c>
      <c r="AI6838">
        <v>93.180841632511203</v>
      </c>
      <c r="AJ6838">
        <v>92.799225423534295</v>
      </c>
      <c r="AK6838">
        <v>21.100750716663999</v>
      </c>
      <c r="AL6838">
        <v>94.415923952707701</v>
      </c>
      <c r="AM6838">
        <v>91.447525682587795</v>
      </c>
      <c r="AN6838">
        <v>0.99999998116895195</v>
      </c>
    </row>
    <row r="6839" spans="1:40" x14ac:dyDescent="0.25">
      <c r="A6839" t="str">
        <f>"20190303154316570"</f>
        <v>20190303154316570</v>
      </c>
      <c r="B6839" t="str">
        <f>"1551598996567261"</f>
        <v>1551598996567261</v>
      </c>
      <c r="C6839" t="s">
        <v>40</v>
      </c>
      <c r="D6839">
        <v>4.8523699999999996</v>
      </c>
      <c r="E6839">
        <v>0.4907572</v>
      </c>
      <c r="F6839" t="s">
        <v>43</v>
      </c>
      <c r="G6839">
        <v>-305.28899999999999</v>
      </c>
      <c r="H6839">
        <v>-0.05</v>
      </c>
      <c r="I6839">
        <v>18.493680000000001</v>
      </c>
      <c r="J6839">
        <v>-326.19240000000002</v>
      </c>
      <c r="K6839">
        <v>1.1208309999999999</v>
      </c>
      <c r="L6839">
        <v>17.50638</v>
      </c>
      <c r="M6839">
        <v>0.99991039999999998</v>
      </c>
      <c r="N6839">
        <v>-1.2965330000000001E-2</v>
      </c>
      <c r="O6839">
        <v>-3.353385E-3</v>
      </c>
      <c r="P6839">
        <v>0.99571109999999896</v>
      </c>
      <c r="Q6839">
        <v>-8.9553549999999996E-2</v>
      </c>
      <c r="R6839">
        <v>2.3230899999999999E-2</v>
      </c>
      <c r="S6839">
        <v>2.9947509999999999</v>
      </c>
      <c r="T6839">
        <v>-0.16685320000000001</v>
      </c>
      <c r="U6839">
        <v>0.140625</v>
      </c>
      <c r="V6839">
        <v>-2.66044E-2</v>
      </c>
      <c r="W6839">
        <v>-7.6625440000000003E-2</v>
      </c>
      <c r="X6839">
        <v>0.9967049</v>
      </c>
      <c r="Y6839">
        <v>-5.0156390000000002E-2</v>
      </c>
      <c r="Z6839">
        <v>1.864199E-3</v>
      </c>
      <c r="AA6839">
        <v>0.99873970000000001</v>
      </c>
      <c r="AB6839">
        <v>22</v>
      </c>
      <c r="AC6839">
        <v>20.903400000000001</v>
      </c>
      <c r="AD6839">
        <v>-1.170831</v>
      </c>
      <c r="AE6839">
        <v>0.98729999999999696</v>
      </c>
      <c r="AF6839">
        <v>-1.05409783401362</v>
      </c>
      <c r="AG6839">
        <v>-1.170831</v>
      </c>
      <c r="AH6839">
        <v>20.834752221220199</v>
      </c>
      <c r="AI6839">
        <v>93.2123141447465</v>
      </c>
      <c r="AJ6839">
        <v>92.896310192261197</v>
      </c>
      <c r="AK6839">
        <v>20.894230485803298</v>
      </c>
      <c r="AL6839">
        <v>94.394622162775306</v>
      </c>
      <c r="AM6839">
        <v>91.528996169742499</v>
      </c>
      <c r="AN6839">
        <v>0.99999995491927995</v>
      </c>
    </row>
    <row r="6840" spans="1:40" x14ac:dyDescent="0.25">
      <c r="A6840" t="str">
        <f>"20190303154316581"</f>
        <v>20190303154316581</v>
      </c>
      <c r="B6840" t="str">
        <f>"1551598996577021"</f>
        <v>1551598996577021</v>
      </c>
      <c r="C6840" t="s">
        <v>40</v>
      </c>
      <c r="D6840">
        <v>4.8438889999999999</v>
      </c>
      <c r="E6840">
        <v>0.49062359999999999</v>
      </c>
      <c r="F6840" t="s">
        <v>43</v>
      </c>
      <c r="G6840">
        <v>-305.20030000000003</v>
      </c>
      <c r="H6840">
        <v>-0.05</v>
      </c>
      <c r="I6840">
        <v>18.530899999999999</v>
      </c>
      <c r="J6840">
        <v>-326.08300000000003</v>
      </c>
      <c r="K6840">
        <v>1.1208340000000001</v>
      </c>
      <c r="L6840">
        <v>17.50583</v>
      </c>
      <c r="M6840">
        <v>0.99990990000000002</v>
      </c>
      <c r="N6840">
        <v>-1.2960009999999999E-2</v>
      </c>
      <c r="O6840">
        <v>-3.4939889999999999E-3</v>
      </c>
      <c r="P6840">
        <v>0.99565599999999999</v>
      </c>
      <c r="Q6840">
        <v>-8.9908589999999997E-2</v>
      </c>
      <c r="R6840">
        <v>2.4204219999999999E-2</v>
      </c>
      <c r="S6840">
        <v>2.994507</v>
      </c>
      <c r="T6840">
        <v>-0.16701869999999999</v>
      </c>
      <c r="U6840">
        <v>0.14614869999999999</v>
      </c>
      <c r="V6840">
        <v>-2.7717160000000001E-2</v>
      </c>
      <c r="W6840">
        <v>-7.6986139999999995E-2</v>
      </c>
      <c r="X6840">
        <v>0.99664680000000005</v>
      </c>
      <c r="Y6840">
        <v>-5.2134510000000002E-2</v>
      </c>
      <c r="Z6840">
        <v>1.9396649999999999E-3</v>
      </c>
      <c r="AA6840">
        <v>0.99863820000000003</v>
      </c>
      <c r="AB6840">
        <v>22</v>
      </c>
      <c r="AC6840">
        <v>20.8826999999999</v>
      </c>
      <c r="AD6840">
        <v>-1.1708339999999999</v>
      </c>
      <c r="AE6840">
        <v>1.0250699999999899</v>
      </c>
      <c r="AF6840">
        <v>-1.09460115670587</v>
      </c>
      <c r="AG6840">
        <v>-1.1708339999999999</v>
      </c>
      <c r="AH6840">
        <v>20.813719387436599</v>
      </c>
      <c r="AI6840">
        <v>93.215231964635294</v>
      </c>
      <c r="AJ6840">
        <v>93.010432793799495</v>
      </c>
      <c r="AK6840">
        <v>20.875342360947499</v>
      </c>
      <c r="AL6840">
        <v>94.415349889666402</v>
      </c>
      <c r="AM6840">
        <v>91.593008738688098</v>
      </c>
      <c r="AN6840">
        <v>0.99999997533040197</v>
      </c>
    </row>
    <row r="6841" spans="1:40" x14ac:dyDescent="0.25">
      <c r="A6841" t="str">
        <f>"20190303154316601"</f>
        <v>20190303154316601</v>
      </c>
      <c r="B6841" t="str">
        <f>"1551598996597517"</f>
        <v>1551598996597517</v>
      </c>
      <c r="C6841" t="s">
        <v>40</v>
      </c>
      <c r="D6841">
        <v>4.7260580000000001</v>
      </c>
      <c r="E6841">
        <v>0.4905928</v>
      </c>
      <c r="F6841" t="s">
        <v>43</v>
      </c>
      <c r="G6841">
        <v>-305.49430000000001</v>
      </c>
      <c r="H6841">
        <v>-0.05</v>
      </c>
      <c r="I6841">
        <v>18.538309999999999</v>
      </c>
      <c r="J6841">
        <v>-325.89440000000002</v>
      </c>
      <c r="K6841">
        <v>1.1208290000000001</v>
      </c>
      <c r="L6841">
        <v>17.504909999999999</v>
      </c>
      <c r="M6841">
        <v>0.99990919999999905</v>
      </c>
      <c r="N6841">
        <v>-1.295164E-2</v>
      </c>
      <c r="O6841">
        <v>-3.735159E-3</v>
      </c>
      <c r="P6841">
        <v>0.99547890000000006</v>
      </c>
      <c r="Q6841">
        <v>-9.125817E-2</v>
      </c>
      <c r="R6841">
        <v>2.6343499999999999E-2</v>
      </c>
      <c r="S6841">
        <v>2.9940799999999999</v>
      </c>
      <c r="T6841">
        <v>-0.17026669999999999</v>
      </c>
      <c r="U6841">
        <v>0.15014649999999999</v>
      </c>
      <c r="V6841">
        <v>-3.0096729999999999E-2</v>
      </c>
      <c r="W6841">
        <v>-7.8345570000000003E-2</v>
      </c>
      <c r="X6841">
        <v>0.99647189999999997</v>
      </c>
      <c r="Y6841">
        <v>-5.3705360000000001E-2</v>
      </c>
      <c r="Z6841">
        <v>2.0370219999999999E-3</v>
      </c>
      <c r="AA6841">
        <v>0.99855479999999996</v>
      </c>
      <c r="AB6841">
        <v>22</v>
      </c>
      <c r="AC6841">
        <v>20.400099999999998</v>
      </c>
      <c r="AD6841">
        <v>-1.1708289999999999</v>
      </c>
      <c r="AE6841">
        <v>1.0334000000000001</v>
      </c>
      <c r="AF6841">
        <v>-1.10596308735794</v>
      </c>
      <c r="AG6841">
        <v>-1.1708289999999999</v>
      </c>
      <c r="AH6841">
        <v>20.329304294767802</v>
      </c>
      <c r="AI6841">
        <v>93.291347843791002</v>
      </c>
      <c r="AJ6841">
        <v>93.113958693549804</v>
      </c>
      <c r="AK6841">
        <v>20.393003898570299</v>
      </c>
      <c r="AL6841">
        <v>94.493475170470802</v>
      </c>
      <c r="AM6841">
        <v>91.729995129204298</v>
      </c>
      <c r="AN6841">
        <v>1.0000000444924599</v>
      </c>
    </row>
    <row r="6842" spans="1:40" x14ac:dyDescent="0.25">
      <c r="A6842" t="str">
        <f>"20190303154316612"</f>
        <v>20190303154316612</v>
      </c>
      <c r="B6842" t="str">
        <f>"1551598996607278"</f>
        <v>1551598996607278</v>
      </c>
      <c r="C6842" t="s">
        <v>40</v>
      </c>
      <c r="D6842">
        <v>4.7194770000000004</v>
      </c>
      <c r="E6842">
        <v>0.49062159999999999</v>
      </c>
      <c r="F6842" t="s">
        <v>43</v>
      </c>
      <c r="G6842">
        <v>-305.666</v>
      </c>
      <c r="H6842">
        <v>-0.05</v>
      </c>
      <c r="I6842">
        <v>18.565460000000002</v>
      </c>
      <c r="J6842">
        <v>-325.77870000000001</v>
      </c>
      <c r="K6842">
        <v>1.120827</v>
      </c>
      <c r="L6842">
        <v>17.504300000000001</v>
      </c>
      <c r="M6842">
        <v>0.99990869999999998</v>
      </c>
      <c r="N6842">
        <v>-1.294695E-2</v>
      </c>
      <c r="O6842">
        <v>-3.882319E-3</v>
      </c>
      <c r="P6842">
        <v>0.9953495</v>
      </c>
      <c r="Q6842">
        <v>-9.2435370000000003E-2</v>
      </c>
      <c r="R6842">
        <v>2.7113100000000001E-2</v>
      </c>
      <c r="S6842">
        <v>2.9936219999999998</v>
      </c>
      <c r="T6842">
        <v>-0.1732717</v>
      </c>
      <c r="U6842">
        <v>0.15695190000000001</v>
      </c>
      <c r="V6842">
        <v>-3.1012270000000002E-2</v>
      </c>
      <c r="W6842">
        <v>-7.952882E-2</v>
      </c>
      <c r="X6842">
        <v>0.99634999999999996</v>
      </c>
      <c r="Y6842">
        <v>-5.6115190000000002E-2</v>
      </c>
      <c r="Z6842">
        <v>2.159584E-3</v>
      </c>
      <c r="AA6842">
        <v>0.99842200000000003</v>
      </c>
      <c r="AB6842">
        <v>22</v>
      </c>
      <c r="AC6842">
        <v>20.1127</v>
      </c>
      <c r="AD6842">
        <v>-1.1708270000000001</v>
      </c>
      <c r="AE6842">
        <v>1.0611600000000001</v>
      </c>
      <c r="AF6842">
        <v>-1.1354054896985899</v>
      </c>
      <c r="AG6842">
        <v>-1.1708270000000001</v>
      </c>
      <c r="AH6842">
        <v>20.040703078068301</v>
      </c>
      <c r="AI6842">
        <v>93.3382182305144</v>
      </c>
      <c r="AJ6842">
        <v>93.242624423181596</v>
      </c>
      <c r="AK6842">
        <v>20.1069580333094</v>
      </c>
      <c r="AL6842">
        <v>94.5614830076223</v>
      </c>
      <c r="AM6842">
        <v>91.782805935790606</v>
      </c>
      <c r="AN6842">
        <v>0.99999995830057098</v>
      </c>
    </row>
    <row r="6843" spans="1:40" x14ac:dyDescent="0.25">
      <c r="A6843" t="str">
        <f>"20190303154316623"</f>
        <v>20190303154316623</v>
      </c>
      <c r="B6843" t="str">
        <f>"1551598996617037"</f>
        <v>1551598996617037</v>
      </c>
      <c r="C6843" t="s">
        <v>40</v>
      </c>
      <c r="D6843">
        <v>4.731096</v>
      </c>
      <c r="E6843">
        <v>0.49066860000000001</v>
      </c>
      <c r="F6843" t="s">
        <v>43</v>
      </c>
      <c r="G6843">
        <v>-305.71890000000002</v>
      </c>
      <c r="H6843">
        <v>-0.05</v>
      </c>
      <c r="I6843">
        <v>18.569780000000002</v>
      </c>
      <c r="J6843">
        <v>-325.67540000000002</v>
      </c>
      <c r="K6843">
        <v>1.120822</v>
      </c>
      <c r="L6843">
        <v>17.50375</v>
      </c>
      <c r="M6843">
        <v>0.99990829999999997</v>
      </c>
      <c r="N6843">
        <v>-1.2943110000000001E-2</v>
      </c>
      <c r="O6843">
        <v>-4.0123270000000004E-3</v>
      </c>
      <c r="P6843">
        <v>0.99521099999999996</v>
      </c>
      <c r="Q6843">
        <v>-9.3764100000000003E-2</v>
      </c>
      <c r="R6843">
        <v>2.7624880000000001E-2</v>
      </c>
      <c r="S6843">
        <v>2.9934690000000002</v>
      </c>
      <c r="T6843">
        <v>-0.1747184</v>
      </c>
      <c r="U6843">
        <v>0.15899659999999999</v>
      </c>
      <c r="V6843">
        <v>-3.1653090000000002E-2</v>
      </c>
      <c r="W6843">
        <v>-8.0862970000000006E-2</v>
      </c>
      <c r="X6843">
        <v>0.99622250000000001</v>
      </c>
      <c r="Y6843">
        <v>-5.692407E-2</v>
      </c>
      <c r="Z6843">
        <v>2.2096619999999998E-3</v>
      </c>
      <c r="AA6843">
        <v>0.99837609999999999</v>
      </c>
      <c r="AB6843">
        <v>22</v>
      </c>
      <c r="AC6843">
        <v>19.956499999999998</v>
      </c>
      <c r="AD6843">
        <v>-1.170822</v>
      </c>
      <c r="AE6843">
        <v>1.06602999999999</v>
      </c>
      <c r="AF6843">
        <v>-1.14217990362578</v>
      </c>
      <c r="AG6843">
        <v>-1.170822</v>
      </c>
      <c r="AH6843">
        <v>19.8838160213934</v>
      </c>
      <c r="AI6843">
        <v>93.364332441009495</v>
      </c>
      <c r="AJ6843">
        <v>93.287610943512504</v>
      </c>
      <c r="AK6843">
        <v>19.950978388553999</v>
      </c>
      <c r="AL6843">
        <v>94.638170972797298</v>
      </c>
      <c r="AM6843">
        <v>91.819853038718605</v>
      </c>
      <c r="AN6843">
        <v>1.0000000037650001</v>
      </c>
    </row>
    <row r="6844" spans="1:40" x14ac:dyDescent="0.25">
      <c r="A6844" t="str">
        <f>"20190303154316634"</f>
        <v>20190303154316634</v>
      </c>
      <c r="B6844" t="str">
        <f>"1551598996626797"</f>
        <v>1551598996626797</v>
      </c>
      <c r="C6844" t="s">
        <v>40</v>
      </c>
      <c r="D6844">
        <v>4.725041</v>
      </c>
      <c r="E6844">
        <v>0.49068469999999997</v>
      </c>
      <c r="F6844" t="s">
        <v>43</v>
      </c>
      <c r="G6844">
        <v>-305.95240000000001</v>
      </c>
      <c r="H6844">
        <v>-0.05</v>
      </c>
      <c r="I6844">
        <v>18.559449999999998</v>
      </c>
      <c r="J6844">
        <v>-325.56450000000001</v>
      </c>
      <c r="K6844">
        <v>1.120817</v>
      </c>
      <c r="L6844">
        <v>17.503139999999998</v>
      </c>
      <c r="M6844">
        <v>0.99990769999999995</v>
      </c>
      <c r="N6844">
        <v>-1.293912E-2</v>
      </c>
      <c r="O6844">
        <v>-4.1513929999999997E-3</v>
      </c>
      <c r="P6844">
        <v>0.99511340000000004</v>
      </c>
      <c r="Q6844">
        <v>-9.4755800000000001E-2</v>
      </c>
      <c r="R6844">
        <v>2.7760590000000002E-2</v>
      </c>
      <c r="S6844">
        <v>2.9932859999999999</v>
      </c>
      <c r="T6844">
        <v>-0.17769070000000001</v>
      </c>
      <c r="U6844">
        <v>0.16021729999999901</v>
      </c>
      <c r="V6844">
        <v>-3.1926950000000003E-2</v>
      </c>
      <c r="W6844">
        <v>-8.1859849999999998E-2</v>
      </c>
      <c r="X6844">
        <v>0.99613229999999997</v>
      </c>
      <c r="Y6844">
        <v>-5.7466959999999997E-2</v>
      </c>
      <c r="Z6844">
        <v>2.26787E-3</v>
      </c>
      <c r="AA6844">
        <v>0.99834480000000003</v>
      </c>
      <c r="AB6844">
        <v>22</v>
      </c>
      <c r="AC6844">
        <v>19.612100000000002</v>
      </c>
      <c r="AD6844">
        <v>-1.170817</v>
      </c>
      <c r="AE6844">
        <v>1.0563100000000001</v>
      </c>
      <c r="AF6844">
        <v>-1.1336965103165699</v>
      </c>
      <c r="AG6844">
        <v>-1.170817</v>
      </c>
      <c r="AH6844">
        <v>19.5381142816669</v>
      </c>
      <c r="AI6844">
        <v>93.423590586183593</v>
      </c>
      <c r="AJ6844">
        <v>93.320856426488703</v>
      </c>
      <c r="AK6844">
        <v>19.605968221653001</v>
      </c>
      <c r="AL6844">
        <v>94.6954781795271</v>
      </c>
      <c r="AM6844">
        <v>91.835753635333404</v>
      </c>
      <c r="AN6844">
        <v>0.999999962140806</v>
      </c>
    </row>
    <row r="6845" spans="1:40" x14ac:dyDescent="0.25">
      <c r="A6845" t="str">
        <f>"20190303154316646"</f>
        <v>20190303154316646</v>
      </c>
      <c r="B6845" t="str">
        <f>"1551598996637533"</f>
        <v>1551598996637533</v>
      </c>
      <c r="C6845" t="s">
        <v>40</v>
      </c>
      <c r="D6845">
        <v>4.7060740000000001</v>
      </c>
      <c r="E6845">
        <v>0.4907512</v>
      </c>
      <c r="F6845" t="s">
        <v>43</v>
      </c>
      <c r="G6845">
        <v>-306.06400000000002</v>
      </c>
      <c r="H6845">
        <v>-0.05</v>
      </c>
      <c r="I6845">
        <v>18.548770000000001</v>
      </c>
      <c r="J6845">
        <v>-325.45589999999999</v>
      </c>
      <c r="K6845">
        <v>1.1208119999999999</v>
      </c>
      <c r="L6845">
        <v>17.502500000000001</v>
      </c>
      <c r="M6845">
        <v>0.99990710000000005</v>
      </c>
      <c r="N6845">
        <v>-1.293561E-2</v>
      </c>
      <c r="O6845">
        <v>-4.2861779999999999E-3</v>
      </c>
      <c r="P6845">
        <v>0.99504740000000003</v>
      </c>
      <c r="Q6845">
        <v>-9.5561980000000005E-2</v>
      </c>
      <c r="R6845">
        <v>2.7360579999999999E-2</v>
      </c>
      <c r="S6845">
        <v>2.993134</v>
      </c>
      <c r="T6845">
        <v>-0.17970810000000001</v>
      </c>
      <c r="U6845">
        <v>0.16049189999999999</v>
      </c>
      <c r="V6845">
        <v>-3.16612E-2</v>
      </c>
      <c r="W6845">
        <v>-8.2670540000000001E-2</v>
      </c>
      <c r="X6845">
        <v>0.99607380000000001</v>
      </c>
      <c r="Y6845">
        <v>-5.7692279999999999E-2</v>
      </c>
      <c r="Z6845">
        <v>2.3045299999999999E-3</v>
      </c>
      <c r="AA6845">
        <v>0.99833170000000004</v>
      </c>
      <c r="AB6845">
        <v>22</v>
      </c>
      <c r="AC6845">
        <v>19.3918999999999</v>
      </c>
      <c r="AD6845">
        <v>-1.170812</v>
      </c>
      <c r="AE6845">
        <v>1.04626999999999</v>
      </c>
      <c r="AF6845">
        <v>-1.1252943493404799</v>
      </c>
      <c r="AG6845">
        <v>-1.170812</v>
      </c>
      <c r="AH6845">
        <v>19.317024952052599</v>
      </c>
      <c r="AI6845">
        <v>93.462619220342106</v>
      </c>
      <c r="AJ6845">
        <v>93.333941589206404</v>
      </c>
      <c r="AK6845">
        <v>19.385162911624601</v>
      </c>
      <c r="AL6845">
        <v>94.742085415356598</v>
      </c>
      <c r="AM6845">
        <v>91.8205905644176</v>
      </c>
      <c r="AN6845">
        <v>0.99999993240788299</v>
      </c>
    </row>
    <row r="6846" spans="1:40" x14ac:dyDescent="0.25">
      <c r="A6846" t="str">
        <f>"20190303154316660"</f>
        <v>20190303154316660</v>
      </c>
      <c r="B6846" t="str">
        <f>"1551598996657054"</f>
        <v>1551598996657054</v>
      </c>
      <c r="C6846" t="s">
        <v>40</v>
      </c>
      <c r="D6846">
        <v>4.7641980000000004</v>
      </c>
      <c r="E6846">
        <v>0.49094690000000002</v>
      </c>
      <c r="F6846" t="s">
        <v>43</v>
      </c>
      <c r="G6846">
        <v>-306.11149999999998</v>
      </c>
      <c r="H6846">
        <v>-0.05</v>
      </c>
      <c r="I6846">
        <v>18.528310000000001</v>
      </c>
      <c r="J6846">
        <v>-325.32530000000003</v>
      </c>
      <c r="K6846">
        <v>1.120811</v>
      </c>
      <c r="L6846">
        <v>17.50177</v>
      </c>
      <c r="M6846">
        <v>0.99990650000000003</v>
      </c>
      <c r="N6846">
        <v>-1.293155E-2</v>
      </c>
      <c r="O6846">
        <v>-4.4481369999999996E-3</v>
      </c>
      <c r="P6846">
        <v>0.99506430000000001</v>
      </c>
      <c r="Q6846">
        <v>-9.5577300000000004E-2</v>
      </c>
      <c r="R6846">
        <v>2.6685070000000002E-2</v>
      </c>
      <c r="S6846">
        <v>2.9931640000000002</v>
      </c>
      <c r="T6846">
        <v>-0.1811594</v>
      </c>
      <c r="U6846">
        <v>0.1587219</v>
      </c>
      <c r="V6846">
        <v>-3.1146279999999998E-2</v>
      </c>
      <c r="W6846">
        <v>-8.2689979999999996E-2</v>
      </c>
      <c r="X6846">
        <v>0.99608850000000004</v>
      </c>
      <c r="Y6846">
        <v>-5.7263550000000003E-2</v>
      </c>
      <c r="Z6846">
        <v>2.3124159999999999E-3</v>
      </c>
      <c r="AA6846">
        <v>0.99835640000000003</v>
      </c>
      <c r="AB6846">
        <v>22</v>
      </c>
      <c r="AC6846">
        <v>19.213799999999999</v>
      </c>
      <c r="AD6846">
        <v>-1.170811</v>
      </c>
      <c r="AE6846">
        <v>1.02654</v>
      </c>
      <c r="AF6846">
        <v>-1.10790046903535</v>
      </c>
      <c r="AG6846">
        <v>-1.170811</v>
      </c>
      <c r="AH6846">
        <v>19.138181898463401</v>
      </c>
      <c r="AI6846">
        <v>93.494967541072796</v>
      </c>
      <c r="AJ6846">
        <v>93.313128406019601</v>
      </c>
      <c r="AK6846">
        <v>19.2059430444246</v>
      </c>
      <c r="AL6846">
        <v>94.743202695183697</v>
      </c>
      <c r="AM6846">
        <v>91.790974529785402</v>
      </c>
      <c r="AN6846">
        <v>1.00000001169124</v>
      </c>
    </row>
    <row r="6847" spans="1:40" x14ac:dyDescent="0.25">
      <c r="A6847" t="str">
        <f>"20190303154316675"</f>
        <v>20190303154316675</v>
      </c>
      <c r="B6847" t="str">
        <f>"1551598996666813"</f>
        <v>1551598996666813</v>
      </c>
      <c r="C6847" t="s">
        <v>40</v>
      </c>
      <c r="D6847">
        <v>4.6566789999999996</v>
      </c>
      <c r="E6847">
        <v>0.49105670000000001</v>
      </c>
      <c r="F6847" t="s">
        <v>43</v>
      </c>
      <c r="G6847">
        <v>-305.70359999999999</v>
      </c>
      <c r="H6847">
        <v>-0.05</v>
      </c>
      <c r="I6847">
        <v>18.518540000000002</v>
      </c>
      <c r="J6847">
        <v>-325.17410000000001</v>
      </c>
      <c r="K6847">
        <v>1.1208129999999901</v>
      </c>
      <c r="L6847">
        <v>17.50085</v>
      </c>
      <c r="M6847">
        <v>0.99990579999999996</v>
      </c>
      <c r="N6847">
        <v>-1.292719E-2</v>
      </c>
      <c r="O6847">
        <v>-4.6350089999999998E-3</v>
      </c>
      <c r="P6847">
        <v>0.99512929999999999</v>
      </c>
      <c r="Q6847">
        <v>-9.5144569999999998E-2</v>
      </c>
      <c r="R6847">
        <v>2.5799220000000001E-2</v>
      </c>
      <c r="S6847">
        <v>2.9935610000000001</v>
      </c>
      <c r="T6847">
        <v>-0.17862259999999999</v>
      </c>
      <c r="U6847">
        <v>0.155120799999999</v>
      </c>
      <c r="V6847">
        <v>-3.044678E-2</v>
      </c>
      <c r="W6847">
        <v>-8.2261139999999996E-2</v>
      </c>
      <c r="X6847">
        <v>0.99614559999999996</v>
      </c>
      <c r="Y6847">
        <v>-5.6250840000000003E-2</v>
      </c>
      <c r="Z6847">
        <v>2.256142E-3</v>
      </c>
      <c r="AA6847">
        <v>0.99841409999999997</v>
      </c>
      <c r="AB6847">
        <v>22</v>
      </c>
      <c r="AC6847">
        <v>19.470500000000001</v>
      </c>
      <c r="AD6847">
        <v>-1.1708130000000001</v>
      </c>
      <c r="AE6847">
        <v>1.01768999999999</v>
      </c>
      <c r="AF6847">
        <v>-1.1039515978340999</v>
      </c>
      <c r="AG6847">
        <v>-1.1708130000000001</v>
      </c>
      <c r="AH6847">
        <v>19.395631121713599</v>
      </c>
      <c r="AI6847">
        <v>93.448886780097098</v>
      </c>
      <c r="AJ6847">
        <v>93.257620017519997</v>
      </c>
      <c r="AK6847">
        <v>19.4622716767831</v>
      </c>
      <c r="AL6847">
        <v>94.718548131409605</v>
      </c>
      <c r="AM6847">
        <v>91.750676881902194</v>
      </c>
      <c r="AN6847">
        <v>0.99999997898291304</v>
      </c>
    </row>
    <row r="6848" spans="1:40" x14ac:dyDescent="0.25">
      <c r="A6848" t="str">
        <f>"20190303154316692"</f>
        <v>20190303154316692</v>
      </c>
      <c r="B6848" t="str">
        <f>"1551598996687310"</f>
        <v>1551598996687310</v>
      </c>
      <c r="C6848" t="s">
        <v>40</v>
      </c>
      <c r="D6848">
        <v>4.6507949999999996</v>
      </c>
      <c r="E6848">
        <v>0.49127359999999998</v>
      </c>
      <c r="F6848" t="s">
        <v>43</v>
      </c>
      <c r="G6848">
        <v>-305.25110000000001</v>
      </c>
      <c r="H6848">
        <v>-0.05</v>
      </c>
      <c r="I6848">
        <v>18.509160000000001</v>
      </c>
      <c r="J6848">
        <v>-325.01690000000002</v>
      </c>
      <c r="K6848">
        <v>1.1208229999999999</v>
      </c>
      <c r="L6848">
        <v>17.49991</v>
      </c>
      <c r="M6848">
        <v>0.99990480000000004</v>
      </c>
      <c r="N6848">
        <v>-1.292311E-2</v>
      </c>
      <c r="O6848">
        <v>-4.8283190000000002E-3</v>
      </c>
      <c r="P6848">
        <v>0.99535490000000004</v>
      </c>
      <c r="Q6848">
        <v>-9.318659E-2</v>
      </c>
      <c r="R6848">
        <v>2.418062E-2</v>
      </c>
      <c r="S6848">
        <v>2.9939269999999998</v>
      </c>
      <c r="T6848">
        <v>-0.17594370000000001</v>
      </c>
      <c r="U6848">
        <v>0.15151979999999901</v>
      </c>
      <c r="V6848">
        <v>-2.9020219999999999E-2</v>
      </c>
      <c r="W6848">
        <v>-8.0305139999999997E-2</v>
      </c>
      <c r="X6848">
        <v>0.99634780000000001</v>
      </c>
      <c r="Y6848">
        <v>-5.524519E-2</v>
      </c>
      <c r="Z6848">
        <v>2.199459E-3</v>
      </c>
      <c r="AA6848">
        <v>0.99847039999999998</v>
      </c>
      <c r="AB6848">
        <v>22</v>
      </c>
      <c r="AC6848">
        <v>19.765799999999999</v>
      </c>
      <c r="AD6848">
        <v>-1.1708229999999999</v>
      </c>
      <c r="AE6848">
        <v>1.00925</v>
      </c>
      <c r="AF6848">
        <v>-1.10082929312986</v>
      </c>
      <c r="AG6848">
        <v>-1.1708229999999999</v>
      </c>
      <c r="AH6848">
        <v>19.691782103027201</v>
      </c>
      <c r="AI6848">
        <v>93.3973625814032</v>
      </c>
      <c r="AJ6848">
        <v>93.199674419472302</v>
      </c>
      <c r="AK6848">
        <v>19.757250163498</v>
      </c>
      <c r="AL6848">
        <v>94.606105339136107</v>
      </c>
      <c r="AM6848">
        <v>91.6683593489158</v>
      </c>
      <c r="AN6848">
        <v>1.0000000136220499</v>
      </c>
    </row>
    <row r="6849" spans="1:40" x14ac:dyDescent="0.25">
      <c r="A6849" t="str">
        <f>"20190303154316705"</f>
        <v>20190303154316705</v>
      </c>
      <c r="B6849" t="str">
        <f>"1551598996697069"</f>
        <v>1551598996697069</v>
      </c>
      <c r="C6849" t="s">
        <v>40</v>
      </c>
      <c r="D6849">
        <v>4.6355789999999999</v>
      </c>
      <c r="E6849">
        <v>0.49132419999999999</v>
      </c>
      <c r="F6849" t="s">
        <v>43</v>
      </c>
      <c r="G6849">
        <v>-304.00049999999999</v>
      </c>
      <c r="H6849">
        <v>-0.05</v>
      </c>
      <c r="I6849">
        <v>18.516950000000001</v>
      </c>
      <c r="J6849">
        <v>-324.88049999999998</v>
      </c>
      <c r="K6849">
        <v>1.1208260000000001</v>
      </c>
      <c r="L6849">
        <v>17.499020000000002</v>
      </c>
      <c r="M6849">
        <v>0.99990420000000002</v>
      </c>
      <c r="N6849">
        <v>-1.29198E-2</v>
      </c>
      <c r="O6849">
        <v>-4.9962449999999999E-3</v>
      </c>
      <c r="P6849">
        <v>0.99544600000000005</v>
      </c>
      <c r="Q6849">
        <v>-9.2396199999999998E-2</v>
      </c>
      <c r="R6849">
        <v>2.3460890000000002E-2</v>
      </c>
      <c r="S6849">
        <v>2.9948730000000001</v>
      </c>
      <c r="T6849">
        <v>-0.16684389999999999</v>
      </c>
      <c r="U6849">
        <v>0.144928</v>
      </c>
      <c r="V6849">
        <v>-2.846806E-2</v>
      </c>
      <c r="W6849">
        <v>-7.9517190000000001E-2</v>
      </c>
      <c r="X6849">
        <v>0.9964269</v>
      </c>
      <c r="Y6849">
        <v>-5.3219629999999997E-2</v>
      </c>
      <c r="Z6849">
        <v>2.038247E-3</v>
      </c>
      <c r="AA6849">
        <v>0.99858080000000005</v>
      </c>
      <c r="AB6849">
        <v>22</v>
      </c>
      <c r="AC6849">
        <v>20.8799999999999</v>
      </c>
      <c r="AD6849">
        <v>-1.1708259999999999</v>
      </c>
      <c r="AE6849">
        <v>1.01792999999999</v>
      </c>
      <c r="AF6849">
        <v>-1.1187382747677901</v>
      </c>
      <c r="AG6849">
        <v>-1.1708259999999999</v>
      </c>
      <c r="AH6849">
        <v>20.809377348611498</v>
      </c>
      <c r="AI6849">
        <v>93.215680272269907</v>
      </c>
      <c r="AJ6849">
        <v>93.077330609689696</v>
      </c>
      <c r="AK6849">
        <v>20.872292506732698</v>
      </c>
      <c r="AL6849">
        <v>94.560814393522406</v>
      </c>
      <c r="AM6849">
        <v>91.636503500064293</v>
      </c>
      <c r="AN6849">
        <v>0.99999999049463395</v>
      </c>
    </row>
    <row r="6850" spans="1:40" x14ac:dyDescent="0.25">
      <c r="A6850" t="str">
        <f>"20190303154316717"</f>
        <v>20190303154316717</v>
      </c>
      <c r="B6850" t="str">
        <f>"1551598996706829"</f>
        <v>1551598996706829</v>
      </c>
      <c r="C6850" t="s">
        <v>40</v>
      </c>
      <c r="D6850">
        <v>4.6441319999999999</v>
      </c>
      <c r="E6850">
        <v>0.49130740000000001</v>
      </c>
      <c r="F6850" t="s">
        <v>43</v>
      </c>
      <c r="G6850">
        <v>-303.39690000000002</v>
      </c>
      <c r="H6850">
        <v>-0.05</v>
      </c>
      <c r="I6850">
        <v>18.520389999999999</v>
      </c>
      <c r="J6850">
        <v>-324.76670000000001</v>
      </c>
      <c r="K6850">
        <v>1.1208290000000001</v>
      </c>
      <c r="L6850">
        <v>17.498290000000001</v>
      </c>
      <c r="M6850">
        <v>0.99990349999999995</v>
      </c>
      <c r="N6850">
        <v>-1.291757E-2</v>
      </c>
      <c r="O6850">
        <v>-5.136524E-3</v>
      </c>
      <c r="P6850">
        <v>0.99549339999999997</v>
      </c>
      <c r="Q6850">
        <v>-9.1991779999999995E-2</v>
      </c>
      <c r="R6850">
        <v>2.3033419999999999E-2</v>
      </c>
      <c r="S6850">
        <v>2.9951780000000001</v>
      </c>
      <c r="T6850">
        <v>-0.16323319999999999</v>
      </c>
      <c r="U6850">
        <v>0.14239499999999999</v>
      </c>
      <c r="V6850">
        <v>-2.8179610000000001E-2</v>
      </c>
      <c r="W6850">
        <v>-7.9114619999999997E-2</v>
      </c>
      <c r="X6850">
        <v>0.9964672</v>
      </c>
      <c r="Y6850">
        <v>-5.2517630000000003E-2</v>
      </c>
      <c r="Z6850">
        <v>1.9822189999999999E-3</v>
      </c>
      <c r="AA6850">
        <v>0.99861800000000001</v>
      </c>
      <c r="AB6850">
        <v>22</v>
      </c>
      <c r="AC6850">
        <v>21.369800000000001</v>
      </c>
      <c r="AD6850">
        <v>-1.1708289999999999</v>
      </c>
      <c r="AE6850">
        <v>1.02209999999999</v>
      </c>
      <c r="AF6850">
        <v>-1.12848236980245</v>
      </c>
      <c r="AG6850">
        <v>-1.1708289999999999</v>
      </c>
      <c r="AH6850">
        <v>21.300473112286699</v>
      </c>
      <c r="AI6850">
        <v>93.1418295413404</v>
      </c>
      <c r="AJ6850">
        <v>93.032650264831702</v>
      </c>
      <c r="AK6850">
        <v>21.362454629874399</v>
      </c>
      <c r="AL6850">
        <v>94.537675676801797</v>
      </c>
      <c r="AM6850">
        <v>91.619865179477102</v>
      </c>
      <c r="AN6850">
        <v>1.0000000470966599</v>
      </c>
    </row>
    <row r="6851" spans="1:40" x14ac:dyDescent="0.25">
      <c r="A6851" t="str">
        <f>"20190303154316735"</f>
        <v>20190303154316735</v>
      </c>
      <c r="B6851" t="str">
        <f>"1551598996726858"</f>
        <v>1551598996726858</v>
      </c>
      <c r="C6851" t="s">
        <v>40</v>
      </c>
      <c r="D6851">
        <v>4.6718250000000001</v>
      </c>
      <c r="E6851">
        <v>0.4913073</v>
      </c>
      <c r="F6851" t="s">
        <v>43</v>
      </c>
      <c r="G6851">
        <v>-303.0093</v>
      </c>
      <c r="H6851">
        <v>-0.05</v>
      </c>
      <c r="I6851">
        <v>18.52505</v>
      </c>
      <c r="J6851">
        <v>-324.59109999999998</v>
      </c>
      <c r="K6851">
        <v>1.12083</v>
      </c>
      <c r="L6851">
        <v>17.4971</v>
      </c>
      <c r="M6851">
        <v>0.99990239999999997</v>
      </c>
      <c r="N6851">
        <v>-1.2918209999999999E-2</v>
      </c>
      <c r="O6851">
        <v>-5.3525119999999898E-3</v>
      </c>
      <c r="P6851">
        <v>0.99545519999999998</v>
      </c>
      <c r="Q6851">
        <v>-9.2379299999999998E-2</v>
      </c>
      <c r="R6851">
        <v>2.3132900000000001E-2</v>
      </c>
      <c r="S6851">
        <v>2.995422</v>
      </c>
      <c r="T6851">
        <v>-0.1611928</v>
      </c>
      <c r="U6851">
        <v>0.14135739999999999</v>
      </c>
      <c r="V6851">
        <v>-2.8494220000000001E-2</v>
      </c>
      <c r="W6851">
        <v>-7.9501970000000005E-2</v>
      </c>
      <c r="X6851">
        <v>0.99642739999999996</v>
      </c>
      <c r="Y6851">
        <v>-5.2386719999999998E-2</v>
      </c>
      <c r="Z6851">
        <v>1.965226E-3</v>
      </c>
      <c r="AA6851">
        <v>0.99862490000000004</v>
      </c>
      <c r="AB6851">
        <v>22</v>
      </c>
      <c r="AC6851">
        <v>21.581799999999902</v>
      </c>
      <c r="AD6851">
        <v>-1.17083</v>
      </c>
      <c r="AE6851">
        <v>1.0279499999999999</v>
      </c>
      <c r="AF6851">
        <v>-1.14011380587524</v>
      </c>
      <c r="AG6851">
        <v>-1.17083</v>
      </c>
      <c r="AH6851">
        <v>21.512816097732099</v>
      </c>
      <c r="AI6851">
        <v>93.110878960629606</v>
      </c>
      <c r="AJ6851">
        <v>93.0336639358176</v>
      </c>
      <c r="AK6851">
        <v>21.574799160921199</v>
      </c>
      <c r="AL6851">
        <v>94.559939430729898</v>
      </c>
      <c r="AM6851">
        <v>91.638005682977294</v>
      </c>
      <c r="AN6851">
        <v>1.0000000236390201</v>
      </c>
    </row>
    <row r="6852" spans="1:40" x14ac:dyDescent="0.25">
      <c r="A6852" t="str">
        <f>"20190303154316746"</f>
        <v>20190303154316746</v>
      </c>
      <c r="B6852" t="str">
        <f>"1551598996737592"</f>
        <v>1551598996737592</v>
      </c>
      <c r="C6852" t="s">
        <v>40</v>
      </c>
      <c r="D6852">
        <v>4.5987359999999997</v>
      </c>
      <c r="E6852">
        <v>0.4913167</v>
      </c>
      <c r="F6852" t="s">
        <v>43</v>
      </c>
      <c r="G6852">
        <v>-302.89920000000001</v>
      </c>
      <c r="H6852">
        <v>-0.05</v>
      </c>
      <c r="I6852">
        <v>18.52365</v>
      </c>
      <c r="J6852">
        <v>-324.48450000000003</v>
      </c>
      <c r="K6852">
        <v>1.120825</v>
      </c>
      <c r="L6852">
        <v>17.496369999999999</v>
      </c>
      <c r="M6852">
        <v>0.9999015</v>
      </c>
      <c r="N6852">
        <v>-1.29213E-2</v>
      </c>
      <c r="O6852">
        <v>-5.4843640000000003E-3</v>
      </c>
      <c r="P6852">
        <v>0.99542439999999999</v>
      </c>
      <c r="Q6852">
        <v>-9.264994E-2</v>
      </c>
      <c r="R6852">
        <v>2.337127E-2</v>
      </c>
      <c r="S6852">
        <v>2.9953609999999999</v>
      </c>
      <c r="T6852">
        <v>-0.16167579999999901</v>
      </c>
      <c r="U6852">
        <v>0.1417542</v>
      </c>
      <c r="V6852">
        <v>-2.8864210000000001E-2</v>
      </c>
      <c r="W6852">
        <v>-7.9769880000000001E-2</v>
      </c>
      <c r="X6852">
        <v>0.99639529999999998</v>
      </c>
      <c r="Y6852">
        <v>-5.2650189999999999E-2</v>
      </c>
      <c r="Z6852">
        <v>1.9846080000000001E-3</v>
      </c>
      <c r="AA6852">
        <v>0.99861100000000003</v>
      </c>
      <c r="AB6852">
        <v>22</v>
      </c>
      <c r="AC6852">
        <v>21.5853</v>
      </c>
      <c r="AD6852">
        <v>-1.170825</v>
      </c>
      <c r="AE6852">
        <v>1.02727999999999</v>
      </c>
      <c r="AF6852">
        <v>-1.1423028167276501</v>
      </c>
      <c r="AG6852">
        <v>-1.170825</v>
      </c>
      <c r="AH6852">
        <v>21.516179666384399</v>
      </c>
      <c r="AI6852">
        <v>93.110364998216497</v>
      </c>
      <c r="AJ6852">
        <v>93.039003376161304</v>
      </c>
      <c r="AK6852">
        <v>21.578268566821102</v>
      </c>
      <c r="AL6852">
        <v>94.575338626356498</v>
      </c>
      <c r="AM6852">
        <v>91.659316370308403</v>
      </c>
      <c r="AN6852">
        <v>0.99999998511811405</v>
      </c>
    </row>
    <row r="6853" spans="1:40" x14ac:dyDescent="0.25">
      <c r="A6853" t="str">
        <f>"20190303154316760"</f>
        <v>20190303154316760</v>
      </c>
      <c r="B6853" t="str">
        <f>"1551598996757111"</f>
        <v>1551598996757111</v>
      </c>
      <c r="C6853" t="s">
        <v>40</v>
      </c>
      <c r="D6853">
        <v>4.6741219999999997</v>
      </c>
      <c r="E6853">
        <v>0.49124800000000002</v>
      </c>
      <c r="F6853" t="s">
        <v>43</v>
      </c>
      <c r="G6853">
        <v>-302.714</v>
      </c>
      <c r="H6853">
        <v>-0.05</v>
      </c>
      <c r="I6853">
        <v>18.531939999999999</v>
      </c>
      <c r="J6853">
        <v>-324.36020000000002</v>
      </c>
      <c r="K6853">
        <v>1.1208260000000001</v>
      </c>
      <c r="L6853">
        <v>17.495509999999999</v>
      </c>
      <c r="M6853">
        <v>0.99990060000000003</v>
      </c>
      <c r="N6853">
        <v>-1.292603E-2</v>
      </c>
      <c r="O6853">
        <v>-5.6381579999999999E-3</v>
      </c>
      <c r="P6853">
        <v>0.99537589999999998</v>
      </c>
      <c r="Q6853">
        <v>-9.3019009999999999E-2</v>
      </c>
      <c r="R6853">
        <v>2.3967059999999998E-2</v>
      </c>
      <c r="S6853">
        <v>2.995422</v>
      </c>
      <c r="T6853">
        <v>-0.16109499999999999</v>
      </c>
      <c r="U6853">
        <v>0.14248659999999999</v>
      </c>
      <c r="V6853">
        <v>-2.9612590000000001E-2</v>
      </c>
      <c r="W6853">
        <v>-8.0134650000000002E-2</v>
      </c>
      <c r="X6853">
        <v>0.99634409999999896</v>
      </c>
      <c r="Y6853">
        <v>-5.3046280000000001E-2</v>
      </c>
      <c r="Z6853">
        <v>1.997988E-3</v>
      </c>
      <c r="AA6853">
        <v>0.99859010000000004</v>
      </c>
      <c r="AB6853">
        <v>22</v>
      </c>
      <c r="AC6853">
        <v>21.6462</v>
      </c>
      <c r="AD6853">
        <v>-1.1708259999999999</v>
      </c>
      <c r="AE6853">
        <v>1.03642999999999</v>
      </c>
      <c r="AF6853">
        <v>-1.15509674004782</v>
      </c>
      <c r="AG6853">
        <v>-1.1708259999999999</v>
      </c>
      <c r="AH6853">
        <v>21.577029538416301</v>
      </c>
      <c r="AI6853">
        <v>93.101540244742793</v>
      </c>
      <c r="AJ6853">
        <v>93.064326059880699</v>
      </c>
      <c r="AK6853">
        <v>21.639623049000502</v>
      </c>
      <c r="AL6853">
        <v>94.596305384703896</v>
      </c>
      <c r="AM6853">
        <v>91.702400911733093</v>
      </c>
      <c r="AN6853">
        <v>1.0000000166109699</v>
      </c>
    </row>
    <row r="6854" spans="1:40" x14ac:dyDescent="0.25">
      <c r="A6854" t="str">
        <f>"20190303154316770"</f>
        <v>20190303154316770</v>
      </c>
      <c r="B6854" t="str">
        <f>"1551598996766872"</f>
        <v>1551598996766872</v>
      </c>
      <c r="C6854" t="s">
        <v>40</v>
      </c>
      <c r="D6854">
        <v>4.6104440000000002</v>
      </c>
      <c r="E6854">
        <v>0.45435750000000003</v>
      </c>
      <c r="F6854" t="s">
        <v>43</v>
      </c>
      <c r="G6854">
        <v>-302.58300000000003</v>
      </c>
      <c r="H6854">
        <v>-0.05</v>
      </c>
      <c r="I6854">
        <v>18.548719999999999</v>
      </c>
      <c r="J6854">
        <v>-324.24939999999998</v>
      </c>
      <c r="K6854">
        <v>1.1208279999999999</v>
      </c>
      <c r="L6854">
        <v>17.49475</v>
      </c>
      <c r="M6854">
        <v>0.99989969999999995</v>
      </c>
      <c r="N6854">
        <v>-1.2932590000000001E-2</v>
      </c>
      <c r="O6854">
        <v>-5.7755159999999996E-3</v>
      </c>
      <c r="P6854">
        <v>0.99535750000000001</v>
      </c>
      <c r="Q6854">
        <v>-9.2983540000000003E-2</v>
      </c>
      <c r="R6854">
        <v>2.4848240000000001E-2</v>
      </c>
      <c r="S6854">
        <v>2.9953919999999998</v>
      </c>
      <c r="T6854">
        <v>-0.16104399999999999</v>
      </c>
      <c r="U6854">
        <v>0.14486689999999999</v>
      </c>
      <c r="V6854">
        <v>-3.062985E-2</v>
      </c>
      <c r="W6854">
        <v>-8.0092640000000007E-2</v>
      </c>
      <c r="X6854">
        <v>0.99631670000000006</v>
      </c>
      <c r="Y6854">
        <v>-5.397391E-2</v>
      </c>
      <c r="Z6854">
        <v>2.0340839999999998E-3</v>
      </c>
      <c r="AA6854">
        <v>0.99854030000000005</v>
      </c>
      <c r="AB6854">
        <v>22</v>
      </c>
      <c r="AC6854">
        <v>21.666399999999999</v>
      </c>
      <c r="AD6854">
        <v>-1.170828</v>
      </c>
      <c r="AE6854">
        <v>1.0539699999999901</v>
      </c>
      <c r="AF6854">
        <v>-1.1756724287218401</v>
      </c>
      <c r="AG6854">
        <v>-1.170828</v>
      </c>
      <c r="AH6854">
        <v>21.597032071465801</v>
      </c>
      <c r="AI6854">
        <v>93.098528231691205</v>
      </c>
      <c r="AJ6854">
        <v>93.115921100090702</v>
      </c>
      <c r="AK6854">
        <v>21.6606749239529</v>
      </c>
      <c r="AL6854">
        <v>94.593890737478205</v>
      </c>
      <c r="AM6854">
        <v>91.760894454891698</v>
      </c>
      <c r="AN6854">
        <v>0.99999999269604101</v>
      </c>
    </row>
    <row r="6855" spans="1:40" x14ac:dyDescent="0.25">
      <c r="A6855" t="str">
        <f>"20190303154316782"</f>
        <v>20190303154316782</v>
      </c>
      <c r="B6855" t="str">
        <f>"1551598996777608"</f>
        <v>1551598996777608</v>
      </c>
      <c r="C6855" t="s">
        <v>40</v>
      </c>
      <c r="D6855">
        <v>4.535209</v>
      </c>
      <c r="E6855">
        <v>0.45435750000000003</v>
      </c>
      <c r="F6855" t="s">
        <v>43</v>
      </c>
      <c r="G6855">
        <v>-306.68</v>
      </c>
      <c r="H6855">
        <v>-0.05</v>
      </c>
      <c r="I6855">
        <v>20.089220000000001</v>
      </c>
      <c r="J6855">
        <v>-324.13659999999999</v>
      </c>
      <c r="K6855">
        <v>1.12083</v>
      </c>
      <c r="L6855">
        <v>17.493929999999999</v>
      </c>
      <c r="M6855">
        <v>0.99989890000000003</v>
      </c>
      <c r="N6855">
        <v>-1.294038E-2</v>
      </c>
      <c r="O6855">
        <v>-5.9159829999999997E-3</v>
      </c>
      <c r="P6855">
        <v>0.99536190000000002</v>
      </c>
      <c r="Q6855">
        <v>-9.2609579999999997E-2</v>
      </c>
      <c r="R6855">
        <v>2.60472E-2</v>
      </c>
      <c r="S6855">
        <v>2.9844059999999999</v>
      </c>
      <c r="T6855">
        <v>-0.1988808</v>
      </c>
      <c r="U6855">
        <v>0.44070429999999999</v>
      </c>
      <c r="V6855">
        <v>-3.196864E-2</v>
      </c>
      <c r="W6855">
        <v>-7.9710489999999995E-2</v>
      </c>
      <c r="X6855">
        <v>0.99630529999999995</v>
      </c>
      <c r="Y6855">
        <v>-0.1515328</v>
      </c>
      <c r="Z6855">
        <v>6.319079E-3</v>
      </c>
      <c r="AA6855">
        <v>0.98843199999999998</v>
      </c>
      <c r="AB6855">
        <v>22</v>
      </c>
      <c r="AC6855">
        <v>17.456599999999899</v>
      </c>
      <c r="AD6855">
        <v>-1.17083</v>
      </c>
      <c r="AE6855">
        <v>2.5952899999999999</v>
      </c>
      <c r="AF6855">
        <v>-2.6867013789557999</v>
      </c>
      <c r="AG6855">
        <v>-1.17083</v>
      </c>
      <c r="AH6855">
        <v>17.3645143381225</v>
      </c>
      <c r="AI6855">
        <v>93.812195572685496</v>
      </c>
      <c r="AJ6855">
        <v>98.795271226367902</v>
      </c>
      <c r="AK6855">
        <v>17.610098392327199</v>
      </c>
      <c r="AL6855">
        <v>94.571924875612893</v>
      </c>
      <c r="AM6855">
        <v>91.837830146726603</v>
      </c>
      <c r="AN6855">
        <v>1.0000000034837799</v>
      </c>
    </row>
    <row r="6856" spans="1:40" x14ac:dyDescent="0.25">
      <c r="A6856" t="str">
        <f>"20190303154316795"</f>
        <v>20190303154316795</v>
      </c>
      <c r="B6856" t="str">
        <f>"1551598996787367"</f>
        <v>1551598996787367</v>
      </c>
      <c r="C6856" t="s">
        <v>40</v>
      </c>
      <c r="D6856">
        <v>4.4234080000000002</v>
      </c>
      <c r="E6856">
        <v>0.39171400000000001</v>
      </c>
      <c r="F6856" t="s">
        <v>43</v>
      </c>
      <c r="G6856">
        <v>-306.45209999999997</v>
      </c>
      <c r="H6856">
        <v>-0.05</v>
      </c>
      <c r="I6856">
        <v>20.126740000000002</v>
      </c>
      <c r="J6856">
        <v>-324.01909999999998</v>
      </c>
      <c r="K6856">
        <v>1.1208340000000001</v>
      </c>
      <c r="L6856">
        <v>17.493040000000001</v>
      </c>
      <c r="M6856">
        <v>0.99989790000000001</v>
      </c>
      <c r="N6856">
        <v>-1.294929E-2</v>
      </c>
      <c r="O6856">
        <v>-6.0621800000000003E-3</v>
      </c>
      <c r="P6856">
        <v>0.99536500000000006</v>
      </c>
      <c r="Q6856">
        <v>-9.2193399999999995E-2</v>
      </c>
      <c r="R6856">
        <v>2.7371079999999999E-2</v>
      </c>
      <c r="S6856">
        <v>2.983978</v>
      </c>
      <c r="T6856">
        <v>-0.19755900000000001</v>
      </c>
      <c r="U6856">
        <v>0.44424439999999998</v>
      </c>
      <c r="V6856">
        <v>-3.3437729999999999E-2</v>
      </c>
      <c r="W6856">
        <v>-7.9285049999999996E-2</v>
      </c>
      <c r="X6856">
        <v>0.99629100000000004</v>
      </c>
      <c r="Y6856">
        <v>-0.15284629999999999</v>
      </c>
      <c r="Z6856">
        <v>6.343708E-3</v>
      </c>
      <c r="AA6856">
        <v>0.98822960000000004</v>
      </c>
      <c r="AB6856">
        <v>22</v>
      </c>
      <c r="AC6856">
        <v>17.567</v>
      </c>
      <c r="AD6856">
        <v>-1.1708339999999999</v>
      </c>
      <c r="AE6856">
        <v>2.6336999999999899</v>
      </c>
      <c r="AF6856">
        <v>-2.7283016655945702</v>
      </c>
      <c r="AG6856">
        <v>-1.1708339999999999</v>
      </c>
      <c r="AH6856">
        <v>17.474790251989699</v>
      </c>
      <c r="AI6856">
        <v>93.787416779341896</v>
      </c>
      <c r="AJ6856">
        <v>98.873827887970705</v>
      </c>
      <c r="AK6856">
        <v>17.725201736089598</v>
      </c>
      <c r="AL6856">
        <v>94.547471677853196</v>
      </c>
      <c r="AM6856">
        <v>91.922251573900098</v>
      </c>
      <c r="AN6856">
        <v>0.99999997881102698</v>
      </c>
    </row>
    <row r="6857" spans="1:40" x14ac:dyDescent="0.25">
      <c r="A6857" t="str">
        <f>"20190303154316805"</f>
        <v>20190303154316805</v>
      </c>
      <c r="B6857" t="str">
        <f>"1551598996797128"</f>
        <v>1551598996797128</v>
      </c>
      <c r="C6857" t="s">
        <v>40</v>
      </c>
      <c r="D6857">
        <v>4.3862670000000001</v>
      </c>
      <c r="E6857">
        <v>0.3795791</v>
      </c>
      <c r="F6857" t="s">
        <v>43</v>
      </c>
      <c r="G6857">
        <v>-308.33539999999999</v>
      </c>
      <c r="H6857">
        <v>-0.05</v>
      </c>
      <c r="I6857">
        <v>22.498919999999998</v>
      </c>
      <c r="J6857">
        <v>-323.9074</v>
      </c>
      <c r="K6857">
        <v>1.1208400000000001</v>
      </c>
      <c r="L6857">
        <v>17.49222</v>
      </c>
      <c r="M6857">
        <v>0.99989680000000003</v>
      </c>
      <c r="N6857">
        <v>-1.295762E-2</v>
      </c>
      <c r="O6857">
        <v>-6.2012259999999998E-3</v>
      </c>
      <c r="P6857">
        <v>0.99535819999999997</v>
      </c>
      <c r="Q6857">
        <v>-9.1877130000000001E-2</v>
      </c>
      <c r="R6857">
        <v>2.8650889999999998E-2</v>
      </c>
      <c r="S6857">
        <v>2.9673769999999999</v>
      </c>
      <c r="T6857">
        <v>-0.22152269999999999</v>
      </c>
      <c r="U6857">
        <v>0.94711299999999998</v>
      </c>
      <c r="V6857">
        <v>-3.485572E-2</v>
      </c>
      <c r="W6857">
        <v>-7.8960160000000001E-2</v>
      </c>
      <c r="X6857">
        <v>0.99626820000000005</v>
      </c>
      <c r="Y6857">
        <v>-0.30902689999999999</v>
      </c>
      <c r="Z6857">
        <v>1.366731E-2</v>
      </c>
      <c r="AA6857">
        <v>0.95095510000000005</v>
      </c>
      <c r="AB6857">
        <v>22</v>
      </c>
      <c r="AC6857">
        <v>15.571999999999999</v>
      </c>
      <c r="AD6857">
        <v>-1.1708399999999901</v>
      </c>
      <c r="AE6857">
        <v>5.0067000000000004</v>
      </c>
      <c r="AF6857">
        <v>-5.0771634787805402</v>
      </c>
      <c r="AG6857">
        <v>-1.1708399999999901</v>
      </c>
      <c r="AH6857">
        <v>15.4614305921118</v>
      </c>
      <c r="AI6857">
        <v>94.1151541613756</v>
      </c>
      <c r="AJ6857">
        <v>108.17894143397901</v>
      </c>
      <c r="AK6857">
        <v>16.3157681783774</v>
      </c>
      <c r="AL6857">
        <v>94.528798315818094</v>
      </c>
      <c r="AM6857">
        <v>92.003748998801598</v>
      </c>
      <c r="AN6857">
        <v>0.99999997720759104</v>
      </c>
    </row>
    <row r="6858" spans="1:40" x14ac:dyDescent="0.25">
      <c r="A6858" t="str">
        <f>"20190303154316820"</f>
        <v>20190303154316820</v>
      </c>
      <c r="B6858" t="str">
        <f>"1551598996817624"</f>
        <v>1551598996817624</v>
      </c>
      <c r="C6858" t="s">
        <v>40</v>
      </c>
      <c r="D6858">
        <v>4.3754679999999997</v>
      </c>
      <c r="E6858">
        <v>0.36714619999999998</v>
      </c>
      <c r="F6858" t="s">
        <v>43</v>
      </c>
      <c r="G6858">
        <v>-309.73809999999997</v>
      </c>
      <c r="H6858">
        <v>-0.05</v>
      </c>
      <c r="I6858">
        <v>22.502269999999999</v>
      </c>
      <c r="J6858">
        <v>-323.77730000000003</v>
      </c>
      <c r="K6858">
        <v>1.120833</v>
      </c>
      <c r="L6858">
        <v>17.491209999999999</v>
      </c>
      <c r="M6858">
        <v>0.9998958</v>
      </c>
      <c r="N6858">
        <v>-1.2966999999999999E-2</v>
      </c>
      <c r="O6858">
        <v>-6.364008E-3</v>
      </c>
      <c r="P6858">
        <v>0.99532790000000004</v>
      </c>
      <c r="Q6858">
        <v>-9.1630459999999997E-2</v>
      </c>
      <c r="R6858">
        <v>3.0439689999999998E-2</v>
      </c>
      <c r="S6858">
        <v>2.9612729999999998</v>
      </c>
      <c r="T6858">
        <v>-0.24469579999999999</v>
      </c>
      <c r="U6858">
        <v>1.047058</v>
      </c>
      <c r="V6858">
        <v>-3.6806520000000002E-2</v>
      </c>
      <c r="W6858">
        <v>-7.8703919999999997E-2</v>
      </c>
      <c r="X6858">
        <v>0.9962183</v>
      </c>
      <c r="Y6858">
        <v>-0.33813670000000001</v>
      </c>
      <c r="Z6858">
        <v>1.6228630000000001E-2</v>
      </c>
      <c r="AA6858">
        <v>0.94095709999999999</v>
      </c>
      <c r="AB6858">
        <v>22</v>
      </c>
      <c r="AC6858">
        <v>14.039199999999999</v>
      </c>
      <c r="AD6858">
        <v>-1.170833</v>
      </c>
      <c r="AE6858">
        <v>5.0110599999999996</v>
      </c>
      <c r="AF6858">
        <v>-5.0690398311121596</v>
      </c>
      <c r="AG6858">
        <v>-1.170833</v>
      </c>
      <c r="AH6858">
        <v>13.921140694741499</v>
      </c>
      <c r="AI6858">
        <v>94.518613922925496</v>
      </c>
      <c r="AJ6858">
        <v>110.007846006515</v>
      </c>
      <c r="AK6858">
        <v>14.8614996876519</v>
      </c>
      <c r="AL6858">
        <v>94.514071071543498</v>
      </c>
      <c r="AM6858">
        <v>92.115901195420307</v>
      </c>
      <c r="AN6858">
        <v>0.99999996409638203</v>
      </c>
    </row>
    <row r="6859" spans="1:40" x14ac:dyDescent="0.25">
      <c r="A6859" t="str">
        <f>"20190303154316836"</f>
        <v>20190303154316836</v>
      </c>
      <c r="B6859" t="str">
        <f>"1551598996826914"</f>
        <v>1551598996826914</v>
      </c>
      <c r="C6859" t="s">
        <v>40</v>
      </c>
      <c r="D6859">
        <v>4.3535550000000001</v>
      </c>
      <c r="E6859">
        <v>0.36385610000000002</v>
      </c>
      <c r="F6859" t="s">
        <v>43</v>
      </c>
      <c r="G6859">
        <v>-310.50220000000002</v>
      </c>
      <c r="H6859">
        <v>-0.05</v>
      </c>
      <c r="I6859">
        <v>22.662320000000001</v>
      </c>
      <c r="J6859">
        <v>-323.62110000000001</v>
      </c>
      <c r="K6859">
        <v>1.12083</v>
      </c>
      <c r="L6859">
        <v>17.490020000000001</v>
      </c>
      <c r="M6859">
        <v>0.99989430000000001</v>
      </c>
      <c r="N6859">
        <v>-1.297741E-2</v>
      </c>
      <c r="O6859">
        <v>-6.5613909999999998E-3</v>
      </c>
      <c r="P6859">
        <v>0.99522719999999998</v>
      </c>
      <c r="Q6859">
        <v>-9.1776590000000005E-2</v>
      </c>
      <c r="R6859">
        <v>3.3169589999999999E-2</v>
      </c>
      <c r="S6859">
        <v>2.954895</v>
      </c>
      <c r="T6859">
        <v>-0.26061440000000002</v>
      </c>
      <c r="U6859">
        <v>1.1510309999999999</v>
      </c>
      <c r="V6859">
        <v>-3.9733079999999997E-2</v>
      </c>
      <c r="W6859">
        <v>-7.8839939999999997E-2</v>
      </c>
      <c r="X6859">
        <v>0.99609510000000001</v>
      </c>
      <c r="Y6859">
        <v>-0.3676142</v>
      </c>
      <c r="Z6859">
        <v>1.8561589999999999E-2</v>
      </c>
      <c r="AA6859">
        <v>0.92979310000000004</v>
      </c>
      <c r="AB6859">
        <v>22</v>
      </c>
      <c r="AC6859">
        <v>13.118899999999901</v>
      </c>
      <c r="AD6859">
        <v>-1.17083</v>
      </c>
      <c r="AE6859">
        <v>5.1722999999999999</v>
      </c>
      <c r="AF6859">
        <v>-5.2222740137143298</v>
      </c>
      <c r="AG6859">
        <v>-1.17083</v>
      </c>
      <c r="AH6859">
        <v>12.995094632129399</v>
      </c>
      <c r="AI6859">
        <v>94.778807767808701</v>
      </c>
      <c r="AJ6859">
        <v>111.893469161765</v>
      </c>
      <c r="AK6859">
        <v>14.0540198257016</v>
      </c>
      <c r="AL6859">
        <v>94.521888795149096</v>
      </c>
      <c r="AM6859">
        <v>92.284251300618195</v>
      </c>
      <c r="AN6859">
        <v>0.99999995101474803</v>
      </c>
    </row>
    <row r="6860" spans="1:40" x14ac:dyDescent="0.25">
      <c r="A6860" t="str">
        <f>"20190303154316859"</f>
        <v>20190303154316859</v>
      </c>
      <c r="B6860" t="str">
        <f>"1551598996847409"</f>
        <v>1551598996847409</v>
      </c>
      <c r="C6860" t="s">
        <v>40</v>
      </c>
      <c r="D6860">
        <v>4.3442720000000001</v>
      </c>
      <c r="E6860">
        <v>0.35994910000000002</v>
      </c>
      <c r="F6860" t="s">
        <v>43</v>
      </c>
      <c r="G6860">
        <v>-310.62470000000002</v>
      </c>
      <c r="H6860">
        <v>-0.05</v>
      </c>
      <c r="I6860">
        <v>22.71086</v>
      </c>
      <c r="J6860">
        <v>-323.4015</v>
      </c>
      <c r="K6860">
        <v>1.120822</v>
      </c>
      <c r="L6860">
        <v>17.488219999999998</v>
      </c>
      <c r="M6860">
        <v>0.99989240000000001</v>
      </c>
      <c r="N6860">
        <v>-1.2990929999999999E-2</v>
      </c>
      <c r="O6860">
        <v>-6.8482780000000002E-3</v>
      </c>
      <c r="P6860">
        <v>0.99511640000000001</v>
      </c>
      <c r="Q6860">
        <v>-9.2322280000000007E-2</v>
      </c>
      <c r="R6860">
        <v>3.4931799999999999E-2</v>
      </c>
      <c r="S6860">
        <v>2.9503780000000002</v>
      </c>
      <c r="T6860">
        <v>-0.26579649999999999</v>
      </c>
      <c r="U6860">
        <v>1.185211</v>
      </c>
      <c r="V6860">
        <v>-4.1780749999999998E-2</v>
      </c>
      <c r="W6860">
        <v>-7.937234E-2</v>
      </c>
      <c r="X6860">
        <v>0.99596910000000005</v>
      </c>
      <c r="Y6860">
        <v>-0.37755899999999998</v>
      </c>
      <c r="Z6860">
        <v>1.939832E-2</v>
      </c>
      <c r="AA6860">
        <v>0.92578229999999995</v>
      </c>
      <c r="AB6860">
        <v>22</v>
      </c>
      <c r="AC6860">
        <v>12.7767999999999</v>
      </c>
      <c r="AD6860">
        <v>-1.170822</v>
      </c>
      <c r="AE6860">
        <v>5.2226399999999904</v>
      </c>
      <c r="AF6860">
        <v>-5.2720908665898403</v>
      </c>
      <c r="AG6860">
        <v>-1.170822</v>
      </c>
      <c r="AH6860">
        <v>12.6497155937685</v>
      </c>
      <c r="AI6860">
        <v>94.883155519802301</v>
      </c>
      <c r="AJ6860">
        <v>112.625175389612</v>
      </c>
      <c r="AK6860">
        <v>13.754310991994201</v>
      </c>
      <c r="AL6860">
        <v>94.552488632865803</v>
      </c>
      <c r="AM6860">
        <v>92.402140679272307</v>
      </c>
      <c r="AN6860">
        <v>1.0000000237912201</v>
      </c>
    </row>
    <row r="6861" spans="1:40" x14ac:dyDescent="0.25">
      <c r="A6861" t="str">
        <f>"20190303154316873"</f>
        <v>20190303154316873</v>
      </c>
      <c r="B6861" t="str">
        <f>"1551598996866929"</f>
        <v>1551598996866929</v>
      </c>
      <c r="C6861" t="s">
        <v>40</v>
      </c>
      <c r="D6861">
        <v>4.3015179999999997</v>
      </c>
      <c r="E6861">
        <v>0.3580604</v>
      </c>
      <c r="F6861" t="s">
        <v>43</v>
      </c>
      <c r="G6861">
        <v>-310.73820000000001</v>
      </c>
      <c r="H6861">
        <v>-0.05</v>
      </c>
      <c r="I6861">
        <v>22.737570000000002</v>
      </c>
      <c r="J6861">
        <v>-323.2638</v>
      </c>
      <c r="K6861">
        <v>1.120814</v>
      </c>
      <c r="L6861">
        <v>17.48706</v>
      </c>
      <c r="M6861">
        <v>0.99989079999999997</v>
      </c>
      <c r="N6861">
        <v>-1.2999180000000001E-2</v>
      </c>
      <c r="O6861">
        <v>-7.0347559999999996E-3</v>
      </c>
      <c r="P6861">
        <v>0.99506479999999997</v>
      </c>
      <c r="Q6861">
        <v>-9.2611449999999998E-2</v>
      </c>
      <c r="R6861">
        <v>3.5628970000000003E-2</v>
      </c>
      <c r="S6861">
        <v>2.9465330000000001</v>
      </c>
      <c r="T6861">
        <v>-0.27243020000000001</v>
      </c>
      <c r="U6861">
        <v>1.221436</v>
      </c>
      <c r="V6861">
        <v>-4.2664540000000001E-2</v>
      </c>
      <c r="W6861">
        <v>-7.9653020000000005E-2</v>
      </c>
      <c r="X6861">
        <v>0.99590919999999905</v>
      </c>
      <c r="Y6861">
        <v>-0.38776769999999999</v>
      </c>
      <c r="Z6861">
        <v>2.0344950000000001E-2</v>
      </c>
      <c r="AA6861">
        <v>0.92153260000000004</v>
      </c>
      <c r="AB6861">
        <v>21</v>
      </c>
      <c r="AC6861">
        <v>12.525599999999899</v>
      </c>
      <c r="AD6861">
        <v>-1.170814</v>
      </c>
      <c r="AE6861">
        <v>5.2505100000000002</v>
      </c>
      <c r="AF6861">
        <v>-5.2991215609905797</v>
      </c>
      <c r="AG6861">
        <v>-1.170814</v>
      </c>
      <c r="AH6861">
        <v>12.396228131460401</v>
      </c>
      <c r="AI6861">
        <v>94.963504302477801</v>
      </c>
      <c r="AJ6861">
        <v>113.145668481836</v>
      </c>
      <c r="AK6861">
        <v>13.532108728057199</v>
      </c>
      <c r="AL6861">
        <v>94.5686215970494</v>
      </c>
      <c r="AM6861">
        <v>92.453039194447697</v>
      </c>
      <c r="AN6861">
        <v>1.0000000006065799</v>
      </c>
    </row>
    <row r="6862" spans="1:40" x14ac:dyDescent="0.25">
      <c r="A6862" t="str">
        <f>"20190303154316887"</f>
        <v>20190303154316887</v>
      </c>
      <c r="B6862" t="str">
        <f>"1551598996876691"</f>
        <v>1551598996876691</v>
      </c>
      <c r="C6862" t="s">
        <v>40</v>
      </c>
      <c r="D6862">
        <v>4.2920210000000001</v>
      </c>
      <c r="E6862">
        <v>0.35741040000000002</v>
      </c>
      <c r="F6862" t="s">
        <v>43</v>
      </c>
      <c r="G6862">
        <v>-310.68119999999999</v>
      </c>
      <c r="H6862">
        <v>-0.05</v>
      </c>
      <c r="I6862">
        <v>22.778410000000001</v>
      </c>
      <c r="J6862">
        <v>-323.13150000000002</v>
      </c>
      <c r="K6862">
        <v>1.120808</v>
      </c>
      <c r="L6862">
        <v>17.48593</v>
      </c>
      <c r="M6862">
        <v>0.99988940000000004</v>
      </c>
      <c r="N6862">
        <v>-1.3006820000000001E-2</v>
      </c>
      <c r="O6862">
        <v>-7.2243659999999899E-3</v>
      </c>
      <c r="P6862">
        <v>0.99498989999999998</v>
      </c>
      <c r="Q6862">
        <v>-9.3185169999999998E-2</v>
      </c>
      <c r="R6862">
        <v>3.6221379999999997E-2</v>
      </c>
      <c r="S6862">
        <v>2.9450379999999998</v>
      </c>
      <c r="T6862">
        <v>-0.27403470000000002</v>
      </c>
      <c r="U6862">
        <v>1.238464</v>
      </c>
      <c r="V6862">
        <v>-4.3447060000000003E-2</v>
      </c>
      <c r="W6862">
        <v>-8.0218960000000006E-2</v>
      </c>
      <c r="X6862">
        <v>0.99582990000000005</v>
      </c>
      <c r="Y6862">
        <v>-0.39260240000000002</v>
      </c>
      <c r="Z6862">
        <v>2.070578E-2</v>
      </c>
      <c r="AA6862">
        <v>0.91947520000000005</v>
      </c>
      <c r="AB6862">
        <v>21</v>
      </c>
      <c r="AC6862">
        <v>12.4503</v>
      </c>
      <c r="AD6862">
        <v>-1.1708080000000001</v>
      </c>
      <c r="AE6862">
        <v>5.2924800000000003</v>
      </c>
      <c r="AF6862">
        <v>-5.3422821938502603</v>
      </c>
      <c r="AG6862">
        <v>-1.1708080000000001</v>
      </c>
      <c r="AH6862">
        <v>12.319466267179999</v>
      </c>
      <c r="AI6862">
        <v>94.983131850419298</v>
      </c>
      <c r="AJ6862">
        <v>113.44375357115599</v>
      </c>
      <c r="AK6862">
        <v>13.4788730804834</v>
      </c>
      <c r="AL6862">
        <v>94.601151858355294</v>
      </c>
      <c r="AM6862">
        <v>92.498173130375704</v>
      </c>
      <c r="AN6862">
        <v>0.99999995915006601</v>
      </c>
    </row>
    <row r="6863" spans="1:40" x14ac:dyDescent="0.25">
      <c r="A6863" t="str">
        <f>"20190303154316904"</f>
        <v>20190303154316904</v>
      </c>
      <c r="B6863" t="str">
        <f>"1551598996897185"</f>
        <v>1551598996897185</v>
      </c>
      <c r="C6863" t="s">
        <v>40</v>
      </c>
      <c r="D6863">
        <v>4.4074039999999997</v>
      </c>
      <c r="E6863">
        <v>0.35701460000000002</v>
      </c>
      <c r="F6863" t="s">
        <v>43</v>
      </c>
      <c r="G6863">
        <v>-310.6164</v>
      </c>
      <c r="H6863">
        <v>-0.05</v>
      </c>
      <c r="I6863">
        <v>22.780190000000001</v>
      </c>
      <c r="J6863">
        <v>-322.97019999999998</v>
      </c>
      <c r="K6863">
        <v>1.120795</v>
      </c>
      <c r="L6863">
        <v>17.484439999999999</v>
      </c>
      <c r="M6863">
        <v>0.99988750000000004</v>
      </c>
      <c r="N6863">
        <v>-1.301764E-2</v>
      </c>
      <c r="O6863">
        <v>-7.4746709999999996E-3</v>
      </c>
      <c r="P6863">
        <v>0.99492389999999997</v>
      </c>
      <c r="Q6863">
        <v>-9.3540559999999995E-2</v>
      </c>
      <c r="R6863">
        <v>3.710451E-2</v>
      </c>
      <c r="S6863">
        <v>2.9439700000000002</v>
      </c>
      <c r="T6863">
        <v>-0.27541379999999999</v>
      </c>
      <c r="U6863">
        <v>1.2453920000000001</v>
      </c>
      <c r="V6863">
        <v>-4.45821E-2</v>
      </c>
      <c r="W6863">
        <v>-8.0562369999999994E-2</v>
      </c>
      <c r="X6863">
        <v>0.99575199999999997</v>
      </c>
      <c r="Y6863">
        <v>-0.39476169999999999</v>
      </c>
      <c r="Z6863">
        <v>2.0928820000000001E-2</v>
      </c>
      <c r="AA6863">
        <v>0.91854519999999995</v>
      </c>
      <c r="AB6863">
        <v>21</v>
      </c>
      <c r="AC6863">
        <v>12.3537999999999</v>
      </c>
      <c r="AD6863">
        <v>-1.170795</v>
      </c>
      <c r="AE6863">
        <v>5.29575</v>
      </c>
      <c r="AF6863">
        <v>-5.3473774151972204</v>
      </c>
      <c r="AG6863">
        <v>-1.170795</v>
      </c>
      <c r="AH6863">
        <v>12.2211400660692</v>
      </c>
      <c r="AI6863">
        <v>95.015823030329997</v>
      </c>
      <c r="AJ6863">
        <v>113.631851403624</v>
      </c>
      <c r="AK6863">
        <v>13.391096693963</v>
      </c>
      <c r="AL6863">
        <v>94.620891723916699</v>
      </c>
      <c r="AM6863">
        <v>92.563551396164797</v>
      </c>
      <c r="AN6863">
        <v>0.99999995230221195</v>
      </c>
    </row>
    <row r="6864" spans="1:40" x14ac:dyDescent="0.25">
      <c r="A6864" t="str">
        <f>"20190303154316926"</f>
        <v>20190303154316926</v>
      </c>
      <c r="B6864" t="str">
        <f>"1551598996916709"</f>
        <v>1551598996916709</v>
      </c>
      <c r="C6864" t="s">
        <v>40</v>
      </c>
      <c r="D6864">
        <v>4.3984779999999999</v>
      </c>
      <c r="E6864">
        <v>0.35720439999999998</v>
      </c>
      <c r="F6864" t="s">
        <v>43</v>
      </c>
      <c r="G6864">
        <v>-310.40179999999998</v>
      </c>
      <c r="H6864">
        <v>-0.05</v>
      </c>
      <c r="I6864">
        <v>22.8279</v>
      </c>
      <c r="J6864">
        <v>-322.7602</v>
      </c>
      <c r="K6864">
        <v>1.1207689999999999</v>
      </c>
      <c r="L6864">
        <v>17.482479999999999</v>
      </c>
      <c r="M6864">
        <v>0.9998842</v>
      </c>
      <c r="N6864">
        <v>-1.3035679999999999E-2</v>
      </c>
      <c r="O6864">
        <v>-7.8485580000000003E-3</v>
      </c>
      <c r="P6864">
        <v>0.99486629999999998</v>
      </c>
      <c r="Q6864">
        <v>-9.3764360000000005E-2</v>
      </c>
      <c r="R6864">
        <v>3.8068379999999999E-2</v>
      </c>
      <c r="S6864">
        <v>2.9428709999999998</v>
      </c>
      <c r="T6864">
        <v>-0.27413900000000002</v>
      </c>
      <c r="U6864">
        <v>1.25116</v>
      </c>
      <c r="V6864">
        <v>-4.592359E-2</v>
      </c>
      <c r="W6864">
        <v>-8.0764929999999999E-2</v>
      </c>
      <c r="X6864">
        <v>0.99567470000000002</v>
      </c>
      <c r="Y6864">
        <v>-0.396758</v>
      </c>
      <c r="Z6864">
        <v>2.0979609999999999E-2</v>
      </c>
      <c r="AA6864">
        <v>0.91768349999999999</v>
      </c>
      <c r="AB6864">
        <v>21</v>
      </c>
      <c r="AC6864">
        <v>12.3584</v>
      </c>
      <c r="AD6864">
        <v>-1.1707689999999999</v>
      </c>
      <c r="AE6864">
        <v>5.3454199999999998</v>
      </c>
      <c r="AF6864">
        <v>-5.4014230930384599</v>
      </c>
      <c r="AG6864">
        <v>-1.1707689999999999</v>
      </c>
      <c r="AH6864">
        <v>12.2236480666035</v>
      </c>
      <c r="AI6864">
        <v>95.006731570475296</v>
      </c>
      <c r="AJ6864">
        <v>113.83982361379699</v>
      </c>
      <c r="AK6864">
        <v>13.4150528712171</v>
      </c>
      <c r="AL6864">
        <v>94.632535143575694</v>
      </c>
      <c r="AM6864">
        <v>92.640786621441904</v>
      </c>
      <c r="AN6864">
        <v>1.00000002912824</v>
      </c>
    </row>
    <row r="6865" spans="1:40" x14ac:dyDescent="0.25">
      <c r="A6865" t="str">
        <f>"20190303154316939"</f>
        <v>20190303154316939</v>
      </c>
      <c r="B6865" t="str">
        <f>"1551598996927442"</f>
        <v>1551598996927442</v>
      </c>
      <c r="C6865" t="s">
        <v>40</v>
      </c>
      <c r="D6865">
        <v>4.3625449999999999</v>
      </c>
      <c r="E6865">
        <v>0.35715340000000001</v>
      </c>
      <c r="F6865" t="s">
        <v>43</v>
      </c>
      <c r="G6865">
        <v>-310.06180000000001</v>
      </c>
      <c r="H6865">
        <v>-0.05</v>
      </c>
      <c r="I6865">
        <v>22.88804</v>
      </c>
      <c r="J6865">
        <v>-322.63940000000002</v>
      </c>
      <c r="K6865">
        <v>1.120752</v>
      </c>
      <c r="L6865">
        <v>17.481289999999898</v>
      </c>
      <c r="M6865">
        <v>0.99988220000000005</v>
      </c>
      <c r="N6865">
        <v>-1.304721E-2</v>
      </c>
      <c r="O6865">
        <v>-8.0895859999999993E-3</v>
      </c>
      <c r="P6865">
        <v>0.99483410000000005</v>
      </c>
      <c r="Q6865">
        <v>-9.3920169999999997E-2</v>
      </c>
      <c r="R6865">
        <v>3.8529529999999999E-2</v>
      </c>
      <c r="S6865">
        <v>2.9420169999999999</v>
      </c>
      <c r="T6865">
        <v>-0.2712483</v>
      </c>
      <c r="U6865">
        <v>1.2523799999999901</v>
      </c>
      <c r="V6865">
        <v>-4.6629509999999999E-2</v>
      </c>
      <c r="W6865">
        <v>-8.0906740000000005E-2</v>
      </c>
      <c r="X6865">
        <v>0.99563029999999997</v>
      </c>
      <c r="Y6865">
        <v>-0.39742660000000002</v>
      </c>
      <c r="Z6865">
        <v>2.084474E-2</v>
      </c>
      <c r="AA6865">
        <v>0.91739720000000002</v>
      </c>
      <c r="AB6865">
        <v>21</v>
      </c>
      <c r="AC6865">
        <v>12.5776</v>
      </c>
      <c r="AD6865">
        <v>-1.170752</v>
      </c>
      <c r="AE6865">
        <v>5.4067499999999997</v>
      </c>
      <c r="AF6865">
        <v>-5.4683395484675099</v>
      </c>
      <c r="AG6865">
        <v>-1.170752</v>
      </c>
      <c r="AH6865">
        <v>12.442455127792901</v>
      </c>
      <c r="AI6865">
        <v>94.923374186311406</v>
      </c>
      <c r="AJ6865">
        <v>113.725027700152</v>
      </c>
      <c r="AK6865">
        <v>13.6414107507244</v>
      </c>
      <c r="AL6865">
        <v>94.640687289079906</v>
      </c>
      <c r="AM6865">
        <v>92.681440396183405</v>
      </c>
      <c r="AN6865">
        <v>0.99999995302917699</v>
      </c>
    </row>
    <row r="6866" spans="1:40" x14ac:dyDescent="0.25">
      <c r="A6866" t="str">
        <f>"20190303154316949"</f>
        <v>20190303154316949</v>
      </c>
      <c r="B6866" t="str">
        <f>"1551598996946962"</f>
        <v>1551598996946962</v>
      </c>
      <c r="C6866" t="s">
        <v>40</v>
      </c>
      <c r="D6866">
        <v>4.3545930000000004</v>
      </c>
      <c r="E6866">
        <v>0.35729759999999999</v>
      </c>
      <c r="F6866" t="s">
        <v>43</v>
      </c>
      <c r="G6866">
        <v>-309.93700000000001</v>
      </c>
      <c r="H6866">
        <v>-0.05</v>
      </c>
      <c r="I6866">
        <v>22.89809</v>
      </c>
      <c r="J6866">
        <v>-322.52159999999998</v>
      </c>
      <c r="K6866">
        <v>1.1207339999999999</v>
      </c>
      <c r="L6866">
        <v>17.480039999999999</v>
      </c>
      <c r="M6866">
        <v>0.99987990000000004</v>
      </c>
      <c r="N6866">
        <v>-1.305825E-2</v>
      </c>
      <c r="O6866">
        <v>-8.3528509999999997E-3</v>
      </c>
      <c r="P6866">
        <v>0.99477000000000004</v>
      </c>
      <c r="Q6866">
        <v>-9.4432119999999994E-2</v>
      </c>
      <c r="R6866">
        <v>3.8928499999999998E-2</v>
      </c>
      <c r="S6866">
        <v>2.9414060000000002</v>
      </c>
      <c r="T6866">
        <v>-0.2711037</v>
      </c>
      <c r="U6866">
        <v>1.2543329999999999</v>
      </c>
      <c r="V6866">
        <v>-4.7295089999999998E-2</v>
      </c>
      <c r="W6866">
        <v>-8.1405110000000003E-2</v>
      </c>
      <c r="X6866">
        <v>0.99555830000000001</v>
      </c>
      <c r="Y6866">
        <v>-0.39824910000000002</v>
      </c>
      <c r="Z6866">
        <v>2.0900620000000002E-2</v>
      </c>
      <c r="AA6866">
        <v>0.91703920000000005</v>
      </c>
      <c r="AB6866">
        <v>21</v>
      </c>
      <c r="AC6866">
        <v>12.584599999999901</v>
      </c>
      <c r="AD6866">
        <v>-1.1707339999999999</v>
      </c>
      <c r="AE6866">
        <v>5.41805</v>
      </c>
      <c r="AF6866">
        <v>-5.4829555541261703</v>
      </c>
      <c r="AG6866">
        <v>-1.1707339999999999</v>
      </c>
      <c r="AH6866">
        <v>12.4480165745861</v>
      </c>
      <c r="AI6866">
        <v>94.919345318093605</v>
      </c>
      <c r="AJ6866">
        <v>113.771965767407</v>
      </c>
      <c r="AK6866">
        <v>13.6523454522822</v>
      </c>
      <c r="AL6866">
        <v>94.669336195600096</v>
      </c>
      <c r="AM6866">
        <v>92.719854054852703</v>
      </c>
      <c r="AN6866">
        <v>0.99999997308555399</v>
      </c>
    </row>
    <row r="6867" spans="1:40" x14ac:dyDescent="0.25">
      <c r="A6867" t="str">
        <f>"20190303154316962"</f>
        <v>20190303154316962</v>
      </c>
      <c r="B6867" t="str">
        <f>"1551598996956722"</f>
        <v>1551598996956722</v>
      </c>
      <c r="C6867" t="s">
        <v>40</v>
      </c>
      <c r="D6867">
        <v>4.4018560000000004</v>
      </c>
      <c r="E6867">
        <v>0.35735139999999999</v>
      </c>
      <c r="F6867" t="s">
        <v>43</v>
      </c>
      <c r="G6867">
        <v>-309.8657</v>
      </c>
      <c r="H6867">
        <v>-0.05</v>
      </c>
      <c r="I6867">
        <v>22.87846</v>
      </c>
      <c r="J6867">
        <v>-322.41480000000001</v>
      </c>
      <c r="K6867">
        <v>1.1207100000000001</v>
      </c>
      <c r="L6867">
        <v>17.47888</v>
      </c>
      <c r="M6867">
        <v>0.99987749999999997</v>
      </c>
      <c r="N6867">
        <v>-1.3069020000000001E-2</v>
      </c>
      <c r="O6867">
        <v>-8.6132569999999992E-3</v>
      </c>
      <c r="P6867">
        <v>0.9947473</v>
      </c>
      <c r="Q6867">
        <v>-9.4445650000000006E-2</v>
      </c>
      <c r="R6867">
        <v>3.9474269999999999E-2</v>
      </c>
      <c r="S6867">
        <v>2.9408569999999998</v>
      </c>
      <c r="T6867">
        <v>-0.27204240000000002</v>
      </c>
      <c r="U6867">
        <v>1.2544249999999999</v>
      </c>
      <c r="V6867">
        <v>-4.8105410000000001E-2</v>
      </c>
      <c r="W6867">
        <v>-8.1404569999999996E-2</v>
      </c>
      <c r="X6867">
        <v>0.9955195</v>
      </c>
      <c r="Y6867">
        <v>-0.39856009999999997</v>
      </c>
      <c r="Z6867">
        <v>2.1004680000000001E-2</v>
      </c>
      <c r="AA6867">
        <v>0.91690159999999998</v>
      </c>
      <c r="AB6867">
        <v>21</v>
      </c>
      <c r="AC6867">
        <v>12.549099999999999</v>
      </c>
      <c r="AD6867">
        <v>-1.1707099999999999</v>
      </c>
      <c r="AE6867">
        <v>5.3995800000000003</v>
      </c>
      <c r="AF6867">
        <v>-5.46732805386383</v>
      </c>
      <c r="AG6867">
        <v>-1.1707099999999999</v>
      </c>
      <c r="AH6867">
        <v>12.4109820905218</v>
      </c>
      <c r="AI6867">
        <v>94.933751721562501</v>
      </c>
      <c r="AJ6867">
        <v>113.77461425169599</v>
      </c>
      <c r="AK6867">
        <v>13.6123001143789</v>
      </c>
      <c r="AL6867">
        <v>94.669305238963304</v>
      </c>
      <c r="AM6867">
        <v>92.766489945401304</v>
      </c>
      <c r="AN6867">
        <v>0.9999999546842</v>
      </c>
    </row>
    <row r="6868" spans="1:40" x14ac:dyDescent="0.25">
      <c r="A6868" t="str">
        <f>"20190303154316973"</f>
        <v>20190303154316973</v>
      </c>
      <c r="B6868" t="str">
        <f>"1551598996967458"</f>
        <v>1551598996967458</v>
      </c>
      <c r="C6868" t="s">
        <v>40</v>
      </c>
      <c r="D6868">
        <v>4.3669960000000003</v>
      </c>
      <c r="E6868">
        <v>0.3573404</v>
      </c>
      <c r="F6868" t="s">
        <v>43</v>
      </c>
      <c r="G6868">
        <v>-309.75119999999998</v>
      </c>
      <c r="H6868">
        <v>-0.05</v>
      </c>
      <c r="I6868">
        <v>22.886279999999999</v>
      </c>
      <c r="J6868">
        <v>-322.29689999999999</v>
      </c>
      <c r="K6868">
        <v>1.1206780000000001</v>
      </c>
      <c r="L6868">
        <v>17.47757</v>
      </c>
      <c r="M6868">
        <v>0.99987479999999995</v>
      </c>
      <c r="N6868">
        <v>-1.3081539999999999E-2</v>
      </c>
      <c r="O6868">
        <v>-8.9196580000000004E-3</v>
      </c>
      <c r="P6868">
        <v>0.99471779999999999</v>
      </c>
      <c r="Q6868">
        <v>-9.4647670000000003E-2</v>
      </c>
      <c r="R6868">
        <v>3.9730990000000001E-2</v>
      </c>
      <c r="S6868">
        <v>2.9401860000000002</v>
      </c>
      <c r="T6868">
        <v>-0.271810099999999</v>
      </c>
      <c r="U6868">
        <v>1.255463</v>
      </c>
      <c r="V6868">
        <v>-4.8672880000000002E-2</v>
      </c>
      <c r="W6868">
        <v>-8.1590399999999993E-2</v>
      </c>
      <c r="X6868">
        <v>0.99547669999999999</v>
      </c>
      <c r="Y6868">
        <v>-0.3991886</v>
      </c>
      <c r="Z6868">
        <v>2.1049729999999999E-2</v>
      </c>
      <c r="AA6868">
        <v>0.91662719999999998</v>
      </c>
      <c r="AB6868">
        <v>21</v>
      </c>
      <c r="AC6868">
        <v>12.5457</v>
      </c>
      <c r="AD6868">
        <v>-1.1706780000000001</v>
      </c>
      <c r="AE6868">
        <v>5.4087099999999904</v>
      </c>
      <c r="AF6868">
        <v>-5.48016902315615</v>
      </c>
      <c r="AG6868">
        <v>-1.1706780000000001</v>
      </c>
      <c r="AH6868">
        <v>12.405861591274499</v>
      </c>
      <c r="AI6868">
        <v>94.933437344424206</v>
      </c>
      <c r="AJ6868">
        <v>113.832979627607</v>
      </c>
      <c r="AK6868">
        <v>13.6127932961572</v>
      </c>
      <c r="AL6868">
        <v>94.679988065294793</v>
      </c>
      <c r="AM6868">
        <v>92.799193085141596</v>
      </c>
      <c r="AN6868">
        <v>0.99999995143127096</v>
      </c>
    </row>
    <row r="6869" spans="1:40" x14ac:dyDescent="0.25">
      <c r="A6869" t="str">
        <f>"20190303154316986"</f>
        <v>20190303154316986</v>
      </c>
      <c r="B6869" t="str">
        <f>"1551598996977218"</f>
        <v>1551598996977218</v>
      </c>
      <c r="C6869" t="s">
        <v>40</v>
      </c>
      <c r="D6869">
        <v>4.3914879999999998</v>
      </c>
      <c r="E6869">
        <v>0.35730509999999999</v>
      </c>
      <c r="F6869" t="s">
        <v>43</v>
      </c>
      <c r="G6869">
        <v>-309.6893</v>
      </c>
      <c r="H6869">
        <v>-0.05</v>
      </c>
      <c r="I6869">
        <v>22.865690000000001</v>
      </c>
      <c r="J6869">
        <v>-322.1893</v>
      </c>
      <c r="K6869">
        <v>1.1206499999999999</v>
      </c>
      <c r="L6869">
        <v>17.47626</v>
      </c>
      <c r="M6869">
        <v>0.99987170000000003</v>
      </c>
      <c r="N6869">
        <v>-1.3094299999999901E-2</v>
      </c>
      <c r="O6869">
        <v>-9.2405019999999994E-3</v>
      </c>
      <c r="P6869">
        <v>0.99470259999999999</v>
      </c>
      <c r="Q6869">
        <v>-9.4643309999999994E-2</v>
      </c>
      <c r="R6869">
        <v>4.0119950000000001E-2</v>
      </c>
      <c r="S6869">
        <v>2.9397890000000002</v>
      </c>
      <c r="T6869">
        <v>-0.27297399999999999</v>
      </c>
      <c r="U6869">
        <v>1.256378</v>
      </c>
      <c r="V6869">
        <v>-4.9387830000000001E-2</v>
      </c>
      <c r="W6869">
        <v>-8.1569150000000007E-2</v>
      </c>
      <c r="X6869">
        <v>0.99544330000000003</v>
      </c>
      <c r="Y6869">
        <v>-0.39975129999999998</v>
      </c>
      <c r="Z6869">
        <v>2.1185699999999998E-2</v>
      </c>
      <c r="AA6869">
        <v>0.91637880000000005</v>
      </c>
      <c r="AB6869">
        <v>21</v>
      </c>
      <c r="AC6869">
        <v>12.5</v>
      </c>
      <c r="AD6869">
        <v>-1.17065</v>
      </c>
      <c r="AE6869">
        <v>5.3894299999999999</v>
      </c>
      <c r="AF6869">
        <v>-5.4643028518736196</v>
      </c>
      <c r="AG6869">
        <v>-1.17065</v>
      </c>
      <c r="AH6869">
        <v>12.3582610601549</v>
      </c>
      <c r="AI6869">
        <v>94.951466589732306</v>
      </c>
      <c r="AJ6869">
        <v>113.85299699773</v>
      </c>
      <c r="AK6869">
        <v>13.563024865804699</v>
      </c>
      <c r="AL6869">
        <v>94.678766118964305</v>
      </c>
      <c r="AM6869">
        <v>92.840338393494093</v>
      </c>
      <c r="AN6869">
        <v>1.00000002374936</v>
      </c>
    </row>
    <row r="6870" spans="1:40" x14ac:dyDescent="0.25">
      <c r="A6870" t="str">
        <f>"20190303154316997"</f>
        <v>20190303154316997</v>
      </c>
      <c r="B6870" t="str">
        <f>"1551598996986978"</f>
        <v>1551598996986978</v>
      </c>
      <c r="C6870" t="s">
        <v>40</v>
      </c>
      <c r="D6870">
        <v>4.3882539999999999</v>
      </c>
      <c r="E6870">
        <v>0.35721510000000001</v>
      </c>
      <c r="F6870" t="s">
        <v>43</v>
      </c>
      <c r="G6870">
        <v>-309.57499999999999</v>
      </c>
      <c r="H6870">
        <v>-0.05</v>
      </c>
      <c r="I6870">
        <v>22.874400000000001</v>
      </c>
      <c r="J6870">
        <v>-322.07159999999999</v>
      </c>
      <c r="K6870">
        <v>1.120617</v>
      </c>
      <c r="L6870">
        <v>17.474789999999999</v>
      </c>
      <c r="M6870">
        <v>0.99986799999999998</v>
      </c>
      <c r="N6870">
        <v>-1.3108969999999999E-2</v>
      </c>
      <c r="O6870">
        <v>-9.6081670000000008E-3</v>
      </c>
      <c r="P6870">
        <v>0.99467539999999999</v>
      </c>
      <c r="Q6870">
        <v>-9.4649929999999993E-2</v>
      </c>
      <c r="R6870">
        <v>4.0771990000000001E-2</v>
      </c>
      <c r="S6870">
        <v>2.9393009999999999</v>
      </c>
      <c r="T6870">
        <v>-0.27277800000000002</v>
      </c>
      <c r="U6870">
        <v>1.257843</v>
      </c>
      <c r="V6870">
        <v>-5.0412169999999999E-2</v>
      </c>
      <c r="W6870">
        <v>-8.1556190000000001E-2</v>
      </c>
      <c r="X6870">
        <v>0.99539299999999997</v>
      </c>
      <c r="Y6870">
        <v>-0.40052660000000001</v>
      </c>
      <c r="Z6870">
        <v>2.1244470000000001E-2</v>
      </c>
      <c r="AA6870">
        <v>0.91603880000000004</v>
      </c>
      <c r="AB6870">
        <v>21</v>
      </c>
      <c r="AC6870">
        <v>12.496600000000001</v>
      </c>
      <c r="AD6870">
        <v>-1.170617</v>
      </c>
      <c r="AE6870">
        <v>5.39961</v>
      </c>
      <c r="AF6870">
        <v>-5.4789268266517697</v>
      </c>
      <c r="AG6870">
        <v>-1.170617</v>
      </c>
      <c r="AH6870">
        <v>12.3527962037801</v>
      </c>
      <c r="AI6870">
        <v>94.950990569783201</v>
      </c>
      <c r="AJ6870">
        <v>113.919075789647</v>
      </c>
      <c r="AK6870">
        <v>13.5639432830065</v>
      </c>
      <c r="AL6870">
        <v>94.678021139732294</v>
      </c>
      <c r="AM6870">
        <v>92.899295873610697</v>
      </c>
      <c r="AN6870">
        <v>1.0000000117302099</v>
      </c>
    </row>
    <row r="6871" spans="1:40" x14ac:dyDescent="0.25">
      <c r="A6871" t="str">
        <f>"20190303154317009"</f>
        <v>20190303154317009</v>
      </c>
      <c r="B6871" t="str">
        <f>"1551598997007474"</f>
        <v>1551598997007474</v>
      </c>
      <c r="C6871" t="s">
        <v>40</v>
      </c>
      <c r="D6871">
        <v>4.4084649999999996</v>
      </c>
      <c r="E6871">
        <v>0.35715180000000002</v>
      </c>
      <c r="F6871" t="s">
        <v>43</v>
      </c>
      <c r="G6871">
        <v>-309.46690000000001</v>
      </c>
      <c r="H6871">
        <v>-0.05</v>
      </c>
      <c r="I6871">
        <v>22.88148</v>
      </c>
      <c r="J6871">
        <v>-321.95690000000002</v>
      </c>
      <c r="K6871">
        <v>1.120581</v>
      </c>
      <c r="L6871">
        <v>17.473269999999999</v>
      </c>
      <c r="M6871">
        <v>0.99986370000000002</v>
      </c>
      <c r="N6871">
        <v>-1.3125680000000001E-2</v>
      </c>
      <c r="O6871">
        <v>-1.0013920000000001E-2</v>
      </c>
      <c r="P6871">
        <v>0.99471790000000004</v>
      </c>
      <c r="Q6871">
        <v>-9.4050110000000006E-2</v>
      </c>
      <c r="R6871">
        <v>4.112176E-2</v>
      </c>
      <c r="S6871">
        <v>2.9384160000000001</v>
      </c>
      <c r="T6871">
        <v>-0.27289400000000003</v>
      </c>
      <c r="U6871">
        <v>1.2604059999999999</v>
      </c>
      <c r="V6871">
        <v>-5.1173240000000002E-2</v>
      </c>
      <c r="W6871">
        <v>-8.0933759999999993E-2</v>
      </c>
      <c r="X6871">
        <v>0.99540499999999998</v>
      </c>
      <c r="Y6871">
        <v>-0.40166489999999999</v>
      </c>
      <c r="Z6871">
        <v>2.1347600000000001E-2</v>
      </c>
      <c r="AA6871">
        <v>0.91553779999999996</v>
      </c>
      <c r="AB6871">
        <v>21</v>
      </c>
      <c r="AC6871">
        <v>12.49</v>
      </c>
      <c r="AD6871">
        <v>-1.1705809999999901</v>
      </c>
      <c r="AE6871">
        <v>5.4082099999999897</v>
      </c>
      <c r="AF6871">
        <v>-5.4923969237501504</v>
      </c>
      <c r="AG6871">
        <v>-1.1705809999999901</v>
      </c>
      <c r="AH6871">
        <v>12.343905435783</v>
      </c>
      <c r="AI6871">
        <v>94.951807654729507</v>
      </c>
      <c r="AJ6871">
        <v>113.986580491612</v>
      </c>
      <c r="AK6871">
        <v>13.561293642316601</v>
      </c>
      <c r="AL6871">
        <v>94.642240091503496</v>
      </c>
      <c r="AM6871">
        <v>92.942954604612595</v>
      </c>
      <c r="AN6871">
        <v>1.0000000440124099</v>
      </c>
    </row>
    <row r="6872" spans="1:40" x14ac:dyDescent="0.25">
      <c r="A6872" t="str">
        <f>"20190303154317026"</f>
        <v>20190303154317026</v>
      </c>
      <c r="B6872" t="str">
        <f>"1551598997017234"</f>
        <v>1551598997017234</v>
      </c>
      <c r="C6872" t="s">
        <v>40</v>
      </c>
      <c r="D6872">
        <v>4.3933929999999997</v>
      </c>
      <c r="E6872">
        <v>0.3570217</v>
      </c>
      <c r="F6872" t="s">
        <v>43</v>
      </c>
      <c r="G6872">
        <v>-309.28559999999999</v>
      </c>
      <c r="H6872">
        <v>-0.05</v>
      </c>
      <c r="I6872">
        <v>22.916699999999999</v>
      </c>
      <c r="J6872">
        <v>-321.80759999999998</v>
      </c>
      <c r="K6872">
        <v>1.120536</v>
      </c>
      <c r="L6872">
        <v>17.471129999999999</v>
      </c>
      <c r="M6872">
        <v>0.99985749999999995</v>
      </c>
      <c r="N6872">
        <v>-1.3148760000000001E-2</v>
      </c>
      <c r="O6872">
        <v>-1.058897E-2</v>
      </c>
      <c r="P6872">
        <v>0.99472859999999996</v>
      </c>
      <c r="Q6872">
        <v>-9.344761E-2</v>
      </c>
      <c r="R6872">
        <v>4.2224890000000001E-2</v>
      </c>
      <c r="S6872">
        <v>2.9380489999999999</v>
      </c>
      <c r="T6872">
        <v>-0.27141789999999999</v>
      </c>
      <c r="U6872">
        <v>1.262146</v>
      </c>
      <c r="V6872">
        <v>-5.2858500000000003E-2</v>
      </c>
      <c r="W6872">
        <v>-8.0300079999999996E-2</v>
      </c>
      <c r="X6872">
        <v>0.99536820000000004</v>
      </c>
      <c r="Y6872">
        <v>-0.40270099999999998</v>
      </c>
      <c r="Z6872">
        <v>2.134813E-2</v>
      </c>
      <c r="AA6872">
        <v>0.91508259999999997</v>
      </c>
      <c r="AB6872">
        <v>21</v>
      </c>
      <c r="AC6872">
        <v>12.521999999999901</v>
      </c>
      <c r="AD6872">
        <v>-1.170536</v>
      </c>
      <c r="AE6872">
        <v>5.44557</v>
      </c>
      <c r="AF6872">
        <v>-5.5371814449479597</v>
      </c>
      <c r="AG6872">
        <v>-1.170536</v>
      </c>
      <c r="AH6872">
        <v>12.3727095466003</v>
      </c>
      <c r="AI6872">
        <v>94.935423541660498</v>
      </c>
      <c r="AJ6872">
        <v>114.110035711908</v>
      </c>
      <c r="AK6872">
        <v>13.605678020815599</v>
      </c>
      <c r="AL6872">
        <v>94.6058145981238</v>
      </c>
      <c r="AM6872">
        <v>93.039806604822303</v>
      </c>
      <c r="AN6872">
        <v>0.99999998872074802</v>
      </c>
    </row>
    <row r="6873" spans="1:40" x14ac:dyDescent="0.25">
      <c r="A6873" t="str">
        <f>"20190303154317038"</f>
        <v>20190303154317038</v>
      </c>
      <c r="B6873" t="str">
        <f>"1551598997026994"</f>
        <v>1551598997026994</v>
      </c>
      <c r="C6873" t="s">
        <v>40</v>
      </c>
      <c r="D6873">
        <v>4.3804610000000004</v>
      </c>
      <c r="E6873">
        <v>0.35697790000000001</v>
      </c>
      <c r="F6873" t="s">
        <v>43</v>
      </c>
      <c r="G6873">
        <v>-309.09679999999997</v>
      </c>
      <c r="H6873">
        <v>-0.05</v>
      </c>
      <c r="I6873">
        <v>22.95138</v>
      </c>
      <c r="J6873">
        <v>-321.6893</v>
      </c>
      <c r="K6873">
        <v>1.1204989999999999</v>
      </c>
      <c r="L6873">
        <v>17.46942</v>
      </c>
      <c r="M6873">
        <v>0.99985199999999996</v>
      </c>
      <c r="N6873">
        <v>-1.3167460000000001E-2</v>
      </c>
      <c r="O6873">
        <v>-1.107619E-2</v>
      </c>
      <c r="P6873">
        <v>0.99471730000000003</v>
      </c>
      <c r="Q6873">
        <v>-9.323207E-2</v>
      </c>
      <c r="R6873">
        <v>4.2960640000000001E-2</v>
      </c>
      <c r="S6873">
        <v>2.9367369999999999</v>
      </c>
      <c r="T6873">
        <v>-0.27044509999999899</v>
      </c>
      <c r="U6873">
        <v>1.2661739999999999</v>
      </c>
      <c r="V6873">
        <v>-5.4085950000000001E-2</v>
      </c>
      <c r="W6873">
        <v>-8.0059549999999993E-2</v>
      </c>
      <c r="X6873">
        <v>0.99532160000000003</v>
      </c>
      <c r="Y6873">
        <v>-0.40435579999999999</v>
      </c>
      <c r="Z6873">
        <v>2.1409600000000001E-2</v>
      </c>
      <c r="AA6873">
        <v>0.91435120000000003</v>
      </c>
      <c r="AB6873">
        <v>21</v>
      </c>
      <c r="AC6873">
        <v>12.592499999999999</v>
      </c>
      <c r="AD6873">
        <v>-1.170499</v>
      </c>
      <c r="AE6873">
        <v>5.4819599999999999</v>
      </c>
      <c r="AF6873">
        <v>-5.5805779908258701</v>
      </c>
      <c r="AG6873">
        <v>-1.170499</v>
      </c>
      <c r="AH6873">
        <v>12.4406399839045</v>
      </c>
      <c r="AI6873">
        <v>94.906548416697504</v>
      </c>
      <c r="AJ6873">
        <v>114.159880505731</v>
      </c>
      <c r="AK6873">
        <v>13.6851175307271</v>
      </c>
      <c r="AL6873">
        <v>94.591988888112098</v>
      </c>
      <c r="AM6873">
        <v>93.110403573615798</v>
      </c>
      <c r="AN6873">
        <v>0.99999995448008105</v>
      </c>
    </row>
    <row r="6874" spans="1:40" x14ac:dyDescent="0.25">
      <c r="A6874" t="str">
        <f>"20190303154317049"</f>
        <v>20190303154317049</v>
      </c>
      <c r="B6874" t="str">
        <f>"1551598997047490"</f>
        <v>1551598997047490</v>
      </c>
      <c r="C6874" t="s">
        <v>40</v>
      </c>
      <c r="D6874">
        <v>4.3894149999999996</v>
      </c>
      <c r="E6874">
        <v>0.3568479</v>
      </c>
      <c r="F6874" t="s">
        <v>42</v>
      </c>
      <c r="G6874">
        <v>-320.70159999999998</v>
      </c>
      <c r="H6874">
        <v>1.0295589999999999</v>
      </c>
      <c r="I6874">
        <v>17.896000000000001</v>
      </c>
      <c r="J6874">
        <v>-321.5779</v>
      </c>
      <c r="K6874">
        <v>1.1204639999999999</v>
      </c>
      <c r="L6874">
        <v>17.467649999999999</v>
      </c>
      <c r="M6874">
        <v>0.99984600000000001</v>
      </c>
      <c r="N6874">
        <v>-1.3184339999999999E-2</v>
      </c>
      <c r="O6874">
        <v>-1.157967E-2</v>
      </c>
      <c r="P6874">
        <v>0.99468639999999997</v>
      </c>
      <c r="Q6874">
        <v>-9.3026910000000004E-2</v>
      </c>
      <c r="R6874">
        <v>4.4099630000000001E-2</v>
      </c>
      <c r="S6874">
        <v>2.935791</v>
      </c>
      <c r="T6874">
        <v>-0.27031549999999999</v>
      </c>
      <c r="U6874">
        <v>1.2687679999999999</v>
      </c>
      <c r="V6874">
        <v>-5.5732360000000002E-2</v>
      </c>
      <c r="W6874">
        <v>-7.9831150000000003E-2</v>
      </c>
      <c r="X6874">
        <v>0.99524919999999995</v>
      </c>
      <c r="Y6874">
        <v>-0.40559810000000002</v>
      </c>
      <c r="Z6874">
        <v>2.1508159999999998E-2</v>
      </c>
      <c r="AA6874">
        <v>0.91379849999999996</v>
      </c>
      <c r="AB6874">
        <v>21</v>
      </c>
      <c r="AC6874">
        <v>0.87630000000001396</v>
      </c>
      <c r="AD6874">
        <v>-9.0904999999999805E-2</v>
      </c>
      <c r="AE6874">
        <v>0.42835000000000101</v>
      </c>
      <c r="AF6874">
        <v>-0.434693680156164</v>
      </c>
      <c r="AG6874">
        <v>-9.0904999999999805E-2</v>
      </c>
      <c r="AH6874">
        <v>0.86377789241167802</v>
      </c>
      <c r="AI6874">
        <v>95.370486820723499</v>
      </c>
      <c r="AJ6874">
        <v>116.71369180351699</v>
      </c>
      <c r="AK6874">
        <v>0.97125411814409801</v>
      </c>
      <c r="AL6874">
        <v>94.578860121643203</v>
      </c>
      <c r="AM6874">
        <v>93.205124383583097</v>
      </c>
      <c r="AN6874">
        <v>1.00000003928106</v>
      </c>
    </row>
    <row r="6875" spans="1:40" x14ac:dyDescent="0.25">
      <c r="A6875" t="str">
        <f>"20190303154317061"</f>
        <v>20190303154317061</v>
      </c>
      <c r="B6875" t="str">
        <f>"1551598997057250"</f>
        <v>1551598997057250</v>
      </c>
      <c r="C6875" t="s">
        <v>40</v>
      </c>
      <c r="D6875">
        <v>4.4072370000000003</v>
      </c>
      <c r="E6875">
        <v>0.35679440000000001</v>
      </c>
      <c r="F6875" t="s">
        <v>43</v>
      </c>
      <c r="G6875">
        <v>-308.88929999999999</v>
      </c>
      <c r="H6875">
        <v>-0.05</v>
      </c>
      <c r="I6875">
        <v>22.973269999999999</v>
      </c>
      <c r="J6875">
        <v>-321.47629999999998</v>
      </c>
      <c r="K6875">
        <v>1.1204339999999999</v>
      </c>
      <c r="L6875">
        <v>17.465969999999999</v>
      </c>
      <c r="M6875">
        <v>0.99984030000000002</v>
      </c>
      <c r="N6875">
        <v>-1.3200089999999999E-2</v>
      </c>
      <c r="O6875">
        <v>-1.205755E-2</v>
      </c>
      <c r="P6875">
        <v>0.99463239999999997</v>
      </c>
      <c r="Q6875">
        <v>-9.3102039999999997E-2</v>
      </c>
      <c r="R6875">
        <v>4.5149479999999999E-2</v>
      </c>
      <c r="S6875">
        <v>2.9342649999999999</v>
      </c>
      <c r="T6875">
        <v>-0.27067449999999998</v>
      </c>
      <c r="U6875">
        <v>1.273193</v>
      </c>
      <c r="V6875">
        <v>-5.7262540000000001E-2</v>
      </c>
      <c r="W6875">
        <v>-7.9885010000000006E-2</v>
      </c>
      <c r="X6875">
        <v>0.99515799999999999</v>
      </c>
      <c r="Y6875">
        <v>-0.40735349999999998</v>
      </c>
      <c r="Z6875">
        <v>2.1666359999999999E-2</v>
      </c>
      <c r="AA6875">
        <v>0.91301350000000003</v>
      </c>
      <c r="AB6875">
        <v>21</v>
      </c>
      <c r="AC6875">
        <v>12.5869999999999</v>
      </c>
      <c r="AD6875">
        <v>-1.170434</v>
      </c>
      <c r="AE6875">
        <v>5.5072999999999901</v>
      </c>
      <c r="AF6875">
        <v>-5.6179101091401602</v>
      </c>
      <c r="AG6875">
        <v>-1.170434</v>
      </c>
      <c r="AH6875">
        <v>12.429469682926401</v>
      </c>
      <c r="AI6875">
        <v>94.904436641430706</v>
      </c>
      <c r="AJ6875">
        <v>114.322163864589</v>
      </c>
      <c r="AK6875">
        <v>13.6902354377681</v>
      </c>
      <c r="AL6875">
        <v>94.581956006137801</v>
      </c>
      <c r="AM6875">
        <v>93.293233876109596</v>
      </c>
      <c r="AN6875">
        <v>1.0000000291369699</v>
      </c>
    </row>
    <row r="6876" spans="1:40" x14ac:dyDescent="0.25">
      <c r="A6876" t="str">
        <f>"20190303154317074"</f>
        <v>20190303154317074</v>
      </c>
      <c r="B6876" t="str">
        <f>"1551598997067010"</f>
        <v>1551598997067010</v>
      </c>
      <c r="C6876" t="s">
        <v>40</v>
      </c>
      <c r="D6876">
        <v>4.3735390000000001</v>
      </c>
      <c r="E6876">
        <v>0.35675020000000002</v>
      </c>
      <c r="F6876" t="s">
        <v>43</v>
      </c>
      <c r="G6876">
        <v>-308.88220000000001</v>
      </c>
      <c r="H6876">
        <v>-0.05</v>
      </c>
      <c r="I6876">
        <v>22.947949999999999</v>
      </c>
      <c r="J6876">
        <v>-321.3442</v>
      </c>
      <c r="K6876">
        <v>1.1203970000000001</v>
      </c>
      <c r="L6876">
        <v>17.46368</v>
      </c>
      <c r="M6876">
        <v>0.9998319</v>
      </c>
      <c r="N6876">
        <v>-1.322124E-2</v>
      </c>
      <c r="O6876">
        <v>-1.2710829999999999E-2</v>
      </c>
      <c r="P6876">
        <v>0.99457600000000002</v>
      </c>
      <c r="Q6876">
        <v>-9.3153219999999995E-2</v>
      </c>
      <c r="R6876">
        <v>4.6274629999999997E-2</v>
      </c>
      <c r="S6876">
        <v>2.9327700000000001</v>
      </c>
      <c r="T6876">
        <v>-0.27255760000000001</v>
      </c>
      <c r="U6876">
        <v>1.276581</v>
      </c>
      <c r="V6876">
        <v>-5.904467E-2</v>
      </c>
      <c r="W6876">
        <v>-7.9908099999999996E-2</v>
      </c>
      <c r="X6876">
        <v>0.99505200000000005</v>
      </c>
      <c r="Y6876">
        <v>-0.4089737</v>
      </c>
      <c r="Z6876">
        <v>2.1940769999999998E-2</v>
      </c>
      <c r="AA6876">
        <v>0.91228229999999999</v>
      </c>
      <c r="AB6876">
        <v>21</v>
      </c>
      <c r="AC6876">
        <v>12.4619999999999</v>
      </c>
      <c r="AD6876">
        <v>-1.1703969999999999</v>
      </c>
      <c r="AE6876">
        <v>5.4842699999999898</v>
      </c>
      <c r="AF6876">
        <v>-5.6008563376221998</v>
      </c>
      <c r="AG6876">
        <v>-1.1703969999999999</v>
      </c>
      <c r="AH6876">
        <v>12.300385419468</v>
      </c>
      <c r="AI6876">
        <v>94.949271116793398</v>
      </c>
      <c r="AJ6876">
        <v>114.481667891256</v>
      </c>
      <c r="AK6876">
        <v>13.5660938489955</v>
      </c>
      <c r="AL6876">
        <v>94.583283204066404</v>
      </c>
      <c r="AM6876">
        <v>93.395850869628305</v>
      </c>
      <c r="AN6876">
        <v>1.0000000301025</v>
      </c>
    </row>
    <row r="6877" spans="1:40" x14ac:dyDescent="0.25">
      <c r="A6877" t="str">
        <f>"20190303154317088"</f>
        <v>20190303154317088</v>
      </c>
      <c r="B6877" t="str">
        <f>"1551598997076772"</f>
        <v>1551598997076772</v>
      </c>
      <c r="C6877" t="s">
        <v>40</v>
      </c>
      <c r="D6877">
        <v>4.3735869999999997</v>
      </c>
      <c r="E6877">
        <v>0.35669990000000001</v>
      </c>
      <c r="F6877" t="s">
        <v>43</v>
      </c>
      <c r="G6877">
        <v>-308.81479999999999</v>
      </c>
      <c r="H6877">
        <v>-0.05</v>
      </c>
      <c r="I6877">
        <v>22.937069999999999</v>
      </c>
      <c r="J6877">
        <v>-321.21559999999999</v>
      </c>
      <c r="K6877">
        <v>1.1202719999999999</v>
      </c>
      <c r="L6877">
        <v>17.461300000000001</v>
      </c>
      <c r="M6877">
        <v>0.99982700000000002</v>
      </c>
      <c r="N6877">
        <v>-1.2879689999999999E-2</v>
      </c>
      <c r="O6877">
        <v>-1.3420609999999999E-2</v>
      </c>
      <c r="P6877">
        <v>0.99457470000000003</v>
      </c>
      <c r="Q6877">
        <v>-9.2730720000000003E-2</v>
      </c>
      <c r="R6877">
        <v>4.7140389999999997E-2</v>
      </c>
      <c r="S6877">
        <v>2.931152</v>
      </c>
      <c r="T6877">
        <v>-0.27380529999999997</v>
      </c>
      <c r="U6877">
        <v>1.280457</v>
      </c>
      <c r="V6877">
        <v>-6.0620760000000003E-2</v>
      </c>
      <c r="W6877">
        <v>-7.9819559999999998E-2</v>
      </c>
      <c r="X6877">
        <v>0.99496430000000002</v>
      </c>
      <c r="Y6877">
        <v>-0.4107982</v>
      </c>
      <c r="Z6877">
        <v>2.2113790000000001E-2</v>
      </c>
      <c r="AA6877">
        <v>0.91145810000000005</v>
      </c>
      <c r="AB6877">
        <v>21</v>
      </c>
      <c r="AC6877">
        <v>12.4008</v>
      </c>
      <c r="AD6877">
        <v>-1.170272</v>
      </c>
      <c r="AE6877">
        <v>5.4757699999999998</v>
      </c>
      <c r="AF6877">
        <v>-5.5999819061915499</v>
      </c>
      <c r="AG6877">
        <v>-1.170272</v>
      </c>
      <c r="AH6877">
        <v>12.2350049462391</v>
      </c>
      <c r="AI6877">
        <v>94.970642817160495</v>
      </c>
      <c r="AJ6877">
        <v>114.59364777567799</v>
      </c>
      <c r="AK6877">
        <v>13.5064680778564</v>
      </c>
      <c r="AL6877">
        <v>94.578194124858797</v>
      </c>
      <c r="AM6877">
        <v>93.486582788452694</v>
      </c>
      <c r="AN6877">
        <v>0.99999999848803001</v>
      </c>
    </row>
    <row r="6878" spans="1:40" x14ac:dyDescent="0.25">
      <c r="A6878" t="str">
        <f>"20190303154317105"</f>
        <v>20190303154317105</v>
      </c>
      <c r="B6878" t="str">
        <f>"1551598997097266"</f>
        <v>1551598997097266</v>
      </c>
      <c r="C6878" t="s">
        <v>40</v>
      </c>
      <c r="D6878">
        <v>4.4030690000000003</v>
      </c>
      <c r="E6878">
        <v>0.356622099999999</v>
      </c>
      <c r="F6878" t="s">
        <v>43</v>
      </c>
      <c r="G6878">
        <v>-308.68110000000001</v>
      </c>
      <c r="H6878">
        <v>-0.05</v>
      </c>
      <c r="I6878">
        <v>22.95139</v>
      </c>
      <c r="J6878">
        <v>-321.05070000000001</v>
      </c>
      <c r="K6878">
        <v>1.1200810000000001</v>
      </c>
      <c r="L6878">
        <v>17.458159999999999</v>
      </c>
      <c r="M6878">
        <v>0.99981920000000002</v>
      </c>
      <c r="N6878">
        <v>-1.2460260000000001E-2</v>
      </c>
      <c r="O6878">
        <v>-1.436142E-2</v>
      </c>
      <c r="P6878">
        <v>0.99451540000000005</v>
      </c>
      <c r="Q6878">
        <v>-9.225738E-2</v>
      </c>
      <c r="R6878">
        <v>4.9271549999999997E-2</v>
      </c>
      <c r="S6878">
        <v>2.9299930000000001</v>
      </c>
      <c r="T6878">
        <v>-0.2735553</v>
      </c>
      <c r="U6878">
        <v>1.283325</v>
      </c>
      <c r="V6878">
        <v>-6.3691819999999996E-2</v>
      </c>
      <c r="W6878">
        <v>-7.9755569999999998E-2</v>
      </c>
      <c r="X6878">
        <v>0.99477760000000004</v>
      </c>
      <c r="Y6878">
        <v>-0.41253580000000001</v>
      </c>
      <c r="Z6878">
        <v>2.217676E-2</v>
      </c>
      <c r="AA6878">
        <v>0.91067140000000002</v>
      </c>
      <c r="AB6878">
        <v>21</v>
      </c>
      <c r="AC6878">
        <v>12.369599999999901</v>
      </c>
      <c r="AD6878">
        <v>-1.1700809999999999</v>
      </c>
      <c r="AE6878">
        <v>5.4932299999999996</v>
      </c>
      <c r="AF6878">
        <v>-5.6282571406412503</v>
      </c>
      <c r="AG6878">
        <v>-1.1700809999999999</v>
      </c>
      <c r="AH6878">
        <v>12.1982587580772</v>
      </c>
      <c r="AI6878">
        <v>94.977779812044204</v>
      </c>
      <c r="AJ6878">
        <v>114.768524797132</v>
      </c>
      <c r="AK6878">
        <v>13.4849503045709</v>
      </c>
      <c r="AL6878">
        <v>94.574515869038706</v>
      </c>
      <c r="AM6878">
        <v>93.663430049692593</v>
      </c>
      <c r="AN6878">
        <v>1.0000000361713399</v>
      </c>
    </row>
    <row r="6879" spans="1:40" x14ac:dyDescent="0.25">
      <c r="A6879" t="str">
        <f>"20190303154317117"</f>
        <v>20190303154317117</v>
      </c>
      <c r="B6879" t="str">
        <f>"1551598997107026"</f>
        <v>1551598997107026</v>
      </c>
      <c r="C6879" t="s">
        <v>40</v>
      </c>
      <c r="D6879">
        <v>4.39642</v>
      </c>
      <c r="E6879">
        <v>0.35654520000000001</v>
      </c>
      <c r="F6879" t="s">
        <v>43</v>
      </c>
      <c r="G6879">
        <v>-308.45490000000001</v>
      </c>
      <c r="H6879">
        <v>-0.05</v>
      </c>
      <c r="I6879">
        <v>23.009399999999999</v>
      </c>
      <c r="J6879">
        <v>-320.92419999999998</v>
      </c>
      <c r="K6879">
        <v>1.1199190000000001</v>
      </c>
      <c r="L6879">
        <v>17.455629999999999</v>
      </c>
      <c r="M6879">
        <v>0.99981089999999995</v>
      </c>
      <c r="N6879">
        <v>-1.225916E-2</v>
      </c>
      <c r="O6879">
        <v>-1.509427E-2</v>
      </c>
      <c r="P6879">
        <v>0.99448970000000003</v>
      </c>
      <c r="Q6879">
        <v>-9.2024510000000004E-2</v>
      </c>
      <c r="R6879">
        <v>5.02154E-2</v>
      </c>
      <c r="S6879">
        <v>2.9273989999999999</v>
      </c>
      <c r="T6879">
        <v>-0.27193889999999998</v>
      </c>
      <c r="U6879">
        <v>1.2901609999999999</v>
      </c>
      <c r="V6879">
        <v>-6.5366850000000004E-2</v>
      </c>
      <c r="W6879">
        <v>-7.9717979999999994E-2</v>
      </c>
      <c r="X6879">
        <v>0.99467190000000005</v>
      </c>
      <c r="Y6879">
        <v>-0.4152883</v>
      </c>
      <c r="Z6879">
        <v>2.2224839999999999E-2</v>
      </c>
      <c r="AA6879">
        <v>0.90941830000000001</v>
      </c>
      <c r="AB6879">
        <v>21</v>
      </c>
      <c r="AC6879">
        <v>12.469299999999899</v>
      </c>
      <c r="AD6879">
        <v>-1.1699189999999999</v>
      </c>
      <c r="AE6879">
        <v>5.5537700000000001</v>
      </c>
      <c r="AF6879">
        <v>-5.6994994371933796</v>
      </c>
      <c r="AG6879">
        <v>-1.1699189999999999</v>
      </c>
      <c r="AH6879">
        <v>12.293736562369</v>
      </c>
      <c r="AI6879">
        <v>94.9344928618914</v>
      </c>
      <c r="AJ6879">
        <v>114.872911509232</v>
      </c>
      <c r="AK6879">
        <v>13.6010647732469</v>
      </c>
      <c r="AL6879">
        <v>94.572355475552698</v>
      </c>
      <c r="AM6879">
        <v>93.759900117864106</v>
      </c>
      <c r="AN6879">
        <v>0.99999998503190601</v>
      </c>
    </row>
    <row r="6880" spans="1:40" x14ac:dyDescent="0.25">
      <c r="A6880" t="str">
        <f>"20190303154317130"</f>
        <v>20190303154317130</v>
      </c>
      <c r="B6880" t="str">
        <f>"1551598997127522"</f>
        <v>1551598997127522</v>
      </c>
      <c r="C6880" t="s">
        <v>40</v>
      </c>
      <c r="D6880">
        <v>4.4604169999999996</v>
      </c>
      <c r="E6880">
        <v>0.35654200000000003</v>
      </c>
      <c r="F6880" t="s">
        <v>42</v>
      </c>
      <c r="G6880">
        <v>-319.99849999999998</v>
      </c>
      <c r="H6880">
        <v>1.034079</v>
      </c>
      <c r="I6880">
        <v>17.864809999999999</v>
      </c>
      <c r="J6880">
        <v>-320.7998</v>
      </c>
      <c r="K6880">
        <v>1.1197729999999999</v>
      </c>
      <c r="L6880">
        <v>17.453029999999998</v>
      </c>
      <c r="M6880">
        <v>0.99979810000000002</v>
      </c>
      <c r="N6880">
        <v>-1.24043E-2</v>
      </c>
      <c r="O6880">
        <v>-1.580616E-2</v>
      </c>
      <c r="P6880">
        <v>0.99447039999999998</v>
      </c>
      <c r="Q6880">
        <v>-9.1798279999999996E-2</v>
      </c>
      <c r="R6880">
        <v>5.1008930000000001E-2</v>
      </c>
      <c r="S6880">
        <v>2.9261170000000001</v>
      </c>
      <c r="T6880">
        <v>-0.27136389999999999</v>
      </c>
      <c r="U6880">
        <v>1.2936399999999999</v>
      </c>
      <c r="V6880">
        <v>-6.6868979999999995E-2</v>
      </c>
      <c r="W6880">
        <v>-7.9344029999999996E-2</v>
      </c>
      <c r="X6880">
        <v>0.99460199999999999</v>
      </c>
      <c r="Y6880">
        <v>-0.4169815</v>
      </c>
      <c r="Z6880">
        <v>2.2357269999999999E-2</v>
      </c>
      <c r="AA6880">
        <v>0.90864</v>
      </c>
      <c r="AB6880">
        <v>22</v>
      </c>
      <c r="AC6880">
        <v>0.80130000000002599</v>
      </c>
      <c r="AD6880">
        <v>-8.5693999999999701E-2</v>
      </c>
      <c r="AE6880">
        <v>0.41178000000000298</v>
      </c>
      <c r="AF6880">
        <v>-0.42058966016427801</v>
      </c>
      <c r="AG6880">
        <v>-8.5693999999999701E-2</v>
      </c>
      <c r="AH6880">
        <v>0.78756511991655898</v>
      </c>
      <c r="AI6880">
        <v>95.482435215907699</v>
      </c>
      <c r="AJ6880">
        <v>118.103908774315</v>
      </c>
      <c r="AK6880">
        <v>0.89693809261413704</v>
      </c>
      <c r="AL6880">
        <v>94.5508613973374</v>
      </c>
      <c r="AM6880">
        <v>93.846315680805404</v>
      </c>
      <c r="AN6880">
        <v>1.0000000369934301</v>
      </c>
    </row>
    <row r="6881" spans="1:40" x14ac:dyDescent="0.25">
      <c r="A6881" t="str">
        <f>"20190303154317143"</f>
        <v>20190303154317143</v>
      </c>
      <c r="B6881" t="str">
        <f>"1551598997137282"</f>
        <v>1551598997137282</v>
      </c>
      <c r="C6881" t="s">
        <v>40</v>
      </c>
      <c r="D6881">
        <v>4.3326880000000001</v>
      </c>
      <c r="E6881">
        <v>0.35654200000000003</v>
      </c>
      <c r="F6881" t="s">
        <v>43</v>
      </c>
      <c r="G6881">
        <v>-308.24689999999998</v>
      </c>
      <c r="H6881">
        <v>-0.05</v>
      </c>
      <c r="I6881">
        <v>23.014379999999999</v>
      </c>
      <c r="J6881">
        <v>-320.68979999999999</v>
      </c>
      <c r="K6881">
        <v>1.1196060000000001</v>
      </c>
      <c r="L6881">
        <v>17.45065</v>
      </c>
      <c r="M6881">
        <v>0.99978469999999997</v>
      </c>
      <c r="N6881">
        <v>-1.2683059999999999E-2</v>
      </c>
      <c r="O6881">
        <v>-1.6430360000000001E-2</v>
      </c>
      <c r="P6881">
        <v>0.99444100000000002</v>
      </c>
      <c r="Q6881">
        <v>-9.1544990000000007E-2</v>
      </c>
      <c r="R6881">
        <v>5.2027039999999997E-2</v>
      </c>
      <c r="S6881">
        <v>2.9250790000000002</v>
      </c>
      <c r="T6881">
        <v>-0.27257880000000001</v>
      </c>
      <c r="U6881">
        <v>1.295898</v>
      </c>
      <c r="V6881">
        <v>-6.8506579999999997E-2</v>
      </c>
      <c r="W6881">
        <v>-7.8810679999999994E-2</v>
      </c>
      <c r="X6881">
        <v>0.99453290000000005</v>
      </c>
      <c r="Y6881">
        <v>-0.4182265</v>
      </c>
      <c r="Z6881">
        <v>2.2618019999999999E-2</v>
      </c>
      <c r="AA6881">
        <v>0.90806109999999896</v>
      </c>
      <c r="AB6881">
        <v>22</v>
      </c>
      <c r="AC6881">
        <v>12.4429</v>
      </c>
      <c r="AD6881">
        <v>-1.1696059999999999</v>
      </c>
      <c r="AE6881">
        <v>5.5637299999999996</v>
      </c>
      <c r="AF6881">
        <v>-5.7252790865372196</v>
      </c>
      <c r="AG6881">
        <v>-1.1696059999999999</v>
      </c>
      <c r="AH6881">
        <v>12.2595269009751</v>
      </c>
      <c r="AI6881">
        <v>94.940486093686999</v>
      </c>
      <c r="AJ6881">
        <v>115.032881660968</v>
      </c>
      <c r="AK6881">
        <v>13.5809719331758</v>
      </c>
      <c r="AL6881">
        <v>94.520206947553902</v>
      </c>
      <c r="AM6881">
        <v>93.940490455140903</v>
      </c>
      <c r="AN6881">
        <v>0.99999998198388396</v>
      </c>
    </row>
    <row r="6882" spans="1:40" x14ac:dyDescent="0.25">
      <c r="A6882" t="str">
        <f>"20190303154317159"</f>
        <v>20190303154317159</v>
      </c>
      <c r="B6882" t="str">
        <f>"1551598997156802"</f>
        <v>1551598997156802</v>
      </c>
      <c r="C6882" t="s">
        <v>40</v>
      </c>
      <c r="D6882">
        <v>4.3624790000000004</v>
      </c>
      <c r="E6882">
        <v>0.32752769999999998</v>
      </c>
      <c r="F6882" t="s">
        <v>42</v>
      </c>
      <c r="G6882">
        <v>-319.73869999999999</v>
      </c>
      <c r="H6882">
        <v>1.031382</v>
      </c>
      <c r="I6882">
        <v>17.873069999999998</v>
      </c>
      <c r="J6882">
        <v>-320.5215</v>
      </c>
      <c r="K6882">
        <v>1.119265</v>
      </c>
      <c r="L6882">
        <v>17.446929999999998</v>
      </c>
      <c r="M6882">
        <v>0.9997606</v>
      </c>
      <c r="N6882">
        <v>-1.330959E-2</v>
      </c>
      <c r="O6882">
        <v>-1.7375519999999998E-2</v>
      </c>
      <c r="P6882">
        <v>0.99434259999999997</v>
      </c>
      <c r="Q6882">
        <v>-9.1474520000000004E-2</v>
      </c>
      <c r="R6882">
        <v>5.399781E-2</v>
      </c>
      <c r="S6882">
        <v>2.923889</v>
      </c>
      <c r="T6882">
        <v>-0.27121479999999998</v>
      </c>
      <c r="U6882">
        <v>1.298859</v>
      </c>
      <c r="V6882">
        <v>-7.1414399999999906E-2</v>
      </c>
      <c r="W6882">
        <v>-7.8113769999999999E-2</v>
      </c>
      <c r="X6882">
        <v>0.99438329999999997</v>
      </c>
      <c r="Y6882">
        <v>-0.41998400000000002</v>
      </c>
      <c r="Z6882">
        <v>2.2811310000000001E-2</v>
      </c>
      <c r="AA6882">
        <v>0.90724479999999996</v>
      </c>
      <c r="AB6882">
        <v>21</v>
      </c>
      <c r="AC6882">
        <v>0.78280000000000804</v>
      </c>
      <c r="AD6882">
        <v>-8.7882999999999906E-2</v>
      </c>
      <c r="AE6882">
        <v>0.42614000000000302</v>
      </c>
      <c r="AF6882">
        <v>-0.43544472329741901</v>
      </c>
      <c r="AG6882">
        <v>-8.7882999999999906E-2</v>
      </c>
      <c r="AH6882">
        <v>0.76781155310732296</v>
      </c>
      <c r="AI6882">
        <v>95.685766403173702</v>
      </c>
      <c r="AJ6882">
        <v>119.558633190474</v>
      </c>
      <c r="AK6882">
        <v>0.88705699355883905</v>
      </c>
      <c r="AL6882">
        <v>94.480153550582401</v>
      </c>
      <c r="AM6882">
        <v>94.107802914060301</v>
      </c>
      <c r="AN6882">
        <v>0.99999996245492995</v>
      </c>
    </row>
    <row r="6883" spans="1:40" x14ac:dyDescent="0.25">
      <c r="A6883" t="str">
        <f>"20190303154317171"</f>
        <v>20190303154317171</v>
      </c>
      <c r="B6883" t="str">
        <f>"1551598997167537"</f>
        <v>1551598997167537</v>
      </c>
      <c r="C6883" t="s">
        <v>40</v>
      </c>
      <c r="D6883">
        <v>4.4264640000000002</v>
      </c>
      <c r="E6883">
        <v>0.32690439999999998</v>
      </c>
      <c r="F6883" t="s">
        <v>42</v>
      </c>
      <c r="G6883">
        <v>-319.64550000000003</v>
      </c>
      <c r="H6883">
        <v>1.010564</v>
      </c>
      <c r="I6883">
        <v>17.909759999999999</v>
      </c>
      <c r="J6883">
        <v>-320.41370000000001</v>
      </c>
      <c r="K6883">
        <v>1.118946</v>
      </c>
      <c r="L6883">
        <v>17.444459999999999</v>
      </c>
      <c r="M6883">
        <v>0.99974359999999995</v>
      </c>
      <c r="N6883">
        <v>-1.377388E-2</v>
      </c>
      <c r="O6883">
        <v>-1.7975270000000002E-2</v>
      </c>
      <c r="P6883">
        <v>0.9942704</v>
      </c>
      <c r="Q6883">
        <v>-9.1573630000000003E-2</v>
      </c>
      <c r="R6883">
        <v>5.5143270000000001E-2</v>
      </c>
      <c r="S6883">
        <v>2.900665</v>
      </c>
      <c r="T6883">
        <v>-0.35996650000000002</v>
      </c>
      <c r="U6883">
        <v>1.5338130000000001</v>
      </c>
      <c r="V6883">
        <v>-7.3153199999999904E-2</v>
      </c>
      <c r="W6883">
        <v>-7.7749960000000007E-2</v>
      </c>
      <c r="X6883">
        <v>0.99428550000000004</v>
      </c>
      <c r="Y6883">
        <v>-0.47990729999999998</v>
      </c>
      <c r="Z6883">
        <v>3.3233430000000001E-2</v>
      </c>
      <c r="AA6883">
        <v>0.87668959999999996</v>
      </c>
      <c r="AB6883">
        <v>21</v>
      </c>
      <c r="AC6883">
        <v>0.76819999999997801</v>
      </c>
      <c r="AD6883">
        <v>-0.10838199999999901</v>
      </c>
      <c r="AE6883">
        <v>0.46530000000000199</v>
      </c>
      <c r="AF6883">
        <v>-0.47215888795869798</v>
      </c>
      <c r="AG6883">
        <v>-0.10838199999999901</v>
      </c>
      <c r="AH6883">
        <v>0.748806647987452</v>
      </c>
      <c r="AI6883">
        <v>96.980137418511205</v>
      </c>
      <c r="AJ6883">
        <v>122.233418508009</v>
      </c>
      <c r="AK6883">
        <v>0.89184755954849104</v>
      </c>
      <c r="AL6883">
        <v>94.459244786579802</v>
      </c>
      <c r="AM6883">
        <v>94.207877260863299</v>
      </c>
      <c r="AN6883">
        <v>1.0000000512302401</v>
      </c>
    </row>
    <row r="6884" spans="1:40" x14ac:dyDescent="0.25">
      <c r="A6884" t="str">
        <f>"20190303154317193"</f>
        <v>20190303154317193</v>
      </c>
      <c r="B6884" t="str">
        <f>"1551598997187058"</f>
        <v>1551598997187058</v>
      </c>
      <c r="C6884" t="s">
        <v>40</v>
      </c>
      <c r="D6884">
        <v>4.4205170000000003</v>
      </c>
      <c r="E6884">
        <v>0.327312099999999</v>
      </c>
      <c r="F6884" t="s">
        <v>42</v>
      </c>
      <c r="G6884">
        <v>-319.6354</v>
      </c>
      <c r="H6884">
        <v>1.019884</v>
      </c>
      <c r="I6884">
        <v>17.858260000000001</v>
      </c>
      <c r="J6884">
        <v>-320.19920000000002</v>
      </c>
      <c r="K6884">
        <v>1.1180969999999999</v>
      </c>
      <c r="L6884">
        <v>17.439360000000001</v>
      </c>
      <c r="M6884">
        <v>0.99970769999999998</v>
      </c>
      <c r="N6884">
        <v>-1.4862790000000001E-2</v>
      </c>
      <c r="O6884">
        <v>-1.9069829999999999E-2</v>
      </c>
      <c r="P6884">
        <v>0.99418799999999996</v>
      </c>
      <c r="Q6884">
        <v>-9.1380799999999998E-2</v>
      </c>
      <c r="R6884">
        <v>5.6919079999999997E-2</v>
      </c>
      <c r="S6884">
        <v>2.8977970000000002</v>
      </c>
      <c r="T6884">
        <v>-0.3688341</v>
      </c>
      <c r="U6884">
        <v>1.541992</v>
      </c>
      <c r="V6884">
        <v>-7.6011750000000003E-2</v>
      </c>
      <c r="W6884">
        <v>-7.647234E-2</v>
      </c>
      <c r="X6884">
        <v>0.99417009999999995</v>
      </c>
      <c r="Y6884">
        <v>-0.48293530000000001</v>
      </c>
      <c r="Z6884">
        <v>3.4556860000000002E-2</v>
      </c>
      <c r="AA6884">
        <v>0.87497389999999997</v>
      </c>
      <c r="AB6884">
        <v>21</v>
      </c>
      <c r="AC6884">
        <v>0.56380000000001396</v>
      </c>
      <c r="AD6884">
        <v>-9.82129999999998E-2</v>
      </c>
      <c r="AE6884">
        <v>0.41889999999999999</v>
      </c>
      <c r="AF6884">
        <v>-0.42133867137908498</v>
      </c>
      <c r="AG6884">
        <v>-9.82129999999998E-2</v>
      </c>
      <c r="AH6884">
        <v>0.54505152576118998</v>
      </c>
      <c r="AI6884">
        <v>98.113491206239402</v>
      </c>
      <c r="AJ6884">
        <v>127.704934001846</v>
      </c>
      <c r="AK6884">
        <v>0.69588306137101397</v>
      </c>
      <c r="AL6884">
        <v>94.385824182310998</v>
      </c>
      <c r="AM6884">
        <v>94.372185138157207</v>
      </c>
      <c r="AN6884">
        <v>0.99999999632857395</v>
      </c>
    </row>
    <row r="6885" spans="1:40" x14ac:dyDescent="0.25">
      <c r="A6885" t="str">
        <f>"20190303154317205"</f>
        <v>20190303154317205</v>
      </c>
      <c r="B6885" t="str">
        <f>"1551598997196818"</f>
        <v>1551598997196818</v>
      </c>
      <c r="C6885" t="s">
        <v>40</v>
      </c>
      <c r="D6885">
        <v>4.4165010000000002</v>
      </c>
      <c r="E6885">
        <v>0.32731519999999997</v>
      </c>
      <c r="F6885" t="s">
        <v>42</v>
      </c>
      <c r="G6885">
        <v>-319.43389999999999</v>
      </c>
      <c r="H6885">
        <v>1.0183260000000001</v>
      </c>
      <c r="I6885">
        <v>17.847349999999999</v>
      </c>
      <c r="J6885">
        <v>-320.09320000000002</v>
      </c>
      <c r="K6885">
        <v>1.11758</v>
      </c>
      <c r="L6885">
        <v>17.436769999999999</v>
      </c>
      <c r="M6885">
        <v>0.9996874</v>
      </c>
      <c r="N6885">
        <v>-1.55867E-2</v>
      </c>
      <c r="O6885">
        <v>-1.954875E-2</v>
      </c>
      <c r="P6885">
        <v>0.99411139999999998</v>
      </c>
      <c r="Q6885">
        <v>-9.137526E-2</v>
      </c>
      <c r="R6885">
        <v>5.8249559999999999E-2</v>
      </c>
      <c r="S6885">
        <v>2.8944399999999999</v>
      </c>
      <c r="T6885">
        <v>-0.377357</v>
      </c>
      <c r="U6885">
        <v>1.5436099999999999</v>
      </c>
      <c r="V6885">
        <v>-7.7812610000000004E-2</v>
      </c>
      <c r="W6885">
        <v>-7.5748280000000001E-2</v>
      </c>
      <c r="X6885">
        <v>0.99408620000000003</v>
      </c>
      <c r="Y6885">
        <v>-0.48396119999999998</v>
      </c>
      <c r="Z6885">
        <v>3.5594239999999999E-2</v>
      </c>
      <c r="AA6885">
        <v>0.87436530000000001</v>
      </c>
      <c r="AB6885">
        <v>21</v>
      </c>
      <c r="AC6885">
        <v>0.65930000000002997</v>
      </c>
      <c r="AD6885">
        <v>-9.9253999999999898E-2</v>
      </c>
      <c r="AE6885">
        <v>0.410579999999996</v>
      </c>
      <c r="AF6885">
        <v>-0.41658851861864998</v>
      </c>
      <c r="AG6885">
        <v>-9.9253999999999898E-2</v>
      </c>
      <c r="AH6885">
        <v>0.64068404937104495</v>
      </c>
      <c r="AI6885">
        <v>97.400001127951597</v>
      </c>
      <c r="AJ6885">
        <v>123.03291241910399</v>
      </c>
      <c r="AK6885">
        <v>0.77063181966446304</v>
      </c>
      <c r="AL6885">
        <v>94.344217949708593</v>
      </c>
      <c r="AM6885">
        <v>94.475730561188797</v>
      </c>
      <c r="AN6885">
        <v>0.99999998861420503</v>
      </c>
    </row>
    <row r="6886" spans="1:40" x14ac:dyDescent="0.25">
      <c r="A6886" t="str">
        <f>"20190303154317216"</f>
        <v>20190303154317216</v>
      </c>
      <c r="B6886" t="str">
        <f>"1551598997207554"</f>
        <v>1551598997207554</v>
      </c>
      <c r="C6886" t="s">
        <v>40</v>
      </c>
      <c r="D6886">
        <v>4.4494860000000003</v>
      </c>
      <c r="E6886">
        <v>0.32688679999999998</v>
      </c>
      <c r="F6886" t="s">
        <v>42</v>
      </c>
      <c r="G6886">
        <v>-319.2602</v>
      </c>
      <c r="H6886">
        <v>1.008486</v>
      </c>
      <c r="I6886">
        <v>17.88233</v>
      </c>
      <c r="J6886">
        <v>-319.98320000000001</v>
      </c>
      <c r="K6886">
        <v>1.1170249999999999</v>
      </c>
      <c r="L6886">
        <v>17.434049999999999</v>
      </c>
      <c r="M6886">
        <v>0.99966529999999998</v>
      </c>
      <c r="N6886">
        <v>-1.638481E-2</v>
      </c>
      <c r="O6886">
        <v>-2.003168E-2</v>
      </c>
      <c r="P6886">
        <v>0.99407389999999995</v>
      </c>
      <c r="Q6886">
        <v>-9.1256000000000004E-2</v>
      </c>
      <c r="R6886">
        <v>5.9072630000000001E-2</v>
      </c>
      <c r="S6886">
        <v>2.892242</v>
      </c>
      <c r="T6886">
        <v>-0.37876589999999999</v>
      </c>
      <c r="U6886">
        <v>1.5474239999999999</v>
      </c>
      <c r="V6886">
        <v>-7.910971E-2</v>
      </c>
      <c r="W6886">
        <v>-7.4837959999999995E-2</v>
      </c>
      <c r="X6886">
        <v>0.99405279999999996</v>
      </c>
      <c r="Y6886">
        <v>-0.485489</v>
      </c>
      <c r="Z6886">
        <v>3.6076160000000003E-2</v>
      </c>
      <c r="AA6886">
        <v>0.87349809999999894</v>
      </c>
      <c r="AB6886">
        <v>21</v>
      </c>
      <c r="AC6886">
        <v>0.72300000000001297</v>
      </c>
      <c r="AD6886">
        <v>-0.108538999999999</v>
      </c>
      <c r="AE6886">
        <v>0.44828000000000001</v>
      </c>
      <c r="AF6886">
        <v>-0.455263720340358</v>
      </c>
      <c r="AG6886">
        <v>-0.108538999999999</v>
      </c>
      <c r="AH6886">
        <v>0.70243901092605199</v>
      </c>
      <c r="AI6886">
        <v>97.388060610450395</v>
      </c>
      <c r="AJ6886">
        <v>122.94801903251501</v>
      </c>
      <c r="AK6886">
        <v>0.84407720834643696</v>
      </c>
      <c r="AL6886">
        <v>94.291911854227095</v>
      </c>
      <c r="AM6886">
        <v>94.550180417465597</v>
      </c>
      <c r="AN6886">
        <v>1.0000000178305399</v>
      </c>
    </row>
    <row r="6887" spans="1:40" x14ac:dyDescent="0.25">
      <c r="A6887" t="str">
        <f>"20190303154317228"</f>
        <v>20190303154317228</v>
      </c>
      <c r="B6887" t="str">
        <f>"1551598997217314"</f>
        <v>1551598997217314</v>
      </c>
      <c r="C6887" t="s">
        <v>40</v>
      </c>
      <c r="D6887">
        <v>4.4433179999999997</v>
      </c>
      <c r="E6887">
        <v>0.32652029999999999</v>
      </c>
      <c r="F6887" t="s">
        <v>42</v>
      </c>
      <c r="G6887">
        <v>-319.07900000000001</v>
      </c>
      <c r="H6887">
        <v>0.9977935</v>
      </c>
      <c r="I6887">
        <v>17.919979999999999</v>
      </c>
      <c r="J6887">
        <v>-319.86810000000003</v>
      </c>
      <c r="K6887">
        <v>1.116376</v>
      </c>
      <c r="L6887">
        <v>17.43112</v>
      </c>
      <c r="M6887">
        <v>0.9996389</v>
      </c>
      <c r="N6887">
        <v>-1.7376099999999998E-2</v>
      </c>
      <c r="O6887">
        <v>-2.049716E-2</v>
      </c>
      <c r="P6887">
        <v>0.99405770000000004</v>
      </c>
      <c r="Q6887">
        <v>-9.1131390000000007E-2</v>
      </c>
      <c r="R6887">
        <v>5.9535780000000003E-2</v>
      </c>
      <c r="S6887">
        <v>2.8905940000000001</v>
      </c>
      <c r="T6887">
        <v>-0.38116220000000001</v>
      </c>
      <c r="U6887">
        <v>1.5531619999999999</v>
      </c>
      <c r="V6887">
        <v>-8.0025869999999999E-2</v>
      </c>
      <c r="W6887">
        <v>-7.373536E-2</v>
      </c>
      <c r="X6887">
        <v>0.9940618</v>
      </c>
      <c r="Y6887">
        <v>-0.48735640000000002</v>
      </c>
      <c r="Z6887">
        <v>3.6702949999999998E-2</v>
      </c>
      <c r="AA6887">
        <v>0.87243150000000003</v>
      </c>
      <c r="AB6887">
        <v>21</v>
      </c>
      <c r="AC6887">
        <v>0.78910000000001901</v>
      </c>
      <c r="AD6887">
        <v>-0.11858249999999999</v>
      </c>
      <c r="AE6887">
        <v>0.48885999999999902</v>
      </c>
      <c r="AF6887">
        <v>-0.49682611922181702</v>
      </c>
      <c r="AG6887">
        <v>-0.11858249999999999</v>
      </c>
      <c r="AH6887">
        <v>0.76640515285488098</v>
      </c>
      <c r="AI6887">
        <v>97.397452350210699</v>
      </c>
      <c r="AJ6887">
        <v>122.953533725599</v>
      </c>
      <c r="AK6887">
        <v>0.92101838221056997</v>
      </c>
      <c r="AL6887">
        <v>94.228562762687702</v>
      </c>
      <c r="AM6887">
        <v>94.602608895828595</v>
      </c>
      <c r="AN6887">
        <v>0.99999995270141195</v>
      </c>
    </row>
    <row r="6888" spans="1:40" x14ac:dyDescent="0.25">
      <c r="A6888" t="str">
        <f>"20190303154317238"</f>
        <v>20190303154317238</v>
      </c>
      <c r="B6888" t="str">
        <f>"1551598997227075"</f>
        <v>1551598997227075</v>
      </c>
      <c r="C6888" t="s">
        <v>40</v>
      </c>
      <c r="D6888">
        <v>4.4057469999999999</v>
      </c>
      <c r="E6888">
        <v>0.32643329999999998</v>
      </c>
      <c r="F6888" t="s">
        <v>42</v>
      </c>
      <c r="G6888">
        <v>-319.06779999999998</v>
      </c>
      <c r="H6888">
        <v>1.0104409999999999</v>
      </c>
      <c r="I6888">
        <v>17.862539999999999</v>
      </c>
      <c r="J6888">
        <v>-319.76799999999997</v>
      </c>
      <c r="K6888">
        <v>1.115799</v>
      </c>
      <c r="L6888">
        <v>17.428619999999999</v>
      </c>
      <c r="M6888">
        <v>0.99961529999999998</v>
      </c>
      <c r="N6888">
        <v>-1.8239749999999999E-2</v>
      </c>
      <c r="O6888">
        <v>-2.0895049999999998E-2</v>
      </c>
      <c r="P6888">
        <v>0.99400109999999997</v>
      </c>
      <c r="Q6888">
        <v>-9.0972319999999995E-2</v>
      </c>
      <c r="R6888">
        <v>6.0711630000000003E-2</v>
      </c>
      <c r="S6888">
        <v>2.889618</v>
      </c>
      <c r="T6888">
        <v>-0.38249470000000002</v>
      </c>
      <c r="U6888">
        <v>1.557404</v>
      </c>
      <c r="V6888">
        <v>-8.1586560000000002E-2</v>
      </c>
      <c r="W6888">
        <v>-7.2725150000000002E-2</v>
      </c>
      <c r="X6888">
        <v>0.99400940000000004</v>
      </c>
      <c r="Y6888">
        <v>-0.4887551</v>
      </c>
      <c r="Z6888">
        <v>3.7167459999999999E-2</v>
      </c>
      <c r="AA6888">
        <v>0.87162890000000004</v>
      </c>
      <c r="AB6888">
        <v>21</v>
      </c>
      <c r="AC6888">
        <v>0.70019999999999505</v>
      </c>
      <c r="AD6888">
        <v>-0.10535799999999999</v>
      </c>
      <c r="AE6888">
        <v>0.43391999999999697</v>
      </c>
      <c r="AF6888">
        <v>-0.441240365649608</v>
      </c>
      <c r="AG6888">
        <v>-0.10535799999999999</v>
      </c>
      <c r="AH6888">
        <v>0.67985736617449399</v>
      </c>
      <c r="AI6888">
        <v>97.406487675281795</v>
      </c>
      <c r="AJ6888">
        <v>122.98433795056999</v>
      </c>
      <c r="AK6888">
        <v>0.81731230676181499</v>
      </c>
      <c r="AL6888">
        <v>94.170525962486394</v>
      </c>
      <c r="AM6888">
        <v>94.692219724992896</v>
      </c>
      <c r="AN6888">
        <v>1.00000000075175</v>
      </c>
    </row>
    <row r="6889" spans="1:40" x14ac:dyDescent="0.25">
      <c r="A6889" t="str">
        <f>"20190303154317252"</f>
        <v>20190303154317252</v>
      </c>
      <c r="B6889" t="str">
        <f>"1551598997247570"</f>
        <v>1551598997247570</v>
      </c>
      <c r="C6889" t="s">
        <v>40</v>
      </c>
      <c r="D6889">
        <v>4.5364690000000003</v>
      </c>
      <c r="E6889">
        <v>0.32597690000000001</v>
      </c>
      <c r="F6889" t="s">
        <v>42</v>
      </c>
      <c r="G6889">
        <v>-318.8879</v>
      </c>
      <c r="H6889">
        <v>0.99910339999999997</v>
      </c>
      <c r="I6889">
        <v>17.904489999999999</v>
      </c>
      <c r="J6889">
        <v>-319.64429999999999</v>
      </c>
      <c r="K6889">
        <v>1.1150310000000001</v>
      </c>
      <c r="L6889">
        <v>17.425450000000001</v>
      </c>
      <c r="M6889">
        <v>0.9995851</v>
      </c>
      <c r="N6889">
        <v>-1.931298E-2</v>
      </c>
      <c r="O6889">
        <v>-2.13694E-2</v>
      </c>
      <c r="P6889">
        <v>0.99394649999999996</v>
      </c>
      <c r="Q6889">
        <v>-9.1054129999999997E-2</v>
      </c>
      <c r="R6889">
        <v>6.1480180000000002E-2</v>
      </c>
      <c r="S6889">
        <v>2.8877259999999998</v>
      </c>
      <c r="T6889">
        <v>-0.3829129</v>
      </c>
      <c r="U6889">
        <v>1.5615540000000001</v>
      </c>
      <c r="V6889">
        <v>-8.2812860000000002E-2</v>
      </c>
      <c r="W6889">
        <v>-7.1752730000000001E-2</v>
      </c>
      <c r="X6889">
        <v>0.99397869999999999</v>
      </c>
      <c r="Y6889">
        <v>-0.49031970000000002</v>
      </c>
      <c r="Z6889">
        <v>3.7635889999999998E-2</v>
      </c>
      <c r="AA6889">
        <v>0.87072959999999999</v>
      </c>
      <c r="AB6889">
        <v>21</v>
      </c>
      <c r="AC6889">
        <v>0.75639999999998497</v>
      </c>
      <c r="AD6889">
        <v>-0.11592759999999901</v>
      </c>
      <c r="AE6889">
        <v>0.47903999999999702</v>
      </c>
      <c r="AF6889">
        <v>-0.48693392471680902</v>
      </c>
      <c r="AG6889">
        <v>-0.11592759999999901</v>
      </c>
      <c r="AH6889">
        <v>0.73368818036656303</v>
      </c>
      <c r="AI6889">
        <v>97.499897664184701</v>
      </c>
      <c r="AJ6889">
        <v>123.57142073969899</v>
      </c>
      <c r="AK6889">
        <v>0.88816789037403998</v>
      </c>
      <c r="AL6889">
        <v>94.114664290094296</v>
      </c>
      <c r="AM6889">
        <v>94.762571296844499</v>
      </c>
      <c r="AN6889">
        <v>1.0000000400487601</v>
      </c>
    </row>
    <row r="6890" spans="1:40" x14ac:dyDescent="0.25">
      <c r="A6890" t="str">
        <f>"20190303154317265"</f>
        <v>20190303154317265</v>
      </c>
      <c r="B6890" t="str">
        <f>"1551598997257330"</f>
        <v>1551598997257330</v>
      </c>
      <c r="C6890" t="s">
        <v>40</v>
      </c>
      <c r="D6890">
        <v>4.5191610000000004</v>
      </c>
      <c r="E6890">
        <v>0.32577279999999997</v>
      </c>
      <c r="F6890" t="s">
        <v>42</v>
      </c>
      <c r="G6890">
        <v>-318.8759</v>
      </c>
      <c r="H6890">
        <v>1.013747</v>
      </c>
      <c r="I6890">
        <v>17.842700000000001</v>
      </c>
      <c r="J6890">
        <v>-319.53019999999998</v>
      </c>
      <c r="K6890">
        <v>1.1142719999999999</v>
      </c>
      <c r="L6890">
        <v>17.422519999999999</v>
      </c>
      <c r="M6890">
        <v>0.99955819999999995</v>
      </c>
      <c r="N6890">
        <v>-2.0235E-2</v>
      </c>
      <c r="O6890">
        <v>-2.177376E-2</v>
      </c>
      <c r="P6890">
        <v>0.99394260000000001</v>
      </c>
      <c r="Q6890">
        <v>-9.0851470000000004E-2</v>
      </c>
      <c r="R6890">
        <v>6.1839280000000003E-2</v>
      </c>
      <c r="S6890">
        <v>2.886444</v>
      </c>
      <c r="T6890">
        <v>-0.38049110000000003</v>
      </c>
      <c r="U6890">
        <v>1.567596</v>
      </c>
      <c r="V6890">
        <v>-8.3560739999999994E-2</v>
      </c>
      <c r="W6890">
        <v>-7.0646169999999994E-2</v>
      </c>
      <c r="X6890">
        <v>0.99399530000000003</v>
      </c>
      <c r="Y6890">
        <v>-0.49224489999999999</v>
      </c>
      <c r="Z6890">
        <v>3.7833409999999998E-2</v>
      </c>
      <c r="AA6890">
        <v>0.86963419999999902</v>
      </c>
      <c r="AB6890">
        <v>21</v>
      </c>
      <c r="AC6890">
        <v>0.65429999999997701</v>
      </c>
      <c r="AD6890">
        <v>-0.100524999999999</v>
      </c>
      <c r="AE6890">
        <v>0.420179999999998</v>
      </c>
      <c r="AF6890">
        <v>-0.42719048183173403</v>
      </c>
      <c r="AG6890">
        <v>-0.100524999999999</v>
      </c>
      <c r="AH6890">
        <v>0.63439187662927199</v>
      </c>
      <c r="AI6890">
        <v>97.487846146325893</v>
      </c>
      <c r="AJ6890">
        <v>123.955764899009</v>
      </c>
      <c r="AK6890">
        <v>0.77139486420758496</v>
      </c>
      <c r="AL6890">
        <v>94.051102050467307</v>
      </c>
      <c r="AM6890">
        <v>94.805301517146901</v>
      </c>
      <c r="AN6890">
        <v>0.99999996751355202</v>
      </c>
    </row>
    <row r="6891" spans="1:40" x14ac:dyDescent="0.25">
      <c r="A6891" t="str">
        <f>"20190303154317278"</f>
        <v>20190303154317278</v>
      </c>
      <c r="B6891" t="str">
        <f>"1551598997267089"</f>
        <v>1551598997267089</v>
      </c>
      <c r="C6891" t="s">
        <v>40</v>
      </c>
      <c r="D6891">
        <v>4.568816</v>
      </c>
      <c r="E6891">
        <v>0.32564100000000001</v>
      </c>
      <c r="F6891" t="s">
        <v>42</v>
      </c>
      <c r="G6891">
        <v>-318.69479999999999</v>
      </c>
      <c r="H6891">
        <v>1.0043280000000001</v>
      </c>
      <c r="I6891">
        <v>17.877040000000001</v>
      </c>
      <c r="J6891">
        <v>-319.4058</v>
      </c>
      <c r="K6891">
        <v>1.1134200000000001</v>
      </c>
      <c r="L6891">
        <v>17.419280000000001</v>
      </c>
      <c r="M6891">
        <v>0.99952909999999995</v>
      </c>
      <c r="N6891">
        <v>-2.1197239999999999E-2</v>
      </c>
      <c r="O6891">
        <v>-2.2186000000000001E-2</v>
      </c>
      <c r="P6891">
        <v>0.99390460000000003</v>
      </c>
      <c r="Q6891">
        <v>-9.0866929999999999E-2</v>
      </c>
      <c r="R6891">
        <v>6.2424540000000001E-2</v>
      </c>
      <c r="S6891">
        <v>2.8858950000000001</v>
      </c>
      <c r="T6891">
        <v>-0.37983739999999999</v>
      </c>
      <c r="U6891">
        <v>1.5700069999999999</v>
      </c>
      <c r="V6891">
        <v>-8.4541679999999994E-2</v>
      </c>
      <c r="W6891">
        <v>-6.9720309999999994E-2</v>
      </c>
      <c r="X6891">
        <v>0.99397780000000002</v>
      </c>
      <c r="Y6891">
        <v>-0.49320839999999999</v>
      </c>
      <c r="Z6891">
        <v>3.8124039999999998E-2</v>
      </c>
      <c r="AA6891">
        <v>0.86907540000000005</v>
      </c>
      <c r="AB6891">
        <v>21</v>
      </c>
      <c r="AC6891">
        <v>0.71100000000001196</v>
      </c>
      <c r="AD6891">
        <v>-0.109091999999999</v>
      </c>
      <c r="AE6891">
        <v>0.45776</v>
      </c>
      <c r="AF6891">
        <v>-0.465674691520643</v>
      </c>
      <c r="AG6891">
        <v>-0.109091999999999</v>
      </c>
      <c r="AH6891">
        <v>0.68919625132780904</v>
      </c>
      <c r="AI6891">
        <v>97.472044637383107</v>
      </c>
      <c r="AJ6891">
        <v>124.04602575282701</v>
      </c>
      <c r="AK6891">
        <v>0.83889537823923599</v>
      </c>
      <c r="AL6891">
        <v>93.997922744497302</v>
      </c>
      <c r="AM6891">
        <v>94.8615285141817</v>
      </c>
      <c r="AN6891">
        <v>1.00000004208827</v>
      </c>
    </row>
    <row r="6892" spans="1:40" x14ac:dyDescent="0.25">
      <c r="A6892" t="str">
        <f>"20190303154317296"</f>
        <v>20190303154317296</v>
      </c>
      <c r="B6892" t="str">
        <f>"1551598997287586"</f>
        <v>1551598997287586</v>
      </c>
      <c r="C6892" t="s">
        <v>40</v>
      </c>
      <c r="D6892">
        <v>4.5954819999999996</v>
      </c>
      <c r="E6892">
        <v>0.32538489999999998</v>
      </c>
      <c r="F6892" t="s">
        <v>42</v>
      </c>
      <c r="G6892">
        <v>-318.5129</v>
      </c>
      <c r="H6892">
        <v>0.99566299999999996</v>
      </c>
      <c r="I6892">
        <v>17.905950000000001</v>
      </c>
      <c r="J6892">
        <v>-319.23329999999999</v>
      </c>
      <c r="K6892">
        <v>1.1122050000000001</v>
      </c>
      <c r="L6892">
        <v>17.41489</v>
      </c>
      <c r="M6892">
        <v>0.99949239999999995</v>
      </c>
      <c r="N6892">
        <v>-2.2420570000000001E-2</v>
      </c>
      <c r="O6892">
        <v>-2.2636079999999999E-2</v>
      </c>
      <c r="P6892">
        <v>0.99380950000000001</v>
      </c>
      <c r="Q6892">
        <v>-9.0643639999999998E-2</v>
      </c>
      <c r="R6892">
        <v>6.4239920000000006E-2</v>
      </c>
      <c r="S6892">
        <v>2.8847659999999999</v>
      </c>
      <c r="T6892">
        <v>-0.38044539999999999</v>
      </c>
      <c r="U6892">
        <v>1.5727230000000001</v>
      </c>
      <c r="V6892">
        <v>-8.6782819999999997E-2</v>
      </c>
      <c r="W6892">
        <v>-6.8304309999999993E-2</v>
      </c>
      <c r="X6892">
        <v>0.99388290000000001</v>
      </c>
      <c r="Y6892">
        <v>-0.494313</v>
      </c>
      <c r="Z6892">
        <v>3.8607000000000002E-2</v>
      </c>
      <c r="AA6892">
        <v>0.86842629999999998</v>
      </c>
      <c r="AB6892">
        <v>21</v>
      </c>
      <c r="AC6892">
        <v>0.72039999999998305</v>
      </c>
      <c r="AD6892">
        <v>-0.11654199999999899</v>
      </c>
      <c r="AE6892">
        <v>0.491060000000001</v>
      </c>
      <c r="AF6892">
        <v>-0.49834070643685602</v>
      </c>
      <c r="AG6892">
        <v>-0.11654199999999899</v>
      </c>
      <c r="AH6892">
        <v>0.69664887037789902</v>
      </c>
      <c r="AI6892">
        <v>97.748150330983194</v>
      </c>
      <c r="AJ6892">
        <v>125.577651248338</v>
      </c>
      <c r="AK6892">
        <v>0.86443342488290498</v>
      </c>
      <c r="AL6892">
        <v>93.916598275841807</v>
      </c>
      <c r="AM6892">
        <v>94.9902359289716</v>
      </c>
      <c r="AN6892">
        <v>0.99999997776206895</v>
      </c>
    </row>
    <row r="6893" spans="1:40" x14ac:dyDescent="0.25">
      <c r="A6893" t="str">
        <f>"20190303154317318"</f>
        <v>20190303154317318</v>
      </c>
      <c r="B6893" t="str">
        <f>"1551598997307105"</f>
        <v>1551598997307105</v>
      </c>
      <c r="C6893" t="s">
        <v>40</v>
      </c>
      <c r="D6893">
        <v>4.6037980000000003</v>
      </c>
      <c r="E6893">
        <v>0.32518979999999997</v>
      </c>
      <c r="F6893" t="s">
        <v>42</v>
      </c>
      <c r="G6893">
        <v>-318.327</v>
      </c>
      <c r="H6893">
        <v>0.99231259999999999</v>
      </c>
      <c r="I6893">
        <v>17.9117</v>
      </c>
      <c r="J6893">
        <v>-319.02670000000001</v>
      </c>
      <c r="K6893">
        <v>1.1107880000000001</v>
      </c>
      <c r="L6893">
        <v>17.40964</v>
      </c>
      <c r="M6893">
        <v>0.99945269999999997</v>
      </c>
      <c r="N6893">
        <v>-2.380639E-2</v>
      </c>
      <c r="O6893">
        <v>-2.2967439999999999E-2</v>
      </c>
      <c r="P6893">
        <v>0.99362110000000003</v>
      </c>
      <c r="Q6893">
        <v>-9.1345519999999999E-2</v>
      </c>
      <c r="R6893">
        <v>6.6128049999999994E-2</v>
      </c>
      <c r="S6893">
        <v>2.8817750000000002</v>
      </c>
      <c r="T6893">
        <v>-0.38123059999999998</v>
      </c>
      <c r="U6893">
        <v>1.580017</v>
      </c>
      <c r="V6893">
        <v>-8.8974139999999993E-2</v>
      </c>
      <c r="W6893">
        <v>-6.7660429999999994E-2</v>
      </c>
      <c r="X6893">
        <v>0.99373319999999998</v>
      </c>
      <c r="Y6893">
        <v>-0.49659059999999999</v>
      </c>
      <c r="Z6893">
        <v>3.9230830000000001E-2</v>
      </c>
      <c r="AA6893">
        <v>0.86709789999999998</v>
      </c>
      <c r="AB6893">
        <v>21</v>
      </c>
      <c r="AC6893">
        <v>0.69970000000000698</v>
      </c>
      <c r="AD6893">
        <v>-0.118475399999999</v>
      </c>
      <c r="AE6893">
        <v>0.50205999999999995</v>
      </c>
      <c r="AF6893">
        <v>-0.50838070803624003</v>
      </c>
      <c r="AG6893">
        <v>-0.118475399999999</v>
      </c>
      <c r="AH6893">
        <v>0.67520209254612595</v>
      </c>
      <c r="AI6893">
        <v>97.979488717546602</v>
      </c>
      <c r="AJ6893">
        <v>126.977230808296</v>
      </c>
      <c r="AK6893">
        <v>0.85345487899903505</v>
      </c>
      <c r="AL6893">
        <v>93.879621027559395</v>
      </c>
      <c r="AM6893">
        <v>95.116348605390499</v>
      </c>
      <c r="AN6893">
        <v>1.00000000207938</v>
      </c>
    </row>
    <row r="6894" spans="1:40" x14ac:dyDescent="0.25">
      <c r="A6894" t="str">
        <f>"20190303154317339"</f>
        <v>20190303154317339</v>
      </c>
      <c r="B6894" t="str">
        <f>"1551598997327602"</f>
        <v>1551598997327602</v>
      </c>
      <c r="C6894" t="s">
        <v>40</v>
      </c>
      <c r="D6894">
        <v>4.6534399999999998</v>
      </c>
      <c r="E6894">
        <v>0.32506990000000002</v>
      </c>
      <c r="F6894" t="s">
        <v>42</v>
      </c>
      <c r="G6894">
        <v>-318.13819999999998</v>
      </c>
      <c r="H6894">
        <v>0.99224869999999998</v>
      </c>
      <c r="I6894">
        <v>17.89949</v>
      </c>
      <c r="J6894">
        <v>-318.83109999999999</v>
      </c>
      <c r="K6894">
        <v>1.109502</v>
      </c>
      <c r="L6894">
        <v>17.404789999999998</v>
      </c>
      <c r="M6894">
        <v>0.99941899999999995</v>
      </c>
      <c r="N6894">
        <v>-2.5048049999999999E-2</v>
      </c>
      <c r="O6894">
        <v>-2.3113370000000001E-2</v>
      </c>
      <c r="P6894">
        <v>0.99343619999999999</v>
      </c>
      <c r="Q6894">
        <v>-9.2044799999999996E-2</v>
      </c>
      <c r="R6894">
        <v>6.7913080000000001E-2</v>
      </c>
      <c r="S6894">
        <v>2.8783259999999999</v>
      </c>
      <c r="T6894">
        <v>-0.38398840000000001</v>
      </c>
      <c r="U6894">
        <v>1.586884</v>
      </c>
      <c r="V6894">
        <v>-9.0878609999999999E-2</v>
      </c>
      <c r="W6894">
        <v>-6.715807E-2</v>
      </c>
      <c r="X6894">
        <v>0.99359489999999995</v>
      </c>
      <c r="Y6894">
        <v>-0.49862770000000001</v>
      </c>
      <c r="Z6894">
        <v>3.9964899999999998E-2</v>
      </c>
      <c r="AA6894">
        <v>0.86589450000000001</v>
      </c>
      <c r="AB6894">
        <v>21</v>
      </c>
      <c r="AC6894">
        <v>0.69290000000000795</v>
      </c>
      <c r="AD6894">
        <v>-0.1172533</v>
      </c>
      <c r="AE6894">
        <v>0.49470000000000097</v>
      </c>
      <c r="AF6894">
        <v>-0.50108375879594402</v>
      </c>
      <c r="AG6894">
        <v>-0.1172533</v>
      </c>
      <c r="AH6894">
        <v>0.66859545354985095</v>
      </c>
      <c r="AI6894">
        <v>97.9884121109408</v>
      </c>
      <c r="AJ6894">
        <v>126.849992877105</v>
      </c>
      <c r="AK6894">
        <v>0.84371390304859395</v>
      </c>
      <c r="AL6894">
        <v>93.850772398302496</v>
      </c>
      <c r="AM6894">
        <v>95.225986178788901</v>
      </c>
      <c r="AN6894">
        <v>0.99999997671383301</v>
      </c>
    </row>
    <row r="6895" spans="1:40" x14ac:dyDescent="0.25">
      <c r="A6895" t="str">
        <f>"20190303154317361"</f>
        <v>20190303154317361</v>
      </c>
      <c r="B6895" t="str">
        <f>"1551598997356882"</f>
        <v>1551598997356882</v>
      </c>
      <c r="C6895" t="s">
        <v>40</v>
      </c>
      <c r="D6895">
        <v>4.7266380000000003</v>
      </c>
      <c r="E6895">
        <v>0.32507849999999999</v>
      </c>
      <c r="F6895" t="s">
        <v>42</v>
      </c>
      <c r="G6895">
        <v>-317.95080000000002</v>
      </c>
      <c r="H6895">
        <v>0.99123300000000003</v>
      </c>
      <c r="I6895">
        <v>17.89237</v>
      </c>
      <c r="J6895">
        <v>-318.6173</v>
      </c>
      <c r="K6895">
        <v>1.1081650000000001</v>
      </c>
      <c r="L6895">
        <v>17.3996</v>
      </c>
      <c r="M6895">
        <v>0.99939009999999995</v>
      </c>
      <c r="N6895">
        <v>-2.618676E-2</v>
      </c>
      <c r="O6895">
        <v>-2.310388E-2</v>
      </c>
      <c r="P6895">
        <v>0.99317739999999999</v>
      </c>
      <c r="Q6895">
        <v>-9.3044550000000004E-2</v>
      </c>
      <c r="R6895">
        <v>7.0296880000000006E-2</v>
      </c>
      <c r="S6895">
        <v>2.8751220000000002</v>
      </c>
      <c r="T6895">
        <v>-0.38631710000000002</v>
      </c>
      <c r="U6895">
        <v>1.5929869999999999</v>
      </c>
      <c r="V6895">
        <v>-9.3224639999999998E-2</v>
      </c>
      <c r="W6895">
        <v>-6.7064849999999995E-2</v>
      </c>
      <c r="X6895">
        <v>0.99338380000000004</v>
      </c>
      <c r="Y6895">
        <v>-0.50033430000000001</v>
      </c>
      <c r="Z6895">
        <v>4.0599179999999999E-2</v>
      </c>
      <c r="AA6895">
        <v>0.86487990000000003</v>
      </c>
      <c r="AB6895">
        <v>21</v>
      </c>
      <c r="AC6895">
        <v>0.66649999999998499</v>
      </c>
      <c r="AD6895">
        <v>-0.11693199999999999</v>
      </c>
      <c r="AE6895">
        <v>0.49276999999999999</v>
      </c>
      <c r="AF6895">
        <v>-0.49812896843793197</v>
      </c>
      <c r="AG6895">
        <v>-0.11693199999999999</v>
      </c>
      <c r="AH6895">
        <v>0.64215346367223003</v>
      </c>
      <c r="AI6895">
        <v>98.187502510203998</v>
      </c>
      <c r="AJ6895">
        <v>127.801319321145</v>
      </c>
      <c r="AK6895">
        <v>0.82107650844929203</v>
      </c>
      <c r="AL6895">
        <v>93.845419316364499</v>
      </c>
      <c r="AM6895">
        <v>95.361251390207201</v>
      </c>
      <c r="AN6895">
        <v>0.99999995085554405</v>
      </c>
    </row>
    <row r="6896" spans="1:40" x14ac:dyDescent="0.25">
      <c r="A6896" t="str">
        <f>"20190303154317374"</f>
        <v>20190303154317374</v>
      </c>
      <c r="B6896" t="str">
        <f>"1551598997367618"</f>
        <v>1551598997367618</v>
      </c>
      <c r="C6896" t="s">
        <v>40</v>
      </c>
      <c r="D6896">
        <v>4.7183979999999996</v>
      </c>
      <c r="E6896">
        <v>0.32495770000000002</v>
      </c>
      <c r="F6896" t="s">
        <v>42</v>
      </c>
      <c r="G6896">
        <v>-317.76100000000002</v>
      </c>
      <c r="H6896">
        <v>0.99165009999999998</v>
      </c>
      <c r="I6896">
        <v>17.876709999999999</v>
      </c>
      <c r="J6896">
        <v>-318.49770000000001</v>
      </c>
      <c r="K6896">
        <v>1.1074219999999999</v>
      </c>
      <c r="L6896">
        <v>17.396789999999999</v>
      </c>
      <c r="M6896">
        <v>0.9993803</v>
      </c>
      <c r="N6896">
        <v>-2.662747E-2</v>
      </c>
      <c r="O6896">
        <v>-2.3025919999999998E-2</v>
      </c>
      <c r="P6896">
        <v>0.99301980000000001</v>
      </c>
      <c r="Q6896">
        <v>-9.3684809999999993E-2</v>
      </c>
      <c r="R6896">
        <v>7.1661580000000002E-2</v>
      </c>
      <c r="S6896">
        <v>2.8707889999999998</v>
      </c>
      <c r="T6896">
        <v>-0.39062829999999998</v>
      </c>
      <c r="U6896">
        <v>1.5998540000000001</v>
      </c>
      <c r="V6896">
        <v>-9.4494949999999994E-2</v>
      </c>
      <c r="W6896">
        <v>-6.7290340000000004E-2</v>
      </c>
      <c r="X6896">
        <v>0.99324860000000004</v>
      </c>
      <c r="Y6896">
        <v>-0.50227339999999998</v>
      </c>
      <c r="Z6896">
        <v>4.1260779999999997E-2</v>
      </c>
      <c r="AA6896">
        <v>0.86372389999999999</v>
      </c>
      <c r="AB6896">
        <v>21</v>
      </c>
      <c r="AC6896">
        <v>0.73670000000004099</v>
      </c>
      <c r="AD6896">
        <v>-0.115771899999999</v>
      </c>
      <c r="AE6896">
        <v>0.47991999999999901</v>
      </c>
      <c r="AF6896">
        <v>-0.48829581153990098</v>
      </c>
      <c r="AG6896">
        <v>-0.115771899999999</v>
      </c>
      <c r="AH6896">
        <v>0.71308653551696</v>
      </c>
      <c r="AI6896">
        <v>97.629735735606403</v>
      </c>
      <c r="AJ6896">
        <v>124.40192933842</v>
      </c>
      <c r="AK6896">
        <v>0.87196808401030501</v>
      </c>
      <c r="AL6896">
        <v>93.858367874390495</v>
      </c>
      <c r="AM6896">
        <v>95.434606457639802</v>
      </c>
      <c r="AN6896">
        <v>1.00000003341738</v>
      </c>
    </row>
    <row r="6897" spans="1:40" x14ac:dyDescent="0.25">
      <c r="A6897" t="str">
        <f>"20190303154317386"</f>
        <v>20190303154317386</v>
      </c>
      <c r="B6897" t="str">
        <f>"1551598997377378"</f>
        <v>1551598997377378</v>
      </c>
      <c r="C6897" t="s">
        <v>40</v>
      </c>
      <c r="D6897">
        <v>4.7532259999999997</v>
      </c>
      <c r="E6897">
        <v>0.3247565</v>
      </c>
      <c r="F6897" t="s">
        <v>42</v>
      </c>
      <c r="G6897">
        <v>-317.7491</v>
      </c>
      <c r="H6897">
        <v>1.0046729999999999</v>
      </c>
      <c r="I6897">
        <v>17.8155</v>
      </c>
      <c r="J6897">
        <v>-318.39150000000001</v>
      </c>
      <c r="K6897">
        <v>1.106754</v>
      </c>
      <c r="L6897">
        <v>17.394410000000001</v>
      </c>
      <c r="M6897">
        <v>0.99937670000000001</v>
      </c>
      <c r="N6897">
        <v>-2.6883509999999999E-2</v>
      </c>
      <c r="O6897">
        <v>-2.287867E-2</v>
      </c>
      <c r="P6897">
        <v>0.99283520000000003</v>
      </c>
      <c r="Q6897">
        <v>-9.4419199999999995E-2</v>
      </c>
      <c r="R6897">
        <v>7.3235839999999996E-2</v>
      </c>
      <c r="S6897">
        <v>2.8682249999999998</v>
      </c>
      <c r="T6897">
        <v>-0.3936441</v>
      </c>
      <c r="U6897">
        <v>1.6044620000000001</v>
      </c>
      <c r="V6897">
        <v>-9.5906770000000002E-2</v>
      </c>
      <c r="W6897">
        <v>-6.7793499999999896E-2</v>
      </c>
      <c r="X6897">
        <v>0.99307900000000005</v>
      </c>
      <c r="Y6897">
        <v>-0.5034476</v>
      </c>
      <c r="Z6897">
        <v>4.1684680000000002E-2</v>
      </c>
      <c r="AA6897">
        <v>0.8630196</v>
      </c>
      <c r="AB6897">
        <v>21</v>
      </c>
      <c r="AC6897">
        <v>0.64240000000000896</v>
      </c>
      <c r="AD6897">
        <v>-0.10208100000000001</v>
      </c>
      <c r="AE6897">
        <v>0.42108999999999902</v>
      </c>
      <c r="AF6897">
        <v>-0.42812076843276398</v>
      </c>
      <c r="AG6897">
        <v>-0.10208100000000001</v>
      </c>
      <c r="AH6897">
        <v>0.62161524895869102</v>
      </c>
      <c r="AI6897">
        <v>97.702291186660403</v>
      </c>
      <c r="AJ6897">
        <v>124.556081457765</v>
      </c>
      <c r="AK6897">
        <v>0.76165178438866399</v>
      </c>
      <c r="AL6897">
        <v>93.887262995065399</v>
      </c>
      <c r="AM6897">
        <v>95.516242344165804</v>
      </c>
      <c r="AN6897">
        <v>0.99999998370754095</v>
      </c>
    </row>
    <row r="6898" spans="1:40" x14ac:dyDescent="0.25">
      <c r="A6898" t="str">
        <f>"20190303154317396"</f>
        <v>20190303154317396</v>
      </c>
      <c r="B6898" t="str">
        <f>"1551598997387138"</f>
        <v>1551598997387138</v>
      </c>
      <c r="C6898" t="s">
        <v>40</v>
      </c>
      <c r="D6898">
        <v>4.7636909999999997</v>
      </c>
      <c r="E6898">
        <v>0.3246038</v>
      </c>
      <c r="F6898" t="s">
        <v>42</v>
      </c>
      <c r="G6898">
        <v>-317.56990000000002</v>
      </c>
      <c r="H6898">
        <v>0.99277729999999997</v>
      </c>
      <c r="I6898">
        <v>17.856200000000001</v>
      </c>
      <c r="J6898">
        <v>-318.28309999999999</v>
      </c>
      <c r="K6898">
        <v>1.106066</v>
      </c>
      <c r="L6898">
        <v>17.391999999999999</v>
      </c>
      <c r="M6898">
        <v>0.99937450000000005</v>
      </c>
      <c r="N6898">
        <v>-2.7117829999999999E-2</v>
      </c>
      <c r="O6898">
        <v>-2.2703000000000001E-2</v>
      </c>
      <c r="P6898">
        <v>0.99261100000000002</v>
      </c>
      <c r="Q6898">
        <v>-9.4966930000000005E-2</v>
      </c>
      <c r="R6898">
        <v>7.553232E-2</v>
      </c>
      <c r="S6898">
        <v>2.8650509999999998</v>
      </c>
      <c r="T6898">
        <v>-0.39747949999999999</v>
      </c>
      <c r="U6898">
        <v>1.6105959999999999</v>
      </c>
      <c r="V6898">
        <v>-9.8010079999999999E-2</v>
      </c>
      <c r="W6898">
        <v>-6.8135169999999995E-2</v>
      </c>
      <c r="X6898">
        <v>0.99285020000000002</v>
      </c>
      <c r="Y6898">
        <v>-0.50500210000000001</v>
      </c>
      <c r="Z6898">
        <v>4.2207630000000003E-2</v>
      </c>
      <c r="AA6898">
        <v>0.86208549999999995</v>
      </c>
      <c r="AB6898">
        <v>21</v>
      </c>
      <c r="AC6898">
        <v>0.71319999999997197</v>
      </c>
      <c r="AD6898">
        <v>-0.11328869999999901</v>
      </c>
      <c r="AE6898">
        <v>0.464200000000001</v>
      </c>
      <c r="AF6898">
        <v>-0.47191396390887902</v>
      </c>
      <c r="AG6898">
        <v>-0.11328869999999901</v>
      </c>
      <c r="AH6898">
        <v>0.69023986291151795</v>
      </c>
      <c r="AI6898">
        <v>97.716004063012306</v>
      </c>
      <c r="AJ6898">
        <v>124.36024476871</v>
      </c>
      <c r="AK6898">
        <v>0.84378207330565602</v>
      </c>
      <c r="AL6898">
        <v>93.906884752664496</v>
      </c>
      <c r="AM6898">
        <v>95.637737650786903</v>
      </c>
      <c r="AN6898">
        <v>0.99999994840628603</v>
      </c>
    </row>
    <row r="6899" spans="1:40" x14ac:dyDescent="0.25">
      <c r="A6899" t="str">
        <f>"20190303154317408"</f>
        <v>20190303154317408</v>
      </c>
      <c r="B6899" t="str">
        <f>"1551598997396899"</f>
        <v>1551598997396899</v>
      </c>
      <c r="C6899" t="s">
        <v>40</v>
      </c>
      <c r="D6899">
        <v>4.7346009999999996</v>
      </c>
      <c r="E6899">
        <v>0.32443880000000003</v>
      </c>
      <c r="F6899" t="s">
        <v>42</v>
      </c>
      <c r="G6899">
        <v>-317.39100000000002</v>
      </c>
      <c r="H6899">
        <v>0.98128309999999996</v>
      </c>
      <c r="I6899">
        <v>17.89649</v>
      </c>
      <c r="J6899">
        <v>-318.1705</v>
      </c>
      <c r="K6899">
        <v>1.1053569999999999</v>
      </c>
      <c r="L6899">
        <v>17.38965</v>
      </c>
      <c r="M6899">
        <v>0.99937569999999998</v>
      </c>
      <c r="N6899">
        <v>-2.7314930000000001E-2</v>
      </c>
      <c r="O6899">
        <v>-2.2411090000000002E-2</v>
      </c>
      <c r="P6899">
        <v>0.99237819999999999</v>
      </c>
      <c r="Q6899">
        <v>-9.569445E-2</v>
      </c>
      <c r="R6899">
        <v>7.7643539999999997E-2</v>
      </c>
      <c r="S6899">
        <v>2.8609010000000001</v>
      </c>
      <c r="T6899">
        <v>-0.40017009999999997</v>
      </c>
      <c r="U6899">
        <v>1.6184689999999999</v>
      </c>
      <c r="V6899">
        <v>-9.9808880000000003E-2</v>
      </c>
      <c r="W6899">
        <v>-6.8699529999999995E-2</v>
      </c>
      <c r="X6899">
        <v>0.99263219999999996</v>
      </c>
      <c r="Y6899">
        <v>-0.50699689999999997</v>
      </c>
      <c r="Z6899">
        <v>4.2651599999999998E-2</v>
      </c>
      <c r="AA6899">
        <v>0.86089189999999904</v>
      </c>
      <c r="AB6899">
        <v>21</v>
      </c>
      <c r="AC6899">
        <v>0.77950000000004105</v>
      </c>
      <c r="AD6899">
        <v>-0.124073899999999</v>
      </c>
      <c r="AE6899">
        <v>0.50683999999999996</v>
      </c>
      <c r="AF6899">
        <v>-0.51501761898279796</v>
      </c>
      <c r="AG6899">
        <v>-0.124073899999999</v>
      </c>
      <c r="AH6899">
        <v>0.75450547109611099</v>
      </c>
      <c r="AI6899">
        <v>97.734547447805397</v>
      </c>
      <c r="AJ6899">
        <v>124.317040287802</v>
      </c>
      <c r="AK6899">
        <v>0.92190888185215203</v>
      </c>
      <c r="AL6899">
        <v>93.939295702600106</v>
      </c>
      <c r="AM6899">
        <v>95.741775666768902</v>
      </c>
      <c r="AN6899">
        <v>1.00000006121295</v>
      </c>
    </row>
    <row r="6900" spans="1:40" x14ac:dyDescent="0.25">
      <c r="A6900" t="str">
        <f>"20190303154317420"</f>
        <v>20190303154317420</v>
      </c>
      <c r="B6900" t="str">
        <f>"1551598997417394"</f>
        <v>1551598997417394</v>
      </c>
      <c r="C6900" t="s">
        <v>40</v>
      </c>
      <c r="D6900">
        <v>4.7967839999999997</v>
      </c>
      <c r="E6900">
        <v>0.32425500000000002</v>
      </c>
      <c r="F6900" t="s">
        <v>42</v>
      </c>
      <c r="G6900">
        <v>-317.37979999999999</v>
      </c>
      <c r="H6900">
        <v>0.99374589999999996</v>
      </c>
      <c r="I6900">
        <v>17.839410000000001</v>
      </c>
      <c r="J6900">
        <v>-318.06939999999997</v>
      </c>
      <c r="K6900">
        <v>1.1047149999999999</v>
      </c>
      <c r="L6900">
        <v>17.387629999999898</v>
      </c>
      <c r="M6900">
        <v>0.99937810000000005</v>
      </c>
      <c r="N6900">
        <v>-2.7475699999999999E-2</v>
      </c>
      <c r="O6900">
        <v>-2.2099839999999999E-2</v>
      </c>
      <c r="P6900">
        <v>0.99213799999999996</v>
      </c>
      <c r="Q6900">
        <v>-9.6347050000000004E-2</v>
      </c>
      <c r="R6900">
        <v>7.9872319999999997E-2</v>
      </c>
      <c r="S6900">
        <v>2.8569640000000001</v>
      </c>
      <c r="T6900">
        <v>-0.40328550000000002</v>
      </c>
      <c r="U6900">
        <v>1.625793</v>
      </c>
      <c r="V6900">
        <v>-0.1017058</v>
      </c>
      <c r="W6900">
        <v>-6.9225869999999995E-2</v>
      </c>
      <c r="X6900">
        <v>0.99240300000000004</v>
      </c>
      <c r="Y6900">
        <v>-0.5088123</v>
      </c>
      <c r="Z6900">
        <v>4.3108870000000001E-2</v>
      </c>
      <c r="AA6900">
        <v>0.85979749999999999</v>
      </c>
      <c r="AB6900">
        <v>21</v>
      </c>
      <c r="AC6900">
        <v>0.689599999999984</v>
      </c>
      <c r="AD6900">
        <v>-0.110969099999999</v>
      </c>
      <c r="AE6900">
        <v>0.45178000000000301</v>
      </c>
      <c r="AF6900">
        <v>-0.458606233285905</v>
      </c>
      <c r="AG6900">
        <v>-0.110969099999999</v>
      </c>
      <c r="AH6900">
        <v>0.66735214878319904</v>
      </c>
      <c r="AI6900">
        <v>97.803371513519807</v>
      </c>
      <c r="AJ6900">
        <v>124.496956533042</v>
      </c>
      <c r="AK6900">
        <v>0.81730820921427705</v>
      </c>
      <c r="AL6900">
        <v>93.969524962737495</v>
      </c>
      <c r="AM6900">
        <v>95.851492980109995</v>
      </c>
      <c r="AN6900">
        <v>1.00000000261994</v>
      </c>
    </row>
    <row r="6901" spans="1:40" x14ac:dyDescent="0.25">
      <c r="A6901" t="str">
        <f>"20190303154317438"</f>
        <v>20190303154317438</v>
      </c>
      <c r="B6901" t="str">
        <f>"1551598997427155"</f>
        <v>1551598997427155</v>
      </c>
      <c r="C6901" t="s">
        <v>40</v>
      </c>
      <c r="D6901">
        <v>4.8130040000000003</v>
      </c>
      <c r="E6901">
        <v>0.32413809999999998</v>
      </c>
      <c r="F6901" t="s">
        <v>42</v>
      </c>
      <c r="G6901">
        <v>-317.20249999999999</v>
      </c>
      <c r="H6901">
        <v>0.98131610000000002</v>
      </c>
      <c r="I6901">
        <v>17.884129999999999</v>
      </c>
      <c r="J6901">
        <v>-317.89449999999999</v>
      </c>
      <c r="K6901">
        <v>1.1035649999999999</v>
      </c>
      <c r="L6901">
        <v>17.384399999999999</v>
      </c>
      <c r="M6901">
        <v>0.99938819999999995</v>
      </c>
      <c r="N6901">
        <v>-2.768019E-2</v>
      </c>
      <c r="O6901">
        <v>-2.1380360000000001E-2</v>
      </c>
      <c r="P6901">
        <v>0.99170939999999996</v>
      </c>
      <c r="Q6901">
        <v>-9.7340479999999993E-2</v>
      </c>
      <c r="R6901">
        <v>8.3890580000000006E-2</v>
      </c>
      <c r="S6901">
        <v>2.852814</v>
      </c>
      <c r="T6901">
        <v>-0.40610439999999998</v>
      </c>
      <c r="U6901">
        <v>1.633759</v>
      </c>
      <c r="V6901">
        <v>-0.1049665</v>
      </c>
      <c r="W6901">
        <v>-7.0083290000000006E-2</v>
      </c>
      <c r="X6901">
        <v>0.99200319999999997</v>
      </c>
      <c r="Y6901">
        <v>-0.51045580000000002</v>
      </c>
      <c r="Z6901">
        <v>4.3496350000000003E-2</v>
      </c>
      <c r="AA6901">
        <v>0.85880319999999899</v>
      </c>
      <c r="AB6901">
        <v>21</v>
      </c>
      <c r="AC6901">
        <v>0.69200000000000705</v>
      </c>
      <c r="AD6901">
        <v>-0.12224889999999899</v>
      </c>
      <c r="AE6901">
        <v>0.49972999999999901</v>
      </c>
      <c r="AF6901">
        <v>-0.50407702158332701</v>
      </c>
      <c r="AG6901">
        <v>-0.12224889999999899</v>
      </c>
      <c r="AH6901">
        <v>0.66746232494912405</v>
      </c>
      <c r="AI6901">
        <v>98.315313326194598</v>
      </c>
      <c r="AJ6901">
        <v>127.060620424635</v>
      </c>
      <c r="AK6901">
        <v>0.84530727695082397</v>
      </c>
      <c r="AL6901">
        <v>94.018771167783996</v>
      </c>
      <c r="AM6901">
        <v>96.040143445826303</v>
      </c>
      <c r="AN6901">
        <v>0.99999999123485706</v>
      </c>
    </row>
    <row r="6902" spans="1:40" x14ac:dyDescent="0.25">
      <c r="A6902" t="str">
        <f>"20190303154317449"</f>
        <v>20190303154317449</v>
      </c>
      <c r="B6902" t="str">
        <f>"1551598997436914"</f>
        <v>1551598997436914</v>
      </c>
      <c r="C6902" t="s">
        <v>40</v>
      </c>
      <c r="D6902">
        <v>4.8097529999999997</v>
      </c>
      <c r="E6902">
        <v>0.3240864</v>
      </c>
      <c r="F6902" t="s">
        <v>42</v>
      </c>
      <c r="G6902">
        <v>-317.01850000000002</v>
      </c>
      <c r="H6902">
        <v>0.97754669999999999</v>
      </c>
      <c r="I6902">
        <v>17.89096</v>
      </c>
      <c r="J6902">
        <v>-317.7869</v>
      </c>
      <c r="K6902">
        <v>1.102811</v>
      </c>
      <c r="L6902">
        <v>17.382660000000001</v>
      </c>
      <c r="M6902">
        <v>0.99939999999999996</v>
      </c>
      <c r="N6902">
        <v>-2.7710930000000002E-2</v>
      </c>
      <c r="O6902">
        <v>-2.0784939999999998E-2</v>
      </c>
      <c r="P6902">
        <v>0.9915079</v>
      </c>
      <c r="Q6902">
        <v>-9.7693080000000002E-2</v>
      </c>
      <c r="R6902">
        <v>8.5839730000000003E-2</v>
      </c>
      <c r="S6902">
        <v>2.8456419999999998</v>
      </c>
      <c r="T6902">
        <v>-0.40938210000000003</v>
      </c>
      <c r="U6902">
        <v>1.64621</v>
      </c>
      <c r="V6902">
        <v>-0.10629669999999999</v>
      </c>
      <c r="W6902">
        <v>-7.0448689999999994E-2</v>
      </c>
      <c r="X6902">
        <v>0.99183569999999999</v>
      </c>
      <c r="Y6902">
        <v>-0.51358510000000002</v>
      </c>
      <c r="Z6902">
        <v>4.4039469999999997E-2</v>
      </c>
      <c r="AA6902">
        <v>0.85690769999999905</v>
      </c>
      <c r="AB6902">
        <v>21</v>
      </c>
      <c r="AC6902">
        <v>0.76839999999998498</v>
      </c>
      <c r="AD6902">
        <v>-0.1252643</v>
      </c>
      <c r="AE6902">
        <v>0.50829999999999798</v>
      </c>
      <c r="AF6902">
        <v>-0.51465345039198995</v>
      </c>
      <c r="AG6902">
        <v>-0.1252643</v>
      </c>
      <c r="AH6902">
        <v>0.74391278168780295</v>
      </c>
      <c r="AI6902">
        <v>97.884011886340701</v>
      </c>
      <c r="AJ6902">
        <v>124.676244829006</v>
      </c>
      <c r="AK6902">
        <v>0.91321714045091995</v>
      </c>
      <c r="AL6902">
        <v>94.039758760340504</v>
      </c>
      <c r="AM6902">
        <v>96.117136346579798</v>
      </c>
      <c r="AN6902">
        <v>1.00000003107404</v>
      </c>
    </row>
    <row r="6903" spans="1:40" x14ac:dyDescent="0.25">
      <c r="A6903" t="str">
        <f>"20190303154317462"</f>
        <v>20190303154317462</v>
      </c>
      <c r="B6903" t="str">
        <f>"1551598997457410"</f>
        <v>1551598997457410</v>
      </c>
      <c r="C6903" t="s">
        <v>40</v>
      </c>
      <c r="D6903">
        <v>4.8678419999999996</v>
      </c>
      <c r="E6903">
        <v>0.32395269999999998</v>
      </c>
      <c r="F6903" t="s">
        <v>42</v>
      </c>
      <c r="G6903">
        <v>-317.00749999999999</v>
      </c>
      <c r="H6903">
        <v>0.99039880000000002</v>
      </c>
      <c r="I6903">
        <v>17.835550000000001</v>
      </c>
      <c r="J6903">
        <v>-317.6737</v>
      </c>
      <c r="K6903">
        <v>1.101969</v>
      </c>
      <c r="L6903">
        <v>17.380979999999902</v>
      </c>
      <c r="M6903">
        <v>0.99941619999999998</v>
      </c>
      <c r="N6903">
        <v>-2.7659630000000001E-2</v>
      </c>
      <c r="O6903">
        <v>-2.0056190000000002E-2</v>
      </c>
      <c r="P6903">
        <v>0.99137540000000002</v>
      </c>
      <c r="Q6903">
        <v>-9.7622130000000001E-2</v>
      </c>
      <c r="R6903">
        <v>8.7435769999999996E-2</v>
      </c>
      <c r="S6903">
        <v>2.8422550000000002</v>
      </c>
      <c r="T6903">
        <v>-0.40994750000000002</v>
      </c>
      <c r="U6903">
        <v>1.6522520000000001</v>
      </c>
      <c r="V6903">
        <v>-0.1071421</v>
      </c>
      <c r="W6903">
        <v>-7.0471989999999998E-2</v>
      </c>
      <c r="X6903">
        <v>0.99174300000000004</v>
      </c>
      <c r="Y6903">
        <v>-0.51474399999999998</v>
      </c>
      <c r="Z6903">
        <v>4.4117030000000002E-2</v>
      </c>
      <c r="AA6903">
        <v>0.85620810000000003</v>
      </c>
      <c r="AB6903">
        <v>21</v>
      </c>
      <c r="AC6903">
        <v>0.66620000000000301</v>
      </c>
      <c r="AD6903">
        <v>-0.111570199999999</v>
      </c>
      <c r="AE6903">
        <v>0.45457000000000303</v>
      </c>
      <c r="AF6903">
        <v>-0.45905992347684699</v>
      </c>
      <c r="AG6903">
        <v>-0.111570199999999</v>
      </c>
      <c r="AH6903">
        <v>0.64460944596825698</v>
      </c>
      <c r="AI6903">
        <v>98.024934003317</v>
      </c>
      <c r="AJ6903">
        <v>125.456645895576</v>
      </c>
      <c r="AK6903">
        <v>0.79919037825921801</v>
      </c>
      <c r="AL6903">
        <v>94.041097388166506</v>
      </c>
      <c r="AM6903">
        <v>96.165985840787897</v>
      </c>
      <c r="AN6903">
        <v>0.99999995450798396</v>
      </c>
    </row>
    <row r="6904" spans="1:40" x14ac:dyDescent="0.25">
      <c r="A6904" t="str">
        <f>"20190303154317473"</f>
        <v>20190303154317473</v>
      </c>
      <c r="B6904" t="str">
        <f>"1551598997467170"</f>
        <v>1551598997467170</v>
      </c>
      <c r="C6904" t="s">
        <v>40</v>
      </c>
      <c r="D6904">
        <v>4.8390519999999997</v>
      </c>
      <c r="E6904">
        <v>0.32392789999999999</v>
      </c>
      <c r="F6904" t="s">
        <v>42</v>
      </c>
      <c r="G6904">
        <v>-316.83010000000002</v>
      </c>
      <c r="H6904">
        <v>0.98035340000000004</v>
      </c>
      <c r="I6904">
        <v>17.87351</v>
      </c>
      <c r="J6904">
        <v>-317.57100000000003</v>
      </c>
      <c r="K6904">
        <v>1.1011679999999999</v>
      </c>
      <c r="L6904">
        <v>17.37961</v>
      </c>
      <c r="M6904">
        <v>0.99943400000000004</v>
      </c>
      <c r="N6904">
        <v>-2.7547720000000001E-2</v>
      </c>
      <c r="O6904">
        <v>-1.9315220000000001E-2</v>
      </c>
      <c r="P6904">
        <v>0.99126219999999998</v>
      </c>
      <c r="Q6904">
        <v>-9.7366750000000002E-2</v>
      </c>
      <c r="R6904">
        <v>8.8989109999999996E-2</v>
      </c>
      <c r="S6904">
        <v>2.839569</v>
      </c>
      <c r="T6904">
        <v>-0.40934179999999998</v>
      </c>
      <c r="U6904">
        <v>1.6578059999999999</v>
      </c>
      <c r="V6904">
        <v>-0.1079359</v>
      </c>
      <c r="W6904">
        <v>-7.0367840000000001E-2</v>
      </c>
      <c r="X6904">
        <v>0.9916644</v>
      </c>
      <c r="Y6904">
        <v>-0.51572129999999905</v>
      </c>
      <c r="Z6904">
        <v>4.405071E-2</v>
      </c>
      <c r="AA6904">
        <v>0.85562320000000003</v>
      </c>
      <c r="AB6904">
        <v>21</v>
      </c>
      <c r="AC6904">
        <v>0.74089999999995304</v>
      </c>
      <c r="AD6904">
        <v>-0.12081459999999999</v>
      </c>
      <c r="AE6904">
        <v>0.49390000000000001</v>
      </c>
      <c r="AF6904">
        <v>-0.49893876327543202</v>
      </c>
      <c r="AG6904">
        <v>-0.12081459999999999</v>
      </c>
      <c r="AH6904">
        <v>0.71800039627587697</v>
      </c>
      <c r="AI6904">
        <v>97.867232163675197</v>
      </c>
      <c r="AJ6904">
        <v>124.795452381998</v>
      </c>
      <c r="AK6904">
        <v>0.882644110683516</v>
      </c>
      <c r="AL6904">
        <v>94.035114848550805</v>
      </c>
      <c r="AM6904">
        <v>96.211801402757999</v>
      </c>
      <c r="AN6904">
        <v>1.0000000368212101</v>
      </c>
    </row>
    <row r="6905" spans="1:40" x14ac:dyDescent="0.25">
      <c r="A6905" t="str">
        <f>"20190303154317488"</f>
        <v>20190303154317488</v>
      </c>
      <c r="B6905" t="str">
        <f>"1551598997476930"</f>
        <v>1551598997476930</v>
      </c>
      <c r="C6905" t="s">
        <v>40</v>
      </c>
      <c r="D6905">
        <v>4.8805709999999998</v>
      </c>
      <c r="E6905">
        <v>0.32392789999999999</v>
      </c>
      <c r="F6905" t="s">
        <v>42</v>
      </c>
      <c r="G6905">
        <v>-316.81939999999997</v>
      </c>
      <c r="H6905">
        <v>0.99317350000000004</v>
      </c>
      <c r="I6905">
        <v>17.820029999999999</v>
      </c>
      <c r="J6905">
        <v>-317.43549999999999</v>
      </c>
      <c r="K6905">
        <v>1.1000289999999999</v>
      </c>
      <c r="L6905">
        <v>17.378170000000001</v>
      </c>
      <c r="M6905">
        <v>0.99946389999999996</v>
      </c>
      <c r="N6905">
        <v>-2.7256740000000002E-2</v>
      </c>
      <c r="O6905">
        <v>-1.8148210000000001E-2</v>
      </c>
      <c r="P6905">
        <v>0.99113090000000004</v>
      </c>
      <c r="Q6905">
        <v>-9.6969139999999995E-2</v>
      </c>
      <c r="R6905">
        <v>9.0866749999999996E-2</v>
      </c>
      <c r="S6905">
        <v>2.8371279999999999</v>
      </c>
      <c r="T6905">
        <v>-0.40768189999999999</v>
      </c>
      <c r="U6905">
        <v>1.662598</v>
      </c>
      <c r="V6905">
        <v>-0.10862429999999999</v>
      </c>
      <c r="W6905">
        <v>-7.031105E-2</v>
      </c>
      <c r="X6905">
        <v>0.99159319999999895</v>
      </c>
      <c r="Y6905">
        <v>-0.5161675</v>
      </c>
      <c r="Z6905">
        <v>4.3752989999999999E-2</v>
      </c>
      <c r="AA6905">
        <v>0.85536939999999995</v>
      </c>
      <c r="AB6905">
        <v>21</v>
      </c>
      <c r="AC6905">
        <v>0.61610000000001697</v>
      </c>
      <c r="AD6905">
        <v>-0.10685550000000001</v>
      </c>
      <c r="AE6905">
        <v>0.44185999999999798</v>
      </c>
      <c r="AF6905">
        <v>-0.44414993610748899</v>
      </c>
      <c r="AG6905">
        <v>-0.10685550000000001</v>
      </c>
      <c r="AH6905">
        <v>0.59613500528210495</v>
      </c>
      <c r="AI6905">
        <v>98.179588288052699</v>
      </c>
      <c r="AJ6905">
        <v>126.687925139886</v>
      </c>
      <c r="AK6905">
        <v>0.75104208147562102</v>
      </c>
      <c r="AL6905">
        <v>94.031853178342502</v>
      </c>
      <c r="AM6905">
        <v>96.251552035643698</v>
      </c>
      <c r="AN6905">
        <v>0.999999978294415</v>
      </c>
    </row>
    <row r="6906" spans="1:40" x14ac:dyDescent="0.25">
      <c r="A6906" t="str">
        <f>"20190303154317502"</f>
        <v>20190303154317502</v>
      </c>
      <c r="B6906" t="str">
        <f>"1551598997497426"</f>
        <v>1551598997497426</v>
      </c>
      <c r="C6906" t="s">
        <v>40</v>
      </c>
      <c r="D6906">
        <v>4.7730139999999999</v>
      </c>
      <c r="E6906">
        <v>0.32534990000000003</v>
      </c>
      <c r="F6906" t="s">
        <v>42</v>
      </c>
      <c r="G6906">
        <v>-316.64</v>
      </c>
      <c r="H6906">
        <v>0.98602749999999995</v>
      </c>
      <c r="I6906">
        <v>17.846050000000002</v>
      </c>
      <c r="J6906">
        <v>-317.3039</v>
      </c>
      <c r="K6906">
        <v>1.0988690000000001</v>
      </c>
      <c r="L6906">
        <v>17.377009999999999</v>
      </c>
      <c r="M6906">
        <v>0.99949469999999996</v>
      </c>
      <c r="N6906">
        <v>-2.691027E-2</v>
      </c>
      <c r="O6906">
        <v>-1.6920589999999999E-2</v>
      </c>
      <c r="P6906">
        <v>0.99104760000000003</v>
      </c>
      <c r="Q6906">
        <v>-9.6389900000000001E-2</v>
      </c>
      <c r="R6906">
        <v>9.2379600000000006E-2</v>
      </c>
      <c r="S6906">
        <v>2.8341669999999999</v>
      </c>
      <c r="T6906">
        <v>-0.40616910000000001</v>
      </c>
      <c r="U6906">
        <v>1.6680600000000001</v>
      </c>
      <c r="V6906">
        <v>-0.1088901</v>
      </c>
      <c r="W6906">
        <v>-7.0124420000000007E-2</v>
      </c>
      <c r="X6906">
        <v>0.99157729999999999</v>
      </c>
      <c r="Y6906">
        <v>-0.51677700000000004</v>
      </c>
      <c r="Z6906">
        <v>4.3464570000000001E-2</v>
      </c>
      <c r="AA6906">
        <v>0.855016</v>
      </c>
      <c r="AB6906">
        <v>21</v>
      </c>
      <c r="AC6906">
        <v>0.66390000000001204</v>
      </c>
      <c r="AD6906">
        <v>-0.1128415</v>
      </c>
      <c r="AE6906">
        <v>0.46903999999999901</v>
      </c>
      <c r="AF6906">
        <v>-0.47113151424480698</v>
      </c>
      <c r="AG6906">
        <v>-0.1128415</v>
      </c>
      <c r="AH6906">
        <v>0.64346567608000105</v>
      </c>
      <c r="AI6906">
        <v>98.053507918590896</v>
      </c>
      <c r="AJ6906">
        <v>126.21077360320901</v>
      </c>
      <c r="AK6906">
        <v>0.80544781589495196</v>
      </c>
      <c r="AL6906">
        <v>94.021133459615001</v>
      </c>
      <c r="AM6906">
        <v>96.266827498447398</v>
      </c>
      <c r="AN6906">
        <v>1.00000001501681</v>
      </c>
    </row>
    <row r="6907" spans="1:40" x14ac:dyDescent="0.25">
      <c r="A6907" t="str">
        <f>"20190303154317530"</f>
        <v>20190303154317530</v>
      </c>
      <c r="B6907" t="str">
        <f>"1551598997507186"</f>
        <v>1551598997507186</v>
      </c>
      <c r="C6907" t="s">
        <v>40</v>
      </c>
      <c r="D6907">
        <v>5.003641</v>
      </c>
      <c r="E6907">
        <v>0.43529849999999998</v>
      </c>
      <c r="F6907" t="s">
        <v>42</v>
      </c>
      <c r="G6907">
        <v>-316.46129999999999</v>
      </c>
      <c r="H6907">
        <v>0.97993680000000005</v>
      </c>
      <c r="I6907">
        <v>17.871269999999999</v>
      </c>
      <c r="J6907">
        <v>-317.15350000000001</v>
      </c>
      <c r="K6907">
        <v>1.0974809999999999</v>
      </c>
      <c r="L6907">
        <v>17.37613</v>
      </c>
      <c r="M6907">
        <v>0.99953119999999995</v>
      </c>
      <c r="N6907">
        <v>-2.6457689999999999E-2</v>
      </c>
      <c r="O6907">
        <v>-1.540653E-2</v>
      </c>
      <c r="P6907">
        <v>0.99109179999999997</v>
      </c>
      <c r="Q6907">
        <v>-9.5082689999999997E-2</v>
      </c>
      <c r="R6907">
        <v>9.3256640000000002E-2</v>
      </c>
      <c r="S6907">
        <v>2.8333740000000001</v>
      </c>
      <c r="T6907">
        <v>-0.39990379999999998</v>
      </c>
      <c r="U6907">
        <v>1.661224</v>
      </c>
      <c r="V6907">
        <v>-0.1082371</v>
      </c>
      <c r="W6907">
        <v>-6.9313139999999995E-2</v>
      </c>
      <c r="X6907">
        <v>0.99170579999999997</v>
      </c>
      <c r="Y6907">
        <v>-0.51423019999999997</v>
      </c>
      <c r="Z6907">
        <v>4.2449920000000002E-2</v>
      </c>
      <c r="AA6907">
        <v>0.85660099999999995</v>
      </c>
      <c r="AB6907">
        <v>21</v>
      </c>
      <c r="AC6907">
        <v>0.69220000000001303</v>
      </c>
      <c r="AD6907">
        <v>-0.117544199999999</v>
      </c>
      <c r="AE6907">
        <v>0.49514000000000202</v>
      </c>
      <c r="AF6907">
        <v>-0.49628237608578002</v>
      </c>
      <c r="AG6907">
        <v>-0.117544199999999</v>
      </c>
      <c r="AH6907">
        <v>0.671674050899568</v>
      </c>
      <c r="AI6907">
        <v>98.011727819714096</v>
      </c>
      <c r="AJ6907">
        <v>126.459725078009</v>
      </c>
      <c r="AK6907">
        <v>0.84336164628160704</v>
      </c>
      <c r="AL6907">
        <v>93.974537265192396</v>
      </c>
      <c r="AM6907">
        <v>96.228741645092896</v>
      </c>
      <c r="AN6907">
        <v>0.99999998747335395</v>
      </c>
    </row>
    <row r="6908" spans="1:40" x14ac:dyDescent="0.25">
      <c r="A6908" t="str">
        <f>"20190303154317543"</f>
        <v>20190303154317543</v>
      </c>
      <c r="B6908" t="str">
        <f>"1551598997537443"</f>
        <v>1551598997537443</v>
      </c>
      <c r="C6908" t="s">
        <v>40</v>
      </c>
      <c r="D6908">
        <v>5.2615410000000002</v>
      </c>
      <c r="E6908">
        <v>0.52429740000000002</v>
      </c>
      <c r="F6908" t="s">
        <v>43</v>
      </c>
      <c r="G6908">
        <v>-299.51429999999999</v>
      </c>
      <c r="H6908">
        <v>-0.05</v>
      </c>
      <c r="I6908">
        <v>22.161470000000001</v>
      </c>
      <c r="J6908">
        <v>-316.92489999999998</v>
      </c>
      <c r="K6908">
        <v>1.0951949999999999</v>
      </c>
      <c r="L6908">
        <v>17.375729999999901</v>
      </c>
      <c r="M6908">
        <v>0.99958860000000005</v>
      </c>
      <c r="N6908">
        <v>-2.5695039999999999E-2</v>
      </c>
      <c r="O6908">
        <v>-1.27525E-2</v>
      </c>
      <c r="P6908">
        <v>0.99119930000000001</v>
      </c>
      <c r="Q6908">
        <v>-9.2663380000000004E-2</v>
      </c>
      <c r="R6908">
        <v>9.4538869999999997E-2</v>
      </c>
      <c r="S6908">
        <v>2.9337460000000002</v>
      </c>
      <c r="T6908">
        <v>-0.19084870000000001</v>
      </c>
      <c r="U6908">
        <v>0.79589840000000001</v>
      </c>
      <c r="V6908">
        <v>-0.1068614</v>
      </c>
      <c r="W6908">
        <v>-6.7694920000000006E-2</v>
      </c>
      <c r="X6908">
        <v>0.99196669999999998</v>
      </c>
      <c r="Y6908">
        <v>-0.27334309999999901</v>
      </c>
      <c r="Z6908">
        <v>1.2796739999999999E-2</v>
      </c>
      <c r="AA6908">
        <v>0.96183149999999995</v>
      </c>
      <c r="AB6908">
        <v>21</v>
      </c>
      <c r="AC6908">
        <v>17.410599999999899</v>
      </c>
      <c r="AD6908">
        <v>-1.145195</v>
      </c>
      <c r="AE6908">
        <v>4.7857399999999997</v>
      </c>
      <c r="AF6908">
        <v>-4.9873906854623398</v>
      </c>
      <c r="AG6908">
        <v>-1.145195</v>
      </c>
      <c r="AH6908">
        <v>17.278629357929098</v>
      </c>
      <c r="AI6908">
        <v>93.643587734233293</v>
      </c>
      <c r="AJ6908">
        <v>106.10052215521</v>
      </c>
      <c r="AK6908">
        <v>18.020448660511999</v>
      </c>
      <c r="AL6908">
        <v>93.8816019125521</v>
      </c>
      <c r="AM6908">
        <v>96.148579356122397</v>
      </c>
      <c r="AN6908">
        <v>0.99999994745632603</v>
      </c>
    </row>
    <row r="6909" spans="1:40" x14ac:dyDescent="0.25">
      <c r="A6909" t="str">
        <f>"20190303154317555"</f>
        <v>20190303154317555</v>
      </c>
      <c r="B6909" t="str">
        <f>"1551598997547203"</f>
        <v>1551598997547203</v>
      </c>
      <c r="C6909" t="s">
        <v>40</v>
      </c>
      <c r="D6909">
        <v>5.2925690000000003</v>
      </c>
      <c r="E6909">
        <v>0.52793210000000002</v>
      </c>
      <c r="F6909" t="s">
        <v>43</v>
      </c>
      <c r="G6909">
        <v>-298.86</v>
      </c>
      <c r="H6909">
        <v>-0.05</v>
      </c>
      <c r="I6909">
        <v>17.934940000000001</v>
      </c>
      <c r="J6909">
        <v>-316.8116</v>
      </c>
      <c r="K6909">
        <v>1.094012</v>
      </c>
      <c r="L6909">
        <v>17.375820000000001</v>
      </c>
      <c r="M6909">
        <v>0.99961630000000001</v>
      </c>
      <c r="N6909">
        <v>-2.5285330000000002E-2</v>
      </c>
      <c r="O6909">
        <v>-1.130885E-2</v>
      </c>
      <c r="P6909">
        <v>0.99132310000000001</v>
      </c>
      <c r="Q6909">
        <v>-9.0547810000000006E-2</v>
      </c>
      <c r="R6909">
        <v>9.5288120000000004E-2</v>
      </c>
      <c r="S6909">
        <v>3</v>
      </c>
      <c r="T6909">
        <v>-0.19017980000000001</v>
      </c>
      <c r="U6909">
        <v>9.2864989999999994E-2</v>
      </c>
      <c r="V6909">
        <v>-0.1061782</v>
      </c>
      <c r="W6909">
        <v>-6.599613E-2</v>
      </c>
      <c r="X6909">
        <v>0.9921546</v>
      </c>
      <c r="Y6909">
        <v>-4.2118790000000003E-2</v>
      </c>
      <c r="Z6909">
        <v>2.2971100000000002E-3</v>
      </c>
      <c r="AA6909">
        <v>0.99911000000000005</v>
      </c>
      <c r="AB6909">
        <v>21</v>
      </c>
      <c r="AC6909">
        <v>17.9515999999999</v>
      </c>
      <c r="AD6909">
        <v>-1.144012</v>
      </c>
      <c r="AE6909">
        <v>0.55911999999999995</v>
      </c>
      <c r="AF6909">
        <v>-0.75908130832797904</v>
      </c>
      <c r="AG6909">
        <v>-1.144012</v>
      </c>
      <c r="AH6909">
        <v>17.871616341615798</v>
      </c>
      <c r="AI6909">
        <v>93.659374936600997</v>
      </c>
      <c r="AJ6909">
        <v>92.432126377820595</v>
      </c>
      <c r="AK6909">
        <v>17.924275119253899</v>
      </c>
      <c r="AL6909">
        <v>93.784049914731895</v>
      </c>
      <c r="AM6909">
        <v>96.108419400874993</v>
      </c>
      <c r="AN6909">
        <v>1.00000002481568</v>
      </c>
    </row>
    <row r="6910" spans="1:40" x14ac:dyDescent="0.25">
      <c r="A6910" t="str">
        <f>"20190303154317572"</f>
        <v>20190303154317572</v>
      </c>
      <c r="B6910" t="str">
        <f>"1551598997566725"</f>
        <v>1551598997566725</v>
      </c>
      <c r="C6910" t="s">
        <v>40</v>
      </c>
      <c r="D6910">
        <v>5.1476470000000001</v>
      </c>
      <c r="E6910">
        <v>0.53049809999999997</v>
      </c>
      <c r="F6910" t="s">
        <v>43</v>
      </c>
      <c r="G6910">
        <v>-298.53370000000001</v>
      </c>
      <c r="H6910">
        <v>-0.05</v>
      </c>
      <c r="I6910">
        <v>17.778559999999999</v>
      </c>
      <c r="J6910">
        <v>-316.66109999999998</v>
      </c>
      <c r="K6910">
        <v>1.0923849999999999</v>
      </c>
      <c r="L6910">
        <v>17.3765</v>
      </c>
      <c r="M6910">
        <v>0.99965400000000004</v>
      </c>
      <c r="N6910">
        <v>-2.4658530000000001E-2</v>
      </c>
      <c r="O6910">
        <v>-9.1652580000000008E-3</v>
      </c>
      <c r="P6910">
        <v>0.99166069999999995</v>
      </c>
      <c r="Q6910">
        <v>-8.6169780000000001E-2</v>
      </c>
      <c r="R6910">
        <v>9.5833689999999999E-2</v>
      </c>
      <c r="S6910">
        <v>3.0027469999999998</v>
      </c>
      <c r="T6910">
        <v>-0.1879412</v>
      </c>
      <c r="U6910">
        <v>6.6162109999999996E-2</v>
      </c>
      <c r="V6910">
        <v>-0.10461570000000001</v>
      </c>
      <c r="W6910">
        <v>-6.2230479999999998E-2</v>
      </c>
      <c r="X6910">
        <v>0.9925638</v>
      </c>
      <c r="Y6910">
        <v>-3.110197E-2</v>
      </c>
      <c r="Z6910">
        <v>1.7035129999999901E-3</v>
      </c>
      <c r="AA6910">
        <v>0.99951480000000004</v>
      </c>
      <c r="AB6910">
        <v>21</v>
      </c>
      <c r="AC6910">
        <v>18.127399999999898</v>
      </c>
      <c r="AD6910">
        <v>-1.142385</v>
      </c>
      <c r="AE6910">
        <v>0.40205999999999797</v>
      </c>
      <c r="AF6910">
        <v>-0.56598920284580301</v>
      </c>
      <c r="AG6910">
        <v>-1.142385</v>
      </c>
      <c r="AH6910">
        <v>18.051296675671601</v>
      </c>
      <c r="AI6910">
        <v>93.619387878113201</v>
      </c>
      <c r="AJ6910">
        <v>91.795891589421203</v>
      </c>
      <c r="AK6910">
        <v>18.096262015650499</v>
      </c>
      <c r="AL6910">
        <v>93.567849266840696</v>
      </c>
      <c r="AM6910">
        <v>96.016730453779502</v>
      </c>
      <c r="AN6910">
        <v>0.99999998719897998</v>
      </c>
    </row>
    <row r="6911" spans="1:40" x14ac:dyDescent="0.25">
      <c r="A6911" t="str">
        <f>"20190303154317586"</f>
        <v>20190303154317586</v>
      </c>
      <c r="B6911" t="str">
        <f>"1551598997577459"</f>
        <v>1551598997577459</v>
      </c>
      <c r="C6911" t="s">
        <v>40</v>
      </c>
      <c r="D6911">
        <v>5.127027</v>
      </c>
      <c r="E6911">
        <v>0.53103429999999996</v>
      </c>
      <c r="F6911" t="s">
        <v>43</v>
      </c>
      <c r="G6911">
        <v>-298.25749999999999</v>
      </c>
      <c r="H6911">
        <v>-0.05</v>
      </c>
      <c r="I6911">
        <v>17.665879999999898</v>
      </c>
      <c r="J6911">
        <v>-316.53870000000001</v>
      </c>
      <c r="K6911">
        <v>1.0910660000000001</v>
      </c>
      <c r="L6911">
        <v>17.377320000000001</v>
      </c>
      <c r="M6911">
        <v>0.99968219999999997</v>
      </c>
      <c r="N6911">
        <v>-2.411249E-2</v>
      </c>
      <c r="O6911">
        <v>-7.3496539999999997E-3</v>
      </c>
      <c r="P6911">
        <v>0.99174510000000005</v>
      </c>
      <c r="Q6911">
        <v>-8.4067520000000007E-2</v>
      </c>
      <c r="R6911">
        <v>9.6821320000000002E-2</v>
      </c>
      <c r="S6911">
        <v>3.0044559999999998</v>
      </c>
      <c r="T6911">
        <v>-0.18649789999999999</v>
      </c>
      <c r="U6911">
        <v>4.7241209999999999E-2</v>
      </c>
      <c r="V6911">
        <v>-0.1038097</v>
      </c>
      <c r="W6911">
        <v>-6.0663750000000002E-2</v>
      </c>
      <c r="X6911">
        <v>0.9927454</v>
      </c>
      <c r="Y6911">
        <v>-2.3005439999999999E-2</v>
      </c>
      <c r="Z6911">
        <v>1.269704E-3</v>
      </c>
      <c r="AA6911">
        <v>0.99973449999999997</v>
      </c>
      <c r="AB6911">
        <v>21</v>
      </c>
      <c r="AC6911">
        <v>18.281199999999998</v>
      </c>
      <c r="AD6911">
        <v>-1.1410659999999999</v>
      </c>
      <c r="AE6911">
        <v>0.28855999999999599</v>
      </c>
      <c r="AF6911">
        <v>-0.421310785358115</v>
      </c>
      <c r="AG6911">
        <v>-1.1410659999999999</v>
      </c>
      <c r="AH6911">
        <v>18.2076662367969</v>
      </c>
      <c r="AI6911">
        <v>93.585053063396302</v>
      </c>
      <c r="AJ6911">
        <v>91.325541817798793</v>
      </c>
      <c r="AK6911">
        <v>18.248250441749398</v>
      </c>
      <c r="AL6911">
        <v>93.477912290867906</v>
      </c>
      <c r="AM6911">
        <v>95.969627058671904</v>
      </c>
      <c r="AN6911">
        <v>0.99999998679965596</v>
      </c>
    </row>
    <row r="6912" spans="1:40" x14ac:dyDescent="0.25">
      <c r="A6912" t="str">
        <f>"20190303154317597"</f>
        <v>20190303154317597</v>
      </c>
      <c r="B6912" t="str">
        <f>"1551598997587218"</f>
        <v>1551598997587218</v>
      </c>
      <c r="C6912" t="s">
        <v>40</v>
      </c>
      <c r="D6912">
        <v>5.1196890000000002</v>
      </c>
      <c r="E6912">
        <v>0.531699699999999</v>
      </c>
      <c r="F6912" t="s">
        <v>43</v>
      </c>
      <c r="G6912">
        <v>-298.14830000000001</v>
      </c>
      <c r="H6912">
        <v>-0.05</v>
      </c>
      <c r="I6912">
        <v>17.657869999999999</v>
      </c>
      <c r="J6912">
        <v>-316.42590000000001</v>
      </c>
      <c r="K6912">
        <v>1.0898620000000001</v>
      </c>
      <c r="L6912">
        <v>17.378229999999999</v>
      </c>
      <c r="M6912">
        <v>0.99970570000000003</v>
      </c>
      <c r="N6912">
        <v>-2.3595580000000001E-2</v>
      </c>
      <c r="O6912">
        <v>-5.6536499999999996E-3</v>
      </c>
      <c r="P6912">
        <v>0.99173840000000002</v>
      </c>
      <c r="Q6912">
        <v>-8.32923E-2</v>
      </c>
      <c r="R6912">
        <v>9.7557870000000005E-2</v>
      </c>
      <c r="S6912">
        <v>3.0047000000000001</v>
      </c>
      <c r="T6912">
        <v>-0.18643199999999999</v>
      </c>
      <c r="U6912">
        <v>4.58374E-2</v>
      </c>
      <c r="V6912">
        <v>-0.1028661</v>
      </c>
      <c r="W6912">
        <v>-6.039402E-2</v>
      </c>
      <c r="X6912">
        <v>0.99286010000000002</v>
      </c>
      <c r="Y6912">
        <v>-2.0848240000000001E-2</v>
      </c>
      <c r="Z6912">
        <v>1.1095670000000001E-3</v>
      </c>
      <c r="AA6912">
        <v>0.99978199999999995</v>
      </c>
      <c r="AB6912">
        <v>21</v>
      </c>
      <c r="AC6912">
        <v>18.2776</v>
      </c>
      <c r="AD6912">
        <v>-1.1398619999999999</v>
      </c>
      <c r="AE6912">
        <v>0.279640000000004</v>
      </c>
      <c r="AF6912">
        <v>-0.38151598411894899</v>
      </c>
      <c r="AG6912">
        <v>-1.1398619999999999</v>
      </c>
      <c r="AH6912">
        <v>18.204939249841701</v>
      </c>
      <c r="AI6912">
        <v>93.581987013569901</v>
      </c>
      <c r="AJ6912">
        <v>91.2005564076713</v>
      </c>
      <c r="AK6912">
        <v>18.2445787267234</v>
      </c>
      <c r="AL6912">
        <v>93.462429378457699</v>
      </c>
      <c r="AM6912">
        <v>95.915072875475005</v>
      </c>
      <c r="AN6912">
        <v>1.00000002517649</v>
      </c>
    </row>
    <row r="6913" spans="1:40" x14ac:dyDescent="0.25">
      <c r="A6913" t="str">
        <f>"20190303154317609"</f>
        <v>20190303154317609</v>
      </c>
      <c r="B6913" t="str">
        <f>"1551598997606739"</f>
        <v>1551598997606739</v>
      </c>
      <c r="C6913" t="s">
        <v>40</v>
      </c>
      <c r="D6913">
        <v>5.1651199999999999</v>
      </c>
      <c r="E6913">
        <v>0.53238839999999998</v>
      </c>
      <c r="F6913" t="s">
        <v>43</v>
      </c>
      <c r="G6913">
        <v>-298.26839999999999</v>
      </c>
      <c r="H6913">
        <v>-0.05</v>
      </c>
      <c r="I6913">
        <v>17.636410000000001</v>
      </c>
      <c r="J6913">
        <v>-316.31540000000001</v>
      </c>
      <c r="K6913">
        <v>1.088716</v>
      </c>
      <c r="L6913">
        <v>17.379429999999999</v>
      </c>
      <c r="M6913">
        <v>0.99972559999999999</v>
      </c>
      <c r="N6913">
        <v>-2.3079559999999999E-2</v>
      </c>
      <c r="O6913">
        <v>-3.9904459999999999E-3</v>
      </c>
      <c r="P6913">
        <v>0.99168599999999996</v>
      </c>
      <c r="Q6913">
        <v>-8.3135630000000002E-2</v>
      </c>
      <c r="R6913">
        <v>9.822177E-2</v>
      </c>
      <c r="S6913">
        <v>3.0049739999999998</v>
      </c>
      <c r="T6913">
        <v>-0.1886418</v>
      </c>
      <c r="U6913">
        <v>4.2724610000000003E-2</v>
      </c>
      <c r="V6913">
        <v>-0.1018801</v>
      </c>
      <c r="W6913">
        <v>-6.0739950000000001E-2</v>
      </c>
      <c r="X6913">
        <v>0.99294070000000001</v>
      </c>
      <c r="Y6913">
        <v>-1.8155480000000002E-2</v>
      </c>
      <c r="Z6913">
        <v>9.3731130000000002E-4</v>
      </c>
      <c r="AA6913">
        <v>0.99983469999999997</v>
      </c>
      <c r="AB6913">
        <v>21</v>
      </c>
      <c r="AC6913">
        <v>18.047000000000001</v>
      </c>
      <c r="AD6913">
        <v>-1.1387160000000001</v>
      </c>
      <c r="AE6913">
        <v>0.25698000000000198</v>
      </c>
      <c r="AF6913">
        <v>-0.32770829624091902</v>
      </c>
      <c r="AG6913">
        <v>-1.1387160000000001</v>
      </c>
      <c r="AH6913">
        <v>17.974284659617599</v>
      </c>
      <c r="AI6913">
        <v>93.624386060710904</v>
      </c>
      <c r="AJ6913">
        <v>91.044504556993502</v>
      </c>
      <c r="AK6913">
        <v>18.013299971994101</v>
      </c>
      <c r="AL6913">
        <v>93.482286022557602</v>
      </c>
      <c r="AM6913">
        <v>95.858299284258806</v>
      </c>
      <c r="AN6913">
        <v>1.00000006500924</v>
      </c>
    </row>
    <row r="6914" spans="1:40" x14ac:dyDescent="0.25">
      <c r="A6914" t="str">
        <f>"20190303154317622"</f>
        <v>20190303154317622</v>
      </c>
      <c r="B6914" t="str">
        <f>"1551598997617474"</f>
        <v>1551598997617474</v>
      </c>
      <c r="C6914" t="s">
        <v>40</v>
      </c>
      <c r="D6914">
        <v>5.1315019999999896</v>
      </c>
      <c r="E6914">
        <v>0.5326052</v>
      </c>
      <c r="F6914" t="s">
        <v>43</v>
      </c>
      <c r="G6914">
        <v>-298.85410000000002</v>
      </c>
      <c r="H6914">
        <v>-0.05</v>
      </c>
      <c r="I6914">
        <v>17.60623</v>
      </c>
      <c r="J6914">
        <v>-316.21350000000001</v>
      </c>
      <c r="K6914">
        <v>1.08768</v>
      </c>
      <c r="L6914">
        <v>17.380679999999899</v>
      </c>
      <c r="M6914">
        <v>0.99974130000000005</v>
      </c>
      <c r="N6914">
        <v>-2.2608639999999999E-2</v>
      </c>
      <c r="O6914">
        <v>-2.47628E-3</v>
      </c>
      <c r="P6914">
        <v>0.99160689999999996</v>
      </c>
      <c r="Q6914">
        <v>-8.3808560000000004E-2</v>
      </c>
      <c r="R6914">
        <v>9.8447960000000001E-2</v>
      </c>
      <c r="S6914">
        <v>3.0048520000000001</v>
      </c>
      <c r="T6914">
        <v>-0.19595789999999999</v>
      </c>
      <c r="U6914">
        <v>3.9031980000000001E-2</v>
      </c>
      <c r="V6914">
        <v>-0.1006013</v>
      </c>
      <c r="W6914">
        <v>-6.1868489999999998E-2</v>
      </c>
      <c r="X6914">
        <v>0.99300129999999998</v>
      </c>
      <c r="Y6914">
        <v>-1.541885E-2</v>
      </c>
      <c r="Z6914">
        <v>7.8214379999999996E-4</v>
      </c>
      <c r="AA6914">
        <v>0.99988080000000001</v>
      </c>
      <c r="AB6914">
        <v>21</v>
      </c>
      <c r="AC6914">
        <v>17.359399999999901</v>
      </c>
      <c r="AD6914">
        <v>-1.13768</v>
      </c>
      <c r="AE6914">
        <v>0.225550000000001</v>
      </c>
      <c r="AF6914">
        <v>-0.26739873084605897</v>
      </c>
      <c r="AG6914">
        <v>-1.13768</v>
      </c>
      <c r="AH6914">
        <v>17.2845621086575</v>
      </c>
      <c r="AI6914">
        <v>93.765360497607404</v>
      </c>
      <c r="AJ6914">
        <v>90.886316734350203</v>
      </c>
      <c r="AK6914">
        <v>17.3240268168719</v>
      </c>
      <c r="AL6914">
        <v>93.547068832958004</v>
      </c>
      <c r="AM6914">
        <v>95.784917107480695</v>
      </c>
      <c r="AN6914">
        <v>0.999999956709129</v>
      </c>
    </row>
    <row r="6915" spans="1:40" x14ac:dyDescent="0.25">
      <c r="A6915" t="str">
        <f>"20190303154317633"</f>
        <v>20190303154317633</v>
      </c>
      <c r="B6915" t="str">
        <f>"1551598997627234"</f>
        <v>1551598997627234</v>
      </c>
      <c r="C6915" t="s">
        <v>40</v>
      </c>
      <c r="D6915">
        <v>5.1749939999999999</v>
      </c>
      <c r="E6915">
        <v>0.53285159999999998</v>
      </c>
      <c r="F6915" t="s">
        <v>43</v>
      </c>
      <c r="G6915">
        <v>-299.21589999999998</v>
      </c>
      <c r="H6915">
        <v>-0.05</v>
      </c>
      <c r="I6915">
        <v>17.59526</v>
      </c>
      <c r="J6915">
        <v>-316.10359999999997</v>
      </c>
      <c r="K6915">
        <v>1.086598</v>
      </c>
      <c r="L6915">
        <v>17.382200000000001</v>
      </c>
      <c r="M6915">
        <v>0.99975530000000001</v>
      </c>
      <c r="N6915">
        <v>-2.2105590000000001E-2</v>
      </c>
      <c r="O6915">
        <v>-8.623258E-4</v>
      </c>
      <c r="P6915">
        <v>0.99143179999999997</v>
      </c>
      <c r="Q6915">
        <v>-8.5345809999999994E-2</v>
      </c>
      <c r="R6915">
        <v>9.8888669999999998E-2</v>
      </c>
      <c r="S6915">
        <v>3.0046689999999998</v>
      </c>
      <c r="T6915">
        <v>-0.20110749999999999</v>
      </c>
      <c r="U6915">
        <v>3.7933349999999998E-2</v>
      </c>
      <c r="V6915">
        <v>-9.9435019999999999E-2</v>
      </c>
      <c r="W6915">
        <v>-6.3893660000000005E-2</v>
      </c>
      <c r="X6915">
        <v>0.99299059999999995</v>
      </c>
      <c r="Y6915">
        <v>-1.344535E-2</v>
      </c>
      <c r="Z6915">
        <v>6.3689379999999998E-4</v>
      </c>
      <c r="AA6915">
        <v>0.99990939999999995</v>
      </c>
      <c r="AB6915">
        <v>20</v>
      </c>
      <c r="AC6915">
        <v>16.887699999999899</v>
      </c>
      <c r="AD6915">
        <v>-1.136598</v>
      </c>
      <c r="AE6915">
        <v>0.213059999999998</v>
      </c>
      <c r="AF6915">
        <v>-0.22659990500975999</v>
      </c>
      <c r="AG6915">
        <v>-1.136598</v>
      </c>
      <c r="AH6915">
        <v>16.811371014876102</v>
      </c>
      <c r="AI6915">
        <v>93.867467307435206</v>
      </c>
      <c r="AJ6915">
        <v>90.772241121480903</v>
      </c>
      <c r="AK6915">
        <v>16.851272887540901</v>
      </c>
      <c r="AL6915">
        <v>93.663332375767297</v>
      </c>
      <c r="AM6915">
        <v>95.718360282040095</v>
      </c>
      <c r="AN6915">
        <v>1.00000002733947</v>
      </c>
    </row>
    <row r="6916" spans="1:40" x14ac:dyDescent="0.25">
      <c r="A6916" t="str">
        <f>"20190303154317645"</f>
        <v>20190303154317645</v>
      </c>
      <c r="B6916" t="str">
        <f>"1551598997636994"</f>
        <v>1551598997636994</v>
      </c>
      <c r="C6916" t="s">
        <v>40</v>
      </c>
      <c r="D6916">
        <v>5.2050340000000004</v>
      </c>
      <c r="E6916">
        <v>0.53310919999999995</v>
      </c>
      <c r="F6916" t="s">
        <v>43</v>
      </c>
      <c r="G6916">
        <v>-299.69240000000002</v>
      </c>
      <c r="H6916">
        <v>-0.05</v>
      </c>
      <c r="I6916">
        <v>17.585570000000001</v>
      </c>
      <c r="J6916">
        <v>-315.99869999999999</v>
      </c>
      <c r="K6916">
        <v>1.0856189999999999</v>
      </c>
      <c r="L6916">
        <v>17.383849999999999</v>
      </c>
      <c r="M6916">
        <v>0.99976569999999998</v>
      </c>
      <c r="N6916">
        <v>-2.1641420000000001E-2</v>
      </c>
      <c r="O6916">
        <v>6.4038120000000005E-4</v>
      </c>
      <c r="P6916">
        <v>0.99137180000000003</v>
      </c>
      <c r="Q6916">
        <v>-8.6097489999999999E-2</v>
      </c>
      <c r="R6916">
        <v>9.8839739999999995E-2</v>
      </c>
      <c r="S6916">
        <v>3.0043030000000002</v>
      </c>
      <c r="T6916">
        <v>-0.20807</v>
      </c>
      <c r="U6916">
        <v>3.7231449999999999E-2</v>
      </c>
      <c r="V6916">
        <v>-9.7895590000000005E-2</v>
      </c>
      <c r="W6916">
        <v>-6.5088350000000003E-2</v>
      </c>
      <c r="X6916">
        <v>0.993066</v>
      </c>
      <c r="Y6916">
        <v>-1.1715140000000001E-2</v>
      </c>
      <c r="Z6916">
        <v>5.0171619999999999E-4</v>
      </c>
      <c r="AA6916">
        <v>0.99993129999999997</v>
      </c>
      <c r="AB6916">
        <v>20</v>
      </c>
      <c r="AC6916">
        <v>16.306299999999901</v>
      </c>
      <c r="AD6916">
        <v>-1.1356189999999999</v>
      </c>
      <c r="AE6916">
        <v>0.20172000000000101</v>
      </c>
      <c r="AF6916">
        <v>-0.19035217183030601</v>
      </c>
      <c r="AG6916">
        <v>-1.1356189999999999</v>
      </c>
      <c r="AH6916">
        <v>16.227731107406498</v>
      </c>
      <c r="AI6916">
        <v>94.002766489137599</v>
      </c>
      <c r="AJ6916">
        <v>90.672051799365804</v>
      </c>
      <c r="AK6916">
        <v>16.2685316287847</v>
      </c>
      <c r="AL6916">
        <v>93.731925742277895</v>
      </c>
      <c r="AM6916">
        <v>95.629978472927306</v>
      </c>
      <c r="AN6916">
        <v>1.0000000601015799</v>
      </c>
    </row>
    <row r="6917" spans="1:40" x14ac:dyDescent="0.25">
      <c r="A6917" t="str">
        <f>"20190303154317662"</f>
        <v>20190303154317662</v>
      </c>
      <c r="B6917" t="str">
        <f>"1551598997657490"</f>
        <v>1551598997657490</v>
      </c>
      <c r="C6917" t="s">
        <v>40</v>
      </c>
      <c r="D6917">
        <v>5.2292930000000002</v>
      </c>
      <c r="E6917">
        <v>0.53318019999999999</v>
      </c>
      <c r="F6917" t="s">
        <v>43</v>
      </c>
      <c r="G6917">
        <v>-299.99040000000002</v>
      </c>
      <c r="H6917">
        <v>-0.05</v>
      </c>
      <c r="I6917">
        <v>17.570209999999999</v>
      </c>
      <c r="J6917">
        <v>-315.84899999999999</v>
      </c>
      <c r="K6917">
        <v>1.084282</v>
      </c>
      <c r="L6917">
        <v>17.38644</v>
      </c>
      <c r="M6917">
        <v>0.99977590000000005</v>
      </c>
      <c r="N6917">
        <v>-2.0998300000000001E-2</v>
      </c>
      <c r="O6917">
        <v>2.7480830000000001E-3</v>
      </c>
      <c r="P6917">
        <v>0.99149889999999996</v>
      </c>
      <c r="Q6917">
        <v>-8.7109140000000002E-2</v>
      </c>
      <c r="R6917">
        <v>9.6655329999999998E-2</v>
      </c>
      <c r="S6917">
        <v>3.004181</v>
      </c>
      <c r="T6917">
        <v>-0.2131152</v>
      </c>
      <c r="U6917">
        <v>3.497314E-2</v>
      </c>
      <c r="V6917">
        <v>-9.3622949999999996E-2</v>
      </c>
      <c r="W6917">
        <v>-6.6697439999999997E-2</v>
      </c>
      <c r="X6917">
        <v>0.99337109999999995</v>
      </c>
      <c r="Y6917">
        <v>-8.8666819999999903E-3</v>
      </c>
      <c r="Z6917">
        <v>2.703146E-4</v>
      </c>
      <c r="AA6917">
        <v>0.99996070000000004</v>
      </c>
      <c r="AB6917">
        <v>20</v>
      </c>
      <c r="AC6917">
        <v>15.8585999999999</v>
      </c>
      <c r="AD6917">
        <v>-1.134282</v>
      </c>
      <c r="AE6917">
        <v>0.18376999999999899</v>
      </c>
      <c r="AF6917">
        <v>-0.13946557248818101</v>
      </c>
      <c r="AG6917">
        <v>-1.134282</v>
      </c>
      <c r="AH6917">
        <v>15.7783374540653</v>
      </c>
      <c r="AI6917">
        <v>94.1116776236221</v>
      </c>
      <c r="AJ6917">
        <v>90.506427284889796</v>
      </c>
      <c r="AK6917">
        <v>15.819670638663601</v>
      </c>
      <c r="AL6917">
        <v>93.824320944884605</v>
      </c>
      <c r="AM6917">
        <v>95.384091886804399</v>
      </c>
      <c r="AN6917">
        <v>0.99999997379223204</v>
      </c>
    </row>
    <row r="6918" spans="1:40" x14ac:dyDescent="0.25">
      <c r="A6918" t="str">
        <f>"20190303154317674"</f>
        <v>20190303154317674</v>
      </c>
      <c r="B6918" t="str">
        <f>"1551598997667250"</f>
        <v>1551598997667250</v>
      </c>
      <c r="C6918" t="s">
        <v>40</v>
      </c>
      <c r="D6918">
        <v>5.2179080000000004</v>
      </c>
      <c r="E6918">
        <v>0.53332780000000002</v>
      </c>
      <c r="F6918" t="s">
        <v>43</v>
      </c>
      <c r="G6918">
        <v>-300.41989999999998</v>
      </c>
      <c r="H6918">
        <v>-0.05</v>
      </c>
      <c r="I6918">
        <v>17.528320000000001</v>
      </c>
      <c r="J6918">
        <v>-315.74059999999997</v>
      </c>
      <c r="K6918">
        <v>1.083364</v>
      </c>
      <c r="L6918">
        <v>17.388490000000001</v>
      </c>
      <c r="M6918">
        <v>0.9997798</v>
      </c>
      <c r="N6918">
        <v>-2.05487E-2</v>
      </c>
      <c r="O6918">
        <v>4.2484760000000002E-3</v>
      </c>
      <c r="P6918">
        <v>0.99171010000000004</v>
      </c>
      <c r="Q6918">
        <v>-8.6417389999999997E-2</v>
      </c>
      <c r="R6918">
        <v>9.5095429999999995E-2</v>
      </c>
      <c r="S6918">
        <v>3.0036619999999998</v>
      </c>
      <c r="T6918">
        <v>-0.22081609999999999</v>
      </c>
      <c r="U6918">
        <v>2.7618409999999999E-2</v>
      </c>
      <c r="V6918">
        <v>-9.0583659999999996E-2</v>
      </c>
      <c r="W6918">
        <v>-6.6419790000000006E-2</v>
      </c>
      <c r="X6918">
        <v>0.99367150000000004</v>
      </c>
      <c r="Y6918">
        <v>-4.9341480000000002E-3</v>
      </c>
      <c r="Z6918" s="1">
        <v>7.2335389999999901E-6</v>
      </c>
      <c r="AA6918">
        <v>0.99998779999999998</v>
      </c>
      <c r="AB6918">
        <v>20</v>
      </c>
      <c r="AC6918">
        <v>15.320699999999899</v>
      </c>
      <c r="AD6918">
        <v>-1.133364</v>
      </c>
      <c r="AE6918">
        <v>0.13982999999999901</v>
      </c>
      <c r="AF6918">
        <v>-7.4318691910708196E-2</v>
      </c>
      <c r="AG6918">
        <v>-1.133364</v>
      </c>
      <c r="AH6918">
        <v>15.237774886299</v>
      </c>
      <c r="AI6918">
        <v>94.253695480198999</v>
      </c>
      <c r="AJ6918">
        <v>90.279444581232099</v>
      </c>
      <c r="AK6918">
        <v>15.2800464891305</v>
      </c>
      <c r="AL6918">
        <v>93.808377244542001</v>
      </c>
      <c r="AM6918">
        <v>95.208719150911406</v>
      </c>
      <c r="AN6918">
        <v>1.0000000189374401</v>
      </c>
    </row>
    <row r="6919" spans="1:40" x14ac:dyDescent="0.25">
      <c r="A6919" t="str">
        <f>"20190303154317685"</f>
        <v>20190303154317685</v>
      </c>
      <c r="B6919" t="str">
        <f>"1551598997677010"</f>
        <v>1551598997677010</v>
      </c>
      <c r="C6919" t="s">
        <v>40</v>
      </c>
      <c r="D6919">
        <v>5.2306169999999996</v>
      </c>
      <c r="E6919">
        <v>0.53327880000000005</v>
      </c>
      <c r="F6919" t="s">
        <v>43</v>
      </c>
      <c r="G6919">
        <v>-300.31079999999997</v>
      </c>
      <c r="H6919">
        <v>-0.05</v>
      </c>
      <c r="I6919">
        <v>17.49963</v>
      </c>
      <c r="J6919">
        <v>-315.6386</v>
      </c>
      <c r="K6919">
        <v>1.0825610000000001</v>
      </c>
      <c r="L6919">
        <v>17.390560000000001</v>
      </c>
      <c r="M6919">
        <v>0.99978129999999998</v>
      </c>
      <c r="N6919">
        <v>-2.0150689999999999E-2</v>
      </c>
      <c r="O6919">
        <v>5.6280289999999997E-3</v>
      </c>
      <c r="P6919">
        <v>0.99198410000000004</v>
      </c>
      <c r="Q6919">
        <v>-8.5097160000000005E-2</v>
      </c>
      <c r="R6919">
        <v>9.3414899999999995E-2</v>
      </c>
      <c r="S6919">
        <v>3.003784</v>
      </c>
      <c r="T6919">
        <v>-0.22063659999999999</v>
      </c>
      <c r="U6919">
        <v>2.163696E-2</v>
      </c>
      <c r="V6919">
        <v>-8.7545460000000005E-2</v>
      </c>
      <c r="W6919">
        <v>-6.5461969999999994E-2</v>
      </c>
      <c r="X6919">
        <v>0.99400730000000004</v>
      </c>
      <c r="Y6919">
        <v>-1.576474E-3</v>
      </c>
      <c r="Z6919">
        <v>-2.2578849999999999E-4</v>
      </c>
      <c r="AA6919">
        <v>0.99999870000000002</v>
      </c>
      <c r="AB6919">
        <v>20</v>
      </c>
      <c r="AC6919">
        <v>15.3278</v>
      </c>
      <c r="AD6919">
        <v>-1.1325609999999999</v>
      </c>
      <c r="AE6919">
        <v>0.109069999999999</v>
      </c>
      <c r="AF6919">
        <v>-2.2661747140651899E-2</v>
      </c>
      <c r="AG6919">
        <v>-1.1325609999999999</v>
      </c>
      <c r="AH6919">
        <v>15.244943518832301</v>
      </c>
      <c r="AI6919">
        <v>94.248746931655006</v>
      </c>
      <c r="AJ6919">
        <v>90.085170634418603</v>
      </c>
      <c r="AK6919">
        <v>15.286971932527701</v>
      </c>
      <c r="AL6919">
        <v>93.753378587732001</v>
      </c>
      <c r="AM6919">
        <v>95.033238595342596</v>
      </c>
      <c r="AN6919">
        <v>0.99999999476809098</v>
      </c>
    </row>
    <row r="6920" spans="1:40" x14ac:dyDescent="0.25">
      <c r="A6920" t="str">
        <f>"20190303154317701"</f>
        <v>20190303154317701</v>
      </c>
      <c r="B6920" t="str">
        <f>"1551598997697507"</f>
        <v>1551598997697507</v>
      </c>
      <c r="C6920" t="s">
        <v>40</v>
      </c>
      <c r="D6920">
        <v>5.2442089999999997</v>
      </c>
      <c r="E6920">
        <v>0.53312029999999999</v>
      </c>
      <c r="F6920" t="s">
        <v>43</v>
      </c>
      <c r="G6920">
        <v>-300.11880000000002</v>
      </c>
      <c r="H6920">
        <v>-0.05</v>
      </c>
      <c r="I6920">
        <v>17.477599999999999</v>
      </c>
      <c r="J6920">
        <v>-315.50009999999997</v>
      </c>
      <c r="K6920">
        <v>1.0815220000000001</v>
      </c>
      <c r="L6920">
        <v>17.393519999999999</v>
      </c>
      <c r="M6920">
        <v>0.99977950000000004</v>
      </c>
      <c r="N6920">
        <v>-1.9631289999999999E-2</v>
      </c>
      <c r="O6920">
        <v>7.4720400000000001E-3</v>
      </c>
      <c r="P6920">
        <v>0.99230799999999997</v>
      </c>
      <c r="Q6920">
        <v>-8.3096589999999998E-2</v>
      </c>
      <c r="R6920">
        <v>9.1760869999999994E-2</v>
      </c>
      <c r="S6920">
        <v>3.0038450000000001</v>
      </c>
      <c r="T6920">
        <v>-0.2192065</v>
      </c>
      <c r="U6920">
        <v>1.6845699999999901E-2</v>
      </c>
      <c r="V6920">
        <v>-8.4077570000000004E-2</v>
      </c>
      <c r="W6920">
        <v>-6.393749E-2</v>
      </c>
      <c r="X6920">
        <v>0.99440580000000001</v>
      </c>
      <c r="Y6920">
        <v>1.8487040000000001E-3</v>
      </c>
      <c r="Z6920">
        <v>-4.835245E-4</v>
      </c>
      <c r="AA6920">
        <v>0.99999819999999995</v>
      </c>
      <c r="AB6920">
        <v>20</v>
      </c>
      <c r="AC6920">
        <v>15.3812999999999</v>
      </c>
      <c r="AD6920">
        <v>-1.1315219999999999</v>
      </c>
      <c r="AE6920">
        <v>8.4079999999996602E-2</v>
      </c>
      <c r="AF6920">
        <v>3.0707994333581901E-2</v>
      </c>
      <c r="AG6920">
        <v>-1.1315219999999999</v>
      </c>
      <c r="AH6920">
        <v>15.2987080913772</v>
      </c>
      <c r="AI6920">
        <v>94.229996023187596</v>
      </c>
      <c r="AJ6920">
        <v>89.884994464943105</v>
      </c>
      <c r="AK6920">
        <v>15.340526532116501</v>
      </c>
      <c r="AL6920">
        <v>93.665849013798294</v>
      </c>
      <c r="AM6920">
        <v>94.832895809280302</v>
      </c>
      <c r="AN6920">
        <v>0.99999996773912203</v>
      </c>
    </row>
    <row r="6921" spans="1:40" x14ac:dyDescent="0.25">
      <c r="A6921" t="str">
        <f>"20190303154317715"</f>
        <v>20190303154317715</v>
      </c>
      <c r="B6921" t="str">
        <f>"1551598997707266"</f>
        <v>1551598997707266</v>
      </c>
      <c r="C6921" t="s">
        <v>40</v>
      </c>
      <c r="D6921">
        <v>5.4111200000000004</v>
      </c>
      <c r="E6921">
        <v>0.53334740000000003</v>
      </c>
      <c r="F6921" t="s">
        <v>43</v>
      </c>
      <c r="G6921">
        <v>-299.89600000000002</v>
      </c>
      <c r="H6921">
        <v>-0.05</v>
      </c>
      <c r="I6921">
        <v>17.460739999999898</v>
      </c>
      <c r="J6921">
        <v>-315.36610000000002</v>
      </c>
      <c r="K6921">
        <v>1.080586</v>
      </c>
      <c r="L6921">
        <v>17.39658</v>
      </c>
      <c r="M6921">
        <v>0.99977400000000005</v>
      </c>
      <c r="N6921">
        <v>-1.9159140000000002E-2</v>
      </c>
      <c r="O6921">
        <v>9.2110850000000008E-3</v>
      </c>
      <c r="P6921">
        <v>0.99264730000000001</v>
      </c>
      <c r="Q6921">
        <v>-8.1125680000000006E-2</v>
      </c>
      <c r="R6921">
        <v>8.983331E-2</v>
      </c>
      <c r="S6921">
        <v>3.0038149999999999</v>
      </c>
      <c r="T6921">
        <v>-0.21782019999999999</v>
      </c>
      <c r="U6921">
        <v>1.293945E-2</v>
      </c>
      <c r="V6921">
        <v>-8.0438040000000002E-2</v>
      </c>
      <c r="W6921">
        <v>-6.2396519999999997E-2</v>
      </c>
      <c r="X6921">
        <v>0.99480469999999999</v>
      </c>
      <c r="Y6921">
        <v>4.8759540000000001E-3</v>
      </c>
      <c r="Z6921">
        <v>-7.1407139999999996E-4</v>
      </c>
      <c r="AA6921">
        <v>0.99998779999999998</v>
      </c>
      <c r="AB6921">
        <v>20</v>
      </c>
      <c r="AC6921">
        <v>15.4701</v>
      </c>
      <c r="AD6921">
        <v>-1.1305860000000001</v>
      </c>
      <c r="AE6921">
        <v>6.4159999999997497E-2</v>
      </c>
      <c r="AF6921">
        <v>7.7948974910215504E-2</v>
      </c>
      <c r="AG6921">
        <v>-1.1305860000000001</v>
      </c>
      <c r="AH6921">
        <v>15.387849776813299</v>
      </c>
      <c r="AI6921">
        <v>94.202068173694499</v>
      </c>
      <c r="AJ6921">
        <v>89.709763927779605</v>
      </c>
      <c r="AK6921">
        <v>15.4295243445758</v>
      </c>
      <c r="AL6921">
        <v>93.577381145155599</v>
      </c>
      <c r="AM6921">
        <v>94.622772029961197</v>
      </c>
      <c r="AN6921">
        <v>0.99999999756462099</v>
      </c>
    </row>
    <row r="6922" spans="1:40" x14ac:dyDescent="0.25">
      <c r="A6922" t="str">
        <f>"20190303154317729"</f>
        <v>20190303154317729</v>
      </c>
      <c r="B6922" t="str">
        <f>"1551598997717026"</f>
        <v>1551598997717026</v>
      </c>
      <c r="C6922" t="s">
        <v>40</v>
      </c>
      <c r="D6922">
        <v>5.2981199999999999</v>
      </c>
      <c r="E6922">
        <v>0.53318759999999998</v>
      </c>
      <c r="F6922" t="s">
        <v>43</v>
      </c>
      <c r="G6922">
        <v>-299.43700000000001</v>
      </c>
      <c r="H6922">
        <v>-0.05</v>
      </c>
      <c r="I6922">
        <v>17.424410000000002</v>
      </c>
      <c r="J6922">
        <v>-315.2362</v>
      </c>
      <c r="K6922">
        <v>1.0797730000000001</v>
      </c>
      <c r="L6922">
        <v>17.399750000000001</v>
      </c>
      <c r="M6922">
        <v>0.99976580000000004</v>
      </c>
      <c r="N6922">
        <v>-1.874079E-2</v>
      </c>
      <c r="O6922">
        <v>1.0827420000000001E-2</v>
      </c>
      <c r="P6922">
        <v>0.99331290000000005</v>
      </c>
      <c r="Q6922">
        <v>-7.8758670000000003E-2</v>
      </c>
      <c r="R6922">
        <v>8.4421049999999997E-2</v>
      </c>
      <c r="S6922">
        <v>3.0043639999999998</v>
      </c>
      <c r="T6922">
        <v>-0.21323790000000001</v>
      </c>
      <c r="U6922">
        <v>5.2490230000000002E-3</v>
      </c>
      <c r="V6922">
        <v>-7.3432239999999996E-2</v>
      </c>
      <c r="W6922">
        <v>-6.0390239999999998E-2</v>
      </c>
      <c r="X6922">
        <v>0.99547010000000002</v>
      </c>
      <c r="Y6922">
        <v>9.0387650000000007E-3</v>
      </c>
      <c r="Z6922">
        <v>-9.6996379999999996E-4</v>
      </c>
      <c r="AA6922">
        <v>0.99995869999999998</v>
      </c>
      <c r="AB6922">
        <v>20</v>
      </c>
      <c r="AC6922">
        <v>15.7991999999999</v>
      </c>
      <c r="AD6922">
        <v>-1.1297729999999999</v>
      </c>
      <c r="AE6922">
        <v>2.4660000000000699E-2</v>
      </c>
      <c r="AF6922">
        <v>0.145691080320792</v>
      </c>
      <c r="AG6922">
        <v>-1.1297729999999999</v>
      </c>
      <c r="AH6922">
        <v>15.7181670766244</v>
      </c>
      <c r="AI6922">
        <v>94.110996473801904</v>
      </c>
      <c r="AJ6922">
        <v>89.4689428524036</v>
      </c>
      <c r="AK6922">
        <v>15.7593905076019</v>
      </c>
      <c r="AL6922">
        <v>93.462212500400895</v>
      </c>
      <c r="AM6922">
        <v>94.218861855380595</v>
      </c>
      <c r="AN6922">
        <v>0.99999999747634205</v>
      </c>
    </row>
    <row r="6923" spans="1:40" x14ac:dyDescent="0.25">
      <c r="A6923" t="str">
        <f>"20190303154317751"</f>
        <v>20190303154317751</v>
      </c>
      <c r="B6923" t="str">
        <f>"1551598997747474"</f>
        <v>1551598997747474</v>
      </c>
      <c r="C6923" t="s">
        <v>40</v>
      </c>
      <c r="D6923">
        <v>5.2971199999999996</v>
      </c>
      <c r="E6923">
        <v>0.53299259999999904</v>
      </c>
      <c r="F6923" t="s">
        <v>43</v>
      </c>
      <c r="G6923">
        <v>-298.8974</v>
      </c>
      <c r="H6923">
        <v>-0.05</v>
      </c>
      <c r="I6923">
        <v>17.34581</v>
      </c>
      <c r="J6923">
        <v>-315.0412</v>
      </c>
      <c r="K6923">
        <v>1.0786150000000001</v>
      </c>
      <c r="L6923">
        <v>17.40475</v>
      </c>
      <c r="M6923">
        <v>0.99974890000000005</v>
      </c>
      <c r="N6923">
        <v>-1.815541E-2</v>
      </c>
      <c r="O6923">
        <v>1.3134689999999999E-2</v>
      </c>
      <c r="P6923">
        <v>0.99370119999999895</v>
      </c>
      <c r="Q6923">
        <v>-7.8450889999999995E-2</v>
      </c>
      <c r="R6923">
        <v>8.0021930000000005E-2</v>
      </c>
      <c r="S6923">
        <v>3.0046080000000002</v>
      </c>
      <c r="T6923">
        <v>-0.20775840000000001</v>
      </c>
      <c r="U6923">
        <v>-9.9182130000000004E-3</v>
      </c>
      <c r="V6923">
        <v>-6.6752930000000002E-2</v>
      </c>
      <c r="W6923">
        <v>-6.060956E-2</v>
      </c>
      <c r="X6923">
        <v>0.99592700000000001</v>
      </c>
      <c r="Y6923">
        <v>1.6371050000000002E-2</v>
      </c>
      <c r="Z6923">
        <v>-1.38301299999999E-3</v>
      </c>
      <c r="AA6923">
        <v>0.99986509999999995</v>
      </c>
      <c r="AB6923">
        <v>20</v>
      </c>
      <c r="AC6923">
        <v>16.143799999999999</v>
      </c>
      <c r="AD6923">
        <v>-1.1286149999999999</v>
      </c>
      <c r="AE6923">
        <v>-5.8939999999999701E-2</v>
      </c>
      <c r="AF6923">
        <v>0.26969557828832702</v>
      </c>
      <c r="AG6923">
        <v>-1.1286149999999999</v>
      </c>
      <c r="AH6923">
        <v>16.063126352055502</v>
      </c>
      <c r="AI6923">
        <v>94.018502507287295</v>
      </c>
      <c r="AJ6923">
        <v>89.038109623915403</v>
      </c>
      <c r="AK6923">
        <v>16.1049848098429</v>
      </c>
      <c r="AL6923">
        <v>93.474801555416704</v>
      </c>
      <c r="AM6923">
        <v>93.834567342661501</v>
      </c>
      <c r="AN6923">
        <v>1.00000003087798</v>
      </c>
    </row>
    <row r="6924" spans="1:40" x14ac:dyDescent="0.25">
      <c r="A6924" t="str">
        <f>"20190303154317763"</f>
        <v>20190303154317763</v>
      </c>
      <c r="B6924" t="str">
        <f>"1551598997757234"</f>
        <v>1551598997757234</v>
      </c>
      <c r="C6924" t="s">
        <v>40</v>
      </c>
      <c r="D6924">
        <v>5.3071510000000002</v>
      </c>
      <c r="E6924">
        <v>0.53279549999999998</v>
      </c>
      <c r="F6924" t="s">
        <v>43</v>
      </c>
      <c r="G6924">
        <v>-298.75830000000002</v>
      </c>
      <c r="H6924">
        <v>-0.05</v>
      </c>
      <c r="I6924">
        <v>17.287320000000001</v>
      </c>
      <c r="J6924">
        <v>-314.93880000000001</v>
      </c>
      <c r="K6924">
        <v>1.0780559999999999</v>
      </c>
      <c r="L6924">
        <v>17.407529999999898</v>
      </c>
      <c r="M6924">
        <v>0.99973860000000003</v>
      </c>
      <c r="N6924">
        <v>-1.7873259999999998E-2</v>
      </c>
      <c r="O6924">
        <v>1.4261889999999999E-2</v>
      </c>
      <c r="P6924">
        <v>0.9937954</v>
      </c>
      <c r="Q6924">
        <v>-7.9285789999999995E-2</v>
      </c>
      <c r="R6924">
        <v>7.8003420000000004E-2</v>
      </c>
      <c r="S6924">
        <v>3.0043329999999999</v>
      </c>
      <c r="T6924">
        <v>-0.2082398</v>
      </c>
      <c r="U6924">
        <v>-2.1667479999999999E-2</v>
      </c>
      <c r="V6924">
        <v>-6.3619739999999994E-2</v>
      </c>
      <c r="W6924">
        <v>-6.1699940000000002E-2</v>
      </c>
      <c r="X6924">
        <v>0.99606510000000004</v>
      </c>
      <c r="Y6924">
        <v>2.1391520000000001E-2</v>
      </c>
      <c r="Z6924">
        <v>-1.6645589999999999E-3</v>
      </c>
      <c r="AA6924">
        <v>0.99976980000000004</v>
      </c>
      <c r="AB6924">
        <v>20</v>
      </c>
      <c r="AC6924">
        <v>16.180499999999899</v>
      </c>
      <c r="AD6924">
        <v>-1.1280559999999999</v>
      </c>
      <c r="AE6924">
        <v>-0.120209999999996</v>
      </c>
      <c r="AF6924">
        <v>0.34930146267017398</v>
      </c>
      <c r="AG6924">
        <v>-1.1280559999999999</v>
      </c>
      <c r="AH6924">
        <v>16.098895394768601</v>
      </c>
      <c r="AI6924">
        <v>94.007246673492503</v>
      </c>
      <c r="AJ6924">
        <v>88.757035225043694</v>
      </c>
      <c r="AK6924">
        <v>16.142148394270901</v>
      </c>
      <c r="AL6924">
        <v>93.537392924300605</v>
      </c>
      <c r="AM6924">
        <v>93.6545782910691</v>
      </c>
      <c r="AN6924">
        <v>1.00000001867584</v>
      </c>
    </row>
    <row r="6925" spans="1:40" x14ac:dyDescent="0.25">
      <c r="A6925" t="str">
        <f>"20190303154317774"</f>
        <v>20190303154317774</v>
      </c>
      <c r="B6925" t="str">
        <f>"1551598997766993"</f>
        <v>1551598997766993</v>
      </c>
      <c r="C6925" t="s">
        <v>40</v>
      </c>
      <c r="D6925">
        <v>5.3135510000000004</v>
      </c>
      <c r="E6925">
        <v>0.53258739999999904</v>
      </c>
      <c r="F6925" t="s">
        <v>43</v>
      </c>
      <c r="G6925">
        <v>-299.07740000000001</v>
      </c>
      <c r="H6925">
        <v>-0.05</v>
      </c>
      <c r="I6925">
        <v>17.26895</v>
      </c>
      <c r="J6925">
        <v>-314.8288</v>
      </c>
      <c r="K6925">
        <v>1.077475</v>
      </c>
      <c r="L6925">
        <v>17.410520000000002</v>
      </c>
      <c r="M6925">
        <v>0.99972640000000002</v>
      </c>
      <c r="N6925">
        <v>-1.7581380000000001E-2</v>
      </c>
      <c r="O6925">
        <v>1.543369E-2</v>
      </c>
      <c r="P6925">
        <v>0.99387429999999999</v>
      </c>
      <c r="Q6925">
        <v>-8.0400550000000001E-2</v>
      </c>
      <c r="R6925">
        <v>7.5827950000000005E-2</v>
      </c>
      <c r="S6925">
        <v>3.0037539999999998</v>
      </c>
      <c r="T6925">
        <v>-0.21362519999999999</v>
      </c>
      <c r="U6925">
        <v>-2.624512E-2</v>
      </c>
      <c r="V6925">
        <v>-6.028613E-2</v>
      </c>
      <c r="W6925">
        <v>-6.3079389999999999E-2</v>
      </c>
      <c r="X6925">
        <v>0.99618600000000002</v>
      </c>
      <c r="Y6925">
        <v>2.4073589999999999E-2</v>
      </c>
      <c r="Z6925">
        <v>-1.8920390000000001E-3</v>
      </c>
      <c r="AA6925">
        <v>0.99970840000000005</v>
      </c>
      <c r="AB6925">
        <v>20</v>
      </c>
      <c r="AC6925">
        <v>15.751399999999901</v>
      </c>
      <c r="AD6925">
        <v>-1.127475</v>
      </c>
      <c r="AE6925">
        <v>-0.141570000000001</v>
      </c>
      <c r="AF6925">
        <v>0.38273210739053298</v>
      </c>
      <c r="AG6925">
        <v>-1.127475</v>
      </c>
      <c r="AH6925">
        <v>15.667072655427299</v>
      </c>
      <c r="AI6925">
        <v>94.114949825603304</v>
      </c>
      <c r="AJ6925">
        <v>88.600595386698501</v>
      </c>
      <c r="AK6925">
        <v>15.7122515678718</v>
      </c>
      <c r="AL6925">
        <v>93.616583982301606</v>
      </c>
      <c r="AM6925">
        <v>93.463141776213604</v>
      </c>
      <c r="AN6925">
        <v>0.99999998675457402</v>
      </c>
    </row>
    <row r="6926" spans="1:40" x14ac:dyDescent="0.25">
      <c r="A6926" t="str">
        <f>"20190303154317786"</f>
        <v>20190303154317786</v>
      </c>
      <c r="B6926" t="str">
        <f>"1551598997776754"</f>
        <v>1551598997776754</v>
      </c>
      <c r="C6926" t="s">
        <v>40</v>
      </c>
      <c r="D6926">
        <v>5.2994159999999999</v>
      </c>
      <c r="E6926">
        <v>0.5323002</v>
      </c>
      <c r="F6926" t="s">
        <v>43</v>
      </c>
      <c r="G6926">
        <v>-299.33620000000002</v>
      </c>
      <c r="H6926">
        <v>-0.05</v>
      </c>
      <c r="I6926">
        <v>17.24963</v>
      </c>
      <c r="J6926">
        <v>-314.72480000000002</v>
      </c>
      <c r="K6926">
        <v>1.0769709999999999</v>
      </c>
      <c r="L6926">
        <v>17.41339</v>
      </c>
      <c r="M6926">
        <v>0.99971480000000001</v>
      </c>
      <c r="N6926">
        <v>-1.7329499999999901E-2</v>
      </c>
      <c r="O6926">
        <v>1.6435490000000001E-2</v>
      </c>
      <c r="P6926">
        <v>0.99402579999999996</v>
      </c>
      <c r="Q6926">
        <v>-8.0806799999999998E-2</v>
      </c>
      <c r="R6926">
        <v>7.3370229999999995E-2</v>
      </c>
      <c r="S6926">
        <v>3.0032040000000002</v>
      </c>
      <c r="T6926">
        <v>-0.21855869999999999</v>
      </c>
      <c r="U6926">
        <v>-3.1188960000000002E-2</v>
      </c>
      <c r="V6926">
        <v>-5.6841990000000002E-2</v>
      </c>
      <c r="W6926">
        <v>-6.3709740000000001E-2</v>
      </c>
      <c r="X6926">
        <v>0.99634840000000002</v>
      </c>
      <c r="Y6926">
        <v>2.6707620000000001E-2</v>
      </c>
      <c r="Z6926">
        <v>-2.1122519999999998E-3</v>
      </c>
      <c r="AA6926">
        <v>0.99964109999999995</v>
      </c>
      <c r="AB6926">
        <v>20</v>
      </c>
      <c r="AC6926">
        <v>15.388599999999901</v>
      </c>
      <c r="AD6926">
        <v>-1.1269709999999999</v>
      </c>
      <c r="AE6926">
        <v>-0.16375999999999899</v>
      </c>
      <c r="AF6926">
        <v>0.41447236309764102</v>
      </c>
      <c r="AG6926">
        <v>-1.1269709999999999</v>
      </c>
      <c r="AH6926">
        <v>15.301771146497099</v>
      </c>
      <c r="AI6926">
        <v>94.210673623485903</v>
      </c>
      <c r="AJ6926">
        <v>88.448433730240296</v>
      </c>
      <c r="AK6926">
        <v>15.3488126965698</v>
      </c>
      <c r="AL6926">
        <v>93.6527729818187</v>
      </c>
      <c r="AM6926">
        <v>93.265202874329304</v>
      </c>
      <c r="AN6926">
        <v>1.0000000384902901</v>
      </c>
    </row>
    <row r="6927" spans="1:40" x14ac:dyDescent="0.25">
      <c r="A6927" t="str">
        <f>"20190303154317799"</f>
        <v>20190303154317799</v>
      </c>
      <c r="B6927" t="str">
        <f>"1551598997787491"</f>
        <v>1551598997787491</v>
      </c>
      <c r="C6927" t="s">
        <v>40</v>
      </c>
      <c r="D6927">
        <v>5.3137639999999999</v>
      </c>
      <c r="E6927">
        <v>0.53202780000000005</v>
      </c>
      <c r="F6927" t="s">
        <v>43</v>
      </c>
      <c r="G6927">
        <v>-299.45780000000002</v>
      </c>
      <c r="H6927">
        <v>-0.05</v>
      </c>
      <c r="I6927">
        <v>17.22842</v>
      </c>
      <c r="J6927">
        <v>-314.61619999999999</v>
      </c>
      <c r="K6927">
        <v>1.076457</v>
      </c>
      <c r="L6927">
        <v>17.416439999999898</v>
      </c>
      <c r="M6927">
        <v>0.99970210000000004</v>
      </c>
      <c r="N6927">
        <v>-1.7074590000000001E-2</v>
      </c>
      <c r="O6927">
        <v>1.7440009999999999E-2</v>
      </c>
      <c r="P6927">
        <v>0.99421979999999999</v>
      </c>
      <c r="Q6927">
        <v>-8.0600370000000005E-2</v>
      </c>
      <c r="R6927">
        <v>7.0926610000000001E-2</v>
      </c>
      <c r="S6927">
        <v>3.0027159999999999</v>
      </c>
      <c r="T6927">
        <v>-0.22165270000000001</v>
      </c>
      <c r="U6927">
        <v>-3.6376949999999998E-2</v>
      </c>
      <c r="V6927">
        <v>-5.3412349999999997E-2</v>
      </c>
      <c r="W6927">
        <v>-6.3730490000000001E-2</v>
      </c>
      <c r="X6927">
        <v>0.9965368</v>
      </c>
      <c r="Y6927">
        <v>2.9426569999999999E-2</v>
      </c>
      <c r="Z6927">
        <v>-2.3243339999999999E-3</v>
      </c>
      <c r="AA6927">
        <v>0.99956420000000001</v>
      </c>
      <c r="AB6927">
        <v>20</v>
      </c>
      <c r="AC6927">
        <v>15.158399999999901</v>
      </c>
      <c r="AD6927">
        <v>-1.126457</v>
      </c>
      <c r="AE6927">
        <v>-0.18801999999999799</v>
      </c>
      <c r="AF6927">
        <v>0.44990842890808302</v>
      </c>
      <c r="AG6927">
        <v>-1.126457</v>
      </c>
      <c r="AH6927">
        <v>15.069607784488401</v>
      </c>
      <c r="AI6927">
        <v>94.273026792896005</v>
      </c>
      <c r="AJ6927">
        <v>88.289922362638606</v>
      </c>
      <c r="AK6927">
        <v>15.118346528161201</v>
      </c>
      <c r="AL6927">
        <v>93.653964342739698</v>
      </c>
      <c r="AM6927">
        <v>93.068001887091199</v>
      </c>
      <c r="AN6927">
        <v>1.0000000241211999</v>
      </c>
    </row>
    <row r="6928" spans="1:40" x14ac:dyDescent="0.25">
      <c r="A6928" t="str">
        <f>"20190303154317810"</f>
        <v>20190303154317810</v>
      </c>
      <c r="B6928" t="str">
        <f>"1551598997807010"</f>
        <v>1551598997807010</v>
      </c>
      <c r="C6928" t="s">
        <v>40</v>
      </c>
      <c r="D6928">
        <v>5.3669390000000003</v>
      </c>
      <c r="E6928">
        <v>0.53144899999999995</v>
      </c>
      <c r="F6928" t="s">
        <v>43</v>
      </c>
      <c r="G6928">
        <v>-299.40629999999999</v>
      </c>
      <c r="H6928">
        <v>-0.05</v>
      </c>
      <c r="I6928">
        <v>17.205570000000002</v>
      </c>
      <c r="J6928">
        <v>-314.50409999999999</v>
      </c>
      <c r="K6928">
        <v>1.0759620000000001</v>
      </c>
      <c r="L6928">
        <v>17.419619999999998</v>
      </c>
      <c r="M6928">
        <v>0.99968970000000001</v>
      </c>
      <c r="N6928">
        <v>-1.6831349999999998E-2</v>
      </c>
      <c r="O6928">
        <v>1.8366319999999998E-2</v>
      </c>
      <c r="P6928">
        <v>0.99448080000000005</v>
      </c>
      <c r="Q6928">
        <v>-7.9458829999999994E-2</v>
      </c>
      <c r="R6928">
        <v>6.851517E-2</v>
      </c>
      <c r="S6928">
        <v>3.0024109999999999</v>
      </c>
      <c r="T6928">
        <v>-0.222361</v>
      </c>
      <c r="U6928">
        <v>-4.162598E-2</v>
      </c>
      <c r="V6928">
        <v>-5.0094890000000003E-2</v>
      </c>
      <c r="W6928">
        <v>-6.2803699999999907E-2</v>
      </c>
      <c r="X6928">
        <v>0.99676790000000004</v>
      </c>
      <c r="Y6928">
        <v>3.2089739999999999E-2</v>
      </c>
      <c r="Z6928">
        <v>-2.5066279999999999E-3</v>
      </c>
      <c r="AA6928">
        <v>0.99948190000000003</v>
      </c>
      <c r="AB6928">
        <v>20</v>
      </c>
      <c r="AC6928">
        <v>15.097799999999999</v>
      </c>
      <c r="AD6928">
        <v>-1.1259619999999999</v>
      </c>
      <c r="AE6928">
        <v>-0.21404999999999999</v>
      </c>
      <c r="AF6928">
        <v>0.48862705162752201</v>
      </c>
      <c r="AG6928">
        <v>-1.1259619999999999</v>
      </c>
      <c r="AH6928">
        <v>15.0078658989299</v>
      </c>
      <c r="AI6928">
        <v>94.288302017459301</v>
      </c>
      <c r="AJ6928">
        <v>88.135219089891706</v>
      </c>
      <c r="AK6928">
        <v>15.057974155287001</v>
      </c>
      <c r="AL6928">
        <v>93.600756590078603</v>
      </c>
      <c r="AM6928">
        <v>92.877112003810794</v>
      </c>
      <c r="AN6928">
        <v>1.0000000246041001</v>
      </c>
    </row>
    <row r="6929" spans="1:40" x14ac:dyDescent="0.25">
      <c r="A6929" t="str">
        <f>"20190303154317826"</f>
        <v>20190303154317826</v>
      </c>
      <c r="B6929" t="str">
        <f>"1551598997816770"</f>
        <v>1551598997816770</v>
      </c>
      <c r="C6929" t="s">
        <v>40</v>
      </c>
      <c r="D6929">
        <v>5.3234570000000003</v>
      </c>
      <c r="E6929">
        <v>0.53113250000000001</v>
      </c>
      <c r="F6929" t="s">
        <v>43</v>
      </c>
      <c r="G6929">
        <v>-299.3066</v>
      </c>
      <c r="H6929">
        <v>-0.05</v>
      </c>
      <c r="I6929">
        <v>17.194979999999902</v>
      </c>
      <c r="J6929">
        <v>-314.3657</v>
      </c>
      <c r="K6929">
        <v>1.0753760000000001</v>
      </c>
      <c r="L6929">
        <v>17.423459999999999</v>
      </c>
      <c r="M6929">
        <v>0.99967530000000004</v>
      </c>
      <c r="N6929">
        <v>-1.6552730000000002E-2</v>
      </c>
      <c r="O6929">
        <v>1.9377970000000001E-2</v>
      </c>
      <c r="P6929">
        <v>0.99476500000000001</v>
      </c>
      <c r="Q6929">
        <v>-7.7694219999999994E-2</v>
      </c>
      <c r="R6929">
        <v>6.6378939999999997E-2</v>
      </c>
      <c r="S6929">
        <v>3.0018919999999998</v>
      </c>
      <c r="T6929">
        <v>-0.22240689999999999</v>
      </c>
      <c r="U6929">
        <v>-4.4372559999999998E-2</v>
      </c>
      <c r="V6929">
        <v>-4.6973050000000002E-2</v>
      </c>
      <c r="W6929">
        <v>-6.1287179999999997E-2</v>
      </c>
      <c r="X6929">
        <v>0.99701419999999996</v>
      </c>
      <c r="Y6929">
        <v>3.400955E-2</v>
      </c>
      <c r="Z6929">
        <v>-2.653262E-3</v>
      </c>
      <c r="AA6929">
        <v>0.99941800000000003</v>
      </c>
      <c r="AB6929">
        <v>20</v>
      </c>
      <c r="AC6929">
        <v>15.059100000000001</v>
      </c>
      <c r="AD6929">
        <v>-1.1253759999999999</v>
      </c>
      <c r="AE6929">
        <v>-0.22848000000000401</v>
      </c>
      <c r="AF6929">
        <v>0.51740297232078802</v>
      </c>
      <c r="AG6929">
        <v>-1.1253759999999999</v>
      </c>
      <c r="AH6929">
        <v>14.968269924966901</v>
      </c>
      <c r="AI6929">
        <v>94.297085899893503</v>
      </c>
      <c r="AJ6929">
        <v>88.020264995099396</v>
      </c>
      <c r="AK6929">
        <v>15.0194301331245</v>
      </c>
      <c r="AL6929">
        <v>93.513698916885602</v>
      </c>
      <c r="AM6929">
        <v>92.697422790783705</v>
      </c>
      <c r="AN6929">
        <v>0.999999950430146</v>
      </c>
    </row>
    <row r="6930" spans="1:40" x14ac:dyDescent="0.25">
      <c r="A6930" t="str">
        <f>"20190303154317840"</f>
        <v>20190303154317840</v>
      </c>
      <c r="B6930" t="str">
        <f>"1551598997837267"</f>
        <v>1551598997837267</v>
      </c>
      <c r="C6930" t="s">
        <v>40</v>
      </c>
      <c r="D6930">
        <v>5.7577790000000002</v>
      </c>
      <c r="E6930">
        <v>0.53100849999999999</v>
      </c>
      <c r="F6930" t="s">
        <v>43</v>
      </c>
      <c r="G6930">
        <v>-298.86649999999997</v>
      </c>
      <c r="H6930">
        <v>-0.05</v>
      </c>
      <c r="I6930">
        <v>17.174209999999999</v>
      </c>
      <c r="J6930">
        <v>-314.24079999999998</v>
      </c>
      <c r="K6930">
        <v>1.074891</v>
      </c>
      <c r="L6930">
        <v>17.426909999999999</v>
      </c>
      <c r="M6930">
        <v>0.99966339999999998</v>
      </c>
      <c r="N6930">
        <v>-1.631792E-2</v>
      </c>
      <c r="O6930">
        <v>2.0171789999999998E-2</v>
      </c>
      <c r="P6930">
        <v>0.99533280000000002</v>
      </c>
      <c r="Q6930">
        <v>-7.4914079999999994E-2</v>
      </c>
      <c r="R6930">
        <v>6.0830549999999997E-2</v>
      </c>
      <c r="S6930">
        <v>3.0019840000000002</v>
      </c>
      <c r="T6930">
        <v>-0.21796950000000001</v>
      </c>
      <c r="U6930">
        <v>-4.8278809999999998E-2</v>
      </c>
      <c r="V6930">
        <v>-4.0649280000000003E-2</v>
      </c>
      <c r="W6930">
        <v>-5.8706969999999997E-2</v>
      </c>
      <c r="X6930">
        <v>0.99744730000000004</v>
      </c>
      <c r="Y6930">
        <v>3.6100479999999997E-2</v>
      </c>
      <c r="Z6930">
        <v>-2.7376280000000002E-3</v>
      </c>
      <c r="AA6930">
        <v>0.99934440000000002</v>
      </c>
      <c r="AB6930">
        <v>20</v>
      </c>
      <c r="AC6930">
        <v>15.3743</v>
      </c>
      <c r="AD6930">
        <v>-1.1248910000000001</v>
      </c>
      <c r="AE6930">
        <v>-0.25269999999999698</v>
      </c>
      <c r="AF6930">
        <v>0.55982086510395501</v>
      </c>
      <c r="AG6930">
        <v>-1.1248910000000001</v>
      </c>
      <c r="AH6930">
        <v>15.284272034530099</v>
      </c>
      <c r="AI6930">
        <v>94.206451970792102</v>
      </c>
      <c r="AJ6930">
        <v>87.9023508162486</v>
      </c>
      <c r="AK6930">
        <v>15.3358322496175</v>
      </c>
      <c r="AL6930">
        <v>93.365596779003397</v>
      </c>
      <c r="AM6930">
        <v>92.333701329634906</v>
      </c>
      <c r="AN6930">
        <v>0.99999999428419395</v>
      </c>
    </row>
    <row r="6931" spans="1:40" x14ac:dyDescent="0.25">
      <c r="A6931" t="str">
        <f>"20190303154317853"</f>
        <v>20190303154317853</v>
      </c>
      <c r="B6931" t="str">
        <f>"1551598997847027"</f>
        <v>1551598997847027</v>
      </c>
      <c r="C6931" t="s">
        <v>40</v>
      </c>
      <c r="D6931">
        <v>5.7785529999999996</v>
      </c>
      <c r="E6931">
        <v>0.57441359999999997</v>
      </c>
      <c r="F6931" t="s">
        <v>43</v>
      </c>
      <c r="G6931">
        <v>-298.1293</v>
      </c>
      <c r="H6931">
        <v>-0.05</v>
      </c>
      <c r="I6931">
        <v>17.083310000000001</v>
      </c>
      <c r="J6931">
        <v>-314.1207</v>
      </c>
      <c r="K6931">
        <v>1.0744479999999901</v>
      </c>
      <c r="L6931">
        <v>17.430209999999999</v>
      </c>
      <c r="M6931">
        <v>0.99965389999999998</v>
      </c>
      <c r="N6931">
        <v>-1.610808E-2</v>
      </c>
      <c r="O6931">
        <v>2.0802850000000001E-2</v>
      </c>
      <c r="P6931">
        <v>0.99557019999999996</v>
      </c>
      <c r="Q6931">
        <v>-7.4046050000000002E-2</v>
      </c>
      <c r="R6931">
        <v>5.7942960000000002E-2</v>
      </c>
      <c r="S6931">
        <v>3.0021969999999998</v>
      </c>
      <c r="T6931">
        <v>-0.20961089999999999</v>
      </c>
      <c r="U6931">
        <v>-6.4025879999999993E-2</v>
      </c>
      <c r="V6931">
        <v>-3.7150919999999997E-2</v>
      </c>
      <c r="W6931">
        <v>-5.8026250000000001E-2</v>
      </c>
      <c r="X6931">
        <v>0.99762360000000005</v>
      </c>
      <c r="Y6931">
        <v>4.1962010000000001E-2</v>
      </c>
      <c r="Z6931">
        <v>-2.917205E-3</v>
      </c>
      <c r="AA6931">
        <v>0.99911490000000003</v>
      </c>
      <c r="AB6931">
        <v>20</v>
      </c>
      <c r="AC6931">
        <v>15.991400000000001</v>
      </c>
      <c r="AD6931">
        <v>-1.1244479999999999</v>
      </c>
      <c r="AE6931">
        <v>-0.34689999999999799</v>
      </c>
      <c r="AF6931">
        <v>0.67619301216841599</v>
      </c>
      <c r="AG6931">
        <v>-1.1244479999999999</v>
      </c>
      <c r="AH6931">
        <v>15.902132966983</v>
      </c>
      <c r="AI6931">
        <v>94.041042285477204</v>
      </c>
      <c r="AJ6931">
        <v>87.565126623808794</v>
      </c>
      <c r="AK6931">
        <v>15.956172886817701</v>
      </c>
      <c r="AL6931">
        <v>93.326527632199401</v>
      </c>
      <c r="AM6931">
        <v>92.132675871633595</v>
      </c>
      <c r="AN6931">
        <v>1.0000000419114301</v>
      </c>
    </row>
    <row r="6932" spans="1:40" x14ac:dyDescent="0.25">
      <c r="A6932" t="str">
        <f>"20190303154317866"</f>
        <v>20190303154317866</v>
      </c>
      <c r="B6932" t="str">
        <f>"1551598997856786"</f>
        <v>1551598997856786</v>
      </c>
      <c r="C6932" t="s">
        <v>40</v>
      </c>
      <c r="D6932">
        <v>5.6273279999999897</v>
      </c>
      <c r="E6932">
        <v>0.58551660000000005</v>
      </c>
      <c r="F6932" t="s">
        <v>43</v>
      </c>
      <c r="G6932">
        <v>-292.00580000000002</v>
      </c>
      <c r="H6932">
        <v>-0.05</v>
      </c>
      <c r="I6932">
        <v>14.38245</v>
      </c>
      <c r="J6932">
        <v>-314.00740000000002</v>
      </c>
      <c r="K6932">
        <v>1.0740499999999999</v>
      </c>
      <c r="L6932">
        <v>17.43317</v>
      </c>
      <c r="M6932">
        <v>0.99964779999999998</v>
      </c>
      <c r="N6932">
        <v>-1.5927259999999999E-2</v>
      </c>
      <c r="O6932">
        <v>2.1229040000000001E-2</v>
      </c>
      <c r="P6932">
        <v>0.99571750000000003</v>
      </c>
      <c r="Q6932">
        <v>-7.4431170000000005E-2</v>
      </c>
      <c r="R6932">
        <v>5.4835450000000001E-2</v>
      </c>
      <c r="S6932">
        <v>3.0261840000000002</v>
      </c>
      <c r="T6932">
        <v>-0.15386839999999999</v>
      </c>
      <c r="U6932">
        <v>-0.41705320000000001</v>
      </c>
      <c r="V6932">
        <v>-3.3636060000000002E-2</v>
      </c>
      <c r="W6932">
        <v>-5.8574279999999999E-2</v>
      </c>
      <c r="X6932">
        <v>0.99771620000000005</v>
      </c>
      <c r="Y6932">
        <v>0.157251</v>
      </c>
      <c r="Z6932">
        <v>-5.9734109999999997E-3</v>
      </c>
      <c r="AA6932">
        <v>0.98754059999999999</v>
      </c>
      <c r="AB6932">
        <v>20</v>
      </c>
      <c r="AC6932">
        <v>22.0016</v>
      </c>
      <c r="AD6932">
        <v>-1.12405</v>
      </c>
      <c r="AE6932">
        <v>-3.0507200000000001</v>
      </c>
      <c r="AF6932">
        <v>3.50818030612351</v>
      </c>
      <c r="AG6932">
        <v>-1.12405</v>
      </c>
      <c r="AH6932">
        <v>21.875846570243301</v>
      </c>
      <c r="AI6932">
        <v>92.9044053644824</v>
      </c>
      <c r="AJ6932">
        <v>80.889179645604301</v>
      </c>
      <c r="AK6932">
        <v>22.1838563065036</v>
      </c>
      <c r="AL6932">
        <v>93.357981167209104</v>
      </c>
      <c r="AM6932">
        <v>91.930884394544904</v>
      </c>
      <c r="AN6932">
        <v>0.99999997327613999</v>
      </c>
    </row>
    <row r="6933" spans="1:40" x14ac:dyDescent="0.25">
      <c r="A6933" t="str">
        <f>"20190303154317878"</f>
        <v>20190303154317878</v>
      </c>
      <c r="B6933" t="str">
        <f>"1551598997867522"</f>
        <v>1551598997867522</v>
      </c>
      <c r="C6933" t="s">
        <v>40</v>
      </c>
      <c r="D6933">
        <v>5.5935819999999996</v>
      </c>
      <c r="E6933">
        <v>0.58551660000000005</v>
      </c>
      <c r="F6933" t="s">
        <v>43</v>
      </c>
      <c r="G6933">
        <v>-297.7713</v>
      </c>
      <c r="H6933">
        <v>-0.05</v>
      </c>
      <c r="I6933">
        <v>14.66267</v>
      </c>
      <c r="J6933">
        <v>-313.89729999999997</v>
      </c>
      <c r="K6933">
        <v>1.0736709999999901</v>
      </c>
      <c r="L6933">
        <v>17.436039999999998</v>
      </c>
      <c r="M6933">
        <v>0.99964339999999996</v>
      </c>
      <c r="N6933">
        <v>-1.5759229999999999E-2</v>
      </c>
      <c r="O6933">
        <v>2.155907E-2</v>
      </c>
      <c r="P6933">
        <v>0.99584729999999999</v>
      </c>
      <c r="Q6933">
        <v>-7.5346830000000004E-2</v>
      </c>
      <c r="R6933">
        <v>5.1100989999999999E-2</v>
      </c>
      <c r="S6933">
        <v>3.025665</v>
      </c>
      <c r="T6933">
        <v>-0.20947189999999999</v>
      </c>
      <c r="U6933">
        <v>-0.51629639999999999</v>
      </c>
      <c r="V6933">
        <v>-2.9591010000000001E-2</v>
      </c>
      <c r="W6933">
        <v>-5.9642969999999997E-2</v>
      </c>
      <c r="X6933">
        <v>0.99778109999999998</v>
      </c>
      <c r="Y6933">
        <v>0.18885080000000001</v>
      </c>
      <c r="Z6933">
        <v>-9.1275290000000005E-3</v>
      </c>
      <c r="AA6933">
        <v>0.98196329999999998</v>
      </c>
      <c r="AB6933">
        <v>20</v>
      </c>
      <c r="AC6933">
        <v>16.125999999999902</v>
      </c>
      <c r="AD6933">
        <v>-1.1236710000000001</v>
      </c>
      <c r="AE6933">
        <v>-2.7733699999999901</v>
      </c>
      <c r="AF6933">
        <v>3.1057833619919002</v>
      </c>
      <c r="AG6933">
        <v>-1.1236710000000001</v>
      </c>
      <c r="AH6933">
        <v>15.987058692178699</v>
      </c>
      <c r="AI6933">
        <v>93.946945794494397</v>
      </c>
      <c r="AJ6933">
        <v>79.006168074664302</v>
      </c>
      <c r="AK6933">
        <v>16.324661479952201</v>
      </c>
      <c r="AL6933">
        <v>93.419319693774199</v>
      </c>
      <c r="AM6933">
        <v>91.698712458163797</v>
      </c>
      <c r="AN6933">
        <v>1.00000001763022</v>
      </c>
    </row>
    <row r="6934" spans="1:40" x14ac:dyDescent="0.25">
      <c r="A6934" t="str">
        <f>"20190303154317889"</f>
        <v>20190303154317889</v>
      </c>
      <c r="B6934" t="str">
        <f>"1551598997887042"</f>
        <v>1551598997887042</v>
      </c>
      <c r="C6934" t="s">
        <v>40</v>
      </c>
      <c r="D6934">
        <v>5.6266790000000002</v>
      </c>
      <c r="E6934">
        <v>0.65099799999999997</v>
      </c>
      <c r="F6934" t="s">
        <v>43</v>
      </c>
      <c r="G6934">
        <v>-297.91359999999997</v>
      </c>
      <c r="H6934">
        <v>-0.05</v>
      </c>
      <c r="I6934">
        <v>14.64664</v>
      </c>
      <c r="J6934">
        <v>-313.79160000000002</v>
      </c>
      <c r="K6934">
        <v>1.073326</v>
      </c>
      <c r="L6934">
        <v>17.43863</v>
      </c>
      <c r="M6934">
        <v>0.99964249999999999</v>
      </c>
      <c r="N6934">
        <v>-1.561105E-2</v>
      </c>
      <c r="O6934">
        <v>2.171141E-2</v>
      </c>
      <c r="P6934">
        <v>0.99594280000000002</v>
      </c>
      <c r="Q6934">
        <v>-7.6483579999999995E-2</v>
      </c>
      <c r="R6934">
        <v>4.7417529999999999E-2</v>
      </c>
      <c r="S6934">
        <v>3.0234990000000002</v>
      </c>
      <c r="T6934">
        <v>-0.21255540000000001</v>
      </c>
      <c r="U6934">
        <v>-0.52764889999999998</v>
      </c>
      <c r="V6934">
        <v>-2.5774979999999999E-2</v>
      </c>
      <c r="W6934">
        <v>-6.0916390000000001E-2</v>
      </c>
      <c r="X6934">
        <v>0.99780999999999997</v>
      </c>
      <c r="Y6934">
        <v>0.19266929999999999</v>
      </c>
      <c r="Z6934">
        <v>-9.4087319999999995E-3</v>
      </c>
      <c r="AA6934">
        <v>0.98121860000000005</v>
      </c>
      <c r="AB6934">
        <v>20</v>
      </c>
      <c r="AC6934">
        <v>15.878</v>
      </c>
      <c r="AD6934">
        <v>-1.123326</v>
      </c>
      <c r="AE6934">
        <v>-2.7919900000000002</v>
      </c>
      <c r="AF6934">
        <v>3.1209550118734399</v>
      </c>
      <c r="AG6934">
        <v>-1.123326</v>
      </c>
      <c r="AH6934">
        <v>15.737225624973499</v>
      </c>
      <c r="AI6934">
        <v>94.005119320964596</v>
      </c>
      <c r="AJ6934">
        <v>78.782832742405503</v>
      </c>
      <c r="AK6934">
        <v>16.082987653409901</v>
      </c>
      <c r="AL6934">
        <v>93.492414354567799</v>
      </c>
      <c r="AM6934">
        <v>91.479709793164702</v>
      </c>
      <c r="AN6934">
        <v>0.99999997613231595</v>
      </c>
    </row>
    <row r="6935" spans="1:40" x14ac:dyDescent="0.25">
      <c r="A6935" t="str">
        <f>"20190303154317904"</f>
        <v>20190303154317904</v>
      </c>
      <c r="B6935" t="str">
        <f>"1551598997896802"</f>
        <v>1551598997896802</v>
      </c>
      <c r="C6935" t="s">
        <v>40</v>
      </c>
      <c r="D6935">
        <v>5.6058329999999996</v>
      </c>
      <c r="E6935">
        <v>0.65017499999999995</v>
      </c>
      <c r="F6935" t="s">
        <v>43</v>
      </c>
      <c r="G6935">
        <v>-302.2792</v>
      </c>
      <c r="H6935">
        <v>-0.05</v>
      </c>
      <c r="I6935">
        <v>13.415940000000001</v>
      </c>
      <c r="J6935">
        <v>-313.67090000000002</v>
      </c>
      <c r="K6935">
        <v>1.072948</v>
      </c>
      <c r="L6935">
        <v>17.44144</v>
      </c>
      <c r="M6935">
        <v>0.99964430000000004</v>
      </c>
      <c r="N6935">
        <v>-1.5453089999999999E-2</v>
      </c>
      <c r="O6935">
        <v>2.173864E-2</v>
      </c>
      <c r="P6935">
        <v>0.99605160000000004</v>
      </c>
      <c r="Q6935">
        <v>-7.7311160000000004E-2</v>
      </c>
      <c r="R6935">
        <v>4.3634560000000003E-2</v>
      </c>
      <c r="S6935">
        <v>3.040009</v>
      </c>
      <c r="T6935">
        <v>-0.29663089999999998</v>
      </c>
      <c r="U6935">
        <v>-1.0622560000000001</v>
      </c>
      <c r="V6935">
        <v>-2.1988540000000001E-2</v>
      </c>
      <c r="W6935">
        <v>-6.189182E-2</v>
      </c>
      <c r="X6935">
        <v>0.99784059999999997</v>
      </c>
      <c r="Y6935">
        <v>0.34851280000000001</v>
      </c>
      <c r="Z6935">
        <v>-2.0986939999999999E-2</v>
      </c>
      <c r="AA6935">
        <v>0.93706909999999999</v>
      </c>
      <c r="AB6935">
        <v>20</v>
      </c>
      <c r="AC6935">
        <v>11.3917</v>
      </c>
      <c r="AD6935">
        <v>-1.1229480000000001</v>
      </c>
      <c r="AE6935">
        <v>-4.0255000000000001</v>
      </c>
      <c r="AF6935">
        <v>4.2356285599482302</v>
      </c>
      <c r="AG6935">
        <v>-1.1229480000000001</v>
      </c>
      <c r="AH6935">
        <v>11.204696018937801</v>
      </c>
      <c r="AI6935">
        <v>95.355628450081099</v>
      </c>
      <c r="AJ6935">
        <v>69.292273806237503</v>
      </c>
      <c r="AK6935">
        <v>12.0310753627992</v>
      </c>
      <c r="AL6935">
        <v>93.548408034013093</v>
      </c>
      <c r="AM6935">
        <v>91.262372642590194</v>
      </c>
      <c r="AN6935">
        <v>0.99999997814130104</v>
      </c>
    </row>
    <row r="6936" spans="1:40" x14ac:dyDescent="0.25">
      <c r="A6936" t="str">
        <f>"20190303154317919"</f>
        <v>20190303154317919</v>
      </c>
      <c r="B6936" t="str">
        <f>"1551598997907538"</f>
        <v>1551598997907538</v>
      </c>
      <c r="C6936" t="s">
        <v>40</v>
      </c>
      <c r="D6936">
        <v>5.5313220000000003</v>
      </c>
      <c r="E6936">
        <v>0.64949049999999997</v>
      </c>
      <c r="F6936" t="s">
        <v>43</v>
      </c>
      <c r="G6936">
        <v>-302.79739999999998</v>
      </c>
      <c r="H6936">
        <v>-0.05</v>
      </c>
      <c r="I6936">
        <v>13.61581</v>
      </c>
      <c r="J6936">
        <v>-313.5326</v>
      </c>
      <c r="K6936">
        <v>1.0725450000000001</v>
      </c>
      <c r="L6936">
        <v>17.444459999999999</v>
      </c>
      <c r="M6936">
        <v>0.99965009999999999</v>
      </c>
      <c r="N6936">
        <v>-1.528505E-2</v>
      </c>
      <c r="O6936">
        <v>2.1590379999999999E-2</v>
      </c>
      <c r="P6936">
        <v>0.99638150000000003</v>
      </c>
      <c r="Q6936">
        <v>-7.688209E-2</v>
      </c>
      <c r="R6936">
        <v>3.6241570000000001E-2</v>
      </c>
      <c r="S6936">
        <v>3.034332</v>
      </c>
      <c r="T6936">
        <v>-0.31336530000000001</v>
      </c>
      <c r="U6936">
        <v>-1.067566</v>
      </c>
      <c r="V6936">
        <v>-1.476742E-2</v>
      </c>
      <c r="W6936">
        <v>-6.1623230000000001E-2</v>
      </c>
      <c r="X6936">
        <v>0.9979903</v>
      </c>
      <c r="Y6936">
        <v>0.35017310000000001</v>
      </c>
      <c r="Z6936">
        <v>-2.2115329999999999E-2</v>
      </c>
      <c r="AA6936">
        <v>0.93642389999999998</v>
      </c>
      <c r="AB6936">
        <v>20</v>
      </c>
      <c r="AC6936">
        <v>10.735200000000001</v>
      </c>
      <c r="AD6936">
        <v>-1.1225449999999999</v>
      </c>
      <c r="AE6936">
        <v>-3.8286500000000001</v>
      </c>
      <c r="AF6936">
        <v>4.0205605468961698</v>
      </c>
      <c r="AG6936">
        <v>-1.1225449999999999</v>
      </c>
      <c r="AH6936">
        <v>10.547708760367801</v>
      </c>
      <c r="AI6936">
        <v>95.679153825199407</v>
      </c>
      <c r="AJ6936">
        <v>69.134225525938604</v>
      </c>
      <c r="AK6936">
        <v>11.343684343361399</v>
      </c>
      <c r="AL6936">
        <v>93.532989207571305</v>
      </c>
      <c r="AM6936">
        <v>90.847752823610193</v>
      </c>
      <c r="AN6936">
        <v>1.00000006903158</v>
      </c>
    </row>
    <row r="6937" spans="1:40" x14ac:dyDescent="0.25">
      <c r="A6937" t="str">
        <f>"20190303154317940"</f>
        <v>20190303154317940</v>
      </c>
      <c r="B6937" t="str">
        <f>"1551598997936818"</f>
        <v>1551598997936818</v>
      </c>
      <c r="C6937" t="s">
        <v>40</v>
      </c>
      <c r="D6937">
        <v>5.4467150000000002</v>
      </c>
      <c r="E6937">
        <v>0.64857359999999997</v>
      </c>
      <c r="F6937" t="s">
        <v>43</v>
      </c>
      <c r="G6937">
        <v>-303.01839999999999</v>
      </c>
      <c r="H6937">
        <v>-0.05</v>
      </c>
      <c r="I6937">
        <v>13.674899999999999</v>
      </c>
      <c r="J6937">
        <v>-313.34219999999999</v>
      </c>
      <c r="K6937">
        <v>1.072025</v>
      </c>
      <c r="L6937">
        <v>17.448119999999999</v>
      </c>
      <c r="M6937">
        <v>0.99966619999999995</v>
      </c>
      <c r="N6937">
        <v>-1.508E-2</v>
      </c>
      <c r="O6937">
        <v>2.097835E-2</v>
      </c>
      <c r="P6937">
        <v>0.99677729999999998</v>
      </c>
      <c r="Q6937">
        <v>-7.504313E-2</v>
      </c>
      <c r="R6937">
        <v>2.8353949999999999E-2</v>
      </c>
      <c r="S6937">
        <v>3.025452</v>
      </c>
      <c r="T6937">
        <v>-0.32301010000000002</v>
      </c>
      <c r="U6937">
        <v>-1.084686</v>
      </c>
      <c r="V6937">
        <v>-7.5225939999999996E-3</v>
      </c>
      <c r="W6937">
        <v>-5.9986539999999998E-2</v>
      </c>
      <c r="X6937">
        <v>0.99817089999999997</v>
      </c>
      <c r="Y6937">
        <v>0.35501270000000001</v>
      </c>
      <c r="Z6937">
        <v>-2.2959110000000001E-2</v>
      </c>
      <c r="AA6937">
        <v>0.93457950000000001</v>
      </c>
      <c r="AB6937">
        <v>20</v>
      </c>
      <c r="AC6937">
        <v>10.3238</v>
      </c>
      <c r="AD6937">
        <v>-1.1220250000000001</v>
      </c>
      <c r="AE6937">
        <v>-3.7732199999999998</v>
      </c>
      <c r="AF6937">
        <v>3.94785319902455</v>
      </c>
      <c r="AG6937">
        <v>-1.1220250000000001</v>
      </c>
      <c r="AH6937">
        <v>10.136736444943001</v>
      </c>
      <c r="AI6937">
        <v>95.888819686237298</v>
      </c>
      <c r="AJ6937">
        <v>68.721077223418405</v>
      </c>
      <c r="AK6937">
        <v>10.9360829704199</v>
      </c>
      <c r="AL6937">
        <v>93.439039968109398</v>
      </c>
      <c r="AM6937">
        <v>90.431794522749598</v>
      </c>
      <c r="AN6937">
        <v>1.00000006000423</v>
      </c>
    </row>
    <row r="6938" spans="1:40" x14ac:dyDescent="0.25">
      <c r="A6938" t="str">
        <f>"20190303154317952"</f>
        <v>20190303154317952</v>
      </c>
      <c r="B6938" t="str">
        <f>"1551598997947554"</f>
        <v>1551598997947554</v>
      </c>
      <c r="C6938" t="s">
        <v>40</v>
      </c>
      <c r="D6938">
        <v>5.4368349999999896</v>
      </c>
      <c r="E6938">
        <v>0.64808319999999997</v>
      </c>
      <c r="F6938" t="s">
        <v>43</v>
      </c>
      <c r="G6938">
        <v>-302.66460000000001</v>
      </c>
      <c r="H6938">
        <v>-0.05</v>
      </c>
      <c r="I6938">
        <v>13.55016</v>
      </c>
      <c r="J6938">
        <v>-313.23540000000003</v>
      </c>
      <c r="K6938">
        <v>1.0717429999999999</v>
      </c>
      <c r="L6938">
        <v>17.449950000000001</v>
      </c>
      <c r="M6938">
        <v>0.99967859999999997</v>
      </c>
      <c r="N6938">
        <v>-1.497561E-2</v>
      </c>
      <c r="O6938">
        <v>2.045843E-2</v>
      </c>
      <c r="P6938">
        <v>0.99693969999999998</v>
      </c>
      <c r="Q6938">
        <v>-7.4566439999999998E-2</v>
      </c>
      <c r="R6938">
        <v>2.3477620000000001E-2</v>
      </c>
      <c r="S6938">
        <v>3.0171510000000001</v>
      </c>
      <c r="T6938">
        <v>-0.31704769999999999</v>
      </c>
      <c r="U6938">
        <v>-1.10144</v>
      </c>
      <c r="V6938">
        <v>-3.1846629999999999E-3</v>
      </c>
      <c r="W6938">
        <v>-5.9618450000000003E-2</v>
      </c>
      <c r="X6938">
        <v>0.9982162</v>
      </c>
      <c r="Y6938">
        <v>0.3599696</v>
      </c>
      <c r="Z6938">
        <v>-2.2846640000000001E-2</v>
      </c>
      <c r="AA6938">
        <v>0.93268419999999996</v>
      </c>
      <c r="AB6938">
        <v>20</v>
      </c>
      <c r="AC6938">
        <v>10.5708</v>
      </c>
      <c r="AD6938">
        <v>-1.1217429999999999</v>
      </c>
      <c r="AE6938">
        <v>-3.8997899999999999</v>
      </c>
      <c r="AF6938">
        <v>4.0748704367968296</v>
      </c>
      <c r="AG6938">
        <v>-1.1217429999999999</v>
      </c>
      <c r="AH6938">
        <v>10.385851857730801</v>
      </c>
      <c r="AI6938">
        <v>95.741504473671199</v>
      </c>
      <c r="AJ6938">
        <v>68.577528807026098</v>
      </c>
      <c r="AK6938">
        <v>11.212885232867601</v>
      </c>
      <c r="AL6938">
        <v>93.417912214120307</v>
      </c>
      <c r="AM6938">
        <v>90.182793196505102</v>
      </c>
      <c r="AN6938">
        <v>1.0000000418006301</v>
      </c>
    </row>
    <row r="6939" spans="1:40" x14ac:dyDescent="0.25">
      <c r="A6939" t="str">
        <f>"20190303154317963"</f>
        <v>20190303154317963</v>
      </c>
      <c r="B6939" t="str">
        <f>"1551598997957314"</f>
        <v>1551598997957314</v>
      </c>
      <c r="C6939" t="s">
        <v>40</v>
      </c>
      <c r="D6939">
        <v>5.4321289999999998</v>
      </c>
      <c r="E6939">
        <v>0.6475919</v>
      </c>
      <c r="F6939" t="s">
        <v>43</v>
      </c>
      <c r="G6939">
        <v>-302.52969999999999</v>
      </c>
      <c r="H6939">
        <v>-0.05</v>
      </c>
      <c r="I6939">
        <v>13.496219999999999</v>
      </c>
      <c r="J6939">
        <v>-313.13760000000002</v>
      </c>
      <c r="K6939">
        <v>1.071501</v>
      </c>
      <c r="L6939">
        <v>17.45139</v>
      </c>
      <c r="M6939">
        <v>0.99969240000000004</v>
      </c>
      <c r="N6939">
        <v>-1.4887839999999999E-2</v>
      </c>
      <c r="O6939">
        <v>1.9843429999999999E-2</v>
      </c>
      <c r="P6939">
        <v>0.99708289999999999</v>
      </c>
      <c r="Q6939">
        <v>-7.4071540000000005E-2</v>
      </c>
      <c r="R6939">
        <v>1.8424070000000001E-2</v>
      </c>
      <c r="S6939">
        <v>3.011841</v>
      </c>
      <c r="T6939">
        <v>-0.31558000000000003</v>
      </c>
      <c r="U6939">
        <v>-1.1123050000000001</v>
      </c>
      <c r="V6939">
        <v>1.23741E-3</v>
      </c>
      <c r="W6939">
        <v>-5.9219229999999998E-2</v>
      </c>
      <c r="X6939">
        <v>0.99824420000000003</v>
      </c>
      <c r="Y6939">
        <v>0.36288989999999999</v>
      </c>
      <c r="Z6939">
        <v>-2.2878260000000001E-2</v>
      </c>
      <c r="AA6939">
        <v>0.93155120000000002</v>
      </c>
      <c r="AB6939">
        <v>20</v>
      </c>
      <c r="AC6939">
        <v>10.607900000000001</v>
      </c>
      <c r="AD6939">
        <v>-1.1215010000000001</v>
      </c>
      <c r="AE6939">
        <v>-3.9551699999999901</v>
      </c>
      <c r="AF6939">
        <v>4.1244376175537303</v>
      </c>
      <c r="AG6939">
        <v>-1.1215010000000001</v>
      </c>
      <c r="AH6939">
        <v>10.4250154387307</v>
      </c>
      <c r="AI6939">
        <v>95.712500056162597</v>
      </c>
      <c r="AJ6939">
        <v>68.414815685986099</v>
      </c>
      <c r="AK6939">
        <v>11.267195616117901</v>
      </c>
      <c r="AL6939">
        <v>93.394998366778793</v>
      </c>
      <c r="AM6939">
        <v>89.928976963538801</v>
      </c>
      <c r="AN6939">
        <v>0.99999996560947002</v>
      </c>
    </row>
    <row r="6940" spans="1:40" x14ac:dyDescent="0.25">
      <c r="A6940" t="str">
        <f>"20190303154317973"</f>
        <v>20190303154317973</v>
      </c>
      <c r="B6940" t="str">
        <f>"1551598997967074"</f>
        <v>1551598997967074</v>
      </c>
      <c r="C6940" t="s">
        <v>40</v>
      </c>
      <c r="D6940">
        <v>5.4041230000000002</v>
      </c>
      <c r="E6940">
        <v>0.64713069999999995</v>
      </c>
      <c r="F6940" t="s">
        <v>43</v>
      </c>
      <c r="G6940">
        <v>-302.40249999999997</v>
      </c>
      <c r="H6940">
        <v>-0.05</v>
      </c>
      <c r="I6940">
        <v>13.439030000000001</v>
      </c>
      <c r="J6940">
        <v>-313.03699999999998</v>
      </c>
      <c r="K6940">
        <v>1.0712600000000001</v>
      </c>
      <c r="L6940">
        <v>17.452760000000001</v>
      </c>
      <c r="M6940">
        <v>0.99970709999999996</v>
      </c>
      <c r="N6940">
        <v>-1.480098E-2</v>
      </c>
      <c r="O6940">
        <v>1.9148169999999999E-2</v>
      </c>
      <c r="P6940">
        <v>0.99717670000000003</v>
      </c>
      <c r="Q6940">
        <v>-7.3976699999999895E-2</v>
      </c>
      <c r="R6940">
        <v>1.2886659999999999E-2</v>
      </c>
      <c r="S6940">
        <v>3.006195</v>
      </c>
      <c r="T6940">
        <v>-0.31405840000000002</v>
      </c>
      <c r="U6940">
        <v>-1.12359599999999</v>
      </c>
      <c r="V6940">
        <v>6.0616309999999996E-3</v>
      </c>
      <c r="W6940">
        <v>-5.9224039999999999E-2</v>
      </c>
      <c r="X6940">
        <v>0.99822630000000001</v>
      </c>
      <c r="Y6940">
        <v>0.36588520000000002</v>
      </c>
      <c r="Z6940">
        <v>-2.2904420000000002E-2</v>
      </c>
      <c r="AA6940">
        <v>0.93037809999999999</v>
      </c>
      <c r="AB6940">
        <v>20</v>
      </c>
      <c r="AC6940">
        <v>10.634499999999999</v>
      </c>
      <c r="AD6940">
        <v>-1.1212599999999999</v>
      </c>
      <c r="AE6940">
        <v>-4.0137299999999998</v>
      </c>
      <c r="AF6940">
        <v>4.17601220532433</v>
      </c>
      <c r="AG6940">
        <v>-1.1212599999999999</v>
      </c>
      <c r="AH6940">
        <v>10.453962080838</v>
      </c>
      <c r="AI6940">
        <v>95.688120304928006</v>
      </c>
      <c r="AJ6940">
        <v>68.224924918324007</v>
      </c>
      <c r="AK6940">
        <v>11.3128964069427</v>
      </c>
      <c r="AL6940">
        <v>93.3952743674282</v>
      </c>
      <c r="AM6940">
        <v>89.652081292087004</v>
      </c>
      <c r="AN6940">
        <v>0.99999998814799496</v>
      </c>
    </row>
    <row r="6941" spans="1:40" x14ac:dyDescent="0.25">
      <c r="A6941" t="str">
        <f>"20190303154317986"</f>
        <v>20190303154317986</v>
      </c>
      <c r="B6941" t="str">
        <f>"1551598997976834"</f>
        <v>1551598997976834</v>
      </c>
      <c r="C6941" t="s">
        <v>40</v>
      </c>
      <c r="D6941">
        <v>5.386819</v>
      </c>
      <c r="E6941">
        <v>0.64676889999999998</v>
      </c>
      <c r="F6941" t="s">
        <v>43</v>
      </c>
      <c r="G6941">
        <v>-302.31950000000001</v>
      </c>
      <c r="H6941">
        <v>-0.05</v>
      </c>
      <c r="I6941">
        <v>13.39212</v>
      </c>
      <c r="J6941">
        <v>-312.93119999999999</v>
      </c>
      <c r="K6941">
        <v>1.0710200000000001</v>
      </c>
      <c r="L6941">
        <v>17.453859999999999</v>
      </c>
      <c r="M6941">
        <v>0.99972589999999995</v>
      </c>
      <c r="N6941">
        <v>-1.4719690000000001E-2</v>
      </c>
      <c r="O6941">
        <v>1.821004E-2</v>
      </c>
      <c r="P6941">
        <v>0.99724009999999996</v>
      </c>
      <c r="Q6941">
        <v>-7.3921890000000004E-2</v>
      </c>
      <c r="R6941">
        <v>6.9086929999999996E-3</v>
      </c>
      <c r="S6941">
        <v>2.9998779999999998</v>
      </c>
      <c r="T6941">
        <v>-0.31384630000000002</v>
      </c>
      <c r="U6941">
        <v>-1.1365970000000001</v>
      </c>
      <c r="V6941">
        <v>1.1082420000000001E-2</v>
      </c>
      <c r="W6941">
        <v>-5.9267790000000001E-2</v>
      </c>
      <c r="X6941">
        <v>0.99818059999999997</v>
      </c>
      <c r="Y6941">
        <v>0.36916840000000001</v>
      </c>
      <c r="Z6941">
        <v>-2.3013510000000001E-2</v>
      </c>
      <c r="AA6941">
        <v>0.9290775</v>
      </c>
      <c r="AB6941">
        <v>20</v>
      </c>
      <c r="AC6941">
        <v>10.6116999999999</v>
      </c>
      <c r="AD6941">
        <v>-1.1210199999999999</v>
      </c>
      <c r="AE6941">
        <v>-4.0617399999999897</v>
      </c>
      <c r="AF6941">
        <v>4.2133153578469802</v>
      </c>
      <c r="AG6941">
        <v>-1.1210199999999999</v>
      </c>
      <c r="AH6941">
        <v>10.434401613332</v>
      </c>
      <c r="AI6941">
        <v>95.689043837302407</v>
      </c>
      <c r="AJ6941">
        <v>68.011597036076395</v>
      </c>
      <c r="AK6941">
        <v>11.308644886694999</v>
      </c>
      <c r="AL6941">
        <v>93.397785426440905</v>
      </c>
      <c r="AM6941">
        <v>89.363892862726303</v>
      </c>
      <c r="AN6941">
        <v>1.0000000005904499</v>
      </c>
    </row>
    <row r="6942" spans="1:40" x14ac:dyDescent="0.25">
      <c r="A6942" t="str">
        <f>"20190303154317998"</f>
        <v>20190303154317998</v>
      </c>
      <c r="B6942" t="str">
        <f>"1551598997987570"</f>
        <v>1551598997987570</v>
      </c>
      <c r="C6942" t="s">
        <v>40</v>
      </c>
      <c r="D6942">
        <v>5.4095300000000002</v>
      </c>
      <c r="E6942">
        <v>0.64625469999999996</v>
      </c>
      <c r="F6942" t="s">
        <v>43</v>
      </c>
      <c r="G6942">
        <v>-302.2724</v>
      </c>
      <c r="H6942">
        <v>-0.05</v>
      </c>
      <c r="I6942">
        <v>13.352679999999999</v>
      </c>
      <c r="J6942">
        <v>-312.82889999999998</v>
      </c>
      <c r="K6942">
        <v>1.070792</v>
      </c>
      <c r="L6942">
        <v>17.454799999999999</v>
      </c>
      <c r="M6942">
        <v>0.99974410000000002</v>
      </c>
      <c r="N6942">
        <v>-1.4643720000000001E-2</v>
      </c>
      <c r="O6942">
        <v>1.7240459999999999E-2</v>
      </c>
      <c r="P6942">
        <v>0.9972569</v>
      </c>
      <c r="Q6942">
        <v>-7.40117E-2</v>
      </c>
      <c r="R6942">
        <v>8.5536409999999998E-4</v>
      </c>
      <c r="S6942">
        <v>2.9929199999999998</v>
      </c>
      <c r="T6942">
        <v>-0.31477339999999998</v>
      </c>
      <c r="U6942">
        <v>-1.151581</v>
      </c>
      <c r="V6942">
        <v>1.6146500000000001E-2</v>
      </c>
      <c r="W6942">
        <v>-5.9455000000000001E-2</v>
      </c>
      <c r="X6942">
        <v>0.9981004</v>
      </c>
      <c r="Y6942">
        <v>0.3730057</v>
      </c>
      <c r="Z6942">
        <v>-2.3228970000000002E-2</v>
      </c>
      <c r="AA6942">
        <v>0.92753819999999998</v>
      </c>
      <c r="AB6942">
        <v>20</v>
      </c>
      <c r="AC6942">
        <v>10.5564999999999</v>
      </c>
      <c r="AD6942">
        <v>-1.120792</v>
      </c>
      <c r="AE6942">
        <v>-4.1021199999999904</v>
      </c>
      <c r="AF6942">
        <v>4.2419850343132897</v>
      </c>
      <c r="AG6942">
        <v>-1.120792</v>
      </c>
      <c r="AH6942">
        <v>10.382520165279001</v>
      </c>
      <c r="AI6942">
        <v>95.706675248457799</v>
      </c>
      <c r="AJ6942">
        <v>67.776553924872701</v>
      </c>
      <c r="AK6942">
        <v>11.2715277012935</v>
      </c>
      <c r="AL6942">
        <v>93.408530694513004</v>
      </c>
      <c r="AM6942">
        <v>89.073193825120697</v>
      </c>
      <c r="AN6942">
        <v>1.0000000074837001</v>
      </c>
    </row>
    <row r="6943" spans="1:40" x14ac:dyDescent="0.25">
      <c r="A6943" t="str">
        <f>"20190303154318009"</f>
        <v>20190303154318009</v>
      </c>
      <c r="B6943" t="str">
        <f>"1551598997997329"</f>
        <v>1551598997997329</v>
      </c>
      <c r="C6943" t="s">
        <v>40</v>
      </c>
      <c r="D6943">
        <v>5.3846660000000002</v>
      </c>
      <c r="E6943">
        <v>0.64579379999999997</v>
      </c>
      <c r="F6943" t="s">
        <v>43</v>
      </c>
      <c r="G6943">
        <v>-302.2826</v>
      </c>
      <c r="H6943">
        <v>-0.05</v>
      </c>
      <c r="I6943">
        <v>13.337630000000001</v>
      </c>
      <c r="J6943">
        <v>-312.72480000000002</v>
      </c>
      <c r="K6943">
        <v>1.0705769999999999</v>
      </c>
      <c r="L6943">
        <v>17.455349999999999</v>
      </c>
      <c r="M6943">
        <v>0.99976469999999995</v>
      </c>
      <c r="N6943">
        <v>-1.4574989999999999E-2</v>
      </c>
      <c r="O6943">
        <v>1.6069119999999999E-2</v>
      </c>
      <c r="P6943">
        <v>0.99726329999999996</v>
      </c>
      <c r="Q6943">
        <v>-7.3772770000000001E-2</v>
      </c>
      <c r="R6943">
        <v>-4.8895739999999998E-3</v>
      </c>
      <c r="S6943">
        <v>2.985687</v>
      </c>
      <c r="T6943">
        <v>-0.31730059999999999</v>
      </c>
      <c r="U6943">
        <v>-1.1655879999999901</v>
      </c>
      <c r="V6943">
        <v>2.0701770000000001E-2</v>
      </c>
      <c r="W6943">
        <v>-5.9307930000000002E-2</v>
      </c>
      <c r="X6943">
        <v>0.9980251</v>
      </c>
      <c r="Y6943">
        <v>0.37640089999999998</v>
      </c>
      <c r="Z6943">
        <v>-2.351021E-2</v>
      </c>
      <c r="AA6943">
        <v>0.9261585</v>
      </c>
      <c r="AB6943">
        <v>20</v>
      </c>
      <c r="AC6943">
        <v>10.4422</v>
      </c>
      <c r="AD6943">
        <v>-1.1205769999999999</v>
      </c>
      <c r="AE6943">
        <v>-4.1177199999999896</v>
      </c>
      <c r="AF6943">
        <v>4.2427192189952203</v>
      </c>
      <c r="AG6943">
        <v>-1.1205769999999999</v>
      </c>
      <c r="AH6943">
        <v>10.2723004993267</v>
      </c>
      <c r="AI6943">
        <v>95.757434868073204</v>
      </c>
      <c r="AJ6943">
        <v>67.558140083073496</v>
      </c>
      <c r="AK6943">
        <v>11.170340940751499</v>
      </c>
      <c r="AL6943">
        <v>93.400089173660803</v>
      </c>
      <c r="AM6943">
        <v>88.811699245812903</v>
      </c>
      <c r="AN6943">
        <v>1.00000004703601</v>
      </c>
    </row>
    <row r="6944" spans="1:40" x14ac:dyDescent="0.25">
      <c r="A6944" t="str">
        <f>"20190303154318020"</f>
        <v>20190303154318020</v>
      </c>
      <c r="B6944" t="str">
        <f>"1551598998016851"</f>
        <v>1551598998016851</v>
      </c>
      <c r="C6944" t="s">
        <v>40</v>
      </c>
      <c r="D6944">
        <v>5.0207699999999997</v>
      </c>
      <c r="E6944">
        <v>0.64861069999999998</v>
      </c>
      <c r="F6944" t="s">
        <v>43</v>
      </c>
      <c r="G6944">
        <v>-302.2088</v>
      </c>
      <c r="H6944">
        <v>-0.05</v>
      </c>
      <c r="I6944">
        <v>13.293609999999999</v>
      </c>
      <c r="J6944">
        <v>-312.62819999999999</v>
      </c>
      <c r="K6944">
        <v>1.070379</v>
      </c>
      <c r="L6944">
        <v>17.455779999999901</v>
      </c>
      <c r="M6944">
        <v>0.99978350000000005</v>
      </c>
      <c r="N6944">
        <v>-1.4514620000000001E-2</v>
      </c>
      <c r="O6944">
        <v>1.4906330000000001E-2</v>
      </c>
      <c r="P6944">
        <v>0.99720940000000002</v>
      </c>
      <c r="Q6944">
        <v>-7.3920639999999996E-2</v>
      </c>
      <c r="R6944">
        <v>-1.045696E-2</v>
      </c>
      <c r="S6944">
        <v>2.9789430000000001</v>
      </c>
      <c r="T6944">
        <v>-0.31743310000000002</v>
      </c>
      <c r="U6944">
        <v>-1.178925</v>
      </c>
      <c r="V6944">
        <v>2.5088579999999999E-2</v>
      </c>
      <c r="W6944">
        <v>-5.9541520000000001E-2</v>
      </c>
      <c r="X6944">
        <v>0.99791050000000003</v>
      </c>
      <c r="Y6944">
        <v>0.37960329999999998</v>
      </c>
      <c r="Z6944">
        <v>-2.36233E-2</v>
      </c>
      <c r="AA6944">
        <v>0.92484770000000005</v>
      </c>
      <c r="AB6944">
        <v>20</v>
      </c>
      <c r="AC6944">
        <v>10.4193999999999</v>
      </c>
      <c r="AD6944">
        <v>-1.120379</v>
      </c>
      <c r="AE6944">
        <v>-4.1621699999999899</v>
      </c>
      <c r="AF6944">
        <v>4.27441780196399</v>
      </c>
      <c r="AG6944">
        <v>-1.120379</v>
      </c>
      <c r="AH6944">
        <v>10.253948783098799</v>
      </c>
      <c r="AI6944">
        <v>95.758895797307403</v>
      </c>
      <c r="AJ6944">
        <v>67.370903221854405</v>
      </c>
      <c r="AK6944">
        <v>11.1655435289018</v>
      </c>
      <c r="AL6944">
        <v>93.413496756423797</v>
      </c>
      <c r="AM6944">
        <v>88.559823752097202</v>
      </c>
      <c r="AN6944">
        <v>0.99999999773028803</v>
      </c>
    </row>
    <row r="6945" spans="1:40" x14ac:dyDescent="0.25">
      <c r="A6945" t="str">
        <f>"20190303154318030"</f>
        <v>20190303154318030</v>
      </c>
      <c r="B6945" t="str">
        <f>"1551598998027586"</f>
        <v>1551598998027586</v>
      </c>
      <c r="C6945" t="s">
        <v>40</v>
      </c>
      <c r="D6945">
        <v>5.3397040000000002</v>
      </c>
      <c r="E6945">
        <v>0.64861069999999998</v>
      </c>
      <c r="F6945" t="s">
        <v>43</v>
      </c>
      <c r="G6945">
        <v>-300.62450000000001</v>
      </c>
      <c r="H6945">
        <v>-0.05</v>
      </c>
      <c r="I6945">
        <v>12.544140000000001</v>
      </c>
      <c r="J6945">
        <v>-312.5335</v>
      </c>
      <c r="K6945">
        <v>1.0701969999999901</v>
      </c>
      <c r="L6945">
        <v>17.455870000000001</v>
      </c>
      <c r="M6945">
        <v>0.99980219999999997</v>
      </c>
      <c r="N6945">
        <v>-1.446048E-2</v>
      </c>
      <c r="O6945">
        <v>1.3661899999999999E-2</v>
      </c>
      <c r="P6945">
        <v>0.99715430000000005</v>
      </c>
      <c r="Q6945">
        <v>-7.3682250000000005E-2</v>
      </c>
      <c r="R6945">
        <v>-1.5953559999999999E-2</v>
      </c>
      <c r="S6945">
        <v>2.9750369999999999</v>
      </c>
      <c r="T6945">
        <v>-0.2776787</v>
      </c>
      <c r="U6945">
        <v>-1.2173160000000001</v>
      </c>
      <c r="V6945">
        <v>2.9326290000000001E-2</v>
      </c>
      <c r="W6945">
        <v>-5.9383949999999998E-2</v>
      </c>
      <c r="X6945">
        <v>0.99780429999999998</v>
      </c>
      <c r="Y6945">
        <v>0.3895671</v>
      </c>
      <c r="Z6945">
        <v>-2.141011E-2</v>
      </c>
      <c r="AA6945">
        <v>0.92074920000000005</v>
      </c>
      <c r="AB6945">
        <v>20</v>
      </c>
      <c r="AC6945">
        <v>11.908999999999899</v>
      </c>
      <c r="AD6945">
        <v>-1.1201970000000001</v>
      </c>
      <c r="AE6945">
        <v>-4.9117300000000004</v>
      </c>
      <c r="AF6945">
        <v>5.0359085844093396</v>
      </c>
      <c r="AG6945">
        <v>-1.1201970000000001</v>
      </c>
      <c r="AH6945">
        <v>11.751914574602701</v>
      </c>
      <c r="AI6945">
        <v>95.007180456555602</v>
      </c>
      <c r="AJ6945">
        <v>66.8039889333822</v>
      </c>
      <c r="AK6945">
        <v>12.8344346489472</v>
      </c>
      <c r="AL6945">
        <v>93.404452809747696</v>
      </c>
      <c r="AM6945">
        <v>88.3165144924766</v>
      </c>
      <c r="AN6945">
        <v>0.99999995295062705</v>
      </c>
    </row>
    <row r="6946" spans="1:40" x14ac:dyDescent="0.25">
      <c r="A6946" t="str">
        <f>"20190303154318040"</f>
        <v>20190303154318040</v>
      </c>
      <c r="B6946" t="str">
        <f>"1551598998037346"</f>
        <v>1551598998037346</v>
      </c>
      <c r="C6946" t="s">
        <v>40</v>
      </c>
      <c r="D6946">
        <v>4.9468259999999997</v>
      </c>
      <c r="E6946">
        <v>0.64756859999999905</v>
      </c>
      <c r="F6946" t="s">
        <v>43</v>
      </c>
      <c r="G6946">
        <v>-300.53390000000002</v>
      </c>
      <c r="H6946">
        <v>-0.05</v>
      </c>
      <c r="I6946">
        <v>12.4682</v>
      </c>
      <c r="J6946">
        <v>-312.44659999999999</v>
      </c>
      <c r="K6946">
        <v>1.070039</v>
      </c>
      <c r="L6946">
        <v>17.45581</v>
      </c>
      <c r="M6946">
        <v>0.99981869999999995</v>
      </c>
      <c r="N6946">
        <v>-1.4413840000000001E-2</v>
      </c>
      <c r="O6946">
        <v>1.244988E-2</v>
      </c>
      <c r="P6946">
        <v>0.99704519999999996</v>
      </c>
      <c r="Q6946">
        <v>-7.3862750000000005E-2</v>
      </c>
      <c r="R6946">
        <v>-2.1107069999999999E-2</v>
      </c>
      <c r="S6946">
        <v>2.9683229999999998</v>
      </c>
      <c r="T6946">
        <v>-0.2771014</v>
      </c>
      <c r="U6946">
        <v>-1.233795</v>
      </c>
      <c r="V6946">
        <v>3.3253530000000003E-2</v>
      </c>
      <c r="W6946">
        <v>-5.9638009999999998E-2</v>
      </c>
      <c r="X6946">
        <v>0.9976661</v>
      </c>
      <c r="Y6946">
        <v>0.39353539999999998</v>
      </c>
      <c r="Z6946">
        <v>-2.150144E-2</v>
      </c>
      <c r="AA6946">
        <v>0.91905800000000004</v>
      </c>
      <c r="AB6946">
        <v>20</v>
      </c>
      <c r="AC6946">
        <v>11.9126999999999</v>
      </c>
      <c r="AD6946">
        <v>-1.120039</v>
      </c>
      <c r="AE6946">
        <v>-4.9876100000000001</v>
      </c>
      <c r="AF6946">
        <v>5.0972121823412504</v>
      </c>
      <c r="AG6946">
        <v>-1.120039</v>
      </c>
      <c r="AH6946">
        <v>11.761213942027201</v>
      </c>
      <c r="AI6946">
        <v>94.993731042640306</v>
      </c>
      <c r="AJ6946">
        <v>66.568493092817306</v>
      </c>
      <c r="AK6946">
        <v>12.867098071572499</v>
      </c>
      <c r="AL6946">
        <v>93.419034826516196</v>
      </c>
      <c r="AM6946">
        <v>88.090962681601496</v>
      </c>
      <c r="AN6946">
        <v>1.0000000682917101</v>
      </c>
    </row>
    <row r="6947" spans="1:40" x14ac:dyDescent="0.25">
      <c r="A6947" t="str">
        <f>"20190303154318052"</f>
        <v>20190303154318052</v>
      </c>
      <c r="B6947" t="str">
        <f>"1551598998047106"</f>
        <v>1551598998047106</v>
      </c>
      <c r="C6947" t="s">
        <v>40</v>
      </c>
      <c r="D6947">
        <v>5.3545860000000003</v>
      </c>
      <c r="E6947">
        <v>0.64665869999999903</v>
      </c>
      <c r="F6947" t="s">
        <v>43</v>
      </c>
      <c r="G6947">
        <v>-299.62279999999998</v>
      </c>
      <c r="H6947">
        <v>-0.05</v>
      </c>
      <c r="I6947">
        <v>12.087910000000001</v>
      </c>
      <c r="J6947">
        <v>-312.32940000000002</v>
      </c>
      <c r="K6947">
        <v>1.0698369999999999</v>
      </c>
      <c r="L6947">
        <v>17.455439999999999</v>
      </c>
      <c r="M6947">
        <v>0.9998397</v>
      </c>
      <c r="N6947">
        <v>-1.4355130000000001E-2</v>
      </c>
      <c r="O6947">
        <v>1.071487E-2</v>
      </c>
      <c r="P6947">
        <v>0.99692939999999997</v>
      </c>
      <c r="Q6947">
        <v>-7.3387090000000002E-2</v>
      </c>
      <c r="R6947">
        <v>-2.7326380000000001E-2</v>
      </c>
      <c r="S6947">
        <v>2.96347</v>
      </c>
      <c r="T6947">
        <v>-0.25883109999999998</v>
      </c>
      <c r="U6947">
        <v>-1.2404790000000001</v>
      </c>
      <c r="V6947">
        <v>3.7724489999999999E-2</v>
      </c>
      <c r="W6947">
        <v>-5.9254800000000003E-2</v>
      </c>
      <c r="X6947">
        <v>0.99752980000000002</v>
      </c>
      <c r="Y6947">
        <v>0.39444600000000002</v>
      </c>
      <c r="Z6947">
        <v>-2.0203559999999999E-2</v>
      </c>
      <c r="AA6947">
        <v>0.91869699999999999</v>
      </c>
      <c r="AB6947">
        <v>20</v>
      </c>
      <c r="AC6947">
        <v>12.7066</v>
      </c>
      <c r="AD6947">
        <v>-1.119837</v>
      </c>
      <c r="AE6947">
        <v>-5.3675299999999897</v>
      </c>
      <c r="AF6947">
        <v>5.4673507061195901</v>
      </c>
      <c r="AG6947">
        <v>-1.119837</v>
      </c>
      <c r="AH6947">
        <v>12.5655341225367</v>
      </c>
      <c r="AI6947">
        <v>94.671792344527205</v>
      </c>
      <c r="AJ6947">
        <v>66.485809221307093</v>
      </c>
      <c r="AK6947">
        <v>13.7491311156345</v>
      </c>
      <c r="AL6947">
        <v>93.397039896324699</v>
      </c>
      <c r="AM6947">
        <v>87.8342255924303</v>
      </c>
      <c r="AN6947">
        <v>0.99999998517842004</v>
      </c>
    </row>
    <row r="6948" spans="1:40" x14ac:dyDescent="0.25">
      <c r="A6948" t="str">
        <f>"20190303154318064"</f>
        <v>20190303154318064</v>
      </c>
      <c r="B6948" t="str">
        <f>"1551598998056867"</f>
        <v>1551598998056867</v>
      </c>
      <c r="C6948" t="s">
        <v>40</v>
      </c>
      <c r="D6948">
        <v>5.3540710000000002</v>
      </c>
      <c r="E6948">
        <v>0.64586779999999999</v>
      </c>
      <c r="F6948" t="s">
        <v>43</v>
      </c>
      <c r="G6948">
        <v>-299.63819999999998</v>
      </c>
      <c r="H6948">
        <v>-0.05</v>
      </c>
      <c r="I6948">
        <v>12.080399999999999</v>
      </c>
      <c r="J6948">
        <v>-312.23250000000002</v>
      </c>
      <c r="K6948">
        <v>1.0696969999999999</v>
      </c>
      <c r="L6948">
        <v>17.454740000000001</v>
      </c>
      <c r="M6948">
        <v>0.99985559999999996</v>
      </c>
      <c r="N6948">
        <v>-1.4311229999999999E-2</v>
      </c>
      <c r="O6948">
        <v>9.1639640000000001E-3</v>
      </c>
      <c r="P6948">
        <v>0.99676759999999998</v>
      </c>
      <c r="Q6948">
        <v>-7.3056090000000004E-2</v>
      </c>
      <c r="R6948">
        <v>-3.3425120000000003E-2</v>
      </c>
      <c r="S6948">
        <v>2.9557500000000001</v>
      </c>
      <c r="T6948">
        <v>-0.26080599999999998</v>
      </c>
      <c r="U6948">
        <v>-1.2518309999999999</v>
      </c>
      <c r="V6948">
        <v>4.2263769999999999E-2</v>
      </c>
      <c r="W6948">
        <v>-5.9001249999999998E-2</v>
      </c>
      <c r="X6948">
        <v>0.99736290000000005</v>
      </c>
      <c r="Y6948">
        <v>0.39683950000000001</v>
      </c>
      <c r="Z6948">
        <v>-2.0368649999999999E-2</v>
      </c>
      <c r="AA6948">
        <v>0.91766199999999998</v>
      </c>
      <c r="AB6948">
        <v>20</v>
      </c>
      <c r="AC6948">
        <v>12.5943</v>
      </c>
      <c r="AD6948">
        <v>-1.1196969999999999</v>
      </c>
      <c r="AE6948">
        <v>-5.3743400000000001</v>
      </c>
      <c r="AF6948">
        <v>5.4530777218494801</v>
      </c>
      <c r="AG6948">
        <v>-1.1196969999999999</v>
      </c>
      <c r="AH6948">
        <v>12.461193774043901</v>
      </c>
      <c r="AI6948">
        <v>94.705857372138396</v>
      </c>
      <c r="AJ6948">
        <v>66.365584419547105</v>
      </c>
      <c r="AK6948">
        <v>13.6481181225329</v>
      </c>
      <c r="AL6948">
        <v>93.382486822684399</v>
      </c>
      <c r="AM6948">
        <v>87.573513343148605</v>
      </c>
      <c r="AN6948">
        <v>1.00000006402629</v>
      </c>
    </row>
    <row r="6949" spans="1:40" x14ac:dyDescent="0.25">
      <c r="A6949" t="str">
        <f>"20190303154318076"</f>
        <v>20190303154318076</v>
      </c>
      <c r="B6949" t="str">
        <f>"1551598998067602"</f>
        <v>1551598998067602</v>
      </c>
      <c r="C6949" t="s">
        <v>40</v>
      </c>
      <c r="D6949">
        <v>5.341018</v>
      </c>
      <c r="E6949">
        <v>0.64505299999999999</v>
      </c>
      <c r="F6949" t="s">
        <v>43</v>
      </c>
      <c r="G6949">
        <v>-299.74059999999997</v>
      </c>
      <c r="H6949">
        <v>-0.05</v>
      </c>
      <c r="I6949">
        <v>12.100630000000001</v>
      </c>
      <c r="J6949">
        <v>-312.12990000000002</v>
      </c>
      <c r="K6949">
        <v>1.0695539999999999</v>
      </c>
      <c r="L6949">
        <v>17.45392</v>
      </c>
      <c r="M6949">
        <v>0.99987020000000004</v>
      </c>
      <c r="N6949">
        <v>-1.4265740000000001E-2</v>
      </c>
      <c r="O6949">
        <v>7.4876839999999997E-3</v>
      </c>
      <c r="P6949">
        <v>0.9965657</v>
      </c>
      <c r="Q6949">
        <v>-7.2447349999999994E-2</v>
      </c>
      <c r="R6949">
        <v>-4.0105050000000003E-2</v>
      </c>
      <c r="S6949">
        <v>2.9480590000000002</v>
      </c>
      <c r="T6949">
        <v>-0.26424419999999998</v>
      </c>
      <c r="U6949">
        <v>-1.26355</v>
      </c>
      <c r="V6949">
        <v>4.7260740000000002E-2</v>
      </c>
      <c r="W6949">
        <v>-5.847641E-2</v>
      </c>
      <c r="X6949">
        <v>0.99716939999999998</v>
      </c>
      <c r="Y6949">
        <v>0.39919830000000001</v>
      </c>
      <c r="Z6949">
        <v>-2.0619800000000001E-2</v>
      </c>
      <c r="AA6949">
        <v>0.91663269999999997</v>
      </c>
      <c r="AB6949">
        <v>20</v>
      </c>
      <c r="AC6949">
        <v>12.3893</v>
      </c>
      <c r="AD6949">
        <v>-1.1195539999999999</v>
      </c>
      <c r="AE6949">
        <v>-5.3532899999999897</v>
      </c>
      <c r="AF6949">
        <v>5.4086989497169196</v>
      </c>
      <c r="AG6949">
        <v>-1.1195539999999999</v>
      </c>
      <c r="AH6949">
        <v>12.2644722866919</v>
      </c>
      <c r="AI6949">
        <v>94.774429298781399</v>
      </c>
      <c r="AJ6949">
        <v>66.202259955979997</v>
      </c>
      <c r="AK6949">
        <v>13.4508254749892</v>
      </c>
      <c r="AL6949">
        <v>93.352364111923094</v>
      </c>
      <c r="AM6949">
        <v>87.286503028082393</v>
      </c>
      <c r="AN6949">
        <v>0.99999994018409599</v>
      </c>
    </row>
    <row r="6950" spans="1:40" x14ac:dyDescent="0.25">
      <c r="A6950" t="str">
        <f>"20190303154318086"</f>
        <v>20190303154318086</v>
      </c>
      <c r="B6950" t="str">
        <f>"1551598998077363"</f>
        <v>1551598998077363</v>
      </c>
      <c r="C6950" t="s">
        <v>40</v>
      </c>
      <c r="D6950">
        <v>5.2980090000000004</v>
      </c>
      <c r="E6950">
        <v>0.64417480000000005</v>
      </c>
      <c r="F6950" t="s">
        <v>43</v>
      </c>
      <c r="G6950">
        <v>-299.79270000000002</v>
      </c>
      <c r="H6950">
        <v>-0.05</v>
      </c>
      <c r="I6950">
        <v>12.095470000000001</v>
      </c>
      <c r="J6950">
        <v>-312.03379999999999</v>
      </c>
      <c r="K6950">
        <v>1.069442</v>
      </c>
      <c r="L6950">
        <v>17.4527</v>
      </c>
      <c r="M6950">
        <v>0.99988200000000005</v>
      </c>
      <c r="N6950">
        <v>-1.422825E-2</v>
      </c>
      <c r="O6950">
        <v>5.7896479999999997E-3</v>
      </c>
      <c r="P6950">
        <v>0.99628660000000002</v>
      </c>
      <c r="Q6950">
        <v>-7.2208120000000001E-2</v>
      </c>
      <c r="R6950">
        <v>-4.6892280000000001E-2</v>
      </c>
      <c r="S6950">
        <v>2.9396059999999999</v>
      </c>
      <c r="T6950">
        <v>-0.26675749999999998</v>
      </c>
      <c r="U6950">
        <v>-1.276764</v>
      </c>
      <c r="V6950">
        <v>5.2345589999999997E-2</v>
      </c>
      <c r="W6950">
        <v>-5.831356E-2</v>
      </c>
      <c r="X6950">
        <v>0.99692499999999995</v>
      </c>
      <c r="Y6950">
        <v>0.40202670000000001</v>
      </c>
      <c r="Z6950">
        <v>-2.0834970000000001E-2</v>
      </c>
      <c r="AA6950">
        <v>0.91539090000000001</v>
      </c>
      <c r="AB6950">
        <v>20</v>
      </c>
      <c r="AC6950">
        <v>12.2410999999999</v>
      </c>
      <c r="AD6950">
        <v>-1.119442</v>
      </c>
      <c r="AE6950">
        <v>-5.3572300000000004</v>
      </c>
      <c r="AF6950">
        <v>5.3901869092562498</v>
      </c>
      <c r="AG6950">
        <v>-1.119442</v>
      </c>
      <c r="AH6950">
        <v>12.124774986398901</v>
      </c>
      <c r="AI6950">
        <v>94.822379535990393</v>
      </c>
      <c r="AJ6950">
        <v>66.031994583882295</v>
      </c>
      <c r="AK6950">
        <v>13.316059243593299</v>
      </c>
      <c r="AL6950">
        <v>93.343017364667503</v>
      </c>
      <c r="AM6950">
        <v>86.994327862568994</v>
      </c>
      <c r="AN6950">
        <v>0.99999999384866001</v>
      </c>
    </row>
    <row r="6951" spans="1:40" x14ac:dyDescent="0.25">
      <c r="A6951" t="str">
        <f>"20190303154318099"</f>
        <v>20190303154318099</v>
      </c>
      <c r="B6951" t="str">
        <f>"1551598998087122"</f>
        <v>1551598998087122</v>
      </c>
      <c r="C6951" t="s">
        <v>40</v>
      </c>
      <c r="D6951">
        <v>5.3378040000000002</v>
      </c>
      <c r="E6951">
        <v>0.64341269999999995</v>
      </c>
      <c r="F6951" t="s">
        <v>43</v>
      </c>
      <c r="G6951">
        <v>-299.87599999999998</v>
      </c>
      <c r="H6951">
        <v>-0.05</v>
      </c>
      <c r="I6951">
        <v>12.102690000000001</v>
      </c>
      <c r="J6951">
        <v>-311.92700000000002</v>
      </c>
      <c r="K6951">
        <v>1.0693250000000001</v>
      </c>
      <c r="L6951">
        <v>17.451260000000001</v>
      </c>
      <c r="M6951">
        <v>0.99989189999999994</v>
      </c>
      <c r="N6951">
        <v>-1.41876E-2</v>
      </c>
      <c r="O6951">
        <v>3.876179E-3</v>
      </c>
      <c r="P6951">
        <v>0.99590619999999996</v>
      </c>
      <c r="Q6951">
        <v>-7.2335540000000004E-2</v>
      </c>
      <c r="R6951">
        <v>-5.4206169999999998E-2</v>
      </c>
      <c r="S6951">
        <v>2.9308779999999999</v>
      </c>
      <c r="T6951">
        <v>-0.26986529999999997</v>
      </c>
      <c r="U6951">
        <v>-1.2897339999999999</v>
      </c>
      <c r="V6951">
        <v>5.7740519999999997E-2</v>
      </c>
      <c r="W6951">
        <v>-5.8525210000000001E-2</v>
      </c>
      <c r="X6951">
        <v>0.99661469999999996</v>
      </c>
      <c r="Y6951">
        <v>0.4046227</v>
      </c>
      <c r="Z6951">
        <v>-2.1062930000000001E-2</v>
      </c>
      <c r="AA6951">
        <v>0.91424110000000003</v>
      </c>
      <c r="AB6951">
        <v>20</v>
      </c>
      <c r="AC6951">
        <v>12.051</v>
      </c>
      <c r="AD6951">
        <v>-1.1193249999999999</v>
      </c>
      <c r="AE6951">
        <v>-5.3485699999999996</v>
      </c>
      <c r="AF6951">
        <v>5.3566389436663604</v>
      </c>
      <c r="AG6951">
        <v>-1.1193249999999999</v>
      </c>
      <c r="AH6951">
        <v>11.944089606592099</v>
      </c>
      <c r="AI6951">
        <v>94.887373096812794</v>
      </c>
      <c r="AJ6951">
        <v>65.844904795440101</v>
      </c>
      <c r="AK6951">
        <v>13.1380267071858</v>
      </c>
      <c r="AL6951">
        <v>93.355164694808394</v>
      </c>
      <c r="AM6951">
        <v>86.684181012698303</v>
      </c>
      <c r="AN6951">
        <v>1.0000000140557499</v>
      </c>
    </row>
    <row r="6952" spans="1:40" x14ac:dyDescent="0.25">
      <c r="A6952" t="str">
        <f>"20190303154318112"</f>
        <v>20190303154318112</v>
      </c>
      <c r="B6952" t="str">
        <f>"1551598998107618"</f>
        <v>1551598998107618</v>
      </c>
      <c r="C6952" t="s">
        <v>40</v>
      </c>
      <c r="D6952">
        <v>5.3990309999999999</v>
      </c>
      <c r="E6952">
        <v>0.64199130000000004</v>
      </c>
      <c r="F6952" t="s">
        <v>43</v>
      </c>
      <c r="G6952">
        <v>-300.0299</v>
      </c>
      <c r="H6952">
        <v>-0.05</v>
      </c>
      <c r="I6952">
        <v>12.13594</v>
      </c>
      <c r="J6952">
        <v>-311.80459999999999</v>
      </c>
      <c r="K6952">
        <v>1.0692159999999999</v>
      </c>
      <c r="L6952">
        <v>17.449189999999899</v>
      </c>
      <c r="M6952">
        <v>0.99989870000000003</v>
      </c>
      <c r="N6952">
        <v>-1.4145359999999999E-2</v>
      </c>
      <c r="O6952">
        <v>1.5857740000000001E-3</v>
      </c>
      <c r="P6952">
        <v>0.99540510000000004</v>
      </c>
      <c r="Q6952">
        <v>-7.2943599999999997E-2</v>
      </c>
      <c r="R6952">
        <v>-6.2032650000000002E-2</v>
      </c>
      <c r="S6952">
        <v>2.9213260000000001</v>
      </c>
      <c r="T6952">
        <v>-0.27485019999999999</v>
      </c>
      <c r="U6952">
        <v>-1.3051759999999999</v>
      </c>
      <c r="V6952">
        <v>6.3272490000000001E-2</v>
      </c>
      <c r="W6952">
        <v>-5.9221280000000001E-2</v>
      </c>
      <c r="X6952">
        <v>0.99623759999999995</v>
      </c>
      <c r="Y6952">
        <v>0.4075954</v>
      </c>
      <c r="Z6952">
        <v>-2.1408199999999999E-2</v>
      </c>
      <c r="AA6952">
        <v>0.91291169999999999</v>
      </c>
      <c r="AB6952">
        <v>20</v>
      </c>
      <c r="AC6952">
        <v>11.7746999999999</v>
      </c>
      <c r="AD6952">
        <v>-1.119216</v>
      </c>
      <c r="AE6952">
        <v>-5.3132499999999903</v>
      </c>
      <c r="AF6952">
        <v>5.2921912585235003</v>
      </c>
      <c r="AG6952">
        <v>-1.119216</v>
      </c>
      <c r="AH6952">
        <v>11.6785931395685</v>
      </c>
      <c r="AI6952">
        <v>94.988734572290497</v>
      </c>
      <c r="AJ6952">
        <v>65.622193310569102</v>
      </c>
      <c r="AK6952">
        <v>12.870488354799299</v>
      </c>
      <c r="AL6952">
        <v>93.395116042500902</v>
      </c>
      <c r="AM6952">
        <v>86.365943215508807</v>
      </c>
      <c r="AN6952">
        <v>0.99999996182469797</v>
      </c>
    </row>
    <row r="6953" spans="1:40" x14ac:dyDescent="0.25">
      <c r="A6953" t="str">
        <f>"20190303154318128"</f>
        <v>20190303154318128</v>
      </c>
      <c r="B6953" t="str">
        <f>"1551598998117378"</f>
        <v>1551598998117378</v>
      </c>
      <c r="C6953" t="s">
        <v>40</v>
      </c>
      <c r="D6953">
        <v>5.3199449999999997</v>
      </c>
      <c r="E6953">
        <v>0.64110919999999905</v>
      </c>
      <c r="F6953" t="s">
        <v>43</v>
      </c>
      <c r="G6953">
        <v>-300.3082</v>
      </c>
      <c r="H6953">
        <v>-0.05</v>
      </c>
      <c r="I6953">
        <v>12.2494</v>
      </c>
      <c r="J6953">
        <v>-311.67430000000002</v>
      </c>
      <c r="K6953">
        <v>1.0691250000000001</v>
      </c>
      <c r="L6953">
        <v>17.4465</v>
      </c>
      <c r="M6953">
        <v>0.99990020000000002</v>
      </c>
      <c r="N6953">
        <v>-1.4104459999999999E-2</v>
      </c>
      <c r="O6953">
        <v>-9.3508510000000003E-4</v>
      </c>
      <c r="P6953">
        <v>0.99481419999999998</v>
      </c>
      <c r="Q6953">
        <v>-7.4084330000000004E-2</v>
      </c>
      <c r="R6953">
        <v>-6.9691820000000002E-2</v>
      </c>
      <c r="S6953">
        <v>2.9111020000000001</v>
      </c>
      <c r="T6953">
        <v>-0.28340670000000001</v>
      </c>
      <c r="U6953">
        <v>-1.316681</v>
      </c>
      <c r="V6953">
        <v>6.8408739999999996E-2</v>
      </c>
      <c r="W6953">
        <v>-6.0446220000000002E-2</v>
      </c>
      <c r="X6953">
        <v>0.9958245</v>
      </c>
      <c r="Y6953">
        <v>0.40937669999999998</v>
      </c>
      <c r="Z6953">
        <v>-2.191564E-2</v>
      </c>
      <c r="AA6953">
        <v>0.91210219999999997</v>
      </c>
      <c r="AB6953">
        <v>20</v>
      </c>
      <c r="AC6953">
        <v>11.366099999999999</v>
      </c>
      <c r="AD6953">
        <v>-1.1191249999999999</v>
      </c>
      <c r="AE6953">
        <v>-5.1970999999999998</v>
      </c>
      <c r="AF6953">
        <v>5.1452126172824304</v>
      </c>
      <c r="AG6953">
        <v>-1.1191249999999999</v>
      </c>
      <c r="AH6953">
        <v>11.2805049354868</v>
      </c>
      <c r="AI6953">
        <v>95.157704853580498</v>
      </c>
      <c r="AJ6953">
        <v>65.481538179679305</v>
      </c>
      <c r="AK6953">
        <v>12.448913416126301</v>
      </c>
      <c r="AL6953">
        <v>93.465425890578004</v>
      </c>
      <c r="AM6953">
        <v>86.070207199332899</v>
      </c>
      <c r="AN6953">
        <v>0.99999996801046198</v>
      </c>
    </row>
    <row r="6954" spans="1:40" x14ac:dyDescent="0.25">
      <c r="A6954" t="str">
        <f>"20190303154318143"</f>
        <v>20190303154318143</v>
      </c>
      <c r="B6954" t="str">
        <f>"1551598998136900"</f>
        <v>1551598998136900</v>
      </c>
      <c r="C6954" t="s">
        <v>40</v>
      </c>
      <c r="D6954">
        <v>5.2810839999999999</v>
      </c>
      <c r="E6954">
        <v>0.63958499999999996</v>
      </c>
      <c r="F6954" t="s">
        <v>43</v>
      </c>
      <c r="G6954">
        <v>-300.50439999999998</v>
      </c>
      <c r="H6954">
        <v>-0.05</v>
      </c>
      <c r="I6954">
        <v>12.31718</v>
      </c>
      <c r="J6954">
        <v>-311.5283</v>
      </c>
      <c r="K6954">
        <v>1.0690459999999999</v>
      </c>
      <c r="L6954">
        <v>17.443020000000001</v>
      </c>
      <c r="M6954">
        <v>0.99989380000000005</v>
      </c>
      <c r="N6954">
        <v>-1.406226E-2</v>
      </c>
      <c r="O6954">
        <v>-3.8299010000000001E-3</v>
      </c>
      <c r="P6954">
        <v>0.99359830000000005</v>
      </c>
      <c r="Q6954">
        <v>-7.6250330000000005E-2</v>
      </c>
      <c r="R6954">
        <v>-8.3358329999999994E-2</v>
      </c>
      <c r="S6954">
        <v>2.9006959999999999</v>
      </c>
      <c r="T6954">
        <v>-0.29062450000000001</v>
      </c>
      <c r="U6954">
        <v>-1.332031</v>
      </c>
      <c r="V6954">
        <v>7.9180089999999995E-2</v>
      </c>
      <c r="W6954">
        <v>-6.2738340000000004E-2</v>
      </c>
      <c r="X6954">
        <v>0.99488410000000005</v>
      </c>
      <c r="Y6954">
        <v>0.4118598</v>
      </c>
      <c r="Z6954">
        <v>-2.2331779999999999E-2</v>
      </c>
      <c r="AA6954">
        <v>0.91097349999999999</v>
      </c>
      <c r="AB6954">
        <v>20</v>
      </c>
      <c r="AC6954">
        <v>11.023899999999999</v>
      </c>
      <c r="AD6954">
        <v>-1.119046</v>
      </c>
      <c r="AE6954">
        <v>-5.1258400000000002</v>
      </c>
      <c r="AF6954">
        <v>5.0408682279736299</v>
      </c>
      <c r="AG6954">
        <v>-1.119046</v>
      </c>
      <c r="AH6954">
        <v>10.9506712454147</v>
      </c>
      <c r="AI6954">
        <v>95.303392975894994</v>
      </c>
      <c r="AJ6954">
        <v>65.282200526958405</v>
      </c>
      <c r="AK6954">
        <v>12.107015204709301</v>
      </c>
      <c r="AL6954">
        <v>93.597004501962004</v>
      </c>
      <c r="AM6954">
        <v>85.449577929156504</v>
      </c>
      <c r="AN6954">
        <v>0.99999997919558603</v>
      </c>
    </row>
    <row r="6955" spans="1:40" x14ac:dyDescent="0.25">
      <c r="A6955" t="str">
        <f>"20190303154318154"</f>
        <v>20190303154318154</v>
      </c>
      <c r="B6955" t="str">
        <f>"1551598998147634"</f>
        <v>1551598998147634</v>
      </c>
      <c r="C6955" t="s">
        <v>40</v>
      </c>
      <c r="D6955">
        <v>5.2743419999999999</v>
      </c>
      <c r="E6955">
        <v>0.63903880000000002</v>
      </c>
      <c r="F6955" t="s">
        <v>43</v>
      </c>
      <c r="G6955">
        <v>-300.89940000000001</v>
      </c>
      <c r="H6955">
        <v>-0.05</v>
      </c>
      <c r="I6955">
        <v>12.42911</v>
      </c>
      <c r="J6955">
        <v>-311.42619999999999</v>
      </c>
      <c r="K6955">
        <v>1.068999</v>
      </c>
      <c r="L6955">
        <v>17.440370000000001</v>
      </c>
      <c r="M6955">
        <v>0.9998842</v>
      </c>
      <c r="N6955">
        <v>-1.403454E-2</v>
      </c>
      <c r="O6955">
        <v>-5.8908140000000003E-3</v>
      </c>
      <c r="P6955">
        <v>0.9928536</v>
      </c>
      <c r="Q6955">
        <v>-7.6589870000000004E-2</v>
      </c>
      <c r="R6955">
        <v>-9.1518790000000003E-2</v>
      </c>
      <c r="S6955">
        <v>2.8819889999999999</v>
      </c>
      <c r="T6955">
        <v>-0.30342259999999999</v>
      </c>
      <c r="U6955">
        <v>-1.359497</v>
      </c>
      <c r="V6955">
        <v>8.5290580000000005E-2</v>
      </c>
      <c r="W6955">
        <v>-6.3153589999999996E-2</v>
      </c>
      <c r="X6955">
        <v>0.99435260000000003</v>
      </c>
      <c r="Y6955">
        <v>0.41912919999999998</v>
      </c>
      <c r="Z6955">
        <v>-2.3494040000000001E-2</v>
      </c>
      <c r="AA6955">
        <v>0.90762259999999995</v>
      </c>
      <c r="AB6955">
        <v>20</v>
      </c>
      <c r="AC6955">
        <v>10.5267999999999</v>
      </c>
      <c r="AD6955">
        <v>-1.1189990000000001</v>
      </c>
      <c r="AE6955">
        <v>-5.01126</v>
      </c>
      <c r="AF6955">
        <v>4.9039798207214096</v>
      </c>
      <c r="AG6955">
        <v>-1.1189990000000001</v>
      </c>
      <c r="AH6955">
        <v>10.459784608269601</v>
      </c>
      <c r="AI6955">
        <v>95.532613395694497</v>
      </c>
      <c r="AJ6955">
        <v>64.880872887287595</v>
      </c>
      <c r="AK6955">
        <v>11.606389227293599</v>
      </c>
      <c r="AL6955">
        <v>93.620843861433897</v>
      </c>
      <c r="AM6955">
        <v>85.097455078883897</v>
      </c>
      <c r="AN6955">
        <v>0.999999976046692</v>
      </c>
    </row>
    <row r="6956" spans="1:40" x14ac:dyDescent="0.25">
      <c r="A6956" t="str">
        <f>"20190303154318167"</f>
        <v>20190303154318167</v>
      </c>
      <c r="B6956" t="str">
        <f>"1551598998157394"</f>
        <v>1551598998157394</v>
      </c>
      <c r="C6956" t="s">
        <v>40</v>
      </c>
      <c r="D6956">
        <v>5.2850469999999996</v>
      </c>
      <c r="E6956">
        <v>0.63836930000000003</v>
      </c>
      <c r="F6956" t="s">
        <v>43</v>
      </c>
      <c r="G6956">
        <v>-300.85399999999998</v>
      </c>
      <c r="H6956">
        <v>-0.05</v>
      </c>
      <c r="I6956">
        <v>12.363429999999999</v>
      </c>
      <c r="J6956">
        <v>-311.32089999999999</v>
      </c>
      <c r="K6956">
        <v>1.0689679999999999</v>
      </c>
      <c r="L6956">
        <v>17.43723</v>
      </c>
      <c r="M6956">
        <v>0.99986940000000002</v>
      </c>
      <c r="N6956">
        <v>-1.400888E-2</v>
      </c>
      <c r="O6956">
        <v>-8.0652840000000007E-3</v>
      </c>
      <c r="P6956">
        <v>0.99203039999999998</v>
      </c>
      <c r="Q6956">
        <v>-7.7061859999999996E-2</v>
      </c>
      <c r="R6956">
        <v>-9.9685540000000003E-2</v>
      </c>
      <c r="S6956">
        <v>2.8710629999999999</v>
      </c>
      <c r="T6956">
        <v>-0.3038824</v>
      </c>
      <c r="U6956">
        <v>-1.3787229999999999</v>
      </c>
      <c r="V6956">
        <v>9.1298069999999995E-2</v>
      </c>
      <c r="W6956">
        <v>-6.3698039999999997E-2</v>
      </c>
      <c r="X6956">
        <v>0.99378429999999995</v>
      </c>
      <c r="Y6956">
        <v>0.42340830000000002</v>
      </c>
      <c r="Z6956">
        <v>-2.3622710000000002E-2</v>
      </c>
      <c r="AA6956">
        <v>0.90563090000000002</v>
      </c>
      <c r="AB6956">
        <v>20</v>
      </c>
      <c r="AC6956">
        <v>10.4668999999999</v>
      </c>
      <c r="AD6956">
        <v>-1.118968</v>
      </c>
      <c r="AE6956">
        <v>-5.0737999999999897</v>
      </c>
      <c r="AF6956">
        <v>4.9434603240266197</v>
      </c>
      <c r="AG6956">
        <v>-1.118968</v>
      </c>
      <c r="AH6956">
        <v>10.4111382944734</v>
      </c>
      <c r="AI6956">
        <v>95.545411946887697</v>
      </c>
      <c r="AJ6956">
        <v>64.600501180959398</v>
      </c>
      <c r="AK6956">
        <v>11.579364833482799</v>
      </c>
      <c r="AL6956">
        <v>93.652101374180305</v>
      </c>
      <c r="AM6956">
        <v>84.751022173772895</v>
      </c>
      <c r="AN6956">
        <v>1.0000000064060199</v>
      </c>
    </row>
    <row r="6957" spans="1:40" x14ac:dyDescent="0.25">
      <c r="A6957" t="str">
        <f>"20190303154318177"</f>
        <v>20190303154318177</v>
      </c>
      <c r="B6957" t="str">
        <f>"1551598998167154"</f>
        <v>1551598998167154</v>
      </c>
      <c r="C6957" t="s">
        <v>40</v>
      </c>
      <c r="D6957">
        <v>5.3060330000000002</v>
      </c>
      <c r="E6957">
        <v>0.63757159999999902</v>
      </c>
      <c r="F6957" t="s">
        <v>43</v>
      </c>
      <c r="G6957">
        <v>-300.86450000000002</v>
      </c>
      <c r="H6957">
        <v>-0.05</v>
      </c>
      <c r="I6957">
        <v>12.33005</v>
      </c>
      <c r="J6957">
        <v>-311.21780000000001</v>
      </c>
      <c r="K6957">
        <v>1.0689409999999999</v>
      </c>
      <c r="L6957">
        <v>17.433989999999898</v>
      </c>
      <c r="M6957">
        <v>0.99985020000000002</v>
      </c>
      <c r="N6957">
        <v>-1.398461E-2</v>
      </c>
      <c r="O6957">
        <v>-1.020911E-2</v>
      </c>
      <c r="P6957">
        <v>0.99118110000000004</v>
      </c>
      <c r="Q6957">
        <v>-7.6328350000000003E-2</v>
      </c>
      <c r="R6957">
        <v>-0.1083228</v>
      </c>
      <c r="S6957">
        <v>2.8599549999999998</v>
      </c>
      <c r="T6957">
        <v>-0.30605290000000002</v>
      </c>
      <c r="U6957">
        <v>-1.396881</v>
      </c>
      <c r="V6957">
        <v>9.7817059999999997E-2</v>
      </c>
      <c r="W6957">
        <v>-6.3038830000000004E-2</v>
      </c>
      <c r="X6957">
        <v>0.99320589999999997</v>
      </c>
      <c r="Y6957">
        <v>0.42743920000000002</v>
      </c>
      <c r="Z6957">
        <v>-2.3856800000000001E-2</v>
      </c>
      <c r="AA6957">
        <v>0.90372929999999996</v>
      </c>
      <c r="AB6957">
        <v>20</v>
      </c>
      <c r="AC6957">
        <v>10.3532999999999</v>
      </c>
      <c r="AD6957">
        <v>-1.118941</v>
      </c>
      <c r="AE6957">
        <v>-5.1039399999999899</v>
      </c>
      <c r="AF6957">
        <v>4.9514383620863702</v>
      </c>
      <c r="AG6957">
        <v>-1.118941</v>
      </c>
      <c r="AH6957">
        <v>10.308010597184399</v>
      </c>
      <c r="AI6957">
        <v>95.588463842002994</v>
      </c>
      <c r="AJ6957">
        <v>64.342763638488293</v>
      </c>
      <c r="AK6957">
        <v>11.4901633272415</v>
      </c>
      <c r="AL6957">
        <v>93.614255326926994</v>
      </c>
      <c r="AM6957">
        <v>84.375296118088599</v>
      </c>
      <c r="AN6957">
        <v>1.0000000155548101</v>
      </c>
    </row>
    <row r="6958" spans="1:40" x14ac:dyDescent="0.25">
      <c r="A6958" t="str">
        <f>"20190303154318189"</f>
        <v>20190303154318189</v>
      </c>
      <c r="B6958" t="str">
        <f>"1551598998186674"</f>
        <v>1551598998186674</v>
      </c>
      <c r="C6958" t="s">
        <v>40</v>
      </c>
      <c r="D6958">
        <v>5.2769380000000004</v>
      </c>
      <c r="E6958">
        <v>0.63632699999999998</v>
      </c>
      <c r="F6958" t="s">
        <v>43</v>
      </c>
      <c r="G6958">
        <v>-300.85599999999999</v>
      </c>
      <c r="H6958">
        <v>-0.05</v>
      </c>
      <c r="I6958">
        <v>12.285600000000001</v>
      </c>
      <c r="J6958">
        <v>-311.11110000000002</v>
      </c>
      <c r="K6958">
        <v>1.0689150000000001</v>
      </c>
      <c r="L6958">
        <v>17.430299999999999</v>
      </c>
      <c r="M6958">
        <v>0.99982490000000002</v>
      </c>
      <c r="N6958">
        <v>-1.3961940000000001E-2</v>
      </c>
      <c r="O6958">
        <v>-1.2467509999999999E-2</v>
      </c>
      <c r="P6958">
        <v>0.99013870000000004</v>
      </c>
      <c r="Q6958">
        <v>-7.5835089999999994E-2</v>
      </c>
      <c r="R6958">
        <v>-0.1177908</v>
      </c>
      <c r="S6958">
        <v>2.8483580000000002</v>
      </c>
      <c r="T6958">
        <v>-0.30758829999999998</v>
      </c>
      <c r="U6958">
        <v>-1.4152530000000001</v>
      </c>
      <c r="V6958">
        <v>0.10505630000000001</v>
      </c>
      <c r="W6958">
        <v>-6.2624990000000005E-2</v>
      </c>
      <c r="X6958">
        <v>0.99249240000000005</v>
      </c>
      <c r="Y6958">
        <v>0.43148969999999998</v>
      </c>
      <c r="Z6958">
        <v>-2.4042669999999999E-2</v>
      </c>
      <c r="AA6958">
        <v>0.90179739999999997</v>
      </c>
      <c r="AB6958">
        <v>20</v>
      </c>
      <c r="AC6958">
        <v>10.255100000000001</v>
      </c>
      <c r="AD6958">
        <v>-1.1189149999999899</v>
      </c>
      <c r="AE6958">
        <v>-5.1446999999999896</v>
      </c>
      <c r="AF6958">
        <v>4.9691706408185503</v>
      </c>
      <c r="AG6958">
        <v>-1.1189149999999899</v>
      </c>
      <c r="AH6958">
        <v>10.221237215354799</v>
      </c>
      <c r="AI6958">
        <v>95.622736560292694</v>
      </c>
      <c r="AJ6958">
        <v>64.072769532555498</v>
      </c>
      <c r="AK6958">
        <v>11.4200839684895</v>
      </c>
      <c r="AL6958">
        <v>93.590497370760403</v>
      </c>
      <c r="AM6958">
        <v>83.957685062618197</v>
      </c>
      <c r="AN6958">
        <v>0.99999993979997304</v>
      </c>
    </row>
    <row r="6959" spans="1:40" x14ac:dyDescent="0.25">
      <c r="A6959" t="str">
        <f>"20190303154318202"</f>
        <v>20190303154318202</v>
      </c>
      <c r="B6959" t="str">
        <f>"1551598998197410"</f>
        <v>1551598998197410</v>
      </c>
      <c r="C6959" t="s">
        <v>40</v>
      </c>
      <c r="D6959">
        <v>5.2713479999999997</v>
      </c>
      <c r="E6959">
        <v>0.63566679999999998</v>
      </c>
      <c r="F6959" t="s">
        <v>43</v>
      </c>
      <c r="G6959">
        <v>-300.68759999999997</v>
      </c>
      <c r="H6959">
        <v>-0.05</v>
      </c>
      <c r="I6959">
        <v>12.16634</v>
      </c>
      <c r="J6959">
        <v>-311.00740000000002</v>
      </c>
      <c r="K6959">
        <v>1.0688899999999999</v>
      </c>
      <c r="L6959">
        <v>17.426449999999999</v>
      </c>
      <c r="M6959">
        <v>0.99979490000000004</v>
      </c>
      <c r="N6959">
        <v>-1.3941500000000001E-2</v>
      </c>
      <c r="O6959">
        <v>-1.469199E-2</v>
      </c>
      <c r="P6959">
        <v>0.98896989999999996</v>
      </c>
      <c r="Q6959">
        <v>-7.5145379999999998E-2</v>
      </c>
      <c r="R6959">
        <v>-0.12764059999999999</v>
      </c>
      <c r="S6959">
        <v>2.8362120000000002</v>
      </c>
      <c r="T6959">
        <v>-0.30445369999999999</v>
      </c>
      <c r="U6959">
        <v>-1.432312</v>
      </c>
      <c r="V6959">
        <v>0.1127177</v>
      </c>
      <c r="W6959">
        <v>-6.2016920000000003E-2</v>
      </c>
      <c r="X6959">
        <v>0.99168979999999995</v>
      </c>
      <c r="Y6959">
        <v>0.43537239999999999</v>
      </c>
      <c r="Z6959">
        <v>-2.391426E-2</v>
      </c>
      <c r="AA6959">
        <v>0.89993279999999998</v>
      </c>
      <c r="AB6959">
        <v>20</v>
      </c>
      <c r="AC6959">
        <v>10.319800000000001</v>
      </c>
      <c r="AD6959">
        <v>-1.1188899999999999</v>
      </c>
      <c r="AE6959">
        <v>-5.2601099999999903</v>
      </c>
      <c r="AF6959">
        <v>5.0606876564931698</v>
      </c>
      <c r="AG6959">
        <v>-1.1188899999999999</v>
      </c>
      <c r="AH6959">
        <v>10.299866696708801</v>
      </c>
      <c r="AI6959">
        <v>95.568654183686206</v>
      </c>
      <c r="AJ6959">
        <v>63.8334862441044</v>
      </c>
      <c r="AK6959">
        <v>11.530382836604</v>
      </c>
      <c r="AL6959">
        <v>93.555589387072501</v>
      </c>
      <c r="AM6959">
        <v>83.515461696486994</v>
      </c>
      <c r="AN6959">
        <v>1.0000000188417999</v>
      </c>
    </row>
    <row r="6960" spans="1:40" x14ac:dyDescent="0.25">
      <c r="A6960" t="str">
        <f>"20190303154318214"</f>
        <v>20190303154318214</v>
      </c>
      <c r="B6960" t="str">
        <f>"1551598998207171"</f>
        <v>1551598998207171</v>
      </c>
      <c r="C6960" t="s">
        <v>40</v>
      </c>
      <c r="D6960">
        <v>5.4112179999999999</v>
      </c>
      <c r="E6960">
        <v>0.63571940000000005</v>
      </c>
      <c r="F6960" t="s">
        <v>43</v>
      </c>
      <c r="G6960">
        <v>-300.64179999999999</v>
      </c>
      <c r="H6960">
        <v>-0.05</v>
      </c>
      <c r="I6960">
        <v>12.082520000000001</v>
      </c>
      <c r="J6960">
        <v>-310.9008</v>
      </c>
      <c r="K6960">
        <v>1.068864</v>
      </c>
      <c r="L6960">
        <v>17.4223</v>
      </c>
      <c r="M6960">
        <v>0.99975860000000005</v>
      </c>
      <c r="N6960">
        <v>-1.3921930000000001E-2</v>
      </c>
      <c r="O6960">
        <v>-1.6998639999999999E-2</v>
      </c>
      <c r="P6960">
        <v>0.98757430000000002</v>
      </c>
      <c r="Q6960">
        <v>-7.4782150000000006E-2</v>
      </c>
      <c r="R6960">
        <v>-0.1382196</v>
      </c>
      <c r="S6960">
        <v>2.8225099999999999</v>
      </c>
      <c r="T6960">
        <v>-0.30467080000000002</v>
      </c>
      <c r="U6960">
        <v>-1.455139</v>
      </c>
      <c r="V6960">
        <v>0.12103269999999999</v>
      </c>
      <c r="W6960">
        <v>-6.1741669999999998E-2</v>
      </c>
      <c r="X6960">
        <v>0.99072649999999995</v>
      </c>
      <c r="Y6960">
        <v>0.44078289999999998</v>
      </c>
      <c r="Z6960">
        <v>-2.409414E-2</v>
      </c>
      <c r="AA6960">
        <v>0.89729029999999999</v>
      </c>
      <c r="AB6960">
        <v>20</v>
      </c>
      <c r="AC6960">
        <v>10.259</v>
      </c>
      <c r="AD6960">
        <v>-1.1188639999999901</v>
      </c>
      <c r="AE6960">
        <v>-5.3397799999999904</v>
      </c>
      <c r="AF6960">
        <v>5.1167152748952001</v>
      </c>
      <c r="AG6960">
        <v>-1.1188639999999901</v>
      </c>
      <c r="AH6960">
        <v>10.2523440060866</v>
      </c>
      <c r="AI6960">
        <v>95.577084807701198</v>
      </c>
      <c r="AJ6960">
        <v>63.477243970178499</v>
      </c>
      <c r="AK6960">
        <v>11.512740311237099</v>
      </c>
      <c r="AL6960">
        <v>93.539788606041498</v>
      </c>
      <c r="AM6960">
        <v>83.034939591744006</v>
      </c>
      <c r="AN6960">
        <v>0.99999997304296395</v>
      </c>
    </row>
    <row r="6961" spans="1:40" x14ac:dyDescent="0.25">
      <c r="A6961" t="str">
        <f>"20190303154318225"</f>
        <v>20190303154318225</v>
      </c>
      <c r="B6961" t="str">
        <f>"1551598998216930"</f>
        <v>1551598998216930</v>
      </c>
      <c r="C6961" t="s">
        <v>40</v>
      </c>
      <c r="D6961">
        <v>5.406968</v>
      </c>
      <c r="E6961">
        <v>0.6364554</v>
      </c>
      <c r="F6961" t="s">
        <v>43</v>
      </c>
      <c r="G6961">
        <v>-300.58800000000002</v>
      </c>
      <c r="H6961">
        <v>-0.05</v>
      </c>
      <c r="I6961">
        <v>11.96414</v>
      </c>
      <c r="J6961">
        <v>-310.80349999999999</v>
      </c>
      <c r="K6961">
        <v>1.0688329999999999</v>
      </c>
      <c r="L6961">
        <v>17.418119999999998</v>
      </c>
      <c r="M6961">
        <v>0.99972000000000005</v>
      </c>
      <c r="N6961">
        <v>-1.390626E-2</v>
      </c>
      <c r="O6961">
        <v>-1.9149389999999999E-2</v>
      </c>
      <c r="P6961">
        <v>0.9860622</v>
      </c>
      <c r="Q6961">
        <v>-7.4800080000000005E-2</v>
      </c>
      <c r="R6961">
        <v>-0.14861529999999901</v>
      </c>
      <c r="S6961">
        <v>2.8067929999999999</v>
      </c>
      <c r="T6961">
        <v>-0.30451810000000001</v>
      </c>
      <c r="U6961">
        <v>-1.485535</v>
      </c>
      <c r="V6961">
        <v>0.12932269999999901</v>
      </c>
      <c r="W6961">
        <v>-6.1846669999999999E-2</v>
      </c>
      <c r="X6961">
        <v>0.989672</v>
      </c>
      <c r="Y6961">
        <v>0.448467</v>
      </c>
      <c r="Z6961">
        <v>-2.4398650000000001E-2</v>
      </c>
      <c r="AA6961">
        <v>0.89346630000000005</v>
      </c>
      <c r="AB6961">
        <v>20</v>
      </c>
      <c r="AC6961">
        <v>10.2155</v>
      </c>
      <c r="AD6961">
        <v>-1.118833</v>
      </c>
      <c r="AE6961">
        <v>-5.4539799999999996</v>
      </c>
      <c r="AF6961">
        <v>5.2087190964566599</v>
      </c>
      <c r="AG6961">
        <v>-1.118833</v>
      </c>
      <c r="AH6961">
        <v>10.222652900246</v>
      </c>
      <c r="AI6961">
        <v>95.569726238361199</v>
      </c>
      <c r="AJ6961">
        <v>62.999923100170399</v>
      </c>
      <c r="AK6961">
        <v>11.5275831910505</v>
      </c>
      <c r="AL6961">
        <v>93.545816017493806</v>
      </c>
      <c r="AM6961">
        <v>82.555212286553299</v>
      </c>
      <c r="AN6961">
        <v>1.0000000194546801</v>
      </c>
    </row>
    <row r="6962" spans="1:40" x14ac:dyDescent="0.25">
      <c r="A6962" t="str">
        <f>"20190303154318237"</f>
        <v>20190303154318237</v>
      </c>
      <c r="B6962" t="str">
        <f>"1551598998227666"</f>
        <v>1551598998227666</v>
      </c>
      <c r="C6962" t="s">
        <v>40</v>
      </c>
      <c r="D6962">
        <v>5.3395989999999998</v>
      </c>
      <c r="E6962">
        <v>0.6364554</v>
      </c>
      <c r="F6962" t="s">
        <v>43</v>
      </c>
      <c r="G6962">
        <v>-300.58249999999998</v>
      </c>
      <c r="H6962">
        <v>-0.05</v>
      </c>
      <c r="I6962">
        <v>11.8466</v>
      </c>
      <c r="J6962">
        <v>-310.69900000000001</v>
      </c>
      <c r="K6962">
        <v>1.0688009999999999</v>
      </c>
      <c r="L6962">
        <v>17.413509999999999</v>
      </c>
      <c r="M6962">
        <v>0.99967289999999998</v>
      </c>
      <c r="N6962">
        <v>-1.3890049999999999E-2</v>
      </c>
      <c r="O6962">
        <v>-2.1474969999999999E-2</v>
      </c>
      <c r="P6962">
        <v>0.98437399999999997</v>
      </c>
      <c r="Q6962">
        <v>-7.5210470000000001E-2</v>
      </c>
      <c r="R6962">
        <v>-0.1592219</v>
      </c>
      <c r="S6962">
        <v>2.790009</v>
      </c>
      <c r="T6962">
        <v>-0.30540479999999998</v>
      </c>
      <c r="U6962">
        <v>-1.5208440000000001</v>
      </c>
      <c r="V6962">
        <v>0.1376561</v>
      </c>
      <c r="W6962">
        <v>-6.2348229999999998E-2</v>
      </c>
      <c r="X6962">
        <v>0.98851579999999994</v>
      </c>
      <c r="Y6962">
        <v>0.45729209999999898</v>
      </c>
      <c r="Z6962">
        <v>-2.4825659999999999E-2</v>
      </c>
      <c r="AA6962">
        <v>0.88897000000000004</v>
      </c>
      <c r="AB6962">
        <v>20</v>
      </c>
      <c r="AC6962">
        <v>10.1165</v>
      </c>
      <c r="AD6962">
        <v>-1.1188009999999999</v>
      </c>
      <c r="AE6962">
        <v>-5.56691</v>
      </c>
      <c r="AF6962">
        <v>5.2986110649832598</v>
      </c>
      <c r="AG6962">
        <v>-1.1188009999999999</v>
      </c>
      <c r="AH6962">
        <v>10.138548471857</v>
      </c>
      <c r="AI6962">
        <v>95.585782614666897</v>
      </c>
      <c r="AJ6962">
        <v>62.407518893702402</v>
      </c>
      <c r="AK6962">
        <v>11.494222897254</v>
      </c>
      <c r="AL6962">
        <v>93.574608942599895</v>
      </c>
      <c r="AM6962">
        <v>82.072239794238598</v>
      </c>
      <c r="AN6962">
        <v>0.99999999525049099</v>
      </c>
    </row>
    <row r="6963" spans="1:40" x14ac:dyDescent="0.25">
      <c r="A6963" t="str">
        <f>"20190303154318249"</f>
        <v>20190303154318249</v>
      </c>
      <c r="B6963" t="str">
        <f>"1551598998237428"</f>
        <v>1551598998237428</v>
      </c>
      <c r="C6963" t="s">
        <v>40</v>
      </c>
      <c r="D6963">
        <v>5.3374119999999996</v>
      </c>
      <c r="E6963">
        <v>0.69742209999999905</v>
      </c>
      <c r="F6963" t="s">
        <v>43</v>
      </c>
      <c r="G6963">
        <v>-300.58479999999997</v>
      </c>
      <c r="H6963">
        <v>-0.05</v>
      </c>
      <c r="I6963">
        <v>11.758290000000001</v>
      </c>
      <c r="J6963">
        <v>-310.59199999999998</v>
      </c>
      <c r="K6963">
        <v>1.068756</v>
      </c>
      <c r="L6963">
        <v>17.408359999999998</v>
      </c>
      <c r="M6963">
        <v>0.9996176</v>
      </c>
      <c r="N6963">
        <v>-1.3876090000000001E-2</v>
      </c>
      <c r="O6963">
        <v>-2.3919929999999999E-2</v>
      </c>
      <c r="P6963">
        <v>0.98248400000000002</v>
      </c>
      <c r="Q6963">
        <v>-7.6118770000000002E-2</v>
      </c>
      <c r="R6963">
        <v>-0.170092299999999</v>
      </c>
      <c r="S6963">
        <v>2.7733460000000001</v>
      </c>
      <c r="T6963">
        <v>-0.30678080000000002</v>
      </c>
      <c r="U6963">
        <v>-1.5506899999999999</v>
      </c>
      <c r="V6963">
        <v>0.1461421</v>
      </c>
      <c r="W6963">
        <v>-6.3352839999999994E-2</v>
      </c>
      <c r="X6963">
        <v>0.98723300000000003</v>
      </c>
      <c r="Y6963">
        <v>0.46460780000000002</v>
      </c>
      <c r="Z6963">
        <v>-2.5196949999999999E-2</v>
      </c>
      <c r="AA6963">
        <v>0.885158</v>
      </c>
      <c r="AB6963">
        <v>20</v>
      </c>
      <c r="AC6963">
        <v>10.007199999999999</v>
      </c>
      <c r="AD6963">
        <v>-1.1187559999999901</v>
      </c>
      <c r="AE6963">
        <v>-5.6500700000000004</v>
      </c>
      <c r="AF6963">
        <v>5.3582775963022504</v>
      </c>
      <c r="AG6963">
        <v>-1.1187559999999901</v>
      </c>
      <c r="AH6963">
        <v>10.0443075774145</v>
      </c>
      <c r="AI6963">
        <v>95.612605256615495</v>
      </c>
      <c r="AJ6963">
        <v>61.921679795372398</v>
      </c>
      <c r="AK6963">
        <v>11.4390064470774</v>
      </c>
      <c r="AL6963">
        <v>93.632282697993404</v>
      </c>
      <c r="AM6963">
        <v>81.579541571065306</v>
      </c>
      <c r="AN6963">
        <v>1.0000000460087299</v>
      </c>
    </row>
    <row r="6964" spans="1:40" x14ac:dyDescent="0.25">
      <c r="A6964" t="str">
        <f>"20190303154318264"</f>
        <v>20190303154318264</v>
      </c>
      <c r="B6964" t="str">
        <f>"1551598998256949"</f>
        <v>1551598998256949</v>
      </c>
      <c r="C6964" t="s">
        <v>40</v>
      </c>
      <c r="D6964">
        <v>5.3825669999999999</v>
      </c>
      <c r="E6964">
        <v>0.69709659999999996</v>
      </c>
      <c r="F6964" t="s">
        <v>43</v>
      </c>
      <c r="G6964">
        <v>-300.0668</v>
      </c>
      <c r="H6964">
        <v>-0.05</v>
      </c>
      <c r="I6964">
        <v>9.2993620000000004</v>
      </c>
      <c r="J6964">
        <v>-310.45389999999998</v>
      </c>
      <c r="K6964">
        <v>1.0686869999999999</v>
      </c>
      <c r="L6964">
        <v>17.40128</v>
      </c>
      <c r="M6964">
        <v>0.99953579999999997</v>
      </c>
      <c r="N6964">
        <v>-1.386007E-2</v>
      </c>
      <c r="O6964">
        <v>-2.7137680000000001E-2</v>
      </c>
      <c r="P6964">
        <v>0.97870500000000005</v>
      </c>
      <c r="Q6964">
        <v>-7.8103300000000001E-2</v>
      </c>
      <c r="R6964">
        <v>-0.18983349999999999</v>
      </c>
      <c r="S6964">
        <v>2.6747130000000001</v>
      </c>
      <c r="T6964">
        <v>-0.284304</v>
      </c>
      <c r="U6964">
        <v>-2.0606990000000001</v>
      </c>
      <c r="V6964">
        <v>0.16278199999999901</v>
      </c>
      <c r="W6964">
        <v>-6.5515760000000006E-2</v>
      </c>
      <c r="X6964">
        <v>0.98448449999999998</v>
      </c>
      <c r="Y6964">
        <v>0.58620669999999897</v>
      </c>
      <c r="Z6964">
        <v>-2.982398E-2</v>
      </c>
      <c r="AA6964">
        <v>0.80961249999999996</v>
      </c>
      <c r="AB6964">
        <v>20</v>
      </c>
      <c r="AC6964">
        <v>10.387099999999901</v>
      </c>
      <c r="AD6964">
        <v>-1.118687</v>
      </c>
      <c r="AE6964">
        <v>-8.1019179999999995</v>
      </c>
      <c r="AF6964">
        <v>7.7610546171075896</v>
      </c>
      <c r="AG6964">
        <v>-1.118687</v>
      </c>
      <c r="AH6964">
        <v>10.5272431824569</v>
      </c>
      <c r="AI6964">
        <v>94.888833707638199</v>
      </c>
      <c r="AJ6964">
        <v>53.601052292442802</v>
      </c>
      <c r="AK6964">
        <v>13.126624790717599</v>
      </c>
      <c r="AL6964">
        <v>93.756467091120399</v>
      </c>
      <c r="AM6964">
        <v>80.611236275210501</v>
      </c>
      <c r="AN6964">
        <v>1.00000001253631</v>
      </c>
    </row>
    <row r="6965" spans="1:40" x14ac:dyDescent="0.25">
      <c r="A6965" t="str">
        <f>"20190303154318276"</f>
        <v>20190303154318276</v>
      </c>
      <c r="B6965" t="str">
        <f>"1551598998266706"</f>
        <v>1551598998266706</v>
      </c>
      <c r="C6965" t="s">
        <v>40</v>
      </c>
      <c r="D6965">
        <v>5.3712540000000004</v>
      </c>
      <c r="E6965">
        <v>0.69622949999999995</v>
      </c>
      <c r="F6965" t="s">
        <v>43</v>
      </c>
      <c r="G6965">
        <v>-300.50880000000001</v>
      </c>
      <c r="H6965">
        <v>-0.05</v>
      </c>
      <c r="I6965">
        <v>9.4222110000000008</v>
      </c>
      <c r="J6965">
        <v>-310.35250000000002</v>
      </c>
      <c r="K6965">
        <v>1.0686359999999999</v>
      </c>
      <c r="L6965">
        <v>17.395869999999999</v>
      </c>
      <c r="M6965">
        <v>0.99946800000000002</v>
      </c>
      <c r="N6965">
        <v>-1.3849449999999999E-2</v>
      </c>
      <c r="O6965">
        <v>-2.9533230000000001E-2</v>
      </c>
      <c r="P6965">
        <v>0.97656390000000004</v>
      </c>
      <c r="Q6965">
        <v>-7.8565199999999905E-2</v>
      </c>
      <c r="R6965">
        <v>-0.200376</v>
      </c>
      <c r="S6965">
        <v>2.63205</v>
      </c>
      <c r="T6965">
        <v>-0.29606959999999999</v>
      </c>
      <c r="U6965">
        <v>-2.1117249999999999</v>
      </c>
      <c r="V6965">
        <v>0.1710161</v>
      </c>
      <c r="W6965">
        <v>-6.6077079999999996E-2</v>
      </c>
      <c r="X6965">
        <v>0.98304999999999998</v>
      </c>
      <c r="Y6965">
        <v>0.5998618</v>
      </c>
      <c r="Z6965">
        <v>-3.1642990000000003E-2</v>
      </c>
      <c r="AA6965">
        <v>0.79947760000000001</v>
      </c>
      <c r="AB6965">
        <v>20</v>
      </c>
      <c r="AC6965">
        <v>9.8437000000000108</v>
      </c>
      <c r="AD6965">
        <v>-1.118636</v>
      </c>
      <c r="AE6965">
        <v>-7.9736589999999996</v>
      </c>
      <c r="AF6965">
        <v>7.6200179892542401</v>
      </c>
      <c r="AG6965">
        <v>-1.118636</v>
      </c>
      <c r="AH6965">
        <v>9.9969631194454092</v>
      </c>
      <c r="AI6965">
        <v>95.085514267235794</v>
      </c>
      <c r="AJ6965">
        <v>52.684144264219498</v>
      </c>
      <c r="AK6965">
        <v>12.6196391496986</v>
      </c>
      <c r="AL6965">
        <v>93.788698268292094</v>
      </c>
      <c r="AM6965">
        <v>80.131314520230205</v>
      </c>
      <c r="AN6965">
        <v>0.99999999473026802</v>
      </c>
    </row>
    <row r="6966" spans="1:40" x14ac:dyDescent="0.25">
      <c r="A6966" t="str">
        <f>"20190303154318290"</f>
        <v>20190303154318290</v>
      </c>
      <c r="B6966" t="str">
        <f>"1551598998287203"</f>
        <v>1551598998287203</v>
      </c>
      <c r="C6966" t="s">
        <v>40</v>
      </c>
      <c r="D6966">
        <v>5.3232010000000001</v>
      </c>
      <c r="E6966">
        <v>0.69424519999999901</v>
      </c>
      <c r="F6966" t="s">
        <v>43</v>
      </c>
      <c r="G6966">
        <v>-300.69369999999998</v>
      </c>
      <c r="H6966">
        <v>-0.05</v>
      </c>
      <c r="I6966">
        <v>9.502167</v>
      </c>
      <c r="J6966">
        <v>-310.22210000000001</v>
      </c>
      <c r="K6966">
        <v>1.0685659999999999</v>
      </c>
      <c r="L6966">
        <v>17.388279999999899</v>
      </c>
      <c r="M6966">
        <v>0.9993687</v>
      </c>
      <c r="N6966">
        <v>-1.383902E-2</v>
      </c>
      <c r="O6966">
        <v>-3.2721149999999997E-2</v>
      </c>
      <c r="P6966">
        <v>0.97406559999999998</v>
      </c>
      <c r="Q6966">
        <v>-7.9001020000000005E-2</v>
      </c>
      <c r="R6966">
        <v>-0.2120261</v>
      </c>
      <c r="S6966">
        <v>2.6100159999999999</v>
      </c>
      <c r="T6966">
        <v>-0.30228080000000002</v>
      </c>
      <c r="U6966">
        <v>-2.133057</v>
      </c>
      <c r="V6966">
        <v>0.17959559999999999</v>
      </c>
      <c r="W6966">
        <v>-6.6626270000000001E-2</v>
      </c>
      <c r="X6966">
        <v>0.98148170000000001</v>
      </c>
      <c r="Y6966">
        <v>0.60439290000000001</v>
      </c>
      <c r="Z6966">
        <v>-3.2308389999999999E-2</v>
      </c>
      <c r="AA6966">
        <v>0.79603109999999999</v>
      </c>
      <c r="AB6966">
        <v>20</v>
      </c>
      <c r="AC6966">
        <v>9.5284000000000297</v>
      </c>
      <c r="AD6966">
        <v>-1.1185659999999999</v>
      </c>
      <c r="AE6966">
        <v>-7.8861129999999902</v>
      </c>
      <c r="AF6966">
        <v>7.5086679917902401</v>
      </c>
      <c r="AG6966">
        <v>-1.1185659999999999</v>
      </c>
      <c r="AH6966">
        <v>9.7020141210519792</v>
      </c>
      <c r="AI6966">
        <v>95.209591116938796</v>
      </c>
      <c r="AJ6966">
        <v>52.262680703074999</v>
      </c>
      <c r="AK6966">
        <v>12.3191056052127</v>
      </c>
      <c r="AL6966">
        <v>93.820234076688607</v>
      </c>
      <c r="AM6966">
        <v>79.630499228106402</v>
      </c>
      <c r="AN6966">
        <v>0.99999998341418095</v>
      </c>
    </row>
    <row r="6967" spans="1:40" x14ac:dyDescent="0.25">
      <c r="A6967" t="str">
        <f>"20190303154318305"</f>
        <v>20190303154318305</v>
      </c>
      <c r="B6967" t="str">
        <f>"1551598998296963"</f>
        <v>1551598998296963</v>
      </c>
      <c r="C6967" t="s">
        <v>40</v>
      </c>
      <c r="D6967">
        <v>5.332141</v>
      </c>
      <c r="E6967">
        <v>0.69323539999999995</v>
      </c>
      <c r="F6967" t="s">
        <v>43</v>
      </c>
      <c r="G6967">
        <v>-300.85719999999998</v>
      </c>
      <c r="H6967">
        <v>-0.05</v>
      </c>
      <c r="I6967">
        <v>9.6113429999999997</v>
      </c>
      <c r="J6967">
        <v>-310.09249999999997</v>
      </c>
      <c r="K6967">
        <v>1.0684940000000001</v>
      </c>
      <c r="L6967">
        <v>17.38025</v>
      </c>
      <c r="M6967">
        <v>0.99925710000000001</v>
      </c>
      <c r="N6967">
        <v>-1.383042E-2</v>
      </c>
      <c r="O6967">
        <v>-3.5972499999999998E-2</v>
      </c>
      <c r="P6967">
        <v>0.97150159999999997</v>
      </c>
      <c r="Q6967">
        <v>-7.8780080000000002E-2</v>
      </c>
      <c r="R6967">
        <v>-0.2235587</v>
      </c>
      <c r="S6967">
        <v>2.5871279999999999</v>
      </c>
      <c r="T6967">
        <v>-0.30901279999999998</v>
      </c>
      <c r="U6967">
        <v>-2.1484380000000001</v>
      </c>
      <c r="V6967">
        <v>0.18801300000000001</v>
      </c>
      <c r="W6967">
        <v>-6.6519800000000004E-2</v>
      </c>
      <c r="X6967">
        <v>0.97991130000000004</v>
      </c>
      <c r="Y6967">
        <v>0.60790719999999898</v>
      </c>
      <c r="Z6967">
        <v>-3.2977800000000002E-2</v>
      </c>
      <c r="AA6967">
        <v>0.793323</v>
      </c>
      <c r="AB6967">
        <v>20</v>
      </c>
      <c r="AC6967">
        <v>9.2352999999999899</v>
      </c>
      <c r="AD6967">
        <v>-1.1184940000000001</v>
      </c>
      <c r="AE6967">
        <v>-7.7689069999999996</v>
      </c>
      <c r="AF6967">
        <v>7.3683390699848497</v>
      </c>
      <c r="AG6967">
        <v>-1.1184940000000001</v>
      </c>
      <c r="AH6967">
        <v>9.4278351456093095</v>
      </c>
      <c r="AI6967">
        <v>95.340233942002897</v>
      </c>
      <c r="AJ6967">
        <v>51.990540458915198</v>
      </c>
      <c r="AK6967">
        <v>12.0178003399577</v>
      </c>
      <c r="AL6967">
        <v>93.814120306193701</v>
      </c>
      <c r="AM6967">
        <v>79.138804027652</v>
      </c>
      <c r="AN6967">
        <v>0.99999996391436397</v>
      </c>
    </row>
    <row r="6968" spans="1:40" x14ac:dyDescent="0.25">
      <c r="A6968" t="str">
        <f>"20190303154318321"</f>
        <v>20190303154318321</v>
      </c>
      <c r="B6968" t="str">
        <f>"1551598998317458"</f>
        <v>1551598998317458</v>
      </c>
      <c r="C6968" t="s">
        <v>40</v>
      </c>
      <c r="D6968">
        <v>5.3418130000000001</v>
      </c>
      <c r="E6968">
        <v>0.69088349999999998</v>
      </c>
      <c r="F6968" t="s">
        <v>43</v>
      </c>
      <c r="G6968">
        <v>-300.76760000000002</v>
      </c>
      <c r="H6968">
        <v>-0.05</v>
      </c>
      <c r="I6968">
        <v>9.4821170000000006</v>
      </c>
      <c r="J6968">
        <v>-309.96210000000002</v>
      </c>
      <c r="K6968">
        <v>1.068417</v>
      </c>
      <c r="L6968">
        <v>17.371729999999999</v>
      </c>
      <c r="M6968">
        <v>0.99913079999999999</v>
      </c>
      <c r="N6968">
        <v>-1.3823449999999999E-2</v>
      </c>
      <c r="O6968">
        <v>-3.9329019999999999E-2</v>
      </c>
      <c r="P6968">
        <v>0.96879760000000004</v>
      </c>
      <c r="Q6968">
        <v>-7.8583500000000001E-2</v>
      </c>
      <c r="R6968">
        <v>-0.23506650000000001</v>
      </c>
      <c r="S6968">
        <v>2.5634160000000001</v>
      </c>
      <c r="T6968">
        <v>-0.3074752</v>
      </c>
      <c r="U6968">
        <v>-2.1712039999999999</v>
      </c>
      <c r="V6968">
        <v>0.1963192</v>
      </c>
      <c r="W6968">
        <v>-6.6440949999999999E-2</v>
      </c>
      <c r="X6968">
        <v>0.9782864</v>
      </c>
      <c r="Y6968">
        <v>0.61294139999999997</v>
      </c>
      <c r="Z6968">
        <v>-3.2975049999999999E-2</v>
      </c>
      <c r="AA6968">
        <v>0.78943999999999903</v>
      </c>
      <c r="AB6968">
        <v>20</v>
      </c>
      <c r="AC6968">
        <v>9.1944999999999997</v>
      </c>
      <c r="AD6968">
        <v>-1.118417</v>
      </c>
      <c r="AE6968">
        <v>-7.88961299999999</v>
      </c>
      <c r="AF6968">
        <v>7.4583051105661697</v>
      </c>
      <c r="AG6968">
        <v>-1.118417</v>
      </c>
      <c r="AH6968">
        <v>9.4174526287002998</v>
      </c>
      <c r="AI6968">
        <v>95.318889806248094</v>
      </c>
      <c r="AJ6968">
        <v>51.621962686932001</v>
      </c>
      <c r="AK6968">
        <v>12.065056391165299</v>
      </c>
      <c r="AL6968">
        <v>93.809592553910306</v>
      </c>
      <c r="AM6968">
        <v>78.652796425708701</v>
      </c>
      <c r="AN6968">
        <v>0.99999995427525001</v>
      </c>
    </row>
    <row r="6969" spans="1:40" x14ac:dyDescent="0.25">
      <c r="A6969" t="str">
        <f>"20190303154318334"</f>
        <v>20190303154318334</v>
      </c>
      <c r="B6969" t="str">
        <f>"1551598998327218"</f>
        <v>1551598998327218</v>
      </c>
      <c r="C6969" t="s">
        <v>40</v>
      </c>
      <c r="D6969">
        <v>5.3486880000000001</v>
      </c>
      <c r="E6969">
        <v>0.6894865</v>
      </c>
      <c r="F6969" t="s">
        <v>43</v>
      </c>
      <c r="G6969">
        <v>-300.74079999999998</v>
      </c>
      <c r="H6969">
        <v>-0.05</v>
      </c>
      <c r="I6969">
        <v>9.4511570000000003</v>
      </c>
      <c r="J6969">
        <v>-309.83609999999999</v>
      </c>
      <c r="K6969">
        <v>1.068322</v>
      </c>
      <c r="L6969">
        <v>17.36298</v>
      </c>
      <c r="M6969">
        <v>0.99899389999999999</v>
      </c>
      <c r="N6969">
        <v>-1.381842E-2</v>
      </c>
      <c r="O6969">
        <v>-4.266408E-2</v>
      </c>
      <c r="P6969">
        <v>0.96379440000000005</v>
      </c>
      <c r="Q6969">
        <v>-7.9271960000000002E-2</v>
      </c>
      <c r="R6969">
        <v>-0.2545905</v>
      </c>
      <c r="S6969">
        <v>2.5418400000000001</v>
      </c>
      <c r="T6969">
        <v>-0.30829289999999998</v>
      </c>
      <c r="U6969">
        <v>-2.183319</v>
      </c>
      <c r="V6969">
        <v>0.21275849999999999</v>
      </c>
      <c r="W6969">
        <v>-6.7333850000000001E-2</v>
      </c>
      <c r="X6969">
        <v>0.97478200000000004</v>
      </c>
      <c r="Y6969">
        <v>0.61573120000000003</v>
      </c>
      <c r="Z6969">
        <v>-3.3061180000000003E-2</v>
      </c>
      <c r="AA6969">
        <v>0.78726240000000003</v>
      </c>
      <c r="AB6969">
        <v>20</v>
      </c>
      <c r="AC6969">
        <v>9.0952999999999999</v>
      </c>
      <c r="AD6969">
        <v>-1.118322</v>
      </c>
      <c r="AE6969">
        <v>-7.9118229999999903</v>
      </c>
      <c r="AF6969">
        <v>7.4524022571039596</v>
      </c>
      <c r="AG6969">
        <v>-1.118322</v>
      </c>
      <c r="AH6969">
        <v>9.3441832413069097</v>
      </c>
      <c r="AI6969">
        <v>95.345442225113203</v>
      </c>
      <c r="AJ6969">
        <v>51.426079868620398</v>
      </c>
      <c r="AK6969">
        <v>12.0042785682644</v>
      </c>
      <c r="AL6969">
        <v>93.860866659682401</v>
      </c>
      <c r="AM6969">
        <v>77.687563523010894</v>
      </c>
      <c r="AN6969">
        <v>0.99999998710103599</v>
      </c>
    </row>
    <row r="6970" spans="1:40" x14ac:dyDescent="0.25">
      <c r="A6970" t="str">
        <f>"20190303154318355"</f>
        <v>20190303154318355</v>
      </c>
      <c r="B6970" t="str">
        <f>"1551598998347246"</f>
        <v>1551598998347246</v>
      </c>
      <c r="C6970" t="s">
        <v>40</v>
      </c>
      <c r="D6970">
        <v>5.3838990000000004</v>
      </c>
      <c r="E6970">
        <v>0.68806489999999998</v>
      </c>
      <c r="F6970" t="s">
        <v>43</v>
      </c>
      <c r="G6970">
        <v>-300.84800000000001</v>
      </c>
      <c r="H6970">
        <v>-0.05</v>
      </c>
      <c r="I6970">
        <v>9.3682099999999995</v>
      </c>
      <c r="J6970">
        <v>-309.6617</v>
      </c>
      <c r="K6970">
        <v>1.068187</v>
      </c>
      <c r="L6970">
        <v>17.349910000000001</v>
      </c>
      <c r="M6970">
        <v>0.99877729999999998</v>
      </c>
      <c r="N6970">
        <v>-1.381546E-2</v>
      </c>
      <c r="O6970">
        <v>-4.7467870000000002E-2</v>
      </c>
      <c r="P6970">
        <v>0.95807869999999995</v>
      </c>
      <c r="Q6970">
        <v>-8.0236219999999997E-2</v>
      </c>
      <c r="R6970">
        <v>-0.27504040000000002</v>
      </c>
      <c r="S6970">
        <v>2.4997560000000001</v>
      </c>
      <c r="T6970">
        <v>-0.31102819999999998</v>
      </c>
      <c r="U6970">
        <v>-2.2235109999999998</v>
      </c>
      <c r="V6970">
        <v>0.22874620000000001</v>
      </c>
      <c r="W6970">
        <v>-6.852519E-2</v>
      </c>
      <c r="X6970">
        <v>0.97107129999999997</v>
      </c>
      <c r="Y6970">
        <v>0.62541769999999997</v>
      </c>
      <c r="Z6970">
        <v>-3.3701099999999998E-2</v>
      </c>
      <c r="AA6970">
        <v>0.77956210000000004</v>
      </c>
      <c r="AB6970">
        <v>20</v>
      </c>
      <c r="AC6970">
        <v>8.8136999999999794</v>
      </c>
      <c r="AD6970">
        <v>-1.118187</v>
      </c>
      <c r="AE6970">
        <v>-7.9817</v>
      </c>
      <c r="AF6970">
        <v>7.4880743760941701</v>
      </c>
      <c r="AG6970">
        <v>-1.118187</v>
      </c>
      <c r="AH6970">
        <v>9.1021802301368293</v>
      </c>
      <c r="AI6970">
        <v>95.419451383389998</v>
      </c>
      <c r="AJ6970">
        <v>50.5569548169901</v>
      </c>
      <c r="AK6970">
        <v>11.8393954647516</v>
      </c>
      <c r="AL6970">
        <v>93.929283411424805</v>
      </c>
      <c r="AM6970">
        <v>76.745010129321798</v>
      </c>
      <c r="AN6970">
        <v>0.99999999768133296</v>
      </c>
    </row>
    <row r="6971" spans="1:40" x14ac:dyDescent="0.25">
      <c r="A6971" t="str">
        <f>"20190303154318368"</f>
        <v>20190303154318368</v>
      </c>
      <c r="B6971" t="str">
        <f>"1551598998357005"</f>
        <v>1551598998357005</v>
      </c>
      <c r="C6971" t="s">
        <v>40</v>
      </c>
      <c r="D6971">
        <v>5.4370659999999997</v>
      </c>
      <c r="E6971">
        <v>0.66829269999999996</v>
      </c>
      <c r="F6971" t="s">
        <v>43</v>
      </c>
      <c r="G6971">
        <v>-300.9624</v>
      </c>
      <c r="H6971">
        <v>-0.05</v>
      </c>
      <c r="I6971">
        <v>9.3215029999999999</v>
      </c>
      <c r="J6971">
        <v>-309.54559999999998</v>
      </c>
      <c r="K6971">
        <v>1.068092</v>
      </c>
      <c r="L6971">
        <v>17.34055</v>
      </c>
      <c r="M6971">
        <v>0.99861290000000003</v>
      </c>
      <c r="N6971">
        <v>-1.381628E-2</v>
      </c>
      <c r="O6971">
        <v>-5.0809529999999999E-2</v>
      </c>
      <c r="P6971">
        <v>0.95483499999999999</v>
      </c>
      <c r="Q6971">
        <v>-8.0894899999999895E-2</v>
      </c>
      <c r="R6971">
        <v>-0.2859139</v>
      </c>
      <c r="S6971">
        <v>2.454529</v>
      </c>
      <c r="T6971">
        <v>-0.31549860000000002</v>
      </c>
      <c r="U6971">
        <v>-2.265228</v>
      </c>
      <c r="V6971">
        <v>0.2365043</v>
      </c>
      <c r="W6971">
        <v>-6.9313570000000005E-2</v>
      </c>
      <c r="X6971">
        <v>0.96915499999999999</v>
      </c>
      <c r="Y6971">
        <v>0.63686949999999998</v>
      </c>
      <c r="Z6971">
        <v>-3.4778450000000002E-2</v>
      </c>
      <c r="AA6971">
        <v>0.77018679999999995</v>
      </c>
      <c r="AB6971">
        <v>19</v>
      </c>
      <c r="AC6971">
        <v>8.5831999999999695</v>
      </c>
      <c r="AD6971">
        <v>-1.1180920000000001</v>
      </c>
      <c r="AE6971">
        <v>-8.0190470000000005</v>
      </c>
      <c r="AF6971">
        <v>7.5045427801528097</v>
      </c>
      <c r="AG6971">
        <v>-1.1180920000000001</v>
      </c>
      <c r="AH6971">
        <v>8.8989656471347107</v>
      </c>
      <c r="AI6971">
        <v>95.486364971384006</v>
      </c>
      <c r="AJ6971">
        <v>49.858895187646702</v>
      </c>
      <c r="AK6971">
        <v>11.694438064673699</v>
      </c>
      <c r="AL6971">
        <v>93.974561774704</v>
      </c>
      <c r="AM6971">
        <v>76.286062450162405</v>
      </c>
      <c r="AN6971">
        <v>1.0000000344648099</v>
      </c>
    </row>
    <row r="6972" spans="1:40" x14ac:dyDescent="0.25">
      <c r="A6972" t="str">
        <f>"20190303154318380"</f>
        <v>20190303154318380</v>
      </c>
      <c r="B6972" t="str">
        <f>"1551598998377501"</f>
        <v>1551598998377501</v>
      </c>
      <c r="C6972" t="s">
        <v>40</v>
      </c>
      <c r="D6972">
        <v>5.4638210000000003</v>
      </c>
      <c r="E6972">
        <v>0.66440900000000003</v>
      </c>
      <c r="F6972" t="s">
        <v>43</v>
      </c>
      <c r="G6972">
        <v>-301.7004</v>
      </c>
      <c r="H6972">
        <v>-0.05</v>
      </c>
      <c r="I6972">
        <v>10.54115</v>
      </c>
      <c r="J6972">
        <v>-309.43680000000001</v>
      </c>
      <c r="K6972">
        <v>1.0679970000000001</v>
      </c>
      <c r="L6972">
        <v>17.331420000000001</v>
      </c>
      <c r="M6972">
        <v>0.99844489999999997</v>
      </c>
      <c r="N6972">
        <v>-1.3818189999999999E-2</v>
      </c>
      <c r="O6972">
        <v>-5.4009630000000003E-2</v>
      </c>
      <c r="P6972">
        <v>0.95149269999999997</v>
      </c>
      <c r="Q6972">
        <v>-8.1721569999999993E-2</v>
      </c>
      <c r="R6972">
        <v>-0.29661999999999999</v>
      </c>
      <c r="S6972">
        <v>2.470825</v>
      </c>
      <c r="T6972">
        <v>-0.35214079999999998</v>
      </c>
      <c r="U6972">
        <v>-2.1414490000000002</v>
      </c>
      <c r="V6972">
        <v>0.24425079999999999</v>
      </c>
      <c r="W6972">
        <v>-7.0273420000000003E-2</v>
      </c>
      <c r="X6972">
        <v>0.96716239999999998</v>
      </c>
      <c r="Y6972">
        <v>0.60941109999999998</v>
      </c>
      <c r="Z6972">
        <v>-3.6147029999999997E-2</v>
      </c>
      <c r="AA6972">
        <v>0.79203000000000001</v>
      </c>
      <c r="AB6972">
        <v>19</v>
      </c>
      <c r="AC6972">
        <v>7.7363999999999997</v>
      </c>
      <c r="AD6972">
        <v>-1.1179969999999999</v>
      </c>
      <c r="AE6972">
        <v>-6.7902699999999996</v>
      </c>
      <c r="AF6972">
        <v>6.2882993702686303</v>
      </c>
      <c r="AG6972">
        <v>-1.1179969999999999</v>
      </c>
      <c r="AH6972">
        <v>7.99754057043884</v>
      </c>
      <c r="AI6972">
        <v>96.2711461738228</v>
      </c>
      <c r="AJ6972">
        <v>51.822768283972103</v>
      </c>
      <c r="AK6972">
        <v>10.2349050527078</v>
      </c>
      <c r="AL6972">
        <v>94.029691876067204</v>
      </c>
      <c r="AM6972">
        <v>75.826667087584198</v>
      </c>
      <c r="AN6972">
        <v>0.99999995741644698</v>
      </c>
    </row>
    <row r="6973" spans="1:40" x14ac:dyDescent="0.25">
      <c r="A6973" t="str">
        <f>"20190303154318391"</f>
        <v>20190303154318391</v>
      </c>
      <c r="B6973" t="str">
        <f>"1551598998387262"</f>
        <v>1551598998387262</v>
      </c>
      <c r="C6973" t="s">
        <v>40</v>
      </c>
      <c r="D6973">
        <v>5.4993759999999998</v>
      </c>
      <c r="E6973">
        <v>0.66236390000000001</v>
      </c>
      <c r="F6973" t="s">
        <v>43</v>
      </c>
      <c r="G6973">
        <v>-301.67399999999998</v>
      </c>
      <c r="H6973">
        <v>-0.05</v>
      </c>
      <c r="I6973">
        <v>10.567780000000001</v>
      </c>
      <c r="J6973">
        <v>-309.34129999999999</v>
      </c>
      <c r="K6973">
        <v>1.0679110000000001</v>
      </c>
      <c r="L6973">
        <v>17.323060000000002</v>
      </c>
      <c r="M6973">
        <v>0.99828399999999995</v>
      </c>
      <c r="N6973">
        <v>-1.382152E-2</v>
      </c>
      <c r="O6973">
        <v>-5.6902510000000003E-2</v>
      </c>
      <c r="P6973">
        <v>0.94838060000000002</v>
      </c>
      <c r="Q6973">
        <v>-8.2562330000000003E-2</v>
      </c>
      <c r="R6973">
        <v>-0.3061989</v>
      </c>
      <c r="S6973">
        <v>2.455597</v>
      </c>
      <c r="T6973">
        <v>-0.35365360000000001</v>
      </c>
      <c r="U6973">
        <v>-2.139526</v>
      </c>
      <c r="V6973">
        <v>0.25117030000000001</v>
      </c>
      <c r="W6973">
        <v>-7.1238789999999996E-2</v>
      </c>
      <c r="X6973">
        <v>0.9653178</v>
      </c>
      <c r="Y6973">
        <v>0.60914869999999899</v>
      </c>
      <c r="Z6973">
        <v>-3.6097209999999998E-2</v>
      </c>
      <c r="AA6973">
        <v>0.79223409999999905</v>
      </c>
      <c r="AB6973">
        <v>19</v>
      </c>
      <c r="AC6973">
        <v>7.6672999999999503</v>
      </c>
      <c r="AD6973">
        <v>-1.1179110000000001</v>
      </c>
      <c r="AE6973">
        <v>-6.75528</v>
      </c>
      <c r="AF6973">
        <v>6.2334002848825101</v>
      </c>
      <c r="AG6973">
        <v>-1.1179110000000001</v>
      </c>
      <c r="AH6973">
        <v>7.9442264008230499</v>
      </c>
      <c r="AI6973">
        <v>96.317383153677</v>
      </c>
      <c r="AJ6973">
        <v>51.880661053796601</v>
      </c>
      <c r="AK6973">
        <v>10.159514615523101</v>
      </c>
      <c r="AL6973">
        <v>94.085142435075397</v>
      </c>
      <c r="AM6973">
        <v>75.415350478589403</v>
      </c>
      <c r="AN6973">
        <v>0.999999969899796</v>
      </c>
    </row>
    <row r="6974" spans="1:40" x14ac:dyDescent="0.25">
      <c r="A6974" t="str">
        <f>"20190303154318401"</f>
        <v>20190303154318401</v>
      </c>
      <c r="B6974" t="str">
        <f>"1551598998397021"</f>
        <v>1551598998397021</v>
      </c>
      <c r="C6974" t="s">
        <v>40</v>
      </c>
      <c r="D6974">
        <v>5.4683339999999996</v>
      </c>
      <c r="E6974">
        <v>0.66220469999999998</v>
      </c>
      <c r="F6974" t="s">
        <v>43</v>
      </c>
      <c r="G6974">
        <v>-301.6671</v>
      </c>
      <c r="H6974">
        <v>-0.05</v>
      </c>
      <c r="I6974">
        <v>10.5601</v>
      </c>
      <c r="J6974">
        <v>-309.24639999999999</v>
      </c>
      <c r="K6974">
        <v>1.0678190000000001</v>
      </c>
      <c r="L6974">
        <v>17.314299999999999</v>
      </c>
      <c r="M6974">
        <v>0.99811079999999996</v>
      </c>
      <c r="N6974">
        <v>-1.382627E-2</v>
      </c>
      <c r="O6974">
        <v>-5.9862169999999999E-2</v>
      </c>
      <c r="P6974">
        <v>0.94526520000000003</v>
      </c>
      <c r="Q6974">
        <v>-8.3275340000000003E-2</v>
      </c>
      <c r="R6974">
        <v>-0.3154979</v>
      </c>
      <c r="S6974">
        <v>2.4385379999999999</v>
      </c>
      <c r="T6974">
        <v>-0.35522559999999997</v>
      </c>
      <c r="U6974">
        <v>-2.148987</v>
      </c>
      <c r="V6974">
        <v>0.2577583</v>
      </c>
      <c r="W6974">
        <v>-7.2076979999999999E-2</v>
      </c>
      <c r="X6974">
        <v>0.96351730000000002</v>
      </c>
      <c r="Y6974">
        <v>0.61121819999999905</v>
      </c>
      <c r="Z6974">
        <v>-3.6187009999999999E-2</v>
      </c>
      <c r="AA6974">
        <v>0.79063450000000002</v>
      </c>
      <c r="AB6974">
        <v>19</v>
      </c>
      <c r="AC6974">
        <v>7.5792999999999804</v>
      </c>
      <c r="AD6974">
        <v>-1.1178189999999999</v>
      </c>
      <c r="AE6974">
        <v>-6.7541999999999902</v>
      </c>
      <c r="AF6974">
        <v>6.2130042862837298</v>
      </c>
      <c r="AG6974">
        <v>-1.1178189999999999</v>
      </c>
      <c r="AH6974">
        <v>7.8745963461026003</v>
      </c>
      <c r="AI6974">
        <v>96.358926041491401</v>
      </c>
      <c r="AJ6974">
        <v>51.726794301133701</v>
      </c>
      <c r="AK6974">
        <v>10.0925818892983</v>
      </c>
      <c r="AL6974">
        <v>94.133290798950796</v>
      </c>
      <c r="AM6974">
        <v>75.023048654564207</v>
      </c>
      <c r="AN6974">
        <v>1.0000000098320501</v>
      </c>
    </row>
    <row r="6975" spans="1:40" x14ac:dyDescent="0.25">
      <c r="A6975" t="str">
        <f>"20190303154318412"</f>
        <v>20190303154318412</v>
      </c>
      <c r="B6975" t="str">
        <f>"1551598998407757"</f>
        <v>1551598998407757</v>
      </c>
      <c r="C6975" t="s">
        <v>40</v>
      </c>
      <c r="D6975">
        <v>5.2604240000000004</v>
      </c>
      <c r="E6975">
        <v>0.66110150000000001</v>
      </c>
      <c r="F6975" t="s">
        <v>43</v>
      </c>
      <c r="G6975">
        <v>-300.95139999999998</v>
      </c>
      <c r="H6975">
        <v>-0.05</v>
      </c>
      <c r="I6975">
        <v>9.8674619999999997</v>
      </c>
      <c r="J6975">
        <v>-309.15050000000002</v>
      </c>
      <c r="K6975">
        <v>1.0677160000000001</v>
      </c>
      <c r="L6975">
        <v>17.305209999999999</v>
      </c>
      <c r="M6975">
        <v>0.99792360000000002</v>
      </c>
      <c r="N6975">
        <v>-1.383188E-2</v>
      </c>
      <c r="O6975">
        <v>-6.2906859999999995E-2</v>
      </c>
      <c r="P6975">
        <v>0.94202660000000005</v>
      </c>
      <c r="Q6975">
        <v>-8.3657839999999997E-2</v>
      </c>
      <c r="R6975">
        <v>-0.32494289999999998</v>
      </c>
      <c r="S6975">
        <v>2.4198909999999998</v>
      </c>
      <c r="T6975">
        <v>-0.32609949999999999</v>
      </c>
      <c r="U6975">
        <v>-2.1724549999999998</v>
      </c>
      <c r="V6975">
        <v>0.26443179999999999</v>
      </c>
      <c r="W6975">
        <v>-7.2590489999999994E-2</v>
      </c>
      <c r="X6975">
        <v>0.96166859999999998</v>
      </c>
      <c r="Y6975">
        <v>0.61660159999999997</v>
      </c>
      <c r="Z6975">
        <v>-3.3832599999999997E-2</v>
      </c>
      <c r="AA6975">
        <v>0.78654799999999903</v>
      </c>
      <c r="AB6975">
        <v>19</v>
      </c>
      <c r="AC6975">
        <v>8.1991000000000405</v>
      </c>
      <c r="AD6975">
        <v>-1.1177159999999999</v>
      </c>
      <c r="AE6975">
        <v>-7.4377479999999903</v>
      </c>
      <c r="AF6975">
        <v>6.8374803082970796</v>
      </c>
      <c r="AG6975">
        <v>-1.1177159999999999</v>
      </c>
      <c r="AH6975">
        <v>8.5634873671206204</v>
      </c>
      <c r="AI6975">
        <v>95.823866426062494</v>
      </c>
      <c r="AJ6975">
        <v>51.394532030537697</v>
      </c>
      <c r="AK6975">
        <v>11.0151596406879</v>
      </c>
      <c r="AL6975">
        <v>94.162789960337307</v>
      </c>
      <c r="AM6975">
        <v>74.625247909375602</v>
      </c>
      <c r="AN6975">
        <v>1.0000000261578099</v>
      </c>
    </row>
    <row r="6976" spans="1:40" x14ac:dyDescent="0.25">
      <c r="A6976" t="str">
        <f>"20190303154318423"</f>
        <v>20190303154318423</v>
      </c>
      <c r="B6976" t="str">
        <f>"1551598998417517"</f>
        <v>1551598998417517</v>
      </c>
      <c r="C6976" t="s">
        <v>40</v>
      </c>
      <c r="D6976">
        <v>5.4881589999999996</v>
      </c>
      <c r="E6976">
        <v>0.6601764</v>
      </c>
      <c r="F6976" t="s">
        <v>43</v>
      </c>
      <c r="G6976">
        <v>-299.56619999999998</v>
      </c>
      <c r="H6976">
        <v>-0.05</v>
      </c>
      <c r="I6976">
        <v>8.5802149999999902</v>
      </c>
      <c r="J6976">
        <v>-309.06189999999998</v>
      </c>
      <c r="K6976">
        <v>1.06762</v>
      </c>
      <c r="L6976">
        <v>17.296329999999902</v>
      </c>
      <c r="M6976">
        <v>0.99773529999999999</v>
      </c>
      <c r="N6976">
        <v>-1.383902E-2</v>
      </c>
      <c r="O6976">
        <v>-6.5824019999999997E-2</v>
      </c>
      <c r="P6976">
        <v>0.93889869999999997</v>
      </c>
      <c r="Q6976">
        <v>-8.4510909999999995E-2</v>
      </c>
      <c r="R6976">
        <v>-0.3336575</v>
      </c>
      <c r="S6976">
        <v>2.404633</v>
      </c>
      <c r="T6976">
        <v>-0.2804258</v>
      </c>
      <c r="U6976">
        <v>-2.1890260000000001</v>
      </c>
      <c r="V6976">
        <v>0.2705013</v>
      </c>
      <c r="W6976">
        <v>-7.3569099999999998E-2</v>
      </c>
      <c r="X6976">
        <v>0.95990450000000005</v>
      </c>
      <c r="Y6976">
        <v>0.6205195</v>
      </c>
      <c r="Z6976">
        <v>-2.9956170000000001E-2</v>
      </c>
      <c r="AA6976">
        <v>0.7836187</v>
      </c>
      <c r="AB6976">
        <v>19</v>
      </c>
      <c r="AC6976">
        <v>9.4956999999999994</v>
      </c>
      <c r="AD6976">
        <v>-1.1176200000000001</v>
      </c>
      <c r="AE6976">
        <v>-8.7161149999999896</v>
      </c>
      <c r="AF6976">
        <v>8.0118680544719005</v>
      </c>
      <c r="AG6976">
        <v>-1.1176200000000001</v>
      </c>
      <c r="AH6976">
        <v>9.9739006068563594</v>
      </c>
      <c r="AI6976">
        <v>94.992669084803296</v>
      </c>
      <c r="AJ6976">
        <v>51.225667559214003</v>
      </c>
      <c r="AK6976">
        <v>12.842032452151599</v>
      </c>
      <c r="AL6976">
        <v>94.219010591323894</v>
      </c>
      <c r="AM6976">
        <v>74.262151941907206</v>
      </c>
      <c r="AN6976">
        <v>1.0000000074483699</v>
      </c>
    </row>
    <row r="6977" spans="1:40" x14ac:dyDescent="0.25">
      <c r="A6977" t="str">
        <f>"20190303154318434"</f>
        <v>20190303154318434</v>
      </c>
      <c r="B6977" t="str">
        <f>"1551598998427278"</f>
        <v>1551598998427278</v>
      </c>
      <c r="C6977" t="s">
        <v>40</v>
      </c>
      <c r="D6977">
        <v>5.5513159999999999</v>
      </c>
      <c r="E6977">
        <v>0.65898239999999997</v>
      </c>
      <c r="F6977" t="s">
        <v>43</v>
      </c>
      <c r="G6977">
        <v>-299.27010000000001</v>
      </c>
      <c r="H6977">
        <v>-0.05</v>
      </c>
      <c r="I6977">
        <v>8.2527010000000001</v>
      </c>
      <c r="J6977">
        <v>-308.95780000000002</v>
      </c>
      <c r="K6977">
        <v>1.0675059999999901</v>
      </c>
      <c r="L6977">
        <v>17.285640000000001</v>
      </c>
      <c r="M6977">
        <v>0.99750019999999995</v>
      </c>
      <c r="N6977">
        <v>-1.3847669999999999E-2</v>
      </c>
      <c r="O6977">
        <v>-6.9292450000000005E-2</v>
      </c>
      <c r="P6977">
        <v>0.93546629999999997</v>
      </c>
      <c r="Q6977">
        <v>-8.5375399999999907E-2</v>
      </c>
      <c r="R6977">
        <v>-0.3429489</v>
      </c>
      <c r="S6977">
        <v>2.3872070000000001</v>
      </c>
      <c r="T6977">
        <v>-0.27247179999999999</v>
      </c>
      <c r="U6977">
        <v>-2.2048030000000001</v>
      </c>
      <c r="V6977">
        <v>0.27664640000000001</v>
      </c>
      <c r="W6977">
        <v>-7.4573570000000006E-2</v>
      </c>
      <c r="X6977">
        <v>0.95807390000000003</v>
      </c>
      <c r="Y6977">
        <v>0.62354909999999997</v>
      </c>
      <c r="Z6977">
        <v>-2.9250129999999999E-2</v>
      </c>
      <c r="AA6977">
        <v>0.78123679999999995</v>
      </c>
      <c r="AB6977">
        <v>19</v>
      </c>
      <c r="AC6977">
        <v>9.6876999999999995</v>
      </c>
      <c r="AD6977">
        <v>-1.1175060000000001</v>
      </c>
      <c r="AE6977">
        <v>-9.0329390000000007</v>
      </c>
      <c r="AF6977">
        <v>8.2809306793645696</v>
      </c>
      <c r="AG6977">
        <v>-1.1175060000000001</v>
      </c>
      <c r="AH6977">
        <v>10.217655427561001</v>
      </c>
      <c r="AI6977">
        <v>94.856683587192506</v>
      </c>
      <c r="AJ6977">
        <v>50.976854553246497</v>
      </c>
      <c r="AK6977">
        <v>13.199360401657501</v>
      </c>
      <c r="AL6977">
        <v>94.276720952418103</v>
      </c>
      <c r="AM6977">
        <v>73.893785425162093</v>
      </c>
      <c r="AN6977">
        <v>1.0000000229183501</v>
      </c>
    </row>
    <row r="6978" spans="1:40" x14ac:dyDescent="0.25">
      <c r="A6978" t="str">
        <f>"20190303154318446"</f>
        <v>20190303154318446</v>
      </c>
      <c r="B6978" t="str">
        <f>"1551598998437545"</f>
        <v>1551598998437545</v>
      </c>
      <c r="C6978" t="s">
        <v>40</v>
      </c>
      <c r="D6978">
        <v>5.6151819999999999</v>
      </c>
      <c r="E6978">
        <v>0.65684469999999995</v>
      </c>
      <c r="F6978" t="s">
        <v>43</v>
      </c>
      <c r="G6978">
        <v>-299.08390000000003</v>
      </c>
      <c r="H6978">
        <v>-0.05</v>
      </c>
      <c r="I6978">
        <v>8.0353089999999998</v>
      </c>
      <c r="J6978">
        <v>-308.8664</v>
      </c>
      <c r="K6978">
        <v>1.0674030000000001</v>
      </c>
      <c r="L6978">
        <v>17.27563</v>
      </c>
      <c r="M6978">
        <v>0.99727299999999997</v>
      </c>
      <c r="N6978">
        <v>-1.3857950000000001E-2</v>
      </c>
      <c r="O6978">
        <v>-7.2487679999999999E-2</v>
      </c>
      <c r="P6978">
        <v>0.93181380000000003</v>
      </c>
      <c r="Q6978">
        <v>-8.6161109999999999E-2</v>
      </c>
      <c r="R6978">
        <v>-0.35256079999999901</v>
      </c>
      <c r="S6978">
        <v>2.3688959999999999</v>
      </c>
      <c r="T6978">
        <v>-0.26810659999999997</v>
      </c>
      <c r="U6978">
        <v>-2.2192989999999999</v>
      </c>
      <c r="V6978">
        <v>0.28340530000000003</v>
      </c>
      <c r="W6978">
        <v>-7.5505820000000001E-2</v>
      </c>
      <c r="X6978">
        <v>0.95602319999999996</v>
      </c>
      <c r="Y6978">
        <v>0.62664919999999902</v>
      </c>
      <c r="Z6978">
        <v>-2.8891989999999999E-2</v>
      </c>
      <c r="AA6978">
        <v>0.77876569999999901</v>
      </c>
      <c r="AB6978">
        <v>19</v>
      </c>
      <c r="AC6978">
        <v>9.7824999999999704</v>
      </c>
      <c r="AD6978">
        <v>-1.1174029999999999</v>
      </c>
      <c r="AE6978">
        <v>-9.2403209999999998</v>
      </c>
      <c r="AF6978">
        <v>8.4485743834600395</v>
      </c>
      <c r="AG6978">
        <v>-1.1174029999999999</v>
      </c>
      <c r="AH6978">
        <v>10.3552326294644</v>
      </c>
      <c r="AI6978">
        <v>94.779379828277499</v>
      </c>
      <c r="AJ6978">
        <v>50.7898578509947</v>
      </c>
      <c r="AK6978">
        <v>13.4111088798649</v>
      </c>
      <c r="AL6978">
        <v>94.330285954569504</v>
      </c>
      <c r="AM6978">
        <v>73.487971599151294</v>
      </c>
      <c r="AN6978">
        <v>1.0000000259301001</v>
      </c>
    </row>
    <row r="6979" spans="1:40" x14ac:dyDescent="0.25">
      <c r="A6979" t="str">
        <f>"20190303154318458"</f>
        <v>20190303154318458</v>
      </c>
      <c r="B6979" t="str">
        <f>"1551598998447306"</f>
        <v>1551598998447306</v>
      </c>
      <c r="C6979" t="s">
        <v>40</v>
      </c>
      <c r="D6979">
        <v>5.6187709999999997</v>
      </c>
      <c r="E6979">
        <v>0.65499929999999995</v>
      </c>
      <c r="F6979" t="s">
        <v>43</v>
      </c>
      <c r="G6979">
        <v>-299.63130000000001</v>
      </c>
      <c r="H6979">
        <v>-0.05</v>
      </c>
      <c r="I6979">
        <v>8.5231779999999997</v>
      </c>
      <c r="J6979">
        <v>-308.76519999999999</v>
      </c>
      <c r="K6979">
        <v>1.067285</v>
      </c>
      <c r="L6979">
        <v>17.26437</v>
      </c>
      <c r="M6979">
        <v>0.99700699999999998</v>
      </c>
      <c r="N6979">
        <v>-1.386926E-2</v>
      </c>
      <c r="O6979">
        <v>-7.6058810000000004E-2</v>
      </c>
      <c r="P6979">
        <v>0.92783689999999996</v>
      </c>
      <c r="Q6979">
        <v>-8.7399809999999994E-2</v>
      </c>
      <c r="R6979">
        <v>-0.36260170000000003</v>
      </c>
      <c r="S6979">
        <v>2.350403</v>
      </c>
      <c r="T6979">
        <v>-0.28438790000000003</v>
      </c>
      <c r="U6979">
        <v>-2.2275700000000001</v>
      </c>
      <c r="V6979">
        <v>0.29026550000000001</v>
      </c>
      <c r="W6979">
        <v>-7.6904529999999999E-2</v>
      </c>
      <c r="X6979">
        <v>0.953851</v>
      </c>
      <c r="Y6979">
        <v>0.628081</v>
      </c>
      <c r="Z6979">
        <v>-3.0182649999999998E-2</v>
      </c>
      <c r="AA6979">
        <v>0.77756239999999999</v>
      </c>
      <c r="AB6979">
        <v>19</v>
      </c>
      <c r="AC6979">
        <v>9.1338999999999793</v>
      </c>
      <c r="AD6979">
        <v>-1.1172850000000001</v>
      </c>
      <c r="AE6979">
        <v>-8.7411919999999999</v>
      </c>
      <c r="AF6979">
        <v>7.9589271774939903</v>
      </c>
      <c r="AG6979">
        <v>-1.1172850000000001</v>
      </c>
      <c r="AH6979">
        <v>9.6966148798676404</v>
      </c>
      <c r="AI6979">
        <v>95.0895898110183</v>
      </c>
      <c r="AJ6979">
        <v>50.621042186944599</v>
      </c>
      <c r="AK6979">
        <v>12.5943315708436</v>
      </c>
      <c r="AL6979">
        <v>94.410659752850904</v>
      </c>
      <c r="AM6979">
        <v>73.074519859643004</v>
      </c>
      <c r="AN6979">
        <v>1.00000004871288</v>
      </c>
    </row>
    <row r="6980" spans="1:40" x14ac:dyDescent="0.25">
      <c r="A6980" t="str">
        <f>"20190303154318467"</f>
        <v>20190303154318467</v>
      </c>
      <c r="B6980" t="str">
        <f>"1551598998457065"</f>
        <v>1551598998457065</v>
      </c>
      <c r="C6980" t="s">
        <v>40</v>
      </c>
      <c r="D6980">
        <v>5.7504809999999997</v>
      </c>
      <c r="E6980">
        <v>0.65457609999999999</v>
      </c>
      <c r="F6980" t="s">
        <v>43</v>
      </c>
      <c r="G6980">
        <v>-300.03030000000001</v>
      </c>
      <c r="H6980">
        <v>-0.05</v>
      </c>
      <c r="I6980">
        <v>8.8719479999999997</v>
      </c>
      <c r="J6980">
        <v>-308.66739999999999</v>
      </c>
      <c r="K6980">
        <v>1.0671619999999999</v>
      </c>
      <c r="L6980">
        <v>17.25281</v>
      </c>
      <c r="M6980">
        <v>0.99672439999999995</v>
      </c>
      <c r="N6980">
        <v>-1.388322E-2</v>
      </c>
      <c r="O6980">
        <v>-7.9672899999999894E-2</v>
      </c>
      <c r="P6980">
        <v>0.92363919999999999</v>
      </c>
      <c r="Q6980">
        <v>-8.8032479999999996E-2</v>
      </c>
      <c r="R6980">
        <v>-0.37301590000000001</v>
      </c>
      <c r="S6980">
        <v>2.3303219999999998</v>
      </c>
      <c r="T6980">
        <v>-0.2980719</v>
      </c>
      <c r="U6980">
        <v>-2.238953</v>
      </c>
      <c r="V6980">
        <v>0.29749730000000002</v>
      </c>
      <c r="W6980">
        <v>-7.7705720000000006E-2</v>
      </c>
      <c r="X6980">
        <v>0.95155509999999999</v>
      </c>
      <c r="Y6980">
        <v>0.63032670000000002</v>
      </c>
      <c r="Z6980">
        <v>-3.1284119999999999E-2</v>
      </c>
      <c r="AA6980">
        <v>0.77569940000000004</v>
      </c>
      <c r="AB6980">
        <v>19</v>
      </c>
      <c r="AC6980">
        <v>8.63709999999997</v>
      </c>
      <c r="AD6980">
        <v>-1.117162</v>
      </c>
      <c r="AE6980">
        <v>-8.3808619999999898</v>
      </c>
      <c r="AF6980">
        <v>7.6005129826839601</v>
      </c>
      <c r="AG6980">
        <v>-1.117162</v>
      </c>
      <c r="AH6980">
        <v>9.1981705194050303</v>
      </c>
      <c r="AI6980">
        <v>95.348832766034405</v>
      </c>
      <c r="AJ6980">
        <v>50.4328380389315</v>
      </c>
      <c r="AK6980">
        <v>11.9842475541121</v>
      </c>
      <c r="AL6980">
        <v>94.456702712886596</v>
      </c>
      <c r="AM6980">
        <v>72.638497112757406</v>
      </c>
      <c r="AN6980">
        <v>0.99999996538200797</v>
      </c>
    </row>
    <row r="6981" spans="1:40" x14ac:dyDescent="0.25">
      <c r="A6981" t="str">
        <f>"20190303154318479"</f>
        <v>20190303154318479</v>
      </c>
      <c r="B6981" t="str">
        <f>"1551598998477561"</f>
        <v>1551598998477561</v>
      </c>
      <c r="C6981" t="s">
        <v>40</v>
      </c>
      <c r="D6981">
        <v>5.7032389999999999</v>
      </c>
      <c r="E6981">
        <v>0.65672489999999994</v>
      </c>
      <c r="F6981" t="s">
        <v>43</v>
      </c>
      <c r="G6981">
        <v>-300.29989999999998</v>
      </c>
      <c r="H6981">
        <v>-0.05</v>
      </c>
      <c r="I6981">
        <v>9.0428160000000002</v>
      </c>
      <c r="J6981">
        <v>-308.57330000000002</v>
      </c>
      <c r="K6981">
        <v>1.0670470000000001</v>
      </c>
      <c r="L6981">
        <v>17.241389999999999</v>
      </c>
      <c r="M6981">
        <v>0.99643570000000004</v>
      </c>
      <c r="N6981">
        <v>-1.3897029999999999E-2</v>
      </c>
      <c r="O6981">
        <v>-8.3203330000000006E-2</v>
      </c>
      <c r="P6981">
        <v>0.9192804</v>
      </c>
      <c r="Q6981">
        <v>-8.8567480000000004E-2</v>
      </c>
      <c r="R6981">
        <v>-0.38350909999999999</v>
      </c>
      <c r="S6981">
        <v>2.305237</v>
      </c>
      <c r="T6981">
        <v>-0.30777660000000001</v>
      </c>
      <c r="U6981">
        <v>-2.261841</v>
      </c>
      <c r="V6981">
        <v>0.30492160000000001</v>
      </c>
      <c r="W6981">
        <v>-7.8413269999999993E-2</v>
      </c>
      <c r="X6981">
        <v>0.94914390000000004</v>
      </c>
      <c r="Y6981">
        <v>0.63550430000000002</v>
      </c>
      <c r="Z6981">
        <v>-3.2240289999999998E-2</v>
      </c>
      <c r="AA6981">
        <v>0.77142390000000005</v>
      </c>
      <c r="AB6981">
        <v>19</v>
      </c>
      <c r="AC6981">
        <v>8.2734000000000307</v>
      </c>
      <c r="AD6981">
        <v>-1.1170469999999999</v>
      </c>
      <c r="AE6981">
        <v>-8.19857399999999</v>
      </c>
      <c r="AF6981">
        <v>7.41351355548725</v>
      </c>
      <c r="AG6981">
        <v>-1.1170469999999999</v>
      </c>
      <c r="AH6981">
        <v>8.8455641147731701</v>
      </c>
      <c r="AI6981">
        <v>95.528209899626901</v>
      </c>
      <c r="AJ6981">
        <v>50.033450639463901</v>
      </c>
      <c r="AK6981">
        <v>11.595343106013001</v>
      </c>
      <c r="AL6981">
        <v>94.497366341713402</v>
      </c>
      <c r="AM6981">
        <v>72.189885723855895</v>
      </c>
      <c r="AN6981">
        <v>0.99999998298293102</v>
      </c>
    </row>
    <row r="6982" spans="1:40" x14ac:dyDescent="0.25">
      <c r="A6982" t="str">
        <f>"20190303154318492"</f>
        <v>20190303154318492</v>
      </c>
      <c r="B6982" t="str">
        <f>"1551598998487321"</f>
        <v>1551598998487321</v>
      </c>
      <c r="C6982" t="s">
        <v>40</v>
      </c>
      <c r="D6982">
        <v>5.5753729999999999</v>
      </c>
      <c r="E6982">
        <v>0.71120150000000004</v>
      </c>
      <c r="F6982" t="s">
        <v>43</v>
      </c>
      <c r="G6982">
        <v>-300.35180000000003</v>
      </c>
      <c r="H6982">
        <v>-0.05</v>
      </c>
      <c r="I6982">
        <v>8.9078669999999995</v>
      </c>
      <c r="J6982">
        <v>-308.46679999999998</v>
      </c>
      <c r="K6982">
        <v>1.066921</v>
      </c>
      <c r="L6982">
        <v>17.22784</v>
      </c>
      <c r="M6982">
        <v>0.99608260000000004</v>
      </c>
      <c r="N6982">
        <v>-1.3914599999999999E-2</v>
      </c>
      <c r="O6982">
        <v>-8.7326089999999995E-2</v>
      </c>
      <c r="P6982">
        <v>0.91430690000000003</v>
      </c>
      <c r="Q6982">
        <v>-8.927235E-2</v>
      </c>
      <c r="R6982">
        <v>-0.39506160000000001</v>
      </c>
      <c r="S6982">
        <v>2.2726440000000001</v>
      </c>
      <c r="T6982">
        <v>-0.30878250000000002</v>
      </c>
      <c r="U6982">
        <v>-2.3036189999999999</v>
      </c>
      <c r="V6982">
        <v>0.31290750000000001</v>
      </c>
      <c r="W6982">
        <v>-7.9310430000000001E-2</v>
      </c>
      <c r="X6982">
        <v>0.94646640000000004</v>
      </c>
      <c r="Y6982">
        <v>0.64475400000000005</v>
      </c>
      <c r="Z6982">
        <v>-3.2674710000000003E-2</v>
      </c>
      <c r="AA6982">
        <v>0.76369149999999997</v>
      </c>
      <c r="AB6982">
        <v>19</v>
      </c>
      <c r="AC6982">
        <v>8.1149999999999505</v>
      </c>
      <c r="AD6982">
        <v>-1.1169209999999901</v>
      </c>
      <c r="AE6982">
        <v>-8.3199729999999992</v>
      </c>
      <c r="AF6982">
        <v>7.5101018982693803</v>
      </c>
      <c r="AG6982">
        <v>-1.1169209999999901</v>
      </c>
      <c r="AH6982">
        <v>8.7299865002949293</v>
      </c>
      <c r="AI6982">
        <v>95.539794117499298</v>
      </c>
      <c r="AJ6982">
        <v>49.295741783732197</v>
      </c>
      <c r="AK6982">
        <v>11.569866349183201</v>
      </c>
      <c r="AL6982">
        <v>94.5489305830137</v>
      </c>
      <c r="AM6982">
        <v>71.705802676430096</v>
      </c>
      <c r="AN6982">
        <v>0.99999994709599604</v>
      </c>
    </row>
    <row r="6983" spans="1:40" x14ac:dyDescent="0.25">
      <c r="A6983" t="str">
        <f>"20190303154318501"</f>
        <v>20190303154318501</v>
      </c>
      <c r="B6983" t="str">
        <f>"1551598998497081"</f>
        <v>1551598998497081</v>
      </c>
      <c r="C6983" t="s">
        <v>40</v>
      </c>
      <c r="D6983">
        <v>5.6457620000000004</v>
      </c>
      <c r="E6983">
        <v>0.71193839999999997</v>
      </c>
      <c r="F6983" t="s">
        <v>43</v>
      </c>
      <c r="G6983">
        <v>-297.27140000000003</v>
      </c>
      <c r="H6983">
        <v>-0.05</v>
      </c>
      <c r="I6983">
        <v>2.5200809999999998</v>
      </c>
      <c r="J6983">
        <v>-308.37580000000003</v>
      </c>
      <c r="K6983">
        <v>1.0668169999999999</v>
      </c>
      <c r="L6983">
        <v>17.21576</v>
      </c>
      <c r="M6983">
        <v>0.99575809999999998</v>
      </c>
      <c r="N6983">
        <v>-1.3930710000000001E-2</v>
      </c>
      <c r="O6983">
        <v>-9.0950500000000004E-2</v>
      </c>
      <c r="P6983">
        <v>0.9094816</v>
      </c>
      <c r="Q6983">
        <v>-8.9618660000000003E-2</v>
      </c>
      <c r="R6983">
        <v>-0.40597050000000001</v>
      </c>
      <c r="S6983">
        <v>2.0801090000000002</v>
      </c>
      <c r="T6983">
        <v>-0.20752370000000001</v>
      </c>
      <c r="U6983">
        <v>-2.7326969999999999</v>
      </c>
      <c r="V6983">
        <v>0.32074409999999998</v>
      </c>
      <c r="W6983">
        <v>-7.9838389999999995E-2</v>
      </c>
      <c r="X6983">
        <v>0.94379500000000005</v>
      </c>
      <c r="Y6983">
        <v>0.73572780000000004</v>
      </c>
      <c r="Z6983">
        <v>-2.8264439999999998E-2</v>
      </c>
      <c r="AA6983">
        <v>0.67668729999999999</v>
      </c>
      <c r="AB6983">
        <v>19</v>
      </c>
      <c r="AC6983">
        <v>11.104399999999901</v>
      </c>
      <c r="AD6983">
        <v>-1.1168169999999999</v>
      </c>
      <c r="AE6983">
        <v>-14.695678999999901</v>
      </c>
      <c r="AF6983">
        <v>13.5748052199725</v>
      </c>
      <c r="AG6983">
        <v>-1.1168169999999999</v>
      </c>
      <c r="AH6983">
        <v>12.349675002533001</v>
      </c>
      <c r="AI6983">
        <v>93.482490242665804</v>
      </c>
      <c r="AJ6983">
        <v>42.2943486195269</v>
      </c>
      <c r="AK6983">
        <v>18.385784988405302</v>
      </c>
      <c r="AL6983">
        <v>94.579276570430395</v>
      </c>
      <c r="AM6983">
        <v>71.229922952575606</v>
      </c>
      <c r="AN6983">
        <v>0.99999997411380004</v>
      </c>
    </row>
    <row r="6984" spans="1:40" x14ac:dyDescent="0.25">
      <c r="A6984" t="str">
        <f>"20190303154318514"</f>
        <v>20190303154318514</v>
      </c>
      <c r="B6984" t="str">
        <f>"1551598998506841"</f>
        <v>1551598998506841</v>
      </c>
      <c r="C6984" t="s">
        <v>40</v>
      </c>
      <c r="D6984">
        <v>5.7208870000000003</v>
      </c>
      <c r="E6984">
        <v>0.71067519999999995</v>
      </c>
      <c r="F6984" t="s">
        <v>43</v>
      </c>
      <c r="G6984">
        <v>-297.52350000000001</v>
      </c>
      <c r="H6984">
        <v>-0.05</v>
      </c>
      <c r="I6984">
        <v>2.5499879999999999</v>
      </c>
      <c r="J6984">
        <v>-308.26909999999998</v>
      </c>
      <c r="K6984">
        <v>1.066697</v>
      </c>
      <c r="L6984">
        <v>17.201229999999999</v>
      </c>
      <c r="M6984">
        <v>0.99535370000000001</v>
      </c>
      <c r="N6984">
        <v>-1.395002E-2</v>
      </c>
      <c r="O6984">
        <v>-9.5270350000000004E-2</v>
      </c>
      <c r="P6984">
        <v>0.90402899999999997</v>
      </c>
      <c r="Q6984">
        <v>-8.9768899999999999E-2</v>
      </c>
      <c r="R6984">
        <v>-0.41793910000000001</v>
      </c>
      <c r="S6984">
        <v>2.0445250000000001</v>
      </c>
      <c r="T6984">
        <v>-0.2104037</v>
      </c>
      <c r="U6984">
        <v>-2.7629700000000001</v>
      </c>
      <c r="V6984">
        <v>0.3290592</v>
      </c>
      <c r="W6984">
        <v>-8.0192349999999996E-2</v>
      </c>
      <c r="X6984">
        <v>0.94089809999999996</v>
      </c>
      <c r="Y6984">
        <v>0.74188940000000003</v>
      </c>
      <c r="Z6984">
        <v>-2.873941E-2</v>
      </c>
      <c r="AA6984">
        <v>0.66990620000000001</v>
      </c>
      <c r="AB6984">
        <v>19</v>
      </c>
      <c r="AC6984">
        <v>10.7455999999999</v>
      </c>
      <c r="AD6984">
        <v>-1.1166969999999901</v>
      </c>
      <c r="AE6984">
        <v>-14.651242</v>
      </c>
      <c r="AF6984">
        <v>13.5097189476539</v>
      </c>
      <c r="AG6984">
        <v>-1.1166969999999901</v>
      </c>
      <c r="AH6984">
        <v>12.047171515843999</v>
      </c>
      <c r="AI6984">
        <v>93.530245610845</v>
      </c>
      <c r="AJ6984">
        <v>41.724699472656802</v>
      </c>
      <c r="AK6984">
        <v>18.135431060952801</v>
      </c>
      <c r="AL6984">
        <v>94.599622090744404</v>
      </c>
      <c r="AM6984">
        <v>70.723795831769294</v>
      </c>
      <c r="AN6984">
        <v>1.0000000023433799</v>
      </c>
    </row>
    <row r="6985" spans="1:40" x14ac:dyDescent="0.25">
      <c r="A6985" t="str">
        <f>"20190303154318530"</f>
        <v>20190303154318530</v>
      </c>
      <c r="B6985" t="str">
        <f>"1551598998527338"</f>
        <v>1551598998527338</v>
      </c>
      <c r="C6985" t="s">
        <v>40</v>
      </c>
      <c r="D6985">
        <v>5.7436699999999998</v>
      </c>
      <c r="E6985">
        <v>0.70815430000000001</v>
      </c>
      <c r="F6985" t="s">
        <v>43</v>
      </c>
      <c r="G6985">
        <v>-298.23809999999997</v>
      </c>
      <c r="H6985">
        <v>-0.05</v>
      </c>
      <c r="I6985">
        <v>3.3336939999999999</v>
      </c>
      <c r="J6985">
        <v>-308.13959999999997</v>
      </c>
      <c r="K6985">
        <v>1.066554</v>
      </c>
      <c r="L6985">
        <v>17.182500000000001</v>
      </c>
      <c r="M6985">
        <v>0.99481399999999998</v>
      </c>
      <c r="N6985">
        <v>-1.397581E-2</v>
      </c>
      <c r="O6985">
        <v>-0.1007459</v>
      </c>
      <c r="P6985">
        <v>0.89803559999999905</v>
      </c>
      <c r="Q6985">
        <v>-8.9401460000000002E-2</v>
      </c>
      <c r="R6985">
        <v>-0.4307433</v>
      </c>
      <c r="S6985">
        <v>2.0109859999999999</v>
      </c>
      <c r="T6985">
        <v>-0.22387209999999999</v>
      </c>
      <c r="U6985">
        <v>-2.7801209999999998</v>
      </c>
      <c r="V6985">
        <v>0.33720129999999998</v>
      </c>
      <c r="W6985">
        <v>-8.0046409999999998E-2</v>
      </c>
      <c r="X6985">
        <v>0.93802339999999995</v>
      </c>
      <c r="Y6985">
        <v>0.7452531</v>
      </c>
      <c r="Z6985">
        <v>-3.009096E-2</v>
      </c>
      <c r="AA6985">
        <v>0.66610230000000004</v>
      </c>
      <c r="AB6985">
        <v>19</v>
      </c>
      <c r="AC6985">
        <v>9.9015000000000004</v>
      </c>
      <c r="AD6985">
        <v>-1.116554</v>
      </c>
      <c r="AE6985">
        <v>-13.848806</v>
      </c>
      <c r="AF6985">
        <v>12.7259587039949</v>
      </c>
      <c r="AG6985">
        <v>-1.116554</v>
      </c>
      <c r="AH6985">
        <v>11.1982907334156</v>
      </c>
      <c r="AI6985">
        <v>93.768500307518394</v>
      </c>
      <c r="AJ6985">
        <v>41.346374221723401</v>
      </c>
      <c r="AK6985">
        <v>16.988185103795001</v>
      </c>
      <c r="AL6985">
        <v>94.591233288174905</v>
      </c>
      <c r="AM6985">
        <v>70.227468490946606</v>
      </c>
      <c r="AN6985">
        <v>1.0000000217115601</v>
      </c>
    </row>
    <row r="6986" spans="1:40" x14ac:dyDescent="0.25">
      <c r="A6986" t="str">
        <f>"20190303154318545"</f>
        <v>20190303154318545</v>
      </c>
      <c r="B6986" t="str">
        <f>"1551598998537605"</f>
        <v>1551598998537605</v>
      </c>
      <c r="C6986" t="s">
        <v>40</v>
      </c>
      <c r="D6986">
        <v>5.7911289999999997</v>
      </c>
      <c r="E6986">
        <v>0.70631339999999998</v>
      </c>
      <c r="F6986" t="s">
        <v>43</v>
      </c>
      <c r="G6986">
        <v>-298.86579999999998</v>
      </c>
      <c r="H6986">
        <v>-0.05</v>
      </c>
      <c r="I6986">
        <v>4.1073149999999998</v>
      </c>
      <c r="J6986">
        <v>-308.00240000000002</v>
      </c>
      <c r="K6986">
        <v>1.0664049999999901</v>
      </c>
      <c r="L6986">
        <v>17.16168</v>
      </c>
      <c r="M6986">
        <v>0.99418839999999997</v>
      </c>
      <c r="N6986">
        <v>-1.400509E-2</v>
      </c>
      <c r="O6986">
        <v>-0.1067393</v>
      </c>
      <c r="P6986">
        <v>0.88825509999999996</v>
      </c>
      <c r="Q6986">
        <v>-8.7646769999999999E-2</v>
      </c>
      <c r="R6986">
        <v>-0.45091120000000001</v>
      </c>
      <c r="S6986">
        <v>1.9787600000000001</v>
      </c>
      <c r="T6986">
        <v>-0.23823949999999999</v>
      </c>
      <c r="U6986">
        <v>-2.7898559999999999</v>
      </c>
      <c r="V6986">
        <v>0.35263440000000001</v>
      </c>
      <c r="W6986">
        <v>-7.8646489999999999E-2</v>
      </c>
      <c r="X6986">
        <v>0.93245040000000001</v>
      </c>
      <c r="Y6986">
        <v>0.74721559999999998</v>
      </c>
      <c r="Z6986">
        <v>-3.14153E-2</v>
      </c>
      <c r="AA6986">
        <v>0.6638387</v>
      </c>
      <c r="AB6986">
        <v>19</v>
      </c>
      <c r="AC6986">
        <v>9.1366000000000405</v>
      </c>
      <c r="AD6986">
        <v>-1.1164050000000001</v>
      </c>
      <c r="AE6986">
        <v>-13.054364999999899</v>
      </c>
      <c r="AF6986">
        <v>11.945799647572301</v>
      </c>
      <c r="AG6986">
        <v>-1.1164050000000001</v>
      </c>
      <c r="AH6986">
        <v>10.426758427700999</v>
      </c>
      <c r="AI6986">
        <v>94.027438244397104</v>
      </c>
      <c r="AJ6986">
        <v>41.115720255524401</v>
      </c>
      <c r="AK6986">
        <v>15.895464153449501</v>
      </c>
      <c r="AL6986">
        <v>94.510770093313099</v>
      </c>
      <c r="AM6986">
        <v>69.284367984207606</v>
      </c>
      <c r="AN6986">
        <v>1.00000001945641</v>
      </c>
    </row>
    <row r="6987" spans="1:40" x14ac:dyDescent="0.25">
      <c r="A6987" t="str">
        <f>"20190303154318557"</f>
        <v>20190303154318557</v>
      </c>
      <c r="B6987" t="str">
        <f>"1551598998547365"</f>
        <v>1551598998547365</v>
      </c>
      <c r="C6987" t="s">
        <v>40</v>
      </c>
      <c r="D6987">
        <v>5.7756309999999997</v>
      </c>
      <c r="E6987">
        <v>0.7049512</v>
      </c>
      <c r="F6987" t="s">
        <v>43</v>
      </c>
      <c r="G6987">
        <v>-299.06229999999999</v>
      </c>
      <c r="H6987">
        <v>-0.05</v>
      </c>
      <c r="I6987">
        <v>4.0408169999999997</v>
      </c>
      <c r="J6987">
        <v>-307.90199999999999</v>
      </c>
      <c r="K6987">
        <v>1.0662940000000001</v>
      </c>
      <c r="L6987">
        <v>17.145969999999998</v>
      </c>
      <c r="M6987">
        <v>0.99369620000000003</v>
      </c>
      <c r="N6987">
        <v>-1.4027380000000001E-2</v>
      </c>
      <c r="O6987">
        <v>-0.1112259</v>
      </c>
      <c r="P6987">
        <v>0.88259480000000001</v>
      </c>
      <c r="Q6987">
        <v>-8.6654250000000002E-2</v>
      </c>
      <c r="R6987">
        <v>-0.46207949999999998</v>
      </c>
      <c r="S6987">
        <v>1.9219059999999999</v>
      </c>
      <c r="T6987">
        <v>-0.24000070000000001</v>
      </c>
      <c r="U6987">
        <v>-2.8206790000000002</v>
      </c>
      <c r="V6987">
        <v>0.36014439999999998</v>
      </c>
      <c r="W6987">
        <v>-7.7859250000000005E-2</v>
      </c>
      <c r="X6987">
        <v>0.92964179999999996</v>
      </c>
      <c r="Y6987">
        <v>0.75655459999999997</v>
      </c>
      <c r="Z6987">
        <v>-3.2099179999999998E-2</v>
      </c>
      <c r="AA6987">
        <v>0.65314220000000001</v>
      </c>
      <c r="AB6987">
        <v>19</v>
      </c>
      <c r="AC6987">
        <v>8.8396999999999899</v>
      </c>
      <c r="AD6987">
        <v>-1.1162939999999999</v>
      </c>
      <c r="AE6987">
        <v>-13.105153</v>
      </c>
      <c r="AF6987">
        <v>11.980776185091701</v>
      </c>
      <c r="AG6987">
        <v>-1.1162939999999999</v>
      </c>
      <c r="AH6987">
        <v>10.1917921669937</v>
      </c>
      <c r="AI6987">
        <v>94.059416718698003</v>
      </c>
      <c r="AJ6987">
        <v>40.387107647109502</v>
      </c>
      <c r="AK6987">
        <v>15.768885118069999</v>
      </c>
      <c r="AL6987">
        <v>94.465526072127105</v>
      </c>
      <c r="AM6987">
        <v>68.8235697106864</v>
      </c>
      <c r="AN6987">
        <v>0.99999996398458002</v>
      </c>
    </row>
    <row r="6988" spans="1:40" x14ac:dyDescent="0.25">
      <c r="A6988" t="str">
        <f>"20190303154318568"</f>
        <v>20190303154318568</v>
      </c>
      <c r="B6988" t="str">
        <f>"1551598998557125"</f>
        <v>1551598998557125</v>
      </c>
      <c r="C6988" t="s">
        <v>40</v>
      </c>
      <c r="D6988">
        <v>5.7536699999999996</v>
      </c>
      <c r="E6988">
        <v>0.70379669999999905</v>
      </c>
      <c r="F6988" t="s">
        <v>43</v>
      </c>
      <c r="G6988">
        <v>-299.07889999999998</v>
      </c>
      <c r="H6988">
        <v>-0.05</v>
      </c>
      <c r="I6988">
        <v>3.9200900000000001</v>
      </c>
      <c r="J6988">
        <v>-307.8014</v>
      </c>
      <c r="K6988">
        <v>1.0661830000000001</v>
      </c>
      <c r="L6988">
        <v>17.12933</v>
      </c>
      <c r="M6988">
        <v>0.9931622</v>
      </c>
      <c r="N6988">
        <v>-1.4053E-2</v>
      </c>
      <c r="O6988">
        <v>-0.1158947</v>
      </c>
      <c r="P6988">
        <v>0.87669180000000002</v>
      </c>
      <c r="Q6988">
        <v>-8.6222049999999995E-2</v>
      </c>
      <c r="R6988">
        <v>-0.47326249999999997</v>
      </c>
      <c r="S6988">
        <v>1.8912960000000001</v>
      </c>
      <c r="T6988">
        <v>-0.23928489999999999</v>
      </c>
      <c r="U6988">
        <v>-2.8350520000000001</v>
      </c>
      <c r="V6988">
        <v>0.36755130000000003</v>
      </c>
      <c r="W6988">
        <v>-7.7633499999999994E-2</v>
      </c>
      <c r="X6988">
        <v>0.92675730000000001</v>
      </c>
      <c r="Y6988">
        <v>0.75987059999999995</v>
      </c>
      <c r="Z6988">
        <v>-3.205392E-2</v>
      </c>
      <c r="AA6988">
        <v>0.64928359999999996</v>
      </c>
      <c r="AB6988">
        <v>19</v>
      </c>
      <c r="AC6988">
        <v>8.7225000000000197</v>
      </c>
      <c r="AD6988">
        <v>-1.1161829999999999</v>
      </c>
      <c r="AE6988">
        <v>-13.209239999999999</v>
      </c>
      <c r="AF6988">
        <v>12.0493091682825</v>
      </c>
      <c r="AG6988">
        <v>-1.1161829999999999</v>
      </c>
      <c r="AH6988">
        <v>10.1443042558667</v>
      </c>
      <c r="AI6988">
        <v>94.053457204704699</v>
      </c>
      <c r="AJ6988">
        <v>40.094000370615603</v>
      </c>
      <c r="AK6988">
        <v>15.790459928638599</v>
      </c>
      <c r="AL6988">
        <v>94.452552093472704</v>
      </c>
      <c r="AM6988">
        <v>68.366757524307303</v>
      </c>
      <c r="AN6988">
        <v>1.00000000577861</v>
      </c>
    </row>
    <row r="6989" spans="1:40" x14ac:dyDescent="0.25">
      <c r="A6989" t="str">
        <f>"20190303154318579"</f>
        <v>20190303154318579</v>
      </c>
      <c r="B6989" t="str">
        <f>"1551598998577621"</f>
        <v>1551598998577621</v>
      </c>
      <c r="C6989" t="s">
        <v>40</v>
      </c>
      <c r="D6989">
        <v>5.998888</v>
      </c>
      <c r="E6989">
        <v>0.69986680000000001</v>
      </c>
      <c r="F6989" t="s">
        <v>43</v>
      </c>
      <c r="G6989">
        <v>-299.13200000000001</v>
      </c>
      <c r="H6989">
        <v>-0.05</v>
      </c>
      <c r="I6989">
        <v>3.8373110000000001</v>
      </c>
      <c r="J6989">
        <v>-307.70639999999997</v>
      </c>
      <c r="K6989">
        <v>1.0660769999999999</v>
      </c>
      <c r="L6989">
        <v>17.113189999999999</v>
      </c>
      <c r="M6989">
        <v>0.99262910000000004</v>
      </c>
      <c r="N6989">
        <v>-1.40774E-2</v>
      </c>
      <c r="O6989">
        <v>-0.1203713</v>
      </c>
      <c r="P6989">
        <v>0.87090299999999998</v>
      </c>
      <c r="Q6989">
        <v>-8.61233E-2</v>
      </c>
      <c r="R6989">
        <v>-0.48385020000000001</v>
      </c>
      <c r="S6989">
        <v>1.8594059999999999</v>
      </c>
      <c r="T6989">
        <v>-0.23939779999999999</v>
      </c>
      <c r="U6989">
        <v>-2.8508610000000001</v>
      </c>
      <c r="V6989">
        <v>0.37456210000000001</v>
      </c>
      <c r="W6989">
        <v>-7.7733800000000006E-2</v>
      </c>
      <c r="X6989">
        <v>0.92393760000000003</v>
      </c>
      <c r="Y6989">
        <v>0.763646099999999</v>
      </c>
      <c r="Z6989">
        <v>-3.2134669999999997E-2</v>
      </c>
      <c r="AA6989">
        <v>0.64483489999999999</v>
      </c>
      <c r="AB6989">
        <v>19</v>
      </c>
      <c r="AC6989">
        <v>8.5743999999999598</v>
      </c>
      <c r="AD6989">
        <v>-1.116077</v>
      </c>
      <c r="AE6989">
        <v>-13.275879</v>
      </c>
      <c r="AF6989">
        <v>12.086837676161901</v>
      </c>
      <c r="AG6989">
        <v>-1.116077</v>
      </c>
      <c r="AH6989">
        <v>10.0600651559716</v>
      </c>
      <c r="AI6989">
        <v>94.059571227923499</v>
      </c>
      <c r="AJ6989">
        <v>39.771144817320902</v>
      </c>
      <c r="AK6989">
        <v>15.7652207032509</v>
      </c>
      <c r="AL6989">
        <v>94.458316306952</v>
      </c>
      <c r="AM6989">
        <v>67.932483761352401</v>
      </c>
      <c r="AN6989">
        <v>0.99999999955630503</v>
      </c>
    </row>
    <row r="6990" spans="1:40" x14ac:dyDescent="0.25">
      <c r="A6990" t="str">
        <f>"20190303154318590"</f>
        <v>20190303154318590</v>
      </c>
      <c r="B6990" t="str">
        <f>"1551598998587380"</f>
        <v>1551598998587380</v>
      </c>
      <c r="C6990" t="s">
        <v>40</v>
      </c>
      <c r="D6990">
        <v>5.8921890000000001</v>
      </c>
      <c r="E6990">
        <v>0.69986680000000001</v>
      </c>
      <c r="F6990" t="s">
        <v>43</v>
      </c>
      <c r="G6990">
        <v>-299.8974</v>
      </c>
      <c r="H6990">
        <v>-0.05</v>
      </c>
      <c r="I6990">
        <v>5.0233759999999998</v>
      </c>
      <c r="J6990">
        <v>-307.61189999999999</v>
      </c>
      <c r="K6990">
        <v>1.0659719999999999</v>
      </c>
      <c r="L6990">
        <v>17.09656</v>
      </c>
      <c r="M6990">
        <v>0.99206550000000004</v>
      </c>
      <c r="N6990">
        <v>-1.410293E-2</v>
      </c>
      <c r="O6990">
        <v>-0.1249295</v>
      </c>
      <c r="P6990">
        <v>0.8647338</v>
      </c>
      <c r="Q6990">
        <v>-8.6399210000000004E-2</v>
      </c>
      <c r="R6990">
        <v>-0.49474319999999999</v>
      </c>
      <c r="S6990">
        <v>1.8378909999999999</v>
      </c>
      <c r="T6990">
        <v>-0.2626771</v>
      </c>
      <c r="U6990">
        <v>-2.8454280000000001</v>
      </c>
      <c r="V6990">
        <v>0.38187379999999999</v>
      </c>
      <c r="W6990">
        <v>-7.8215300000000001E-2</v>
      </c>
      <c r="X6990">
        <v>0.92089889999999996</v>
      </c>
      <c r="Y6990">
        <v>0.76317979999999996</v>
      </c>
      <c r="Z6990">
        <v>-3.4252369999999997E-2</v>
      </c>
      <c r="AA6990">
        <v>0.64527769999999995</v>
      </c>
      <c r="AB6990">
        <v>19</v>
      </c>
      <c r="AC6990">
        <v>7.7144999999999797</v>
      </c>
      <c r="AD6990">
        <v>-1.115972</v>
      </c>
      <c r="AE6990">
        <v>-12.073183999999999</v>
      </c>
      <c r="AF6990">
        <v>10.948292192029699</v>
      </c>
      <c r="AG6990">
        <v>-1.115972</v>
      </c>
      <c r="AH6990">
        <v>9.1072431850372197</v>
      </c>
      <c r="AI6990">
        <v>94.480720648939894</v>
      </c>
      <c r="AJ6990">
        <v>39.755087459902299</v>
      </c>
      <c r="AK6990">
        <v>14.284690191188901</v>
      </c>
      <c r="AL6990">
        <v>94.4859884385166</v>
      </c>
      <c r="AM6990">
        <v>67.477434489480402</v>
      </c>
      <c r="AN6990">
        <v>1.00000000815087</v>
      </c>
    </row>
    <row r="6991" spans="1:40" x14ac:dyDescent="0.25">
      <c r="A6991" t="str">
        <f>"20190303154318602"</f>
        <v>20190303154318602</v>
      </c>
      <c r="B6991" t="str">
        <f>"1551598998597140"</f>
        <v>1551598998597140</v>
      </c>
      <c r="C6991" t="s">
        <v>40</v>
      </c>
      <c r="D6991">
        <v>6.1733289999999998</v>
      </c>
      <c r="E6991">
        <v>0.68062339999999999</v>
      </c>
      <c r="F6991" t="s">
        <v>43</v>
      </c>
      <c r="G6991">
        <v>-299.9162</v>
      </c>
      <c r="H6991">
        <v>-0.05</v>
      </c>
      <c r="I6991">
        <v>4.8497620000000001</v>
      </c>
      <c r="J6991">
        <v>-307.52249999999998</v>
      </c>
      <c r="K6991">
        <v>1.0658729999999901</v>
      </c>
      <c r="L6991">
        <v>17.080289999999898</v>
      </c>
      <c r="M6991">
        <v>0.99150050000000001</v>
      </c>
      <c r="N6991">
        <v>-1.412747E-2</v>
      </c>
      <c r="O6991">
        <v>-0.129333</v>
      </c>
      <c r="P6991">
        <v>0.85865079999999905</v>
      </c>
      <c r="Q6991">
        <v>-8.7246899999999905E-2</v>
      </c>
      <c r="R6991">
        <v>-0.50508069999999905</v>
      </c>
      <c r="S6991">
        <v>1.802246</v>
      </c>
      <c r="T6991">
        <v>-0.26134649999999998</v>
      </c>
      <c r="U6991">
        <v>-2.868042</v>
      </c>
      <c r="V6991">
        <v>0.38879390000000003</v>
      </c>
      <c r="W6991">
        <v>-7.9260960000000005E-2</v>
      </c>
      <c r="X6991">
        <v>0.91790899999999997</v>
      </c>
      <c r="Y6991">
        <v>0.7683297</v>
      </c>
      <c r="Z6991">
        <v>-3.4276809999999998E-2</v>
      </c>
      <c r="AA6991">
        <v>0.63913580000000003</v>
      </c>
      <c r="AB6991">
        <v>19</v>
      </c>
      <c r="AC6991">
        <v>7.6062999999999699</v>
      </c>
      <c r="AD6991">
        <v>-1.1158729999999999</v>
      </c>
      <c r="AE6991">
        <v>-12.2305279999999</v>
      </c>
      <c r="AF6991">
        <v>11.077449377506801</v>
      </c>
      <c r="AG6991">
        <v>-1.1158729999999999</v>
      </c>
      <c r="AH6991">
        <v>9.06992995761542</v>
      </c>
      <c r="AI6991">
        <v>94.456679650283107</v>
      </c>
      <c r="AJ6991">
        <v>39.309732578992303</v>
      </c>
      <c r="AK6991">
        <v>14.3603163857696</v>
      </c>
      <c r="AL6991">
        <v>94.546087130832404</v>
      </c>
      <c r="AM6991">
        <v>67.044196497642403</v>
      </c>
      <c r="AN6991">
        <v>0.99999996436916505</v>
      </c>
    </row>
    <row r="6992" spans="1:40" x14ac:dyDescent="0.25">
      <c r="A6992" t="str">
        <f>"20190303154318611"</f>
        <v>20190303154318611</v>
      </c>
      <c r="B6992" t="str">
        <f>"1551598998606900"</f>
        <v>1551598998606900</v>
      </c>
      <c r="C6992" t="s">
        <v>40</v>
      </c>
      <c r="D6992">
        <v>5.8945160000000003</v>
      </c>
      <c r="E6992">
        <v>0.67730769999999996</v>
      </c>
      <c r="F6992" t="s">
        <v>43</v>
      </c>
      <c r="G6992">
        <v>-302.35890000000001</v>
      </c>
      <c r="H6992">
        <v>-0.05</v>
      </c>
      <c r="I6992">
        <v>9.3206179999999996</v>
      </c>
      <c r="J6992">
        <v>-307.43099999999998</v>
      </c>
      <c r="K6992">
        <v>1.0657760000000001</v>
      </c>
      <c r="L6992">
        <v>17.063199999999998</v>
      </c>
      <c r="M6992">
        <v>0.99089159999999998</v>
      </c>
      <c r="N6992">
        <v>-1.415284E-2</v>
      </c>
      <c r="O6992">
        <v>-0.1339157</v>
      </c>
      <c r="P6992">
        <v>0.8523868</v>
      </c>
      <c r="Q6992">
        <v>-8.796814E-2</v>
      </c>
      <c r="R6992">
        <v>-0.51545949999999996</v>
      </c>
      <c r="S6992">
        <v>1.8331599999999999</v>
      </c>
      <c r="T6992">
        <v>-0.39615430000000001</v>
      </c>
      <c r="U6992">
        <v>-2.7548219999999999</v>
      </c>
      <c r="V6992">
        <v>0.39564640000000001</v>
      </c>
      <c r="W6992">
        <v>-8.0182719999999999E-2</v>
      </c>
      <c r="X6992">
        <v>0.91489600000000004</v>
      </c>
      <c r="Y6992">
        <v>0.74570839999999905</v>
      </c>
      <c r="Z6992">
        <v>-4.5254240000000001E-2</v>
      </c>
      <c r="AA6992">
        <v>0.66473380000000004</v>
      </c>
      <c r="AB6992">
        <v>19</v>
      </c>
      <c r="AC6992">
        <v>5.0720999999999696</v>
      </c>
      <c r="AD6992">
        <v>-1.1157760000000001</v>
      </c>
      <c r="AE6992">
        <v>-7.7425819999999899</v>
      </c>
      <c r="AF6992">
        <v>6.8933566913650504</v>
      </c>
      <c r="AG6992">
        <v>-1.1157760000000001</v>
      </c>
      <c r="AH6992">
        <v>5.9765153499605299</v>
      </c>
      <c r="AI6992">
        <v>96.972521583113704</v>
      </c>
      <c r="AJ6992">
        <v>40.925169820657601</v>
      </c>
      <c r="AK6992">
        <v>9.19141220296844</v>
      </c>
      <c r="AL6992">
        <v>94.599068484083503</v>
      </c>
      <c r="AM6992">
        <v>66.613950765804802</v>
      </c>
      <c r="AN6992">
        <v>1.00000001661777</v>
      </c>
    </row>
    <row r="6993" spans="1:40" x14ac:dyDescent="0.25">
      <c r="A6993" t="str">
        <f>"20190303154318622"</f>
        <v>20190303154318622</v>
      </c>
      <c r="B6993" t="str">
        <f>"1551598998617636"</f>
        <v>1551598998617636</v>
      </c>
      <c r="C6993" t="s">
        <v>40</v>
      </c>
      <c r="D6993">
        <v>5.9173640000000001</v>
      </c>
      <c r="E6993">
        <v>0.67498199999999997</v>
      </c>
      <c r="F6993" t="s">
        <v>43</v>
      </c>
      <c r="G6993">
        <v>-302.3612</v>
      </c>
      <c r="H6993">
        <v>-0.05</v>
      </c>
      <c r="I6993">
        <v>9.3612520000000004</v>
      </c>
      <c r="J6993">
        <v>-307.34550000000002</v>
      </c>
      <c r="K6993">
        <v>1.065688</v>
      </c>
      <c r="L6993">
        <v>17.046600000000002</v>
      </c>
      <c r="M6993">
        <v>0.99028870000000002</v>
      </c>
      <c r="N6993">
        <v>-1.417712E-2</v>
      </c>
      <c r="O6993">
        <v>-0.13830149999999999</v>
      </c>
      <c r="P6993">
        <v>0.84642739999999905</v>
      </c>
      <c r="Q6993">
        <v>-8.8254979999999997E-2</v>
      </c>
      <c r="R6993">
        <v>-0.52513980000000005</v>
      </c>
      <c r="S6993">
        <v>1.8128660000000001</v>
      </c>
      <c r="T6993">
        <v>-0.39898339999999999</v>
      </c>
      <c r="U6993">
        <v>-2.754089</v>
      </c>
      <c r="V6993">
        <v>0.40198620000000002</v>
      </c>
      <c r="W6993">
        <v>-8.0657820000000005E-2</v>
      </c>
      <c r="X6993">
        <v>0.91208630000000002</v>
      </c>
      <c r="Y6993">
        <v>0.74601640000000002</v>
      </c>
      <c r="Z6993">
        <v>-4.519836E-2</v>
      </c>
      <c r="AA6993">
        <v>0.66439190000000004</v>
      </c>
      <c r="AB6993">
        <v>19</v>
      </c>
      <c r="AC6993">
        <v>4.9843000000000099</v>
      </c>
      <c r="AD6993">
        <v>-1.115688</v>
      </c>
      <c r="AE6993">
        <v>-7.6853480000000003</v>
      </c>
      <c r="AF6993">
        <v>6.8208859648448197</v>
      </c>
      <c r="AG6993">
        <v>-1.115688</v>
      </c>
      <c r="AH6993">
        <v>5.9116949577374696</v>
      </c>
      <c r="AI6993">
        <v>97.046318977215293</v>
      </c>
      <c r="AJ6993">
        <v>40.915632593892802</v>
      </c>
      <c r="AK6993">
        <v>9.0949096934549001</v>
      </c>
      <c r="AL6993">
        <v>94.626378223079101</v>
      </c>
      <c r="AM6993">
        <v>66.215346611186007</v>
      </c>
      <c r="AN6993">
        <v>1.00000000378264</v>
      </c>
    </row>
    <row r="6994" spans="1:40" x14ac:dyDescent="0.25">
      <c r="A6994" t="str">
        <f>"20190303154318632"</f>
        <v>20190303154318632</v>
      </c>
      <c r="B6994" t="str">
        <f>"1551598998627396"</f>
        <v>1551598998627396</v>
      </c>
      <c r="C6994" t="s">
        <v>40</v>
      </c>
      <c r="D6994">
        <v>5.9382070000000002</v>
      </c>
      <c r="E6994">
        <v>0.6728653</v>
      </c>
      <c r="F6994" t="s">
        <v>43</v>
      </c>
      <c r="G6994">
        <v>-302.44490000000002</v>
      </c>
      <c r="H6994">
        <v>-0.05</v>
      </c>
      <c r="I6994">
        <v>9.4937740000000002</v>
      </c>
      <c r="J6994">
        <v>-307.25240000000002</v>
      </c>
      <c r="K6994">
        <v>1.0655950000000001</v>
      </c>
      <c r="L6994">
        <v>17.028110000000002</v>
      </c>
      <c r="M6994">
        <v>0.98959980000000003</v>
      </c>
      <c r="N6994">
        <v>-1.4203530000000001E-2</v>
      </c>
      <c r="O6994">
        <v>-0.14314560000000001</v>
      </c>
      <c r="P6994">
        <v>0.84018419999999905</v>
      </c>
      <c r="Q6994">
        <v>-8.799883E-2</v>
      </c>
      <c r="R6994">
        <v>-0.53511419999999998</v>
      </c>
      <c r="S6994">
        <v>1.7901309999999999</v>
      </c>
      <c r="T6994">
        <v>-0.40754580000000001</v>
      </c>
      <c r="U6994">
        <v>-2.7589419999999998</v>
      </c>
      <c r="V6994">
        <v>0.408273</v>
      </c>
      <c r="W6994">
        <v>-8.0597290000000002E-2</v>
      </c>
      <c r="X6994">
        <v>0.90929490000000002</v>
      </c>
      <c r="Y6994">
        <v>0.74693339999999997</v>
      </c>
      <c r="Z6994">
        <v>-4.5641090000000002E-2</v>
      </c>
      <c r="AA6994">
        <v>0.66333059999999999</v>
      </c>
      <c r="AB6994">
        <v>19</v>
      </c>
      <c r="AC6994">
        <v>4.8075000000000001</v>
      </c>
      <c r="AD6994">
        <v>-1.1155949999999999</v>
      </c>
      <c r="AE6994">
        <v>-7.5343359999999997</v>
      </c>
      <c r="AF6994">
        <v>6.6646478584400803</v>
      </c>
      <c r="AG6994">
        <v>-1.1155949999999999</v>
      </c>
      <c r="AH6994">
        <v>5.74705376589315</v>
      </c>
      <c r="AI6994">
        <v>97.224685357552303</v>
      </c>
      <c r="AJ6994">
        <v>40.7718288902905</v>
      </c>
      <c r="AK6994">
        <v>8.8707784477520093</v>
      </c>
      <c r="AL6994">
        <v>94.6228988434207</v>
      </c>
      <c r="AM6994">
        <v>65.819941231570596</v>
      </c>
      <c r="AN6994">
        <v>0.99999999042517695</v>
      </c>
    </row>
    <row r="6995" spans="1:40" x14ac:dyDescent="0.25">
      <c r="A6995" t="str">
        <f>"20190303154318645"</f>
        <v>20190303154318645</v>
      </c>
      <c r="B6995" t="str">
        <f>"1551598998637664"</f>
        <v>1551598998637664</v>
      </c>
      <c r="C6995" t="s">
        <v>40</v>
      </c>
      <c r="D6995">
        <v>5.9217399999999998</v>
      </c>
      <c r="E6995">
        <v>0.67123580000000005</v>
      </c>
      <c r="F6995" t="s">
        <v>43</v>
      </c>
      <c r="G6995">
        <v>-302.46899999999999</v>
      </c>
      <c r="H6995">
        <v>-0.05</v>
      </c>
      <c r="I6995">
        <v>9.5390010000000007</v>
      </c>
      <c r="J6995">
        <v>-307.15620000000001</v>
      </c>
      <c r="K6995">
        <v>1.065499</v>
      </c>
      <c r="L6995">
        <v>17.008209999999998</v>
      </c>
      <c r="M6995">
        <v>0.98884079999999996</v>
      </c>
      <c r="N6995">
        <v>-1.423282E-2</v>
      </c>
      <c r="O6995">
        <v>-0.14829489999999901</v>
      </c>
      <c r="P6995">
        <v>0.83377279999999998</v>
      </c>
      <c r="Q6995">
        <v>-8.7155389999999999E-2</v>
      </c>
      <c r="R6995">
        <v>-0.54518549999999999</v>
      </c>
      <c r="S6995">
        <v>1.7662659999999999</v>
      </c>
      <c r="T6995">
        <v>-0.41193289999999999</v>
      </c>
      <c r="U6995">
        <v>-2.7653500000000002</v>
      </c>
      <c r="V6995">
        <v>0.41444180000000003</v>
      </c>
      <c r="W6995">
        <v>-7.9951590000000003E-2</v>
      </c>
      <c r="X6995">
        <v>0.9065571</v>
      </c>
      <c r="Y6995">
        <v>0.74812449999999997</v>
      </c>
      <c r="Z6995">
        <v>-4.5674340000000001E-2</v>
      </c>
      <c r="AA6995">
        <v>0.66198459999999903</v>
      </c>
      <c r="AB6995">
        <v>19</v>
      </c>
      <c r="AC6995">
        <v>4.6872000000000096</v>
      </c>
      <c r="AD6995">
        <v>-1.115499</v>
      </c>
      <c r="AE6995">
        <v>-7.4692090000000002</v>
      </c>
      <c r="AF6995">
        <v>6.5860548640393199</v>
      </c>
      <c r="AG6995">
        <v>-1.115499</v>
      </c>
      <c r="AH6995">
        <v>5.6526648781262097</v>
      </c>
      <c r="AI6995">
        <v>97.323810165324105</v>
      </c>
      <c r="AJ6995">
        <v>40.638761028927199</v>
      </c>
      <c r="AK6995">
        <v>8.7506043743011706</v>
      </c>
      <c r="AL6995">
        <v>94.585783046818904</v>
      </c>
      <c r="AM6995">
        <v>65.432008089311495</v>
      </c>
      <c r="AN6995">
        <v>1.00000001894558</v>
      </c>
    </row>
    <row r="6996" spans="1:40" x14ac:dyDescent="0.25">
      <c r="A6996" t="str">
        <f>"20190303154318655"</f>
        <v>20190303154318655</v>
      </c>
      <c r="B6996" t="str">
        <f>"1551598998647425"</f>
        <v>1551598998647425</v>
      </c>
      <c r="C6996" t="s">
        <v>40</v>
      </c>
      <c r="D6996">
        <v>5.917662</v>
      </c>
      <c r="E6996">
        <v>0.6698094</v>
      </c>
      <c r="F6996" t="s">
        <v>43</v>
      </c>
      <c r="G6996">
        <v>-302.4042</v>
      </c>
      <c r="H6996">
        <v>-0.05</v>
      </c>
      <c r="I6996">
        <v>9.4302519999999994</v>
      </c>
      <c r="J6996">
        <v>-307.0616</v>
      </c>
      <c r="K6996">
        <v>1.065404</v>
      </c>
      <c r="L6996">
        <v>16.988340000000001</v>
      </c>
      <c r="M6996">
        <v>0.98806090000000002</v>
      </c>
      <c r="N6996">
        <v>-1.426147E-2</v>
      </c>
      <c r="O6996">
        <v>-0.15340239999999999</v>
      </c>
      <c r="P6996">
        <v>0.82744740000000006</v>
      </c>
      <c r="Q6996">
        <v>-8.5359359999999995E-2</v>
      </c>
      <c r="R6996">
        <v>-0.55501809999999996</v>
      </c>
      <c r="S6996">
        <v>1.7405090000000001</v>
      </c>
      <c r="T6996">
        <v>-0.40857320000000003</v>
      </c>
      <c r="U6996">
        <v>-2.7755740000000002</v>
      </c>
      <c r="V6996">
        <v>0.42044949999999998</v>
      </c>
      <c r="W6996">
        <v>-7.8351649999999995E-2</v>
      </c>
      <c r="X6996">
        <v>0.90392660000000002</v>
      </c>
      <c r="Y6996">
        <v>0.75027049999999995</v>
      </c>
      <c r="Z6996">
        <v>-4.5101660000000002E-2</v>
      </c>
      <c r="AA6996">
        <v>0.65959080000000003</v>
      </c>
      <c r="AB6996">
        <v>19</v>
      </c>
      <c r="AC6996">
        <v>4.6573999999999902</v>
      </c>
      <c r="AD6996">
        <v>-1.1154040000000001</v>
      </c>
      <c r="AE6996">
        <v>-7.5580879999999997</v>
      </c>
      <c r="AF6996">
        <v>6.6491240482041096</v>
      </c>
      <c r="AG6996">
        <v>-1.1154040000000001</v>
      </c>
      <c r="AH6996">
        <v>5.6722717214199996</v>
      </c>
      <c r="AI6996">
        <v>97.272905496000504</v>
      </c>
      <c r="AJ6996">
        <v>40.467015923592001</v>
      </c>
      <c r="AK6996">
        <v>8.8107685915159202</v>
      </c>
      <c r="AL6996">
        <v>94.493824665285601</v>
      </c>
      <c r="AM6996">
        <v>65.055129462054296</v>
      </c>
      <c r="AN6996">
        <v>1.0000000306477601</v>
      </c>
    </row>
    <row r="6997" spans="1:40" x14ac:dyDescent="0.25">
      <c r="A6997" t="str">
        <f>"20190303154318665"</f>
        <v>20190303154318665</v>
      </c>
      <c r="B6997" t="str">
        <f>"1551598998657184"</f>
        <v>1551598998657184</v>
      </c>
      <c r="C6997" t="s">
        <v>40</v>
      </c>
      <c r="D6997">
        <v>5.9222570000000001</v>
      </c>
      <c r="E6997">
        <v>0.66825369999999995</v>
      </c>
      <c r="F6997" t="s">
        <v>43</v>
      </c>
      <c r="G6997">
        <v>-302.36680000000001</v>
      </c>
      <c r="H6997">
        <v>-0.05</v>
      </c>
      <c r="I6997">
        <v>9.3567049999999998</v>
      </c>
      <c r="J6997">
        <v>-306.96879999999999</v>
      </c>
      <c r="K6997">
        <v>1.065313</v>
      </c>
      <c r="L6997">
        <v>16.9678</v>
      </c>
      <c r="M6997">
        <v>0.98724129999999999</v>
      </c>
      <c r="N6997">
        <v>-1.4292869999999999E-2</v>
      </c>
      <c r="O6997">
        <v>-0.15858889999999901</v>
      </c>
      <c r="P6997">
        <v>0.82097140000000002</v>
      </c>
      <c r="Q6997">
        <v>-8.4234749999999997E-2</v>
      </c>
      <c r="R6997">
        <v>-0.56472180000000005</v>
      </c>
      <c r="S6997">
        <v>1.7143250000000001</v>
      </c>
      <c r="T6997">
        <v>-0.40729680000000001</v>
      </c>
      <c r="U6997">
        <v>-2.786743</v>
      </c>
      <c r="V6997">
        <v>0.42630709999999999</v>
      </c>
      <c r="W6997">
        <v>-7.7420450000000002E-2</v>
      </c>
      <c r="X6997">
        <v>0.90125929999999999</v>
      </c>
      <c r="Y6997">
        <v>0.75249449999999996</v>
      </c>
      <c r="Z6997">
        <v>-4.4711000000000001E-2</v>
      </c>
      <c r="AA6997">
        <v>0.65707910000000003</v>
      </c>
      <c r="AB6997">
        <v>19</v>
      </c>
      <c r="AC6997">
        <v>4.6019999999999701</v>
      </c>
      <c r="AD6997">
        <v>-1.115313</v>
      </c>
      <c r="AE6997">
        <v>-7.6110949999999997</v>
      </c>
      <c r="AF6997">
        <v>6.6798169115489499</v>
      </c>
      <c r="AG6997">
        <v>-1.115313</v>
      </c>
      <c r="AH6997">
        <v>5.6618764300726401</v>
      </c>
      <c r="AI6997">
        <v>97.258639822700701</v>
      </c>
      <c r="AJ6997">
        <v>40.2849279354703</v>
      </c>
      <c r="AK6997">
        <v>8.8272714792962201</v>
      </c>
      <c r="AL6997">
        <v>94.440308413116199</v>
      </c>
      <c r="AM6997">
        <v>64.6852558775456</v>
      </c>
      <c r="AN6997">
        <v>0.99999999771255099</v>
      </c>
    </row>
    <row r="6998" spans="1:40" x14ac:dyDescent="0.25">
      <c r="A6998" t="str">
        <f>"20190303154318678"</f>
        <v>20190303154318678</v>
      </c>
      <c r="B6998" t="str">
        <f>"1551598998666945"</f>
        <v>1551598998666945</v>
      </c>
      <c r="C6998" t="s">
        <v>40</v>
      </c>
      <c r="D6998">
        <v>5.9677100000000003</v>
      </c>
      <c r="E6998">
        <v>0.66685869999999903</v>
      </c>
      <c r="F6998" t="s">
        <v>43</v>
      </c>
      <c r="G6998">
        <v>-302.37900000000002</v>
      </c>
      <c r="H6998">
        <v>-0.05</v>
      </c>
      <c r="I6998">
        <v>9.3680730000000008</v>
      </c>
      <c r="J6998">
        <v>-306.87040000000002</v>
      </c>
      <c r="K6998">
        <v>1.065215</v>
      </c>
      <c r="L6998">
        <v>16.945709999999998</v>
      </c>
      <c r="M6998">
        <v>0.98633409999999999</v>
      </c>
      <c r="N6998">
        <v>-1.4325920000000001E-2</v>
      </c>
      <c r="O6998">
        <v>-0.164134</v>
      </c>
      <c r="P6998">
        <v>0.81395139999999999</v>
      </c>
      <c r="Q6998">
        <v>-8.3482390000000004E-2</v>
      </c>
      <c r="R6998">
        <v>-0.57490359999999996</v>
      </c>
      <c r="S6998">
        <v>1.6887209999999999</v>
      </c>
      <c r="T6998">
        <v>-0.41035769999999999</v>
      </c>
      <c r="U6998">
        <v>-2.796173</v>
      </c>
      <c r="V6998">
        <v>0.43242849999999999</v>
      </c>
      <c r="W6998">
        <v>-7.6876269999999997E-2</v>
      </c>
      <c r="X6998">
        <v>0.89838499999999999</v>
      </c>
      <c r="Y6998">
        <v>0.75410969999999999</v>
      </c>
      <c r="Z6998">
        <v>-4.4590530000000003E-2</v>
      </c>
      <c r="AA6998">
        <v>0.65523299999999995</v>
      </c>
      <c r="AB6998">
        <v>19</v>
      </c>
      <c r="AC6998">
        <v>4.4913999999999898</v>
      </c>
      <c r="AD6998">
        <v>-1.1152150000000001</v>
      </c>
      <c r="AE6998">
        <v>-7.5776370000000002</v>
      </c>
      <c r="AF6998">
        <v>6.6312914676159798</v>
      </c>
      <c r="AG6998">
        <v>-1.1152150000000001</v>
      </c>
      <c r="AH6998">
        <v>5.5848341219989397</v>
      </c>
      <c r="AI6998">
        <v>97.329878884100296</v>
      </c>
      <c r="AJ6998">
        <v>40.103883345134797</v>
      </c>
      <c r="AK6998">
        <v>8.7411728729584794</v>
      </c>
      <c r="AL6998">
        <v>94.409036033082799</v>
      </c>
      <c r="AM6998">
        <v>64.296634340111794</v>
      </c>
      <c r="AN6998">
        <v>0.99999998836318105</v>
      </c>
    </row>
    <row r="6999" spans="1:40" x14ac:dyDescent="0.25">
      <c r="A6999" t="str">
        <f>"20190303154318688"</f>
        <v>20190303154318688</v>
      </c>
      <c r="B6999" t="str">
        <f>"1551598998677681"</f>
        <v>1551598998677681</v>
      </c>
      <c r="C6999" t="s">
        <v>40</v>
      </c>
      <c r="D6999">
        <v>5.9553269999999996</v>
      </c>
      <c r="E6999">
        <v>0.66544179999999997</v>
      </c>
      <c r="F6999" t="s">
        <v>43</v>
      </c>
      <c r="G6999">
        <v>-302.35939999999999</v>
      </c>
      <c r="H6999">
        <v>-0.05</v>
      </c>
      <c r="I6999">
        <v>9.3175810000000006</v>
      </c>
      <c r="J6999">
        <v>-306.77859999999998</v>
      </c>
      <c r="K6999">
        <v>1.0651219999999999</v>
      </c>
      <c r="L6999">
        <v>16.924160000000001</v>
      </c>
      <c r="M6999">
        <v>0.98543389999999997</v>
      </c>
      <c r="N6999">
        <v>-1.435911E-2</v>
      </c>
      <c r="O6999">
        <v>-0.16945099999999999</v>
      </c>
      <c r="P6999">
        <v>0.80726309999999901</v>
      </c>
      <c r="Q6999">
        <v>-8.3060990000000001E-2</v>
      </c>
      <c r="R6999">
        <v>-0.58431739999999999</v>
      </c>
      <c r="S6999">
        <v>1.660431</v>
      </c>
      <c r="T6999">
        <v>-0.41049459999999999</v>
      </c>
      <c r="U6999">
        <v>-2.8077999999999999</v>
      </c>
      <c r="V6999">
        <v>0.43798160000000003</v>
      </c>
      <c r="W6999">
        <v>-7.6647510000000002E-2</v>
      </c>
      <c r="X6999">
        <v>0.89571049999999997</v>
      </c>
      <c r="Y6999">
        <v>0.75662750000000001</v>
      </c>
      <c r="Z6999">
        <v>-4.4344399999999999E-2</v>
      </c>
      <c r="AA6999">
        <v>0.65234080000000005</v>
      </c>
      <c r="AB6999">
        <v>19</v>
      </c>
      <c r="AC6999">
        <v>4.4191999999999796</v>
      </c>
      <c r="AD6999">
        <v>-1.1151219999999999</v>
      </c>
      <c r="AE6999">
        <v>-7.6065789999999902</v>
      </c>
      <c r="AF6999">
        <v>6.6409324005267596</v>
      </c>
      <c r="AG6999">
        <v>-1.1151219999999999</v>
      </c>
      <c r="AH6999">
        <v>5.5550948047281796</v>
      </c>
      <c r="AI6999">
        <v>97.339099905558896</v>
      </c>
      <c r="AJ6999">
        <v>39.912252657017703</v>
      </c>
      <c r="AK6999">
        <v>8.7295222385173101</v>
      </c>
      <c r="AL6999">
        <v>94.395890162280594</v>
      </c>
      <c r="AM6999">
        <v>63.942442336204799</v>
      </c>
      <c r="AN6999">
        <v>1.000000011269</v>
      </c>
    </row>
    <row r="7000" spans="1:40" x14ac:dyDescent="0.25">
      <c r="A7000" t="str">
        <f>"20190303154318700"</f>
        <v>20190303154318700</v>
      </c>
      <c r="B7000" t="str">
        <f>"1551598998697200"</f>
        <v>1551598998697200</v>
      </c>
      <c r="C7000" t="s">
        <v>40</v>
      </c>
      <c r="D7000">
        <v>5.9818819999999997</v>
      </c>
      <c r="E7000">
        <v>0.66380740000000005</v>
      </c>
      <c r="F7000" t="s">
        <v>43</v>
      </c>
      <c r="G7000">
        <v>-302.35129999999998</v>
      </c>
      <c r="H7000">
        <v>-0.05</v>
      </c>
      <c r="I7000">
        <v>9.292465</v>
      </c>
      <c r="J7000">
        <v>-306.68520000000001</v>
      </c>
      <c r="K7000">
        <v>1.065026</v>
      </c>
      <c r="L7000">
        <v>16.901859999999999</v>
      </c>
      <c r="M7000">
        <v>0.98447790000000002</v>
      </c>
      <c r="N7000">
        <v>-1.439256E-2</v>
      </c>
      <c r="O7000">
        <v>-0.17491789999999999</v>
      </c>
      <c r="P7000">
        <v>0.80035590000000001</v>
      </c>
      <c r="Q7000">
        <v>-8.2972379999999998E-2</v>
      </c>
      <c r="R7000">
        <v>-0.59375610000000001</v>
      </c>
      <c r="S7000">
        <v>1.6344909999999999</v>
      </c>
      <c r="T7000">
        <v>-0.41168139999999998</v>
      </c>
      <c r="U7000">
        <v>-2.8174739999999998</v>
      </c>
      <c r="V7000">
        <v>0.44349319999999998</v>
      </c>
      <c r="W7000">
        <v>-7.6753080000000001E-2</v>
      </c>
      <c r="X7000">
        <v>0.89298529999999998</v>
      </c>
      <c r="Y7000">
        <v>0.75843389999999999</v>
      </c>
      <c r="Z7000">
        <v>-4.4078319999999997E-2</v>
      </c>
      <c r="AA7000">
        <v>0.6502578</v>
      </c>
      <c r="AB7000">
        <v>19</v>
      </c>
      <c r="AC7000">
        <v>4.3339000000000203</v>
      </c>
      <c r="AD7000">
        <v>-1.1150260000000001</v>
      </c>
      <c r="AE7000">
        <v>-7.6093949999999904</v>
      </c>
      <c r="AF7000">
        <v>6.6264683209863398</v>
      </c>
      <c r="AG7000">
        <v>-1.1150260000000001</v>
      </c>
      <c r="AH7000">
        <v>5.5089130453291997</v>
      </c>
      <c r="AI7000">
        <v>97.372742300039206</v>
      </c>
      <c r="AJ7000">
        <v>39.7384342799064</v>
      </c>
      <c r="AK7000">
        <v>8.6891592418777694</v>
      </c>
      <c r="AL7000">
        <v>94.401956798898595</v>
      </c>
      <c r="AM7000">
        <v>63.589116305805803</v>
      </c>
      <c r="AN7000">
        <v>0.99999999987590804</v>
      </c>
    </row>
    <row r="7001" spans="1:40" x14ac:dyDescent="0.25">
      <c r="A7001" t="str">
        <f>"20190303154318709"</f>
        <v>20190303154318709</v>
      </c>
      <c r="B7001" t="str">
        <f>"1551598998706962"</f>
        <v>1551598998706962</v>
      </c>
      <c r="C7001" t="s">
        <v>40</v>
      </c>
      <c r="D7001">
        <v>6.0034320000000001</v>
      </c>
      <c r="E7001">
        <v>0.6621397</v>
      </c>
      <c r="F7001" t="s">
        <v>43</v>
      </c>
      <c r="G7001">
        <v>-302.35469999999998</v>
      </c>
      <c r="H7001">
        <v>-0.05</v>
      </c>
      <c r="I7001">
        <v>9.2958370000000006</v>
      </c>
      <c r="J7001">
        <v>-306.59519999999998</v>
      </c>
      <c r="K7001">
        <v>1.064937</v>
      </c>
      <c r="L7001">
        <v>16.879579999999901</v>
      </c>
      <c r="M7001">
        <v>0.98350760000000004</v>
      </c>
      <c r="N7001">
        <v>-1.442529E-2</v>
      </c>
      <c r="O7001">
        <v>-0.18029049999999999</v>
      </c>
      <c r="P7001">
        <v>0.7935721</v>
      </c>
      <c r="Q7001">
        <v>-8.3421709999999996E-2</v>
      </c>
      <c r="R7001">
        <v>-0.60273100000000002</v>
      </c>
      <c r="S7001">
        <v>1.608948</v>
      </c>
      <c r="T7001">
        <v>-0.41427160000000002</v>
      </c>
      <c r="U7001">
        <v>-2.8258969999999999</v>
      </c>
      <c r="V7001">
        <v>0.44864389999999998</v>
      </c>
      <c r="W7001">
        <v>-7.7384399999999895E-2</v>
      </c>
      <c r="X7001">
        <v>0.89035399999999998</v>
      </c>
      <c r="Y7001">
        <v>0.76008290000000001</v>
      </c>
      <c r="Z7001">
        <v>-4.392252E-2</v>
      </c>
      <c r="AA7001">
        <v>0.64833999999999903</v>
      </c>
      <c r="AB7001">
        <v>19</v>
      </c>
      <c r="AC7001">
        <v>4.2404999999999902</v>
      </c>
      <c r="AD7001">
        <v>-1.1149370000000001</v>
      </c>
      <c r="AE7001">
        <v>-7.5837429999999904</v>
      </c>
      <c r="AF7001">
        <v>6.5863936176502502</v>
      </c>
      <c r="AG7001">
        <v>-1.1149370000000001</v>
      </c>
      <c r="AH7001">
        <v>5.4487000666329504</v>
      </c>
      <c r="AI7001">
        <v>97.431248671702804</v>
      </c>
      <c r="AJ7001">
        <v>39.599800654926497</v>
      </c>
      <c r="AK7001">
        <v>8.6204406973610599</v>
      </c>
      <c r="AL7001">
        <v>94.438236808873</v>
      </c>
      <c r="AM7001">
        <v>63.256746272230501</v>
      </c>
      <c r="AN7001">
        <v>0.99999996984328399</v>
      </c>
    </row>
    <row r="7002" spans="1:40" x14ac:dyDescent="0.25">
      <c r="A7002" t="str">
        <f>"20190303154318723"</f>
        <v>20190303154318723</v>
      </c>
      <c r="B7002" t="str">
        <f>"1551598998717696"</f>
        <v>1551598998717696</v>
      </c>
      <c r="C7002" t="s">
        <v>40</v>
      </c>
      <c r="D7002">
        <v>6.0174050000000001</v>
      </c>
      <c r="E7002">
        <v>0.6621397</v>
      </c>
      <c r="F7002" t="s">
        <v>43</v>
      </c>
      <c r="G7002">
        <v>-302.38470000000001</v>
      </c>
      <c r="H7002">
        <v>-0.05</v>
      </c>
      <c r="I7002">
        <v>9.3516390000000005</v>
      </c>
      <c r="J7002">
        <v>-306.49459999999999</v>
      </c>
      <c r="K7002">
        <v>1.064846</v>
      </c>
      <c r="L7002">
        <v>16.85397</v>
      </c>
      <c r="M7002">
        <v>0.9823691</v>
      </c>
      <c r="N7002">
        <v>-1.446131E-2</v>
      </c>
      <c r="O7002">
        <v>-0.1863918</v>
      </c>
      <c r="P7002">
        <v>0.78624430000000001</v>
      </c>
      <c r="Q7002">
        <v>-8.3772529999999998E-2</v>
      </c>
      <c r="R7002">
        <v>-0.61221110000000001</v>
      </c>
      <c r="S7002">
        <v>1.5845340000000001</v>
      </c>
      <c r="T7002">
        <v>-0.41958620000000002</v>
      </c>
      <c r="U7002">
        <v>-2.833008</v>
      </c>
      <c r="V7002">
        <v>0.4537718</v>
      </c>
      <c r="W7002">
        <v>-7.792106E-2</v>
      </c>
      <c r="X7002">
        <v>0.88770459999999995</v>
      </c>
      <c r="Y7002">
        <v>0.76089039999999997</v>
      </c>
      <c r="Z7002">
        <v>-4.3784379999999998E-2</v>
      </c>
      <c r="AA7002">
        <v>0.64740159999999902</v>
      </c>
      <c r="AB7002">
        <v>19</v>
      </c>
      <c r="AC7002">
        <v>4.1098999999999801</v>
      </c>
      <c r="AD7002">
        <v>-1.114846</v>
      </c>
      <c r="AE7002">
        <v>-7.5023309999999999</v>
      </c>
      <c r="AF7002">
        <v>6.4943911527229803</v>
      </c>
      <c r="AG7002">
        <v>-1.114846</v>
      </c>
      <c r="AH7002">
        <v>5.3455864600549896</v>
      </c>
      <c r="AI7002">
        <v>97.549931512643298</v>
      </c>
      <c r="AJ7002">
        <v>39.458075403842201</v>
      </c>
      <c r="AK7002">
        <v>8.4850039864578601</v>
      </c>
      <c r="AL7002">
        <v>94.469078166367595</v>
      </c>
      <c r="AM7002">
        <v>62.925048119073203</v>
      </c>
      <c r="AN7002">
        <v>0.99999999746396095</v>
      </c>
    </row>
    <row r="7003" spans="1:40" x14ac:dyDescent="0.25">
      <c r="A7003" t="str">
        <f>"20190303154318735"</f>
        <v>20190303154318735</v>
      </c>
      <c r="B7003" t="str">
        <f>"1551598998727456"</f>
        <v>1551598998727456</v>
      </c>
      <c r="C7003" t="s">
        <v>40</v>
      </c>
      <c r="D7003">
        <v>5.9975379999999996</v>
      </c>
      <c r="E7003">
        <v>0.64064480000000001</v>
      </c>
      <c r="F7003" t="s">
        <v>43</v>
      </c>
      <c r="G7003">
        <v>-302.38529999999997</v>
      </c>
      <c r="H7003">
        <v>-0.05</v>
      </c>
      <c r="I7003">
        <v>9.2950739999999996</v>
      </c>
      <c r="J7003">
        <v>-306.38420000000002</v>
      </c>
      <c r="K7003">
        <v>1.0647519999999999</v>
      </c>
      <c r="L7003">
        <v>16.825199999999999</v>
      </c>
      <c r="M7003">
        <v>0.98105869999999995</v>
      </c>
      <c r="N7003">
        <v>-1.4499969999999999E-2</v>
      </c>
      <c r="O7003">
        <v>-0.19316810000000001</v>
      </c>
      <c r="P7003">
        <v>0.7785628</v>
      </c>
      <c r="Q7003">
        <v>-8.3849010000000002E-2</v>
      </c>
      <c r="R7003">
        <v>-0.62194050000000001</v>
      </c>
      <c r="S7003">
        <v>1.5503229999999999</v>
      </c>
      <c r="T7003">
        <v>-0.42059679999999999</v>
      </c>
      <c r="U7003">
        <v>-2.8517459999999999</v>
      </c>
      <c r="V7003">
        <v>0.45865149999999999</v>
      </c>
      <c r="W7003">
        <v>-7.8182000000000001E-2</v>
      </c>
      <c r="X7003">
        <v>0.88517029999999997</v>
      </c>
      <c r="Y7003">
        <v>0.7641696</v>
      </c>
      <c r="Z7003">
        <v>-4.3463250000000002E-2</v>
      </c>
      <c r="AA7003">
        <v>0.64354940000000005</v>
      </c>
      <c r="AB7003">
        <v>19</v>
      </c>
      <c r="AC7003">
        <v>3.9989000000000399</v>
      </c>
      <c r="AD7003">
        <v>-1.114752</v>
      </c>
      <c r="AE7003">
        <v>-7.5301259999999903</v>
      </c>
      <c r="AF7003">
        <v>6.5045378854101497</v>
      </c>
      <c r="AG7003">
        <v>-1.114752</v>
      </c>
      <c r="AH7003">
        <v>5.2879058519575999</v>
      </c>
      <c r="AI7003">
        <v>97.574820234924999</v>
      </c>
      <c r="AJ7003">
        <v>39.109607563523099</v>
      </c>
      <c r="AK7003">
        <v>8.4565733854444591</v>
      </c>
      <c r="AL7003">
        <v>94.484074477454598</v>
      </c>
      <c r="AM7003">
        <v>62.609041644398999</v>
      </c>
      <c r="AN7003">
        <v>1.0000000417891599</v>
      </c>
    </row>
    <row r="7004" spans="1:40" x14ac:dyDescent="0.25">
      <c r="A7004" t="str">
        <f>"20190303154318748"</f>
        <v>20190303154318748</v>
      </c>
      <c r="B7004" t="str">
        <f>"1551598998737722"</f>
        <v>1551598998737722</v>
      </c>
      <c r="C7004" t="s">
        <v>40</v>
      </c>
      <c r="D7004">
        <v>6.2269899999999998</v>
      </c>
      <c r="E7004">
        <v>0.64141870000000001</v>
      </c>
      <c r="F7004" t="s">
        <v>43</v>
      </c>
      <c r="G7004">
        <v>-302.5027</v>
      </c>
      <c r="H7004">
        <v>-0.05</v>
      </c>
      <c r="I7004">
        <v>10.264340000000001</v>
      </c>
      <c r="J7004">
        <v>-306.27780000000001</v>
      </c>
      <c r="K7004">
        <v>1.064662</v>
      </c>
      <c r="L7004">
        <v>16.79608</v>
      </c>
      <c r="M7004">
        <v>0.97971470000000005</v>
      </c>
      <c r="N7004">
        <v>-1.453639E-2</v>
      </c>
      <c r="O7004">
        <v>-0.19986989999999999</v>
      </c>
      <c r="P7004">
        <v>0.7709568</v>
      </c>
      <c r="Q7004">
        <v>-8.3498249999999996E-2</v>
      </c>
      <c r="R7004">
        <v>-0.63139069999999997</v>
      </c>
      <c r="S7004">
        <v>1.6181950000000001</v>
      </c>
      <c r="T7004">
        <v>-0.46474660000000001</v>
      </c>
      <c r="U7004">
        <v>-2.7352599999999998</v>
      </c>
      <c r="V7004">
        <v>0.46336709999999898</v>
      </c>
      <c r="W7004">
        <v>-7.7998339999999999E-2</v>
      </c>
      <c r="X7004">
        <v>0.88272709999999999</v>
      </c>
      <c r="Y7004">
        <v>0.73496870000000003</v>
      </c>
      <c r="Z7004">
        <v>-4.2662400000000003E-2</v>
      </c>
      <c r="AA7004">
        <v>0.67675769999999902</v>
      </c>
      <c r="AB7004">
        <v>19</v>
      </c>
      <c r="AC7004">
        <v>3.7751000000000001</v>
      </c>
      <c r="AD7004">
        <v>-1.114662</v>
      </c>
      <c r="AE7004">
        <v>-6.5317400000000001</v>
      </c>
      <c r="AF7004">
        <v>5.5247029208356304</v>
      </c>
      <c r="AG7004">
        <v>-1.114662</v>
      </c>
      <c r="AH7004">
        <v>4.8976307941135699</v>
      </c>
      <c r="AI7004">
        <v>98.585460704690405</v>
      </c>
      <c r="AJ7004">
        <v>41.556881813836704</v>
      </c>
      <c r="AK7004">
        <v>7.4666994805726103</v>
      </c>
      <c r="AL7004">
        <v>94.473519616686303</v>
      </c>
      <c r="AM7004">
        <v>62.303815735458599</v>
      </c>
      <c r="AN7004">
        <v>0.99999997173978705</v>
      </c>
    </row>
    <row r="7005" spans="1:40" x14ac:dyDescent="0.25">
      <c r="A7005" t="str">
        <f>"20190303154318762"</f>
        <v>20190303154318762</v>
      </c>
      <c r="B7005" t="str">
        <f>"1551598998757242"</f>
        <v>1551598998757242</v>
      </c>
      <c r="C7005" t="s">
        <v>40</v>
      </c>
      <c r="D7005">
        <v>6.2060940000000002</v>
      </c>
      <c r="E7005">
        <v>0.64067559999999901</v>
      </c>
      <c r="F7005" t="s">
        <v>43</v>
      </c>
      <c r="G7005">
        <v>-302.39229999999998</v>
      </c>
      <c r="H7005">
        <v>-0.05</v>
      </c>
      <c r="I7005">
        <v>10.016769999999999</v>
      </c>
      <c r="J7005">
        <v>-306.16879999999998</v>
      </c>
      <c r="K7005">
        <v>1.064586</v>
      </c>
      <c r="L7005">
        <v>16.765629999999899</v>
      </c>
      <c r="M7005">
        <v>0.97827240000000004</v>
      </c>
      <c r="N7005">
        <v>-1.4572979999999999E-2</v>
      </c>
      <c r="O7005">
        <v>-0.20681089999999999</v>
      </c>
      <c r="P7005">
        <v>0.76309150000000003</v>
      </c>
      <c r="Q7005">
        <v>-8.2890699999999998E-2</v>
      </c>
      <c r="R7005">
        <v>-0.64095249999999904</v>
      </c>
      <c r="S7005">
        <v>1.5818179999999999</v>
      </c>
      <c r="T7005">
        <v>-0.45378970000000002</v>
      </c>
      <c r="U7005">
        <v>-2.7599179999999999</v>
      </c>
      <c r="V7005">
        <v>0.46808119999999998</v>
      </c>
      <c r="W7005">
        <v>-7.7557329999999994E-2</v>
      </c>
      <c r="X7005">
        <v>0.88027540000000004</v>
      </c>
      <c r="Y7005">
        <v>0.73975409999999997</v>
      </c>
      <c r="Z7005">
        <v>-4.1531640000000002E-2</v>
      </c>
      <c r="AA7005">
        <v>0.67159440000000004</v>
      </c>
      <c r="AB7005">
        <v>19</v>
      </c>
      <c r="AC7005">
        <v>3.7764999999999902</v>
      </c>
      <c r="AD7005">
        <v>-1.1145860000000001</v>
      </c>
      <c r="AE7005">
        <v>-6.7488599999999899</v>
      </c>
      <c r="AF7005">
        <v>5.7033551654086496</v>
      </c>
      <c r="AG7005">
        <v>-1.1145860000000001</v>
      </c>
      <c r="AH7005">
        <v>4.9871356460884204</v>
      </c>
      <c r="AI7005">
        <v>98.369065244124798</v>
      </c>
      <c r="AJ7005">
        <v>41.167142877722</v>
      </c>
      <c r="AK7005">
        <v>7.6578119620865097</v>
      </c>
      <c r="AL7005">
        <v>94.448174859569093</v>
      </c>
      <c r="AM7005">
        <v>61.998454024809398</v>
      </c>
      <c r="AN7005">
        <v>0.99999996453766304</v>
      </c>
    </row>
    <row r="7006" spans="1:40" x14ac:dyDescent="0.25">
      <c r="A7006" t="str">
        <f>"20190303154318772"</f>
        <v>20190303154318772</v>
      </c>
      <c r="B7006" t="str">
        <f>"1551598998767002"</f>
        <v>1551598998767002</v>
      </c>
      <c r="C7006" t="s">
        <v>40</v>
      </c>
      <c r="D7006">
        <v>6.0412530000000002</v>
      </c>
      <c r="E7006">
        <v>0.64001750000000002</v>
      </c>
      <c r="F7006" t="s">
        <v>43</v>
      </c>
      <c r="G7006">
        <v>-302.2423</v>
      </c>
      <c r="H7006">
        <v>-0.05</v>
      </c>
      <c r="I7006">
        <v>9.7462009999999992</v>
      </c>
      <c r="J7006">
        <v>-306.07139999999998</v>
      </c>
      <c r="K7006">
        <v>1.064524</v>
      </c>
      <c r="L7006">
        <v>16.737639999999999</v>
      </c>
      <c r="M7006">
        <v>0.97692129999999999</v>
      </c>
      <c r="N7006">
        <v>-1.460531E-2</v>
      </c>
      <c r="O7006">
        <v>-0.2131005</v>
      </c>
      <c r="P7006">
        <v>0.75544319999999998</v>
      </c>
      <c r="Q7006">
        <v>-8.2550940000000003E-2</v>
      </c>
      <c r="R7006">
        <v>-0.64999370000000001</v>
      </c>
      <c r="S7006">
        <v>1.5524290000000001</v>
      </c>
      <c r="T7006">
        <v>-0.44067869999999998</v>
      </c>
      <c r="U7006">
        <v>-2.775299</v>
      </c>
      <c r="V7006">
        <v>0.47287089999999998</v>
      </c>
      <c r="W7006">
        <v>-7.7377710000000002E-2</v>
      </c>
      <c r="X7006">
        <v>0.8777277</v>
      </c>
      <c r="Y7006">
        <v>0.74275179999999996</v>
      </c>
      <c r="Z7006">
        <v>-4.0164940000000003E-2</v>
      </c>
      <c r="AA7006">
        <v>0.66836110000000004</v>
      </c>
      <c r="AB7006">
        <v>19</v>
      </c>
      <c r="AC7006">
        <v>3.82909999999998</v>
      </c>
      <c r="AD7006">
        <v>-1.1145240000000001</v>
      </c>
      <c r="AE7006">
        <v>-6.9914389999999997</v>
      </c>
      <c r="AF7006">
        <v>5.8994174526671497</v>
      </c>
      <c r="AG7006">
        <v>-1.1145240000000001</v>
      </c>
      <c r="AH7006">
        <v>5.1308641288020098</v>
      </c>
      <c r="AI7006">
        <v>98.112836005038403</v>
      </c>
      <c r="AJ7006">
        <v>41.014262409907701</v>
      </c>
      <c r="AK7006">
        <v>7.8975348518152799</v>
      </c>
      <c r="AL7006">
        <v>94.437851961051393</v>
      </c>
      <c r="AM7006">
        <v>61.686680896771598</v>
      </c>
      <c r="AN7006">
        <v>1.00000005670947</v>
      </c>
    </row>
    <row r="7007" spans="1:40" x14ac:dyDescent="0.25">
      <c r="A7007" t="str">
        <f>"20190303154318785"</f>
        <v>20190303154318785</v>
      </c>
      <c r="B7007" t="str">
        <f>"1551598998777739"</f>
        <v>1551598998777739</v>
      </c>
      <c r="C7007" t="s">
        <v>40</v>
      </c>
      <c r="D7007">
        <v>6.040438</v>
      </c>
      <c r="E7007">
        <v>0.63917789999999997</v>
      </c>
      <c r="F7007" t="s">
        <v>43</v>
      </c>
      <c r="G7007">
        <v>-302.19850000000002</v>
      </c>
      <c r="H7007">
        <v>-0.05</v>
      </c>
      <c r="I7007">
        <v>9.6435849999999999</v>
      </c>
      <c r="J7007">
        <v>-305.9785</v>
      </c>
      <c r="K7007">
        <v>1.064468</v>
      </c>
      <c r="L7007">
        <v>16.709959999999999</v>
      </c>
      <c r="M7007">
        <v>0.97556790000000004</v>
      </c>
      <c r="N7007">
        <v>-1.463646E-2</v>
      </c>
      <c r="O7007">
        <v>-0.21921070000000001</v>
      </c>
      <c r="P7007">
        <v>0.74789830000000002</v>
      </c>
      <c r="Q7007">
        <v>-8.2556930000000001E-2</v>
      </c>
      <c r="R7007">
        <v>-0.65865980000000002</v>
      </c>
      <c r="S7007">
        <v>1.52298</v>
      </c>
      <c r="T7007">
        <v>-0.43828139999999999</v>
      </c>
      <c r="U7007">
        <v>-2.7897029999999998</v>
      </c>
      <c r="V7007">
        <v>0.47747329999999999</v>
      </c>
      <c r="W7007">
        <v>-7.7531439999999993E-2</v>
      </c>
      <c r="X7007">
        <v>0.87521890000000002</v>
      </c>
      <c r="Y7007">
        <v>0.74550749999999999</v>
      </c>
      <c r="Z7007">
        <v>-3.9558580000000003E-2</v>
      </c>
      <c r="AA7007">
        <v>0.66532219999999997</v>
      </c>
      <c r="AB7007">
        <v>19</v>
      </c>
      <c r="AC7007">
        <v>3.7799999999999701</v>
      </c>
      <c r="AD7007">
        <v>-1.114468</v>
      </c>
      <c r="AE7007">
        <v>-7.0663749999999901</v>
      </c>
      <c r="AF7007">
        <v>5.9506764333710596</v>
      </c>
      <c r="AG7007">
        <v>-1.114468</v>
      </c>
      <c r="AH7007">
        <v>5.1378668388025002</v>
      </c>
      <c r="AI7007">
        <v>98.068319093863195</v>
      </c>
      <c r="AJ7007">
        <v>40.807617293589203</v>
      </c>
      <c r="AK7007">
        <v>7.94041967347873</v>
      </c>
      <c r="AL7007">
        <v>94.446686835177502</v>
      </c>
      <c r="AM7007">
        <v>61.385445042085003</v>
      </c>
      <c r="AN7007">
        <v>0.99999999965928599</v>
      </c>
    </row>
    <row r="7008" spans="1:40" x14ac:dyDescent="0.25">
      <c r="A7008" t="str">
        <f>"20190303154318796"</f>
        <v>20190303154318796</v>
      </c>
      <c r="B7008" t="str">
        <f>"1551598998787498"</f>
        <v>1551598998787498</v>
      </c>
      <c r="C7008" t="s">
        <v>40</v>
      </c>
      <c r="D7008">
        <v>6.0347869999999997</v>
      </c>
      <c r="E7008">
        <v>0.63817409999999997</v>
      </c>
      <c r="F7008" t="s">
        <v>43</v>
      </c>
      <c r="G7008">
        <v>-302.20010000000002</v>
      </c>
      <c r="H7008">
        <v>-0.05</v>
      </c>
      <c r="I7008">
        <v>9.6283720000000006</v>
      </c>
      <c r="J7008">
        <v>-305.88299999999998</v>
      </c>
      <c r="K7008">
        <v>1.0644100000000001</v>
      </c>
      <c r="L7008">
        <v>16.681179999999902</v>
      </c>
      <c r="M7008">
        <v>0.97412810000000005</v>
      </c>
      <c r="N7008">
        <v>-1.466803E-2</v>
      </c>
      <c r="O7008">
        <v>-0.2255201</v>
      </c>
      <c r="P7008">
        <v>0.73988750000000003</v>
      </c>
      <c r="Q7008">
        <v>-8.3209130000000006E-2</v>
      </c>
      <c r="R7008">
        <v>-0.66756499999999996</v>
      </c>
      <c r="S7008">
        <v>1.4949650000000001</v>
      </c>
      <c r="T7008">
        <v>-0.44095240000000002</v>
      </c>
      <c r="U7008">
        <v>-2.8019099999999999</v>
      </c>
      <c r="V7008">
        <v>0.48226629999999998</v>
      </c>
      <c r="W7008">
        <v>-7.8337920000000005E-2</v>
      </c>
      <c r="X7008">
        <v>0.87251499999999904</v>
      </c>
      <c r="Y7008">
        <v>0.74752719999999995</v>
      </c>
      <c r="Z7008">
        <v>-3.917673E-2</v>
      </c>
      <c r="AA7008">
        <v>0.66307490000000002</v>
      </c>
      <c r="AB7008">
        <v>19</v>
      </c>
      <c r="AC7008">
        <v>3.6828999999999601</v>
      </c>
      <c r="AD7008">
        <v>-1.1144099999999999</v>
      </c>
      <c r="AE7008">
        <v>-7.05280799999999</v>
      </c>
      <c r="AF7008">
        <v>5.9242015647317201</v>
      </c>
      <c r="AG7008">
        <v>-1.1144099999999999</v>
      </c>
      <c r="AH7008">
        <v>5.0790839258800897</v>
      </c>
      <c r="AI7008">
        <v>98.127488081414199</v>
      </c>
      <c r="AJ7008">
        <v>40.607966916831998</v>
      </c>
      <c r="AK7008">
        <v>7.8825863365905002</v>
      </c>
      <c r="AL7008">
        <v>94.493035618906205</v>
      </c>
      <c r="AM7008">
        <v>61.069199988660401</v>
      </c>
      <c r="AN7008">
        <v>1.0000000195253</v>
      </c>
    </row>
    <row r="7009" spans="1:40" x14ac:dyDescent="0.25">
      <c r="A7009" t="str">
        <f>"20190303154318810"</f>
        <v>20190303154318810</v>
      </c>
      <c r="B7009" t="str">
        <f>"1551598998807018"</f>
        <v>1551598998807018</v>
      </c>
      <c r="C7009" t="s">
        <v>40</v>
      </c>
      <c r="D7009">
        <v>6.049836</v>
      </c>
      <c r="E7009">
        <v>0.63638729999999999</v>
      </c>
      <c r="F7009" t="s">
        <v>43</v>
      </c>
      <c r="G7009">
        <v>-302.1934</v>
      </c>
      <c r="H7009">
        <v>-0.05</v>
      </c>
      <c r="I7009">
        <v>9.6023099999999992</v>
      </c>
      <c r="J7009">
        <v>-305.76010000000002</v>
      </c>
      <c r="K7009">
        <v>1.064333</v>
      </c>
      <c r="L7009">
        <v>16.642520000000001</v>
      </c>
      <c r="M7009">
        <v>0.97217140000000002</v>
      </c>
      <c r="N7009">
        <v>-1.4709119999999999E-2</v>
      </c>
      <c r="O7009">
        <v>-0.23380860000000001</v>
      </c>
      <c r="P7009">
        <v>0.7265199</v>
      </c>
      <c r="Q7009">
        <v>-8.6214669999999993E-2</v>
      </c>
      <c r="R7009">
        <v>-0.68171569999999904</v>
      </c>
      <c r="S7009">
        <v>1.4663999999999999</v>
      </c>
      <c r="T7009">
        <v>-0.44291789999999998</v>
      </c>
      <c r="U7009">
        <v>-2.8134769999999998</v>
      </c>
      <c r="V7009">
        <v>0.491647</v>
      </c>
      <c r="W7009">
        <v>-8.1621440000000003E-2</v>
      </c>
      <c r="X7009">
        <v>0.86696090000000003</v>
      </c>
      <c r="Y7009">
        <v>0.7482936</v>
      </c>
      <c r="Z7009">
        <v>-3.8296719999999999E-2</v>
      </c>
      <c r="AA7009">
        <v>0.662261199999999</v>
      </c>
      <c r="AB7009">
        <v>19</v>
      </c>
      <c r="AC7009">
        <v>3.56670000000002</v>
      </c>
      <c r="AD7009">
        <v>-1.114333</v>
      </c>
      <c r="AE7009">
        <v>-7.0402100000000001</v>
      </c>
      <c r="AF7009">
        <v>5.8935219850413896</v>
      </c>
      <c r="AG7009">
        <v>-1.114333</v>
      </c>
      <c r="AH7009">
        <v>5.0140969731034097</v>
      </c>
      <c r="AI7009">
        <v>98.194832340542604</v>
      </c>
      <c r="AJ7009">
        <v>40.390507595363601</v>
      </c>
      <c r="AK7009">
        <v>7.8177047705026599</v>
      </c>
      <c r="AL7009">
        <v>94.6817721698296</v>
      </c>
      <c r="AM7009">
        <v>60.442754192268701</v>
      </c>
      <c r="AN7009">
        <v>1.0000000171027399</v>
      </c>
    </row>
    <row r="7010" spans="1:40" x14ac:dyDescent="0.25">
      <c r="A7010" t="str">
        <f>"20190303154318825"</f>
        <v>20190303154318825</v>
      </c>
      <c r="B7010" t="str">
        <f>"1551598998816779"</f>
        <v>1551598998816779</v>
      </c>
      <c r="C7010" t="s">
        <v>40</v>
      </c>
      <c r="D7010">
        <v>6.0376269999999996</v>
      </c>
      <c r="E7010">
        <v>0.63638729999999999</v>
      </c>
      <c r="F7010" t="s">
        <v>43</v>
      </c>
      <c r="G7010">
        <v>-302.25799999999998</v>
      </c>
      <c r="H7010">
        <v>-0.05</v>
      </c>
      <c r="I7010">
        <v>9.6623230000000007</v>
      </c>
      <c r="J7010">
        <v>-305.6454</v>
      </c>
      <c r="K7010">
        <v>1.0642689999999999</v>
      </c>
      <c r="L7010">
        <v>16.605319999999999</v>
      </c>
      <c r="M7010">
        <v>0.97025309999999998</v>
      </c>
      <c r="N7010">
        <v>-1.474641E-2</v>
      </c>
      <c r="O7010">
        <v>-0.241643</v>
      </c>
      <c r="P7010">
        <v>0.71697580000000005</v>
      </c>
      <c r="Q7010">
        <v>-8.7743650000000006E-2</v>
      </c>
      <c r="R7010">
        <v>-0.69155390000000005</v>
      </c>
      <c r="S7010">
        <v>1.419983</v>
      </c>
      <c r="T7010">
        <v>-0.45182440000000001</v>
      </c>
      <c r="U7010">
        <v>-2.8302309999999999</v>
      </c>
      <c r="V7010">
        <v>0.49646289999999998</v>
      </c>
      <c r="W7010">
        <v>-8.3309240000000007E-2</v>
      </c>
      <c r="X7010">
        <v>0.86405100000000001</v>
      </c>
      <c r="Y7010">
        <v>0.75292219999999999</v>
      </c>
      <c r="Z7010">
        <v>-3.845722E-2</v>
      </c>
      <c r="AA7010">
        <v>0.65698489999999998</v>
      </c>
      <c r="AB7010">
        <v>19</v>
      </c>
      <c r="AC7010">
        <v>3.3874000000000102</v>
      </c>
      <c r="AD7010">
        <v>-1.114269</v>
      </c>
      <c r="AE7010">
        <v>-6.9429970000000001</v>
      </c>
      <c r="AF7010">
        <v>5.7979444838528096</v>
      </c>
      <c r="AG7010">
        <v>-1.114269</v>
      </c>
      <c r="AH7010">
        <v>4.8637158321715299</v>
      </c>
      <c r="AI7010">
        <v>98.375922694549004</v>
      </c>
      <c r="AJ7010">
        <v>39.992244369980803</v>
      </c>
      <c r="AK7010">
        <v>7.6494109144636901</v>
      </c>
      <c r="AL7010">
        <v>94.778806653060798</v>
      </c>
      <c r="AM7010">
        <v>60.119362008059902</v>
      </c>
      <c r="AN7010">
        <v>0.99999998557339298</v>
      </c>
    </row>
    <row r="7011" spans="1:40" x14ac:dyDescent="0.25">
      <c r="A7011" t="str">
        <f>"20190303154318835"</f>
        <v>20190303154318835</v>
      </c>
      <c r="B7011" t="str">
        <f>"1551598998827515"</f>
        <v>1551598998827515</v>
      </c>
      <c r="C7011" t="s">
        <v>40</v>
      </c>
      <c r="D7011">
        <v>6.0612029999999999</v>
      </c>
      <c r="E7011">
        <v>0.62582590000000005</v>
      </c>
      <c r="F7011" t="s">
        <v>43</v>
      </c>
      <c r="G7011">
        <v>-302.274</v>
      </c>
      <c r="H7011">
        <v>-0.05</v>
      </c>
      <c r="I7011">
        <v>9.6482700000000001</v>
      </c>
      <c r="J7011">
        <v>-305.5609</v>
      </c>
      <c r="K7011">
        <v>1.064217</v>
      </c>
      <c r="L7011">
        <v>16.57751</v>
      </c>
      <c r="M7011">
        <v>0.96879059999999995</v>
      </c>
      <c r="N7011">
        <v>-1.47732E-2</v>
      </c>
      <c r="O7011">
        <v>-0.24743989999999999</v>
      </c>
      <c r="P7011">
        <v>0.70941540000000003</v>
      </c>
      <c r="Q7011">
        <v>-8.9142020000000002E-2</v>
      </c>
      <c r="R7011">
        <v>-0.69913049999999999</v>
      </c>
      <c r="S7011">
        <v>1.3805540000000001</v>
      </c>
      <c r="T7011">
        <v>-0.4562869</v>
      </c>
      <c r="U7011">
        <v>-2.8488769999999999</v>
      </c>
      <c r="V7011">
        <v>0.50047439999999999</v>
      </c>
      <c r="W7011">
        <v>-8.4836949999999994E-2</v>
      </c>
      <c r="X7011">
        <v>0.86158469999999998</v>
      </c>
      <c r="Y7011">
        <v>0.75787780000000005</v>
      </c>
      <c r="Z7011">
        <v>-3.8612670000000002E-2</v>
      </c>
      <c r="AA7011">
        <v>0.65125290000000002</v>
      </c>
      <c r="AB7011">
        <v>19</v>
      </c>
      <c r="AC7011">
        <v>3.2869000000000002</v>
      </c>
      <c r="AD7011">
        <v>-1.114217</v>
      </c>
      <c r="AE7011">
        <v>-6.9292399999999903</v>
      </c>
      <c r="AF7011">
        <v>5.77835203467383</v>
      </c>
      <c r="AG7011">
        <v>-1.114217</v>
      </c>
      <c r="AH7011">
        <v>4.7981479752913199</v>
      </c>
      <c r="AI7011">
        <v>98.438249418683299</v>
      </c>
      <c r="AJ7011">
        <v>39.705092773149403</v>
      </c>
      <c r="AK7011">
        <v>7.59296093447744</v>
      </c>
      <c r="AL7011">
        <v>94.866648612703202</v>
      </c>
      <c r="AM7011">
        <v>59.8486980368925</v>
      </c>
      <c r="AN7011">
        <v>1.0000000642073701</v>
      </c>
    </row>
    <row r="7012" spans="1:40" x14ac:dyDescent="0.25">
      <c r="A7012" t="str">
        <f>"20190303154318845"</f>
        <v>20190303154318845</v>
      </c>
      <c r="B7012" t="str">
        <f>"1551598998837274"</f>
        <v>1551598998837274</v>
      </c>
      <c r="C7012" t="s">
        <v>40</v>
      </c>
      <c r="D7012">
        <v>6.1976250000000004</v>
      </c>
      <c r="E7012">
        <v>0.62582590000000005</v>
      </c>
      <c r="F7012" t="s">
        <v>43</v>
      </c>
      <c r="G7012">
        <v>-302.0412</v>
      </c>
      <c r="H7012">
        <v>-0.05</v>
      </c>
      <c r="I7012">
        <v>9.5746610000000008</v>
      </c>
      <c r="J7012">
        <v>-305.48140000000001</v>
      </c>
      <c r="K7012">
        <v>1.0641670000000001</v>
      </c>
      <c r="L7012">
        <v>16.550260000000002</v>
      </c>
      <c r="M7012">
        <v>0.96735110000000002</v>
      </c>
      <c r="N7012">
        <v>-1.479844E-2</v>
      </c>
      <c r="O7012">
        <v>-0.2530075</v>
      </c>
      <c r="P7012">
        <v>0.70198700000000003</v>
      </c>
      <c r="Q7012">
        <v>-8.9972380000000005E-2</v>
      </c>
      <c r="R7012">
        <v>-0.706484</v>
      </c>
      <c r="S7012">
        <v>1.4093629999999999</v>
      </c>
      <c r="T7012">
        <v>-0.44614969999999998</v>
      </c>
      <c r="U7012">
        <v>-2.8040470000000002</v>
      </c>
      <c r="V7012">
        <v>0.50448859999999995</v>
      </c>
      <c r="W7012">
        <v>-8.5796380000000005E-2</v>
      </c>
      <c r="X7012">
        <v>0.85914500000000005</v>
      </c>
      <c r="Y7012">
        <v>0.74498609999999998</v>
      </c>
      <c r="Z7012">
        <v>-3.5633909999999998E-2</v>
      </c>
      <c r="AA7012">
        <v>0.66612759999999904</v>
      </c>
      <c r="AB7012">
        <v>19</v>
      </c>
      <c r="AC7012">
        <v>3.4401999999999999</v>
      </c>
      <c r="AD7012">
        <v>-1.1141669999999999</v>
      </c>
      <c r="AE7012">
        <v>-6.9755989999999999</v>
      </c>
      <c r="AF7012">
        <v>5.75990451437871</v>
      </c>
      <c r="AG7012">
        <v>-1.1141669999999999</v>
      </c>
      <c r="AH7012">
        <v>4.9909020472069603</v>
      </c>
      <c r="AI7012">
        <v>98.317123162685604</v>
      </c>
      <c r="AJ7012">
        <v>40.908615787341503</v>
      </c>
      <c r="AK7012">
        <v>7.7024003637479099</v>
      </c>
      <c r="AL7012">
        <v>94.921821636065005</v>
      </c>
      <c r="AM7012">
        <v>59.5786108136368</v>
      </c>
      <c r="AN7012">
        <v>0.99999994868803099</v>
      </c>
    </row>
    <row r="7013" spans="1:40" x14ac:dyDescent="0.25">
      <c r="A7013" t="str">
        <f>"20190303154318854"</f>
        <v>20190303154318854</v>
      </c>
      <c r="B7013" t="str">
        <f>"1551598998847035"</f>
        <v>1551598998847035</v>
      </c>
      <c r="C7013" t="s">
        <v>40</v>
      </c>
      <c r="D7013">
        <v>6.3091839999999904</v>
      </c>
      <c r="E7013">
        <v>0.64490400000000003</v>
      </c>
      <c r="F7013" t="s">
        <v>43</v>
      </c>
      <c r="G7013">
        <v>-302.04719999999998</v>
      </c>
      <c r="H7013">
        <v>-0.05</v>
      </c>
      <c r="I7013">
        <v>9.534103</v>
      </c>
      <c r="J7013">
        <v>-305.39870000000002</v>
      </c>
      <c r="K7013">
        <v>1.0641259999999999</v>
      </c>
      <c r="L7013">
        <v>16.521879999999999</v>
      </c>
      <c r="M7013">
        <v>0.9658215</v>
      </c>
      <c r="N7013">
        <v>-1.48241E-2</v>
      </c>
      <c r="O7013">
        <v>-0.25878379999999901</v>
      </c>
      <c r="P7013">
        <v>0.69466660000000002</v>
      </c>
      <c r="Q7013">
        <v>-9.0461650000000005E-2</v>
      </c>
      <c r="R7013">
        <v>-0.71362080000000006</v>
      </c>
      <c r="S7013">
        <v>1.379578</v>
      </c>
      <c r="T7013">
        <v>-0.44758530000000002</v>
      </c>
      <c r="U7013">
        <v>-2.8185419999999999</v>
      </c>
      <c r="V7013">
        <v>0.50812409999999997</v>
      </c>
      <c r="W7013">
        <v>-8.6407200000000003E-2</v>
      </c>
      <c r="X7013">
        <v>0.85693859999999999</v>
      </c>
      <c r="Y7013">
        <v>0.7479981</v>
      </c>
      <c r="Z7013">
        <v>-3.5304199999999897E-2</v>
      </c>
      <c r="AA7013">
        <v>0.66276119999999905</v>
      </c>
      <c r="AB7013">
        <v>19</v>
      </c>
      <c r="AC7013">
        <v>3.3515000000000401</v>
      </c>
      <c r="AD7013">
        <v>-1.1141259999999999</v>
      </c>
      <c r="AE7013">
        <v>-6.9877770000000003</v>
      </c>
      <c r="AF7013">
        <v>5.7631718378977403</v>
      </c>
      <c r="AG7013">
        <v>-1.1141259999999999</v>
      </c>
      <c r="AH7013">
        <v>4.9436594476234896</v>
      </c>
      <c r="AI7013">
        <v>98.347462391267001</v>
      </c>
      <c r="AJ7013">
        <v>40.623053556289001</v>
      </c>
      <c r="AK7013">
        <v>7.6743204983301698</v>
      </c>
      <c r="AL7013">
        <v>94.956949071851497</v>
      </c>
      <c r="AM7013">
        <v>59.334062063625197</v>
      </c>
      <c r="AN7013">
        <v>1.0000000346913001</v>
      </c>
    </row>
    <row r="7014" spans="1:40" x14ac:dyDescent="0.25">
      <c r="A7014" t="str">
        <f>"20190303154318867"</f>
        <v>20190303154318867</v>
      </c>
      <c r="B7014" t="str">
        <f>"1551598998856795"</f>
        <v>1551598998856795</v>
      </c>
      <c r="C7014" t="s">
        <v>40</v>
      </c>
      <c r="D7014">
        <v>6.1476699999999997</v>
      </c>
      <c r="E7014">
        <v>0.6494858</v>
      </c>
      <c r="F7014" t="s">
        <v>43</v>
      </c>
      <c r="G7014">
        <v>-302.2321</v>
      </c>
      <c r="H7014">
        <v>-0.05</v>
      </c>
      <c r="I7014">
        <v>9.0301670000000005</v>
      </c>
      <c r="J7014">
        <v>-305.30259999999998</v>
      </c>
      <c r="K7014">
        <v>1.0640719999999999</v>
      </c>
      <c r="L7014">
        <v>16.487490000000001</v>
      </c>
      <c r="M7014">
        <v>0.96395589999999998</v>
      </c>
      <c r="N7014">
        <v>-1.485503E-2</v>
      </c>
      <c r="O7014">
        <v>-0.26564749999999998</v>
      </c>
      <c r="P7014">
        <v>0.68651059999999997</v>
      </c>
      <c r="Q7014">
        <v>-9.0347570000000002E-2</v>
      </c>
      <c r="R7014">
        <v>-0.72148509999999999</v>
      </c>
      <c r="S7014">
        <v>1.24231</v>
      </c>
      <c r="T7014">
        <v>-0.43708809999999898</v>
      </c>
      <c r="U7014">
        <v>-2.939117</v>
      </c>
      <c r="V7014">
        <v>0.51176299999999997</v>
      </c>
      <c r="W7014">
        <v>-8.6425269999999998E-2</v>
      </c>
      <c r="X7014">
        <v>0.85476859999999999</v>
      </c>
      <c r="Y7014">
        <v>0.77895639999999999</v>
      </c>
      <c r="Z7014">
        <v>-3.7657320000000001E-2</v>
      </c>
      <c r="AA7014">
        <v>0.62594649999999996</v>
      </c>
      <c r="AB7014">
        <v>19</v>
      </c>
      <c r="AC7014">
        <v>3.07049999999998</v>
      </c>
      <c r="AD7014">
        <v>-1.114072</v>
      </c>
      <c r="AE7014">
        <v>-7.4573229999999997</v>
      </c>
      <c r="AF7014">
        <v>6.2542127259801301</v>
      </c>
      <c r="AG7014">
        <v>-1.114072</v>
      </c>
      <c r="AH7014">
        <v>4.8488592872402201</v>
      </c>
      <c r="AI7014">
        <v>98.013306818769493</v>
      </c>
      <c r="AJ7014">
        <v>37.786239331317603</v>
      </c>
      <c r="AK7014">
        <v>7.9917313287204301</v>
      </c>
      <c r="AL7014">
        <v>94.957988329876997</v>
      </c>
      <c r="AM7014">
        <v>59.090399505775501</v>
      </c>
      <c r="AN7014">
        <v>1.00000002750476</v>
      </c>
    </row>
    <row r="7015" spans="1:40" x14ac:dyDescent="0.25">
      <c r="A7015" t="str">
        <f>"20190303154318878"</f>
        <v>20190303154318878</v>
      </c>
      <c r="B7015" t="str">
        <f>"1551598998867531"</f>
        <v>1551598998867531</v>
      </c>
      <c r="C7015" t="s">
        <v>40</v>
      </c>
      <c r="D7015">
        <v>6.1262850000000002</v>
      </c>
      <c r="E7015">
        <v>0.65113959999999904</v>
      </c>
      <c r="F7015" t="s">
        <v>43</v>
      </c>
      <c r="G7015">
        <v>-302.27109999999999</v>
      </c>
      <c r="H7015">
        <v>-0.05</v>
      </c>
      <c r="I7015">
        <v>8.8503270000000001</v>
      </c>
      <c r="J7015">
        <v>-305.21379999999999</v>
      </c>
      <c r="K7015">
        <v>1.0640259999999999</v>
      </c>
      <c r="L7015">
        <v>16.455349999999999</v>
      </c>
      <c r="M7015">
        <v>0.96217850000000005</v>
      </c>
      <c r="N7015">
        <v>-1.488357E-2</v>
      </c>
      <c r="O7015">
        <v>-0.27201310000000001</v>
      </c>
      <c r="P7015">
        <v>0.67881059999999904</v>
      </c>
      <c r="Q7015">
        <v>-9.0515410000000004E-2</v>
      </c>
      <c r="R7015">
        <v>-0.72871399999999997</v>
      </c>
      <c r="S7015">
        <v>1.1823729999999999</v>
      </c>
      <c r="T7015">
        <v>-0.43451309999999899</v>
      </c>
      <c r="U7015">
        <v>-2.9786679999999999</v>
      </c>
      <c r="V7015">
        <v>0.51514700000000002</v>
      </c>
      <c r="W7015">
        <v>-8.6719480000000002E-2</v>
      </c>
      <c r="X7015">
        <v>0.85270349999999995</v>
      </c>
      <c r="Y7015">
        <v>0.78850580000000003</v>
      </c>
      <c r="Z7015">
        <v>-3.7888480000000002E-2</v>
      </c>
      <c r="AA7015">
        <v>0.61385919999999905</v>
      </c>
      <c r="AB7015">
        <v>19</v>
      </c>
      <c r="AC7015">
        <v>2.9426999999999999</v>
      </c>
      <c r="AD7015">
        <v>-1.114026</v>
      </c>
      <c r="AE7015">
        <v>-7.6050229999999903</v>
      </c>
      <c r="AF7015">
        <v>6.3982438033688798</v>
      </c>
      <c r="AG7015">
        <v>-1.114026</v>
      </c>
      <c r="AH7015">
        <v>4.8108236786895997</v>
      </c>
      <c r="AI7015">
        <v>97.922661201696798</v>
      </c>
      <c r="AJ7015">
        <v>36.939415197579102</v>
      </c>
      <c r="AK7015">
        <v>8.0822399224141392</v>
      </c>
      <c r="AL7015">
        <v>94.974909087851501</v>
      </c>
      <c r="AM7015">
        <v>58.862407423561699</v>
      </c>
      <c r="AN7015">
        <v>0.99999997936635998</v>
      </c>
    </row>
    <row r="7016" spans="1:40" x14ac:dyDescent="0.25">
      <c r="A7016" t="str">
        <f>"20190303154318889"</f>
        <v>20190303154318889</v>
      </c>
      <c r="B7016" t="str">
        <f>"1551598998877291"</f>
        <v>1551598998877291</v>
      </c>
      <c r="C7016" t="s">
        <v>40</v>
      </c>
      <c r="D7016">
        <v>6.111154</v>
      </c>
      <c r="E7016">
        <v>0.65204479999999998</v>
      </c>
      <c r="F7016" t="s">
        <v>43</v>
      </c>
      <c r="G7016">
        <v>-302.27019999999999</v>
      </c>
      <c r="H7016">
        <v>-0.05</v>
      </c>
      <c r="I7016">
        <v>8.7153019999999994</v>
      </c>
      <c r="J7016">
        <v>-305.12779999999998</v>
      </c>
      <c r="K7016">
        <v>1.0639730000000001</v>
      </c>
      <c r="L7016">
        <v>16.423249999999999</v>
      </c>
      <c r="M7016">
        <v>0.96038480000000004</v>
      </c>
      <c r="N7016">
        <v>-1.4912689999999999E-2</v>
      </c>
      <c r="O7016">
        <v>-0.27827849999999998</v>
      </c>
      <c r="P7016">
        <v>0.67120139999999995</v>
      </c>
      <c r="Q7016">
        <v>-9.0730229999999995E-2</v>
      </c>
      <c r="R7016">
        <v>-0.73570199999999997</v>
      </c>
      <c r="S7016">
        <v>1.141052</v>
      </c>
      <c r="T7016">
        <v>-0.4318302</v>
      </c>
      <c r="U7016">
        <v>-3.0002749999999998</v>
      </c>
      <c r="V7016">
        <v>0.518401</v>
      </c>
      <c r="W7016">
        <v>-8.7061529999999998E-2</v>
      </c>
      <c r="X7016">
        <v>0.85069419999999996</v>
      </c>
      <c r="Y7016">
        <v>0.79339459999999995</v>
      </c>
      <c r="Z7016">
        <v>-3.7535600000000002E-2</v>
      </c>
      <c r="AA7016">
        <v>0.60754929999999996</v>
      </c>
      <c r="AB7016">
        <v>19</v>
      </c>
      <c r="AC7016">
        <v>2.8575999999999899</v>
      </c>
      <c r="AD7016">
        <v>-1.1139729999999901</v>
      </c>
      <c r="AE7016">
        <v>-7.7079479999999903</v>
      </c>
      <c r="AF7016">
        <v>6.4889650066275104</v>
      </c>
      <c r="AG7016">
        <v>-1.1139729999999901</v>
      </c>
      <c r="AH7016">
        <v>4.8017212583076496</v>
      </c>
      <c r="AI7016">
        <v>97.857090824848797</v>
      </c>
      <c r="AJ7016">
        <v>36.500797276649102</v>
      </c>
      <c r="AK7016">
        <v>8.1488729125228794</v>
      </c>
      <c r="AL7016">
        <v>94.994581588593505</v>
      </c>
      <c r="AM7016">
        <v>58.6424618556509</v>
      </c>
      <c r="AN7016">
        <v>0.99999996436028904</v>
      </c>
    </row>
    <row r="7017" spans="1:40" x14ac:dyDescent="0.25">
      <c r="A7017" t="str">
        <f>"20190303154318900"</f>
        <v>20190303154318900</v>
      </c>
      <c r="B7017" t="str">
        <f>"1551598998896810"</f>
        <v>1551598998896810</v>
      </c>
      <c r="C7017" t="s">
        <v>40</v>
      </c>
      <c r="D7017">
        <v>6.2252070000000002</v>
      </c>
      <c r="E7017">
        <v>0.65290239999999999</v>
      </c>
      <c r="F7017" t="s">
        <v>43</v>
      </c>
      <c r="G7017">
        <v>-302.25970000000001</v>
      </c>
      <c r="H7017">
        <v>-0.05</v>
      </c>
      <c r="I7017">
        <v>8.5881810000000005</v>
      </c>
      <c r="J7017">
        <v>-305.03579999999999</v>
      </c>
      <c r="K7017">
        <v>1.0639149999999999</v>
      </c>
      <c r="L7017">
        <v>16.388279999999899</v>
      </c>
      <c r="M7017">
        <v>0.95840190000000003</v>
      </c>
      <c r="N7017">
        <v>-1.4944300000000001E-2</v>
      </c>
      <c r="O7017">
        <v>-0.28503070000000003</v>
      </c>
      <c r="P7017">
        <v>0.66276190000000001</v>
      </c>
      <c r="Q7017">
        <v>-9.116805E-2</v>
      </c>
      <c r="R7017">
        <v>-0.74325969999999997</v>
      </c>
      <c r="S7017">
        <v>1.1044620000000001</v>
      </c>
      <c r="T7017">
        <v>-0.4289808</v>
      </c>
      <c r="U7017">
        <v>-3.0172119999999998</v>
      </c>
      <c r="V7017">
        <v>0.52203940000000004</v>
      </c>
      <c r="W7017">
        <v>-8.7641869999999997E-2</v>
      </c>
      <c r="X7017">
        <v>0.84840659999999901</v>
      </c>
      <c r="Y7017">
        <v>0.79678499999999997</v>
      </c>
      <c r="Z7017">
        <v>-3.6911609999999997E-2</v>
      </c>
      <c r="AA7017">
        <v>0.60313450000000002</v>
      </c>
      <c r="AB7017">
        <v>19</v>
      </c>
      <c r="AC7017">
        <v>2.77609999999998</v>
      </c>
      <c r="AD7017">
        <v>-1.113915</v>
      </c>
      <c r="AE7017">
        <v>-7.8000989999999897</v>
      </c>
      <c r="AF7017">
        <v>6.5662454253287104</v>
      </c>
      <c r="AG7017">
        <v>-1.113915</v>
      </c>
      <c r="AH7017">
        <v>4.7975903817626797</v>
      </c>
      <c r="AI7017">
        <v>97.799613111914596</v>
      </c>
      <c r="AJ7017">
        <v>36.1535223509389</v>
      </c>
      <c r="AK7017">
        <v>8.2081215319984793</v>
      </c>
      <c r="AL7017">
        <v>95.027960053467595</v>
      </c>
      <c r="AM7017">
        <v>58.395288386904802</v>
      </c>
      <c r="AN7017">
        <v>0.999999995726508</v>
      </c>
    </row>
    <row r="7018" spans="1:40" x14ac:dyDescent="0.25">
      <c r="A7018" t="str">
        <f>"20190303154318911"</f>
        <v>20190303154318911</v>
      </c>
      <c r="B7018" t="str">
        <f>"1551598998907548"</f>
        <v>1551598998907548</v>
      </c>
      <c r="C7018" t="s">
        <v>40</v>
      </c>
      <c r="D7018">
        <v>6.1244300000000003</v>
      </c>
      <c r="E7018">
        <v>0.65246479999999996</v>
      </c>
      <c r="F7018" t="s">
        <v>43</v>
      </c>
      <c r="G7018">
        <v>-302.28590000000003</v>
      </c>
      <c r="H7018">
        <v>-0.05</v>
      </c>
      <c r="I7018">
        <v>8.5533750000000008</v>
      </c>
      <c r="J7018">
        <v>-304.94720000000001</v>
      </c>
      <c r="K7018">
        <v>1.0638529999999999</v>
      </c>
      <c r="L7018">
        <v>16.353760000000001</v>
      </c>
      <c r="M7018">
        <v>0.9564222</v>
      </c>
      <c r="N7018">
        <v>-1.497561E-2</v>
      </c>
      <c r="O7018">
        <v>-0.29160370000000002</v>
      </c>
      <c r="P7018">
        <v>0.65430109999999997</v>
      </c>
      <c r="Q7018">
        <v>-9.2022149999999997E-2</v>
      </c>
      <c r="R7018">
        <v>-0.75061480000000003</v>
      </c>
      <c r="S7018">
        <v>1.064819</v>
      </c>
      <c r="T7018">
        <v>-0.43133660000000001</v>
      </c>
      <c r="U7018">
        <v>-3.0338750000000001</v>
      </c>
      <c r="V7018">
        <v>0.52568619999999899</v>
      </c>
      <c r="W7018">
        <v>-8.8639780000000001E-2</v>
      </c>
      <c r="X7018">
        <v>0.84604789999999996</v>
      </c>
      <c r="Y7018">
        <v>0.8006318</v>
      </c>
      <c r="Z7018">
        <v>-3.6698260000000003E-2</v>
      </c>
      <c r="AA7018">
        <v>0.5980318</v>
      </c>
      <c r="AB7018">
        <v>19</v>
      </c>
      <c r="AC7018">
        <v>2.6612999999999798</v>
      </c>
      <c r="AD7018">
        <v>-1.113853</v>
      </c>
      <c r="AE7018">
        <v>-7.8003850000000003</v>
      </c>
      <c r="AF7018">
        <v>6.56525482452491</v>
      </c>
      <c r="AG7018">
        <v>-1.113853</v>
      </c>
      <c r="AH7018">
        <v>4.7340233771442399</v>
      </c>
      <c r="AI7018">
        <v>97.835481576619202</v>
      </c>
      <c r="AJ7018">
        <v>35.794329076618297</v>
      </c>
      <c r="AK7018">
        <v>8.1703253761343397</v>
      </c>
      <c r="AL7018">
        <v>95.085359359517696</v>
      </c>
      <c r="AM7018">
        <v>58.145525547166798</v>
      </c>
      <c r="AN7018">
        <v>1.0000000202816399</v>
      </c>
    </row>
    <row r="7019" spans="1:40" x14ac:dyDescent="0.25">
      <c r="A7019" t="str">
        <f>"20190303154318926"</f>
        <v>20190303154318926</v>
      </c>
      <c r="B7019" t="str">
        <f>"1551598998917307"</f>
        <v>1551598998917307</v>
      </c>
      <c r="C7019" t="s">
        <v>40</v>
      </c>
      <c r="D7019">
        <v>6.0937199999999896</v>
      </c>
      <c r="E7019">
        <v>0.65187340000000005</v>
      </c>
      <c r="F7019" t="s">
        <v>43</v>
      </c>
      <c r="G7019">
        <v>-302.29219999999998</v>
      </c>
      <c r="H7019">
        <v>-0.05</v>
      </c>
      <c r="I7019">
        <v>8.5333860000000001</v>
      </c>
      <c r="J7019">
        <v>-304.8383</v>
      </c>
      <c r="K7019">
        <v>1.0637840000000001</v>
      </c>
      <c r="L7019">
        <v>16.310179999999999</v>
      </c>
      <c r="M7019">
        <v>0.95388629999999996</v>
      </c>
      <c r="N7019">
        <v>-1.5014670000000001E-2</v>
      </c>
      <c r="O7019">
        <v>-0.29979309999999998</v>
      </c>
      <c r="P7019">
        <v>0.64473809999999998</v>
      </c>
      <c r="Q7019">
        <v>-9.2911149999999998E-2</v>
      </c>
      <c r="R7019">
        <v>-0.75873630000000003</v>
      </c>
      <c r="S7019">
        <v>1.033112</v>
      </c>
      <c r="T7019">
        <v>-0.4334171</v>
      </c>
      <c r="U7019">
        <v>-3.0430299999999999</v>
      </c>
      <c r="V7019">
        <v>0.52900809999999998</v>
      </c>
      <c r="W7019">
        <v>-8.9676039999999999E-2</v>
      </c>
      <c r="X7019">
        <v>0.84386530000000004</v>
      </c>
      <c r="Y7019">
        <v>0.80164239999999998</v>
      </c>
      <c r="Z7019">
        <v>-3.5840770000000001E-2</v>
      </c>
      <c r="AA7019">
        <v>0.596728699999999</v>
      </c>
      <c r="AB7019">
        <v>19</v>
      </c>
      <c r="AC7019">
        <v>2.54610000000002</v>
      </c>
      <c r="AD7019">
        <v>-1.1137840000000001</v>
      </c>
      <c r="AE7019">
        <v>-7.77679399999999</v>
      </c>
      <c r="AF7019">
        <v>6.5345643121362702</v>
      </c>
      <c r="AG7019">
        <v>-1.1137840000000001</v>
      </c>
      <c r="AH7019">
        <v>4.6740635699843702</v>
      </c>
      <c r="AI7019">
        <v>97.892688112642205</v>
      </c>
      <c r="AJ7019">
        <v>35.575500737671497</v>
      </c>
      <c r="AK7019">
        <v>8.1109750218057002</v>
      </c>
      <c r="AL7019">
        <v>95.144970172745204</v>
      </c>
      <c r="AM7019">
        <v>57.916939773734299</v>
      </c>
      <c r="AN7019">
        <v>1.0000000032798899</v>
      </c>
    </row>
    <row r="7020" spans="1:40" x14ac:dyDescent="0.25">
      <c r="A7020" t="str">
        <f>"20190303154318946"</f>
        <v>20190303154318946</v>
      </c>
      <c r="B7020" t="str">
        <f>"1551598998937802"</f>
        <v>1551598998937802</v>
      </c>
      <c r="C7020" t="s">
        <v>40</v>
      </c>
      <c r="D7020">
        <v>6.2858650000000003</v>
      </c>
      <c r="E7020">
        <v>0.65111450000000004</v>
      </c>
      <c r="F7020" t="s">
        <v>43</v>
      </c>
      <c r="G7020">
        <v>-302.28960000000001</v>
      </c>
      <c r="H7020">
        <v>-0.05</v>
      </c>
      <c r="I7020">
        <v>8.5168759999999999</v>
      </c>
      <c r="J7020">
        <v>-304.67430000000002</v>
      </c>
      <c r="K7020">
        <v>1.063672</v>
      </c>
      <c r="L7020">
        <v>16.24231</v>
      </c>
      <c r="M7020">
        <v>0.94985710000000001</v>
      </c>
      <c r="N7020">
        <v>-1.5073639999999999E-2</v>
      </c>
      <c r="O7020">
        <v>-0.31232120000000002</v>
      </c>
      <c r="P7020">
        <v>0.62845779999999996</v>
      </c>
      <c r="Q7020">
        <v>-9.4385650000000001E-2</v>
      </c>
      <c r="R7020">
        <v>-0.77209619999999901</v>
      </c>
      <c r="S7020">
        <v>0.99822999999999995</v>
      </c>
      <c r="T7020">
        <v>-0.43621680000000002</v>
      </c>
      <c r="U7020">
        <v>-3.0522770000000001</v>
      </c>
      <c r="V7020">
        <v>0.53559860000000004</v>
      </c>
      <c r="W7020">
        <v>-9.1421429999999998E-2</v>
      </c>
      <c r="X7020">
        <v>0.83950949999999902</v>
      </c>
      <c r="Y7020">
        <v>0.8005466</v>
      </c>
      <c r="Z7020">
        <v>-3.4073230000000003E-2</v>
      </c>
      <c r="AA7020">
        <v>0.59830109999999903</v>
      </c>
      <c r="AB7020">
        <v>18</v>
      </c>
      <c r="AC7020">
        <v>2.3847</v>
      </c>
      <c r="AD7020">
        <v>-1.113672</v>
      </c>
      <c r="AE7020">
        <v>-7.7254339999999999</v>
      </c>
      <c r="AF7020">
        <v>6.4712338971425503</v>
      </c>
      <c r="AG7020">
        <v>-1.113672</v>
      </c>
      <c r="AH7020">
        <v>4.5913589395230003</v>
      </c>
      <c r="AI7020">
        <v>97.989664919266204</v>
      </c>
      <c r="AJ7020">
        <v>35.3558097055761</v>
      </c>
      <c r="AK7020">
        <v>8.0123473705680404</v>
      </c>
      <c r="AL7020">
        <v>95.245386350770303</v>
      </c>
      <c r="AM7020">
        <v>57.462534837279897</v>
      </c>
      <c r="AN7020">
        <v>0.99999996938772595</v>
      </c>
    </row>
    <row r="7021" spans="1:40" x14ac:dyDescent="0.25">
      <c r="A7021" t="str">
        <f>"20190303154318960"</f>
        <v>20190303154318960</v>
      </c>
      <c r="B7021" t="str">
        <f>"1551598998957322"</f>
        <v>1551598998957322</v>
      </c>
      <c r="C7021" t="s">
        <v>40</v>
      </c>
      <c r="D7021">
        <v>6.1650219999999996</v>
      </c>
      <c r="E7021">
        <v>0.64938859999999998</v>
      </c>
      <c r="F7021" t="s">
        <v>43</v>
      </c>
      <c r="G7021">
        <v>-302.3261</v>
      </c>
      <c r="H7021">
        <v>-0.05</v>
      </c>
      <c r="I7021">
        <v>8.5561369999999997</v>
      </c>
      <c r="J7021">
        <v>-304.5677</v>
      </c>
      <c r="K7021">
        <v>1.063607</v>
      </c>
      <c r="L7021">
        <v>16.19678</v>
      </c>
      <c r="M7021">
        <v>0.94709790000000005</v>
      </c>
      <c r="N7021">
        <v>-1.511204E-2</v>
      </c>
      <c r="O7021">
        <v>-0.32058900000000001</v>
      </c>
      <c r="P7021">
        <v>0.61904289999999995</v>
      </c>
      <c r="Q7021">
        <v>-9.5506670000000002E-2</v>
      </c>
      <c r="R7021">
        <v>-0.77952849999999996</v>
      </c>
      <c r="S7021">
        <v>0.93737789999999999</v>
      </c>
      <c r="T7021">
        <v>-0.44455699999999998</v>
      </c>
      <c r="U7021">
        <v>-3.0681759999999998</v>
      </c>
      <c r="V7021">
        <v>0.53829439999999995</v>
      </c>
      <c r="W7021">
        <v>-9.2676819999999993E-2</v>
      </c>
      <c r="X7021">
        <v>0.83764559999999999</v>
      </c>
      <c r="Y7021">
        <v>0.80677180000000004</v>
      </c>
      <c r="Z7021">
        <v>-3.4274680000000002E-2</v>
      </c>
      <c r="AA7021">
        <v>0.58986830000000001</v>
      </c>
      <c r="AB7021">
        <v>18</v>
      </c>
      <c r="AC7021">
        <v>2.2416</v>
      </c>
      <c r="AD7021">
        <v>-1.113607</v>
      </c>
      <c r="AE7021">
        <v>-7.6406429999999999</v>
      </c>
      <c r="AF7021">
        <v>6.3934984229393903</v>
      </c>
      <c r="AG7021">
        <v>-1.113607</v>
      </c>
      <c r="AH7021">
        <v>4.4853145864944102</v>
      </c>
      <c r="AI7021">
        <v>98.115032282277198</v>
      </c>
      <c r="AJ7021">
        <v>35.051314152044199</v>
      </c>
      <c r="AK7021">
        <v>7.8889156146074297</v>
      </c>
      <c r="AL7021">
        <v>95.317621406367905</v>
      </c>
      <c r="AM7021">
        <v>57.274070118857701</v>
      </c>
      <c r="AN7021">
        <v>1.00000000261801</v>
      </c>
    </row>
    <row r="7022" spans="1:40" x14ac:dyDescent="0.25">
      <c r="A7022" t="str">
        <f>"20190303154318978"</f>
        <v>20190303154318978</v>
      </c>
      <c r="B7022" t="str">
        <f>"1551598998967083"</f>
        <v>1551598998967083</v>
      </c>
      <c r="C7022" t="s">
        <v>40</v>
      </c>
      <c r="D7022">
        <v>6.1440979999999996</v>
      </c>
      <c r="E7022">
        <v>0.64848139999999999</v>
      </c>
      <c r="F7022" t="s">
        <v>43</v>
      </c>
      <c r="G7022">
        <v>-302.2989</v>
      </c>
      <c r="H7022">
        <v>-0.05</v>
      </c>
      <c r="I7022">
        <v>8.5495909999999995</v>
      </c>
      <c r="J7022">
        <v>-304.41820000000001</v>
      </c>
      <c r="K7022">
        <v>1.06351</v>
      </c>
      <c r="L7022">
        <v>16.130739999999999</v>
      </c>
      <c r="M7022">
        <v>0.94302410000000003</v>
      </c>
      <c r="N7022">
        <v>-1.516672E-2</v>
      </c>
      <c r="O7022">
        <v>-0.33237840000000002</v>
      </c>
      <c r="P7022">
        <v>0.60408859999999998</v>
      </c>
      <c r="Q7022">
        <v>-9.6106689999999995E-2</v>
      </c>
      <c r="R7022">
        <v>-0.7911009</v>
      </c>
      <c r="S7022">
        <v>0.91091920000000004</v>
      </c>
      <c r="T7022">
        <v>-0.44710850000000002</v>
      </c>
      <c r="U7022">
        <v>-3.0703130000000001</v>
      </c>
      <c r="V7022">
        <v>0.5436725</v>
      </c>
      <c r="W7022">
        <v>-9.3505759999999993E-2</v>
      </c>
      <c r="X7022">
        <v>0.83407249999999999</v>
      </c>
      <c r="Y7022">
        <v>0.80427269999999995</v>
      </c>
      <c r="Z7022">
        <v>-3.2305809999999997E-2</v>
      </c>
      <c r="AA7022">
        <v>0.59338179999999996</v>
      </c>
      <c r="AB7022">
        <v>18</v>
      </c>
      <c r="AC7022">
        <v>2.1193</v>
      </c>
      <c r="AD7022">
        <v>-1.11351</v>
      </c>
      <c r="AE7022">
        <v>-7.5811489999999999</v>
      </c>
      <c r="AF7022">
        <v>6.3190953797213396</v>
      </c>
      <c r="AG7022">
        <v>-1.11351</v>
      </c>
      <c r="AH7022">
        <v>4.4302336489725</v>
      </c>
      <c r="AI7022">
        <v>98.210318372116703</v>
      </c>
      <c r="AJ7022">
        <v>35.033785860944299</v>
      </c>
      <c r="AK7022">
        <v>7.79729703952618</v>
      </c>
      <c r="AL7022">
        <v>95.365323193410603</v>
      </c>
      <c r="AM7022">
        <v>56.902532045703303</v>
      </c>
      <c r="AN7022">
        <v>1.00000002483283</v>
      </c>
    </row>
    <row r="7023" spans="1:40" x14ac:dyDescent="0.25">
      <c r="A7023" t="str">
        <f>"20190303154318990"</f>
        <v>20190303154318990</v>
      </c>
      <c r="B7023" t="str">
        <f>"1551598998987579"</f>
        <v>1551598998987579</v>
      </c>
      <c r="C7023" t="s">
        <v>40</v>
      </c>
      <c r="D7023">
        <v>6.2029189999999996</v>
      </c>
      <c r="E7023">
        <v>0.64637769999999894</v>
      </c>
      <c r="F7023" t="s">
        <v>43</v>
      </c>
      <c r="G7023">
        <v>-302.291</v>
      </c>
      <c r="H7023">
        <v>-0.05</v>
      </c>
      <c r="I7023">
        <v>8.4905240000000006</v>
      </c>
      <c r="J7023">
        <v>-304.33170000000001</v>
      </c>
      <c r="K7023">
        <v>1.063464</v>
      </c>
      <c r="L7023">
        <v>16.091279999999902</v>
      </c>
      <c r="M7023">
        <v>0.94055429999999995</v>
      </c>
      <c r="N7023">
        <v>-1.5198969999999999E-2</v>
      </c>
      <c r="O7023">
        <v>-0.33930300000000002</v>
      </c>
      <c r="P7023">
        <v>0.59595480000000001</v>
      </c>
      <c r="Q7023">
        <v>-9.6076480000000006E-2</v>
      </c>
      <c r="R7023">
        <v>-0.79724989999999996</v>
      </c>
      <c r="S7023">
        <v>0.85818479999999997</v>
      </c>
      <c r="T7023">
        <v>-0.44922590000000001</v>
      </c>
      <c r="U7023">
        <v>-3.082306</v>
      </c>
      <c r="V7023">
        <v>0.54606790000000005</v>
      </c>
      <c r="W7023">
        <v>-9.3584829999999994E-2</v>
      </c>
      <c r="X7023">
        <v>0.8324973</v>
      </c>
      <c r="Y7023">
        <v>0.80979319999999999</v>
      </c>
      <c r="Z7023">
        <v>-3.2248079999999998E-2</v>
      </c>
      <c r="AA7023">
        <v>0.58582849999999997</v>
      </c>
      <c r="AB7023">
        <v>18</v>
      </c>
      <c r="AC7023">
        <v>2.04070000000001</v>
      </c>
      <c r="AD7023">
        <v>-1.113464</v>
      </c>
      <c r="AE7023">
        <v>-7.6007559999999899</v>
      </c>
      <c r="AF7023">
        <v>6.3305328672359602</v>
      </c>
      <c r="AG7023">
        <v>-1.113464</v>
      </c>
      <c r="AH7023">
        <v>4.4105795865793196</v>
      </c>
      <c r="AI7023">
        <v>98.211961391387604</v>
      </c>
      <c r="AJ7023">
        <v>34.865519766451598</v>
      </c>
      <c r="AK7023">
        <v>7.7954256299448499</v>
      </c>
      <c r="AL7023">
        <v>95.369873586524903</v>
      </c>
      <c r="AM7023">
        <v>56.737547014386699</v>
      </c>
      <c r="AN7023">
        <v>1.00000001316191</v>
      </c>
    </row>
    <row r="7024" spans="1:40" x14ac:dyDescent="0.25">
      <c r="A7024" t="str">
        <f>"20190303154319002"</f>
        <v>20190303154319002</v>
      </c>
      <c r="B7024" t="str">
        <f>"1551598998997339"</f>
        <v>1551598998997339</v>
      </c>
      <c r="C7024" t="s">
        <v>40</v>
      </c>
      <c r="D7024">
        <v>6.1928919999999996</v>
      </c>
      <c r="E7024">
        <v>0.64528339999999995</v>
      </c>
      <c r="F7024" t="s">
        <v>43</v>
      </c>
      <c r="G7024">
        <v>-302.26459999999997</v>
      </c>
      <c r="H7024">
        <v>-0.05</v>
      </c>
      <c r="I7024">
        <v>8.5097810000000003</v>
      </c>
      <c r="J7024">
        <v>-304.24110000000002</v>
      </c>
      <c r="K7024">
        <v>1.0634140000000001</v>
      </c>
      <c r="L7024">
        <v>16.049099999999999</v>
      </c>
      <c r="M7024">
        <v>0.93787739999999997</v>
      </c>
      <c r="N7024">
        <v>-1.5232819999999999E-2</v>
      </c>
      <c r="O7024">
        <v>-0.34663249999999901</v>
      </c>
      <c r="P7024">
        <v>0.58708419999999994</v>
      </c>
      <c r="Q7024">
        <v>-9.5724770000000001E-2</v>
      </c>
      <c r="R7024">
        <v>-0.80384679999999997</v>
      </c>
      <c r="S7024">
        <v>0.83993530000000005</v>
      </c>
      <c r="T7024">
        <v>-0.45242979999999999</v>
      </c>
      <c r="U7024">
        <v>-3.0805660000000001</v>
      </c>
      <c r="V7024">
        <v>0.54882240000000004</v>
      </c>
      <c r="W7024">
        <v>-9.3351809999999993E-2</v>
      </c>
      <c r="X7024">
        <v>0.83071019999999896</v>
      </c>
      <c r="Y7024">
        <v>0.80837329999999996</v>
      </c>
      <c r="Z7024">
        <v>-3.1089189999999999E-2</v>
      </c>
      <c r="AA7024">
        <v>0.587848699999999</v>
      </c>
      <c r="AB7024">
        <v>18</v>
      </c>
      <c r="AC7024">
        <v>1.9765000000000399</v>
      </c>
      <c r="AD7024">
        <v>-1.1134139999999999</v>
      </c>
      <c r="AE7024">
        <v>-7.5393189999999901</v>
      </c>
      <c r="AF7024">
        <v>6.2588530003124401</v>
      </c>
      <c r="AG7024">
        <v>-1.1134139999999999</v>
      </c>
      <c r="AH7024">
        <v>4.3782579704044</v>
      </c>
      <c r="AI7024">
        <v>98.293524720089806</v>
      </c>
      <c r="AJ7024">
        <v>34.973958599849801</v>
      </c>
      <c r="AK7024">
        <v>7.7189425746228801</v>
      </c>
      <c r="AL7024">
        <v>95.356463827012803</v>
      </c>
      <c r="AM7024">
        <v>56.548596512715903</v>
      </c>
      <c r="AN7024">
        <v>1.0000000117780301</v>
      </c>
    </row>
    <row r="7025" spans="1:40" x14ac:dyDescent="0.25">
      <c r="A7025" t="str">
        <f>"20190303154319014"</f>
        <v>20190303154319014</v>
      </c>
      <c r="B7025" t="str">
        <f>"1551598999007099"</f>
        <v>1551598999007099</v>
      </c>
      <c r="C7025" t="s">
        <v>40</v>
      </c>
      <c r="D7025">
        <v>5.6998220000000002</v>
      </c>
      <c r="E7025">
        <v>0.64528339999999995</v>
      </c>
      <c r="F7025" t="s">
        <v>43</v>
      </c>
      <c r="G7025">
        <v>-302.24650000000003</v>
      </c>
      <c r="H7025">
        <v>-0.05</v>
      </c>
      <c r="I7025">
        <v>8.4790799999999997</v>
      </c>
      <c r="J7025">
        <v>-304.14150000000001</v>
      </c>
      <c r="K7025">
        <v>1.0633600000000001</v>
      </c>
      <c r="L7025">
        <v>16.001950000000001</v>
      </c>
      <c r="M7025">
        <v>0.93484219999999896</v>
      </c>
      <c r="N7025">
        <v>-1.526982E-2</v>
      </c>
      <c r="O7025">
        <v>-0.35473500000000002</v>
      </c>
      <c r="P7025">
        <v>0.57731690000000002</v>
      </c>
      <c r="Q7025">
        <v>-9.5677269999999995E-2</v>
      </c>
      <c r="R7025">
        <v>-0.81089540000000004</v>
      </c>
      <c r="S7025">
        <v>0.81271359999999904</v>
      </c>
      <c r="T7025">
        <v>-0.45367049999999998</v>
      </c>
      <c r="U7025">
        <v>-3.084473</v>
      </c>
      <c r="V7025">
        <v>0.55166859999999995</v>
      </c>
      <c r="W7025">
        <v>-9.3428540000000004E-2</v>
      </c>
      <c r="X7025">
        <v>0.8288141</v>
      </c>
      <c r="Y7025">
        <v>0.80836189999999997</v>
      </c>
      <c r="Z7025">
        <v>-2.9913950000000002E-2</v>
      </c>
      <c r="AA7025">
        <v>0.58792529999999998</v>
      </c>
      <c r="AB7025">
        <v>18</v>
      </c>
      <c r="AC7025">
        <v>1.89499999999998</v>
      </c>
      <c r="AD7025">
        <v>-1.1133599999999999</v>
      </c>
      <c r="AE7025">
        <v>-7.5228700000000002</v>
      </c>
      <c r="AF7025">
        <v>6.2328425819928404</v>
      </c>
      <c r="AG7025">
        <v>-1.1133599999999999</v>
      </c>
      <c r="AH7025">
        <v>4.3510540157180504</v>
      </c>
      <c r="AI7025">
        <v>98.332825818411195</v>
      </c>
      <c r="AJ7025">
        <v>34.9183160237761</v>
      </c>
      <c r="AK7025">
        <v>7.6824194228901197</v>
      </c>
      <c r="AL7025">
        <v>95.360879631443396</v>
      </c>
      <c r="AM7025">
        <v>56.3517880881233</v>
      </c>
      <c r="AN7025">
        <v>0.99999997433565002</v>
      </c>
    </row>
    <row r="7026" spans="1:40" x14ac:dyDescent="0.25">
      <c r="A7026" t="str">
        <f>"20190303154319027"</f>
        <v>20190303154319027</v>
      </c>
      <c r="B7026" t="str">
        <f>"1551598999016859"</f>
        <v>1551598999016859</v>
      </c>
      <c r="C7026" t="s">
        <v>40</v>
      </c>
      <c r="D7026">
        <v>6.3767670000000001</v>
      </c>
      <c r="E7026">
        <v>0.64425410000000005</v>
      </c>
      <c r="F7026" t="s">
        <v>43</v>
      </c>
      <c r="G7026">
        <v>-302.2432</v>
      </c>
      <c r="H7026">
        <v>-0.05</v>
      </c>
      <c r="I7026">
        <v>8.4279329999999995</v>
      </c>
      <c r="J7026">
        <v>-304.05160000000001</v>
      </c>
      <c r="K7026">
        <v>1.063315</v>
      </c>
      <c r="L7026">
        <v>15.95782</v>
      </c>
      <c r="M7026">
        <v>0.93197629999999998</v>
      </c>
      <c r="N7026">
        <v>-1.530426E-2</v>
      </c>
      <c r="O7026">
        <v>-0.36219610000000002</v>
      </c>
      <c r="P7026">
        <v>0.56780699999999995</v>
      </c>
      <c r="Q7026">
        <v>-9.5776849999999997E-2</v>
      </c>
      <c r="R7026">
        <v>-0.817571099999999</v>
      </c>
      <c r="S7026">
        <v>0.77545169999999997</v>
      </c>
      <c r="T7026">
        <v>-0.4547908</v>
      </c>
      <c r="U7026">
        <v>-3.0938720000000002</v>
      </c>
      <c r="V7026">
        <v>0.55469019999999902</v>
      </c>
      <c r="W7026">
        <v>-9.3654940000000006E-2</v>
      </c>
      <c r="X7026">
        <v>0.82676939999999999</v>
      </c>
      <c r="Y7026">
        <v>0.81074480000000004</v>
      </c>
      <c r="Z7026">
        <v>-2.91826E-2</v>
      </c>
      <c r="AA7026">
        <v>0.58467199999999997</v>
      </c>
      <c r="AB7026">
        <v>18</v>
      </c>
      <c r="AC7026">
        <v>1.8084</v>
      </c>
      <c r="AD7026">
        <v>-1.1133150000000001</v>
      </c>
      <c r="AE7026">
        <v>-7.5298870000000004</v>
      </c>
      <c r="AF7026">
        <v>6.23456770179597</v>
      </c>
      <c r="AG7026">
        <v>-1.1133150000000001</v>
      </c>
      <c r="AH7026">
        <v>4.3238319410461301</v>
      </c>
      <c r="AI7026">
        <v>98.347795235384396</v>
      </c>
      <c r="AJ7026">
        <v>34.742296319469297</v>
      </c>
      <c r="AK7026">
        <v>7.6684305677180902</v>
      </c>
      <c r="AL7026">
        <v>95.373908097873496</v>
      </c>
      <c r="AM7026">
        <v>56.141832667454203</v>
      </c>
      <c r="AN7026">
        <v>1.0000000532694</v>
      </c>
    </row>
    <row r="7027" spans="1:40" x14ac:dyDescent="0.25">
      <c r="A7027" t="str">
        <f>"20190303154319038"</f>
        <v>20190303154319038</v>
      </c>
      <c r="B7027" t="str">
        <f>"1551598999027596"</f>
        <v>1551598999027596</v>
      </c>
      <c r="C7027" t="s">
        <v>40</v>
      </c>
      <c r="D7027">
        <v>6.1779950000000001</v>
      </c>
      <c r="E7027">
        <v>0.64310880000000004</v>
      </c>
      <c r="F7027" t="s">
        <v>43</v>
      </c>
      <c r="G7027">
        <v>-302.23360000000002</v>
      </c>
      <c r="H7027">
        <v>-0.05</v>
      </c>
      <c r="I7027">
        <v>8.4103999999999992</v>
      </c>
      <c r="J7027">
        <v>-303.96319999999997</v>
      </c>
      <c r="K7027">
        <v>1.063269</v>
      </c>
      <c r="L7027">
        <v>15.913880000000001</v>
      </c>
      <c r="M7027">
        <v>0.92907919999999999</v>
      </c>
      <c r="N7027">
        <v>-1.5337979999999999E-2</v>
      </c>
      <c r="O7027">
        <v>-0.36956329999999998</v>
      </c>
      <c r="P7027">
        <v>0.55837239999999999</v>
      </c>
      <c r="Q7027">
        <v>-9.579791E-2</v>
      </c>
      <c r="R7027">
        <v>-0.82404080000000002</v>
      </c>
      <c r="S7027">
        <v>0.74615480000000001</v>
      </c>
      <c r="T7027">
        <v>-0.45693349999999999</v>
      </c>
      <c r="U7027">
        <v>-3.0976560000000002</v>
      </c>
      <c r="V7027">
        <v>0.55762449999999997</v>
      </c>
      <c r="W7027">
        <v>-9.3802150000000001E-2</v>
      </c>
      <c r="X7027">
        <v>0.82477639999999997</v>
      </c>
      <c r="Y7027">
        <v>0.81150529999999998</v>
      </c>
      <c r="Z7027">
        <v>-2.8246150000000001E-2</v>
      </c>
      <c r="AA7027">
        <v>0.58366209999999996</v>
      </c>
      <c r="AB7027">
        <v>18</v>
      </c>
      <c r="AC7027">
        <v>1.7295999999999401</v>
      </c>
      <c r="AD7027">
        <v>-1.1132690000000001</v>
      </c>
      <c r="AE7027">
        <v>-7.5034799999999997</v>
      </c>
      <c r="AF7027">
        <v>6.2032134081962704</v>
      </c>
      <c r="AG7027">
        <v>-1.1132690000000001</v>
      </c>
      <c r="AH7027">
        <v>4.2907740190122396</v>
      </c>
      <c r="AI7027">
        <v>98.396110789742593</v>
      </c>
      <c r="AJ7027">
        <v>34.671680354589398</v>
      </c>
      <c r="AK7027">
        <v>7.6243010260756003</v>
      </c>
      <c r="AL7027">
        <v>95.382380093268296</v>
      </c>
      <c r="AM7027">
        <v>55.937699634359397</v>
      </c>
      <c r="AN7027">
        <v>1.0000000181709101</v>
      </c>
    </row>
    <row r="7028" spans="1:40" x14ac:dyDescent="0.25">
      <c r="A7028" t="str">
        <f>"20190303154319051"</f>
        <v>20190303154319051</v>
      </c>
      <c r="B7028" t="str">
        <f>"1551598999047115"</f>
        <v>1551598999047115</v>
      </c>
      <c r="C7028" t="s">
        <v>40</v>
      </c>
      <c r="D7028">
        <v>6.207033</v>
      </c>
      <c r="E7028">
        <v>0.64074330000000002</v>
      </c>
      <c r="F7028" t="s">
        <v>43</v>
      </c>
      <c r="G7028">
        <v>-302.21530000000001</v>
      </c>
      <c r="H7028">
        <v>-0.05</v>
      </c>
      <c r="I7028">
        <v>8.3674009999999992</v>
      </c>
      <c r="J7028">
        <v>-303.86970000000002</v>
      </c>
      <c r="K7028">
        <v>1.0632140000000001</v>
      </c>
      <c r="L7028">
        <v>15.866149999999999</v>
      </c>
      <c r="M7028">
        <v>0.92589359999999998</v>
      </c>
      <c r="N7028">
        <v>-1.5374870000000001E-2</v>
      </c>
      <c r="O7028">
        <v>-0.37747150000000002</v>
      </c>
      <c r="P7028">
        <v>0.54851039999999995</v>
      </c>
      <c r="Q7028">
        <v>-9.6117279999999999E-2</v>
      </c>
      <c r="R7028">
        <v>-0.83060100000000003</v>
      </c>
      <c r="S7028">
        <v>0.71820069999999903</v>
      </c>
      <c r="T7028">
        <v>-0.457426</v>
      </c>
      <c r="U7028">
        <v>-3.1007389999999999</v>
      </c>
      <c r="V7028">
        <v>0.56036149999999996</v>
      </c>
      <c r="W7028">
        <v>-9.4249349999999996E-2</v>
      </c>
      <c r="X7028">
        <v>0.82286819999999905</v>
      </c>
      <c r="Y7028">
        <v>0.81170059999999999</v>
      </c>
      <c r="Z7028">
        <v>-2.7065530000000001E-2</v>
      </c>
      <c r="AA7028">
        <v>0.58344640000000003</v>
      </c>
      <c r="AB7028">
        <v>18</v>
      </c>
      <c r="AC7028">
        <v>1.6544000000000001</v>
      </c>
      <c r="AD7028">
        <v>-1.1132139999999999</v>
      </c>
      <c r="AE7028">
        <v>-7.4987490000000001</v>
      </c>
      <c r="AF7028">
        <v>6.18923199898577</v>
      </c>
      <c r="AG7028">
        <v>-1.1132139999999999</v>
      </c>
      <c r="AH7028">
        <v>4.2730772458330302</v>
      </c>
      <c r="AI7028">
        <v>98.419428080952301</v>
      </c>
      <c r="AJ7028">
        <v>34.6213962209535</v>
      </c>
      <c r="AK7028">
        <v>7.6029617449992104</v>
      </c>
      <c r="AL7028">
        <v>95.4081168153334</v>
      </c>
      <c r="AM7028">
        <v>55.745695464020599</v>
      </c>
      <c r="AN7028">
        <v>1.0000000126144499</v>
      </c>
    </row>
    <row r="7029" spans="1:40" x14ac:dyDescent="0.25">
      <c r="A7029" t="str">
        <f>"20190303154319062"</f>
        <v>20190303154319062</v>
      </c>
      <c r="B7029" t="str">
        <f>"1551598999056875"</f>
        <v>1551598999056875</v>
      </c>
      <c r="C7029" t="s">
        <v>40</v>
      </c>
      <c r="D7029">
        <v>6.2053079999999996</v>
      </c>
      <c r="E7029">
        <v>0.64074330000000002</v>
      </c>
      <c r="F7029" t="s">
        <v>43</v>
      </c>
      <c r="G7029">
        <v>-302.17230000000001</v>
      </c>
      <c r="H7029">
        <v>-0.05</v>
      </c>
      <c r="I7029">
        <v>8.319229</v>
      </c>
      <c r="J7029">
        <v>-303.7835</v>
      </c>
      <c r="K7029">
        <v>1.063167</v>
      </c>
      <c r="L7029">
        <v>15.82114</v>
      </c>
      <c r="M7029">
        <v>0.92285470000000003</v>
      </c>
      <c r="N7029">
        <v>-1.5409600000000001E-2</v>
      </c>
      <c r="O7029">
        <v>-0.38484010000000002</v>
      </c>
      <c r="P7029">
        <v>0.53954009999999997</v>
      </c>
      <c r="Q7029">
        <v>-9.6777340000000003E-2</v>
      </c>
      <c r="R7029">
        <v>-0.83637950000000005</v>
      </c>
      <c r="S7029">
        <v>0.69696040000000004</v>
      </c>
      <c r="T7029">
        <v>-0.4570746</v>
      </c>
      <c r="U7029">
        <v>-3.0986940000000001</v>
      </c>
      <c r="V7029">
        <v>0.56255619999999995</v>
      </c>
      <c r="W7029">
        <v>-9.5018690000000003E-2</v>
      </c>
      <c r="X7029">
        <v>0.82128069999999898</v>
      </c>
      <c r="Y7029">
        <v>0.81084259999999997</v>
      </c>
      <c r="Z7029">
        <v>-2.5781209999999999E-2</v>
      </c>
      <c r="AA7029">
        <v>0.5846962</v>
      </c>
      <c r="AB7029">
        <v>18</v>
      </c>
      <c r="AC7029">
        <v>1.61119999999999</v>
      </c>
      <c r="AD7029">
        <v>-1.113167</v>
      </c>
      <c r="AE7029">
        <v>-7.5019109999999998</v>
      </c>
      <c r="AF7029">
        <v>6.1739242065715603</v>
      </c>
      <c r="AG7029">
        <v>-1.113167</v>
      </c>
      <c r="AH7029">
        <v>4.2842868847853897</v>
      </c>
      <c r="AI7029">
        <v>98.425931827696104</v>
      </c>
      <c r="AJ7029">
        <v>34.758039064912303</v>
      </c>
      <c r="AK7029">
        <v>7.5968147923668203</v>
      </c>
      <c r="AL7029">
        <v>95.452395488030106</v>
      </c>
      <c r="AM7029">
        <v>55.589857556436897</v>
      </c>
      <c r="AN7029">
        <v>1.00000000890012</v>
      </c>
    </row>
    <row r="7030" spans="1:40" x14ac:dyDescent="0.25">
      <c r="A7030" t="str">
        <f>"20190303154319075"</f>
        <v>20190303154319075</v>
      </c>
      <c r="B7030" t="str">
        <f>"1551598999067610"</f>
        <v>1551598999067610</v>
      </c>
      <c r="C7030" t="s">
        <v>40</v>
      </c>
      <c r="D7030">
        <v>6.1948379999999998</v>
      </c>
      <c r="E7030">
        <v>0.61481779999999997</v>
      </c>
      <c r="F7030" t="s">
        <v>43</v>
      </c>
      <c r="G7030">
        <v>-302.17320000000001</v>
      </c>
      <c r="H7030">
        <v>-0.05</v>
      </c>
      <c r="I7030">
        <v>8.2862240000000007</v>
      </c>
      <c r="J7030">
        <v>-303.68619999999999</v>
      </c>
      <c r="K7030">
        <v>1.0631120000000001</v>
      </c>
      <c r="L7030">
        <v>15.769500000000001</v>
      </c>
      <c r="M7030">
        <v>0.91931859999999999</v>
      </c>
      <c r="N7030">
        <v>-1.5449030000000001E-2</v>
      </c>
      <c r="O7030">
        <v>-0.39321070000000002</v>
      </c>
      <c r="P7030">
        <v>0.52989889999999995</v>
      </c>
      <c r="Q7030">
        <v>-9.7368300000000005E-2</v>
      </c>
      <c r="R7030">
        <v>-0.8424528</v>
      </c>
      <c r="S7030">
        <v>0.66372679999999995</v>
      </c>
      <c r="T7030">
        <v>-0.45881650000000002</v>
      </c>
      <c r="U7030">
        <v>-3.1056819999999998</v>
      </c>
      <c r="V7030">
        <v>0.56443199999999905</v>
      </c>
      <c r="W7030">
        <v>-9.5715469999999997E-2</v>
      </c>
      <c r="X7030">
        <v>0.81991170000000002</v>
      </c>
      <c r="Y7030">
        <v>0.81181020000000004</v>
      </c>
      <c r="Z7030">
        <v>-2.4647840000000001E-2</v>
      </c>
      <c r="AA7030">
        <v>0.5834009</v>
      </c>
      <c r="AB7030">
        <v>18</v>
      </c>
      <c r="AC7030">
        <v>1.5129999999999699</v>
      </c>
      <c r="AD7030">
        <v>-1.1131120000000001</v>
      </c>
      <c r="AE7030">
        <v>-7.4832759999999903</v>
      </c>
      <c r="AF7030">
        <v>6.1545129542673402</v>
      </c>
      <c r="AG7030">
        <v>-1.1131120000000001</v>
      </c>
      <c r="AH7030">
        <v>4.2437428067613299</v>
      </c>
      <c r="AI7030">
        <v>98.468872767837695</v>
      </c>
      <c r="AJ7030">
        <v>34.587563778260801</v>
      </c>
      <c r="AK7030">
        <v>7.5582009128315102</v>
      </c>
      <c r="AL7030">
        <v>95.492500526961706</v>
      </c>
      <c r="AM7030">
        <v>55.456249046192703</v>
      </c>
      <c r="AN7030">
        <v>1.0000000648091001</v>
      </c>
    </row>
    <row r="7031" spans="1:40" x14ac:dyDescent="0.25">
      <c r="A7031" t="str">
        <f>"20190303154319087"</f>
        <v>20190303154319087</v>
      </c>
      <c r="B7031" t="str">
        <f>"1551598999077371"</f>
        <v>1551598999077371</v>
      </c>
      <c r="C7031" t="s">
        <v>40</v>
      </c>
      <c r="D7031">
        <v>6.2045349999999999</v>
      </c>
      <c r="E7031">
        <v>0.61586030000000003</v>
      </c>
      <c r="F7031" t="s">
        <v>43</v>
      </c>
      <c r="G7031">
        <v>-301.66739999999999</v>
      </c>
      <c r="H7031">
        <v>-0.05</v>
      </c>
      <c r="I7031">
        <v>8.2263179999999991</v>
      </c>
      <c r="J7031">
        <v>-303.60300000000001</v>
      </c>
      <c r="K7031">
        <v>1.0630660000000001</v>
      </c>
      <c r="L7031">
        <v>15.723789999999999</v>
      </c>
      <c r="M7031">
        <v>0.91616960000000003</v>
      </c>
      <c r="N7031">
        <v>-1.5483790000000001E-2</v>
      </c>
      <c r="O7031">
        <v>-0.40049180000000001</v>
      </c>
      <c r="P7031">
        <v>0.52172819999999998</v>
      </c>
      <c r="Q7031">
        <v>-9.7415799999999997E-2</v>
      </c>
      <c r="R7031">
        <v>-0.84753179999999995</v>
      </c>
      <c r="S7031">
        <v>0.80395509999999903</v>
      </c>
      <c r="T7031">
        <v>-0.44329859999999999</v>
      </c>
      <c r="U7031">
        <v>-3.004089</v>
      </c>
      <c r="V7031">
        <v>0.56583459999999997</v>
      </c>
      <c r="W7031">
        <v>-9.5844020000000002E-2</v>
      </c>
      <c r="X7031">
        <v>0.81892929999999997</v>
      </c>
      <c r="Y7031">
        <v>0.776895</v>
      </c>
      <c r="Z7031">
        <v>-1.8155319999999999E-2</v>
      </c>
      <c r="AA7031">
        <v>0.62936840000000005</v>
      </c>
      <c r="AB7031">
        <v>18</v>
      </c>
      <c r="AC7031">
        <v>1.93560000000002</v>
      </c>
      <c r="AD7031">
        <v>-1.1130659999999899</v>
      </c>
      <c r="AE7031">
        <v>-7.4974720000000001</v>
      </c>
      <c r="AF7031">
        <v>5.9711139073270498</v>
      </c>
      <c r="AG7031">
        <v>-1.1130659999999899</v>
      </c>
      <c r="AH7031">
        <v>4.6798863967191799</v>
      </c>
      <c r="AI7031">
        <v>98.3466563590042</v>
      </c>
      <c r="AJ7031">
        <v>38.087727584931599</v>
      </c>
      <c r="AK7031">
        <v>7.6677541627798496</v>
      </c>
      <c r="AL7031">
        <v>95.499900084119005</v>
      </c>
      <c r="AM7031">
        <v>55.357683785006898</v>
      </c>
      <c r="AN7031">
        <v>1.0000000345627</v>
      </c>
    </row>
    <row r="7032" spans="1:40" x14ac:dyDescent="0.25">
      <c r="A7032" t="str">
        <f>"20190303154319101"</f>
        <v>20190303154319101</v>
      </c>
      <c r="B7032" t="str">
        <f>"1551598999096896"</f>
        <v>1551598999096896</v>
      </c>
      <c r="C7032" t="s">
        <v>40</v>
      </c>
      <c r="D7032">
        <v>6.2158449999999998</v>
      </c>
      <c r="E7032">
        <v>0.61554209999999998</v>
      </c>
      <c r="F7032" t="s">
        <v>43</v>
      </c>
      <c r="G7032">
        <v>-301.64479999999998</v>
      </c>
      <c r="H7032">
        <v>-0.05</v>
      </c>
      <c r="I7032">
        <v>8.0301969999999994</v>
      </c>
      <c r="J7032">
        <v>-303.49220000000003</v>
      </c>
      <c r="K7032">
        <v>1.06301</v>
      </c>
      <c r="L7032">
        <v>15.66187</v>
      </c>
      <c r="M7032">
        <v>0.91184140000000002</v>
      </c>
      <c r="N7032">
        <v>-1.5529340000000001E-2</v>
      </c>
      <c r="O7032">
        <v>-0.41024929999999898</v>
      </c>
      <c r="P7032">
        <v>0.51034409999999997</v>
      </c>
      <c r="Q7032">
        <v>-9.6103770000000005E-2</v>
      </c>
      <c r="R7032">
        <v>-0.85458400000000001</v>
      </c>
      <c r="S7032">
        <v>0.7678528</v>
      </c>
      <c r="T7032">
        <v>-0.43646040000000003</v>
      </c>
      <c r="U7032">
        <v>-3.0168460000000001</v>
      </c>
      <c r="V7032">
        <v>0.56818780000000002</v>
      </c>
      <c r="W7032">
        <v>-9.4651570000000004E-2</v>
      </c>
      <c r="X7032">
        <v>0.81743730000000003</v>
      </c>
      <c r="Y7032">
        <v>0.77808869999999997</v>
      </c>
      <c r="Z7032">
        <v>-1.6737620000000002E-2</v>
      </c>
      <c r="AA7032">
        <v>0.62793140000000003</v>
      </c>
      <c r="AB7032">
        <v>18</v>
      </c>
      <c r="AC7032">
        <v>1.8474000000000499</v>
      </c>
      <c r="AD7032">
        <v>-1.1130100000000001</v>
      </c>
      <c r="AE7032">
        <v>-7.6316730000000002</v>
      </c>
      <c r="AF7032">
        <v>6.0795754156450901</v>
      </c>
      <c r="AG7032">
        <v>-1.1130100000000001</v>
      </c>
      <c r="AH7032">
        <v>4.7211458987696</v>
      </c>
      <c r="AI7032">
        <v>98.227657897711694</v>
      </c>
      <c r="AJ7032">
        <v>37.831429708681199</v>
      </c>
      <c r="AK7032">
        <v>7.7774833392354603</v>
      </c>
      <c r="AL7032">
        <v>95.431265782591296</v>
      </c>
      <c r="AM7032">
        <v>55.197444320422299</v>
      </c>
      <c r="AN7032">
        <v>1.00000001760179</v>
      </c>
    </row>
    <row r="7033" spans="1:40" x14ac:dyDescent="0.25">
      <c r="A7033" t="str">
        <f>"20190303154319113"</f>
        <v>20190303154319113</v>
      </c>
      <c r="B7033" t="str">
        <f>"1551598999107627"</f>
        <v>1551598999107627</v>
      </c>
      <c r="C7033" t="s">
        <v>40</v>
      </c>
      <c r="D7033">
        <v>6.2104759999999999</v>
      </c>
      <c r="E7033">
        <v>0.61496850000000003</v>
      </c>
      <c r="F7033" t="s">
        <v>43</v>
      </c>
      <c r="G7033">
        <v>-301.5292</v>
      </c>
      <c r="H7033">
        <v>-0.05</v>
      </c>
      <c r="I7033">
        <v>7.5313259999999902</v>
      </c>
      <c r="J7033">
        <v>-303.40179999999998</v>
      </c>
      <c r="K7033">
        <v>1.0629679999999999</v>
      </c>
      <c r="L7033">
        <v>15.610290000000001</v>
      </c>
      <c r="M7033">
        <v>0.90818580000000004</v>
      </c>
      <c r="N7033">
        <v>-1.556602E-2</v>
      </c>
      <c r="O7033">
        <v>-0.41827779999999998</v>
      </c>
      <c r="P7033">
        <v>0.50167759999999995</v>
      </c>
      <c r="Q7033">
        <v>-9.5399730000000002E-2</v>
      </c>
      <c r="R7033">
        <v>-0.85977819999999905</v>
      </c>
      <c r="S7033">
        <v>0.73089599999999999</v>
      </c>
      <c r="T7033">
        <v>-0.41442889999999999</v>
      </c>
      <c r="U7033">
        <v>-3.0274049999999999</v>
      </c>
      <c r="V7033">
        <v>0.56931219999999905</v>
      </c>
      <c r="W7033">
        <v>-9.4020489999999998E-2</v>
      </c>
      <c r="X7033">
        <v>0.81672749999999905</v>
      </c>
      <c r="Y7033">
        <v>0.78068979999999999</v>
      </c>
      <c r="Z7033">
        <v>-1.5729E-2</v>
      </c>
      <c r="AA7033">
        <v>0.62472069999999902</v>
      </c>
      <c r="AB7033">
        <v>18</v>
      </c>
      <c r="AC7033">
        <v>1.8725999999999701</v>
      </c>
      <c r="AD7033">
        <v>-1.112968</v>
      </c>
      <c r="AE7033">
        <v>-8.0789639999999991</v>
      </c>
      <c r="AF7033">
        <v>6.4387617712801797</v>
      </c>
      <c r="AG7033">
        <v>-1.112968</v>
      </c>
      <c r="AH7033">
        <v>4.9906510999990497</v>
      </c>
      <c r="AI7033">
        <v>97.779608865942507</v>
      </c>
      <c r="AJ7033">
        <v>37.779079448692002</v>
      </c>
      <c r="AK7033">
        <v>8.2221012714661192</v>
      </c>
      <c r="AL7033">
        <v>95.394945568277294</v>
      </c>
      <c r="AM7033">
        <v>55.120994504345198</v>
      </c>
      <c r="AN7033">
        <v>1.00000002143246</v>
      </c>
    </row>
    <row r="7034" spans="1:40" x14ac:dyDescent="0.25">
      <c r="A7034" t="str">
        <f>"20190303154319127"</f>
        <v>20190303154319127</v>
      </c>
      <c r="B7034" t="str">
        <f>"1551598999117387"</f>
        <v>1551598999117387</v>
      </c>
      <c r="C7034" t="s">
        <v>40</v>
      </c>
      <c r="D7034">
        <v>6.1951109999999998</v>
      </c>
      <c r="E7034">
        <v>0.61361889999999997</v>
      </c>
      <c r="F7034" t="s">
        <v>43</v>
      </c>
      <c r="G7034">
        <v>-301.46859999999998</v>
      </c>
      <c r="H7034">
        <v>-0.05</v>
      </c>
      <c r="I7034">
        <v>7.2885279999999897</v>
      </c>
      <c r="J7034">
        <v>-303.31110000000001</v>
      </c>
      <c r="K7034">
        <v>1.0629309999999901</v>
      </c>
      <c r="L7034">
        <v>15.55692</v>
      </c>
      <c r="M7034">
        <v>0.90437820000000002</v>
      </c>
      <c r="N7034">
        <v>-1.560163E-2</v>
      </c>
      <c r="O7034">
        <v>-0.42644650000000001</v>
      </c>
      <c r="P7034">
        <v>0.49288769999999998</v>
      </c>
      <c r="Q7034">
        <v>-9.4881989999999999E-2</v>
      </c>
      <c r="R7034">
        <v>-0.86490419999999901</v>
      </c>
      <c r="S7034">
        <v>0.70462040000000004</v>
      </c>
      <c r="T7034">
        <v>-0.40565780000000001</v>
      </c>
      <c r="U7034">
        <v>-3.0331419999999998</v>
      </c>
      <c r="V7034">
        <v>0.57032569999999905</v>
      </c>
      <c r="W7034">
        <v>-9.3564449999999993E-2</v>
      </c>
      <c r="X7034">
        <v>0.81607249999999998</v>
      </c>
      <c r="Y7034">
        <v>0.78065580000000001</v>
      </c>
      <c r="Z7034">
        <v>-1.4501689999999999E-2</v>
      </c>
      <c r="AA7034">
        <v>0.62479300000000004</v>
      </c>
      <c r="AB7034">
        <v>18</v>
      </c>
      <c r="AC7034">
        <v>1.84250000000002</v>
      </c>
      <c r="AD7034">
        <v>-1.1129309999999999</v>
      </c>
      <c r="AE7034">
        <v>-8.2683920000000004</v>
      </c>
      <c r="AF7034">
        <v>6.5792804597631598</v>
      </c>
      <c r="AG7034">
        <v>-1.1129309999999999</v>
      </c>
      <c r="AH7034">
        <v>5.1048645406410396</v>
      </c>
      <c r="AI7034">
        <v>97.612240255676795</v>
      </c>
      <c r="AJ7034">
        <v>37.807891083592203</v>
      </c>
      <c r="AK7034">
        <v>8.4014991970050605</v>
      </c>
      <c r="AL7034">
        <v>95.368700727388799</v>
      </c>
      <c r="AM7034">
        <v>55.051591608594102</v>
      </c>
      <c r="AN7034">
        <v>1.0000000178202699</v>
      </c>
    </row>
    <row r="7035" spans="1:40" x14ac:dyDescent="0.25">
      <c r="A7035" t="str">
        <f>"20190303154319147"</f>
        <v>20190303154319147</v>
      </c>
      <c r="B7035" t="str">
        <f>"1551598999136906"</f>
        <v>1551598999136906</v>
      </c>
      <c r="C7035" t="s">
        <v>40</v>
      </c>
      <c r="D7035">
        <v>6.2630939999999997</v>
      </c>
      <c r="E7035">
        <v>0.61160190000000003</v>
      </c>
      <c r="F7035" t="s">
        <v>43</v>
      </c>
      <c r="G7035">
        <v>-301.44130000000001</v>
      </c>
      <c r="H7035">
        <v>-0.05</v>
      </c>
      <c r="I7035">
        <v>7.2472529999999997</v>
      </c>
      <c r="J7035">
        <v>-303.16520000000003</v>
      </c>
      <c r="K7035">
        <v>1.0628709999999999</v>
      </c>
      <c r="L7035">
        <v>15.46884</v>
      </c>
      <c r="M7035">
        <v>0.898007</v>
      </c>
      <c r="N7035">
        <v>-1.5656529999999998E-2</v>
      </c>
      <c r="O7035">
        <v>-0.43970310000000001</v>
      </c>
      <c r="P7035">
        <v>0.47808980000000001</v>
      </c>
      <c r="Q7035">
        <v>-9.4137029999999997E-2</v>
      </c>
      <c r="R7035">
        <v>-0.87325219999999903</v>
      </c>
      <c r="S7035">
        <v>0.68289180000000005</v>
      </c>
      <c r="T7035">
        <v>-0.40645989999999999</v>
      </c>
      <c r="U7035">
        <v>-3.034821</v>
      </c>
      <c r="V7035">
        <v>0.57228610000000002</v>
      </c>
      <c r="W7035">
        <v>-9.2918109999999998E-2</v>
      </c>
      <c r="X7035">
        <v>0.81477279999999996</v>
      </c>
      <c r="Y7035">
        <v>0.7759125</v>
      </c>
      <c r="Z7035">
        <v>-1.1972200000000001E-2</v>
      </c>
      <c r="AA7035">
        <v>0.63072700000000004</v>
      </c>
      <c r="AB7035">
        <v>18</v>
      </c>
      <c r="AC7035">
        <v>1.72390000000001</v>
      </c>
      <c r="AD7035">
        <v>-1.1128709999999999</v>
      </c>
      <c r="AE7035">
        <v>-8.2215869999999995</v>
      </c>
      <c r="AF7035">
        <v>6.5115669761269697</v>
      </c>
      <c r="AG7035">
        <v>-1.1128709999999999</v>
      </c>
      <c r="AH7035">
        <v>5.0746991027947699</v>
      </c>
      <c r="AI7035">
        <v>97.677406584403499</v>
      </c>
      <c r="AJ7035">
        <v>37.930572656498697</v>
      </c>
      <c r="AK7035">
        <v>8.3301595021424699</v>
      </c>
      <c r="AL7035">
        <v>95.331506576660203</v>
      </c>
      <c r="AM7035">
        <v>54.916281029963201</v>
      </c>
      <c r="AN7035">
        <v>0.99999993551950805</v>
      </c>
    </row>
    <row r="7036" spans="1:40" x14ac:dyDescent="0.25">
      <c r="A7036" t="str">
        <f>"20190303154319161"</f>
        <v>20190303154319161</v>
      </c>
      <c r="B7036" t="str">
        <f>"1551598999157403"</f>
        <v>1551598999157403</v>
      </c>
      <c r="C7036" t="s">
        <v>40</v>
      </c>
      <c r="D7036">
        <v>6.2016109999999998</v>
      </c>
      <c r="E7036">
        <v>0.61000509999999997</v>
      </c>
      <c r="F7036" t="s">
        <v>43</v>
      </c>
      <c r="G7036">
        <v>-301.38330000000002</v>
      </c>
      <c r="H7036">
        <v>-0.05</v>
      </c>
      <c r="I7036">
        <v>7.0735320000000002</v>
      </c>
      <c r="J7036">
        <v>-303.06619999999998</v>
      </c>
      <c r="K7036">
        <v>1.0628390000000001</v>
      </c>
      <c r="L7036">
        <v>15.4073799999999</v>
      </c>
      <c r="M7036">
        <v>0.89350189999999996</v>
      </c>
      <c r="N7036">
        <v>-1.5691819999999999E-2</v>
      </c>
      <c r="O7036">
        <v>-0.4487852</v>
      </c>
      <c r="P7036">
        <v>0.46890850000000001</v>
      </c>
      <c r="Q7036">
        <v>-9.4316529999999996E-2</v>
      </c>
      <c r="R7036">
        <v>-0.8781968</v>
      </c>
      <c r="S7036">
        <v>0.64501949999999997</v>
      </c>
      <c r="T7036">
        <v>-0.40283039999999998</v>
      </c>
      <c r="U7036">
        <v>-3.0388790000000001</v>
      </c>
      <c r="V7036">
        <v>0.57253869999999996</v>
      </c>
      <c r="W7036">
        <v>-9.3121449999999995E-2</v>
      </c>
      <c r="X7036">
        <v>0.81457219999999997</v>
      </c>
      <c r="Y7036">
        <v>0.77729199999999998</v>
      </c>
      <c r="Z7036">
        <v>-1.0844360000000001E-2</v>
      </c>
      <c r="AA7036">
        <v>0.62904649999999995</v>
      </c>
      <c r="AB7036">
        <v>18</v>
      </c>
      <c r="AC7036">
        <v>1.6828999999999601</v>
      </c>
      <c r="AD7036">
        <v>-1.1128389999999999</v>
      </c>
      <c r="AE7036">
        <v>-8.3338479999999908</v>
      </c>
      <c r="AF7036">
        <v>6.5791562082657196</v>
      </c>
      <c r="AG7036">
        <v>-1.1128389999999999</v>
      </c>
      <c r="AH7036">
        <v>5.1560919481404897</v>
      </c>
      <c r="AI7036">
        <v>97.583355696410806</v>
      </c>
      <c r="AJ7036">
        <v>38.085838077340803</v>
      </c>
      <c r="AK7036">
        <v>8.4326147327125902</v>
      </c>
      <c r="AL7036">
        <v>95.343207391620396</v>
      </c>
      <c r="AM7036">
        <v>54.897750967929497</v>
      </c>
      <c r="AN7036">
        <v>1.0000000182303099</v>
      </c>
    </row>
    <row r="7037" spans="1:40" x14ac:dyDescent="0.25">
      <c r="A7037" t="str">
        <f>"20190303154319176"</f>
        <v>20190303154319176</v>
      </c>
      <c r="B7037" t="str">
        <f>"1551598999167163"</f>
        <v>1551598999167163</v>
      </c>
      <c r="C7037" t="s">
        <v>40</v>
      </c>
      <c r="D7037">
        <v>6.2464079999999997</v>
      </c>
      <c r="E7037">
        <v>0.60944679999999996</v>
      </c>
      <c r="F7037" t="s">
        <v>43</v>
      </c>
      <c r="G7037">
        <v>-301.33260000000001</v>
      </c>
      <c r="H7037">
        <v>-0.05</v>
      </c>
      <c r="I7037">
        <v>6.9711910000000001</v>
      </c>
      <c r="J7037">
        <v>-302.95600000000002</v>
      </c>
      <c r="K7037">
        <v>1.062808</v>
      </c>
      <c r="L7037">
        <v>15.3372799999999</v>
      </c>
      <c r="M7037">
        <v>0.88830900000000002</v>
      </c>
      <c r="N7037">
        <v>-1.5729139999999999E-2</v>
      </c>
      <c r="O7037">
        <v>-0.45897710000000003</v>
      </c>
      <c r="P7037">
        <v>0.45809129999999998</v>
      </c>
      <c r="Q7037">
        <v>-9.4828510000000005E-2</v>
      </c>
      <c r="R7037">
        <v>-0.88383269999999903</v>
      </c>
      <c r="S7037">
        <v>0.62460329999999997</v>
      </c>
      <c r="T7037">
        <v>-0.40095419999999998</v>
      </c>
      <c r="U7037">
        <v>-3.0395509999999999</v>
      </c>
      <c r="V7037">
        <v>0.57315509999999903</v>
      </c>
      <c r="W7037">
        <v>-9.3659199999999998E-2</v>
      </c>
      <c r="X7037">
        <v>0.81407689999999999</v>
      </c>
      <c r="Y7037">
        <v>0.77429479999999995</v>
      </c>
      <c r="Z7037">
        <v>-8.9990239999999996E-3</v>
      </c>
      <c r="AA7037">
        <v>0.63276119999999902</v>
      </c>
      <c r="AB7037">
        <v>18</v>
      </c>
      <c r="AC7037">
        <v>1.62339999999994</v>
      </c>
      <c r="AD7037">
        <v>-1.112808</v>
      </c>
      <c r="AE7037">
        <v>-8.3660889999999899</v>
      </c>
      <c r="AF7037">
        <v>6.5752817547975599</v>
      </c>
      <c r="AG7037">
        <v>-1.112808</v>
      </c>
      <c r="AH7037">
        <v>5.1940151307153304</v>
      </c>
      <c r="AI7037">
        <v>97.564894656737806</v>
      </c>
      <c r="AJ7037">
        <v>38.306281089580402</v>
      </c>
      <c r="AK7037">
        <v>8.4528376878973308</v>
      </c>
      <c r="AL7037">
        <v>95.374153506166905</v>
      </c>
      <c r="AM7037">
        <v>54.8523386969825</v>
      </c>
      <c r="AN7037">
        <v>1.00000000675712</v>
      </c>
    </row>
    <row r="7038" spans="1:40" x14ac:dyDescent="0.25">
      <c r="A7038" t="str">
        <f>"20190303154319189"</f>
        <v>20190303154319189</v>
      </c>
      <c r="B7038" t="str">
        <f>"1551598999187660"</f>
        <v>1551598999187660</v>
      </c>
      <c r="C7038" t="s">
        <v>40</v>
      </c>
      <c r="D7038">
        <v>6.3153800000000002</v>
      </c>
      <c r="E7038">
        <v>0.60839719999999997</v>
      </c>
      <c r="F7038" t="s">
        <v>43</v>
      </c>
      <c r="G7038">
        <v>-301.30939999999998</v>
      </c>
      <c r="H7038">
        <v>-0.05</v>
      </c>
      <c r="I7038">
        <v>6.8539429999999903</v>
      </c>
      <c r="J7038">
        <v>-302.8603</v>
      </c>
      <c r="K7038">
        <v>1.0627879999999901</v>
      </c>
      <c r="L7038">
        <v>15.274380000000001</v>
      </c>
      <c r="M7038">
        <v>0.88362439999999998</v>
      </c>
      <c r="N7038">
        <v>-1.5758520000000002E-2</v>
      </c>
      <c r="O7038">
        <v>-0.4679316</v>
      </c>
      <c r="P7038">
        <v>0.44901000000000002</v>
      </c>
      <c r="Q7038">
        <v>-9.5485810000000004E-2</v>
      </c>
      <c r="R7038">
        <v>-0.88841039999999905</v>
      </c>
      <c r="S7038">
        <v>0.59106449999999999</v>
      </c>
      <c r="T7038">
        <v>-0.39944390000000002</v>
      </c>
      <c r="U7038">
        <v>-3.045105</v>
      </c>
      <c r="V7038">
        <v>0.57319229999999999</v>
      </c>
      <c r="W7038">
        <v>-9.4308719999999999E-2</v>
      </c>
      <c r="X7038">
        <v>0.81397580000000003</v>
      </c>
      <c r="Y7038">
        <v>0.77490249999999905</v>
      </c>
      <c r="Z7038">
        <v>-7.7855850000000002E-3</v>
      </c>
      <c r="AA7038">
        <v>0.63203290000000001</v>
      </c>
      <c r="AB7038">
        <v>18</v>
      </c>
      <c r="AC7038">
        <v>1.5509000000000099</v>
      </c>
      <c r="AD7038">
        <v>-1.1127880000000001</v>
      </c>
      <c r="AE7038">
        <v>-8.4204369999999997</v>
      </c>
      <c r="AF7038">
        <v>6.6040686681058398</v>
      </c>
      <c r="AG7038">
        <v>-1.1127880000000001</v>
      </c>
      <c r="AH7038">
        <v>5.2230353999662498</v>
      </c>
      <c r="AI7038">
        <v>97.528721143840997</v>
      </c>
      <c r="AJ7038">
        <v>38.339818431413399</v>
      </c>
      <c r="AK7038">
        <v>8.4930629866557492</v>
      </c>
      <c r="AL7038">
        <v>95.411533345317096</v>
      </c>
      <c r="AM7038">
        <v>54.847238460461199</v>
      </c>
      <c r="AN7038">
        <v>1.0000000752164799</v>
      </c>
    </row>
    <row r="7039" spans="1:40" x14ac:dyDescent="0.25">
      <c r="A7039" t="str">
        <f>"20190303154319203"</f>
        <v>20190303154319203</v>
      </c>
      <c r="B7039" t="str">
        <f>"1551598999197422"</f>
        <v>1551598999197422</v>
      </c>
      <c r="C7039" t="s">
        <v>40</v>
      </c>
      <c r="D7039">
        <v>6.2597170000000002</v>
      </c>
      <c r="E7039">
        <v>0.6077167</v>
      </c>
      <c r="F7039" t="s">
        <v>43</v>
      </c>
      <c r="G7039">
        <v>-301.27179999999998</v>
      </c>
      <c r="H7039">
        <v>-0.05</v>
      </c>
      <c r="I7039">
        <v>6.74472</v>
      </c>
      <c r="J7039">
        <v>-302.77210000000002</v>
      </c>
      <c r="K7039">
        <v>1.0627690000000001</v>
      </c>
      <c r="L7039">
        <v>15.2153299999999</v>
      </c>
      <c r="M7039">
        <v>0.87918949999999996</v>
      </c>
      <c r="N7039">
        <v>-1.578357E-2</v>
      </c>
      <c r="O7039">
        <v>-0.47621089999999999</v>
      </c>
      <c r="P7039">
        <v>0.43966309999999897</v>
      </c>
      <c r="Q7039">
        <v>-9.8183670000000001E-2</v>
      </c>
      <c r="R7039">
        <v>-0.89278019999999902</v>
      </c>
      <c r="S7039">
        <v>0.56750489999999998</v>
      </c>
      <c r="T7039">
        <v>-0.39754990000000001</v>
      </c>
      <c r="U7039">
        <v>-3.047272</v>
      </c>
      <c r="V7039">
        <v>0.57377299999999998</v>
      </c>
      <c r="W7039">
        <v>-9.7014240000000002E-2</v>
      </c>
      <c r="X7039">
        <v>0.81324830000000004</v>
      </c>
      <c r="Y7039">
        <v>0.77385569999999904</v>
      </c>
      <c r="Z7039">
        <v>-6.4721519999999897E-3</v>
      </c>
      <c r="AA7039">
        <v>0.63332889999999997</v>
      </c>
      <c r="AB7039">
        <v>18</v>
      </c>
      <c r="AC7039">
        <v>1.5003000000000299</v>
      </c>
      <c r="AD7039">
        <v>-1.1127689999999999</v>
      </c>
      <c r="AE7039">
        <v>-8.47060999999999</v>
      </c>
      <c r="AF7039">
        <v>6.6228327405916598</v>
      </c>
      <c r="AG7039">
        <v>-1.1127689999999999</v>
      </c>
      <c r="AH7039">
        <v>5.2654069489660102</v>
      </c>
      <c r="AI7039">
        <v>97.492501574529001</v>
      </c>
      <c r="AJ7039">
        <v>38.486050737382897</v>
      </c>
      <c r="AK7039">
        <v>8.5337376743976296</v>
      </c>
      <c r="AL7039">
        <v>95.567262821480398</v>
      </c>
      <c r="AM7039">
        <v>54.795793062686599</v>
      </c>
      <c r="AN7039">
        <v>1.0000000078723299</v>
      </c>
    </row>
    <row r="7040" spans="1:40" x14ac:dyDescent="0.25">
      <c r="A7040" t="str">
        <f>"20190303154319214"</f>
        <v>20190303154319214</v>
      </c>
      <c r="B7040" t="str">
        <f>"1551598999207179"</f>
        <v>1551598999207179</v>
      </c>
      <c r="C7040" t="s">
        <v>40</v>
      </c>
      <c r="D7040">
        <v>6.2586760000000004</v>
      </c>
      <c r="E7040">
        <v>0.6077167</v>
      </c>
      <c r="F7040" t="s">
        <v>43</v>
      </c>
      <c r="G7040">
        <v>-301.27870000000001</v>
      </c>
      <c r="H7040">
        <v>-0.05</v>
      </c>
      <c r="I7040">
        <v>6.7900090000000004</v>
      </c>
      <c r="J7040">
        <v>-302.69110000000001</v>
      </c>
      <c r="K7040">
        <v>1.062765</v>
      </c>
      <c r="L7040">
        <v>15.160279999999901</v>
      </c>
      <c r="M7040">
        <v>0.87501960000000001</v>
      </c>
      <c r="N7040">
        <v>-1.5805179999999999E-2</v>
      </c>
      <c r="O7040">
        <v>-0.48382950000000002</v>
      </c>
      <c r="P7040">
        <v>0.43108279999999899</v>
      </c>
      <c r="Q7040">
        <v>-9.9863480000000004E-2</v>
      </c>
      <c r="R7040">
        <v>-0.89676939999999905</v>
      </c>
      <c r="S7040">
        <v>0.54055790000000004</v>
      </c>
      <c r="T7040">
        <v>-0.40280129999999997</v>
      </c>
      <c r="U7040">
        <v>-3.0498050000000001</v>
      </c>
      <c r="V7040">
        <v>0.57430909999999902</v>
      </c>
      <c r="W7040">
        <v>-9.8694110000000002E-2</v>
      </c>
      <c r="X7040">
        <v>0.81266749999999999</v>
      </c>
      <c r="Y7040">
        <v>0.77384209999999998</v>
      </c>
      <c r="Z7040">
        <v>-5.2277000000000001E-3</v>
      </c>
      <c r="AA7040">
        <v>0.63335699999999995</v>
      </c>
      <c r="AB7040">
        <v>18</v>
      </c>
      <c r="AC7040">
        <v>1.4123999999999901</v>
      </c>
      <c r="AD7040">
        <v>-1.112765</v>
      </c>
      <c r="AE7040">
        <v>-8.37027099999999</v>
      </c>
      <c r="AF7040">
        <v>6.5294154808354303</v>
      </c>
      <c r="AG7040">
        <v>-1.112765</v>
      </c>
      <c r="AH7040">
        <v>5.1970141162651498</v>
      </c>
      <c r="AI7040">
        <v>97.595134404256598</v>
      </c>
      <c r="AJ7040">
        <v>38.517637585547298</v>
      </c>
      <c r="AK7040">
        <v>8.4190538774412005</v>
      </c>
      <c r="AL7040">
        <v>95.6639766738313</v>
      </c>
      <c r="AM7040">
        <v>54.751293300971703</v>
      </c>
      <c r="AN7040">
        <v>0.999999967623875</v>
      </c>
    </row>
    <row r="7041" spans="1:40" x14ac:dyDescent="0.25">
      <c r="A7041" t="str">
        <f>"20190303154319227"</f>
        <v>20190303154319227</v>
      </c>
      <c r="B7041" t="str">
        <f>"1551598999216939"</f>
        <v>1551598999216939</v>
      </c>
      <c r="C7041" t="s">
        <v>40</v>
      </c>
      <c r="D7041">
        <v>6.2694289999999997</v>
      </c>
      <c r="E7041">
        <v>0.59434690000000001</v>
      </c>
      <c r="F7041" t="s">
        <v>43</v>
      </c>
      <c r="G7041">
        <v>-301.29770000000002</v>
      </c>
      <c r="H7041">
        <v>-0.05</v>
      </c>
      <c r="I7041">
        <v>6.8332369999999996</v>
      </c>
      <c r="J7041">
        <v>-302.60419999999999</v>
      </c>
      <c r="K7041">
        <v>1.062767</v>
      </c>
      <c r="L7041">
        <v>15.099489999999999</v>
      </c>
      <c r="M7041">
        <v>0.87040589999999995</v>
      </c>
      <c r="N7041">
        <v>-1.5825369999999998E-2</v>
      </c>
      <c r="O7041">
        <v>-0.49208030000000003</v>
      </c>
      <c r="P7041">
        <v>0.42180220000000002</v>
      </c>
      <c r="Q7041">
        <v>-0.1011932</v>
      </c>
      <c r="R7041">
        <v>-0.90102329999999997</v>
      </c>
      <c r="S7041">
        <v>0.51107789999999997</v>
      </c>
      <c r="T7041">
        <v>-0.40814519999999999</v>
      </c>
      <c r="U7041">
        <v>-3.05423</v>
      </c>
      <c r="V7041">
        <v>0.57485980000000003</v>
      </c>
      <c r="W7041">
        <v>-0.10001599999999999</v>
      </c>
      <c r="X7041">
        <v>0.81211639999999996</v>
      </c>
      <c r="Y7041">
        <v>0.77393109999999998</v>
      </c>
      <c r="Z7041">
        <v>-3.859922E-3</v>
      </c>
      <c r="AA7041">
        <v>0.63325799999999999</v>
      </c>
      <c r="AB7041">
        <v>18</v>
      </c>
      <c r="AC7041">
        <v>1.30649999999997</v>
      </c>
      <c r="AD7041">
        <v>-1.1127670000000001</v>
      </c>
      <c r="AE7041">
        <v>-8.2662529999999901</v>
      </c>
      <c r="AF7041">
        <v>6.4390724076539403</v>
      </c>
      <c r="AG7041">
        <v>-1.1127670000000001</v>
      </c>
      <c r="AH7041">
        <v>5.1150647847194097</v>
      </c>
      <c r="AI7041">
        <v>97.706223332064695</v>
      </c>
      <c r="AJ7041">
        <v>38.462896125913403</v>
      </c>
      <c r="AK7041">
        <v>8.2984210316888607</v>
      </c>
      <c r="AL7041">
        <v>95.740091722088295</v>
      </c>
      <c r="AM7041">
        <v>54.707080697092699</v>
      </c>
      <c r="AN7041">
        <v>1.00000001853049</v>
      </c>
    </row>
    <row r="7042" spans="1:40" x14ac:dyDescent="0.25">
      <c r="A7042" t="str">
        <f>"20190303154319247"</f>
        <v>20190303154319247</v>
      </c>
      <c r="B7042" t="str">
        <f>"1551598999237435"</f>
        <v>1551598999237435</v>
      </c>
      <c r="C7042" t="s">
        <v>40</v>
      </c>
      <c r="D7042">
        <v>6.248678</v>
      </c>
      <c r="E7042">
        <v>0.59398960000000001</v>
      </c>
      <c r="F7042" t="s">
        <v>43</v>
      </c>
      <c r="G7042">
        <v>-300.91520000000003</v>
      </c>
      <c r="H7042">
        <v>-0.05</v>
      </c>
      <c r="I7042">
        <v>6.2891389999999996</v>
      </c>
      <c r="J7042">
        <v>-302.46960000000001</v>
      </c>
      <c r="K7042">
        <v>1.062773</v>
      </c>
      <c r="L7042">
        <v>15.003080000000001</v>
      </c>
      <c r="M7042">
        <v>0.8630179</v>
      </c>
      <c r="N7042">
        <v>-1.5854409999999999E-2</v>
      </c>
      <c r="O7042">
        <v>-0.5049247</v>
      </c>
      <c r="P7042">
        <v>0.40641640000000001</v>
      </c>
      <c r="Q7042">
        <v>-0.1038932</v>
      </c>
      <c r="R7042">
        <v>-0.90776230000000002</v>
      </c>
      <c r="S7042">
        <v>0.57821659999999997</v>
      </c>
      <c r="T7042">
        <v>-0.38093779999999999</v>
      </c>
      <c r="U7042">
        <v>-3.0160830000000001</v>
      </c>
      <c r="V7042">
        <v>0.57631899999999903</v>
      </c>
      <c r="W7042">
        <v>-0.1027232</v>
      </c>
      <c r="X7042">
        <v>0.81074309999999905</v>
      </c>
      <c r="Y7042">
        <v>0.74970479999999995</v>
      </c>
      <c r="Z7042">
        <v>1.119003E-4</v>
      </c>
      <c r="AA7042">
        <v>0.66177249999999999</v>
      </c>
      <c r="AB7042">
        <v>18</v>
      </c>
      <c r="AC7042">
        <v>1.55439999999998</v>
      </c>
      <c r="AD7042">
        <v>-1.112773</v>
      </c>
      <c r="AE7042">
        <v>-8.7139409999999895</v>
      </c>
      <c r="AF7042">
        <v>6.6314711479591004</v>
      </c>
      <c r="AG7042">
        <v>-1.112773</v>
      </c>
      <c r="AH7042">
        <v>5.6527415614596297</v>
      </c>
      <c r="AI7042">
        <v>97.277437812513199</v>
      </c>
      <c r="AJ7042">
        <v>40.444651733141399</v>
      </c>
      <c r="AK7042">
        <v>8.7845409952026596</v>
      </c>
      <c r="AL7042">
        <v>95.896006094383495</v>
      </c>
      <c r="AM7042">
        <v>54.5927755931638</v>
      </c>
      <c r="AN7042">
        <v>1.0000000098884201</v>
      </c>
    </row>
    <row r="7043" spans="1:40" x14ac:dyDescent="0.25">
      <c r="A7043" t="str">
        <f>"20190303154319258"</f>
        <v>20190303154319258</v>
      </c>
      <c r="B7043" t="str">
        <f>"1551598999247195"</f>
        <v>1551598999247195</v>
      </c>
      <c r="C7043" t="s">
        <v>40</v>
      </c>
      <c r="D7043">
        <v>6.2855400000000001</v>
      </c>
      <c r="E7043">
        <v>0.58649019999999996</v>
      </c>
      <c r="F7043" t="s">
        <v>43</v>
      </c>
      <c r="G7043">
        <v>-300.95229999999998</v>
      </c>
      <c r="H7043">
        <v>-0.05</v>
      </c>
      <c r="I7043">
        <v>6.346298</v>
      </c>
      <c r="J7043">
        <v>-302.39089999999999</v>
      </c>
      <c r="K7043">
        <v>1.0627759999999999</v>
      </c>
      <c r="L7043">
        <v>14.945499999999999</v>
      </c>
      <c r="M7043">
        <v>0.85856309999999902</v>
      </c>
      <c r="N7043">
        <v>-1.5870329999999998E-2</v>
      </c>
      <c r="O7043">
        <v>-0.51246229999999904</v>
      </c>
      <c r="P7043">
        <v>0.3977501</v>
      </c>
      <c r="Q7043">
        <v>-0.1047826</v>
      </c>
      <c r="R7043">
        <v>-0.91149100000000005</v>
      </c>
      <c r="S7043">
        <v>0.52984619999999905</v>
      </c>
      <c r="T7043">
        <v>-0.3886039</v>
      </c>
      <c r="U7043">
        <v>-3.0231319999999999</v>
      </c>
      <c r="V7043">
        <v>0.57683869999999904</v>
      </c>
      <c r="W7043">
        <v>-0.1036053</v>
      </c>
      <c r="X7043">
        <v>0.81026109999999996</v>
      </c>
      <c r="Y7043">
        <v>0.75432140000000003</v>
      </c>
      <c r="Z7043">
        <v>9.9507349999999992E-4</v>
      </c>
      <c r="AA7043">
        <v>0.65650459999999899</v>
      </c>
      <c r="AB7043">
        <v>18</v>
      </c>
      <c r="AC7043">
        <v>1.4386000000000001</v>
      </c>
      <c r="AD7043">
        <v>-1.112776</v>
      </c>
      <c r="AE7043">
        <v>-8.5992019999999894</v>
      </c>
      <c r="AF7043">
        <v>6.5400313697957904</v>
      </c>
      <c r="AG7043">
        <v>-1.112776</v>
      </c>
      <c r="AH7043">
        <v>5.5521634239768298</v>
      </c>
      <c r="AI7043">
        <v>97.390567240075399</v>
      </c>
      <c r="AJ7043">
        <v>40.329611470953303</v>
      </c>
      <c r="AK7043">
        <v>8.6508265171967906</v>
      </c>
      <c r="AL7043">
        <v>95.946817893460207</v>
      </c>
      <c r="AM7043">
        <v>54.552287535231997</v>
      </c>
      <c r="AN7043">
        <v>0.99999999708949405</v>
      </c>
    </row>
    <row r="7044" spans="1:40" x14ac:dyDescent="0.25">
      <c r="A7044" t="str">
        <f>"20190303154319271"</f>
        <v>20190303154319271</v>
      </c>
      <c r="B7044" t="str">
        <f>"1551598999267691"</f>
        <v>1551598999267691</v>
      </c>
      <c r="C7044" t="s">
        <v>40</v>
      </c>
      <c r="D7044">
        <v>6.2543410000000002</v>
      </c>
      <c r="E7044">
        <v>0.58584609999999904</v>
      </c>
      <c r="F7044" t="s">
        <v>43</v>
      </c>
      <c r="G7044">
        <v>-301.10199999999998</v>
      </c>
      <c r="H7044">
        <v>-0.05</v>
      </c>
      <c r="I7044">
        <v>7.9298549999999999</v>
      </c>
      <c r="J7044">
        <v>-302.30290000000002</v>
      </c>
      <c r="K7044">
        <v>1.0627770000000001</v>
      </c>
      <c r="L7044">
        <v>14.87955</v>
      </c>
      <c r="M7044">
        <v>0.85344310000000001</v>
      </c>
      <c r="N7044">
        <v>-1.5887220000000001E-2</v>
      </c>
      <c r="O7044">
        <v>-0.52094390000000002</v>
      </c>
      <c r="P7044">
        <v>0.3875151</v>
      </c>
      <c r="Q7044">
        <v>-0.1063515</v>
      </c>
      <c r="R7044">
        <v>-0.91570819999999997</v>
      </c>
      <c r="S7044">
        <v>0.55050659999999996</v>
      </c>
      <c r="T7044">
        <v>-0.47527920000000001</v>
      </c>
      <c r="U7044">
        <v>-2.9964599999999999</v>
      </c>
      <c r="V7044">
        <v>0.57770030000000006</v>
      </c>
      <c r="W7044">
        <v>-0.10517849999999999</v>
      </c>
      <c r="X7044">
        <v>0.80944419999999995</v>
      </c>
      <c r="Y7044">
        <v>0.74138219999999899</v>
      </c>
      <c r="Z7044">
        <v>7.7999829999999999E-3</v>
      </c>
      <c r="AA7044">
        <v>0.67103769999999996</v>
      </c>
      <c r="AB7044">
        <v>18</v>
      </c>
      <c r="AC7044">
        <v>1.2008999999999901</v>
      </c>
      <c r="AD7044">
        <v>-1.1127769999999999</v>
      </c>
      <c r="AE7044">
        <v>-6.9496949999999904</v>
      </c>
      <c r="AF7044">
        <v>5.1773486940483604</v>
      </c>
      <c r="AG7044">
        <v>-1.1127769999999999</v>
      </c>
      <c r="AH7044">
        <v>4.5330386005862602</v>
      </c>
      <c r="AI7044">
        <v>99.185693803934001</v>
      </c>
      <c r="AJ7044">
        <v>41.203836795225101</v>
      </c>
      <c r="AK7044">
        <v>6.9707711987912999</v>
      </c>
      <c r="AL7044">
        <v>96.037450601577405</v>
      </c>
      <c r="AM7044">
        <v>54.484551033545301</v>
      </c>
      <c r="AN7044">
        <v>1.0000000331979799</v>
      </c>
    </row>
    <row r="7045" spans="1:40" x14ac:dyDescent="0.25">
      <c r="A7045" t="str">
        <f>"20190303154319292"</f>
        <v>20190303154319292</v>
      </c>
      <c r="B7045" t="str">
        <f>"1551598999287212"</f>
        <v>1551598999287212</v>
      </c>
      <c r="C7045" t="s">
        <v>40</v>
      </c>
      <c r="D7045">
        <v>6.2517500000000004</v>
      </c>
      <c r="E7045">
        <v>0.58406969999999903</v>
      </c>
      <c r="F7045" t="s">
        <v>43</v>
      </c>
      <c r="G7045">
        <v>-301.0772</v>
      </c>
      <c r="H7045">
        <v>-0.05</v>
      </c>
      <c r="I7045">
        <v>7.8391270000000004</v>
      </c>
      <c r="J7045">
        <v>-302.17090000000002</v>
      </c>
      <c r="K7045">
        <v>1.0627610000000001</v>
      </c>
      <c r="L7045">
        <v>14.777950000000001</v>
      </c>
      <c r="M7045">
        <v>0.84550029999999998</v>
      </c>
      <c r="N7045">
        <v>-1.5912010000000001E-2</v>
      </c>
      <c r="O7045">
        <v>-0.53373780000000004</v>
      </c>
      <c r="P7045">
        <v>0.3710233</v>
      </c>
      <c r="Q7045">
        <v>-0.1101299</v>
      </c>
      <c r="R7045">
        <v>-0.92206980000000005</v>
      </c>
      <c r="S7045">
        <v>0.52227780000000001</v>
      </c>
      <c r="T7045">
        <v>-0.4741803</v>
      </c>
      <c r="U7045">
        <v>-3.000092</v>
      </c>
      <c r="V7045">
        <v>0.57957630000000004</v>
      </c>
      <c r="W7045">
        <v>-0.1089931</v>
      </c>
      <c r="X7045">
        <v>0.80759639999999999</v>
      </c>
      <c r="Y7045">
        <v>0.73770080000000005</v>
      </c>
      <c r="Z7045">
        <v>1.0588469999999999E-2</v>
      </c>
      <c r="AA7045">
        <v>0.67504469999999905</v>
      </c>
      <c r="AB7045">
        <v>18</v>
      </c>
      <c r="AC7045">
        <v>1.0937000000000101</v>
      </c>
      <c r="AD7045">
        <v>-1.1127609999999999</v>
      </c>
      <c r="AE7045">
        <v>-6.9388229999999904</v>
      </c>
      <c r="AF7045">
        <v>5.1543522276823603</v>
      </c>
      <c r="AG7045">
        <v>-1.1127609999999999</v>
      </c>
      <c r="AH7045">
        <v>4.5155085261699801</v>
      </c>
      <c r="AI7045">
        <v>99.223572161262496</v>
      </c>
      <c r="AJ7045">
        <v>41.220221290297197</v>
      </c>
      <c r="AK7045">
        <v>6.9422907732281596</v>
      </c>
      <c r="AL7045">
        <v>96.257275057294706</v>
      </c>
      <c r="AM7045">
        <v>54.334665100380903</v>
      </c>
      <c r="AN7045">
        <v>1.00000006433112</v>
      </c>
    </row>
    <row r="7046" spans="1:40" x14ac:dyDescent="0.25">
      <c r="A7046" t="str">
        <f>"20190303154319307"</f>
        <v>20190303154319307</v>
      </c>
      <c r="B7046" t="str">
        <f>"1551598999296971"</f>
        <v>1551598999296971</v>
      </c>
      <c r="C7046" t="s">
        <v>40</v>
      </c>
      <c r="D7046">
        <v>5.8412119999999996</v>
      </c>
      <c r="E7046">
        <v>0.58406969999999903</v>
      </c>
      <c r="F7046" t="s">
        <v>43</v>
      </c>
      <c r="G7046">
        <v>-301.06470000000002</v>
      </c>
      <c r="H7046">
        <v>-0.05</v>
      </c>
      <c r="I7046">
        <v>7.8825989999999999</v>
      </c>
      <c r="J7046">
        <v>-302.07310000000001</v>
      </c>
      <c r="K7046">
        <v>1.062751</v>
      </c>
      <c r="L7046">
        <v>14.70044</v>
      </c>
      <c r="M7046">
        <v>0.83939470000000005</v>
      </c>
      <c r="N7046">
        <v>-1.5930340000000001E-2</v>
      </c>
      <c r="O7046">
        <v>-0.54328880000000002</v>
      </c>
      <c r="P7046">
        <v>0.35868460000000002</v>
      </c>
      <c r="Q7046">
        <v>-0.1121876</v>
      </c>
      <c r="R7046">
        <v>-0.92669259999999998</v>
      </c>
      <c r="S7046">
        <v>0.48156739999999998</v>
      </c>
      <c r="T7046">
        <v>-0.48444399999999999</v>
      </c>
      <c r="U7046">
        <v>-3.0019230000000001</v>
      </c>
      <c r="V7046">
        <v>0.58094480000000004</v>
      </c>
      <c r="W7046">
        <v>-0.11108510000000001</v>
      </c>
      <c r="X7046">
        <v>0.80632700000000002</v>
      </c>
      <c r="Y7046">
        <v>0.73894069999999901</v>
      </c>
      <c r="Z7046">
        <v>1.2816960000000001E-2</v>
      </c>
      <c r="AA7046">
        <v>0.67364869999999899</v>
      </c>
      <c r="AB7046">
        <v>18</v>
      </c>
      <c r="AC7046">
        <v>1.00839999999999</v>
      </c>
      <c r="AD7046">
        <v>-1.112751</v>
      </c>
      <c r="AE7046">
        <v>-6.8178409999999898</v>
      </c>
      <c r="AF7046">
        <v>5.0441736692277797</v>
      </c>
      <c r="AG7046">
        <v>-1.112751</v>
      </c>
      <c r="AH7046">
        <v>4.4354573744691503</v>
      </c>
      <c r="AI7046">
        <v>99.406414821517998</v>
      </c>
      <c r="AJ7046">
        <v>41.325905878621001</v>
      </c>
      <c r="AK7046">
        <v>6.8084642111172702</v>
      </c>
      <c r="AL7046">
        <v>96.3778706268957</v>
      </c>
      <c r="AM7046">
        <v>54.227895734476398</v>
      </c>
      <c r="AN7046">
        <v>0.99999999550902496</v>
      </c>
    </row>
    <row r="7047" spans="1:40" x14ac:dyDescent="0.25">
      <c r="A7047" t="str">
        <f>"20190303154319323"</f>
        <v>20190303154319323</v>
      </c>
      <c r="B7047" t="str">
        <f>"1551598999317468"</f>
        <v>1551598999317468</v>
      </c>
      <c r="C7047" t="s">
        <v>40</v>
      </c>
      <c r="D7047">
        <v>6.2657699999999998</v>
      </c>
      <c r="E7047">
        <v>0.58213979999999999</v>
      </c>
      <c r="F7047" t="s">
        <v>43</v>
      </c>
      <c r="G7047">
        <v>-301.07310000000001</v>
      </c>
      <c r="H7047">
        <v>-0.05</v>
      </c>
      <c r="I7047">
        <v>7.8919369999999898</v>
      </c>
      <c r="J7047">
        <v>-301.97000000000003</v>
      </c>
      <c r="K7047">
        <v>1.062732</v>
      </c>
      <c r="L7047">
        <v>14.61679</v>
      </c>
      <c r="M7047">
        <v>0.83275250000000001</v>
      </c>
      <c r="N7047">
        <v>-1.5949970000000001E-2</v>
      </c>
      <c r="O7047">
        <v>-0.55341560000000001</v>
      </c>
      <c r="P7047">
        <v>0.34502460000000001</v>
      </c>
      <c r="Q7047">
        <v>-0.1139302</v>
      </c>
      <c r="R7047">
        <v>-0.93165330000000002</v>
      </c>
      <c r="S7047">
        <v>0.4416504</v>
      </c>
      <c r="T7047">
        <v>-0.4914345</v>
      </c>
      <c r="U7047">
        <v>-3.0068969999999999</v>
      </c>
      <c r="V7047">
        <v>0.58281090000000002</v>
      </c>
      <c r="W7047">
        <v>-0.1128855</v>
      </c>
      <c r="X7047">
        <v>0.80472869999999996</v>
      </c>
      <c r="Y7047">
        <v>0.73967439999999995</v>
      </c>
      <c r="Z7047">
        <v>1.508749E-2</v>
      </c>
      <c r="AA7047">
        <v>0.67279580000000005</v>
      </c>
      <c r="AB7047">
        <v>18</v>
      </c>
      <c r="AC7047">
        <v>0.89690000000001602</v>
      </c>
      <c r="AD7047">
        <v>-1.1127320000000001</v>
      </c>
      <c r="AE7047">
        <v>-6.7248529999999898</v>
      </c>
      <c r="AF7047">
        <v>4.9707150475963804</v>
      </c>
      <c r="AG7047">
        <v>-1.1127320000000001</v>
      </c>
      <c r="AH7047">
        <v>4.3520316087653503</v>
      </c>
      <c r="AI7047">
        <v>99.560336201843</v>
      </c>
      <c r="AJ7047">
        <v>41.203259569335302</v>
      </c>
      <c r="AK7047">
        <v>6.6997283312025298</v>
      </c>
      <c r="AL7047">
        <v>96.481679026727406</v>
      </c>
      <c r="AM7047">
        <v>54.086712216988801</v>
      </c>
      <c r="AN7047">
        <v>0.99999998093637399</v>
      </c>
    </row>
    <row r="7048" spans="1:40" x14ac:dyDescent="0.25">
      <c r="A7048" t="str">
        <f>"20190303154319337"</f>
        <v>20190303154319337</v>
      </c>
      <c r="B7048" t="str">
        <f>"1551598999327227"</f>
        <v>1551598999327227</v>
      </c>
      <c r="C7048" t="s">
        <v>40</v>
      </c>
      <c r="D7048">
        <v>6.1137090000000001</v>
      </c>
      <c r="E7048">
        <v>0.58246830000000005</v>
      </c>
      <c r="F7048" t="s">
        <v>43</v>
      </c>
      <c r="G7048">
        <v>-301.03030000000001</v>
      </c>
      <c r="H7048">
        <v>-0.05</v>
      </c>
      <c r="I7048">
        <v>7.7658690000000004</v>
      </c>
      <c r="J7048">
        <v>-301.87799999999999</v>
      </c>
      <c r="K7048">
        <v>1.062703</v>
      </c>
      <c r="L7048">
        <v>14.540469999999999</v>
      </c>
      <c r="M7048">
        <v>0.82664159999999998</v>
      </c>
      <c r="N7048">
        <v>-1.5967889999999998E-2</v>
      </c>
      <c r="O7048">
        <v>-0.56250239999999996</v>
      </c>
      <c r="P7048">
        <v>0.33036929999999998</v>
      </c>
      <c r="Q7048">
        <v>-0.1168428</v>
      </c>
      <c r="R7048">
        <v>-0.93659199999999998</v>
      </c>
      <c r="S7048">
        <v>0.41253659999999998</v>
      </c>
      <c r="T7048">
        <v>-0.48849209999999899</v>
      </c>
      <c r="U7048">
        <v>-3.007568</v>
      </c>
      <c r="V7048">
        <v>0.58624560000000003</v>
      </c>
      <c r="W7048">
        <v>-0.1159174</v>
      </c>
      <c r="X7048">
        <v>0.8017976</v>
      </c>
      <c r="Y7048">
        <v>0.7388285</v>
      </c>
      <c r="Z7048">
        <v>1.681906E-2</v>
      </c>
      <c r="AA7048">
        <v>0.67368349999999999</v>
      </c>
      <c r="AB7048">
        <v>18</v>
      </c>
      <c r="AC7048">
        <v>0.84769999999997403</v>
      </c>
      <c r="AD7048">
        <v>-1.112703</v>
      </c>
      <c r="AE7048">
        <v>-6.7746009999999997</v>
      </c>
      <c r="AF7048">
        <v>4.9914096787620403</v>
      </c>
      <c r="AG7048">
        <v>-1.112703</v>
      </c>
      <c r="AH7048">
        <v>4.3953045477642299</v>
      </c>
      <c r="AI7048">
        <v>99.497855882236806</v>
      </c>
      <c r="AJ7048">
        <v>41.366299819118403</v>
      </c>
      <c r="AK7048">
        <v>6.7432173785994198</v>
      </c>
      <c r="AL7048">
        <v>96.656541630022204</v>
      </c>
      <c r="AM7048">
        <v>53.827069928236497</v>
      </c>
      <c r="AN7048">
        <v>1.0000000692539299</v>
      </c>
    </row>
    <row r="7049" spans="1:40" x14ac:dyDescent="0.25">
      <c r="A7049" t="str">
        <f>"20190303154319360"</f>
        <v>20190303154319360</v>
      </c>
      <c r="B7049" t="str">
        <f>"1551598999357483"</f>
        <v>1551598999357483</v>
      </c>
      <c r="C7049" t="s">
        <v>40</v>
      </c>
      <c r="D7049">
        <v>6.1135970000000004</v>
      </c>
      <c r="E7049">
        <v>0.58187849999999997</v>
      </c>
      <c r="F7049" t="s">
        <v>43</v>
      </c>
      <c r="G7049">
        <v>-301.04329999999999</v>
      </c>
      <c r="H7049">
        <v>-0.05</v>
      </c>
      <c r="I7049">
        <v>7.6270899999999902</v>
      </c>
      <c r="J7049">
        <v>-301.738</v>
      </c>
      <c r="K7049">
        <v>1.0626420000000001</v>
      </c>
      <c r="L7049">
        <v>14.420500000000001</v>
      </c>
      <c r="M7049">
        <v>0.81695810000000002</v>
      </c>
      <c r="N7049">
        <v>-1.5997310000000001E-2</v>
      </c>
      <c r="O7049">
        <v>-0.57647499999999996</v>
      </c>
      <c r="P7049">
        <v>0.30952879999999999</v>
      </c>
      <c r="Q7049">
        <v>-0.11971909999999999</v>
      </c>
      <c r="R7049">
        <v>-0.94332349999999998</v>
      </c>
      <c r="S7049">
        <v>0.36389159999999998</v>
      </c>
      <c r="T7049">
        <v>-0.48513689999999998</v>
      </c>
      <c r="U7049">
        <v>-3.014221</v>
      </c>
      <c r="V7049">
        <v>0.5900069</v>
      </c>
      <c r="W7049">
        <v>-0.1189385</v>
      </c>
      <c r="X7049">
        <v>0.79858969999999996</v>
      </c>
      <c r="Y7049">
        <v>0.73842569999999996</v>
      </c>
      <c r="Z7049">
        <v>1.936448E-2</v>
      </c>
      <c r="AA7049">
        <v>0.67405660000000001</v>
      </c>
      <c r="AB7049">
        <v>18</v>
      </c>
      <c r="AC7049">
        <v>0.69470000000001098</v>
      </c>
      <c r="AD7049">
        <v>-1.1126419999999999</v>
      </c>
      <c r="AE7049">
        <v>-6.7934099999999997</v>
      </c>
      <c r="AF7049">
        <v>5.0169285308986202</v>
      </c>
      <c r="AG7049">
        <v>-1.1126419999999999</v>
      </c>
      <c r="AH7049">
        <v>4.3683781137839599</v>
      </c>
      <c r="AI7049">
        <v>99.495297773170606</v>
      </c>
      <c r="AJ7049">
        <v>41.0469887034197</v>
      </c>
      <c r="AK7049">
        <v>6.7446476149088301</v>
      </c>
      <c r="AL7049">
        <v>96.830844308021895</v>
      </c>
      <c r="AM7049">
        <v>53.542601382879702</v>
      </c>
      <c r="AN7049">
        <v>1.0000000088879699</v>
      </c>
    </row>
    <row r="7050" spans="1:40" x14ac:dyDescent="0.25">
      <c r="A7050" t="str">
        <f>"20190303154319381"</f>
        <v>20190303154319381</v>
      </c>
      <c r="B7050" t="str">
        <f>"1551598999377002"</f>
        <v>1551598999377002</v>
      </c>
      <c r="C7050" t="s">
        <v>40</v>
      </c>
      <c r="D7050">
        <v>6.1226260000000003</v>
      </c>
      <c r="E7050">
        <v>0.57998749999999999</v>
      </c>
      <c r="F7050" t="s">
        <v>43</v>
      </c>
      <c r="G7050">
        <v>-300.72789999999998</v>
      </c>
      <c r="H7050">
        <v>-0.05</v>
      </c>
      <c r="I7050">
        <v>4.4976200000000004</v>
      </c>
      <c r="J7050">
        <v>-301.60480000000001</v>
      </c>
      <c r="K7050">
        <v>1.0625819999999999</v>
      </c>
      <c r="L7050">
        <v>14.30219</v>
      </c>
      <c r="M7050">
        <v>0.80729879999999998</v>
      </c>
      <c r="N7050">
        <v>-1.6027369999999999E-2</v>
      </c>
      <c r="O7050">
        <v>-0.58992519999999904</v>
      </c>
      <c r="P7050">
        <v>0.28945989999999999</v>
      </c>
      <c r="Q7050">
        <v>-0.12375650000000001</v>
      </c>
      <c r="R7050">
        <v>-0.94915629999999995</v>
      </c>
      <c r="S7050">
        <v>0.30902099999999999</v>
      </c>
      <c r="T7050">
        <v>-0.34038069999999998</v>
      </c>
      <c r="U7050">
        <v>-3.0356139999999998</v>
      </c>
      <c r="V7050">
        <v>0.59318780000000004</v>
      </c>
      <c r="W7050">
        <v>-0.1231122</v>
      </c>
      <c r="X7050">
        <v>0.79559519999999995</v>
      </c>
      <c r="Y7050">
        <v>0.74143440000000005</v>
      </c>
      <c r="Z7050">
        <v>1.058685E-2</v>
      </c>
      <c r="AA7050">
        <v>0.67094189999999998</v>
      </c>
      <c r="AB7050">
        <v>18</v>
      </c>
      <c r="AC7050">
        <v>0.87690000000003399</v>
      </c>
      <c r="AD7050">
        <v>-1.112582</v>
      </c>
      <c r="AE7050">
        <v>-9.80457</v>
      </c>
      <c r="AF7050">
        <v>7.3055374463214804</v>
      </c>
      <c r="AG7050">
        <v>-1.112582</v>
      </c>
      <c r="AH7050">
        <v>6.4108217121258804</v>
      </c>
      <c r="AI7050">
        <v>96.530142354712495</v>
      </c>
      <c r="AJ7050">
        <v>41.267893509481503</v>
      </c>
      <c r="AK7050">
        <v>9.7830133962391201</v>
      </c>
      <c r="AL7050">
        <v>97.071750387453903</v>
      </c>
      <c r="AM7050">
        <v>53.292157732315999</v>
      </c>
      <c r="AN7050">
        <v>1.0000000510603499</v>
      </c>
    </row>
    <row r="7051" spans="1:40" x14ac:dyDescent="0.25">
      <c r="A7051" t="str">
        <f>"20190303154319396"</f>
        <v>20190303154319396</v>
      </c>
      <c r="B7051" t="str">
        <f>"1551598999387739"</f>
        <v>1551598999387739</v>
      </c>
      <c r="C7051" t="s">
        <v>40</v>
      </c>
      <c r="D7051">
        <v>6.1253080000000004</v>
      </c>
      <c r="E7051">
        <v>0.57892919999999903</v>
      </c>
      <c r="F7051" t="s">
        <v>43</v>
      </c>
      <c r="G7051">
        <v>-300.77870000000001</v>
      </c>
      <c r="H7051">
        <v>-0.05</v>
      </c>
      <c r="I7051">
        <v>4.6277619999999997</v>
      </c>
      <c r="J7051">
        <v>-301.5172</v>
      </c>
      <c r="K7051">
        <v>1.062548</v>
      </c>
      <c r="L7051">
        <v>14.22241</v>
      </c>
      <c r="M7051">
        <v>0.80071539999999997</v>
      </c>
      <c r="N7051">
        <v>-1.604767E-2</v>
      </c>
      <c r="O7051">
        <v>-0.59883009999999903</v>
      </c>
      <c r="P7051">
        <v>0.27681460000000002</v>
      </c>
      <c r="Q7051">
        <v>-0.1258522</v>
      </c>
      <c r="R7051">
        <v>-0.95264629999999995</v>
      </c>
      <c r="S7051">
        <v>0.25927729999999999</v>
      </c>
      <c r="T7051">
        <v>-0.3491591</v>
      </c>
      <c r="U7051">
        <v>-3.0361020000000001</v>
      </c>
      <c r="V7051">
        <v>0.59467910000000002</v>
      </c>
      <c r="W7051">
        <v>-0.1252779</v>
      </c>
      <c r="X7051">
        <v>0.79414240000000003</v>
      </c>
      <c r="Y7051">
        <v>0.74482720000000002</v>
      </c>
      <c r="Z7051">
        <v>1.2202559999999999E-2</v>
      </c>
      <c r="AA7051">
        <v>0.66714580000000001</v>
      </c>
      <c r="AB7051">
        <v>18</v>
      </c>
      <c r="AC7051">
        <v>0.73849999999998694</v>
      </c>
      <c r="AD7051">
        <v>-1.1125479999999901</v>
      </c>
      <c r="AE7051">
        <v>-9.5946479999999994</v>
      </c>
      <c r="AF7051">
        <v>7.1457651730937002</v>
      </c>
      <c r="AG7051">
        <v>-1.1125479999999901</v>
      </c>
      <c r="AH7051">
        <v>6.2541130255007999</v>
      </c>
      <c r="AI7051">
        <v>96.682221021666194</v>
      </c>
      <c r="AJ7051">
        <v>41.193047337407897</v>
      </c>
      <c r="AK7051">
        <v>9.5610487237039905</v>
      </c>
      <c r="AL7051">
        <v>97.196804666134</v>
      </c>
      <c r="AM7051">
        <v>53.172962662026499</v>
      </c>
      <c r="AN7051">
        <v>0.99999996784148903</v>
      </c>
    </row>
    <row r="7052" spans="1:40" x14ac:dyDescent="0.25">
      <c r="A7052" t="str">
        <f>"20190303154319409"</f>
        <v>20190303154319409</v>
      </c>
      <c r="B7052" t="str">
        <f>"1551598999397499"</f>
        <v>1551598999397499</v>
      </c>
      <c r="C7052" t="s">
        <v>40</v>
      </c>
      <c r="D7052">
        <v>6.4263000000000003</v>
      </c>
      <c r="E7052">
        <v>0.57855909999999999</v>
      </c>
      <c r="F7052" t="s">
        <v>43</v>
      </c>
      <c r="G7052">
        <v>-300.80939999999998</v>
      </c>
      <c r="H7052">
        <v>-0.05</v>
      </c>
      <c r="I7052">
        <v>4.7519989999999996</v>
      </c>
      <c r="J7052">
        <v>-301.43770000000001</v>
      </c>
      <c r="K7052">
        <v>1.0625169999999999</v>
      </c>
      <c r="L7052">
        <v>14.1478</v>
      </c>
      <c r="M7052">
        <v>0.79452959999999995</v>
      </c>
      <c r="N7052">
        <v>-1.6067089999999999E-2</v>
      </c>
      <c r="O7052">
        <v>-0.60701289999999997</v>
      </c>
      <c r="P7052">
        <v>0.26538689999999998</v>
      </c>
      <c r="Q7052">
        <v>-0.12747410000000001</v>
      </c>
      <c r="R7052">
        <v>-0.95567789999999997</v>
      </c>
      <c r="S7052">
        <v>0.22689819999999999</v>
      </c>
      <c r="T7052">
        <v>-0.35666599999999998</v>
      </c>
      <c r="U7052">
        <v>-3.0360719999999999</v>
      </c>
      <c r="V7052">
        <v>0.595827</v>
      </c>
      <c r="W7052">
        <v>-0.12695680000000001</v>
      </c>
      <c r="X7052">
        <v>0.79301460000000001</v>
      </c>
      <c r="Y7052">
        <v>0.74501169999999906</v>
      </c>
      <c r="Z7052">
        <v>1.3969870000000001E-2</v>
      </c>
      <c r="AA7052">
        <v>0.66690499999999997</v>
      </c>
      <c r="AB7052">
        <v>18</v>
      </c>
      <c r="AC7052">
        <v>0.62830000000002395</v>
      </c>
      <c r="AD7052">
        <v>-1.112517</v>
      </c>
      <c r="AE7052">
        <v>-9.3958009999999899</v>
      </c>
      <c r="AF7052">
        <v>6.9872454277557603</v>
      </c>
      <c r="AG7052">
        <v>-1.112517</v>
      </c>
      <c r="AH7052">
        <v>6.1179839793761097</v>
      </c>
      <c r="AI7052">
        <v>96.830961652050505</v>
      </c>
      <c r="AJ7052">
        <v>41.205166464056703</v>
      </c>
      <c r="AK7052">
        <v>9.3535565810490304</v>
      </c>
      <c r="AL7052">
        <v>97.293772592864897</v>
      </c>
      <c r="AM7052">
        <v>53.080839593425601</v>
      </c>
      <c r="AN7052">
        <v>0.99999999940420004</v>
      </c>
    </row>
    <row r="7053" spans="1:40" x14ac:dyDescent="0.25">
      <c r="A7053" t="str">
        <f>"20190303154319421"</f>
        <v>20190303154319421</v>
      </c>
      <c r="B7053" t="str">
        <f>"1551598999417019"</f>
        <v>1551598999417019</v>
      </c>
      <c r="C7053" t="s">
        <v>40</v>
      </c>
      <c r="D7053">
        <v>6.3064830000000001</v>
      </c>
      <c r="E7053">
        <v>0.58029629999999999</v>
      </c>
      <c r="F7053" t="s">
        <v>43</v>
      </c>
      <c r="G7053">
        <v>-300.86900000000003</v>
      </c>
      <c r="H7053">
        <v>-0.05</v>
      </c>
      <c r="I7053">
        <v>5.1940160000000004</v>
      </c>
      <c r="J7053">
        <v>-301.36320000000001</v>
      </c>
      <c r="K7053">
        <v>1.062489</v>
      </c>
      <c r="L7053">
        <v>14.07672</v>
      </c>
      <c r="M7053">
        <v>0.78858159999999999</v>
      </c>
      <c r="N7053">
        <v>-1.6085639999999998E-2</v>
      </c>
      <c r="O7053">
        <v>-0.61471960000000003</v>
      </c>
      <c r="P7053">
        <v>0.25451600000000002</v>
      </c>
      <c r="Q7053">
        <v>-0.12879289999999999</v>
      </c>
      <c r="R7053">
        <v>-0.95845409999999998</v>
      </c>
      <c r="S7053">
        <v>0.19277949999999999</v>
      </c>
      <c r="T7053">
        <v>-0.37714029999999998</v>
      </c>
      <c r="U7053">
        <v>-3.0353089999999998</v>
      </c>
      <c r="V7053">
        <v>0.59693600000000002</v>
      </c>
      <c r="W7053">
        <v>-0.12833030000000001</v>
      </c>
      <c r="X7053">
        <v>0.79195879999999996</v>
      </c>
      <c r="Y7053">
        <v>0.74580040000000003</v>
      </c>
      <c r="Z7053">
        <v>1.6781480000000001E-2</v>
      </c>
      <c r="AA7053">
        <v>0.6659581</v>
      </c>
      <c r="AB7053">
        <v>18</v>
      </c>
      <c r="AC7053">
        <v>0.49419999999997699</v>
      </c>
      <c r="AD7053">
        <v>-1.1124889999999901</v>
      </c>
      <c r="AE7053">
        <v>-8.8827039999999897</v>
      </c>
      <c r="AF7053">
        <v>6.5986260247706001</v>
      </c>
      <c r="AG7053">
        <v>-1.1124889999999901</v>
      </c>
      <c r="AH7053">
        <v>5.7607644463179097</v>
      </c>
      <c r="AI7053">
        <v>97.238052754951198</v>
      </c>
      <c r="AJ7053">
        <v>41.121767136442301</v>
      </c>
      <c r="AK7053">
        <v>8.8298303605370307</v>
      </c>
      <c r="AL7053">
        <v>97.373117399121199</v>
      </c>
      <c r="AM7053">
        <v>52.992975711390898</v>
      </c>
      <c r="AN7053">
        <v>0.99999999744576495</v>
      </c>
    </row>
    <row r="7054" spans="1:40" x14ac:dyDescent="0.25">
      <c r="A7054" t="str">
        <f>"20190303154319437"</f>
        <v>20190303154319437</v>
      </c>
      <c r="B7054" t="str">
        <f>"1551598999427755"</f>
        <v>1551598999427755</v>
      </c>
      <c r="C7054" t="s">
        <v>40</v>
      </c>
      <c r="D7054">
        <v>6.3083119999999999</v>
      </c>
      <c r="E7054">
        <v>0.58118149999999902</v>
      </c>
      <c r="F7054" t="s">
        <v>43</v>
      </c>
      <c r="G7054">
        <v>-300.95429999999999</v>
      </c>
      <c r="H7054">
        <v>-0.05</v>
      </c>
      <c r="I7054">
        <v>5.4679869999999999</v>
      </c>
      <c r="J7054">
        <v>-301.27210000000002</v>
      </c>
      <c r="K7054">
        <v>1.0624499999999999</v>
      </c>
      <c r="L7054">
        <v>13.988009999999999</v>
      </c>
      <c r="M7054">
        <v>0.78110190000000002</v>
      </c>
      <c r="N7054">
        <v>-1.610907E-2</v>
      </c>
      <c r="O7054">
        <v>-0.62419579999999997</v>
      </c>
      <c r="P7054">
        <v>0.24138370000000001</v>
      </c>
      <c r="Q7054">
        <v>-0.13049459999999999</v>
      </c>
      <c r="R7054">
        <v>-0.96161589999999997</v>
      </c>
      <c r="S7054">
        <v>0.14431759999999999</v>
      </c>
      <c r="T7054">
        <v>-0.39272000000000001</v>
      </c>
      <c r="U7054">
        <v>-3.0389710000000001</v>
      </c>
      <c r="V7054">
        <v>0.59797900000000004</v>
      </c>
      <c r="W7054">
        <v>-0.1300906</v>
      </c>
      <c r="X7054">
        <v>0.79088400000000003</v>
      </c>
      <c r="Y7054">
        <v>0.74826700000000002</v>
      </c>
      <c r="Z7054">
        <v>1.9370910000000002E-2</v>
      </c>
      <c r="AA7054">
        <v>0.66311489999999995</v>
      </c>
      <c r="AB7054">
        <v>18</v>
      </c>
      <c r="AC7054">
        <v>0.317800000000033</v>
      </c>
      <c r="AD7054">
        <v>-1.1124499999999999</v>
      </c>
      <c r="AE7054">
        <v>-8.5200230000000001</v>
      </c>
      <c r="AF7054">
        <v>6.3493790754119503</v>
      </c>
      <c r="AG7054">
        <v>-1.1124499999999999</v>
      </c>
      <c r="AH7054">
        <v>5.4739277705068003</v>
      </c>
      <c r="AI7054">
        <v>97.558958302327397</v>
      </c>
      <c r="AJ7054">
        <v>40.765288204914</v>
      </c>
      <c r="AK7054">
        <v>8.4567159632155509</v>
      </c>
      <c r="AL7054">
        <v>97.474827960804802</v>
      </c>
      <c r="AM7054">
        <v>52.907460629000802</v>
      </c>
      <c r="AN7054">
        <v>0.99999997505267901</v>
      </c>
    </row>
    <row r="7055" spans="1:40" x14ac:dyDescent="0.25">
      <c r="A7055" t="str">
        <f>"20190303154319458"</f>
        <v>20190303154319458</v>
      </c>
      <c r="B7055" t="str">
        <f>"1551598999447275"</f>
        <v>1551598999447275</v>
      </c>
      <c r="C7055" t="s">
        <v>40</v>
      </c>
      <c r="D7055">
        <v>6.3312419999999996</v>
      </c>
      <c r="E7055">
        <v>0.58194519999999905</v>
      </c>
      <c r="F7055" t="s">
        <v>43</v>
      </c>
      <c r="G7055">
        <v>-301.00380000000001</v>
      </c>
      <c r="H7055">
        <v>-0.05</v>
      </c>
      <c r="I7055">
        <v>5.471298</v>
      </c>
      <c r="J7055">
        <v>-301.14850000000001</v>
      </c>
      <c r="K7055">
        <v>1.0624</v>
      </c>
      <c r="L7055">
        <v>13.86356</v>
      </c>
      <c r="M7055">
        <v>0.77049709999999905</v>
      </c>
      <c r="N7055">
        <v>-1.6144539999999999E-2</v>
      </c>
      <c r="O7055">
        <v>-0.63723920000000001</v>
      </c>
      <c r="P7055">
        <v>0.2238212</v>
      </c>
      <c r="Q7055">
        <v>-0.13488059999999999</v>
      </c>
      <c r="R7055">
        <v>-0.96525209999999995</v>
      </c>
      <c r="S7055">
        <v>9.5794679999999993E-2</v>
      </c>
      <c r="T7055">
        <v>-0.39731650000000002</v>
      </c>
      <c r="U7055">
        <v>-3.041779</v>
      </c>
      <c r="V7055">
        <v>0.59852260000000002</v>
      </c>
      <c r="W7055">
        <v>-0.1345411</v>
      </c>
      <c r="X7055">
        <v>0.78972739999999997</v>
      </c>
      <c r="Y7055">
        <v>0.74772569999999905</v>
      </c>
      <c r="Z7055">
        <v>2.1968109999999999E-2</v>
      </c>
      <c r="AA7055">
        <v>0.66364419999999902</v>
      </c>
      <c r="AB7055">
        <v>18</v>
      </c>
      <c r="AC7055">
        <v>0.1447</v>
      </c>
      <c r="AD7055">
        <v>-1.1124000000000001</v>
      </c>
      <c r="AE7055">
        <v>-8.3922620000000006</v>
      </c>
      <c r="AF7055">
        <v>6.2647973629743703</v>
      </c>
      <c r="AG7055">
        <v>-1.1124000000000001</v>
      </c>
      <c r="AH7055">
        <v>5.3658323124472096</v>
      </c>
      <c r="AI7055">
        <v>97.680502956131903</v>
      </c>
      <c r="AJ7055">
        <v>40.580230807966601</v>
      </c>
      <c r="AK7055">
        <v>8.3232971930860007</v>
      </c>
      <c r="AL7055">
        <v>97.7320848617954</v>
      </c>
      <c r="AM7055">
        <v>52.842055281441397</v>
      </c>
      <c r="AN7055">
        <v>0.99999998830536496</v>
      </c>
    </row>
    <row r="7056" spans="1:40" x14ac:dyDescent="0.25">
      <c r="A7056" t="str">
        <f>"20190303154319482"</f>
        <v>20190303154319482</v>
      </c>
      <c r="B7056" t="str">
        <f>"1551598999477531"</f>
        <v>1551598999477531</v>
      </c>
      <c r="C7056" t="s">
        <v>40</v>
      </c>
      <c r="D7056">
        <v>6.2060459999999997</v>
      </c>
      <c r="E7056">
        <v>0.58250059999999904</v>
      </c>
      <c r="F7056" t="s">
        <v>43</v>
      </c>
      <c r="G7056">
        <v>-301.05279999999999</v>
      </c>
      <c r="H7056">
        <v>-0.05</v>
      </c>
      <c r="I7056">
        <v>5.5149689999999998</v>
      </c>
      <c r="J7056">
        <v>-301.01889999999997</v>
      </c>
      <c r="K7056">
        <v>1.0624</v>
      </c>
      <c r="L7056">
        <v>13.728</v>
      </c>
      <c r="M7056">
        <v>0.75880930000000002</v>
      </c>
      <c r="N7056">
        <v>-1.6185290000000001E-2</v>
      </c>
      <c r="O7056">
        <v>-0.65111169999999996</v>
      </c>
      <c r="P7056">
        <v>0.21126619999999999</v>
      </c>
      <c r="Q7056">
        <v>-0.13363829999999999</v>
      </c>
      <c r="R7056">
        <v>-0.96824960000000004</v>
      </c>
      <c r="S7056">
        <v>3.4881589999999997E-2</v>
      </c>
      <c r="T7056">
        <v>-0.40549469999999999</v>
      </c>
      <c r="U7056">
        <v>-3.0432429999999999</v>
      </c>
      <c r="V7056">
        <v>0.59459849999999903</v>
      </c>
      <c r="W7056">
        <v>-0.1332016</v>
      </c>
      <c r="X7056">
        <v>0.79291239999999996</v>
      </c>
      <c r="Y7056">
        <v>0.74894110000000003</v>
      </c>
      <c r="Z7056">
        <v>2.496756E-2</v>
      </c>
      <c r="AA7056">
        <v>0.66216609999999998</v>
      </c>
      <c r="AB7056">
        <v>17</v>
      </c>
      <c r="AC7056">
        <v>-3.3900000000016903E-2</v>
      </c>
      <c r="AD7056">
        <v>-1.1124000000000001</v>
      </c>
      <c r="AE7056">
        <v>-8.2130309999999902</v>
      </c>
      <c r="AF7056">
        <v>6.1423378791817198</v>
      </c>
      <c r="AG7056">
        <v>-1.1124000000000001</v>
      </c>
      <c r="AH7056">
        <v>5.2266927910779</v>
      </c>
      <c r="AI7056">
        <v>97.853073643059503</v>
      </c>
      <c r="AJ7056">
        <v>40.395420426189503</v>
      </c>
      <c r="AK7056">
        <v>8.1415026815899498</v>
      </c>
      <c r="AL7056">
        <v>97.654639516941302</v>
      </c>
      <c r="AM7056">
        <v>53.134070496492399</v>
      </c>
      <c r="AN7056">
        <v>1.0000000582592801</v>
      </c>
    </row>
    <row r="7057" spans="1:40" x14ac:dyDescent="0.25">
      <c r="A7057" t="str">
        <f>"20190303154319503"</f>
        <v>20190303154319503</v>
      </c>
      <c r="B7057" t="str">
        <f>"1551598999497055"</f>
        <v>1551598999497055</v>
      </c>
      <c r="C7057" t="s">
        <v>40</v>
      </c>
      <c r="D7057">
        <v>6.1954909999999996</v>
      </c>
      <c r="E7057">
        <v>0.58248959999999905</v>
      </c>
      <c r="F7057" t="s">
        <v>43</v>
      </c>
      <c r="G7057">
        <v>-301.04309999999998</v>
      </c>
      <c r="H7057">
        <v>-0.05</v>
      </c>
      <c r="I7057">
        <v>5.0582580000000004</v>
      </c>
      <c r="J7057">
        <v>-300.89609999999999</v>
      </c>
      <c r="K7057">
        <v>1.0624129999999901</v>
      </c>
      <c r="L7057">
        <v>13.594760000000001</v>
      </c>
      <c r="M7057">
        <v>0.74718409999999902</v>
      </c>
      <c r="N7057">
        <v>-1.6225239999999998E-2</v>
      </c>
      <c r="O7057">
        <v>-0.66441930000000005</v>
      </c>
      <c r="P7057">
        <v>0.20177400000000001</v>
      </c>
      <c r="Q7057">
        <v>-0.12861939999999999</v>
      </c>
      <c r="R7057">
        <v>-0.97095039999999999</v>
      </c>
      <c r="S7057">
        <v>-8.5144039999999997E-3</v>
      </c>
      <c r="T7057">
        <v>-0.39086480000000001</v>
      </c>
      <c r="U7057">
        <v>-3.0462950000000002</v>
      </c>
      <c r="V7057">
        <v>0.58894969999999902</v>
      </c>
      <c r="W7057">
        <v>-0.12801019999999999</v>
      </c>
      <c r="X7057">
        <v>0.79796709999999904</v>
      </c>
      <c r="Y7057">
        <v>0.74687369999999897</v>
      </c>
      <c r="Z7057">
        <v>2.5859750000000001E-2</v>
      </c>
      <c r="AA7057">
        <v>0.66446300000000003</v>
      </c>
      <c r="AB7057">
        <v>17</v>
      </c>
      <c r="AC7057">
        <v>-0.146999999999991</v>
      </c>
      <c r="AD7057">
        <v>-1.1124130000000001</v>
      </c>
      <c r="AE7057">
        <v>-8.5365020000000005</v>
      </c>
      <c r="AF7057">
        <v>6.3687419111628003</v>
      </c>
      <c r="AG7057">
        <v>-1.1124130000000001</v>
      </c>
      <c r="AH7057">
        <v>5.4698539574581799</v>
      </c>
      <c r="AI7057">
        <v>97.548012456903606</v>
      </c>
      <c r="AJ7057">
        <v>40.657943364738301</v>
      </c>
      <c r="AK7057">
        <v>8.4686267204011099</v>
      </c>
      <c r="AL7057">
        <v>97.354625018051493</v>
      </c>
      <c r="AM7057">
        <v>53.570351163369999</v>
      </c>
      <c r="AN7057">
        <v>0.99999992655826697</v>
      </c>
    </row>
    <row r="7058" spans="1:40" x14ac:dyDescent="0.25">
      <c r="A7058" t="str">
        <f>"20190303154319526"</f>
        <v>20190303154319526</v>
      </c>
      <c r="B7058" t="str">
        <f>"1551598999517547"</f>
        <v>1551598999517547</v>
      </c>
      <c r="C7058" t="s">
        <v>40</v>
      </c>
      <c r="D7058">
        <v>6.1924640000000002</v>
      </c>
      <c r="E7058">
        <v>0.58212649999999999</v>
      </c>
      <c r="F7058" t="s">
        <v>43</v>
      </c>
      <c r="G7058">
        <v>-301.0111</v>
      </c>
      <c r="H7058">
        <v>-0.05</v>
      </c>
      <c r="I7058">
        <v>4.3676450000000004</v>
      </c>
      <c r="J7058">
        <v>-300.77449999999999</v>
      </c>
      <c r="K7058">
        <v>1.062422</v>
      </c>
      <c r="L7058">
        <v>13.4577299999999</v>
      </c>
      <c r="M7058">
        <v>0.73510310000000001</v>
      </c>
      <c r="N7058">
        <v>-1.6263409999999999E-2</v>
      </c>
      <c r="O7058">
        <v>-0.67776049999999999</v>
      </c>
      <c r="P7058">
        <v>0.19255710000000001</v>
      </c>
      <c r="Q7058">
        <v>-0.1239053</v>
      </c>
      <c r="R7058">
        <v>-0.97343210000000002</v>
      </c>
      <c r="S7058">
        <v>-3.7994380000000001E-2</v>
      </c>
      <c r="T7058">
        <v>-0.36758269999999998</v>
      </c>
      <c r="U7058">
        <v>-3.0489809999999999</v>
      </c>
      <c r="V7058">
        <v>0.58269069999999901</v>
      </c>
      <c r="W7058">
        <v>-0.1230948</v>
      </c>
      <c r="X7058">
        <v>0.80331770000000002</v>
      </c>
      <c r="Y7058">
        <v>0.74158649999999904</v>
      </c>
      <c r="Z7058">
        <v>2.5894239999999999E-2</v>
      </c>
      <c r="AA7058">
        <v>0.67035730000000004</v>
      </c>
      <c r="AB7058">
        <v>17</v>
      </c>
      <c r="AC7058">
        <v>-0.236600000000009</v>
      </c>
      <c r="AD7058">
        <v>-1.112422</v>
      </c>
      <c r="AE7058">
        <v>-9.0900849999999895</v>
      </c>
      <c r="AF7058">
        <v>6.74250257591404</v>
      </c>
      <c r="AG7058">
        <v>-1.112422</v>
      </c>
      <c r="AH7058">
        <v>5.8994737957814403</v>
      </c>
      <c r="AI7058">
        <v>97.078017111834995</v>
      </c>
      <c r="AJ7058">
        <v>41.184885773349002</v>
      </c>
      <c r="AK7058">
        <v>9.0278798596017804</v>
      </c>
      <c r="AL7058">
        <v>97.070745776197995</v>
      </c>
      <c r="AM7058">
        <v>54.044549269255803</v>
      </c>
      <c r="AN7058">
        <v>1.0000000543934</v>
      </c>
    </row>
    <row r="7059" spans="1:40" x14ac:dyDescent="0.25">
      <c r="A7059" t="str">
        <f>"20190303154319549"</f>
        <v>20190303154319549</v>
      </c>
      <c r="B7059" t="str">
        <f>"1551598999537067"</f>
        <v>1551598999537067</v>
      </c>
      <c r="C7059" t="s">
        <v>40</v>
      </c>
      <c r="D7059">
        <v>6.2373779999999996</v>
      </c>
      <c r="E7059">
        <v>0.58134469999999905</v>
      </c>
      <c r="F7059" t="s">
        <v>43</v>
      </c>
      <c r="G7059">
        <v>-300.97710000000001</v>
      </c>
      <c r="H7059">
        <v>-0.05</v>
      </c>
      <c r="I7059">
        <v>3.8057859999999999</v>
      </c>
      <c r="J7059">
        <v>-300.65519999999998</v>
      </c>
      <c r="K7059">
        <v>1.062416</v>
      </c>
      <c r="L7059">
        <v>13.318079999999901</v>
      </c>
      <c r="M7059">
        <v>0.722665</v>
      </c>
      <c r="N7059">
        <v>-1.6297789999999999E-2</v>
      </c>
      <c r="O7059">
        <v>-0.69100640000000002</v>
      </c>
      <c r="P7059">
        <v>0.18217939999999999</v>
      </c>
      <c r="Q7059">
        <v>-0.12147520000000001</v>
      </c>
      <c r="R7059">
        <v>-0.97573279999999996</v>
      </c>
      <c r="S7059">
        <v>-6.3995360000000001E-2</v>
      </c>
      <c r="T7059">
        <v>-0.35149789999999997</v>
      </c>
      <c r="U7059">
        <v>-3.0497740000000002</v>
      </c>
      <c r="V7059">
        <v>0.57691409999999999</v>
      </c>
      <c r="W7059">
        <v>-0.1204699</v>
      </c>
      <c r="X7059">
        <v>0.80787200000000003</v>
      </c>
      <c r="Y7059">
        <v>0.73528130000000003</v>
      </c>
      <c r="Z7059">
        <v>2.6564239999999999E-2</v>
      </c>
      <c r="AA7059">
        <v>0.67724130000000005</v>
      </c>
      <c r="AB7059">
        <v>17</v>
      </c>
      <c r="AC7059">
        <v>-0.321900000000027</v>
      </c>
      <c r="AD7059">
        <v>-1.1124160000000001</v>
      </c>
      <c r="AE7059">
        <v>-9.5122940000000007</v>
      </c>
      <c r="AF7059">
        <v>7.0019290909062697</v>
      </c>
      <c r="AG7059">
        <v>-1.1124160000000001</v>
      </c>
      <c r="AH7059">
        <v>6.2558142755610504</v>
      </c>
      <c r="AI7059">
        <v>96.756610551743606</v>
      </c>
      <c r="AJ7059">
        <v>41.7789251228551</v>
      </c>
      <c r="AK7059">
        <v>9.4551410672421508</v>
      </c>
      <c r="AL7059">
        <v>96.919222456772204</v>
      </c>
      <c r="AM7059">
        <v>54.468771919031902</v>
      </c>
      <c r="AN7059">
        <v>1.0000000219844001</v>
      </c>
    </row>
    <row r="7060" spans="1:40" x14ac:dyDescent="0.25">
      <c r="A7060" t="str">
        <f>"20190303154319571"</f>
        <v>20190303154319571</v>
      </c>
      <c r="B7060" t="str">
        <f>"1551598999567324"</f>
        <v>1551598999567324</v>
      </c>
      <c r="C7060" t="s">
        <v>40</v>
      </c>
      <c r="D7060">
        <v>6.1982330000000001</v>
      </c>
      <c r="E7060">
        <v>0.58036019999999999</v>
      </c>
      <c r="F7060" t="s">
        <v>43</v>
      </c>
      <c r="G7060">
        <v>-300.94709999999998</v>
      </c>
      <c r="H7060">
        <v>-0.05</v>
      </c>
      <c r="I7060">
        <v>3.472</v>
      </c>
      <c r="J7060">
        <v>-300.5421</v>
      </c>
      <c r="K7060">
        <v>1.0624199999999999</v>
      </c>
      <c r="L7060">
        <v>13.18069</v>
      </c>
      <c r="M7060">
        <v>0.7103313</v>
      </c>
      <c r="N7060">
        <v>-1.6326150000000001E-2</v>
      </c>
      <c r="O7060">
        <v>-0.70367809999999997</v>
      </c>
      <c r="P7060">
        <v>0.171728399999999</v>
      </c>
      <c r="Q7060">
        <v>-0.1202906</v>
      </c>
      <c r="R7060">
        <v>-0.977773</v>
      </c>
      <c r="S7060">
        <v>-9.0393070000000006E-2</v>
      </c>
      <c r="T7060">
        <v>-0.34443430000000003</v>
      </c>
      <c r="U7060">
        <v>-3.0486149999999999</v>
      </c>
      <c r="V7060">
        <v>0.57140170000000001</v>
      </c>
      <c r="W7060">
        <v>-0.11908050000000001</v>
      </c>
      <c r="X7060">
        <v>0.81198519999999996</v>
      </c>
      <c r="Y7060">
        <v>0.72925359999999995</v>
      </c>
      <c r="Z7060">
        <v>2.8078929999999998E-2</v>
      </c>
      <c r="AA7060">
        <v>0.68366709999999997</v>
      </c>
      <c r="AB7060">
        <v>17</v>
      </c>
      <c r="AC7060">
        <v>-0.40499999999997199</v>
      </c>
      <c r="AD7060">
        <v>-1.11242</v>
      </c>
      <c r="AE7060">
        <v>-9.7086899999999901</v>
      </c>
      <c r="AF7060">
        <v>7.0894213577642597</v>
      </c>
      <c r="AG7060">
        <v>-1.11242</v>
      </c>
      <c r="AH7060">
        <v>6.4603136532516103</v>
      </c>
      <c r="AI7060">
        <v>96.615641607526797</v>
      </c>
      <c r="AJ7060">
        <v>42.341693483167901</v>
      </c>
      <c r="AK7060">
        <v>9.6557250345436696</v>
      </c>
      <c r="AL7060">
        <v>96.839038490927393</v>
      </c>
      <c r="AM7060">
        <v>54.865584788054399</v>
      </c>
      <c r="AN7060">
        <v>1.0000000166310801</v>
      </c>
    </row>
    <row r="7061" spans="1:40" x14ac:dyDescent="0.25">
      <c r="A7061" t="str">
        <f>"20190303154319593"</f>
        <v>20190303154319593</v>
      </c>
      <c r="B7061" t="str">
        <f>"1551598999587832"</f>
        <v>1551598999587832</v>
      </c>
      <c r="C7061" t="s">
        <v>40</v>
      </c>
      <c r="D7061">
        <v>6.2422380000000004</v>
      </c>
      <c r="E7061">
        <v>0.57961030000000002</v>
      </c>
      <c r="F7061" t="s">
        <v>43</v>
      </c>
      <c r="G7061">
        <v>-300.91899999999998</v>
      </c>
      <c r="H7061">
        <v>-0.05</v>
      </c>
      <c r="I7061">
        <v>3.2190699999999999</v>
      </c>
      <c r="J7061">
        <v>-300.42689999999999</v>
      </c>
      <c r="K7061">
        <v>1.062424</v>
      </c>
      <c r="L7061">
        <v>13.035399999999999</v>
      </c>
      <c r="M7061">
        <v>0.69720109999999902</v>
      </c>
      <c r="N7061">
        <v>-1.634907E-2</v>
      </c>
      <c r="O7061">
        <v>-0.71668909999999997</v>
      </c>
      <c r="P7061">
        <v>0.15970419999999999</v>
      </c>
      <c r="Q7061">
        <v>-0.121852</v>
      </c>
      <c r="R7061">
        <v>-0.97961560000000003</v>
      </c>
      <c r="S7061">
        <v>-0.1152649</v>
      </c>
      <c r="T7061">
        <v>-0.3402116</v>
      </c>
      <c r="U7061">
        <v>-3.04657</v>
      </c>
      <c r="V7061">
        <v>0.56620719999999902</v>
      </c>
      <c r="W7061">
        <v>-0.12042849999999999</v>
      </c>
      <c r="X7061">
        <v>0.81541790000000003</v>
      </c>
      <c r="Y7061">
        <v>0.72225509999999904</v>
      </c>
      <c r="Z7061">
        <v>3.0021639999999999E-2</v>
      </c>
      <c r="AA7061">
        <v>0.69097500000000001</v>
      </c>
      <c r="AB7061">
        <v>17</v>
      </c>
      <c r="AC7061">
        <v>-0.49210000000005</v>
      </c>
      <c r="AD7061">
        <v>-1.1124240000000001</v>
      </c>
      <c r="AE7061">
        <v>-9.8163300000000007</v>
      </c>
      <c r="AF7061">
        <v>7.1065652448130603</v>
      </c>
      <c r="AG7061">
        <v>-1.1124240000000001</v>
      </c>
      <c r="AH7061">
        <v>6.6084045504734803</v>
      </c>
      <c r="AI7061">
        <v>96.539360896055697</v>
      </c>
      <c r="AJ7061">
        <v>42.919793958560703</v>
      </c>
      <c r="AK7061">
        <v>9.7678947290232205</v>
      </c>
      <c r="AL7061">
        <v>96.916833277189497</v>
      </c>
      <c r="AM7061">
        <v>55.224786896352398</v>
      </c>
      <c r="AN7061">
        <v>0.99999998429224901</v>
      </c>
    </row>
    <row r="7062" spans="1:40" x14ac:dyDescent="0.25">
      <c r="A7062" t="str">
        <f>"20190303154319615"</f>
        <v>20190303154319615</v>
      </c>
      <c r="B7062" t="str">
        <f>"1551598999607339"</f>
        <v>1551598999607339</v>
      </c>
      <c r="C7062" t="s">
        <v>40</v>
      </c>
      <c r="D7062">
        <v>6.2113519999999998</v>
      </c>
      <c r="E7062">
        <v>0.57890399999999997</v>
      </c>
      <c r="F7062" t="s">
        <v>43</v>
      </c>
      <c r="G7062">
        <v>-300.89729999999997</v>
      </c>
      <c r="H7062">
        <v>-0.05</v>
      </c>
      <c r="I7062">
        <v>3.285736</v>
      </c>
      <c r="J7062">
        <v>-300.32080000000002</v>
      </c>
      <c r="K7062">
        <v>1.062433</v>
      </c>
      <c r="L7062">
        <v>12.896269999999999</v>
      </c>
      <c r="M7062">
        <v>0.6845618</v>
      </c>
      <c r="N7062">
        <v>-1.6362850000000002E-2</v>
      </c>
      <c r="O7062">
        <v>-0.72877139999999996</v>
      </c>
      <c r="P7062">
        <v>0.14600739999999901</v>
      </c>
      <c r="Q7062">
        <v>-0.12696459999999901</v>
      </c>
      <c r="R7062">
        <v>-0.98110280000000005</v>
      </c>
      <c r="S7062">
        <v>-0.14682010000000001</v>
      </c>
      <c r="T7062">
        <v>-0.34722330000000001</v>
      </c>
      <c r="U7062">
        <v>-3.0431819999999998</v>
      </c>
      <c r="V7062">
        <v>0.56280229999999998</v>
      </c>
      <c r="W7062">
        <v>-0.1253763</v>
      </c>
      <c r="X7062">
        <v>0.81702769999999902</v>
      </c>
      <c r="Y7062">
        <v>0.71732869999999904</v>
      </c>
      <c r="Z7062">
        <v>3.3235630000000002E-2</v>
      </c>
      <c r="AA7062">
        <v>0.6959417</v>
      </c>
      <c r="AB7062">
        <v>17</v>
      </c>
      <c r="AC7062">
        <v>-0.57649999999995305</v>
      </c>
      <c r="AD7062">
        <v>-1.112433</v>
      </c>
      <c r="AE7062">
        <v>-9.6105339999999995</v>
      </c>
      <c r="AF7062">
        <v>6.9078547988111998</v>
      </c>
      <c r="AG7062">
        <v>-1.112433</v>
      </c>
      <c r="AH7062">
        <v>6.5230314613181797</v>
      </c>
      <c r="AI7062">
        <v>96.678142967588897</v>
      </c>
      <c r="AJ7062">
        <v>43.358803578290797</v>
      </c>
      <c r="AK7062">
        <v>9.5658718654545396</v>
      </c>
      <c r="AL7062">
        <v>97.202487476515202</v>
      </c>
      <c r="AM7062">
        <v>55.439330355151199</v>
      </c>
      <c r="AN7062">
        <v>0.99999995402713304</v>
      </c>
    </row>
    <row r="7063" spans="1:40" x14ac:dyDescent="0.25">
      <c r="A7063" t="str">
        <f>"20190303154319638"</f>
        <v>20190303154319638</v>
      </c>
      <c r="B7063" t="str">
        <f>"1551598999626860"</f>
        <v>1551598999626860</v>
      </c>
      <c r="C7063" t="s">
        <v>40</v>
      </c>
      <c r="D7063">
        <v>6.1794719999999996</v>
      </c>
      <c r="E7063">
        <v>0.57827839999999997</v>
      </c>
      <c r="F7063" t="s">
        <v>43</v>
      </c>
      <c r="G7063">
        <v>-300.8845</v>
      </c>
      <c r="H7063">
        <v>-0.05</v>
      </c>
      <c r="I7063">
        <v>3.5711360000000001</v>
      </c>
      <c r="J7063">
        <v>-300.21449999999999</v>
      </c>
      <c r="K7063">
        <v>1.06246</v>
      </c>
      <c r="L7063">
        <v>12.75128</v>
      </c>
      <c r="M7063">
        <v>0.67135290000000003</v>
      </c>
      <c r="N7063">
        <v>-1.6368170000000001E-2</v>
      </c>
      <c r="O7063">
        <v>-0.74095710000000004</v>
      </c>
      <c r="P7063">
        <v>0.1302652</v>
      </c>
      <c r="Q7063">
        <v>-0.13265009999999999</v>
      </c>
      <c r="R7063">
        <v>-0.98256549999999998</v>
      </c>
      <c r="S7063">
        <v>-0.18365480000000001</v>
      </c>
      <c r="T7063">
        <v>-0.36244009999999999</v>
      </c>
      <c r="U7063">
        <v>-3.038208</v>
      </c>
      <c r="V7063">
        <v>0.56061209999999995</v>
      </c>
      <c r="W7063">
        <v>-0.1309188</v>
      </c>
      <c r="X7063">
        <v>0.81766399999999995</v>
      </c>
      <c r="Y7063">
        <v>0.71320550000000005</v>
      </c>
      <c r="Z7063">
        <v>3.7756720000000001E-2</v>
      </c>
      <c r="AA7063">
        <v>0.69993739999999904</v>
      </c>
      <c r="AB7063">
        <v>17</v>
      </c>
      <c r="AC7063">
        <v>-0.67000000000001503</v>
      </c>
      <c r="AD7063">
        <v>-1.11246</v>
      </c>
      <c r="AE7063">
        <v>-9.1801440000000003</v>
      </c>
      <c r="AF7063">
        <v>6.5645607507369697</v>
      </c>
      <c r="AG7063">
        <v>-1.11246</v>
      </c>
      <c r="AH7063">
        <v>6.2616727699034902</v>
      </c>
      <c r="AI7063">
        <v>96.990996302425103</v>
      </c>
      <c r="AJ7063">
        <v>43.647227330568697</v>
      </c>
      <c r="AK7063">
        <v>9.1399984124214804</v>
      </c>
      <c r="AL7063">
        <v>97.522689180728193</v>
      </c>
      <c r="AM7063">
        <v>55.564432265222401</v>
      </c>
      <c r="AN7063">
        <v>1.0000000378779199</v>
      </c>
    </row>
    <row r="7064" spans="1:40" x14ac:dyDescent="0.25">
      <c r="A7064" t="str">
        <f>"20190303154319660"</f>
        <v>20190303154319660</v>
      </c>
      <c r="B7064" t="str">
        <f>"1551598999646885"</f>
        <v>1551598999646885</v>
      </c>
      <c r="C7064" t="s">
        <v>40</v>
      </c>
      <c r="D7064">
        <v>6.2516080000000001</v>
      </c>
      <c r="E7064">
        <v>0.57761370000000001</v>
      </c>
      <c r="F7064" t="s">
        <v>43</v>
      </c>
      <c r="G7064">
        <v>-300.87909999999999</v>
      </c>
      <c r="H7064">
        <v>-0.05</v>
      </c>
      <c r="I7064">
        <v>3.8964080000000001</v>
      </c>
      <c r="J7064">
        <v>-300.11219999999997</v>
      </c>
      <c r="K7064">
        <v>1.062503</v>
      </c>
      <c r="L7064">
        <v>12.606350000000001</v>
      </c>
      <c r="M7064">
        <v>0.65811819999999999</v>
      </c>
      <c r="N7064">
        <v>-1.6366249999999999E-2</v>
      </c>
      <c r="O7064">
        <v>-0.75273699999999999</v>
      </c>
      <c r="P7064">
        <v>0.113428</v>
      </c>
      <c r="Q7064">
        <v>-0.13605639999999999</v>
      </c>
      <c r="R7064">
        <v>-0.98418669999999997</v>
      </c>
      <c r="S7064">
        <v>-0.22756960000000001</v>
      </c>
      <c r="T7064">
        <v>-0.38091550000000002</v>
      </c>
      <c r="U7064">
        <v>-3.0319820000000002</v>
      </c>
      <c r="V7064">
        <v>0.55976740000000003</v>
      </c>
      <c r="W7064">
        <v>-0.134211</v>
      </c>
      <c r="X7064">
        <v>0.81770900000000002</v>
      </c>
      <c r="Y7064">
        <v>0.71086759999999904</v>
      </c>
      <c r="Z7064">
        <v>4.2803559999999997E-2</v>
      </c>
      <c r="AA7064">
        <v>0.70202219999999904</v>
      </c>
      <c r="AB7064">
        <v>17</v>
      </c>
      <c r="AC7064">
        <v>-0.76690000000002101</v>
      </c>
      <c r="AD7064">
        <v>-1.112503</v>
      </c>
      <c r="AE7064">
        <v>-8.7099419999999999</v>
      </c>
      <c r="AF7064">
        <v>6.2097599171477</v>
      </c>
      <c r="AG7064">
        <v>-1.112503</v>
      </c>
      <c r="AH7064">
        <v>5.9559733665498298</v>
      </c>
      <c r="AI7064">
        <v>97.367214712515405</v>
      </c>
      <c r="AJ7064">
        <v>43.804939316389699</v>
      </c>
      <c r="AK7064">
        <v>8.6759667989610296</v>
      </c>
      <c r="AL7064">
        <v>97.712997771675205</v>
      </c>
      <c r="AM7064">
        <v>55.606184640409403</v>
      </c>
      <c r="AN7064">
        <v>1.00000007165237</v>
      </c>
    </row>
    <row r="7065" spans="1:40" x14ac:dyDescent="0.25">
      <c r="A7065" t="str">
        <f>"20190303154319682"</f>
        <v>20190303154319682</v>
      </c>
      <c r="B7065" t="str">
        <f>"1551598999677141"</f>
        <v>1551598999677141</v>
      </c>
      <c r="C7065" t="s">
        <v>40</v>
      </c>
      <c r="D7065">
        <v>6.2239810000000002</v>
      </c>
      <c r="E7065">
        <v>0.57670739999999998</v>
      </c>
      <c r="F7065" t="s">
        <v>43</v>
      </c>
      <c r="G7065">
        <v>-300.8895</v>
      </c>
      <c r="H7065">
        <v>-0.05</v>
      </c>
      <c r="I7065">
        <v>4.0294189999999999</v>
      </c>
      <c r="J7065">
        <v>-300.01130000000001</v>
      </c>
      <c r="K7065">
        <v>1.062573</v>
      </c>
      <c r="L7065">
        <v>12.45804</v>
      </c>
      <c r="M7065">
        <v>0.64454820000000002</v>
      </c>
      <c r="N7065">
        <v>-1.6358859999999999E-2</v>
      </c>
      <c r="O7065">
        <v>-0.76438890000000004</v>
      </c>
      <c r="P7065">
        <v>9.6193459999999995E-2</v>
      </c>
      <c r="Q7065">
        <v>-0.137770899999999</v>
      </c>
      <c r="R7065">
        <v>-0.9857823</v>
      </c>
      <c r="S7065">
        <v>-0.27420040000000001</v>
      </c>
      <c r="T7065">
        <v>-0.39243909999999999</v>
      </c>
      <c r="U7065">
        <v>-3.0255429999999999</v>
      </c>
      <c r="V7065">
        <v>0.55928250000000002</v>
      </c>
      <c r="W7065">
        <v>-0.1358162</v>
      </c>
      <c r="X7065">
        <v>0.81777569999999999</v>
      </c>
      <c r="Y7065">
        <v>0.70909549999999999</v>
      </c>
      <c r="Z7065">
        <v>4.690457E-2</v>
      </c>
      <c r="AA7065">
        <v>0.70355069999999997</v>
      </c>
      <c r="AB7065">
        <v>17</v>
      </c>
      <c r="AC7065">
        <v>-0.87819999999999199</v>
      </c>
      <c r="AD7065">
        <v>-1.112573</v>
      </c>
      <c r="AE7065">
        <v>-8.4286209999999997</v>
      </c>
      <c r="AF7065">
        <v>6.0013116270289801</v>
      </c>
      <c r="AG7065">
        <v>-1.112573</v>
      </c>
      <c r="AH7065">
        <v>5.7778954998415903</v>
      </c>
      <c r="AI7065">
        <v>97.606934769028499</v>
      </c>
      <c r="AJ7065">
        <v>43.913401696676601</v>
      </c>
      <c r="AK7065">
        <v>8.4046199397790708</v>
      </c>
      <c r="AL7065">
        <v>97.805819218788599</v>
      </c>
      <c r="AM7065">
        <v>55.631503592645402</v>
      </c>
      <c r="AN7065">
        <v>1.00000002524958</v>
      </c>
    </row>
    <row r="7066" spans="1:40" x14ac:dyDescent="0.25">
      <c r="A7066" t="str">
        <f>"20190303154319704"</f>
        <v>20190303154319704</v>
      </c>
      <c r="B7066" t="str">
        <f>"1551598999697637"</f>
        <v>1551598999697637</v>
      </c>
      <c r="C7066" t="s">
        <v>40</v>
      </c>
      <c r="D7066">
        <v>6.2549049999999999</v>
      </c>
      <c r="E7066">
        <v>0.57595629999999998</v>
      </c>
      <c r="F7066" t="s">
        <v>43</v>
      </c>
      <c r="G7066">
        <v>-300.90969999999999</v>
      </c>
      <c r="H7066">
        <v>-0.05</v>
      </c>
      <c r="I7066">
        <v>3.9786679999999999</v>
      </c>
      <c r="J7066">
        <v>-299.91230000000002</v>
      </c>
      <c r="K7066">
        <v>1.0626420000000001</v>
      </c>
      <c r="L7066">
        <v>12.306789999999999</v>
      </c>
      <c r="M7066">
        <v>0.63068829999999998</v>
      </c>
      <c r="N7066">
        <v>-1.6347199999999999E-2</v>
      </c>
      <c r="O7066">
        <v>-0.77586409999999995</v>
      </c>
      <c r="P7066">
        <v>7.9782480000000003E-2</v>
      </c>
      <c r="Q7066">
        <v>-0.13813929999999999</v>
      </c>
      <c r="R7066">
        <v>-0.98719420000000002</v>
      </c>
      <c r="S7066">
        <v>-0.31988529999999998</v>
      </c>
      <c r="T7066">
        <v>-0.39613870000000001</v>
      </c>
      <c r="U7066">
        <v>-3.0191349999999999</v>
      </c>
      <c r="V7066">
        <v>0.55815709999999996</v>
      </c>
      <c r="W7066">
        <v>-0.1360556</v>
      </c>
      <c r="X7066">
        <v>0.81850449999999997</v>
      </c>
      <c r="Y7066">
        <v>0.70709250000000001</v>
      </c>
      <c r="Z7066">
        <v>4.98409E-2</v>
      </c>
      <c r="AA7066">
        <v>0.70536239999999994</v>
      </c>
      <c r="AB7066">
        <v>17</v>
      </c>
      <c r="AC7066">
        <v>-0.99739999999996998</v>
      </c>
      <c r="AD7066">
        <v>-1.1126419999999999</v>
      </c>
      <c r="AE7066">
        <v>-8.3281220000000005</v>
      </c>
      <c r="AF7066">
        <v>5.9228778816206002</v>
      </c>
      <c r="AG7066">
        <v>-1.1126419999999999</v>
      </c>
      <c r="AH7066">
        <v>5.7323510393213697</v>
      </c>
      <c r="AI7066">
        <v>97.687710578967199</v>
      </c>
      <c r="AJ7066">
        <v>44.0634751307798</v>
      </c>
      <c r="AK7066">
        <v>8.3173495212575599</v>
      </c>
      <c r="AL7066">
        <v>97.819664183892797</v>
      </c>
      <c r="AM7066">
        <v>55.709020794881802</v>
      </c>
      <c r="AN7066">
        <v>1.0000000455460001</v>
      </c>
    </row>
    <row r="7067" spans="1:40" x14ac:dyDescent="0.25">
      <c r="A7067" t="str">
        <f>"20190303154319726"</f>
        <v>20190303154319726</v>
      </c>
      <c r="B7067" t="str">
        <f>"1551598999717157"</f>
        <v>1551598999717157</v>
      </c>
      <c r="C7067" t="s">
        <v>40</v>
      </c>
      <c r="D7067">
        <v>6.2582139999999997</v>
      </c>
      <c r="E7067">
        <v>0.57522989999999996</v>
      </c>
      <c r="F7067" t="s">
        <v>43</v>
      </c>
      <c r="G7067">
        <v>-300.93389999999999</v>
      </c>
      <c r="H7067">
        <v>-0.05</v>
      </c>
      <c r="I7067">
        <v>3.8484799999999999</v>
      </c>
      <c r="J7067">
        <v>-299.81760000000003</v>
      </c>
      <c r="K7067">
        <v>1.0627169999999999</v>
      </c>
      <c r="L7067">
        <v>12.156560000000001</v>
      </c>
      <c r="M7067">
        <v>0.61690590000000001</v>
      </c>
      <c r="N7067">
        <v>-1.6332760000000002E-2</v>
      </c>
      <c r="O7067">
        <v>-0.7868676</v>
      </c>
      <c r="P7067">
        <v>6.419192E-2</v>
      </c>
      <c r="Q7067">
        <v>-0.1377562</v>
      </c>
      <c r="R7067">
        <v>-0.98838409999999999</v>
      </c>
      <c r="S7067">
        <v>-0.36392210000000003</v>
      </c>
      <c r="T7067">
        <v>-0.39632669999999998</v>
      </c>
      <c r="U7067">
        <v>-3.0128780000000002</v>
      </c>
      <c r="V7067">
        <v>0.55670540000000002</v>
      </c>
      <c r="W7067">
        <v>-0.13554330000000001</v>
      </c>
      <c r="X7067">
        <v>0.81957739999999901</v>
      </c>
      <c r="Y7067">
        <v>0.70498439999999996</v>
      </c>
      <c r="Z7067">
        <v>5.2148519999999997E-2</v>
      </c>
      <c r="AA7067">
        <v>0.70730300000000002</v>
      </c>
      <c r="AB7067">
        <v>17</v>
      </c>
      <c r="AC7067">
        <v>-1.1162999999999601</v>
      </c>
      <c r="AD7067">
        <v>-1.112717</v>
      </c>
      <c r="AE7067">
        <v>-8.3080800000000004</v>
      </c>
      <c r="AF7067">
        <v>5.9005188586017399</v>
      </c>
      <c r="AG7067">
        <v>-1.112717</v>
      </c>
      <c r="AH7067">
        <v>5.7482049659944296</v>
      </c>
      <c r="AI7067">
        <v>97.692830289630706</v>
      </c>
      <c r="AJ7067">
        <v>44.250866786890001</v>
      </c>
      <c r="AK7067">
        <v>8.31240772904499</v>
      </c>
      <c r="AL7067">
        <v>97.790037446704403</v>
      </c>
      <c r="AM7067">
        <v>55.813336137573103</v>
      </c>
      <c r="AN7067">
        <v>1.0000000015774</v>
      </c>
    </row>
    <row r="7068" spans="1:40" x14ac:dyDescent="0.25">
      <c r="A7068" t="str">
        <f>"20190303154319750"</f>
        <v>20190303154319750</v>
      </c>
      <c r="B7068" t="str">
        <f>"1551598999747413"</f>
        <v>1551598999747413</v>
      </c>
      <c r="C7068" t="s">
        <v>40</v>
      </c>
      <c r="D7068">
        <v>6.2832949999999999</v>
      </c>
      <c r="E7068">
        <v>0.55825819999999904</v>
      </c>
      <c r="F7068" t="s">
        <v>43</v>
      </c>
      <c r="G7068">
        <v>-300.96030000000002</v>
      </c>
      <c r="H7068">
        <v>-0.05</v>
      </c>
      <c r="I7068">
        <v>3.6936800000000001</v>
      </c>
      <c r="J7068">
        <v>-299.72190000000001</v>
      </c>
      <c r="K7068">
        <v>1.0627770000000001</v>
      </c>
      <c r="L7068">
        <v>11.99863</v>
      </c>
      <c r="M7068">
        <v>0.60239589999999998</v>
      </c>
      <c r="N7068">
        <v>-1.6315980000000001E-2</v>
      </c>
      <c r="O7068">
        <v>-0.79803069999999998</v>
      </c>
      <c r="P7068">
        <v>4.8302709999999999E-2</v>
      </c>
      <c r="Q7068">
        <v>-0.1371599</v>
      </c>
      <c r="R7068">
        <v>-0.98937039999999998</v>
      </c>
      <c r="S7068">
        <v>-0.40594479999999999</v>
      </c>
      <c r="T7068">
        <v>-0.39530520000000002</v>
      </c>
      <c r="U7068">
        <v>-3.0065309999999998</v>
      </c>
      <c r="V7068">
        <v>0.55495469999999902</v>
      </c>
      <c r="W7068">
        <v>-0.1348184</v>
      </c>
      <c r="X7068">
        <v>0.82088320000000004</v>
      </c>
      <c r="Y7068">
        <v>0.70194400000000001</v>
      </c>
      <c r="Z7068">
        <v>5.4361E-2</v>
      </c>
      <c r="AA7068">
        <v>0.71015469999999903</v>
      </c>
      <c r="AB7068">
        <v>17</v>
      </c>
      <c r="AC7068">
        <v>-1.2384000000000099</v>
      </c>
      <c r="AD7068">
        <v>-1.1127769999999999</v>
      </c>
      <c r="AE7068">
        <v>-8.3049499999999998</v>
      </c>
      <c r="AF7068">
        <v>5.8885281274835002</v>
      </c>
      <c r="AG7068">
        <v>-1.1127769999999999</v>
      </c>
      <c r="AH7068">
        <v>5.7808535316703997</v>
      </c>
      <c r="AI7068">
        <v>97.680109395049698</v>
      </c>
      <c r="AJ7068">
        <v>44.471340898222898</v>
      </c>
      <c r="AK7068">
        <v>8.3265421223049998</v>
      </c>
      <c r="AL7068">
        <v>97.748119177704098</v>
      </c>
      <c r="AM7068">
        <v>55.939502681975398</v>
      </c>
      <c r="AN7068">
        <v>0.99999997403644403</v>
      </c>
    </row>
    <row r="7069" spans="1:40" x14ac:dyDescent="0.25">
      <c r="A7069" t="str">
        <f>"20190303154319771"</f>
        <v>20190303154319771</v>
      </c>
      <c r="B7069" t="str">
        <f>"1551598999766933"</f>
        <v>1551598999766933</v>
      </c>
      <c r="C7069" t="s">
        <v>40</v>
      </c>
      <c r="D7069">
        <v>6.2546150000000003</v>
      </c>
      <c r="E7069">
        <v>0.55721500000000002</v>
      </c>
      <c r="F7069" t="s">
        <v>43</v>
      </c>
      <c r="G7069">
        <v>-300.60730000000001</v>
      </c>
      <c r="H7069">
        <v>-0.05</v>
      </c>
      <c r="I7069">
        <v>3.6957089999999999</v>
      </c>
      <c r="J7069">
        <v>-299.63470000000001</v>
      </c>
      <c r="K7069">
        <v>1.0628340000000001</v>
      </c>
      <c r="L7069">
        <v>11.84872</v>
      </c>
      <c r="M7069">
        <v>0.58859839999999997</v>
      </c>
      <c r="N7069">
        <v>-1.629953E-2</v>
      </c>
      <c r="O7069">
        <v>-0.80826149999999997</v>
      </c>
      <c r="P7069">
        <v>3.4161980000000002E-2</v>
      </c>
      <c r="Q7069">
        <v>-0.13673460000000001</v>
      </c>
      <c r="R7069">
        <v>-0.99001879999999998</v>
      </c>
      <c r="S7069">
        <v>-0.31909179999999998</v>
      </c>
      <c r="T7069">
        <v>-0.4010243</v>
      </c>
      <c r="U7069">
        <v>-2.9922179999999998</v>
      </c>
      <c r="V7069">
        <v>0.55264569999999902</v>
      </c>
      <c r="W7069">
        <v>-0.13426479999999999</v>
      </c>
      <c r="X7069">
        <v>0.82252999999999898</v>
      </c>
      <c r="Y7069">
        <v>0.66925690000000004</v>
      </c>
      <c r="Z7069">
        <v>6.0275780000000001E-2</v>
      </c>
      <c r="AA7069">
        <v>0.74058230000000003</v>
      </c>
      <c r="AB7069">
        <v>17</v>
      </c>
      <c r="AC7069">
        <v>-0.97260000000000002</v>
      </c>
      <c r="AD7069">
        <v>-1.1128340000000001</v>
      </c>
      <c r="AE7069">
        <v>-8.1530109999999993</v>
      </c>
      <c r="AF7069">
        <v>5.4849516521390003</v>
      </c>
      <c r="AG7069">
        <v>-1.1128340000000001</v>
      </c>
      <c r="AH7069">
        <v>5.9095394421699199</v>
      </c>
      <c r="AI7069">
        <v>97.8584427941597</v>
      </c>
      <c r="AJ7069">
        <v>47.133999509339503</v>
      </c>
      <c r="AK7069">
        <v>8.1391492526197293</v>
      </c>
      <c r="AL7069">
        <v>97.7161093552739</v>
      </c>
      <c r="AM7069">
        <v>56.103432396021802</v>
      </c>
      <c r="AN7069">
        <v>0.99999995357376303</v>
      </c>
    </row>
    <row r="7070" spans="1:40" x14ac:dyDescent="0.25">
      <c r="A7070" t="str">
        <f>"20190303154319795"</f>
        <v>20190303154319795</v>
      </c>
      <c r="B7070" t="str">
        <f>"1551598999787430"</f>
        <v>1551598999787430</v>
      </c>
      <c r="C7070" t="s">
        <v>40</v>
      </c>
      <c r="D7070">
        <v>6.2868079999999997</v>
      </c>
      <c r="E7070">
        <v>0.55616779999999999</v>
      </c>
      <c r="F7070" t="s">
        <v>43</v>
      </c>
      <c r="G7070">
        <v>-300.62119999999999</v>
      </c>
      <c r="H7070">
        <v>-0.05</v>
      </c>
      <c r="I7070">
        <v>3.5030519999999998</v>
      </c>
      <c r="J7070">
        <v>-299.5453</v>
      </c>
      <c r="K7070">
        <v>1.0628770000000001</v>
      </c>
      <c r="L7070">
        <v>11.689</v>
      </c>
      <c r="M7070">
        <v>0.57385620000000004</v>
      </c>
      <c r="N7070">
        <v>-1.6282689999999999E-2</v>
      </c>
      <c r="O7070">
        <v>-0.81879409999999997</v>
      </c>
      <c r="P7070">
        <v>1.900605E-2</v>
      </c>
      <c r="Q7070">
        <v>-0.1365171</v>
      </c>
      <c r="R7070">
        <v>-0.99045539999999999</v>
      </c>
      <c r="S7070">
        <v>-0.3531494</v>
      </c>
      <c r="T7070">
        <v>-0.39835120000000002</v>
      </c>
      <c r="U7070">
        <v>-2.9874269999999998</v>
      </c>
      <c r="V7070">
        <v>0.55037049999999998</v>
      </c>
      <c r="W7070">
        <v>-0.13392979999999999</v>
      </c>
      <c r="X7070">
        <v>0.82410869999999903</v>
      </c>
      <c r="Y7070">
        <v>0.66430239999999996</v>
      </c>
      <c r="Z7070">
        <v>6.2176870000000002E-2</v>
      </c>
      <c r="AA7070">
        <v>0.74487340000000002</v>
      </c>
      <c r="AB7070">
        <v>17</v>
      </c>
      <c r="AC7070">
        <v>-1.0758999999999901</v>
      </c>
      <c r="AD7070">
        <v>-1.1128769999999999</v>
      </c>
      <c r="AE7070">
        <v>-8.1859479999999998</v>
      </c>
      <c r="AF7070">
        <v>5.4796803010637003</v>
      </c>
      <c r="AG7070">
        <v>-1.1128769999999999</v>
      </c>
      <c r="AH7070">
        <v>5.9774011551235002</v>
      </c>
      <c r="AI7070">
        <v>97.814420593737793</v>
      </c>
      <c r="AJ7070">
        <v>47.487490831373698</v>
      </c>
      <c r="AK7070">
        <v>8.1850299931195298</v>
      </c>
      <c r="AL7070">
        <v>97.696739862437894</v>
      </c>
      <c r="AM7070">
        <v>56.263524255370697</v>
      </c>
      <c r="AN7070">
        <v>1.00000001400698</v>
      </c>
    </row>
    <row r="7071" spans="1:40" x14ac:dyDescent="0.25">
      <c r="A7071" t="str">
        <f>"20190303154319817"</f>
        <v>20190303154319817</v>
      </c>
      <c r="B7071" t="str">
        <f>"1551598999806949"</f>
        <v>1551598999806949</v>
      </c>
      <c r="C7071" t="s">
        <v>40</v>
      </c>
      <c r="D7071">
        <v>6.3099809999999996</v>
      </c>
      <c r="E7071">
        <v>0.55476440000000005</v>
      </c>
      <c r="F7071" t="s">
        <v>43</v>
      </c>
      <c r="G7071">
        <v>-300.64949999999999</v>
      </c>
      <c r="H7071">
        <v>-0.05</v>
      </c>
      <c r="I7071">
        <v>3.2569729999999999</v>
      </c>
      <c r="J7071">
        <v>-299.46260000000001</v>
      </c>
      <c r="K7071">
        <v>1.0629109999999999</v>
      </c>
      <c r="L7071">
        <v>11.53458</v>
      </c>
      <c r="M7071">
        <v>0.55957749999999995</v>
      </c>
      <c r="N7071">
        <v>-1.6267549999999999E-2</v>
      </c>
      <c r="O7071">
        <v>-0.82861879999999999</v>
      </c>
      <c r="P7071">
        <v>4.5445099999999999E-3</v>
      </c>
      <c r="Q7071">
        <v>-0.1365294</v>
      </c>
      <c r="R7071">
        <v>-0.99062640000000002</v>
      </c>
      <c r="S7071">
        <v>-0.39050289999999999</v>
      </c>
      <c r="T7071">
        <v>-0.39359060000000001</v>
      </c>
      <c r="U7071">
        <v>-2.9821469999999999</v>
      </c>
      <c r="V7071">
        <v>0.54813100000000003</v>
      </c>
      <c r="W7071">
        <v>-0.13383900000000001</v>
      </c>
      <c r="X7071">
        <v>0.82561459999999998</v>
      </c>
      <c r="Y7071">
        <v>0.66074569999999999</v>
      </c>
      <c r="Z7071">
        <v>6.340353E-2</v>
      </c>
      <c r="AA7071">
        <v>0.74792720000000001</v>
      </c>
      <c r="AB7071">
        <v>17</v>
      </c>
      <c r="AC7071">
        <v>-1.1868999999999801</v>
      </c>
      <c r="AD7071">
        <v>-1.112911</v>
      </c>
      <c r="AE7071">
        <v>-8.2776069999999997</v>
      </c>
      <c r="AF7071">
        <v>5.5184474924531504</v>
      </c>
      <c r="AG7071">
        <v>-1.112911</v>
      </c>
      <c r="AH7071">
        <v>6.08780729483356</v>
      </c>
      <c r="AI7071">
        <v>97.713458720278396</v>
      </c>
      <c r="AJ7071">
        <v>47.808466951081797</v>
      </c>
      <c r="AK7071">
        <v>8.2917568271092108</v>
      </c>
      <c r="AL7071">
        <v>97.691490487381898</v>
      </c>
      <c r="AM7071">
        <v>56.419552774093503</v>
      </c>
      <c r="AN7071">
        <v>0.99999996940757896</v>
      </c>
    </row>
    <row r="7072" spans="1:40" x14ac:dyDescent="0.25">
      <c r="A7072" t="str">
        <f>"20190303154319838"</f>
        <v>20190303154319838</v>
      </c>
      <c r="B7072" t="str">
        <f>"1551598999827445"</f>
        <v>1551598999827445</v>
      </c>
      <c r="C7072" t="s">
        <v>40</v>
      </c>
      <c r="D7072">
        <v>6.2990219999999999</v>
      </c>
      <c r="E7072">
        <v>0.55356939999999999</v>
      </c>
      <c r="F7072" t="s">
        <v>43</v>
      </c>
      <c r="G7072">
        <v>-300.64699999999999</v>
      </c>
      <c r="H7072">
        <v>-0.05</v>
      </c>
      <c r="I7072">
        <v>3.2040250000000001</v>
      </c>
      <c r="J7072">
        <v>-299.38569999999999</v>
      </c>
      <c r="K7072">
        <v>1.062932</v>
      </c>
      <c r="L7072">
        <v>11.384550000000001</v>
      </c>
      <c r="M7072">
        <v>0.54565569999999997</v>
      </c>
      <c r="N7072">
        <v>-1.625451E-2</v>
      </c>
      <c r="O7072">
        <v>-0.83785189999999998</v>
      </c>
      <c r="P7072">
        <v>-9.0304730000000007E-3</v>
      </c>
      <c r="Q7072">
        <v>-0.1385111</v>
      </c>
      <c r="R7072">
        <v>-0.99031959999999997</v>
      </c>
      <c r="S7072">
        <v>-0.42303469999999999</v>
      </c>
      <c r="T7072">
        <v>-0.3975167</v>
      </c>
      <c r="U7072">
        <v>-2.9755549999999999</v>
      </c>
      <c r="V7072">
        <v>0.5454755</v>
      </c>
      <c r="W7072">
        <v>-0.13572029999999999</v>
      </c>
      <c r="X7072">
        <v>0.8270651</v>
      </c>
      <c r="Y7072">
        <v>0.65643739999999995</v>
      </c>
      <c r="Z7072">
        <v>6.635953E-2</v>
      </c>
      <c r="AA7072">
        <v>0.75145609999999996</v>
      </c>
      <c r="AB7072">
        <v>17</v>
      </c>
      <c r="AC7072">
        <v>-1.2613000000000001</v>
      </c>
      <c r="AD7072">
        <v>-1.112932</v>
      </c>
      <c r="AE7072">
        <v>-8.1805249999999994</v>
      </c>
      <c r="AF7072">
        <v>5.4232160341465203</v>
      </c>
      <c r="AG7072">
        <v>-1.112932</v>
      </c>
      <c r="AH7072">
        <v>6.0571407823950398</v>
      </c>
      <c r="AI7072">
        <v>97.794690808666203</v>
      </c>
      <c r="AJ7072">
        <v>48.160560729750202</v>
      </c>
      <c r="AK7072">
        <v>8.2060248748953395</v>
      </c>
      <c r="AL7072">
        <v>97.8002726120625</v>
      </c>
      <c r="AM7072">
        <v>56.593890325067903</v>
      </c>
      <c r="AN7072">
        <v>1.0000001002851699</v>
      </c>
    </row>
    <row r="7073" spans="1:40" x14ac:dyDescent="0.25">
      <c r="A7073" t="str">
        <f>"20190303154319861"</f>
        <v>20190303154319861</v>
      </c>
      <c r="B7073" t="str">
        <f>"1551598999857701"</f>
        <v>1551598999857701</v>
      </c>
      <c r="C7073" t="s">
        <v>40</v>
      </c>
      <c r="D7073">
        <v>6.3011559999999998</v>
      </c>
      <c r="E7073">
        <v>0.55238980000000004</v>
      </c>
      <c r="F7073" t="s">
        <v>43</v>
      </c>
      <c r="G7073">
        <v>-300.62889999999999</v>
      </c>
      <c r="H7073">
        <v>-0.05</v>
      </c>
      <c r="I7073">
        <v>3.2615810000000001</v>
      </c>
      <c r="J7073">
        <v>-299.3057</v>
      </c>
      <c r="K7073">
        <v>1.062961</v>
      </c>
      <c r="L7073">
        <v>11.22171</v>
      </c>
      <c r="M7073">
        <v>0.53049550000000001</v>
      </c>
      <c r="N7073">
        <v>-1.624246E-2</v>
      </c>
      <c r="O7073">
        <v>-0.84753230000000002</v>
      </c>
      <c r="P7073">
        <v>-2.2520539999999999E-2</v>
      </c>
      <c r="Q7073">
        <v>-0.13992889999999999</v>
      </c>
      <c r="R7073">
        <v>-0.98990549999999999</v>
      </c>
      <c r="S7073">
        <v>-0.45431519999999997</v>
      </c>
      <c r="T7073">
        <v>-0.40668769999999999</v>
      </c>
      <c r="U7073">
        <v>-2.9682919999999999</v>
      </c>
      <c r="V7073">
        <v>0.5417438</v>
      </c>
      <c r="W7073">
        <v>-0.13700799999999999</v>
      </c>
      <c r="X7073">
        <v>0.8293024</v>
      </c>
      <c r="Y7073">
        <v>0.65082119999999999</v>
      </c>
      <c r="Z7073">
        <v>7.0669049999999997E-2</v>
      </c>
      <c r="AA7073">
        <v>0.75593489999999997</v>
      </c>
      <c r="AB7073">
        <v>17</v>
      </c>
      <c r="AC7073">
        <v>-1.3231999999999799</v>
      </c>
      <c r="AD7073">
        <v>-1.1129610000000001</v>
      </c>
      <c r="AE7073">
        <v>-7.9601289999999896</v>
      </c>
      <c r="AF7073">
        <v>5.2451916740864197</v>
      </c>
      <c r="AG7073">
        <v>-1.1129610000000001</v>
      </c>
      <c r="AH7073">
        <v>5.9324574494342004</v>
      </c>
      <c r="AI7073">
        <v>98.000410327656297</v>
      </c>
      <c r="AJ7073">
        <v>48.518442752537403</v>
      </c>
      <c r="AK7073">
        <v>7.9965473346172304</v>
      </c>
      <c r="AL7073">
        <v>97.874748841808596</v>
      </c>
      <c r="AM7073">
        <v>56.845325344332998</v>
      </c>
      <c r="AN7073">
        <v>1.0000000037740999</v>
      </c>
    </row>
    <row r="7074" spans="1:40" x14ac:dyDescent="0.25">
      <c r="A7074" t="str">
        <f>"20190303154319884"</f>
        <v>20190303154319884</v>
      </c>
      <c r="B7074" t="str">
        <f>"1551598999877222"</f>
        <v>1551598999877222</v>
      </c>
      <c r="C7074" t="s">
        <v>40</v>
      </c>
      <c r="D7074">
        <v>6.3141809999999996</v>
      </c>
      <c r="E7074">
        <v>0.54325279999999998</v>
      </c>
      <c r="F7074" t="s">
        <v>43</v>
      </c>
      <c r="G7074">
        <v>-300.62090000000001</v>
      </c>
      <c r="H7074">
        <v>-0.05</v>
      </c>
      <c r="I7074">
        <v>3.1943969999999999</v>
      </c>
      <c r="J7074">
        <v>-299.23200000000003</v>
      </c>
      <c r="K7074">
        <v>1.0630029999999999</v>
      </c>
      <c r="L7074">
        <v>11.064640000000001</v>
      </c>
      <c r="M7074">
        <v>0.51580729999999997</v>
      </c>
      <c r="N7074">
        <v>-1.6233129999999998E-2</v>
      </c>
      <c r="O7074">
        <v>-0.85655110000000001</v>
      </c>
      <c r="P7074">
        <v>-3.4905020000000002E-2</v>
      </c>
      <c r="Q7074">
        <v>-0.13771459999999999</v>
      </c>
      <c r="R7074">
        <v>-0.98985699999999999</v>
      </c>
      <c r="S7074">
        <v>-0.48519899999999999</v>
      </c>
      <c r="T7074">
        <v>-0.41060540000000001</v>
      </c>
      <c r="U7074">
        <v>-2.9615170000000002</v>
      </c>
      <c r="V7074">
        <v>0.53803909999999999</v>
      </c>
      <c r="W7074">
        <v>-0.13466120000000001</v>
      </c>
      <c r="X7074">
        <v>0.83209390000000005</v>
      </c>
      <c r="Y7074">
        <v>0.64566769999999996</v>
      </c>
      <c r="Z7074">
        <v>7.3762839999999996E-2</v>
      </c>
      <c r="AA7074">
        <v>0.76004759999999905</v>
      </c>
      <c r="AB7074">
        <v>17</v>
      </c>
      <c r="AC7074">
        <v>-1.38889999999997</v>
      </c>
      <c r="AD7074">
        <v>-1.113003</v>
      </c>
      <c r="AE7074">
        <v>-7.8702429999999897</v>
      </c>
      <c r="AF7074">
        <v>5.1499971998029004</v>
      </c>
      <c r="AG7074">
        <v>-1.113003</v>
      </c>
      <c r="AH7074">
        <v>5.9110071178337096</v>
      </c>
      <c r="AI7074">
        <v>98.080186393240297</v>
      </c>
      <c r="AJ7074">
        <v>48.935813674065102</v>
      </c>
      <c r="AK7074">
        <v>7.9184122135101997</v>
      </c>
      <c r="AL7074">
        <v>97.739029304634897</v>
      </c>
      <c r="AM7074">
        <v>57.112942408488799</v>
      </c>
      <c r="AN7074">
        <v>0.99999998516572997</v>
      </c>
    </row>
    <row r="7075" spans="1:40" x14ac:dyDescent="0.25">
      <c r="A7075" t="str">
        <f>"20190303154319905"</f>
        <v>20190303154319905</v>
      </c>
      <c r="B7075" t="str">
        <f>"1551598999897717"</f>
        <v>1551598999897717</v>
      </c>
      <c r="C7075" t="s">
        <v>40</v>
      </c>
      <c r="D7075">
        <v>6.3112450000000004</v>
      </c>
      <c r="E7075">
        <v>0.54275090000000004</v>
      </c>
      <c r="F7075" t="s">
        <v>43</v>
      </c>
      <c r="G7075">
        <v>-300.48540000000003</v>
      </c>
      <c r="H7075">
        <v>-0.05</v>
      </c>
      <c r="I7075">
        <v>2.8098299999999998</v>
      </c>
      <c r="J7075">
        <v>-299.16030000000001</v>
      </c>
      <c r="K7075">
        <v>1.063042</v>
      </c>
      <c r="L7075">
        <v>10.90497</v>
      </c>
      <c r="M7075">
        <v>0.50079949999999995</v>
      </c>
      <c r="N7075">
        <v>-1.6226499999999901E-2</v>
      </c>
      <c r="O7075">
        <v>-0.86541129999999999</v>
      </c>
      <c r="P7075">
        <v>-4.8291529999999999E-2</v>
      </c>
      <c r="Q7075">
        <v>-0.13375699999999999</v>
      </c>
      <c r="R7075">
        <v>-0.98983710000000003</v>
      </c>
      <c r="S7075">
        <v>-0.44934079999999899</v>
      </c>
      <c r="T7075">
        <v>-0.39901589999999998</v>
      </c>
      <c r="U7075">
        <v>-2.959381</v>
      </c>
      <c r="V7075">
        <v>0.53514819999999996</v>
      </c>
      <c r="W7075">
        <v>-0.13059899999999999</v>
      </c>
      <c r="X7075">
        <v>0.83460190000000001</v>
      </c>
      <c r="Y7075">
        <v>0.62335850000000004</v>
      </c>
      <c r="Z7075">
        <v>7.4518200000000007E-2</v>
      </c>
      <c r="AA7075">
        <v>0.77837730000000005</v>
      </c>
      <c r="AB7075">
        <v>17</v>
      </c>
      <c r="AC7075">
        <v>-1.3251000000000199</v>
      </c>
      <c r="AD7075">
        <v>-1.1130420000000001</v>
      </c>
      <c r="AE7075">
        <v>-8.09513999999999</v>
      </c>
      <c r="AF7075">
        <v>5.1074468854116004</v>
      </c>
      <c r="AG7075">
        <v>-1.1130420000000001</v>
      </c>
      <c r="AH7075">
        <v>6.2281802441245802</v>
      </c>
      <c r="AI7075">
        <v>97.867731907152802</v>
      </c>
      <c r="AJ7075">
        <v>50.6463822030546</v>
      </c>
      <c r="AK7075">
        <v>8.1311195621739891</v>
      </c>
      <c r="AL7075">
        <v>97.504207496185003</v>
      </c>
      <c r="AM7075">
        <v>57.331936187174001</v>
      </c>
      <c r="AN7075">
        <v>1.00000001312392</v>
      </c>
    </row>
    <row r="7076" spans="1:40" x14ac:dyDescent="0.25">
      <c r="A7076" t="str">
        <f>"20190303154319927"</f>
        <v>20190303154319927</v>
      </c>
      <c r="B7076" t="str">
        <f>"1551598999917237"</f>
        <v>1551598999917237</v>
      </c>
      <c r="C7076" t="s">
        <v>40</v>
      </c>
      <c r="D7076">
        <v>6.3932440000000001</v>
      </c>
      <c r="E7076">
        <v>0.5658263</v>
      </c>
      <c r="F7076" t="s">
        <v>43</v>
      </c>
      <c r="G7076">
        <v>-300.56729999999999</v>
      </c>
      <c r="H7076">
        <v>-0.05</v>
      </c>
      <c r="I7076">
        <v>2.337799</v>
      </c>
      <c r="J7076">
        <v>-299.0917</v>
      </c>
      <c r="K7076">
        <v>1.0630580000000001</v>
      </c>
      <c r="L7076">
        <v>10.74438</v>
      </c>
      <c r="M7076">
        <v>0.48562379999999999</v>
      </c>
      <c r="N7076">
        <v>-1.622384E-2</v>
      </c>
      <c r="O7076">
        <v>-0.87401740000000006</v>
      </c>
      <c r="P7076">
        <v>-6.0964520000000001E-2</v>
      </c>
      <c r="Q7076">
        <v>-0.13119159999999999</v>
      </c>
      <c r="R7076">
        <v>-0.98948100000000005</v>
      </c>
      <c r="S7076">
        <v>-0.485321</v>
      </c>
      <c r="T7076">
        <v>-0.38394220000000001</v>
      </c>
      <c r="U7076">
        <v>-2.9552309999999999</v>
      </c>
      <c r="V7076">
        <v>0.53149599999999997</v>
      </c>
      <c r="W7076">
        <v>-0.1279217</v>
      </c>
      <c r="X7076">
        <v>0.83734580000000003</v>
      </c>
      <c r="Y7076">
        <v>0.61924799999999902</v>
      </c>
      <c r="Z7076">
        <v>7.2989390000000001E-2</v>
      </c>
      <c r="AA7076">
        <v>0.78179569999999998</v>
      </c>
      <c r="AB7076">
        <v>17</v>
      </c>
      <c r="AC7076">
        <v>-1.47559999999998</v>
      </c>
      <c r="AD7076">
        <v>-1.1130580000000001</v>
      </c>
      <c r="AE7076">
        <v>-8.4065809999999992</v>
      </c>
      <c r="AF7076">
        <v>5.2829968446789399</v>
      </c>
      <c r="AG7076">
        <v>-1.1130580000000001</v>
      </c>
      <c r="AH7076">
        <v>6.5208858727313102</v>
      </c>
      <c r="AI7076">
        <v>97.554890663754705</v>
      </c>
      <c r="AJ7076">
        <v>50.986801708538501</v>
      </c>
      <c r="AK7076">
        <v>8.4658671344073504</v>
      </c>
      <c r="AL7076">
        <v>97.349511956290399</v>
      </c>
      <c r="AM7076">
        <v>57.595112693486598</v>
      </c>
      <c r="AN7076">
        <v>0.99999997406226404</v>
      </c>
    </row>
    <row r="7077" spans="1:40" x14ac:dyDescent="0.25">
      <c r="A7077" t="str">
        <f>"20190303154319950"</f>
        <v>20190303154319950</v>
      </c>
      <c r="B7077" t="str">
        <f>"1551598999937734"</f>
        <v>1551598999937734</v>
      </c>
      <c r="C7077" t="s">
        <v>40</v>
      </c>
      <c r="D7077">
        <v>6.3376510000000001</v>
      </c>
      <c r="E7077">
        <v>0.56874659999999999</v>
      </c>
      <c r="F7077" t="s">
        <v>43</v>
      </c>
      <c r="G7077">
        <v>-301.54649999999998</v>
      </c>
      <c r="H7077">
        <v>-0.05</v>
      </c>
      <c r="I7077">
        <v>0.50959779999999999</v>
      </c>
      <c r="J7077">
        <v>-299.02640000000002</v>
      </c>
      <c r="K7077">
        <v>1.0630630000000001</v>
      </c>
      <c r="L7077">
        <v>10.583920000000001</v>
      </c>
      <c r="M7077">
        <v>0.47035260000000001</v>
      </c>
      <c r="N7077">
        <v>-1.6226040000000001E-2</v>
      </c>
      <c r="O7077">
        <v>-0.88232949999999999</v>
      </c>
      <c r="P7077">
        <v>-7.2595510000000002E-2</v>
      </c>
      <c r="Q7077">
        <v>-0.1310201</v>
      </c>
      <c r="R7077">
        <v>-0.98871810000000004</v>
      </c>
      <c r="S7077">
        <v>-0.70657349999999997</v>
      </c>
      <c r="T7077">
        <v>-0.32037330000000003</v>
      </c>
      <c r="U7077">
        <v>-2.9458920000000002</v>
      </c>
      <c r="V7077">
        <v>0.52679619999999905</v>
      </c>
      <c r="W7077">
        <v>-0.12762509999999999</v>
      </c>
      <c r="X7077">
        <v>0.84035559999999998</v>
      </c>
      <c r="Y7077">
        <v>0.66184390000000004</v>
      </c>
      <c r="Z7077">
        <v>5.6993479999999999E-2</v>
      </c>
      <c r="AA7077">
        <v>0.74747200000000003</v>
      </c>
      <c r="AB7077">
        <v>17</v>
      </c>
      <c r="AC7077">
        <v>-2.52009999999995</v>
      </c>
      <c r="AD7077">
        <v>-1.1130629999999999</v>
      </c>
      <c r="AE7077">
        <v>-10.074322199999999</v>
      </c>
      <c r="AF7077">
        <v>6.8838755764361101</v>
      </c>
      <c r="AG7077">
        <v>-1.1130629999999999</v>
      </c>
      <c r="AH7077">
        <v>7.6170442906068399</v>
      </c>
      <c r="AI7077">
        <v>96.187490340176893</v>
      </c>
      <c r="AJ7077">
        <v>47.894418644230299</v>
      </c>
      <c r="AK7077">
        <v>10.3269557914657</v>
      </c>
      <c r="AL7077">
        <v>97.332377624995004</v>
      </c>
      <c r="AM7077">
        <v>57.9175131760921</v>
      </c>
      <c r="AN7077">
        <v>0.99999996846790395</v>
      </c>
    </row>
    <row r="7078" spans="1:40" x14ac:dyDescent="0.25">
      <c r="A7078" t="str">
        <f>"20190303154319973"</f>
        <v>20190303154319973</v>
      </c>
      <c r="B7078" t="str">
        <f>"1551598999967013"</f>
        <v>1551598999967013</v>
      </c>
      <c r="C7078" t="s">
        <v>40</v>
      </c>
      <c r="D7078">
        <v>6.197762</v>
      </c>
      <c r="E7078">
        <v>0.57064250000000005</v>
      </c>
      <c r="F7078" t="s">
        <v>43</v>
      </c>
      <c r="G7078">
        <v>-301.66419999999999</v>
      </c>
      <c r="H7078">
        <v>-0.05</v>
      </c>
      <c r="I7078">
        <v>0.45593260000000002</v>
      </c>
      <c r="J7078">
        <v>-298.96120000000002</v>
      </c>
      <c r="K7078">
        <v>1.0630440000000001</v>
      </c>
      <c r="L7078">
        <v>10.415100000000001</v>
      </c>
      <c r="M7078">
        <v>0.45417109999999999</v>
      </c>
      <c r="N7078">
        <v>-1.6233560000000001E-2</v>
      </c>
      <c r="O7078">
        <v>-0.89076659999999996</v>
      </c>
      <c r="P7078">
        <v>-8.6453070000000007E-2</v>
      </c>
      <c r="Q7078">
        <v>-0.1301928</v>
      </c>
      <c r="R7078">
        <v>-0.98771240000000005</v>
      </c>
      <c r="S7078">
        <v>-0.76449579999999995</v>
      </c>
      <c r="T7078">
        <v>-0.32259569999999999</v>
      </c>
      <c r="U7078">
        <v>-2.9353639999999999</v>
      </c>
      <c r="V7078">
        <v>0.52330670000000001</v>
      </c>
      <c r="W7078">
        <v>-0.12671689999999999</v>
      </c>
      <c r="X7078">
        <v>0.84267009999999898</v>
      </c>
      <c r="Y7078">
        <v>0.66263689999999997</v>
      </c>
      <c r="Z7078">
        <v>5.886889E-2</v>
      </c>
      <c r="AA7078">
        <v>0.74662359999999905</v>
      </c>
      <c r="AB7078">
        <v>17</v>
      </c>
      <c r="AC7078">
        <v>-2.7029999999999701</v>
      </c>
      <c r="AD7078">
        <v>-1.1130439999999999</v>
      </c>
      <c r="AE7078">
        <v>-9.9591674000000001</v>
      </c>
      <c r="AF7078">
        <v>6.8521073050387598</v>
      </c>
      <c r="AG7078">
        <v>-1.1130439999999999</v>
      </c>
      <c r="AH7078">
        <v>7.5567646491550704</v>
      </c>
      <c r="AI7078">
        <v>96.227110247698207</v>
      </c>
      <c r="AJ7078">
        <v>47.799785537575801</v>
      </c>
      <c r="AK7078">
        <v>10.261331951965101</v>
      </c>
      <c r="AL7078">
        <v>97.279915515618399</v>
      </c>
      <c r="AM7078">
        <v>58.159298563138996</v>
      </c>
      <c r="AN7078">
        <v>0.99999998622225394</v>
      </c>
    </row>
    <row r="7079" spans="1:40" x14ac:dyDescent="0.25">
      <c r="A7079" t="str">
        <f>"20190303154319996"</f>
        <v>20190303154319996</v>
      </c>
      <c r="B7079" t="str">
        <f>"1551598999987509"</f>
        <v>1551598999987509</v>
      </c>
      <c r="C7079" t="s">
        <v>40</v>
      </c>
      <c r="D7079">
        <v>6.4166169999999996</v>
      </c>
      <c r="E7079">
        <v>0.57088700000000003</v>
      </c>
      <c r="F7079" t="s">
        <v>43</v>
      </c>
      <c r="G7079">
        <v>-301.93049999999999</v>
      </c>
      <c r="H7079">
        <v>-0.05</v>
      </c>
      <c r="I7079">
        <v>-0.16871639999999999</v>
      </c>
      <c r="J7079">
        <v>-298.90159999999997</v>
      </c>
      <c r="K7079">
        <v>1.0630299999999999</v>
      </c>
      <c r="L7079">
        <v>10.251530000000001</v>
      </c>
      <c r="M7079">
        <v>0.4383763</v>
      </c>
      <c r="N7079">
        <v>-1.6244720000000001E-2</v>
      </c>
      <c r="O7079">
        <v>-0.89864469999999996</v>
      </c>
      <c r="P7079">
        <v>-9.7427349999999996E-2</v>
      </c>
      <c r="Q7079">
        <v>-0.12811139999999999</v>
      </c>
      <c r="R7079">
        <v>-0.98696260000000002</v>
      </c>
      <c r="S7079">
        <v>-0.82058719999999996</v>
      </c>
      <c r="T7079">
        <v>-0.30760199999999999</v>
      </c>
      <c r="U7079">
        <v>-2.924957</v>
      </c>
      <c r="V7079">
        <v>0.51795389999999997</v>
      </c>
      <c r="W7079">
        <v>-0.1244982</v>
      </c>
      <c r="X7079">
        <v>0.8463001</v>
      </c>
      <c r="Y7079">
        <v>0.663524</v>
      </c>
      <c r="Z7079">
        <v>5.6570509999999997E-2</v>
      </c>
      <c r="AA7079">
        <v>0.74601319999999904</v>
      </c>
      <c r="AB7079">
        <v>17</v>
      </c>
      <c r="AC7079">
        <v>-3.0289000000000201</v>
      </c>
      <c r="AD7079">
        <v>-1.11303</v>
      </c>
      <c r="AE7079">
        <v>-10.4202464</v>
      </c>
      <c r="AF7079">
        <v>7.2149521105341998</v>
      </c>
      <c r="AG7079">
        <v>-1.11303</v>
      </c>
      <c r="AH7079">
        <v>7.95368609389865</v>
      </c>
      <c r="AI7079">
        <v>95.9174620264167</v>
      </c>
      <c r="AJ7079">
        <v>47.788181959323097</v>
      </c>
      <c r="AK7079">
        <v>10.796086893799901</v>
      </c>
      <c r="AL7079">
        <v>97.151778743476797</v>
      </c>
      <c r="AM7079">
        <v>58.532469415639703</v>
      </c>
      <c r="AN7079">
        <v>0.99999995179422796</v>
      </c>
    </row>
    <row r="7080" spans="1:40" x14ac:dyDescent="0.25">
      <c r="A7080" t="str">
        <f>"20190303154320018"</f>
        <v>20190303154320018</v>
      </c>
      <c r="B7080" t="str">
        <f>"1551599000007029"</f>
        <v>1551599000007029</v>
      </c>
      <c r="C7080" t="s">
        <v>40</v>
      </c>
      <c r="D7080">
        <v>5.9628800000000002</v>
      </c>
      <c r="E7080">
        <v>0.57370159999999903</v>
      </c>
      <c r="F7080" t="s">
        <v>43</v>
      </c>
      <c r="G7080">
        <v>-302.0822</v>
      </c>
      <c r="H7080">
        <v>-0.05</v>
      </c>
      <c r="I7080">
        <v>-0.59184269999999894</v>
      </c>
      <c r="J7080">
        <v>-298.84469999999999</v>
      </c>
      <c r="K7080">
        <v>1.063021</v>
      </c>
      <c r="L7080">
        <v>10.08539</v>
      </c>
      <c r="M7080">
        <v>0.42221560000000002</v>
      </c>
      <c r="N7080">
        <v>-1.6257859999999999E-2</v>
      </c>
      <c r="O7080">
        <v>-0.90634979999999998</v>
      </c>
      <c r="P7080">
        <v>-0.1088475</v>
      </c>
      <c r="Q7080">
        <v>-0.12737899999999999</v>
      </c>
      <c r="R7080">
        <v>-0.98586379999999996</v>
      </c>
      <c r="S7080">
        <v>-0.85543819999999904</v>
      </c>
      <c r="T7080">
        <v>-0.29934929999999998</v>
      </c>
      <c r="U7080">
        <v>-2.9163209999999999</v>
      </c>
      <c r="V7080">
        <v>0.51264969999999999</v>
      </c>
      <c r="W7080">
        <v>-0.12362720000000001</v>
      </c>
      <c r="X7080">
        <v>0.84965089999999999</v>
      </c>
      <c r="Y7080">
        <v>0.65900110000000001</v>
      </c>
      <c r="Z7080">
        <v>5.6056000000000002E-2</v>
      </c>
      <c r="AA7080">
        <v>0.7500502</v>
      </c>
      <c r="AB7080">
        <v>17</v>
      </c>
      <c r="AC7080">
        <v>-3.23750000000001</v>
      </c>
      <c r="AD7080">
        <v>-1.11302099999999</v>
      </c>
      <c r="AE7080">
        <v>-10.677232699999999</v>
      </c>
      <c r="AF7080">
        <v>7.3700410497323103</v>
      </c>
      <c r="AG7080">
        <v>-1.11302099999999</v>
      </c>
      <c r="AH7080">
        <v>8.2295848934561899</v>
      </c>
      <c r="AI7080">
        <v>95.753147493447898</v>
      </c>
      <c r="AJ7080">
        <v>48.153824676956603</v>
      </c>
      <c r="AK7080">
        <v>11.1032602572299</v>
      </c>
      <c r="AL7080">
        <v>97.101485042076703</v>
      </c>
      <c r="AM7080">
        <v>58.894684788909601</v>
      </c>
      <c r="AN7080">
        <v>1.0000000256803601</v>
      </c>
    </row>
    <row r="7081" spans="1:40" x14ac:dyDescent="0.25">
      <c r="A7081" t="str">
        <f>"20190303154320039"</f>
        <v>20190303154320039</v>
      </c>
      <c r="B7081" t="str">
        <f>"1551599000027525"</f>
        <v>1551599000027525</v>
      </c>
      <c r="C7081" t="s">
        <v>40</v>
      </c>
      <c r="D7081">
        <v>5.9599659999999997</v>
      </c>
      <c r="E7081">
        <v>0.57595459999999998</v>
      </c>
      <c r="F7081" t="s">
        <v>41</v>
      </c>
      <c r="G7081">
        <v>-302.52760000000001</v>
      </c>
      <c r="H7081" s="1">
        <v>-4.2437499999999998E-6</v>
      </c>
      <c r="I7081">
        <v>-1.666353</v>
      </c>
      <c r="J7081">
        <v>-298.7944</v>
      </c>
      <c r="K7081">
        <v>1.063007</v>
      </c>
      <c r="L7081">
        <v>9.9296570000000006</v>
      </c>
      <c r="M7081">
        <v>0.4069758</v>
      </c>
      <c r="N7081">
        <v>-1.6269220000000001E-2</v>
      </c>
      <c r="O7081">
        <v>-0.91329400000000005</v>
      </c>
      <c r="P7081">
        <v>-0.1199901</v>
      </c>
      <c r="Q7081">
        <v>-0.1289399</v>
      </c>
      <c r="R7081">
        <v>-0.98436619999999997</v>
      </c>
      <c r="S7081">
        <v>-0.91146850000000001</v>
      </c>
      <c r="T7081">
        <v>-0.26308330000000002</v>
      </c>
      <c r="U7081">
        <v>-2.9083860000000001</v>
      </c>
      <c r="V7081">
        <v>0.50791569999999997</v>
      </c>
      <c r="W7081">
        <v>-0.12505849999999999</v>
      </c>
      <c r="X7081">
        <v>0.85228040000000005</v>
      </c>
      <c r="Y7081">
        <v>0.66046019999999905</v>
      </c>
      <c r="Z7081">
        <v>4.805471E-2</v>
      </c>
      <c r="AA7081">
        <v>0.74932180000000004</v>
      </c>
      <c r="AB7081">
        <v>17</v>
      </c>
      <c r="AC7081">
        <v>-3.7332000000000001</v>
      </c>
      <c r="AD7081">
        <v>-1.0630112437499999</v>
      </c>
      <c r="AE7081">
        <v>-11.59601</v>
      </c>
      <c r="AF7081">
        <v>8.0684454571158408</v>
      </c>
      <c r="AG7081">
        <v>-1.0630112437499999</v>
      </c>
      <c r="AH7081">
        <v>9.0038872135686798</v>
      </c>
      <c r="AI7081">
        <v>95.024770937160199</v>
      </c>
      <c r="AJ7081">
        <v>48.136262917004203</v>
      </c>
      <c r="AK7081">
        <v>12.1367124854079</v>
      </c>
      <c r="AL7081">
        <v>97.184134574423894</v>
      </c>
      <c r="AM7081">
        <v>59.207211735175697</v>
      </c>
      <c r="AN7081">
        <v>0.999999933476447</v>
      </c>
    </row>
    <row r="7082" spans="1:40" x14ac:dyDescent="0.25">
      <c r="A7082" t="str">
        <f>"20190303154320062"</f>
        <v>20190303154320062</v>
      </c>
      <c r="B7082" t="str">
        <f>"1551599000057784"</f>
        <v>1551599000057784</v>
      </c>
      <c r="C7082" t="s">
        <v>40</v>
      </c>
      <c r="D7082">
        <v>6.2988169999999997</v>
      </c>
      <c r="E7082">
        <v>0.57277639999999996</v>
      </c>
      <c r="F7082" t="s">
        <v>41</v>
      </c>
      <c r="G7082">
        <v>-303.17590000000001</v>
      </c>
      <c r="H7082" s="1">
        <v>-3.7397949999999998E-6</v>
      </c>
      <c r="I7082">
        <v>-3.2781500000000001</v>
      </c>
      <c r="J7082">
        <v>-298.7423</v>
      </c>
      <c r="K7082">
        <v>1.063005</v>
      </c>
      <c r="L7082">
        <v>9.7576900000000002</v>
      </c>
      <c r="M7082">
        <v>0.39005109999999998</v>
      </c>
      <c r="N7082">
        <v>-1.627878E-2</v>
      </c>
      <c r="O7082">
        <v>-0.9206493</v>
      </c>
      <c r="P7082">
        <v>-0.13127059999999999</v>
      </c>
      <c r="Q7082">
        <v>-0.13117509999999999</v>
      </c>
      <c r="R7082">
        <v>-0.98262969999999905</v>
      </c>
      <c r="S7082">
        <v>-0.96197509999999997</v>
      </c>
      <c r="T7082">
        <v>-0.23338690000000001</v>
      </c>
      <c r="U7082">
        <v>-2.8998110000000001</v>
      </c>
      <c r="V7082">
        <v>0.50180530000000001</v>
      </c>
      <c r="W7082">
        <v>-0.1271071</v>
      </c>
      <c r="X7082">
        <v>0.85559059999999898</v>
      </c>
      <c r="Y7082">
        <v>0.65926229999999997</v>
      </c>
      <c r="Z7082">
        <v>4.1622729999999997E-2</v>
      </c>
      <c r="AA7082">
        <v>0.75076009999999904</v>
      </c>
      <c r="AB7082">
        <v>17</v>
      </c>
      <c r="AC7082">
        <v>-4.43360000000001</v>
      </c>
      <c r="AD7082">
        <v>-1.0630087397950001</v>
      </c>
      <c r="AE7082">
        <v>-13.035839999999901</v>
      </c>
      <c r="AF7082">
        <v>9.1133323100499393</v>
      </c>
      <c r="AG7082">
        <v>-1.0630087397950001</v>
      </c>
      <c r="AH7082">
        <v>10.212598977533</v>
      </c>
      <c r="AI7082">
        <v>94.440805477728603</v>
      </c>
      <c r="AJ7082">
        <v>48.255498853674403</v>
      </c>
      <c r="AK7082">
        <v>13.728801522718101</v>
      </c>
      <c r="AL7082">
        <v>97.302454300310202</v>
      </c>
      <c r="AM7082">
        <v>59.608306584069901</v>
      </c>
      <c r="AN7082">
        <v>1.00000002439342</v>
      </c>
    </row>
    <row r="7083" spans="1:40" x14ac:dyDescent="0.25">
      <c r="A7083" t="str">
        <f>"20190303154320085"</f>
        <v>20190303154320085</v>
      </c>
      <c r="B7083" t="str">
        <f>"1551599000077301"</f>
        <v>1551599000077301</v>
      </c>
      <c r="C7083" t="s">
        <v>40</v>
      </c>
      <c r="D7083">
        <v>6.3730529999999996</v>
      </c>
      <c r="E7083">
        <v>0.57107450000000004</v>
      </c>
      <c r="F7083" t="s">
        <v>41</v>
      </c>
      <c r="G7083">
        <v>-302.64569999999998</v>
      </c>
      <c r="H7083" s="1">
        <v>-4.1884119999999999E-6</v>
      </c>
      <c r="I7083">
        <v>-1.8649960000000001</v>
      </c>
      <c r="J7083">
        <v>-298.69569999999999</v>
      </c>
      <c r="K7083">
        <v>1.0630280000000001</v>
      </c>
      <c r="L7083">
        <v>9.5932619999999993</v>
      </c>
      <c r="M7083">
        <v>0.37379659999999998</v>
      </c>
      <c r="N7083">
        <v>-1.6283880000000001E-2</v>
      </c>
      <c r="O7083">
        <v>-0.92736779999999996</v>
      </c>
      <c r="P7083">
        <v>-0.142452</v>
      </c>
      <c r="Q7083">
        <v>-0.1317991</v>
      </c>
      <c r="R7083">
        <v>-0.98098779999999997</v>
      </c>
      <c r="S7083">
        <v>-0.96997069999999996</v>
      </c>
      <c r="T7083">
        <v>-0.26415290000000002</v>
      </c>
      <c r="U7083">
        <v>-2.8881839999999999</v>
      </c>
      <c r="V7083">
        <v>0.49646669999999998</v>
      </c>
      <c r="W7083">
        <v>-0.12754589999999999</v>
      </c>
      <c r="X7083">
        <v>0.85863429999999996</v>
      </c>
      <c r="Y7083">
        <v>0.64854040000000002</v>
      </c>
      <c r="Z7083">
        <v>5.094253E-2</v>
      </c>
      <c r="AA7083">
        <v>0.75947369999999903</v>
      </c>
      <c r="AB7083">
        <v>16</v>
      </c>
      <c r="AC7083">
        <v>-3.9499999999999802</v>
      </c>
      <c r="AD7083">
        <v>-1.063032188412</v>
      </c>
      <c r="AE7083">
        <v>-11.458258000000001</v>
      </c>
      <c r="AF7083">
        <v>7.8865438905884497</v>
      </c>
      <c r="AG7083">
        <v>-1.063032188412</v>
      </c>
      <c r="AH7083">
        <v>9.0808778055467005</v>
      </c>
      <c r="AI7083">
        <v>95.050889828288206</v>
      </c>
      <c r="AJ7083">
        <v>49.0263989926544</v>
      </c>
      <c r="AK7083">
        <v>12.074351067078</v>
      </c>
      <c r="AL7083">
        <v>97.327802168980099</v>
      </c>
      <c r="AM7083">
        <v>59.963281513876801</v>
      </c>
      <c r="AN7083">
        <v>1.0000000009760901</v>
      </c>
    </row>
    <row r="7084" spans="1:40" x14ac:dyDescent="0.25">
      <c r="A7084" t="str">
        <f>"20190303154320107"</f>
        <v>20190303154320107</v>
      </c>
      <c r="B7084" t="str">
        <f>"1551599000096822"</f>
        <v>1551599000096822</v>
      </c>
      <c r="C7084" t="s">
        <v>40</v>
      </c>
      <c r="D7084">
        <v>6.3329529999999998</v>
      </c>
      <c r="E7084">
        <v>0.56933480000000003</v>
      </c>
      <c r="F7084" t="s">
        <v>41</v>
      </c>
      <c r="G7084">
        <v>-302.48779999999999</v>
      </c>
      <c r="H7084" s="1">
        <v>-4.3266339999999999E-6</v>
      </c>
      <c r="I7084">
        <v>-1.432115</v>
      </c>
      <c r="J7084">
        <v>-298.65159999999997</v>
      </c>
      <c r="K7084">
        <v>1.0630679999999999</v>
      </c>
      <c r="L7084">
        <v>9.4259640000000005</v>
      </c>
      <c r="M7084">
        <v>0.35720150000000001</v>
      </c>
      <c r="N7084">
        <v>-1.6284799999999999E-2</v>
      </c>
      <c r="O7084">
        <v>-0.93388530000000003</v>
      </c>
      <c r="P7084">
        <v>-0.15387390000000001</v>
      </c>
      <c r="Q7084">
        <v>-0.1313259</v>
      </c>
      <c r="R7084">
        <v>-0.97932450000000004</v>
      </c>
      <c r="S7084">
        <v>-0.98956299999999997</v>
      </c>
      <c r="T7084">
        <v>-0.27740730000000002</v>
      </c>
      <c r="U7084">
        <v>-2.877167</v>
      </c>
      <c r="V7084">
        <v>0.4912107</v>
      </c>
      <c r="W7084">
        <v>-0.12687280000000001</v>
      </c>
      <c r="X7084">
        <v>0.8617513</v>
      </c>
      <c r="Y7084">
        <v>0.64034979999999997</v>
      </c>
      <c r="Z7084">
        <v>5.5812399999999998E-2</v>
      </c>
      <c r="AA7084">
        <v>0.76605299999999998</v>
      </c>
      <c r="AB7084">
        <v>16</v>
      </c>
      <c r="AC7084">
        <v>-3.83620000000001</v>
      </c>
      <c r="AD7084">
        <v>-1.0630723266339901</v>
      </c>
      <c r="AE7084">
        <v>-10.858079</v>
      </c>
      <c r="AF7084">
        <v>7.3990293206836704</v>
      </c>
      <c r="AG7084">
        <v>-1.0630723266339901</v>
      </c>
      <c r="AH7084">
        <v>8.6969533200698201</v>
      </c>
      <c r="AI7084">
        <v>95.318944733218004</v>
      </c>
      <c r="AJ7084">
        <v>49.610157313477202</v>
      </c>
      <c r="AK7084">
        <v>11.4679010595429</v>
      </c>
      <c r="AL7084">
        <v>97.2889206456653</v>
      </c>
      <c r="AM7084">
        <v>60.316234593379797</v>
      </c>
      <c r="AN7084">
        <v>0.99999998111300903</v>
      </c>
    </row>
    <row r="7085" spans="1:40" x14ac:dyDescent="0.25">
      <c r="A7085" t="str">
        <f>"20190303154320129"</f>
        <v>20190303154320129</v>
      </c>
      <c r="B7085" t="str">
        <f>"1551599000117318"</f>
        <v>1551599000117318</v>
      </c>
      <c r="C7085" t="s">
        <v>40</v>
      </c>
      <c r="D7085">
        <v>6.3443310000000004</v>
      </c>
      <c r="E7085">
        <v>0.5676793</v>
      </c>
      <c r="F7085" t="s">
        <v>41</v>
      </c>
      <c r="G7085">
        <v>-302.40109999999999</v>
      </c>
      <c r="H7085" s="1">
        <v>-4.390749E-6</v>
      </c>
      <c r="I7085">
        <v>-1.2251050000000001</v>
      </c>
      <c r="J7085">
        <v>-298.61130000000003</v>
      </c>
      <c r="K7085">
        <v>1.063113</v>
      </c>
      <c r="L7085">
        <v>9.2618410000000004</v>
      </c>
      <c r="M7085">
        <v>0.34087399999999901</v>
      </c>
      <c r="N7085">
        <v>-1.628168E-2</v>
      </c>
      <c r="O7085">
        <v>-0.93996820000000003</v>
      </c>
      <c r="P7085">
        <v>-0.16456699999999999</v>
      </c>
      <c r="Q7085">
        <v>-0.13083419999999901</v>
      </c>
      <c r="R7085">
        <v>-0.97765089999999999</v>
      </c>
      <c r="S7085">
        <v>-1.009064</v>
      </c>
      <c r="T7085">
        <v>-0.28609479999999998</v>
      </c>
      <c r="U7085">
        <v>-2.866425</v>
      </c>
      <c r="V7085">
        <v>0.4856626</v>
      </c>
      <c r="W7085">
        <v>-0.126166</v>
      </c>
      <c r="X7085">
        <v>0.86499359999999903</v>
      </c>
      <c r="Y7085">
        <v>0.63239840000000003</v>
      </c>
      <c r="Z7085">
        <v>5.9519679999999998E-2</v>
      </c>
      <c r="AA7085">
        <v>0.77235339999999997</v>
      </c>
      <c r="AB7085">
        <v>16</v>
      </c>
      <c r="AC7085">
        <v>-3.7897999999999499</v>
      </c>
      <c r="AD7085">
        <v>-1.0631173907489999</v>
      </c>
      <c r="AE7085">
        <v>-10.486946</v>
      </c>
      <c r="AF7085">
        <v>7.0736649771911102</v>
      </c>
      <c r="AG7085">
        <v>-1.0631173907489999</v>
      </c>
      <c r="AH7085">
        <v>8.4895169623622504</v>
      </c>
      <c r="AI7085">
        <v>95.495359273048805</v>
      </c>
      <c r="AJ7085">
        <v>50.198143239000203</v>
      </c>
      <c r="AK7085">
        <v>11.1012996108694</v>
      </c>
      <c r="AL7085">
        <v>97.248095974525995</v>
      </c>
      <c r="AM7085">
        <v>60.687366078131198</v>
      </c>
      <c r="AN7085">
        <v>0.99999997431785903</v>
      </c>
    </row>
    <row r="7086" spans="1:40" x14ac:dyDescent="0.25">
      <c r="A7086" t="str">
        <f>"20190303154320151"</f>
        <v>20190303154320151</v>
      </c>
      <c r="B7086" t="str">
        <f>"1551599000147099"</f>
        <v>1551599000147099</v>
      </c>
      <c r="C7086" t="s">
        <v>40</v>
      </c>
      <c r="D7086">
        <v>6.3118589999999903</v>
      </c>
      <c r="E7086">
        <v>0.56561410000000001</v>
      </c>
      <c r="F7086" t="s">
        <v>41</v>
      </c>
      <c r="G7086">
        <v>-302.35019999999997</v>
      </c>
      <c r="H7086" s="1">
        <v>-4.4165139999999999E-6</v>
      </c>
      <c r="I7086">
        <v>-1.1345099999999999</v>
      </c>
      <c r="J7086">
        <v>-298.57369999999997</v>
      </c>
      <c r="K7086">
        <v>1.063178</v>
      </c>
      <c r="L7086">
        <v>9.0964050000000007</v>
      </c>
      <c r="M7086">
        <v>0.32438909999999999</v>
      </c>
      <c r="N7086">
        <v>-1.6274609999999998E-2</v>
      </c>
      <c r="O7086">
        <v>-0.94578390000000001</v>
      </c>
      <c r="P7086">
        <v>-0.1742659</v>
      </c>
      <c r="Q7086">
        <v>-0.1299488</v>
      </c>
      <c r="R7086">
        <v>-0.97608649999999997</v>
      </c>
      <c r="S7086">
        <v>-1.0273129999999999</v>
      </c>
      <c r="T7086">
        <v>-0.2921089</v>
      </c>
      <c r="U7086">
        <v>-2.8565670000000001</v>
      </c>
      <c r="V7086">
        <v>0.47920430000000003</v>
      </c>
      <c r="W7086">
        <v>-0.1250358</v>
      </c>
      <c r="X7086">
        <v>0.86875159999999996</v>
      </c>
      <c r="Y7086">
        <v>0.62398869999999995</v>
      </c>
      <c r="Z7086">
        <v>6.2550649999999999E-2</v>
      </c>
      <c r="AA7086">
        <v>0.77892589999999995</v>
      </c>
      <c r="AB7086">
        <v>16</v>
      </c>
      <c r="AC7086">
        <v>-3.7764999999999902</v>
      </c>
      <c r="AD7086">
        <v>-1.063182416514</v>
      </c>
      <c r="AE7086">
        <v>-10.230915</v>
      </c>
      <c r="AF7086">
        <v>6.8265812279484503</v>
      </c>
      <c r="AG7086">
        <v>-1.063182416514</v>
      </c>
      <c r="AH7086">
        <v>8.3727220478859294</v>
      </c>
      <c r="AI7086">
        <v>95.620694548764604</v>
      </c>
      <c r="AJ7086">
        <v>50.808401996116899</v>
      </c>
      <c r="AK7086">
        <v>10.8551850561709</v>
      </c>
      <c r="AL7086">
        <v>97.1828229919591</v>
      </c>
      <c r="AM7086">
        <v>61.118824889297201</v>
      </c>
      <c r="AN7086">
        <v>1.0000000274613401</v>
      </c>
    </row>
    <row r="7087" spans="1:40" x14ac:dyDescent="0.25">
      <c r="A7087" t="str">
        <f>"20190303154320175"</f>
        <v>20190303154320175</v>
      </c>
      <c r="B7087" t="str">
        <f>"1551599000167595"</f>
        <v>1551599000167595</v>
      </c>
      <c r="C7087" t="s">
        <v>40</v>
      </c>
      <c r="D7087">
        <v>6.3410359999999999</v>
      </c>
      <c r="E7087">
        <v>0.56419790000000003</v>
      </c>
      <c r="F7087" t="s">
        <v>41</v>
      </c>
      <c r="G7087">
        <v>-302.26690000000002</v>
      </c>
      <c r="H7087" s="1">
        <v>-4.4436500000000002E-6</v>
      </c>
      <c r="I7087">
        <v>-1.0253840000000001</v>
      </c>
      <c r="J7087">
        <v>-298.5369</v>
      </c>
      <c r="K7087">
        <v>1.063248</v>
      </c>
      <c r="L7087">
        <v>8.9202879999999993</v>
      </c>
      <c r="M7087">
        <v>0.30682120000000002</v>
      </c>
      <c r="N7087">
        <v>-1.6263119999999999E-2</v>
      </c>
      <c r="O7087">
        <v>-0.95162829999999998</v>
      </c>
      <c r="P7087">
        <v>-0.1833718</v>
      </c>
      <c r="Q7087">
        <v>-0.1288666</v>
      </c>
      <c r="R7087">
        <v>-0.97456050000000005</v>
      </c>
      <c r="S7087">
        <v>-1.039215</v>
      </c>
      <c r="T7087">
        <v>-0.29916300000000001</v>
      </c>
      <c r="U7087">
        <v>-2.8481139999999998</v>
      </c>
      <c r="V7087">
        <v>0.4713136</v>
      </c>
      <c r="W7087">
        <v>-0.123666</v>
      </c>
      <c r="X7087">
        <v>0.87325269999999999</v>
      </c>
      <c r="Y7087">
        <v>0.61301909999999904</v>
      </c>
      <c r="Z7087">
        <v>6.6034159999999995E-2</v>
      </c>
      <c r="AA7087">
        <v>0.78730369999999905</v>
      </c>
      <c r="AB7087">
        <v>16</v>
      </c>
      <c r="AC7087">
        <v>-3.7300000000000102</v>
      </c>
      <c r="AD7087">
        <v>-1.0632524436499999</v>
      </c>
      <c r="AE7087">
        <v>-9.9456720000000001</v>
      </c>
      <c r="AF7087">
        <v>6.5364960298668402</v>
      </c>
      <c r="AG7087">
        <v>-1.0632524436499999</v>
      </c>
      <c r="AH7087">
        <v>8.2386912185143206</v>
      </c>
      <c r="AI7087">
        <v>95.773041929113106</v>
      </c>
      <c r="AJ7087">
        <v>51.571864009327101</v>
      </c>
      <c r="AK7087">
        <v>10.570350945045099</v>
      </c>
      <c r="AL7087">
        <v>97.103725252966299</v>
      </c>
      <c r="AM7087">
        <v>61.643292070368098</v>
      </c>
      <c r="AN7087">
        <v>1.0000000335791199</v>
      </c>
    </row>
    <row r="7088" spans="1:40" x14ac:dyDescent="0.25">
      <c r="A7088" t="str">
        <f>"20190303154320197"</f>
        <v>20190303154320197</v>
      </c>
      <c r="B7088" t="str">
        <f>"1551599000187115"</f>
        <v>1551599000187115</v>
      </c>
      <c r="C7088" t="s">
        <v>40</v>
      </c>
      <c r="D7088">
        <v>6.3456950000000001</v>
      </c>
      <c r="E7088">
        <v>0.56288139999999998</v>
      </c>
      <c r="F7088" t="s">
        <v>41</v>
      </c>
      <c r="G7088">
        <v>-302.24200000000002</v>
      </c>
      <c r="H7088" s="1">
        <v>-4.428422E-6</v>
      </c>
      <c r="I7088">
        <v>-1.053528</v>
      </c>
      <c r="J7088">
        <v>-298.50470000000001</v>
      </c>
      <c r="K7088">
        <v>1.063326</v>
      </c>
      <c r="L7088">
        <v>8.7499079999999996</v>
      </c>
      <c r="M7088">
        <v>0.28982930000000001</v>
      </c>
      <c r="N7088">
        <v>-1.6247499999999901E-2</v>
      </c>
      <c r="O7088">
        <v>-0.95694069999999998</v>
      </c>
      <c r="P7088">
        <v>-0.18946879999999999</v>
      </c>
      <c r="Q7088">
        <v>-0.128354</v>
      </c>
      <c r="R7088">
        <v>-0.97346149999999998</v>
      </c>
      <c r="S7088">
        <v>-1.054932</v>
      </c>
      <c r="T7088">
        <v>-0.30273319999999998</v>
      </c>
      <c r="U7088">
        <v>-2.8397830000000002</v>
      </c>
      <c r="V7088">
        <v>0.46127459999999998</v>
      </c>
      <c r="W7088">
        <v>-0.1228146</v>
      </c>
      <c r="X7088">
        <v>0.87871630000000001</v>
      </c>
      <c r="Y7088">
        <v>0.60346350000000004</v>
      </c>
      <c r="Z7088">
        <v>6.8439860000000005E-2</v>
      </c>
      <c r="AA7088">
        <v>0.79444809999999999</v>
      </c>
      <c r="AB7088">
        <v>16</v>
      </c>
      <c r="AC7088">
        <v>-3.7372999999999998</v>
      </c>
      <c r="AD7088">
        <v>-1.063330428422</v>
      </c>
      <c r="AE7088">
        <v>-9.8034359999999996</v>
      </c>
      <c r="AF7088">
        <v>6.3532831093000404</v>
      </c>
      <c r="AG7088">
        <v>-1.063330428422</v>
      </c>
      <c r="AH7088">
        <v>8.2148396429092294</v>
      </c>
      <c r="AI7088">
        <v>95.846209560791493</v>
      </c>
      <c r="AJ7088">
        <v>52.281955874624003</v>
      </c>
      <c r="AK7088">
        <v>10.4392752730081</v>
      </c>
      <c r="AL7088">
        <v>97.054569073167798</v>
      </c>
      <c r="AM7088">
        <v>62.303157520969897</v>
      </c>
      <c r="AN7088">
        <v>1.0000000092320001</v>
      </c>
    </row>
    <row r="7089" spans="1:40" x14ac:dyDescent="0.25">
      <c r="A7089" t="str">
        <f>"20190303154320219"</f>
        <v>20190303154320219</v>
      </c>
      <c r="B7089" t="str">
        <f>"1551599000207611"</f>
        <v>1551599000207611</v>
      </c>
      <c r="C7089" t="s">
        <v>40</v>
      </c>
      <c r="D7089">
        <v>6.3262010000000002</v>
      </c>
      <c r="E7089">
        <v>0.56159320000000001</v>
      </c>
      <c r="F7089" t="s">
        <v>41</v>
      </c>
      <c r="G7089">
        <v>-302.17189999999999</v>
      </c>
      <c r="H7089" s="1">
        <v>-4.423089E-6</v>
      </c>
      <c r="I7089">
        <v>-1.035045</v>
      </c>
      <c r="J7089">
        <v>-298.47730000000001</v>
      </c>
      <c r="K7089">
        <v>1.0633859999999999</v>
      </c>
      <c r="L7089">
        <v>8.5899660000000004</v>
      </c>
      <c r="M7089">
        <v>0.27388689999999999</v>
      </c>
      <c r="N7089">
        <v>-1.622877E-2</v>
      </c>
      <c r="O7089">
        <v>-0.9616249</v>
      </c>
      <c r="P7089">
        <v>-0.1940395</v>
      </c>
      <c r="Q7089">
        <v>-0.12705710000000001</v>
      </c>
      <c r="R7089">
        <v>-0.97273089999999995</v>
      </c>
      <c r="S7089">
        <v>-1.0622860000000001</v>
      </c>
      <c r="T7089">
        <v>-0.30801529999999999</v>
      </c>
      <c r="U7089">
        <v>-2.8344119999999999</v>
      </c>
      <c r="V7089">
        <v>0.45088349999999999</v>
      </c>
      <c r="W7089">
        <v>-0.12117550000000001</v>
      </c>
      <c r="X7089">
        <v>0.88431930000000003</v>
      </c>
      <c r="Y7089">
        <v>0.59241630000000001</v>
      </c>
      <c r="Z7089">
        <v>7.1281140000000007E-2</v>
      </c>
      <c r="AA7089">
        <v>0.80247239999999997</v>
      </c>
      <c r="AB7089">
        <v>16</v>
      </c>
      <c r="AC7089">
        <v>-3.6945999999999799</v>
      </c>
      <c r="AD7089">
        <v>-1.0633904230889999</v>
      </c>
      <c r="AE7089">
        <v>-9.6250110000000006</v>
      </c>
      <c r="AF7089">
        <v>6.12464105382473</v>
      </c>
      <c r="AG7089">
        <v>-1.0633904230889999</v>
      </c>
      <c r="AH7089">
        <v>8.1580429658288995</v>
      </c>
      <c r="AI7089">
        <v>95.951104242952098</v>
      </c>
      <c r="AJ7089">
        <v>53.102653860521698</v>
      </c>
      <c r="AK7089">
        <v>10.256495125647101</v>
      </c>
      <c r="AL7089">
        <v>96.959948670538694</v>
      </c>
      <c r="AM7089">
        <v>62.984555028218601</v>
      </c>
      <c r="AN7089">
        <v>1.0000000283624899</v>
      </c>
    </row>
    <row r="7090" spans="1:40" x14ac:dyDescent="0.25">
      <c r="A7090" t="str">
        <f>"20190303154320241"</f>
        <v>20190303154320241</v>
      </c>
      <c r="B7090" t="str">
        <f>"1551599000236891"</f>
        <v>1551599000236891</v>
      </c>
      <c r="C7090" t="s">
        <v>40</v>
      </c>
      <c r="D7090">
        <v>6.327871</v>
      </c>
      <c r="E7090">
        <v>0.55989140000000004</v>
      </c>
      <c r="F7090" t="s">
        <v>41</v>
      </c>
      <c r="G7090">
        <v>-302.1508</v>
      </c>
      <c r="H7090" s="1">
        <v>-4.3669810000000004E-6</v>
      </c>
      <c r="I7090">
        <v>-1.1713709999999999</v>
      </c>
      <c r="J7090">
        <v>-298.45159999999998</v>
      </c>
      <c r="K7090">
        <v>1.0634570000000001</v>
      </c>
      <c r="L7090">
        <v>8.4235530000000001</v>
      </c>
      <c r="M7090">
        <v>0.25731100000000001</v>
      </c>
      <c r="N7090">
        <v>-1.6206249999999998E-2</v>
      </c>
      <c r="O7090">
        <v>-0.96619279999999996</v>
      </c>
      <c r="P7090">
        <v>-0.19843169999999999</v>
      </c>
      <c r="Q7090">
        <v>-0.1259411</v>
      </c>
      <c r="R7090">
        <v>-0.9719894</v>
      </c>
      <c r="S7090">
        <v>-1.065491</v>
      </c>
      <c r="T7090">
        <v>-0.30843559999999998</v>
      </c>
      <c r="U7090">
        <v>-2.8312680000000001</v>
      </c>
      <c r="V7090">
        <v>0.4397412</v>
      </c>
      <c r="W7090">
        <v>-0.1197039</v>
      </c>
      <c r="X7090">
        <v>0.8901116</v>
      </c>
      <c r="Y7090">
        <v>0.57958699999999996</v>
      </c>
      <c r="Z7090">
        <v>7.2769470000000003E-2</v>
      </c>
      <c r="AA7090">
        <v>0.81165480000000001</v>
      </c>
      <c r="AB7090">
        <v>16</v>
      </c>
      <c r="AC7090">
        <v>-3.69920000000001</v>
      </c>
      <c r="AD7090">
        <v>-1.06346136698099</v>
      </c>
      <c r="AE7090">
        <v>-9.5949240000000007</v>
      </c>
      <c r="AF7090">
        <v>5.9798592541573097</v>
      </c>
      <c r="AG7090">
        <v>-1.06346136698099</v>
      </c>
      <c r="AH7090">
        <v>8.2317559453455598</v>
      </c>
      <c r="AI7090">
        <v>95.967013494974495</v>
      </c>
      <c r="AJ7090">
        <v>54.003924935851799</v>
      </c>
      <c r="AK7090">
        <v>10.229930240344901</v>
      </c>
      <c r="AL7090">
        <v>96.875014096982596</v>
      </c>
      <c r="AM7090">
        <v>63.709279188682899</v>
      </c>
      <c r="AN7090">
        <v>1.0000000035536001</v>
      </c>
    </row>
    <row r="7091" spans="1:40" x14ac:dyDescent="0.25">
      <c r="A7091" t="str">
        <f>"20190303154320263"</f>
        <v>20190303154320263</v>
      </c>
      <c r="B7091" t="str">
        <f>"1551599000256922"</f>
        <v>1551599000256922</v>
      </c>
      <c r="C7091" t="s">
        <v>40</v>
      </c>
      <c r="D7091">
        <v>6.3902199999999896</v>
      </c>
      <c r="E7091">
        <v>0.55941280000000004</v>
      </c>
      <c r="F7091" t="s">
        <v>41</v>
      </c>
      <c r="G7091">
        <v>-302.09910000000002</v>
      </c>
      <c r="H7091" s="1">
        <v>-4.3223140000000001E-6</v>
      </c>
      <c r="I7091">
        <v>-1.263838</v>
      </c>
      <c r="J7091">
        <v>-298.42790000000002</v>
      </c>
      <c r="K7091">
        <v>1.063534</v>
      </c>
      <c r="L7091">
        <v>8.2507629999999992</v>
      </c>
      <c r="M7091">
        <v>0.24011479999999999</v>
      </c>
      <c r="N7091">
        <v>-1.6179659999999998E-2</v>
      </c>
      <c r="O7091">
        <v>-0.97060979999999997</v>
      </c>
      <c r="P7091">
        <v>-0.2043741</v>
      </c>
      <c r="Q7091">
        <v>-0.12543760000000001</v>
      </c>
      <c r="R7091">
        <v>-0.97082270000000004</v>
      </c>
      <c r="S7091">
        <v>-1.065094</v>
      </c>
      <c r="T7091">
        <v>-0.31053589999999998</v>
      </c>
      <c r="U7091">
        <v>-2.8287659999999999</v>
      </c>
      <c r="V7091">
        <v>0.42942269999999999</v>
      </c>
      <c r="W7091">
        <v>-0.1188714</v>
      </c>
      <c r="X7091">
        <v>0.89524619999999999</v>
      </c>
      <c r="Y7091">
        <v>0.5651581</v>
      </c>
      <c r="Z7091">
        <v>7.4779990000000005E-2</v>
      </c>
      <c r="AA7091">
        <v>0.82158639999999905</v>
      </c>
      <c r="AB7091">
        <v>16</v>
      </c>
      <c r="AC7091">
        <v>-3.67119999999999</v>
      </c>
      <c r="AD7091">
        <v>-1.063538322314</v>
      </c>
      <c r="AE7091">
        <v>-9.5146009999999901</v>
      </c>
      <c r="AF7091">
        <v>5.7857409439385599</v>
      </c>
      <c r="AG7091">
        <v>-1.063538322314</v>
      </c>
      <c r="AH7091">
        <v>8.2646652852182694</v>
      </c>
      <c r="AI7091">
        <v>96.017893655389798</v>
      </c>
      <c r="AJ7091">
        <v>55.005768661316303</v>
      </c>
      <c r="AK7091">
        <v>10.1444863995221</v>
      </c>
      <c r="AL7091">
        <v>96.826972271709096</v>
      </c>
      <c r="AM7091">
        <v>64.374365523413402</v>
      </c>
      <c r="AN7091">
        <v>1.0000000118138399</v>
      </c>
    </row>
    <row r="7092" spans="1:40" x14ac:dyDescent="0.25">
      <c r="A7092" t="str">
        <f>"20190303154320287"</f>
        <v>20190303154320287</v>
      </c>
      <c r="B7092" t="str">
        <f>"1551599000277415"</f>
        <v>1551599000277415</v>
      </c>
      <c r="C7092" t="s">
        <v>40</v>
      </c>
      <c r="D7092">
        <v>6.2250329999999998</v>
      </c>
      <c r="E7092">
        <v>0.52913589999999999</v>
      </c>
      <c r="F7092" t="s">
        <v>41</v>
      </c>
      <c r="G7092">
        <v>-302.12180000000001</v>
      </c>
      <c r="H7092" s="1">
        <v>-4.2665730000000003E-6</v>
      </c>
      <c r="I7092">
        <v>-1.4194560000000001</v>
      </c>
      <c r="J7092">
        <v>-298.4076</v>
      </c>
      <c r="K7092">
        <v>1.0636099999999999</v>
      </c>
      <c r="L7092">
        <v>8.0800479999999997</v>
      </c>
      <c r="M7092">
        <v>0.22316359999999999</v>
      </c>
      <c r="N7092">
        <v>-1.6149750000000001E-2</v>
      </c>
      <c r="O7092">
        <v>-0.97464729999999999</v>
      </c>
      <c r="P7092">
        <v>-0.21030960000000001</v>
      </c>
      <c r="Q7092">
        <v>-0.12588199999999999</v>
      </c>
      <c r="R7092">
        <v>-0.96949669999999999</v>
      </c>
      <c r="S7092">
        <v>-1.0783389999999999</v>
      </c>
      <c r="T7092">
        <v>-0.3104789</v>
      </c>
      <c r="U7092">
        <v>-2.823029</v>
      </c>
      <c r="V7092">
        <v>0.41929650000000002</v>
      </c>
      <c r="W7092">
        <v>-0.1189976</v>
      </c>
      <c r="X7092">
        <v>0.900016699999999</v>
      </c>
      <c r="Y7092">
        <v>0.55466660000000001</v>
      </c>
      <c r="Z7092">
        <v>7.5965229999999995E-2</v>
      </c>
      <c r="AA7092">
        <v>0.82859780000000005</v>
      </c>
      <c r="AB7092">
        <v>16</v>
      </c>
      <c r="AC7092">
        <v>-3.7141999999999999</v>
      </c>
      <c r="AD7092">
        <v>-1.063614266573</v>
      </c>
      <c r="AE7092">
        <v>-9.4995039999999999</v>
      </c>
      <c r="AF7092">
        <v>5.6789741309208299</v>
      </c>
      <c r="AG7092">
        <v>-1.063614266573</v>
      </c>
      <c r="AH7092">
        <v>8.3402000174269304</v>
      </c>
      <c r="AI7092">
        <v>96.017434299991194</v>
      </c>
      <c r="AJ7092">
        <v>55.748431990775302</v>
      </c>
      <c r="AK7092">
        <v>10.145982397895899</v>
      </c>
      <c r="AL7092">
        <v>96.834254618917896</v>
      </c>
      <c r="AM7092">
        <v>65.020301494732394</v>
      </c>
      <c r="AN7092">
        <v>1.00000002199844</v>
      </c>
    </row>
    <row r="7093" spans="1:40" x14ac:dyDescent="0.25">
      <c r="A7093" t="str">
        <f>"20190303154320308"</f>
        <v>20190303154320308</v>
      </c>
      <c r="B7093" t="str">
        <f>"1551599000296935"</f>
        <v>1551599000296935</v>
      </c>
      <c r="C7093" t="s">
        <v>40</v>
      </c>
      <c r="D7093">
        <v>6.2090290000000001</v>
      </c>
      <c r="E7093">
        <v>0.47251749999999998</v>
      </c>
      <c r="F7093" t="s">
        <v>41</v>
      </c>
      <c r="G7093">
        <v>-301.38010000000003</v>
      </c>
      <c r="H7093" s="1">
        <v>-3.9731089999999997E-6</v>
      </c>
      <c r="I7093">
        <v>-1.834468</v>
      </c>
      <c r="J7093">
        <v>-298.3904</v>
      </c>
      <c r="K7093">
        <v>1.0636969999999999</v>
      </c>
      <c r="L7093">
        <v>7.9130549999999999</v>
      </c>
      <c r="M7093">
        <v>0.20663889999999999</v>
      </c>
      <c r="N7093">
        <v>-1.611574E-2</v>
      </c>
      <c r="O7093">
        <v>-0.9782845</v>
      </c>
      <c r="P7093">
        <v>-0.21532850000000001</v>
      </c>
      <c r="Q7093">
        <v>-0.1264362</v>
      </c>
      <c r="R7093">
        <v>-0.96832209999999996</v>
      </c>
      <c r="S7093">
        <v>-0.85983279999999995</v>
      </c>
      <c r="T7093">
        <v>-0.307666099999999</v>
      </c>
      <c r="U7093">
        <v>-2.8679199999999998</v>
      </c>
      <c r="V7093">
        <v>0.40872459999999999</v>
      </c>
      <c r="W7093">
        <v>-0.119225</v>
      </c>
      <c r="X7093">
        <v>0.9048368</v>
      </c>
      <c r="Y7093">
        <v>0.47753269999999998</v>
      </c>
      <c r="Z7093">
        <v>7.810839E-2</v>
      </c>
      <c r="AA7093">
        <v>0.875135199999999</v>
      </c>
      <c r="AB7093">
        <v>16</v>
      </c>
      <c r="AC7093">
        <v>-2.98970000000002</v>
      </c>
      <c r="AD7093">
        <v>-1.0637009731089999</v>
      </c>
      <c r="AE7093">
        <v>-9.7475229999999993</v>
      </c>
      <c r="AF7093">
        <v>4.8864502708495499</v>
      </c>
      <c r="AG7093">
        <v>-1.0637009731089999</v>
      </c>
      <c r="AH7093">
        <v>8.8231860306476708</v>
      </c>
      <c r="AI7093">
        <v>96.020377610966307</v>
      </c>
      <c r="AJ7093">
        <v>61.021471942252198</v>
      </c>
      <c r="AK7093">
        <v>10.1418670737244</v>
      </c>
      <c r="AL7093">
        <v>96.847377133775694</v>
      </c>
      <c r="AM7093">
        <v>65.690789653074205</v>
      </c>
      <c r="AN7093">
        <v>1.0000000169521901</v>
      </c>
    </row>
    <row r="7094" spans="1:40" x14ac:dyDescent="0.25">
      <c r="A7094" t="str">
        <f>"20190303154320354"</f>
        <v>20190303154320354</v>
      </c>
      <c r="B7094" t="str">
        <f>"1551599000347220"</f>
        <v>1551599000347220</v>
      </c>
      <c r="C7094" t="s">
        <v>40</v>
      </c>
      <c r="D7094">
        <v>6.1928650000000003</v>
      </c>
      <c r="E7094">
        <v>0.46832279999999998</v>
      </c>
      <c r="F7094" t="s">
        <v>41</v>
      </c>
      <c r="G7094">
        <v>-299.70350000000002</v>
      </c>
      <c r="H7094" s="1">
        <v>-4.0097370000000003E-6</v>
      </c>
      <c r="I7094">
        <v>-1.051825</v>
      </c>
      <c r="J7094">
        <v>-298.3639</v>
      </c>
      <c r="K7094">
        <v>1.0639069999999999</v>
      </c>
      <c r="L7094">
        <v>7.576721</v>
      </c>
      <c r="M7094">
        <v>0.17357779999999901</v>
      </c>
      <c r="N7094">
        <v>-1.603098E-2</v>
      </c>
      <c r="O7094">
        <v>-0.98468979999999995</v>
      </c>
      <c r="P7094">
        <v>-0.22139719999999999</v>
      </c>
      <c r="Q7094">
        <v>-0.1266274</v>
      </c>
      <c r="R7094">
        <v>-0.9669278</v>
      </c>
      <c r="S7094">
        <v>-0.43298340000000002</v>
      </c>
      <c r="T7094">
        <v>-0.3507419</v>
      </c>
      <c r="U7094">
        <v>-2.9560550000000001</v>
      </c>
      <c r="V7094">
        <v>0.3838821</v>
      </c>
      <c r="W7094">
        <v>-0.11867750000000001</v>
      </c>
      <c r="X7094">
        <v>0.91572390000000004</v>
      </c>
      <c r="Y7094">
        <v>0.31345699999999999</v>
      </c>
      <c r="Z7094">
        <v>9.5438729999999999E-2</v>
      </c>
      <c r="AA7094">
        <v>0.94479420000000003</v>
      </c>
      <c r="AB7094">
        <v>16</v>
      </c>
      <c r="AC7094">
        <v>-1.3396000000000099</v>
      </c>
      <c r="AD7094">
        <v>-1.0639110097369999</v>
      </c>
      <c r="AE7094">
        <v>-8.628546</v>
      </c>
      <c r="AF7094">
        <v>2.7759658609548299</v>
      </c>
      <c r="AG7094">
        <v>-1.0639110097369999</v>
      </c>
      <c r="AH7094">
        <v>8.1440754943327693</v>
      </c>
      <c r="AI7094">
        <v>97.048869840020998</v>
      </c>
      <c r="AJ7094">
        <v>71.177959323400799</v>
      </c>
      <c r="AK7094">
        <v>8.6697092658991597</v>
      </c>
      <c r="AL7094">
        <v>96.815783235340106</v>
      </c>
      <c r="AM7094">
        <v>67.256002576281801</v>
      </c>
      <c r="AN7094">
        <v>1.00000003836893</v>
      </c>
    </row>
    <row r="7095" spans="1:40" x14ac:dyDescent="0.25">
      <c r="A7095" t="str">
        <f>"20190303154320421"</f>
        <v>20190303154320421</v>
      </c>
      <c r="B7095" t="str">
        <f>"1551599000417492"</f>
        <v>1551599000417492</v>
      </c>
      <c r="C7095" t="s">
        <v>40</v>
      </c>
      <c r="D7095">
        <v>6.2050330000000002</v>
      </c>
      <c r="E7095">
        <v>0.46682119999999999</v>
      </c>
      <c r="F7095" t="s">
        <v>41</v>
      </c>
      <c r="G7095">
        <v>-299.53890000000001</v>
      </c>
      <c r="H7095" s="1">
        <v>-4.1878869999999996E-6</v>
      </c>
      <c r="I7095">
        <v>-0.73670290000000005</v>
      </c>
      <c r="J7095">
        <v>-298.34429999999998</v>
      </c>
      <c r="K7095">
        <v>1.064252</v>
      </c>
      <c r="L7095">
        <v>7.0751649999999904</v>
      </c>
      <c r="M7095">
        <v>0.12498529999999999</v>
      </c>
      <c r="N7095">
        <v>-1.5880390000000001E-2</v>
      </c>
      <c r="O7095">
        <v>-0.99203160000000001</v>
      </c>
      <c r="P7095">
        <v>-0.2257884</v>
      </c>
      <c r="Q7095">
        <v>-0.1231308</v>
      </c>
      <c r="R7095">
        <v>-0.9663638</v>
      </c>
      <c r="S7095">
        <v>-0.41799930000000002</v>
      </c>
      <c r="T7095">
        <v>-0.37846540000000001</v>
      </c>
      <c r="U7095">
        <v>-2.9573360000000002</v>
      </c>
      <c r="V7095">
        <v>0.34295920000000002</v>
      </c>
      <c r="W7095">
        <v>-0.1140729</v>
      </c>
      <c r="X7095">
        <v>0.93239819999999995</v>
      </c>
      <c r="Y7095">
        <v>0.26150679999999998</v>
      </c>
      <c r="Z7095">
        <v>0.1067268</v>
      </c>
      <c r="AA7095">
        <v>0.95928290000000005</v>
      </c>
      <c r="AB7095">
        <v>16</v>
      </c>
      <c r="AC7095">
        <v>-1.1946000000000301</v>
      </c>
      <c r="AD7095">
        <v>-1.064256187887</v>
      </c>
      <c r="AE7095">
        <v>-7.8118678999999904</v>
      </c>
      <c r="AF7095">
        <v>2.1232151595927502</v>
      </c>
      <c r="AG7095">
        <v>-1.064256187887</v>
      </c>
      <c r="AH7095">
        <v>7.4658684749737398</v>
      </c>
      <c r="AI7095">
        <v>97.807295445296305</v>
      </c>
      <c r="AJ7095">
        <v>74.124800654753301</v>
      </c>
      <c r="AK7095">
        <v>7.8345309963639096</v>
      </c>
      <c r="AL7095">
        <v>96.550154100034902</v>
      </c>
      <c r="AM7095">
        <v>69.805225273312502</v>
      </c>
      <c r="AN7095">
        <v>1.00000002137114</v>
      </c>
    </row>
    <row r="7096" spans="1:40" x14ac:dyDescent="0.25">
      <c r="A7096" t="str">
        <f>"20190303154320442"</f>
        <v>20190303154320442</v>
      </c>
      <c r="B7096" t="str">
        <f>"1551599000437011"</f>
        <v>1551599000437011</v>
      </c>
      <c r="C7096" t="s">
        <v>40</v>
      </c>
      <c r="D7096">
        <v>6.2063680000000003</v>
      </c>
      <c r="E7096">
        <v>0.46681539999999999</v>
      </c>
      <c r="F7096" t="s">
        <v>41</v>
      </c>
      <c r="G7096">
        <v>-299.51080000000002</v>
      </c>
      <c r="H7096" s="1">
        <v>-3.9949620000000001E-6</v>
      </c>
      <c r="I7096">
        <v>-1.1553629999999999</v>
      </c>
      <c r="J7096">
        <v>-298.34300000000002</v>
      </c>
      <c r="K7096">
        <v>1.064341</v>
      </c>
      <c r="L7096">
        <v>6.911041</v>
      </c>
      <c r="M7096">
        <v>0.10924730000000001</v>
      </c>
      <c r="N7096">
        <v>-1.5832550000000001E-2</v>
      </c>
      <c r="O7096">
        <v>-0.99388869999999896</v>
      </c>
      <c r="P7096">
        <v>-0.22602330000000001</v>
      </c>
      <c r="Q7096">
        <v>-0.12351479999999999</v>
      </c>
      <c r="R7096">
        <v>-0.96626000000000001</v>
      </c>
      <c r="S7096">
        <v>-0.41921999999999998</v>
      </c>
      <c r="T7096">
        <v>-0.38245240000000003</v>
      </c>
      <c r="U7096">
        <v>-2.9577330000000002</v>
      </c>
      <c r="V7096">
        <v>0.32840780000000003</v>
      </c>
      <c r="W7096">
        <v>-0.1141137</v>
      </c>
      <c r="X7096">
        <v>0.93761740000000005</v>
      </c>
      <c r="Y7096">
        <v>0.2465444</v>
      </c>
      <c r="Z7096">
        <v>0.1086529</v>
      </c>
      <c r="AA7096">
        <v>0.96302149999999997</v>
      </c>
      <c r="AB7096">
        <v>16</v>
      </c>
      <c r="AC7096">
        <v>-1.16779999999999</v>
      </c>
      <c r="AD7096">
        <v>-1.0643449949619901</v>
      </c>
      <c r="AE7096">
        <v>-8.0664039999999897</v>
      </c>
      <c r="AF7096">
        <v>2.00791108479909</v>
      </c>
      <c r="AG7096">
        <v>-1.0643449949619901</v>
      </c>
      <c r="AH7096">
        <v>7.7582167137930398</v>
      </c>
      <c r="AI7096">
        <v>97.565369220622799</v>
      </c>
      <c r="AJ7096">
        <v>75.489618442591294</v>
      </c>
      <c r="AK7096">
        <v>8.0842107698239403</v>
      </c>
      <c r="AL7096">
        <v>96.552507245971498</v>
      </c>
      <c r="AM7096">
        <v>70.6967963732409</v>
      </c>
      <c r="AN7096">
        <v>1.0000000042056401</v>
      </c>
    </row>
    <row r="7097" spans="1:40" x14ac:dyDescent="0.25">
      <c r="A7097" t="str">
        <f>"20190303154320464"</f>
        <v>20190303154320464</v>
      </c>
      <c r="B7097" t="str">
        <f>"1551599000457040"</f>
        <v>1551599000457040</v>
      </c>
      <c r="C7097" t="s">
        <v>40</v>
      </c>
      <c r="D7097">
        <v>6.3251030000000004</v>
      </c>
      <c r="E7097">
        <v>0.4665839</v>
      </c>
      <c r="F7097" t="s">
        <v>42</v>
      </c>
      <c r="G7097">
        <v>-298.46080000000001</v>
      </c>
      <c r="H7097">
        <v>0.95567040000000003</v>
      </c>
      <c r="I7097">
        <v>6.0801080000000001</v>
      </c>
      <c r="J7097">
        <v>-298.34410000000003</v>
      </c>
      <c r="K7097">
        <v>1.064427</v>
      </c>
      <c r="L7097">
        <v>6.7436220000000002</v>
      </c>
      <c r="M7097">
        <v>9.3272049999999995E-2</v>
      </c>
      <c r="N7097">
        <v>-1.5785569999999999E-2</v>
      </c>
      <c r="O7097">
        <v>-0.99551559999999994</v>
      </c>
      <c r="P7097">
        <v>-0.22551019999999999</v>
      </c>
      <c r="Q7097">
        <v>-0.1214224</v>
      </c>
      <c r="R7097">
        <v>-0.96664450000000002</v>
      </c>
      <c r="S7097">
        <v>-0.41989140000000003</v>
      </c>
      <c r="T7097">
        <v>-0.38601780000000002</v>
      </c>
      <c r="U7097">
        <v>-2.9571839999999998</v>
      </c>
      <c r="V7097">
        <v>0.31291819999999998</v>
      </c>
      <c r="W7097">
        <v>-0.11166860000000001</v>
      </c>
      <c r="X7097">
        <v>0.94319260000000005</v>
      </c>
      <c r="Y7097">
        <v>0.23118649999999999</v>
      </c>
      <c r="Z7097">
        <v>0.11044030000000001</v>
      </c>
      <c r="AA7097">
        <v>0.96662079999999995</v>
      </c>
      <c r="AB7097">
        <v>16</v>
      </c>
      <c r="AC7097">
        <v>-0.11669999999998</v>
      </c>
      <c r="AD7097">
        <v>-0.10875659999999999</v>
      </c>
      <c r="AE7097">
        <v>-0.66351400000000005</v>
      </c>
      <c r="AF7097">
        <v>0.17356304441509299</v>
      </c>
      <c r="AG7097">
        <v>-0.10875659999999999</v>
      </c>
      <c r="AH7097">
        <v>0.63323234282090202</v>
      </c>
      <c r="AI7097">
        <v>99.405029864099703</v>
      </c>
      <c r="AJ7097">
        <v>74.672200426980893</v>
      </c>
      <c r="AK7097">
        <v>0.66553386722588703</v>
      </c>
      <c r="AL7097">
        <v>96.411512133585703</v>
      </c>
      <c r="AM7097">
        <v>71.645967270664002</v>
      </c>
      <c r="AN7097">
        <v>0.99999997840597898</v>
      </c>
    </row>
    <row r="7098" spans="1:40" x14ac:dyDescent="0.25">
      <c r="A7098" t="str">
        <f>"20190303154320487"</f>
        <v>20190303154320487</v>
      </c>
      <c r="B7098" t="str">
        <f>"1551599000477536"</f>
        <v>1551599000477536</v>
      </c>
      <c r="C7098" t="s">
        <v>40</v>
      </c>
      <c r="D7098">
        <v>6.2565419999999996</v>
      </c>
      <c r="E7098">
        <v>0.46610819999999997</v>
      </c>
      <c r="F7098" t="s">
        <v>42</v>
      </c>
      <c r="G7098">
        <v>-298.4579</v>
      </c>
      <c r="H7098">
        <v>0.95930130000000002</v>
      </c>
      <c r="I7098">
        <v>5.9346290000000002</v>
      </c>
      <c r="J7098">
        <v>-298.34780000000001</v>
      </c>
      <c r="K7098">
        <v>1.064522</v>
      </c>
      <c r="L7098">
        <v>6.5777590000000004</v>
      </c>
      <c r="M7098">
        <v>7.7525029999999995E-2</v>
      </c>
      <c r="N7098">
        <v>-1.5738990000000001E-2</v>
      </c>
      <c r="O7098">
        <v>-0.99686629999999998</v>
      </c>
      <c r="P7098">
        <v>-0.224692</v>
      </c>
      <c r="Q7098">
        <v>-0.11713030000000001</v>
      </c>
      <c r="R7098">
        <v>-0.96736460000000002</v>
      </c>
      <c r="S7098">
        <v>-0.41616819999999999</v>
      </c>
      <c r="T7098">
        <v>-0.38390609999999997</v>
      </c>
      <c r="U7098">
        <v>-2.9581909999999998</v>
      </c>
      <c r="V7098">
        <v>0.29732940000000002</v>
      </c>
      <c r="W7098">
        <v>-0.1070286</v>
      </c>
      <c r="X7098">
        <v>0.94875719999999997</v>
      </c>
      <c r="Y7098">
        <v>0.21456790000000001</v>
      </c>
      <c r="Z7098">
        <v>0.11029700000000001</v>
      </c>
      <c r="AA7098">
        <v>0.97046129999999997</v>
      </c>
      <c r="AB7098">
        <v>16</v>
      </c>
      <c r="AC7098">
        <v>-0.110099999999988</v>
      </c>
      <c r="AD7098">
        <v>-0.105220699999999</v>
      </c>
      <c r="AE7098">
        <v>-0.64312999999999898</v>
      </c>
      <c r="AF7098">
        <v>0.15558732861867899</v>
      </c>
      <c r="AG7098">
        <v>-0.105220699999999</v>
      </c>
      <c r="AH7098">
        <v>0.61662203530165605</v>
      </c>
      <c r="AI7098">
        <v>99.394751854361701</v>
      </c>
      <c r="AJ7098">
        <v>75.838608188089907</v>
      </c>
      <c r="AK7098">
        <v>0.64459409472531104</v>
      </c>
      <c r="AL7098">
        <v>96.144055151187402</v>
      </c>
      <c r="AM7098">
        <v>72.599619687007902</v>
      </c>
      <c r="AN7098">
        <v>1.0000000589370699</v>
      </c>
    </row>
    <row r="7099" spans="1:40" x14ac:dyDescent="0.25">
      <c r="A7099" t="str">
        <f>"20190303154320508"</f>
        <v>20190303154320508</v>
      </c>
      <c r="B7099" t="str">
        <f>"1551599000497056"</f>
        <v>1551599000497056</v>
      </c>
      <c r="C7099" t="s">
        <v>40</v>
      </c>
      <c r="D7099">
        <v>6.2379889999999998</v>
      </c>
      <c r="E7099">
        <v>0.46600760000000002</v>
      </c>
      <c r="F7099" t="s">
        <v>42</v>
      </c>
      <c r="G7099">
        <v>-298.45729999999998</v>
      </c>
      <c r="H7099">
        <v>0.96408649999999996</v>
      </c>
      <c r="I7099">
        <v>5.7871169999999896</v>
      </c>
      <c r="J7099">
        <v>-298.35379999999998</v>
      </c>
      <c r="K7099">
        <v>1.064629</v>
      </c>
      <c r="L7099">
        <v>6.4157409999999997</v>
      </c>
      <c r="M7099">
        <v>6.2241829999999998E-2</v>
      </c>
      <c r="N7099">
        <v>-1.5691219999999999E-2</v>
      </c>
      <c r="O7099">
        <v>-0.99793790000000004</v>
      </c>
      <c r="P7099">
        <v>-0.2167618</v>
      </c>
      <c r="Q7099">
        <v>-0.1124428</v>
      </c>
      <c r="R7099">
        <v>-0.96972740000000002</v>
      </c>
      <c r="S7099">
        <v>-0.4100647</v>
      </c>
      <c r="T7099">
        <v>-0.37554120000000002</v>
      </c>
      <c r="U7099">
        <v>-2.96048</v>
      </c>
      <c r="V7099">
        <v>0.27511400000000003</v>
      </c>
      <c r="W7099">
        <v>-0.10186290000000001</v>
      </c>
      <c r="X7099">
        <v>0.95600010000000002</v>
      </c>
      <c r="Y7099">
        <v>0.1975703</v>
      </c>
      <c r="Z7099">
        <v>0.1080053</v>
      </c>
      <c r="AA7099">
        <v>0.97432070000000004</v>
      </c>
      <c r="AB7099">
        <v>16</v>
      </c>
      <c r="AC7099">
        <v>-0.103499999999996</v>
      </c>
      <c r="AD7099">
        <v>-0.10054250000000001</v>
      </c>
      <c r="AE7099">
        <v>-0.62862400000000096</v>
      </c>
      <c r="AF7099">
        <v>0.13896963751649599</v>
      </c>
      <c r="AG7099">
        <v>-0.10054250000000001</v>
      </c>
      <c r="AH7099">
        <v>0.60587227616714701</v>
      </c>
      <c r="AI7099">
        <v>99.1878138840855</v>
      </c>
      <c r="AJ7099">
        <v>77.081458878800504</v>
      </c>
      <c r="AK7099">
        <v>0.62968449995666598</v>
      </c>
      <c r="AL7099">
        <v>95.8464547934894</v>
      </c>
      <c r="AM7099">
        <v>73.945445056631499</v>
      </c>
      <c r="AN7099">
        <v>0.99999997729620904</v>
      </c>
    </row>
    <row r="7100" spans="1:40" x14ac:dyDescent="0.25">
      <c r="A7100" t="str">
        <f>"20190303154320543"</f>
        <v>20190303154320543</v>
      </c>
      <c r="B7100" t="str">
        <f>"1551599000537075"</f>
        <v>1551599000537075</v>
      </c>
      <c r="C7100" t="s">
        <v>40</v>
      </c>
      <c r="D7100">
        <v>6.1423290000000001</v>
      </c>
      <c r="E7100">
        <v>0.4667075</v>
      </c>
      <c r="F7100" t="s">
        <v>42</v>
      </c>
      <c r="G7100">
        <v>-298.45440000000002</v>
      </c>
      <c r="H7100">
        <v>0.96889130000000001</v>
      </c>
      <c r="I7100">
        <v>5.6398820000000001</v>
      </c>
      <c r="J7100">
        <v>-298.36759999999998</v>
      </c>
      <c r="K7100">
        <v>1.0647819999999999</v>
      </c>
      <c r="L7100">
        <v>6.1645810000000001</v>
      </c>
      <c r="M7100">
        <v>3.8782949999999997E-2</v>
      </c>
      <c r="N7100">
        <v>-1.5608199999999999E-2</v>
      </c>
      <c r="O7100">
        <v>-0.99912590000000001</v>
      </c>
      <c r="P7100">
        <v>-0.21757509999999999</v>
      </c>
      <c r="Q7100">
        <v>-0.111262899999999</v>
      </c>
      <c r="R7100">
        <v>-0.96968129999999997</v>
      </c>
      <c r="S7100">
        <v>-0.3848877</v>
      </c>
      <c r="T7100">
        <v>-0.36549280000000001</v>
      </c>
      <c r="U7100">
        <v>-2.9652400000000001</v>
      </c>
      <c r="V7100">
        <v>0.2534902</v>
      </c>
      <c r="W7100">
        <v>-0.1002247</v>
      </c>
      <c r="X7100">
        <v>0.96213190000000004</v>
      </c>
      <c r="Y7100">
        <v>0.1661917</v>
      </c>
      <c r="Z7100">
        <v>0.10529959999999999</v>
      </c>
      <c r="AA7100">
        <v>0.98045519999999997</v>
      </c>
      <c r="AB7100">
        <v>16</v>
      </c>
      <c r="AC7100">
        <v>-8.6800000000039207E-2</v>
      </c>
      <c r="AD7100">
        <v>-9.5890699999999801E-2</v>
      </c>
      <c r="AE7100">
        <v>-0.52469900000000003</v>
      </c>
      <c r="AF7100">
        <v>0.103714839182441</v>
      </c>
      <c r="AG7100">
        <v>-9.5890699999999801E-2</v>
      </c>
      <c r="AH7100">
        <v>0.50453531065276902</v>
      </c>
      <c r="AI7100">
        <v>100.545732947019</v>
      </c>
      <c r="AJ7100">
        <v>78.383806541433003</v>
      </c>
      <c r="AK7100">
        <v>0.523934799291492</v>
      </c>
      <c r="AL7100">
        <v>95.752109657005605</v>
      </c>
      <c r="AM7100">
        <v>75.239864203224002</v>
      </c>
      <c r="AN7100">
        <v>1.0000000324918601</v>
      </c>
    </row>
    <row r="7101" spans="1:40" x14ac:dyDescent="0.25">
      <c r="A7101" t="str">
        <f>"20190303154320565"</f>
        <v>20190303154320565</v>
      </c>
      <c r="B7101" t="str">
        <f>"1551599000557054"</f>
        <v>1551599000557054</v>
      </c>
      <c r="C7101" t="s">
        <v>40</v>
      </c>
      <c r="D7101">
        <v>6.1784460000000001</v>
      </c>
      <c r="E7101">
        <v>0.46707290000000001</v>
      </c>
      <c r="F7101" t="s">
        <v>42</v>
      </c>
      <c r="G7101">
        <v>-298.47550000000001</v>
      </c>
      <c r="H7101">
        <v>0.96477440000000003</v>
      </c>
      <c r="I7101">
        <v>5.3509479999999998</v>
      </c>
      <c r="J7101">
        <v>-298.37979999999999</v>
      </c>
      <c r="K7101">
        <v>1.0649</v>
      </c>
      <c r="L7101">
        <v>5.9992369999999999</v>
      </c>
      <c r="M7101">
        <v>2.3528799999999999E-2</v>
      </c>
      <c r="N7101">
        <v>-1.554732E-2</v>
      </c>
      <c r="O7101">
        <v>-0.99960230000000005</v>
      </c>
      <c r="P7101">
        <v>-0.21779290000000001</v>
      </c>
      <c r="Q7101">
        <v>-0.10939500000000001</v>
      </c>
      <c r="R7101">
        <v>-0.96984530000000002</v>
      </c>
      <c r="S7101">
        <v>-0.39297490000000002</v>
      </c>
      <c r="T7101">
        <v>-0.36411549999999998</v>
      </c>
      <c r="U7101">
        <v>-2.9638369999999998</v>
      </c>
      <c r="V7101">
        <v>0.2390832</v>
      </c>
      <c r="W7101">
        <v>-9.8054509999999998E-2</v>
      </c>
      <c r="X7101">
        <v>0.96603550000000005</v>
      </c>
      <c r="Y7101">
        <v>0.15383669999999999</v>
      </c>
      <c r="Z7101">
        <v>0.1051687</v>
      </c>
      <c r="AA7101">
        <v>0.98248349999999995</v>
      </c>
      <c r="AB7101">
        <v>16</v>
      </c>
      <c r="AC7101">
        <v>-9.5700000000022101E-2</v>
      </c>
      <c r="AD7101">
        <v>-0.100125599999999</v>
      </c>
      <c r="AE7101">
        <v>-0.648288999999999</v>
      </c>
      <c r="AF7101">
        <v>0.108398266497594</v>
      </c>
      <c r="AG7101">
        <v>-0.100125599999999</v>
      </c>
      <c r="AH7101">
        <v>0.63112402371369103</v>
      </c>
      <c r="AI7101">
        <v>98.886643837289498</v>
      </c>
      <c r="AJ7101">
        <v>80.254292221934705</v>
      </c>
      <c r="AK7101">
        <v>0.64814570372995794</v>
      </c>
      <c r="AL7101">
        <v>95.6271513452146</v>
      </c>
      <c r="AM7101">
        <v>76.099240863696593</v>
      </c>
      <c r="AN7101">
        <v>1.0000000253569099</v>
      </c>
    </row>
    <row r="7102" spans="1:40" x14ac:dyDescent="0.25">
      <c r="A7102" t="str">
        <f>"20190303154320588"</f>
        <v>20190303154320588</v>
      </c>
      <c r="B7102" t="str">
        <f>"1551599000577551"</f>
        <v>1551599000577551</v>
      </c>
      <c r="C7102" t="s">
        <v>40</v>
      </c>
      <c r="D7102">
        <v>6.116536</v>
      </c>
      <c r="E7102">
        <v>0.46735710000000003</v>
      </c>
      <c r="F7102" t="s">
        <v>42</v>
      </c>
      <c r="G7102">
        <v>-298.48599999999999</v>
      </c>
      <c r="H7102">
        <v>0.96779079999999995</v>
      </c>
      <c r="I7102">
        <v>5.2044119999999996</v>
      </c>
      <c r="J7102">
        <v>-298.39409999999998</v>
      </c>
      <c r="K7102">
        <v>1.0650309999999901</v>
      </c>
      <c r="L7102">
        <v>5.8348690000000003</v>
      </c>
      <c r="M7102">
        <v>8.5238740000000007E-3</v>
      </c>
      <c r="N7102">
        <v>-1.5483490000000001E-2</v>
      </c>
      <c r="O7102">
        <v>-0.99984399999999996</v>
      </c>
      <c r="P7102">
        <v>-0.2186428</v>
      </c>
      <c r="Q7102">
        <v>-0.10786279999999999</v>
      </c>
      <c r="R7102">
        <v>-0.96982559999999995</v>
      </c>
      <c r="S7102">
        <v>-0.39654539999999999</v>
      </c>
      <c r="T7102">
        <v>-0.36080250000000003</v>
      </c>
      <c r="U7102">
        <v>-2.9635310000000001</v>
      </c>
      <c r="V7102">
        <v>0.22548779999999999</v>
      </c>
      <c r="W7102">
        <v>-9.6247089999999993E-2</v>
      </c>
      <c r="X7102">
        <v>0.96948020000000001</v>
      </c>
      <c r="Y7102">
        <v>0.14019949999999901</v>
      </c>
      <c r="Z7102">
        <v>0.1043321</v>
      </c>
      <c r="AA7102">
        <v>0.98461100000000001</v>
      </c>
      <c r="AB7102">
        <v>16</v>
      </c>
      <c r="AC7102">
        <v>-9.1900000000009599E-2</v>
      </c>
      <c r="AD7102">
        <v>-9.7240199999999596E-2</v>
      </c>
      <c r="AE7102">
        <v>-0.63045699999999905</v>
      </c>
      <c r="AF7102">
        <v>9.5056955450606204E-2</v>
      </c>
      <c r="AG7102">
        <v>-9.7240199999999596E-2</v>
      </c>
      <c r="AH7102">
        <v>0.61531727374856804</v>
      </c>
      <c r="AI7102">
        <v>98.876741457245203</v>
      </c>
      <c r="AJ7102">
        <v>81.218114640910699</v>
      </c>
      <c r="AK7102">
        <v>0.63016412834193303</v>
      </c>
      <c r="AL7102">
        <v>95.523101446129999</v>
      </c>
      <c r="AM7102">
        <v>76.906576962916802</v>
      </c>
      <c r="AN7102">
        <v>1.0000000542371701</v>
      </c>
    </row>
    <row r="7103" spans="1:40" x14ac:dyDescent="0.25">
      <c r="A7103" t="str">
        <f>"20190303154320621"</f>
        <v>20190303154320621</v>
      </c>
      <c r="B7103" t="str">
        <f>"1551599000617567"</f>
        <v>1551599000617567</v>
      </c>
      <c r="C7103" t="s">
        <v>40</v>
      </c>
      <c r="D7103">
        <v>6.12798</v>
      </c>
      <c r="E7103">
        <v>0.46796969999999999</v>
      </c>
      <c r="F7103" t="s">
        <v>42</v>
      </c>
      <c r="G7103">
        <v>-298.49919999999997</v>
      </c>
      <c r="H7103">
        <v>0.97131619999999996</v>
      </c>
      <c r="I7103">
        <v>5.0578180000000001</v>
      </c>
      <c r="J7103">
        <v>-298.41879999999998</v>
      </c>
      <c r="K7103">
        <v>1.065261</v>
      </c>
      <c r="L7103">
        <v>5.5964970000000003</v>
      </c>
      <c r="M7103">
        <v>-1.282955E-2</v>
      </c>
      <c r="N7103">
        <v>-1.538132E-2</v>
      </c>
      <c r="O7103">
        <v>-0.9997994</v>
      </c>
      <c r="P7103">
        <v>-0.22117680000000001</v>
      </c>
      <c r="Q7103">
        <v>-0.1062049</v>
      </c>
      <c r="R7103">
        <v>-0.96943349999999995</v>
      </c>
      <c r="S7103">
        <v>-0.40121459999999998</v>
      </c>
      <c r="T7103">
        <v>-0.35702729999999999</v>
      </c>
      <c r="U7103">
        <v>-2.9631959999999999</v>
      </c>
      <c r="V7103">
        <v>0.2073844</v>
      </c>
      <c r="W7103">
        <v>-9.4234700000000005E-2</v>
      </c>
      <c r="X7103">
        <v>0.97371019999999997</v>
      </c>
      <c r="Y7103">
        <v>0.12060559999999999</v>
      </c>
      <c r="Z7103">
        <v>0.1033651</v>
      </c>
      <c r="AA7103">
        <v>0.98730439999999997</v>
      </c>
      <c r="AB7103">
        <v>16</v>
      </c>
      <c r="AC7103">
        <v>-8.0399999999997293E-2</v>
      </c>
      <c r="AD7103">
        <v>-9.3944799999999898E-2</v>
      </c>
      <c r="AE7103">
        <v>-0.53867900000000002</v>
      </c>
      <c r="AF7103">
        <v>7.1358493048985699E-2</v>
      </c>
      <c r="AG7103">
        <v>-9.3944799999999898E-2</v>
      </c>
      <c r="AH7103">
        <v>0.52407399652400599</v>
      </c>
      <c r="AI7103">
        <v>100.071817832172</v>
      </c>
      <c r="AJ7103">
        <v>82.246226793802293</v>
      </c>
      <c r="AK7103">
        <v>0.53718824801917098</v>
      </c>
      <c r="AL7103">
        <v>95.407273689398806</v>
      </c>
      <c r="AM7103">
        <v>77.976586785481302</v>
      </c>
      <c r="AN7103">
        <v>1.0000000108157401</v>
      </c>
    </row>
    <row r="7104" spans="1:40" x14ac:dyDescent="0.25">
      <c r="A7104" t="str">
        <f>"20190303154320644"</f>
        <v>20190303154320644</v>
      </c>
      <c r="B7104" t="str">
        <f>"1551599000637087"</f>
        <v>1551599000637087</v>
      </c>
      <c r="C7104" t="s">
        <v>40</v>
      </c>
      <c r="D7104">
        <v>6.1531120000000001</v>
      </c>
      <c r="E7104">
        <v>0.46833930000000001</v>
      </c>
      <c r="F7104" t="s">
        <v>42</v>
      </c>
      <c r="G7104">
        <v>-298.53399999999999</v>
      </c>
      <c r="H7104">
        <v>0.96626400000000001</v>
      </c>
      <c r="I7104">
        <v>4.7716129999999897</v>
      </c>
      <c r="J7104">
        <v>-298.43920000000003</v>
      </c>
      <c r="K7104">
        <v>1.065461</v>
      </c>
      <c r="L7104">
        <v>5.4253850000000003</v>
      </c>
      <c r="M7104">
        <v>-2.7777679999999999E-2</v>
      </c>
      <c r="N7104">
        <v>-1.529667E-2</v>
      </c>
      <c r="O7104">
        <v>-0.99949710000000003</v>
      </c>
      <c r="P7104">
        <v>-0.2239794</v>
      </c>
      <c r="Q7104">
        <v>-0.1047708</v>
      </c>
      <c r="R7104">
        <v>-0.96894619999999998</v>
      </c>
      <c r="S7104">
        <v>-0.41375729999999999</v>
      </c>
      <c r="T7104">
        <v>-0.35550510000000002</v>
      </c>
      <c r="U7104">
        <v>-2.9612430000000001</v>
      </c>
      <c r="V7104">
        <v>0.19570409999999999</v>
      </c>
      <c r="W7104">
        <v>-9.2582449999999997E-2</v>
      </c>
      <c r="X7104">
        <v>0.97628300000000001</v>
      </c>
      <c r="Y7104">
        <v>0.10996400000000001</v>
      </c>
      <c r="Z7104">
        <v>0.1030283</v>
      </c>
      <c r="AA7104">
        <v>0.98858140000000005</v>
      </c>
      <c r="AB7104">
        <v>16</v>
      </c>
      <c r="AC7104">
        <v>-9.4799999999963802E-2</v>
      </c>
      <c r="AD7104">
        <v>-9.9196999999999994E-2</v>
      </c>
      <c r="AE7104">
        <v>-0.65377200000000002</v>
      </c>
      <c r="AF7104">
        <v>7.4911904959886103E-2</v>
      </c>
      <c r="AG7104">
        <v>-9.9196999999999994E-2</v>
      </c>
      <c r="AH7104">
        <v>0.64168461258182397</v>
      </c>
      <c r="AI7104">
        <v>98.729340401068896</v>
      </c>
      <c r="AJ7104">
        <v>83.341284964521904</v>
      </c>
      <c r="AK7104">
        <v>0.65361378530291503</v>
      </c>
      <c r="AL7104">
        <v>95.3121908017946</v>
      </c>
      <c r="AM7104">
        <v>78.664817123963203</v>
      </c>
      <c r="AN7104">
        <v>1.0000000504469</v>
      </c>
    </row>
    <row r="7105" spans="1:40" x14ac:dyDescent="0.25">
      <c r="A7105" t="str">
        <f>"20190303154320665"</f>
        <v>20190303154320665</v>
      </c>
      <c r="B7105" t="str">
        <f>"1551599000657114"</f>
        <v>1551599000657114</v>
      </c>
      <c r="C7105" t="s">
        <v>40</v>
      </c>
      <c r="D7105">
        <v>6.1322510000000001</v>
      </c>
      <c r="E7105">
        <v>0.46881339999999999</v>
      </c>
      <c r="F7105" t="s">
        <v>42</v>
      </c>
      <c r="G7105">
        <v>-298.55399999999997</v>
      </c>
      <c r="H7105">
        <v>0.96953999999999996</v>
      </c>
      <c r="I7105">
        <v>4.6260779999999997</v>
      </c>
      <c r="J7105">
        <v>-298.45960000000002</v>
      </c>
      <c r="K7105">
        <v>1.065653</v>
      </c>
      <c r="L7105">
        <v>5.2704469999999999</v>
      </c>
      <c r="M7105">
        <v>-4.1042990000000001E-2</v>
      </c>
      <c r="N7105">
        <v>-1.521424E-2</v>
      </c>
      <c r="O7105">
        <v>-0.99904170000000003</v>
      </c>
      <c r="P7105">
        <v>-0.2255286</v>
      </c>
      <c r="Q7105">
        <v>-0.1035422</v>
      </c>
      <c r="R7105">
        <v>-0.96871879999999999</v>
      </c>
      <c r="S7105">
        <v>-0.42507929999999999</v>
      </c>
      <c r="T7105">
        <v>-0.35458309999999998</v>
      </c>
      <c r="U7105">
        <v>-2.9595639999999999</v>
      </c>
      <c r="V7105">
        <v>0.1843619</v>
      </c>
      <c r="W7105">
        <v>-9.1158639999999999E-2</v>
      </c>
      <c r="X7105">
        <v>0.97862190000000004</v>
      </c>
      <c r="Y7105">
        <v>0.1005635</v>
      </c>
      <c r="Z7105">
        <v>0.1028352</v>
      </c>
      <c r="AA7105">
        <v>0.98960190000000003</v>
      </c>
      <c r="AB7105">
        <v>16</v>
      </c>
      <c r="AC7105">
        <v>-9.4400000000007298E-2</v>
      </c>
      <c r="AD7105">
        <v>-9.6113000000000004E-2</v>
      </c>
      <c r="AE7105">
        <v>-0.64436899999999997</v>
      </c>
      <c r="AF7105">
        <v>6.6423791316768899E-2</v>
      </c>
      <c r="AG7105">
        <v>-9.6113000000000004E-2</v>
      </c>
      <c r="AH7105">
        <v>0.63389413834225705</v>
      </c>
      <c r="AI7105">
        <v>98.575446551743397</v>
      </c>
      <c r="AJ7105">
        <v>84.017984831222094</v>
      </c>
      <c r="AK7105">
        <v>0.64457087077106301</v>
      </c>
      <c r="AL7105">
        <v>95.230266215134506</v>
      </c>
      <c r="AM7105">
        <v>79.331129711315896</v>
      </c>
      <c r="AN7105">
        <v>1.0000000154889299</v>
      </c>
    </row>
    <row r="7106" spans="1:40" x14ac:dyDescent="0.25">
      <c r="A7106" t="str">
        <f>"20190303154320687"</f>
        <v>20190303154320687</v>
      </c>
      <c r="B7106" t="str">
        <f>"1551599000677610"</f>
        <v>1551599000677610</v>
      </c>
      <c r="C7106" t="s">
        <v>40</v>
      </c>
      <c r="D7106">
        <v>6.1715140000000002</v>
      </c>
      <c r="E7106">
        <v>0.46911799999999998</v>
      </c>
      <c r="F7106" t="s">
        <v>42</v>
      </c>
      <c r="G7106">
        <v>-298.57510000000002</v>
      </c>
      <c r="H7106">
        <v>0.97116259999999999</v>
      </c>
      <c r="I7106">
        <v>4.4817539999999996</v>
      </c>
      <c r="J7106">
        <v>-298.48250000000002</v>
      </c>
      <c r="K7106">
        <v>1.065866</v>
      </c>
      <c r="L7106">
        <v>5.1098019999999904</v>
      </c>
      <c r="M7106">
        <v>-5.4477869999999998E-2</v>
      </c>
      <c r="N7106">
        <v>-1.5123640000000001E-2</v>
      </c>
      <c r="O7106">
        <v>-0.99840039999999997</v>
      </c>
      <c r="P7106">
        <v>-0.228517</v>
      </c>
      <c r="Q7106">
        <v>-0.10169250000000001</v>
      </c>
      <c r="R7106">
        <v>-0.96821420000000002</v>
      </c>
      <c r="S7106">
        <v>-0.4335022</v>
      </c>
      <c r="T7106">
        <v>-0.35389880000000001</v>
      </c>
      <c r="U7106">
        <v>-2.9581300000000001</v>
      </c>
      <c r="V7106">
        <v>0.17428189999999999</v>
      </c>
      <c r="W7106">
        <v>-8.9143059999999996E-2</v>
      </c>
      <c r="X7106">
        <v>0.98065250000000004</v>
      </c>
      <c r="Y7106">
        <v>9.0015670000000006E-2</v>
      </c>
      <c r="Z7106">
        <v>0.10269449999999999</v>
      </c>
      <c r="AA7106">
        <v>0.99063159999999895</v>
      </c>
      <c r="AB7106">
        <v>16</v>
      </c>
      <c r="AC7106">
        <v>-9.2600000000004401E-2</v>
      </c>
      <c r="AD7106">
        <v>-9.4703399999999993E-2</v>
      </c>
      <c r="AE7106">
        <v>-0.62804799999999805</v>
      </c>
      <c r="AF7106">
        <v>5.6975889212179803E-2</v>
      </c>
      <c r="AG7106">
        <v>-9.4703399999999993E-2</v>
      </c>
      <c r="AH7106">
        <v>0.61839858699265404</v>
      </c>
      <c r="AI7106">
        <v>98.670638332907004</v>
      </c>
      <c r="AJ7106">
        <v>84.735939451162906</v>
      </c>
      <c r="AK7106">
        <v>0.62819726067342097</v>
      </c>
      <c r="AL7106">
        <v>95.114309910178903</v>
      </c>
      <c r="AM7106">
        <v>79.922591920473806</v>
      </c>
      <c r="AN7106">
        <v>0.99999999578501098</v>
      </c>
    </row>
    <row r="7107" spans="1:40" x14ac:dyDescent="0.25">
      <c r="A7107" t="str">
        <f>"20190303154320709"</f>
        <v>20190303154320709</v>
      </c>
      <c r="B7107" t="str">
        <f>"1551599000707866"</f>
        <v>1551599000707866</v>
      </c>
      <c r="C7107" t="s">
        <v>40</v>
      </c>
      <c r="D7107">
        <v>6.1411429999999996</v>
      </c>
      <c r="E7107">
        <v>0.46947909999999998</v>
      </c>
      <c r="F7107" t="s">
        <v>42</v>
      </c>
      <c r="G7107">
        <v>-298.59879999999998</v>
      </c>
      <c r="H7107">
        <v>0.97383220000000004</v>
      </c>
      <c r="I7107">
        <v>4.3373109999999997</v>
      </c>
      <c r="J7107">
        <v>-298.50689999999997</v>
      </c>
      <c r="K7107">
        <v>1.066098</v>
      </c>
      <c r="L7107">
        <v>4.9508359999999998</v>
      </c>
      <c r="M7107">
        <v>-6.7392380000000002E-2</v>
      </c>
      <c r="N7107">
        <v>-1.502828E-2</v>
      </c>
      <c r="O7107">
        <v>-0.99761330000000004</v>
      </c>
      <c r="P7107">
        <v>-0.23204559999999999</v>
      </c>
      <c r="Q7107">
        <v>-0.10003049999999999</v>
      </c>
      <c r="R7107">
        <v>-0.96754779999999996</v>
      </c>
      <c r="S7107">
        <v>-0.44485469999999999</v>
      </c>
      <c r="T7107">
        <v>-0.35160910000000001</v>
      </c>
      <c r="U7107">
        <v>-2.9565730000000001</v>
      </c>
      <c r="V7107">
        <v>0.165231399999999</v>
      </c>
      <c r="W7107">
        <v>-8.7339310000000003E-2</v>
      </c>
      <c r="X7107">
        <v>0.98238000000000003</v>
      </c>
      <c r="Y7107">
        <v>8.0942319999999998E-2</v>
      </c>
      <c r="Z7107">
        <v>0.10198840000000001</v>
      </c>
      <c r="AA7107">
        <v>0.99148709999999995</v>
      </c>
      <c r="AB7107">
        <v>16</v>
      </c>
      <c r="AC7107">
        <v>-9.1900000000009599E-2</v>
      </c>
      <c r="AD7107">
        <v>-9.2265799999999898E-2</v>
      </c>
      <c r="AE7107">
        <v>-0.61352499999999999</v>
      </c>
      <c r="AF7107">
        <v>4.92500412563922E-2</v>
      </c>
      <c r="AG7107">
        <v>-9.2265799999999898E-2</v>
      </c>
      <c r="AH7107">
        <v>0.60494273787724495</v>
      </c>
      <c r="AI7107">
        <v>98.643751006903798</v>
      </c>
      <c r="AJ7107">
        <v>85.345658962738099</v>
      </c>
      <c r="AK7107">
        <v>0.61391714467329705</v>
      </c>
      <c r="AL7107">
        <v>95.010557801661506</v>
      </c>
      <c r="AM7107">
        <v>80.452498825248398</v>
      </c>
      <c r="AN7107">
        <v>1.0000000175086099</v>
      </c>
    </row>
    <row r="7108" spans="1:40" x14ac:dyDescent="0.25">
      <c r="A7108" t="str">
        <f>"20190303154320732"</f>
        <v>20190303154320732</v>
      </c>
      <c r="B7108" t="str">
        <f>"1551599000727389"</f>
        <v>1551599000727389</v>
      </c>
      <c r="C7108" t="s">
        <v>40</v>
      </c>
      <c r="D7108">
        <v>6.1565009999999996</v>
      </c>
      <c r="E7108">
        <v>0.46965299999999999</v>
      </c>
      <c r="F7108" t="s">
        <v>42</v>
      </c>
      <c r="G7108">
        <v>-298.62450000000001</v>
      </c>
      <c r="H7108">
        <v>0.97664930000000005</v>
      </c>
      <c r="I7108">
        <v>4.1932939999999999</v>
      </c>
      <c r="J7108">
        <v>-298.5333</v>
      </c>
      <c r="K7108">
        <v>1.0663609999999999</v>
      </c>
      <c r="L7108">
        <v>4.790222</v>
      </c>
      <c r="M7108">
        <v>-8.0016180000000006E-2</v>
      </c>
      <c r="N7108">
        <v>-1.4924049999999999E-2</v>
      </c>
      <c r="O7108">
        <v>-0.99668190000000001</v>
      </c>
      <c r="P7108">
        <v>-0.23693220000000001</v>
      </c>
      <c r="Q7108">
        <v>-9.7261920000000002E-2</v>
      </c>
      <c r="R7108">
        <v>-0.96664550000000005</v>
      </c>
      <c r="S7108">
        <v>-0.45852660000000001</v>
      </c>
      <c r="T7108">
        <v>-0.34866599999999998</v>
      </c>
      <c r="U7108">
        <v>-2.9546199999999998</v>
      </c>
      <c r="V7108">
        <v>0.157829</v>
      </c>
      <c r="W7108">
        <v>-8.4459989999999999E-2</v>
      </c>
      <c r="X7108">
        <v>0.98384780000000005</v>
      </c>
      <c r="Y7108">
        <v>7.2925009999999998E-2</v>
      </c>
      <c r="Z7108">
        <v>0.101051</v>
      </c>
      <c r="AA7108">
        <v>0.992205</v>
      </c>
      <c r="AB7108">
        <v>16</v>
      </c>
      <c r="AC7108">
        <v>-9.1200000000014797E-2</v>
      </c>
      <c r="AD7108">
        <v>-8.9711700000000005E-2</v>
      </c>
      <c r="AE7108">
        <v>-0.59692800000000001</v>
      </c>
      <c r="AF7108">
        <v>4.2206723760566701E-2</v>
      </c>
      <c r="AG7108">
        <v>-8.9711700000000005E-2</v>
      </c>
      <c r="AH7108">
        <v>0.58930496237649199</v>
      </c>
      <c r="AI7108">
        <v>98.634072388498595</v>
      </c>
      <c r="AJ7108">
        <v>85.903403056054401</v>
      </c>
      <c r="AK7108">
        <v>0.59758675966678698</v>
      </c>
      <c r="AL7108">
        <v>94.844972967416894</v>
      </c>
      <c r="AM7108">
        <v>80.886253340398497</v>
      </c>
      <c r="AN7108">
        <v>0.99999998835832005</v>
      </c>
    </row>
    <row r="7109" spans="1:40" x14ac:dyDescent="0.25">
      <c r="A7109" t="str">
        <f>"20190303154320756"</f>
        <v>20190303154320756</v>
      </c>
      <c r="B7109" t="str">
        <f>"1551599000747238"</f>
        <v>1551599000747238</v>
      </c>
      <c r="C7109" t="s">
        <v>40</v>
      </c>
      <c r="D7109">
        <v>6.1341760000000001</v>
      </c>
      <c r="E7109">
        <v>0.46980040000000001</v>
      </c>
      <c r="F7109" t="s">
        <v>42</v>
      </c>
      <c r="G7109">
        <v>-298.6524</v>
      </c>
      <c r="H7109">
        <v>0.97991719999999904</v>
      </c>
      <c r="I7109">
        <v>4.0496109999999996</v>
      </c>
      <c r="J7109">
        <v>-298.56139999999999</v>
      </c>
      <c r="K7109">
        <v>1.0666469999999999</v>
      </c>
      <c r="L7109">
        <v>4.6271360000000001</v>
      </c>
      <c r="M7109">
        <v>-9.2343930000000005E-2</v>
      </c>
      <c r="N7109">
        <v>-1.4809910000000001E-2</v>
      </c>
      <c r="O7109">
        <v>-0.99561699999999997</v>
      </c>
      <c r="P7109">
        <v>-0.24186340000000001</v>
      </c>
      <c r="Q7109">
        <v>-9.5058249999999997E-2</v>
      </c>
      <c r="R7109">
        <v>-0.96564289999999997</v>
      </c>
      <c r="S7109">
        <v>-0.47479250000000001</v>
      </c>
      <c r="T7109">
        <v>-0.34411950000000002</v>
      </c>
      <c r="U7109">
        <v>-2.952515</v>
      </c>
      <c r="V7109">
        <v>0.15074409999999999</v>
      </c>
      <c r="W7109">
        <v>-8.2158800000000004E-2</v>
      </c>
      <c r="X7109">
        <v>0.98515280000000005</v>
      </c>
      <c r="Y7109">
        <v>6.6053089999999995E-2</v>
      </c>
      <c r="Z7109">
        <v>9.9565500000000001E-2</v>
      </c>
      <c r="AA7109">
        <v>0.99283619999999995</v>
      </c>
      <c r="AB7109">
        <v>16</v>
      </c>
      <c r="AC7109">
        <v>-9.1000000000008199E-2</v>
      </c>
      <c r="AD7109">
        <v>-8.6729799999999996E-2</v>
      </c>
      <c r="AE7109">
        <v>-0.57752499999999996</v>
      </c>
      <c r="AF7109">
        <v>3.64717058513798E-2</v>
      </c>
      <c r="AG7109">
        <v>-8.6729799999999996E-2</v>
      </c>
      <c r="AH7109">
        <v>0.57089774761133605</v>
      </c>
      <c r="AI7109">
        <v>98.620916270860505</v>
      </c>
      <c r="AJ7109">
        <v>86.344636279607101</v>
      </c>
      <c r="AK7109">
        <v>0.57859872257329303</v>
      </c>
      <c r="AL7109">
        <v>94.712664722609404</v>
      </c>
      <c r="AM7109">
        <v>81.300310405052102</v>
      </c>
      <c r="AN7109">
        <v>0.99999994572504303</v>
      </c>
    </row>
    <row r="7110" spans="1:40" x14ac:dyDescent="0.25">
      <c r="A7110" t="str">
        <f>"20190303154320779"</f>
        <v>20190303154320779</v>
      </c>
      <c r="B7110" t="str">
        <f>"1551599000767734"</f>
        <v>1551599000767734</v>
      </c>
      <c r="C7110" t="s">
        <v>40</v>
      </c>
      <c r="D7110">
        <v>6.4391119999999997</v>
      </c>
      <c r="E7110">
        <v>0.5092643</v>
      </c>
      <c r="F7110" t="s">
        <v>42</v>
      </c>
      <c r="G7110">
        <v>-298.68150000000003</v>
      </c>
      <c r="H7110">
        <v>0.98347879999999999</v>
      </c>
      <c r="I7110">
        <v>3.9062809999999999</v>
      </c>
      <c r="J7110">
        <v>-298.59120000000001</v>
      </c>
      <c r="K7110">
        <v>1.066953</v>
      </c>
      <c r="L7110">
        <v>4.4638369999999998</v>
      </c>
      <c r="M7110">
        <v>-0.104089</v>
      </c>
      <c r="N7110">
        <v>-1.468762E-2</v>
      </c>
      <c r="O7110">
        <v>-0.9944596</v>
      </c>
      <c r="P7110">
        <v>-0.2465802</v>
      </c>
      <c r="Q7110">
        <v>-9.3710059999999998E-2</v>
      </c>
      <c r="R7110">
        <v>-0.96458129999999997</v>
      </c>
      <c r="S7110">
        <v>-0.491394</v>
      </c>
      <c r="T7110">
        <v>-0.34038780000000002</v>
      </c>
      <c r="U7110">
        <v>-2.9501339999999998</v>
      </c>
      <c r="V7110">
        <v>0.1440004</v>
      </c>
      <c r="W7110">
        <v>-8.0725580000000005E-2</v>
      </c>
      <c r="X7110">
        <v>0.98627949999999998</v>
      </c>
      <c r="Y7110">
        <v>5.9867740000000003E-2</v>
      </c>
      <c r="Z7110">
        <v>9.8344470000000003E-2</v>
      </c>
      <c r="AA7110">
        <v>0.99334999999999996</v>
      </c>
      <c r="AB7110">
        <v>16</v>
      </c>
      <c r="AC7110">
        <v>-9.03000000000133E-2</v>
      </c>
      <c r="AD7110">
        <v>-8.3474199999999901E-2</v>
      </c>
      <c r="AE7110">
        <v>-0.55755599999999905</v>
      </c>
      <c r="AF7110">
        <v>3.1088656414399701E-2</v>
      </c>
      <c r="AG7110">
        <v>-8.3474199999999901E-2</v>
      </c>
      <c r="AH7110">
        <v>0.55187319486579001</v>
      </c>
      <c r="AI7110">
        <v>98.587727570834403</v>
      </c>
      <c r="AJ7110">
        <v>86.775766258939697</v>
      </c>
      <c r="AK7110">
        <v>0.55901562575179198</v>
      </c>
      <c r="AL7110">
        <v>94.630273335139805</v>
      </c>
      <c r="AM7110">
        <v>81.693300444220498</v>
      </c>
      <c r="AN7110">
        <v>0.99999999329337297</v>
      </c>
    </row>
    <row r="7111" spans="1:40" x14ac:dyDescent="0.25">
      <c r="A7111" t="str">
        <f>"20190303154320801"</f>
        <v>20190303154320801</v>
      </c>
      <c r="B7111" t="str">
        <f>"1551599000797013"</f>
        <v>1551599000797013</v>
      </c>
      <c r="C7111" t="s">
        <v>40</v>
      </c>
      <c r="D7111">
        <v>6.2097600000000002</v>
      </c>
      <c r="E7111">
        <v>0.57147550000000003</v>
      </c>
      <c r="F7111" t="s">
        <v>42</v>
      </c>
      <c r="G7111">
        <v>-298.82249999999999</v>
      </c>
      <c r="H7111">
        <v>0.96075489999999997</v>
      </c>
      <c r="I7111">
        <v>3.6456580000000001</v>
      </c>
      <c r="J7111">
        <v>-298.62200000000001</v>
      </c>
      <c r="K7111">
        <v>1.0672809999999999</v>
      </c>
      <c r="L7111">
        <v>4.3016360000000002</v>
      </c>
      <c r="M7111">
        <v>-0.1151293</v>
      </c>
      <c r="N7111">
        <v>-1.456173E-2</v>
      </c>
      <c r="O7111">
        <v>-0.99324389999999996</v>
      </c>
      <c r="P7111">
        <v>-0.249976</v>
      </c>
      <c r="Q7111">
        <v>-9.4387689999999996E-2</v>
      </c>
      <c r="R7111">
        <v>-0.96364070000000002</v>
      </c>
      <c r="S7111">
        <v>-0.81033330000000003</v>
      </c>
      <c r="T7111">
        <v>-0.37228080000000002</v>
      </c>
      <c r="U7111">
        <v>-2.8668520000000002</v>
      </c>
      <c r="V7111">
        <v>0.13659209999999999</v>
      </c>
      <c r="W7111">
        <v>-8.1320690000000001E-2</v>
      </c>
      <c r="X7111">
        <v>0.98728389999999999</v>
      </c>
      <c r="Y7111">
        <v>0.15757260000000001</v>
      </c>
      <c r="Z7111">
        <v>0.1100802</v>
      </c>
      <c r="AA7111">
        <v>0.98135269999999997</v>
      </c>
      <c r="AB7111">
        <v>16</v>
      </c>
      <c r="AC7111">
        <v>-0.200499999999976</v>
      </c>
      <c r="AD7111">
        <v>-0.106526099999999</v>
      </c>
      <c r="AE7111">
        <v>-0.65597799999999995</v>
      </c>
      <c r="AF7111">
        <v>0.120724544216108</v>
      </c>
      <c r="AG7111">
        <v>-0.106526099999999</v>
      </c>
      <c r="AH7111">
        <v>0.65881164876542497</v>
      </c>
      <c r="AI7111">
        <v>99.036976365404499</v>
      </c>
      <c r="AJ7111">
        <v>79.615988018095393</v>
      </c>
      <c r="AK7111">
        <v>0.67819983346091595</v>
      </c>
      <c r="AL7111">
        <v>94.664483173801898</v>
      </c>
      <c r="AM7111">
        <v>82.123053094825593</v>
      </c>
      <c r="AN7111">
        <v>0.99999997780184702</v>
      </c>
    </row>
    <row r="7112" spans="1:40" x14ac:dyDescent="0.25">
      <c r="A7112" t="str">
        <f>"20190303154320825"</f>
        <v>20190303154320825</v>
      </c>
      <c r="B7112" t="str">
        <f>"1551599000817510"</f>
        <v>1551599000817510</v>
      </c>
      <c r="C7112" t="s">
        <v>40</v>
      </c>
      <c r="D7112">
        <v>6.1486559999999999</v>
      </c>
      <c r="E7112">
        <v>0.57306250000000003</v>
      </c>
      <c r="F7112" t="s">
        <v>41</v>
      </c>
      <c r="G7112">
        <v>-302.98349999999999</v>
      </c>
      <c r="H7112" s="1">
        <v>-2.9526599999999901E-6</v>
      </c>
      <c r="I7112">
        <v>-4.8957230000000003</v>
      </c>
      <c r="J7112">
        <v>-298.65440000000001</v>
      </c>
      <c r="K7112">
        <v>1.06759</v>
      </c>
      <c r="L7112">
        <v>4.1362610000000002</v>
      </c>
      <c r="M7112">
        <v>-0.1258078</v>
      </c>
      <c r="N7112">
        <v>-1.44362E-2</v>
      </c>
      <c r="O7112">
        <v>-0.99194959999999999</v>
      </c>
      <c r="P7112">
        <v>-0.25317709999999999</v>
      </c>
      <c r="Q7112">
        <v>-9.5408750000000001E-2</v>
      </c>
      <c r="R7112">
        <v>-0.9627038</v>
      </c>
      <c r="S7112">
        <v>-1.3014220000000001</v>
      </c>
      <c r="T7112">
        <v>-0.3184652</v>
      </c>
      <c r="U7112">
        <v>-2.7443849999999999</v>
      </c>
      <c r="V7112">
        <v>0.12932560000000001</v>
      </c>
      <c r="W7112">
        <v>-8.2280290000000006E-2</v>
      </c>
      <c r="X7112">
        <v>0.98818260000000002</v>
      </c>
      <c r="Y7112">
        <v>0.30933159999999998</v>
      </c>
      <c r="Z7112">
        <v>9.1575030000000002E-2</v>
      </c>
      <c r="AA7112">
        <v>0.94653469999999995</v>
      </c>
      <c r="AB7112">
        <v>16</v>
      </c>
      <c r="AC7112">
        <v>-4.32909999999998</v>
      </c>
      <c r="AD7112">
        <v>-1.0675929526600001</v>
      </c>
      <c r="AE7112">
        <v>-9.0319839999999996</v>
      </c>
      <c r="AF7112">
        <v>3.1228045259643</v>
      </c>
      <c r="AG7112">
        <v>-1.0675929526600001</v>
      </c>
      <c r="AH7112">
        <v>9.3981217144889904</v>
      </c>
      <c r="AI7112">
        <v>96.152784727208797</v>
      </c>
      <c r="AJ7112">
        <v>71.6194031619968</v>
      </c>
      <c r="AK7112">
        <v>9.9607406642428895</v>
      </c>
      <c r="AL7112">
        <v>94.719648959740894</v>
      </c>
      <c r="AM7112">
        <v>82.543952257342596</v>
      </c>
      <c r="AN7112">
        <v>1.0000000039403001</v>
      </c>
    </row>
    <row r="7113" spans="1:40" x14ac:dyDescent="0.25">
      <c r="A7113" t="str">
        <f>"20190303154320844"</f>
        <v>20190303154320844</v>
      </c>
      <c r="B7113" t="str">
        <f>"1551599000837029"</f>
        <v>1551599000837029</v>
      </c>
      <c r="C7113" t="s">
        <v>40</v>
      </c>
      <c r="D7113">
        <v>6.1310260000000003</v>
      </c>
      <c r="E7113">
        <v>0.57342369999999898</v>
      </c>
      <c r="F7113" t="s">
        <v>41</v>
      </c>
      <c r="G7113">
        <v>-302.87689999999998</v>
      </c>
      <c r="H7113" s="1">
        <v>-3.0658630000000002E-6</v>
      </c>
      <c r="I7113">
        <v>-4.5962670000000001</v>
      </c>
      <c r="J7113">
        <v>-298.68270000000001</v>
      </c>
      <c r="K7113">
        <v>1.0678369999999999</v>
      </c>
      <c r="L7113">
        <v>3.9963989999999998</v>
      </c>
      <c r="M7113">
        <v>-0.13435459999999999</v>
      </c>
      <c r="N7113">
        <v>-1.4332930000000001E-2</v>
      </c>
      <c r="O7113">
        <v>-0.99082959999999998</v>
      </c>
      <c r="P7113">
        <v>-0.25500789999999901</v>
      </c>
      <c r="Q7113">
        <v>-9.6841339999999998E-2</v>
      </c>
      <c r="R7113">
        <v>-0.96207730000000002</v>
      </c>
      <c r="S7113">
        <v>-1.3226009999999999</v>
      </c>
      <c r="T7113">
        <v>-0.33439849999999999</v>
      </c>
      <c r="U7113">
        <v>-2.7352599999999998</v>
      </c>
      <c r="V7113">
        <v>0.1227515</v>
      </c>
      <c r="W7113">
        <v>-8.3669069999999998E-2</v>
      </c>
      <c r="X7113">
        <v>0.98890420000000001</v>
      </c>
      <c r="Y7113">
        <v>0.30808920000000001</v>
      </c>
      <c r="Z7113">
        <v>9.6919829999999998E-2</v>
      </c>
      <c r="AA7113">
        <v>0.94640769999999996</v>
      </c>
      <c r="AB7113">
        <v>16</v>
      </c>
      <c r="AC7113">
        <v>-4.1941999999999604</v>
      </c>
      <c r="AD7113">
        <v>-1.0678400658630001</v>
      </c>
      <c r="AE7113">
        <v>-8.5926659999999995</v>
      </c>
      <c r="AF7113">
        <v>2.9646063542800598</v>
      </c>
      <c r="AG7113">
        <v>-1.0678400658630001</v>
      </c>
      <c r="AH7113">
        <v>8.9664783596825899</v>
      </c>
      <c r="AI7113">
        <v>96.451167003799398</v>
      </c>
      <c r="AJ7113">
        <v>71.704451694799005</v>
      </c>
      <c r="AK7113">
        <v>9.5040468968095997</v>
      </c>
      <c r="AL7113">
        <v>94.799495650395897</v>
      </c>
      <c r="AM7113">
        <v>82.9241365770458</v>
      </c>
      <c r="AN7113">
        <v>0.999999980402277</v>
      </c>
    </row>
    <row r="7114" spans="1:40" x14ac:dyDescent="0.25">
      <c r="A7114" t="str">
        <f>"20190303154320866"</f>
        <v>20190303154320866</v>
      </c>
      <c r="B7114" t="str">
        <f>"1551599000857056"</f>
        <v>1551599000857056</v>
      </c>
      <c r="C7114" t="s">
        <v>40</v>
      </c>
      <c r="D7114">
        <v>6.1419199999999998</v>
      </c>
      <c r="E7114">
        <v>0.57356790000000002</v>
      </c>
      <c r="F7114" t="s">
        <v>41</v>
      </c>
      <c r="G7114">
        <v>-302.77659999999997</v>
      </c>
      <c r="H7114" s="1">
        <v>-3.1308359999999999E-6</v>
      </c>
      <c r="I7114">
        <v>-4.4023279999999998</v>
      </c>
      <c r="J7114">
        <v>-298.71440000000001</v>
      </c>
      <c r="K7114">
        <v>1.0681229999999999</v>
      </c>
      <c r="L7114">
        <v>3.843445</v>
      </c>
      <c r="M7114">
        <v>-0.1431114</v>
      </c>
      <c r="N7114">
        <v>-1.422122E-2</v>
      </c>
      <c r="O7114">
        <v>-0.9896045</v>
      </c>
      <c r="P7114">
        <v>-0.25704510000000003</v>
      </c>
      <c r="Q7114">
        <v>-9.8681279999999996E-2</v>
      </c>
      <c r="R7114">
        <v>-0.96134810000000004</v>
      </c>
      <c r="S7114">
        <v>-1.3309629999999999</v>
      </c>
      <c r="T7114">
        <v>-0.34716780000000003</v>
      </c>
      <c r="U7114">
        <v>-2.7305299999999999</v>
      </c>
      <c r="V7114">
        <v>0.11618050000000001</v>
      </c>
      <c r="W7114">
        <v>-8.5472729999999997E-2</v>
      </c>
      <c r="X7114">
        <v>0.98954359999999997</v>
      </c>
      <c r="Y7114">
        <v>0.30247239999999997</v>
      </c>
      <c r="Z7114">
        <v>0.1012332</v>
      </c>
      <c r="AA7114">
        <v>0.94776700000000003</v>
      </c>
      <c r="AB7114">
        <v>16</v>
      </c>
      <c r="AC7114">
        <v>-4.0621999999999598</v>
      </c>
      <c r="AD7114">
        <v>-1.0681261308359999</v>
      </c>
      <c r="AE7114">
        <v>-8.2457729999999998</v>
      </c>
      <c r="AF7114">
        <v>2.8023551126387001</v>
      </c>
      <c r="AG7114">
        <v>-1.0681261308359999</v>
      </c>
      <c r="AH7114">
        <v>8.6258134164926794</v>
      </c>
      <c r="AI7114">
        <v>96.7167720568265</v>
      </c>
      <c r="AJ7114">
        <v>72.002052155881501</v>
      </c>
      <c r="AK7114">
        <v>9.1322913173448494</v>
      </c>
      <c r="AL7114">
        <v>94.903209154414498</v>
      </c>
      <c r="AM7114">
        <v>83.303664213384806</v>
      </c>
      <c r="AN7114">
        <v>1.0000000162274301</v>
      </c>
    </row>
    <row r="7115" spans="1:40" x14ac:dyDescent="0.25">
      <c r="A7115" t="str">
        <f>"20190303154320889"</f>
        <v>20190303154320889</v>
      </c>
      <c r="B7115" t="str">
        <f>"1551599000877553"</f>
        <v>1551599000877553</v>
      </c>
      <c r="C7115" t="s">
        <v>40</v>
      </c>
      <c r="D7115">
        <v>6.2796629999999896</v>
      </c>
      <c r="E7115">
        <v>0.57231239999999906</v>
      </c>
      <c r="F7115" t="s">
        <v>41</v>
      </c>
      <c r="G7115">
        <v>-302.65750000000003</v>
      </c>
      <c r="H7115" s="1">
        <v>-3.198079E-6</v>
      </c>
      <c r="I7115">
        <v>-4.193066</v>
      </c>
      <c r="J7115">
        <v>-298.7473</v>
      </c>
      <c r="K7115">
        <v>1.0683910000000001</v>
      </c>
      <c r="L7115">
        <v>3.6879580000000001</v>
      </c>
      <c r="M7115">
        <v>-0.15138399999999999</v>
      </c>
      <c r="N7115">
        <v>-1.397204E-2</v>
      </c>
      <c r="O7115">
        <v>-0.98837629999999999</v>
      </c>
      <c r="P7115">
        <v>-0.2587275</v>
      </c>
      <c r="Q7115">
        <v>-0.1007444</v>
      </c>
      <c r="R7115">
        <v>-0.96068249999999999</v>
      </c>
      <c r="S7115">
        <v>-1.3374330000000001</v>
      </c>
      <c r="T7115">
        <v>-0.3622879</v>
      </c>
      <c r="U7115">
        <v>-2.7258300000000002</v>
      </c>
      <c r="V7115">
        <v>0.1097245</v>
      </c>
      <c r="W7115">
        <v>-8.7643369999999998E-2</v>
      </c>
      <c r="X7115">
        <v>0.99009049999999998</v>
      </c>
      <c r="Y7115">
        <v>0.29671629999999999</v>
      </c>
      <c r="Z7115">
        <v>0.1064518</v>
      </c>
      <c r="AA7115">
        <v>0.94901389999999997</v>
      </c>
      <c r="AB7115">
        <v>16</v>
      </c>
      <c r="AC7115">
        <v>-3.9102000000000299</v>
      </c>
      <c r="AD7115">
        <v>-1.0683941980789999</v>
      </c>
      <c r="AE7115">
        <v>-7.881024</v>
      </c>
      <c r="AF7115">
        <v>2.6331167159576099</v>
      </c>
      <c r="AG7115">
        <v>-1.0683941980789999</v>
      </c>
      <c r="AH7115">
        <v>8.2603567675413299</v>
      </c>
      <c r="AI7115">
        <v>97.025174177091003</v>
      </c>
      <c r="AJ7115">
        <v>72.319513097305801</v>
      </c>
      <c r="AK7115">
        <v>8.7354601326667396</v>
      </c>
      <c r="AL7115">
        <v>95.028046246096196</v>
      </c>
      <c r="AM7115">
        <v>83.676132128901102</v>
      </c>
      <c r="AN7115">
        <v>1.0000000121977199</v>
      </c>
    </row>
    <row r="7116" spans="1:40" x14ac:dyDescent="0.25">
      <c r="A7116" t="str">
        <f>"20190303154320911"</f>
        <v>20190303154320911</v>
      </c>
      <c r="B7116" t="str">
        <f>"1551599000907808"</f>
        <v>1551599000907808</v>
      </c>
      <c r="C7116" t="s">
        <v>40</v>
      </c>
      <c r="D7116">
        <v>6.2390040000000004</v>
      </c>
      <c r="E7116">
        <v>0.5716675</v>
      </c>
      <c r="F7116" t="s">
        <v>41</v>
      </c>
      <c r="G7116">
        <v>-302.42899999999997</v>
      </c>
      <c r="H7116" s="1">
        <v>-3.3046769999999999E-6</v>
      </c>
      <c r="I7116">
        <v>-3.8389310000000001</v>
      </c>
      <c r="J7116">
        <v>-298.78129999999999</v>
      </c>
      <c r="K7116">
        <v>1.0686469999999999</v>
      </c>
      <c r="L7116">
        <v>3.529633</v>
      </c>
      <c r="M7116">
        <v>-0.15910859999999999</v>
      </c>
      <c r="N7116">
        <v>-1.357978E-2</v>
      </c>
      <c r="O7116">
        <v>-0.98716789999999999</v>
      </c>
      <c r="P7116">
        <v>-0.26034079999999998</v>
      </c>
      <c r="Q7116">
        <v>-0.1016827</v>
      </c>
      <c r="R7116">
        <v>-0.960148</v>
      </c>
      <c r="S7116">
        <v>-1.3321529999999999</v>
      </c>
      <c r="T7116">
        <v>-0.38658090000000001</v>
      </c>
      <c r="U7116">
        <v>-2.7234799999999999</v>
      </c>
      <c r="V7116">
        <v>0.1037286</v>
      </c>
      <c r="W7116">
        <v>-8.8841130000000004E-2</v>
      </c>
      <c r="X7116">
        <v>0.99062989999999995</v>
      </c>
      <c r="Y7116">
        <v>0.28766760000000002</v>
      </c>
      <c r="Z7116">
        <v>0.11486059999999999</v>
      </c>
      <c r="AA7116">
        <v>0.95081780000000005</v>
      </c>
      <c r="AB7116">
        <v>16</v>
      </c>
      <c r="AC7116">
        <v>-3.6477000000000399</v>
      </c>
      <c r="AD7116">
        <v>-1.068650304677</v>
      </c>
      <c r="AE7116">
        <v>-7.3685639999999903</v>
      </c>
      <c r="AF7116">
        <v>2.3883664300805201</v>
      </c>
      <c r="AG7116">
        <v>-1.068650304677</v>
      </c>
      <c r="AH7116">
        <v>7.7246184445726804</v>
      </c>
      <c r="AI7116">
        <v>97.529145538339193</v>
      </c>
      <c r="AJ7116">
        <v>72.818970656916505</v>
      </c>
      <c r="AK7116">
        <v>8.1557364960041703</v>
      </c>
      <c r="AL7116">
        <v>95.096941745198194</v>
      </c>
      <c r="AM7116">
        <v>84.022356823498697</v>
      </c>
      <c r="AN7116">
        <v>0.999999983805823</v>
      </c>
    </row>
    <row r="7117" spans="1:40" x14ac:dyDescent="0.25">
      <c r="A7117" t="str">
        <f>"20190303154320934"</f>
        <v>20190303154320934</v>
      </c>
      <c r="B7117" t="str">
        <f>"1551599000927328"</f>
        <v>1551599000927328</v>
      </c>
      <c r="C7117" t="s">
        <v>40</v>
      </c>
      <c r="D7117">
        <v>6.2064690000000002</v>
      </c>
      <c r="E7117">
        <v>0.57169419999999904</v>
      </c>
      <c r="F7117" t="s">
        <v>41</v>
      </c>
      <c r="G7117">
        <v>-302.39589999999998</v>
      </c>
      <c r="H7117" s="1">
        <v>-3.2872110000000001E-6</v>
      </c>
      <c r="I7117">
        <v>-3.8572479999999998</v>
      </c>
      <c r="J7117">
        <v>-298.81509999999997</v>
      </c>
      <c r="K7117">
        <v>1.0689879999999901</v>
      </c>
      <c r="L7117">
        <v>3.374695</v>
      </c>
      <c r="M7117">
        <v>-0.16589479999999901</v>
      </c>
      <c r="N7117">
        <v>-1.329604E-2</v>
      </c>
      <c r="O7117">
        <v>-0.98605390000000004</v>
      </c>
      <c r="P7117">
        <v>-0.2610074</v>
      </c>
      <c r="Q7117">
        <v>-0.1005914</v>
      </c>
      <c r="R7117">
        <v>-0.96008179999999999</v>
      </c>
      <c r="S7117">
        <v>-1.3317870000000001</v>
      </c>
      <c r="T7117">
        <v>-0.39374599999999998</v>
      </c>
      <c r="U7117">
        <v>-2.7217099999999999</v>
      </c>
      <c r="V7117">
        <v>9.7672019999999998E-2</v>
      </c>
      <c r="W7117">
        <v>-8.7900229999999996E-2</v>
      </c>
      <c r="X7117">
        <v>0.99132929999999997</v>
      </c>
      <c r="Y7117">
        <v>0.28109040000000002</v>
      </c>
      <c r="Z7117">
        <v>0.1174728</v>
      </c>
      <c r="AA7117">
        <v>0.95246430000000004</v>
      </c>
      <c r="AB7117">
        <v>16</v>
      </c>
      <c r="AC7117">
        <v>-3.5808</v>
      </c>
      <c r="AD7117">
        <v>-1.0689912872109999</v>
      </c>
      <c r="AE7117">
        <v>-7.2319429999999896</v>
      </c>
      <c r="AF7117">
        <v>2.2911226838462699</v>
      </c>
      <c r="AG7117">
        <v>-1.0689912872109999</v>
      </c>
      <c r="AH7117">
        <v>7.5925739767470697</v>
      </c>
      <c r="AI7117">
        <v>97.676692156256394</v>
      </c>
      <c r="AJ7117">
        <v>73.208372389446296</v>
      </c>
      <c r="AK7117">
        <v>8.0024474454347292</v>
      </c>
      <c r="AL7117">
        <v>95.042820181312706</v>
      </c>
      <c r="AM7117">
        <v>84.373019099345697</v>
      </c>
      <c r="AN7117">
        <v>1.00000002748171</v>
      </c>
    </row>
    <row r="7118" spans="1:40" x14ac:dyDescent="0.25">
      <c r="A7118" t="str">
        <f>"20190303154320957"</f>
        <v>20190303154320957</v>
      </c>
      <c r="B7118" t="str">
        <f>"1551599000947357"</f>
        <v>1551599000947357</v>
      </c>
      <c r="C7118" t="s">
        <v>40</v>
      </c>
      <c r="D7118">
        <v>6.2171000000000003</v>
      </c>
      <c r="E7118">
        <v>0.57170469999999995</v>
      </c>
      <c r="F7118" t="s">
        <v>41</v>
      </c>
      <c r="G7118">
        <v>-302.48849999999999</v>
      </c>
      <c r="H7118" s="1">
        <v>-3.188254E-6</v>
      </c>
      <c r="I7118">
        <v>-4.1186930000000004</v>
      </c>
      <c r="J7118">
        <v>-298.84989999999999</v>
      </c>
      <c r="K7118">
        <v>1.0694490000000001</v>
      </c>
      <c r="L7118">
        <v>3.2160950000000001</v>
      </c>
      <c r="M7118">
        <v>-0.172039</v>
      </c>
      <c r="N7118">
        <v>-1.316721E-2</v>
      </c>
      <c r="O7118">
        <v>-0.98500209999999999</v>
      </c>
      <c r="P7118">
        <v>-0.26153850000000001</v>
      </c>
      <c r="Q7118">
        <v>-9.7985000000000003E-2</v>
      </c>
      <c r="R7118">
        <v>-0.96020640000000002</v>
      </c>
      <c r="S7118">
        <v>-1.3340449999999999</v>
      </c>
      <c r="T7118">
        <v>-0.3882256</v>
      </c>
      <c r="U7118">
        <v>-2.7213750000000001</v>
      </c>
      <c r="V7118">
        <v>9.2099310000000004E-2</v>
      </c>
      <c r="W7118">
        <v>-8.5289009999999998E-2</v>
      </c>
      <c r="X7118">
        <v>0.99209049999999999</v>
      </c>
      <c r="Y7118">
        <v>0.27589229999999998</v>
      </c>
      <c r="Z7118">
        <v>0.115706</v>
      </c>
      <c r="AA7118">
        <v>0.95419889999999996</v>
      </c>
      <c r="AB7118">
        <v>16</v>
      </c>
      <c r="AC7118">
        <v>-3.6385999999999901</v>
      </c>
      <c r="AD7118">
        <v>-1.06945218825399</v>
      </c>
      <c r="AE7118">
        <v>-7.3347879999999996</v>
      </c>
      <c r="AF7118">
        <v>2.2834038601642201</v>
      </c>
      <c r="AG7118">
        <v>-1.06945218825399</v>
      </c>
      <c r="AH7118">
        <v>7.7197390251793401</v>
      </c>
      <c r="AI7118">
        <v>97.567165238954303</v>
      </c>
      <c r="AJ7118">
        <v>73.522430873601493</v>
      </c>
      <c r="AK7118">
        <v>8.1210856286860498</v>
      </c>
      <c r="AL7118">
        <v>94.892644131381203</v>
      </c>
      <c r="AM7118">
        <v>84.696229067985101</v>
      </c>
      <c r="AN7118">
        <v>1.0000000291597499</v>
      </c>
    </row>
    <row r="7119" spans="1:40" x14ac:dyDescent="0.25">
      <c r="A7119" t="str">
        <f>"20190303154320979"</f>
        <v>20190303154320979</v>
      </c>
      <c r="B7119" t="str">
        <f>"1551599000967854"</f>
        <v>1551599000967854</v>
      </c>
      <c r="C7119" t="s">
        <v>40</v>
      </c>
      <c r="D7119">
        <v>6.2062150000000003</v>
      </c>
      <c r="E7119">
        <v>0.57135859999999905</v>
      </c>
      <c r="F7119" t="s">
        <v>41</v>
      </c>
      <c r="G7119">
        <v>-302.63080000000002</v>
      </c>
      <c r="H7119" s="1">
        <v>-3.052093E-6</v>
      </c>
      <c r="I7119">
        <v>-4.4868350000000001</v>
      </c>
      <c r="J7119">
        <v>-298.88380000000001</v>
      </c>
      <c r="K7119">
        <v>1.06989</v>
      </c>
      <c r="L7119">
        <v>3.061401</v>
      </c>
      <c r="M7119">
        <v>-0.17727760000000001</v>
      </c>
      <c r="N7119">
        <v>-1.3066690000000001E-2</v>
      </c>
      <c r="O7119">
        <v>-0.98407440000000002</v>
      </c>
      <c r="P7119">
        <v>-0.2607738</v>
      </c>
      <c r="Q7119">
        <v>-9.4654199999999994E-2</v>
      </c>
      <c r="R7119">
        <v>-0.96074870000000001</v>
      </c>
      <c r="S7119">
        <v>-1.3359989999999999</v>
      </c>
      <c r="T7119">
        <v>-0.37789539999999999</v>
      </c>
      <c r="U7119">
        <v>-2.7218629999999999</v>
      </c>
      <c r="V7119">
        <v>8.6069510000000002E-2</v>
      </c>
      <c r="W7119">
        <v>-8.1939239999999997E-2</v>
      </c>
      <c r="X7119">
        <v>0.99291390000000002</v>
      </c>
      <c r="Y7119">
        <v>0.27144559999999901</v>
      </c>
      <c r="Z7119">
        <v>0.1123243</v>
      </c>
      <c r="AA7119">
        <v>0.95587679999999997</v>
      </c>
      <c r="AB7119">
        <v>16</v>
      </c>
      <c r="AC7119">
        <v>-3.7470000000000101</v>
      </c>
      <c r="AD7119">
        <v>-1.0698930520929999</v>
      </c>
      <c r="AE7119">
        <v>-7.5482360000000002</v>
      </c>
      <c r="AF7119">
        <v>2.3121255366050302</v>
      </c>
      <c r="AG7119">
        <v>-1.0698930520929999</v>
      </c>
      <c r="AH7119">
        <v>7.9645962922207501</v>
      </c>
      <c r="AI7119">
        <v>97.350851022156803</v>
      </c>
      <c r="AJ7119">
        <v>73.811965504309001</v>
      </c>
      <c r="AK7119">
        <v>8.3621402606028106</v>
      </c>
      <c r="AL7119">
        <v>94.700042016551905</v>
      </c>
      <c r="AM7119">
        <v>85.045770461017199</v>
      </c>
      <c r="AN7119">
        <v>1.0000000062083101</v>
      </c>
    </row>
    <row r="7120" spans="1:40" x14ac:dyDescent="0.25">
      <c r="A7120" t="str">
        <f>"20190303154321002"</f>
        <v>20190303154321002</v>
      </c>
      <c r="B7120" t="str">
        <f>"1551599000997133"</f>
        <v>1551599000997133</v>
      </c>
      <c r="C7120" t="s">
        <v>40</v>
      </c>
      <c r="D7120">
        <v>6.1422829999999999</v>
      </c>
      <c r="E7120">
        <v>0.57128509999999999</v>
      </c>
      <c r="F7120" t="s">
        <v>41</v>
      </c>
      <c r="G7120">
        <v>-302.72539999999998</v>
      </c>
      <c r="H7120" s="1">
        <v>-2.929933E-6</v>
      </c>
      <c r="I7120">
        <v>-4.7985419999999896</v>
      </c>
      <c r="J7120">
        <v>-298.91739999999999</v>
      </c>
      <c r="K7120">
        <v>1.070198</v>
      </c>
      <c r="L7120">
        <v>2.9083559999999999</v>
      </c>
      <c r="M7120">
        <v>-0.18191789999999999</v>
      </c>
      <c r="N7120">
        <v>-1.291978E-2</v>
      </c>
      <c r="O7120">
        <v>-0.98322900000000002</v>
      </c>
      <c r="P7120">
        <v>-0.25959159999999998</v>
      </c>
      <c r="Q7120">
        <v>-9.1095049999999997E-2</v>
      </c>
      <c r="R7120">
        <v>-0.96141259999999995</v>
      </c>
      <c r="S7120">
        <v>-1.3316650000000001</v>
      </c>
      <c r="T7120">
        <v>-0.3708688</v>
      </c>
      <c r="U7120">
        <v>-2.7245789999999999</v>
      </c>
      <c r="V7120">
        <v>8.0172590000000002E-2</v>
      </c>
      <c r="W7120">
        <v>-7.8441529999999995E-2</v>
      </c>
      <c r="X7120">
        <v>0.99368970000000001</v>
      </c>
      <c r="Y7120">
        <v>0.26542139999999997</v>
      </c>
      <c r="Z7120">
        <v>0.11007020000000001</v>
      </c>
      <c r="AA7120">
        <v>0.95782880000000004</v>
      </c>
      <c r="AB7120">
        <v>16</v>
      </c>
      <c r="AC7120">
        <v>-3.8079999999999901</v>
      </c>
      <c r="AD7120">
        <v>-1.070200929933</v>
      </c>
      <c r="AE7120">
        <v>-7.70689799999999</v>
      </c>
      <c r="AF7120">
        <v>2.3065591621984001</v>
      </c>
      <c r="AG7120">
        <v>-1.070200929933</v>
      </c>
      <c r="AH7120">
        <v>8.1448413303451908</v>
      </c>
      <c r="AI7120">
        <v>97.205360311959893</v>
      </c>
      <c r="AJ7120">
        <v>74.1882681385799</v>
      </c>
      <c r="AK7120">
        <v>8.5325251535316404</v>
      </c>
      <c r="AL7120">
        <v>94.498990586939101</v>
      </c>
      <c r="AM7120">
        <v>85.387269799856497</v>
      </c>
      <c r="AN7120">
        <v>0.99999996885106901</v>
      </c>
    </row>
    <row r="7121" spans="1:40" x14ac:dyDescent="0.25">
      <c r="A7121" t="str">
        <f>"20190303154321025"</f>
        <v>20190303154321025</v>
      </c>
      <c r="B7121" t="str">
        <f>"1551599001017629"</f>
        <v>1551599001017629</v>
      </c>
      <c r="C7121" t="s">
        <v>40</v>
      </c>
      <c r="D7121">
        <v>6.1390659999999997</v>
      </c>
      <c r="E7121">
        <v>0.571273699999999</v>
      </c>
      <c r="F7121" t="s">
        <v>41</v>
      </c>
      <c r="G7121">
        <v>-302.86840000000001</v>
      </c>
      <c r="H7121" s="1">
        <v>-2.7740040000000001E-6</v>
      </c>
      <c r="I7121">
        <v>-5.2088979999999996</v>
      </c>
      <c r="J7121">
        <v>-298.9529</v>
      </c>
      <c r="K7121">
        <v>1.0703910000000001</v>
      </c>
      <c r="L7121">
        <v>2.7467039999999998</v>
      </c>
      <c r="M7121">
        <v>-0.1862888</v>
      </c>
      <c r="N7121">
        <v>-1.2760270000000001E-2</v>
      </c>
      <c r="O7121">
        <v>-0.98241230000000002</v>
      </c>
      <c r="P7121">
        <v>-0.25778109999999999</v>
      </c>
      <c r="Q7121">
        <v>-9.1585280000000005E-2</v>
      </c>
      <c r="R7121">
        <v>-0.96185319999999996</v>
      </c>
      <c r="S7121">
        <v>-1.3277589999999999</v>
      </c>
      <c r="T7121">
        <v>-0.35964249999999998</v>
      </c>
      <c r="U7121">
        <v>-2.727814</v>
      </c>
      <c r="V7121">
        <v>7.3930570000000001E-2</v>
      </c>
      <c r="W7121">
        <v>-7.9037850000000007E-2</v>
      </c>
      <c r="X7121">
        <v>0.99412639999999997</v>
      </c>
      <c r="Y7121">
        <v>0.25976189999999999</v>
      </c>
      <c r="Z7121">
        <v>0.1064363</v>
      </c>
      <c r="AA7121">
        <v>0.95978909999999995</v>
      </c>
      <c r="AB7121">
        <v>16</v>
      </c>
      <c r="AC7121">
        <v>-3.9155000000000002</v>
      </c>
      <c r="AD7121">
        <v>-1.0703937740039999</v>
      </c>
      <c r="AE7121">
        <v>-7.9556019999999998</v>
      </c>
      <c r="AF7121">
        <v>2.3308217412771102</v>
      </c>
      <c r="AG7121">
        <v>-1.0703937740039999</v>
      </c>
      <c r="AH7121">
        <v>8.4230434837161106</v>
      </c>
      <c r="AI7121">
        <v>96.982608797355496</v>
      </c>
      <c r="AJ7121">
        <v>74.532187138289004</v>
      </c>
      <c r="AK7121">
        <v>8.8048926370290808</v>
      </c>
      <c r="AL7121">
        <v>94.5332634538874</v>
      </c>
      <c r="AM7121">
        <v>85.746892407219903</v>
      </c>
      <c r="AN7121">
        <v>1.0000000050450499</v>
      </c>
    </row>
    <row r="7122" spans="1:40" x14ac:dyDescent="0.25">
      <c r="A7122" t="str">
        <f>"20190303154321044"</f>
        <v>20190303154321044</v>
      </c>
      <c r="B7122" t="str">
        <f>"1551599001037149"</f>
        <v>1551599001037149</v>
      </c>
      <c r="C7122" t="s">
        <v>40</v>
      </c>
      <c r="D7122">
        <v>6.0598869999999998</v>
      </c>
      <c r="E7122">
        <v>0.57107259999999904</v>
      </c>
      <c r="F7122" t="s">
        <v>41</v>
      </c>
      <c r="G7122">
        <v>-302.87979999999999</v>
      </c>
      <c r="H7122" s="1">
        <v>-2.705501E-6</v>
      </c>
      <c r="I7122">
        <v>-5.3602069999999999</v>
      </c>
      <c r="J7122">
        <v>-298.9853</v>
      </c>
      <c r="K7122">
        <v>1.070495</v>
      </c>
      <c r="L7122">
        <v>2.6001889999999999</v>
      </c>
      <c r="M7122">
        <v>-0.1898427</v>
      </c>
      <c r="N7122">
        <v>-1.2657119999999999E-2</v>
      </c>
      <c r="O7122">
        <v>-0.98173290000000002</v>
      </c>
      <c r="P7122">
        <v>-0.25397629999999999</v>
      </c>
      <c r="Q7122">
        <v>-9.4114870000000003E-2</v>
      </c>
      <c r="R7122">
        <v>-0.96262060000000005</v>
      </c>
      <c r="S7122">
        <v>-1.322479</v>
      </c>
      <c r="T7122">
        <v>-0.36048439999999998</v>
      </c>
      <c r="U7122">
        <v>-2.7302249999999999</v>
      </c>
      <c r="V7122">
        <v>6.6468089999999994E-2</v>
      </c>
      <c r="W7122">
        <v>-8.1638699999999995E-2</v>
      </c>
      <c r="X7122">
        <v>0.99444310000000002</v>
      </c>
      <c r="Y7122">
        <v>0.25441979999999997</v>
      </c>
      <c r="Z7122">
        <v>0.1067343</v>
      </c>
      <c r="AA7122">
        <v>0.96118590000000004</v>
      </c>
      <c r="AB7122">
        <v>16</v>
      </c>
      <c r="AC7122">
        <v>-3.8944999999999901</v>
      </c>
      <c r="AD7122">
        <v>-1.0704977055010001</v>
      </c>
      <c r="AE7122">
        <v>-7.9603959999999896</v>
      </c>
      <c r="AF7122">
        <v>2.2790654025107502</v>
      </c>
      <c r="AG7122">
        <v>-1.0704977055010001</v>
      </c>
      <c r="AH7122">
        <v>8.4319731640283209</v>
      </c>
      <c r="AI7122">
        <v>96.987270268111601</v>
      </c>
      <c r="AJ7122">
        <v>74.875019159702006</v>
      </c>
      <c r="AK7122">
        <v>8.7999020383921405</v>
      </c>
      <c r="AL7122">
        <v>94.682764572364604</v>
      </c>
      <c r="AM7122">
        <v>86.1760658776968</v>
      </c>
      <c r="AN7122">
        <v>0.99999998173177296</v>
      </c>
    </row>
    <row r="7123" spans="1:40" x14ac:dyDescent="0.25">
      <c r="A7123" t="str">
        <f>"20190303154321067"</f>
        <v>20190303154321067</v>
      </c>
      <c r="B7123" t="str">
        <f>"1551599001057645"</f>
        <v>1551599001057645</v>
      </c>
      <c r="C7123" t="s">
        <v>40</v>
      </c>
      <c r="D7123">
        <v>6.2273540000000001</v>
      </c>
      <c r="E7123">
        <v>0.57076780000000005</v>
      </c>
      <c r="F7123" t="s">
        <v>41</v>
      </c>
      <c r="G7123">
        <v>-302.7679</v>
      </c>
      <c r="H7123" s="1">
        <v>-2.707219E-6</v>
      </c>
      <c r="I7123">
        <v>-5.2936249999999996</v>
      </c>
      <c r="J7123">
        <v>-299.01929999999999</v>
      </c>
      <c r="K7123">
        <v>1.070557</v>
      </c>
      <c r="L7123">
        <v>2.447479</v>
      </c>
      <c r="M7123">
        <v>-0.1932237</v>
      </c>
      <c r="N7123">
        <v>-1.2588429999999999E-2</v>
      </c>
      <c r="O7123">
        <v>-0.981074</v>
      </c>
      <c r="P7123">
        <v>-0.2474817</v>
      </c>
      <c r="Q7123">
        <v>-9.3970780000000004E-2</v>
      </c>
      <c r="R7123">
        <v>-0.96432499999999999</v>
      </c>
      <c r="S7123">
        <v>-1.3103640000000001</v>
      </c>
      <c r="T7123">
        <v>-0.37083519999999998</v>
      </c>
      <c r="U7123">
        <v>-2.7345280000000001</v>
      </c>
      <c r="V7123">
        <v>5.6353920000000002E-2</v>
      </c>
      <c r="W7123">
        <v>-8.1532510000000002E-2</v>
      </c>
      <c r="X7123">
        <v>0.99507619999999997</v>
      </c>
      <c r="Y7123">
        <v>0.2468709</v>
      </c>
      <c r="Z7123">
        <v>0.1101061</v>
      </c>
      <c r="AA7123">
        <v>0.96277279999999998</v>
      </c>
      <c r="AB7123">
        <v>16</v>
      </c>
      <c r="AC7123">
        <v>-3.7486000000000002</v>
      </c>
      <c r="AD7123">
        <v>-1.0705597072190001</v>
      </c>
      <c r="AE7123">
        <v>-7.7411039999999902</v>
      </c>
      <c r="AF7123">
        <v>2.1487718157195599</v>
      </c>
      <c r="AG7123">
        <v>-1.0705597072190001</v>
      </c>
      <c r="AH7123">
        <v>8.19264704477024</v>
      </c>
      <c r="AI7123">
        <v>97.203870537875204</v>
      </c>
      <c r="AJ7123">
        <v>75.303460776000406</v>
      </c>
      <c r="AK7123">
        <v>8.5371414421300305</v>
      </c>
      <c r="AL7123">
        <v>94.676659994902295</v>
      </c>
      <c r="AM7123">
        <v>86.758643730359196</v>
      </c>
      <c r="AN7123">
        <v>0.99999997914635297</v>
      </c>
    </row>
    <row r="7124" spans="1:40" x14ac:dyDescent="0.25">
      <c r="A7124" t="str">
        <f>"20190303154321089"</f>
        <v>20190303154321089</v>
      </c>
      <c r="B7124" t="str">
        <f>"1551599001087901"</f>
        <v>1551599001087901</v>
      </c>
      <c r="C7124" t="s">
        <v>40</v>
      </c>
      <c r="D7124">
        <v>5.9952100000000002</v>
      </c>
      <c r="E7124">
        <v>0.52395809999999998</v>
      </c>
      <c r="F7124" t="s">
        <v>41</v>
      </c>
      <c r="G7124">
        <v>-302.75099999999998</v>
      </c>
      <c r="H7124" s="1">
        <v>-2.6115209999999998E-6</v>
      </c>
      <c r="I7124">
        <v>-5.4865300000000001</v>
      </c>
      <c r="J7124">
        <v>-299.05349999999999</v>
      </c>
      <c r="K7124">
        <v>1.0705739999999999</v>
      </c>
      <c r="L7124">
        <v>2.294403</v>
      </c>
      <c r="M7124">
        <v>-0.1963925</v>
      </c>
      <c r="N7124">
        <v>-1.253141E-2</v>
      </c>
      <c r="O7124">
        <v>-0.98044529999999996</v>
      </c>
      <c r="P7124">
        <v>-0.23933009999999999</v>
      </c>
      <c r="Q7124">
        <v>-9.0583940000000002E-2</v>
      </c>
      <c r="R7124">
        <v>-0.96670370000000005</v>
      </c>
      <c r="S7124">
        <v>-1.290497</v>
      </c>
      <c r="T7124">
        <v>-0.37021759999999998</v>
      </c>
      <c r="U7124">
        <v>-2.7437130000000001</v>
      </c>
      <c r="V7124">
        <v>4.4692219999999998E-2</v>
      </c>
      <c r="W7124">
        <v>-7.8171389999999993E-2</v>
      </c>
      <c r="X7124">
        <v>0.99593759999999998</v>
      </c>
      <c r="Y7124">
        <v>0.2367998</v>
      </c>
      <c r="Z7124">
        <v>0.1098148</v>
      </c>
      <c r="AA7124">
        <v>0.96533230000000003</v>
      </c>
      <c r="AB7124">
        <v>16</v>
      </c>
      <c r="AC7124">
        <v>-3.69749999999999</v>
      </c>
      <c r="AD7124">
        <v>-1.07057661152099</v>
      </c>
      <c r="AE7124">
        <v>-7.7809330000000001</v>
      </c>
      <c r="AF7124">
        <v>2.06534794516288</v>
      </c>
      <c r="AG7124">
        <v>-1.07057661152099</v>
      </c>
      <c r="AH7124">
        <v>8.2285188431021705</v>
      </c>
      <c r="AI7124">
        <v>97.192212181317004</v>
      </c>
      <c r="AJ7124">
        <v>75.909911161033705</v>
      </c>
      <c r="AK7124">
        <v>8.5510419696673097</v>
      </c>
      <c r="AL7124">
        <v>94.483465196666103</v>
      </c>
      <c r="AM7124">
        <v>87.430603255746902</v>
      </c>
      <c r="AN7124">
        <v>0.99999993191840797</v>
      </c>
    </row>
    <row r="7125" spans="1:40" x14ac:dyDescent="0.25">
      <c r="A7125" t="str">
        <f>"20190303154321113"</f>
        <v>20190303154321113</v>
      </c>
      <c r="B7125" t="str">
        <f>"1551599001107426"</f>
        <v>1551599001107426</v>
      </c>
      <c r="C7125" t="s">
        <v>40</v>
      </c>
      <c r="D7125">
        <v>5.9757189999999998</v>
      </c>
      <c r="E7125">
        <v>0.51351040000000003</v>
      </c>
      <c r="F7125" t="s">
        <v>42</v>
      </c>
      <c r="G7125">
        <v>-299.28550000000001</v>
      </c>
      <c r="H7125">
        <v>0.96914659999999997</v>
      </c>
      <c r="I7125">
        <v>1.567849</v>
      </c>
      <c r="J7125">
        <v>-299.08940000000001</v>
      </c>
      <c r="K7125">
        <v>1.070581</v>
      </c>
      <c r="L7125">
        <v>2.135284</v>
      </c>
      <c r="M7125">
        <v>-0.19952819999999999</v>
      </c>
      <c r="N7125">
        <v>-1.247172E-2</v>
      </c>
      <c r="O7125">
        <v>-0.97981269999999998</v>
      </c>
      <c r="P7125">
        <v>-0.2341481</v>
      </c>
      <c r="Q7125">
        <v>-8.5939909999999994E-2</v>
      </c>
      <c r="R7125">
        <v>-0.96839509999999995</v>
      </c>
      <c r="S7125">
        <v>-0.90631099999999998</v>
      </c>
      <c r="T7125">
        <v>-0.39618379999999997</v>
      </c>
      <c r="U7125">
        <v>-2.8418269999999999</v>
      </c>
      <c r="V7125">
        <v>3.6103879999999998E-2</v>
      </c>
      <c r="W7125">
        <v>-7.3564080000000004E-2</v>
      </c>
      <c r="X7125">
        <v>0.99663670000000004</v>
      </c>
      <c r="Y7125">
        <v>0.105347</v>
      </c>
      <c r="Z7125">
        <v>0.1184364</v>
      </c>
      <c r="AA7125">
        <v>0.9873575</v>
      </c>
      <c r="AB7125">
        <v>16</v>
      </c>
      <c r="AC7125">
        <v>-0.196100000000001</v>
      </c>
      <c r="AD7125">
        <v>-0.10143439999999899</v>
      </c>
      <c r="AE7125">
        <v>-0.56743499999999902</v>
      </c>
      <c r="AF7125">
        <v>7.6737599329542897E-2</v>
      </c>
      <c r="AG7125">
        <v>-0.10143439999999899</v>
      </c>
      <c r="AH7125">
        <v>0.57863623293831801</v>
      </c>
      <c r="AI7125">
        <v>99.858273234512197</v>
      </c>
      <c r="AJ7125">
        <v>82.4456281877126</v>
      </c>
      <c r="AK7125">
        <v>0.59245040866157594</v>
      </c>
      <c r="AL7125">
        <v>94.218722478948195</v>
      </c>
      <c r="AM7125">
        <v>87.925326467035902</v>
      </c>
      <c r="AN7125">
        <v>0.99999993790209296</v>
      </c>
    </row>
    <row r="7126" spans="1:40" x14ac:dyDescent="0.25">
      <c r="A7126" t="str">
        <f>"20190303154321134"</f>
        <v>20190303154321134</v>
      </c>
      <c r="B7126" t="str">
        <f>"1551599001127917"</f>
        <v>1551599001127917</v>
      </c>
      <c r="C7126" t="s">
        <v>40</v>
      </c>
      <c r="D7126">
        <v>5.9575199999999997</v>
      </c>
      <c r="E7126">
        <v>0.50960019999999995</v>
      </c>
      <c r="F7126" t="s">
        <v>42</v>
      </c>
      <c r="G7126">
        <v>-299.29140000000001</v>
      </c>
      <c r="H7126">
        <v>0.98075869999999998</v>
      </c>
      <c r="I7126">
        <v>1.419591</v>
      </c>
      <c r="J7126">
        <v>-299.1234</v>
      </c>
      <c r="K7126">
        <v>1.0705769999999999</v>
      </c>
      <c r="L7126">
        <v>1.985474</v>
      </c>
      <c r="M7126">
        <v>-0.20233599999999999</v>
      </c>
      <c r="N7126">
        <v>-1.2421669999999999E-2</v>
      </c>
      <c r="O7126">
        <v>-0.97923760000000004</v>
      </c>
      <c r="P7126">
        <v>-0.2324426</v>
      </c>
      <c r="Q7126">
        <v>-8.3118910000000004E-2</v>
      </c>
      <c r="R7126">
        <v>-0.96905209999999997</v>
      </c>
      <c r="S7126">
        <v>-0.81024169999999995</v>
      </c>
      <c r="T7126">
        <v>-0.36035850000000003</v>
      </c>
      <c r="U7126">
        <v>-2.8700260000000002</v>
      </c>
      <c r="V7126">
        <v>3.1453689999999999E-2</v>
      </c>
      <c r="W7126">
        <v>-7.0780609999999994E-2</v>
      </c>
      <c r="X7126">
        <v>0.99699590000000005</v>
      </c>
      <c r="Y7126">
        <v>6.9701840000000001E-2</v>
      </c>
      <c r="Z7126">
        <v>0.1063487</v>
      </c>
      <c r="AA7126">
        <v>0.99188290000000001</v>
      </c>
      <c r="AB7126">
        <v>16</v>
      </c>
      <c r="AC7126">
        <v>-0.16800000000000601</v>
      </c>
      <c r="AD7126">
        <v>-8.9818300000000101E-2</v>
      </c>
      <c r="AE7126">
        <v>-0.56588300000000002</v>
      </c>
      <c r="AF7126">
        <v>4.8885456482127498E-2</v>
      </c>
      <c r="AG7126">
        <v>-8.9818300000000101E-2</v>
      </c>
      <c r="AH7126">
        <v>0.57486228504138004</v>
      </c>
      <c r="AI7126">
        <v>98.848846889910902</v>
      </c>
      <c r="AJ7126">
        <v>85.139344049686599</v>
      </c>
      <c r="AK7126">
        <v>0.58388677124366495</v>
      </c>
      <c r="AL7126">
        <v>94.058823984623302</v>
      </c>
      <c r="AM7126">
        <v>88.1930054650215</v>
      </c>
      <c r="AN7126">
        <v>1.00000002699169</v>
      </c>
    </row>
    <row r="7127" spans="1:40" x14ac:dyDescent="0.25">
      <c r="A7127" t="str">
        <f>"20190303154321157"</f>
        <v>20190303154321157</v>
      </c>
      <c r="B7127" t="str">
        <f>"1551599001146968"</f>
        <v>1551599001146968</v>
      </c>
      <c r="C7127" t="s">
        <v>40</v>
      </c>
      <c r="D7127">
        <v>5.9566619999999997</v>
      </c>
      <c r="E7127">
        <v>0.50817909999999999</v>
      </c>
      <c r="F7127" t="s">
        <v>42</v>
      </c>
      <c r="G7127">
        <v>-299.31380000000001</v>
      </c>
      <c r="H7127">
        <v>0.98437799999999998</v>
      </c>
      <c r="I7127">
        <v>1.2785310000000001</v>
      </c>
      <c r="J7127">
        <v>-299.15870000000001</v>
      </c>
      <c r="K7127">
        <v>1.0705639999999901</v>
      </c>
      <c r="L7127">
        <v>1.8307800000000001</v>
      </c>
      <c r="M7127">
        <v>-0.205035</v>
      </c>
      <c r="N7127">
        <v>-1.238203E-2</v>
      </c>
      <c r="O7127">
        <v>-0.9786764</v>
      </c>
      <c r="P7127">
        <v>-0.2337514</v>
      </c>
      <c r="Q7127">
        <v>-8.6756390000000003E-2</v>
      </c>
      <c r="R7127">
        <v>-0.96841829999999995</v>
      </c>
      <c r="S7127">
        <v>-0.774231</v>
      </c>
      <c r="T7127">
        <v>-0.3506262</v>
      </c>
      <c r="U7127">
        <v>-2.8800050000000001</v>
      </c>
      <c r="V7127">
        <v>3.0119989999999999E-2</v>
      </c>
      <c r="W7127">
        <v>-7.4456430000000004E-2</v>
      </c>
      <c r="X7127">
        <v>0.99676929999999997</v>
      </c>
      <c r="Y7127">
        <v>5.4621919999999997E-2</v>
      </c>
      <c r="Z7127">
        <v>0.10298069999999999</v>
      </c>
      <c r="AA7127">
        <v>0.99318249999999997</v>
      </c>
      <c r="AB7127">
        <v>16</v>
      </c>
      <c r="AC7127">
        <v>-0.15510000000000401</v>
      </c>
      <c r="AD7127">
        <v>-8.6185999999999693E-2</v>
      </c>
      <c r="AE7127">
        <v>-0.55224899999999999</v>
      </c>
      <c r="AF7127">
        <v>3.7713891012035497E-2</v>
      </c>
      <c r="AG7127">
        <v>-8.6185999999999693E-2</v>
      </c>
      <c r="AH7127">
        <v>0.559682872813</v>
      </c>
      <c r="AI7127">
        <v>98.734754953688906</v>
      </c>
      <c r="AJ7127">
        <v>86.144986355742503</v>
      </c>
      <c r="AK7127">
        <v>0.56753438864220496</v>
      </c>
      <c r="AL7127">
        <v>94.269990688005805</v>
      </c>
      <c r="AM7127">
        <v>88.269184924850904</v>
      </c>
      <c r="AN7127">
        <v>1.00000000559421</v>
      </c>
    </row>
    <row r="7128" spans="1:40" x14ac:dyDescent="0.25">
      <c r="A7128" t="str">
        <f>"20190303154321179"</f>
        <v>20190303154321179</v>
      </c>
      <c r="B7128" t="str">
        <f>"1551599001167464"</f>
        <v>1551599001167464</v>
      </c>
      <c r="C7128" t="s">
        <v>40</v>
      </c>
      <c r="D7128">
        <v>5.9598089999999999</v>
      </c>
      <c r="E7128">
        <v>0.50739630000000002</v>
      </c>
      <c r="F7128" t="s">
        <v>42</v>
      </c>
      <c r="G7128">
        <v>-299.3766</v>
      </c>
      <c r="H7128">
        <v>0.96667239999999999</v>
      </c>
      <c r="I7128">
        <v>1.0130589999999999</v>
      </c>
      <c r="J7128">
        <v>-299.19310000000002</v>
      </c>
      <c r="K7128">
        <v>1.0705800000000001</v>
      </c>
      <c r="L7128">
        <v>1.6808780000000001</v>
      </c>
      <c r="M7128">
        <v>-0.20739940000000001</v>
      </c>
      <c r="N7128">
        <v>-1.235049E-2</v>
      </c>
      <c r="O7128">
        <v>-0.97817829999999995</v>
      </c>
      <c r="P7128">
        <v>-0.23605950000000001</v>
      </c>
      <c r="Q7128">
        <v>-9.5064010000000004E-2</v>
      </c>
      <c r="R7128">
        <v>-0.96707730000000003</v>
      </c>
      <c r="S7128">
        <v>-0.76690669999999905</v>
      </c>
      <c r="T7128">
        <v>-0.3657569</v>
      </c>
      <c r="U7128">
        <v>-2.8799440000000001</v>
      </c>
      <c r="V7128">
        <v>3.025251E-2</v>
      </c>
      <c r="W7128">
        <v>-8.2799699999999907E-2</v>
      </c>
      <c r="X7128">
        <v>0.99610690000000002</v>
      </c>
      <c r="Y7128">
        <v>4.972182E-2</v>
      </c>
      <c r="Z7128">
        <v>0.1078718</v>
      </c>
      <c r="AA7128">
        <v>0.99292060000000004</v>
      </c>
      <c r="AB7128">
        <v>16</v>
      </c>
      <c r="AC7128">
        <v>-0.18349999999998001</v>
      </c>
      <c r="AD7128">
        <v>-0.103907599999999</v>
      </c>
      <c r="AE7128">
        <v>-0.66781899999999905</v>
      </c>
      <c r="AF7128">
        <v>4.0091155703963002E-2</v>
      </c>
      <c r="AG7128">
        <v>-0.103907599999999</v>
      </c>
      <c r="AH7128">
        <v>0.67613711352211203</v>
      </c>
      <c r="AI7128">
        <v>98.721684527648904</v>
      </c>
      <c r="AJ7128">
        <v>86.606653264790907</v>
      </c>
      <c r="AK7128">
        <v>0.68524848513911596</v>
      </c>
      <c r="AL7128">
        <v>94.749510968778097</v>
      </c>
      <c r="AM7128">
        <v>88.260419134667004</v>
      </c>
      <c r="AN7128">
        <v>0.999999980454499</v>
      </c>
    </row>
    <row r="7129" spans="1:40" x14ac:dyDescent="0.25">
      <c r="A7129" t="str">
        <f>"20190303154321202"</f>
        <v>20190303154321202</v>
      </c>
      <c r="B7129" t="str">
        <f>"1551599001197720"</f>
        <v>1551599001197720</v>
      </c>
      <c r="C7129" t="s">
        <v>40</v>
      </c>
      <c r="D7129">
        <v>6.0770369999999998</v>
      </c>
      <c r="E7129">
        <v>0.50643279999999902</v>
      </c>
      <c r="F7129" t="s">
        <v>42</v>
      </c>
      <c r="G7129">
        <v>-299.40730000000002</v>
      </c>
      <c r="H7129">
        <v>0.96059609999999995</v>
      </c>
      <c r="I7129">
        <v>0.87896799999999997</v>
      </c>
      <c r="J7129">
        <v>-299.22930000000002</v>
      </c>
      <c r="K7129">
        <v>1.0706990000000001</v>
      </c>
      <c r="L7129">
        <v>1.5231629999999901</v>
      </c>
      <c r="M7129">
        <v>-0.20964920000000001</v>
      </c>
      <c r="N7129">
        <v>-1.263125E-2</v>
      </c>
      <c r="O7129">
        <v>-0.97769519999999999</v>
      </c>
      <c r="P7129">
        <v>-0.23698379999999999</v>
      </c>
      <c r="Q7129">
        <v>-0.1019008</v>
      </c>
      <c r="R7129">
        <v>-0.96615490000000004</v>
      </c>
      <c r="S7129">
        <v>-0.76791379999999998</v>
      </c>
      <c r="T7129">
        <v>-0.3943448</v>
      </c>
      <c r="U7129">
        <v>-2.8759459999999999</v>
      </c>
      <c r="V7129">
        <v>2.9067820000000001E-2</v>
      </c>
      <c r="W7129">
        <v>-8.9358290000000007E-2</v>
      </c>
      <c r="X7129">
        <v>0.99557530000000005</v>
      </c>
      <c r="Y7129">
        <v>4.7818399999999997E-2</v>
      </c>
      <c r="Z7129">
        <v>0.1169032</v>
      </c>
      <c r="AA7129">
        <v>0.99199150000000003</v>
      </c>
      <c r="AB7129">
        <v>16</v>
      </c>
      <c r="AC7129">
        <v>-0.17799999999999699</v>
      </c>
      <c r="AD7129">
        <v>-0.1101029</v>
      </c>
      <c r="AE7129">
        <v>-0.64419499999999896</v>
      </c>
      <c r="AF7129">
        <v>3.7947976660161802E-2</v>
      </c>
      <c r="AG7129">
        <v>-0.1101029</v>
      </c>
      <c r="AH7129">
        <v>0.64956780527503399</v>
      </c>
      <c r="AI7129">
        <v>99.604229437331497</v>
      </c>
      <c r="AJ7129">
        <v>86.656560865915793</v>
      </c>
      <c r="AK7129">
        <v>0.65992501935510395</v>
      </c>
      <c r="AL7129">
        <v>95.126691018375894</v>
      </c>
      <c r="AM7129">
        <v>88.327609777332995</v>
      </c>
      <c r="AN7129">
        <v>1.0000000100606801</v>
      </c>
    </row>
    <row r="7130" spans="1:40" x14ac:dyDescent="0.25">
      <c r="A7130" t="str">
        <f>"20190303154321225"</f>
        <v>20190303154321225</v>
      </c>
      <c r="B7130" t="str">
        <f>"1551599001217240"</f>
        <v>1551599001217240</v>
      </c>
      <c r="C7130" t="s">
        <v>40</v>
      </c>
      <c r="D7130">
        <v>6.0575559999999999</v>
      </c>
      <c r="E7130">
        <v>0.50555249999999996</v>
      </c>
      <c r="F7130" t="s">
        <v>42</v>
      </c>
      <c r="G7130">
        <v>-299.4357</v>
      </c>
      <c r="H7130">
        <v>0.95658290000000001</v>
      </c>
      <c r="I7130">
        <v>0.74687419999999904</v>
      </c>
      <c r="J7130">
        <v>-299.26339999999999</v>
      </c>
      <c r="K7130">
        <v>1.0710999999999999</v>
      </c>
      <c r="L7130">
        <v>1.3750610000000001</v>
      </c>
      <c r="M7130">
        <v>-0.2115638</v>
      </c>
      <c r="N7130">
        <v>-1.389665E-2</v>
      </c>
      <c r="O7130">
        <v>-0.9772653</v>
      </c>
      <c r="P7130">
        <v>-0.23607040000000001</v>
      </c>
      <c r="Q7130">
        <v>-0.1064572</v>
      </c>
      <c r="R7130">
        <v>-0.96588680000000005</v>
      </c>
      <c r="S7130">
        <v>-0.76318359999999996</v>
      </c>
      <c r="T7130">
        <v>-0.42221639999999999</v>
      </c>
      <c r="U7130">
        <v>-2.873383</v>
      </c>
      <c r="V7130">
        <v>2.6294000000000001E-2</v>
      </c>
      <c r="W7130">
        <v>-9.2652700000000004E-2</v>
      </c>
      <c r="X7130">
        <v>0.99535130000000005</v>
      </c>
      <c r="Y7130">
        <v>4.4298579999999997E-2</v>
      </c>
      <c r="Z7130">
        <v>0.12471640000000001</v>
      </c>
      <c r="AA7130">
        <v>0.99120299999999995</v>
      </c>
      <c r="AB7130">
        <v>16</v>
      </c>
      <c r="AC7130">
        <v>-0.172300000000007</v>
      </c>
      <c r="AD7130">
        <v>-0.114517099999999</v>
      </c>
      <c r="AE7130">
        <v>-0.62818680000000005</v>
      </c>
      <c r="AF7130">
        <v>3.44207991028775E-2</v>
      </c>
      <c r="AG7130">
        <v>-0.114517099999999</v>
      </c>
      <c r="AH7130">
        <v>0.63092039943401701</v>
      </c>
      <c r="AI7130">
        <v>100.27269162056299</v>
      </c>
      <c r="AJ7130">
        <v>86.877239433083901</v>
      </c>
      <c r="AK7130">
        <v>0.64215224676494798</v>
      </c>
      <c r="AL7130">
        <v>95.316233187292099</v>
      </c>
      <c r="AM7130">
        <v>88.486780567605393</v>
      </c>
      <c r="AN7130">
        <v>1.00000005383248</v>
      </c>
    </row>
    <row r="7131" spans="1:40" x14ac:dyDescent="0.25">
      <c r="A7131" t="str">
        <f>"20190303154321246"</f>
        <v>20190303154321246</v>
      </c>
      <c r="B7131" t="str">
        <f>"1551599001237736"</f>
        <v>1551599001237736</v>
      </c>
      <c r="C7131" t="s">
        <v>40</v>
      </c>
      <c r="D7131">
        <v>6.0490069999999996</v>
      </c>
      <c r="E7131">
        <v>0.50558019999999904</v>
      </c>
      <c r="F7131" t="s">
        <v>42</v>
      </c>
      <c r="G7131">
        <v>-299.4624</v>
      </c>
      <c r="H7131">
        <v>0.954488</v>
      </c>
      <c r="I7131">
        <v>0.61682109999999901</v>
      </c>
      <c r="J7131">
        <v>-299.29629999999997</v>
      </c>
      <c r="K7131">
        <v>1.071553</v>
      </c>
      <c r="L7131">
        <v>1.2326969999999999</v>
      </c>
      <c r="M7131">
        <v>-0.21321619999999999</v>
      </c>
      <c r="N7131">
        <v>-1.554992E-2</v>
      </c>
      <c r="O7131">
        <v>-0.97688140000000001</v>
      </c>
      <c r="P7131">
        <v>-0.2350399</v>
      </c>
      <c r="Q7131">
        <v>-0.1072964</v>
      </c>
      <c r="R7131">
        <v>-0.96604540000000005</v>
      </c>
      <c r="S7131">
        <v>-0.75408940000000002</v>
      </c>
      <c r="T7131">
        <v>-0.44184479999999998</v>
      </c>
      <c r="U7131">
        <v>-2.8729550000000001</v>
      </c>
      <c r="V7131">
        <v>2.3582490000000001E-2</v>
      </c>
      <c r="W7131">
        <v>-9.1840539999999998E-2</v>
      </c>
      <c r="X7131">
        <v>0.9954944</v>
      </c>
      <c r="Y7131">
        <v>3.9546209999999998E-2</v>
      </c>
      <c r="Z7131">
        <v>0.1294285</v>
      </c>
      <c r="AA7131">
        <v>0.99079980000000001</v>
      </c>
      <c r="AB7131">
        <v>15</v>
      </c>
      <c r="AC7131">
        <v>-0.166100000000028</v>
      </c>
      <c r="AD7131">
        <v>-0.117065</v>
      </c>
      <c r="AE7131">
        <v>-0.61587590000000003</v>
      </c>
      <c r="AF7131">
        <v>2.99406142603167E-2</v>
      </c>
      <c r="AG7131">
        <v>-0.117065</v>
      </c>
      <c r="AH7131">
        <v>0.61637040937431797</v>
      </c>
      <c r="AI7131">
        <v>100.74152565723</v>
      </c>
      <c r="AJ7131">
        <v>87.2190042857615</v>
      </c>
      <c r="AK7131">
        <v>0.62810280699862298</v>
      </c>
      <c r="AL7131">
        <v>95.269501087661794</v>
      </c>
      <c r="AM7131">
        <v>88.6429612446058</v>
      </c>
      <c r="AN7131">
        <v>0.99999995952672505</v>
      </c>
    </row>
    <row r="7132" spans="1:40" x14ac:dyDescent="0.25">
      <c r="A7132" t="str">
        <f>"20190303154321268"</f>
        <v>20190303154321268</v>
      </c>
      <c r="B7132" t="str">
        <f>"1551599001257256"</f>
        <v>1551599001257256</v>
      </c>
      <c r="C7132" t="s">
        <v>40</v>
      </c>
      <c r="D7132">
        <v>6.0255369999999999</v>
      </c>
      <c r="E7132">
        <v>0.5053029</v>
      </c>
      <c r="F7132" t="s">
        <v>42</v>
      </c>
      <c r="G7132">
        <v>-299.49119999999999</v>
      </c>
      <c r="H7132">
        <v>0.95709909999999998</v>
      </c>
      <c r="I7132">
        <v>0.48807460000000003</v>
      </c>
      <c r="J7132">
        <v>-299.32839999999999</v>
      </c>
      <c r="K7132">
        <v>1.071977</v>
      </c>
      <c r="L7132">
        <v>1.094147</v>
      </c>
      <c r="M7132">
        <v>-0.21456800000000001</v>
      </c>
      <c r="N7132">
        <v>-1.7320519999999999E-2</v>
      </c>
      <c r="O7132">
        <v>-0.97655539999999996</v>
      </c>
      <c r="P7132">
        <v>-0.23355190000000001</v>
      </c>
      <c r="Q7132">
        <v>-0.1037293</v>
      </c>
      <c r="R7132">
        <v>-0.96679559999999998</v>
      </c>
      <c r="S7132">
        <v>-0.7514343</v>
      </c>
      <c r="T7132">
        <v>-0.44165349999999998</v>
      </c>
      <c r="U7132">
        <v>-2.8735659999999998</v>
      </c>
      <c r="V7132">
        <v>2.0598080000000001E-2</v>
      </c>
      <c r="W7132">
        <v>-8.6499450000000006E-2</v>
      </c>
      <c r="X7132">
        <v>0.99603889999999995</v>
      </c>
      <c r="Y7132">
        <v>3.7306140000000002E-2</v>
      </c>
      <c r="Z7132">
        <v>0.12758920000000001</v>
      </c>
      <c r="AA7132">
        <v>0.99112520000000004</v>
      </c>
      <c r="AB7132">
        <v>15</v>
      </c>
      <c r="AC7132">
        <v>-0.162800000000004</v>
      </c>
      <c r="AD7132">
        <v>-0.11487789999999901</v>
      </c>
      <c r="AE7132">
        <v>-0.60607239999999996</v>
      </c>
      <c r="AF7132">
        <v>2.80053763407206E-2</v>
      </c>
      <c r="AG7132">
        <v>-0.11487789999999901</v>
      </c>
      <c r="AH7132">
        <v>0.60656343929684697</v>
      </c>
      <c r="AI7132">
        <v>100.713160077871</v>
      </c>
      <c r="AJ7132">
        <v>87.3564988574783</v>
      </c>
      <c r="AK7132">
        <v>0.61798093733060699</v>
      </c>
      <c r="AL7132">
        <v>94.962254827748694</v>
      </c>
      <c r="AM7132">
        <v>88.815292401400797</v>
      </c>
      <c r="AN7132">
        <v>0.99999996303159799</v>
      </c>
    </row>
    <row r="7133" spans="1:40" x14ac:dyDescent="0.25">
      <c r="A7133" t="str">
        <f>"20190303154321291"</f>
        <v>20190303154321291</v>
      </c>
      <c r="B7133" t="str">
        <f>"1551599001287512"</f>
        <v>1551599001287512</v>
      </c>
      <c r="C7133" t="s">
        <v>40</v>
      </c>
      <c r="D7133">
        <v>6.059088</v>
      </c>
      <c r="E7133">
        <v>0.50542310000000001</v>
      </c>
      <c r="F7133" t="s">
        <v>42</v>
      </c>
      <c r="G7133">
        <v>-299.51830000000001</v>
      </c>
      <c r="H7133">
        <v>0.96205289999999999</v>
      </c>
      <c r="I7133">
        <v>0.36110750000000003</v>
      </c>
      <c r="J7133">
        <v>-299.35980000000001</v>
      </c>
      <c r="K7133">
        <v>1.072379</v>
      </c>
      <c r="L7133">
        <v>0.9587097</v>
      </c>
      <c r="M7133">
        <v>-0.21564920000000001</v>
      </c>
      <c r="N7133">
        <v>-1.910077E-2</v>
      </c>
      <c r="O7133">
        <v>-0.97628429999999999</v>
      </c>
      <c r="P7133">
        <v>-0.23042370000000001</v>
      </c>
      <c r="Q7133">
        <v>-9.7100710000000007E-2</v>
      </c>
      <c r="R7133">
        <v>-0.96823380000000003</v>
      </c>
      <c r="S7133">
        <v>-0.74533079999999996</v>
      </c>
      <c r="T7133">
        <v>-0.43137550000000002</v>
      </c>
      <c r="U7133">
        <v>-2.8766780000000001</v>
      </c>
      <c r="V7133">
        <v>1.614111E-2</v>
      </c>
      <c r="W7133">
        <v>-7.8079570000000001E-2</v>
      </c>
      <c r="X7133">
        <v>0.99681649999999999</v>
      </c>
      <c r="Y7133">
        <v>3.412693E-2</v>
      </c>
      <c r="Z7133">
        <v>0.12242260000000001</v>
      </c>
      <c r="AA7133">
        <v>0.99189110000000003</v>
      </c>
      <c r="AB7133">
        <v>14</v>
      </c>
      <c r="AC7133">
        <v>-0.158500000000003</v>
      </c>
      <c r="AD7133">
        <v>-0.1103261</v>
      </c>
      <c r="AE7133">
        <v>-0.59760219999999997</v>
      </c>
      <c r="AF7133">
        <v>2.50748902837028E-2</v>
      </c>
      <c r="AG7133">
        <v>-0.1103261</v>
      </c>
      <c r="AH7133">
        <v>0.59865972633797304</v>
      </c>
      <c r="AI7133">
        <v>100.432849607761</v>
      </c>
      <c r="AJ7133">
        <v>87.601565543789107</v>
      </c>
      <c r="AK7133">
        <v>0.60925697895305797</v>
      </c>
      <c r="AL7133">
        <v>94.478187662782304</v>
      </c>
      <c r="AM7133">
        <v>89.072310036361401</v>
      </c>
      <c r="AN7133">
        <v>1.0000000446778301</v>
      </c>
    </row>
    <row r="7134" spans="1:40" x14ac:dyDescent="0.25">
      <c r="A7134" t="str">
        <f>"20190303154321314"</f>
        <v>20190303154321314</v>
      </c>
      <c r="B7134" t="str">
        <f>"1551599001307032"</f>
        <v>1551599001307032</v>
      </c>
      <c r="C7134" t="s">
        <v>40</v>
      </c>
      <c r="D7134">
        <v>6.0559159999999999</v>
      </c>
      <c r="E7134">
        <v>0.50530269999999999</v>
      </c>
      <c r="F7134" t="s">
        <v>42</v>
      </c>
      <c r="G7134">
        <v>-299.54489999999998</v>
      </c>
      <c r="H7134">
        <v>0.97122629999999999</v>
      </c>
      <c r="I7134">
        <v>0.2352862</v>
      </c>
      <c r="J7134">
        <v>-299.39139999999998</v>
      </c>
      <c r="K7134">
        <v>1.07308799999999</v>
      </c>
      <c r="L7134">
        <v>0.82269289999999995</v>
      </c>
      <c r="M7134">
        <v>-0.21627279999999999</v>
      </c>
      <c r="N7134">
        <v>-2.0809879999999999E-2</v>
      </c>
      <c r="O7134">
        <v>-0.97611130000000002</v>
      </c>
      <c r="P7134">
        <v>-0.2261918</v>
      </c>
      <c r="Q7134">
        <v>-9.3064750000000002E-2</v>
      </c>
      <c r="R7134">
        <v>-0.96962700000000002</v>
      </c>
      <c r="S7134">
        <v>-0.73699950000000003</v>
      </c>
      <c r="T7134">
        <v>-0.40308359999999999</v>
      </c>
      <c r="U7134">
        <v>-2.8825989999999999</v>
      </c>
      <c r="V7134">
        <v>1.112024E-2</v>
      </c>
      <c r="W7134">
        <v>-7.2321179999999999E-2</v>
      </c>
      <c r="X7134">
        <v>0.99731939999999997</v>
      </c>
      <c r="Y7134">
        <v>3.0628559999999999E-2</v>
      </c>
      <c r="Z7134">
        <v>0.111447</v>
      </c>
      <c r="AA7134">
        <v>0.99329829999999997</v>
      </c>
      <c r="AB7134">
        <v>14</v>
      </c>
      <c r="AC7134">
        <v>-0.15350000000000799</v>
      </c>
      <c r="AD7134">
        <v>-0.101861699999999</v>
      </c>
      <c r="AE7134">
        <v>-0.58740669999999995</v>
      </c>
      <c r="AF7134">
        <v>2.21737674498204E-2</v>
      </c>
      <c r="AG7134">
        <v>-0.101861699999999</v>
      </c>
      <c r="AH7134">
        <v>0.590093229605132</v>
      </c>
      <c r="AI7134">
        <v>99.787088545656403</v>
      </c>
      <c r="AJ7134">
        <v>87.848025084365602</v>
      </c>
      <c r="AK7134">
        <v>0.59923075815216897</v>
      </c>
      <c r="AL7134">
        <v>94.147319082637694</v>
      </c>
      <c r="AM7134">
        <v>89.361171138552393</v>
      </c>
      <c r="AN7134">
        <v>0.99999999921530403</v>
      </c>
    </row>
    <row r="7135" spans="1:40" x14ac:dyDescent="0.25">
      <c r="A7135" t="str">
        <f>"20190303154321337"</f>
        <v>20190303154321337</v>
      </c>
      <c r="B7135" t="str">
        <f>"1551599001327528"</f>
        <v>1551599001327528</v>
      </c>
      <c r="C7135" t="s">
        <v>40</v>
      </c>
      <c r="D7135">
        <v>6.1095269999999999</v>
      </c>
      <c r="E7135">
        <v>0.50507460000000004</v>
      </c>
      <c r="F7135" t="s">
        <v>42</v>
      </c>
      <c r="G7135">
        <v>-299.56900000000002</v>
      </c>
      <c r="H7135">
        <v>0.977908</v>
      </c>
      <c r="I7135">
        <v>0.114202</v>
      </c>
      <c r="J7135">
        <v>-299.42039999999997</v>
      </c>
      <c r="K7135">
        <v>1.0743579999999999</v>
      </c>
      <c r="L7135">
        <v>0.69857789999999997</v>
      </c>
      <c r="M7135">
        <v>-0.21566099999999999</v>
      </c>
      <c r="N7135">
        <v>-2.1993140000000001E-2</v>
      </c>
      <c r="O7135">
        <v>-0.9762208</v>
      </c>
      <c r="P7135">
        <v>-0.2198531</v>
      </c>
      <c r="Q7135">
        <v>-9.3628649999999994E-2</v>
      </c>
      <c r="R7135">
        <v>-0.97102980000000005</v>
      </c>
      <c r="S7135">
        <v>-0.72348020000000002</v>
      </c>
      <c r="T7135">
        <v>-0.38803650000000001</v>
      </c>
      <c r="U7135">
        <v>-2.8879700000000001</v>
      </c>
      <c r="V7135">
        <v>5.3867919999999996E-3</v>
      </c>
      <c r="W7135">
        <v>-7.1696930000000006E-2</v>
      </c>
      <c r="X7135">
        <v>0.99741190000000002</v>
      </c>
      <c r="Y7135">
        <v>2.660686E-2</v>
      </c>
      <c r="Z7135">
        <v>0.1053288</v>
      </c>
      <c r="AA7135">
        <v>0.9940814</v>
      </c>
      <c r="AB7135">
        <v>14</v>
      </c>
      <c r="AC7135">
        <v>-0.148600000000044</v>
      </c>
      <c r="AD7135">
        <v>-9.6449999999999897E-2</v>
      </c>
      <c r="AE7135">
        <v>-0.58437589999999995</v>
      </c>
      <c r="AF7135">
        <v>1.8568814576058398E-2</v>
      </c>
      <c r="AG7135">
        <v>-9.6449999999999897E-2</v>
      </c>
      <c r="AH7135">
        <v>0.58763730354940902</v>
      </c>
      <c r="AI7135">
        <v>99.316387080495403</v>
      </c>
      <c r="AJ7135">
        <v>88.190106714161502</v>
      </c>
      <c r="AK7135">
        <v>0.59578939559007005</v>
      </c>
      <c r="AL7135">
        <v>94.111459166046501</v>
      </c>
      <c r="AM7135">
        <v>89.690561696800501</v>
      </c>
      <c r="AN7135">
        <v>0.99999998278054203</v>
      </c>
    </row>
    <row r="7136" spans="1:40" x14ac:dyDescent="0.25">
      <c r="A7136" t="str">
        <f>"20190303154321359"</f>
        <v>20190303154321359</v>
      </c>
      <c r="B7136" t="str">
        <f>"1551599001347048"</f>
        <v>1551599001347048</v>
      </c>
      <c r="C7136" t="s">
        <v>40</v>
      </c>
      <c r="D7136">
        <v>5.9828089999999996</v>
      </c>
      <c r="E7136">
        <v>0.50503969999999998</v>
      </c>
      <c r="F7136" t="s">
        <v>42</v>
      </c>
      <c r="G7136">
        <v>-299.61559999999997</v>
      </c>
      <c r="H7136">
        <v>0.96647380000000005</v>
      </c>
      <c r="I7136">
        <v>-0.10425619999999999</v>
      </c>
      <c r="J7136">
        <v>-299.4495</v>
      </c>
      <c r="K7136">
        <v>1.076292</v>
      </c>
      <c r="L7136">
        <v>0.57067869999999998</v>
      </c>
      <c r="M7136">
        <v>-0.21503910000000001</v>
      </c>
      <c r="N7136">
        <v>-2.2365010000000001E-2</v>
      </c>
      <c r="O7136">
        <v>-0.97634949999999998</v>
      </c>
      <c r="P7136">
        <v>-0.21301929999999999</v>
      </c>
      <c r="Q7136">
        <v>-9.6099900000000002E-2</v>
      </c>
      <c r="R7136">
        <v>-0.97231069999999997</v>
      </c>
      <c r="S7136">
        <v>-0.70266719999999905</v>
      </c>
      <c r="T7136">
        <v>-0.3888007</v>
      </c>
      <c r="U7136">
        <v>-2.8929140000000002</v>
      </c>
      <c r="V7136">
        <v>-6.6938039999999896E-4</v>
      </c>
      <c r="W7136">
        <v>-7.3819620000000002E-2</v>
      </c>
      <c r="X7136">
        <v>0.99727140000000003</v>
      </c>
      <c r="Y7136">
        <v>2.0113829999999999E-2</v>
      </c>
      <c r="Z7136">
        <v>0.10512929999999999</v>
      </c>
      <c r="AA7136">
        <v>0.99425509999999995</v>
      </c>
      <c r="AB7136">
        <v>13</v>
      </c>
      <c r="AC7136">
        <v>-0.16609999999997099</v>
      </c>
      <c r="AD7136">
        <v>-0.10981819999999901</v>
      </c>
      <c r="AE7136">
        <v>-0.6749349</v>
      </c>
      <c r="AF7136">
        <v>1.66235520067636E-2</v>
      </c>
      <c r="AG7136">
        <v>-0.10981819999999901</v>
      </c>
      <c r="AH7136">
        <v>0.67794093352456797</v>
      </c>
      <c r="AI7136">
        <v>99.198577623339204</v>
      </c>
      <c r="AJ7136">
        <v>88.595351748761402</v>
      </c>
      <c r="AK7136">
        <v>0.68697910367108195</v>
      </c>
      <c r="AL7136">
        <v>94.233403434748297</v>
      </c>
      <c r="AM7136">
        <v>90.038457601460493</v>
      </c>
      <c r="AN7136">
        <v>1.0000000148125101</v>
      </c>
    </row>
    <row r="7137" spans="1:40" x14ac:dyDescent="0.25">
      <c r="A7137" t="str">
        <f>"20190303154321380"</f>
        <v>20190303154321380</v>
      </c>
      <c r="B7137" t="str">
        <f>"1551599001377304"</f>
        <v>1551599001377304</v>
      </c>
      <c r="C7137" t="s">
        <v>40</v>
      </c>
      <c r="D7137">
        <v>5.9810840000000001</v>
      </c>
      <c r="E7137">
        <v>0.47628409999999899</v>
      </c>
      <c r="F7137" t="s">
        <v>42</v>
      </c>
      <c r="G7137">
        <v>-299.63529999999997</v>
      </c>
      <c r="H7137">
        <v>0.96891470000000002</v>
      </c>
      <c r="I7137">
        <v>-0.21762480000000001</v>
      </c>
      <c r="J7137">
        <v>-299.47460000000001</v>
      </c>
      <c r="K7137">
        <v>1.0778639999999999</v>
      </c>
      <c r="L7137">
        <v>0.45343020000000001</v>
      </c>
      <c r="M7137">
        <v>-0.21530009999999999</v>
      </c>
      <c r="N7137">
        <v>-2.132831E-2</v>
      </c>
      <c r="O7137">
        <v>-0.97631509999999999</v>
      </c>
      <c r="P7137">
        <v>-0.2071412</v>
      </c>
      <c r="Q7137">
        <v>-9.8983070000000006E-2</v>
      </c>
      <c r="R7137">
        <v>-0.97329120000000002</v>
      </c>
      <c r="S7137">
        <v>-0.68170169999999997</v>
      </c>
      <c r="T7137">
        <v>-0.39479900000000001</v>
      </c>
      <c r="U7137">
        <v>-2.8970639999999999</v>
      </c>
      <c r="V7137">
        <v>-6.6495599999999997E-3</v>
      </c>
      <c r="W7137">
        <v>-7.7797430000000001E-2</v>
      </c>
      <c r="X7137">
        <v>0.99694700000000003</v>
      </c>
      <c r="Y7137">
        <v>1.265964E-2</v>
      </c>
      <c r="Z7137">
        <v>0.107969</v>
      </c>
      <c r="AA7137">
        <v>0.9940736</v>
      </c>
      <c r="AB7137">
        <v>13</v>
      </c>
      <c r="AC7137">
        <v>-0.16069999999996201</v>
      </c>
      <c r="AD7137">
        <v>-0.1089493</v>
      </c>
      <c r="AE7137">
        <v>-0.67105499999999996</v>
      </c>
      <c r="AF7137">
        <v>1.21163950080725E-2</v>
      </c>
      <c r="AG7137">
        <v>-0.1089493</v>
      </c>
      <c r="AH7137">
        <v>0.673135736176665</v>
      </c>
      <c r="AI7137">
        <v>99.192323993242795</v>
      </c>
      <c r="AJ7137">
        <v>88.968791435125297</v>
      </c>
      <c r="AK7137">
        <v>0.68200328174913005</v>
      </c>
      <c r="AL7137">
        <v>94.461973159573006</v>
      </c>
      <c r="AM7137">
        <v>90.382152786389</v>
      </c>
      <c r="AN7137">
        <v>0.99999998878589902</v>
      </c>
    </row>
    <row r="7138" spans="1:40" x14ac:dyDescent="0.25">
      <c r="A7138" t="str">
        <f>"20190303154321403"</f>
        <v>20190303154321403</v>
      </c>
      <c r="B7138" t="str">
        <f>"1551599001397800"</f>
        <v>1551599001397800</v>
      </c>
      <c r="C7138" t="s">
        <v>40</v>
      </c>
      <c r="D7138">
        <v>5.9547379999999999</v>
      </c>
      <c r="E7138">
        <v>0.43714219999999998</v>
      </c>
      <c r="F7138" t="s">
        <v>41</v>
      </c>
      <c r="G7138">
        <v>-300.67809999999997</v>
      </c>
      <c r="H7138" s="1">
        <v>-1.047663E-6</v>
      </c>
      <c r="I7138">
        <v>-7.6280460000000003</v>
      </c>
      <c r="J7138">
        <v>-299.5018</v>
      </c>
      <c r="K7138">
        <v>1.078665</v>
      </c>
      <c r="L7138">
        <v>0.32043460000000001</v>
      </c>
      <c r="M7138">
        <v>-0.21468029999999999</v>
      </c>
      <c r="N7138">
        <v>-1.8837349999999999E-2</v>
      </c>
      <c r="O7138">
        <v>-0.9765028</v>
      </c>
      <c r="P7138">
        <v>-0.20094409999999999</v>
      </c>
      <c r="Q7138">
        <v>-9.8497669999999996E-2</v>
      </c>
      <c r="R7138">
        <v>-0.97463840000000002</v>
      </c>
      <c r="S7138">
        <v>-0.43914789999999998</v>
      </c>
      <c r="T7138">
        <v>-0.39330229999999999</v>
      </c>
      <c r="U7138">
        <v>-2.9488530000000002</v>
      </c>
      <c r="V7138">
        <v>-1.2302560000000001E-2</v>
      </c>
      <c r="W7138">
        <v>-7.9849160000000002E-2</v>
      </c>
      <c r="X7138">
        <v>0.99673100000000003</v>
      </c>
      <c r="Y7138">
        <v>-6.9303370000000003E-2</v>
      </c>
      <c r="Z7138">
        <v>0.1083781</v>
      </c>
      <c r="AA7138">
        <v>0.99169110000000005</v>
      </c>
      <c r="AB7138">
        <v>13</v>
      </c>
      <c r="AC7138">
        <v>-1.1762999999999599</v>
      </c>
      <c r="AD7138">
        <v>-1.0786660476629999</v>
      </c>
      <c r="AE7138">
        <v>-7.9484805999999999</v>
      </c>
      <c r="AF7138">
        <v>-0.54794593792046697</v>
      </c>
      <c r="AG7138">
        <v>-1.0786660476629999</v>
      </c>
      <c r="AH7138">
        <v>7.8737645173963902</v>
      </c>
      <c r="AI7138">
        <v>97.782084854976603</v>
      </c>
      <c r="AJ7138">
        <v>93.980872784816299</v>
      </c>
      <c r="AK7138">
        <v>7.9661742931393897</v>
      </c>
      <c r="AL7138">
        <v>94.579895669499706</v>
      </c>
      <c r="AM7138">
        <v>90.707160680956605</v>
      </c>
      <c r="AN7138">
        <v>0.99999996384812895</v>
      </c>
    </row>
    <row r="7139" spans="1:40" x14ac:dyDescent="0.25">
      <c r="A7139" t="str">
        <f>"20190303154321427"</f>
        <v>20190303154321427</v>
      </c>
      <c r="B7139" t="str">
        <f>"1551599001417320"</f>
        <v>1551599001417320</v>
      </c>
      <c r="C7139" t="s">
        <v>40</v>
      </c>
      <c r="D7139">
        <v>5.8917229999999998</v>
      </c>
      <c r="E7139">
        <v>0.4378166</v>
      </c>
      <c r="F7139" t="s">
        <v>41</v>
      </c>
      <c r="G7139">
        <v>-299.78410000000002</v>
      </c>
      <c r="H7139" s="1">
        <v>-1.175407E-6</v>
      </c>
      <c r="I7139">
        <v>-7.0175039999999997</v>
      </c>
      <c r="J7139">
        <v>-299.52820000000003</v>
      </c>
      <c r="K7139">
        <v>1.079151</v>
      </c>
      <c r="L7139">
        <v>0.18926999999999999</v>
      </c>
      <c r="M7139">
        <v>-0.21287010000000001</v>
      </c>
      <c r="N7139">
        <v>-1.60229E-2</v>
      </c>
      <c r="O7139">
        <v>-0.97694919999999996</v>
      </c>
      <c r="P7139">
        <v>-0.1948298</v>
      </c>
      <c r="Q7139">
        <v>-9.9536150000000004E-2</v>
      </c>
      <c r="R7139">
        <v>-0.97577349999999996</v>
      </c>
      <c r="S7139">
        <v>-0.1157837</v>
      </c>
      <c r="T7139">
        <v>-0.44239089999999998</v>
      </c>
      <c r="U7139">
        <v>-3.0094910000000001</v>
      </c>
      <c r="V7139">
        <v>-1.6722890000000001E-2</v>
      </c>
      <c r="W7139">
        <v>-8.3715639999999994E-2</v>
      </c>
      <c r="X7139">
        <v>0.99634929999999999</v>
      </c>
      <c r="Y7139">
        <v>-0.17523050000000001</v>
      </c>
      <c r="Z7139">
        <v>0.1234801</v>
      </c>
      <c r="AA7139">
        <v>0.97675319999999999</v>
      </c>
      <c r="AB7139">
        <v>13</v>
      </c>
      <c r="AC7139">
        <v>-0.25589999999999602</v>
      </c>
      <c r="AD7139">
        <v>-1.0791521754069999</v>
      </c>
      <c r="AE7139">
        <v>-7.2067739999999896</v>
      </c>
      <c r="AF7139">
        <v>-1.2561398731897799</v>
      </c>
      <c r="AG7139">
        <v>-1.0791521754069999</v>
      </c>
      <c r="AH7139">
        <v>6.9406063547509396</v>
      </c>
      <c r="AI7139">
        <v>98.698700228891695</v>
      </c>
      <c r="AJ7139">
        <v>100.258583404514</v>
      </c>
      <c r="AK7139">
        <v>7.1354378541412604</v>
      </c>
      <c r="AL7139">
        <v>94.802173476991499</v>
      </c>
      <c r="AM7139">
        <v>90.961571469443001</v>
      </c>
      <c r="AN7139">
        <v>0.99999994552052396</v>
      </c>
    </row>
    <row r="7140" spans="1:40" x14ac:dyDescent="0.25">
      <c r="A7140" t="str">
        <f>"20190303154321447"</f>
        <v>20190303154321447</v>
      </c>
      <c r="B7140" t="str">
        <f>"1551599001437816"</f>
        <v>1551599001437816</v>
      </c>
      <c r="C7140" t="s">
        <v>40</v>
      </c>
      <c r="D7140">
        <v>5.8869309999999997</v>
      </c>
      <c r="E7140">
        <v>0.43911040000000001</v>
      </c>
      <c r="F7140" t="s">
        <v>41</v>
      </c>
      <c r="G7140">
        <v>-299.77679999999998</v>
      </c>
      <c r="H7140" s="1">
        <v>-1.1205769999999999E-6</v>
      </c>
      <c r="I7140">
        <v>-7.13626</v>
      </c>
      <c r="J7140">
        <v>-299.553</v>
      </c>
      <c r="K7140">
        <v>1.079863</v>
      </c>
      <c r="L7140">
        <v>6.3690189999999994E-2</v>
      </c>
      <c r="M7140">
        <v>-0.21029929999999999</v>
      </c>
      <c r="N7140">
        <v>-1.358431E-2</v>
      </c>
      <c r="O7140">
        <v>-0.97754260000000004</v>
      </c>
      <c r="P7140">
        <v>-0.18822939999999999</v>
      </c>
      <c r="Q7140">
        <v>-0.1001512</v>
      </c>
      <c r="R7140">
        <v>-0.97700549999999997</v>
      </c>
      <c r="S7140">
        <v>-0.1021118</v>
      </c>
      <c r="T7140">
        <v>-0.44324970000000002</v>
      </c>
      <c r="U7140">
        <v>-3.0088810000000001</v>
      </c>
      <c r="V7140">
        <v>-2.08962E-2</v>
      </c>
      <c r="W7140">
        <v>-8.6767709999999998E-2</v>
      </c>
      <c r="X7140">
        <v>0.99600940000000004</v>
      </c>
      <c r="Y7140">
        <v>-0.1771045</v>
      </c>
      <c r="Z7140">
        <v>0.126281</v>
      </c>
      <c r="AA7140">
        <v>0.97605690000000001</v>
      </c>
      <c r="AB7140">
        <v>13</v>
      </c>
      <c r="AC7140">
        <v>-0.22379999999998201</v>
      </c>
      <c r="AD7140">
        <v>-1.0798641205769901</v>
      </c>
      <c r="AE7140">
        <v>-7.19995019</v>
      </c>
      <c r="AF7140">
        <v>-1.26701649374991</v>
      </c>
      <c r="AG7140">
        <v>-1.0798641205769901</v>
      </c>
      <c r="AH7140">
        <v>6.9302345996638302</v>
      </c>
      <c r="AI7140">
        <v>98.714397193167898</v>
      </c>
      <c r="AJ7140">
        <v>100.360647848773</v>
      </c>
      <c r="AK7140">
        <v>7.1273830345170603</v>
      </c>
      <c r="AL7140">
        <v>94.977682787024193</v>
      </c>
      <c r="AM7140">
        <v>91.201884693851596</v>
      </c>
      <c r="AN7140">
        <v>1.0000000057807199</v>
      </c>
    </row>
    <row r="7141" spans="1:40" x14ac:dyDescent="0.25">
      <c r="A7141" t="str">
        <f>"20190303154321470"</f>
        <v>20190303154321470</v>
      </c>
      <c r="B7141" t="str">
        <f>"1551599001457336"</f>
        <v>1551599001457336</v>
      </c>
      <c r="C7141" t="s">
        <v>40</v>
      </c>
      <c r="D7141">
        <v>5.9503180000000002</v>
      </c>
      <c r="E7141">
        <v>0.43953150000000002</v>
      </c>
      <c r="F7141" t="s">
        <v>41</v>
      </c>
      <c r="G7141">
        <v>-299.77609999999999</v>
      </c>
      <c r="H7141" s="1">
        <v>-1.0809019999999999E-6</v>
      </c>
      <c r="I7141">
        <v>-7.220459</v>
      </c>
      <c r="J7141">
        <v>-299.57709999999997</v>
      </c>
      <c r="K7141">
        <v>1.080881</v>
      </c>
      <c r="L7141">
        <v>-5.9265140000000001E-2</v>
      </c>
      <c r="M7141">
        <v>-0.2073884</v>
      </c>
      <c r="N7141">
        <v>-1.148881E-2</v>
      </c>
      <c r="O7141">
        <v>-0.97819140000000004</v>
      </c>
      <c r="P7141">
        <v>-0.18169109999999999</v>
      </c>
      <c r="Q7141">
        <v>-9.8448030000000006E-2</v>
      </c>
      <c r="R7141">
        <v>-0.97841540000000005</v>
      </c>
      <c r="S7141">
        <v>-9.2071529999999999E-2</v>
      </c>
      <c r="T7141">
        <v>-0.44580880000000001</v>
      </c>
      <c r="U7141">
        <v>-3.0071720000000002</v>
      </c>
      <c r="V7141">
        <v>-2.4704190000000001E-2</v>
      </c>
      <c r="W7141">
        <v>-8.7150030000000003E-2</v>
      </c>
      <c r="X7141">
        <v>0.99588880000000002</v>
      </c>
      <c r="Y7141">
        <v>-0.17744869999999999</v>
      </c>
      <c r="Z7141">
        <v>0.1293533</v>
      </c>
      <c r="AA7141">
        <v>0.97559200000000001</v>
      </c>
      <c r="AB7141">
        <v>13</v>
      </c>
      <c r="AC7141">
        <v>-0.199000000000012</v>
      </c>
      <c r="AD7141">
        <v>-1.0808820809020001</v>
      </c>
      <c r="AE7141">
        <v>-7.16119386</v>
      </c>
      <c r="AF7141">
        <v>-1.2618485443704399</v>
      </c>
      <c r="AG7141">
        <v>-1.0808820809020001</v>
      </c>
      <c r="AH7141">
        <v>6.8899097464766497</v>
      </c>
      <c r="AI7141">
        <v>98.7722550892355</v>
      </c>
      <c r="AJ7141">
        <v>100.378385663196</v>
      </c>
      <c r="AK7141">
        <v>7.0874130778683098</v>
      </c>
      <c r="AL7141">
        <v>94.999671617166399</v>
      </c>
      <c r="AM7141">
        <v>91.420997606043699</v>
      </c>
      <c r="AN7141">
        <v>0.99999996334899699</v>
      </c>
    </row>
    <row r="7142" spans="1:40" x14ac:dyDescent="0.25">
      <c r="A7142" t="str">
        <f>"20190303154321492"</f>
        <v>20190303154321492</v>
      </c>
      <c r="B7142" t="str">
        <f>"1551599001487592"</f>
        <v>1551599001487592</v>
      </c>
      <c r="C7142" t="s">
        <v>40</v>
      </c>
      <c r="D7142">
        <v>5.9133040000000001</v>
      </c>
      <c r="E7142">
        <v>0.44089659999999897</v>
      </c>
      <c r="F7142" t="s">
        <v>41</v>
      </c>
      <c r="G7142">
        <v>-299.76130000000001</v>
      </c>
      <c r="H7142" s="1">
        <v>-1.00199E-6</v>
      </c>
      <c r="I7142">
        <v>-7.3929479999999996</v>
      </c>
      <c r="J7142">
        <v>-299.6019</v>
      </c>
      <c r="K7142">
        <v>1.0821719999999999</v>
      </c>
      <c r="L7142">
        <v>-0.18835450000000001</v>
      </c>
      <c r="M7142">
        <v>-0.20451030000000001</v>
      </c>
      <c r="N7142">
        <v>-9.4111639999999996E-3</v>
      </c>
      <c r="O7142">
        <v>-0.97881929999999995</v>
      </c>
      <c r="P7142">
        <v>-0.17520720000000001</v>
      </c>
      <c r="Q7142">
        <v>-9.4337050000000006E-2</v>
      </c>
      <c r="R7142">
        <v>-0.98000189999999998</v>
      </c>
      <c r="S7142">
        <v>-7.5531009999999996E-2</v>
      </c>
      <c r="T7142">
        <v>-0.44327349999999999</v>
      </c>
      <c r="U7142">
        <v>-3.007568</v>
      </c>
      <c r="V7142">
        <v>-2.851281E-2</v>
      </c>
      <c r="W7142">
        <v>-8.5107160000000001E-2</v>
      </c>
      <c r="X7142">
        <v>0.99596379999999995</v>
      </c>
      <c r="Y7142">
        <v>-0.17994849999999901</v>
      </c>
      <c r="Z7142">
        <v>0.13070509999999999</v>
      </c>
      <c r="AA7142">
        <v>0.97495370000000003</v>
      </c>
      <c r="AB7142">
        <v>13</v>
      </c>
      <c r="AC7142">
        <v>-0.15940000000000501</v>
      </c>
      <c r="AD7142">
        <v>-1.08217300199</v>
      </c>
      <c r="AE7142">
        <v>-7.2045934999999997</v>
      </c>
      <c r="AF7142">
        <v>-1.2883936549288799</v>
      </c>
      <c r="AG7142">
        <v>-1.08217300199</v>
      </c>
      <c r="AH7142">
        <v>6.9286601612040704</v>
      </c>
      <c r="AI7142">
        <v>98.729902447555602</v>
      </c>
      <c r="AJ7142">
        <v>100.533913243653</v>
      </c>
      <c r="AK7142">
        <v>7.1300342387504303</v>
      </c>
      <c r="AL7142">
        <v>94.882186770101796</v>
      </c>
      <c r="AM7142">
        <v>91.639836294001597</v>
      </c>
      <c r="AN7142">
        <v>1.0000000499638899</v>
      </c>
    </row>
    <row r="7143" spans="1:40" x14ac:dyDescent="0.25">
      <c r="A7143" t="str">
        <f>"20190303154321514"</f>
        <v>20190303154321514</v>
      </c>
      <c r="B7143" t="str">
        <f>"1551599001507112"</f>
        <v>1551599001507112</v>
      </c>
      <c r="C7143" t="s">
        <v>40</v>
      </c>
      <c r="D7143">
        <v>5.9118930000000001</v>
      </c>
      <c r="E7143">
        <v>0.44203439999999999</v>
      </c>
      <c r="F7143" t="s">
        <v>41</v>
      </c>
      <c r="G7143">
        <v>-299.77010000000001</v>
      </c>
      <c r="H7143" s="1">
        <v>-7.9207389999999998E-7</v>
      </c>
      <c r="I7143">
        <v>-7.8336979999999903</v>
      </c>
      <c r="J7143">
        <v>-299.62599999999998</v>
      </c>
      <c r="K7143">
        <v>1.083545</v>
      </c>
      <c r="L7143">
        <v>-0.31661990000000001</v>
      </c>
      <c r="M7143">
        <v>-0.20215459999999999</v>
      </c>
      <c r="N7143">
        <v>-7.3950099999999996E-3</v>
      </c>
      <c r="O7143">
        <v>-0.97932569999999997</v>
      </c>
      <c r="P7143">
        <v>-0.1697089</v>
      </c>
      <c r="Q7143">
        <v>-9.0210830000000006E-2</v>
      </c>
      <c r="R7143">
        <v>-0.98135680000000003</v>
      </c>
      <c r="S7143">
        <v>-6.6192630000000002E-2</v>
      </c>
      <c r="T7143">
        <v>-0.42582769999999998</v>
      </c>
      <c r="U7143">
        <v>-3.0083920000000002</v>
      </c>
      <c r="V7143">
        <v>-3.1813760000000003E-2</v>
      </c>
      <c r="W7143">
        <v>-8.2991239999999994E-2</v>
      </c>
      <c r="X7143">
        <v>0.99604230000000005</v>
      </c>
      <c r="Y7143">
        <v>-0.1806344</v>
      </c>
      <c r="Z7143">
        <v>0.12734960000000001</v>
      </c>
      <c r="AA7143">
        <v>0.97527090000000005</v>
      </c>
      <c r="AB7143">
        <v>13</v>
      </c>
      <c r="AC7143">
        <v>-0.144100000000037</v>
      </c>
      <c r="AD7143">
        <v>-1.0835457920739</v>
      </c>
      <c r="AE7143">
        <v>-7.5170780999999902</v>
      </c>
      <c r="AF7143">
        <v>-1.3504793021841199</v>
      </c>
      <c r="AG7143">
        <v>-1.0835457920739</v>
      </c>
      <c r="AH7143">
        <v>7.2406127146636097</v>
      </c>
      <c r="AI7143">
        <v>98.368834783160196</v>
      </c>
      <c r="AJ7143">
        <v>100.565098563413</v>
      </c>
      <c r="AK7143">
        <v>7.4447524010471398</v>
      </c>
      <c r="AL7143">
        <v>94.760523390900104</v>
      </c>
      <c r="AM7143">
        <v>91.829414977231096</v>
      </c>
      <c r="AN7143">
        <v>0.999999962315682</v>
      </c>
    </row>
    <row r="7144" spans="1:40" x14ac:dyDescent="0.25">
      <c r="A7144" t="str">
        <f>"20190303154321537"</f>
        <v>20190303154321537</v>
      </c>
      <c r="B7144" t="str">
        <f>"1551599001527608"</f>
        <v>1551599001527608</v>
      </c>
      <c r="C7144" t="s">
        <v>40</v>
      </c>
      <c r="D7144">
        <v>5.7817150000000002</v>
      </c>
      <c r="E7144">
        <v>0.44245879999999999</v>
      </c>
      <c r="F7144" t="s">
        <v>41</v>
      </c>
      <c r="G7144">
        <v>-299.78129999999999</v>
      </c>
      <c r="H7144" s="1">
        <v>-5.6339890000000001E-7</v>
      </c>
      <c r="I7144">
        <v>-8.3132769999999994</v>
      </c>
      <c r="J7144">
        <v>-299.64949999999999</v>
      </c>
      <c r="K7144">
        <v>1.084859</v>
      </c>
      <c r="L7144">
        <v>-0.4437256</v>
      </c>
      <c r="M7144">
        <v>-0.2002584</v>
      </c>
      <c r="N7144">
        <v>-5.5369080000000001E-3</v>
      </c>
      <c r="O7144">
        <v>-0.97972749999999997</v>
      </c>
      <c r="P7144">
        <v>-0.16580539999999999</v>
      </c>
      <c r="Q7144">
        <v>-8.6983500000000005E-2</v>
      </c>
      <c r="R7144">
        <v>-0.98231489999999999</v>
      </c>
      <c r="S7144">
        <v>-5.841064E-2</v>
      </c>
      <c r="T7144">
        <v>-0.40777289999999999</v>
      </c>
      <c r="U7144">
        <v>-3.0093990000000002</v>
      </c>
      <c r="V7144">
        <v>-3.3930620000000002E-2</v>
      </c>
      <c r="W7144">
        <v>-8.1612740000000003E-2</v>
      </c>
      <c r="X7144">
        <v>0.99608640000000004</v>
      </c>
      <c r="Y7144">
        <v>-0.18127670000000001</v>
      </c>
      <c r="Z7144">
        <v>0.1236063</v>
      </c>
      <c r="AA7144">
        <v>0.97563330000000004</v>
      </c>
      <c r="AB7144">
        <v>13</v>
      </c>
      <c r="AC7144">
        <v>-0.131799999999998</v>
      </c>
      <c r="AD7144">
        <v>-1.0848595633989</v>
      </c>
      <c r="AE7144">
        <v>-7.8695513999999998</v>
      </c>
      <c r="AF7144">
        <v>-1.4198622004360599</v>
      </c>
      <c r="AG7144">
        <v>-1.0848595633989</v>
      </c>
      <c r="AH7144">
        <v>7.5922843433325804</v>
      </c>
      <c r="AI7144">
        <v>97.995160816299801</v>
      </c>
      <c r="AJ7144">
        <v>100.592743651044</v>
      </c>
      <c r="AK7144">
        <v>7.7997250265979403</v>
      </c>
      <c r="AL7144">
        <v>94.681272008343896</v>
      </c>
      <c r="AM7144">
        <v>91.950965203528298</v>
      </c>
      <c r="AN7144">
        <v>1.00000002128442</v>
      </c>
    </row>
    <row r="7145" spans="1:40" x14ac:dyDescent="0.25">
      <c r="A7145" t="str">
        <f>"20190303154321558"</f>
        <v>20190303154321558</v>
      </c>
      <c r="B7145" t="str">
        <f>"1551599001547128"</f>
        <v>1551599001547128</v>
      </c>
      <c r="C7145" t="s">
        <v>40</v>
      </c>
      <c r="D7145">
        <v>5.8950889999999996</v>
      </c>
      <c r="E7145">
        <v>0.45041759999999997</v>
      </c>
      <c r="F7145" t="s">
        <v>41</v>
      </c>
      <c r="G7145">
        <v>-299.78620000000001</v>
      </c>
      <c r="H7145" s="1">
        <v>-3.8124780000000002E-7</v>
      </c>
      <c r="I7145">
        <v>-8.6967719999999993</v>
      </c>
      <c r="J7145">
        <v>-299.67230000000001</v>
      </c>
      <c r="K7145">
        <v>1.086049</v>
      </c>
      <c r="L7145">
        <v>-0.56890869999999905</v>
      </c>
      <c r="M7145">
        <v>-0.1985526</v>
      </c>
      <c r="N7145">
        <v>-3.9364370000000001E-3</v>
      </c>
      <c r="O7145">
        <v>-0.98008269999999997</v>
      </c>
      <c r="P7145">
        <v>-0.16250629999999999</v>
      </c>
      <c r="Q7145">
        <v>-8.6199289999999998E-2</v>
      </c>
      <c r="R7145">
        <v>-0.98293549999999996</v>
      </c>
      <c r="S7145">
        <v>-4.9835209999999998E-2</v>
      </c>
      <c r="T7145">
        <v>-0.3957369</v>
      </c>
      <c r="U7145">
        <v>-3.0105590000000002</v>
      </c>
      <c r="V7145">
        <v>-3.5581109999999999E-2</v>
      </c>
      <c r="W7145">
        <v>-8.2415580000000002E-2</v>
      </c>
      <c r="X7145">
        <v>0.99596269999999998</v>
      </c>
      <c r="Y7145">
        <v>-0.1823669</v>
      </c>
      <c r="Z7145">
        <v>0.1214515</v>
      </c>
      <c r="AA7145">
        <v>0.97570069999999998</v>
      </c>
      <c r="AB7145">
        <v>13</v>
      </c>
      <c r="AC7145">
        <v>-0.1139</v>
      </c>
      <c r="AD7145">
        <v>-1.0860493812478</v>
      </c>
      <c r="AE7145">
        <v>-8.1278632999999996</v>
      </c>
      <c r="AF7145">
        <v>-1.4758428795567</v>
      </c>
      <c r="AG7145">
        <v>-1.0860493812478</v>
      </c>
      <c r="AH7145">
        <v>7.8485483661568596</v>
      </c>
      <c r="AI7145">
        <v>97.744284529766801</v>
      </c>
      <c r="AJ7145">
        <v>100.64955429553901</v>
      </c>
      <c r="AK7145">
        <v>8.0596108416939405</v>
      </c>
      <c r="AL7145">
        <v>94.727426839261597</v>
      </c>
      <c r="AM7145">
        <v>92.046041270667303</v>
      </c>
      <c r="AN7145">
        <v>1.0000000215034199</v>
      </c>
    </row>
    <row r="7146" spans="1:40" x14ac:dyDescent="0.25">
      <c r="A7146" t="str">
        <f>"20190303154321581"</f>
        <v>20190303154321581</v>
      </c>
      <c r="B7146" t="str">
        <f>"1551599001577384"</f>
        <v>1551599001577384</v>
      </c>
      <c r="C7146" t="s">
        <v>40</v>
      </c>
      <c r="D7146">
        <v>5.9307970000000001</v>
      </c>
      <c r="E7146">
        <v>0.45053379999999998</v>
      </c>
      <c r="F7146" t="s">
        <v>41</v>
      </c>
      <c r="G7146">
        <v>-299.98070000000001</v>
      </c>
      <c r="H7146" s="1">
        <v>1.5648810000000001E-7</v>
      </c>
      <c r="I7146">
        <v>-9.7828839999999992</v>
      </c>
      <c r="J7146">
        <v>-299.69549999999998</v>
      </c>
      <c r="K7146">
        <v>1.087127</v>
      </c>
      <c r="L7146">
        <v>-0.69781490000000002</v>
      </c>
      <c r="M7146">
        <v>-0.19677210000000001</v>
      </c>
      <c r="N7146">
        <v>-2.517638E-3</v>
      </c>
      <c r="O7146">
        <v>-0.98044629999999999</v>
      </c>
      <c r="P7146">
        <v>-0.16035769999999999</v>
      </c>
      <c r="Q7146">
        <v>-8.7655339999999998E-2</v>
      </c>
      <c r="R7146">
        <v>-0.98315940000000002</v>
      </c>
      <c r="S7146">
        <v>-0.10058590000000001</v>
      </c>
      <c r="T7146">
        <v>-0.35412729999999998</v>
      </c>
      <c r="U7146">
        <v>-3.0043950000000001</v>
      </c>
      <c r="V7146">
        <v>-3.5955229999999998E-2</v>
      </c>
      <c r="W7146">
        <v>-8.5267899999999994E-2</v>
      </c>
      <c r="X7146">
        <v>0.99570910000000001</v>
      </c>
      <c r="Y7146">
        <v>-0.16402990000000001</v>
      </c>
      <c r="Z7146">
        <v>0.1103229</v>
      </c>
      <c r="AA7146">
        <v>0.98026679999999999</v>
      </c>
      <c r="AB7146">
        <v>13</v>
      </c>
      <c r="AC7146">
        <v>-0.28520000000003098</v>
      </c>
      <c r="AD7146">
        <v>-1.0871268435118999</v>
      </c>
      <c r="AE7146">
        <v>-9.0850690999999895</v>
      </c>
      <c r="AF7146">
        <v>-1.48680109085663</v>
      </c>
      <c r="AG7146">
        <v>-1.0871268435118999</v>
      </c>
      <c r="AH7146">
        <v>8.8371556365707598</v>
      </c>
      <c r="AI7146">
        <v>96.916909999473702</v>
      </c>
      <c r="AJ7146">
        <v>99.550248525387602</v>
      </c>
      <c r="AK7146">
        <v>9.02705610942078</v>
      </c>
      <c r="AL7146">
        <v>94.891430325669006</v>
      </c>
      <c r="AM7146">
        <v>92.068062066391093</v>
      </c>
      <c r="AN7146">
        <v>1.0000000025787801</v>
      </c>
    </row>
    <row r="7147" spans="1:40" x14ac:dyDescent="0.25">
      <c r="A7147" t="str">
        <f>"20190303154321604"</f>
        <v>20190303154321604</v>
      </c>
      <c r="B7147" t="str">
        <f>"1551599001597880"</f>
        <v>1551599001597880</v>
      </c>
      <c r="C7147" t="s">
        <v>40</v>
      </c>
      <c r="D7147">
        <v>5.926507</v>
      </c>
      <c r="E7147">
        <v>0.4503103</v>
      </c>
      <c r="F7147" t="s">
        <v>41</v>
      </c>
      <c r="G7147">
        <v>-299.98079999999999</v>
      </c>
      <c r="H7147" s="1">
        <v>1.32044799999999E-7</v>
      </c>
      <c r="I7147">
        <v>-9.7312239999999992</v>
      </c>
      <c r="J7147">
        <v>-299.71859999999998</v>
      </c>
      <c r="K7147">
        <v>1.088085</v>
      </c>
      <c r="L7147">
        <v>-0.82699579999999995</v>
      </c>
      <c r="M7147">
        <v>-0.19491919999999999</v>
      </c>
      <c r="N7147">
        <v>-1.2667920000000001E-3</v>
      </c>
      <c r="O7147">
        <v>-0.98081859999999998</v>
      </c>
      <c r="P7147">
        <v>-0.1583987</v>
      </c>
      <c r="Q7147">
        <v>-8.9511090000000001E-2</v>
      </c>
      <c r="R7147">
        <v>-0.98330969999999995</v>
      </c>
      <c r="S7147">
        <v>-9.4879149999999995E-2</v>
      </c>
      <c r="T7147">
        <v>-0.36147990000000002</v>
      </c>
      <c r="U7147">
        <v>-3.0036930000000002</v>
      </c>
      <c r="V7147">
        <v>-3.6060399999999999E-2</v>
      </c>
      <c r="W7147">
        <v>-8.8350680000000001E-2</v>
      </c>
      <c r="X7147">
        <v>0.99543649999999995</v>
      </c>
      <c r="Y7147">
        <v>-0.16404349999999901</v>
      </c>
      <c r="Z7147">
        <v>0.1139667</v>
      </c>
      <c r="AA7147">
        <v>0.97984760000000004</v>
      </c>
      <c r="AB7147">
        <v>13</v>
      </c>
      <c r="AC7147">
        <v>-0.26220000000000698</v>
      </c>
      <c r="AD7147">
        <v>-1.0880848679552</v>
      </c>
      <c r="AE7147">
        <v>-8.9042281999999897</v>
      </c>
      <c r="AF7147">
        <v>-1.4567020393045</v>
      </c>
      <c r="AG7147">
        <v>-1.0880848679552</v>
      </c>
      <c r="AH7147">
        <v>8.6554114177479704</v>
      </c>
      <c r="AI7147">
        <v>97.066794505452805</v>
      </c>
      <c r="AJ7147">
        <v>99.5533280213685</v>
      </c>
      <c r="AK7147">
        <v>8.8443233953575593</v>
      </c>
      <c r="AL7147">
        <v>95.068729956584406</v>
      </c>
      <c r="AM7147">
        <v>92.074673424130907</v>
      </c>
      <c r="AN7147">
        <v>1.0000000103184301</v>
      </c>
    </row>
    <row r="7148" spans="1:40" x14ac:dyDescent="0.25">
      <c r="A7148" t="str">
        <f>"20190303154321627"</f>
        <v>20190303154321627</v>
      </c>
      <c r="B7148" t="str">
        <f>"1551599001617400"</f>
        <v>1551599001617400</v>
      </c>
      <c r="C7148" t="s">
        <v>40</v>
      </c>
      <c r="D7148">
        <v>5.9459140000000001</v>
      </c>
      <c r="E7148">
        <v>0.44977080000000003</v>
      </c>
      <c r="F7148" t="s">
        <v>41</v>
      </c>
      <c r="G7148">
        <v>-299.97379999999998</v>
      </c>
      <c r="H7148" s="1">
        <v>7.8870039999999898E-8</v>
      </c>
      <c r="I7148">
        <v>-9.6147550000000006</v>
      </c>
      <c r="J7148">
        <v>-299.74130000000002</v>
      </c>
      <c r="K7148">
        <v>1.0889359999999999</v>
      </c>
      <c r="L7148">
        <v>-0.95419310000000002</v>
      </c>
      <c r="M7148">
        <v>-0.19305820000000001</v>
      </c>
      <c r="N7148">
        <v>-1.619054E-4</v>
      </c>
      <c r="O7148">
        <v>-0.98118740000000004</v>
      </c>
      <c r="P7148">
        <v>-0.15694920000000001</v>
      </c>
      <c r="Q7148">
        <v>-8.9791549999999998E-2</v>
      </c>
      <c r="R7148">
        <v>-0.98351679999999997</v>
      </c>
      <c r="S7148">
        <v>-8.7188719999999997E-2</v>
      </c>
      <c r="T7148">
        <v>-0.37182880000000001</v>
      </c>
      <c r="U7148">
        <v>-3.0030209999999999</v>
      </c>
      <c r="V7148">
        <v>-3.5668709999999999E-2</v>
      </c>
      <c r="W7148">
        <v>-8.9714550000000004E-2</v>
      </c>
      <c r="X7148">
        <v>0.99532860000000001</v>
      </c>
      <c r="Y7148">
        <v>-0.1646977</v>
      </c>
      <c r="Z7148">
        <v>0.1184017</v>
      </c>
      <c r="AA7148">
        <v>0.97921179999999997</v>
      </c>
      <c r="AB7148">
        <v>13</v>
      </c>
      <c r="AC7148">
        <v>-0.23249999999995899</v>
      </c>
      <c r="AD7148">
        <v>-1.0889359211299601</v>
      </c>
      <c r="AE7148">
        <v>-8.6605618999999994</v>
      </c>
      <c r="AF7148">
        <v>-1.4214109671176001</v>
      </c>
      <c r="AG7148">
        <v>-1.0889359211299601</v>
      </c>
      <c r="AH7148">
        <v>8.4096643476548607</v>
      </c>
      <c r="AI7148">
        <v>97.275895501992593</v>
      </c>
      <c r="AJ7148">
        <v>99.593526702738899</v>
      </c>
      <c r="AK7148">
        <v>8.5981768426792993</v>
      </c>
      <c r="AL7148">
        <v>95.147185633143494</v>
      </c>
      <c r="AM7148">
        <v>92.052379860433504</v>
      </c>
      <c r="AN7148">
        <v>0.99999998966636305</v>
      </c>
    </row>
    <row r="7149" spans="1:40" x14ac:dyDescent="0.25">
      <c r="A7149" t="str">
        <f>"20190303154321648"</f>
        <v>20190303154321648</v>
      </c>
      <c r="B7149" t="str">
        <f>"1551599001637896"</f>
        <v>1551599001637896</v>
      </c>
      <c r="C7149" t="s">
        <v>40</v>
      </c>
      <c r="D7149">
        <v>5.8760130000000004</v>
      </c>
      <c r="E7149">
        <v>0.4499379</v>
      </c>
      <c r="F7149" t="s">
        <v>41</v>
      </c>
      <c r="G7149">
        <v>-299.96980000000002</v>
      </c>
      <c r="H7149" s="1">
        <v>1.122883E-7</v>
      </c>
      <c r="I7149">
        <v>-9.6832349999999998</v>
      </c>
      <c r="J7149">
        <v>-299.76330000000002</v>
      </c>
      <c r="K7149">
        <v>1.0897059999999901</v>
      </c>
      <c r="L7149">
        <v>-1.0787659999999999</v>
      </c>
      <c r="M7149">
        <v>-0.1912228</v>
      </c>
      <c r="N7149">
        <v>8.0200279999999996E-4</v>
      </c>
      <c r="O7149">
        <v>-0.98154629999999998</v>
      </c>
      <c r="P7149">
        <v>-0.15530269999999999</v>
      </c>
      <c r="Q7149">
        <v>-8.7359290000000006E-2</v>
      </c>
      <c r="R7149">
        <v>-0.98399669999999895</v>
      </c>
      <c r="S7149">
        <v>-7.86438E-2</v>
      </c>
      <c r="T7149">
        <v>-0.37468760000000001</v>
      </c>
      <c r="U7149">
        <v>-3.0035400000000001</v>
      </c>
      <c r="V7149">
        <v>-3.5544350000000002E-2</v>
      </c>
      <c r="W7149">
        <v>-8.8231089999999998E-2</v>
      </c>
      <c r="X7149">
        <v>0.99546559999999995</v>
      </c>
      <c r="Y7149">
        <v>-0.16565729999999901</v>
      </c>
      <c r="Z7149">
        <v>0.120293899999999</v>
      </c>
      <c r="AA7149">
        <v>0.9788192</v>
      </c>
      <c r="AB7149">
        <v>13</v>
      </c>
      <c r="AC7149">
        <v>-0.20650000000000501</v>
      </c>
      <c r="AD7149">
        <v>-1.0897058877116901</v>
      </c>
      <c r="AE7149">
        <v>-8.6044689999999999</v>
      </c>
      <c r="AF7149">
        <v>-1.4199212017171301</v>
      </c>
      <c r="AG7149">
        <v>-1.0897058877116901</v>
      </c>
      <c r="AH7149">
        <v>8.3513077823351392</v>
      </c>
      <c r="AI7149">
        <v>97.330112719187099</v>
      </c>
      <c r="AJ7149">
        <v>99.649371432306296</v>
      </c>
      <c r="AK7149">
        <v>8.5409587761615402</v>
      </c>
      <c r="AL7149">
        <v>95.061851430086193</v>
      </c>
      <c r="AM7149">
        <v>92.044949031798097</v>
      </c>
      <c r="AN7149">
        <v>0.99999994342143295</v>
      </c>
    </row>
    <row r="7150" spans="1:40" x14ac:dyDescent="0.25">
      <c r="A7150" t="str">
        <f>"20190303154321671"</f>
        <v>20190303154321671</v>
      </c>
      <c r="B7150" t="str">
        <f>"1551599001667177"</f>
        <v>1551599001667177</v>
      </c>
      <c r="C7150" t="s">
        <v>40</v>
      </c>
      <c r="D7150">
        <v>5.8764430000000001</v>
      </c>
      <c r="E7150">
        <v>0.45071280000000002</v>
      </c>
      <c r="F7150" t="s">
        <v>41</v>
      </c>
      <c r="G7150">
        <v>-299.98930000000001</v>
      </c>
      <c r="H7150" s="1">
        <v>3.358477E-7</v>
      </c>
      <c r="I7150">
        <v>-10.1671</v>
      </c>
      <c r="J7150">
        <v>-299.78559999999999</v>
      </c>
      <c r="K7150">
        <v>1.0904419999999999</v>
      </c>
      <c r="L7150">
        <v>-1.205902</v>
      </c>
      <c r="M7150">
        <v>-0.18933140000000001</v>
      </c>
      <c r="N7150">
        <v>1.657724E-3</v>
      </c>
      <c r="O7150">
        <v>-0.98191209999999995</v>
      </c>
      <c r="P7150">
        <v>-0.15438089999999999</v>
      </c>
      <c r="Q7150">
        <v>-8.528318E-2</v>
      </c>
      <c r="R7150">
        <v>-0.98432399999999998</v>
      </c>
      <c r="S7150">
        <v>-7.4707029999999994E-2</v>
      </c>
      <c r="T7150">
        <v>-0.36030479999999998</v>
      </c>
      <c r="U7150">
        <v>-3.0050050000000001</v>
      </c>
      <c r="V7150">
        <v>-3.461061E-2</v>
      </c>
      <c r="W7150">
        <v>-8.6999380000000001E-2</v>
      </c>
      <c r="X7150">
        <v>0.99560700000000002</v>
      </c>
      <c r="Y7150">
        <v>-0.1650491</v>
      </c>
      <c r="Z7150">
        <v>0.1166382</v>
      </c>
      <c r="AA7150">
        <v>0.97936420000000002</v>
      </c>
      <c r="AB7150">
        <v>13</v>
      </c>
      <c r="AC7150">
        <v>-0.203700000000026</v>
      </c>
      <c r="AD7150">
        <v>-1.09044166415229</v>
      </c>
      <c r="AE7150">
        <v>-8.9611979999999996</v>
      </c>
      <c r="AF7150">
        <v>-1.4747960399364</v>
      </c>
      <c r="AG7150">
        <v>-1.09044166415229</v>
      </c>
      <c r="AH7150">
        <v>8.7087992195704391</v>
      </c>
      <c r="AI7150">
        <v>97.037771874524907</v>
      </c>
      <c r="AJ7150">
        <v>99.611595125891299</v>
      </c>
      <c r="AK7150">
        <v>8.8998466407642098</v>
      </c>
      <c r="AL7150">
        <v>94.991006702165606</v>
      </c>
      <c r="AM7150">
        <v>91.990990049428504</v>
      </c>
      <c r="AN7150">
        <v>1.0000000424469699</v>
      </c>
    </row>
    <row r="7151" spans="1:40" x14ac:dyDescent="0.25">
      <c r="A7151" t="str">
        <f>"20190303154321693"</f>
        <v>20190303154321693</v>
      </c>
      <c r="B7151" t="str">
        <f>"1551599001687675"</f>
        <v>1551599001687675</v>
      </c>
      <c r="C7151" t="s">
        <v>40</v>
      </c>
      <c r="D7151">
        <v>5.8565319999999996</v>
      </c>
      <c r="E7151">
        <v>0.45090150000000001</v>
      </c>
      <c r="F7151" t="s">
        <v>41</v>
      </c>
      <c r="G7151">
        <v>-300.03719999999998</v>
      </c>
      <c r="H7151" s="1">
        <v>-4.0563910000000002E-6</v>
      </c>
      <c r="I7151">
        <v>-10.978389999999999</v>
      </c>
      <c r="J7151">
        <v>-299.80799999999999</v>
      </c>
      <c r="K7151">
        <v>1.0911230000000001</v>
      </c>
      <c r="L7151">
        <v>-1.3348690000000001</v>
      </c>
      <c r="M7151">
        <v>-0.18736169999999999</v>
      </c>
      <c r="N7151">
        <v>2.399174E-3</v>
      </c>
      <c r="O7151">
        <v>-0.98228819999999994</v>
      </c>
      <c r="P7151">
        <v>-0.15342149999999999</v>
      </c>
      <c r="Q7151">
        <v>-8.5807140000000004E-2</v>
      </c>
      <c r="R7151">
        <v>-0.98442830000000003</v>
      </c>
      <c r="S7151">
        <v>-7.7392580000000002E-2</v>
      </c>
      <c r="T7151">
        <v>-0.335482</v>
      </c>
      <c r="U7151">
        <v>-3.006561</v>
      </c>
      <c r="V7151">
        <v>-3.357856E-2</v>
      </c>
      <c r="W7151">
        <v>-8.8257370000000002E-2</v>
      </c>
      <c r="X7151">
        <v>0.99553159999999896</v>
      </c>
      <c r="Y7151">
        <v>-0.16219459999999999</v>
      </c>
      <c r="Z7151">
        <v>0.1095851</v>
      </c>
      <c r="AA7151">
        <v>0.9806549</v>
      </c>
      <c r="AB7151">
        <v>13</v>
      </c>
      <c r="AC7151">
        <v>-0.22919999999999099</v>
      </c>
      <c r="AD7151">
        <v>-1.091127056391</v>
      </c>
      <c r="AE7151">
        <v>-9.6435209999999998</v>
      </c>
      <c r="AF7151">
        <v>-1.56170859315396</v>
      </c>
      <c r="AG7151">
        <v>-1.091127056391</v>
      </c>
      <c r="AH7151">
        <v>9.3954729140789794</v>
      </c>
      <c r="AI7151">
        <v>96.535396600438006</v>
      </c>
      <c r="AJ7151">
        <v>99.437378936514193</v>
      </c>
      <c r="AK7151">
        <v>9.5866784269793399</v>
      </c>
      <c r="AL7151">
        <v>95.063362647074996</v>
      </c>
      <c r="AM7151">
        <v>91.931812792357306</v>
      </c>
      <c r="AN7151">
        <v>1.00000002482477</v>
      </c>
    </row>
    <row r="7152" spans="1:40" x14ac:dyDescent="0.25">
      <c r="A7152" t="str">
        <f>"20190303154321715"</f>
        <v>20190303154321715</v>
      </c>
      <c r="B7152" t="str">
        <f>"1551599001707192"</f>
        <v>1551599001707192</v>
      </c>
      <c r="C7152" t="s">
        <v>40</v>
      </c>
      <c r="D7152">
        <v>5.8574539999999997</v>
      </c>
      <c r="E7152">
        <v>0.45094339999999999</v>
      </c>
      <c r="F7152" t="s">
        <v>41</v>
      </c>
      <c r="G7152">
        <v>-300.05829999999997</v>
      </c>
      <c r="H7152" s="1">
        <v>-3.914431E-6</v>
      </c>
      <c r="I7152">
        <v>-11.322430000000001</v>
      </c>
      <c r="J7152">
        <v>-299.82909999999998</v>
      </c>
      <c r="K7152">
        <v>1.0916999999999999</v>
      </c>
      <c r="L7152">
        <v>-1.457794</v>
      </c>
      <c r="M7152">
        <v>-0.18540780000000001</v>
      </c>
      <c r="N7152">
        <v>3.0030569999999999E-3</v>
      </c>
      <c r="O7152">
        <v>-0.98265709999999995</v>
      </c>
      <c r="P7152">
        <v>-0.1529172</v>
      </c>
      <c r="Q7152">
        <v>-8.7370110000000001E-2</v>
      </c>
      <c r="R7152">
        <v>-0.9843693</v>
      </c>
      <c r="S7152">
        <v>-7.5378420000000002E-2</v>
      </c>
      <c r="T7152">
        <v>-0.32851920000000001</v>
      </c>
      <c r="U7152">
        <v>-3.0070800000000002</v>
      </c>
      <c r="V7152">
        <v>-3.2078860000000001E-2</v>
      </c>
      <c r="W7152">
        <v>-9.0418680000000001E-2</v>
      </c>
      <c r="X7152">
        <v>0.99538709999999997</v>
      </c>
      <c r="Y7152">
        <v>-0.1608936</v>
      </c>
      <c r="Z7152">
        <v>0.1080405</v>
      </c>
      <c r="AA7152">
        <v>0.98104049999999998</v>
      </c>
      <c r="AB7152">
        <v>13</v>
      </c>
      <c r="AC7152">
        <v>-0.22919999999999099</v>
      </c>
      <c r="AD7152">
        <v>-1.0917039144309999</v>
      </c>
      <c r="AE7152">
        <v>-9.8646360000000008</v>
      </c>
      <c r="AF7152">
        <v>-1.58436855419482</v>
      </c>
      <c r="AG7152">
        <v>-1.0917039144309999</v>
      </c>
      <c r="AH7152">
        <v>9.6183564422670003</v>
      </c>
      <c r="AI7152">
        <v>96.390093526894205</v>
      </c>
      <c r="AJ7152">
        <v>99.353957461545406</v>
      </c>
      <c r="AK7152">
        <v>9.80891542438839</v>
      </c>
      <c r="AL7152">
        <v>95.187693712543904</v>
      </c>
      <c r="AM7152">
        <v>91.845862145420995</v>
      </c>
      <c r="AN7152">
        <v>1.00000003489912</v>
      </c>
    </row>
    <row r="7153" spans="1:40" x14ac:dyDescent="0.25">
      <c r="A7153" t="str">
        <f>"20190303154321739"</f>
        <v>20190303154321739</v>
      </c>
      <c r="B7153" t="str">
        <f>"1551599001727689"</f>
        <v>1551599001727689</v>
      </c>
      <c r="C7153" t="s">
        <v>40</v>
      </c>
      <c r="D7153">
        <v>5.9306830000000001</v>
      </c>
      <c r="E7153">
        <v>0.4508394</v>
      </c>
      <c r="F7153" t="s">
        <v>41</v>
      </c>
      <c r="G7153">
        <v>-300.07080000000002</v>
      </c>
      <c r="H7153" s="1">
        <v>-3.9536230000000001E-6</v>
      </c>
      <c r="I7153">
        <v>-11.23882</v>
      </c>
      <c r="J7153">
        <v>-299.85059999999999</v>
      </c>
      <c r="K7153">
        <v>1.092325</v>
      </c>
      <c r="L7153">
        <v>-1.5844119999999999</v>
      </c>
      <c r="M7153">
        <v>-0.18250140000000001</v>
      </c>
      <c r="N7153">
        <v>3.1834459999999999E-3</v>
      </c>
      <c r="O7153">
        <v>-0.98320039999999997</v>
      </c>
      <c r="P7153">
        <v>-0.1523244</v>
      </c>
      <c r="Q7153">
        <v>-8.8464989999999993E-2</v>
      </c>
      <c r="R7153">
        <v>-0.98436360000000001</v>
      </c>
      <c r="S7153">
        <v>-7.4310299999999996E-2</v>
      </c>
      <c r="T7153">
        <v>-0.33554840000000002</v>
      </c>
      <c r="U7153">
        <v>-3.0063170000000001</v>
      </c>
      <c r="V7153">
        <v>-2.971209E-2</v>
      </c>
      <c r="W7153">
        <v>-9.1689359999999998E-2</v>
      </c>
      <c r="X7153">
        <v>0.99534429999999996</v>
      </c>
      <c r="Y7153">
        <v>-0.15832550000000001</v>
      </c>
      <c r="Z7153">
        <v>0.1105802</v>
      </c>
      <c r="AA7153">
        <v>0.98117540000000003</v>
      </c>
      <c r="AB7153">
        <v>13</v>
      </c>
      <c r="AC7153">
        <v>-0.22020000000003301</v>
      </c>
      <c r="AD7153">
        <v>-1.0923289536229901</v>
      </c>
      <c r="AE7153">
        <v>-9.6544080000000001</v>
      </c>
      <c r="AF7153">
        <v>-1.52592638632758</v>
      </c>
      <c r="AG7153">
        <v>-1.0923289536229901</v>
      </c>
      <c r="AH7153">
        <v>9.4120293049622905</v>
      </c>
      <c r="AI7153">
        <v>96.535362898577404</v>
      </c>
      <c r="AJ7153">
        <v>99.208958584405295</v>
      </c>
      <c r="AK7153">
        <v>9.5972876124915008</v>
      </c>
      <c r="AL7153">
        <v>95.260802135917899</v>
      </c>
      <c r="AM7153">
        <v>91.709832439567506</v>
      </c>
      <c r="AN7153">
        <v>1.00000001128593</v>
      </c>
    </row>
    <row r="7154" spans="1:40" x14ac:dyDescent="0.25">
      <c r="A7154" t="str">
        <f>"20190303154321760"</f>
        <v>20190303154321760</v>
      </c>
      <c r="B7154" t="str">
        <f>"1551599001756968"</f>
        <v>1551599001756968</v>
      </c>
      <c r="C7154" t="s">
        <v>40</v>
      </c>
      <c r="D7154">
        <v>5.8905640000000004</v>
      </c>
      <c r="E7154">
        <v>0.4508336</v>
      </c>
      <c r="F7154" t="s">
        <v>41</v>
      </c>
      <c r="G7154">
        <v>-300.07990000000001</v>
      </c>
      <c r="H7154" s="1">
        <v>-3.9759539999999997E-6</v>
      </c>
      <c r="I7154">
        <v>-11.19238</v>
      </c>
      <c r="J7154">
        <v>-299.87130000000002</v>
      </c>
      <c r="K7154">
        <v>1.0934219999999999</v>
      </c>
      <c r="L7154">
        <v>-1.706299</v>
      </c>
      <c r="M7154">
        <v>-0.17930019999999999</v>
      </c>
      <c r="N7154">
        <v>3.0244970000000001E-3</v>
      </c>
      <c r="O7154">
        <v>-0.98378989999999999</v>
      </c>
      <c r="P7154">
        <v>-0.15087500000000001</v>
      </c>
      <c r="Q7154">
        <v>-8.8574050000000001E-2</v>
      </c>
      <c r="R7154">
        <v>-0.98457709999999998</v>
      </c>
      <c r="S7154">
        <v>-7.1746829999999998E-2</v>
      </c>
      <c r="T7154">
        <v>-0.34173569999999998</v>
      </c>
      <c r="U7154">
        <v>-3.0058590000000001</v>
      </c>
      <c r="V7154">
        <v>-2.7865859999999999E-2</v>
      </c>
      <c r="W7154">
        <v>-9.1658439999999994E-2</v>
      </c>
      <c r="X7154">
        <v>0.99540050000000002</v>
      </c>
      <c r="Y7154">
        <v>-0.15594759999999999</v>
      </c>
      <c r="Z7154">
        <v>0.11251650000000001</v>
      </c>
      <c r="AA7154">
        <v>0.98133599999999999</v>
      </c>
      <c r="AB7154">
        <v>13</v>
      </c>
      <c r="AC7154">
        <v>-0.20859999999998899</v>
      </c>
      <c r="AD7154">
        <v>-1.0934259759539999</v>
      </c>
      <c r="AE7154">
        <v>-9.4860810000000004</v>
      </c>
      <c r="AF7154">
        <v>-1.4760425676500999</v>
      </c>
      <c r="AG7154">
        <v>-1.0934259759539999</v>
      </c>
      <c r="AH7154">
        <v>9.2469555151037301</v>
      </c>
      <c r="AI7154">
        <v>96.660201158166899</v>
      </c>
      <c r="AJ7154">
        <v>99.0693097357547</v>
      </c>
      <c r="AK7154">
        <v>9.4276438373918996</v>
      </c>
      <c r="AL7154">
        <v>95.259023299889094</v>
      </c>
      <c r="AM7154">
        <v>91.603554833458503</v>
      </c>
      <c r="AN7154">
        <v>0.99999996558851101</v>
      </c>
    </row>
    <row r="7155" spans="1:40" x14ac:dyDescent="0.25">
      <c r="A7155" t="str">
        <f>"20190303154321782"</f>
        <v>20190303154321782</v>
      </c>
      <c r="B7155" t="str">
        <f>"1551599001777468"</f>
        <v>1551599001777468</v>
      </c>
      <c r="C7155" t="s">
        <v>40</v>
      </c>
      <c r="D7155">
        <v>5.8447250000000004</v>
      </c>
      <c r="E7155">
        <v>0.4509398</v>
      </c>
      <c r="F7155" t="s">
        <v>41</v>
      </c>
      <c r="G7155">
        <v>-300.08420000000001</v>
      </c>
      <c r="H7155" s="1">
        <v>-3.9566259999999998E-6</v>
      </c>
      <c r="I7155">
        <v>-11.24011</v>
      </c>
      <c r="J7155">
        <v>-299.892</v>
      </c>
      <c r="K7155">
        <v>1.0950850000000001</v>
      </c>
      <c r="L7155">
        <v>-1.828308</v>
      </c>
      <c r="M7155">
        <v>-0.1769857</v>
      </c>
      <c r="N7155">
        <v>2.8346719999999999E-3</v>
      </c>
      <c r="O7155">
        <v>-0.98420960000000002</v>
      </c>
      <c r="P7155">
        <v>-0.15016840000000001</v>
      </c>
      <c r="Q7155">
        <v>-8.8235880000000003E-2</v>
      </c>
      <c r="R7155">
        <v>-0.98471529999999996</v>
      </c>
      <c r="S7155">
        <v>-6.7108150000000005E-2</v>
      </c>
      <c r="T7155">
        <v>-0.34472239999999998</v>
      </c>
      <c r="U7155">
        <v>-3.0057070000000001</v>
      </c>
      <c r="V7155">
        <v>-2.607804E-2</v>
      </c>
      <c r="W7155">
        <v>-9.1175119999999998E-2</v>
      </c>
      <c r="X7155">
        <v>0.99549339999999997</v>
      </c>
      <c r="Y7155">
        <v>-0.1551372</v>
      </c>
      <c r="Z7155">
        <v>0.1133594</v>
      </c>
      <c r="AA7155">
        <v>0.98136749999999995</v>
      </c>
      <c r="AB7155">
        <v>13</v>
      </c>
      <c r="AC7155">
        <v>-0.192200000000013</v>
      </c>
      <c r="AD7155">
        <v>-1.095088956626</v>
      </c>
      <c r="AE7155">
        <v>-9.4118019999999998</v>
      </c>
      <c r="AF7155">
        <v>-1.45687987578066</v>
      </c>
      <c r="AG7155">
        <v>-1.095088956626</v>
      </c>
      <c r="AH7155">
        <v>9.1731041625274603</v>
      </c>
      <c r="AI7155">
        <v>96.724282514976295</v>
      </c>
      <c r="AJ7155">
        <v>99.024388907719697</v>
      </c>
      <c r="AK7155">
        <v>9.3524092495975299</v>
      </c>
      <c r="AL7155">
        <v>95.231214279746595</v>
      </c>
      <c r="AM7155">
        <v>91.500582513579502</v>
      </c>
      <c r="AN7155">
        <v>1.0000000380603999</v>
      </c>
    </row>
    <row r="7156" spans="1:40" x14ac:dyDescent="0.25">
      <c r="A7156" t="str">
        <f>"20190303154321805"</f>
        <v>20190303154321805</v>
      </c>
      <c r="B7156" t="str">
        <f>"1551599001796984"</f>
        <v>1551599001796984</v>
      </c>
      <c r="C7156" t="s">
        <v>40</v>
      </c>
      <c r="D7156">
        <v>5.9116549999999997</v>
      </c>
      <c r="E7156">
        <v>0.45084269999999999</v>
      </c>
      <c r="F7156" t="s">
        <v>41</v>
      </c>
      <c r="G7156">
        <v>-300.10270000000003</v>
      </c>
      <c r="H7156" s="1">
        <v>-3.8496630000000002E-6</v>
      </c>
      <c r="I7156">
        <v>-11.500909999999999</v>
      </c>
      <c r="J7156">
        <v>-299.91309999999999</v>
      </c>
      <c r="K7156">
        <v>1.0972040000000001</v>
      </c>
      <c r="L7156">
        <v>-1.957184</v>
      </c>
      <c r="M7156">
        <v>-0.17631769999999999</v>
      </c>
      <c r="N7156">
        <v>2.3637329999999998E-3</v>
      </c>
      <c r="O7156">
        <v>-0.9843307</v>
      </c>
      <c r="P7156">
        <v>-0.1501441</v>
      </c>
      <c r="Q7156">
        <v>-8.9377869999999998E-2</v>
      </c>
      <c r="R7156">
        <v>-0.9846163</v>
      </c>
      <c r="S7156">
        <v>-6.5490720000000002E-2</v>
      </c>
      <c r="T7156">
        <v>-0.34033409999999997</v>
      </c>
      <c r="U7156">
        <v>-3.0060730000000002</v>
      </c>
      <c r="V7156">
        <v>-2.5205769999999999E-2</v>
      </c>
      <c r="W7156">
        <v>-9.190015E-2</v>
      </c>
      <c r="X7156">
        <v>0.99544920000000003</v>
      </c>
      <c r="Y7156">
        <v>-0.15498819999999999</v>
      </c>
      <c r="Z7156">
        <v>0.1115125</v>
      </c>
      <c r="AA7156">
        <v>0.98160259999999999</v>
      </c>
      <c r="AB7156">
        <v>13</v>
      </c>
      <c r="AC7156">
        <v>-0.18960000000004101</v>
      </c>
      <c r="AD7156">
        <v>-1.097207849663</v>
      </c>
      <c r="AE7156">
        <v>-9.5437259999999995</v>
      </c>
      <c r="AF7156">
        <v>-1.4765937194493599</v>
      </c>
      <c r="AG7156">
        <v>-1.097207849663</v>
      </c>
      <c r="AH7156">
        <v>9.3047022884122494</v>
      </c>
      <c r="AI7156">
        <v>96.642876382387499</v>
      </c>
      <c r="AJ7156">
        <v>99.017261316361399</v>
      </c>
      <c r="AK7156">
        <v>9.4848130584457699</v>
      </c>
      <c r="AL7156">
        <v>95.272930573619306</v>
      </c>
      <c r="AM7156">
        <v>91.450476539969898</v>
      </c>
      <c r="AN7156">
        <v>1.00000003909597</v>
      </c>
    </row>
    <row r="7157" spans="1:40" x14ac:dyDescent="0.25">
      <c r="A7157" t="str">
        <f>"20190303154321830"</f>
        <v>20190303154321830</v>
      </c>
      <c r="B7157" t="str">
        <f>"1551599001817480"</f>
        <v>1551599001817480</v>
      </c>
      <c r="C7157" t="s">
        <v>40</v>
      </c>
      <c r="D7157">
        <v>5.9337339999999896</v>
      </c>
      <c r="E7157">
        <v>0.45080690000000001</v>
      </c>
      <c r="F7157" t="s">
        <v>41</v>
      </c>
      <c r="G7157">
        <v>-300.11810000000003</v>
      </c>
      <c r="H7157" s="1">
        <v>-3.8503350000000001E-6</v>
      </c>
      <c r="I7157">
        <v>-11.50888</v>
      </c>
      <c r="J7157">
        <v>-299.93430000000001</v>
      </c>
      <c r="K7157">
        <v>1.099313</v>
      </c>
      <c r="L7157">
        <v>-2.09137</v>
      </c>
      <c r="M7157">
        <v>-0.17616479999999901</v>
      </c>
      <c r="N7157">
        <v>1.536504E-3</v>
      </c>
      <c r="O7157">
        <v>-0.98435969999999995</v>
      </c>
      <c r="P7157">
        <v>-0.1500416</v>
      </c>
      <c r="Q7157">
        <v>-9.1374639999999993E-2</v>
      </c>
      <c r="R7157">
        <v>-0.98444860000000001</v>
      </c>
      <c r="S7157">
        <v>-6.4483639999999995E-2</v>
      </c>
      <c r="T7157">
        <v>-0.34526689999999999</v>
      </c>
      <c r="U7157">
        <v>-3.0057070000000001</v>
      </c>
      <c r="V7157">
        <v>-2.5014519999999998E-2</v>
      </c>
      <c r="W7157">
        <v>-9.3099280000000006E-2</v>
      </c>
      <c r="X7157">
        <v>0.99534259999999997</v>
      </c>
      <c r="Y7157">
        <v>-0.1551554</v>
      </c>
      <c r="Z7157">
        <v>0.11227089999999899</v>
      </c>
      <c r="AA7157">
        <v>0.98148970000000002</v>
      </c>
      <c r="AB7157">
        <v>13</v>
      </c>
      <c r="AC7157">
        <v>-0.183800000000019</v>
      </c>
      <c r="AD7157">
        <v>-1.0993168503349999</v>
      </c>
      <c r="AE7157">
        <v>-9.41751</v>
      </c>
      <c r="AF7157">
        <v>-1.45824714185556</v>
      </c>
      <c r="AG7157">
        <v>-1.0993168503349999</v>
      </c>
      <c r="AH7157">
        <v>9.1775976242276993</v>
      </c>
      <c r="AI7157">
        <v>96.746656202152195</v>
      </c>
      <c r="AJ7157">
        <v>99.028368964604496</v>
      </c>
      <c r="AK7157">
        <v>9.3575253361340298</v>
      </c>
      <c r="AL7157">
        <v>95.341931449066095</v>
      </c>
      <c r="AM7157">
        <v>91.439629728456794</v>
      </c>
      <c r="AN7157">
        <v>1.0000000467610499</v>
      </c>
    </row>
    <row r="7158" spans="1:40" x14ac:dyDescent="0.25">
      <c r="A7158" t="str">
        <f>"20190303154321851"</f>
        <v>20190303154321851</v>
      </c>
      <c r="B7158" t="str">
        <f>"1551599001847736"</f>
        <v>1551599001847736</v>
      </c>
      <c r="C7158" t="s">
        <v>40</v>
      </c>
      <c r="D7158">
        <v>5.9410100000000003</v>
      </c>
      <c r="E7158">
        <v>0.45085039999999998</v>
      </c>
      <c r="F7158" t="s">
        <v>41</v>
      </c>
      <c r="G7158">
        <v>-300.13260000000002</v>
      </c>
      <c r="H7158" s="1">
        <v>-3.8944289999999997E-6</v>
      </c>
      <c r="I7158">
        <v>-11.415100000000001</v>
      </c>
      <c r="J7158">
        <v>-299.95350000000002</v>
      </c>
      <c r="K7158">
        <v>1.1009230000000001</v>
      </c>
      <c r="L7158">
        <v>-2.2152099999999999</v>
      </c>
      <c r="M7158">
        <v>-0.17477770000000001</v>
      </c>
      <c r="N7158">
        <v>6.7840489999999995E-4</v>
      </c>
      <c r="O7158">
        <v>-0.98460789999999998</v>
      </c>
      <c r="P7158">
        <v>-0.14797679999999999</v>
      </c>
      <c r="Q7158">
        <v>-9.4104320000000005E-2</v>
      </c>
      <c r="R7158">
        <v>-0.98450400000000005</v>
      </c>
      <c r="S7158">
        <v>-6.3903810000000005E-2</v>
      </c>
      <c r="T7158">
        <v>-0.35427690000000001</v>
      </c>
      <c r="U7158">
        <v>-3.0047609999999998</v>
      </c>
      <c r="V7158">
        <v>-2.568724E-2</v>
      </c>
      <c r="W7158">
        <v>-9.4966850000000005E-2</v>
      </c>
      <c r="X7158">
        <v>0.99514899999999995</v>
      </c>
      <c r="Y7158">
        <v>-0.15394330000000001</v>
      </c>
      <c r="Z7158">
        <v>0.11436109999999999</v>
      </c>
      <c r="AA7158">
        <v>0.98143919999999996</v>
      </c>
      <c r="AB7158">
        <v>13</v>
      </c>
      <c r="AC7158">
        <v>-0.17910000000000501</v>
      </c>
      <c r="AD7158">
        <v>-1.1009268944289901</v>
      </c>
      <c r="AE7158">
        <v>-9.1998899999999999</v>
      </c>
      <c r="AF7158">
        <v>-1.4113885368121899</v>
      </c>
      <c r="AG7158">
        <v>-1.1009268944289901</v>
      </c>
      <c r="AH7158">
        <v>8.9613073674513597</v>
      </c>
      <c r="AI7158">
        <v>96.919431745188206</v>
      </c>
      <c r="AJ7158">
        <v>98.950450263920601</v>
      </c>
      <c r="AK7158">
        <v>9.1383306660822896</v>
      </c>
      <c r="AL7158">
        <v>95.449411642221193</v>
      </c>
      <c r="AM7158">
        <v>91.478616466606695</v>
      </c>
      <c r="AN7158">
        <v>1.00000003454936</v>
      </c>
    </row>
    <row r="7159" spans="1:40" x14ac:dyDescent="0.25">
      <c r="A7159" t="str">
        <f>"20190303154321872"</f>
        <v>20190303154321872</v>
      </c>
      <c r="B7159" t="str">
        <f>"1551599001867256"</f>
        <v>1551599001867256</v>
      </c>
      <c r="C7159" t="s">
        <v>40</v>
      </c>
      <c r="D7159">
        <v>5.9447539999999996</v>
      </c>
      <c r="E7159">
        <v>0.45085930000000002</v>
      </c>
      <c r="F7159" t="s">
        <v>41</v>
      </c>
      <c r="G7159">
        <v>-300.12810000000002</v>
      </c>
      <c r="H7159" s="1">
        <v>-3.9620030000000002E-6</v>
      </c>
      <c r="I7159">
        <v>-11.254799999999999</v>
      </c>
      <c r="J7159">
        <v>-299.971</v>
      </c>
      <c r="K7159">
        <v>1.102282</v>
      </c>
      <c r="L7159">
        <v>-2.327728</v>
      </c>
      <c r="M7159">
        <v>-0.17214760000000001</v>
      </c>
      <c r="N7159">
        <v>-1.966437E-4</v>
      </c>
      <c r="O7159">
        <v>-0.98507120000000004</v>
      </c>
      <c r="P7159">
        <v>-0.14458389999999999</v>
      </c>
      <c r="Q7159">
        <v>-9.6226870000000006E-2</v>
      </c>
      <c r="R7159">
        <v>-0.98480290000000004</v>
      </c>
      <c r="S7159">
        <v>-5.8013919999999997E-2</v>
      </c>
      <c r="T7159">
        <v>-0.36579980000000001</v>
      </c>
      <c r="U7159">
        <v>-3.0035400000000001</v>
      </c>
      <c r="V7159">
        <v>-2.6521159999999998E-2</v>
      </c>
      <c r="W7159">
        <v>-9.6194470000000004E-2</v>
      </c>
      <c r="X7159">
        <v>0.99500920000000004</v>
      </c>
      <c r="Y7159">
        <v>-0.1532182</v>
      </c>
      <c r="Z7159">
        <v>0.1172784</v>
      </c>
      <c r="AA7159">
        <v>0.98120839999999998</v>
      </c>
      <c r="AB7159">
        <v>13</v>
      </c>
      <c r="AC7159">
        <v>-0.15710000000001401</v>
      </c>
      <c r="AD7159">
        <v>-1.1022859620030001</v>
      </c>
      <c r="AE7159">
        <v>-8.9270719999999901</v>
      </c>
      <c r="AF7159">
        <v>-1.3612710800211401</v>
      </c>
      <c r="AG7159">
        <v>-1.1022859620030001</v>
      </c>
      <c r="AH7159">
        <v>8.6884185683941499</v>
      </c>
      <c r="AI7159">
        <v>97.144160531362701</v>
      </c>
      <c r="AJ7159">
        <v>98.904512306686698</v>
      </c>
      <c r="AK7159">
        <v>8.8632223550437494</v>
      </c>
      <c r="AL7159">
        <v>95.520072633144196</v>
      </c>
      <c r="AM7159">
        <v>91.526810843994895</v>
      </c>
      <c r="AN7159">
        <v>1.0000000280354799</v>
      </c>
    </row>
    <row r="7160" spans="1:40" x14ac:dyDescent="0.25">
      <c r="A7160" t="str">
        <f>"20190303154321895"</f>
        <v>20190303154321895</v>
      </c>
      <c r="B7160" t="str">
        <f>"1551599001887752"</f>
        <v>1551599001887752</v>
      </c>
      <c r="C7160" t="s">
        <v>40</v>
      </c>
      <c r="D7160">
        <v>5.8485230000000001</v>
      </c>
      <c r="E7160">
        <v>0.4510497</v>
      </c>
      <c r="F7160" t="s">
        <v>41</v>
      </c>
      <c r="G7160">
        <v>-300.11189999999999</v>
      </c>
      <c r="H7160" s="1">
        <v>-3.9851000000000002E-6</v>
      </c>
      <c r="I7160">
        <v>-11.190910000000001</v>
      </c>
      <c r="J7160">
        <v>-299.99119999999999</v>
      </c>
      <c r="K7160">
        <v>1.103966</v>
      </c>
      <c r="L7160">
        <v>-2.4575200000000001</v>
      </c>
      <c r="M7160">
        <v>-0.16842480000000001</v>
      </c>
      <c r="N7160">
        <v>-1.3631019999999999E-3</v>
      </c>
      <c r="O7160">
        <v>-0.98571370000000003</v>
      </c>
      <c r="P7160">
        <v>-0.14085880000000001</v>
      </c>
      <c r="Q7160">
        <v>-9.7680669999999997E-2</v>
      </c>
      <c r="R7160">
        <v>-0.98519920000000005</v>
      </c>
      <c r="S7160">
        <v>-4.7729489999999999E-2</v>
      </c>
      <c r="T7160">
        <v>-0.3734498</v>
      </c>
      <c r="U7160">
        <v>-3.0028079999999999</v>
      </c>
      <c r="V7160">
        <v>-2.661869E-2</v>
      </c>
      <c r="W7160">
        <v>-9.6454540000000005E-2</v>
      </c>
      <c r="X7160">
        <v>0.99498140000000002</v>
      </c>
      <c r="Y7160">
        <v>-0.15283099999999999</v>
      </c>
      <c r="Z7160">
        <v>0.1186966</v>
      </c>
      <c r="AA7160">
        <v>0.98109820000000003</v>
      </c>
      <c r="AB7160">
        <v>13</v>
      </c>
      <c r="AC7160">
        <v>-0.120699999999999</v>
      </c>
      <c r="AD7160">
        <v>-1.1039699851</v>
      </c>
      <c r="AE7160">
        <v>-8.73339</v>
      </c>
      <c r="AF7160">
        <v>-1.3306859616970299</v>
      </c>
      <c r="AG7160">
        <v>-1.1039699851</v>
      </c>
      <c r="AH7160">
        <v>8.4932700931802394</v>
      </c>
      <c r="AI7160">
        <v>97.317599493825199</v>
      </c>
      <c r="AJ7160">
        <v>98.904446879457595</v>
      </c>
      <c r="AK7160">
        <v>8.6674743571797794</v>
      </c>
      <c r="AL7160">
        <v>95.535043261447498</v>
      </c>
      <c r="AM7160">
        <v>91.532465724190899</v>
      </c>
      <c r="AN7160">
        <v>1.00000000964494</v>
      </c>
    </row>
    <row r="7161" spans="1:40" x14ac:dyDescent="0.25">
      <c r="A7161" t="str">
        <f>"20190303154321917"</f>
        <v>20190303154321917</v>
      </c>
      <c r="B7161" t="str">
        <f>"1551599001907273"</f>
        <v>1551599001907273</v>
      </c>
      <c r="C7161" t="s">
        <v>40</v>
      </c>
      <c r="D7161">
        <v>5.8787979999999997</v>
      </c>
      <c r="E7161">
        <v>0.45122250000000003</v>
      </c>
      <c r="F7161" t="s">
        <v>41</v>
      </c>
      <c r="G7161">
        <v>-300.10289999999998</v>
      </c>
      <c r="H7161" s="1">
        <v>-3.914088E-6</v>
      </c>
      <c r="I7161">
        <v>-11.350860000000001</v>
      </c>
      <c r="J7161">
        <v>-300.00940000000003</v>
      </c>
      <c r="K7161">
        <v>1.1057600000000001</v>
      </c>
      <c r="L7161">
        <v>-2.5768740000000001</v>
      </c>
      <c r="M7161">
        <v>-0.165435</v>
      </c>
      <c r="N7161">
        <v>-2.545276E-3</v>
      </c>
      <c r="O7161">
        <v>-0.98621760000000003</v>
      </c>
      <c r="P7161">
        <v>-0.13864860000000001</v>
      </c>
      <c r="Q7161">
        <v>-9.7959000000000004E-2</v>
      </c>
      <c r="R7161">
        <v>-0.9854851</v>
      </c>
      <c r="S7161">
        <v>-3.771973E-2</v>
      </c>
      <c r="T7161">
        <v>-0.37274049999999997</v>
      </c>
      <c r="U7161">
        <v>-3.0027159999999999</v>
      </c>
      <c r="V7161">
        <v>-2.5890819999999998E-2</v>
      </c>
      <c r="W7161">
        <v>-9.5537360000000002E-2</v>
      </c>
      <c r="X7161">
        <v>0.99508909999999995</v>
      </c>
      <c r="Y7161">
        <v>-0.15309049999999999</v>
      </c>
      <c r="Z7161">
        <v>0.1173961</v>
      </c>
      <c r="AA7161">
        <v>0.98121429999999998</v>
      </c>
      <c r="AB7161">
        <v>13</v>
      </c>
      <c r="AC7161">
        <v>-9.3499999999948999E-2</v>
      </c>
      <c r="AD7161">
        <v>-1.105763914088</v>
      </c>
      <c r="AE7161">
        <v>-8.7739860000000007</v>
      </c>
      <c r="AF7161">
        <v>-1.3380671486461999</v>
      </c>
      <c r="AG7161">
        <v>-1.105763914088</v>
      </c>
      <c r="AH7161">
        <v>8.5330396684718508</v>
      </c>
      <c r="AI7161">
        <v>97.295421656838798</v>
      </c>
      <c r="AJ7161">
        <v>98.911985289444104</v>
      </c>
      <c r="AK7161">
        <v>8.7078070437797095</v>
      </c>
      <c r="AL7161">
        <v>95.482248844838097</v>
      </c>
      <c r="AM7161">
        <v>91.490419405107403</v>
      </c>
      <c r="AN7161">
        <v>1.0000000193274201</v>
      </c>
    </row>
    <row r="7162" spans="1:40" x14ac:dyDescent="0.25">
      <c r="A7162" t="str">
        <f>"20190303154321938"</f>
        <v>20190303154321938</v>
      </c>
      <c r="B7162" t="str">
        <f>"1551599001927769"</f>
        <v>1551599001927769</v>
      </c>
      <c r="C7162" t="s">
        <v>40</v>
      </c>
      <c r="D7162">
        <v>5.8801170000000003</v>
      </c>
      <c r="E7162">
        <v>0.45141049999999999</v>
      </c>
      <c r="F7162" t="s">
        <v>41</v>
      </c>
      <c r="G7162">
        <v>-300.10500000000002</v>
      </c>
      <c r="H7162" s="1">
        <v>-3.8185239999999998E-6</v>
      </c>
      <c r="I7162">
        <v>-11.574960000000001</v>
      </c>
      <c r="J7162">
        <v>-300.02730000000003</v>
      </c>
      <c r="K7162">
        <v>1.1076809999999999</v>
      </c>
      <c r="L7162">
        <v>-2.6988530000000002</v>
      </c>
      <c r="M7162">
        <v>-0.1632815</v>
      </c>
      <c r="N7162">
        <v>-3.7371140000000001E-3</v>
      </c>
      <c r="O7162">
        <v>-0.98657240000000002</v>
      </c>
      <c r="P7162">
        <v>-0.1375219</v>
      </c>
      <c r="Q7162">
        <v>-9.8408170000000003E-2</v>
      </c>
      <c r="R7162">
        <v>-0.98559810000000003</v>
      </c>
      <c r="S7162">
        <v>-3.1921390000000001E-2</v>
      </c>
      <c r="T7162">
        <v>-0.36903789999999997</v>
      </c>
      <c r="U7162">
        <v>-3.0030209999999999</v>
      </c>
      <c r="V7162">
        <v>-2.4865769999999999E-2</v>
      </c>
      <c r="W7162">
        <v>-9.4792639999999997E-2</v>
      </c>
      <c r="X7162">
        <v>0.99518640000000003</v>
      </c>
      <c r="Y7162">
        <v>-0.15281510000000001</v>
      </c>
      <c r="Z7162">
        <v>0.115096699999999</v>
      </c>
      <c r="AA7162">
        <v>0.9815296</v>
      </c>
      <c r="AB7162">
        <v>13</v>
      </c>
      <c r="AC7162">
        <v>-7.7699999999992997E-2</v>
      </c>
      <c r="AD7162">
        <v>-1.107684818524</v>
      </c>
      <c r="AE7162">
        <v>-8.8761069999999993</v>
      </c>
      <c r="AF7162">
        <v>-1.35160930449439</v>
      </c>
      <c r="AG7162">
        <v>-1.107684818524</v>
      </c>
      <c r="AH7162">
        <v>8.6352004341787403</v>
      </c>
      <c r="AI7162">
        <v>97.222731559088103</v>
      </c>
      <c r="AJ7162">
        <v>98.895939316699994</v>
      </c>
      <c r="AK7162">
        <v>8.8102497074501294</v>
      </c>
      <c r="AL7162">
        <v>95.439385313280496</v>
      </c>
      <c r="AM7162">
        <v>91.431296995624194</v>
      </c>
      <c r="AN7162">
        <v>0.99999996093040999</v>
      </c>
    </row>
    <row r="7163" spans="1:40" x14ac:dyDescent="0.25">
      <c r="A7163" t="str">
        <f>"20190303154321961"</f>
        <v>20190303154321961</v>
      </c>
      <c r="B7163" t="str">
        <f>"1551599001957048"</f>
        <v>1551599001957048</v>
      </c>
      <c r="C7163" t="s">
        <v>40</v>
      </c>
      <c r="D7163">
        <v>5.8763800000000002</v>
      </c>
      <c r="E7163">
        <v>0.45165349999999999</v>
      </c>
      <c r="F7163" t="s">
        <v>41</v>
      </c>
      <c r="G7163">
        <v>-300.11759999999998</v>
      </c>
      <c r="H7163" s="1">
        <v>-3.7410860000000001E-6</v>
      </c>
      <c r="I7163">
        <v>-11.763249999999999</v>
      </c>
      <c r="J7163">
        <v>-300.04500000000002</v>
      </c>
      <c r="K7163">
        <v>1.1095389999999901</v>
      </c>
      <c r="L7163">
        <v>-2.8241580000000002</v>
      </c>
      <c r="M7163">
        <v>-0.16160039999999901</v>
      </c>
      <c r="N7163">
        <v>-4.8493360000000001E-3</v>
      </c>
      <c r="O7163">
        <v>-0.98684439999999995</v>
      </c>
      <c r="P7163">
        <v>-0.13783609999999999</v>
      </c>
      <c r="Q7163">
        <v>-0.10105740000000001</v>
      </c>
      <c r="R7163">
        <v>-0.9852862</v>
      </c>
      <c r="S7163">
        <v>-2.990723E-2</v>
      </c>
      <c r="T7163">
        <v>-0.36697459999999998</v>
      </c>
      <c r="U7163">
        <v>-3.0030209999999999</v>
      </c>
      <c r="V7163">
        <v>-2.2809949999999999E-2</v>
      </c>
      <c r="W7163">
        <v>-9.6326250000000002E-2</v>
      </c>
      <c r="X7163">
        <v>0.99508839999999998</v>
      </c>
      <c r="Y7163">
        <v>-0.15177779999999999</v>
      </c>
      <c r="Z7163">
        <v>0.1133981</v>
      </c>
      <c r="AA7163">
        <v>0.98188819999999999</v>
      </c>
      <c r="AB7163">
        <v>13</v>
      </c>
      <c r="AC7163">
        <v>-7.2599999999965803E-2</v>
      </c>
      <c r="AD7163">
        <v>-1.1095427410859999</v>
      </c>
      <c r="AE7163">
        <v>-8.9390919999999898</v>
      </c>
      <c r="AF7163">
        <v>-1.35210237055989</v>
      </c>
      <c r="AG7163">
        <v>-1.1095427410859999</v>
      </c>
      <c r="AH7163">
        <v>8.6993123282714393</v>
      </c>
      <c r="AI7163">
        <v>97.183145709872605</v>
      </c>
      <c r="AJ7163">
        <v>98.834586436491506</v>
      </c>
      <c r="AK7163">
        <v>8.8734041325517108</v>
      </c>
      <c r="AL7163">
        <v>95.527658552209502</v>
      </c>
      <c r="AM7163">
        <v>91.313134627306795</v>
      </c>
      <c r="AN7163">
        <v>0.99999998203631202</v>
      </c>
    </row>
    <row r="7164" spans="1:40" x14ac:dyDescent="0.25">
      <c r="A7164" t="str">
        <f>"20190303154321984"</f>
        <v>20190303154321984</v>
      </c>
      <c r="B7164" t="str">
        <f>"1551599001977544"</f>
        <v>1551599001977544</v>
      </c>
      <c r="C7164" t="s">
        <v>40</v>
      </c>
      <c r="D7164">
        <v>5.8836620000000002</v>
      </c>
      <c r="E7164">
        <v>0.45180999999999999</v>
      </c>
      <c r="F7164" t="s">
        <v>41</v>
      </c>
      <c r="G7164">
        <v>-300.14269999999999</v>
      </c>
      <c r="H7164" s="1">
        <v>-3.7137889999999998E-6</v>
      </c>
      <c r="I7164">
        <v>-11.84243</v>
      </c>
      <c r="J7164">
        <v>-300.06220000000002</v>
      </c>
      <c r="K7164">
        <v>1.111116</v>
      </c>
      <c r="L7164">
        <v>-2.9487000000000001</v>
      </c>
      <c r="M7164">
        <v>-0.1598821</v>
      </c>
      <c r="N7164">
        <v>-5.8243569999999996E-3</v>
      </c>
      <c r="O7164">
        <v>-0.98711890000000002</v>
      </c>
      <c r="P7164">
        <v>-0.13820479999999999</v>
      </c>
      <c r="Q7164">
        <v>-0.1040099</v>
      </c>
      <c r="R7164">
        <v>-0.984927</v>
      </c>
      <c r="S7164">
        <v>-3.2501219999999997E-2</v>
      </c>
      <c r="T7164">
        <v>-0.36938700000000002</v>
      </c>
      <c r="U7164">
        <v>-3.0023499999999999</v>
      </c>
      <c r="V7164">
        <v>-2.0678269999999999E-2</v>
      </c>
      <c r="W7164">
        <v>-9.8295179999999996E-2</v>
      </c>
      <c r="X7164">
        <v>0.9949424</v>
      </c>
      <c r="Y7164">
        <v>-0.14919779999999999</v>
      </c>
      <c r="Z7164">
        <v>0.11329790000000001</v>
      </c>
      <c r="AA7164">
        <v>0.98229509999999998</v>
      </c>
      <c r="AB7164">
        <v>13</v>
      </c>
      <c r="AC7164">
        <v>-8.0499999999972205E-2</v>
      </c>
      <c r="AD7164">
        <v>-1.1111197137890001</v>
      </c>
      <c r="AE7164">
        <v>-8.8937299999999997</v>
      </c>
      <c r="AF7164">
        <v>-1.3218774891159799</v>
      </c>
      <c r="AG7164">
        <v>-1.1111197137890001</v>
      </c>
      <c r="AH7164">
        <v>8.6570782621628108</v>
      </c>
      <c r="AI7164">
        <v>97.230912542741393</v>
      </c>
      <c r="AJ7164">
        <v>98.681622377997897</v>
      </c>
      <c r="AK7164">
        <v>8.8276243209492105</v>
      </c>
      <c r="AL7164">
        <v>95.641008048354195</v>
      </c>
      <c r="AM7164">
        <v>91.190628779088996</v>
      </c>
      <c r="AN7164">
        <v>0.99999995628959104</v>
      </c>
    </row>
    <row r="7165" spans="1:40" x14ac:dyDescent="0.25">
      <c r="A7165" t="str">
        <f>"20190303154322006"</f>
        <v>20190303154322006</v>
      </c>
      <c r="B7165" t="str">
        <f>"1551599001997065"</f>
        <v>1551599001997065</v>
      </c>
      <c r="C7165" t="s">
        <v>40</v>
      </c>
      <c r="D7165">
        <v>5.9498179999999996</v>
      </c>
      <c r="E7165">
        <v>0.4519319</v>
      </c>
      <c r="F7165" t="s">
        <v>41</v>
      </c>
      <c r="G7165">
        <v>-300.1651</v>
      </c>
      <c r="H7165" s="1">
        <v>-3.7316829999999999E-6</v>
      </c>
      <c r="I7165">
        <v>-11.81462</v>
      </c>
      <c r="J7165">
        <v>-300.07909999999998</v>
      </c>
      <c r="K7165">
        <v>1.1124069999999999</v>
      </c>
      <c r="L7165">
        <v>-3.0719599999999998</v>
      </c>
      <c r="M7165">
        <v>-0.15786739999999999</v>
      </c>
      <c r="N7165">
        <v>-6.6940200000000002E-3</v>
      </c>
      <c r="O7165">
        <v>-0.98743769999999997</v>
      </c>
      <c r="P7165">
        <v>-0.13814009999999999</v>
      </c>
      <c r="Q7165">
        <v>-0.105797</v>
      </c>
      <c r="R7165">
        <v>-0.98474569999999995</v>
      </c>
      <c r="S7165">
        <v>-3.482056E-2</v>
      </c>
      <c r="T7165">
        <v>-0.3761388</v>
      </c>
      <c r="U7165">
        <v>-3.001312</v>
      </c>
      <c r="V7165">
        <v>-1.8738990000000001E-2</v>
      </c>
      <c r="W7165">
        <v>-9.9199659999999995E-2</v>
      </c>
      <c r="X7165">
        <v>0.99489110000000003</v>
      </c>
      <c r="Y7165">
        <v>-0.14641089999999901</v>
      </c>
      <c r="Z7165">
        <v>0.1147073</v>
      </c>
      <c r="AA7165">
        <v>0.98255079999999995</v>
      </c>
      <c r="AB7165">
        <v>13</v>
      </c>
      <c r="AC7165">
        <v>-8.6000000000012705E-2</v>
      </c>
      <c r="AD7165">
        <v>-1.1124107316830001</v>
      </c>
      <c r="AE7165">
        <v>-8.7426600000000008</v>
      </c>
      <c r="AF7165">
        <v>-1.27465578807257</v>
      </c>
      <c r="AG7165">
        <v>-1.1124107316830001</v>
      </c>
      <c r="AH7165">
        <v>8.5088579027011892</v>
      </c>
      <c r="AI7165">
        <v>97.367069368597001</v>
      </c>
      <c r="AJ7165">
        <v>98.519748444937804</v>
      </c>
      <c r="AK7165">
        <v>8.6754174436963503</v>
      </c>
      <c r="AL7165">
        <v>95.693085150173701</v>
      </c>
      <c r="AM7165">
        <v>91.079050862905007</v>
      </c>
      <c r="AN7165">
        <v>1.00000001157477</v>
      </c>
    </row>
    <row r="7166" spans="1:40" x14ac:dyDescent="0.25">
      <c r="A7166" t="str">
        <f>"20190303154322029"</f>
        <v>20190303154322029</v>
      </c>
      <c r="B7166" t="str">
        <f>"1551599002017560"</f>
        <v>1551599002017560</v>
      </c>
      <c r="C7166" t="s">
        <v>40</v>
      </c>
      <c r="D7166">
        <v>5.9809679999999998</v>
      </c>
      <c r="E7166">
        <v>0.45199990000000001</v>
      </c>
      <c r="F7166" t="s">
        <v>41</v>
      </c>
      <c r="G7166">
        <v>-300.18389999999999</v>
      </c>
      <c r="H7166" s="1">
        <v>-3.7390900000000001E-6</v>
      </c>
      <c r="I7166">
        <v>-11.809010000000001</v>
      </c>
      <c r="J7166">
        <v>-300.09649999999999</v>
      </c>
      <c r="K7166">
        <v>1.1135469999999901</v>
      </c>
      <c r="L7166">
        <v>-3.1993710000000002</v>
      </c>
      <c r="M7166">
        <v>-0.15558920000000001</v>
      </c>
      <c r="N7166">
        <v>-7.5212539999999998E-3</v>
      </c>
      <c r="O7166">
        <v>-0.98779329999999999</v>
      </c>
      <c r="P7166">
        <v>-0.13738689999999901</v>
      </c>
      <c r="Q7166">
        <v>-0.10684299999999999</v>
      </c>
      <c r="R7166">
        <v>-0.98473849999999996</v>
      </c>
      <c r="S7166">
        <v>-3.598022E-2</v>
      </c>
      <c r="T7166">
        <v>-0.38200970000000001</v>
      </c>
      <c r="U7166">
        <v>-3.0003660000000001</v>
      </c>
      <c r="V7166">
        <v>-1.7257999999999999E-2</v>
      </c>
      <c r="W7166">
        <v>-9.9406229999999998E-2</v>
      </c>
      <c r="X7166">
        <v>0.99489720000000004</v>
      </c>
      <c r="Y7166">
        <v>-0.1437397</v>
      </c>
      <c r="Z7166">
        <v>0.11588370000000001</v>
      </c>
      <c r="AA7166">
        <v>0.98280719999999999</v>
      </c>
      <c r="AB7166">
        <v>13</v>
      </c>
      <c r="AC7166">
        <v>-8.7400000000002295E-2</v>
      </c>
      <c r="AD7166">
        <v>-1.1135507390899999</v>
      </c>
      <c r="AE7166">
        <v>-8.6096389999999996</v>
      </c>
      <c r="AF7166">
        <v>-1.23265109758611</v>
      </c>
      <c r="AG7166">
        <v>-1.1135507390899999</v>
      </c>
      <c r="AH7166">
        <v>8.3782436338957904</v>
      </c>
      <c r="AI7166">
        <v>97.491088708287506</v>
      </c>
      <c r="AJ7166">
        <v>98.369610865200102</v>
      </c>
      <c r="AK7166">
        <v>8.5413342263269101</v>
      </c>
      <c r="AL7166">
        <v>95.704979952221194</v>
      </c>
      <c r="AM7166">
        <v>90.993782475725496</v>
      </c>
      <c r="AN7166">
        <v>0.99999993784732399</v>
      </c>
    </row>
    <row r="7167" spans="1:40" x14ac:dyDescent="0.25">
      <c r="A7167" t="str">
        <f>"20190303154322052"</f>
        <v>20190303154322052</v>
      </c>
      <c r="B7167" t="str">
        <f>"1551599002047817"</f>
        <v>1551599002047817</v>
      </c>
      <c r="C7167" t="s">
        <v>40</v>
      </c>
      <c r="D7167">
        <v>6.0196269999999998</v>
      </c>
      <c r="E7167">
        <v>0.45203070000000001</v>
      </c>
      <c r="F7167" t="s">
        <v>41</v>
      </c>
      <c r="G7167">
        <v>-300.19479999999999</v>
      </c>
      <c r="H7167" s="1">
        <v>-3.7356409999999999E-6</v>
      </c>
      <c r="I7167">
        <v>-11.8238</v>
      </c>
      <c r="J7167">
        <v>-300.11399999999998</v>
      </c>
      <c r="K7167">
        <v>1.114587</v>
      </c>
      <c r="L7167">
        <v>-3.3276979999999998</v>
      </c>
      <c r="M7167">
        <v>-0.15339430000000001</v>
      </c>
      <c r="N7167">
        <v>-8.278077E-3</v>
      </c>
      <c r="O7167">
        <v>-0.98813050000000002</v>
      </c>
      <c r="P7167">
        <v>-0.13678589999999999</v>
      </c>
      <c r="Q7167">
        <v>-0.1075961</v>
      </c>
      <c r="R7167">
        <v>-0.98474030000000001</v>
      </c>
      <c r="S7167">
        <v>-3.4179689999999999E-2</v>
      </c>
      <c r="T7167">
        <v>-0.38730799999999999</v>
      </c>
      <c r="U7167">
        <v>-2.999695</v>
      </c>
      <c r="V7167">
        <v>-1.570148E-2</v>
      </c>
      <c r="W7167">
        <v>-9.9393570000000001E-2</v>
      </c>
      <c r="X7167">
        <v>0.99492429999999998</v>
      </c>
      <c r="Y7167">
        <v>-0.14212249999999901</v>
      </c>
      <c r="Z7167">
        <v>0.11692569999999999</v>
      </c>
      <c r="AA7167">
        <v>0.98291890000000004</v>
      </c>
      <c r="AB7167">
        <v>12</v>
      </c>
      <c r="AC7167">
        <v>-8.0799999999953798E-2</v>
      </c>
      <c r="AD7167">
        <v>-1.1145907356409901</v>
      </c>
      <c r="AE7167">
        <v>-8.4961020000000005</v>
      </c>
      <c r="AF7167">
        <v>-1.20275639017564</v>
      </c>
      <c r="AG7167">
        <v>-1.1145907356409901</v>
      </c>
      <c r="AH7167">
        <v>8.2656957138449094</v>
      </c>
      <c r="AI7167">
        <v>97.600651092187505</v>
      </c>
      <c r="AJ7167">
        <v>98.279106151175</v>
      </c>
      <c r="AK7167">
        <v>8.4267823679005307</v>
      </c>
      <c r="AL7167">
        <v>95.704250676176201</v>
      </c>
      <c r="AM7167">
        <v>90.904143019325204</v>
      </c>
      <c r="AN7167">
        <v>0.99999999048101196</v>
      </c>
    </row>
    <row r="7168" spans="1:40" x14ac:dyDescent="0.25">
      <c r="A7168" t="str">
        <f>"20190303154322073"</f>
        <v>20190303154322073</v>
      </c>
      <c r="B7168" t="str">
        <f>"1551599002067337"</f>
        <v>1551599002067337</v>
      </c>
      <c r="C7168" t="s">
        <v>40</v>
      </c>
      <c r="D7168">
        <v>5.9631350000000003</v>
      </c>
      <c r="E7168">
        <v>0.4520034</v>
      </c>
      <c r="F7168" t="s">
        <v>41</v>
      </c>
      <c r="G7168">
        <v>-300.20659999999998</v>
      </c>
      <c r="H7168" s="1">
        <v>-3.7228190000000001E-6</v>
      </c>
      <c r="I7168">
        <v>-11.86102</v>
      </c>
      <c r="J7168">
        <v>-300.12939999999998</v>
      </c>
      <c r="K7168">
        <v>1.115437</v>
      </c>
      <c r="L7168">
        <v>-3.4405519999999998</v>
      </c>
      <c r="M7168">
        <v>-0.15169460000000001</v>
      </c>
      <c r="N7168">
        <v>-8.8668700000000007E-3</v>
      </c>
      <c r="O7168">
        <v>-0.98838769999999998</v>
      </c>
      <c r="P7168">
        <v>-0.13582849999999999</v>
      </c>
      <c r="Q7168">
        <v>-0.1074007</v>
      </c>
      <c r="R7168">
        <v>-0.98489389999999999</v>
      </c>
      <c r="S7168">
        <v>-3.2531740000000003E-2</v>
      </c>
      <c r="T7168">
        <v>-0.39174140000000002</v>
      </c>
      <c r="U7168">
        <v>-2.9991759999999998</v>
      </c>
      <c r="V7168">
        <v>-1.499673E-2</v>
      </c>
      <c r="W7168">
        <v>-9.8605730000000003E-2</v>
      </c>
      <c r="X7168">
        <v>0.99501360000000005</v>
      </c>
      <c r="Y7168">
        <v>-0.14095369999999999</v>
      </c>
      <c r="Z7168">
        <v>0.11783490000000001</v>
      </c>
      <c r="AA7168">
        <v>0.98297860000000004</v>
      </c>
      <c r="AB7168">
        <v>12</v>
      </c>
      <c r="AC7168">
        <v>-7.7200000000004806E-2</v>
      </c>
      <c r="AD7168">
        <v>-1.115440722819</v>
      </c>
      <c r="AE7168">
        <v>-8.4204679999999996</v>
      </c>
      <c r="AF7168">
        <v>-1.1803720502144199</v>
      </c>
      <c r="AG7168">
        <v>-1.115440722819</v>
      </c>
      <c r="AH7168">
        <v>8.1910036743984591</v>
      </c>
      <c r="AI7168">
        <v>97.676429742049194</v>
      </c>
      <c r="AJ7168">
        <v>98.200208249448906</v>
      </c>
      <c r="AK7168">
        <v>8.3504507289762202</v>
      </c>
      <c r="AL7168">
        <v>95.658887708372205</v>
      </c>
      <c r="AM7168">
        <v>90.863489987993006</v>
      </c>
      <c r="AN7168">
        <v>1.0000000280422401</v>
      </c>
    </row>
    <row r="7169" spans="1:40" x14ac:dyDescent="0.25">
      <c r="A7169" t="str">
        <f>"20190303154322095"</f>
        <v>20190303154322095</v>
      </c>
      <c r="B7169" t="str">
        <f>"1551599002087832"</f>
        <v>1551599002087832</v>
      </c>
      <c r="C7169" t="s">
        <v>40</v>
      </c>
      <c r="D7169">
        <v>5.9950089999999996</v>
      </c>
      <c r="E7169">
        <v>0.45198240000000001</v>
      </c>
      <c r="F7169" t="s">
        <v>41</v>
      </c>
      <c r="G7169">
        <v>-300.21350000000001</v>
      </c>
      <c r="H7169" s="1">
        <v>-3.6849940000000001E-6</v>
      </c>
      <c r="I7169">
        <v>-11.95349</v>
      </c>
      <c r="J7169">
        <v>-300.1456</v>
      </c>
      <c r="K7169">
        <v>1.116266</v>
      </c>
      <c r="L7169">
        <v>-3.5599370000000001</v>
      </c>
      <c r="M7169">
        <v>-0.15008840000000001</v>
      </c>
      <c r="N7169">
        <v>-9.4160310000000001E-3</v>
      </c>
      <c r="O7169">
        <v>-0.9886279</v>
      </c>
      <c r="P7169">
        <v>-0.13434009999999999</v>
      </c>
      <c r="Q7169">
        <v>-0.1063958</v>
      </c>
      <c r="R7169">
        <v>-0.9852071</v>
      </c>
      <c r="S7169">
        <v>-2.963257E-2</v>
      </c>
      <c r="T7169">
        <v>-0.39296690000000001</v>
      </c>
      <c r="U7169">
        <v>-2.9990839999999999</v>
      </c>
      <c r="V7169">
        <v>-1.492595E-2</v>
      </c>
      <c r="W7169">
        <v>-9.7049739999999995E-2</v>
      </c>
      <c r="X7169">
        <v>0.99516760000000004</v>
      </c>
      <c r="Y7169">
        <v>-0.1402899</v>
      </c>
      <c r="Z7169">
        <v>0.11773749999999999</v>
      </c>
      <c r="AA7169">
        <v>0.98308530000000005</v>
      </c>
      <c r="AB7169">
        <v>12</v>
      </c>
      <c r="AC7169">
        <v>-6.7900000000008703E-2</v>
      </c>
      <c r="AD7169">
        <v>-1.1162696849939999</v>
      </c>
      <c r="AE7169">
        <v>-8.39355299999999</v>
      </c>
      <c r="AF7169">
        <v>-1.17197282806099</v>
      </c>
      <c r="AG7169">
        <v>-1.1162696849939999</v>
      </c>
      <c r="AH7169">
        <v>8.1642692530136305</v>
      </c>
      <c r="AI7169">
        <v>97.707517645750499</v>
      </c>
      <c r="AJ7169">
        <v>98.168947240162495</v>
      </c>
      <c r="AK7169">
        <v>8.3231526932439195</v>
      </c>
      <c r="AL7169">
        <v>95.569306542257095</v>
      </c>
      <c r="AM7169">
        <v>90.859282218162093</v>
      </c>
      <c r="AN7169">
        <v>0.99999999405361495</v>
      </c>
    </row>
    <row r="7170" spans="1:40" x14ac:dyDescent="0.25">
      <c r="A7170" t="str">
        <f>"20190303154322118"</f>
        <v>20190303154322118</v>
      </c>
      <c r="B7170" t="str">
        <f>"1551599002107353"</f>
        <v>1551599002107353</v>
      </c>
      <c r="C7170" t="s">
        <v>40</v>
      </c>
      <c r="D7170">
        <v>5.9995849999999997</v>
      </c>
      <c r="E7170">
        <v>0.45198060000000001</v>
      </c>
      <c r="F7170" t="s">
        <v>41</v>
      </c>
      <c r="G7170">
        <v>-300.21699999999998</v>
      </c>
      <c r="H7170" s="1">
        <v>-3.6193100000000001E-6</v>
      </c>
      <c r="I7170">
        <v>-12.10876</v>
      </c>
      <c r="J7170">
        <v>-300.16199999999998</v>
      </c>
      <c r="K7170">
        <v>1.1170070000000001</v>
      </c>
      <c r="L7170">
        <v>-3.681915</v>
      </c>
      <c r="M7170">
        <v>-0.14854709999999999</v>
      </c>
      <c r="N7170">
        <v>-9.9045079999999994E-3</v>
      </c>
      <c r="O7170">
        <v>-0.98885579999999995</v>
      </c>
      <c r="P7170">
        <v>-0.13217089999999901</v>
      </c>
      <c r="Q7170">
        <v>-0.1056604</v>
      </c>
      <c r="R7170">
        <v>-0.9855796</v>
      </c>
      <c r="S7170">
        <v>-2.505493E-2</v>
      </c>
      <c r="T7170">
        <v>-0.39163979999999998</v>
      </c>
      <c r="U7170">
        <v>-2.9993289999999999</v>
      </c>
      <c r="V7170">
        <v>-1.5595950000000001E-2</v>
      </c>
      <c r="W7170">
        <v>-9.58257E-2</v>
      </c>
      <c r="X7170">
        <v>0.99527589999999999</v>
      </c>
      <c r="Y7170">
        <v>-0.1402426</v>
      </c>
      <c r="Z7170">
        <v>0.1168652</v>
      </c>
      <c r="AA7170">
        <v>0.98319610000000002</v>
      </c>
      <c r="AB7170">
        <v>12</v>
      </c>
      <c r="AC7170">
        <v>-5.4999999999949901E-2</v>
      </c>
      <c r="AD7170">
        <v>-1.11701061930999</v>
      </c>
      <c r="AE7170">
        <v>-8.4268450000000001</v>
      </c>
      <c r="AF7170">
        <v>-1.17677923297664</v>
      </c>
      <c r="AG7170">
        <v>-1.11701061930999</v>
      </c>
      <c r="AH7170">
        <v>8.1974853095367699</v>
      </c>
      <c r="AI7170">
        <v>97.6816897383857</v>
      </c>
      <c r="AJ7170">
        <v>98.169209343113906</v>
      </c>
      <c r="AK7170">
        <v>8.3565116817298595</v>
      </c>
      <c r="AL7170">
        <v>95.498845995339096</v>
      </c>
      <c r="AM7170">
        <v>90.897750045109504</v>
      </c>
      <c r="AN7170">
        <v>0.99999995777884998</v>
      </c>
    </row>
    <row r="7171" spans="1:40" x14ac:dyDescent="0.25">
      <c r="A7171" t="str">
        <f>"20190303154322139"</f>
        <v>20190303154322139</v>
      </c>
      <c r="B7171" t="str">
        <f>"1551599002137609"</f>
        <v>1551599002137609</v>
      </c>
      <c r="C7171" t="s">
        <v>40</v>
      </c>
      <c r="D7171">
        <v>5.9872959999999997</v>
      </c>
      <c r="E7171">
        <v>0.45207770000000003</v>
      </c>
      <c r="F7171" t="s">
        <v>41</v>
      </c>
      <c r="G7171">
        <v>-300.21469999999999</v>
      </c>
      <c r="H7171" s="1">
        <v>-3.5532480000000002E-6</v>
      </c>
      <c r="I7171">
        <v>-12.261340000000001</v>
      </c>
      <c r="J7171">
        <v>-300.178</v>
      </c>
      <c r="K7171">
        <v>1.117631</v>
      </c>
      <c r="L7171">
        <v>-3.8014220000000001</v>
      </c>
      <c r="M7171">
        <v>-0.1470563</v>
      </c>
      <c r="N7171">
        <v>-1.0318290000000001E-2</v>
      </c>
      <c r="O7171">
        <v>-0.98907440000000002</v>
      </c>
      <c r="P7171">
        <v>-0.12998760000000001</v>
      </c>
      <c r="Q7171">
        <v>-0.1053278</v>
      </c>
      <c r="R7171">
        <v>-0.98590520000000004</v>
      </c>
      <c r="S7171">
        <v>-1.843262E-2</v>
      </c>
      <c r="T7171">
        <v>-0.39052959999999998</v>
      </c>
      <c r="U7171">
        <v>-2.9995419999999999</v>
      </c>
      <c r="V7171">
        <v>-1.6319440000000001E-2</v>
      </c>
      <c r="W7171">
        <v>-9.5079469999999999E-2</v>
      </c>
      <c r="X7171">
        <v>0.99533590000000005</v>
      </c>
      <c r="Y7171">
        <v>-0.1409166</v>
      </c>
      <c r="Z7171">
        <v>0.1161281</v>
      </c>
      <c r="AA7171">
        <v>0.98318709999999998</v>
      </c>
      <c r="AB7171">
        <v>12</v>
      </c>
      <c r="AC7171">
        <v>-3.6699999999996097E-2</v>
      </c>
      <c r="AD7171">
        <v>-1.1176345532480001</v>
      </c>
      <c r="AE7171">
        <v>-8.4599179999999894</v>
      </c>
      <c r="AF7171">
        <v>-1.18713091868322</v>
      </c>
      <c r="AG7171">
        <v>-1.1176345532480001</v>
      </c>
      <c r="AH7171">
        <v>8.2297008842761699</v>
      </c>
      <c r="AI7171">
        <v>97.655457673133199</v>
      </c>
      <c r="AJ7171">
        <v>98.208272377350497</v>
      </c>
      <c r="AK7171">
        <v>8.3896581251779008</v>
      </c>
      <c r="AL7171">
        <v>95.455893857286895</v>
      </c>
      <c r="AM7171">
        <v>90.939332402564702</v>
      </c>
      <c r="AN7171">
        <v>0.99999999178310195</v>
      </c>
    </row>
    <row r="7172" spans="1:40" x14ac:dyDescent="0.25">
      <c r="A7172" t="str">
        <f>"20190303154322164"</f>
        <v>20190303154322164</v>
      </c>
      <c r="B7172" t="str">
        <f>"1551599002157279"</f>
        <v>1551599002157279</v>
      </c>
      <c r="C7172" t="s">
        <v>40</v>
      </c>
      <c r="D7172">
        <v>5.967835</v>
      </c>
      <c r="E7172">
        <v>0.45220270000000001</v>
      </c>
      <c r="F7172" t="s">
        <v>41</v>
      </c>
      <c r="G7172">
        <v>-300.21359999999999</v>
      </c>
      <c r="H7172" s="1">
        <v>-3.507352E-6</v>
      </c>
      <c r="I7172">
        <v>-12.367649999999999</v>
      </c>
      <c r="J7172">
        <v>-300.19450000000001</v>
      </c>
      <c r="K7172">
        <v>1.11819</v>
      </c>
      <c r="L7172">
        <v>-3.925659</v>
      </c>
      <c r="M7172">
        <v>-0.14551739999999999</v>
      </c>
      <c r="N7172">
        <v>-1.067091E-2</v>
      </c>
      <c r="O7172">
        <v>-0.98929809999999996</v>
      </c>
      <c r="P7172">
        <v>-0.1274942</v>
      </c>
      <c r="Q7172">
        <v>-0.10590330000000001</v>
      </c>
      <c r="R7172">
        <v>-0.98616930000000003</v>
      </c>
      <c r="S7172">
        <v>-1.248169E-2</v>
      </c>
      <c r="T7172">
        <v>-0.39133410000000002</v>
      </c>
      <c r="U7172">
        <v>-2.9994200000000002</v>
      </c>
      <c r="V7172">
        <v>-1.728822E-2</v>
      </c>
      <c r="W7172">
        <v>-9.5303990000000005E-2</v>
      </c>
      <c r="X7172">
        <v>0.99529809999999996</v>
      </c>
      <c r="Y7172">
        <v>-0.14132310000000001</v>
      </c>
      <c r="Z7172">
        <v>0.1160786</v>
      </c>
      <c r="AA7172">
        <v>0.98313450000000002</v>
      </c>
      <c r="AB7172">
        <v>12</v>
      </c>
      <c r="AC7172">
        <v>-1.9099999999980299E-2</v>
      </c>
      <c r="AD7172">
        <v>-1.118193507352</v>
      </c>
      <c r="AE7172">
        <v>-8.4419909999999998</v>
      </c>
      <c r="AF7172">
        <v>-1.18877343068046</v>
      </c>
      <c r="AG7172">
        <v>-1.118193507352</v>
      </c>
      <c r="AH7172">
        <v>8.2108456026501795</v>
      </c>
      <c r="AI7172">
        <v>97.676049534120295</v>
      </c>
      <c r="AJ7172">
        <v>98.2380905762721</v>
      </c>
      <c r="AK7172">
        <v>8.3714708683680996</v>
      </c>
      <c r="AL7172">
        <v>95.468816431201006</v>
      </c>
      <c r="AM7172">
        <v>90.995121400791405</v>
      </c>
      <c r="AN7172">
        <v>1.00000002046214</v>
      </c>
    </row>
    <row r="7173" spans="1:40" x14ac:dyDescent="0.25">
      <c r="A7173" t="str">
        <f>"20190303154322184"</f>
        <v>20190303154322184</v>
      </c>
      <c r="B7173" t="str">
        <f>"1551599002177776"</f>
        <v>1551599002177776</v>
      </c>
      <c r="C7173" t="s">
        <v>40</v>
      </c>
      <c r="D7173">
        <v>6.0254640000000004</v>
      </c>
      <c r="E7173">
        <v>0.47655839999999999</v>
      </c>
      <c r="F7173" t="s">
        <v>41</v>
      </c>
      <c r="G7173">
        <v>-300.21120000000002</v>
      </c>
      <c r="H7173" s="1">
        <v>-3.4772669999999999E-6</v>
      </c>
      <c r="I7173">
        <v>-12.436299999999999</v>
      </c>
      <c r="J7173">
        <v>-300.21050000000002</v>
      </c>
      <c r="K7173">
        <v>1.118654</v>
      </c>
      <c r="L7173">
        <v>-4.0465090000000004</v>
      </c>
      <c r="M7173">
        <v>-0.1440601</v>
      </c>
      <c r="N7173">
        <v>-1.0888180000000001E-2</v>
      </c>
      <c r="O7173">
        <v>-0.98950899999999997</v>
      </c>
      <c r="P7173">
        <v>-0.1246423</v>
      </c>
      <c r="Q7173">
        <v>-0.10606500000000001</v>
      </c>
      <c r="R7173">
        <v>-0.98651650000000002</v>
      </c>
      <c r="S7173">
        <v>-5.8898930000000002E-3</v>
      </c>
      <c r="T7173">
        <v>-0.39403120000000003</v>
      </c>
      <c r="U7173">
        <v>-2.998993</v>
      </c>
      <c r="V7173">
        <v>-1.8700689999999999E-2</v>
      </c>
      <c r="W7173">
        <v>-9.5250349999999998E-2</v>
      </c>
      <c r="X7173">
        <v>0.99527770000000004</v>
      </c>
      <c r="Y7173">
        <v>-0.14202210000000001</v>
      </c>
      <c r="Z7173">
        <v>0.1167739</v>
      </c>
      <c r="AA7173">
        <v>0.98295149999999998</v>
      </c>
      <c r="AB7173">
        <v>12</v>
      </c>
      <c r="AC7173">
        <v>-6.9999999999481501E-4</v>
      </c>
      <c r="AD7173">
        <v>-1.1186574772669999</v>
      </c>
      <c r="AE7173">
        <v>-8.38979099999999</v>
      </c>
      <c r="AF7173">
        <v>-1.1869117693065701</v>
      </c>
      <c r="AG7173">
        <v>-1.1186574772669999</v>
      </c>
      <c r="AH7173">
        <v>8.1573427317086207</v>
      </c>
      <c r="AI7173">
        <v>97.728173552871496</v>
      </c>
      <c r="AJ7173">
        <v>98.278569777206101</v>
      </c>
      <c r="AK7173">
        <v>8.3187976620496809</v>
      </c>
      <c r="AL7173">
        <v>95.465729028996407</v>
      </c>
      <c r="AM7173">
        <v>91.076427761026395</v>
      </c>
      <c r="AN7173">
        <v>1.0000000225494401</v>
      </c>
    </row>
    <row r="7174" spans="1:40" x14ac:dyDescent="0.25">
      <c r="A7174" t="str">
        <f>"20190303154322209"</f>
        <v>20190303154322209</v>
      </c>
      <c r="B7174" t="str">
        <f>"1551599002197297"</f>
        <v>1551599002197297</v>
      </c>
      <c r="C7174" t="s">
        <v>40</v>
      </c>
      <c r="D7174">
        <v>5.9711169999999996</v>
      </c>
      <c r="E7174">
        <v>0.48466690000000001</v>
      </c>
      <c r="F7174" t="s">
        <v>41</v>
      </c>
      <c r="G7174">
        <v>-300.73050000000001</v>
      </c>
      <c r="H7174" s="1">
        <v>-3.7334690000000001E-6</v>
      </c>
      <c r="I7174">
        <v>-12.16112</v>
      </c>
      <c r="J7174">
        <v>-300.22750000000002</v>
      </c>
      <c r="K7174">
        <v>1.119049</v>
      </c>
      <c r="L7174">
        <v>-4.1758119999999996</v>
      </c>
      <c r="M7174">
        <v>-0.1425718</v>
      </c>
      <c r="N7174">
        <v>-1.095286E-2</v>
      </c>
      <c r="O7174">
        <v>-0.98972400000000005</v>
      </c>
      <c r="P7174">
        <v>-0.1222963</v>
      </c>
      <c r="Q7174">
        <v>-0.1053217</v>
      </c>
      <c r="R7174">
        <v>-0.98688980000000004</v>
      </c>
      <c r="S7174">
        <v>-0.19049070000000001</v>
      </c>
      <c r="T7174">
        <v>-0.40983150000000002</v>
      </c>
      <c r="U7174">
        <v>-2.9728699999999999</v>
      </c>
      <c r="V7174">
        <v>-1.9583030000000001E-2</v>
      </c>
      <c r="W7174">
        <v>-9.4442399999999996E-2</v>
      </c>
      <c r="X7174">
        <v>0.99533769999999999</v>
      </c>
      <c r="Y7174">
        <v>-7.9423510000000003E-2</v>
      </c>
      <c r="Z7174">
        <v>0.12332509999999999</v>
      </c>
      <c r="AA7174">
        <v>0.98918289999999998</v>
      </c>
      <c r="AB7174">
        <v>12</v>
      </c>
      <c r="AC7174">
        <v>-0.50299999999998501</v>
      </c>
      <c r="AD7174">
        <v>-1.1190527334689999</v>
      </c>
      <c r="AE7174">
        <v>-7.9853079999999999</v>
      </c>
      <c r="AF7174">
        <v>-0.62839468077828697</v>
      </c>
      <c r="AG7174">
        <v>-1.1190527334689999</v>
      </c>
      <c r="AH7174">
        <v>7.8224249870088798</v>
      </c>
      <c r="AI7174">
        <v>98.115530629254394</v>
      </c>
      <c r="AJ7174">
        <v>94.592848457897105</v>
      </c>
      <c r="AK7174">
        <v>7.9270102543453103</v>
      </c>
      <c r="AL7174">
        <v>95.419227395314294</v>
      </c>
      <c r="AM7174">
        <v>91.127135268267494</v>
      </c>
      <c r="AN7174">
        <v>0.99999999951151497</v>
      </c>
    </row>
    <row r="7175" spans="1:40" x14ac:dyDescent="0.25">
      <c r="A7175" t="str">
        <f>"20190303154322232"</f>
        <v>20190303154322232</v>
      </c>
      <c r="B7175" t="str">
        <f>"1551599002227551"</f>
        <v>1551599002227551</v>
      </c>
      <c r="C7175" t="s">
        <v>40</v>
      </c>
      <c r="D7175">
        <v>5.9698719999999996</v>
      </c>
      <c r="E7175">
        <v>0.48714000000000002</v>
      </c>
      <c r="F7175" t="s">
        <v>42</v>
      </c>
      <c r="G7175">
        <v>-300.29109999999997</v>
      </c>
      <c r="H7175">
        <v>1.0120830000000001</v>
      </c>
      <c r="I7175">
        <v>-4.931921</v>
      </c>
      <c r="J7175">
        <v>-300.24439999999998</v>
      </c>
      <c r="K7175">
        <v>1.119343</v>
      </c>
      <c r="L7175">
        <v>-4.3046879999999996</v>
      </c>
      <c r="M7175">
        <v>-0.1411502</v>
      </c>
      <c r="N7175">
        <v>-1.08784E-2</v>
      </c>
      <c r="O7175">
        <v>-0.98992849999999999</v>
      </c>
      <c r="P7175">
        <v>-0.1211004</v>
      </c>
      <c r="Q7175">
        <v>-0.10493429999999999</v>
      </c>
      <c r="R7175">
        <v>-0.98707840000000002</v>
      </c>
      <c r="S7175">
        <v>-0.24795529999999999</v>
      </c>
      <c r="T7175">
        <v>-0.41959609999999897</v>
      </c>
      <c r="U7175">
        <v>-2.9643549999999999</v>
      </c>
      <c r="V7175">
        <v>-1.9368610000000001E-2</v>
      </c>
      <c r="W7175">
        <v>-9.4127970000000005E-2</v>
      </c>
      <c r="X7175">
        <v>0.99537169999999997</v>
      </c>
      <c r="Y7175">
        <v>-5.8779980000000003E-2</v>
      </c>
      <c r="Z7175">
        <v>0.1269865</v>
      </c>
      <c r="AA7175">
        <v>0.99016119999999996</v>
      </c>
      <c r="AB7175">
        <v>12</v>
      </c>
      <c r="AC7175">
        <v>-4.6699999999987002E-2</v>
      </c>
      <c r="AD7175">
        <v>-0.107259999999999</v>
      </c>
      <c r="AE7175">
        <v>-0.62723300000000004</v>
      </c>
      <c r="AF7175">
        <v>-4.1111323162649198E-2</v>
      </c>
      <c r="AG7175">
        <v>-0.107259999999999</v>
      </c>
      <c r="AH7175">
        <v>0.60981041348076204</v>
      </c>
      <c r="AI7175">
        <v>99.953616117906094</v>
      </c>
      <c r="AJ7175">
        <v>93.856848571733195</v>
      </c>
      <c r="AK7175">
        <v>0.62053492156506596</v>
      </c>
      <c r="AL7175">
        <v>95.401131161039203</v>
      </c>
      <c r="AM7175">
        <v>91.114759015112796</v>
      </c>
      <c r="AN7175">
        <v>1.0000000194752701</v>
      </c>
    </row>
    <row r="7176" spans="1:40" x14ac:dyDescent="0.25">
      <c r="A7176" t="str">
        <f>"20190303154322252"</f>
        <v>20190303154322252</v>
      </c>
      <c r="B7176" t="str">
        <f>"1551599002247072"</f>
        <v>1551599002247072</v>
      </c>
      <c r="C7176" t="s">
        <v>40</v>
      </c>
      <c r="D7176">
        <v>6.0371199999999998</v>
      </c>
      <c r="E7176">
        <v>0.48830669999999998</v>
      </c>
      <c r="F7176" t="s">
        <v>42</v>
      </c>
      <c r="G7176">
        <v>-300.3098</v>
      </c>
      <c r="H7176">
        <v>1.0114669999999999</v>
      </c>
      <c r="I7176">
        <v>-5.0384690000000001</v>
      </c>
      <c r="J7176">
        <v>-300.25920000000002</v>
      </c>
      <c r="K7176">
        <v>1.1195379999999999</v>
      </c>
      <c r="L7176">
        <v>-4.4187320000000003</v>
      </c>
      <c r="M7176">
        <v>-0.13993630000000001</v>
      </c>
      <c r="N7176">
        <v>-1.0742679999999999E-2</v>
      </c>
      <c r="O7176">
        <v>-0.99010220000000004</v>
      </c>
      <c r="P7176">
        <v>-0.12047819999999999</v>
      </c>
      <c r="Q7176">
        <v>-0.1055141</v>
      </c>
      <c r="R7176">
        <v>-0.98709230000000003</v>
      </c>
      <c r="S7176">
        <v>-0.26428220000000002</v>
      </c>
      <c r="T7176">
        <v>-0.43518269999999998</v>
      </c>
      <c r="U7176">
        <v>-2.9605709999999998</v>
      </c>
      <c r="V7176">
        <v>-1.8770720000000001E-2</v>
      </c>
      <c r="W7176">
        <v>-9.4842060000000006E-2</v>
      </c>
      <c r="X7176">
        <v>0.99531539999999996</v>
      </c>
      <c r="Y7176">
        <v>-5.20971E-2</v>
      </c>
      <c r="Z7176">
        <v>0.13235150000000001</v>
      </c>
      <c r="AA7176">
        <v>0.98983279999999996</v>
      </c>
      <c r="AB7176">
        <v>12</v>
      </c>
      <c r="AC7176">
        <v>-5.0599999999974402E-2</v>
      </c>
      <c r="AD7176">
        <v>-0.108070999999999</v>
      </c>
      <c r="AE7176">
        <v>-0.61973699999999898</v>
      </c>
      <c r="AF7176">
        <v>-3.5552680621632998E-2</v>
      </c>
      <c r="AG7176">
        <v>-0.108070999999999</v>
      </c>
      <c r="AH7176">
        <v>0.60251885964081398</v>
      </c>
      <c r="AI7176">
        <v>100.15145852188</v>
      </c>
      <c r="AJ7176">
        <v>93.376922203520195</v>
      </c>
      <c r="AK7176">
        <v>0.613165809845307</v>
      </c>
      <c r="AL7176">
        <v>95.442229194625298</v>
      </c>
      <c r="AM7176">
        <v>91.0804168788532</v>
      </c>
      <c r="AN7176">
        <v>1.0000000508757501</v>
      </c>
    </row>
    <row r="7177" spans="1:40" x14ac:dyDescent="0.25">
      <c r="A7177" t="str">
        <f>"20190303154322274"</f>
        <v>20190303154322274</v>
      </c>
      <c r="B7177" t="str">
        <f>"1551599002267568"</f>
        <v>1551599002267568</v>
      </c>
      <c r="C7177" t="s">
        <v>40</v>
      </c>
      <c r="D7177">
        <v>5.9947819999999998</v>
      </c>
      <c r="E7177">
        <v>0.4892534</v>
      </c>
      <c r="F7177" t="s">
        <v>42</v>
      </c>
      <c r="G7177">
        <v>-300.3261</v>
      </c>
      <c r="H7177">
        <v>1.0104500000000001</v>
      </c>
      <c r="I7177">
        <v>-5.1462159999999999</v>
      </c>
      <c r="J7177">
        <v>-300.27429999999998</v>
      </c>
      <c r="K7177">
        <v>1.119705</v>
      </c>
      <c r="L7177">
        <v>-4.5361630000000002</v>
      </c>
      <c r="M7177">
        <v>-0.13872770000000001</v>
      </c>
      <c r="N7177">
        <v>-1.0566610000000001E-2</v>
      </c>
      <c r="O7177">
        <v>-0.99027419999999999</v>
      </c>
      <c r="P7177">
        <v>-0.1198311</v>
      </c>
      <c r="Q7177">
        <v>-0.10653219999999999</v>
      </c>
      <c r="R7177">
        <v>-0.98706199999999999</v>
      </c>
      <c r="S7177">
        <v>-0.27139279999999999</v>
      </c>
      <c r="T7177">
        <v>-0.4438068</v>
      </c>
      <c r="U7177">
        <v>-2.9586489999999999</v>
      </c>
      <c r="V7177">
        <v>-1.8197669999999999E-2</v>
      </c>
      <c r="W7177">
        <v>-9.6034960000000003E-2</v>
      </c>
      <c r="X7177">
        <v>0.99521159999999997</v>
      </c>
      <c r="Y7177">
        <v>-4.8502459999999997E-2</v>
      </c>
      <c r="Z7177">
        <v>0.13542979999999999</v>
      </c>
      <c r="AA7177">
        <v>0.98959900000000001</v>
      </c>
      <c r="AB7177">
        <v>12</v>
      </c>
      <c r="AC7177">
        <v>-5.1800000000014203E-2</v>
      </c>
      <c r="AD7177">
        <v>-0.10925499999999901</v>
      </c>
      <c r="AE7177">
        <v>-0.61005299999999996</v>
      </c>
      <c r="AF7177">
        <v>-3.23080882037255E-2</v>
      </c>
      <c r="AG7177">
        <v>-0.10925499999999901</v>
      </c>
      <c r="AH7177">
        <v>0.59247324987564598</v>
      </c>
      <c r="AI7177">
        <v>100.433089650621</v>
      </c>
      <c r="AJ7177">
        <v>93.121297927941896</v>
      </c>
      <c r="AK7177">
        <v>0.60332828493829904</v>
      </c>
      <c r="AL7177">
        <v>95.510891036340297</v>
      </c>
      <c r="AM7177">
        <v>91.047549594613699</v>
      </c>
      <c r="AN7177">
        <v>0.99999999875509504</v>
      </c>
    </row>
    <row r="7178" spans="1:40" x14ac:dyDescent="0.25">
      <c r="A7178" t="str">
        <f>"20190303154322297"</f>
        <v>20190303154322297</v>
      </c>
      <c r="B7178" t="str">
        <f>"1551599002287089"</f>
        <v>1551599002287089</v>
      </c>
      <c r="C7178" t="s">
        <v>40</v>
      </c>
      <c r="D7178">
        <v>6.0237210000000001</v>
      </c>
      <c r="E7178">
        <v>0.48966599999999999</v>
      </c>
      <c r="F7178" t="s">
        <v>42</v>
      </c>
      <c r="G7178">
        <v>-300.34179999999998</v>
      </c>
      <c r="H7178">
        <v>1.009315</v>
      </c>
      <c r="I7178">
        <v>-5.2556269999999996</v>
      </c>
      <c r="J7178">
        <v>-300.29039999999998</v>
      </c>
      <c r="K7178">
        <v>1.119853</v>
      </c>
      <c r="L7178">
        <v>-4.661346</v>
      </c>
      <c r="M7178">
        <v>-0.1374918</v>
      </c>
      <c r="N7178">
        <v>-1.0349010000000001E-2</v>
      </c>
      <c r="O7178">
        <v>-0.99044920000000003</v>
      </c>
      <c r="P7178">
        <v>-0.11880019999999999</v>
      </c>
      <c r="Q7178">
        <v>-0.1061773</v>
      </c>
      <c r="R7178">
        <v>-0.98722549999999998</v>
      </c>
      <c r="S7178">
        <v>-0.27682499999999999</v>
      </c>
      <c r="T7178">
        <v>-0.45375219999999999</v>
      </c>
      <c r="U7178">
        <v>-2.9567570000000001</v>
      </c>
      <c r="V7178">
        <v>-1.80062E-2</v>
      </c>
      <c r="W7178">
        <v>-9.5894969999999996E-2</v>
      </c>
      <c r="X7178">
        <v>0.99522860000000002</v>
      </c>
      <c r="Y7178">
        <v>-4.5443940000000002E-2</v>
      </c>
      <c r="Z7178">
        <v>0.1389744</v>
      </c>
      <c r="AA7178">
        <v>0.98925269999999998</v>
      </c>
      <c r="AB7178">
        <v>12</v>
      </c>
      <c r="AC7178">
        <v>-5.1400000000000903E-2</v>
      </c>
      <c r="AD7178">
        <v>-0.110538</v>
      </c>
      <c r="AE7178">
        <v>-0.59428099999999895</v>
      </c>
      <c r="AF7178">
        <v>-2.9778707328925999E-2</v>
      </c>
      <c r="AG7178">
        <v>-0.110538</v>
      </c>
      <c r="AH7178">
        <v>0.57592647950817599</v>
      </c>
      <c r="AI7178">
        <v>100.850548561994</v>
      </c>
      <c r="AJ7178">
        <v>92.959885072098004</v>
      </c>
      <c r="AK7178">
        <v>0.58719394636939404</v>
      </c>
      <c r="AL7178">
        <v>95.502832907212493</v>
      </c>
      <c r="AM7178">
        <v>91.036512332315695</v>
      </c>
      <c r="AN7178">
        <v>1.0000000173838499</v>
      </c>
    </row>
    <row r="7179" spans="1:40" x14ac:dyDescent="0.25">
      <c r="A7179" t="str">
        <f>"20190303154322320"</f>
        <v>20190303154322320</v>
      </c>
      <c r="B7179" t="str">
        <f>"1551599002307584"</f>
        <v>1551599002307584</v>
      </c>
      <c r="C7179" t="s">
        <v>40</v>
      </c>
      <c r="D7179">
        <v>5.9437759999999997</v>
      </c>
      <c r="E7179">
        <v>0.49003619999999998</v>
      </c>
      <c r="F7179" t="s">
        <v>42</v>
      </c>
      <c r="G7179">
        <v>-300.3664</v>
      </c>
      <c r="H7179">
        <v>0.99438800000000005</v>
      </c>
      <c r="I7179">
        <v>-5.4713849999999997</v>
      </c>
      <c r="J7179">
        <v>-300.30700000000002</v>
      </c>
      <c r="K7179">
        <v>1.1199889999999999</v>
      </c>
      <c r="L7179">
        <v>-4.79129</v>
      </c>
      <c r="M7179">
        <v>-0.136269899999999</v>
      </c>
      <c r="N7179">
        <v>-1.009842E-2</v>
      </c>
      <c r="O7179">
        <v>-0.99062059999999996</v>
      </c>
      <c r="P7179">
        <v>-0.11726640000000001</v>
      </c>
      <c r="Q7179">
        <v>-0.10524840000000001</v>
      </c>
      <c r="R7179">
        <v>-0.9875081</v>
      </c>
      <c r="S7179">
        <v>-0.277099599999999</v>
      </c>
      <c r="T7179">
        <v>-0.45797559999999898</v>
      </c>
      <c r="U7179">
        <v>-2.956207</v>
      </c>
      <c r="V7179">
        <v>-1.834102E-2</v>
      </c>
      <c r="W7179">
        <v>-9.5214149999999997E-2</v>
      </c>
      <c r="X7179">
        <v>0.99528779999999994</v>
      </c>
      <c r="Y7179">
        <v>-4.4126949999999998E-2</v>
      </c>
      <c r="Z7179">
        <v>0.1406483</v>
      </c>
      <c r="AA7179">
        <v>0.98907579999999995</v>
      </c>
      <c r="AB7179">
        <v>13</v>
      </c>
      <c r="AC7179">
        <v>-5.93999999999823E-2</v>
      </c>
      <c r="AD7179">
        <v>-0.12560099999999899</v>
      </c>
      <c r="AE7179">
        <v>-0.68009499999999901</v>
      </c>
      <c r="AF7179">
        <v>-3.2727532256529003E-2</v>
      </c>
      <c r="AG7179">
        <v>-0.12560099999999899</v>
      </c>
      <c r="AH7179">
        <v>0.65952093487424301</v>
      </c>
      <c r="AI7179">
        <v>100.769509456305</v>
      </c>
      <c r="AJ7179">
        <v>92.8408690041786</v>
      </c>
      <c r="AK7179">
        <v>0.67217153027036003</v>
      </c>
      <c r="AL7179">
        <v>95.463645761485196</v>
      </c>
      <c r="AM7179">
        <v>91.055718867899898</v>
      </c>
      <c r="AN7179">
        <v>0.99999996610185005</v>
      </c>
    </row>
    <row r="7180" spans="1:40" x14ac:dyDescent="0.25">
      <c r="A7180" t="str">
        <f>"20190303154322342"</f>
        <v>20190303154322342</v>
      </c>
      <c r="B7180" t="str">
        <f>"1551599002337841"</f>
        <v>1551599002337841</v>
      </c>
      <c r="C7180" t="s">
        <v>40</v>
      </c>
      <c r="D7180">
        <v>5.9782580000000003</v>
      </c>
      <c r="E7180">
        <v>0.49034840000000002</v>
      </c>
      <c r="F7180" t="s">
        <v>42</v>
      </c>
      <c r="G7180">
        <v>-300.38130000000001</v>
      </c>
      <c r="H7180">
        <v>0.99677780000000005</v>
      </c>
      <c r="I7180">
        <v>-5.5845089999999997</v>
      </c>
      <c r="J7180">
        <v>-300.32299999999998</v>
      </c>
      <c r="K7180">
        <v>1.120107</v>
      </c>
      <c r="L7180">
        <v>-4.9174189999999998</v>
      </c>
      <c r="M7180">
        <v>-0.13512879999999899</v>
      </c>
      <c r="N7180">
        <v>-9.8492010000000001E-3</v>
      </c>
      <c r="O7180">
        <v>-0.99077939999999998</v>
      </c>
      <c r="P7180">
        <v>-0.1165033</v>
      </c>
      <c r="Q7180">
        <v>-0.103533</v>
      </c>
      <c r="R7180">
        <v>-0.98777959999999998</v>
      </c>
      <c r="S7180">
        <v>-0.27548220000000001</v>
      </c>
      <c r="T7180">
        <v>-0.45939089999999999</v>
      </c>
      <c r="U7180">
        <v>-2.9562680000000001</v>
      </c>
      <c r="V7180">
        <v>-1.798949E-2</v>
      </c>
      <c r="W7180">
        <v>-9.3744770000000005E-2</v>
      </c>
      <c r="X7180">
        <v>0.99543369999999998</v>
      </c>
      <c r="Y7180">
        <v>-4.3525290000000001E-2</v>
      </c>
      <c r="Z7180">
        <v>0.14138599999999901</v>
      </c>
      <c r="AA7180">
        <v>0.98899720000000002</v>
      </c>
      <c r="AB7180">
        <v>13</v>
      </c>
      <c r="AC7180">
        <v>-5.8300000000031098E-2</v>
      </c>
      <c r="AD7180">
        <v>-0.123329199999999</v>
      </c>
      <c r="AE7180">
        <v>-0.66708999999999896</v>
      </c>
      <c r="AF7180">
        <v>-3.1319818067248102E-2</v>
      </c>
      <c r="AG7180">
        <v>-0.123329199999999</v>
      </c>
      <c r="AH7180">
        <v>0.646906084787642</v>
      </c>
      <c r="AI7180">
        <v>100.781281302153</v>
      </c>
      <c r="AJ7180">
        <v>92.771798424622304</v>
      </c>
      <c r="AK7180">
        <v>0.65930152821882704</v>
      </c>
      <c r="AL7180">
        <v>95.379078130727905</v>
      </c>
      <c r="AM7180">
        <v>91.035337324966505</v>
      </c>
      <c r="AN7180">
        <v>0.99999997737425095</v>
      </c>
    </row>
    <row r="7181" spans="1:40" x14ac:dyDescent="0.25">
      <c r="A7181" t="str">
        <f>"20190303154322365"</f>
        <v>20190303154322365</v>
      </c>
      <c r="B7181" t="str">
        <f>"1551599002357360"</f>
        <v>1551599002357360</v>
      </c>
      <c r="C7181" t="s">
        <v>40</v>
      </c>
      <c r="D7181">
        <v>5.9792930000000002</v>
      </c>
      <c r="E7181">
        <v>0.49067129999999998</v>
      </c>
      <c r="F7181" t="s">
        <v>42</v>
      </c>
      <c r="G7181">
        <v>-300.39580000000001</v>
      </c>
      <c r="H7181">
        <v>0.99907140000000005</v>
      </c>
      <c r="I7181">
        <v>-5.698277</v>
      </c>
      <c r="J7181">
        <v>-300.33890000000002</v>
      </c>
      <c r="K7181">
        <v>1.120209</v>
      </c>
      <c r="L7181">
        <v>-5.0433649999999997</v>
      </c>
      <c r="M7181">
        <v>-0.13401939999999901</v>
      </c>
      <c r="N7181">
        <v>-9.5985170000000009E-3</v>
      </c>
      <c r="O7181">
        <v>-0.99093209999999998</v>
      </c>
      <c r="P7181">
        <v>-0.1161639</v>
      </c>
      <c r="Q7181">
        <v>-0.102454</v>
      </c>
      <c r="R7181">
        <v>-0.98793160000000002</v>
      </c>
      <c r="S7181">
        <v>-0.27563480000000001</v>
      </c>
      <c r="T7181">
        <v>-0.45828819999999998</v>
      </c>
      <c r="U7181">
        <v>-2.9565730000000001</v>
      </c>
      <c r="V7181">
        <v>-1.7230430000000001E-2</v>
      </c>
      <c r="W7181">
        <v>-9.2914179999999999E-2</v>
      </c>
      <c r="X7181">
        <v>0.99552499999999999</v>
      </c>
      <c r="Y7181">
        <v>-4.2365840000000002E-2</v>
      </c>
      <c r="Z7181">
        <v>0.14130000000000001</v>
      </c>
      <c r="AA7181">
        <v>0.98905989999999999</v>
      </c>
      <c r="AB7181">
        <v>13</v>
      </c>
      <c r="AC7181">
        <v>-5.6899999999984602E-2</v>
      </c>
      <c r="AD7181">
        <v>-0.1211376</v>
      </c>
      <c r="AE7181">
        <v>-0.65491199999999905</v>
      </c>
      <c r="AF7181">
        <v>-3.03574850993618E-2</v>
      </c>
      <c r="AG7181">
        <v>-0.1211376</v>
      </c>
      <c r="AH7181">
        <v>0.63506462633440197</v>
      </c>
      <c r="AI7181">
        <v>100.787322644676</v>
      </c>
      <c r="AJ7181">
        <v>92.7367809129953</v>
      </c>
      <c r="AK7181">
        <v>0.64722714301593698</v>
      </c>
      <c r="AL7181">
        <v>95.331280192908906</v>
      </c>
      <c r="AM7181">
        <v>90.991569630786501</v>
      </c>
      <c r="AN7181">
        <v>0.99999997909402805</v>
      </c>
    </row>
    <row r="7182" spans="1:40" x14ac:dyDescent="0.25">
      <c r="A7182" t="str">
        <f>"20190303154322385"</f>
        <v>20190303154322385</v>
      </c>
      <c r="B7182" t="str">
        <f>"1551599002377856"</f>
        <v>1551599002377856</v>
      </c>
      <c r="C7182" t="s">
        <v>40</v>
      </c>
      <c r="D7182">
        <v>6.0052379999999896</v>
      </c>
      <c r="E7182">
        <v>0.49085610000000002</v>
      </c>
      <c r="F7182" t="s">
        <v>42</v>
      </c>
      <c r="G7182">
        <v>-300.41120000000001</v>
      </c>
      <c r="H7182">
        <v>1.001342</v>
      </c>
      <c r="I7182">
        <v>-5.8125749999999998</v>
      </c>
      <c r="J7182">
        <v>-300.35379999999998</v>
      </c>
      <c r="K7182">
        <v>1.120298</v>
      </c>
      <c r="L7182">
        <v>-5.163208</v>
      </c>
      <c r="M7182">
        <v>-0.1329775</v>
      </c>
      <c r="N7182">
        <v>-9.354289E-3</v>
      </c>
      <c r="O7182">
        <v>-0.99107500000000004</v>
      </c>
      <c r="P7182">
        <v>-0.1158724</v>
      </c>
      <c r="Q7182">
        <v>-0.1022417</v>
      </c>
      <c r="R7182">
        <v>-0.98798810000000004</v>
      </c>
      <c r="S7182">
        <v>-0.277099599999999</v>
      </c>
      <c r="T7182">
        <v>-0.45705509999999999</v>
      </c>
      <c r="U7182">
        <v>-2.9566650000000001</v>
      </c>
      <c r="V7182">
        <v>-1.647655E-2</v>
      </c>
      <c r="W7182">
        <v>-9.2945070000000005E-2</v>
      </c>
      <c r="X7182">
        <v>0.9955349</v>
      </c>
      <c r="Y7182">
        <v>-4.0832460000000001E-2</v>
      </c>
      <c r="Z7182">
        <v>0.14117209999999999</v>
      </c>
      <c r="AA7182">
        <v>0.98914270000000004</v>
      </c>
      <c r="AB7182">
        <v>13</v>
      </c>
      <c r="AC7182">
        <v>-5.7400000000029601E-2</v>
      </c>
      <c r="AD7182">
        <v>-0.11895600000000001</v>
      </c>
      <c r="AE7182">
        <v>-0.64936699999999903</v>
      </c>
      <c r="AF7182">
        <v>-2.8515292792496899E-2</v>
      </c>
      <c r="AG7182">
        <v>-0.11895600000000001</v>
      </c>
      <c r="AH7182">
        <v>0.63024706872867597</v>
      </c>
      <c r="AI7182">
        <v>100.677879731716</v>
      </c>
      <c r="AJ7182">
        <v>92.590559377704295</v>
      </c>
      <c r="AK7182">
        <v>0.64200858210784895</v>
      </c>
      <c r="AL7182">
        <v>95.333057640213099</v>
      </c>
      <c r="AM7182">
        <v>90.948184331934897</v>
      </c>
      <c r="AN7182">
        <v>0.99999999992760802</v>
      </c>
    </row>
    <row r="7183" spans="1:40" x14ac:dyDescent="0.25">
      <c r="A7183" t="str">
        <f>"20190303154322409"</f>
        <v>20190303154322409</v>
      </c>
      <c r="B7183" t="str">
        <f>"1551599002397377"</f>
        <v>1551599002397377</v>
      </c>
      <c r="C7183" t="s">
        <v>40</v>
      </c>
      <c r="D7183">
        <v>5.976972</v>
      </c>
      <c r="E7183">
        <v>0.49099199999999998</v>
      </c>
      <c r="F7183" t="s">
        <v>42</v>
      </c>
      <c r="G7183">
        <v>-300.42570000000001</v>
      </c>
      <c r="H7183">
        <v>1.0018069999999999</v>
      </c>
      <c r="I7183">
        <v>-5.9269030000000003</v>
      </c>
      <c r="J7183">
        <v>-300.37029999999999</v>
      </c>
      <c r="K7183">
        <v>1.120385</v>
      </c>
      <c r="L7183">
        <v>-5.2957150000000004</v>
      </c>
      <c r="M7183">
        <v>-0.13182759999999999</v>
      </c>
      <c r="N7183">
        <v>-9.0775960000000003E-3</v>
      </c>
      <c r="O7183">
        <v>-0.99123110000000003</v>
      </c>
      <c r="P7183">
        <v>-0.11524470000000001</v>
      </c>
      <c r="Q7183">
        <v>-0.1017057</v>
      </c>
      <c r="R7183">
        <v>-0.98811669999999996</v>
      </c>
      <c r="S7183">
        <v>-0.27755740000000001</v>
      </c>
      <c r="T7183">
        <v>-0.4587929</v>
      </c>
      <c r="U7183">
        <v>-2.9564509999999999</v>
      </c>
      <c r="V7183">
        <v>-1.5955230000000001E-2</v>
      </c>
      <c r="W7183">
        <v>-9.2684639999999999E-2</v>
      </c>
      <c r="X7183">
        <v>0.99556770000000006</v>
      </c>
      <c r="Y7183">
        <v>-3.9527939999999998E-2</v>
      </c>
      <c r="Z7183">
        <v>0.1420517</v>
      </c>
      <c r="AA7183">
        <v>0.98906970000000005</v>
      </c>
      <c r="AB7183">
        <v>13</v>
      </c>
      <c r="AC7183">
        <v>-5.54000000000201E-2</v>
      </c>
      <c r="AD7183">
        <v>-0.118578</v>
      </c>
      <c r="AE7183">
        <v>-0.63118799999999897</v>
      </c>
      <c r="AF7183">
        <v>-2.7337510220832601E-2</v>
      </c>
      <c r="AG7183">
        <v>-0.118578</v>
      </c>
      <c r="AH7183">
        <v>0.61156348813494499</v>
      </c>
      <c r="AI7183">
        <v>100.962422828917</v>
      </c>
      <c r="AJ7183">
        <v>92.559475788162402</v>
      </c>
      <c r="AK7183">
        <v>0.62355270953533304</v>
      </c>
      <c r="AL7183">
        <v>95.318071257762298</v>
      </c>
      <c r="AM7183">
        <v>90.918158641513898</v>
      </c>
      <c r="AN7183">
        <v>1.0000000285697801</v>
      </c>
    </row>
    <row r="7184" spans="1:40" x14ac:dyDescent="0.25">
      <c r="A7184" t="str">
        <f>"20190303154322433"</f>
        <v>20190303154322433</v>
      </c>
      <c r="B7184" t="str">
        <f>"1551599002427632"</f>
        <v>1551599002427632</v>
      </c>
      <c r="C7184" t="s">
        <v>40</v>
      </c>
      <c r="D7184">
        <v>5.9625000000000004</v>
      </c>
      <c r="E7184">
        <v>0.47820380000000001</v>
      </c>
      <c r="F7184" t="s">
        <v>42</v>
      </c>
      <c r="G7184">
        <v>-300.44049999999999</v>
      </c>
      <c r="H7184">
        <v>1.004246</v>
      </c>
      <c r="I7184">
        <v>-6.0428769999999998</v>
      </c>
      <c r="J7184">
        <v>-300.38749999999999</v>
      </c>
      <c r="K7184">
        <v>1.1204620000000001</v>
      </c>
      <c r="L7184">
        <v>-5.4359129999999896</v>
      </c>
      <c r="M7184">
        <v>-0.13060279999999999</v>
      </c>
      <c r="N7184">
        <v>-8.7857209999999998E-3</v>
      </c>
      <c r="O7184">
        <v>-0.99139600000000005</v>
      </c>
      <c r="P7184">
        <v>-0.114721</v>
      </c>
      <c r="Q7184">
        <v>-0.1010836</v>
      </c>
      <c r="R7184">
        <v>-0.98824160000000005</v>
      </c>
      <c r="S7184">
        <v>-0.27682499999999999</v>
      </c>
      <c r="T7184">
        <v>-0.45972439999999998</v>
      </c>
      <c r="U7184">
        <v>-2.9564819999999998</v>
      </c>
      <c r="V7184">
        <v>-1.5255009999999999E-2</v>
      </c>
      <c r="W7184">
        <v>-9.2353080000000004E-2</v>
      </c>
      <c r="X7184">
        <v>0.99560950000000004</v>
      </c>
      <c r="Y7184">
        <v>-3.8546749999999998E-2</v>
      </c>
      <c r="Z7184">
        <v>0.142678</v>
      </c>
      <c r="AA7184">
        <v>0.98901830000000002</v>
      </c>
      <c r="AB7184">
        <v>13</v>
      </c>
      <c r="AC7184">
        <v>-5.2999999999997202E-2</v>
      </c>
      <c r="AD7184">
        <v>-0.116216</v>
      </c>
      <c r="AE7184">
        <v>-0.60696399999999995</v>
      </c>
      <c r="AF7184">
        <v>-2.5789904571790399E-2</v>
      </c>
      <c r="AG7184">
        <v>-0.116216</v>
      </c>
      <c r="AH7184">
        <v>0.58731820481574104</v>
      </c>
      <c r="AI7184">
        <v>101.182348803445</v>
      </c>
      <c r="AJ7184">
        <v>92.514316827751202</v>
      </c>
      <c r="AK7184">
        <v>0.59926117139508295</v>
      </c>
      <c r="AL7184">
        <v>95.298992369958398</v>
      </c>
      <c r="AM7184">
        <v>90.877833425979603</v>
      </c>
      <c r="AN7184">
        <v>1.00000004160291</v>
      </c>
    </row>
    <row r="7185" spans="1:40" x14ac:dyDescent="0.25">
      <c r="A7185" t="str">
        <f>"20190303154322454"</f>
        <v>20190303154322454</v>
      </c>
      <c r="B7185" t="str">
        <f>"1551599002447152"</f>
        <v>1551599002447152</v>
      </c>
      <c r="C7185" t="s">
        <v>40</v>
      </c>
      <c r="D7185">
        <v>5.9449889999999996</v>
      </c>
      <c r="E7185">
        <v>0.4699895</v>
      </c>
      <c r="F7185" t="s">
        <v>41</v>
      </c>
      <c r="G7185">
        <v>-300.87869999999998</v>
      </c>
      <c r="H7185" s="1">
        <v>-3.0285989999999999E-6</v>
      </c>
      <c r="I7185">
        <v>-13.896140000000001</v>
      </c>
      <c r="J7185">
        <v>-300.40280000000001</v>
      </c>
      <c r="K7185">
        <v>1.120522</v>
      </c>
      <c r="L7185">
        <v>-5.5619809999999896</v>
      </c>
      <c r="M7185">
        <v>-0.1294893</v>
      </c>
      <c r="N7185">
        <v>-8.5349299999999996E-3</v>
      </c>
      <c r="O7185">
        <v>-0.99154419999999999</v>
      </c>
      <c r="P7185">
        <v>-0.11373220000000001</v>
      </c>
      <c r="Q7185">
        <v>-0.1000684</v>
      </c>
      <c r="R7185">
        <v>-0.98845919999999998</v>
      </c>
      <c r="S7185">
        <v>-0.17276</v>
      </c>
      <c r="T7185">
        <v>-0.39405129999999999</v>
      </c>
      <c r="U7185">
        <v>-2.9753419999999999</v>
      </c>
      <c r="V7185">
        <v>-1.5141190000000001E-2</v>
      </c>
      <c r="W7185">
        <v>-9.1587509999999997E-2</v>
      </c>
      <c r="X7185">
        <v>0.99568190000000001</v>
      </c>
      <c r="Y7185">
        <v>-7.2182529999999995E-2</v>
      </c>
      <c r="Z7185">
        <v>0.1209306</v>
      </c>
      <c r="AA7185">
        <v>0.9900331</v>
      </c>
      <c r="AB7185">
        <v>13</v>
      </c>
      <c r="AC7185">
        <v>-0.47589999999996702</v>
      </c>
      <c r="AD7185">
        <v>-1.1205250285990001</v>
      </c>
      <c r="AE7185">
        <v>-8.3341589999999997</v>
      </c>
      <c r="AF7185">
        <v>-0.59658139946054101</v>
      </c>
      <c r="AG7185">
        <v>-1.1205250285990001</v>
      </c>
      <c r="AH7185">
        <v>8.1782577157864598</v>
      </c>
      <c r="AI7185">
        <v>97.781250138569305</v>
      </c>
      <c r="AJ7185">
        <v>94.172179474946702</v>
      </c>
      <c r="AK7185">
        <v>8.2761938698727899</v>
      </c>
      <c r="AL7185">
        <v>95.254942032015606</v>
      </c>
      <c r="AM7185">
        <v>90.8712214430318</v>
      </c>
      <c r="AN7185">
        <v>0.99999998680511204</v>
      </c>
    </row>
    <row r="7186" spans="1:40" x14ac:dyDescent="0.25">
      <c r="A7186" t="str">
        <f>"20190303154322475"</f>
        <v>20190303154322475</v>
      </c>
      <c r="B7186" t="str">
        <f>"1551599002467648"</f>
        <v>1551599002467648</v>
      </c>
      <c r="C7186" t="s">
        <v>40</v>
      </c>
      <c r="D7186">
        <v>5.971622</v>
      </c>
      <c r="E7186">
        <v>0.4651554</v>
      </c>
      <c r="F7186" t="s">
        <v>41</v>
      </c>
      <c r="G7186">
        <v>-300.6918</v>
      </c>
      <c r="H7186" s="1">
        <v>-3.0367219999999998E-6</v>
      </c>
      <c r="I7186">
        <v>-13.761290000000001</v>
      </c>
      <c r="J7186">
        <v>-300.41730000000001</v>
      </c>
      <c r="K7186">
        <v>1.120566</v>
      </c>
      <c r="L7186">
        <v>-5.683014</v>
      </c>
      <c r="M7186">
        <v>-0.12840799999999999</v>
      </c>
      <c r="N7186">
        <v>-8.3124759999999992E-3</v>
      </c>
      <c r="O7186">
        <v>-0.99168659999999997</v>
      </c>
      <c r="P7186">
        <v>-0.1125989</v>
      </c>
      <c r="Q7186">
        <v>-9.9397399999999997E-2</v>
      </c>
      <c r="R7186">
        <v>-0.98865630000000004</v>
      </c>
      <c r="S7186">
        <v>-0.1051025</v>
      </c>
      <c r="T7186">
        <v>-0.40748020000000001</v>
      </c>
      <c r="U7186">
        <v>-2.9816889999999998</v>
      </c>
      <c r="V7186">
        <v>-1.5201640000000001E-2</v>
      </c>
      <c r="W7186">
        <v>-9.1138330000000004E-2</v>
      </c>
      <c r="X7186">
        <v>0.9957222</v>
      </c>
      <c r="Y7186">
        <v>-9.3617539999999999E-2</v>
      </c>
      <c r="Z7186">
        <v>0.12516849999999999</v>
      </c>
      <c r="AA7186">
        <v>0.9877087</v>
      </c>
      <c r="AB7186">
        <v>13</v>
      </c>
      <c r="AC7186">
        <v>-0.27449999999998898</v>
      </c>
      <c r="AD7186">
        <v>-1.120569036722</v>
      </c>
      <c r="AE7186">
        <v>-8.07827599999999</v>
      </c>
      <c r="AF7186">
        <v>-0.75069583206146395</v>
      </c>
      <c r="AG7186">
        <v>-1.120569036722</v>
      </c>
      <c r="AH7186">
        <v>7.8949089451721504</v>
      </c>
      <c r="AI7186">
        <v>98.0425558122095</v>
      </c>
      <c r="AJ7186">
        <v>95.431699564403402</v>
      </c>
      <c r="AK7186">
        <v>8.0092950033628902</v>
      </c>
      <c r="AL7186">
        <v>95.229097795122797</v>
      </c>
      <c r="AM7186">
        <v>90.874663789875797</v>
      </c>
      <c r="AN7186">
        <v>0.99999999231335901</v>
      </c>
    </row>
    <row r="7187" spans="1:40" x14ac:dyDescent="0.25">
      <c r="A7187" t="str">
        <f>"20190303154322497"</f>
        <v>20190303154322497</v>
      </c>
      <c r="B7187" t="str">
        <f>"1551599002487168"</f>
        <v>1551599002487168</v>
      </c>
      <c r="C7187" t="s">
        <v>40</v>
      </c>
      <c r="D7187">
        <v>5.8950940000000003</v>
      </c>
      <c r="E7187">
        <v>0.46321980000000001</v>
      </c>
      <c r="F7187" t="s">
        <v>41</v>
      </c>
      <c r="G7187">
        <v>-300.58510000000001</v>
      </c>
      <c r="H7187" s="1">
        <v>-3.1023240000000002E-6</v>
      </c>
      <c r="I7187">
        <v>-13.542149999999999</v>
      </c>
      <c r="J7187">
        <v>-300.43299999999999</v>
      </c>
      <c r="K7187">
        <v>1.1206119999999999</v>
      </c>
      <c r="L7187">
        <v>-5.814667</v>
      </c>
      <c r="M7187">
        <v>-0.1272211</v>
      </c>
      <c r="N7187">
        <v>-8.0948840000000001E-3</v>
      </c>
      <c r="O7187">
        <v>-0.99184150000000004</v>
      </c>
      <c r="P7187">
        <v>-0.1106499</v>
      </c>
      <c r="Q7187">
        <v>-9.991585E-2</v>
      </c>
      <c r="R7187">
        <v>-0.9888247</v>
      </c>
      <c r="S7187">
        <v>-6.3690189999999994E-2</v>
      </c>
      <c r="T7187">
        <v>-0.42551719999999998</v>
      </c>
      <c r="U7187">
        <v>-2.984375</v>
      </c>
      <c r="V7187">
        <v>-1.5960700000000001E-2</v>
      </c>
      <c r="W7187">
        <v>-9.1875349999999995E-2</v>
      </c>
      <c r="X7187">
        <v>0.99564260000000004</v>
      </c>
      <c r="Y7187">
        <v>-0.1061506</v>
      </c>
      <c r="Z7187">
        <v>0.1310191</v>
      </c>
      <c r="AA7187">
        <v>0.98568049999999996</v>
      </c>
      <c r="AB7187">
        <v>13</v>
      </c>
      <c r="AC7187">
        <v>-0.152100000000018</v>
      </c>
      <c r="AD7187">
        <v>-1.1206151023240001</v>
      </c>
      <c r="AE7187">
        <v>-7.7274829999999897</v>
      </c>
      <c r="AF7187">
        <v>-0.81513146101581901</v>
      </c>
      <c r="AG7187">
        <v>-1.1206151023240001</v>
      </c>
      <c r="AH7187">
        <v>7.5258331925673803</v>
      </c>
      <c r="AI7187">
        <v>98.420718537415695</v>
      </c>
      <c r="AJ7187">
        <v>96.181672489783296</v>
      </c>
      <c r="AK7187">
        <v>7.6523449183007504</v>
      </c>
      <c r="AL7187">
        <v>95.271503779440707</v>
      </c>
      <c r="AM7187">
        <v>90.918404280975494</v>
      </c>
      <c r="AN7187">
        <v>1.0000000054084299</v>
      </c>
    </row>
    <row r="7188" spans="1:40" x14ac:dyDescent="0.25">
      <c r="A7188" t="str">
        <f>"20190303154322520"</f>
        <v>20190303154322520</v>
      </c>
      <c r="B7188" t="str">
        <f>"1551599002507664"</f>
        <v>1551599002507664</v>
      </c>
      <c r="C7188" t="s">
        <v>40</v>
      </c>
      <c r="D7188">
        <v>5.9026620000000003</v>
      </c>
      <c r="E7188">
        <v>0.46221230000000002</v>
      </c>
      <c r="F7188" t="s">
        <v>41</v>
      </c>
      <c r="G7188">
        <v>-300.5437</v>
      </c>
      <c r="H7188" s="1">
        <v>-3.0861450000000002E-6</v>
      </c>
      <c r="I7188">
        <v>-13.5542</v>
      </c>
      <c r="J7188">
        <v>-300.44850000000002</v>
      </c>
      <c r="K7188">
        <v>1.1206389999999999</v>
      </c>
      <c r="L7188">
        <v>-5.9464110000000003</v>
      </c>
      <c r="M7188">
        <v>-0.12602469999999999</v>
      </c>
      <c r="N7188">
        <v>-7.8983619999999904E-3</v>
      </c>
      <c r="O7188">
        <v>-0.99199590000000004</v>
      </c>
      <c r="P7188">
        <v>-0.1087124</v>
      </c>
      <c r="Q7188">
        <v>-0.10075489999999999</v>
      </c>
      <c r="R7188">
        <v>-0.98895420000000001</v>
      </c>
      <c r="S7188">
        <v>-4.2694089999999997E-2</v>
      </c>
      <c r="T7188">
        <v>-0.43226579999999898</v>
      </c>
      <c r="U7188">
        <v>-2.9854430000000001</v>
      </c>
      <c r="V7188">
        <v>-1.6694489999999999E-2</v>
      </c>
      <c r="W7188">
        <v>-9.2912049999999996E-2</v>
      </c>
      <c r="X7188">
        <v>0.99553440000000004</v>
      </c>
      <c r="Y7188">
        <v>-0.11188770000000001</v>
      </c>
      <c r="Z7188">
        <v>0.13331879999999999</v>
      </c>
      <c r="AA7188">
        <v>0.98473719999999998</v>
      </c>
      <c r="AB7188">
        <v>13</v>
      </c>
      <c r="AC7188">
        <v>-9.5199999999976997E-2</v>
      </c>
      <c r="AD7188">
        <v>-1.1206420861449999</v>
      </c>
      <c r="AE7188">
        <v>-7.6077889999999897</v>
      </c>
      <c r="AF7188">
        <v>-0.84600445915455702</v>
      </c>
      <c r="AG7188">
        <v>-1.1206420861449999</v>
      </c>
      <c r="AH7188">
        <v>7.39861798461214</v>
      </c>
      <c r="AI7188">
        <v>98.557985248399405</v>
      </c>
      <c r="AJ7188">
        <v>96.523227266164298</v>
      </c>
      <c r="AK7188">
        <v>7.5306779450707504</v>
      </c>
      <c r="AL7188">
        <v>95.331157252628003</v>
      </c>
      <c r="AM7188">
        <v>90.960724382073707</v>
      </c>
      <c r="AN7188">
        <v>1.00000004830746</v>
      </c>
    </row>
    <row r="7189" spans="1:40" x14ac:dyDescent="0.25">
      <c r="A7189" t="str">
        <f>"20190303154322541"</f>
        <v>20190303154322541</v>
      </c>
      <c r="B7189" t="str">
        <f>"1551599002536947"</f>
        <v>1551599002536947</v>
      </c>
      <c r="C7189" t="s">
        <v>40</v>
      </c>
      <c r="D7189">
        <v>5.8997260000000002</v>
      </c>
      <c r="E7189">
        <v>0.46121689999999999</v>
      </c>
      <c r="F7189" t="s">
        <v>41</v>
      </c>
      <c r="G7189">
        <v>-300.52280000000002</v>
      </c>
      <c r="H7189" s="1">
        <v>-3.0283170000000001E-6</v>
      </c>
      <c r="I7189">
        <v>-13.67605</v>
      </c>
      <c r="J7189">
        <v>-300.46390000000002</v>
      </c>
      <c r="K7189">
        <v>1.120665</v>
      </c>
      <c r="L7189">
        <v>-6.0793759999999999</v>
      </c>
      <c r="M7189">
        <v>-0.1248107</v>
      </c>
      <c r="N7189">
        <v>-7.7184139999999998E-3</v>
      </c>
      <c r="O7189">
        <v>-0.99215070000000005</v>
      </c>
      <c r="P7189">
        <v>-0.1072047</v>
      </c>
      <c r="Q7189">
        <v>-0.1014458</v>
      </c>
      <c r="R7189">
        <v>-0.98904820000000004</v>
      </c>
      <c r="S7189">
        <v>-2.8717039999999999E-2</v>
      </c>
      <c r="T7189">
        <v>-0.4329443</v>
      </c>
      <c r="U7189">
        <v>-2.986237</v>
      </c>
      <c r="V7189">
        <v>-1.6981719999999999E-2</v>
      </c>
      <c r="W7189">
        <v>-9.378338E-2</v>
      </c>
      <c r="X7189">
        <v>0.99544779999999999</v>
      </c>
      <c r="Y7189">
        <v>-0.1152826</v>
      </c>
      <c r="Z7189">
        <v>0.13368369999999999</v>
      </c>
      <c r="AA7189">
        <v>0.98429599999999995</v>
      </c>
      <c r="AB7189">
        <v>13</v>
      </c>
      <c r="AC7189">
        <v>-5.8899999999994103E-2</v>
      </c>
      <c r="AD7189">
        <v>-1.1206680283170001</v>
      </c>
      <c r="AE7189">
        <v>-7.5966740000000001</v>
      </c>
      <c r="AF7189">
        <v>-0.87078563964188604</v>
      </c>
      <c r="AG7189">
        <v>-1.1206680283170001</v>
      </c>
      <c r="AH7189">
        <v>7.3839377734661298</v>
      </c>
      <c r="AI7189">
        <v>98.571474370719798</v>
      </c>
      <c r="AJ7189">
        <v>96.725809909699095</v>
      </c>
      <c r="AK7189">
        <v>7.5190891404689699</v>
      </c>
      <c r="AL7189">
        <v>95.381299923797101</v>
      </c>
      <c r="AM7189">
        <v>90.977335541803797</v>
      </c>
      <c r="AN7189">
        <v>1.0000000118516099</v>
      </c>
    </row>
    <row r="7190" spans="1:40" x14ac:dyDescent="0.25">
      <c r="A7190" t="str">
        <f>"20190303154322565"</f>
        <v>20190303154322565</v>
      </c>
      <c r="B7190" t="str">
        <f>"1551599002557440"</f>
        <v>1551599002557440</v>
      </c>
      <c r="C7190" t="s">
        <v>40</v>
      </c>
      <c r="D7190">
        <v>5.9079480000000002</v>
      </c>
      <c r="E7190">
        <v>0.46128520000000001</v>
      </c>
      <c r="F7190" t="s">
        <v>41</v>
      </c>
      <c r="G7190">
        <v>-300.50599999999997</v>
      </c>
      <c r="H7190" s="1">
        <v>-2.9586400000000002E-6</v>
      </c>
      <c r="I7190">
        <v>-13.828029999999901</v>
      </c>
      <c r="J7190">
        <v>-300.48</v>
      </c>
      <c r="K7190">
        <v>1.120682</v>
      </c>
      <c r="L7190">
        <v>-6.2188109999999996</v>
      </c>
      <c r="M7190">
        <v>-0.123534</v>
      </c>
      <c r="N7190">
        <v>-7.5498029999999999E-3</v>
      </c>
      <c r="O7190">
        <v>-0.99231170000000002</v>
      </c>
      <c r="P7190">
        <v>-0.10501439999999999</v>
      </c>
      <c r="Q7190">
        <v>-0.1009896</v>
      </c>
      <c r="R7190">
        <v>-0.98933000000000004</v>
      </c>
      <c r="S7190">
        <v>-1.620483E-2</v>
      </c>
      <c r="T7190">
        <v>-0.43202420000000002</v>
      </c>
      <c r="U7190">
        <v>-2.987152</v>
      </c>
      <c r="V7190">
        <v>-1.790827E-2</v>
      </c>
      <c r="W7190">
        <v>-9.3496259999999998E-2</v>
      </c>
      <c r="X7190">
        <v>0.99545850000000002</v>
      </c>
      <c r="Y7190">
        <v>-0.1181292</v>
      </c>
      <c r="Z7190">
        <v>0.133523799999999</v>
      </c>
      <c r="AA7190">
        <v>0.98398010000000002</v>
      </c>
      <c r="AB7190">
        <v>14</v>
      </c>
      <c r="AC7190">
        <v>-2.5999999999953598E-2</v>
      </c>
      <c r="AD7190">
        <v>-1.1206849586399901</v>
      </c>
      <c r="AE7190">
        <v>-7.6092189999999897</v>
      </c>
      <c r="AF7190">
        <v>-0.89481363456662999</v>
      </c>
      <c r="AG7190">
        <v>-1.1206849586399901</v>
      </c>
      <c r="AH7190">
        <v>7.3937646323394102</v>
      </c>
      <c r="AI7190">
        <v>98.557306378460794</v>
      </c>
      <c r="AJ7190">
        <v>96.900533093972101</v>
      </c>
      <c r="AK7190">
        <v>7.53155904548065</v>
      </c>
      <c r="AL7190">
        <v>95.364776939594293</v>
      </c>
      <c r="AM7190">
        <v>91.030638262609898</v>
      </c>
      <c r="AN7190">
        <v>0.99999994099531297</v>
      </c>
    </row>
    <row r="7191" spans="1:40" x14ac:dyDescent="0.25">
      <c r="A7191" t="str">
        <f>"20190303154322586"</f>
        <v>20190303154322586</v>
      </c>
      <c r="B7191" t="str">
        <f>"1551599002576961"</f>
        <v>1551599002576961</v>
      </c>
      <c r="C7191" t="s">
        <v>40</v>
      </c>
      <c r="D7191">
        <v>5.8870009999999997</v>
      </c>
      <c r="E7191">
        <v>0.46114470000000002</v>
      </c>
      <c r="F7191" t="s">
        <v>41</v>
      </c>
      <c r="G7191">
        <v>-300.5052</v>
      </c>
      <c r="H7191" s="1">
        <v>-2.8778190000000001E-6</v>
      </c>
      <c r="I7191">
        <v>-14.015969999999999</v>
      </c>
      <c r="J7191">
        <v>-300.49520000000001</v>
      </c>
      <c r="K7191">
        <v>1.1207049999999901</v>
      </c>
      <c r="L7191">
        <v>-6.352722</v>
      </c>
      <c r="M7191">
        <v>-0.1223069</v>
      </c>
      <c r="N7191">
        <v>-7.4054139999999999E-3</v>
      </c>
      <c r="O7191">
        <v>-0.99246480000000004</v>
      </c>
      <c r="P7191">
        <v>-0.10351639999999999</v>
      </c>
      <c r="Q7191">
        <v>-0.10138229999999999</v>
      </c>
      <c r="R7191">
        <v>-0.98944739999999998</v>
      </c>
      <c r="S7191">
        <v>-9.6740720000000006E-3</v>
      </c>
      <c r="T7191">
        <v>-0.42939139999999998</v>
      </c>
      <c r="U7191">
        <v>-2.9874879999999999</v>
      </c>
      <c r="V7191">
        <v>-1.8177430000000001E-2</v>
      </c>
      <c r="W7191">
        <v>-9.4033569999999997E-2</v>
      </c>
      <c r="X7191">
        <v>0.99540309999999999</v>
      </c>
      <c r="Y7191">
        <v>-0.1190537</v>
      </c>
      <c r="Z7191">
        <v>0.1328326</v>
      </c>
      <c r="AA7191">
        <v>0.98396220000000001</v>
      </c>
      <c r="AB7191">
        <v>14</v>
      </c>
      <c r="AC7191">
        <v>-9.9999999999908998E-3</v>
      </c>
      <c r="AD7191">
        <v>-1.1207078778189901</v>
      </c>
      <c r="AE7191">
        <v>-7.6632480000000003</v>
      </c>
      <c r="AF7191">
        <v>-0.90795008856757997</v>
      </c>
      <c r="AG7191">
        <v>-1.1207078778189901</v>
      </c>
      <c r="AH7191">
        <v>7.4476488229287598</v>
      </c>
      <c r="AI7191">
        <v>98.495581687595802</v>
      </c>
      <c r="AJ7191">
        <v>96.950685096662397</v>
      </c>
      <c r="AK7191">
        <v>7.5860287700751297</v>
      </c>
      <c r="AL7191">
        <v>95.395698278294702</v>
      </c>
      <c r="AM7191">
        <v>91.046183474083307</v>
      </c>
      <c r="AN7191">
        <v>1.0000000313689701</v>
      </c>
    </row>
    <row r="7192" spans="1:40" x14ac:dyDescent="0.25">
      <c r="A7192" t="str">
        <f>"20190303154322610"</f>
        <v>20190303154322610</v>
      </c>
      <c r="B7192" t="str">
        <f>"1551599002597457"</f>
        <v>1551599002597457</v>
      </c>
      <c r="C7192" t="s">
        <v>40</v>
      </c>
      <c r="D7192">
        <v>5.8774600000000001</v>
      </c>
      <c r="E7192">
        <v>0.46094209999999902</v>
      </c>
      <c r="F7192" t="s">
        <v>41</v>
      </c>
      <c r="G7192">
        <v>-300.50560000000002</v>
      </c>
      <c r="H7192" s="1">
        <v>-2.8233760000000001E-6</v>
      </c>
      <c r="I7192">
        <v>-14.143129999999999</v>
      </c>
      <c r="J7192">
        <v>-300.51080000000002</v>
      </c>
      <c r="K7192">
        <v>1.120709</v>
      </c>
      <c r="L7192">
        <v>-6.4910889999999997</v>
      </c>
      <c r="M7192">
        <v>-0.1210402</v>
      </c>
      <c r="N7192">
        <v>-7.2679379999999998E-3</v>
      </c>
      <c r="O7192">
        <v>-0.99262079999999997</v>
      </c>
      <c r="P7192">
        <v>-0.1020789</v>
      </c>
      <c r="Q7192">
        <v>-0.1017545</v>
      </c>
      <c r="R7192">
        <v>-0.9895581</v>
      </c>
      <c r="S7192">
        <v>-3.9978030000000003E-3</v>
      </c>
      <c r="T7192">
        <v>-0.42978100000000002</v>
      </c>
      <c r="U7192">
        <v>-2.987549</v>
      </c>
      <c r="V7192">
        <v>-1.8345520000000001E-2</v>
      </c>
      <c r="W7192">
        <v>-9.4543420000000003E-2</v>
      </c>
      <c r="X7192">
        <v>0.99535169999999995</v>
      </c>
      <c r="Y7192">
        <v>-0.1196569</v>
      </c>
      <c r="Z7192">
        <v>0.13311789999999901</v>
      </c>
      <c r="AA7192">
        <v>0.98385049999999996</v>
      </c>
      <c r="AB7192">
        <v>14</v>
      </c>
      <c r="AC7192">
        <v>5.2000000000020901E-3</v>
      </c>
      <c r="AD7192">
        <v>-1.1207118233759901</v>
      </c>
      <c r="AE7192">
        <v>-7.6520409999999996</v>
      </c>
      <c r="AF7192">
        <v>-0.91183192707508098</v>
      </c>
      <c r="AG7192">
        <v>-1.1207118233759901</v>
      </c>
      <c r="AH7192">
        <v>7.4356508955316398</v>
      </c>
      <c r="AI7192">
        <v>98.508392900912</v>
      </c>
      <c r="AJ7192">
        <v>96.9912609310948</v>
      </c>
      <c r="AK7192">
        <v>7.5747169382432196</v>
      </c>
      <c r="AL7192">
        <v>95.4250413642594</v>
      </c>
      <c r="AM7192">
        <v>91.0559100548967</v>
      </c>
      <c r="AN7192">
        <v>1.0000000115311201</v>
      </c>
    </row>
    <row r="7193" spans="1:40" x14ac:dyDescent="0.25">
      <c r="A7193" t="str">
        <f>"20190303154322633"</f>
        <v>20190303154322633</v>
      </c>
      <c r="B7193" t="str">
        <f>"1551599002627714"</f>
        <v>1551599002627714</v>
      </c>
      <c r="C7193" t="s">
        <v>40</v>
      </c>
      <c r="D7193">
        <v>5.9257019999999896</v>
      </c>
      <c r="E7193">
        <v>0.46049449999999997</v>
      </c>
      <c r="F7193" t="s">
        <v>41</v>
      </c>
      <c r="G7193">
        <v>-300.50540000000001</v>
      </c>
      <c r="H7193" s="1">
        <v>-2.7483379999999998E-6</v>
      </c>
      <c r="I7193">
        <v>-14.31793</v>
      </c>
      <c r="J7193">
        <v>-300.52690000000001</v>
      </c>
      <c r="K7193">
        <v>1.120714</v>
      </c>
      <c r="L7193">
        <v>-6.6358030000000001</v>
      </c>
      <c r="M7193">
        <v>-0.1197165</v>
      </c>
      <c r="N7193">
        <v>-7.1294610000000001E-3</v>
      </c>
      <c r="O7193">
        <v>-0.99278270000000002</v>
      </c>
      <c r="P7193">
        <v>-0.10151399999999999</v>
      </c>
      <c r="Q7193">
        <v>-0.1025269</v>
      </c>
      <c r="R7193">
        <v>-0.989537</v>
      </c>
      <c r="S7193">
        <v>2.0446779999999999E-3</v>
      </c>
      <c r="T7193">
        <v>-0.42783019999999999</v>
      </c>
      <c r="U7193">
        <v>-2.9878849999999999</v>
      </c>
      <c r="V7193">
        <v>-1.7574619999999999E-2</v>
      </c>
      <c r="W7193">
        <v>-9.5453449999999995E-2</v>
      </c>
      <c r="X7193">
        <v>0.99527869999999996</v>
      </c>
      <c r="Y7193">
        <v>-0.1203239</v>
      </c>
      <c r="Z7193">
        <v>0.13264229999999999</v>
      </c>
      <c r="AA7193">
        <v>0.98383339999999997</v>
      </c>
      <c r="AB7193">
        <v>14</v>
      </c>
      <c r="AC7193">
        <v>2.15000000000031E-2</v>
      </c>
      <c r="AD7193">
        <v>-1.1207167483380001</v>
      </c>
      <c r="AE7193">
        <v>-7.6821269999999897</v>
      </c>
      <c r="AF7193">
        <v>-0.92143536202818499</v>
      </c>
      <c r="AG7193">
        <v>-1.1207167483380001</v>
      </c>
      <c r="AH7193">
        <v>7.4654175402826901</v>
      </c>
      <c r="AI7193">
        <v>98.474190847128497</v>
      </c>
      <c r="AJ7193">
        <v>97.036269143728305</v>
      </c>
      <c r="AK7193">
        <v>7.6050975146385698</v>
      </c>
      <c r="AL7193">
        <v>95.477419411978303</v>
      </c>
      <c r="AM7193">
        <v>91.0116230908571</v>
      </c>
      <c r="AN7193">
        <v>0.99999995952936704</v>
      </c>
    </row>
    <row r="7194" spans="1:40" x14ac:dyDescent="0.25">
      <c r="A7194" t="str">
        <f>"20190303154322655"</f>
        <v>20190303154322655</v>
      </c>
      <c r="B7194" t="str">
        <f>"1551599002647233"</f>
        <v>1551599002647233</v>
      </c>
      <c r="C7194" t="s">
        <v>40</v>
      </c>
      <c r="D7194">
        <v>5.9027419999999999</v>
      </c>
      <c r="E7194">
        <v>0.46039380000000002</v>
      </c>
      <c r="F7194" t="s">
        <v>41</v>
      </c>
      <c r="G7194">
        <v>-300.5077</v>
      </c>
      <c r="H7194" s="1">
        <v>-2.6770279999999999E-6</v>
      </c>
      <c r="I7194">
        <v>-14.485519999999999</v>
      </c>
      <c r="J7194">
        <v>-300.5421</v>
      </c>
      <c r="K7194">
        <v>1.120722</v>
      </c>
      <c r="L7194">
        <v>-6.7740479999999996</v>
      </c>
      <c r="M7194">
        <v>-0.1184547</v>
      </c>
      <c r="N7194">
        <v>-7.0012269999999996E-3</v>
      </c>
      <c r="O7194">
        <v>-0.99293500000000001</v>
      </c>
      <c r="P7194">
        <v>-0.1015775</v>
      </c>
      <c r="Q7194">
        <v>-0.10283200000000001</v>
      </c>
      <c r="R7194">
        <v>-0.98949920000000002</v>
      </c>
      <c r="S7194">
        <v>7.3242189999999999E-3</v>
      </c>
      <c r="T7194">
        <v>-0.42664180000000002</v>
      </c>
      <c r="U7194">
        <v>-2.9882810000000002</v>
      </c>
      <c r="V7194">
        <v>-1.6240810000000001E-2</v>
      </c>
      <c r="W7194">
        <v>-9.5885049999999999E-2</v>
      </c>
      <c r="X7194">
        <v>0.99525989999999998</v>
      </c>
      <c r="Y7194">
        <v>-0.1208016</v>
      </c>
      <c r="Z7194">
        <v>0.1323974</v>
      </c>
      <c r="AA7194">
        <v>0.98380789999999996</v>
      </c>
      <c r="AB7194">
        <v>14</v>
      </c>
      <c r="AC7194">
        <v>3.4400000000005003E-2</v>
      </c>
      <c r="AD7194">
        <v>-1.1207246770279999</v>
      </c>
      <c r="AE7194">
        <v>-7.7114719999999997</v>
      </c>
      <c r="AF7194">
        <v>-0.92803896099677496</v>
      </c>
      <c r="AG7194">
        <v>-1.1207246770279999</v>
      </c>
      <c r="AH7194">
        <v>7.4948036527361204</v>
      </c>
      <c r="AI7194">
        <v>98.441100871626801</v>
      </c>
      <c r="AJ7194">
        <v>97.058681572285707</v>
      </c>
      <c r="AK7194">
        <v>7.63474701007795</v>
      </c>
      <c r="AL7194">
        <v>95.502262066048701</v>
      </c>
      <c r="AM7194">
        <v>90.9348787060662</v>
      </c>
      <c r="AN7194">
        <v>0.99999998763548403</v>
      </c>
    </row>
    <row r="7195" spans="1:40" x14ac:dyDescent="0.25">
      <c r="A7195" t="str">
        <f>"20190303154322676"</f>
        <v>20190303154322676</v>
      </c>
      <c r="B7195" t="str">
        <f>"1551599002667729"</f>
        <v>1551599002667729</v>
      </c>
      <c r="C7195" t="s">
        <v>40</v>
      </c>
      <c r="D7195">
        <v>5.8620080000000003</v>
      </c>
      <c r="E7195">
        <v>0.46019979999999999</v>
      </c>
      <c r="F7195" t="s">
        <v>41</v>
      </c>
      <c r="G7195">
        <v>-300.52080000000001</v>
      </c>
      <c r="H7195" s="1">
        <v>-2.6074659999999999E-6</v>
      </c>
      <c r="I7195">
        <v>-14.655849999999999</v>
      </c>
      <c r="J7195">
        <v>-300.5566</v>
      </c>
      <c r="K7195">
        <v>1.120727</v>
      </c>
      <c r="L7195">
        <v>-6.9080510000000004</v>
      </c>
      <c r="M7195">
        <v>-0.117233</v>
      </c>
      <c r="N7195">
        <v>-6.8851229999999999E-3</v>
      </c>
      <c r="O7195">
        <v>-0.99308070000000004</v>
      </c>
      <c r="P7195">
        <v>-0.1015498</v>
      </c>
      <c r="Q7195">
        <v>-0.1030214</v>
      </c>
      <c r="R7195">
        <v>-0.98948190000000003</v>
      </c>
      <c r="S7195">
        <v>8.0566409999999998E-3</v>
      </c>
      <c r="T7195">
        <v>-0.42493839999999999</v>
      </c>
      <c r="U7195">
        <v>-2.9884949999999999</v>
      </c>
      <c r="V7195">
        <v>-1.5040629999999999E-2</v>
      </c>
      <c r="W7195">
        <v>-9.6188880000000004E-2</v>
      </c>
      <c r="X7195">
        <v>0.99524950000000001</v>
      </c>
      <c r="Y7195">
        <v>-0.1198232</v>
      </c>
      <c r="Z7195">
        <v>0.13199559999999999</v>
      </c>
      <c r="AA7195">
        <v>0.98398149999999995</v>
      </c>
      <c r="AB7195">
        <v>14</v>
      </c>
      <c r="AC7195">
        <v>3.5799999999994697E-2</v>
      </c>
      <c r="AD7195">
        <v>-1.120729607466</v>
      </c>
      <c r="AE7195">
        <v>-7.7477989999999997</v>
      </c>
      <c r="AF7195">
        <v>-0.92452783951049899</v>
      </c>
      <c r="AG7195">
        <v>-1.120729607466</v>
      </c>
      <c r="AH7195">
        <v>7.5325658518612997</v>
      </c>
      <c r="AI7195">
        <v>98.400518458096698</v>
      </c>
      <c r="AJ7195">
        <v>96.9973401809319</v>
      </c>
      <c r="AK7195">
        <v>7.67139719293088</v>
      </c>
      <c r="AL7195">
        <v>95.519750768014902</v>
      </c>
      <c r="AM7195">
        <v>90.865812064633104</v>
      </c>
      <c r="AN7195">
        <v>1.0000000442183401</v>
      </c>
    </row>
    <row r="7196" spans="1:40" x14ac:dyDescent="0.25">
      <c r="A7196" t="str">
        <f>"20190303154322697"</f>
        <v>20190303154322697</v>
      </c>
      <c r="B7196" t="str">
        <f>"1551599002687249"</f>
        <v>1551599002687249</v>
      </c>
      <c r="C7196" t="s">
        <v>40</v>
      </c>
      <c r="D7196">
        <v>5.863245</v>
      </c>
      <c r="E7196">
        <v>0.4600534</v>
      </c>
      <c r="F7196" t="s">
        <v>41</v>
      </c>
      <c r="G7196">
        <v>-300.53100000000001</v>
      </c>
      <c r="H7196" s="1">
        <v>-2.5400970000000002E-6</v>
      </c>
      <c r="I7196">
        <v>-14.81921</v>
      </c>
      <c r="J7196">
        <v>-300.57159999999999</v>
      </c>
      <c r="K7196">
        <v>1.120727</v>
      </c>
      <c r="L7196">
        <v>-7.0474240000000004</v>
      </c>
      <c r="M7196">
        <v>-0.11596579999999999</v>
      </c>
      <c r="N7196">
        <v>-6.7770950000000003E-3</v>
      </c>
      <c r="O7196">
        <v>-0.99323019999999995</v>
      </c>
      <c r="P7196">
        <v>-0.10201540000000001</v>
      </c>
      <c r="Q7196">
        <v>-0.1028944</v>
      </c>
      <c r="R7196">
        <v>-0.98944719999999997</v>
      </c>
      <c r="S7196">
        <v>9.6740720000000006E-3</v>
      </c>
      <c r="T7196">
        <v>-0.42340640000000002</v>
      </c>
      <c r="U7196">
        <v>-2.9887999999999999</v>
      </c>
      <c r="V7196">
        <v>-1.33037E-2</v>
      </c>
      <c r="W7196">
        <v>-9.6167370000000002E-2</v>
      </c>
      <c r="X7196">
        <v>0.9952763</v>
      </c>
      <c r="Y7196">
        <v>-0.1190905</v>
      </c>
      <c r="Z7196">
        <v>0.1316348</v>
      </c>
      <c r="AA7196">
        <v>0.98411879999999996</v>
      </c>
      <c r="AB7196">
        <v>14</v>
      </c>
      <c r="AC7196">
        <v>4.0599999999983503E-2</v>
      </c>
      <c r="AD7196">
        <v>-1.1207295400970001</v>
      </c>
      <c r="AE7196">
        <v>-7.7717859999999996</v>
      </c>
      <c r="AF7196">
        <v>-0.92242665932438095</v>
      </c>
      <c r="AG7196">
        <v>-1.1207295400970001</v>
      </c>
      <c r="AH7196">
        <v>7.5574866207522398</v>
      </c>
      <c r="AI7196">
        <v>98.373890297580601</v>
      </c>
      <c r="AJ7196">
        <v>96.958798737409793</v>
      </c>
      <c r="AK7196">
        <v>7.6956162629595504</v>
      </c>
      <c r="AL7196">
        <v>95.518512661202294</v>
      </c>
      <c r="AM7196">
        <v>90.765817963647294</v>
      </c>
      <c r="AN7196">
        <v>1.0000000324140399</v>
      </c>
    </row>
    <row r="7197" spans="1:40" x14ac:dyDescent="0.25">
      <c r="A7197" t="str">
        <f>"20190303154322720"</f>
        <v>20190303154322720</v>
      </c>
      <c r="B7197" t="str">
        <f>"1551599002717504"</f>
        <v>1551599002717504</v>
      </c>
      <c r="C7197" t="s">
        <v>40</v>
      </c>
      <c r="D7197">
        <v>5.8978169999999999</v>
      </c>
      <c r="E7197">
        <v>0.45983740000000001</v>
      </c>
      <c r="F7197" t="s">
        <v>41</v>
      </c>
      <c r="G7197">
        <v>-300.54660000000001</v>
      </c>
      <c r="H7197" s="1">
        <v>-2.4695659999999999E-6</v>
      </c>
      <c r="I7197">
        <v>-14.993259999999999</v>
      </c>
      <c r="J7197">
        <v>-300.58670000000001</v>
      </c>
      <c r="K7197">
        <v>1.1207240000000001</v>
      </c>
      <c r="L7197">
        <v>-7.1897890000000002</v>
      </c>
      <c r="M7197">
        <v>-0.1146732</v>
      </c>
      <c r="N7197">
        <v>-6.6795369999999897E-3</v>
      </c>
      <c r="O7197">
        <v>-0.99338079999999995</v>
      </c>
      <c r="P7197">
        <v>-0.1015356</v>
      </c>
      <c r="Q7197">
        <v>-0.10328660000000001</v>
      </c>
      <c r="R7197">
        <v>-0.98945559999999999</v>
      </c>
      <c r="S7197">
        <v>9.399414E-3</v>
      </c>
      <c r="T7197">
        <v>-0.42160579999999998</v>
      </c>
      <c r="U7197">
        <v>-2.9891359999999998</v>
      </c>
      <c r="V7197">
        <v>-1.2484449999999999E-2</v>
      </c>
      <c r="W7197">
        <v>-9.6656140000000001E-2</v>
      </c>
      <c r="X7197">
        <v>0.9952396</v>
      </c>
      <c r="Y7197">
        <v>-0.1177096</v>
      </c>
      <c r="Z7197">
        <v>0.13118179999999999</v>
      </c>
      <c r="AA7197">
        <v>0.98434540000000004</v>
      </c>
      <c r="AB7197">
        <v>14</v>
      </c>
      <c r="AC7197">
        <v>4.0099999999995299E-2</v>
      </c>
      <c r="AD7197">
        <v>-1.120726469566</v>
      </c>
      <c r="AE7197">
        <v>-7.803471</v>
      </c>
      <c r="AF7197">
        <v>-0.91581495059310902</v>
      </c>
      <c r="AG7197">
        <v>-1.120726469566</v>
      </c>
      <c r="AH7197">
        <v>7.5908254727562303</v>
      </c>
      <c r="AI7197">
        <v>98.338991209365901</v>
      </c>
      <c r="AJ7197">
        <v>96.879349189064897</v>
      </c>
      <c r="AK7197">
        <v>7.7275724649569399</v>
      </c>
      <c r="AL7197">
        <v>95.546647999352103</v>
      </c>
      <c r="AM7197">
        <v>90.7186900308416</v>
      </c>
      <c r="AN7197">
        <v>1.0000000661498201</v>
      </c>
    </row>
    <row r="7198" spans="1:40" x14ac:dyDescent="0.25">
      <c r="A7198" t="str">
        <f>"20190303154322743"</f>
        <v>20190303154322743</v>
      </c>
      <c r="B7198" t="str">
        <f>"1551599002737024"</f>
        <v>1551599002737024</v>
      </c>
      <c r="C7198" t="s">
        <v>40</v>
      </c>
      <c r="D7198">
        <v>5.9482999999999997</v>
      </c>
      <c r="E7198">
        <v>0.45962259999999999</v>
      </c>
      <c r="F7198" t="s">
        <v>41</v>
      </c>
      <c r="G7198">
        <v>-300.55270000000002</v>
      </c>
      <c r="H7198" s="1">
        <v>-2.4073260000000001E-6</v>
      </c>
      <c r="I7198">
        <v>-15.1421299999999</v>
      </c>
      <c r="J7198">
        <v>-300.60219999999998</v>
      </c>
      <c r="K7198">
        <v>1.1207199999999999</v>
      </c>
      <c r="L7198">
        <v>-7.3375849999999998</v>
      </c>
      <c r="M7198">
        <v>-0.1133329</v>
      </c>
      <c r="N7198">
        <v>-6.5906760000000002E-3</v>
      </c>
      <c r="O7198">
        <v>-0.99353530000000001</v>
      </c>
      <c r="P7198">
        <v>-0.100247</v>
      </c>
      <c r="Q7198">
        <v>-0.102997699999999</v>
      </c>
      <c r="R7198">
        <v>-0.98961719999999997</v>
      </c>
      <c r="S7198">
        <v>1.2786870000000001E-2</v>
      </c>
      <c r="T7198">
        <v>-0.42128589999999999</v>
      </c>
      <c r="U7198">
        <v>-2.9893190000000001</v>
      </c>
      <c r="V7198">
        <v>-1.243913E-2</v>
      </c>
      <c r="W7198">
        <v>-9.6455659999999999E-2</v>
      </c>
      <c r="X7198">
        <v>0.99525949999999996</v>
      </c>
      <c r="Y7198">
        <v>-0.1174861</v>
      </c>
      <c r="Z7198">
        <v>0.13119220000000001</v>
      </c>
      <c r="AA7198">
        <v>0.98437070000000004</v>
      </c>
      <c r="AB7198">
        <v>14</v>
      </c>
      <c r="AC7198">
        <v>4.94999999999663E-2</v>
      </c>
      <c r="AD7198">
        <v>-1.120722407326</v>
      </c>
      <c r="AE7198">
        <v>-7.8045449999999903</v>
      </c>
      <c r="AF7198">
        <v>-0.91484797306047805</v>
      </c>
      <c r="AG7198">
        <v>-1.120722407326</v>
      </c>
      <c r="AH7198">
        <v>7.5921013344353199</v>
      </c>
      <c r="AI7198">
        <v>98.337723977912106</v>
      </c>
      <c r="AJ7198">
        <v>96.871011187786095</v>
      </c>
      <c r="AK7198">
        <v>7.7287106428194097</v>
      </c>
      <c r="AL7198">
        <v>95.535108068274297</v>
      </c>
      <c r="AM7198">
        <v>90.716067058518504</v>
      </c>
      <c r="AN7198">
        <v>0.99999994932071901</v>
      </c>
    </row>
    <row r="7199" spans="1:40" x14ac:dyDescent="0.25">
      <c r="A7199" t="str">
        <f>"20190303154322765"</f>
        <v>20190303154322765</v>
      </c>
      <c r="B7199" t="str">
        <f>"1551599002757520"</f>
        <v>1551599002757520</v>
      </c>
      <c r="C7199" t="s">
        <v>40</v>
      </c>
      <c r="D7199">
        <v>5.8559929999999998</v>
      </c>
      <c r="E7199">
        <v>0.45948539999999999</v>
      </c>
      <c r="F7199" t="s">
        <v>41</v>
      </c>
      <c r="G7199">
        <v>-300.5532</v>
      </c>
      <c r="H7199" s="1">
        <v>-2.3268630000000002E-6</v>
      </c>
      <c r="I7199">
        <v>-15.330030000000001</v>
      </c>
      <c r="J7199">
        <v>-300.61680000000001</v>
      </c>
      <c r="K7199">
        <v>1.1207210000000001</v>
      </c>
      <c r="L7199">
        <v>-7.4785769999999996</v>
      </c>
      <c r="M7199">
        <v>-0.1120546</v>
      </c>
      <c r="N7199">
        <v>-6.5164659999999899E-3</v>
      </c>
      <c r="O7199">
        <v>-0.99368080000000003</v>
      </c>
      <c r="P7199">
        <v>-9.8337820000000006E-2</v>
      </c>
      <c r="Q7199">
        <v>-0.10217569999999999</v>
      </c>
      <c r="R7199">
        <v>-0.98989400000000005</v>
      </c>
      <c r="S7199">
        <v>1.8310549999999998E-2</v>
      </c>
      <c r="T7199">
        <v>-0.4192263</v>
      </c>
      <c r="U7199">
        <v>-2.989716</v>
      </c>
      <c r="V7199">
        <v>-1.3087400000000001E-2</v>
      </c>
      <c r="W7199">
        <v>-9.5708070000000006E-2</v>
      </c>
      <c r="X7199">
        <v>0.99532339999999997</v>
      </c>
      <c r="Y7199">
        <v>-0.1180277</v>
      </c>
      <c r="Z7199">
        <v>0.13061120000000001</v>
      </c>
      <c r="AA7199">
        <v>0.98438320000000001</v>
      </c>
      <c r="AB7199">
        <v>14</v>
      </c>
      <c r="AC7199">
        <v>6.3600000000008095E-2</v>
      </c>
      <c r="AD7199">
        <v>-1.1207233268629999</v>
      </c>
      <c r="AE7199">
        <v>-7.8514529999999896</v>
      </c>
      <c r="AF7199">
        <v>-0.92418053275019896</v>
      </c>
      <c r="AG7199">
        <v>-1.1207233268629999</v>
      </c>
      <c r="AH7199">
        <v>7.6392370996805701</v>
      </c>
      <c r="AI7199">
        <v>98.286536762273897</v>
      </c>
      <c r="AJ7199">
        <v>96.898013528165805</v>
      </c>
      <c r="AK7199">
        <v>7.7761220346407498</v>
      </c>
      <c r="AL7199">
        <v>95.492074980300202</v>
      </c>
      <c r="AM7199">
        <v>90.753332609707698</v>
      </c>
      <c r="AN7199">
        <v>0.99999999264472195</v>
      </c>
    </row>
    <row r="7200" spans="1:40" x14ac:dyDescent="0.25">
      <c r="A7200" t="str">
        <f>"20190303154322787"</f>
        <v>20190303154322787</v>
      </c>
      <c r="B7200" t="str">
        <f>"1551599002777041"</f>
        <v>1551599002777041</v>
      </c>
      <c r="C7200" t="s">
        <v>40</v>
      </c>
      <c r="D7200">
        <v>5.953392</v>
      </c>
      <c r="E7200">
        <v>0.45960139999999999</v>
      </c>
      <c r="F7200" t="s">
        <v>41</v>
      </c>
      <c r="G7200">
        <v>-300.5487</v>
      </c>
      <c r="H7200" s="1">
        <v>-2.22416E-6</v>
      </c>
      <c r="I7200">
        <v>-15.566599999999999</v>
      </c>
      <c r="J7200">
        <v>-300.63189999999997</v>
      </c>
      <c r="K7200">
        <v>1.1207279999999999</v>
      </c>
      <c r="L7200">
        <v>-7.627167</v>
      </c>
      <c r="M7200">
        <v>-0.1107081</v>
      </c>
      <c r="N7200">
        <v>-6.4486719999999999E-3</v>
      </c>
      <c r="O7200">
        <v>-0.99383220000000005</v>
      </c>
      <c r="P7200">
        <v>-9.6260760000000001E-2</v>
      </c>
      <c r="Q7200">
        <v>-0.10143199999999999</v>
      </c>
      <c r="R7200">
        <v>-0.99017469999999996</v>
      </c>
      <c r="S7200">
        <v>2.5177000000000001E-2</v>
      </c>
      <c r="T7200">
        <v>-0.41436089999999998</v>
      </c>
      <c r="U7200">
        <v>-2.9903559999999998</v>
      </c>
      <c r="V7200">
        <v>-1.383438E-2</v>
      </c>
      <c r="W7200">
        <v>-9.5032640000000002E-2</v>
      </c>
      <c r="X7200">
        <v>0.99537799999999999</v>
      </c>
      <c r="Y7200">
        <v>-0.1189436</v>
      </c>
      <c r="Z7200">
        <v>0.12910930000000001</v>
      </c>
      <c r="AA7200">
        <v>0.98447099999999998</v>
      </c>
      <c r="AB7200">
        <v>15</v>
      </c>
      <c r="AC7200">
        <v>8.3199999999976598E-2</v>
      </c>
      <c r="AD7200">
        <v>-1.1207302241599999</v>
      </c>
      <c r="AE7200">
        <v>-7.9394329999999904</v>
      </c>
      <c r="AF7200">
        <v>-0.94288032505373198</v>
      </c>
      <c r="AG7200">
        <v>-1.1207302241599999</v>
      </c>
      <c r="AH7200">
        <v>7.7274544676048498</v>
      </c>
      <c r="AI7200">
        <v>98.1922730469106</v>
      </c>
      <c r="AJ7200">
        <v>96.956667596538793</v>
      </c>
      <c r="AK7200">
        <v>7.8650246084564399</v>
      </c>
      <c r="AL7200">
        <v>95.453198567510697</v>
      </c>
      <c r="AM7200">
        <v>90.796280963443806</v>
      </c>
      <c r="AN7200">
        <v>0.99999997780967598</v>
      </c>
    </row>
    <row r="7201" spans="1:40" x14ac:dyDescent="0.25">
      <c r="A7201" t="str">
        <f>"20190303154322810"</f>
        <v>20190303154322810</v>
      </c>
      <c r="B7201" t="str">
        <f>"1551599002797536"</f>
        <v>1551599002797536</v>
      </c>
      <c r="C7201" t="s">
        <v>40</v>
      </c>
      <c r="D7201">
        <v>5.8584069999999997</v>
      </c>
      <c r="E7201">
        <v>0.47253499999999998</v>
      </c>
      <c r="F7201" t="s">
        <v>41</v>
      </c>
      <c r="G7201">
        <v>-300.54899999999998</v>
      </c>
      <c r="H7201" s="1">
        <v>-2.1280479999999998E-6</v>
      </c>
      <c r="I7201">
        <v>-15.79086</v>
      </c>
      <c r="J7201">
        <v>-300.6465</v>
      </c>
      <c r="K7201">
        <v>1.1207339999999999</v>
      </c>
      <c r="L7201">
        <v>-7.7714229999999898</v>
      </c>
      <c r="M7201">
        <v>-0.1094009</v>
      </c>
      <c r="N7201">
        <v>-6.3920579999999999E-3</v>
      </c>
      <c r="O7201">
        <v>-0.99397740000000001</v>
      </c>
      <c r="P7201">
        <v>-9.4114439999999994E-2</v>
      </c>
      <c r="Q7201">
        <v>-0.1013329</v>
      </c>
      <c r="R7201">
        <v>-0.99039109999999997</v>
      </c>
      <c r="S7201">
        <v>3.0364990000000001E-2</v>
      </c>
      <c r="T7201">
        <v>-0.41056490000000001</v>
      </c>
      <c r="U7201">
        <v>-2.9906619999999999</v>
      </c>
      <c r="V7201">
        <v>-1.46807E-2</v>
      </c>
      <c r="W7201">
        <v>-9.4991199999999998E-2</v>
      </c>
      <c r="X7201">
        <v>0.99536990000000003</v>
      </c>
      <c r="Y7201">
        <v>-0.11934690000000001</v>
      </c>
      <c r="Z7201">
        <v>0.12795699999999999</v>
      </c>
      <c r="AA7201">
        <v>0.98457260000000002</v>
      </c>
      <c r="AB7201">
        <v>15</v>
      </c>
      <c r="AC7201">
        <v>9.7499999999968098E-2</v>
      </c>
      <c r="AD7201">
        <v>-1.1207361280479999</v>
      </c>
      <c r="AE7201">
        <v>-8.0194369999999999</v>
      </c>
      <c r="AF7201">
        <v>-0.95560515843546001</v>
      </c>
      <c r="AG7201">
        <v>-1.1207361280479999</v>
      </c>
      <c r="AH7201">
        <v>7.80815660507362</v>
      </c>
      <c r="AI7201">
        <v>98.108419769104401</v>
      </c>
      <c r="AJ7201">
        <v>96.977474054682602</v>
      </c>
      <c r="AK7201">
        <v>7.9458505055717801</v>
      </c>
      <c r="AL7201">
        <v>95.450813076137393</v>
      </c>
      <c r="AM7201">
        <v>90.844993571020098</v>
      </c>
      <c r="AN7201">
        <v>1.00000004442796</v>
      </c>
    </row>
    <row r="7202" spans="1:40" x14ac:dyDescent="0.25">
      <c r="A7202" t="str">
        <f>"20190303154322836"</f>
        <v>20190303154322836</v>
      </c>
      <c r="B7202" t="str">
        <f>"1551599002827793"</f>
        <v>1551599002827793</v>
      </c>
      <c r="C7202" t="s">
        <v>40</v>
      </c>
      <c r="D7202">
        <v>5.8727619999999998</v>
      </c>
      <c r="E7202">
        <v>0.47318729999999998</v>
      </c>
      <c r="F7202" t="s">
        <v>41</v>
      </c>
      <c r="G7202">
        <v>-300.86799999999999</v>
      </c>
      <c r="H7202" s="1">
        <v>-1.2502130000000001E-6</v>
      </c>
      <c r="I7202">
        <v>-18.034990000000001</v>
      </c>
      <c r="J7202">
        <v>-300.66329999999999</v>
      </c>
      <c r="K7202">
        <v>1.1207370000000001</v>
      </c>
      <c r="L7202">
        <v>-7.9403689999999996</v>
      </c>
      <c r="M7202">
        <v>-0.1078702</v>
      </c>
      <c r="N7202">
        <v>-6.3352590000000002E-3</v>
      </c>
      <c r="O7202">
        <v>-0.9941449</v>
      </c>
      <c r="P7202">
        <v>-9.1735410000000003E-2</v>
      </c>
      <c r="Q7202">
        <v>-0.100993</v>
      </c>
      <c r="R7202">
        <v>-0.990649</v>
      </c>
      <c r="S7202">
        <v>-6.4544679999999993E-2</v>
      </c>
      <c r="T7202">
        <v>-0.32644679999999998</v>
      </c>
      <c r="U7202">
        <v>-2.989563</v>
      </c>
      <c r="V7202">
        <v>-1.5540669999999999E-2</v>
      </c>
      <c r="W7202">
        <v>-9.4709169999999995E-2</v>
      </c>
      <c r="X7202">
        <v>0.99538369999999998</v>
      </c>
      <c r="Y7202">
        <v>-8.6466609999999999E-2</v>
      </c>
      <c r="Z7202">
        <v>0.1010944</v>
      </c>
      <c r="AA7202">
        <v>0.9911122</v>
      </c>
      <c r="AB7202">
        <v>15</v>
      </c>
      <c r="AC7202">
        <v>-0.20470000000000199</v>
      </c>
      <c r="AD7202">
        <v>-1.1207382502130001</v>
      </c>
      <c r="AE7202">
        <v>-10.094621</v>
      </c>
      <c r="AF7202">
        <v>-0.87464836823442005</v>
      </c>
      <c r="AG7202">
        <v>-1.1207382502130001</v>
      </c>
      <c r="AH7202">
        <v>9.9353829216179896</v>
      </c>
      <c r="AI7202">
        <v>96.411326081459094</v>
      </c>
      <c r="AJ7202">
        <v>95.030988740523895</v>
      </c>
      <c r="AK7202">
        <v>10.0365779921606</v>
      </c>
      <c r="AL7202">
        <v>95.434580872859499</v>
      </c>
      <c r="AM7202">
        <v>90.894471613190902</v>
      </c>
      <c r="AN7202">
        <v>1.00000002476591</v>
      </c>
    </row>
    <row r="7203" spans="1:40" x14ac:dyDescent="0.25">
      <c r="A7203" t="str">
        <f>"20190303154322855"</f>
        <v>20190303154322855</v>
      </c>
      <c r="B7203" t="str">
        <f>"1551599002847312"</f>
        <v>1551599002847312</v>
      </c>
      <c r="C7203" t="s">
        <v>40</v>
      </c>
      <c r="D7203">
        <v>5.8881119999999996</v>
      </c>
      <c r="E7203">
        <v>0.47390579999999999</v>
      </c>
      <c r="F7203" t="s">
        <v>41</v>
      </c>
      <c r="G7203">
        <v>-300.87630000000001</v>
      </c>
      <c r="H7203" s="1">
        <v>-1.217353E-6</v>
      </c>
      <c r="I7203">
        <v>-18.116679999999999</v>
      </c>
      <c r="J7203">
        <v>-300.67630000000003</v>
      </c>
      <c r="K7203">
        <v>1.1207419999999999</v>
      </c>
      <c r="L7203">
        <v>-8.0735169999999901</v>
      </c>
      <c r="M7203">
        <v>-0.1066633</v>
      </c>
      <c r="N7203">
        <v>-6.2973489999999998E-3</v>
      </c>
      <c r="O7203">
        <v>-0.99427549999999998</v>
      </c>
      <c r="P7203">
        <v>-9.0204720000000002E-2</v>
      </c>
      <c r="Q7203">
        <v>-0.10046389999999999</v>
      </c>
      <c r="R7203">
        <v>-0.99084340000000004</v>
      </c>
      <c r="S7203">
        <v>-6.2561039999999998E-2</v>
      </c>
      <c r="T7203">
        <v>-0.32917929999999901</v>
      </c>
      <c r="U7203">
        <v>-2.988953</v>
      </c>
      <c r="V7203">
        <v>-1.587508E-2</v>
      </c>
      <c r="W7203">
        <v>-9.4218150000000001E-2</v>
      </c>
      <c r="X7203">
        <v>0.995425</v>
      </c>
      <c r="Y7203">
        <v>-8.5912530000000001E-2</v>
      </c>
      <c r="Z7203">
        <v>0.10206709999999999</v>
      </c>
      <c r="AA7203">
        <v>0.99106070000000002</v>
      </c>
      <c r="AB7203">
        <v>15</v>
      </c>
      <c r="AC7203">
        <v>-0.19999999999998799</v>
      </c>
      <c r="AD7203">
        <v>-1.1207432173530001</v>
      </c>
      <c r="AE7203">
        <v>-10.043163</v>
      </c>
      <c r="AF7203">
        <v>-0.86167280504197197</v>
      </c>
      <c r="AG7203">
        <v>-1.1207432173530001</v>
      </c>
      <c r="AH7203">
        <v>9.8841616823183198</v>
      </c>
      <c r="AI7203">
        <v>96.444775966304903</v>
      </c>
      <c r="AJ7203">
        <v>94.982285305953894</v>
      </c>
      <c r="AK7203">
        <v>9.9847482464207093</v>
      </c>
      <c r="AL7203">
        <v>95.406321241851103</v>
      </c>
      <c r="AM7203">
        <v>90.913678058524397</v>
      </c>
      <c r="AN7203">
        <v>1.0000000042897099</v>
      </c>
    </row>
    <row r="7204" spans="1:40" x14ac:dyDescent="0.25">
      <c r="A7204" t="str">
        <f>"20190303154322878"</f>
        <v>20190303154322878</v>
      </c>
      <c r="B7204" t="str">
        <f>"1551599002867338"</f>
        <v>1551599002867338</v>
      </c>
      <c r="C7204" t="s">
        <v>40</v>
      </c>
      <c r="D7204">
        <v>5.8563559999999999</v>
      </c>
      <c r="E7204">
        <v>0.47439140000000002</v>
      </c>
      <c r="F7204" t="s">
        <v>41</v>
      </c>
      <c r="G7204">
        <v>-300.89550000000003</v>
      </c>
      <c r="H7204" s="1">
        <v>-1.107231E-6</v>
      </c>
      <c r="I7204">
        <v>-18.385290000000001</v>
      </c>
      <c r="J7204">
        <v>-300.6909</v>
      </c>
      <c r="K7204">
        <v>1.1207450000000001</v>
      </c>
      <c r="L7204">
        <v>-8.2240909999999996</v>
      </c>
      <c r="M7204">
        <v>-0.10529860000000001</v>
      </c>
      <c r="N7204">
        <v>-6.2604409999999899E-3</v>
      </c>
      <c r="O7204">
        <v>-0.99442109999999995</v>
      </c>
      <c r="P7204">
        <v>-8.847468E-2</v>
      </c>
      <c r="Q7204">
        <v>-9.89033E-2</v>
      </c>
      <c r="R7204">
        <v>-0.99115629999999999</v>
      </c>
      <c r="S7204">
        <v>-6.35376E-2</v>
      </c>
      <c r="T7204">
        <v>-0.32486340000000002</v>
      </c>
      <c r="U7204">
        <v>-2.9890140000000001</v>
      </c>
      <c r="V7204">
        <v>-1.626331E-2</v>
      </c>
      <c r="W7204">
        <v>-9.2694250000000006E-2</v>
      </c>
      <c r="X7204">
        <v>0.99556180000000005</v>
      </c>
      <c r="Y7204">
        <v>-8.4220139999999999E-2</v>
      </c>
      <c r="Z7204">
        <v>0.1007281</v>
      </c>
      <c r="AA7204">
        <v>0.99134299999999997</v>
      </c>
      <c r="AB7204">
        <v>15</v>
      </c>
      <c r="AC7204">
        <v>-0.20460000000002701</v>
      </c>
      <c r="AD7204">
        <v>-1.1207461072310001</v>
      </c>
      <c r="AE7204">
        <v>-10.1611989999999</v>
      </c>
      <c r="AF7204">
        <v>-0.85610768974749096</v>
      </c>
      <c r="AG7204">
        <v>-1.1207461072310001</v>
      </c>
      <c r="AH7204">
        <v>10.004591619137599</v>
      </c>
      <c r="AI7204">
        <v>96.368724022075497</v>
      </c>
      <c r="AJ7204">
        <v>94.890969741359896</v>
      </c>
      <c r="AK7204">
        <v>10.103506603107499</v>
      </c>
      <c r="AL7204">
        <v>95.318624358224795</v>
      </c>
      <c r="AM7204">
        <v>90.935889815343401</v>
      </c>
      <c r="AN7204">
        <v>1.00000000842722</v>
      </c>
    </row>
    <row r="7205" spans="1:40" x14ac:dyDescent="0.25">
      <c r="A7205" t="str">
        <f>"20190303154322899"</f>
        <v>20190303154322899</v>
      </c>
      <c r="B7205" t="str">
        <f>"1551599002887834"</f>
        <v>1551599002887834</v>
      </c>
      <c r="C7205" t="s">
        <v>40</v>
      </c>
      <c r="D7205">
        <v>5.8656839999999999</v>
      </c>
      <c r="E7205">
        <v>0.4745181</v>
      </c>
      <c r="F7205" t="s">
        <v>41</v>
      </c>
      <c r="G7205">
        <v>-300.90949999999998</v>
      </c>
      <c r="H7205" s="1">
        <v>-9.6362430000000003E-7</v>
      </c>
      <c r="I7205">
        <v>-18.728750000000002</v>
      </c>
      <c r="J7205">
        <v>-300.7047</v>
      </c>
      <c r="K7205">
        <v>1.1207499999999999</v>
      </c>
      <c r="L7205">
        <v>-8.3698429999999995</v>
      </c>
      <c r="M7205">
        <v>-0.1039783</v>
      </c>
      <c r="N7205">
        <v>-6.2299679999999998E-3</v>
      </c>
      <c r="O7205">
        <v>-0.99456040000000001</v>
      </c>
      <c r="P7205">
        <v>-8.7032470000000001E-2</v>
      </c>
      <c r="Q7205">
        <v>-9.7909880000000005E-2</v>
      </c>
      <c r="R7205">
        <v>-0.99138280000000001</v>
      </c>
      <c r="S7205">
        <v>-6.2225339999999997E-2</v>
      </c>
      <c r="T7205">
        <v>-0.31893779999999999</v>
      </c>
      <c r="U7205">
        <v>-2.9893800000000001</v>
      </c>
      <c r="V7205">
        <v>-1.63995999999999E-2</v>
      </c>
      <c r="W7205">
        <v>-9.1731060000000003E-2</v>
      </c>
      <c r="X7205">
        <v>0.99564870000000005</v>
      </c>
      <c r="Y7205">
        <v>-8.3331760000000005E-2</v>
      </c>
      <c r="Z7205">
        <v>9.8841929999999995E-2</v>
      </c>
      <c r="AA7205">
        <v>0.99160780000000004</v>
      </c>
      <c r="AB7205">
        <v>15</v>
      </c>
      <c r="AC7205">
        <v>-0.204799999999977</v>
      </c>
      <c r="AD7205">
        <v>-1.1207509636242901</v>
      </c>
      <c r="AE7205">
        <v>-10.358907</v>
      </c>
      <c r="AF7205">
        <v>-0.86333044382727397</v>
      </c>
      <c r="AG7205">
        <v>-1.1207509636242901</v>
      </c>
      <c r="AH7205">
        <v>10.204646316321501</v>
      </c>
      <c r="AI7205">
        <v>96.245400419163104</v>
      </c>
      <c r="AJ7205">
        <v>94.835805045923806</v>
      </c>
      <c r="AK7205">
        <v>10.302243863300699</v>
      </c>
      <c r="AL7205">
        <v>95.2632018891249</v>
      </c>
      <c r="AM7205">
        <v>90.943649004895704</v>
      </c>
      <c r="AN7205">
        <v>0.99999993403028398</v>
      </c>
    </row>
    <row r="7206" spans="1:40" x14ac:dyDescent="0.25">
      <c r="A7206" t="str">
        <f>"20190303154322922"</f>
        <v>20190303154322922</v>
      </c>
      <c r="B7206" t="str">
        <f>"1551599002917114"</f>
        <v>1551599002917114</v>
      </c>
      <c r="C7206" t="s">
        <v>40</v>
      </c>
      <c r="D7206">
        <v>5.8369970000000002</v>
      </c>
      <c r="E7206">
        <v>0.4749681</v>
      </c>
      <c r="F7206" t="s">
        <v>41</v>
      </c>
      <c r="G7206">
        <v>-300.91419999999999</v>
      </c>
      <c r="H7206" s="1">
        <v>-8.5451819999999999E-7</v>
      </c>
      <c r="I7206">
        <v>-18.985980000000001</v>
      </c>
      <c r="J7206">
        <v>-300.71910000000003</v>
      </c>
      <c r="K7206">
        <v>1.1207510000000001</v>
      </c>
      <c r="L7206">
        <v>-8.5227970000000006</v>
      </c>
      <c r="M7206">
        <v>-0.10259219999999999</v>
      </c>
      <c r="N7206">
        <v>-6.2028480000000004E-3</v>
      </c>
      <c r="O7206">
        <v>-0.99470440000000004</v>
      </c>
      <c r="P7206">
        <v>-8.6161810000000005E-2</v>
      </c>
      <c r="Q7206">
        <v>-9.7326529999999994E-2</v>
      </c>
      <c r="R7206">
        <v>-0.99151610000000001</v>
      </c>
      <c r="S7206">
        <v>-5.8990479999999998E-2</v>
      </c>
      <c r="T7206">
        <v>-0.31562590000000001</v>
      </c>
      <c r="U7206">
        <v>-2.989716</v>
      </c>
      <c r="V7206">
        <v>-1.5891470000000001E-2</v>
      </c>
      <c r="W7206">
        <v>-9.1173920000000006E-2</v>
      </c>
      <c r="X7206">
        <v>0.99570820000000004</v>
      </c>
      <c r="Y7206">
        <v>-8.3016380000000001E-2</v>
      </c>
      <c r="Z7206">
        <v>9.7802669999999994E-2</v>
      </c>
      <c r="AA7206">
        <v>0.99173730000000004</v>
      </c>
      <c r="AB7206">
        <v>15</v>
      </c>
      <c r="AC7206">
        <v>-0.19509999999996799</v>
      </c>
      <c r="AD7206">
        <v>-1.1207518545182</v>
      </c>
      <c r="AE7206">
        <v>-10.4631829999999</v>
      </c>
      <c r="AF7206">
        <v>-0.86941913477287702</v>
      </c>
      <c r="AG7206">
        <v>-1.1207518545182</v>
      </c>
      <c r="AH7206">
        <v>10.309741578616</v>
      </c>
      <c r="AI7206">
        <v>96.182376393031802</v>
      </c>
      <c r="AJ7206">
        <v>94.820340388325803</v>
      </c>
      <c r="AK7206">
        <v>10.406860514543199</v>
      </c>
      <c r="AL7206">
        <v>95.231145326599105</v>
      </c>
      <c r="AM7206">
        <v>90.914361119235195</v>
      </c>
      <c r="AN7206">
        <v>1.0000000210270801</v>
      </c>
    </row>
    <row r="7207" spans="1:40" x14ac:dyDescent="0.25">
      <c r="A7207" t="str">
        <f>"20190303154323078"</f>
        <v>20190303154323078</v>
      </c>
      <c r="B7207" t="str">
        <f>"1551599003067457"</f>
        <v>1551599003067457</v>
      </c>
      <c r="C7207" t="s">
        <v>40</v>
      </c>
      <c r="D7207">
        <v>6.0454840000000001</v>
      </c>
      <c r="E7207">
        <v>0.4754352</v>
      </c>
      <c r="F7207" t="s">
        <v>41</v>
      </c>
      <c r="G7207">
        <v>-300.93279999999999</v>
      </c>
      <c r="H7207" s="1">
        <v>-7.8376669999999897E-7</v>
      </c>
      <c r="I7207">
        <v>-19.162469999999999</v>
      </c>
      <c r="J7207">
        <v>-300.81610000000001</v>
      </c>
      <c r="K7207">
        <v>1.1207800000000001</v>
      </c>
      <c r="L7207">
        <v>-9.622223</v>
      </c>
      <c r="M7207">
        <v>-9.2640700000000006E-2</v>
      </c>
      <c r="N7207">
        <v>-6.1098360000000004E-3</v>
      </c>
      <c r="O7207">
        <v>-0.99568069999999997</v>
      </c>
      <c r="P7207">
        <v>-7.6586000000000001E-2</v>
      </c>
      <c r="Q7207">
        <v>-9.5929029999999998E-2</v>
      </c>
      <c r="R7207">
        <v>-0.99243720000000002</v>
      </c>
      <c r="S7207">
        <v>-6.0058590000000002E-2</v>
      </c>
      <c r="T7207">
        <v>-0.31490839999999998</v>
      </c>
      <c r="U7207">
        <v>-2.9895320000000001</v>
      </c>
      <c r="V7207">
        <v>-1.5550039999999999E-2</v>
      </c>
      <c r="W7207">
        <v>-8.9869850000000001E-2</v>
      </c>
      <c r="X7207">
        <v>0.9958321</v>
      </c>
      <c r="Y7207">
        <v>-7.269602E-2</v>
      </c>
      <c r="Z7207">
        <v>9.7861859999999995E-2</v>
      </c>
      <c r="AA7207">
        <v>0.99254140000000002</v>
      </c>
      <c r="AB7207">
        <v>16</v>
      </c>
      <c r="AC7207">
        <v>-0.11669999999998</v>
      </c>
      <c r="AD7207">
        <v>-1.1207807837667001</v>
      </c>
      <c r="AE7207">
        <v>-9.5402470000000008</v>
      </c>
      <c r="AF7207">
        <v>-0.75718504573152501</v>
      </c>
      <c r="AG7207">
        <v>-1.1207807837667001</v>
      </c>
      <c r="AH7207">
        <v>9.3805844592748606</v>
      </c>
      <c r="AI7207">
        <v>96.791450374362995</v>
      </c>
      <c r="AJ7207">
        <v>94.614814061720395</v>
      </c>
      <c r="AK7207">
        <v>9.4775969294082802</v>
      </c>
      <c r="AL7207">
        <v>95.156119793863994</v>
      </c>
      <c r="AM7207">
        <v>90.894607895912998</v>
      </c>
      <c r="AN7207">
        <v>0.99999998253671696</v>
      </c>
    </row>
    <row r="7208" spans="1:40" x14ac:dyDescent="0.25">
      <c r="A7208" t="str">
        <f>"20190303154323100"</f>
        <v>20190303154323100</v>
      </c>
      <c r="B7208" t="str">
        <f>"1551599003097713"</f>
        <v>1551599003097713</v>
      </c>
      <c r="C7208" t="s">
        <v>40</v>
      </c>
      <c r="D7208">
        <v>5.7602060000000002</v>
      </c>
      <c r="E7208">
        <v>0.47683789999999998</v>
      </c>
      <c r="F7208" t="s">
        <v>41</v>
      </c>
      <c r="G7208">
        <v>-300.94310000000002</v>
      </c>
      <c r="H7208" s="1">
        <v>-4.3751720000000001E-6</v>
      </c>
      <c r="I7208">
        <v>-20.648160000000001</v>
      </c>
      <c r="J7208">
        <v>-300.82909999999998</v>
      </c>
      <c r="K7208">
        <v>1.1207860000000001</v>
      </c>
      <c r="L7208">
        <v>-9.7797239999999999</v>
      </c>
      <c r="M7208">
        <v>-9.1216720000000001E-2</v>
      </c>
      <c r="N7208">
        <v>-6.10678E-3</v>
      </c>
      <c r="O7208">
        <v>-0.99581240000000004</v>
      </c>
      <c r="P7208">
        <v>-7.5615189999999999E-2</v>
      </c>
      <c r="Q7208">
        <v>-9.6583680000000005E-2</v>
      </c>
      <c r="R7208">
        <v>-0.99244869999999996</v>
      </c>
      <c r="S7208">
        <v>-3.4454350000000002E-2</v>
      </c>
      <c r="T7208">
        <v>-0.30401549999999999</v>
      </c>
      <c r="U7208">
        <v>-2.9908139999999999</v>
      </c>
      <c r="V7208">
        <v>-1.509186E-2</v>
      </c>
      <c r="W7208">
        <v>-9.0527449999999995E-2</v>
      </c>
      <c r="X7208">
        <v>0.99577959999999999</v>
      </c>
      <c r="Y7208">
        <v>-7.9765630000000004E-2</v>
      </c>
      <c r="Z7208">
        <v>9.4258949999999994E-2</v>
      </c>
      <c r="AA7208">
        <v>0.99234710000000004</v>
      </c>
      <c r="AB7208">
        <v>16</v>
      </c>
      <c r="AC7208">
        <v>-0.11400000000003201</v>
      </c>
      <c r="AD7208">
        <v>-1.1207903751719901</v>
      </c>
      <c r="AE7208">
        <v>-10.868436000000001</v>
      </c>
      <c r="AF7208">
        <v>-0.86864029898052897</v>
      </c>
      <c r="AG7208">
        <v>-1.1207903751719901</v>
      </c>
      <c r="AH7208">
        <v>10.7195396330074</v>
      </c>
      <c r="AI7208">
        <v>95.949559220648993</v>
      </c>
      <c r="AJ7208">
        <v>94.632746977281101</v>
      </c>
      <c r="AK7208">
        <v>10.8129199098905</v>
      </c>
      <c r="AL7208">
        <v>95.193951632020898</v>
      </c>
      <c r="AM7208">
        <v>90.868298251168</v>
      </c>
      <c r="AN7208">
        <v>0.99999999760896097</v>
      </c>
    </row>
    <row r="7209" spans="1:40" x14ac:dyDescent="0.25">
      <c r="A7209" t="str">
        <f>"20190303154323123"</f>
        <v>20190303154323123</v>
      </c>
      <c r="B7209" t="str">
        <f>"1551599003117232"</f>
        <v>1551599003117232</v>
      </c>
      <c r="C7209" t="s">
        <v>40</v>
      </c>
      <c r="D7209">
        <v>5.7873000000000001</v>
      </c>
      <c r="E7209">
        <v>0.47665299999999999</v>
      </c>
      <c r="F7209" t="s">
        <v>41</v>
      </c>
      <c r="G7209">
        <v>-300.99329999999998</v>
      </c>
      <c r="H7209" s="1">
        <v>-4.169282E-6</v>
      </c>
      <c r="I7209">
        <v>-21.27936</v>
      </c>
      <c r="J7209">
        <v>-300.84230000000002</v>
      </c>
      <c r="K7209">
        <v>1.1207929999999999</v>
      </c>
      <c r="L7209">
        <v>-9.9422610000000002</v>
      </c>
      <c r="M7209">
        <v>-8.9747270000000004E-2</v>
      </c>
      <c r="N7209">
        <v>-6.1054730000000001E-3</v>
      </c>
      <c r="O7209">
        <v>-0.99594579999999999</v>
      </c>
      <c r="P7209">
        <v>-7.4065800000000001E-2</v>
      </c>
      <c r="Q7209">
        <v>-9.6212790000000006E-2</v>
      </c>
      <c r="R7209">
        <v>-0.99260099999999996</v>
      </c>
      <c r="S7209">
        <v>-4.2724610000000003E-2</v>
      </c>
      <c r="T7209">
        <v>-0.29153250000000003</v>
      </c>
      <c r="U7209">
        <v>-2.9912109999999998</v>
      </c>
      <c r="V7209">
        <v>-1.5178789999999999E-2</v>
      </c>
      <c r="W7209">
        <v>-9.0158130000000003E-2</v>
      </c>
      <c r="X7209">
        <v>0.99581180000000002</v>
      </c>
      <c r="Y7209">
        <v>-7.554951E-2</v>
      </c>
      <c r="Z7209">
        <v>9.0199340000000003E-2</v>
      </c>
      <c r="AA7209">
        <v>0.99305399999999999</v>
      </c>
      <c r="AB7209">
        <v>16</v>
      </c>
      <c r="AC7209">
        <v>-0.15099999999995301</v>
      </c>
      <c r="AD7209">
        <v>-1.120797169282</v>
      </c>
      <c r="AE7209">
        <v>-11.337099</v>
      </c>
      <c r="AF7209">
        <v>-0.85871095619676596</v>
      </c>
      <c r="AG7209">
        <v>-1.120797169282</v>
      </c>
      <c r="AH7209">
        <v>11.1954995026984</v>
      </c>
      <c r="AI7209">
        <v>95.700280469916095</v>
      </c>
      <c r="AJ7209">
        <v>94.386081096241099</v>
      </c>
      <c r="AK7209">
        <v>11.2841827314114</v>
      </c>
      <c r="AL7209">
        <v>95.172704190858596</v>
      </c>
      <c r="AM7209">
        <v>90.873270693612</v>
      </c>
      <c r="AN7209">
        <v>1.0000000125451001</v>
      </c>
    </row>
    <row r="7210" spans="1:40" x14ac:dyDescent="0.25">
      <c r="A7210" t="str">
        <f>"20190303154323145"</f>
        <v>20190303154323145</v>
      </c>
      <c r="B7210" t="str">
        <f>"1551599003137729"</f>
        <v>1551599003137729</v>
      </c>
      <c r="C7210" t="s">
        <v>40</v>
      </c>
      <c r="D7210">
        <v>5.7743500000000001</v>
      </c>
      <c r="E7210">
        <v>0.47655960000000003</v>
      </c>
      <c r="F7210" t="s">
        <v>41</v>
      </c>
      <c r="G7210">
        <v>-300.98309999999998</v>
      </c>
      <c r="H7210" s="1">
        <v>-4.0992329999999999E-6</v>
      </c>
      <c r="I7210">
        <v>-21.465199999999999</v>
      </c>
      <c r="J7210">
        <v>-300.85539999999997</v>
      </c>
      <c r="K7210">
        <v>1.1208009999999999</v>
      </c>
      <c r="L7210">
        <v>-10.10779</v>
      </c>
      <c r="M7210">
        <v>-8.8251839999999998E-2</v>
      </c>
      <c r="N7210">
        <v>-6.1057849999999999E-3</v>
      </c>
      <c r="O7210">
        <v>-0.99607939999999995</v>
      </c>
      <c r="P7210">
        <v>-7.2405540000000004E-2</v>
      </c>
      <c r="Q7210">
        <v>-9.6061480000000005E-2</v>
      </c>
      <c r="R7210">
        <v>-0.99273849999999997</v>
      </c>
      <c r="S7210">
        <v>-3.6560059999999998E-2</v>
      </c>
      <c r="T7210">
        <v>-0.29096569999999999</v>
      </c>
      <c r="U7210">
        <v>-2.991425</v>
      </c>
      <c r="V7210">
        <v>-1.534899E-2</v>
      </c>
      <c r="W7210">
        <v>-9.0007000000000004E-2</v>
      </c>
      <c r="X7210">
        <v>0.99582280000000001</v>
      </c>
      <c r="Y7210">
        <v>-7.6099109999999998E-2</v>
      </c>
      <c r="Z7210">
        <v>9.0024660000000006E-2</v>
      </c>
      <c r="AA7210">
        <v>0.99302789999999996</v>
      </c>
      <c r="AB7210">
        <v>16</v>
      </c>
      <c r="AC7210">
        <v>-0.127700000000004</v>
      </c>
      <c r="AD7210">
        <v>-1.1208050992330001</v>
      </c>
      <c r="AE7210">
        <v>-11.35741</v>
      </c>
      <c r="AF7210">
        <v>-0.86668999543563496</v>
      </c>
      <c r="AG7210">
        <v>-1.1208050992330001</v>
      </c>
      <c r="AH7210">
        <v>11.2151565120847</v>
      </c>
      <c r="AI7210">
        <v>95.690145458159293</v>
      </c>
      <c r="AJ7210">
        <v>94.418946833678604</v>
      </c>
      <c r="AK7210">
        <v>11.3042952548671</v>
      </c>
      <c r="AL7210">
        <v>95.164010053197501</v>
      </c>
      <c r="AM7210">
        <v>90.883051396136494</v>
      </c>
      <c r="AN7210">
        <v>0.99999995027142796</v>
      </c>
    </row>
    <row r="7211" spans="1:40" x14ac:dyDescent="0.25">
      <c r="A7211" t="str">
        <f>"20190303154323167"</f>
        <v>20190303154323167</v>
      </c>
      <c r="B7211" t="str">
        <f>"1551599003157755"</f>
        <v>1551599003157755</v>
      </c>
      <c r="C7211" t="s">
        <v>40</v>
      </c>
      <c r="D7211">
        <v>5.7895029999999998</v>
      </c>
      <c r="E7211">
        <v>0.4765683</v>
      </c>
      <c r="F7211" t="s">
        <v>41</v>
      </c>
      <c r="G7211">
        <v>-300.97460000000001</v>
      </c>
      <c r="H7211" s="1">
        <v>-3.9927900000000003E-6</v>
      </c>
      <c r="I7211">
        <v>-21.70806</v>
      </c>
      <c r="J7211">
        <v>-300.86810000000003</v>
      </c>
      <c r="K7211">
        <v>1.120811</v>
      </c>
      <c r="L7211">
        <v>-10.270810000000001</v>
      </c>
      <c r="M7211">
        <v>-8.6779529999999994E-2</v>
      </c>
      <c r="N7211">
        <v>-6.1074950000000001E-3</v>
      </c>
      <c r="O7211">
        <v>-0.99620909999999996</v>
      </c>
      <c r="P7211">
        <v>-7.1279380000000003E-2</v>
      </c>
      <c r="Q7211">
        <v>-9.6343819999999997E-2</v>
      </c>
      <c r="R7211">
        <v>-0.99279280000000003</v>
      </c>
      <c r="S7211">
        <v>-3.07312E-2</v>
      </c>
      <c r="T7211">
        <v>-0.28905750000000002</v>
      </c>
      <c r="U7211">
        <v>-2.99173</v>
      </c>
      <c r="V7211">
        <v>-1.5002450000000001E-2</v>
      </c>
      <c r="W7211">
        <v>-9.0287519999999996E-2</v>
      </c>
      <c r="X7211">
        <v>0.99580279999999999</v>
      </c>
      <c r="Y7211">
        <v>-7.6560500000000004E-2</v>
      </c>
      <c r="Z7211">
        <v>8.9405899999999996E-2</v>
      </c>
      <c r="AA7211">
        <v>0.99304840000000005</v>
      </c>
      <c r="AB7211">
        <v>16</v>
      </c>
      <c r="AC7211">
        <v>-0.106499999999982</v>
      </c>
      <c r="AD7211">
        <v>-1.12081499279</v>
      </c>
      <c r="AE7211">
        <v>-11.437250000000001</v>
      </c>
      <c r="AF7211">
        <v>-0.87800807115034696</v>
      </c>
      <c r="AG7211">
        <v>-1.12081499279</v>
      </c>
      <c r="AH7211">
        <v>11.294884251690201</v>
      </c>
      <c r="AI7211">
        <v>95.650093059732995</v>
      </c>
      <c r="AJ7211">
        <v>94.444949823238403</v>
      </c>
      <c r="AK7211">
        <v>11.384266980361399</v>
      </c>
      <c r="AL7211">
        <v>95.180147787929798</v>
      </c>
      <c r="AM7211">
        <v>90.863134791439705</v>
      </c>
      <c r="AN7211">
        <v>1.0000000631307899</v>
      </c>
    </row>
    <row r="7212" spans="1:40" x14ac:dyDescent="0.25">
      <c r="A7212" t="str">
        <f>"20190303154323188"</f>
        <v>20190303154323188</v>
      </c>
      <c r="B7212" t="str">
        <f>"1551599003177275"</f>
        <v>1551599003177275</v>
      </c>
      <c r="C7212" t="s">
        <v>40</v>
      </c>
      <c r="D7212">
        <v>5.7577959999999999</v>
      </c>
      <c r="E7212">
        <v>0.47643239999999998</v>
      </c>
      <c r="F7212" t="s">
        <v>41</v>
      </c>
      <c r="G7212">
        <v>-300.97430000000003</v>
      </c>
      <c r="H7212" s="1">
        <v>-3.9092650000000001E-6</v>
      </c>
      <c r="I7212">
        <v>-21.90258</v>
      </c>
      <c r="J7212">
        <v>-300.88049999999998</v>
      </c>
      <c r="K7212">
        <v>1.1208180000000001</v>
      </c>
      <c r="L7212">
        <v>-10.43192</v>
      </c>
      <c r="M7212">
        <v>-8.5324440000000001E-2</v>
      </c>
      <c r="N7212">
        <v>-6.1103700000000004E-3</v>
      </c>
      <c r="O7212">
        <v>-0.99633459999999996</v>
      </c>
      <c r="P7212">
        <v>-7.0792040000000001E-2</v>
      </c>
      <c r="Q7212">
        <v>-9.6588850000000004E-2</v>
      </c>
      <c r="R7212">
        <v>-0.99280380000000001</v>
      </c>
      <c r="S7212">
        <v>-2.7313230000000001E-2</v>
      </c>
      <c r="T7212">
        <v>-0.28828910000000002</v>
      </c>
      <c r="U7212">
        <v>-2.9918520000000002</v>
      </c>
      <c r="V7212">
        <v>-1.403299E-2</v>
      </c>
      <c r="W7212">
        <v>-9.0528490000000003E-2</v>
      </c>
      <c r="X7212">
        <v>0.99579499999999999</v>
      </c>
      <c r="Y7212">
        <v>-7.6239000000000001E-2</v>
      </c>
      <c r="Z7212">
        <v>8.916694E-2</v>
      </c>
      <c r="AA7212">
        <v>0.99309460000000005</v>
      </c>
      <c r="AB7212">
        <v>17</v>
      </c>
      <c r="AC7212">
        <v>-9.3800000000044195E-2</v>
      </c>
      <c r="AD7212">
        <v>-1.120821909265</v>
      </c>
      <c r="AE7212">
        <v>-11.470660000000001</v>
      </c>
      <c r="AF7212">
        <v>-0.87691595458260596</v>
      </c>
      <c r="AG7212">
        <v>-1.120821909265</v>
      </c>
      <c r="AH7212">
        <v>11.3286760761265</v>
      </c>
      <c r="AI7212">
        <v>95.633524420505296</v>
      </c>
      <c r="AJ7212">
        <v>94.426253533121496</v>
      </c>
      <c r="AK7212">
        <v>11.4177110219821</v>
      </c>
      <c r="AL7212">
        <v>95.194011415528706</v>
      </c>
      <c r="AM7212">
        <v>90.807372885707096</v>
      </c>
      <c r="AN7212">
        <v>1.0000000071675099</v>
      </c>
    </row>
    <row r="7213" spans="1:40" x14ac:dyDescent="0.25">
      <c r="A7213" t="str">
        <f>"20190303154323212"</f>
        <v>20190303154323212</v>
      </c>
      <c r="B7213" t="str">
        <f>"1551599003207534"</f>
        <v>1551599003207534</v>
      </c>
      <c r="C7213" t="s">
        <v>40</v>
      </c>
      <c r="D7213">
        <v>5.7957010000000002</v>
      </c>
      <c r="E7213">
        <v>0.47656090000000001</v>
      </c>
      <c r="F7213" t="s">
        <v>41</v>
      </c>
      <c r="G7213">
        <v>-300.97770000000003</v>
      </c>
      <c r="H7213" s="1">
        <v>-3.8330000000000004E-6</v>
      </c>
      <c r="I7213">
        <v>-22.082450000000001</v>
      </c>
      <c r="J7213">
        <v>-300.89330000000001</v>
      </c>
      <c r="K7213">
        <v>1.1208129999999901</v>
      </c>
      <c r="L7213">
        <v>-10.602359999999999</v>
      </c>
      <c r="M7213">
        <v>-8.3785059999999995E-2</v>
      </c>
      <c r="N7213">
        <v>-6.1145469999999997E-3</v>
      </c>
      <c r="O7213">
        <v>-0.99646539999999995</v>
      </c>
      <c r="P7213">
        <v>-7.0119319999999999E-2</v>
      </c>
      <c r="Q7213">
        <v>-9.6789340000000001E-2</v>
      </c>
      <c r="R7213">
        <v>-0.99283250000000001</v>
      </c>
      <c r="S7213">
        <v>-2.496338E-2</v>
      </c>
      <c r="T7213">
        <v>-0.28783819999999999</v>
      </c>
      <c r="U7213">
        <v>-2.9919739999999999</v>
      </c>
      <c r="V7213">
        <v>-1.316618E-2</v>
      </c>
      <c r="W7213">
        <v>-9.0723709999999999E-2</v>
      </c>
      <c r="X7213">
        <v>0.99578909999999998</v>
      </c>
      <c r="Y7213">
        <v>-7.5478959999999998E-2</v>
      </c>
      <c r="Z7213">
        <v>8.9032810000000004E-2</v>
      </c>
      <c r="AA7213">
        <v>0.99316470000000001</v>
      </c>
      <c r="AB7213">
        <v>17</v>
      </c>
      <c r="AC7213">
        <v>-8.4400000000016406E-2</v>
      </c>
      <c r="AD7213">
        <v>-1.1208168329999999</v>
      </c>
      <c r="AE7213">
        <v>-11.480089999999899</v>
      </c>
      <c r="AF7213">
        <v>-0.86948708660269203</v>
      </c>
      <c r="AG7213">
        <v>-1.1208168329999999</v>
      </c>
      <c r="AH7213">
        <v>11.3387208664751</v>
      </c>
      <c r="AI7213">
        <v>95.628850511203396</v>
      </c>
      <c r="AJ7213">
        <v>94.385030394756498</v>
      </c>
      <c r="AK7213">
        <v>11.4271093919129</v>
      </c>
      <c r="AL7213">
        <v>95.205242766025506</v>
      </c>
      <c r="AM7213">
        <v>90.757512401071494</v>
      </c>
      <c r="AN7213">
        <v>1.00000003576538</v>
      </c>
    </row>
    <row r="7214" spans="1:40" x14ac:dyDescent="0.25">
      <c r="A7214" t="str">
        <f>"20190303154323234"</f>
        <v>20190303154323234</v>
      </c>
      <c r="B7214" t="str">
        <f>"1551599003228027"</f>
        <v>1551599003228027</v>
      </c>
      <c r="C7214" t="s">
        <v>40</v>
      </c>
      <c r="D7214">
        <v>5.7503460000000004</v>
      </c>
      <c r="E7214">
        <v>0.47663240000000001</v>
      </c>
      <c r="F7214" t="s">
        <v>41</v>
      </c>
      <c r="G7214">
        <v>-300.98669999999998</v>
      </c>
      <c r="H7214" s="1">
        <v>-3.7236740000000002E-6</v>
      </c>
      <c r="I7214">
        <v>-22.342890000000001</v>
      </c>
      <c r="J7214">
        <v>-300.9058</v>
      </c>
      <c r="K7214">
        <v>1.120817</v>
      </c>
      <c r="L7214">
        <v>-10.77191</v>
      </c>
      <c r="M7214">
        <v>-8.2253930000000003E-2</v>
      </c>
      <c r="N7214">
        <v>-6.1196810000000001E-3</v>
      </c>
      <c r="O7214">
        <v>-0.99659260000000005</v>
      </c>
      <c r="P7214">
        <v>-6.9645840000000001E-2</v>
      </c>
      <c r="Q7214">
        <v>-9.6998619999999994E-2</v>
      </c>
      <c r="R7214">
        <v>-0.99284470000000002</v>
      </c>
      <c r="S7214">
        <v>-2.3803709999999999E-2</v>
      </c>
      <c r="T7214">
        <v>-0.28564509999999899</v>
      </c>
      <c r="U7214">
        <v>-2.9921259999999998</v>
      </c>
      <c r="V7214">
        <v>-1.210756E-2</v>
      </c>
      <c r="W7214">
        <v>-9.0926480000000004E-2</v>
      </c>
      <c r="X7214">
        <v>0.995784</v>
      </c>
      <c r="Y7214">
        <v>-7.4332220000000004E-2</v>
      </c>
      <c r="Z7214">
        <v>8.832661E-2</v>
      </c>
      <c r="AA7214">
        <v>0.99331420000000004</v>
      </c>
      <c r="AB7214">
        <v>17</v>
      </c>
      <c r="AC7214">
        <v>-8.0899999999985497E-2</v>
      </c>
      <c r="AD7214">
        <v>-1.120820723674</v>
      </c>
      <c r="AE7214">
        <v>-11.57098</v>
      </c>
      <c r="AF7214">
        <v>-0.86305311268973495</v>
      </c>
      <c r="AG7214">
        <v>-1.120820723674</v>
      </c>
      <c r="AH7214">
        <v>11.431172566904801</v>
      </c>
      <c r="AI7214">
        <v>95.584130857138902</v>
      </c>
      <c r="AJ7214">
        <v>94.317637837114006</v>
      </c>
      <c r="AK7214">
        <v>11.518368201455299</v>
      </c>
      <c r="AL7214">
        <v>95.216909055296895</v>
      </c>
      <c r="AM7214">
        <v>90.696614833948601</v>
      </c>
      <c r="AN7214">
        <v>0.99999999621517199</v>
      </c>
    </row>
    <row r="7215" spans="1:40" x14ac:dyDescent="0.25">
      <c r="A7215" t="str">
        <f>"20190303154323280"</f>
        <v>20190303154323280</v>
      </c>
      <c r="B7215" t="str">
        <f>"1551599003277334"</f>
        <v>1551599003277334</v>
      </c>
      <c r="C7215" t="s">
        <v>40</v>
      </c>
      <c r="D7215">
        <v>5.7775869999999996</v>
      </c>
      <c r="E7215">
        <v>0.47662070000000001</v>
      </c>
      <c r="F7215" t="s">
        <v>41</v>
      </c>
      <c r="G7215">
        <v>-300.99599999999998</v>
      </c>
      <c r="H7215" s="1">
        <v>-3.633376E-6</v>
      </c>
      <c r="I7215">
        <v>-22.55913</v>
      </c>
      <c r="J7215">
        <v>-300.93020000000001</v>
      </c>
      <c r="K7215">
        <v>1.1208309999999999</v>
      </c>
      <c r="L7215">
        <v>-11.1145</v>
      </c>
      <c r="M7215">
        <v>-7.9161170000000003E-2</v>
      </c>
      <c r="N7215">
        <v>-6.1326729999999999E-3</v>
      </c>
      <c r="O7215">
        <v>-0.99684300000000003</v>
      </c>
      <c r="P7215">
        <v>-6.5398120000000004E-2</v>
      </c>
      <c r="Q7215">
        <v>-9.5593310000000001E-2</v>
      </c>
      <c r="R7215">
        <v>-0.99326999999999999</v>
      </c>
      <c r="S7215">
        <v>-2.2888180000000001E-2</v>
      </c>
      <c r="T7215">
        <v>-0.28452349999999998</v>
      </c>
      <c r="U7215">
        <v>-2.9922179999999998</v>
      </c>
      <c r="V7215">
        <v>-1.3286350000000001E-2</v>
      </c>
      <c r="W7215">
        <v>-8.9510000000000006E-2</v>
      </c>
      <c r="X7215">
        <v>0.99589729999999999</v>
      </c>
      <c r="Y7215">
        <v>-7.1542460000000002E-2</v>
      </c>
      <c r="Z7215">
        <v>8.7988289999999997E-2</v>
      </c>
      <c r="AA7215">
        <v>0.99354900000000002</v>
      </c>
      <c r="AB7215">
        <v>17</v>
      </c>
      <c r="AC7215">
        <v>-6.5799999999967398E-2</v>
      </c>
      <c r="AD7215">
        <v>-1.120834633376</v>
      </c>
      <c r="AE7215">
        <v>-11.44463</v>
      </c>
      <c r="AF7215">
        <v>-0.83241013705100497</v>
      </c>
      <c r="AG7215">
        <v>-1.120834633376</v>
      </c>
      <c r="AH7215">
        <v>11.3054910683722</v>
      </c>
      <c r="AI7215">
        <v>95.646657908625201</v>
      </c>
      <c r="AJ7215">
        <v>94.211022862100606</v>
      </c>
      <c r="AK7215">
        <v>11.3913697687628</v>
      </c>
      <c r="AL7215">
        <v>95.135418387141598</v>
      </c>
      <c r="AM7215">
        <v>90.764342489205205</v>
      </c>
      <c r="AN7215">
        <v>0.99999999967180597</v>
      </c>
    </row>
    <row r="7216" spans="1:40" x14ac:dyDescent="0.25">
      <c r="A7216" t="str">
        <f>"20190303154323303"</f>
        <v>20190303154323303</v>
      </c>
      <c r="B7216" t="str">
        <f>"1551599003297830"</f>
        <v>1551599003297830</v>
      </c>
      <c r="C7216" t="s">
        <v>40</v>
      </c>
      <c r="D7216">
        <v>5.9040599999999896</v>
      </c>
      <c r="E7216">
        <v>0.47669280000000003</v>
      </c>
      <c r="F7216" t="s">
        <v>41</v>
      </c>
      <c r="G7216">
        <v>-300.97070000000002</v>
      </c>
      <c r="H7216" s="1">
        <v>-3.352406E-6</v>
      </c>
      <c r="I7216">
        <v>-23.198419999999999</v>
      </c>
      <c r="J7216">
        <v>-300.9425</v>
      </c>
      <c r="K7216">
        <v>1.1208340000000001</v>
      </c>
      <c r="L7216">
        <v>-11.2933</v>
      </c>
      <c r="M7216">
        <v>-7.7547679999999994E-2</v>
      </c>
      <c r="N7216">
        <v>-6.1405770000000004E-3</v>
      </c>
      <c r="O7216">
        <v>-0.99696989999999996</v>
      </c>
      <c r="P7216">
        <v>-6.2387430000000001E-2</v>
      </c>
      <c r="Q7216">
        <v>-9.5574010000000001E-2</v>
      </c>
      <c r="R7216">
        <v>-0.99346559999999995</v>
      </c>
      <c r="S7216">
        <v>-1.004028E-2</v>
      </c>
      <c r="T7216">
        <v>-0.27760879999999999</v>
      </c>
      <c r="U7216">
        <v>-2.99295</v>
      </c>
      <c r="V7216">
        <v>-1.4690119999999999E-2</v>
      </c>
      <c r="W7216">
        <v>-8.9485620000000002E-2</v>
      </c>
      <c r="X7216">
        <v>0.99587979999999998</v>
      </c>
      <c r="Y7216">
        <v>-7.4193590000000004E-2</v>
      </c>
      <c r="Z7216">
        <v>8.5698410000000003E-2</v>
      </c>
      <c r="AA7216">
        <v>0.99355479999999996</v>
      </c>
      <c r="AB7216">
        <v>17</v>
      </c>
      <c r="AC7216">
        <v>-2.82000000000266E-2</v>
      </c>
      <c r="AD7216">
        <v>-1.120837352406</v>
      </c>
      <c r="AE7216">
        <v>-11.90512</v>
      </c>
      <c r="AF7216">
        <v>-0.88725227225316805</v>
      </c>
      <c r="AG7216">
        <v>-1.120837352406</v>
      </c>
      <c r="AH7216">
        <v>11.7671544321685</v>
      </c>
      <c r="AI7216">
        <v>95.425775333530297</v>
      </c>
      <c r="AJ7216">
        <v>94.311985507145906</v>
      </c>
      <c r="AK7216">
        <v>11.853666791152399</v>
      </c>
      <c r="AL7216">
        <v>95.134015752660403</v>
      </c>
      <c r="AM7216">
        <v>90.845102830298302</v>
      </c>
      <c r="AN7216">
        <v>1.00000002593021</v>
      </c>
    </row>
    <row r="7217" spans="1:40" x14ac:dyDescent="0.25">
      <c r="A7217" t="str">
        <f>"20190303154323326"</f>
        <v>20190303154323326</v>
      </c>
      <c r="B7217" t="str">
        <f>"1551599003317350"</f>
        <v>1551599003317350</v>
      </c>
      <c r="C7217" t="s">
        <v>40</v>
      </c>
      <c r="D7217">
        <v>5.7905569999999997</v>
      </c>
      <c r="E7217">
        <v>0.47678179999999998</v>
      </c>
      <c r="F7217" t="s">
        <v>41</v>
      </c>
      <c r="G7217">
        <v>-300.94880000000001</v>
      </c>
      <c r="H7217" s="1">
        <v>-3.261022E-6</v>
      </c>
      <c r="I7217">
        <v>-23.397849999999998</v>
      </c>
      <c r="J7217">
        <v>-300.95359999999999</v>
      </c>
      <c r="K7217">
        <v>1.120833</v>
      </c>
      <c r="L7217">
        <v>-11.45758</v>
      </c>
      <c r="M7217">
        <v>-7.6065980000000005E-2</v>
      </c>
      <c r="N7217">
        <v>-6.1483800000000002E-3</v>
      </c>
      <c r="O7217">
        <v>-0.99708399999999997</v>
      </c>
      <c r="P7217">
        <v>-6.0216369999999998E-2</v>
      </c>
      <c r="Q7217">
        <v>-9.5622659999999998E-2</v>
      </c>
      <c r="R7217">
        <v>-0.9935948</v>
      </c>
      <c r="S7217">
        <v>-1.556396E-3</v>
      </c>
      <c r="T7217">
        <v>-0.27713929999999998</v>
      </c>
      <c r="U7217">
        <v>-2.9929809999999999</v>
      </c>
      <c r="V7217">
        <v>-1.5383849999999999E-2</v>
      </c>
      <c r="W7217">
        <v>-8.9528090000000005E-2</v>
      </c>
      <c r="X7217">
        <v>0.99586549999999996</v>
      </c>
      <c r="Y7217">
        <v>-7.5527440000000001E-2</v>
      </c>
      <c r="Z7217">
        <v>8.5546380000000005E-2</v>
      </c>
      <c r="AA7217">
        <v>0.9934674</v>
      </c>
      <c r="AB7217">
        <v>17</v>
      </c>
      <c r="AC7217">
        <v>4.7999999999888097E-3</v>
      </c>
      <c r="AD7217">
        <v>-1.120836261022</v>
      </c>
      <c r="AE7217">
        <v>-11.9402699999999</v>
      </c>
      <c r="AF7217">
        <v>-0.90507625342244602</v>
      </c>
      <c r="AG7217">
        <v>-1.120836261022</v>
      </c>
      <c r="AH7217">
        <v>11.801321254965799</v>
      </c>
      <c r="AI7217">
        <v>95.409629539626394</v>
      </c>
      <c r="AJ7217">
        <v>94.385588273327201</v>
      </c>
      <c r="AK7217">
        <v>11.888928476167999</v>
      </c>
      <c r="AL7217">
        <v>95.136458951965693</v>
      </c>
      <c r="AM7217">
        <v>90.885018685007296</v>
      </c>
      <c r="AN7217">
        <v>1.0000000179150601</v>
      </c>
    </row>
    <row r="7218" spans="1:40" x14ac:dyDescent="0.25">
      <c r="A7218" t="str">
        <f>"20190303154323347"</f>
        <v>20190303154323347</v>
      </c>
      <c r="B7218" t="str">
        <f>"1551599003337846"</f>
        <v>1551599003337846</v>
      </c>
      <c r="C7218" t="s">
        <v>40</v>
      </c>
      <c r="D7218">
        <v>5.8077740000000002</v>
      </c>
      <c r="E7218">
        <v>0.4766398</v>
      </c>
      <c r="F7218" t="s">
        <v>41</v>
      </c>
      <c r="G7218">
        <v>-300.93560000000002</v>
      </c>
      <c r="H7218" s="1">
        <v>-3.1630430000000002E-6</v>
      </c>
      <c r="I7218">
        <v>-23.618030000000001</v>
      </c>
      <c r="J7218">
        <v>-300.96469999999999</v>
      </c>
      <c r="K7218">
        <v>1.12083</v>
      </c>
      <c r="L7218">
        <v>-11.62613</v>
      </c>
      <c r="M7218">
        <v>-7.4546459999999995E-2</v>
      </c>
      <c r="N7218">
        <v>-6.156819E-3</v>
      </c>
      <c r="O7218">
        <v>-0.99719860000000005</v>
      </c>
      <c r="P7218">
        <v>-5.8148640000000001E-2</v>
      </c>
      <c r="Q7218">
        <v>-9.7371840000000001E-2</v>
      </c>
      <c r="R7218">
        <v>-0.99354819999999999</v>
      </c>
      <c r="S7218">
        <v>4.4250490000000003E-3</v>
      </c>
      <c r="T7218">
        <v>-0.27587040000000002</v>
      </c>
      <c r="U7218">
        <v>-2.993042</v>
      </c>
      <c r="V7218">
        <v>-1.5920770000000001E-2</v>
      </c>
      <c r="W7218">
        <v>-9.1271160000000004E-2</v>
      </c>
      <c r="X7218">
        <v>0.99569879999999999</v>
      </c>
      <c r="Y7218">
        <v>-7.5993279999999996E-2</v>
      </c>
      <c r="Z7218">
        <v>8.5133340000000002E-2</v>
      </c>
      <c r="AA7218">
        <v>0.99346730000000005</v>
      </c>
      <c r="AB7218">
        <v>17</v>
      </c>
      <c r="AC7218">
        <v>2.9099999999971201E-2</v>
      </c>
      <c r="AD7218">
        <v>-1.120833163043</v>
      </c>
      <c r="AE7218">
        <v>-11.9918999999999</v>
      </c>
      <c r="AF7218">
        <v>-0.91499636888862201</v>
      </c>
      <c r="AG7218">
        <v>-1.120833163043</v>
      </c>
      <c r="AH7218">
        <v>11.852818412086499</v>
      </c>
      <c r="AI7218">
        <v>95.386043635841901</v>
      </c>
      <c r="AJ7218">
        <v>94.414280173120403</v>
      </c>
      <c r="AK7218">
        <v>11.9408035594073</v>
      </c>
      <c r="AL7218">
        <v>95.236740216514505</v>
      </c>
      <c r="AM7218">
        <v>90.916055337979898</v>
      </c>
      <c r="AN7218">
        <v>0.99999999794328898</v>
      </c>
    </row>
    <row r="7219" spans="1:40" x14ac:dyDescent="0.25">
      <c r="A7219" t="str">
        <f>"20190303154323370"</f>
        <v>20190303154323370</v>
      </c>
      <c r="B7219" t="str">
        <f>"1551599003367632"</f>
        <v>1551599003367632</v>
      </c>
      <c r="C7219" t="s">
        <v>40</v>
      </c>
      <c r="D7219">
        <v>5.8460760000000001</v>
      </c>
      <c r="E7219">
        <v>0.47646490000000002</v>
      </c>
      <c r="F7219" t="s">
        <v>41</v>
      </c>
      <c r="G7219">
        <v>-300.9187</v>
      </c>
      <c r="H7219" s="1">
        <v>-3.1986219999999999E-6</v>
      </c>
      <c r="I7219">
        <v>-23.524619999999999</v>
      </c>
      <c r="J7219">
        <v>-300.97660000000002</v>
      </c>
      <c r="K7219">
        <v>1.12083</v>
      </c>
      <c r="L7219">
        <v>-11.81143</v>
      </c>
      <c r="M7219">
        <v>-7.2878890000000002E-2</v>
      </c>
      <c r="N7219">
        <v>-6.1664850000000002E-3</v>
      </c>
      <c r="O7219">
        <v>-0.99732169999999998</v>
      </c>
      <c r="P7219">
        <v>-5.7172559999999997E-2</v>
      </c>
      <c r="Q7219">
        <v>-9.8814040000000006E-2</v>
      </c>
      <c r="R7219">
        <v>-0.99346230000000002</v>
      </c>
      <c r="S7219">
        <v>1.1566160000000001E-2</v>
      </c>
      <c r="T7219">
        <v>-0.2818947</v>
      </c>
      <c r="U7219">
        <v>-2.9925229999999998</v>
      </c>
      <c r="V7219">
        <v>-1.521985E-2</v>
      </c>
      <c r="W7219">
        <v>-9.2703569999999999E-2</v>
      </c>
      <c r="X7219">
        <v>0.99557739999999995</v>
      </c>
      <c r="Y7219">
        <v>-7.6695529999999998E-2</v>
      </c>
      <c r="Z7219">
        <v>8.7130490000000005E-2</v>
      </c>
      <c r="AA7219">
        <v>0.99324020000000002</v>
      </c>
      <c r="AB7219">
        <v>17</v>
      </c>
      <c r="AC7219">
        <v>5.7900000000017798E-2</v>
      </c>
      <c r="AD7219">
        <v>-1.1208331986219999</v>
      </c>
      <c r="AE7219">
        <v>-11.713190000000001</v>
      </c>
      <c r="AF7219">
        <v>-0.90313715851267995</v>
      </c>
      <c r="AG7219">
        <v>-1.1208331986219999</v>
      </c>
      <c r="AH7219">
        <v>11.5718655958686</v>
      </c>
      <c r="AI7219">
        <v>95.515655016474696</v>
      </c>
      <c r="AJ7219">
        <v>94.462656859681999</v>
      </c>
      <c r="AK7219">
        <v>11.6610461432526</v>
      </c>
      <c r="AL7219">
        <v>95.319160828791794</v>
      </c>
      <c r="AM7219">
        <v>90.875838730458995</v>
      </c>
      <c r="AN7219">
        <v>0.99999997755776304</v>
      </c>
    </row>
    <row r="7220" spans="1:40" x14ac:dyDescent="0.25">
      <c r="A7220" t="str">
        <f>"20190303154323392"</f>
        <v>20190303154323392</v>
      </c>
      <c r="B7220" t="str">
        <f>"1551599003387153"</f>
        <v>1551599003387153</v>
      </c>
      <c r="C7220" t="s">
        <v>40</v>
      </c>
      <c r="D7220">
        <v>5.8097219999999998</v>
      </c>
      <c r="E7220">
        <v>0.47643829999999998</v>
      </c>
      <c r="F7220" t="s">
        <v>41</v>
      </c>
      <c r="G7220">
        <v>-300.91410000000002</v>
      </c>
      <c r="H7220" s="1">
        <v>-3.2171200000000002E-6</v>
      </c>
      <c r="I7220">
        <v>-23.478649999999998</v>
      </c>
      <c r="J7220">
        <v>-300.98700000000002</v>
      </c>
      <c r="K7220">
        <v>1.1208340000000001</v>
      </c>
      <c r="L7220">
        <v>-11.97705</v>
      </c>
      <c r="M7220">
        <v>-7.1395990000000006E-2</v>
      </c>
      <c r="N7220">
        <v>-6.1754180000000002E-3</v>
      </c>
      <c r="O7220">
        <v>-0.99742909999999996</v>
      </c>
      <c r="P7220">
        <v>-5.6803029999999997E-2</v>
      </c>
      <c r="Q7220">
        <v>-9.9374119999999996E-2</v>
      </c>
      <c r="R7220">
        <v>-0.99342810000000004</v>
      </c>
      <c r="S7220">
        <v>1.6021730000000001E-2</v>
      </c>
      <c r="T7220">
        <v>-0.28743839999999998</v>
      </c>
      <c r="U7220">
        <v>-2.9920650000000002</v>
      </c>
      <c r="V7220">
        <v>-1.410493E-2</v>
      </c>
      <c r="W7220">
        <v>-9.3253169999999996E-2</v>
      </c>
      <c r="X7220">
        <v>0.9955425</v>
      </c>
      <c r="Y7220">
        <v>-7.6691339999999997E-2</v>
      </c>
      <c r="Z7220">
        <v>8.8969480000000004E-2</v>
      </c>
      <c r="AA7220">
        <v>0.99307749999999995</v>
      </c>
      <c r="AB7220">
        <v>17</v>
      </c>
      <c r="AC7220">
        <v>7.29000000000041E-2</v>
      </c>
      <c r="AD7220">
        <v>-1.1208372171200001</v>
      </c>
      <c r="AE7220">
        <v>-11.5015999999999</v>
      </c>
      <c r="AF7220">
        <v>-0.88548879296253302</v>
      </c>
      <c r="AG7220">
        <v>-1.1208372171200001</v>
      </c>
      <c r="AH7220">
        <v>11.3591732202076</v>
      </c>
      <c r="AI7220">
        <v>95.618336930619293</v>
      </c>
      <c r="AJ7220">
        <v>94.457399752717393</v>
      </c>
      <c r="AK7220">
        <v>11.448632351352099</v>
      </c>
      <c r="AL7220">
        <v>95.350787547909405</v>
      </c>
      <c r="AM7220">
        <v>90.811717120145701</v>
      </c>
      <c r="AN7220">
        <v>0.99999998603580098</v>
      </c>
    </row>
    <row r="7221" spans="1:40" x14ac:dyDescent="0.25">
      <c r="A7221" t="str">
        <f>"20190303154323413"</f>
        <v>20190303154323413</v>
      </c>
      <c r="B7221" t="str">
        <f>"1551599003407649"</f>
        <v>1551599003407649</v>
      </c>
      <c r="C7221" t="s">
        <v>40</v>
      </c>
      <c r="D7221">
        <v>5.8141150000000001</v>
      </c>
      <c r="E7221">
        <v>0.4764795</v>
      </c>
      <c r="F7221" t="s">
        <v>41</v>
      </c>
      <c r="G7221">
        <v>-300.9205</v>
      </c>
      <c r="H7221" s="1">
        <v>-3.1920690000000001E-6</v>
      </c>
      <c r="I7221">
        <v>-23.540990000000001</v>
      </c>
      <c r="J7221">
        <v>-300.99740000000003</v>
      </c>
      <c r="K7221">
        <v>1.1208309999999999</v>
      </c>
      <c r="L7221">
        <v>-12.14584</v>
      </c>
      <c r="M7221">
        <v>-6.989882E-2</v>
      </c>
      <c r="N7221">
        <v>-6.1847669999999999E-3</v>
      </c>
      <c r="O7221">
        <v>-0.99753499999999995</v>
      </c>
      <c r="P7221">
        <v>-5.7303220000000002E-2</v>
      </c>
      <c r="Q7221">
        <v>-9.8592100000000002E-2</v>
      </c>
      <c r="R7221">
        <v>-0.9934771</v>
      </c>
      <c r="S7221">
        <v>1.721191E-2</v>
      </c>
      <c r="T7221">
        <v>-0.28998299999999999</v>
      </c>
      <c r="U7221">
        <v>-2.9918209999999998</v>
      </c>
      <c r="V7221">
        <v>-1.211724E-2</v>
      </c>
      <c r="W7221">
        <v>-9.2457639999999994E-2</v>
      </c>
      <c r="X7221">
        <v>0.9956429</v>
      </c>
      <c r="Y7221">
        <v>-7.5589950000000003E-2</v>
      </c>
      <c r="Z7221">
        <v>8.9821899999999996E-2</v>
      </c>
      <c r="AA7221">
        <v>0.9930852</v>
      </c>
      <c r="AB7221">
        <v>18</v>
      </c>
      <c r="AC7221">
        <v>7.69000000000232E-2</v>
      </c>
      <c r="AD7221">
        <v>-1.1208341920689999</v>
      </c>
      <c r="AE7221">
        <v>-11.395149999999999</v>
      </c>
      <c r="AF7221">
        <v>-0.86486755406973503</v>
      </c>
      <c r="AG7221">
        <v>-1.1208341920689999</v>
      </c>
      <c r="AH7221">
        <v>11.253035983165001</v>
      </c>
      <c r="AI7221">
        <v>95.671445050276503</v>
      </c>
      <c r="AJ7221">
        <v>94.394906081096195</v>
      </c>
      <c r="AK7221">
        <v>11.341740783962599</v>
      </c>
      <c r="AL7221">
        <v>95.305009108020101</v>
      </c>
      <c r="AM7221">
        <v>90.697270514554504</v>
      </c>
      <c r="AN7221">
        <v>1.00000001350999</v>
      </c>
    </row>
    <row r="7222" spans="1:40" x14ac:dyDescent="0.25">
      <c r="A7222" t="str">
        <f>"20190303154323437"</f>
        <v>20190303154323437</v>
      </c>
      <c r="B7222" t="str">
        <f>"1551599003427169"</f>
        <v>1551599003427169</v>
      </c>
      <c r="C7222" t="s">
        <v>40</v>
      </c>
      <c r="D7222">
        <v>5.7518580000000004</v>
      </c>
      <c r="E7222">
        <v>0.47666599999999998</v>
      </c>
      <c r="F7222" t="s">
        <v>41</v>
      </c>
      <c r="G7222">
        <v>-300.9366</v>
      </c>
      <c r="H7222" s="1">
        <v>-3.0770450000000001E-6</v>
      </c>
      <c r="I7222">
        <v>-23.81915</v>
      </c>
      <c r="J7222">
        <v>-301.0086</v>
      </c>
      <c r="K7222">
        <v>1.1208180000000001</v>
      </c>
      <c r="L7222">
        <v>-12.33334</v>
      </c>
      <c r="M7222">
        <v>-6.8263699999999997E-2</v>
      </c>
      <c r="N7222">
        <v>-6.1953019999999998E-3</v>
      </c>
      <c r="O7222">
        <v>-0.99764819999999999</v>
      </c>
      <c r="P7222">
        <v>-5.7475480000000002E-2</v>
      </c>
      <c r="Q7222">
        <v>-9.8400680000000004E-2</v>
      </c>
      <c r="R7222">
        <v>-0.99348579999999997</v>
      </c>
      <c r="S7222">
        <v>1.556396E-2</v>
      </c>
      <c r="T7222">
        <v>-0.28729179999999999</v>
      </c>
      <c r="U7222">
        <v>-2.9920960000000001</v>
      </c>
      <c r="V7222">
        <v>-1.03176E-2</v>
      </c>
      <c r="W7222">
        <v>-9.2252139999999996E-2</v>
      </c>
      <c r="X7222">
        <v>0.99568219999999996</v>
      </c>
      <c r="Y7222">
        <v>-7.3409249999999995E-2</v>
      </c>
      <c r="Z7222">
        <v>8.8943910000000001E-2</v>
      </c>
      <c r="AA7222">
        <v>0.99332779999999998</v>
      </c>
      <c r="AB7222">
        <v>18</v>
      </c>
      <c r="AC7222">
        <v>7.2000000000002701E-2</v>
      </c>
      <c r="AD7222">
        <v>-1.120821077045</v>
      </c>
      <c r="AE7222">
        <v>-11.485810000000001</v>
      </c>
      <c r="AF7222">
        <v>-0.847837692928602</v>
      </c>
      <c r="AG7222">
        <v>-1.120821077045</v>
      </c>
      <c r="AH7222">
        <v>11.3460628705511</v>
      </c>
      <c r="AI7222">
        <v>95.626076326306702</v>
      </c>
      <c r="AJ7222">
        <v>94.2735005953284</v>
      </c>
      <c r="AK7222">
        <v>11.4327691878563</v>
      </c>
      <c r="AL7222">
        <v>95.293184482876995</v>
      </c>
      <c r="AM7222">
        <v>90.593697242983396</v>
      </c>
      <c r="AN7222">
        <v>0.99999997680058905</v>
      </c>
    </row>
    <row r="7223" spans="1:40" x14ac:dyDescent="0.25">
      <c r="A7223" t="str">
        <f>"20190303154323462"</f>
        <v>20190303154323462</v>
      </c>
      <c r="B7223" t="str">
        <f>"1551599003457932"</f>
        <v>1551599003457932</v>
      </c>
      <c r="C7223" t="s">
        <v>40</v>
      </c>
      <c r="D7223">
        <v>5.7967329999999997</v>
      </c>
      <c r="E7223">
        <v>0.4767303</v>
      </c>
      <c r="F7223" t="s">
        <v>41</v>
      </c>
      <c r="G7223">
        <v>-300.95549999999997</v>
      </c>
      <c r="H7223" s="1">
        <v>-2.9664620000000001E-6</v>
      </c>
      <c r="I7223">
        <v>-24.08859</v>
      </c>
      <c r="J7223">
        <v>-301.02030000000002</v>
      </c>
      <c r="K7223">
        <v>1.120789</v>
      </c>
      <c r="L7223">
        <v>-12.533910000000001</v>
      </c>
      <c r="M7223">
        <v>-6.6566059999999996E-2</v>
      </c>
      <c r="N7223">
        <v>-6.2067769999999897E-3</v>
      </c>
      <c r="O7223">
        <v>-0.99776299999999996</v>
      </c>
      <c r="P7223">
        <v>-5.7356249999999998E-2</v>
      </c>
      <c r="Q7223">
        <v>-9.7625699999999996E-2</v>
      </c>
      <c r="R7223">
        <v>-0.99356920000000004</v>
      </c>
      <c r="S7223">
        <v>1.351929E-2</v>
      </c>
      <c r="T7223">
        <v>-0.2852944</v>
      </c>
      <c r="U7223">
        <v>-2.9921880000000001</v>
      </c>
      <c r="V7223">
        <v>-8.754787E-3</v>
      </c>
      <c r="W7223">
        <v>-9.1461990000000007E-2</v>
      </c>
      <c r="X7223">
        <v>0.99577009999999999</v>
      </c>
      <c r="Y7223">
        <v>-7.1034330000000007E-2</v>
      </c>
      <c r="Z7223">
        <v>8.8298749999999995E-2</v>
      </c>
      <c r="AA7223">
        <v>0.99355800000000005</v>
      </c>
      <c r="AB7223">
        <v>18</v>
      </c>
      <c r="AC7223">
        <v>6.4800000000047903E-2</v>
      </c>
      <c r="AD7223">
        <v>-1.1207919664620001</v>
      </c>
      <c r="AE7223">
        <v>-11.554679999999999</v>
      </c>
      <c r="AF7223">
        <v>-0.82604850909078598</v>
      </c>
      <c r="AG7223">
        <v>-1.1207919664620001</v>
      </c>
      <c r="AH7223">
        <v>11.4173175524211</v>
      </c>
      <c r="AI7223">
        <v>95.592008333355196</v>
      </c>
      <c r="AJ7223">
        <v>94.138167181804207</v>
      </c>
      <c r="AK7223">
        <v>11.501898576508101</v>
      </c>
      <c r="AL7223">
        <v>95.2477197943699</v>
      </c>
      <c r="AM7223">
        <v>90.503730149710606</v>
      </c>
      <c r="AN7223">
        <v>1.00000001698209</v>
      </c>
    </row>
    <row r="7224" spans="1:40" x14ac:dyDescent="0.25">
      <c r="A7224" t="str">
        <f>"20190303154323484"</f>
        <v>20190303154323484</v>
      </c>
      <c r="B7224" t="str">
        <f>"1551599003477452"</f>
        <v>1551599003477452</v>
      </c>
      <c r="C7224" t="s">
        <v>40</v>
      </c>
      <c r="D7224">
        <v>5.8095869999999996</v>
      </c>
      <c r="E7224">
        <v>0.47669080000000003</v>
      </c>
      <c r="F7224" t="s">
        <v>41</v>
      </c>
      <c r="G7224">
        <v>-300.96679999999998</v>
      </c>
      <c r="H7224" s="1">
        <v>-2.8329379999999998E-6</v>
      </c>
      <c r="I7224">
        <v>-24.406870000000001</v>
      </c>
      <c r="J7224">
        <v>-301.03050000000002</v>
      </c>
      <c r="K7224">
        <v>1.120773</v>
      </c>
      <c r="L7224">
        <v>-12.71133</v>
      </c>
      <c r="M7224">
        <v>-6.5105529999999995E-2</v>
      </c>
      <c r="N7224">
        <v>-6.2186119999999897E-3</v>
      </c>
      <c r="O7224">
        <v>-0.99785919999999895</v>
      </c>
      <c r="P7224">
        <v>-5.7438980000000001E-2</v>
      </c>
      <c r="Q7224">
        <v>-9.7163860000000005E-2</v>
      </c>
      <c r="R7224">
        <v>-0.99360990000000005</v>
      </c>
      <c r="S7224">
        <v>1.3488770000000001E-2</v>
      </c>
      <c r="T7224">
        <v>-0.28248139999999999</v>
      </c>
      <c r="U7224">
        <v>-2.992432</v>
      </c>
      <c r="V7224">
        <v>-7.2233239999999997E-3</v>
      </c>
      <c r="W7224">
        <v>-9.0985040000000003E-2</v>
      </c>
      <c r="X7224">
        <v>0.99582610000000005</v>
      </c>
      <c r="Y7224">
        <v>-6.9564769999999998E-2</v>
      </c>
      <c r="Z7224">
        <v>8.7374019999999997E-2</v>
      </c>
      <c r="AA7224">
        <v>0.99374370000000001</v>
      </c>
      <c r="AB7224">
        <v>18</v>
      </c>
      <c r="AC7224">
        <v>6.3700000000039794E-2</v>
      </c>
      <c r="AD7224">
        <v>-1.120775832938</v>
      </c>
      <c r="AE7224">
        <v>-11.695539999999999</v>
      </c>
      <c r="AF7224">
        <v>-0.817516510030868</v>
      </c>
      <c r="AG7224">
        <v>-1.120775832938</v>
      </c>
      <c r="AH7224">
        <v>11.5604191024243</v>
      </c>
      <c r="AI7224">
        <v>95.523777110242705</v>
      </c>
      <c r="AJ7224">
        <v>94.045043524890104</v>
      </c>
      <c r="AK7224">
        <v>11.643356970202699</v>
      </c>
      <c r="AL7224">
        <v>95.220278044696499</v>
      </c>
      <c r="AM7224">
        <v>90.415593366156102</v>
      </c>
      <c r="AN7224">
        <v>1.0000000376772999</v>
      </c>
    </row>
    <row r="7225" spans="1:40" x14ac:dyDescent="0.25">
      <c r="A7225" t="str">
        <f>"20190303154323503"</f>
        <v>20190303154323503</v>
      </c>
      <c r="B7225" t="str">
        <f>"1551599003497949"</f>
        <v>1551599003497949</v>
      </c>
      <c r="C7225" t="s">
        <v>40</v>
      </c>
      <c r="D7225">
        <v>5.7498009999999997</v>
      </c>
      <c r="E7225">
        <v>0.47682249999999998</v>
      </c>
      <c r="F7225" t="s">
        <v>41</v>
      </c>
      <c r="G7225">
        <v>-300.97699999999998</v>
      </c>
      <c r="H7225" s="1">
        <v>-2.741819E-6</v>
      </c>
      <c r="I7225">
        <v>-24.625589999999999</v>
      </c>
      <c r="J7225">
        <v>-301.03919999999999</v>
      </c>
      <c r="K7225">
        <v>1.1207590000000001</v>
      </c>
      <c r="L7225">
        <v>-12.86786</v>
      </c>
      <c r="M7225">
        <v>-6.3860040000000007E-2</v>
      </c>
      <c r="N7225">
        <v>-6.232881E-3</v>
      </c>
      <c r="O7225">
        <v>-0.99793949999999998</v>
      </c>
      <c r="P7225">
        <v>-5.5751340000000003E-2</v>
      </c>
      <c r="Q7225">
        <v>-9.6878889999999995E-2</v>
      </c>
      <c r="R7225">
        <v>-0.99373359999999999</v>
      </c>
      <c r="S7225">
        <v>1.3427730000000001E-2</v>
      </c>
      <c r="T7225">
        <v>-0.28150989999999998</v>
      </c>
      <c r="U7225">
        <v>-2.9925540000000002</v>
      </c>
      <c r="V7225">
        <v>-7.67891199999999E-3</v>
      </c>
      <c r="W7225">
        <v>-9.0685989999999994E-2</v>
      </c>
      <c r="X7225">
        <v>0.99584989999999995</v>
      </c>
      <c r="Y7225">
        <v>-6.8299750000000006E-2</v>
      </c>
      <c r="Z7225">
        <v>8.7052260000000006E-2</v>
      </c>
      <c r="AA7225">
        <v>0.99385959999999995</v>
      </c>
      <c r="AB7225">
        <v>18</v>
      </c>
      <c r="AC7225">
        <v>6.2199999999961599E-2</v>
      </c>
      <c r="AD7225">
        <v>-1.1207617418189999</v>
      </c>
      <c r="AE7225">
        <v>-11.75773</v>
      </c>
      <c r="AF7225">
        <v>-0.80561690839019195</v>
      </c>
      <c r="AG7225">
        <v>-1.1207617418189999</v>
      </c>
      <c r="AH7225">
        <v>11.6241421038004</v>
      </c>
      <c r="AI7225">
        <v>95.494150037541004</v>
      </c>
      <c r="AJ7225">
        <v>93.9645727879426</v>
      </c>
      <c r="AK7225">
        <v>11.7058021995228</v>
      </c>
      <c r="AL7225">
        <v>95.203072972440296</v>
      </c>
      <c r="AM7225">
        <v>90.441794018596298</v>
      </c>
      <c r="AN7225">
        <v>0.99999996890089604</v>
      </c>
    </row>
    <row r="7226" spans="1:40" x14ac:dyDescent="0.25">
      <c r="A7226" t="str">
        <f>"20190303154323525"</f>
        <v>20190303154323525</v>
      </c>
      <c r="B7226" t="str">
        <f>"1551599003517468"</f>
        <v>1551599003517468</v>
      </c>
      <c r="C7226" t="s">
        <v>40</v>
      </c>
      <c r="D7226">
        <v>5.728281</v>
      </c>
      <c r="E7226">
        <v>0.4769023</v>
      </c>
      <c r="F7226" t="s">
        <v>41</v>
      </c>
      <c r="G7226">
        <v>-300.96940000000001</v>
      </c>
      <c r="H7226" s="1">
        <v>-2.6292019999999998E-6</v>
      </c>
      <c r="I7226">
        <v>-24.88336</v>
      </c>
      <c r="J7226">
        <v>-301.0487</v>
      </c>
      <c r="K7226">
        <v>1.1207290000000001</v>
      </c>
      <c r="L7226">
        <v>-13.04053</v>
      </c>
      <c r="M7226">
        <v>-6.2546900000000002E-2</v>
      </c>
      <c r="N7226">
        <v>-6.2530850000000002E-3</v>
      </c>
      <c r="O7226">
        <v>-0.99802290000000005</v>
      </c>
      <c r="P7226">
        <v>-5.2787319999999999E-2</v>
      </c>
      <c r="Q7226">
        <v>-9.6618410000000002E-2</v>
      </c>
      <c r="R7226">
        <v>-0.99392119999999995</v>
      </c>
      <c r="S7226">
        <v>1.7395020000000001E-2</v>
      </c>
      <c r="T7226">
        <v>-0.2791457</v>
      </c>
      <c r="U7226">
        <v>-2.9926759999999999</v>
      </c>
      <c r="V7226">
        <v>-9.3463629999999999E-3</v>
      </c>
      <c r="W7226">
        <v>-9.040724E-2</v>
      </c>
      <c r="X7226">
        <v>0.995861</v>
      </c>
      <c r="Y7226">
        <v>-6.8304820000000002E-2</v>
      </c>
      <c r="Z7226">
        <v>8.6262500000000006E-2</v>
      </c>
      <c r="AA7226">
        <v>0.99392820000000004</v>
      </c>
      <c r="AB7226">
        <v>18</v>
      </c>
      <c r="AC7226">
        <v>7.9299999999989199E-2</v>
      </c>
      <c r="AD7226">
        <v>-1.120731629202</v>
      </c>
      <c r="AE7226">
        <v>-11.842829999999999</v>
      </c>
      <c r="AF7226">
        <v>-0.812614090179408</v>
      </c>
      <c r="AG7226">
        <v>-1.120731629202</v>
      </c>
      <c r="AH7226">
        <v>11.709817935360499</v>
      </c>
      <c r="AI7226">
        <v>95.454015426461396</v>
      </c>
      <c r="AJ7226">
        <v>93.969731471249503</v>
      </c>
      <c r="AK7226">
        <v>11.791361970677601</v>
      </c>
      <c r="AL7226">
        <v>95.187035852160605</v>
      </c>
      <c r="AM7226">
        <v>90.537717042495601</v>
      </c>
      <c r="AN7226">
        <v>0.99999997743337199</v>
      </c>
    </row>
    <row r="7227" spans="1:40" x14ac:dyDescent="0.25">
      <c r="A7227" t="str">
        <f>"20190303154323547"</f>
        <v>20190303154323547</v>
      </c>
      <c r="B7227" t="str">
        <f>"1551599003537964"</f>
        <v>1551599003537964</v>
      </c>
      <c r="C7227" t="s">
        <v>40</v>
      </c>
      <c r="D7227">
        <v>5.7641210000000003</v>
      </c>
      <c r="E7227">
        <v>0.4765182</v>
      </c>
      <c r="F7227" t="s">
        <v>41</v>
      </c>
      <c r="G7227">
        <v>-300.94470000000001</v>
      </c>
      <c r="H7227" s="1">
        <v>-2.5121029999999999E-6</v>
      </c>
      <c r="I7227">
        <v>-25.141010000000001</v>
      </c>
      <c r="J7227">
        <v>-301.05860000000001</v>
      </c>
      <c r="K7227">
        <v>1.1206910000000001</v>
      </c>
      <c r="L7227">
        <v>-13.223940000000001</v>
      </c>
      <c r="M7227">
        <v>-6.1230609999999998E-2</v>
      </c>
      <c r="N7227">
        <v>-6.2772039999999998E-3</v>
      </c>
      <c r="O7227">
        <v>-0.99810399999999999</v>
      </c>
      <c r="P7227">
        <v>-4.9336600000000001E-2</v>
      </c>
      <c r="Q7227">
        <v>-9.6605389999999999E-2</v>
      </c>
      <c r="R7227">
        <v>-0.99409950000000002</v>
      </c>
      <c r="S7227">
        <v>2.572632E-2</v>
      </c>
      <c r="T7227">
        <v>-0.2771865</v>
      </c>
      <c r="U7227">
        <v>-2.9927670000000002</v>
      </c>
      <c r="V7227">
        <v>-1.149846E-2</v>
      </c>
      <c r="W7227">
        <v>-9.0372480000000005E-2</v>
      </c>
      <c r="X7227">
        <v>0.99584170000000005</v>
      </c>
      <c r="Y7227">
        <v>-6.9755709999999999E-2</v>
      </c>
      <c r="Z7227">
        <v>8.5596909999999998E-2</v>
      </c>
      <c r="AA7227">
        <v>0.99388500000000002</v>
      </c>
      <c r="AB7227">
        <v>18</v>
      </c>
      <c r="AC7227">
        <v>0.1139</v>
      </c>
      <c r="AD7227">
        <v>-1.1206935121029999</v>
      </c>
      <c r="AE7227">
        <v>-11.917070000000001</v>
      </c>
      <c r="AF7227">
        <v>-0.83599740175396497</v>
      </c>
      <c r="AG7227">
        <v>-1.1206935121029999</v>
      </c>
      <c r="AH7227">
        <v>11.7835334829921</v>
      </c>
      <c r="AI7227">
        <v>95.419333529745003</v>
      </c>
      <c r="AJ7227">
        <v>94.058120601348406</v>
      </c>
      <c r="AK7227">
        <v>11.8661917626762</v>
      </c>
      <c r="AL7227">
        <v>95.185035710235894</v>
      </c>
      <c r="AM7227">
        <v>90.661534813565396</v>
      </c>
      <c r="AN7227">
        <v>1.0000000455913001</v>
      </c>
    </row>
    <row r="7228" spans="1:40" x14ac:dyDescent="0.25">
      <c r="A7228" t="str">
        <f>"20190303154323569"</f>
        <v>20190303154323569</v>
      </c>
      <c r="B7228" t="str">
        <f>"1551599003557993"</f>
        <v>1551599003557993</v>
      </c>
      <c r="C7228" t="s">
        <v>40</v>
      </c>
      <c r="D7228">
        <v>5.7601979999999999</v>
      </c>
      <c r="E7228">
        <v>0.47593609999999997</v>
      </c>
      <c r="F7228" t="s">
        <v>41</v>
      </c>
      <c r="G7228">
        <v>-300.90140000000002</v>
      </c>
      <c r="H7228" s="1">
        <v>-2.449652E-6</v>
      </c>
      <c r="I7228">
        <v>-25.25975</v>
      </c>
      <c r="J7228">
        <v>-301.06819999999999</v>
      </c>
      <c r="K7228">
        <v>1.1206469999999999</v>
      </c>
      <c r="L7228">
        <v>-13.40488</v>
      </c>
      <c r="M7228">
        <v>-6.0015400000000003E-2</v>
      </c>
      <c r="N7228">
        <v>-6.3012349999999996E-3</v>
      </c>
      <c r="O7228">
        <v>-0.9981776</v>
      </c>
      <c r="P7228">
        <v>-4.6028289999999999E-2</v>
      </c>
      <c r="Q7228">
        <v>-9.5978579999999994E-2</v>
      </c>
      <c r="R7228">
        <v>-0.99431849999999999</v>
      </c>
      <c r="S7228">
        <v>3.9093019999999999E-2</v>
      </c>
      <c r="T7228">
        <v>-0.27865759999999901</v>
      </c>
      <c r="U7228">
        <v>-2.9926759999999999</v>
      </c>
      <c r="V7228">
        <v>-1.3612809999999999E-2</v>
      </c>
      <c r="W7228">
        <v>-8.9722990000000002E-2</v>
      </c>
      <c r="X7228">
        <v>0.99587369999999997</v>
      </c>
      <c r="Y7228">
        <v>-7.2977990000000006E-2</v>
      </c>
      <c r="Z7228">
        <v>8.605583E-2</v>
      </c>
      <c r="AA7228">
        <v>0.99361390000000005</v>
      </c>
      <c r="AB7228">
        <v>18</v>
      </c>
      <c r="AC7228">
        <v>0.166799999999966</v>
      </c>
      <c r="AD7228">
        <v>-1.1206494496520001</v>
      </c>
      <c r="AE7228">
        <v>-11.85487</v>
      </c>
      <c r="AF7228">
        <v>-0.87021344789143196</v>
      </c>
      <c r="AG7228">
        <v>-1.1206494496520001</v>
      </c>
      <c r="AH7228">
        <v>11.718790343188999</v>
      </c>
      <c r="AI7228">
        <v>95.447585956049906</v>
      </c>
      <c r="AJ7228">
        <v>94.246872968836101</v>
      </c>
      <c r="AK7228">
        <v>11.8043709591624</v>
      </c>
      <c r="AL7228">
        <v>95.147671243625695</v>
      </c>
      <c r="AM7228">
        <v>90.783139456481706</v>
      </c>
      <c r="AN7228">
        <v>0.999999974941162</v>
      </c>
    </row>
    <row r="7229" spans="1:40" x14ac:dyDescent="0.25">
      <c r="A7229" t="str">
        <f>"20190303154323592"</f>
        <v>20190303154323592</v>
      </c>
      <c r="B7229" t="str">
        <f>"1551599003587273"</f>
        <v>1551599003587273</v>
      </c>
      <c r="C7229" t="s">
        <v>40</v>
      </c>
      <c r="D7229">
        <v>5.7450830000000002</v>
      </c>
      <c r="E7229">
        <v>0.47524450000000001</v>
      </c>
      <c r="F7229" t="s">
        <v>41</v>
      </c>
      <c r="G7229">
        <v>-300.8519</v>
      </c>
      <c r="H7229" s="1">
        <v>-2.3532000000000002E-6</v>
      </c>
      <c r="I7229">
        <v>-25.453869999999998</v>
      </c>
      <c r="J7229">
        <v>-301.0779</v>
      </c>
      <c r="K7229">
        <v>1.1206020000000001</v>
      </c>
      <c r="L7229">
        <v>-13.5885</v>
      </c>
      <c r="M7229">
        <v>-5.8869520000000002E-2</v>
      </c>
      <c r="N7229">
        <v>-6.3247819999999897E-3</v>
      </c>
      <c r="O7229">
        <v>-0.99824579999999996</v>
      </c>
      <c r="P7229">
        <v>-4.3405289999999999E-2</v>
      </c>
      <c r="Q7229">
        <v>-9.5883979999999994E-2</v>
      </c>
      <c r="R7229">
        <v>-0.9944461</v>
      </c>
      <c r="S7229">
        <v>5.3741459999999998E-2</v>
      </c>
      <c r="T7229">
        <v>-0.2783506</v>
      </c>
      <c r="U7229">
        <v>-2.9927670000000002</v>
      </c>
      <c r="V7229">
        <v>-1.5107850000000001E-2</v>
      </c>
      <c r="W7229">
        <v>-8.9605099999999993E-2</v>
      </c>
      <c r="X7229">
        <v>0.99586280000000005</v>
      </c>
      <c r="Y7229">
        <v>-7.6693300000000006E-2</v>
      </c>
      <c r="Z7229">
        <v>8.5920830000000004E-2</v>
      </c>
      <c r="AA7229">
        <v>0.9933457</v>
      </c>
      <c r="AB7229">
        <v>18</v>
      </c>
      <c r="AC7229">
        <v>0.22599999999999901</v>
      </c>
      <c r="AD7229">
        <v>-1.1206043531999901</v>
      </c>
      <c r="AE7229">
        <v>-11.86537</v>
      </c>
      <c r="AF7229">
        <v>-0.91596353001987096</v>
      </c>
      <c r="AG7229">
        <v>-1.1206043531999901</v>
      </c>
      <c r="AH7229">
        <v>11.726925382066399</v>
      </c>
      <c r="AI7229">
        <v>95.442034332481199</v>
      </c>
      <c r="AJ7229">
        <v>94.466175606244704</v>
      </c>
      <c r="AK7229">
        <v>11.815901244564101</v>
      </c>
      <c r="AL7229">
        <v>95.140889101074194</v>
      </c>
      <c r="AM7229">
        <v>90.869145473876401</v>
      </c>
      <c r="AN7229">
        <v>1.0000000187507301</v>
      </c>
    </row>
    <row r="7230" spans="1:40" x14ac:dyDescent="0.25">
      <c r="A7230" t="str">
        <f>"20190303154323614"</f>
        <v>20190303154323614</v>
      </c>
      <c r="B7230" t="str">
        <f>"1551599003607769"</f>
        <v>1551599003607769</v>
      </c>
      <c r="C7230" t="s">
        <v>40</v>
      </c>
      <c r="D7230">
        <v>5.7347060000000001</v>
      </c>
      <c r="E7230">
        <v>0.47489510000000001</v>
      </c>
      <c r="F7230" t="s">
        <v>41</v>
      </c>
      <c r="G7230">
        <v>-300.81060000000002</v>
      </c>
      <c r="H7230" s="1">
        <v>-2.317069E-6</v>
      </c>
      <c r="I7230">
        <v>-25.512509999999999</v>
      </c>
      <c r="J7230">
        <v>-301.08780000000002</v>
      </c>
      <c r="K7230">
        <v>1.1205449999999999</v>
      </c>
      <c r="L7230">
        <v>-13.777889999999999</v>
      </c>
      <c r="M7230">
        <v>-5.7784460000000003E-2</v>
      </c>
      <c r="N7230">
        <v>-6.3480380000000003E-3</v>
      </c>
      <c r="O7230">
        <v>-0.99830909999999995</v>
      </c>
      <c r="P7230">
        <v>-4.1841639999999999E-2</v>
      </c>
      <c r="Q7230">
        <v>-9.7169809999999995E-2</v>
      </c>
      <c r="R7230">
        <v>-0.9943881</v>
      </c>
      <c r="S7230">
        <v>6.7077639999999994E-2</v>
      </c>
      <c r="T7230">
        <v>-0.28123680000000001</v>
      </c>
      <c r="U7230">
        <v>-2.9925540000000002</v>
      </c>
      <c r="V7230">
        <v>-1.5594210000000001E-2</v>
      </c>
      <c r="W7230">
        <v>-9.0867130000000004E-2</v>
      </c>
      <c r="X7230">
        <v>0.99574099999999999</v>
      </c>
      <c r="Y7230">
        <v>-8.0032210000000006E-2</v>
      </c>
      <c r="Z7230">
        <v>8.6844420000000005E-2</v>
      </c>
      <c r="AA7230">
        <v>0.99300189999999999</v>
      </c>
      <c r="AB7230">
        <v>18</v>
      </c>
      <c r="AC7230">
        <v>0.27719999999999301</v>
      </c>
      <c r="AD7230">
        <v>-1.1205473170689999</v>
      </c>
      <c r="AE7230">
        <v>-11.73462</v>
      </c>
      <c r="AF7230">
        <v>-0.94620586495564596</v>
      </c>
      <c r="AG7230">
        <v>-1.1205473170689999</v>
      </c>
      <c r="AH7230">
        <v>11.593338814697599</v>
      </c>
      <c r="AI7230">
        <v>95.502557010561802</v>
      </c>
      <c r="AJ7230">
        <v>94.665929802139004</v>
      </c>
      <c r="AK7230">
        <v>11.6857364637853</v>
      </c>
      <c r="AL7230">
        <v>95.213493993476803</v>
      </c>
      <c r="AM7230">
        <v>90.897230687701196</v>
      </c>
      <c r="AN7230">
        <v>1.00000007689047</v>
      </c>
    </row>
    <row r="7231" spans="1:40" x14ac:dyDescent="0.25">
      <c r="A7231" t="str">
        <f>"20190303154323637"</f>
        <v>20190303154323637</v>
      </c>
      <c r="B7231" t="str">
        <f>"1551599003627289"</f>
        <v>1551599003627289</v>
      </c>
      <c r="C7231" t="s">
        <v>40</v>
      </c>
      <c r="D7231">
        <v>5.707789</v>
      </c>
      <c r="E7231">
        <v>0.47452450000000002</v>
      </c>
      <c r="F7231" t="s">
        <v>41</v>
      </c>
      <c r="G7231">
        <v>-300.79660000000001</v>
      </c>
      <c r="H7231" s="1">
        <v>-2.3314709999999999E-6</v>
      </c>
      <c r="I7231">
        <v>-25.47024</v>
      </c>
      <c r="J7231">
        <v>-301.09730000000002</v>
      </c>
      <c r="K7231">
        <v>1.1204879999999999</v>
      </c>
      <c r="L7231">
        <v>-13.96265</v>
      </c>
      <c r="M7231">
        <v>-5.682661E-2</v>
      </c>
      <c r="N7231">
        <v>-6.373348E-3</v>
      </c>
      <c r="O7231">
        <v>-0.99836369999999997</v>
      </c>
      <c r="P7231">
        <v>-4.1157359999999997E-2</v>
      </c>
      <c r="Q7231">
        <v>-9.9148330000000007E-2</v>
      </c>
      <c r="R7231">
        <v>-0.99422120000000003</v>
      </c>
      <c r="S7231">
        <v>7.4523930000000002E-2</v>
      </c>
      <c r="T7231">
        <v>-0.28674450000000001</v>
      </c>
      <c r="U7231">
        <v>-2.992035</v>
      </c>
      <c r="V7231">
        <v>-1.532175E-2</v>
      </c>
      <c r="W7231">
        <v>-9.2819490000000004E-2</v>
      </c>
      <c r="X7231">
        <v>0.99556509999999998</v>
      </c>
      <c r="Y7231">
        <v>-8.1544450000000004E-2</v>
      </c>
      <c r="Z7231">
        <v>8.8643609999999998E-2</v>
      </c>
      <c r="AA7231">
        <v>0.99271989999999999</v>
      </c>
      <c r="AB7231">
        <v>19</v>
      </c>
      <c r="AC7231">
        <v>0.30070000000000602</v>
      </c>
      <c r="AD7231">
        <v>-1.120490331471</v>
      </c>
      <c r="AE7231">
        <v>-11.507589999999899</v>
      </c>
      <c r="AF7231">
        <v>-0.94520941352730203</v>
      </c>
      <c r="AG7231">
        <v>-1.120490331471</v>
      </c>
      <c r="AH7231">
        <v>11.3642364377107</v>
      </c>
      <c r="AI7231">
        <v>95.611792352517995</v>
      </c>
      <c r="AJ7231">
        <v>94.754577466437397</v>
      </c>
      <c r="AK7231">
        <v>11.4583938329302</v>
      </c>
      <c r="AL7231">
        <v>95.325830977401907</v>
      </c>
      <c r="AM7231">
        <v>90.881712618286997</v>
      </c>
      <c r="AN7231">
        <v>1.0000000410424601</v>
      </c>
    </row>
    <row r="7232" spans="1:40" x14ac:dyDescent="0.25">
      <c r="A7232" t="str">
        <f>"20190303154323660"</f>
        <v>20190303154323660</v>
      </c>
      <c r="B7232" t="str">
        <f>"1551599003647785"</f>
        <v>1551599003647785</v>
      </c>
      <c r="C7232" t="s">
        <v>40</v>
      </c>
      <c r="D7232">
        <v>5.7146150000000002</v>
      </c>
      <c r="E7232">
        <v>0.47424189999999999</v>
      </c>
      <c r="F7232" t="s">
        <v>41</v>
      </c>
      <c r="G7232">
        <v>-300.79349999999999</v>
      </c>
      <c r="H7232" s="1">
        <v>-2.373168E-6</v>
      </c>
      <c r="I7232">
        <v>-25.37115</v>
      </c>
      <c r="J7232">
        <v>-301.10730000000001</v>
      </c>
      <c r="K7232">
        <v>1.120444</v>
      </c>
      <c r="L7232">
        <v>-14.15601</v>
      </c>
      <c r="M7232">
        <v>-5.5923399999999998E-2</v>
      </c>
      <c r="N7232">
        <v>-6.4083639999999997E-3</v>
      </c>
      <c r="O7232">
        <v>-0.99841460000000004</v>
      </c>
      <c r="P7232">
        <v>-4.1497939999999997E-2</v>
      </c>
      <c r="Q7232">
        <v>-9.951016E-2</v>
      </c>
      <c r="R7232">
        <v>-0.99417080000000002</v>
      </c>
      <c r="S7232">
        <v>7.9650879999999993E-2</v>
      </c>
      <c r="T7232">
        <v>-0.2938038</v>
      </c>
      <c r="U7232">
        <v>-2.991425</v>
      </c>
      <c r="V7232">
        <v>-1.408893E-2</v>
      </c>
      <c r="W7232">
        <v>-9.3143809999999994E-2</v>
      </c>
      <c r="X7232">
        <v>0.99555300000000002</v>
      </c>
      <c r="Y7232">
        <v>-8.2341510000000007E-2</v>
      </c>
      <c r="Z7232">
        <v>9.0948280000000006E-2</v>
      </c>
      <c r="AA7232">
        <v>0.99244560000000004</v>
      </c>
      <c r="AB7232">
        <v>19</v>
      </c>
      <c r="AC7232">
        <v>0.31380000000001401</v>
      </c>
      <c r="AD7232">
        <v>-1.1204463731680001</v>
      </c>
      <c r="AE7232">
        <v>-11.21514</v>
      </c>
      <c r="AF7232">
        <v>-0.93122323610746605</v>
      </c>
      <c r="AG7232">
        <v>-1.1204463731680001</v>
      </c>
      <c r="AH7232">
        <v>11.069639849801399</v>
      </c>
      <c r="AI7232">
        <v>95.759471785194094</v>
      </c>
      <c r="AJ7232">
        <v>94.808632560191995</v>
      </c>
      <c r="AK7232">
        <v>11.165102023489199</v>
      </c>
      <c r="AL7232">
        <v>95.344494099919004</v>
      </c>
      <c r="AM7232">
        <v>90.810787917390002</v>
      </c>
      <c r="AN7232">
        <v>1.00000002154943</v>
      </c>
    </row>
    <row r="7233" spans="1:40" x14ac:dyDescent="0.25">
      <c r="A7233" t="str">
        <f>"20190303154323681"</f>
        <v>20190303154323681</v>
      </c>
      <c r="B7233" t="str">
        <f>"1551599003677571"</f>
        <v>1551599003677571</v>
      </c>
      <c r="C7233" t="s">
        <v>40</v>
      </c>
      <c r="D7233">
        <v>5.7231139999999998</v>
      </c>
      <c r="E7233">
        <v>0.47386840000000002</v>
      </c>
      <c r="F7233" t="s">
        <v>41</v>
      </c>
      <c r="G7233">
        <v>-300.80130000000003</v>
      </c>
      <c r="H7233" s="1">
        <v>-2.3279070000000002E-6</v>
      </c>
      <c r="I7233">
        <v>-25.481470000000002</v>
      </c>
      <c r="J7233">
        <v>-301.1164</v>
      </c>
      <c r="K7233">
        <v>1.1204190000000001</v>
      </c>
      <c r="L7233">
        <v>-14.334289999999999</v>
      </c>
      <c r="M7233">
        <v>-5.5154519999999999E-2</v>
      </c>
      <c r="N7233">
        <v>-6.4475610000000001E-3</v>
      </c>
      <c r="O7233">
        <v>-0.99845709999999999</v>
      </c>
      <c r="P7233">
        <v>-4.2604210000000003E-2</v>
      </c>
      <c r="Q7233">
        <v>-9.9206180000000005E-2</v>
      </c>
      <c r="R7233">
        <v>-0.9941546</v>
      </c>
      <c r="S7233">
        <v>8.0810549999999995E-2</v>
      </c>
      <c r="T7233">
        <v>-0.29593750000000002</v>
      </c>
      <c r="U7233">
        <v>-2.991333</v>
      </c>
      <c r="V7233">
        <v>-1.2225089999999999E-2</v>
      </c>
      <c r="W7233">
        <v>-9.2797969999999994E-2</v>
      </c>
      <c r="X7233">
        <v>0.99560990000000005</v>
      </c>
      <c r="Y7233">
        <v>-8.1957440000000006E-2</v>
      </c>
      <c r="Z7233">
        <v>9.1620019999999996E-2</v>
      </c>
      <c r="AA7233">
        <v>0.99241559999999995</v>
      </c>
      <c r="AB7233">
        <v>19</v>
      </c>
      <c r="AC7233">
        <v>0.31509999999997201</v>
      </c>
      <c r="AD7233">
        <v>-1.1204213279070001</v>
      </c>
      <c r="AE7233">
        <v>-11.147180000000001</v>
      </c>
      <c r="AF7233">
        <v>-0.92016183814033303</v>
      </c>
      <c r="AG7233">
        <v>-1.1204213279070001</v>
      </c>
      <c r="AH7233">
        <v>11.001774186526401</v>
      </c>
      <c r="AI7233">
        <v>95.794863250037693</v>
      </c>
      <c r="AJ7233">
        <v>94.780953442503801</v>
      </c>
      <c r="AK7233">
        <v>11.0968949265873</v>
      </c>
      <c r="AL7233">
        <v>95.324592875934499</v>
      </c>
      <c r="AM7233">
        <v>90.703499293642594</v>
      </c>
      <c r="AN7233">
        <v>0.99999999451981902</v>
      </c>
    </row>
    <row r="7234" spans="1:40" x14ac:dyDescent="0.25">
      <c r="A7234" t="str">
        <f>"20190303154323703"</f>
        <v>20190303154323703</v>
      </c>
      <c r="B7234" t="str">
        <f>"1551599003697090"</f>
        <v>1551599003697090</v>
      </c>
      <c r="C7234" t="s">
        <v>40</v>
      </c>
      <c r="D7234">
        <v>5.7635379999999996</v>
      </c>
      <c r="E7234">
        <v>0.47357159999999898</v>
      </c>
      <c r="F7234" t="s">
        <v>41</v>
      </c>
      <c r="G7234">
        <v>-300.81470000000002</v>
      </c>
      <c r="H7234" s="1">
        <v>-2.3007229999999998E-6</v>
      </c>
      <c r="I7234">
        <v>-25.55311</v>
      </c>
      <c r="J7234">
        <v>-301.12610000000001</v>
      </c>
      <c r="K7234">
        <v>1.120404</v>
      </c>
      <c r="L7234">
        <v>-14.52759</v>
      </c>
      <c r="M7234">
        <v>-5.438163E-2</v>
      </c>
      <c r="N7234">
        <v>-6.4992749999999997E-3</v>
      </c>
      <c r="O7234">
        <v>-0.99849900000000003</v>
      </c>
      <c r="P7234">
        <v>-4.2990649999999998E-2</v>
      </c>
      <c r="Q7234">
        <v>-9.8944539999999997E-2</v>
      </c>
      <c r="R7234">
        <v>-0.99416400000000005</v>
      </c>
      <c r="S7234">
        <v>8.0444340000000003E-2</v>
      </c>
      <c r="T7234">
        <v>-0.2987378</v>
      </c>
      <c r="U7234">
        <v>-2.9912719999999999</v>
      </c>
      <c r="V7234">
        <v>-1.107463E-2</v>
      </c>
      <c r="W7234">
        <v>-9.2483179999999998E-2</v>
      </c>
      <c r="X7234">
        <v>0.99565269999999995</v>
      </c>
      <c r="Y7234">
        <v>-8.1062759999999998E-2</v>
      </c>
      <c r="Z7234">
        <v>9.2499860000000003E-2</v>
      </c>
      <c r="AA7234">
        <v>0.9924075</v>
      </c>
      <c r="AB7234">
        <v>19</v>
      </c>
      <c r="AC7234">
        <v>0.31139999999999102</v>
      </c>
      <c r="AD7234">
        <v>-1.1204063007230001</v>
      </c>
      <c r="AE7234">
        <v>-11.02552</v>
      </c>
      <c r="AF7234">
        <v>-0.90123841902597002</v>
      </c>
      <c r="AG7234">
        <v>-1.1204063007230001</v>
      </c>
      <c r="AH7234">
        <v>10.8800064369957</v>
      </c>
      <c r="AI7234">
        <v>95.859578226048598</v>
      </c>
      <c r="AJ7234">
        <v>94.735248876856204</v>
      </c>
      <c r="AK7234">
        <v>10.974610746431701</v>
      </c>
      <c r="AL7234">
        <v>95.306478584585705</v>
      </c>
      <c r="AM7234">
        <v>90.637273812891095</v>
      </c>
      <c r="AN7234">
        <v>1.00000004251491</v>
      </c>
    </row>
    <row r="7235" spans="1:40" x14ac:dyDescent="0.25">
      <c r="A7235" t="str">
        <f>"20190303154323726"</f>
        <v>20190303154323726</v>
      </c>
      <c r="B7235" t="str">
        <f>"1551599003717587"</f>
        <v>1551599003717587</v>
      </c>
      <c r="C7235" t="s">
        <v>40</v>
      </c>
      <c r="D7235">
        <v>5.8265510000000003</v>
      </c>
      <c r="E7235">
        <v>0.47328680000000001</v>
      </c>
      <c r="F7235" t="s">
        <v>41</v>
      </c>
      <c r="G7235">
        <v>-300.82139999999998</v>
      </c>
      <c r="H7235" s="1">
        <v>-2.2351579999999999E-6</v>
      </c>
      <c r="I7235">
        <v>-25.71011</v>
      </c>
      <c r="J7235">
        <v>-301.13560000000001</v>
      </c>
      <c r="K7235">
        <v>1.120395</v>
      </c>
      <c r="L7235">
        <v>-14.71622</v>
      </c>
      <c r="M7235">
        <v>-5.3678699999999899E-2</v>
      </c>
      <c r="N7235">
        <v>-6.5637040000000001E-3</v>
      </c>
      <c r="O7235">
        <v>-0.99853689999999995</v>
      </c>
      <c r="P7235">
        <v>-4.4044460000000001E-2</v>
      </c>
      <c r="Q7235">
        <v>-9.9187899999999996E-2</v>
      </c>
      <c r="R7235">
        <v>-0.99409380000000003</v>
      </c>
      <c r="S7235">
        <v>8.151245E-2</v>
      </c>
      <c r="T7235">
        <v>-0.29970629999999998</v>
      </c>
      <c r="U7235">
        <v>-2.9913020000000001</v>
      </c>
      <c r="V7235">
        <v>-9.3206829999999997E-3</v>
      </c>
      <c r="W7235">
        <v>-9.2660889999999996E-2</v>
      </c>
      <c r="X7235">
        <v>0.99565409999999999</v>
      </c>
      <c r="Y7235">
        <v>-8.0714040000000001E-2</v>
      </c>
      <c r="Z7235">
        <v>9.2759179999999997E-2</v>
      </c>
      <c r="AA7235">
        <v>0.99241170000000001</v>
      </c>
      <c r="AB7235">
        <v>19</v>
      </c>
      <c r="AC7235">
        <v>0.31420000000002801</v>
      </c>
      <c r="AD7235">
        <v>-1.120397235158</v>
      </c>
      <c r="AE7235">
        <v>-10.99389</v>
      </c>
      <c r="AF7235">
        <v>-0.89461357267951402</v>
      </c>
      <c r="AG7235">
        <v>-1.120397235158</v>
      </c>
      <c r="AH7235">
        <v>10.8485930687498</v>
      </c>
      <c r="AI7235">
        <v>95.876557158589307</v>
      </c>
      <c r="AJ7235">
        <v>94.714147312505204</v>
      </c>
      <c r="AK7235">
        <v>10.942924425412899</v>
      </c>
      <c r="AL7235">
        <v>95.316704747429995</v>
      </c>
      <c r="AM7235">
        <v>90.536351127154504</v>
      </c>
      <c r="AN7235">
        <v>1.0000000012569901</v>
      </c>
    </row>
    <row r="7236" spans="1:40" x14ac:dyDescent="0.25">
      <c r="A7236" t="str">
        <f>"20190303154323748"</f>
        <v>20190303154323748</v>
      </c>
      <c r="B7236" t="str">
        <f>"1551599003737106"</f>
        <v>1551599003737106</v>
      </c>
      <c r="C7236" t="s">
        <v>40</v>
      </c>
      <c r="D7236">
        <v>5.7536060000000004</v>
      </c>
      <c r="E7236">
        <v>0.47309289999999998</v>
      </c>
      <c r="F7236" t="s">
        <v>41</v>
      </c>
      <c r="G7236">
        <v>-300.83580000000001</v>
      </c>
      <c r="H7236" s="1">
        <v>-2.1904869999999999E-6</v>
      </c>
      <c r="I7236">
        <v>-25.82321</v>
      </c>
      <c r="J7236">
        <v>-301.14499999999998</v>
      </c>
      <c r="K7236">
        <v>1.1204019999999999</v>
      </c>
      <c r="L7236">
        <v>-14.90598</v>
      </c>
      <c r="M7236">
        <v>-5.3010969999999998E-2</v>
      </c>
      <c r="N7236">
        <v>-6.6477109999999997E-3</v>
      </c>
      <c r="O7236">
        <v>-0.99857200000000002</v>
      </c>
      <c r="P7236">
        <v>-4.4689130000000001E-2</v>
      </c>
      <c r="Q7236">
        <v>-9.9367860000000002E-2</v>
      </c>
      <c r="R7236">
        <v>-0.99404700000000001</v>
      </c>
      <c r="S7236">
        <v>8.0718990000000004E-2</v>
      </c>
      <c r="T7236">
        <v>-0.30174200000000001</v>
      </c>
      <c r="U7236">
        <v>-2.9913020000000001</v>
      </c>
      <c r="V7236">
        <v>-8.0107269999999901E-3</v>
      </c>
      <c r="W7236">
        <v>-9.2756249999999998E-2</v>
      </c>
      <c r="X7236">
        <v>0.9956566</v>
      </c>
      <c r="Y7236">
        <v>-7.9782770000000003E-2</v>
      </c>
      <c r="Z7236">
        <v>9.3353179999999994E-2</v>
      </c>
      <c r="AA7236">
        <v>0.99243130000000002</v>
      </c>
      <c r="AB7236">
        <v>19</v>
      </c>
      <c r="AC7236">
        <v>0.30919999999997499</v>
      </c>
      <c r="AD7236">
        <v>-1.1204041904869999</v>
      </c>
      <c r="AE7236">
        <v>-10.91723</v>
      </c>
      <c r="AF7236">
        <v>-0.87826805376940598</v>
      </c>
      <c r="AG7236">
        <v>-1.1204041904869999</v>
      </c>
      <c r="AH7236">
        <v>10.772122949712999</v>
      </c>
      <c r="AI7236">
        <v>95.918461698817794</v>
      </c>
      <c r="AJ7236">
        <v>94.661104805980401</v>
      </c>
      <c r="AK7236">
        <v>10.865785437236701</v>
      </c>
      <c r="AL7236">
        <v>95.322192222141396</v>
      </c>
      <c r="AM7236">
        <v>90.460973135319705</v>
      </c>
      <c r="AN7236">
        <v>0.99999997939234497</v>
      </c>
    </row>
    <row r="7237" spans="1:40" x14ac:dyDescent="0.25">
      <c r="A7237" t="str">
        <f>"20190303154323771"</f>
        <v>20190303154323771</v>
      </c>
      <c r="B7237" t="str">
        <f>"1551599003767363"</f>
        <v>1551599003767363</v>
      </c>
      <c r="C7237" t="s">
        <v>40</v>
      </c>
      <c r="D7237">
        <v>5.692221</v>
      </c>
      <c r="E7237">
        <v>0.47280169999999999</v>
      </c>
      <c r="F7237" t="s">
        <v>41</v>
      </c>
      <c r="G7237">
        <v>-300.84870000000001</v>
      </c>
      <c r="H7237" s="1">
        <v>-2.140052E-6</v>
      </c>
      <c r="I7237">
        <v>-25.948730000000001</v>
      </c>
      <c r="J7237">
        <v>-301.15429999999998</v>
      </c>
      <c r="K7237">
        <v>1.120422</v>
      </c>
      <c r="L7237">
        <v>-15.09714</v>
      </c>
      <c r="M7237">
        <v>-5.2363590000000002E-2</v>
      </c>
      <c r="N7237">
        <v>-6.7669330000000001E-3</v>
      </c>
      <c r="O7237">
        <v>-0.99860539999999998</v>
      </c>
      <c r="P7237">
        <v>-4.4614460000000002E-2</v>
      </c>
      <c r="Q7237">
        <v>-9.9012180000000005E-2</v>
      </c>
      <c r="R7237">
        <v>-0.99408589999999997</v>
      </c>
      <c r="S7237">
        <v>8.0261230000000003E-2</v>
      </c>
      <c r="T7237">
        <v>-0.30349300000000001</v>
      </c>
      <c r="U7237">
        <v>-2.991241</v>
      </c>
      <c r="V7237">
        <v>-7.4432359999999998E-3</v>
      </c>
      <c r="W7237">
        <v>-9.2281189999999999E-2</v>
      </c>
      <c r="X7237">
        <v>0.99570519999999996</v>
      </c>
      <c r="Y7237">
        <v>-7.8983780000000003E-2</v>
      </c>
      <c r="Z7237">
        <v>9.3819769999999997E-2</v>
      </c>
      <c r="AA7237">
        <v>0.99245119999999998</v>
      </c>
      <c r="AB7237">
        <v>19</v>
      </c>
      <c r="AC7237">
        <v>0.30559999999996901</v>
      </c>
      <c r="AD7237">
        <v>-1.1204241400520001</v>
      </c>
      <c r="AE7237">
        <v>-10.8515899999999</v>
      </c>
      <c r="AF7237">
        <v>-0.86421611974284496</v>
      </c>
      <c r="AG7237">
        <v>-1.1204241400520001</v>
      </c>
      <c r="AH7237">
        <v>10.7066512426521</v>
      </c>
      <c r="AI7237">
        <v>95.954887193079102</v>
      </c>
      <c r="AJ7237">
        <v>94.614777839324304</v>
      </c>
      <c r="AK7237">
        <v>10.799750024283799</v>
      </c>
      <c r="AL7237">
        <v>95.294855759662994</v>
      </c>
      <c r="AM7237">
        <v>90.428297517420802</v>
      </c>
      <c r="AN7237">
        <v>1.0000000325484999</v>
      </c>
    </row>
    <row r="7238" spans="1:40" x14ac:dyDescent="0.25">
      <c r="A7238" t="str">
        <f>"20190303154323792"</f>
        <v>20190303154323792</v>
      </c>
      <c r="B7238" t="str">
        <f>"1551599003787858"</f>
        <v>1551599003787858</v>
      </c>
      <c r="C7238" t="s">
        <v>40</v>
      </c>
      <c r="D7238">
        <v>5.7436439999999997</v>
      </c>
      <c r="E7238">
        <v>0.47262900000000002</v>
      </c>
      <c r="F7238" t="s">
        <v>41</v>
      </c>
      <c r="G7238">
        <v>-300.8492</v>
      </c>
      <c r="H7238" s="1">
        <v>-2.0696169999999999E-6</v>
      </c>
      <c r="I7238">
        <v>-26.113240000000001</v>
      </c>
      <c r="J7238">
        <v>-301.16359999999997</v>
      </c>
      <c r="K7238">
        <v>1.120466</v>
      </c>
      <c r="L7238">
        <v>-15.288880000000001</v>
      </c>
      <c r="M7238">
        <v>-5.1725889999999997E-2</v>
      </c>
      <c r="N7238">
        <v>-6.9530659999999999E-3</v>
      </c>
      <c r="O7238">
        <v>-0.99863710000000006</v>
      </c>
      <c r="P7238">
        <v>-4.4265430000000001E-2</v>
      </c>
      <c r="Q7238">
        <v>-9.8884810000000004E-2</v>
      </c>
      <c r="R7238">
        <v>-0.99411389999999999</v>
      </c>
      <c r="S7238">
        <v>8.2855219999999993E-2</v>
      </c>
      <c r="T7238">
        <v>-0.304235799999999</v>
      </c>
      <c r="U7238">
        <v>-2.9912719999999999</v>
      </c>
      <c r="V7238">
        <v>-7.1576209999999899E-3</v>
      </c>
      <c r="W7238">
        <v>-9.1968250000000001E-2</v>
      </c>
      <c r="X7238">
        <v>0.99573619999999996</v>
      </c>
      <c r="Y7238">
        <v>-7.9205849999999994E-2</v>
      </c>
      <c r="Z7238">
        <v>9.3879920000000006E-2</v>
      </c>
      <c r="AA7238">
        <v>0.99242779999999997</v>
      </c>
      <c r="AB7238">
        <v>19</v>
      </c>
      <c r="AC7238">
        <v>0.31439999999997698</v>
      </c>
      <c r="AD7238">
        <v>-1.120468069617</v>
      </c>
      <c r="AE7238">
        <v>-10.82436</v>
      </c>
      <c r="AF7238">
        <v>-0.86463548670713897</v>
      </c>
      <c r="AG7238">
        <v>-1.120468069617</v>
      </c>
      <c r="AH7238">
        <v>10.6792733584454</v>
      </c>
      <c r="AI7238">
        <v>95.970158483467699</v>
      </c>
      <c r="AJ7238">
        <v>94.628792521079404</v>
      </c>
      <c r="AK7238">
        <v>10.7726469674034</v>
      </c>
      <c r="AL7238">
        <v>95.276849295146206</v>
      </c>
      <c r="AM7238">
        <v>90.411850459379195</v>
      </c>
      <c r="AN7238">
        <v>0.99999998526844003</v>
      </c>
    </row>
    <row r="7239" spans="1:40" x14ac:dyDescent="0.25">
      <c r="A7239" t="str">
        <f>"20190303154323817"</f>
        <v>20190303154323817</v>
      </c>
      <c r="B7239" t="str">
        <f>"1551599003807378"</f>
        <v>1551599003807378</v>
      </c>
      <c r="C7239" t="s">
        <v>40</v>
      </c>
      <c r="D7239">
        <v>5.7542920000000004</v>
      </c>
      <c r="E7239">
        <v>0.47243449999999998</v>
      </c>
      <c r="F7239" t="s">
        <v>41</v>
      </c>
      <c r="G7239">
        <v>-300.85050000000001</v>
      </c>
      <c r="H7239" s="1">
        <v>-1.9923049999999999E-6</v>
      </c>
      <c r="I7239">
        <v>-26.294250000000002</v>
      </c>
      <c r="J7239">
        <v>-301.17320000000001</v>
      </c>
      <c r="K7239">
        <v>1.120533</v>
      </c>
      <c r="L7239">
        <v>-15.488340000000001</v>
      </c>
      <c r="M7239">
        <v>-5.106492E-2</v>
      </c>
      <c r="N7239">
        <v>-7.2532789999999996E-3</v>
      </c>
      <c r="O7239">
        <v>-0.99866900000000003</v>
      </c>
      <c r="P7239">
        <v>-4.4110480000000001E-2</v>
      </c>
      <c r="Q7239">
        <v>-9.8979979999999995E-2</v>
      </c>
      <c r="R7239">
        <v>-0.99411139999999998</v>
      </c>
      <c r="S7239">
        <v>8.5113530000000007E-2</v>
      </c>
      <c r="T7239">
        <v>-0.30454439999999999</v>
      </c>
      <c r="U7239">
        <v>-2.9912719999999999</v>
      </c>
      <c r="V7239">
        <v>-6.6516040000000002E-3</v>
      </c>
      <c r="W7239">
        <v>-9.1764319999999996E-2</v>
      </c>
      <c r="X7239">
        <v>0.99575849999999999</v>
      </c>
      <c r="Y7239">
        <v>-7.9293920000000004E-2</v>
      </c>
      <c r="Z7239">
        <v>9.3685779999999996E-2</v>
      </c>
      <c r="AA7239">
        <v>0.99243919999999997</v>
      </c>
      <c r="AB7239">
        <v>19</v>
      </c>
      <c r="AC7239">
        <v>0.32269999999999699</v>
      </c>
      <c r="AD7239">
        <v>-1.1205349923050001</v>
      </c>
      <c r="AE7239">
        <v>-10.805910000000001</v>
      </c>
      <c r="AF7239">
        <v>-0.86480547056897294</v>
      </c>
      <c r="AG7239">
        <v>-1.1205349923050001</v>
      </c>
      <c r="AH7239">
        <v>10.6607990556996</v>
      </c>
      <c r="AI7239">
        <v>95.980709283219099</v>
      </c>
      <c r="AJ7239">
        <v>94.6376864941234</v>
      </c>
      <c r="AK7239">
        <v>10.7543537080064</v>
      </c>
      <c r="AL7239">
        <v>95.265115469221996</v>
      </c>
      <c r="AM7239">
        <v>90.382726502246697</v>
      </c>
      <c r="AN7239">
        <v>0.99999996229154098</v>
      </c>
    </row>
    <row r="7240" spans="1:40" x14ac:dyDescent="0.25">
      <c r="A7240" t="str">
        <f>"20190303154323838"</f>
        <v>20190303154323838</v>
      </c>
      <c r="B7240" t="str">
        <f>"1551599003827875"</f>
        <v>1551599003827875</v>
      </c>
      <c r="C7240" t="s">
        <v>40</v>
      </c>
      <c r="D7240">
        <v>5.733104</v>
      </c>
      <c r="E7240">
        <v>0.47223749999999998</v>
      </c>
      <c r="F7240" t="s">
        <v>41</v>
      </c>
      <c r="G7240">
        <v>-300.85359999999997</v>
      </c>
      <c r="H7240" s="1">
        <v>-1.9256240000000001E-6</v>
      </c>
      <c r="I7240">
        <v>-26.451640000000001</v>
      </c>
      <c r="J7240">
        <v>-301.18209999999999</v>
      </c>
      <c r="K7240">
        <v>1.1206309999999999</v>
      </c>
      <c r="L7240">
        <v>-15.67694</v>
      </c>
      <c r="M7240">
        <v>-5.0436719999999997E-2</v>
      </c>
      <c r="N7240">
        <v>-7.6690339999999999E-3</v>
      </c>
      <c r="O7240">
        <v>-0.99869819999999998</v>
      </c>
      <c r="P7240">
        <v>-4.379255E-2</v>
      </c>
      <c r="Q7240">
        <v>-9.9151080000000003E-2</v>
      </c>
      <c r="R7240">
        <v>-0.99410889999999996</v>
      </c>
      <c r="S7240">
        <v>8.7188719999999997E-2</v>
      </c>
      <c r="T7240">
        <v>-0.30572500000000002</v>
      </c>
      <c r="U7240">
        <v>-2.9912109999999998</v>
      </c>
      <c r="V7240">
        <v>-6.3402679999999996E-3</v>
      </c>
      <c r="W7240">
        <v>-9.1521530000000004E-2</v>
      </c>
      <c r="X7240">
        <v>0.99578290000000003</v>
      </c>
      <c r="Y7240">
        <v>-7.9353530000000005E-2</v>
      </c>
      <c r="Z7240">
        <v>9.3664570000000003E-2</v>
      </c>
      <c r="AA7240">
        <v>0.99243630000000005</v>
      </c>
      <c r="AB7240">
        <v>19</v>
      </c>
      <c r="AC7240">
        <v>0.328500000000019</v>
      </c>
      <c r="AD7240">
        <v>-1.120632925624</v>
      </c>
      <c r="AE7240">
        <v>-10.774699999999999</v>
      </c>
      <c r="AF7240">
        <v>-0.86222000176159197</v>
      </c>
      <c r="AG7240">
        <v>-1.120632925624</v>
      </c>
      <c r="AH7240">
        <v>10.6295413558072</v>
      </c>
      <c r="AI7240">
        <v>95.998691050987205</v>
      </c>
      <c r="AJ7240">
        <v>94.6374196010795</v>
      </c>
      <c r="AK7240">
        <v>10.7231707493748</v>
      </c>
      <c r="AL7240">
        <v>95.2511457127314</v>
      </c>
      <c r="AM7240">
        <v>90.364804103866604</v>
      </c>
      <c r="AN7240">
        <v>0.99999998669213097</v>
      </c>
    </row>
    <row r="7241" spans="1:40" x14ac:dyDescent="0.25">
      <c r="A7241" t="str">
        <f>"20190303154323863"</f>
        <v>20190303154323863</v>
      </c>
      <c r="B7241" t="str">
        <f>"1551599003857154"</f>
        <v>1551599003857154</v>
      </c>
      <c r="C7241" t="s">
        <v>40</v>
      </c>
      <c r="D7241">
        <v>5.7973619999999997</v>
      </c>
      <c r="E7241">
        <v>0.4722441</v>
      </c>
      <c r="F7241" t="s">
        <v>41</v>
      </c>
      <c r="G7241">
        <v>-300.85489999999999</v>
      </c>
      <c r="H7241" s="1">
        <v>-1.8735210000000001E-6</v>
      </c>
      <c r="I7241">
        <v>-26.573899999999998</v>
      </c>
      <c r="J7241">
        <v>-301.19189999999998</v>
      </c>
      <c r="K7241">
        <v>1.1207609999999999</v>
      </c>
      <c r="L7241">
        <v>-15.88846</v>
      </c>
      <c r="M7241">
        <v>-4.9731459999999998E-2</v>
      </c>
      <c r="N7241">
        <v>-8.2334019999999904E-3</v>
      </c>
      <c r="O7241">
        <v>-0.99872870000000002</v>
      </c>
      <c r="P7241">
        <v>-4.2876249999999998E-2</v>
      </c>
      <c r="Q7241">
        <v>-9.9432530000000005E-2</v>
      </c>
      <c r="R7241">
        <v>-0.99412020000000001</v>
      </c>
      <c r="S7241">
        <v>8.9813229999999994E-2</v>
      </c>
      <c r="T7241">
        <v>-0.30759750000000002</v>
      </c>
      <c r="U7241">
        <v>-2.9910580000000002</v>
      </c>
      <c r="V7241">
        <v>-6.5507849999999999E-3</v>
      </c>
      <c r="W7241">
        <v>-9.1241580000000003E-2</v>
      </c>
      <c r="X7241">
        <v>0.9958072</v>
      </c>
      <c r="Y7241">
        <v>-7.9518270000000002E-2</v>
      </c>
      <c r="Z7241">
        <v>9.3725230000000007E-2</v>
      </c>
      <c r="AA7241">
        <v>0.99241749999999995</v>
      </c>
      <c r="AB7241">
        <v>19</v>
      </c>
      <c r="AC7241">
        <v>0.33699999999998898</v>
      </c>
      <c r="AD7241">
        <v>-1.120762873521</v>
      </c>
      <c r="AE7241">
        <v>-10.6854399999999</v>
      </c>
      <c r="AF7241">
        <v>-0.85856757040484799</v>
      </c>
      <c r="AG7241">
        <v>-1.120762873521</v>
      </c>
      <c r="AH7241">
        <v>10.5396231625868</v>
      </c>
      <c r="AI7241">
        <v>96.050019375134696</v>
      </c>
      <c r="AJ7241">
        <v>94.6570847157722</v>
      </c>
      <c r="AK7241">
        <v>10.6337624621274</v>
      </c>
      <c r="AL7241">
        <v>95.235038509728298</v>
      </c>
      <c r="AM7241">
        <v>90.376907215553999</v>
      </c>
      <c r="AN7241">
        <v>0.99999995913842499</v>
      </c>
    </row>
    <row r="7242" spans="1:40" x14ac:dyDescent="0.25">
      <c r="A7242" t="str">
        <f>"20190303154323884"</f>
        <v>20190303154323884</v>
      </c>
      <c r="B7242" t="str">
        <f>"1551599003877652"</f>
        <v>1551599003877652</v>
      </c>
      <c r="C7242" t="s">
        <v>40</v>
      </c>
      <c r="D7242">
        <v>5.717079</v>
      </c>
      <c r="E7242">
        <v>0.50121729999999998</v>
      </c>
      <c r="F7242" t="s">
        <v>41</v>
      </c>
      <c r="G7242">
        <v>-300.85489999999999</v>
      </c>
      <c r="H7242" s="1">
        <v>-1.7899129999999999E-6</v>
      </c>
      <c r="I7242">
        <v>-26.768820000000002</v>
      </c>
      <c r="J7242">
        <v>-301.2004</v>
      </c>
      <c r="K7242">
        <v>1.1208610000000001</v>
      </c>
      <c r="L7242">
        <v>-16.073270000000001</v>
      </c>
      <c r="M7242">
        <v>-4.910511E-2</v>
      </c>
      <c r="N7242">
        <v>-8.7810890000000006E-3</v>
      </c>
      <c r="O7242">
        <v>-0.99875499999999995</v>
      </c>
      <c r="P7242">
        <v>-4.2059970000000002E-2</v>
      </c>
      <c r="Q7242">
        <v>-9.9757120000000005E-2</v>
      </c>
      <c r="R7242">
        <v>-0.99412230000000001</v>
      </c>
      <c r="S7242">
        <v>9.2620850000000005E-2</v>
      </c>
      <c r="T7242">
        <v>-0.30808990000000003</v>
      </c>
      <c r="U7242">
        <v>-2.990936</v>
      </c>
      <c r="V7242">
        <v>-6.7403810000000002E-3</v>
      </c>
      <c r="W7242">
        <v>-9.1021320000000003E-2</v>
      </c>
      <c r="X7242">
        <v>0.99582610000000005</v>
      </c>
      <c r="Y7242">
        <v>-7.9823599999999995E-2</v>
      </c>
      <c r="Z7242">
        <v>9.3347189999999997E-2</v>
      </c>
      <c r="AA7242">
        <v>0.99242859999999999</v>
      </c>
      <c r="AB7242">
        <v>19</v>
      </c>
      <c r="AC7242">
        <v>0.34550000000001502</v>
      </c>
      <c r="AD7242">
        <v>-1.1208627899129999</v>
      </c>
      <c r="AE7242">
        <v>-10.695550000000001</v>
      </c>
      <c r="AF7242">
        <v>-0.86086504003421505</v>
      </c>
      <c r="AG7242">
        <v>-1.1208627899129999</v>
      </c>
      <c r="AH7242">
        <v>10.549936380180601</v>
      </c>
      <c r="AI7242">
        <v>96.044616627952706</v>
      </c>
      <c r="AJ7242">
        <v>94.6649471673108</v>
      </c>
      <c r="AK7242">
        <v>10.6441805526223</v>
      </c>
      <c r="AL7242">
        <v>95.222365764598706</v>
      </c>
      <c r="AM7242">
        <v>90.387808158476602</v>
      </c>
      <c r="AN7242">
        <v>0.99999996743588804</v>
      </c>
    </row>
    <row r="7243" spans="1:40" x14ac:dyDescent="0.25">
      <c r="A7243" t="str">
        <f>"20190303154323905"</f>
        <v>20190303154323905</v>
      </c>
      <c r="B7243" t="str">
        <f>"1551599003897170"</f>
        <v>1551599003897170</v>
      </c>
      <c r="C7243" t="s">
        <v>40</v>
      </c>
      <c r="D7243">
        <v>5.7069210000000004</v>
      </c>
      <c r="E7243">
        <v>0.50168880000000005</v>
      </c>
      <c r="F7243" t="s">
        <v>41</v>
      </c>
      <c r="G7243">
        <v>-301.89710000000002</v>
      </c>
      <c r="H7243" s="1">
        <v>-4.2742639999999997E-6</v>
      </c>
      <c r="I7243">
        <v>-31.441960000000002</v>
      </c>
      <c r="J7243">
        <v>-301.20839999999998</v>
      </c>
      <c r="K7243">
        <v>1.120957</v>
      </c>
      <c r="L7243">
        <v>-16.252009999999999</v>
      </c>
      <c r="M7243">
        <v>-4.8485149999999998E-2</v>
      </c>
      <c r="N7243">
        <v>-9.3302000000000003E-3</v>
      </c>
      <c r="O7243">
        <v>-0.99878049999999996</v>
      </c>
      <c r="P7243">
        <v>-4.1452509999999998E-2</v>
      </c>
      <c r="Q7243">
        <v>-0.1000495</v>
      </c>
      <c r="R7243">
        <v>-0.99411859999999996</v>
      </c>
      <c r="S7243">
        <v>-0.13555909999999999</v>
      </c>
      <c r="T7243">
        <v>-0.2180742</v>
      </c>
      <c r="U7243">
        <v>-2.9901119999999999</v>
      </c>
      <c r="V7243">
        <v>-6.7291419999999996E-3</v>
      </c>
      <c r="W7243">
        <v>-9.0767120000000007E-2</v>
      </c>
      <c r="X7243">
        <v>0.9958494</v>
      </c>
      <c r="Y7243">
        <v>-3.2911379999999999E-3</v>
      </c>
      <c r="Z7243">
        <v>6.3274789999999997E-2</v>
      </c>
      <c r="AA7243">
        <v>0.99799070000000001</v>
      </c>
      <c r="AB7243">
        <v>19</v>
      </c>
      <c r="AC7243">
        <v>-0.68870000000003895</v>
      </c>
      <c r="AD7243">
        <v>-1.1209612742640001</v>
      </c>
      <c r="AE7243">
        <v>-15.1899499999999</v>
      </c>
      <c r="AF7243">
        <v>-4.8366126017711501E-2</v>
      </c>
      <c r="AG7243">
        <v>-1.1209612742640001</v>
      </c>
      <c r="AH7243">
        <v>15.123286039689599</v>
      </c>
      <c r="AI7243">
        <v>94.239078033565306</v>
      </c>
      <c r="AJ7243">
        <v>90.183238314553407</v>
      </c>
      <c r="AK7243">
        <v>15.164849953059701</v>
      </c>
      <c r="AL7243">
        <v>95.207740522010397</v>
      </c>
      <c r="AM7243">
        <v>90.387152483562403</v>
      </c>
      <c r="AN7243">
        <v>0.99999998945275503</v>
      </c>
    </row>
    <row r="7244" spans="1:40" x14ac:dyDescent="0.25">
      <c r="A7244" t="str">
        <f>"20190303154323927"</f>
        <v>20190303154323927</v>
      </c>
      <c r="B7244" t="str">
        <f>"1551599003917667"</f>
        <v>1551599003917667</v>
      </c>
      <c r="C7244" t="s">
        <v>40</v>
      </c>
      <c r="D7244">
        <v>5.7567890000000004</v>
      </c>
      <c r="E7244">
        <v>0.50067600000000001</v>
      </c>
      <c r="F7244" t="s">
        <v>41</v>
      </c>
      <c r="G7244">
        <v>-301.92469999999997</v>
      </c>
      <c r="H7244" s="1">
        <v>-4.1556490000000004E-6</v>
      </c>
      <c r="I7244">
        <v>-31.804919999999999</v>
      </c>
      <c r="J7244">
        <v>-301.21679999999998</v>
      </c>
      <c r="K7244">
        <v>1.121048</v>
      </c>
      <c r="L7244">
        <v>-16.43948</v>
      </c>
      <c r="M7244">
        <v>-4.7818920000000001E-2</v>
      </c>
      <c r="N7244">
        <v>-9.8908050000000008E-3</v>
      </c>
      <c r="O7244">
        <v>-0.99880690000000005</v>
      </c>
      <c r="P7244">
        <v>-4.0784569999999999E-2</v>
      </c>
      <c r="Q7244">
        <v>-0.1000339</v>
      </c>
      <c r="R7244">
        <v>-0.99414769999999997</v>
      </c>
      <c r="S7244">
        <v>-0.13772579999999901</v>
      </c>
      <c r="T7244">
        <v>-0.21552489999999999</v>
      </c>
      <c r="U7244">
        <v>-2.990326</v>
      </c>
      <c r="V7244">
        <v>-6.7332919999999897E-3</v>
      </c>
      <c r="W7244">
        <v>-9.0193309999999999E-2</v>
      </c>
      <c r="X7244">
        <v>0.9959015</v>
      </c>
      <c r="Y7244">
        <v>-1.9024129999999999E-3</v>
      </c>
      <c r="Z7244">
        <v>6.1868649999999997E-2</v>
      </c>
      <c r="AA7244">
        <v>0.99808249999999998</v>
      </c>
      <c r="AB7244">
        <v>19</v>
      </c>
      <c r="AC7244">
        <v>-0.70789999999999498</v>
      </c>
      <c r="AD7244">
        <v>-1.1210521556489901</v>
      </c>
      <c r="AE7244">
        <v>-15.36544</v>
      </c>
      <c r="AF7244">
        <v>-2.7558316980799798E-2</v>
      </c>
      <c r="AG7244">
        <v>-1.1210521556489901</v>
      </c>
      <c r="AH7244">
        <v>15.3004404991354</v>
      </c>
      <c r="AI7244">
        <v>94.190525258244904</v>
      </c>
      <c r="AJ7244">
        <v>90.103197914211094</v>
      </c>
      <c r="AK7244">
        <v>15.341479617823801</v>
      </c>
      <c r="AL7244">
        <v>95.174728249909606</v>
      </c>
      <c r="AM7244">
        <v>90.387370975644799</v>
      </c>
      <c r="AN7244">
        <v>0.99999998404608104</v>
      </c>
    </row>
    <row r="7245" spans="1:40" x14ac:dyDescent="0.25">
      <c r="A7245" t="str">
        <f>"20190303154323949"</f>
        <v>20190303154323949</v>
      </c>
      <c r="B7245" t="str">
        <f>"1551599003937186"</f>
        <v>1551599003937186</v>
      </c>
      <c r="C7245" t="s">
        <v>40</v>
      </c>
      <c r="D7245">
        <v>5.7054609999999997</v>
      </c>
      <c r="E7245">
        <v>0.50092130000000001</v>
      </c>
      <c r="F7245" t="s">
        <v>41</v>
      </c>
      <c r="G7245">
        <v>-301.86189999999999</v>
      </c>
      <c r="H7245" s="1">
        <v>-4.229426E-6</v>
      </c>
      <c r="I7245">
        <v>-31.55538</v>
      </c>
      <c r="J7245">
        <v>-301.22500000000002</v>
      </c>
      <c r="K7245">
        <v>1.1211260000000001</v>
      </c>
      <c r="L7245">
        <v>-16.628050000000002</v>
      </c>
      <c r="M7245">
        <v>-4.7135080000000003E-2</v>
      </c>
      <c r="N7245">
        <v>-1.0412569999999999E-2</v>
      </c>
      <c r="O7245">
        <v>-0.99883429999999995</v>
      </c>
      <c r="P7245">
        <v>-4.0387630000000001E-2</v>
      </c>
      <c r="Q7245">
        <v>-0.10005459999999999</v>
      </c>
      <c r="R7245">
        <v>-0.99416230000000005</v>
      </c>
      <c r="S7245">
        <v>-0.1276245</v>
      </c>
      <c r="T7245">
        <v>-0.22175800000000001</v>
      </c>
      <c r="U7245">
        <v>-2.9901119999999999</v>
      </c>
      <c r="V7245">
        <v>-6.4467550000000002E-3</v>
      </c>
      <c r="W7245">
        <v>-8.9694339999999997E-2</v>
      </c>
      <c r="X7245">
        <v>0.99594850000000001</v>
      </c>
      <c r="Y7245">
        <v>-4.5827849999999998E-3</v>
      </c>
      <c r="Z7245">
        <v>6.3426140000000006E-2</v>
      </c>
      <c r="AA7245">
        <v>0.99797599999999997</v>
      </c>
      <c r="AB7245">
        <v>19</v>
      </c>
      <c r="AC7245">
        <v>-0.63689999999996805</v>
      </c>
      <c r="AD7245">
        <v>-1.1211302294259999</v>
      </c>
      <c r="AE7245">
        <v>-14.9273299999999</v>
      </c>
      <c r="AF7245">
        <v>-6.7069337800926707E-2</v>
      </c>
      <c r="AG7245">
        <v>-1.1211302294259999</v>
      </c>
      <c r="AH7245">
        <v>14.857103755314499</v>
      </c>
      <c r="AI7245">
        <v>94.315367798593698</v>
      </c>
      <c r="AJ7245">
        <v>90.258648250052801</v>
      </c>
      <c r="AK7245">
        <v>14.8994954036566</v>
      </c>
      <c r="AL7245">
        <v>95.146022816044194</v>
      </c>
      <c r="AM7245">
        <v>90.370869271208093</v>
      </c>
      <c r="AN7245">
        <v>1.0000000249651499</v>
      </c>
    </row>
    <row r="7246" spans="1:40" x14ac:dyDescent="0.25">
      <c r="A7246" t="str">
        <f>"20190303154323971"</f>
        <v>20190303154323971</v>
      </c>
      <c r="B7246" t="str">
        <f>"1551599003967442"</f>
        <v>1551599003967442</v>
      </c>
      <c r="C7246" t="s">
        <v>40</v>
      </c>
      <c r="D7246">
        <v>5.6905330000000003</v>
      </c>
      <c r="E7246">
        <v>0.50083659999999997</v>
      </c>
      <c r="F7246" t="s">
        <v>41</v>
      </c>
      <c r="G7246">
        <v>-301.88560000000001</v>
      </c>
      <c r="H7246" s="1">
        <v>-4.0831919999999999E-6</v>
      </c>
      <c r="I7246">
        <v>-31.997430000000001</v>
      </c>
      <c r="J7246">
        <v>-301.233</v>
      </c>
      <c r="K7246">
        <v>1.121184</v>
      </c>
      <c r="L7246">
        <v>-16.815429999999999</v>
      </c>
      <c r="M7246">
        <v>-4.6444220000000001E-2</v>
      </c>
      <c r="N7246">
        <v>-1.08797999999999E-2</v>
      </c>
      <c r="O7246">
        <v>-0.99886200000000003</v>
      </c>
      <c r="P7246">
        <v>-3.9895920000000001E-2</v>
      </c>
      <c r="Q7246">
        <v>-0.1001203</v>
      </c>
      <c r="R7246">
        <v>-0.9941757</v>
      </c>
      <c r="S7246">
        <v>-0.12853999999999999</v>
      </c>
      <c r="T7246">
        <v>-0.21814040000000001</v>
      </c>
      <c r="U7246">
        <v>-2.9904480000000002</v>
      </c>
      <c r="V7246">
        <v>-6.2484690000000004E-3</v>
      </c>
      <c r="W7246">
        <v>-8.9294750000000006E-2</v>
      </c>
      <c r="X7246">
        <v>0.99598560000000003</v>
      </c>
      <c r="Y7246">
        <v>-3.5870310000000001E-3</v>
      </c>
      <c r="Z7246">
        <v>6.1756800000000001E-2</v>
      </c>
      <c r="AA7246">
        <v>0.99808479999999999</v>
      </c>
      <c r="AB7246">
        <v>19</v>
      </c>
      <c r="AC7246">
        <v>-0.65260000000000595</v>
      </c>
      <c r="AD7246">
        <v>-1.121188083192</v>
      </c>
      <c r="AE7246">
        <v>-15.182</v>
      </c>
      <c r="AF7246">
        <v>-5.29735655428357E-2</v>
      </c>
      <c r="AG7246">
        <v>-1.121188083192</v>
      </c>
      <c r="AH7246">
        <v>15.1136514610661</v>
      </c>
      <c r="AI7246">
        <v>94.242621255182598</v>
      </c>
      <c r="AJ7246">
        <v>90.200821708119904</v>
      </c>
      <c r="AK7246">
        <v>15.1552739798106</v>
      </c>
      <c r="AL7246">
        <v>95.123036112475603</v>
      </c>
      <c r="AM7246">
        <v>90.359449178057602</v>
      </c>
      <c r="AN7246">
        <v>0.99999995557488197</v>
      </c>
    </row>
    <row r="7247" spans="1:40" x14ac:dyDescent="0.25">
      <c r="A7247" t="str">
        <f>"20190303154323993"</f>
        <v>20190303154323993</v>
      </c>
      <c r="B7247" t="str">
        <f>"1551599003987938"</f>
        <v>1551599003987938</v>
      </c>
      <c r="C7247" t="s">
        <v>40</v>
      </c>
      <c r="D7247">
        <v>5.7047780000000001</v>
      </c>
      <c r="E7247">
        <v>0.50098109999999996</v>
      </c>
      <c r="F7247" t="s">
        <v>41</v>
      </c>
      <c r="G7247">
        <v>-301.86529999999999</v>
      </c>
      <c r="H7247" s="1">
        <v>-4.1491139999999998E-6</v>
      </c>
      <c r="I7247">
        <v>-31.793099999999999</v>
      </c>
      <c r="J7247">
        <v>-301.24099999999999</v>
      </c>
      <c r="K7247">
        <v>1.1212230000000001</v>
      </c>
      <c r="L7247">
        <v>-17.006409999999999</v>
      </c>
      <c r="M7247">
        <v>-4.572768E-2</v>
      </c>
      <c r="N7247">
        <v>-1.130565E-2</v>
      </c>
      <c r="O7247">
        <v>-0.99888999999999994</v>
      </c>
      <c r="P7247">
        <v>-3.9152260000000001E-2</v>
      </c>
      <c r="Q7247">
        <v>-0.1000209</v>
      </c>
      <c r="R7247">
        <v>-0.99421499999999996</v>
      </c>
      <c r="S7247">
        <v>-0.12622069999999999</v>
      </c>
      <c r="T7247">
        <v>-0.2238204</v>
      </c>
      <c r="U7247">
        <v>-2.98996</v>
      </c>
      <c r="V7247">
        <v>-6.276785E-3</v>
      </c>
      <c r="W7247">
        <v>-8.8771290000000003E-2</v>
      </c>
      <c r="X7247">
        <v>0.99603220000000003</v>
      </c>
      <c r="Y7247">
        <v>-3.6395049999999999E-3</v>
      </c>
      <c r="Z7247">
        <v>6.3230309999999998E-2</v>
      </c>
      <c r="AA7247">
        <v>0.99799230000000005</v>
      </c>
      <c r="AB7247">
        <v>19</v>
      </c>
      <c r="AC7247">
        <v>-0.62430000000000496</v>
      </c>
      <c r="AD7247">
        <v>-1.12122714911399</v>
      </c>
      <c r="AE7247">
        <v>-14.78669</v>
      </c>
      <c r="AF7247">
        <v>-5.2257428757913199E-2</v>
      </c>
      <c r="AG7247">
        <v>-1.12122714911399</v>
      </c>
      <c r="AH7247">
        <v>14.715311815533999</v>
      </c>
      <c r="AI7247">
        <v>94.357181975143007</v>
      </c>
      <c r="AJ7247">
        <v>90.203469526647893</v>
      </c>
      <c r="AK7247">
        <v>14.758058239049101</v>
      </c>
      <c r="AL7247">
        <v>95.0929245498142</v>
      </c>
      <c r="AM7247">
        <v>90.361061147293299</v>
      </c>
      <c r="AN7247">
        <v>0.99999994169751805</v>
      </c>
    </row>
    <row r="7248" spans="1:40" x14ac:dyDescent="0.25">
      <c r="A7248" t="str">
        <f>"20190303154324017"</f>
        <v>20190303154324017</v>
      </c>
      <c r="B7248" t="str">
        <f>"1551599004007459"</f>
        <v>1551599004007459</v>
      </c>
      <c r="C7248" t="s">
        <v>40</v>
      </c>
      <c r="D7248">
        <v>5.7360429999999996</v>
      </c>
      <c r="E7248">
        <v>0.50118450000000003</v>
      </c>
      <c r="F7248" t="s">
        <v>41</v>
      </c>
      <c r="G7248">
        <v>-301.87200000000001</v>
      </c>
      <c r="H7248" s="1">
        <v>-4.0567069999999996E-6</v>
      </c>
      <c r="I7248">
        <v>-32.068190000000001</v>
      </c>
      <c r="J7248">
        <v>-301.24869999999999</v>
      </c>
      <c r="K7248">
        <v>1.121256</v>
      </c>
      <c r="L7248">
        <v>-17.193239999999999</v>
      </c>
      <c r="M7248">
        <v>-4.500825E-2</v>
      </c>
      <c r="N7248">
        <v>-1.167585E-2</v>
      </c>
      <c r="O7248">
        <v>-0.99891839999999998</v>
      </c>
      <c r="P7248">
        <v>-3.7152449999999997E-2</v>
      </c>
      <c r="Q7248">
        <v>-0.1009724</v>
      </c>
      <c r="R7248">
        <v>-0.99419559999999996</v>
      </c>
      <c r="S7248">
        <v>-0.12527469999999999</v>
      </c>
      <c r="T7248">
        <v>-0.22259180000000001</v>
      </c>
      <c r="U7248">
        <v>-2.9901430000000002</v>
      </c>
      <c r="V7248">
        <v>-7.5539839999999997E-3</v>
      </c>
      <c r="W7248">
        <v>-8.9356610000000003E-2</v>
      </c>
      <c r="X7248">
        <v>0.99597100000000005</v>
      </c>
      <c r="Y7248">
        <v>-3.2353439999999998E-3</v>
      </c>
      <c r="Z7248">
        <v>6.245353E-2</v>
      </c>
      <c r="AA7248">
        <v>0.9980426</v>
      </c>
      <c r="AB7248">
        <v>19</v>
      </c>
      <c r="AC7248">
        <v>-0.62330000000002805</v>
      </c>
      <c r="AD7248">
        <v>-1.1212600567069999</v>
      </c>
      <c r="AE7248">
        <v>-14.87495</v>
      </c>
      <c r="AF7248">
        <v>-4.6608458467646101E-2</v>
      </c>
      <c r="AG7248">
        <v>-1.1212600567069999</v>
      </c>
      <c r="AH7248">
        <v>14.8039606952039</v>
      </c>
      <c r="AI7248">
        <v>94.331322395963696</v>
      </c>
      <c r="AJ7248">
        <v>90.180388153641005</v>
      </c>
      <c r="AK7248">
        <v>14.8464355563317</v>
      </c>
      <c r="AL7248">
        <v>95.126594685474302</v>
      </c>
      <c r="AM7248">
        <v>90.434553920542697</v>
      </c>
      <c r="AN7248">
        <v>0.999999949632981</v>
      </c>
    </row>
    <row r="7249" spans="1:40" x14ac:dyDescent="0.25">
      <c r="A7249" t="str">
        <f>"20190303154324039"</f>
        <v>20190303154324039</v>
      </c>
      <c r="B7249" t="str">
        <f>"1551599004027955"</f>
        <v>1551599004027955</v>
      </c>
      <c r="C7249" t="s">
        <v>40</v>
      </c>
      <c r="D7249">
        <v>5.6845879999999998</v>
      </c>
      <c r="E7249">
        <v>0.50185079999999904</v>
      </c>
      <c r="F7249" t="s">
        <v>41</v>
      </c>
      <c r="G7249">
        <v>-301.84930000000003</v>
      </c>
      <c r="H7249" s="1">
        <v>-4.0630650000000002E-6</v>
      </c>
      <c r="I7249">
        <v>-32.037659999999903</v>
      </c>
      <c r="J7249">
        <v>-301.25650000000002</v>
      </c>
      <c r="K7249">
        <v>1.121283</v>
      </c>
      <c r="L7249">
        <v>-17.38599</v>
      </c>
      <c r="M7249">
        <v>-4.423945E-2</v>
      </c>
      <c r="N7249">
        <v>-1.201083E-2</v>
      </c>
      <c r="O7249">
        <v>-0.99894890000000003</v>
      </c>
      <c r="P7249">
        <v>-3.6069240000000002E-2</v>
      </c>
      <c r="Q7249">
        <v>-0.1011396</v>
      </c>
      <c r="R7249">
        <v>-0.99421809999999999</v>
      </c>
      <c r="S7249">
        <v>-0.1209717</v>
      </c>
      <c r="T7249">
        <v>-0.22585089999999999</v>
      </c>
      <c r="U7249">
        <v>-2.9900509999999998</v>
      </c>
      <c r="V7249">
        <v>-7.8689720000000001E-3</v>
      </c>
      <c r="W7249">
        <v>-8.9190859999999997E-2</v>
      </c>
      <c r="X7249">
        <v>0.99598350000000002</v>
      </c>
      <c r="Y7249">
        <v>-3.8999730000000002E-3</v>
      </c>
      <c r="Z7249">
        <v>6.3206860000000004E-2</v>
      </c>
      <c r="AA7249">
        <v>0.99799280000000001</v>
      </c>
      <c r="AB7249">
        <v>19</v>
      </c>
      <c r="AC7249">
        <v>-0.59280000000001098</v>
      </c>
      <c r="AD7249">
        <v>-1.121287063065</v>
      </c>
      <c r="AE7249">
        <v>-14.6516699999999</v>
      </c>
      <c r="AF7249">
        <v>-5.5683353797878497E-2</v>
      </c>
      <c r="AG7249">
        <v>-1.121287063065</v>
      </c>
      <c r="AH7249">
        <v>14.5783078503224</v>
      </c>
      <c r="AI7249">
        <v>94.398199728659705</v>
      </c>
      <c r="AJ7249">
        <v>90.2188460882588</v>
      </c>
      <c r="AK7249">
        <v>14.621472056276</v>
      </c>
      <c r="AL7249">
        <v>95.117059419353893</v>
      </c>
      <c r="AM7249">
        <v>90.452667643606205</v>
      </c>
      <c r="AN7249">
        <v>1.0000000312500601</v>
      </c>
    </row>
    <row r="7250" spans="1:40" x14ac:dyDescent="0.25">
      <c r="A7250" t="str">
        <f>"20190303154324064"</f>
        <v>20190303154324064</v>
      </c>
      <c r="B7250" t="str">
        <f>"1551599004057235"</f>
        <v>1551599004057235</v>
      </c>
      <c r="C7250" t="s">
        <v>40</v>
      </c>
      <c r="D7250">
        <v>5.7494589999999999</v>
      </c>
      <c r="E7250">
        <v>0.50213469999999905</v>
      </c>
      <c r="F7250" t="s">
        <v>41</v>
      </c>
      <c r="G7250">
        <v>-301.8603</v>
      </c>
      <c r="H7250" s="1">
        <v>-4.0569250000000001E-6</v>
      </c>
      <c r="I7250">
        <v>-32.061419999999998</v>
      </c>
      <c r="J7250">
        <v>-301.26459999999997</v>
      </c>
      <c r="K7250">
        <v>1.1212979999999999</v>
      </c>
      <c r="L7250">
        <v>-17.591739999999898</v>
      </c>
      <c r="M7250">
        <v>-4.3395309999999999E-2</v>
      </c>
      <c r="N7250">
        <v>-1.232229E-2</v>
      </c>
      <c r="O7250">
        <v>-0.99898209999999998</v>
      </c>
      <c r="P7250">
        <v>-3.5280409999999998E-2</v>
      </c>
      <c r="Q7250">
        <v>-0.1021856</v>
      </c>
      <c r="R7250">
        <v>-0.99413969999999896</v>
      </c>
      <c r="S7250">
        <v>-0.1230164</v>
      </c>
      <c r="T7250">
        <v>-0.22843359999999999</v>
      </c>
      <c r="U7250">
        <v>-2.9897459999999998</v>
      </c>
      <c r="V7250">
        <v>-7.8109859999999998E-3</v>
      </c>
      <c r="W7250">
        <v>-8.9927989999999999E-2</v>
      </c>
      <c r="X7250">
        <v>0.99591759999999996</v>
      </c>
      <c r="Y7250">
        <v>-2.3718260000000001E-3</v>
      </c>
      <c r="Z7250">
        <v>6.3762780000000005E-2</v>
      </c>
      <c r="AA7250">
        <v>0.99796220000000002</v>
      </c>
      <c r="AB7250">
        <v>19</v>
      </c>
      <c r="AC7250">
        <v>-0.59570000000002199</v>
      </c>
      <c r="AD7250">
        <v>-1.1213020569249901</v>
      </c>
      <c r="AE7250">
        <v>-14.469679999999901</v>
      </c>
      <c r="AF7250">
        <v>-3.26294856443494E-2</v>
      </c>
      <c r="AG7250">
        <v>-1.1213020569249901</v>
      </c>
      <c r="AH7250">
        <v>14.395597594623901</v>
      </c>
      <c r="AI7250">
        <v>94.453879165861196</v>
      </c>
      <c r="AJ7250">
        <v>90.129868079541893</v>
      </c>
      <c r="AK7250">
        <v>14.439238660419001</v>
      </c>
      <c r="AL7250">
        <v>95.159464627990403</v>
      </c>
      <c r="AM7250">
        <v>90.449361830314601</v>
      </c>
      <c r="AN7250">
        <v>0.99999996043874495</v>
      </c>
    </row>
    <row r="7251" spans="1:40" x14ac:dyDescent="0.25">
      <c r="A7251" t="str">
        <f>"20190303154324086"</f>
        <v>20190303154324086</v>
      </c>
      <c r="B7251" t="str">
        <f>"1551599004077731"</f>
        <v>1551599004077731</v>
      </c>
      <c r="C7251" t="s">
        <v>40</v>
      </c>
      <c r="D7251">
        <v>5.7933510000000004</v>
      </c>
      <c r="E7251">
        <v>0.50202020000000003</v>
      </c>
      <c r="F7251" t="s">
        <v>41</v>
      </c>
      <c r="G7251">
        <v>-301.86900000000003</v>
      </c>
      <c r="H7251" s="1">
        <v>-3.984604E-6</v>
      </c>
      <c r="I7251">
        <v>-32.278480000000002</v>
      </c>
      <c r="J7251">
        <v>-301.27179999999998</v>
      </c>
      <c r="K7251">
        <v>1.121308</v>
      </c>
      <c r="L7251">
        <v>-17.779299999999999</v>
      </c>
      <c r="M7251">
        <v>-4.2609660000000001E-2</v>
      </c>
      <c r="N7251">
        <v>-1.256957E-2</v>
      </c>
      <c r="O7251">
        <v>-0.99901289999999998</v>
      </c>
      <c r="P7251">
        <v>-3.5266270000000002E-2</v>
      </c>
      <c r="Q7251">
        <v>-0.1025403</v>
      </c>
      <c r="R7251">
        <v>-0.99410379999999998</v>
      </c>
      <c r="S7251">
        <v>-0.1230469</v>
      </c>
      <c r="T7251">
        <v>-0.2282701</v>
      </c>
      <c r="U7251">
        <v>-2.989868</v>
      </c>
      <c r="V7251">
        <v>-7.0401659999999996E-3</v>
      </c>
      <c r="W7251">
        <v>-9.0036110000000003E-2</v>
      </c>
      <c r="X7251">
        <v>0.99591359999999995</v>
      </c>
      <c r="Y7251">
        <v>-1.576657E-3</v>
      </c>
      <c r="Z7251">
        <v>6.3462630000000006E-2</v>
      </c>
      <c r="AA7251">
        <v>0.99798299999999995</v>
      </c>
      <c r="AB7251">
        <v>19</v>
      </c>
      <c r="AC7251">
        <v>-0.59720000000004303</v>
      </c>
      <c r="AD7251">
        <v>-1.1213119846040001</v>
      </c>
      <c r="AE7251">
        <v>-14.499180000000001</v>
      </c>
      <c r="AF7251">
        <v>-2.10704900641339E-2</v>
      </c>
      <c r="AG7251">
        <v>-1.1213119846040001</v>
      </c>
      <c r="AH7251">
        <v>14.425327978787699</v>
      </c>
      <c r="AI7251">
        <v>94.444782452652404</v>
      </c>
      <c r="AJ7251">
        <v>90.083689556047304</v>
      </c>
      <c r="AK7251">
        <v>14.468858691270899</v>
      </c>
      <c r="AL7251">
        <v>95.165684569344094</v>
      </c>
      <c r="AM7251">
        <v>90.405020154399196</v>
      </c>
      <c r="AN7251">
        <v>0.99999998185309902</v>
      </c>
    </row>
    <row r="7252" spans="1:40" x14ac:dyDescent="0.25">
      <c r="A7252" t="str">
        <f>"20190303154324106"</f>
        <v>20190303154324106</v>
      </c>
      <c r="B7252" t="str">
        <f>"1551599004097251"</f>
        <v>1551599004097251</v>
      </c>
      <c r="C7252" t="s">
        <v>40</v>
      </c>
      <c r="D7252">
        <v>5.7574370000000004</v>
      </c>
      <c r="E7252">
        <v>0.50200509999999998</v>
      </c>
      <c r="F7252" t="s">
        <v>41</v>
      </c>
      <c r="G7252">
        <v>-301.8596</v>
      </c>
      <c r="H7252" s="1">
        <v>-4.0054800000000003E-6</v>
      </c>
      <c r="I7252">
        <v>-32.212260000000001</v>
      </c>
      <c r="J7252">
        <v>-301.27800000000002</v>
      </c>
      <c r="K7252">
        <v>1.1213169999999999</v>
      </c>
      <c r="L7252">
        <v>-17.942869999999999</v>
      </c>
      <c r="M7252">
        <v>-4.1914970000000003E-2</v>
      </c>
      <c r="N7252">
        <v>-1.275917E-2</v>
      </c>
      <c r="O7252">
        <v>-0.99903980000000003</v>
      </c>
      <c r="P7252">
        <v>-3.494966E-2</v>
      </c>
      <c r="Q7252">
        <v>-0.1027009</v>
      </c>
      <c r="R7252">
        <v>-0.99409829999999999</v>
      </c>
      <c r="S7252">
        <v>-0.1217651</v>
      </c>
      <c r="T7252">
        <v>-0.23225999999999999</v>
      </c>
      <c r="U7252">
        <v>-2.9895320000000001</v>
      </c>
      <c r="V7252">
        <v>-6.6640730000000004E-3</v>
      </c>
      <c r="W7252">
        <v>-9.0007740000000003E-2</v>
      </c>
      <c r="X7252">
        <v>0.99591879999999999</v>
      </c>
      <c r="Y7252">
        <v>-1.3070639999999999E-3</v>
      </c>
      <c r="Z7252">
        <v>6.4607540000000005E-2</v>
      </c>
      <c r="AA7252">
        <v>0.99790990000000002</v>
      </c>
      <c r="AB7252">
        <v>19</v>
      </c>
      <c r="AC7252">
        <v>-0.58159999999998002</v>
      </c>
      <c r="AD7252">
        <v>-1.12132100547999</v>
      </c>
      <c r="AE7252">
        <v>-14.2693899999999</v>
      </c>
      <c r="AF7252">
        <v>-1.6956358528155201E-2</v>
      </c>
      <c r="AG7252">
        <v>-1.12132100547999</v>
      </c>
      <c r="AH7252">
        <v>14.193724153949599</v>
      </c>
      <c r="AI7252">
        <v>94.517049509507501</v>
      </c>
      <c r="AJ7252">
        <v>90.068447667917297</v>
      </c>
      <c r="AK7252">
        <v>14.237958198907601</v>
      </c>
      <c r="AL7252">
        <v>95.164052213784302</v>
      </c>
      <c r="AM7252">
        <v>90.383382218269205</v>
      </c>
      <c r="AN7252">
        <v>1.00000002966114</v>
      </c>
    </row>
    <row r="7253" spans="1:40" x14ac:dyDescent="0.25">
      <c r="A7253" t="str">
        <f>"20190303154324128"</f>
        <v>20190303154324128</v>
      </c>
      <c r="B7253" t="str">
        <f>"1551599004117747"</f>
        <v>1551599004117747</v>
      </c>
      <c r="C7253" t="s">
        <v>40</v>
      </c>
      <c r="D7253">
        <v>5.7498570000000004</v>
      </c>
      <c r="E7253">
        <v>0.50207990000000002</v>
      </c>
      <c r="F7253" t="s">
        <v>41</v>
      </c>
      <c r="G7253">
        <v>-301.85739999999998</v>
      </c>
      <c r="H7253" s="1">
        <v>-3.9773129999999997E-6</v>
      </c>
      <c r="I7253">
        <v>-32.291690000000003</v>
      </c>
      <c r="J7253">
        <v>-301.28489999999999</v>
      </c>
      <c r="K7253">
        <v>1.1213299999999999</v>
      </c>
      <c r="L7253">
        <v>-18.131350000000001</v>
      </c>
      <c r="M7253">
        <v>-4.1105929999999999E-2</v>
      </c>
      <c r="N7253">
        <v>-1.2951010000000001E-2</v>
      </c>
      <c r="O7253">
        <v>-0.99907109999999999</v>
      </c>
      <c r="P7253">
        <v>-3.4601140000000002E-2</v>
      </c>
      <c r="Q7253">
        <v>-0.1024482</v>
      </c>
      <c r="R7253">
        <v>-0.99413649999999998</v>
      </c>
      <c r="S7253">
        <v>-0.1207275</v>
      </c>
      <c r="T7253">
        <v>-0.23361670000000001</v>
      </c>
      <c r="U7253">
        <v>-2.9894409999999998</v>
      </c>
      <c r="V7253">
        <v>-6.2084250000000001E-3</v>
      </c>
      <c r="W7253">
        <v>-8.9563139999999999E-2</v>
      </c>
      <c r="X7253">
        <v>0.99596180000000001</v>
      </c>
      <c r="Y7253">
        <v>-8.428566E-4</v>
      </c>
      <c r="Z7253">
        <v>6.4872150000000003E-2</v>
      </c>
      <c r="AA7253">
        <v>0.99789320000000004</v>
      </c>
      <c r="AB7253">
        <v>19</v>
      </c>
      <c r="AC7253">
        <v>-0.57249999999999002</v>
      </c>
      <c r="AD7253">
        <v>-1.121333977313</v>
      </c>
      <c r="AE7253">
        <v>-14.16034</v>
      </c>
      <c r="AF7253">
        <v>-1.0043705972164699E-2</v>
      </c>
      <c r="AG7253">
        <v>-1.121333977313</v>
      </c>
      <c r="AH7253">
        <v>14.083732630676399</v>
      </c>
      <c r="AI7253">
        <v>94.552233710876493</v>
      </c>
      <c r="AJ7253">
        <v>90.040860039054294</v>
      </c>
      <c r="AK7253">
        <v>14.1283054743691</v>
      </c>
      <c r="AL7253">
        <v>95.138475341711796</v>
      </c>
      <c r="AM7253">
        <v>90.357154202685294</v>
      </c>
      <c r="AN7253">
        <v>1.00000000382344</v>
      </c>
    </row>
    <row r="7254" spans="1:40" x14ac:dyDescent="0.25">
      <c r="A7254" t="str">
        <f>"20190303154324149"</f>
        <v>20190303154324149</v>
      </c>
      <c r="B7254" t="str">
        <f>"1551599004137267"</f>
        <v>1551599004137267</v>
      </c>
      <c r="C7254" t="s">
        <v>40</v>
      </c>
      <c r="D7254">
        <v>5.8564610000000004</v>
      </c>
      <c r="E7254">
        <v>0.50214510000000001</v>
      </c>
      <c r="F7254" t="s">
        <v>41</v>
      </c>
      <c r="G7254">
        <v>-301.86149999999998</v>
      </c>
      <c r="H7254" s="1">
        <v>-3.9014009999999999E-6</v>
      </c>
      <c r="I7254">
        <v>-32.471170000000001</v>
      </c>
      <c r="J7254">
        <v>-301.29140000000001</v>
      </c>
      <c r="K7254">
        <v>1.12134</v>
      </c>
      <c r="L7254">
        <v>-18.312740000000002</v>
      </c>
      <c r="M7254">
        <v>-4.0321879999999997E-2</v>
      </c>
      <c r="N7254">
        <v>-1.311147E-2</v>
      </c>
      <c r="O7254">
        <v>-0.99910089999999996</v>
      </c>
      <c r="P7254">
        <v>-3.3864569999999997E-2</v>
      </c>
      <c r="Q7254">
        <v>-0.1020653</v>
      </c>
      <c r="R7254">
        <v>-0.99420149999999996</v>
      </c>
      <c r="S7254">
        <v>-0.1202087</v>
      </c>
      <c r="T7254">
        <v>-0.23376350000000001</v>
      </c>
      <c r="U7254">
        <v>-2.9894099999999999</v>
      </c>
      <c r="V7254">
        <v>-6.1669350000000001E-3</v>
      </c>
      <c r="W7254">
        <v>-8.9019920000000002E-2</v>
      </c>
      <c r="X7254">
        <v>0.99601079999999997</v>
      </c>
      <c r="Y7254">
        <v>-2.3074320000000001E-4</v>
      </c>
      <c r="Z7254">
        <v>6.4765299999999998E-2</v>
      </c>
      <c r="AA7254">
        <v>0.99790049999999997</v>
      </c>
      <c r="AB7254">
        <v>19</v>
      </c>
      <c r="AC7254">
        <v>-0.57009999999996797</v>
      </c>
      <c r="AD7254">
        <v>-1.121343901401</v>
      </c>
      <c r="AE7254">
        <v>-14.158429999999999</v>
      </c>
      <c r="AF7254">
        <v>-1.29906913227273E-3</v>
      </c>
      <c r="AG7254">
        <v>-1.121343901401</v>
      </c>
      <c r="AH7254">
        <v>14.081717075590401</v>
      </c>
      <c r="AI7254">
        <v>94.552923803821798</v>
      </c>
      <c r="AJ7254">
        <v>90.005285660687804</v>
      </c>
      <c r="AK7254">
        <v>14.126293555981499</v>
      </c>
      <c r="AL7254">
        <v>95.107226091540696</v>
      </c>
      <c r="AM7254">
        <v>90.354750001595903</v>
      </c>
      <c r="AN7254">
        <v>1.0000000454803599</v>
      </c>
    </row>
    <row r="7255" spans="1:40" x14ac:dyDescent="0.25">
      <c r="A7255" t="str">
        <f>"20190303154324173"</f>
        <v>20190303154324173</v>
      </c>
      <c r="B7255" t="str">
        <f>"1551599004167526"</f>
        <v>1551599004167526</v>
      </c>
      <c r="C7255" t="s">
        <v>40</v>
      </c>
      <c r="D7255">
        <v>5.8532909999999996</v>
      </c>
      <c r="E7255">
        <v>0.50217630000000002</v>
      </c>
      <c r="F7255" t="s">
        <v>41</v>
      </c>
      <c r="G7255">
        <v>-301.86059999999998</v>
      </c>
      <c r="H7255" s="1">
        <v>-3.8198939999999999E-6</v>
      </c>
      <c r="I7255">
        <v>-32.660580000000003</v>
      </c>
      <c r="J7255">
        <v>-301.298</v>
      </c>
      <c r="K7255">
        <v>1.1213500000000001</v>
      </c>
      <c r="L7255">
        <v>-18.50168</v>
      </c>
      <c r="M7255">
        <v>-3.950161E-2</v>
      </c>
      <c r="N7255">
        <v>-1.325615E-2</v>
      </c>
      <c r="O7255">
        <v>-0.99913160000000001</v>
      </c>
      <c r="P7255">
        <v>-3.2632069999999999E-2</v>
      </c>
      <c r="Q7255">
        <v>-0.1013608</v>
      </c>
      <c r="R7255">
        <v>-0.99431460000000005</v>
      </c>
      <c r="S7255">
        <v>-0.1185913</v>
      </c>
      <c r="T7255">
        <v>-0.23363970000000001</v>
      </c>
      <c r="U7255">
        <v>-2.989471</v>
      </c>
      <c r="V7255">
        <v>-6.5868009999999998E-3</v>
      </c>
      <c r="W7255">
        <v>-8.8170860000000004E-2</v>
      </c>
      <c r="X7255">
        <v>0.99608359999999996</v>
      </c>
      <c r="Y7255" s="1">
        <v>5.0602610000000003E-5</v>
      </c>
      <c r="Z7255">
        <v>6.4582769999999998E-2</v>
      </c>
      <c r="AA7255">
        <v>0.99791229999999997</v>
      </c>
      <c r="AB7255">
        <v>19</v>
      </c>
      <c r="AC7255">
        <v>-0.56259999999997401</v>
      </c>
      <c r="AD7255">
        <v>-1.1213538198940001</v>
      </c>
      <c r="AE7255">
        <v>-14.1588999999999</v>
      </c>
      <c r="AF7255">
        <v>2.7948369604685599E-3</v>
      </c>
      <c r="AG7255">
        <v>-1.1213538198940001</v>
      </c>
      <c r="AH7255">
        <v>14.081886214161999</v>
      </c>
      <c r="AI7255">
        <v>94.552909379885094</v>
      </c>
      <c r="AJ7255">
        <v>89.988628486431097</v>
      </c>
      <c r="AK7255">
        <v>14.126463164894099</v>
      </c>
      <c r="AL7255">
        <v>95.058386653626698</v>
      </c>
      <c r="AM7255">
        <v>90.378874220036295</v>
      </c>
      <c r="AN7255">
        <v>1.0000000123447501</v>
      </c>
    </row>
    <row r="7256" spans="1:40" x14ac:dyDescent="0.25">
      <c r="A7256" t="str">
        <f>"20190303154324195"</f>
        <v>20190303154324195</v>
      </c>
      <c r="B7256" t="str">
        <f>"1551599004188019"</f>
        <v>1551599004188019</v>
      </c>
      <c r="C7256" t="s">
        <v>40</v>
      </c>
      <c r="D7256">
        <v>5.7957029999999996</v>
      </c>
      <c r="E7256">
        <v>0.50252810000000003</v>
      </c>
      <c r="F7256" t="s">
        <v>41</v>
      </c>
      <c r="G7256">
        <v>-301.8365</v>
      </c>
      <c r="H7256" s="1">
        <v>-3.8782359999999997E-6</v>
      </c>
      <c r="I7256">
        <v>-32.509650000000001</v>
      </c>
      <c r="J7256">
        <v>-301.30450000000002</v>
      </c>
      <c r="K7256">
        <v>1.121367</v>
      </c>
      <c r="L7256">
        <v>-18.69171</v>
      </c>
      <c r="M7256">
        <v>-3.867611E-2</v>
      </c>
      <c r="N7256">
        <v>-1.3381260000000001E-2</v>
      </c>
      <c r="O7256">
        <v>-0.99916240000000001</v>
      </c>
      <c r="P7256">
        <v>-3.1796289999999998E-2</v>
      </c>
      <c r="Q7256">
        <v>-0.1005181</v>
      </c>
      <c r="R7256">
        <v>-0.99442730000000001</v>
      </c>
      <c r="S7256">
        <v>-0.11489870000000001</v>
      </c>
      <c r="T7256">
        <v>-0.2392715</v>
      </c>
      <c r="U7256">
        <v>-2.9889830000000002</v>
      </c>
      <c r="V7256">
        <v>-6.6063659999999998E-3</v>
      </c>
      <c r="W7256">
        <v>-8.7202429999999997E-2</v>
      </c>
      <c r="X7256">
        <v>0.99616870000000002</v>
      </c>
      <c r="Y7256">
        <v>-3.5192479999999999E-4</v>
      </c>
      <c r="Z7256">
        <v>6.6341419999999998E-2</v>
      </c>
      <c r="AA7256">
        <v>0.99779689999999999</v>
      </c>
      <c r="AB7256">
        <v>19</v>
      </c>
      <c r="AC7256">
        <v>-0.53199999999998204</v>
      </c>
      <c r="AD7256">
        <v>-1.1213708782359999</v>
      </c>
      <c r="AE7256">
        <v>-13.81794</v>
      </c>
      <c r="AF7256">
        <v>-2.8512767082642301E-3</v>
      </c>
      <c r="AG7256">
        <v>-1.1213708782359999</v>
      </c>
      <c r="AH7256">
        <v>13.7378356551724</v>
      </c>
      <c r="AI7256">
        <v>94.666505724379604</v>
      </c>
      <c r="AJ7256">
        <v>90.011891692648106</v>
      </c>
      <c r="AK7256">
        <v>13.783526735377301</v>
      </c>
      <c r="AL7256">
        <v>95.002685239299893</v>
      </c>
      <c r="AM7256">
        <v>90.379967108736906</v>
      </c>
      <c r="AN7256">
        <v>0.99999999336465994</v>
      </c>
    </row>
    <row r="7257" spans="1:40" x14ac:dyDescent="0.25">
      <c r="A7257" t="str">
        <f>"20190303154324218"</f>
        <v>20190303154324218</v>
      </c>
      <c r="B7257" t="str">
        <f>"1551599004207539"</f>
        <v>1551599004207539</v>
      </c>
      <c r="C7257" t="s">
        <v>40</v>
      </c>
      <c r="D7257">
        <v>5.6909580000000002</v>
      </c>
      <c r="E7257">
        <v>0.50255000000000005</v>
      </c>
      <c r="F7257" t="s">
        <v>41</v>
      </c>
      <c r="G7257">
        <v>-301.84739999999999</v>
      </c>
      <c r="H7257" s="1">
        <v>-3.7518720000000001E-6</v>
      </c>
      <c r="I7257">
        <v>-32.810980000000001</v>
      </c>
      <c r="J7257">
        <v>-301.31060000000002</v>
      </c>
      <c r="K7257">
        <v>1.1213770000000001</v>
      </c>
      <c r="L7257">
        <v>-18.873840000000001</v>
      </c>
      <c r="M7257">
        <v>-3.7885059999999998E-2</v>
      </c>
      <c r="N7257">
        <v>-1.3483E-2</v>
      </c>
      <c r="O7257">
        <v>-0.99919119999999995</v>
      </c>
      <c r="P7257">
        <v>-3.1630650000000003E-2</v>
      </c>
      <c r="Q7257">
        <v>-0.10017470000000001</v>
      </c>
      <c r="R7257">
        <v>-0.99446690000000004</v>
      </c>
      <c r="S7257">
        <v>-0.1149292</v>
      </c>
      <c r="T7257">
        <v>-0.237401</v>
      </c>
      <c r="U7257">
        <v>-2.9891359999999998</v>
      </c>
      <c r="V7257">
        <v>-5.9871859999999898E-3</v>
      </c>
      <c r="W7257">
        <v>-8.67565E-2</v>
      </c>
      <c r="X7257">
        <v>0.99621150000000003</v>
      </c>
      <c r="Y7257">
        <v>4.4927040000000001E-4</v>
      </c>
      <c r="Z7257">
        <v>6.5619739999999996E-2</v>
      </c>
      <c r="AA7257">
        <v>0.99784459999999997</v>
      </c>
      <c r="AB7257">
        <v>19</v>
      </c>
      <c r="AC7257">
        <v>-0.53679999999997097</v>
      </c>
      <c r="AD7257">
        <v>-1.121380751872</v>
      </c>
      <c r="AE7257">
        <v>-13.937139999999999</v>
      </c>
      <c r="AF7257">
        <v>8.3035344406837599E-3</v>
      </c>
      <c r="AG7257">
        <v>-1.121380751872</v>
      </c>
      <c r="AH7257">
        <v>13.8578910625963</v>
      </c>
      <c r="AI7257">
        <v>94.626294343877902</v>
      </c>
      <c r="AJ7257">
        <v>89.965668843880593</v>
      </c>
      <c r="AK7257">
        <v>13.903190584975</v>
      </c>
      <c r="AL7257">
        <v>94.977038374866396</v>
      </c>
      <c r="AM7257">
        <v>90.344340894370902</v>
      </c>
      <c r="AN7257">
        <v>0.99999994471034703</v>
      </c>
    </row>
    <row r="7258" spans="1:40" x14ac:dyDescent="0.25">
      <c r="A7258" t="str">
        <f>"20190303154324240"</f>
        <v>20190303154324240</v>
      </c>
      <c r="B7258" t="str">
        <f>"1551599004228035"</f>
        <v>1551599004228035</v>
      </c>
      <c r="C7258" t="s">
        <v>40</v>
      </c>
      <c r="D7258">
        <v>5.8222670000000001</v>
      </c>
      <c r="E7258">
        <v>0.50268359999999901</v>
      </c>
      <c r="F7258" t="s">
        <v>41</v>
      </c>
      <c r="G7258">
        <v>-301.85289999999998</v>
      </c>
      <c r="H7258" s="1">
        <v>-3.6768359999999998E-6</v>
      </c>
      <c r="I7258">
        <v>-32.989310000000003</v>
      </c>
      <c r="J7258">
        <v>-301.31659999999999</v>
      </c>
      <c r="K7258">
        <v>1.1213820000000001</v>
      </c>
      <c r="L7258">
        <v>-19.057739999999999</v>
      </c>
      <c r="M7258">
        <v>-3.7088509999999998E-2</v>
      </c>
      <c r="N7258">
        <v>-1.35715E-2</v>
      </c>
      <c r="O7258">
        <v>-0.99922</v>
      </c>
      <c r="P7258">
        <v>-3.1950390000000002E-2</v>
      </c>
      <c r="Q7258">
        <v>-9.9270570000000002E-2</v>
      </c>
      <c r="R7258">
        <v>-0.99454750000000003</v>
      </c>
      <c r="S7258">
        <v>-0.1148376</v>
      </c>
      <c r="T7258">
        <v>-0.2374647</v>
      </c>
      <c r="U7258">
        <v>-2.9891049999999999</v>
      </c>
      <c r="V7258">
        <v>-4.8793559999999996E-3</v>
      </c>
      <c r="W7258">
        <v>-8.5761820000000002E-2</v>
      </c>
      <c r="X7258">
        <v>0.99630370000000001</v>
      </c>
      <c r="Y7258">
        <v>1.2159670000000001E-3</v>
      </c>
      <c r="Z7258">
        <v>6.5556729999999994E-2</v>
      </c>
      <c r="AA7258">
        <v>0.99784810000000002</v>
      </c>
      <c r="AB7258">
        <v>19</v>
      </c>
      <c r="AC7258">
        <v>-0.53629999999998201</v>
      </c>
      <c r="AD7258">
        <v>-1.121385676836</v>
      </c>
      <c r="AE7258">
        <v>-13.931569999999899</v>
      </c>
      <c r="AF7258">
        <v>1.9058975074437799E-2</v>
      </c>
      <c r="AG7258">
        <v>-1.121385676836</v>
      </c>
      <c r="AH7258">
        <v>13.8522591184073</v>
      </c>
      <c r="AI7258">
        <v>94.628183800872094</v>
      </c>
      <c r="AJ7258">
        <v>89.921168227130707</v>
      </c>
      <c r="AK7258">
        <v>13.8975879836842</v>
      </c>
      <c r="AL7258">
        <v>94.919834012667394</v>
      </c>
      <c r="AM7258">
        <v>90.280601457598195</v>
      </c>
      <c r="AN7258">
        <v>0.99999998025918801</v>
      </c>
    </row>
    <row r="7259" spans="1:40" x14ac:dyDescent="0.25">
      <c r="A7259" t="str">
        <f>"20190303154324286"</f>
        <v>20190303154324286</v>
      </c>
      <c r="B7259" t="str">
        <f>"1551599004277811"</f>
        <v>1551599004277811</v>
      </c>
      <c r="C7259" t="s">
        <v>40</v>
      </c>
      <c r="D7259">
        <v>5.77454</v>
      </c>
      <c r="E7259">
        <v>0.50297840000000005</v>
      </c>
      <c r="F7259" t="s">
        <v>41</v>
      </c>
      <c r="G7259">
        <v>-301.8689</v>
      </c>
      <c r="H7259" s="1">
        <v>-3.6000790000000001E-6</v>
      </c>
      <c r="I7259">
        <v>-33.178170000000001</v>
      </c>
      <c r="J7259">
        <v>-301.32839999999999</v>
      </c>
      <c r="K7259">
        <v>1.1213979999999999</v>
      </c>
      <c r="L7259">
        <v>-19.430910000000001</v>
      </c>
      <c r="M7259">
        <v>-3.5481409999999998E-2</v>
      </c>
      <c r="N7259">
        <v>-1.3714479999999999E-2</v>
      </c>
      <c r="O7259">
        <v>-0.99927630000000001</v>
      </c>
      <c r="P7259">
        <v>-3.0537910000000001E-2</v>
      </c>
      <c r="Q7259">
        <v>-9.8428929999999998E-2</v>
      </c>
      <c r="R7259">
        <v>-0.99467539999999999</v>
      </c>
      <c r="S7259">
        <v>-0.1169128</v>
      </c>
      <c r="T7259">
        <v>-0.23737510000000001</v>
      </c>
      <c r="U7259">
        <v>-2.9890140000000001</v>
      </c>
      <c r="V7259">
        <v>-4.6982760000000004E-3</v>
      </c>
      <c r="W7259">
        <v>-8.4776340000000006E-2</v>
      </c>
      <c r="X7259">
        <v>0.99638890000000002</v>
      </c>
      <c r="Y7259">
        <v>3.5160510000000001E-3</v>
      </c>
      <c r="Z7259">
        <v>6.5392279999999997E-2</v>
      </c>
      <c r="AA7259">
        <v>0.99785349999999995</v>
      </c>
      <c r="AB7259">
        <v>18</v>
      </c>
      <c r="AC7259">
        <v>-0.54050000000000797</v>
      </c>
      <c r="AD7259">
        <v>-1.1214016000789999</v>
      </c>
      <c r="AE7259">
        <v>-13.747260000000001</v>
      </c>
      <c r="AF7259">
        <v>5.19961365744721E-2</v>
      </c>
      <c r="AG7259">
        <v>-1.1214016000789999</v>
      </c>
      <c r="AH7259">
        <v>13.666980484908001</v>
      </c>
      <c r="AI7259">
        <v>94.690685346339393</v>
      </c>
      <c r="AJ7259">
        <v>89.782018800247101</v>
      </c>
      <c r="AK7259">
        <v>13.7130084489777</v>
      </c>
      <c r="AL7259">
        <v>94.863163815046406</v>
      </c>
      <c r="AM7259">
        <v>90.270164983511293</v>
      </c>
      <c r="AN7259">
        <v>0.99999997083218795</v>
      </c>
    </row>
    <row r="7260" spans="1:40" x14ac:dyDescent="0.25">
      <c r="A7260" t="str">
        <f>"20190303154324309"</f>
        <v>20190303154324309</v>
      </c>
      <c r="B7260" t="str">
        <f>"1551599004297331"</f>
        <v>1551599004297331</v>
      </c>
      <c r="C7260" t="s">
        <v>40</v>
      </c>
      <c r="D7260">
        <v>5.826854</v>
      </c>
      <c r="E7260">
        <v>0.50308019999999998</v>
      </c>
      <c r="F7260" t="s">
        <v>41</v>
      </c>
      <c r="G7260">
        <v>-301.86320000000001</v>
      </c>
      <c r="H7260" s="1">
        <v>-3.5452329999999998E-6</v>
      </c>
      <c r="I7260">
        <v>-33.30247</v>
      </c>
      <c r="J7260">
        <v>-301.33409999999998</v>
      </c>
      <c r="K7260">
        <v>1.1214040000000001</v>
      </c>
      <c r="L7260">
        <v>-19.622620000000001</v>
      </c>
      <c r="M7260">
        <v>-3.4659389999999998E-2</v>
      </c>
      <c r="N7260">
        <v>-1.3772390000000001E-2</v>
      </c>
      <c r="O7260">
        <v>-0.99930439999999998</v>
      </c>
      <c r="P7260">
        <v>-2.924357E-2</v>
      </c>
      <c r="Q7260">
        <v>-9.8233559999999998E-2</v>
      </c>
      <c r="R7260">
        <v>-0.9947338</v>
      </c>
      <c r="S7260">
        <v>-0.1152344</v>
      </c>
      <c r="T7260">
        <v>-0.24160499999999999</v>
      </c>
      <c r="U7260">
        <v>-2.9886170000000001</v>
      </c>
      <c r="V7260">
        <v>-5.1763520000000004E-3</v>
      </c>
      <c r="W7260">
        <v>-8.452345E-2</v>
      </c>
      <c r="X7260">
        <v>0.99640799999999996</v>
      </c>
      <c r="Y7260">
        <v>3.7805389999999999E-3</v>
      </c>
      <c r="Z7260">
        <v>6.6750309999999993E-2</v>
      </c>
      <c r="AA7260">
        <v>0.99776260000000006</v>
      </c>
      <c r="AB7260">
        <v>18</v>
      </c>
      <c r="AC7260">
        <v>-0.52910000000002799</v>
      </c>
      <c r="AD7260">
        <v>-1.1214075452329999</v>
      </c>
      <c r="AE7260">
        <v>-13.679849999999901</v>
      </c>
      <c r="AF7260">
        <v>5.4237943588442299E-2</v>
      </c>
      <c r="AG7260">
        <v>-1.1214075452329999</v>
      </c>
      <c r="AH7260">
        <v>13.598723501505599</v>
      </c>
      <c r="AI7260">
        <v>94.714145284736603</v>
      </c>
      <c r="AJ7260">
        <v>89.771479376096494</v>
      </c>
      <c r="AK7260">
        <v>13.644990931013201</v>
      </c>
      <c r="AL7260">
        <v>94.848622166395003</v>
      </c>
      <c r="AM7260">
        <v>90.297649612247397</v>
      </c>
      <c r="AN7260">
        <v>0.99999995534196395</v>
      </c>
    </row>
    <row r="7261" spans="1:40" x14ac:dyDescent="0.25">
      <c r="A7261" t="str">
        <f>"20190303154324329"</f>
        <v>20190303154324329</v>
      </c>
      <c r="B7261" t="str">
        <f>"1551599004317827"</f>
        <v>1551599004317827</v>
      </c>
      <c r="C7261" t="s">
        <v>40</v>
      </c>
      <c r="D7261">
        <v>5.8140349999999996</v>
      </c>
      <c r="E7261">
        <v>0.50325529999999996</v>
      </c>
      <c r="F7261" t="s">
        <v>41</v>
      </c>
      <c r="G7261">
        <v>-301.84879999999998</v>
      </c>
      <c r="H7261" s="1">
        <v>-3.508994E-6</v>
      </c>
      <c r="I7261">
        <v>-33.378</v>
      </c>
      <c r="J7261">
        <v>-301.33909999999997</v>
      </c>
      <c r="K7261">
        <v>1.121408</v>
      </c>
      <c r="L7261">
        <v>-19.79214</v>
      </c>
      <c r="M7261">
        <v>-3.3936960000000002E-2</v>
      </c>
      <c r="N7261">
        <v>-1.3816210000000001E-2</v>
      </c>
      <c r="O7261">
        <v>-0.99932880000000002</v>
      </c>
      <c r="P7261">
        <v>-2.849113E-2</v>
      </c>
      <c r="Q7261">
        <v>-9.7416020000000006E-2</v>
      </c>
      <c r="R7261">
        <v>-0.99483639999999995</v>
      </c>
      <c r="S7261">
        <v>-0.1118164</v>
      </c>
      <c r="T7261">
        <v>-0.24363950000000001</v>
      </c>
      <c r="U7261">
        <v>-2.9885250000000001</v>
      </c>
      <c r="V7261">
        <v>-5.2142689999999997E-3</v>
      </c>
      <c r="W7261">
        <v>-8.3661180000000002E-2</v>
      </c>
      <c r="X7261">
        <v>0.99648060000000005</v>
      </c>
      <c r="Y7261">
        <v>3.3637739999999999E-3</v>
      </c>
      <c r="Z7261">
        <v>6.7387340000000004E-2</v>
      </c>
      <c r="AA7261">
        <v>0.99772119999999997</v>
      </c>
      <c r="AB7261">
        <v>18</v>
      </c>
      <c r="AC7261">
        <v>-0.50970000000000903</v>
      </c>
      <c r="AD7261">
        <v>-1.121411508994</v>
      </c>
      <c r="AE7261">
        <v>-13.58586</v>
      </c>
      <c r="AF7261">
        <v>4.7973300520738303E-2</v>
      </c>
      <c r="AG7261">
        <v>-1.121411508994</v>
      </c>
      <c r="AH7261">
        <v>13.5034586089689</v>
      </c>
      <c r="AI7261">
        <v>94.747275875607201</v>
      </c>
      <c r="AJ7261">
        <v>89.796447994193201</v>
      </c>
      <c r="AK7261">
        <v>13.550028030015399</v>
      </c>
      <c r="AL7261">
        <v>94.799041979276893</v>
      </c>
      <c r="AM7261">
        <v>90.299808024610897</v>
      </c>
      <c r="AN7261">
        <v>0.99999998390827805</v>
      </c>
    </row>
    <row r="7262" spans="1:40" x14ac:dyDescent="0.25">
      <c r="A7262" t="str">
        <f>"20190303154324353"</f>
        <v>20190303154324353</v>
      </c>
      <c r="B7262" t="str">
        <f>"1551599004348083"</f>
        <v>1551599004348083</v>
      </c>
      <c r="C7262" t="s">
        <v>40</v>
      </c>
      <c r="D7262">
        <v>5.820595</v>
      </c>
      <c r="E7262">
        <v>0.4913285</v>
      </c>
      <c r="F7262" t="s">
        <v>41</v>
      </c>
      <c r="G7262">
        <v>-301.8535</v>
      </c>
      <c r="H7262" s="1">
        <v>-3.407946E-6</v>
      </c>
      <c r="I7262">
        <v>-33.61647</v>
      </c>
      <c r="J7262">
        <v>-301.34480000000002</v>
      </c>
      <c r="K7262">
        <v>1.121407</v>
      </c>
      <c r="L7262">
        <v>-19.98892</v>
      </c>
      <c r="M7262">
        <v>-3.3111939999999999E-2</v>
      </c>
      <c r="N7262">
        <v>-1.3859710000000001E-2</v>
      </c>
      <c r="O7262">
        <v>-0.99935569999999896</v>
      </c>
      <c r="P7262">
        <v>-2.8347819999999999E-2</v>
      </c>
      <c r="Q7262">
        <v>-9.7574229999999998E-2</v>
      </c>
      <c r="R7262">
        <v>-0.99482479999999995</v>
      </c>
      <c r="S7262">
        <v>-0.1112061</v>
      </c>
      <c r="T7262">
        <v>-0.24243529999999999</v>
      </c>
      <c r="U7262">
        <v>-2.9886469999999998</v>
      </c>
      <c r="V7262">
        <v>-4.537597E-3</v>
      </c>
      <c r="W7262">
        <v>-8.3775489999999994E-2</v>
      </c>
      <c r="X7262">
        <v>0.99647430000000004</v>
      </c>
      <c r="Y7262">
        <v>3.9850220000000004E-3</v>
      </c>
      <c r="Z7262">
        <v>6.6945099999999994E-2</v>
      </c>
      <c r="AA7262">
        <v>0.99774870000000004</v>
      </c>
      <c r="AB7262">
        <v>18</v>
      </c>
      <c r="AC7262">
        <v>-0.50869999999997595</v>
      </c>
      <c r="AD7262">
        <v>-1.1214104079459899</v>
      </c>
      <c r="AE7262">
        <v>-13.627549999999999</v>
      </c>
      <c r="AF7262">
        <v>5.6759288077688798E-2</v>
      </c>
      <c r="AG7262">
        <v>-1.1214104079459899</v>
      </c>
      <c r="AH7262">
        <v>13.5453251740333</v>
      </c>
      <c r="AI7262">
        <v>94.732653256708403</v>
      </c>
      <c r="AJ7262">
        <v>89.759913580567897</v>
      </c>
      <c r="AK7262">
        <v>13.5917849081764</v>
      </c>
      <c r="AL7262">
        <v>94.8056145686799</v>
      </c>
      <c r="AM7262">
        <v>90.260903226764896</v>
      </c>
      <c r="AN7262">
        <v>0.99999997653588202</v>
      </c>
    </row>
    <row r="7263" spans="1:40" x14ac:dyDescent="0.25">
      <c r="A7263" t="str">
        <f>"20190303154324376"</f>
        <v>20190303154324376</v>
      </c>
      <c r="B7263" t="str">
        <f>"1551599004367603"</f>
        <v>1551599004367603</v>
      </c>
      <c r="C7263" t="s">
        <v>40</v>
      </c>
      <c r="D7263">
        <v>6.0123639999999998</v>
      </c>
      <c r="E7263">
        <v>0.48955009999999999</v>
      </c>
      <c r="F7263" t="s">
        <v>41</v>
      </c>
      <c r="G7263">
        <v>-301.40199999999999</v>
      </c>
      <c r="H7263" s="1">
        <v>-4.5432089999999996E-6</v>
      </c>
      <c r="I7263">
        <v>-30.39357</v>
      </c>
      <c r="J7263">
        <v>-301.34980000000002</v>
      </c>
      <c r="K7263">
        <v>1.1214040000000001</v>
      </c>
      <c r="L7263">
        <v>-20.16714</v>
      </c>
      <c r="M7263">
        <v>-3.2383420000000003E-2</v>
      </c>
      <c r="N7263">
        <v>-1.3892750000000001E-2</v>
      </c>
      <c r="O7263">
        <v>-0.99937900000000002</v>
      </c>
      <c r="P7263">
        <v>-2.8811099999999999E-2</v>
      </c>
      <c r="Q7263">
        <v>-9.6786700000000003E-2</v>
      </c>
      <c r="R7263">
        <v>-0.9948882</v>
      </c>
      <c r="S7263">
        <v>-1.6418459999999999E-2</v>
      </c>
      <c r="T7263">
        <v>-0.32157329999999901</v>
      </c>
      <c r="U7263">
        <v>-2.9836119999999999</v>
      </c>
      <c r="V7263">
        <v>-3.3546880000000002E-3</v>
      </c>
      <c r="W7263">
        <v>-8.2952819999999997E-2</v>
      </c>
      <c r="X7263">
        <v>0.99654779999999998</v>
      </c>
      <c r="Y7263">
        <v>-2.688743E-2</v>
      </c>
      <c r="Z7263">
        <v>9.3233079999999996E-2</v>
      </c>
      <c r="AA7263">
        <v>0.99528119999999998</v>
      </c>
      <c r="AB7263">
        <v>18</v>
      </c>
      <c r="AC7263">
        <v>-5.21999999999707E-2</v>
      </c>
      <c r="AD7263">
        <v>-1.121408543209</v>
      </c>
      <c r="AE7263">
        <v>-10.226430000000001</v>
      </c>
      <c r="AF7263">
        <v>-0.27571081685076698</v>
      </c>
      <c r="AG7263">
        <v>-1.121408543209</v>
      </c>
      <c r="AH7263">
        <v>10.101292628555299</v>
      </c>
      <c r="AI7263">
        <v>96.332488730643703</v>
      </c>
      <c r="AJ7263">
        <v>91.563477625101498</v>
      </c>
      <c r="AK7263">
        <v>10.167088390636501</v>
      </c>
      <c r="AL7263">
        <v>94.758314429007996</v>
      </c>
      <c r="AM7263">
        <v>90.192874579570102</v>
      </c>
      <c r="AN7263">
        <v>0.99999997098118398</v>
      </c>
    </row>
    <row r="7264" spans="1:40" x14ac:dyDescent="0.25">
      <c r="A7264" t="str">
        <f>"20190303154324398"</f>
        <v>20190303154324398</v>
      </c>
      <c r="B7264" t="str">
        <f>"1551599004387123"</f>
        <v>1551599004387123</v>
      </c>
      <c r="C7264" t="s">
        <v>40</v>
      </c>
      <c r="D7264">
        <v>5.8273510000000002</v>
      </c>
      <c r="E7264">
        <v>0.48955739999999998</v>
      </c>
      <c r="F7264" t="s">
        <v>41</v>
      </c>
      <c r="G7264">
        <v>-301.36189999999999</v>
      </c>
      <c r="H7264" s="1">
        <v>-4.108356E-6</v>
      </c>
      <c r="I7264">
        <v>-31.650490000000001</v>
      </c>
      <c r="J7264">
        <v>-301.35480000000001</v>
      </c>
      <c r="K7264">
        <v>1.121397</v>
      </c>
      <c r="L7264">
        <v>-20.349979999999999</v>
      </c>
      <c r="M7264">
        <v>-3.1664539999999998E-2</v>
      </c>
      <c r="N7264">
        <v>-1.392096E-2</v>
      </c>
      <c r="O7264">
        <v>-0.9994016</v>
      </c>
      <c r="P7264">
        <v>-2.8031500000000001E-2</v>
      </c>
      <c r="Q7264">
        <v>-9.6610260000000003E-2</v>
      </c>
      <c r="R7264">
        <v>-0.99492760000000002</v>
      </c>
      <c r="S7264">
        <v>-3.1433110000000002E-3</v>
      </c>
      <c r="T7264">
        <v>-0.29169010000000001</v>
      </c>
      <c r="U7264">
        <v>-2.9869379999999999</v>
      </c>
      <c r="V7264">
        <v>-3.4231729999999998E-3</v>
      </c>
      <c r="W7264">
        <v>-8.2747920000000003E-2</v>
      </c>
      <c r="X7264">
        <v>0.99656460000000002</v>
      </c>
      <c r="Y7264">
        <v>-3.059566E-2</v>
      </c>
      <c r="Z7264">
        <v>8.323287E-2</v>
      </c>
      <c r="AA7264">
        <v>0.99606030000000001</v>
      </c>
      <c r="AB7264">
        <v>18</v>
      </c>
      <c r="AC7264">
        <v>-7.0999999999799002E-3</v>
      </c>
      <c r="AD7264">
        <v>-1.121401108356</v>
      </c>
      <c r="AE7264">
        <v>-11.300509999999999</v>
      </c>
      <c r="AF7264">
        <v>-0.34734322980093402</v>
      </c>
      <c r="AG7264">
        <v>-1.121401108356</v>
      </c>
      <c r="AH7264">
        <v>11.184923668357101</v>
      </c>
      <c r="AI7264">
        <v>95.722605103905096</v>
      </c>
      <c r="AJ7264">
        <v>91.778725351767093</v>
      </c>
      <c r="AK7264">
        <v>11.2463640894329</v>
      </c>
      <c r="AL7264">
        <v>94.746534030952702</v>
      </c>
      <c r="AM7264">
        <v>90.196808710697994</v>
      </c>
      <c r="AN7264">
        <v>0.99999996917543599</v>
      </c>
    </row>
    <row r="7265" spans="1:40" x14ac:dyDescent="0.25">
      <c r="A7265" t="str">
        <f>"20190303154324418"</f>
        <v>20190303154324418</v>
      </c>
      <c r="B7265" t="str">
        <f>"1551599004407619"</f>
        <v>1551599004407619</v>
      </c>
      <c r="C7265" t="s">
        <v>40</v>
      </c>
      <c r="D7265">
        <v>5.8507689999999997</v>
      </c>
      <c r="E7265">
        <v>0.4894887</v>
      </c>
      <c r="F7265" t="s">
        <v>41</v>
      </c>
      <c r="G7265">
        <v>-301.35770000000002</v>
      </c>
      <c r="H7265" s="1">
        <v>-3.8749040000000001E-6</v>
      </c>
      <c r="I7265">
        <v>-32.220469999999999</v>
      </c>
      <c r="J7265">
        <v>-301.35930000000002</v>
      </c>
      <c r="K7265">
        <v>1.1213770000000001</v>
      </c>
      <c r="L7265">
        <v>-20.514980000000001</v>
      </c>
      <c r="M7265">
        <v>-3.1043279999999999E-2</v>
      </c>
      <c r="N7265">
        <v>-1.394257E-2</v>
      </c>
      <c r="O7265">
        <v>-0.99942089999999995</v>
      </c>
      <c r="P7265">
        <v>-2.636552E-2</v>
      </c>
      <c r="Q7265">
        <v>-9.6077090000000004E-2</v>
      </c>
      <c r="R7265">
        <v>-0.99502489999999999</v>
      </c>
      <c r="S7265">
        <v>-7.3242190000000001E-4</v>
      </c>
      <c r="T7265">
        <v>-0.2822615</v>
      </c>
      <c r="U7265">
        <v>-2.987854</v>
      </c>
      <c r="V7265">
        <v>-4.47832E-3</v>
      </c>
      <c r="W7265">
        <v>-8.2193219999999997E-2</v>
      </c>
      <c r="X7265">
        <v>0.99660629999999994</v>
      </c>
      <c r="Y7265">
        <v>-3.0778799999999999E-2</v>
      </c>
      <c r="Z7265">
        <v>8.0070870000000002E-2</v>
      </c>
      <c r="AA7265">
        <v>0.99631389999999997</v>
      </c>
      <c r="AB7265">
        <v>18</v>
      </c>
      <c r="AC7265">
        <v>1.59999999999627E-3</v>
      </c>
      <c r="AD7265">
        <v>-1.121380874904</v>
      </c>
      <c r="AE7265">
        <v>-11.705489999999999</v>
      </c>
      <c r="AF7265">
        <v>-0.36169186989679503</v>
      </c>
      <c r="AG7265">
        <v>-1.121380874904</v>
      </c>
      <c r="AH7265">
        <v>11.5933985914417</v>
      </c>
      <c r="AI7265">
        <v>95.522123588097699</v>
      </c>
      <c r="AJ7265">
        <v>91.786939168803698</v>
      </c>
      <c r="AK7265">
        <v>11.6531200532472</v>
      </c>
      <c r="AL7265">
        <v>94.714643520738207</v>
      </c>
      <c r="AM7265">
        <v>90.257460853199007</v>
      </c>
      <c r="AN7265">
        <v>0.99999994898183897</v>
      </c>
    </row>
    <row r="7266" spans="1:40" x14ac:dyDescent="0.25">
      <c r="A7266" t="str">
        <f>"20190303154324441"</f>
        <v>20190303154324441</v>
      </c>
      <c r="B7266" t="str">
        <f>"1551599004437875"</f>
        <v>1551599004437875</v>
      </c>
      <c r="C7266" t="s">
        <v>40</v>
      </c>
      <c r="D7266">
        <v>5.8682600000000003</v>
      </c>
      <c r="E7266">
        <v>0.48961399999999999</v>
      </c>
      <c r="F7266" t="s">
        <v>41</v>
      </c>
      <c r="G7266">
        <v>-301.33929999999998</v>
      </c>
      <c r="H7266" s="1">
        <v>-3.6916660000000001E-6</v>
      </c>
      <c r="I7266">
        <v>-32.636200000000002</v>
      </c>
      <c r="J7266">
        <v>-301.36399999999998</v>
      </c>
      <c r="K7266">
        <v>1.1213610000000001</v>
      </c>
      <c r="L7266">
        <v>-20.694459999999999</v>
      </c>
      <c r="M7266">
        <v>-3.0398370000000001E-2</v>
      </c>
      <c r="N7266">
        <v>-1.3962270000000001E-2</v>
      </c>
      <c r="O7266">
        <v>-0.99944060000000001</v>
      </c>
      <c r="P7266">
        <v>-2.4987189999999999E-2</v>
      </c>
      <c r="Q7266">
        <v>-9.5662430000000007E-2</v>
      </c>
      <c r="R7266">
        <v>-0.9951004</v>
      </c>
      <c r="S7266">
        <v>4.9133299999999996E-3</v>
      </c>
      <c r="T7266">
        <v>-0.27647169999999999</v>
      </c>
      <c r="U7266">
        <v>-2.9884339999999998</v>
      </c>
      <c r="V7266">
        <v>-5.2207979999999996E-3</v>
      </c>
      <c r="W7266">
        <v>-8.1758659999999997E-2</v>
      </c>
      <c r="X7266">
        <v>0.99663849999999998</v>
      </c>
      <c r="Y7266">
        <v>-3.2015809999999999E-2</v>
      </c>
      <c r="Z7266">
        <v>7.812086E-2</v>
      </c>
      <c r="AA7266">
        <v>0.99642969999999997</v>
      </c>
      <c r="AB7266">
        <v>18</v>
      </c>
      <c r="AC7266">
        <v>2.4700000000052499E-2</v>
      </c>
      <c r="AD7266">
        <v>-1.1213646916660001</v>
      </c>
      <c r="AE7266">
        <v>-11.941739999999999</v>
      </c>
      <c r="AF7266">
        <v>-0.38434426536413802</v>
      </c>
      <c r="AG7266">
        <v>-1.1213646916660001</v>
      </c>
      <c r="AH7266">
        <v>11.831145474143799</v>
      </c>
      <c r="AI7266">
        <v>95.411524030683495</v>
      </c>
      <c r="AJ7266">
        <v>91.860645080635194</v>
      </c>
      <c r="AK7266">
        <v>11.8903819331587</v>
      </c>
      <c r="AL7266">
        <v>94.689660659989599</v>
      </c>
      <c r="AM7266">
        <v>90.300135861704504</v>
      </c>
      <c r="AN7266">
        <v>1.0000000174495001</v>
      </c>
    </row>
    <row r="7267" spans="1:40" x14ac:dyDescent="0.25">
      <c r="A7267" t="str">
        <f>"20190303154324470"</f>
        <v>20190303154324470</v>
      </c>
      <c r="B7267" t="str">
        <f>"1551599004457395"</f>
        <v>1551599004457395</v>
      </c>
      <c r="C7267" t="s">
        <v>40</v>
      </c>
      <c r="D7267">
        <v>5.8522249999999998</v>
      </c>
      <c r="E7267">
        <v>0.48963210000000001</v>
      </c>
      <c r="F7267" t="s">
        <v>41</v>
      </c>
      <c r="G7267">
        <v>-301.32979999999998</v>
      </c>
      <c r="H7267" s="1">
        <v>-3.5054430000000001E-6</v>
      </c>
      <c r="I7267">
        <v>-33.06438</v>
      </c>
      <c r="J7267">
        <v>-301.37</v>
      </c>
      <c r="K7267">
        <v>1.1213420000000001</v>
      </c>
      <c r="L7267">
        <v>-20.922329999999999</v>
      </c>
      <c r="M7267">
        <v>-2.9630299999999998E-2</v>
      </c>
      <c r="N7267">
        <v>-1.39826E-2</v>
      </c>
      <c r="O7267">
        <v>-0.9994634</v>
      </c>
      <c r="P7267">
        <v>-2.36904E-2</v>
      </c>
      <c r="Q7267">
        <v>-9.5552970000000001E-2</v>
      </c>
      <c r="R7267">
        <v>-0.99514270000000005</v>
      </c>
      <c r="S7267">
        <v>8.2702639999999994E-3</v>
      </c>
      <c r="T7267">
        <v>-0.27095330000000001</v>
      </c>
      <c r="U7267">
        <v>-2.9889220000000001</v>
      </c>
      <c r="V7267">
        <v>-5.7592989999999998E-3</v>
      </c>
      <c r="W7267">
        <v>-8.1628790000000007E-2</v>
      </c>
      <c r="X7267">
        <v>0.99664620000000004</v>
      </c>
      <c r="Y7267">
        <v>-3.2367079999999999E-2</v>
      </c>
      <c r="Z7267">
        <v>7.6264209999999999E-2</v>
      </c>
      <c r="AA7267">
        <v>0.99656219999999995</v>
      </c>
      <c r="AB7267">
        <v>18</v>
      </c>
      <c r="AC7267">
        <v>4.0200000000027103E-2</v>
      </c>
      <c r="AD7267">
        <v>-1.1213455054429999</v>
      </c>
      <c r="AE7267">
        <v>-12.142049999999999</v>
      </c>
      <c r="AF7267">
        <v>-0.39660740308736198</v>
      </c>
      <c r="AG7267">
        <v>-1.1213455054429999</v>
      </c>
      <c r="AH7267">
        <v>12.032899743014401</v>
      </c>
      <c r="AI7267">
        <v>95.321142308034993</v>
      </c>
      <c r="AJ7267">
        <v>91.887799885145199</v>
      </c>
      <c r="AK7267">
        <v>12.091542060473399</v>
      </c>
      <c r="AL7267">
        <v>94.682194603681495</v>
      </c>
      <c r="AM7267">
        <v>90.331090263190404</v>
      </c>
      <c r="AN7267">
        <v>1.00000003842813</v>
      </c>
    </row>
    <row r="7268" spans="1:40" x14ac:dyDescent="0.25">
      <c r="A7268" t="str">
        <f>"20190303154324509"</f>
        <v>20190303154324509</v>
      </c>
      <c r="B7268" t="str">
        <f>"1551599004497411"</f>
        <v>1551599004497411</v>
      </c>
      <c r="C7268" t="s">
        <v>40</v>
      </c>
      <c r="D7268">
        <v>5.8178330000000003</v>
      </c>
      <c r="E7268">
        <v>0.4892957</v>
      </c>
      <c r="F7268" t="s">
        <v>41</v>
      </c>
      <c r="G7268">
        <v>-301.32119999999998</v>
      </c>
      <c r="H7268" s="1">
        <v>-3.4158890000000001E-6</v>
      </c>
      <c r="I7268">
        <v>-33.267789999999998</v>
      </c>
      <c r="J7268">
        <v>-301.37819999999999</v>
      </c>
      <c r="K7268">
        <v>1.121319</v>
      </c>
      <c r="L7268">
        <v>-21.242370000000001</v>
      </c>
      <c r="M7268">
        <v>-2.8666460000000001E-2</v>
      </c>
      <c r="N7268">
        <v>-1.4003720000000001E-2</v>
      </c>
      <c r="O7268">
        <v>-0.99949120000000002</v>
      </c>
      <c r="P7268">
        <v>-2.1751989999999999E-2</v>
      </c>
      <c r="Q7268">
        <v>-9.5038289999999997E-2</v>
      </c>
      <c r="R7268">
        <v>-0.99523649999999997</v>
      </c>
      <c r="S7268">
        <v>1.1810299999999999E-2</v>
      </c>
      <c r="T7268">
        <v>-0.2714801</v>
      </c>
      <c r="U7268">
        <v>-2.988861</v>
      </c>
      <c r="V7268">
        <v>-6.7480869999999998E-3</v>
      </c>
      <c r="W7268">
        <v>-8.1092419999999998E-2</v>
      </c>
      <c r="X7268">
        <v>0.99668369999999995</v>
      </c>
      <c r="Y7268">
        <v>-3.2583340000000002E-2</v>
      </c>
      <c r="Z7268">
        <v>7.6422199999999996E-2</v>
      </c>
      <c r="AA7268">
        <v>0.99654299999999996</v>
      </c>
      <c r="AB7268">
        <v>18</v>
      </c>
      <c r="AC7268">
        <v>5.7000000000016302E-2</v>
      </c>
      <c r="AD7268">
        <v>-1.1213224158890001</v>
      </c>
      <c r="AE7268">
        <v>-12.02542</v>
      </c>
      <c r="AF7268">
        <v>-0.39827366728832603</v>
      </c>
      <c r="AG7268">
        <v>-1.1213224158890001</v>
      </c>
      <c r="AH7268">
        <v>11.9152442752124</v>
      </c>
      <c r="AI7268">
        <v>95.373186745431198</v>
      </c>
      <c r="AJ7268">
        <v>91.914430533861506</v>
      </c>
      <c r="AK7268">
        <v>11.9745159406304</v>
      </c>
      <c r="AL7268">
        <v>94.651361021358497</v>
      </c>
      <c r="AM7268">
        <v>90.387917447842398</v>
      </c>
      <c r="AN7268">
        <v>0.99999995755265103</v>
      </c>
    </row>
    <row r="7269" spans="1:40" x14ac:dyDescent="0.25">
      <c r="A7269" t="str">
        <f>"20190303154324530"</f>
        <v>20190303154324530</v>
      </c>
      <c r="B7269" t="str">
        <f>"1551599004527667"</f>
        <v>1551599004527667</v>
      </c>
      <c r="C7269" t="s">
        <v>40</v>
      </c>
      <c r="D7269">
        <v>5.8460460000000003</v>
      </c>
      <c r="E7269">
        <v>0.48920089999999999</v>
      </c>
      <c r="F7269" t="s">
        <v>41</v>
      </c>
      <c r="G7269">
        <v>-301.29599999999999</v>
      </c>
      <c r="H7269" s="1">
        <v>-3.3686689999999998E-6</v>
      </c>
      <c r="I7269">
        <v>-33.36224</v>
      </c>
      <c r="J7269">
        <v>-301.38240000000002</v>
      </c>
      <c r="K7269">
        <v>1.1213010000000001</v>
      </c>
      <c r="L7269">
        <v>-21.411069999999999</v>
      </c>
      <c r="M7269">
        <v>-2.821804E-2</v>
      </c>
      <c r="N7269">
        <v>-1.401195E-2</v>
      </c>
      <c r="O7269">
        <v>-0.9995039</v>
      </c>
      <c r="P7269">
        <v>-2.0588200000000001E-2</v>
      </c>
      <c r="Q7269">
        <v>-9.34918E-2</v>
      </c>
      <c r="R7269">
        <v>-0.99540759999999995</v>
      </c>
      <c r="S7269">
        <v>2.0263670000000001E-2</v>
      </c>
      <c r="T7269">
        <v>-0.27648519999999999</v>
      </c>
      <c r="U7269">
        <v>-2.9884029999999999</v>
      </c>
      <c r="V7269">
        <v>-7.4752150000000003E-3</v>
      </c>
      <c r="W7269">
        <v>-7.9535830000000002E-2</v>
      </c>
      <c r="X7269">
        <v>0.99680400000000002</v>
      </c>
      <c r="Y7269">
        <v>-3.4951259999999998E-2</v>
      </c>
      <c r="Z7269">
        <v>7.8079019999999999E-2</v>
      </c>
      <c r="AA7269">
        <v>0.99633430000000001</v>
      </c>
      <c r="AB7269">
        <v>18</v>
      </c>
      <c r="AC7269">
        <v>8.6400000000025998E-2</v>
      </c>
      <c r="AD7269">
        <v>-1.1213043686690001</v>
      </c>
      <c r="AE7269">
        <v>-11.9511699999999</v>
      </c>
      <c r="AF7269">
        <v>-0.41994067806333601</v>
      </c>
      <c r="AG7269">
        <v>-1.1213043686690001</v>
      </c>
      <c r="AH7269">
        <v>11.839752924533499</v>
      </c>
      <c r="AI7269">
        <v>95.406779899498503</v>
      </c>
      <c r="AJ7269">
        <v>92.031355427956697</v>
      </c>
      <c r="AK7269">
        <v>11.90014382158</v>
      </c>
      <c r="AL7269">
        <v>94.561885641876103</v>
      </c>
      <c r="AM7269">
        <v>90.4296634462562</v>
      </c>
      <c r="AN7269">
        <v>1.0000000207545401</v>
      </c>
    </row>
    <row r="7270" spans="1:40" x14ac:dyDescent="0.25">
      <c r="A7270" t="str">
        <f>"20190303154324553"</f>
        <v>20190303154324553</v>
      </c>
      <c r="B7270" t="str">
        <f>"1551599004547187"</f>
        <v>1551599004547187</v>
      </c>
      <c r="C7270" t="s">
        <v>40</v>
      </c>
      <c r="D7270">
        <v>5.8251039999999996</v>
      </c>
      <c r="E7270">
        <v>0.4890698</v>
      </c>
      <c r="F7270" t="s">
        <v>41</v>
      </c>
      <c r="G7270">
        <v>-301.28370000000001</v>
      </c>
      <c r="H7270" s="1">
        <v>-3.2764059999999998E-6</v>
      </c>
      <c r="I7270">
        <v>-33.569690000000001</v>
      </c>
      <c r="J7270">
        <v>-301.387</v>
      </c>
      <c r="K7270">
        <v>1.121273</v>
      </c>
      <c r="L7270">
        <v>-21.595580000000002</v>
      </c>
      <c r="M7270">
        <v>-2.777189E-2</v>
      </c>
      <c r="N7270">
        <v>-1.4019149999999999E-2</v>
      </c>
      <c r="O7270">
        <v>-0.99951619999999997</v>
      </c>
      <c r="P7270">
        <v>-1.9091279999999999E-2</v>
      </c>
      <c r="Q7270">
        <v>-9.2831529999999995E-2</v>
      </c>
      <c r="R7270">
        <v>-0.99549929999999998</v>
      </c>
      <c r="S7270">
        <v>2.426147E-2</v>
      </c>
      <c r="T7270">
        <v>-0.2756053</v>
      </c>
      <c r="U7270">
        <v>-2.988464</v>
      </c>
      <c r="V7270">
        <v>-8.5360880000000007E-3</v>
      </c>
      <c r="W7270">
        <v>-7.8867549999999995E-2</v>
      </c>
      <c r="X7270">
        <v>0.99684859999999997</v>
      </c>
      <c r="Y7270">
        <v>-3.583737E-2</v>
      </c>
      <c r="Z7270">
        <v>7.777879E-2</v>
      </c>
      <c r="AA7270">
        <v>0.9963263</v>
      </c>
      <c r="AB7270">
        <v>18</v>
      </c>
      <c r="AC7270">
        <v>0.10329999999999</v>
      </c>
      <c r="AD7270">
        <v>-1.121276276406</v>
      </c>
      <c r="AE7270">
        <v>-11.97411</v>
      </c>
      <c r="AF7270">
        <v>-0.432048172483051</v>
      </c>
      <c r="AG7270">
        <v>-1.121276276406</v>
      </c>
      <c r="AH7270">
        <v>11.8626086327719</v>
      </c>
      <c r="AI7270">
        <v>95.396106417076794</v>
      </c>
      <c r="AJ7270">
        <v>92.085848125935101</v>
      </c>
      <c r="AK7270">
        <v>11.9233137040712</v>
      </c>
      <c r="AL7270">
        <v>94.523475254690197</v>
      </c>
      <c r="AM7270">
        <v>90.490615989532202</v>
      </c>
      <c r="AN7270">
        <v>1.00000004328165</v>
      </c>
    </row>
    <row r="7271" spans="1:40" x14ac:dyDescent="0.25">
      <c r="A7271" t="str">
        <f>"20190303154324575"</f>
        <v>20190303154324575</v>
      </c>
      <c r="B7271" t="str">
        <f>"1551599004567683"</f>
        <v>1551599004567683</v>
      </c>
      <c r="C7271" t="s">
        <v>40</v>
      </c>
      <c r="D7271">
        <v>5.8253469999999998</v>
      </c>
      <c r="E7271">
        <v>0.48888480000000001</v>
      </c>
      <c r="F7271" t="s">
        <v>41</v>
      </c>
      <c r="G7271">
        <v>-301.26589999999999</v>
      </c>
      <c r="H7271" s="1">
        <v>-3.211698E-6</v>
      </c>
      <c r="I7271">
        <v>-33.709470000000003</v>
      </c>
      <c r="J7271">
        <v>-301.39139999999998</v>
      </c>
      <c r="K7271">
        <v>1.121248</v>
      </c>
      <c r="L7271">
        <v>-21.770019999999999</v>
      </c>
      <c r="M7271">
        <v>-2.7392489999999999E-2</v>
      </c>
      <c r="N7271">
        <v>-1.402433E-2</v>
      </c>
      <c r="O7271">
        <v>-0.99952640000000004</v>
      </c>
      <c r="P7271">
        <v>-1.74646E-2</v>
      </c>
      <c r="Q7271">
        <v>-9.257348E-2</v>
      </c>
      <c r="R7271">
        <v>-0.99555300000000002</v>
      </c>
      <c r="S7271">
        <v>2.9876710000000001E-2</v>
      </c>
      <c r="T7271">
        <v>-0.27660479999999998</v>
      </c>
      <c r="U7271">
        <v>-2.9883419999999998</v>
      </c>
      <c r="V7271">
        <v>-9.7911700000000001E-3</v>
      </c>
      <c r="W7271">
        <v>-7.8603980000000004E-2</v>
      </c>
      <c r="X7271">
        <v>0.99685780000000002</v>
      </c>
      <c r="Y7271">
        <v>-3.7328840000000002E-2</v>
      </c>
      <c r="Z7271">
        <v>7.8105450000000007E-2</v>
      </c>
      <c r="AA7271">
        <v>0.99624599999999996</v>
      </c>
      <c r="AB7271">
        <v>18</v>
      </c>
      <c r="AC7271">
        <v>0.12549999999998801</v>
      </c>
      <c r="AD7271">
        <v>-1.121251211698</v>
      </c>
      <c r="AE7271">
        <v>-11.939450000000001</v>
      </c>
      <c r="AF7271">
        <v>-0.44858056292895698</v>
      </c>
      <c r="AG7271">
        <v>-1.121251211698</v>
      </c>
      <c r="AH7271">
        <v>11.827233667407199</v>
      </c>
      <c r="AI7271">
        <v>95.411729163717993</v>
      </c>
      <c r="AJ7271">
        <v>92.172059861413899</v>
      </c>
      <c r="AK7271">
        <v>11.8887293275868</v>
      </c>
      <c r="AL7271">
        <v>94.508327141020004</v>
      </c>
      <c r="AM7271">
        <v>90.562742929280404</v>
      </c>
      <c r="AN7271">
        <v>0.99999996305132399</v>
      </c>
    </row>
    <row r="7272" spans="1:40" x14ac:dyDescent="0.25">
      <c r="A7272" t="str">
        <f>"20190303154324597"</f>
        <v>20190303154324597</v>
      </c>
      <c r="B7272" t="str">
        <f>"1551599004587203"</f>
        <v>1551599004587203</v>
      </c>
      <c r="C7272" t="s">
        <v>40</v>
      </c>
      <c r="D7272">
        <v>5.8239720000000004</v>
      </c>
      <c r="E7272">
        <v>0.48876799999999998</v>
      </c>
      <c r="F7272" t="s">
        <v>41</v>
      </c>
      <c r="G7272">
        <v>-301.24619999999999</v>
      </c>
      <c r="H7272" s="1">
        <v>-3.179915E-6</v>
      </c>
      <c r="I7272">
        <v>-33.771369999999997</v>
      </c>
      <c r="J7272">
        <v>-301.39580000000001</v>
      </c>
      <c r="K7272">
        <v>1.1212310000000001</v>
      </c>
      <c r="L7272">
        <v>-21.946349999999999</v>
      </c>
      <c r="M7272">
        <v>-2.705457E-2</v>
      </c>
      <c r="N7272">
        <v>-1.402815E-2</v>
      </c>
      <c r="O7272">
        <v>-0.99953570000000003</v>
      </c>
      <c r="P7272">
        <v>-1.549214E-2</v>
      </c>
      <c r="Q7272">
        <v>-9.294521E-2</v>
      </c>
      <c r="R7272">
        <v>-0.99555090000000002</v>
      </c>
      <c r="S7272">
        <v>3.6132810000000001E-2</v>
      </c>
      <c r="T7272">
        <v>-0.27916669999999999</v>
      </c>
      <c r="U7272">
        <v>-2.9880680000000002</v>
      </c>
      <c r="V7272">
        <v>-1.1431220000000001E-2</v>
      </c>
      <c r="W7272">
        <v>-7.897237E-2</v>
      </c>
      <c r="X7272">
        <v>0.99681129999999996</v>
      </c>
      <c r="Y7272">
        <v>-3.9075070000000003E-2</v>
      </c>
      <c r="Z7272">
        <v>7.8953410000000002E-2</v>
      </c>
      <c r="AA7272">
        <v>0.9961122</v>
      </c>
      <c r="AB7272">
        <v>18</v>
      </c>
      <c r="AC7272">
        <v>0.14960000000001999</v>
      </c>
      <c r="AD7272">
        <v>-1.1212341799150001</v>
      </c>
      <c r="AE7272">
        <v>-11.82502</v>
      </c>
      <c r="AF7272">
        <v>-0.46531469621960198</v>
      </c>
      <c r="AG7272">
        <v>-1.1212341799150001</v>
      </c>
      <c r="AH7272">
        <v>11.7113675127865</v>
      </c>
      <c r="AI7272">
        <v>95.464484981158606</v>
      </c>
      <c r="AJ7272">
        <v>92.275272506876703</v>
      </c>
      <c r="AK7272">
        <v>11.774116224680199</v>
      </c>
      <c r="AL7272">
        <v>94.5294998132063</v>
      </c>
      <c r="AM7272">
        <v>90.6570270136652</v>
      </c>
      <c r="AN7272">
        <v>1.00000003791089</v>
      </c>
    </row>
    <row r="7273" spans="1:40" x14ac:dyDescent="0.25">
      <c r="A7273" t="str">
        <f>"20190303154324620"</f>
        <v>20190303154324620</v>
      </c>
      <c r="B7273" t="str">
        <f>"1551599004617459"</f>
        <v>1551599004617459</v>
      </c>
      <c r="C7273" t="s">
        <v>40</v>
      </c>
      <c r="D7273">
        <v>5.8349219999999997</v>
      </c>
      <c r="E7273">
        <v>0.4888189</v>
      </c>
      <c r="F7273" t="s">
        <v>41</v>
      </c>
      <c r="G7273">
        <v>-301.22480000000002</v>
      </c>
      <c r="H7273" s="1">
        <v>-3.1665889999999998E-6</v>
      </c>
      <c r="I7273">
        <v>-33.789149999999999</v>
      </c>
      <c r="J7273">
        <v>-301.40019999999998</v>
      </c>
      <c r="K7273">
        <v>1.1212150000000001</v>
      </c>
      <c r="L7273">
        <v>-22.125489999999999</v>
      </c>
      <c r="M7273">
        <v>-2.675671E-2</v>
      </c>
      <c r="N7273">
        <v>-1.4030859999999999E-2</v>
      </c>
      <c r="O7273">
        <v>-0.99954370000000003</v>
      </c>
      <c r="P7273">
        <v>-1.425542E-2</v>
      </c>
      <c r="Q7273">
        <v>-9.2869859999999999E-2</v>
      </c>
      <c r="R7273">
        <v>-0.99557660000000003</v>
      </c>
      <c r="S7273">
        <v>4.3121340000000001E-2</v>
      </c>
      <c r="T7273">
        <v>-0.28286209999999901</v>
      </c>
      <c r="U7273">
        <v>-2.9876710000000002</v>
      </c>
      <c r="V7273">
        <v>-1.237622E-2</v>
      </c>
      <c r="W7273">
        <v>-7.889388E-2</v>
      </c>
      <c r="X7273">
        <v>0.99680619999999998</v>
      </c>
      <c r="Y7273">
        <v>-4.110511E-2</v>
      </c>
      <c r="Z7273">
        <v>8.0179329999999993E-2</v>
      </c>
      <c r="AA7273">
        <v>0.99593259999999995</v>
      </c>
      <c r="AB7273">
        <v>18</v>
      </c>
      <c r="AC7273">
        <v>0.175399999999967</v>
      </c>
      <c r="AD7273">
        <v>-1.121218166589</v>
      </c>
      <c r="AE7273">
        <v>-11.66366</v>
      </c>
      <c r="AF7273">
        <v>-0.48298683442339502</v>
      </c>
      <c r="AG7273">
        <v>-1.121218166589</v>
      </c>
      <c r="AH7273">
        <v>11.5480999164728</v>
      </c>
      <c r="AI7273">
        <v>95.540716988167105</v>
      </c>
      <c r="AJ7273">
        <v>92.3949384441635</v>
      </c>
      <c r="AK7273">
        <v>11.6124509962434</v>
      </c>
      <c r="AL7273">
        <v>94.524988729046996</v>
      </c>
      <c r="AM7273">
        <v>90.711340618247107</v>
      </c>
      <c r="AN7273">
        <v>1.0000000077406901</v>
      </c>
    </row>
    <row r="7274" spans="1:40" x14ac:dyDescent="0.25">
      <c r="A7274" t="str">
        <f>"20190303154324642"</f>
        <v>20190303154324642</v>
      </c>
      <c r="B7274" t="str">
        <f>"1551599004637955"</f>
        <v>1551599004637955</v>
      </c>
      <c r="C7274" t="s">
        <v>40</v>
      </c>
      <c r="D7274">
        <v>5.8240889999999998</v>
      </c>
      <c r="E7274">
        <v>0.49003150000000001</v>
      </c>
      <c r="F7274" t="s">
        <v>41</v>
      </c>
      <c r="G7274">
        <v>-301.21769999999998</v>
      </c>
      <c r="H7274" s="1">
        <v>-3.1296640000000001E-6</v>
      </c>
      <c r="I7274">
        <v>-33.870809999999999</v>
      </c>
      <c r="J7274">
        <v>-301.40460000000002</v>
      </c>
      <c r="K7274">
        <v>1.1212040000000001</v>
      </c>
      <c r="L7274">
        <v>-22.30273</v>
      </c>
      <c r="M7274">
        <v>-2.6497400000000001E-2</v>
      </c>
      <c r="N7274">
        <v>-1.403251E-2</v>
      </c>
      <c r="O7274">
        <v>-0.99955039999999995</v>
      </c>
      <c r="P7274">
        <v>-1.336159E-2</v>
      </c>
      <c r="Q7274">
        <v>-9.2412220000000003E-2</v>
      </c>
      <c r="R7274">
        <v>-0.9956313</v>
      </c>
      <c r="S7274">
        <v>4.6417239999999999E-2</v>
      </c>
      <c r="T7274">
        <v>-0.28517930000000002</v>
      </c>
      <c r="U7274">
        <v>-2.9873959999999999</v>
      </c>
      <c r="V7274">
        <v>-1.301599E-2</v>
      </c>
      <c r="W7274">
        <v>-7.8433710000000004E-2</v>
      </c>
      <c r="X7274">
        <v>0.99683429999999995</v>
      </c>
      <c r="Y7274">
        <v>-4.1943899999999999E-2</v>
      </c>
      <c r="Z7274">
        <v>8.0950069999999999E-2</v>
      </c>
      <c r="AA7274">
        <v>0.99583520000000003</v>
      </c>
      <c r="AB7274">
        <v>18</v>
      </c>
      <c r="AC7274">
        <v>0.18690000000003601</v>
      </c>
      <c r="AD7274">
        <v>-1.121207129664</v>
      </c>
      <c r="AE7274">
        <v>-11.568079999999901</v>
      </c>
      <c r="AF7274">
        <v>-0.48879803032625502</v>
      </c>
      <c r="AG7274">
        <v>-1.121207129664</v>
      </c>
      <c r="AH7274">
        <v>11.4515174605482</v>
      </c>
      <c r="AI7274">
        <v>95.586897036767795</v>
      </c>
      <c r="AJ7274">
        <v>92.4441367207599</v>
      </c>
      <c r="AK7274">
        <v>11.516652338735399</v>
      </c>
      <c r="AL7274">
        <v>94.498541269097601</v>
      </c>
      <c r="AM7274">
        <v>90.748087134414106</v>
      </c>
      <c r="AN7274">
        <v>0.99999994225826505</v>
      </c>
    </row>
    <row r="7275" spans="1:40" x14ac:dyDescent="0.25">
      <c r="A7275" t="str">
        <f>"20190303154324666"</f>
        <v>20190303154324666</v>
      </c>
      <c r="B7275" t="str">
        <f>"1551599004657475"</f>
        <v>1551599004657475</v>
      </c>
      <c r="C7275" t="s">
        <v>40</v>
      </c>
      <c r="D7275">
        <v>5.8505849999999997</v>
      </c>
      <c r="E7275">
        <v>0.49005110000000002</v>
      </c>
      <c r="F7275" t="s">
        <v>42</v>
      </c>
      <c r="G7275">
        <v>-301.39429999999999</v>
      </c>
      <c r="H7275">
        <v>1.0224420000000001</v>
      </c>
      <c r="I7275">
        <v>-23.13439</v>
      </c>
      <c r="J7275">
        <v>-301.40929999999997</v>
      </c>
      <c r="K7275">
        <v>1.1211960000000001</v>
      </c>
      <c r="L7275">
        <v>-22.490659999999998</v>
      </c>
      <c r="M7275">
        <v>-2.6254420000000001E-2</v>
      </c>
      <c r="N7275">
        <v>-1.403331E-2</v>
      </c>
      <c r="O7275">
        <v>-0.99955709999999998</v>
      </c>
      <c r="P7275">
        <v>-1.2871260000000001E-2</v>
      </c>
      <c r="Q7275">
        <v>-9.1832759999999999E-2</v>
      </c>
      <c r="R7275">
        <v>-0.99569169999999996</v>
      </c>
      <c r="S7275">
        <v>3.80249E-2</v>
      </c>
      <c r="T7275">
        <v>-0.35397709999999999</v>
      </c>
      <c r="U7275">
        <v>-2.980804</v>
      </c>
      <c r="V7275">
        <v>-1.326804E-2</v>
      </c>
      <c r="W7275">
        <v>-7.7852439999999995E-2</v>
      </c>
      <c r="X7275">
        <v>0.9968766</v>
      </c>
      <c r="Y7275">
        <v>-3.8900730000000001E-2</v>
      </c>
      <c r="Z7275">
        <v>0.1038641</v>
      </c>
      <c r="AA7275">
        <v>0.9938304</v>
      </c>
      <c r="AB7275">
        <v>18</v>
      </c>
      <c r="AC7275">
        <v>1.49999999999863E-2</v>
      </c>
      <c r="AD7275">
        <v>-9.87539999999998E-2</v>
      </c>
      <c r="AE7275">
        <v>-0.64372999999999703</v>
      </c>
      <c r="AF7275">
        <v>-3.1164214320645301E-2</v>
      </c>
      <c r="AG7275">
        <v>-9.87539999999998E-2</v>
      </c>
      <c r="AH7275">
        <v>0.62833478809395205</v>
      </c>
      <c r="AI7275">
        <v>98.921195601924595</v>
      </c>
      <c r="AJ7275">
        <v>92.839435260118194</v>
      </c>
      <c r="AK7275">
        <v>0.63681093481448203</v>
      </c>
      <c r="AL7275">
        <v>94.4651345411542</v>
      </c>
      <c r="AM7275">
        <v>90.762539526245007</v>
      </c>
      <c r="AN7275">
        <v>0.99999999946347695</v>
      </c>
    </row>
    <row r="7276" spans="1:40" x14ac:dyDescent="0.25">
      <c r="A7276" t="str">
        <f>"20190303154324689"</f>
        <v>20190303154324689</v>
      </c>
      <c r="B7276" t="str">
        <f>"1551599004677972"</f>
        <v>1551599004677972</v>
      </c>
      <c r="C7276" t="s">
        <v>40</v>
      </c>
      <c r="D7276">
        <v>5.8378269999999999</v>
      </c>
      <c r="E7276">
        <v>0.48972359999999998</v>
      </c>
      <c r="F7276" t="s">
        <v>41</v>
      </c>
      <c r="G7276">
        <v>-301.27870000000001</v>
      </c>
      <c r="H7276" s="1">
        <v>-3.8056550000000001E-6</v>
      </c>
      <c r="I7276">
        <v>-32.33287</v>
      </c>
      <c r="J7276">
        <v>-301.41390000000001</v>
      </c>
      <c r="K7276">
        <v>1.121194</v>
      </c>
      <c r="L7276">
        <v>-22.677949999999999</v>
      </c>
      <c r="M7276">
        <v>-2.6038840000000001E-2</v>
      </c>
      <c r="N7276">
        <v>-1.40333E-2</v>
      </c>
      <c r="O7276">
        <v>-0.99956259999999997</v>
      </c>
      <c r="P7276">
        <v>-1.3053E-2</v>
      </c>
      <c r="Q7276">
        <v>-9.2282729999999993E-2</v>
      </c>
      <c r="R7276">
        <v>-0.99564779999999997</v>
      </c>
      <c r="S7276">
        <v>3.95813E-2</v>
      </c>
      <c r="T7276">
        <v>-0.33972229999999998</v>
      </c>
      <c r="U7276">
        <v>-2.9821780000000002</v>
      </c>
      <c r="V7276">
        <v>-1.2872099999999999E-2</v>
      </c>
      <c r="W7276">
        <v>-7.8302579999999997E-2</v>
      </c>
      <c r="X7276">
        <v>0.99684660000000003</v>
      </c>
      <c r="Y7276">
        <v>-3.9205440000000001E-2</v>
      </c>
      <c r="Z7276">
        <v>9.9122879999999997E-2</v>
      </c>
      <c r="AA7276">
        <v>0.99430260000000004</v>
      </c>
      <c r="AB7276">
        <v>18</v>
      </c>
      <c r="AC7276">
        <v>0.13519999999999699</v>
      </c>
      <c r="AD7276">
        <v>-1.121197805655</v>
      </c>
      <c r="AE7276">
        <v>-9.65491999999999</v>
      </c>
      <c r="AF7276">
        <v>-0.381438894531967</v>
      </c>
      <c r="AG7276">
        <v>-1.121197805655</v>
      </c>
      <c r="AH7276">
        <v>9.5197711593114693</v>
      </c>
      <c r="AI7276">
        <v>96.711770872748801</v>
      </c>
      <c r="AJ7276">
        <v>92.294504149883807</v>
      </c>
      <c r="AK7276">
        <v>9.5931550115343107</v>
      </c>
      <c r="AL7276">
        <v>94.491004344929493</v>
      </c>
      <c r="AM7276">
        <v>90.739808929632702</v>
      </c>
      <c r="AN7276">
        <v>1.0000000644623099</v>
      </c>
    </row>
    <row r="7277" spans="1:40" x14ac:dyDescent="0.25">
      <c r="A7277" t="str">
        <f>"20190303154324710"</f>
        <v>20190303154324710</v>
      </c>
      <c r="B7277" t="str">
        <f>"1551599004707251"</f>
        <v>1551599004707251</v>
      </c>
      <c r="C7277" t="s">
        <v>40</v>
      </c>
      <c r="D7277">
        <v>5.8220330000000002</v>
      </c>
      <c r="E7277">
        <v>0.49007630000000002</v>
      </c>
      <c r="F7277" t="s">
        <v>41</v>
      </c>
      <c r="G7277">
        <v>-301.27670000000001</v>
      </c>
      <c r="H7277" s="1">
        <v>-3.7261900000000001E-6</v>
      </c>
      <c r="I7277">
        <v>-32.516860000000001</v>
      </c>
      <c r="J7277">
        <v>-301.41800000000001</v>
      </c>
      <c r="K7277">
        <v>1.1211869999999999</v>
      </c>
      <c r="L7277">
        <v>-22.84235</v>
      </c>
      <c r="M7277">
        <v>-2.586598E-2</v>
      </c>
      <c r="N7277">
        <v>-1.4032650000000001E-2</v>
      </c>
      <c r="O7277">
        <v>-0.99956710000000004</v>
      </c>
      <c r="P7277">
        <v>-1.449975E-2</v>
      </c>
      <c r="Q7277">
        <v>-9.1804579999999997E-2</v>
      </c>
      <c r="R7277">
        <v>-0.99567169999999905</v>
      </c>
      <c r="S7277">
        <v>4.1595460000000001E-2</v>
      </c>
      <c r="T7277">
        <v>-0.3398352</v>
      </c>
      <c r="U7277">
        <v>-2.9821780000000002</v>
      </c>
      <c r="V7277">
        <v>-1.125542E-2</v>
      </c>
      <c r="W7277">
        <v>-7.7823929999999999E-2</v>
      </c>
      <c r="X7277">
        <v>0.9969036</v>
      </c>
      <c r="Y7277">
        <v>-3.9703549999999997E-2</v>
      </c>
      <c r="Z7277">
        <v>9.9159720000000007E-2</v>
      </c>
      <c r="AA7277">
        <v>0.99427909999999997</v>
      </c>
      <c r="AB7277">
        <v>18</v>
      </c>
      <c r="AC7277">
        <v>0.14130000000000101</v>
      </c>
      <c r="AD7277">
        <v>-1.12119072619</v>
      </c>
      <c r="AE7277">
        <v>-9.6745099999999997</v>
      </c>
      <c r="AF7277">
        <v>-0.38633038495553201</v>
      </c>
      <c r="AG7277">
        <v>-1.12119072619</v>
      </c>
      <c r="AH7277">
        <v>9.5395214094448306</v>
      </c>
      <c r="AI7277">
        <v>96.697844835834204</v>
      </c>
      <c r="AJ7277">
        <v>92.319090277328101</v>
      </c>
      <c r="AK7277">
        <v>9.6129490028861895</v>
      </c>
      <c r="AL7277">
        <v>94.463495983888293</v>
      </c>
      <c r="AM7277">
        <v>90.646863611361198</v>
      </c>
      <c r="AN7277">
        <v>1.0000000181264901</v>
      </c>
    </row>
    <row r="7278" spans="1:40" x14ac:dyDescent="0.25">
      <c r="A7278" t="str">
        <f>"20190303154324730"</f>
        <v>20190303154324730</v>
      </c>
      <c r="B7278" t="str">
        <f>"1551599004727748"</f>
        <v>1551599004727748</v>
      </c>
      <c r="C7278" t="s">
        <v>40</v>
      </c>
      <c r="D7278">
        <v>5.8218909999999999</v>
      </c>
      <c r="E7278">
        <v>0.4900641</v>
      </c>
      <c r="F7278" t="s">
        <v>41</v>
      </c>
      <c r="G7278">
        <v>-301.3021</v>
      </c>
      <c r="H7278" s="1">
        <v>-3.5904989999999999E-6</v>
      </c>
      <c r="I7278">
        <v>-32.84892</v>
      </c>
      <c r="J7278">
        <v>-301.42189999999999</v>
      </c>
      <c r="K7278">
        <v>1.121189</v>
      </c>
      <c r="L7278">
        <v>-23.00262</v>
      </c>
      <c r="M7278">
        <v>-2.5706050000000001E-2</v>
      </c>
      <c r="N7278">
        <v>-1.40316E-2</v>
      </c>
      <c r="O7278">
        <v>-0.99957110000000005</v>
      </c>
      <c r="P7278">
        <v>-1.6172289999999999E-2</v>
      </c>
      <c r="Q7278">
        <v>-9.2052129999999996E-2</v>
      </c>
      <c r="R7278">
        <v>-0.99562300000000004</v>
      </c>
      <c r="S7278">
        <v>3.4545899999999997E-2</v>
      </c>
      <c r="T7278">
        <v>-0.33420090000000002</v>
      </c>
      <c r="U7278">
        <v>-2.9827270000000001</v>
      </c>
      <c r="V7278">
        <v>-9.4231769999999996E-3</v>
      </c>
      <c r="W7278">
        <v>-7.80724E-2</v>
      </c>
      <c r="X7278">
        <v>0.99690319999999999</v>
      </c>
      <c r="Y7278">
        <v>-3.7196350000000003E-2</v>
      </c>
      <c r="Z7278">
        <v>9.7293939999999995E-2</v>
      </c>
      <c r="AA7278">
        <v>0.99456040000000001</v>
      </c>
      <c r="AB7278">
        <v>18</v>
      </c>
      <c r="AC7278">
        <v>0.11979999999999701</v>
      </c>
      <c r="AD7278">
        <v>-1.1211925904990001</v>
      </c>
      <c r="AE7278">
        <v>-9.8462999999999994</v>
      </c>
      <c r="AF7278">
        <v>-0.36812233648832998</v>
      </c>
      <c r="AG7278">
        <v>-1.1211925904990001</v>
      </c>
      <c r="AH7278">
        <v>9.7140298384251107</v>
      </c>
      <c r="AI7278">
        <v>96.579260027186507</v>
      </c>
      <c r="AJ7278">
        <v>92.1702391877499</v>
      </c>
      <c r="AK7278">
        <v>9.7854464681702105</v>
      </c>
      <c r="AL7278">
        <v>94.477775601541694</v>
      </c>
      <c r="AM7278">
        <v>90.541569324398694</v>
      </c>
      <c r="AN7278">
        <v>1.00000004303838</v>
      </c>
    </row>
    <row r="7279" spans="1:40" x14ac:dyDescent="0.25">
      <c r="A7279" t="str">
        <f>"20190303154324753"</f>
        <v>20190303154324753</v>
      </c>
      <c r="B7279" t="str">
        <f>"1551599004747267"</f>
        <v>1551599004747267</v>
      </c>
      <c r="C7279" t="s">
        <v>40</v>
      </c>
      <c r="D7279">
        <v>5.8443880000000004</v>
      </c>
      <c r="E7279">
        <v>0.49019040000000003</v>
      </c>
      <c r="F7279" t="s">
        <v>41</v>
      </c>
      <c r="G7279">
        <v>-301.32209999999998</v>
      </c>
      <c r="H7279" s="1">
        <v>-3.5111109999999998E-6</v>
      </c>
      <c r="I7279">
        <v>-33.046430000000001</v>
      </c>
      <c r="J7279">
        <v>-301.42630000000003</v>
      </c>
      <c r="K7279">
        <v>1.121197</v>
      </c>
      <c r="L7279">
        <v>-23.179749999999999</v>
      </c>
      <c r="M7279">
        <v>-2.5532679999999999E-2</v>
      </c>
      <c r="N7279">
        <v>-1.4030000000000001E-2</v>
      </c>
      <c r="O7279">
        <v>-0.99957589999999996</v>
      </c>
      <c r="P7279">
        <v>-1.8016939999999999E-2</v>
      </c>
      <c r="Q7279">
        <v>-9.1370370000000006E-2</v>
      </c>
      <c r="R7279">
        <v>-0.99565420000000004</v>
      </c>
      <c r="S7279">
        <v>2.963257E-2</v>
      </c>
      <c r="T7279">
        <v>-0.33297969999999999</v>
      </c>
      <c r="U7279">
        <v>-2.9828800000000002</v>
      </c>
      <c r="V7279">
        <v>-7.4070739999999996E-3</v>
      </c>
      <c r="W7279">
        <v>-7.7391039999999994E-2</v>
      </c>
      <c r="X7279">
        <v>0.99697329999999995</v>
      </c>
      <c r="Y7279">
        <v>-3.5386439999999998E-2</v>
      </c>
      <c r="Z7279">
        <v>9.6893489999999999E-2</v>
      </c>
      <c r="AA7279">
        <v>0.99466549999999998</v>
      </c>
      <c r="AB7279">
        <v>18</v>
      </c>
      <c r="AC7279">
        <v>0.104200000000048</v>
      </c>
      <c r="AD7279">
        <v>-1.1212005111109999</v>
      </c>
      <c r="AE7279">
        <v>-9.8666800000000006</v>
      </c>
      <c r="AF7279">
        <v>-0.35157416783659001</v>
      </c>
      <c r="AG7279">
        <v>-1.1212005111109999</v>
      </c>
      <c r="AH7279">
        <v>9.7351072957689997</v>
      </c>
      <c r="AI7279">
        <v>96.565614298797598</v>
      </c>
      <c r="AJ7279">
        <v>92.068283884995793</v>
      </c>
      <c r="AK7279">
        <v>9.8057640723066708</v>
      </c>
      <c r="AL7279">
        <v>94.438618265916602</v>
      </c>
      <c r="AM7279">
        <v>90.425674659871206</v>
      </c>
      <c r="AN7279">
        <v>0.999999999365206</v>
      </c>
    </row>
    <row r="7280" spans="1:40" x14ac:dyDescent="0.25">
      <c r="A7280" t="str">
        <f>"20190303154324775"</f>
        <v>20190303154324775</v>
      </c>
      <c r="B7280" t="str">
        <f>"1551599004767763"</f>
        <v>1551599004767763</v>
      </c>
      <c r="C7280" t="s">
        <v>40</v>
      </c>
      <c r="D7280">
        <v>5.8043420000000001</v>
      </c>
      <c r="E7280">
        <v>0.49015649999999999</v>
      </c>
      <c r="F7280" t="s">
        <v>41</v>
      </c>
      <c r="G7280">
        <v>-301.3467</v>
      </c>
      <c r="H7280" s="1">
        <v>-3.3944550000000001E-6</v>
      </c>
      <c r="I7280">
        <v>-33.333579999999998</v>
      </c>
      <c r="J7280">
        <v>-301.43049999999999</v>
      </c>
      <c r="K7280">
        <v>1.1212029999999999</v>
      </c>
      <c r="L7280">
        <v>-23.353760000000001</v>
      </c>
      <c r="M7280">
        <v>-2.5362659999999999E-2</v>
      </c>
      <c r="N7280">
        <v>-1.402809E-2</v>
      </c>
      <c r="O7280">
        <v>-0.99958000000000002</v>
      </c>
      <c r="P7280">
        <v>-1.9795980000000001E-2</v>
      </c>
      <c r="Q7280">
        <v>-9.0770719999999999E-2</v>
      </c>
      <c r="R7280">
        <v>-0.99567530000000004</v>
      </c>
      <c r="S7280">
        <v>2.3376460000000002E-2</v>
      </c>
      <c r="T7280">
        <v>-0.32941749999999997</v>
      </c>
      <c r="U7280">
        <v>-2.983276</v>
      </c>
      <c r="V7280">
        <v>-5.458676E-3</v>
      </c>
      <c r="W7280">
        <v>-7.6792340000000001E-2</v>
      </c>
      <c r="X7280">
        <v>0.99703220000000004</v>
      </c>
      <c r="Y7280">
        <v>-3.313253E-2</v>
      </c>
      <c r="Z7280">
        <v>9.5714080000000007E-2</v>
      </c>
      <c r="AA7280">
        <v>0.99485730000000006</v>
      </c>
      <c r="AB7280">
        <v>18</v>
      </c>
      <c r="AC7280">
        <v>8.3799999999996502E-2</v>
      </c>
      <c r="AD7280">
        <v>-1.1212063944549999</v>
      </c>
      <c r="AE7280">
        <v>-9.9798199999999895</v>
      </c>
      <c r="AF7280">
        <v>-0.33271350873673999</v>
      </c>
      <c r="AG7280">
        <v>-1.1212063944549999</v>
      </c>
      <c r="AH7280">
        <v>9.8501641189408993</v>
      </c>
      <c r="AI7280">
        <v>96.490139882299701</v>
      </c>
      <c r="AJ7280">
        <v>91.934570304713503</v>
      </c>
      <c r="AK7280">
        <v>9.9193515527948399</v>
      </c>
      <c r="AL7280">
        <v>94.404212738175403</v>
      </c>
      <c r="AM7280">
        <v>90.313686931697802</v>
      </c>
      <c r="AN7280">
        <v>1.00000003423159</v>
      </c>
    </row>
    <row r="7281" spans="1:40" x14ac:dyDescent="0.25">
      <c r="A7281" t="str">
        <f>"20190303154324798"</f>
        <v>20190303154324798</v>
      </c>
      <c r="B7281" t="str">
        <f>"1551599004787283"</f>
        <v>1551599004787283</v>
      </c>
      <c r="C7281" t="s">
        <v>40</v>
      </c>
      <c r="D7281">
        <v>5.914167</v>
      </c>
      <c r="E7281">
        <v>0.49011070000000001</v>
      </c>
      <c r="F7281" t="s">
        <v>41</v>
      </c>
      <c r="G7281">
        <v>-301.36829999999998</v>
      </c>
      <c r="H7281" s="1">
        <v>-3.3062190000000001E-6</v>
      </c>
      <c r="I7281">
        <v>-33.552639999999997</v>
      </c>
      <c r="J7281">
        <v>-301.43490000000003</v>
      </c>
      <c r="K7281">
        <v>1.121213</v>
      </c>
      <c r="L7281">
        <v>-23.531649999999999</v>
      </c>
      <c r="M7281">
        <v>-2.518546E-2</v>
      </c>
      <c r="N7281">
        <v>-1.402575E-2</v>
      </c>
      <c r="O7281">
        <v>-0.99958449999999999</v>
      </c>
      <c r="P7281">
        <v>-2.0676690000000001E-2</v>
      </c>
      <c r="Q7281">
        <v>-9.0608590000000003E-2</v>
      </c>
      <c r="R7281">
        <v>-0.995672</v>
      </c>
      <c r="S7281">
        <v>1.8218990000000001E-2</v>
      </c>
      <c r="T7281">
        <v>-0.3279879</v>
      </c>
      <c r="U7281">
        <v>-2.9834900000000002</v>
      </c>
      <c r="V7281">
        <v>-4.4004379999999996E-3</v>
      </c>
      <c r="W7281">
        <v>-7.6632240000000004E-2</v>
      </c>
      <c r="X7281">
        <v>0.99704970000000004</v>
      </c>
      <c r="Y7281">
        <v>-3.1237089999999999E-2</v>
      </c>
      <c r="Z7281">
        <v>9.5242789999999994E-2</v>
      </c>
      <c r="AA7281">
        <v>0.99496379999999995</v>
      </c>
      <c r="AB7281">
        <v>18</v>
      </c>
      <c r="AC7281">
        <v>6.6600000000050799E-2</v>
      </c>
      <c r="AD7281">
        <v>-1.1212163062189999</v>
      </c>
      <c r="AE7281">
        <v>-10.020989999999999</v>
      </c>
      <c r="AF7281">
        <v>-0.31504317415321298</v>
      </c>
      <c r="AG7281">
        <v>-1.1212163062189999</v>
      </c>
      <c r="AH7281">
        <v>9.8923003683088098</v>
      </c>
      <c r="AI7281">
        <v>96.4631915802496</v>
      </c>
      <c r="AJ7281">
        <v>91.824100022544599</v>
      </c>
      <c r="AK7281">
        <v>9.9606217066885208</v>
      </c>
      <c r="AL7281">
        <v>94.395012794258307</v>
      </c>
      <c r="AM7281">
        <v>90.252870933517599</v>
      </c>
      <c r="AN7281">
        <v>0.99999998416604896</v>
      </c>
    </row>
    <row r="7282" spans="1:40" x14ac:dyDescent="0.25">
      <c r="A7282" t="str">
        <f>"20190303154324823"</f>
        <v>20190303154324823</v>
      </c>
      <c r="B7282" t="str">
        <f>"1551599004817539"</f>
        <v>1551599004817539</v>
      </c>
      <c r="C7282" t="s">
        <v>40</v>
      </c>
      <c r="D7282">
        <v>5.9396399999999998</v>
      </c>
      <c r="E7282">
        <v>0.50608599999999904</v>
      </c>
      <c r="F7282" t="s">
        <v>42</v>
      </c>
      <c r="G7282">
        <v>-301.43049999999999</v>
      </c>
      <c r="H7282">
        <v>1.026178</v>
      </c>
      <c r="I7282">
        <v>-24.390470000000001</v>
      </c>
      <c r="J7282">
        <v>-301.43939999999998</v>
      </c>
      <c r="K7282">
        <v>1.1212200000000001</v>
      </c>
      <c r="L7282">
        <v>-23.71997</v>
      </c>
      <c r="M7282">
        <v>-2.499345E-2</v>
      </c>
      <c r="N7282">
        <v>-1.4023010000000001E-2</v>
      </c>
      <c r="O7282">
        <v>-0.99958950000000002</v>
      </c>
      <c r="P7282">
        <v>-2.0678510000000001E-2</v>
      </c>
      <c r="Q7282">
        <v>-9.0503860000000005E-2</v>
      </c>
      <c r="R7282">
        <v>-0.9956817</v>
      </c>
      <c r="S7282">
        <v>1.5930179999999999E-2</v>
      </c>
      <c r="T7282">
        <v>-0.3301191</v>
      </c>
      <c r="U7282">
        <v>-2.9833370000000001</v>
      </c>
      <c r="V7282">
        <v>-4.2060200000000004E-3</v>
      </c>
      <c r="W7282">
        <v>-7.6530180000000003E-2</v>
      </c>
      <c r="X7282">
        <v>0.99705840000000001</v>
      </c>
      <c r="Y7282">
        <v>-3.0282400000000001E-2</v>
      </c>
      <c r="Z7282">
        <v>9.5955890000000002E-2</v>
      </c>
      <c r="AA7282">
        <v>0.99492480000000005</v>
      </c>
      <c r="AB7282">
        <v>17</v>
      </c>
      <c r="AC7282">
        <v>8.8999999999828001E-3</v>
      </c>
      <c r="AD7282">
        <v>-9.5042000000000001E-2</v>
      </c>
      <c r="AE7282">
        <v>-0.67049999999999998</v>
      </c>
      <c r="AF7282">
        <v>-2.5151700281336301E-2</v>
      </c>
      <c r="AG7282">
        <v>-9.5042000000000001E-2</v>
      </c>
      <c r="AH7282">
        <v>0.65687217440697798</v>
      </c>
      <c r="AI7282">
        <v>98.226973097994403</v>
      </c>
      <c r="AJ7282">
        <v>92.1927898221943</v>
      </c>
      <c r="AK7282">
        <v>0.66418871060956297</v>
      </c>
      <c r="AL7282">
        <v>94.389147867770205</v>
      </c>
      <c r="AM7282">
        <v>90.241696740226701</v>
      </c>
      <c r="AN7282">
        <v>1.00000000603281</v>
      </c>
    </row>
    <row r="7283" spans="1:40" x14ac:dyDescent="0.25">
      <c r="A7283" t="str">
        <f>"20190303154324842"</f>
        <v>20190303154324842</v>
      </c>
      <c r="B7283" t="str">
        <f>"1551599004838035"</f>
        <v>1551599004838035</v>
      </c>
      <c r="C7283" t="s">
        <v>40</v>
      </c>
      <c r="D7283">
        <v>5.9334499999999997</v>
      </c>
      <c r="E7283">
        <v>0.50586359999999997</v>
      </c>
      <c r="F7283" t="s">
        <v>42</v>
      </c>
      <c r="G7283">
        <v>-301.47050000000002</v>
      </c>
      <c r="H7283">
        <v>1.033107</v>
      </c>
      <c r="I7283">
        <v>-24.54448</v>
      </c>
      <c r="J7283">
        <v>-301.44319999999999</v>
      </c>
      <c r="K7283">
        <v>1.1212299999999999</v>
      </c>
      <c r="L7283">
        <v>-23.879760000000001</v>
      </c>
      <c r="M7283">
        <v>-2.482608E-2</v>
      </c>
      <c r="N7283">
        <v>-1.402049E-2</v>
      </c>
      <c r="O7283">
        <v>-0.99959359999999997</v>
      </c>
      <c r="P7283">
        <v>-1.945009E-2</v>
      </c>
      <c r="Q7283">
        <v>-9.0523409999999999E-2</v>
      </c>
      <c r="R7283">
        <v>-0.99570460000000005</v>
      </c>
      <c r="S7283">
        <v>-0.1112366</v>
      </c>
      <c r="T7283">
        <v>-0.31864740000000003</v>
      </c>
      <c r="U7283">
        <v>-2.9817499999999999</v>
      </c>
      <c r="V7283">
        <v>-5.2667030000000002E-3</v>
      </c>
      <c r="W7283">
        <v>-7.6552560000000006E-2</v>
      </c>
      <c r="X7283">
        <v>0.99705169999999999</v>
      </c>
      <c r="Y7283">
        <v>1.2287670000000001E-2</v>
      </c>
      <c r="Z7283">
        <v>9.2226240000000001E-2</v>
      </c>
      <c r="AA7283">
        <v>0.9956623</v>
      </c>
      <c r="AB7283">
        <v>17</v>
      </c>
      <c r="AC7283">
        <v>-2.73000000000252E-2</v>
      </c>
      <c r="AD7283">
        <v>-8.8122999999999896E-2</v>
      </c>
      <c r="AE7283">
        <v>-0.66471999999999898</v>
      </c>
      <c r="AF7283">
        <v>1.06015610989853E-2</v>
      </c>
      <c r="AG7283">
        <v>-8.8122999999999896E-2</v>
      </c>
      <c r="AH7283">
        <v>0.653722917096768</v>
      </c>
      <c r="AI7283">
        <v>97.676295160137698</v>
      </c>
      <c r="AJ7283">
        <v>89.070903819841902</v>
      </c>
      <c r="AK7283">
        <v>0.65972093233748696</v>
      </c>
      <c r="AL7283">
        <v>94.390433671493994</v>
      </c>
      <c r="AM7283">
        <v>90.302649348356795</v>
      </c>
      <c r="AN7283">
        <v>1.0000000625379599</v>
      </c>
    </row>
    <row r="7284" spans="1:40" x14ac:dyDescent="0.25">
      <c r="A7284" t="str">
        <f>"20190303154324866"</f>
        <v>20190303154324866</v>
      </c>
      <c r="B7284" t="str">
        <f>"1551599004857556"</f>
        <v>1551599004857556</v>
      </c>
      <c r="C7284" t="s">
        <v>40</v>
      </c>
      <c r="D7284">
        <v>5.928725</v>
      </c>
      <c r="E7284">
        <v>0.50591929999999996</v>
      </c>
      <c r="F7284" t="s">
        <v>42</v>
      </c>
      <c r="G7284">
        <v>-301.4726</v>
      </c>
      <c r="H7284">
        <v>1.0314680000000001</v>
      </c>
      <c r="I7284">
        <v>-24.698799999999999</v>
      </c>
      <c r="J7284">
        <v>-301.44740000000002</v>
      </c>
      <c r="K7284">
        <v>1.121238</v>
      </c>
      <c r="L7284">
        <v>-24.057559999999999</v>
      </c>
      <c r="M7284">
        <v>-2.4634260000000002E-2</v>
      </c>
      <c r="N7284">
        <v>-1.4017460000000001E-2</v>
      </c>
      <c r="O7284">
        <v>-0.9995986</v>
      </c>
      <c r="P7284">
        <v>-1.754066E-2</v>
      </c>
      <c r="Q7284">
        <v>-8.9916389999999999E-2</v>
      </c>
      <c r="R7284">
        <v>-0.99579510000000004</v>
      </c>
      <c r="S7284">
        <v>-0.1059875</v>
      </c>
      <c r="T7284">
        <v>-0.32670349999999998</v>
      </c>
      <c r="U7284">
        <v>-2.9811709999999998</v>
      </c>
      <c r="V7284">
        <v>-6.986178E-3</v>
      </c>
      <c r="W7284">
        <v>-7.594832E-2</v>
      </c>
      <c r="X7284">
        <v>0.99708730000000001</v>
      </c>
      <c r="Y7284">
        <v>1.0728130000000001E-2</v>
      </c>
      <c r="Z7284">
        <v>9.491165E-2</v>
      </c>
      <c r="AA7284">
        <v>0.99542790000000003</v>
      </c>
      <c r="AB7284">
        <v>17</v>
      </c>
      <c r="AC7284">
        <v>-2.5199999999983898E-2</v>
      </c>
      <c r="AD7284">
        <v>-8.9769999999999905E-2</v>
      </c>
      <c r="AE7284">
        <v>-0.64123999999999604</v>
      </c>
      <c r="AF7284">
        <v>9.2140295143890907E-3</v>
      </c>
      <c r="AG7284">
        <v>-8.9769999999999905E-2</v>
      </c>
      <c r="AH7284">
        <v>0.62935093985769197</v>
      </c>
      <c r="AI7284">
        <v>98.116996017576696</v>
      </c>
      <c r="AJ7284">
        <v>89.161219511191405</v>
      </c>
      <c r="AK7284">
        <v>0.63578782367992304</v>
      </c>
      <c r="AL7284">
        <v>94.355712376977294</v>
      </c>
      <c r="AM7284">
        <v>90.401441242235506</v>
      </c>
      <c r="AN7284">
        <v>1.0000000189075799</v>
      </c>
    </row>
    <row r="7285" spans="1:40" x14ac:dyDescent="0.25">
      <c r="A7285" t="str">
        <f>"20190303154324890"</f>
        <v>20190303154324890</v>
      </c>
      <c r="B7285" t="str">
        <f>"1551599004878052"</f>
        <v>1551599004878052</v>
      </c>
      <c r="C7285" t="s">
        <v>40</v>
      </c>
      <c r="D7285">
        <v>5.8586559999999999</v>
      </c>
      <c r="E7285">
        <v>0.50582570000000004</v>
      </c>
      <c r="F7285" t="s">
        <v>42</v>
      </c>
      <c r="G7285">
        <v>-301.47460000000001</v>
      </c>
      <c r="H7285">
        <v>1.033531</v>
      </c>
      <c r="I7285">
        <v>-24.85463</v>
      </c>
      <c r="J7285">
        <v>-301.45170000000002</v>
      </c>
      <c r="K7285">
        <v>1.1212390000000001</v>
      </c>
      <c r="L7285">
        <v>-24.243960000000001</v>
      </c>
      <c r="M7285">
        <v>-2.4427939999999999E-2</v>
      </c>
      <c r="N7285">
        <v>-1.401405E-2</v>
      </c>
      <c r="O7285">
        <v>-0.99960329999999997</v>
      </c>
      <c r="P7285">
        <v>-1.535946E-2</v>
      </c>
      <c r="Q7285">
        <v>-8.8969859999999998E-2</v>
      </c>
      <c r="R7285">
        <v>-0.99591600000000002</v>
      </c>
      <c r="S7285">
        <v>-0.10070800000000001</v>
      </c>
      <c r="T7285">
        <v>-0.32803539999999998</v>
      </c>
      <c r="U7285">
        <v>-2.9812620000000001</v>
      </c>
      <c r="V7285">
        <v>-8.9632429999999992E-3</v>
      </c>
      <c r="W7285">
        <v>-7.5004730000000006E-2</v>
      </c>
      <c r="X7285">
        <v>0.99714290000000005</v>
      </c>
      <c r="Y7285">
        <v>9.1726050000000003E-3</v>
      </c>
      <c r="Z7285">
        <v>9.5355410000000002E-2</v>
      </c>
      <c r="AA7285">
        <v>0.99540099999999998</v>
      </c>
      <c r="AB7285">
        <v>17</v>
      </c>
      <c r="AC7285">
        <v>-2.2899999999992801E-2</v>
      </c>
      <c r="AD7285">
        <v>-8.7707999999999897E-2</v>
      </c>
      <c r="AE7285">
        <v>-0.61066999999999805</v>
      </c>
      <c r="AF7285">
        <v>7.8133388023448498E-3</v>
      </c>
      <c r="AG7285">
        <v>-8.7707999999999897E-2</v>
      </c>
      <c r="AH7285">
        <v>0.59871403029676196</v>
      </c>
      <c r="AI7285">
        <v>98.3335057364351</v>
      </c>
      <c r="AJ7285">
        <v>89.252320969182804</v>
      </c>
      <c r="AK7285">
        <v>0.60515471707773405</v>
      </c>
      <c r="AL7285">
        <v>94.301494052764795</v>
      </c>
      <c r="AM7285">
        <v>90.515013608794504</v>
      </c>
      <c r="AN7285">
        <v>1.00000000613393</v>
      </c>
    </row>
    <row r="7286" spans="1:40" x14ac:dyDescent="0.25">
      <c r="A7286" t="str">
        <f>"20190303154324912"</f>
        <v>20190303154324912</v>
      </c>
      <c r="B7286" t="str">
        <f>"1551599004907331"</f>
        <v>1551599004907331</v>
      </c>
      <c r="C7286" t="s">
        <v>40</v>
      </c>
      <c r="D7286">
        <v>5.9364169999999996</v>
      </c>
      <c r="E7286">
        <v>0.50597239999999999</v>
      </c>
      <c r="F7286" t="s">
        <v>42</v>
      </c>
      <c r="G7286">
        <v>-301.476</v>
      </c>
      <c r="H7286">
        <v>1.0369189999999999</v>
      </c>
      <c r="I7286">
        <v>-25.012370000000001</v>
      </c>
      <c r="J7286">
        <v>-301.45549999999997</v>
      </c>
      <c r="K7286">
        <v>1.121246</v>
      </c>
      <c r="L7286">
        <v>-24.410219999999999</v>
      </c>
      <c r="M7286">
        <v>-2.4241329999999998E-2</v>
      </c>
      <c r="N7286">
        <v>-1.401087E-2</v>
      </c>
      <c r="O7286">
        <v>-0.99960789999999999</v>
      </c>
      <c r="P7286">
        <v>-1.3672220000000001E-2</v>
      </c>
      <c r="Q7286">
        <v>-8.8733770000000003E-2</v>
      </c>
      <c r="R7286">
        <v>-0.99596150000000006</v>
      </c>
      <c r="S7286">
        <v>-9.3536380000000002E-2</v>
      </c>
      <c r="T7286">
        <v>-0.32717059999999998</v>
      </c>
      <c r="U7286">
        <v>-2.9816280000000002</v>
      </c>
      <c r="V7286">
        <v>-1.0464960000000001E-2</v>
      </c>
      <c r="W7286">
        <v>-7.4772039999999998E-2</v>
      </c>
      <c r="X7286">
        <v>0.99714570000000002</v>
      </c>
      <c r="Y7286">
        <v>6.9662780000000002E-3</v>
      </c>
      <c r="Z7286">
        <v>9.5065709999999998E-2</v>
      </c>
      <c r="AA7286">
        <v>0.99544659999999996</v>
      </c>
      <c r="AB7286">
        <v>17</v>
      </c>
      <c r="AC7286">
        <v>-2.0500000000026799E-2</v>
      </c>
      <c r="AD7286">
        <v>-8.4326999999999805E-2</v>
      </c>
      <c r="AE7286">
        <v>-0.60214999999999796</v>
      </c>
      <c r="AF7286">
        <v>5.78235136295793E-3</v>
      </c>
      <c r="AG7286">
        <v>-8.4326999999999805E-2</v>
      </c>
      <c r="AH7286">
        <v>0.59089474513218698</v>
      </c>
      <c r="AI7286">
        <v>98.121495518233701</v>
      </c>
      <c r="AJ7286">
        <v>89.439335420139102</v>
      </c>
      <c r="AK7286">
        <v>0.59690960650765001</v>
      </c>
      <c r="AL7286">
        <v>94.288124552107305</v>
      </c>
      <c r="AM7286">
        <v>90.601292296937899</v>
      </c>
      <c r="AN7286">
        <v>0.99999996019102499</v>
      </c>
    </row>
    <row r="7287" spans="1:40" x14ac:dyDescent="0.25">
      <c r="A7287" t="str">
        <f>"20190303154324932"</f>
        <v>20190303154324932</v>
      </c>
      <c r="B7287" t="str">
        <f>"1551599004927827"</f>
        <v>1551599004927827</v>
      </c>
      <c r="C7287" t="s">
        <v>40</v>
      </c>
      <c r="D7287">
        <v>5.8459269999999997</v>
      </c>
      <c r="E7287">
        <v>0.50586439999999999</v>
      </c>
      <c r="F7287" t="s">
        <v>42</v>
      </c>
      <c r="G7287">
        <v>-301.4785</v>
      </c>
      <c r="H7287">
        <v>1.0375399999999999</v>
      </c>
      <c r="I7287">
        <v>-25.167190000000002</v>
      </c>
      <c r="J7287">
        <v>-301.45920000000001</v>
      </c>
      <c r="K7287">
        <v>1.121248</v>
      </c>
      <c r="L7287">
        <v>-24.568819999999999</v>
      </c>
      <c r="M7287">
        <v>-2.406252E-2</v>
      </c>
      <c r="N7287">
        <v>-1.4007769999999999E-2</v>
      </c>
      <c r="O7287">
        <v>-0.99961259999999996</v>
      </c>
      <c r="P7287">
        <v>-1.1661390000000001E-2</v>
      </c>
      <c r="Q7287">
        <v>-8.9496300000000001E-2</v>
      </c>
      <c r="R7287">
        <v>-0.99591940000000001</v>
      </c>
      <c r="S7287">
        <v>-8.9691160000000006E-2</v>
      </c>
      <c r="T7287">
        <v>-0.32968399999999998</v>
      </c>
      <c r="U7287">
        <v>-2.9815670000000001</v>
      </c>
      <c r="V7287">
        <v>-1.229529E-2</v>
      </c>
      <c r="W7287">
        <v>-7.5539190000000006E-2</v>
      </c>
      <c r="X7287">
        <v>0.99706700000000004</v>
      </c>
      <c r="Y7287">
        <v>5.861733E-3</v>
      </c>
      <c r="Z7287">
        <v>9.5902520000000005E-2</v>
      </c>
      <c r="AA7287">
        <v>0.99537350000000002</v>
      </c>
      <c r="AB7287">
        <v>17</v>
      </c>
      <c r="AC7287">
        <v>-1.9299999999986901E-2</v>
      </c>
      <c r="AD7287">
        <v>-8.3708000000000102E-2</v>
      </c>
      <c r="AE7287">
        <v>-0.59836999999999496</v>
      </c>
      <c r="AF7287">
        <v>4.8008560595501296E-3</v>
      </c>
      <c r="AG7287">
        <v>-8.3708000000000102E-2</v>
      </c>
      <c r="AH7287">
        <v>0.58718186463775901</v>
      </c>
      <c r="AI7287">
        <v>98.113087731215899</v>
      </c>
      <c r="AJ7287">
        <v>89.5315545697934</v>
      </c>
      <c r="AK7287">
        <v>0.59313794318217405</v>
      </c>
      <c r="AL7287">
        <v>94.332203620714395</v>
      </c>
      <c r="AM7287">
        <v>90.706504698139199</v>
      </c>
      <c r="AN7287">
        <v>0.99999997293551901</v>
      </c>
    </row>
    <row r="7288" spans="1:40" x14ac:dyDescent="0.25">
      <c r="A7288" t="str">
        <f>"20190303154324955"</f>
        <v>20190303154324955</v>
      </c>
      <c r="B7288" t="str">
        <f>"1551599004947347"</f>
        <v>1551599004947347</v>
      </c>
      <c r="C7288" t="s">
        <v>40</v>
      </c>
      <c r="D7288">
        <v>5.8357489999999999</v>
      </c>
      <c r="E7288">
        <v>0.50578310000000004</v>
      </c>
      <c r="F7288" t="s">
        <v>42</v>
      </c>
      <c r="G7288">
        <v>-301.48039999999997</v>
      </c>
      <c r="H7288">
        <v>1.036915</v>
      </c>
      <c r="I7288">
        <v>-25.320689999999999</v>
      </c>
      <c r="J7288">
        <v>-301.4631</v>
      </c>
      <c r="K7288">
        <v>1.121248</v>
      </c>
      <c r="L7288">
        <v>-24.739529999999998</v>
      </c>
      <c r="M7288">
        <v>-2.387038E-2</v>
      </c>
      <c r="N7288">
        <v>-1.400436E-2</v>
      </c>
      <c r="O7288">
        <v>-0.99961719999999998</v>
      </c>
      <c r="P7288">
        <v>-1.1177309999999999E-2</v>
      </c>
      <c r="Q7288">
        <v>-8.9640780000000003E-2</v>
      </c>
      <c r="R7288">
        <v>-0.99591169999999996</v>
      </c>
      <c r="S7288">
        <v>-8.2794190000000004E-2</v>
      </c>
      <c r="T7288">
        <v>-0.33438040000000002</v>
      </c>
      <c r="U7288">
        <v>-2.981293</v>
      </c>
      <c r="V7288">
        <v>-1.2587539999999999E-2</v>
      </c>
      <c r="W7288">
        <v>-7.5687359999999995E-2</v>
      </c>
      <c r="X7288">
        <v>0.9970521</v>
      </c>
      <c r="Y7288">
        <v>3.7534729999999998E-3</v>
      </c>
      <c r="Z7288">
        <v>9.7468159999999998E-2</v>
      </c>
      <c r="AA7288">
        <v>0.99523159999999999</v>
      </c>
      <c r="AB7288">
        <v>17</v>
      </c>
      <c r="AC7288">
        <v>-1.7299999999977399E-2</v>
      </c>
      <c r="AD7288">
        <v>-8.4332999999999894E-2</v>
      </c>
      <c r="AE7288">
        <v>-0.58116000000000001</v>
      </c>
      <c r="AF7288">
        <v>3.3507076800148401E-3</v>
      </c>
      <c r="AG7288">
        <v>-8.4332999999999894E-2</v>
      </c>
      <c r="AH7288">
        <v>0.56942735698327895</v>
      </c>
      <c r="AI7288">
        <v>98.424205410171297</v>
      </c>
      <c r="AJ7288">
        <v>89.662855691214602</v>
      </c>
      <c r="AK7288">
        <v>0.57564815383350199</v>
      </c>
      <c r="AL7288">
        <v>94.340717582049194</v>
      </c>
      <c r="AM7288">
        <v>90.723306839633906</v>
      </c>
      <c r="AN7288">
        <v>0.99999995637071404</v>
      </c>
    </row>
    <row r="7289" spans="1:40" x14ac:dyDescent="0.25">
      <c r="A7289" t="str">
        <f>"20190303154324979"</f>
        <v>20190303154324979</v>
      </c>
      <c r="B7289" t="str">
        <f>"1551599004967844"</f>
        <v>1551599004967844</v>
      </c>
      <c r="C7289" t="s">
        <v>40</v>
      </c>
      <c r="D7289">
        <v>5.8813649999999997</v>
      </c>
      <c r="E7289">
        <v>0.50587680000000002</v>
      </c>
      <c r="F7289" t="s">
        <v>42</v>
      </c>
      <c r="G7289">
        <v>-301.48329999999999</v>
      </c>
      <c r="H7289">
        <v>1.0383439999999999</v>
      </c>
      <c r="I7289">
        <v>-25.475519999999999</v>
      </c>
      <c r="J7289">
        <v>-301.46730000000002</v>
      </c>
      <c r="K7289">
        <v>1.1212489999999999</v>
      </c>
      <c r="L7289">
        <v>-24.925719999999998</v>
      </c>
      <c r="M7289">
        <v>-2.3662280000000001E-2</v>
      </c>
      <c r="N7289">
        <v>-1.4000500000000001E-2</v>
      </c>
      <c r="O7289">
        <v>-0.99962220000000002</v>
      </c>
      <c r="P7289">
        <v>-1.060676E-2</v>
      </c>
      <c r="Q7289">
        <v>-8.9390170000000005E-2</v>
      </c>
      <c r="R7289">
        <v>-0.99594039999999995</v>
      </c>
      <c r="S7289">
        <v>-8.0871579999999998E-2</v>
      </c>
      <c r="T7289">
        <v>-0.33579769999999998</v>
      </c>
      <c r="U7289">
        <v>-2.9811709999999998</v>
      </c>
      <c r="V7289">
        <v>-1.295149E-2</v>
      </c>
      <c r="W7289">
        <v>-7.5440439999999998E-2</v>
      </c>
      <c r="X7289">
        <v>0.99706620000000001</v>
      </c>
      <c r="Y7289">
        <v>3.3205230000000001E-3</v>
      </c>
      <c r="Z7289">
        <v>9.7945199999999996E-2</v>
      </c>
      <c r="AA7289">
        <v>0.99518629999999997</v>
      </c>
      <c r="AB7289">
        <v>17</v>
      </c>
      <c r="AC7289">
        <v>-1.59999999999627E-2</v>
      </c>
      <c r="AD7289">
        <v>-8.2904999999999701E-2</v>
      </c>
      <c r="AE7289">
        <v>-0.54979999999999696</v>
      </c>
      <c r="AF7289">
        <v>2.9184226094983298E-3</v>
      </c>
      <c r="AG7289">
        <v>-8.2904999999999701E-2</v>
      </c>
      <c r="AH7289">
        <v>0.53780637860869995</v>
      </c>
      <c r="AI7289">
        <v>98.763264438447194</v>
      </c>
      <c r="AJ7289">
        <v>89.689085768193195</v>
      </c>
      <c r="AK7289">
        <v>0.54416675485344801</v>
      </c>
      <c r="AL7289">
        <v>94.326529336332598</v>
      </c>
      <c r="AM7289">
        <v>90.744207338951597</v>
      </c>
      <c r="AN7289">
        <v>1.00000000413152</v>
      </c>
    </row>
    <row r="7290" spans="1:40" x14ac:dyDescent="0.25">
      <c r="A7290" t="str">
        <f>"20190303154325001"</f>
        <v>20190303154325001</v>
      </c>
      <c r="B7290" t="str">
        <f>"1551599004997124"</f>
        <v>1551599004997124</v>
      </c>
      <c r="C7290" t="s">
        <v>40</v>
      </c>
      <c r="D7290">
        <v>5.8239960000000002</v>
      </c>
      <c r="E7290">
        <v>0.50595840000000003</v>
      </c>
      <c r="F7290" t="s">
        <v>42</v>
      </c>
      <c r="G7290">
        <v>-301.49029999999999</v>
      </c>
      <c r="H7290">
        <v>1.0256529999999999</v>
      </c>
      <c r="I7290">
        <v>-25.77281</v>
      </c>
      <c r="J7290">
        <v>-301.471</v>
      </c>
      <c r="K7290">
        <v>1.121251</v>
      </c>
      <c r="L7290">
        <v>-25.091889999999999</v>
      </c>
      <c r="M7290">
        <v>-2.347803E-2</v>
      </c>
      <c r="N7290">
        <v>-1.399691E-2</v>
      </c>
      <c r="O7290">
        <v>-0.99962669999999998</v>
      </c>
      <c r="P7290">
        <v>-1.11448E-2</v>
      </c>
      <c r="Q7290">
        <v>-8.8709960000000004E-2</v>
      </c>
      <c r="R7290">
        <v>-0.99599559999999998</v>
      </c>
      <c r="S7290">
        <v>-7.9772949999999995E-2</v>
      </c>
      <c r="T7290">
        <v>-0.33642630000000001</v>
      </c>
      <c r="U7290">
        <v>-2.981201</v>
      </c>
      <c r="V7290">
        <v>-1.223135E-2</v>
      </c>
      <c r="W7290">
        <v>-7.4762780000000001E-2</v>
      </c>
      <c r="X7290">
        <v>0.99712630000000002</v>
      </c>
      <c r="Y7290">
        <v>3.1376889999999999E-3</v>
      </c>
      <c r="Z7290">
        <v>9.8155930000000002E-2</v>
      </c>
      <c r="AA7290">
        <v>0.99516610000000005</v>
      </c>
      <c r="AB7290">
        <v>17</v>
      </c>
      <c r="AC7290">
        <v>-1.9299999999986901E-2</v>
      </c>
      <c r="AD7290">
        <v>-9.5597999999999794E-2</v>
      </c>
      <c r="AE7290">
        <v>-0.68091999999999997</v>
      </c>
      <c r="AF7290">
        <v>3.2425949119833102E-3</v>
      </c>
      <c r="AG7290">
        <v>-9.5597999999999794E-2</v>
      </c>
      <c r="AH7290">
        <v>0.66802859617559296</v>
      </c>
      <c r="AI7290">
        <v>98.143904843306899</v>
      </c>
      <c r="AJ7290">
        <v>89.721889833613403</v>
      </c>
      <c r="AK7290">
        <v>0.67484197952861302</v>
      </c>
      <c r="AL7290">
        <v>94.287592467525798</v>
      </c>
      <c r="AM7290">
        <v>90.702789191309506</v>
      </c>
      <c r="AN7290">
        <v>0.99999996867392005</v>
      </c>
    </row>
    <row r="7291" spans="1:40" x14ac:dyDescent="0.25">
      <c r="A7291" t="str">
        <f>"20190303154325022"</f>
        <v>20190303154325022</v>
      </c>
      <c r="B7291" t="str">
        <f>"1551599005017620"</f>
        <v>1551599005017620</v>
      </c>
      <c r="C7291" t="s">
        <v>40</v>
      </c>
      <c r="D7291">
        <v>5.7804769999999897</v>
      </c>
      <c r="E7291">
        <v>0.50605920000000004</v>
      </c>
      <c r="F7291" t="s">
        <v>42</v>
      </c>
      <c r="G7291">
        <v>-301.49439999999998</v>
      </c>
      <c r="H7291">
        <v>1.0277019999999999</v>
      </c>
      <c r="I7291">
        <v>-25.92633</v>
      </c>
      <c r="J7291">
        <v>-301.47449999999998</v>
      </c>
      <c r="K7291">
        <v>1.121256</v>
      </c>
      <c r="L7291">
        <v>-25.250520000000002</v>
      </c>
      <c r="M7291">
        <v>-2.330339E-2</v>
      </c>
      <c r="N7291">
        <v>-1.399339E-2</v>
      </c>
      <c r="O7291">
        <v>-0.99963049999999998</v>
      </c>
      <c r="P7291">
        <v>-1.2033729999999999E-2</v>
      </c>
      <c r="Q7291">
        <v>-8.8136030000000004E-2</v>
      </c>
      <c r="R7291">
        <v>-0.99603560000000002</v>
      </c>
      <c r="S7291">
        <v>-8.203125E-2</v>
      </c>
      <c r="T7291">
        <v>-0.33422410000000002</v>
      </c>
      <c r="U7291">
        <v>-2.9813839999999998</v>
      </c>
      <c r="V7291">
        <v>-1.116963E-2</v>
      </c>
      <c r="W7291">
        <v>-7.4191339999999995E-2</v>
      </c>
      <c r="X7291">
        <v>0.99718150000000005</v>
      </c>
      <c r="Y7291">
        <v>4.0651740000000004E-3</v>
      </c>
      <c r="Z7291">
        <v>9.7426589999999993E-2</v>
      </c>
      <c r="AA7291">
        <v>0.99523439999999996</v>
      </c>
      <c r="AB7291">
        <v>17</v>
      </c>
      <c r="AC7291">
        <v>-1.9900000000006898E-2</v>
      </c>
      <c r="AD7291">
        <v>-9.3553999999999901E-2</v>
      </c>
      <c r="AE7291">
        <v>-0.67580999999999802</v>
      </c>
      <c r="AF7291">
        <v>4.0665272397342701E-3</v>
      </c>
      <c r="AG7291">
        <v>-9.3553999999999901E-2</v>
      </c>
      <c r="AH7291">
        <v>0.66338837430812903</v>
      </c>
      <c r="AI7291">
        <v>98.027023396299199</v>
      </c>
      <c r="AJ7291">
        <v>89.648785027209797</v>
      </c>
      <c r="AK7291">
        <v>0.66996494141632101</v>
      </c>
      <c r="AL7291">
        <v>94.254759921218493</v>
      </c>
      <c r="AM7291">
        <v>90.641754680176106</v>
      </c>
      <c r="AN7291">
        <v>1.0000000297537901</v>
      </c>
    </row>
    <row r="7292" spans="1:40" x14ac:dyDescent="0.25">
      <c r="A7292" t="str">
        <f>"20190303154325055"</f>
        <v>20190303154325055</v>
      </c>
      <c r="B7292" t="str">
        <f>"1551599005047879"</f>
        <v>1551599005047879</v>
      </c>
      <c r="C7292" t="s">
        <v>40</v>
      </c>
      <c r="D7292">
        <v>5.7603980000000004</v>
      </c>
      <c r="E7292">
        <v>0.50614499999999996</v>
      </c>
      <c r="F7292" t="s">
        <v>42</v>
      </c>
      <c r="G7292">
        <v>-301.4984</v>
      </c>
      <c r="H7292">
        <v>1.029317</v>
      </c>
      <c r="I7292">
        <v>-26.079329999999999</v>
      </c>
      <c r="J7292">
        <v>-301.48009999999999</v>
      </c>
      <c r="K7292">
        <v>1.1212580000000001</v>
      </c>
      <c r="L7292">
        <v>-25.503599999999999</v>
      </c>
      <c r="M7292">
        <v>-2.3025549999999999E-2</v>
      </c>
      <c r="N7292">
        <v>-1.3987680000000001E-2</v>
      </c>
      <c r="O7292">
        <v>-0.9996372</v>
      </c>
      <c r="P7292">
        <v>-1.3124E-2</v>
      </c>
      <c r="Q7292">
        <v>-8.8177060000000002E-2</v>
      </c>
      <c r="R7292">
        <v>-0.99601859999999998</v>
      </c>
      <c r="S7292">
        <v>-8.54187E-2</v>
      </c>
      <c r="T7292">
        <v>-0.33073619999999998</v>
      </c>
      <c r="U7292">
        <v>-2.9816280000000002</v>
      </c>
      <c r="V7292">
        <v>-9.8025419999999992E-3</v>
      </c>
      <c r="W7292">
        <v>-7.4237650000000002E-2</v>
      </c>
      <c r="X7292">
        <v>0.99719239999999998</v>
      </c>
      <c r="Y7292">
        <v>5.4727059999999999E-3</v>
      </c>
      <c r="Z7292">
        <v>9.6273010000000006E-2</v>
      </c>
      <c r="AA7292">
        <v>0.99533990000000006</v>
      </c>
      <c r="AB7292">
        <v>17</v>
      </c>
      <c r="AC7292">
        <v>-1.8300000000010599E-2</v>
      </c>
      <c r="AD7292">
        <v>-9.1940999999999995E-2</v>
      </c>
      <c r="AE7292">
        <v>-0.57572999999999996</v>
      </c>
      <c r="AF7292">
        <v>4.9122062464538804E-3</v>
      </c>
      <c r="AG7292">
        <v>-9.1940999999999995E-2</v>
      </c>
      <c r="AH7292">
        <v>0.56168879582249898</v>
      </c>
      <c r="AI7292">
        <v>99.295769605661903</v>
      </c>
      <c r="AJ7292">
        <v>89.498936932427398</v>
      </c>
      <c r="AK7292">
        <v>0.56918501438788505</v>
      </c>
      <c r="AL7292">
        <v>94.257420750618394</v>
      </c>
      <c r="AM7292">
        <v>90.563207456527607</v>
      </c>
      <c r="AN7292">
        <v>1.0000000005624701</v>
      </c>
    </row>
    <row r="7293" spans="1:40" x14ac:dyDescent="0.25">
      <c r="A7293" t="str">
        <f>"20190303154325078"</f>
        <v>20190303154325078</v>
      </c>
      <c r="B7293" t="str">
        <f>"1551599005067245"</f>
        <v>1551599005067245</v>
      </c>
      <c r="C7293" t="s">
        <v>40</v>
      </c>
      <c r="D7293">
        <v>5.6262860000000003</v>
      </c>
      <c r="E7293">
        <v>0.4796686</v>
      </c>
      <c r="F7293" t="s">
        <v>42</v>
      </c>
      <c r="G7293">
        <v>-301.5025</v>
      </c>
      <c r="H7293">
        <v>1.040038</v>
      </c>
      <c r="I7293">
        <v>-26.239260000000002</v>
      </c>
      <c r="J7293">
        <v>-301.48390000000001</v>
      </c>
      <c r="K7293">
        <v>1.1212489999999999</v>
      </c>
      <c r="L7293">
        <v>-25.680969999999999</v>
      </c>
      <c r="M7293">
        <v>-2.2830969999999999E-2</v>
      </c>
      <c r="N7293">
        <v>-1.3983600000000001E-2</v>
      </c>
      <c r="O7293">
        <v>-0.99964149999999996</v>
      </c>
      <c r="P7293">
        <v>-1.374503E-2</v>
      </c>
      <c r="Q7293">
        <v>-8.7814870000000003E-2</v>
      </c>
      <c r="R7293">
        <v>-0.99604190000000004</v>
      </c>
      <c r="S7293">
        <v>-8.9355470000000006E-2</v>
      </c>
      <c r="T7293">
        <v>-0.32916089999999998</v>
      </c>
      <c r="U7293">
        <v>-2.9816590000000001</v>
      </c>
      <c r="V7293">
        <v>-8.9887249999999995E-3</v>
      </c>
      <c r="W7293">
        <v>-7.3878849999999996E-2</v>
      </c>
      <c r="X7293">
        <v>0.99722670000000002</v>
      </c>
      <c r="Y7293">
        <v>6.9803039999999997E-3</v>
      </c>
      <c r="Z7293">
        <v>9.5755060000000003E-2</v>
      </c>
      <c r="AA7293">
        <v>0.9953805</v>
      </c>
      <c r="AB7293">
        <v>17</v>
      </c>
      <c r="AC7293">
        <v>-1.8599999999992099E-2</v>
      </c>
      <c r="AD7293">
        <v>-8.1210999999999894E-2</v>
      </c>
      <c r="AE7293">
        <v>-0.55828999999999596</v>
      </c>
      <c r="AF7293">
        <v>5.7265634745466403E-3</v>
      </c>
      <c r="AG7293">
        <v>-8.1210999999999894E-2</v>
      </c>
      <c r="AH7293">
        <v>0.54700745068565404</v>
      </c>
      <c r="AI7293">
        <v>98.444229276031095</v>
      </c>
      <c r="AJ7293">
        <v>89.400198421518098</v>
      </c>
      <c r="AK7293">
        <v>0.55303270351385803</v>
      </c>
      <c r="AL7293">
        <v>94.236806476173896</v>
      </c>
      <c r="AM7293">
        <v>90.516434285719001</v>
      </c>
      <c r="AN7293">
        <v>0.99999998642366905</v>
      </c>
    </row>
    <row r="7294" spans="1:40" x14ac:dyDescent="0.25">
      <c r="A7294" t="str">
        <f>"20190303154325101"</f>
        <v>20190303154325101</v>
      </c>
      <c r="B7294" t="str">
        <f>"1551599005097501"</f>
        <v>1551599005097501</v>
      </c>
      <c r="C7294" t="s">
        <v>40</v>
      </c>
      <c r="D7294">
        <v>5.6225250000000004</v>
      </c>
      <c r="E7294">
        <v>0.4712074</v>
      </c>
      <c r="F7294" t="s">
        <v>41</v>
      </c>
      <c r="G7294">
        <v>-301.029</v>
      </c>
      <c r="H7294" s="1">
        <v>-1.7607970000000001E-6</v>
      </c>
      <c r="I7294">
        <v>-36.944629999999997</v>
      </c>
      <c r="J7294">
        <v>-301.48759999999999</v>
      </c>
      <c r="K7294">
        <v>1.1212500000000001</v>
      </c>
      <c r="L7294">
        <v>-25.853090000000002</v>
      </c>
      <c r="M7294">
        <v>-2.264275E-2</v>
      </c>
      <c r="N7294">
        <v>-1.397959E-2</v>
      </c>
      <c r="O7294">
        <v>-0.99964600000000003</v>
      </c>
      <c r="P7294">
        <v>-1.353817E-2</v>
      </c>
      <c r="Q7294">
        <v>-8.6930720000000003E-2</v>
      </c>
      <c r="R7294">
        <v>-0.99612270000000003</v>
      </c>
      <c r="S7294">
        <v>0.1206665</v>
      </c>
      <c r="T7294">
        <v>-0.29737999999999998</v>
      </c>
      <c r="U7294">
        <v>-2.9873660000000002</v>
      </c>
      <c r="V7294">
        <v>-9.0097579999999997E-3</v>
      </c>
      <c r="W7294">
        <v>-7.2997699999999999E-2</v>
      </c>
      <c r="X7294">
        <v>0.99729140000000005</v>
      </c>
      <c r="Y7294">
        <v>-6.2779680000000004E-2</v>
      </c>
      <c r="Z7294">
        <v>8.4953680000000004E-2</v>
      </c>
      <c r="AA7294">
        <v>0.99440519999999999</v>
      </c>
      <c r="AB7294">
        <v>17</v>
      </c>
      <c r="AC7294">
        <v>0.45859999999998902</v>
      </c>
      <c r="AD7294">
        <v>-1.1212517607969901</v>
      </c>
      <c r="AE7294">
        <v>-11.091539999999901</v>
      </c>
      <c r="AF7294">
        <v>-0.702483222675652</v>
      </c>
      <c r="AG7294">
        <v>-1.1212517607969901</v>
      </c>
      <c r="AH7294">
        <v>10.966432449066099</v>
      </c>
      <c r="AI7294">
        <v>95.826004060283196</v>
      </c>
      <c r="AJ7294">
        <v>93.665221710341001</v>
      </c>
      <c r="AK7294">
        <v>11.0459643693596</v>
      </c>
      <c r="AL7294">
        <v>94.186183596436706</v>
      </c>
      <c r="AM7294">
        <v>90.517609060235301</v>
      </c>
      <c r="AN7294">
        <v>0.99999998822923397</v>
      </c>
    </row>
    <row r="7295" spans="1:40" x14ac:dyDescent="0.25">
      <c r="A7295" t="str">
        <f>"20190303154325122"</f>
        <v>20190303154325122</v>
      </c>
      <c r="B7295" t="str">
        <f>"1551599005117998"</f>
        <v>1551599005117998</v>
      </c>
      <c r="C7295" t="s">
        <v>40</v>
      </c>
      <c r="D7295">
        <v>5.6798029999999997</v>
      </c>
      <c r="E7295">
        <v>0.46955249999999998</v>
      </c>
      <c r="F7295" t="s">
        <v>41</v>
      </c>
      <c r="G7295">
        <v>-300.72980000000001</v>
      </c>
      <c r="H7295" s="1">
        <v>-1.2865849999999999E-6</v>
      </c>
      <c r="I7295">
        <v>-37.864469999999997</v>
      </c>
      <c r="J7295">
        <v>-301.49110000000002</v>
      </c>
      <c r="K7295">
        <v>1.121254</v>
      </c>
      <c r="L7295">
        <v>-26.017299999999999</v>
      </c>
      <c r="M7295">
        <v>-2.2463250000000001E-2</v>
      </c>
      <c r="N7295">
        <v>-1.3975720000000001E-2</v>
      </c>
      <c r="O7295">
        <v>-0.99965009999999999</v>
      </c>
      <c r="P7295">
        <v>-1.304085E-2</v>
      </c>
      <c r="Q7295">
        <v>-8.6675009999999997E-2</v>
      </c>
      <c r="R7295">
        <v>-0.99615140000000002</v>
      </c>
      <c r="S7295">
        <v>0.1886292</v>
      </c>
      <c r="T7295">
        <v>-0.2791013</v>
      </c>
      <c r="U7295">
        <v>-2.989868</v>
      </c>
      <c r="V7295">
        <v>-9.3285460000000001E-3</v>
      </c>
      <c r="W7295">
        <v>-7.274564E-2</v>
      </c>
      <c r="X7295">
        <v>0.9973069</v>
      </c>
      <c r="Y7295">
        <v>-8.5109939999999995E-2</v>
      </c>
      <c r="Z7295">
        <v>7.8715569999999999E-2</v>
      </c>
      <c r="AA7295">
        <v>0.99325730000000001</v>
      </c>
      <c r="AB7295">
        <v>17</v>
      </c>
      <c r="AC7295">
        <v>0.76130000000000497</v>
      </c>
      <c r="AD7295">
        <v>-1.1212552865850001</v>
      </c>
      <c r="AE7295">
        <v>-11.84717</v>
      </c>
      <c r="AF7295">
        <v>-1.0181770986913701</v>
      </c>
      <c r="AG7295">
        <v>-1.1212552865850001</v>
      </c>
      <c r="AH7295">
        <v>11.7225062374391</v>
      </c>
      <c r="AI7295">
        <v>95.443337496852294</v>
      </c>
      <c r="AJ7295">
        <v>94.9640588579488</v>
      </c>
      <c r="AK7295">
        <v>11.819942914785701</v>
      </c>
      <c r="AL7295">
        <v>94.171703068352002</v>
      </c>
      <c r="AM7295">
        <v>90.535913997771303</v>
      </c>
      <c r="AN7295">
        <v>1.0000000013485399</v>
      </c>
    </row>
    <row r="7296" spans="1:40" x14ac:dyDescent="0.25">
      <c r="A7296" t="str">
        <f>"20190303154325144"</f>
        <v>20190303154325144</v>
      </c>
      <c r="B7296" t="str">
        <f>"1551599005137518"</f>
        <v>1551599005137518</v>
      </c>
      <c r="C7296" t="s">
        <v>40</v>
      </c>
      <c r="D7296">
        <v>5.6626130000000003</v>
      </c>
      <c r="E7296">
        <v>0.4678756</v>
      </c>
      <c r="F7296" t="s">
        <v>41</v>
      </c>
      <c r="G7296">
        <v>-300.6533</v>
      </c>
      <c r="H7296" s="1">
        <v>-1.069696E-6</v>
      </c>
      <c r="I7296">
        <v>-38.322609999999997</v>
      </c>
      <c r="J7296">
        <v>-301.49459999999999</v>
      </c>
      <c r="K7296">
        <v>1.1212549999999999</v>
      </c>
      <c r="L7296">
        <v>-26.17841</v>
      </c>
      <c r="M7296">
        <v>-2.2287069999999999E-2</v>
      </c>
      <c r="N7296">
        <v>-1.397194E-2</v>
      </c>
      <c r="O7296">
        <v>-0.99965389999999998</v>
      </c>
      <c r="P7296">
        <v>-1.299371E-2</v>
      </c>
      <c r="Q7296">
        <v>-8.6792889999999998E-2</v>
      </c>
      <c r="R7296">
        <v>-0.99614139999999995</v>
      </c>
      <c r="S7296">
        <v>0.2036133</v>
      </c>
      <c r="T7296">
        <v>-0.27249679999999998</v>
      </c>
      <c r="U7296">
        <v>-2.9905400000000002</v>
      </c>
      <c r="V7296">
        <v>-9.2005390000000006E-3</v>
      </c>
      <c r="W7296">
        <v>-7.2867390000000004E-2</v>
      </c>
      <c r="X7296">
        <v>0.99729920000000005</v>
      </c>
      <c r="Y7296">
        <v>-8.9884359999999996E-2</v>
      </c>
      <c r="Z7296">
        <v>7.6488609999999999E-2</v>
      </c>
      <c r="AA7296">
        <v>0.99301070000000002</v>
      </c>
      <c r="AB7296">
        <v>17</v>
      </c>
      <c r="AC7296">
        <v>0.84129999999998895</v>
      </c>
      <c r="AD7296">
        <v>-1.1212560696959999</v>
      </c>
      <c r="AE7296">
        <v>-12.1441999999999</v>
      </c>
      <c r="AF7296">
        <v>-1.10242328472137</v>
      </c>
      <c r="AG7296">
        <v>-1.1212560696959999</v>
      </c>
      <c r="AH7296">
        <v>12.020451396278901</v>
      </c>
      <c r="AI7296">
        <v>95.306930503431005</v>
      </c>
      <c r="AJ7296">
        <v>95.240069056336296</v>
      </c>
      <c r="AK7296">
        <v>12.1228628649684</v>
      </c>
      <c r="AL7296">
        <v>94.178697395895597</v>
      </c>
      <c r="AM7296">
        <v>90.528564646975795</v>
      </c>
      <c r="AN7296">
        <v>1.00000000038197</v>
      </c>
    </row>
    <row r="7297" spans="1:40" x14ac:dyDescent="0.25">
      <c r="A7297" t="str">
        <f>"20190303154325166"</f>
        <v>20190303154325166</v>
      </c>
      <c r="B7297" t="str">
        <f>"1551599005158014"</f>
        <v>1551599005158014</v>
      </c>
      <c r="C7297" t="s">
        <v>40</v>
      </c>
      <c r="D7297">
        <v>5.7072900000000004</v>
      </c>
      <c r="E7297">
        <v>0.46615139999999999</v>
      </c>
      <c r="F7297" t="s">
        <v>41</v>
      </c>
      <c r="G7297">
        <v>-300.61500000000001</v>
      </c>
      <c r="H7297" s="1">
        <v>-1.068892E-6</v>
      </c>
      <c r="I7297">
        <v>-38.300690000000003</v>
      </c>
      <c r="J7297">
        <v>-301.49810000000002</v>
      </c>
      <c r="K7297">
        <v>1.1212519999999999</v>
      </c>
      <c r="L7297">
        <v>-26.348179999999999</v>
      </c>
      <c r="M7297">
        <v>-2.210119E-2</v>
      </c>
      <c r="N7297">
        <v>-1.396798E-2</v>
      </c>
      <c r="O7297">
        <v>-0.99965820000000005</v>
      </c>
      <c r="P7297">
        <v>-1.3544779999999999E-2</v>
      </c>
      <c r="Q7297">
        <v>-8.7792739999999994E-2</v>
      </c>
      <c r="R7297">
        <v>-0.99604680000000001</v>
      </c>
      <c r="S7297">
        <v>0.21698000000000001</v>
      </c>
      <c r="T7297">
        <v>-0.27659430000000002</v>
      </c>
      <c r="U7297">
        <v>-2.9903559999999998</v>
      </c>
      <c r="V7297">
        <v>-8.4623330000000007E-3</v>
      </c>
      <c r="W7297">
        <v>-7.3872090000000001E-2</v>
      </c>
      <c r="X7297">
        <v>0.9972318</v>
      </c>
      <c r="Y7297">
        <v>-9.4107869999999996E-2</v>
      </c>
      <c r="Z7297">
        <v>7.7815699999999904E-2</v>
      </c>
      <c r="AA7297">
        <v>0.99251619999999996</v>
      </c>
      <c r="AB7297">
        <v>17</v>
      </c>
      <c r="AC7297">
        <v>0.88310000000001299</v>
      </c>
      <c r="AD7297">
        <v>-1.1212530688919999</v>
      </c>
      <c r="AE7297">
        <v>-11.95251</v>
      </c>
      <c r="AF7297">
        <v>-1.1371222145330999</v>
      </c>
      <c r="AG7297">
        <v>-1.1212530688919999</v>
      </c>
      <c r="AH7297">
        <v>11.8265602194778</v>
      </c>
      <c r="AI7297">
        <v>95.391197105021803</v>
      </c>
      <c r="AJ7297">
        <v>95.4920987642423</v>
      </c>
      <c r="AK7297">
        <v>11.933892156384699</v>
      </c>
      <c r="AL7297">
        <v>94.236418123355307</v>
      </c>
      <c r="AM7297">
        <v>90.486190199918397</v>
      </c>
      <c r="AN7297">
        <v>0.99999997984600497</v>
      </c>
    </row>
    <row r="7298" spans="1:40" x14ac:dyDescent="0.25">
      <c r="A7298" t="str">
        <f>"20190303154325189"</f>
        <v>20190303154325189</v>
      </c>
      <c r="B7298" t="str">
        <f>"1551599005177534"</f>
        <v>1551599005177534</v>
      </c>
      <c r="C7298" t="s">
        <v>40</v>
      </c>
      <c r="D7298">
        <v>5.6572339999999999</v>
      </c>
      <c r="E7298">
        <v>0.465169</v>
      </c>
      <c r="F7298" t="s">
        <v>41</v>
      </c>
      <c r="G7298">
        <v>-300.60809999999998</v>
      </c>
      <c r="H7298" s="1">
        <v>-1.2112989999999999E-6</v>
      </c>
      <c r="I7298">
        <v>-37.964449999999999</v>
      </c>
      <c r="J7298">
        <v>-301.5016</v>
      </c>
      <c r="K7298">
        <v>1.1212519999999999</v>
      </c>
      <c r="L7298">
        <v>-26.514009999999999</v>
      </c>
      <c r="M7298">
        <v>-2.1919640000000001E-2</v>
      </c>
      <c r="N7298">
        <v>-1.396405E-2</v>
      </c>
      <c r="O7298">
        <v>-0.99966219999999995</v>
      </c>
      <c r="P7298">
        <v>-1.4909169999999999E-2</v>
      </c>
      <c r="Q7298">
        <v>-8.8359560000000004E-2</v>
      </c>
      <c r="R7298">
        <v>-0.99597729999999995</v>
      </c>
      <c r="S7298">
        <v>0.22906489999999999</v>
      </c>
      <c r="T7298">
        <v>-0.28856859999999901</v>
      </c>
      <c r="U7298">
        <v>-2.9895939999999999</v>
      </c>
      <c r="V7298">
        <v>-6.9156479999999999E-3</v>
      </c>
      <c r="W7298">
        <v>-7.4443040000000002E-2</v>
      </c>
      <c r="X7298">
        <v>0.99720129999999996</v>
      </c>
      <c r="Y7298">
        <v>-9.7904850000000002E-2</v>
      </c>
      <c r="Z7298">
        <v>8.1752870000000005E-2</v>
      </c>
      <c r="AA7298">
        <v>0.99183220000000005</v>
      </c>
      <c r="AB7298">
        <v>17</v>
      </c>
      <c r="AC7298">
        <v>0.89350000000001695</v>
      </c>
      <c r="AD7298">
        <v>-1.1212532112989999</v>
      </c>
      <c r="AE7298">
        <v>-11.450439999999899</v>
      </c>
      <c r="AF7298">
        <v>-1.13349622307403</v>
      </c>
      <c r="AG7298">
        <v>-1.1212532112989999</v>
      </c>
      <c r="AH7298">
        <v>11.3202112262368</v>
      </c>
      <c r="AI7298">
        <v>95.628663047337596</v>
      </c>
      <c r="AJ7298">
        <v>95.717985150435297</v>
      </c>
      <c r="AK7298">
        <v>11.4319379222505</v>
      </c>
      <c r="AL7298">
        <v>94.269221332685802</v>
      </c>
      <c r="AM7298">
        <v>90.397343135064503</v>
      </c>
      <c r="AN7298">
        <v>1.0000000125566899</v>
      </c>
    </row>
    <row r="7299" spans="1:40" x14ac:dyDescent="0.25">
      <c r="A7299" t="str">
        <f>"20190303154325211"</f>
        <v>20190303154325211</v>
      </c>
      <c r="B7299" t="str">
        <f>"1551599005207790"</f>
        <v>1551599005207790</v>
      </c>
      <c r="C7299" t="s">
        <v>40</v>
      </c>
      <c r="D7299">
        <v>5.6324579999999997</v>
      </c>
      <c r="E7299">
        <v>0.4637443</v>
      </c>
      <c r="F7299" t="s">
        <v>41</v>
      </c>
      <c r="G7299">
        <v>-300.61590000000001</v>
      </c>
      <c r="H7299" s="1">
        <v>-1.2448520000000001E-6</v>
      </c>
      <c r="I7299">
        <v>-37.891089999999998</v>
      </c>
      <c r="J7299">
        <v>-301.505</v>
      </c>
      <c r="K7299">
        <v>1.1212500000000001</v>
      </c>
      <c r="L7299">
        <v>-26.680569999999999</v>
      </c>
      <c r="M7299">
        <v>-2.173667E-2</v>
      </c>
      <c r="N7299">
        <v>-1.396005E-2</v>
      </c>
      <c r="O7299">
        <v>-0.99966650000000001</v>
      </c>
      <c r="P7299">
        <v>-1.528261E-2</v>
      </c>
      <c r="Q7299">
        <v>-8.8487860000000002E-2</v>
      </c>
      <c r="R7299">
        <v>-0.99596030000000002</v>
      </c>
      <c r="S7299">
        <v>0.23272709999999999</v>
      </c>
      <c r="T7299">
        <v>-0.29462339999999998</v>
      </c>
      <c r="U7299">
        <v>-2.989471</v>
      </c>
      <c r="V7299">
        <v>-6.3592450000000003E-3</v>
      </c>
      <c r="W7299">
        <v>-7.457532E-2</v>
      </c>
      <c r="X7299">
        <v>0.9971951</v>
      </c>
      <c r="Y7299">
        <v>-9.8918530000000005E-2</v>
      </c>
      <c r="Z7299">
        <v>8.3742720000000007E-2</v>
      </c>
      <c r="AA7299">
        <v>0.99156560000000005</v>
      </c>
      <c r="AB7299">
        <v>17</v>
      </c>
      <c r="AC7299">
        <v>0.88909999999998401</v>
      </c>
      <c r="AD7299">
        <v>-1.121251244852</v>
      </c>
      <c r="AE7299">
        <v>-11.210520000000001</v>
      </c>
      <c r="AF7299">
        <v>-1.1214446452975899</v>
      </c>
      <c r="AG7299">
        <v>-1.121251244852</v>
      </c>
      <c r="AH7299">
        <v>11.0784120485785</v>
      </c>
      <c r="AI7299">
        <v>95.750065555329897</v>
      </c>
      <c r="AJ7299">
        <v>95.780242876475398</v>
      </c>
      <c r="AK7299">
        <v>11.1913384349075</v>
      </c>
      <c r="AL7299">
        <v>94.276821628601795</v>
      </c>
      <c r="AM7299">
        <v>90.365377808511994</v>
      </c>
      <c r="AN7299">
        <v>0.999999992907041</v>
      </c>
    </row>
    <row r="7300" spans="1:40" x14ac:dyDescent="0.25">
      <c r="A7300" t="str">
        <f>"20190303154325234"</f>
        <v>20190303154325234</v>
      </c>
      <c r="B7300" t="str">
        <f>"1551599005227310"</f>
        <v>1551599005227310</v>
      </c>
      <c r="C7300" t="s">
        <v>40</v>
      </c>
      <c r="D7300">
        <v>5.6302880000000002</v>
      </c>
      <c r="E7300">
        <v>0.46349570000000001</v>
      </c>
      <c r="F7300" t="s">
        <v>41</v>
      </c>
      <c r="G7300">
        <v>-300.60320000000002</v>
      </c>
      <c r="H7300" s="1">
        <v>-1.2881279999999999E-6</v>
      </c>
      <c r="I7300">
        <v>-37.782339999999998</v>
      </c>
      <c r="J7300">
        <v>-301.50839999999999</v>
      </c>
      <c r="K7300">
        <v>1.121248</v>
      </c>
      <c r="L7300">
        <v>-26.846340000000001</v>
      </c>
      <c r="M7300">
        <v>-2.1554569999999999E-2</v>
      </c>
      <c r="N7300">
        <v>-1.3956E-2</v>
      </c>
      <c r="O7300">
        <v>-0.99967059999999996</v>
      </c>
      <c r="P7300">
        <v>-1.492743E-2</v>
      </c>
      <c r="Q7300">
        <v>-8.8098919999999997E-2</v>
      </c>
      <c r="R7300">
        <v>-0.99600010000000005</v>
      </c>
      <c r="S7300">
        <v>0.24279790000000001</v>
      </c>
      <c r="T7300">
        <v>-0.30188910000000002</v>
      </c>
      <c r="U7300">
        <v>-2.9890750000000001</v>
      </c>
      <c r="V7300">
        <v>-6.5339419999999896E-3</v>
      </c>
      <c r="W7300">
        <v>-7.4189999999999895E-2</v>
      </c>
      <c r="X7300">
        <v>0.99722270000000002</v>
      </c>
      <c r="Y7300">
        <v>-0.1020462</v>
      </c>
      <c r="Z7300">
        <v>8.6118440000000004E-2</v>
      </c>
      <c r="AA7300">
        <v>0.99104499999999995</v>
      </c>
      <c r="AB7300">
        <v>17</v>
      </c>
      <c r="AC7300">
        <v>0.90519999999997902</v>
      </c>
      <c r="AD7300">
        <v>-1.1212492881280001</v>
      </c>
      <c r="AE7300">
        <v>-10.936</v>
      </c>
      <c r="AF7300">
        <v>-1.12894652756744</v>
      </c>
      <c r="AG7300">
        <v>-1.1212492881280001</v>
      </c>
      <c r="AH7300">
        <v>10.8011758250942</v>
      </c>
      <c r="AI7300">
        <v>95.894654249294305</v>
      </c>
      <c r="AJ7300">
        <v>95.966929562065701</v>
      </c>
      <c r="AK7300">
        <v>10.9177433305987</v>
      </c>
      <c r="AL7300">
        <v>94.254683140742998</v>
      </c>
      <c r="AM7300">
        <v>90.3754045541273</v>
      </c>
      <c r="AN7300">
        <v>0.99999998094667397</v>
      </c>
    </row>
    <row r="7301" spans="1:40" x14ac:dyDescent="0.25">
      <c r="A7301" t="str">
        <f>"20190303154325256"</f>
        <v>20190303154325256</v>
      </c>
      <c r="B7301" t="str">
        <f>"1551599005247806"</f>
        <v>1551599005247806</v>
      </c>
      <c r="C7301" t="s">
        <v>40</v>
      </c>
      <c r="D7301">
        <v>5.6393180000000003</v>
      </c>
      <c r="E7301">
        <v>0.46303080000000002</v>
      </c>
      <c r="F7301" t="s">
        <v>41</v>
      </c>
      <c r="G7301">
        <v>-300.59960000000001</v>
      </c>
      <c r="H7301" s="1">
        <v>-1.239457E-6</v>
      </c>
      <c r="I7301">
        <v>-37.893540000000002</v>
      </c>
      <c r="J7301">
        <v>-301.51170000000002</v>
      </c>
      <c r="K7301">
        <v>1.121251</v>
      </c>
      <c r="L7301">
        <v>-27.012789999999999</v>
      </c>
      <c r="M7301">
        <v>-2.137172E-2</v>
      </c>
      <c r="N7301">
        <v>-1.3951989999999999E-2</v>
      </c>
      <c r="O7301">
        <v>-0.99967459999999997</v>
      </c>
      <c r="P7301">
        <v>-1.377927E-2</v>
      </c>
      <c r="Q7301">
        <v>-8.7710430000000006E-2</v>
      </c>
      <c r="R7301">
        <v>-0.99605129999999997</v>
      </c>
      <c r="S7301">
        <v>0.24588009999999999</v>
      </c>
      <c r="T7301">
        <v>-0.3033613</v>
      </c>
      <c r="U7301">
        <v>-2.9888919999999999</v>
      </c>
      <c r="V7301">
        <v>-7.5008710000000001E-3</v>
      </c>
      <c r="W7301">
        <v>-7.3805319999999994E-2</v>
      </c>
      <c r="X7301">
        <v>0.99724449999999998</v>
      </c>
      <c r="Y7301">
        <v>-0.10287979999999999</v>
      </c>
      <c r="Z7301">
        <v>8.6604050000000002E-2</v>
      </c>
      <c r="AA7301">
        <v>0.99091649999999998</v>
      </c>
      <c r="AB7301">
        <v>17</v>
      </c>
      <c r="AC7301">
        <v>0.91210000000000901</v>
      </c>
      <c r="AD7301">
        <v>-1.1212522394569999</v>
      </c>
      <c r="AE7301">
        <v>-10.880750000000001</v>
      </c>
      <c r="AF7301">
        <v>-1.1325121538098</v>
      </c>
      <c r="AG7301">
        <v>-1.1212522394569999</v>
      </c>
      <c r="AH7301">
        <v>10.7454581084059</v>
      </c>
      <c r="AI7301">
        <v>95.924484390702602</v>
      </c>
      <c r="AJ7301">
        <v>96.016448572007604</v>
      </c>
      <c r="AK7301">
        <v>10.8629949978134</v>
      </c>
      <c r="AL7301">
        <v>94.232581754834698</v>
      </c>
      <c r="AM7301">
        <v>90.430947622792203</v>
      </c>
      <c r="AN7301">
        <v>1.0000000405531499</v>
      </c>
    </row>
    <row r="7302" spans="1:40" x14ac:dyDescent="0.25">
      <c r="A7302" t="str">
        <f>"20190303154325282"</f>
        <v>20190303154325282</v>
      </c>
      <c r="B7302" t="str">
        <f>"1551599005277592"</f>
        <v>1551599005277592</v>
      </c>
      <c r="C7302" t="s">
        <v>40</v>
      </c>
      <c r="D7302">
        <v>5.7229419999999998</v>
      </c>
      <c r="E7302">
        <v>0.46208519999999997</v>
      </c>
      <c r="F7302" t="s">
        <v>41</v>
      </c>
      <c r="G7302">
        <v>-300.5797</v>
      </c>
      <c r="H7302" s="1">
        <v>-1.182942E-6</v>
      </c>
      <c r="I7302">
        <v>-38.012990000000002</v>
      </c>
      <c r="J7302">
        <v>-301.51560000000001</v>
      </c>
      <c r="K7302">
        <v>1.121248</v>
      </c>
      <c r="L7302">
        <v>-27.206389999999999</v>
      </c>
      <c r="M7302">
        <v>-2.1158819999999998E-2</v>
      </c>
      <c r="N7302">
        <v>-1.3947299999999999E-2</v>
      </c>
      <c r="O7302">
        <v>-0.99967890000000004</v>
      </c>
      <c r="P7302">
        <v>-1.2591140000000001E-2</v>
      </c>
      <c r="Q7302">
        <v>-8.7490570000000004E-2</v>
      </c>
      <c r="R7302">
        <v>-0.99608600000000003</v>
      </c>
      <c r="S7302">
        <v>0.25320429999999999</v>
      </c>
      <c r="T7302">
        <v>-0.30462709999999998</v>
      </c>
      <c r="U7302">
        <v>-2.9885860000000002</v>
      </c>
      <c r="V7302">
        <v>-8.4777289999999998E-3</v>
      </c>
      <c r="W7302">
        <v>-7.3590169999999996E-2</v>
      </c>
      <c r="X7302">
        <v>0.99725249999999999</v>
      </c>
      <c r="Y7302">
        <v>-0.1050826</v>
      </c>
      <c r="Z7302">
        <v>8.7013160000000006E-2</v>
      </c>
      <c r="AA7302">
        <v>0.99064949999999996</v>
      </c>
      <c r="AB7302">
        <v>17</v>
      </c>
      <c r="AC7302">
        <v>0.93590000000000295</v>
      </c>
      <c r="AD7302">
        <v>-1.1212491829419999</v>
      </c>
      <c r="AE7302">
        <v>-10.8066</v>
      </c>
      <c r="AF7302">
        <v>-1.15205765206128</v>
      </c>
      <c r="AG7302">
        <v>-1.1212491829419999</v>
      </c>
      <c r="AH7302">
        <v>10.6703612697758</v>
      </c>
      <c r="AI7302">
        <v>95.964256864218399</v>
      </c>
      <c r="AJ7302">
        <v>96.162240569710406</v>
      </c>
      <c r="AK7302">
        <v>10.790785244432101</v>
      </c>
      <c r="AL7302">
        <v>94.220221266151697</v>
      </c>
      <c r="AM7302">
        <v>90.487064600872799</v>
      </c>
      <c r="AN7302">
        <v>0.99999996688293702</v>
      </c>
    </row>
    <row r="7303" spans="1:40" x14ac:dyDescent="0.25">
      <c r="A7303" t="str">
        <f>"20190303154325306"</f>
        <v>20190303154325306</v>
      </c>
      <c r="B7303" t="str">
        <f>"1551599005298089"</f>
        <v>1551599005298089</v>
      </c>
      <c r="C7303" t="s">
        <v>40</v>
      </c>
      <c r="D7303">
        <v>5.6795519999999904</v>
      </c>
      <c r="E7303">
        <v>0.46160269999999998</v>
      </c>
      <c r="F7303" t="s">
        <v>41</v>
      </c>
      <c r="G7303">
        <v>-300.55500000000001</v>
      </c>
      <c r="H7303" s="1">
        <v>-1.1494650000000001E-6</v>
      </c>
      <c r="I7303">
        <v>-38.075650000000003</v>
      </c>
      <c r="J7303">
        <v>-301.51909999999998</v>
      </c>
      <c r="K7303">
        <v>1.121246</v>
      </c>
      <c r="L7303">
        <v>-27.383849999999999</v>
      </c>
      <c r="M7303">
        <v>-2.0963559999999999E-2</v>
      </c>
      <c r="N7303">
        <v>-1.3942990000000001E-2</v>
      </c>
      <c r="O7303">
        <v>-0.99968319999999999</v>
      </c>
      <c r="P7303">
        <v>-1.071658E-2</v>
      </c>
      <c r="Q7303">
        <v>-8.7713879999999994E-2</v>
      </c>
      <c r="R7303">
        <v>-0.99608810000000003</v>
      </c>
      <c r="S7303">
        <v>0.26409909999999998</v>
      </c>
      <c r="T7303">
        <v>-0.30824279999999998</v>
      </c>
      <c r="U7303">
        <v>-2.9880680000000002</v>
      </c>
      <c r="V7303">
        <v>-1.0157100000000001E-2</v>
      </c>
      <c r="W7303">
        <v>-7.3818519999999999E-2</v>
      </c>
      <c r="X7303">
        <v>0.99722</v>
      </c>
      <c r="Y7303">
        <v>-0.1084746</v>
      </c>
      <c r="Z7303">
        <v>8.8187479999999999E-2</v>
      </c>
      <c r="AA7303">
        <v>0.9901799</v>
      </c>
      <c r="AB7303">
        <v>17</v>
      </c>
      <c r="AC7303">
        <v>0.96409999999997298</v>
      </c>
      <c r="AD7303">
        <v>-1.121247149465</v>
      </c>
      <c r="AE7303">
        <v>-10.691800000000001</v>
      </c>
      <c r="AF7303">
        <v>-1.1752274955706601</v>
      </c>
      <c r="AG7303">
        <v>-1.121247149465</v>
      </c>
      <c r="AH7303">
        <v>10.554102509938099</v>
      </c>
      <c r="AI7303">
        <v>96.027269305052997</v>
      </c>
      <c r="AJ7303">
        <v>96.353862912594096</v>
      </c>
      <c r="AK7303">
        <v>10.6783629188565</v>
      </c>
      <c r="AL7303">
        <v>94.233340153522505</v>
      </c>
      <c r="AM7303">
        <v>90.583561138647994</v>
      </c>
      <c r="AN7303">
        <v>1.00000003448769</v>
      </c>
    </row>
    <row r="7304" spans="1:40" x14ac:dyDescent="0.25">
      <c r="A7304" t="str">
        <f>"20190303154325328"</f>
        <v>20190303154325328</v>
      </c>
      <c r="B7304" t="str">
        <f>"1551599005317609"</f>
        <v>1551599005317609</v>
      </c>
      <c r="C7304" t="s">
        <v>40</v>
      </c>
      <c r="D7304">
        <v>5.6201889999999999</v>
      </c>
      <c r="E7304">
        <v>0.46130500000000002</v>
      </c>
      <c r="F7304" t="s">
        <v>41</v>
      </c>
      <c r="G7304">
        <v>-300.52800000000002</v>
      </c>
      <c r="H7304" s="1">
        <v>-1.0865370000000001E-6</v>
      </c>
      <c r="I7304">
        <v>-38.205579999999998</v>
      </c>
      <c r="J7304">
        <v>-301.5222</v>
      </c>
      <c r="K7304">
        <v>1.1212390000000001</v>
      </c>
      <c r="L7304">
        <v>-27.543669999999999</v>
      </c>
      <c r="M7304">
        <v>-2.0787940000000001E-2</v>
      </c>
      <c r="N7304">
        <v>-1.393908E-2</v>
      </c>
      <c r="O7304">
        <v>-0.99968699999999999</v>
      </c>
      <c r="P7304">
        <v>-1.0003130000000001E-2</v>
      </c>
      <c r="Q7304">
        <v>-8.8159779999999993E-2</v>
      </c>
      <c r="R7304">
        <v>-0.99605639999999995</v>
      </c>
      <c r="S7304">
        <v>0.27362059999999999</v>
      </c>
      <c r="T7304">
        <v>-0.30953239999999999</v>
      </c>
      <c r="U7304">
        <v>-2.987457</v>
      </c>
      <c r="V7304">
        <v>-1.0694550000000001E-2</v>
      </c>
      <c r="W7304">
        <v>-7.4268970000000004E-2</v>
      </c>
      <c r="X7304">
        <v>0.99718090000000004</v>
      </c>
      <c r="Y7304">
        <v>-0.1114416</v>
      </c>
      <c r="Z7304">
        <v>8.8604039999999995E-2</v>
      </c>
      <c r="AA7304">
        <v>0.9898131</v>
      </c>
      <c r="AB7304">
        <v>17</v>
      </c>
      <c r="AC7304">
        <v>0.99419999999997799</v>
      </c>
      <c r="AD7304">
        <v>-1.12124008653699</v>
      </c>
      <c r="AE7304">
        <v>-10.661909999999899</v>
      </c>
      <c r="AF7304">
        <v>-1.2024620003128601</v>
      </c>
      <c r="AG7304">
        <v>-1.12124008653699</v>
      </c>
      <c r="AH7304">
        <v>10.523556415077</v>
      </c>
      <c r="AI7304">
        <v>96.042651860326401</v>
      </c>
      <c r="AJ7304">
        <v>96.518564785016494</v>
      </c>
      <c r="AK7304">
        <v>10.651212786117901</v>
      </c>
      <c r="AL7304">
        <v>94.259220223087297</v>
      </c>
      <c r="AM7304">
        <v>90.614461315168896</v>
      </c>
      <c r="AN7304">
        <v>1.0000000003146801</v>
      </c>
    </row>
    <row r="7305" spans="1:40" x14ac:dyDescent="0.25">
      <c r="A7305" t="str">
        <f>"20190303154325347"</f>
        <v>20190303154325347</v>
      </c>
      <c r="B7305" t="str">
        <f>"1551599005338105"</f>
        <v>1551599005338105</v>
      </c>
      <c r="C7305" t="s">
        <v>40</v>
      </c>
      <c r="D7305">
        <v>5.6124879999999999</v>
      </c>
      <c r="E7305">
        <v>0.46102149999999997</v>
      </c>
      <c r="F7305" t="s">
        <v>41</v>
      </c>
      <c r="G7305">
        <v>-300.52100000000002</v>
      </c>
      <c r="H7305" s="1">
        <v>-1.047787E-6</v>
      </c>
      <c r="I7305">
        <v>-38.291600000000003</v>
      </c>
      <c r="J7305">
        <v>-301.52499999999998</v>
      </c>
      <c r="K7305">
        <v>1.121243</v>
      </c>
      <c r="L7305">
        <v>-27.688320000000001</v>
      </c>
      <c r="M7305">
        <v>-2.0628750000000001E-2</v>
      </c>
      <c r="N7305">
        <v>-1.393553E-2</v>
      </c>
      <c r="O7305">
        <v>-0.99969039999999998</v>
      </c>
      <c r="P7305">
        <v>-1.018609E-2</v>
      </c>
      <c r="Q7305">
        <v>-8.8522470000000006E-2</v>
      </c>
      <c r="R7305">
        <v>-0.99602250000000003</v>
      </c>
      <c r="S7305">
        <v>0.27825929999999999</v>
      </c>
      <c r="T7305">
        <v>-0.31161759999999999</v>
      </c>
      <c r="U7305">
        <v>-2.9870909999999999</v>
      </c>
      <c r="V7305">
        <v>-1.035238E-2</v>
      </c>
      <c r="W7305">
        <v>-7.4635499999999994E-2</v>
      </c>
      <c r="X7305">
        <v>0.99715719999999997</v>
      </c>
      <c r="Y7305">
        <v>-0.11281099999999999</v>
      </c>
      <c r="Z7305">
        <v>8.9289170000000001E-2</v>
      </c>
      <c r="AA7305">
        <v>0.98959640000000004</v>
      </c>
      <c r="AB7305">
        <v>17</v>
      </c>
      <c r="AC7305">
        <v>1.00400000000001</v>
      </c>
      <c r="AD7305">
        <v>-1.121244047787</v>
      </c>
      <c r="AE7305">
        <v>-10.60328</v>
      </c>
      <c r="AF7305">
        <v>-1.2091394334652901</v>
      </c>
      <c r="AG7305">
        <v>-1.121244047787</v>
      </c>
      <c r="AH7305">
        <v>10.46433743045</v>
      </c>
      <c r="AI7305">
        <v>96.0757354620157</v>
      </c>
      <c r="AJ7305">
        <v>96.591216086429398</v>
      </c>
      <c r="AK7305">
        <v>10.5934679988461</v>
      </c>
      <c r="AL7305">
        <v>94.280279056053999</v>
      </c>
      <c r="AM7305">
        <v>90.594817319415597</v>
      </c>
      <c r="AN7305">
        <v>1.00000005557187</v>
      </c>
    </row>
    <row r="7306" spans="1:40" x14ac:dyDescent="0.25">
      <c r="A7306" t="str">
        <f>"20190303154325369"</f>
        <v>20190303154325369</v>
      </c>
      <c r="B7306" t="str">
        <f>"1551599005357625"</f>
        <v>1551599005357625</v>
      </c>
      <c r="C7306" t="s">
        <v>40</v>
      </c>
      <c r="D7306">
        <v>5.6213749999999996</v>
      </c>
      <c r="E7306">
        <v>0.46081640000000001</v>
      </c>
      <c r="F7306" t="s">
        <v>41</v>
      </c>
      <c r="G7306">
        <v>-300.52480000000003</v>
      </c>
      <c r="H7306" s="1">
        <v>-1.015284E-6</v>
      </c>
      <c r="I7306">
        <v>-38.369750000000003</v>
      </c>
      <c r="J7306">
        <v>-301.52809999999999</v>
      </c>
      <c r="K7306">
        <v>1.1212439999999999</v>
      </c>
      <c r="L7306">
        <v>-27.848659999999999</v>
      </c>
      <c r="M7306">
        <v>-2.0452459999999999E-2</v>
      </c>
      <c r="N7306">
        <v>-1.3931590000000001E-2</v>
      </c>
      <c r="O7306">
        <v>-0.99969370000000002</v>
      </c>
      <c r="P7306">
        <v>-1.02694E-2</v>
      </c>
      <c r="Q7306">
        <v>-8.8156970000000001E-2</v>
      </c>
      <c r="R7306">
        <v>-0.99605370000000004</v>
      </c>
      <c r="S7306">
        <v>0.27969359999999999</v>
      </c>
      <c r="T7306">
        <v>-0.3135463</v>
      </c>
      <c r="U7306">
        <v>-2.9869690000000002</v>
      </c>
      <c r="V7306">
        <v>-1.0094469999999999E-2</v>
      </c>
      <c r="W7306">
        <v>-7.4273450000000005E-2</v>
      </c>
      <c r="X7306">
        <v>0.99718680000000004</v>
      </c>
      <c r="Y7306">
        <v>-0.1131046</v>
      </c>
      <c r="Z7306">
        <v>8.9926389999999995E-2</v>
      </c>
      <c r="AA7306">
        <v>0.98950519999999997</v>
      </c>
      <c r="AB7306">
        <v>17</v>
      </c>
      <c r="AC7306">
        <v>1.0032999999999599</v>
      </c>
      <c r="AD7306">
        <v>-1.1212450152839999</v>
      </c>
      <c r="AE7306">
        <v>-10.521089999999999</v>
      </c>
      <c r="AF7306">
        <v>-1.20473380563904</v>
      </c>
      <c r="AG7306">
        <v>-1.1212450152839999</v>
      </c>
      <c r="AH7306">
        <v>10.3815221653725</v>
      </c>
      <c r="AI7306">
        <v>96.123495724471894</v>
      </c>
      <c r="AJ7306">
        <v>96.619336777779395</v>
      </c>
      <c r="AK7306">
        <v>10.511164369225201</v>
      </c>
      <c r="AL7306">
        <v>94.259477710483907</v>
      </c>
      <c r="AM7306">
        <v>90.579982379070103</v>
      </c>
      <c r="AN7306">
        <v>0.99999997889686099</v>
      </c>
    </row>
    <row r="7307" spans="1:40" x14ac:dyDescent="0.25">
      <c r="A7307" t="str">
        <f>"20190303154325390"</f>
        <v>20190303154325390</v>
      </c>
      <c r="B7307" t="str">
        <f>"1551599005387882"</f>
        <v>1551599005387882</v>
      </c>
      <c r="C7307" t="s">
        <v>40</v>
      </c>
      <c r="D7307">
        <v>5.6188310000000001</v>
      </c>
      <c r="E7307">
        <v>0.46052739999999998</v>
      </c>
      <c r="F7307" t="s">
        <v>41</v>
      </c>
      <c r="G7307">
        <v>-300.5197</v>
      </c>
      <c r="H7307" s="1">
        <v>-9.3543609999999995E-7</v>
      </c>
      <c r="I7307">
        <v>-38.552720000000001</v>
      </c>
      <c r="J7307">
        <v>-301.53120000000001</v>
      </c>
      <c r="K7307">
        <v>1.1212489999999999</v>
      </c>
      <c r="L7307">
        <v>-28.008089999999999</v>
      </c>
      <c r="M7307">
        <v>-2.0277440000000001E-2</v>
      </c>
      <c r="N7307">
        <v>-1.392767E-2</v>
      </c>
      <c r="O7307">
        <v>-0.99969770000000002</v>
      </c>
      <c r="P7307">
        <v>-1.073985E-2</v>
      </c>
      <c r="Q7307">
        <v>-8.8533399999999998E-2</v>
      </c>
      <c r="R7307">
        <v>-0.99601580000000001</v>
      </c>
      <c r="S7307">
        <v>0.2814026</v>
      </c>
      <c r="T7307">
        <v>-0.31289650000000002</v>
      </c>
      <c r="U7307">
        <v>-2.9870909999999999</v>
      </c>
      <c r="V7307">
        <v>-9.4489499999999994E-3</v>
      </c>
      <c r="W7307">
        <v>-7.4654040000000005E-2</v>
      </c>
      <c r="X7307">
        <v>0.99716470000000001</v>
      </c>
      <c r="Y7307">
        <v>-0.1134898</v>
      </c>
      <c r="Z7307">
        <v>8.9708609999999994E-2</v>
      </c>
      <c r="AA7307">
        <v>0.9894809</v>
      </c>
      <c r="AB7307">
        <v>16</v>
      </c>
      <c r="AC7307">
        <v>1.0115000000000101</v>
      </c>
      <c r="AD7307">
        <v>-1.1212499354361001</v>
      </c>
      <c r="AE7307">
        <v>-10.5446299999999</v>
      </c>
      <c r="AF7307">
        <v>-1.21155675778387</v>
      </c>
      <c r="AG7307">
        <v>-1.1212499354361001</v>
      </c>
      <c r="AH7307">
        <v>10.4053695343295</v>
      </c>
      <c r="AI7307">
        <v>96.109323524922203</v>
      </c>
      <c r="AJ7307">
        <v>96.641370465995095</v>
      </c>
      <c r="AK7307">
        <v>10.535501238242</v>
      </c>
      <c r="AL7307">
        <v>94.281344643007202</v>
      </c>
      <c r="AM7307">
        <v>90.542908060074893</v>
      </c>
      <c r="AN7307">
        <v>0.99999997363525595</v>
      </c>
    </row>
    <row r="7308" spans="1:40" x14ac:dyDescent="0.25">
      <c r="A7308" t="str">
        <f>"20190303154325413"</f>
        <v>20190303154325413</v>
      </c>
      <c r="B7308" t="str">
        <f>"1551599005407401"</f>
        <v>1551599005407401</v>
      </c>
      <c r="C7308" t="s">
        <v>40</v>
      </c>
      <c r="D7308">
        <v>5.6097510000000002</v>
      </c>
      <c r="E7308">
        <v>0.4603448</v>
      </c>
      <c r="F7308" t="s">
        <v>41</v>
      </c>
      <c r="G7308">
        <v>-300.52730000000003</v>
      </c>
      <c r="H7308" s="1">
        <v>-8.9875119999999998E-7</v>
      </c>
      <c r="I7308">
        <v>-38.64293</v>
      </c>
      <c r="J7308">
        <v>-301.5342</v>
      </c>
      <c r="K7308">
        <v>1.1212500000000001</v>
      </c>
      <c r="L7308">
        <v>-28.170500000000001</v>
      </c>
      <c r="M7308">
        <v>-2.0098709999999999E-2</v>
      </c>
      <c r="N7308">
        <v>-1.3923710000000001E-2</v>
      </c>
      <c r="O7308">
        <v>-0.99970110000000001</v>
      </c>
      <c r="P7308">
        <v>-1.1373329999999999E-2</v>
      </c>
      <c r="Q7308">
        <v>-8.8824790000000001E-2</v>
      </c>
      <c r="R7308">
        <v>-0.99598229999999999</v>
      </c>
      <c r="S7308">
        <v>0.28195189999999998</v>
      </c>
      <c r="T7308">
        <v>-0.31493090000000001</v>
      </c>
      <c r="U7308">
        <v>-2.9870610000000002</v>
      </c>
      <c r="V7308">
        <v>-8.6366269999999992E-3</v>
      </c>
      <c r="W7308">
        <v>-7.4949459999999996E-2</v>
      </c>
      <c r="X7308">
        <v>0.99714990000000003</v>
      </c>
      <c r="Y7308">
        <v>-0.1134872</v>
      </c>
      <c r="Z7308">
        <v>9.0380440000000006E-2</v>
      </c>
      <c r="AA7308">
        <v>0.98942010000000002</v>
      </c>
      <c r="AB7308">
        <v>16</v>
      </c>
      <c r="AC7308">
        <v>1.0068999999999699</v>
      </c>
      <c r="AD7308">
        <v>-1.1212508987512</v>
      </c>
      <c r="AE7308">
        <v>-10.472429999999999</v>
      </c>
      <c r="AF7308">
        <v>-1.20352921714975</v>
      </c>
      <c r="AG7308">
        <v>-1.1212508987512</v>
      </c>
      <c r="AH7308">
        <v>10.332712493800701</v>
      </c>
      <c r="AI7308">
        <v>96.151930370618203</v>
      </c>
      <c r="AJ7308">
        <v>96.6437357208235</v>
      </c>
      <c r="AK7308">
        <v>10.4628214948946</v>
      </c>
      <c r="AL7308">
        <v>94.298318540661896</v>
      </c>
      <c r="AM7308">
        <v>90.496244248536996</v>
      </c>
      <c r="AN7308">
        <v>0.99999996797511803</v>
      </c>
    </row>
    <row r="7309" spans="1:40" x14ac:dyDescent="0.25">
      <c r="A7309" t="str">
        <f>"20190303154325435"</f>
        <v>20190303154325435</v>
      </c>
      <c r="B7309" t="str">
        <f>"1551599005427897"</f>
        <v>1551599005427897</v>
      </c>
      <c r="C7309" t="s">
        <v>40</v>
      </c>
      <c r="D7309">
        <v>5.6125280000000002</v>
      </c>
      <c r="E7309">
        <v>0.46021240000000002</v>
      </c>
      <c r="F7309" t="s">
        <v>41</v>
      </c>
      <c r="G7309">
        <v>-300.536</v>
      </c>
      <c r="H7309" s="1">
        <v>-8.5153639999999897E-7</v>
      </c>
      <c r="I7309">
        <v>-38.758400000000002</v>
      </c>
      <c r="J7309">
        <v>-301.53730000000002</v>
      </c>
      <c r="K7309">
        <v>1.1212500000000001</v>
      </c>
      <c r="L7309">
        <v>-28.332429999999999</v>
      </c>
      <c r="M7309">
        <v>-1.992083E-2</v>
      </c>
      <c r="N7309">
        <v>-1.391974E-2</v>
      </c>
      <c r="O7309">
        <v>-0.99970490000000001</v>
      </c>
      <c r="P7309">
        <v>-1.2171100000000001E-2</v>
      </c>
      <c r="Q7309">
        <v>-8.8574260000000002E-2</v>
      </c>
      <c r="R7309">
        <v>-0.99599559999999998</v>
      </c>
      <c r="S7309">
        <v>0.28161619999999998</v>
      </c>
      <c r="T7309">
        <v>-0.31633410000000001</v>
      </c>
      <c r="U7309">
        <v>-2.9871219999999998</v>
      </c>
      <c r="V7309">
        <v>-7.6620350000000002E-3</v>
      </c>
      <c r="W7309">
        <v>-7.4702299999999999E-2</v>
      </c>
      <c r="X7309">
        <v>0.99717650000000002</v>
      </c>
      <c r="Y7309">
        <v>-0.1131943</v>
      </c>
      <c r="Z7309">
        <v>9.0845309999999999E-2</v>
      </c>
      <c r="AA7309">
        <v>0.98941109999999999</v>
      </c>
      <c r="AB7309">
        <v>16</v>
      </c>
      <c r="AC7309">
        <v>1.0013000000000101</v>
      </c>
      <c r="AD7309">
        <v>-1.1212508515363999</v>
      </c>
      <c r="AE7309">
        <v>-10.42597</v>
      </c>
      <c r="AF7309">
        <v>-1.1951192267683599</v>
      </c>
      <c r="AG7309">
        <v>-1.1212508515363999</v>
      </c>
      <c r="AH7309">
        <v>10.286073440819401</v>
      </c>
      <c r="AI7309">
        <v>96.179812560992303</v>
      </c>
      <c r="AJ7309">
        <v>96.6273713457214</v>
      </c>
      <c r="AK7309">
        <v>10.415796669875601</v>
      </c>
      <c r="AL7309">
        <v>94.284117125312605</v>
      </c>
      <c r="AM7309">
        <v>90.4402366369101</v>
      </c>
      <c r="AN7309">
        <v>1.00000005627893</v>
      </c>
    </row>
    <row r="7310" spans="1:40" x14ac:dyDescent="0.25">
      <c r="A7310" t="str">
        <f>"20190303154325458"</f>
        <v>20190303154325458</v>
      </c>
      <c r="B7310" t="str">
        <f>"1551599005447417"</f>
        <v>1551599005447417</v>
      </c>
      <c r="C7310" t="s">
        <v>40</v>
      </c>
      <c r="D7310">
        <v>5.6820089999999999</v>
      </c>
      <c r="E7310">
        <v>0.46035779999999898</v>
      </c>
      <c r="F7310" t="s">
        <v>41</v>
      </c>
      <c r="G7310">
        <v>-300.5428</v>
      </c>
      <c r="H7310" s="1">
        <v>-7.7876490000000001E-7</v>
      </c>
      <c r="I7310">
        <v>-38.93224</v>
      </c>
      <c r="J7310">
        <v>-301.5403</v>
      </c>
      <c r="K7310">
        <v>1.1212470000000001</v>
      </c>
      <c r="L7310">
        <v>-28.496369999999999</v>
      </c>
      <c r="M7310">
        <v>-1.974072E-2</v>
      </c>
      <c r="N7310">
        <v>-1.3915719999999999E-2</v>
      </c>
      <c r="O7310">
        <v>-0.9997085</v>
      </c>
      <c r="P7310">
        <v>-1.234886E-2</v>
      </c>
      <c r="Q7310">
        <v>-8.9504879999999995E-2</v>
      </c>
      <c r="R7310">
        <v>-0.99591010000000002</v>
      </c>
      <c r="S7310">
        <v>0.28027340000000001</v>
      </c>
      <c r="T7310">
        <v>-0.31600739999999999</v>
      </c>
      <c r="U7310">
        <v>-2.9873959999999999</v>
      </c>
      <c r="V7310">
        <v>-7.3029990000000001E-3</v>
      </c>
      <c r="W7310">
        <v>-7.5637910000000003E-2</v>
      </c>
      <c r="X7310">
        <v>0.99710860000000001</v>
      </c>
      <c r="Y7310">
        <v>-0.1125675</v>
      </c>
      <c r="Z7310">
        <v>9.0739340000000002E-2</v>
      </c>
      <c r="AA7310">
        <v>0.98949219999999904</v>
      </c>
      <c r="AB7310">
        <v>16</v>
      </c>
      <c r="AC7310">
        <v>0.99750000000000205</v>
      </c>
      <c r="AD7310">
        <v>-1.12124777876489</v>
      </c>
      <c r="AE7310">
        <v>-10.4358699999999</v>
      </c>
      <c r="AF7310">
        <v>-1.18972753189283</v>
      </c>
      <c r="AG7310">
        <v>-1.12124777876489</v>
      </c>
      <c r="AH7310">
        <v>10.296360492477501</v>
      </c>
      <c r="AI7310">
        <v>96.174117338279601</v>
      </c>
      <c r="AJ7310">
        <v>96.591202889254404</v>
      </c>
      <c r="AK7310">
        <v>10.425338726994999</v>
      </c>
      <c r="AL7310">
        <v>94.337875998342199</v>
      </c>
      <c r="AM7310">
        <v>90.419636876751895</v>
      </c>
      <c r="AN7310">
        <v>0.99999999370876103</v>
      </c>
    </row>
    <row r="7311" spans="1:40" x14ac:dyDescent="0.25">
      <c r="A7311" t="str">
        <f>"20190303154325483"</f>
        <v>20190303154325483</v>
      </c>
      <c r="B7311" t="str">
        <f>"1551599005477673"</f>
        <v>1551599005477673</v>
      </c>
      <c r="C7311" t="s">
        <v>40</v>
      </c>
      <c r="D7311">
        <v>5.6232379999999997</v>
      </c>
      <c r="E7311">
        <v>0.4882724</v>
      </c>
      <c r="F7311" t="s">
        <v>41</v>
      </c>
      <c r="G7311">
        <v>-300.56130000000002</v>
      </c>
      <c r="H7311" s="1">
        <v>-7.5400159999999998E-7</v>
      </c>
      <c r="I7311">
        <v>-39.001440000000002</v>
      </c>
      <c r="J7311">
        <v>-301.5437</v>
      </c>
      <c r="K7311">
        <v>1.1212500000000001</v>
      </c>
      <c r="L7311">
        <v>-28.679500000000001</v>
      </c>
      <c r="M7311">
        <v>-1.953918E-2</v>
      </c>
      <c r="N7311">
        <v>-1.391124E-2</v>
      </c>
      <c r="O7311">
        <v>-0.9997123</v>
      </c>
      <c r="P7311">
        <v>-1.1988169999999999E-2</v>
      </c>
      <c r="Q7311">
        <v>-8.9474369999999998E-2</v>
      </c>
      <c r="R7311">
        <v>-0.99591700000000005</v>
      </c>
      <c r="S7311">
        <v>0.2783813</v>
      </c>
      <c r="T7311">
        <v>-0.31882739999999998</v>
      </c>
      <c r="U7311">
        <v>-2.9871219999999998</v>
      </c>
      <c r="V7311">
        <v>-7.4632419999999897E-3</v>
      </c>
      <c r="W7311">
        <v>-7.5611890000000001E-2</v>
      </c>
      <c r="X7311">
        <v>0.99710940000000003</v>
      </c>
      <c r="Y7311">
        <v>-0.1117462</v>
      </c>
      <c r="Z7311">
        <v>9.1686509999999999E-2</v>
      </c>
      <c r="AA7311">
        <v>0.98949799999999999</v>
      </c>
      <c r="AB7311">
        <v>16</v>
      </c>
      <c r="AC7311">
        <v>0.98239999999998395</v>
      </c>
      <c r="AD7311">
        <v>-1.1212507540015999</v>
      </c>
      <c r="AE7311">
        <v>-10.32194</v>
      </c>
      <c r="AF7311">
        <v>-1.1702294081687299</v>
      </c>
      <c r="AG7311">
        <v>-1.1212507540015999</v>
      </c>
      <c r="AH7311">
        <v>10.181706120062</v>
      </c>
      <c r="AI7311">
        <v>96.243545843040707</v>
      </c>
      <c r="AJ7311">
        <v>96.556493072767097</v>
      </c>
      <c r="AK7311">
        <v>10.3098874696284</v>
      </c>
      <c r="AL7311">
        <v>94.336380824065799</v>
      </c>
      <c r="AM7311">
        <v>90.428843899097501</v>
      </c>
      <c r="AN7311">
        <v>1.0000000067294399</v>
      </c>
    </row>
    <row r="7312" spans="1:40" x14ac:dyDescent="0.25">
      <c r="A7312" t="str">
        <f>"20190303154325506"</f>
        <v>20190303154325506</v>
      </c>
      <c r="B7312" t="str">
        <f>"1551599005497192"</f>
        <v>1551599005497192</v>
      </c>
      <c r="C7312" t="s">
        <v>40</v>
      </c>
      <c r="D7312">
        <v>5.6385550000000002</v>
      </c>
      <c r="E7312">
        <v>0.48904710000000001</v>
      </c>
      <c r="F7312" t="s">
        <v>41</v>
      </c>
      <c r="G7312">
        <v>-301.33949999999999</v>
      </c>
      <c r="H7312" s="1">
        <v>-7.9667849999999997E-7</v>
      </c>
      <c r="I7312">
        <v>-39.38458</v>
      </c>
      <c r="J7312">
        <v>-301.54669999999999</v>
      </c>
      <c r="K7312">
        <v>1.1212519999999999</v>
      </c>
      <c r="L7312">
        <v>-28.846769999999999</v>
      </c>
      <c r="M7312">
        <v>-1.9355259999999999E-2</v>
      </c>
      <c r="N7312">
        <v>-1.390717E-2</v>
      </c>
      <c r="O7312">
        <v>-0.99971589999999999</v>
      </c>
      <c r="P7312">
        <v>-1.175789E-2</v>
      </c>
      <c r="Q7312">
        <v>-8.9936749999999996E-2</v>
      </c>
      <c r="R7312">
        <v>-0.99587800000000004</v>
      </c>
      <c r="S7312">
        <v>5.6945799999999998E-2</v>
      </c>
      <c r="T7312">
        <v>-0.31263819999999998</v>
      </c>
      <c r="U7312">
        <v>-2.9848940000000002</v>
      </c>
      <c r="V7312">
        <v>-7.5095700000000001E-3</v>
      </c>
      <c r="W7312">
        <v>-7.6078859999999998E-2</v>
      </c>
      <c r="X7312">
        <v>0.99707349999999995</v>
      </c>
      <c r="Y7312">
        <v>-3.831507E-2</v>
      </c>
      <c r="Z7312">
        <v>9.0249289999999996E-2</v>
      </c>
      <c r="AA7312">
        <v>0.99518189999999995</v>
      </c>
      <c r="AB7312">
        <v>16</v>
      </c>
      <c r="AC7312">
        <v>0.2072</v>
      </c>
      <c r="AD7312">
        <v>-1.1212527966785</v>
      </c>
      <c r="AE7312">
        <v>-10.537809999999901</v>
      </c>
      <c r="AF7312">
        <v>-0.40654205317207298</v>
      </c>
      <c r="AG7312">
        <v>-1.1212527966785</v>
      </c>
      <c r="AH7312">
        <v>10.413967946815699</v>
      </c>
      <c r="AI7312">
        <v>96.140616594165195</v>
      </c>
      <c r="AJ7312">
        <v>92.235586092435796</v>
      </c>
      <c r="AK7312">
        <v>10.482042390315099</v>
      </c>
      <c r="AL7312">
        <v>94.363213659999403</v>
      </c>
      <c r="AM7312">
        <v>90.431521378900598</v>
      </c>
      <c r="AN7312">
        <v>0.99999997549136699</v>
      </c>
    </row>
    <row r="7313" spans="1:40" x14ac:dyDescent="0.25">
      <c r="A7313" t="str">
        <f>"20190303154325526"</f>
        <v>20190303154325526</v>
      </c>
      <c r="B7313" t="str">
        <f>"1551599005517689"</f>
        <v>1551599005517689</v>
      </c>
      <c r="C7313" t="s">
        <v>40</v>
      </c>
      <c r="D7313">
        <v>5.653753</v>
      </c>
      <c r="E7313">
        <v>0.48941440000000003</v>
      </c>
      <c r="F7313" t="s">
        <v>41</v>
      </c>
      <c r="G7313">
        <v>-301.3612</v>
      </c>
      <c r="H7313" s="1">
        <v>-7.3583109999999996E-7</v>
      </c>
      <c r="I7313">
        <v>-39.53989</v>
      </c>
      <c r="J7313">
        <v>-301.54939999999999</v>
      </c>
      <c r="K7313">
        <v>1.121256</v>
      </c>
      <c r="L7313">
        <v>-28.993649999999999</v>
      </c>
      <c r="M7313">
        <v>-1.9193950000000001E-2</v>
      </c>
      <c r="N7313">
        <v>-1.3903560000000001E-2</v>
      </c>
      <c r="O7313">
        <v>-0.99971920000000003</v>
      </c>
      <c r="P7313">
        <v>-1.119553E-2</v>
      </c>
      <c r="Q7313">
        <v>-9.0231140000000001E-2</v>
      </c>
      <c r="R7313">
        <v>-0.99585809999999997</v>
      </c>
      <c r="S7313">
        <v>5.178833E-2</v>
      </c>
      <c r="T7313">
        <v>-0.31297560000000002</v>
      </c>
      <c r="U7313">
        <v>-2.984772</v>
      </c>
      <c r="V7313">
        <v>-7.9106609999999994E-3</v>
      </c>
      <c r="W7313">
        <v>-7.6377269999999997E-2</v>
      </c>
      <c r="X7313">
        <v>0.99704760000000003</v>
      </c>
      <c r="Y7313">
        <v>-3.6436839999999998E-2</v>
      </c>
      <c r="Z7313">
        <v>9.0374419999999997E-2</v>
      </c>
      <c r="AA7313">
        <v>0.99524109999999999</v>
      </c>
      <c r="AB7313">
        <v>16</v>
      </c>
      <c r="AC7313">
        <v>0.18819999999999401</v>
      </c>
      <c r="AD7313">
        <v>-1.1212567358311001</v>
      </c>
      <c r="AE7313">
        <v>-10.546239999999999</v>
      </c>
      <c r="AF7313">
        <v>-0.38624433249627899</v>
      </c>
      <c r="AG7313">
        <v>-1.1212567358311001</v>
      </c>
      <c r="AH7313">
        <v>10.4229058153362</v>
      </c>
      <c r="AI7313">
        <v>96.135870692674899</v>
      </c>
      <c r="AJ7313">
        <v>92.122253508537696</v>
      </c>
      <c r="AK7313">
        <v>10.490155717976799</v>
      </c>
      <c r="AL7313">
        <v>94.380361116978904</v>
      </c>
      <c r="AM7313">
        <v>90.454580080447499</v>
      </c>
      <c r="AN7313">
        <v>0.99999999129793404</v>
      </c>
    </row>
    <row r="7314" spans="1:40" x14ac:dyDescent="0.25">
      <c r="A7314" t="str">
        <f>"20190303154325547"</f>
        <v>20190303154325547</v>
      </c>
      <c r="B7314" t="str">
        <f>"1551599005537210"</f>
        <v>1551599005537210</v>
      </c>
      <c r="C7314" t="s">
        <v>40</v>
      </c>
      <c r="D7314">
        <v>5.6451449999999896</v>
      </c>
      <c r="E7314">
        <v>0.48953970000000002</v>
      </c>
      <c r="F7314" t="s">
        <v>41</v>
      </c>
      <c r="G7314">
        <v>-301.36829999999998</v>
      </c>
      <c r="H7314" s="1">
        <v>-6.7531219999999896E-7</v>
      </c>
      <c r="I7314">
        <v>-39.685389999999998</v>
      </c>
      <c r="J7314">
        <v>-301.55220000000003</v>
      </c>
      <c r="K7314">
        <v>1.1212530000000001</v>
      </c>
      <c r="L7314">
        <v>-29.14819</v>
      </c>
      <c r="M7314">
        <v>-1.9024719999999998E-2</v>
      </c>
      <c r="N7314">
        <v>-1.3899659999999999E-2</v>
      </c>
      <c r="O7314">
        <v>-0.99972280000000002</v>
      </c>
      <c r="P7314">
        <v>-1.0438050000000001E-2</v>
      </c>
      <c r="Q7314">
        <v>-9.0474479999999996E-2</v>
      </c>
      <c r="R7314">
        <v>-0.99584450000000002</v>
      </c>
      <c r="S7314">
        <v>5.0537110000000003E-2</v>
      </c>
      <c r="T7314">
        <v>-0.31300709999999998</v>
      </c>
      <c r="U7314">
        <v>-2.98468</v>
      </c>
      <c r="V7314">
        <v>-8.4990780000000002E-3</v>
      </c>
      <c r="W7314">
        <v>-7.6624960000000006E-2</v>
      </c>
      <c r="X7314">
        <v>0.99702380000000002</v>
      </c>
      <c r="Y7314">
        <v>-3.5851559999999998E-2</v>
      </c>
      <c r="Z7314">
        <v>9.0393899999999999E-2</v>
      </c>
      <c r="AA7314">
        <v>0.99526060000000005</v>
      </c>
      <c r="AB7314">
        <v>16</v>
      </c>
      <c r="AC7314">
        <v>0.18390000000005099</v>
      </c>
      <c r="AD7314">
        <v>-1.1212536753122</v>
      </c>
      <c r="AE7314">
        <v>-10.5372</v>
      </c>
      <c r="AF7314">
        <v>-0.38005130678106303</v>
      </c>
      <c r="AG7314">
        <v>-1.1212536753122</v>
      </c>
      <c r="AH7314">
        <v>10.413913857901299</v>
      </c>
      <c r="AI7314">
        <v>96.141237587656505</v>
      </c>
      <c r="AJ7314">
        <v>92.090057273864701</v>
      </c>
      <c r="AK7314">
        <v>10.4809947352327</v>
      </c>
      <c r="AL7314">
        <v>94.394594212585801</v>
      </c>
      <c r="AM7314">
        <v>90.4884030897298</v>
      </c>
      <c r="AN7314">
        <v>1.0000000382941401</v>
      </c>
    </row>
    <row r="7315" spans="1:40" x14ac:dyDescent="0.25">
      <c r="A7315" t="str">
        <f>"20190303154325569"</f>
        <v>20190303154325569</v>
      </c>
      <c r="B7315" t="str">
        <f>"1551599005557705"</f>
        <v>1551599005557705</v>
      </c>
      <c r="C7315" t="s">
        <v>40</v>
      </c>
      <c r="D7315">
        <v>5.6260690000000002</v>
      </c>
      <c r="E7315">
        <v>0.48938280000000001</v>
      </c>
      <c r="F7315" t="s">
        <v>41</v>
      </c>
      <c r="G7315">
        <v>-301.36720000000003</v>
      </c>
      <c r="H7315" s="1">
        <v>-6.1639749999999997E-7</v>
      </c>
      <c r="I7315">
        <v>-39.822009999999999</v>
      </c>
      <c r="J7315">
        <v>-301.55489999999998</v>
      </c>
      <c r="K7315">
        <v>1.1212489999999999</v>
      </c>
      <c r="L7315">
        <v>-29.301729999999999</v>
      </c>
      <c r="M7315">
        <v>-1.8856319999999999E-2</v>
      </c>
      <c r="N7315">
        <v>-1.389573E-2</v>
      </c>
      <c r="O7315">
        <v>-0.99972589999999995</v>
      </c>
      <c r="P7315">
        <v>-1.020509E-2</v>
      </c>
      <c r="Q7315">
        <v>-9.0960020000000003E-2</v>
      </c>
      <c r="R7315">
        <v>-0.99580250000000003</v>
      </c>
      <c r="S7315">
        <v>5.1727290000000002E-2</v>
      </c>
      <c r="T7315">
        <v>-0.31352219999999997</v>
      </c>
      <c r="U7315">
        <v>-2.9845890000000002</v>
      </c>
      <c r="V7315">
        <v>-8.5634119999999994E-3</v>
      </c>
      <c r="W7315">
        <v>-7.7115000000000003E-2</v>
      </c>
      <c r="X7315">
        <v>0.99698540000000002</v>
      </c>
      <c r="Y7315">
        <v>-3.6080000000000001E-2</v>
      </c>
      <c r="Z7315">
        <v>9.0570559999999994E-2</v>
      </c>
      <c r="AA7315">
        <v>0.99523629999999996</v>
      </c>
      <c r="AB7315">
        <v>16</v>
      </c>
      <c r="AC7315">
        <v>0.18769999999994899</v>
      </c>
      <c r="AD7315">
        <v>-1.1212496163975001</v>
      </c>
      <c r="AE7315">
        <v>-10.52028</v>
      </c>
      <c r="AF7315">
        <v>-0.38172475928404198</v>
      </c>
      <c r="AG7315">
        <v>-1.1212496163975001</v>
      </c>
      <c r="AH7315">
        <v>10.3968070559437</v>
      </c>
      <c r="AI7315">
        <v>96.151193502157099</v>
      </c>
      <c r="AJ7315">
        <v>92.102703046685605</v>
      </c>
      <c r="AK7315">
        <v>10.464058077660001</v>
      </c>
      <c r="AL7315">
        <v>94.422755054966302</v>
      </c>
      <c r="AM7315">
        <v>90.492118841799098</v>
      </c>
      <c r="AN7315">
        <v>0.99999997153162001</v>
      </c>
    </row>
    <row r="7316" spans="1:40" x14ac:dyDescent="0.25">
      <c r="A7316" t="str">
        <f>"20190303154325590"</f>
        <v>20190303154325590</v>
      </c>
      <c r="B7316" t="str">
        <f>"1551599005578201"</f>
        <v>1551599005578201</v>
      </c>
      <c r="C7316" t="s">
        <v>40</v>
      </c>
      <c r="D7316">
        <v>5.6168079999999998</v>
      </c>
      <c r="E7316">
        <v>0.48948609999999998</v>
      </c>
      <c r="F7316" t="s">
        <v>41</v>
      </c>
      <c r="G7316">
        <v>-301.36180000000002</v>
      </c>
      <c r="H7316" s="1">
        <v>-5.2354769999999997E-7</v>
      </c>
      <c r="I7316">
        <v>-40.035069999999997</v>
      </c>
      <c r="J7316">
        <v>-301.55770000000001</v>
      </c>
      <c r="K7316">
        <v>1.1212390000000001</v>
      </c>
      <c r="L7316">
        <v>-29.459350000000001</v>
      </c>
      <c r="M7316">
        <v>-1.8683680000000001E-2</v>
      </c>
      <c r="N7316">
        <v>-1.3891769999999999E-2</v>
      </c>
      <c r="O7316">
        <v>-0.99972899999999998</v>
      </c>
      <c r="P7316">
        <v>-1.009172E-2</v>
      </c>
      <c r="Q7316">
        <v>-9.1616840000000005E-2</v>
      </c>
      <c r="R7316">
        <v>-0.99574320000000005</v>
      </c>
      <c r="S7316">
        <v>5.3710939999999999E-2</v>
      </c>
      <c r="T7316">
        <v>-0.31179519999999999</v>
      </c>
      <c r="U7316">
        <v>-2.9847109999999999</v>
      </c>
      <c r="V7316">
        <v>-8.5035479999999997E-3</v>
      </c>
      <c r="W7316">
        <v>-7.7776520000000002E-2</v>
      </c>
      <c r="X7316">
        <v>0.99693449999999995</v>
      </c>
      <c r="Y7316">
        <v>-3.6568639999999999E-2</v>
      </c>
      <c r="Z7316">
        <v>8.9999590000000004E-2</v>
      </c>
      <c r="AA7316">
        <v>0.99527019999999999</v>
      </c>
      <c r="AB7316">
        <v>16</v>
      </c>
      <c r="AC7316">
        <v>0.195899999999994</v>
      </c>
      <c r="AD7316">
        <v>-1.1212395235477</v>
      </c>
      <c r="AE7316">
        <v>-10.57572</v>
      </c>
      <c r="AF7316">
        <v>-0.38910606297797101</v>
      </c>
      <c r="AG7316">
        <v>-1.1212395235477</v>
      </c>
      <c r="AH7316">
        <v>10.452761505363</v>
      </c>
      <c r="AI7316">
        <v>96.118347207064403</v>
      </c>
      <c r="AJ7316">
        <v>92.131862088421599</v>
      </c>
      <c r="AK7316">
        <v>10.519924176789999</v>
      </c>
      <c r="AL7316">
        <v>94.460771648925103</v>
      </c>
      <c r="AM7316">
        <v>90.488703717097806</v>
      </c>
      <c r="AN7316">
        <v>0.999999947341073</v>
      </c>
    </row>
    <row r="7317" spans="1:40" x14ac:dyDescent="0.25">
      <c r="A7317" t="str">
        <f>"20190303154325614"</f>
        <v>20190303154325614</v>
      </c>
      <c r="B7317" t="str">
        <f>"1551599005607481"</f>
        <v>1551599005607481</v>
      </c>
      <c r="C7317" t="s">
        <v>40</v>
      </c>
      <c r="D7317">
        <v>5.6553990000000001</v>
      </c>
      <c r="E7317">
        <v>0.48951359999999999</v>
      </c>
      <c r="F7317" t="s">
        <v>41</v>
      </c>
      <c r="G7317">
        <v>-301.36579999999998</v>
      </c>
      <c r="H7317" s="1">
        <v>-4.6253440000000003E-7</v>
      </c>
      <c r="I7317">
        <v>-40.179839999999999</v>
      </c>
      <c r="J7317">
        <v>-301.56049999999999</v>
      </c>
      <c r="K7317">
        <v>1.121237</v>
      </c>
      <c r="L7317">
        <v>-29.623049999999999</v>
      </c>
      <c r="M7317">
        <v>-1.8504019999999999E-2</v>
      </c>
      <c r="N7317">
        <v>-1.388785E-2</v>
      </c>
      <c r="O7317">
        <v>-0.99973259999999997</v>
      </c>
      <c r="P7317">
        <v>-9.0988200000000005E-3</v>
      </c>
      <c r="Q7317">
        <v>-9.1947420000000002E-2</v>
      </c>
      <c r="R7317">
        <v>-0.99572249999999995</v>
      </c>
      <c r="S7317">
        <v>5.3405759999999997E-2</v>
      </c>
      <c r="T7317">
        <v>-0.31215989999999999</v>
      </c>
      <c r="U7317">
        <v>-2.9846499999999998</v>
      </c>
      <c r="V7317">
        <v>-9.317143E-3</v>
      </c>
      <c r="W7317">
        <v>-7.8111600000000003E-2</v>
      </c>
      <c r="X7317">
        <v>0.99690109999999998</v>
      </c>
      <c r="Y7317">
        <v>-3.6287680000000003E-2</v>
      </c>
      <c r="Z7317">
        <v>9.0127059999999995E-2</v>
      </c>
      <c r="AA7317">
        <v>0.99526890000000001</v>
      </c>
      <c r="AB7317">
        <v>16</v>
      </c>
      <c r="AC7317">
        <v>0.194700000000011</v>
      </c>
      <c r="AD7317">
        <v>-1.1212374625343999</v>
      </c>
      <c r="AE7317">
        <v>-10.556789999999999</v>
      </c>
      <c r="AF7317">
        <v>-0.38567929257012501</v>
      </c>
      <c r="AG7317">
        <v>-1.1212374625343999</v>
      </c>
      <c r="AH7317">
        <v>10.4337207013265</v>
      </c>
      <c r="AI7317">
        <v>96.129475358517297</v>
      </c>
      <c r="AJ7317">
        <v>92.116957110518101</v>
      </c>
      <c r="AK7317">
        <v>10.500878517409699</v>
      </c>
      <c r="AL7317">
        <v>94.480028591943494</v>
      </c>
      <c r="AM7317">
        <v>90.535476817562696</v>
      </c>
      <c r="AN7317">
        <v>1.0000000171947201</v>
      </c>
    </row>
    <row r="7318" spans="1:40" x14ac:dyDescent="0.25">
      <c r="A7318" t="str">
        <f>"20190303154325635"</f>
        <v>20190303154325635</v>
      </c>
      <c r="B7318" t="str">
        <f>"1551599005627977"</f>
        <v>1551599005627977</v>
      </c>
      <c r="C7318" t="s">
        <v>40</v>
      </c>
      <c r="D7318">
        <v>5.6210060000000004</v>
      </c>
      <c r="E7318">
        <v>0.48952610000000002</v>
      </c>
      <c r="F7318" t="s">
        <v>41</v>
      </c>
      <c r="G7318">
        <v>-301.36059999999998</v>
      </c>
      <c r="H7318" s="1">
        <v>-4.133064E-7</v>
      </c>
      <c r="I7318">
        <v>-40.291310000000003</v>
      </c>
      <c r="J7318">
        <v>-301.56319999999999</v>
      </c>
      <c r="K7318">
        <v>1.12124</v>
      </c>
      <c r="L7318">
        <v>-29.781040000000001</v>
      </c>
      <c r="M7318">
        <v>-1.833042E-2</v>
      </c>
      <c r="N7318">
        <v>-1.388409E-2</v>
      </c>
      <c r="O7318">
        <v>-0.99973590000000001</v>
      </c>
      <c r="P7318">
        <v>-8.9005409999999997E-3</v>
      </c>
      <c r="Q7318">
        <v>-9.214522E-2</v>
      </c>
      <c r="R7318">
        <v>-0.99570630000000004</v>
      </c>
      <c r="S7318">
        <v>5.5938719999999997E-2</v>
      </c>
      <c r="T7318">
        <v>-0.31366529999999998</v>
      </c>
      <c r="U7318">
        <v>-2.9844360000000001</v>
      </c>
      <c r="V7318">
        <v>-9.3421879999999995E-3</v>
      </c>
      <c r="W7318">
        <v>-7.8313399999999894E-2</v>
      </c>
      <c r="X7318">
        <v>0.99688500000000002</v>
      </c>
      <c r="Y7318">
        <v>-3.6958310000000001E-2</v>
      </c>
      <c r="Z7318">
        <v>9.0633060000000001E-2</v>
      </c>
      <c r="AA7318">
        <v>0.99519829999999998</v>
      </c>
      <c r="AB7318">
        <v>16</v>
      </c>
      <c r="AC7318">
        <v>0.20260000000001799</v>
      </c>
      <c r="AD7318">
        <v>-1.12124041330639</v>
      </c>
      <c r="AE7318">
        <v>-10.510269999999901</v>
      </c>
      <c r="AF7318">
        <v>-0.39079623615644199</v>
      </c>
      <c r="AG7318">
        <v>-1.12124041330639</v>
      </c>
      <c r="AH7318">
        <v>10.3866262855749</v>
      </c>
      <c r="AI7318">
        <v>96.156920111884702</v>
      </c>
      <c r="AJ7318">
        <v>92.154734126817203</v>
      </c>
      <c r="AK7318">
        <v>10.454276988812801</v>
      </c>
      <c r="AL7318">
        <v>94.491626556217199</v>
      </c>
      <c r="AM7318">
        <v>90.536924795812894</v>
      </c>
      <c r="AN7318">
        <v>0.99999998416059299</v>
      </c>
    </row>
    <row r="7319" spans="1:40" x14ac:dyDescent="0.25">
      <c r="A7319" t="str">
        <f>"20190303154325658"</f>
        <v>20190303154325658</v>
      </c>
      <c r="B7319" t="str">
        <f>"1551599005647497"</f>
        <v>1551599005647497</v>
      </c>
      <c r="C7319" t="s">
        <v>40</v>
      </c>
      <c r="D7319">
        <v>5.6175829999999998</v>
      </c>
      <c r="E7319">
        <v>0.48943829999999999</v>
      </c>
      <c r="F7319" t="s">
        <v>58</v>
      </c>
      <c r="G7319">
        <v>-301.36180000000002</v>
      </c>
      <c r="H7319" s="1">
        <v>-3.9211900000000002E-7</v>
      </c>
      <c r="I7319">
        <v>-40.436360000000001</v>
      </c>
      <c r="J7319">
        <v>-301.56599999999997</v>
      </c>
      <c r="K7319">
        <v>1.1212390000000001</v>
      </c>
      <c r="L7319">
        <v>-29.942540000000001</v>
      </c>
      <c r="M7319">
        <v>-1.8152749999999999E-2</v>
      </c>
      <c r="N7319">
        <v>-1.388026E-2</v>
      </c>
      <c r="O7319">
        <v>-0.99973920000000005</v>
      </c>
      <c r="P7319">
        <v>-8.6601769999999998E-3</v>
      </c>
      <c r="Q7319">
        <v>-9.1879310000000006E-2</v>
      </c>
      <c r="R7319">
        <v>-0.99573319999999998</v>
      </c>
      <c r="S7319">
        <v>5.6426999999999998E-2</v>
      </c>
      <c r="T7319">
        <v>-0.31404070000000001</v>
      </c>
      <c r="U7319">
        <v>-2.984375</v>
      </c>
      <c r="V7319">
        <v>-9.4060810000000002E-3</v>
      </c>
      <c r="W7319">
        <v>-7.8050990000000001E-2</v>
      </c>
      <c r="X7319">
        <v>0.99690500000000004</v>
      </c>
      <c r="Y7319">
        <v>-3.6943629999999998E-2</v>
      </c>
      <c r="Z7319">
        <v>9.0763170000000004E-2</v>
      </c>
      <c r="AA7319">
        <v>0.99518700000000004</v>
      </c>
      <c r="AB7319">
        <v>16</v>
      </c>
      <c r="AC7319">
        <v>0.204199999999957</v>
      </c>
      <c r="AD7319">
        <v>-1.12123939211899</v>
      </c>
      <c r="AE7319">
        <v>-10.493819999999999</v>
      </c>
      <c r="AF7319">
        <v>-0.39022306886045999</v>
      </c>
      <c r="AG7319">
        <v>-1.12123939211899</v>
      </c>
      <c r="AH7319">
        <v>10.370039614349</v>
      </c>
      <c r="AI7319">
        <v>96.166685464711094</v>
      </c>
      <c r="AJ7319">
        <v>92.155014987308604</v>
      </c>
      <c r="AK7319">
        <v>10.437776268012099</v>
      </c>
      <c r="AL7319">
        <v>94.476545313927403</v>
      </c>
      <c r="AM7319">
        <v>90.540585864530001</v>
      </c>
      <c r="AN7319">
        <v>1.0000000052123701</v>
      </c>
    </row>
    <row r="7320" spans="1:40" x14ac:dyDescent="0.25">
      <c r="A7320" t="str">
        <f>"20190303154325685"</f>
        <v>20190303154325685</v>
      </c>
      <c r="B7320" t="str">
        <f>"1551599005677753"</f>
        <v>1551599005677753</v>
      </c>
      <c r="C7320" t="s">
        <v>40</v>
      </c>
      <c r="D7320">
        <v>5.6020919999999998</v>
      </c>
      <c r="E7320">
        <v>0.48941810000000002</v>
      </c>
      <c r="F7320" t="s">
        <v>58</v>
      </c>
      <c r="G7320">
        <v>-301.35829999999999</v>
      </c>
      <c r="H7320" s="1">
        <v>-4.7382770000000002E-7</v>
      </c>
      <c r="I7320">
        <v>-40.652670000000001</v>
      </c>
      <c r="J7320">
        <v>-301.56920000000002</v>
      </c>
      <c r="K7320">
        <v>1.121235</v>
      </c>
      <c r="L7320">
        <v>-30.131589999999999</v>
      </c>
      <c r="M7320">
        <v>-1.7944379999999999E-2</v>
      </c>
      <c r="N7320">
        <v>-1.3875719999999999E-2</v>
      </c>
      <c r="O7320">
        <v>-0.99974280000000004</v>
      </c>
      <c r="P7320">
        <v>-8.3332670000000001E-3</v>
      </c>
      <c r="Q7320">
        <v>-9.1764890000000002E-2</v>
      </c>
      <c r="R7320">
        <v>-0.99574600000000002</v>
      </c>
      <c r="S7320">
        <v>5.7861330000000002E-2</v>
      </c>
      <c r="T7320">
        <v>-0.31244909999999998</v>
      </c>
      <c r="U7320">
        <v>-2.9845280000000001</v>
      </c>
      <c r="V7320">
        <v>-9.5259530000000002E-3</v>
      </c>
      <c r="W7320">
        <v>-7.7940990000000002E-2</v>
      </c>
      <c r="X7320">
        <v>0.99691249999999998</v>
      </c>
      <c r="Y7320">
        <v>-3.7213330000000003E-2</v>
      </c>
      <c r="Z7320">
        <v>9.0237020000000001E-2</v>
      </c>
      <c r="AA7320">
        <v>0.99522480000000002</v>
      </c>
      <c r="AB7320">
        <v>16</v>
      </c>
      <c r="AC7320">
        <v>0.210900000000037</v>
      </c>
      <c r="AD7320">
        <v>-1.1212354738276999</v>
      </c>
      <c r="AE7320">
        <v>-10.5210799999999</v>
      </c>
      <c r="AF7320">
        <v>-0.39519196222492498</v>
      </c>
      <c r="AG7320">
        <v>-1.1212354738276999</v>
      </c>
      <c r="AH7320">
        <v>10.3975605889208</v>
      </c>
      <c r="AI7320">
        <v>96.150379805438206</v>
      </c>
      <c r="AJ7320">
        <v>92.176658395959507</v>
      </c>
      <c r="AK7320">
        <v>10.4653051496388</v>
      </c>
      <c r="AL7320">
        <v>94.470223376766498</v>
      </c>
      <c r="AM7320">
        <v>90.547470607507293</v>
      </c>
      <c r="AN7320">
        <v>1.0000000371794899</v>
      </c>
    </row>
    <row r="7321" spans="1:40" x14ac:dyDescent="0.25">
      <c r="A7321" t="str">
        <f>"20190303154325705"</f>
        <v>20190303154325705</v>
      </c>
      <c r="B7321" t="str">
        <f>"1551599005697272"</f>
        <v>1551599005697272</v>
      </c>
      <c r="C7321" t="s">
        <v>40</v>
      </c>
      <c r="D7321">
        <v>5.6003769999999999</v>
      </c>
      <c r="E7321">
        <v>0.48944989999999999</v>
      </c>
      <c r="F7321" t="s">
        <v>58</v>
      </c>
      <c r="G7321">
        <v>-301.35700000000003</v>
      </c>
      <c r="H7321" s="1">
        <v>-5.4991200000000003E-7</v>
      </c>
      <c r="I7321">
        <v>-40.852780000000003</v>
      </c>
      <c r="J7321">
        <v>-301.57150000000001</v>
      </c>
      <c r="K7321">
        <v>1.121238</v>
      </c>
      <c r="L7321">
        <v>-30.271820000000002</v>
      </c>
      <c r="M7321">
        <v>-1.7789920000000001E-2</v>
      </c>
      <c r="N7321">
        <v>-1.387238E-2</v>
      </c>
      <c r="O7321">
        <v>-0.99974569999999996</v>
      </c>
      <c r="P7321">
        <v>-8.2829970000000003E-3</v>
      </c>
      <c r="Q7321">
        <v>-9.1357110000000005E-2</v>
      </c>
      <c r="R7321">
        <v>-0.995784</v>
      </c>
      <c r="S7321">
        <v>5.9051510000000001E-2</v>
      </c>
      <c r="T7321">
        <v>-0.31212879999999998</v>
      </c>
      <c r="U7321">
        <v>-2.9845579999999998</v>
      </c>
      <c r="V7321">
        <v>-9.4230979999999995E-3</v>
      </c>
      <c r="W7321">
        <v>-7.7536019999999997E-2</v>
      </c>
      <c r="X7321">
        <v>0.99694499999999997</v>
      </c>
      <c r="Y7321">
        <v>-3.7455490000000001E-2</v>
      </c>
      <c r="Z7321">
        <v>9.0133169999999999E-2</v>
      </c>
      <c r="AA7321">
        <v>0.99522509999999997</v>
      </c>
      <c r="AB7321">
        <v>16</v>
      </c>
      <c r="AC7321">
        <v>0.21449999999998601</v>
      </c>
      <c r="AD7321">
        <v>-1.1212385499119999</v>
      </c>
      <c r="AE7321">
        <v>-10.5809599999999</v>
      </c>
      <c r="AF7321">
        <v>-0.398248414345858</v>
      </c>
      <c r="AG7321">
        <v>-1.1212385499119999</v>
      </c>
      <c r="AH7321">
        <v>10.458082040362299</v>
      </c>
      <c r="AI7321">
        <v>96.115057672100207</v>
      </c>
      <c r="AJ7321">
        <v>92.180795029738903</v>
      </c>
      <c r="AK7321">
        <v>10.5255526053641</v>
      </c>
      <c r="AL7321">
        <v>94.446950124874107</v>
      </c>
      <c r="AM7321">
        <v>90.541542078952105</v>
      </c>
      <c r="AN7321">
        <v>0.99999998109917798</v>
      </c>
    </row>
    <row r="7322" spans="1:40" x14ac:dyDescent="0.25">
      <c r="A7322" t="str">
        <f>"20190303154325726"</f>
        <v>20190303154325726</v>
      </c>
      <c r="B7322" t="str">
        <f>"1551599005717769"</f>
        <v>1551599005717769</v>
      </c>
      <c r="C7322" t="s">
        <v>40</v>
      </c>
      <c r="D7322">
        <v>5.5879940000000001</v>
      </c>
      <c r="E7322">
        <v>0.4894076</v>
      </c>
      <c r="F7322" t="s">
        <v>58</v>
      </c>
      <c r="G7322">
        <v>-301.35919999999999</v>
      </c>
      <c r="H7322" s="1">
        <v>-6.2366800000000002E-7</v>
      </c>
      <c r="I7322">
        <v>-41.044359999999998</v>
      </c>
      <c r="J7322">
        <v>-301.57389999999998</v>
      </c>
      <c r="K7322">
        <v>1.121245</v>
      </c>
      <c r="L7322">
        <v>-30.42126</v>
      </c>
      <c r="M7322">
        <v>-1.762557E-2</v>
      </c>
      <c r="N7322">
        <v>-1.3868800000000001E-2</v>
      </c>
      <c r="O7322">
        <v>-0.99974879999999999</v>
      </c>
      <c r="P7322">
        <v>-8.6841290000000005E-3</v>
      </c>
      <c r="Q7322">
        <v>-9.0627559999999996E-2</v>
      </c>
      <c r="R7322">
        <v>-0.9958475</v>
      </c>
      <c r="S7322">
        <v>5.8807369999999998E-2</v>
      </c>
      <c r="T7322">
        <v>-0.31065789999999999</v>
      </c>
      <c r="U7322">
        <v>-2.9847109999999999</v>
      </c>
      <c r="V7322">
        <v>-8.8597959999999996E-3</v>
      </c>
      <c r="W7322">
        <v>-7.6809000000000002E-2</v>
      </c>
      <c r="X7322">
        <v>0.99700650000000002</v>
      </c>
      <c r="Y7322">
        <v>-3.721004E-2</v>
      </c>
      <c r="Z7322">
        <v>8.9647329999999997E-2</v>
      </c>
      <c r="AA7322">
        <v>0.9952782</v>
      </c>
      <c r="AB7322">
        <v>16</v>
      </c>
      <c r="AC7322">
        <v>0.21469999999999301</v>
      </c>
      <c r="AD7322">
        <v>-1.121245623668</v>
      </c>
      <c r="AE7322">
        <v>-10.623100000000001</v>
      </c>
      <c r="AF7322">
        <v>-0.39749633961248598</v>
      </c>
      <c r="AG7322">
        <v>-1.121245623668</v>
      </c>
      <c r="AH7322">
        <v>10.5007308011151</v>
      </c>
      <c r="AI7322">
        <v>96.0904983740174</v>
      </c>
      <c r="AJ7322">
        <v>92.167848513458907</v>
      </c>
      <c r="AK7322">
        <v>10.567901515726099</v>
      </c>
      <c r="AL7322">
        <v>94.405170089092707</v>
      </c>
      <c r="AM7322">
        <v>90.509139666213898</v>
      </c>
      <c r="AN7322">
        <v>1.0000000397541999</v>
      </c>
    </row>
    <row r="7323" spans="1:40" x14ac:dyDescent="0.25">
      <c r="A7323" t="str">
        <f>"20190303154325748"</f>
        <v>20190303154325748</v>
      </c>
      <c r="B7323" t="str">
        <f>"1551599005737289"</f>
        <v>1551599005737289</v>
      </c>
      <c r="C7323" t="s">
        <v>40</v>
      </c>
      <c r="D7323">
        <v>5.5935800000000002</v>
      </c>
      <c r="E7323">
        <v>0.4893422</v>
      </c>
      <c r="F7323" t="s">
        <v>58</v>
      </c>
      <c r="G7323">
        <v>-301.363</v>
      </c>
      <c r="H7323" s="1">
        <v>-7.5489039999999997E-7</v>
      </c>
      <c r="I7323">
        <v>-41.265949999999997</v>
      </c>
      <c r="J7323">
        <v>-301.57650000000001</v>
      </c>
      <c r="K7323">
        <v>1.1212439999999999</v>
      </c>
      <c r="L7323">
        <v>-30.574860000000001</v>
      </c>
      <c r="M7323">
        <v>-1.7457239999999999E-2</v>
      </c>
      <c r="N7323">
        <v>-1.386505E-2</v>
      </c>
      <c r="O7323">
        <v>-0.99975159999999996</v>
      </c>
      <c r="P7323">
        <v>-9.2664700000000006E-3</v>
      </c>
      <c r="Q7323">
        <v>-9.0130650000000007E-2</v>
      </c>
      <c r="R7323">
        <v>-0.99588690000000002</v>
      </c>
      <c r="S7323">
        <v>5.8044430000000001E-2</v>
      </c>
      <c r="T7323">
        <v>-0.30861519999999998</v>
      </c>
      <c r="U7323">
        <v>-2.9849239999999999</v>
      </c>
      <c r="V7323">
        <v>-8.1103789999999992E-3</v>
      </c>
      <c r="W7323">
        <v>-7.6315079999999993E-2</v>
      </c>
      <c r="X7323">
        <v>0.99705080000000001</v>
      </c>
      <c r="Y7323">
        <v>-3.6787790000000001E-2</v>
      </c>
      <c r="Z7323">
        <v>8.8971389999999997E-2</v>
      </c>
      <c r="AA7323">
        <v>0.99535459999999998</v>
      </c>
      <c r="AB7323">
        <v>16</v>
      </c>
      <c r="AC7323">
        <v>0.21350000000000999</v>
      </c>
      <c r="AD7323">
        <v>-1.1212447548903901</v>
      </c>
      <c r="AE7323">
        <v>-10.691090000000001</v>
      </c>
      <c r="AF7323">
        <v>-0.39577091497072903</v>
      </c>
      <c r="AG7323">
        <v>-1.1212447548903901</v>
      </c>
      <c r="AH7323">
        <v>10.569524165129501</v>
      </c>
      <c r="AI7323">
        <v>96.051240344239304</v>
      </c>
      <c r="AJ7323">
        <v>92.144411960081996</v>
      </c>
      <c r="AK7323">
        <v>10.6361960067856</v>
      </c>
      <c r="AL7323">
        <v>94.376787276162901</v>
      </c>
      <c r="AM7323">
        <v>90.466054726751807</v>
      </c>
      <c r="AN7323">
        <v>1.00000003373178</v>
      </c>
    </row>
    <row r="7324" spans="1:40" x14ac:dyDescent="0.25">
      <c r="A7324" t="str">
        <f>"20190303154325769"</f>
        <v>20190303154325769</v>
      </c>
      <c r="B7324" t="str">
        <f>"1551599005757785"</f>
        <v>1551599005757785</v>
      </c>
      <c r="C7324" t="s">
        <v>40</v>
      </c>
      <c r="D7324">
        <v>5.5994279999999996</v>
      </c>
      <c r="E7324">
        <v>0.48935869999999998</v>
      </c>
      <c r="F7324" t="s">
        <v>58</v>
      </c>
      <c r="G7324">
        <v>-301.37</v>
      </c>
      <c r="H7324" s="1">
        <v>-8.6255899999999898E-7</v>
      </c>
      <c r="I7324">
        <v>-41.433810000000001</v>
      </c>
      <c r="J7324">
        <v>-301.57900000000001</v>
      </c>
      <c r="K7324">
        <v>1.1212500000000001</v>
      </c>
      <c r="L7324">
        <v>-30.730160000000001</v>
      </c>
      <c r="M7324">
        <v>-1.7286880000000001E-2</v>
      </c>
      <c r="N7324">
        <v>-1.3861210000000001E-2</v>
      </c>
      <c r="O7324">
        <v>-0.9997547</v>
      </c>
      <c r="P7324">
        <v>-9.1116430000000009E-3</v>
      </c>
      <c r="Q7324">
        <v>-9.0081499999999995E-2</v>
      </c>
      <c r="R7324">
        <v>-0.99589309999999998</v>
      </c>
      <c r="S7324">
        <v>5.6762699999999902E-2</v>
      </c>
      <c r="T7324">
        <v>-0.30821880000000001</v>
      </c>
      <c r="U7324">
        <v>-2.9850159999999999</v>
      </c>
      <c r="V7324">
        <v>-8.0956699999999993E-3</v>
      </c>
      <c r="W7324">
        <v>-7.6269690000000001E-2</v>
      </c>
      <c r="X7324">
        <v>0.99705429999999995</v>
      </c>
      <c r="Y7324">
        <v>-3.6190409999999999E-2</v>
      </c>
      <c r="Z7324">
        <v>8.884338E-2</v>
      </c>
      <c r="AA7324">
        <v>0.99538789999999999</v>
      </c>
      <c r="AB7324">
        <v>16</v>
      </c>
      <c r="AC7324">
        <v>0.20900000000000299</v>
      </c>
      <c r="AD7324">
        <v>-1.1212508625589901</v>
      </c>
      <c r="AE7324">
        <v>-10.70365</v>
      </c>
      <c r="AF7324">
        <v>-0.38974402199105501</v>
      </c>
      <c r="AG7324">
        <v>-1.1212508625589901</v>
      </c>
      <c r="AH7324">
        <v>10.5823566231304</v>
      </c>
      <c r="AI7324">
        <v>96.044126284368701</v>
      </c>
      <c r="AJ7324">
        <v>92.109227647358594</v>
      </c>
      <c r="AK7324">
        <v>10.648726477780301</v>
      </c>
      <c r="AL7324">
        <v>94.374179424050396</v>
      </c>
      <c r="AM7324">
        <v>90.465207893152396</v>
      </c>
      <c r="AN7324">
        <v>0.99999994131696501</v>
      </c>
    </row>
    <row r="7325" spans="1:40" x14ac:dyDescent="0.25">
      <c r="A7325" t="str">
        <f>"20190303154325792"</f>
        <v>20190303154325792</v>
      </c>
      <c r="B7325" t="str">
        <f>"1551599005788041"</f>
        <v>1551599005788041</v>
      </c>
      <c r="C7325" t="s">
        <v>40</v>
      </c>
      <c r="D7325">
        <v>5.6208099999999996</v>
      </c>
      <c r="E7325">
        <v>0.48942360000000001</v>
      </c>
      <c r="F7325" t="s">
        <v>58</v>
      </c>
      <c r="G7325">
        <v>-301.37130000000002</v>
      </c>
      <c r="H7325" s="1">
        <v>-9.5597900000000009E-7</v>
      </c>
      <c r="I7325">
        <v>-41.580489999999998</v>
      </c>
      <c r="J7325">
        <v>-301.58150000000001</v>
      </c>
      <c r="K7325">
        <v>1.1212569999999999</v>
      </c>
      <c r="L7325">
        <v>-30.889559999999999</v>
      </c>
      <c r="M7325">
        <v>-1.7112269999999999E-2</v>
      </c>
      <c r="N7325">
        <v>-1.385726E-2</v>
      </c>
      <c r="O7325">
        <v>-0.99975760000000002</v>
      </c>
      <c r="P7325">
        <v>-8.3954709999999998E-3</v>
      </c>
      <c r="Q7325">
        <v>-8.9622370000000007E-2</v>
      </c>
      <c r="R7325">
        <v>-0.99594059999999995</v>
      </c>
      <c r="S7325">
        <v>5.7128909999999998E-2</v>
      </c>
      <c r="T7325">
        <v>-0.30846240000000003</v>
      </c>
      <c r="U7325">
        <v>-2.984985</v>
      </c>
      <c r="V7325">
        <v>-8.6389129999999998E-3</v>
      </c>
      <c r="W7325">
        <v>-7.5814119999999999E-2</v>
      </c>
      <c r="X7325">
        <v>0.99708459999999999</v>
      </c>
      <c r="Y7325">
        <v>-3.6138030000000002E-2</v>
      </c>
      <c r="Z7325">
        <v>8.8929179999999997E-2</v>
      </c>
      <c r="AA7325">
        <v>0.99538219999999999</v>
      </c>
      <c r="AB7325">
        <v>16</v>
      </c>
      <c r="AC7325">
        <v>0.21019999999998601</v>
      </c>
      <c r="AD7325">
        <v>-1.1212579559789999</v>
      </c>
      <c r="AE7325">
        <v>-10.69093</v>
      </c>
      <c r="AF7325">
        <v>-0.388857200961372</v>
      </c>
      <c r="AG7325">
        <v>-1.1212579559789999</v>
      </c>
      <c r="AH7325">
        <v>10.5695501720708</v>
      </c>
      <c r="AI7325">
        <v>96.051441932990997</v>
      </c>
      <c r="AJ7325">
        <v>92.106980154786697</v>
      </c>
      <c r="AK7325">
        <v>10.6359682289159</v>
      </c>
      <c r="AL7325">
        <v>94.348000890932099</v>
      </c>
      <c r="AM7325">
        <v>90.496408097674603</v>
      </c>
      <c r="AN7325">
        <v>1.0000000555831701</v>
      </c>
    </row>
    <row r="7326" spans="1:40" x14ac:dyDescent="0.25">
      <c r="A7326" t="str">
        <f>"20190303154325816"</f>
        <v>20190303154325816</v>
      </c>
      <c r="B7326" t="str">
        <f>"1551599005807561"</f>
        <v>1551599005807561</v>
      </c>
      <c r="C7326" t="s">
        <v>40</v>
      </c>
      <c r="D7326">
        <v>5.5799099999999999</v>
      </c>
      <c r="E7326">
        <v>0.48947629999999998</v>
      </c>
      <c r="F7326" t="s">
        <v>58</v>
      </c>
      <c r="G7326">
        <v>-301.36759999999998</v>
      </c>
      <c r="H7326" s="1">
        <v>-1.0734190000000001E-6</v>
      </c>
      <c r="I7326">
        <v>-41.766080000000002</v>
      </c>
      <c r="J7326">
        <v>-301.58409999999998</v>
      </c>
      <c r="K7326">
        <v>1.1212569999999999</v>
      </c>
      <c r="L7326">
        <v>-31.05237</v>
      </c>
      <c r="M7326">
        <v>-1.6933500000000001E-2</v>
      </c>
      <c r="N7326">
        <v>-1.3853280000000001E-2</v>
      </c>
      <c r="O7326">
        <v>-0.99976089999999995</v>
      </c>
      <c r="P7326">
        <v>-7.4885139999999999E-3</v>
      </c>
      <c r="Q7326">
        <v>-8.9068899999999895E-2</v>
      </c>
      <c r="R7326">
        <v>-0.99599760000000004</v>
      </c>
      <c r="S7326">
        <v>5.8715820000000002E-2</v>
      </c>
      <c r="T7326">
        <v>-0.30772769999999999</v>
      </c>
      <c r="U7326">
        <v>-2.9850460000000001</v>
      </c>
      <c r="V7326">
        <v>-9.3691139999999996E-3</v>
      </c>
      <c r="W7326">
        <v>-7.5264129999999999E-2</v>
      </c>
      <c r="X7326">
        <v>0.99711959999999999</v>
      </c>
      <c r="Y7326">
        <v>-3.6488119999999999E-2</v>
      </c>
      <c r="Z7326">
        <v>8.8687909999999995E-2</v>
      </c>
      <c r="AA7326">
        <v>0.99539089999999997</v>
      </c>
      <c r="AB7326">
        <v>16</v>
      </c>
      <c r="AC7326">
        <v>0.216499999999996</v>
      </c>
      <c r="AD7326">
        <v>-1.1212580734190001</v>
      </c>
      <c r="AE7326">
        <v>-10.713710000000001</v>
      </c>
      <c r="AF7326">
        <v>-0.39359762627084199</v>
      </c>
      <c r="AG7326">
        <v>-1.1212580734190001</v>
      </c>
      <c r="AH7326">
        <v>10.592534875087001</v>
      </c>
      <c r="AI7326">
        <v>96.038327303758194</v>
      </c>
      <c r="AJ7326">
        <v>92.128018702265393</v>
      </c>
      <c r="AK7326">
        <v>10.6589837150897</v>
      </c>
      <c r="AL7326">
        <v>94.3163988066797</v>
      </c>
      <c r="AM7326">
        <v>90.538345543304601</v>
      </c>
      <c r="AN7326">
        <v>0.99999998313298</v>
      </c>
    </row>
    <row r="7327" spans="1:40" x14ac:dyDescent="0.25">
      <c r="A7327" t="str">
        <f>"20190303154325837"</f>
        <v>20190303154325837</v>
      </c>
      <c r="B7327" t="str">
        <f>"1551599005828057"</f>
        <v>1551599005828057</v>
      </c>
      <c r="C7327" t="s">
        <v>40</v>
      </c>
      <c r="D7327">
        <v>5.5909659999999999</v>
      </c>
      <c r="E7327">
        <v>0.48953980000000002</v>
      </c>
      <c r="F7327" t="s">
        <v>58</v>
      </c>
      <c r="G7327">
        <v>-301.36070000000001</v>
      </c>
      <c r="H7327" s="1">
        <v>-1.2052520000000001E-6</v>
      </c>
      <c r="I7327">
        <v>-41.974989999999998</v>
      </c>
      <c r="J7327">
        <v>-301.58640000000003</v>
      </c>
      <c r="K7327">
        <v>1.121256</v>
      </c>
      <c r="L7327">
        <v>-31.204219999999999</v>
      </c>
      <c r="M7327">
        <v>-1.676648E-2</v>
      </c>
      <c r="N7327">
        <v>-1.384961E-2</v>
      </c>
      <c r="O7327">
        <v>-0.99976350000000003</v>
      </c>
      <c r="P7327">
        <v>-6.4814579999999998E-3</v>
      </c>
      <c r="Q7327">
        <v>-8.8727459999999994E-2</v>
      </c>
      <c r="R7327">
        <v>-0.996035</v>
      </c>
      <c r="S7327">
        <v>6.1065670000000002E-2</v>
      </c>
      <c r="T7327">
        <v>-0.30643510000000002</v>
      </c>
      <c r="U7327">
        <v>-2.9851070000000002</v>
      </c>
      <c r="V7327">
        <v>-1.020999E-2</v>
      </c>
      <c r="W7327">
        <v>-7.4926209999999993E-2</v>
      </c>
      <c r="X7327">
        <v>0.99713680000000005</v>
      </c>
      <c r="Y7327">
        <v>-3.7104409999999997E-2</v>
      </c>
      <c r="Z7327">
        <v>8.8261370000000006E-2</v>
      </c>
      <c r="AA7327">
        <v>0.99540600000000001</v>
      </c>
      <c r="AB7327">
        <v>16</v>
      </c>
      <c r="AC7327">
        <v>0.225700000000017</v>
      </c>
      <c r="AD7327">
        <v>-1.121257205252</v>
      </c>
      <c r="AE7327">
        <v>-10.770770000000001</v>
      </c>
      <c r="AF7327">
        <v>-0.40191971954442002</v>
      </c>
      <c r="AG7327">
        <v>-1.121257205252</v>
      </c>
      <c r="AH7327">
        <v>10.650104505704901</v>
      </c>
      <c r="AI7327">
        <v>96.005792011751296</v>
      </c>
      <c r="AJ7327">
        <v>92.161235192759193</v>
      </c>
      <c r="AK7327">
        <v>10.7165051749031</v>
      </c>
      <c r="AL7327">
        <v>94.296982565380404</v>
      </c>
      <c r="AM7327">
        <v>90.586648585293503</v>
      </c>
      <c r="AN7327">
        <v>0.99999998937750201</v>
      </c>
    </row>
    <row r="7328" spans="1:40" x14ac:dyDescent="0.25">
      <c r="A7328" t="str">
        <f>"20190303154325871"</f>
        <v>20190303154325871</v>
      </c>
      <c r="B7328" t="str">
        <f>"1551599005868072"</f>
        <v>1551599005868072</v>
      </c>
      <c r="C7328" t="s">
        <v>40</v>
      </c>
      <c r="D7328">
        <v>5.5902479999999999</v>
      </c>
      <c r="E7328">
        <v>0.48959619999999998</v>
      </c>
      <c r="F7328" t="s">
        <v>58</v>
      </c>
      <c r="G7328">
        <v>-301.3528</v>
      </c>
      <c r="H7328" s="1">
        <v>-1.32022699999999E-6</v>
      </c>
      <c r="I7328">
        <v>-42.157589999999999</v>
      </c>
      <c r="J7328">
        <v>-301.58999999999997</v>
      </c>
      <c r="K7328">
        <v>1.1212610000000001</v>
      </c>
      <c r="L7328">
        <v>-31.436579999999999</v>
      </c>
      <c r="M7328">
        <v>-1.6510319999999998E-2</v>
      </c>
      <c r="N7328">
        <v>-1.3843950000000001E-2</v>
      </c>
      <c r="O7328">
        <v>-0.99976810000000005</v>
      </c>
      <c r="P7328">
        <v>-5.4340409999999997E-3</v>
      </c>
      <c r="Q7328">
        <v>-8.9113789999999998E-2</v>
      </c>
      <c r="R7328">
        <v>-0.99600710000000003</v>
      </c>
      <c r="S7328">
        <v>6.3659670000000002E-2</v>
      </c>
      <c r="T7328">
        <v>-0.30557780000000001</v>
      </c>
      <c r="U7328">
        <v>-2.9851380000000001</v>
      </c>
      <c r="V7328">
        <v>-1.100132E-2</v>
      </c>
      <c r="W7328">
        <v>-7.5318830000000003E-2</v>
      </c>
      <c r="X7328">
        <v>0.99709879999999995</v>
      </c>
      <c r="Y7328">
        <v>-3.7712870000000003E-2</v>
      </c>
      <c r="Z7328">
        <v>8.7981569999999995E-2</v>
      </c>
      <c r="AA7328">
        <v>0.99540790000000001</v>
      </c>
      <c r="AB7328">
        <v>16</v>
      </c>
      <c r="AC7328">
        <v>0.23719999999997299</v>
      </c>
      <c r="AD7328">
        <v>-1.121262320227</v>
      </c>
      <c r="AE7328">
        <v>-10.72101</v>
      </c>
      <c r="AF7328">
        <v>-0.40971259190174902</v>
      </c>
      <c r="AG7328">
        <v>-1.121262320227</v>
      </c>
      <c r="AH7328">
        <v>10.5997470967861</v>
      </c>
      <c r="AI7328">
        <v>96.033932805572704</v>
      </c>
      <c r="AJ7328">
        <v>92.213554877713506</v>
      </c>
      <c r="AK7328">
        <v>10.6667582758094</v>
      </c>
      <c r="AL7328">
        <v>94.319541794320301</v>
      </c>
      <c r="AM7328">
        <v>90.632137586932103</v>
      </c>
      <c r="AN7328">
        <v>0.99999998607787499</v>
      </c>
    </row>
    <row r="7329" spans="1:40" x14ac:dyDescent="0.25">
      <c r="A7329" t="str">
        <f>"20190303154325897"</f>
        <v>20190303154325897</v>
      </c>
      <c r="B7329" t="str">
        <f>"1551599005887593"</f>
        <v>1551599005887593</v>
      </c>
      <c r="C7329" t="s">
        <v>40</v>
      </c>
      <c r="D7329">
        <v>5.5479059999999896</v>
      </c>
      <c r="E7329">
        <v>0.48970390000000003</v>
      </c>
      <c r="F7329" t="s">
        <v>58</v>
      </c>
      <c r="G7329">
        <v>-301.34809999999999</v>
      </c>
      <c r="H7329" s="1">
        <v>-1.424673E-6</v>
      </c>
      <c r="I7329">
        <v>-42.322960000000002</v>
      </c>
      <c r="J7329">
        <v>-301.59269999999998</v>
      </c>
      <c r="K7329">
        <v>1.1212629999999999</v>
      </c>
      <c r="L7329">
        <v>-31.614319999999999</v>
      </c>
      <c r="M7329">
        <v>-1.631469E-2</v>
      </c>
      <c r="N7329">
        <v>-1.3839600000000001E-2</v>
      </c>
      <c r="O7329">
        <v>-0.99977139999999998</v>
      </c>
      <c r="P7329">
        <v>-5.0846720000000001E-3</v>
      </c>
      <c r="Q7329">
        <v>-8.9494770000000001E-2</v>
      </c>
      <c r="R7329">
        <v>-0.99597460000000004</v>
      </c>
      <c r="S7329">
        <v>6.6345210000000002E-2</v>
      </c>
      <c r="T7329">
        <v>-0.307434599999999</v>
      </c>
      <c r="U7329">
        <v>-2.9848940000000002</v>
      </c>
      <c r="V7329">
        <v>-1.115552E-2</v>
      </c>
      <c r="W7329">
        <v>-7.5704629999999995E-2</v>
      </c>
      <c r="X7329">
        <v>0.99706790000000001</v>
      </c>
      <c r="Y7329">
        <v>-3.8412259999999997E-2</v>
      </c>
      <c r="Z7329">
        <v>8.8604950000000002E-2</v>
      </c>
      <c r="AA7329">
        <v>0.99532589999999999</v>
      </c>
      <c r="AB7329">
        <v>16</v>
      </c>
      <c r="AC7329">
        <v>0.24459999999999099</v>
      </c>
      <c r="AD7329">
        <v>-1.1212644246729999</v>
      </c>
      <c r="AE7329">
        <v>-10.7086399999999</v>
      </c>
      <c r="AF7329">
        <v>-0.41474757086368802</v>
      </c>
      <c r="AG7329">
        <v>-1.1212644246729999</v>
      </c>
      <c r="AH7329">
        <v>10.5872116296702</v>
      </c>
      <c r="AI7329">
        <v>96.040914092045796</v>
      </c>
      <c r="AJ7329">
        <v>92.243380165795301</v>
      </c>
      <c r="AK7329">
        <v>10.6544966821056</v>
      </c>
      <c r="AL7329">
        <v>94.341709663908006</v>
      </c>
      <c r="AM7329">
        <v>90.6410170725364</v>
      </c>
      <c r="AN7329">
        <v>1.0000000169201499</v>
      </c>
    </row>
    <row r="7330" spans="1:40" x14ac:dyDescent="0.25">
      <c r="A7330" t="str">
        <f>"20190303154325918"</f>
        <v>20190303154325918</v>
      </c>
      <c r="B7330" t="str">
        <f>"1551599005908089"</f>
        <v>1551599005908089</v>
      </c>
      <c r="C7330" t="s">
        <v>40</v>
      </c>
      <c r="D7330">
        <v>5.6219839999999897</v>
      </c>
      <c r="E7330">
        <v>0.48968479999999998</v>
      </c>
      <c r="F7330" t="s">
        <v>58</v>
      </c>
      <c r="G7330">
        <v>-301.351</v>
      </c>
      <c r="H7330" s="1">
        <v>-1.5131819999999999E-6</v>
      </c>
      <c r="I7330">
        <v>-42.461559999999999</v>
      </c>
      <c r="J7330">
        <v>-301.5951</v>
      </c>
      <c r="K7330">
        <v>1.1212629999999999</v>
      </c>
      <c r="L7330">
        <v>-31.771850000000001</v>
      </c>
      <c r="M7330">
        <v>-1.61418999999999E-2</v>
      </c>
      <c r="N7330">
        <v>-1.383556E-2</v>
      </c>
      <c r="O7330">
        <v>-0.9997743</v>
      </c>
      <c r="P7330">
        <v>-5.4149339999999997E-3</v>
      </c>
      <c r="Q7330">
        <v>-8.9517369999999999E-2</v>
      </c>
      <c r="R7330">
        <v>-0.9959711</v>
      </c>
      <c r="S7330">
        <v>6.6497799999999996E-2</v>
      </c>
      <c r="T7330">
        <v>-0.30852869999999999</v>
      </c>
      <c r="U7330">
        <v>-2.9847410000000001</v>
      </c>
      <c r="V7330">
        <v>-1.065343E-2</v>
      </c>
      <c r="W7330">
        <v>-7.5731119999999999E-2</v>
      </c>
      <c r="X7330">
        <v>0.99707140000000005</v>
      </c>
      <c r="Y7330">
        <v>-3.8290820000000003E-2</v>
      </c>
      <c r="Z7330">
        <v>8.8975819999999997E-2</v>
      </c>
      <c r="AA7330">
        <v>0.99529749999999995</v>
      </c>
      <c r="AB7330">
        <v>16</v>
      </c>
      <c r="AC7330">
        <v>0.24410000000000301</v>
      </c>
      <c r="AD7330">
        <v>-1.1212645131819901</v>
      </c>
      <c r="AE7330">
        <v>-10.6897099999999</v>
      </c>
      <c r="AF7330">
        <v>-0.41210513316925002</v>
      </c>
      <c r="AG7330">
        <v>-1.1212645131819901</v>
      </c>
      <c r="AH7330">
        <v>10.5681626508555</v>
      </c>
      <c r="AI7330">
        <v>96.051764566503493</v>
      </c>
      <c r="AJ7330">
        <v>92.233115480769499</v>
      </c>
      <c r="AK7330">
        <v>10.635465507641999</v>
      </c>
      <c r="AL7330">
        <v>94.343231709571796</v>
      </c>
      <c r="AM7330">
        <v>90.612166139395399</v>
      </c>
      <c r="AN7330">
        <v>1.0000000374025799</v>
      </c>
    </row>
    <row r="7331" spans="1:40" x14ac:dyDescent="0.25">
      <c r="A7331" t="str">
        <f>"20190303154325938"</f>
        <v>20190303154325938</v>
      </c>
      <c r="B7331" t="str">
        <f>"1551599005927610"</f>
        <v>1551599005927610</v>
      </c>
      <c r="C7331" t="s">
        <v>40</v>
      </c>
      <c r="D7331">
        <v>5.6317629999999896</v>
      </c>
      <c r="E7331">
        <v>0.48971189999999998</v>
      </c>
      <c r="F7331" t="s">
        <v>58</v>
      </c>
      <c r="G7331">
        <v>-301.35739999999998</v>
      </c>
      <c r="H7331" s="1">
        <v>-1.5923129999999999E-6</v>
      </c>
      <c r="I7331">
        <v>-42.58466</v>
      </c>
      <c r="J7331">
        <v>-301.59710000000001</v>
      </c>
      <c r="K7331">
        <v>1.121265</v>
      </c>
      <c r="L7331">
        <v>-31.90842</v>
      </c>
      <c r="M7331">
        <v>-1.599186E-2</v>
      </c>
      <c r="N7331">
        <v>-1.383205E-2</v>
      </c>
      <c r="O7331">
        <v>-0.99977669999999996</v>
      </c>
      <c r="P7331">
        <v>-5.9219930000000004E-3</v>
      </c>
      <c r="Q7331">
        <v>-8.9358300000000002E-2</v>
      </c>
      <c r="R7331">
        <v>-0.99598220000000004</v>
      </c>
      <c r="S7331">
        <v>6.5612790000000004E-2</v>
      </c>
      <c r="T7331">
        <v>-0.30950470000000002</v>
      </c>
      <c r="U7331">
        <v>-2.98468</v>
      </c>
      <c r="V7331">
        <v>-9.9969640000000005E-3</v>
      </c>
      <c r="W7331">
        <v>-7.5575160000000002E-2</v>
      </c>
      <c r="X7331">
        <v>0.99709000000000003</v>
      </c>
      <c r="Y7331">
        <v>-3.7845980000000001E-2</v>
      </c>
      <c r="Z7331">
        <v>8.9305099999999998E-2</v>
      </c>
      <c r="AA7331">
        <v>0.99528499999999998</v>
      </c>
      <c r="AB7331">
        <v>16</v>
      </c>
      <c r="AC7331">
        <v>0.239700000000027</v>
      </c>
      <c r="AD7331">
        <v>-1.1212665923130001</v>
      </c>
      <c r="AE7331">
        <v>-10.67624</v>
      </c>
      <c r="AF7331">
        <v>-0.40594321295574298</v>
      </c>
      <c r="AG7331">
        <v>-1.1212665923130001</v>
      </c>
      <c r="AH7331">
        <v>10.5546799045032</v>
      </c>
      <c r="AI7331">
        <v>96.059573074641094</v>
      </c>
      <c r="AJ7331">
        <v>92.202565562398206</v>
      </c>
      <c r="AK7331">
        <v>10.621831129786701</v>
      </c>
      <c r="AL7331">
        <v>94.334270314059296</v>
      </c>
      <c r="AM7331">
        <v>90.574436263084607</v>
      </c>
      <c r="AN7331">
        <v>1.0000000060991201</v>
      </c>
    </row>
    <row r="7332" spans="1:40" x14ac:dyDescent="0.25">
      <c r="A7332" t="str">
        <f>"20190303154325959"</f>
        <v>20190303154325959</v>
      </c>
      <c r="B7332" t="str">
        <f>"1551599005948105"</f>
        <v>1551599005948105</v>
      </c>
      <c r="C7332" t="s">
        <v>40</v>
      </c>
      <c r="D7332">
        <v>5.5633869999999996</v>
      </c>
      <c r="E7332">
        <v>0.48980319999999999</v>
      </c>
      <c r="F7332" t="s">
        <v>58</v>
      </c>
      <c r="G7332">
        <v>-301.36509999999998</v>
      </c>
      <c r="H7332" s="1">
        <v>-1.7099050000000001E-6</v>
      </c>
      <c r="I7332">
        <v>-42.767980000000001</v>
      </c>
      <c r="J7332">
        <v>-301.59930000000003</v>
      </c>
      <c r="K7332">
        <v>1.1212629999999999</v>
      </c>
      <c r="L7332">
        <v>-32.055689999999998</v>
      </c>
      <c r="M7332">
        <v>-1.5830009999999999E-2</v>
      </c>
      <c r="N7332">
        <v>-1.382835E-2</v>
      </c>
      <c r="O7332">
        <v>-0.99977930000000004</v>
      </c>
      <c r="P7332">
        <v>-6.3409570000000004E-3</v>
      </c>
      <c r="Q7332">
        <v>-8.9085189999999995E-2</v>
      </c>
      <c r="R7332">
        <v>-0.99600420000000001</v>
      </c>
      <c r="S7332">
        <v>6.3781740000000003E-2</v>
      </c>
      <c r="T7332">
        <v>-0.30818859999999998</v>
      </c>
      <c r="U7332">
        <v>-2.9848330000000001</v>
      </c>
      <c r="V7332">
        <v>-9.4171069999999992E-3</v>
      </c>
      <c r="W7332">
        <v>-7.5305259999999999E-2</v>
      </c>
      <c r="X7332">
        <v>0.99711609999999995</v>
      </c>
      <c r="Y7332">
        <v>-3.7074379999999997E-2</v>
      </c>
      <c r="Z7332">
        <v>8.8871950000000005E-2</v>
      </c>
      <c r="AA7332">
        <v>0.99535289999999998</v>
      </c>
      <c r="AB7332">
        <v>16</v>
      </c>
      <c r="AC7332">
        <v>0.23420000000004301</v>
      </c>
      <c r="AD7332">
        <v>-1.1212647099049999</v>
      </c>
      <c r="AE7332">
        <v>-10.7122899999999</v>
      </c>
      <c r="AF7332">
        <v>-0.399388872627016</v>
      </c>
      <c r="AG7332">
        <v>-1.1212647099049999</v>
      </c>
      <c r="AH7332">
        <v>10.591257442085301</v>
      </c>
      <c r="AI7332">
        <v>96.038962167584899</v>
      </c>
      <c r="AJ7332">
        <v>92.159560329953607</v>
      </c>
      <c r="AK7332">
        <v>10.6579303912994</v>
      </c>
      <c r="AL7332">
        <v>94.3187618407825</v>
      </c>
      <c r="AM7332">
        <v>90.541104937566104</v>
      </c>
      <c r="AN7332">
        <v>1.0000000404835601</v>
      </c>
    </row>
    <row r="7333" spans="1:40" x14ac:dyDescent="0.25">
      <c r="A7333" t="str">
        <f>"20190303154325983"</f>
        <v>20190303154325983</v>
      </c>
      <c r="B7333" t="str">
        <f>"1551599005977385"</f>
        <v>1551599005977385</v>
      </c>
      <c r="C7333" t="s">
        <v>40</v>
      </c>
      <c r="D7333">
        <v>5.6326919999999996</v>
      </c>
      <c r="E7333">
        <v>0.48977999999999999</v>
      </c>
      <c r="F7333" t="s">
        <v>58</v>
      </c>
      <c r="G7333">
        <v>-301.37349999999998</v>
      </c>
      <c r="H7333" s="1">
        <v>-1.840131E-6</v>
      </c>
      <c r="I7333">
        <v>-42.970999999999997</v>
      </c>
      <c r="J7333">
        <v>-301.60160000000002</v>
      </c>
      <c r="K7333">
        <v>1.121262</v>
      </c>
      <c r="L7333">
        <v>-32.2149</v>
      </c>
      <c r="M7333">
        <v>-1.565455E-2</v>
      </c>
      <c r="N7333">
        <v>-1.3824349999999999E-2</v>
      </c>
      <c r="O7333">
        <v>-0.99978210000000001</v>
      </c>
      <c r="P7333">
        <v>-6.3143519999999996E-3</v>
      </c>
      <c r="Q7333">
        <v>-8.8689119999999996E-2</v>
      </c>
      <c r="R7333">
        <v>-0.99603980000000003</v>
      </c>
      <c r="S7333">
        <v>6.1737060000000003E-2</v>
      </c>
      <c r="T7333">
        <v>-0.30663289999999999</v>
      </c>
      <c r="U7333">
        <v>-2.9850159999999999</v>
      </c>
      <c r="V7333">
        <v>-9.2699870000000004E-3</v>
      </c>
      <c r="W7333">
        <v>-7.4912670000000001E-2</v>
      </c>
      <c r="X7333">
        <v>0.99714700000000001</v>
      </c>
      <c r="Y7333">
        <v>-3.6217970000000002E-2</v>
      </c>
      <c r="Z7333">
        <v>8.8359220000000002E-2</v>
      </c>
      <c r="AA7333">
        <v>0.99543000000000004</v>
      </c>
      <c r="AB7333">
        <v>15</v>
      </c>
      <c r="AC7333">
        <v>0.22810000000003999</v>
      </c>
      <c r="AD7333">
        <v>-1.121263840131</v>
      </c>
      <c r="AE7333">
        <v>-10.7561</v>
      </c>
      <c r="AF7333">
        <v>-0.392209813142124</v>
      </c>
      <c r="AG7333">
        <v>-1.121263840131</v>
      </c>
      <c r="AH7333">
        <v>10.6356854961184</v>
      </c>
      <c r="AI7333">
        <v>96.014101553662996</v>
      </c>
      <c r="AJ7333">
        <v>92.111926755451606</v>
      </c>
      <c r="AK7333">
        <v>10.701816065932601</v>
      </c>
      <c r="AL7333">
        <v>94.296204590570397</v>
      </c>
      <c r="AM7333">
        <v>90.532635439924704</v>
      </c>
      <c r="AN7333">
        <v>0.99999999019725405</v>
      </c>
    </row>
    <row r="7334" spans="1:40" x14ac:dyDescent="0.25">
      <c r="A7334" t="str">
        <f>"20190303154326004"</f>
        <v>20190303154326004</v>
      </c>
      <c r="B7334" t="str">
        <f>"1551599005997881"</f>
        <v>1551599005997881</v>
      </c>
      <c r="C7334" t="s">
        <v>40</v>
      </c>
      <c r="D7334">
        <v>5.574427</v>
      </c>
      <c r="E7334">
        <v>0.48980820000000003</v>
      </c>
      <c r="F7334" t="s">
        <v>58</v>
      </c>
      <c r="G7334">
        <v>-301.37380000000002</v>
      </c>
      <c r="H7334" s="1">
        <v>-1.9537679999999998E-6</v>
      </c>
      <c r="I7334">
        <v>-43.149709999999999</v>
      </c>
      <c r="J7334">
        <v>-301.60379999999998</v>
      </c>
      <c r="K7334">
        <v>1.121264</v>
      </c>
      <c r="L7334">
        <v>-32.365630000000003</v>
      </c>
      <c r="M7334">
        <v>-1.548863E-2</v>
      </c>
      <c r="N7334">
        <v>-1.3820529999999999E-2</v>
      </c>
      <c r="O7334">
        <v>-0.99978480000000003</v>
      </c>
      <c r="P7334">
        <v>-5.8413120000000004E-3</v>
      </c>
      <c r="Q7334">
        <v>-8.7787530000000003E-2</v>
      </c>
      <c r="R7334">
        <v>-0.99612219999999996</v>
      </c>
      <c r="S7334">
        <v>6.216431E-2</v>
      </c>
      <c r="T7334">
        <v>-0.30609229999999998</v>
      </c>
      <c r="U7334">
        <v>-2.985077</v>
      </c>
      <c r="V7334">
        <v>-9.5792159999999998E-3</v>
      </c>
      <c r="W7334">
        <v>-7.4013960000000004E-2</v>
      </c>
      <c r="X7334">
        <v>0.99721119999999996</v>
      </c>
      <c r="Y7334">
        <v>-3.6194499999999998E-2</v>
      </c>
      <c r="Z7334">
        <v>8.8182830000000004E-2</v>
      </c>
      <c r="AA7334">
        <v>0.99544650000000001</v>
      </c>
      <c r="AB7334">
        <v>15</v>
      </c>
      <c r="AC7334">
        <v>0.22999999999996101</v>
      </c>
      <c r="AD7334">
        <v>-1.1212659537680001</v>
      </c>
      <c r="AE7334">
        <v>-10.784079999999999</v>
      </c>
      <c r="AF7334">
        <v>-0.39277472583809298</v>
      </c>
      <c r="AG7334">
        <v>-1.1212659537680001</v>
      </c>
      <c r="AH7334">
        <v>10.663991347775699</v>
      </c>
      <c r="AI7334">
        <v>95.998275689783398</v>
      </c>
      <c r="AJ7334">
        <v>92.109357113352004</v>
      </c>
      <c r="AK7334">
        <v>10.729968349896099</v>
      </c>
      <c r="AL7334">
        <v>94.244568892567102</v>
      </c>
      <c r="AM7334">
        <v>90.550366629503898</v>
      </c>
      <c r="AN7334">
        <v>1.00000000252974</v>
      </c>
    </row>
    <row r="7335" spans="1:40" x14ac:dyDescent="0.25">
      <c r="A7335" t="str">
        <f>"20190303154326026"</f>
        <v>20190303154326026</v>
      </c>
      <c r="B7335" t="str">
        <f>"1551599006017401"</f>
        <v>1551599006017401</v>
      </c>
      <c r="C7335" t="s">
        <v>40</v>
      </c>
      <c r="D7335">
        <v>5.5750229999999998</v>
      </c>
      <c r="E7335">
        <v>0.48983680000000002</v>
      </c>
      <c r="F7335" t="s">
        <v>58</v>
      </c>
      <c r="G7335">
        <v>-301.3698</v>
      </c>
      <c r="H7335" s="1">
        <v>-2.1320500000000002E-6</v>
      </c>
      <c r="I7335">
        <v>-43.431069999999998</v>
      </c>
      <c r="J7335">
        <v>-301.60590000000002</v>
      </c>
      <c r="K7335">
        <v>1.1212660000000001</v>
      </c>
      <c r="L7335">
        <v>-32.516240000000003</v>
      </c>
      <c r="M7335">
        <v>-1.532305E-2</v>
      </c>
      <c r="N7335">
        <v>-1.381667E-2</v>
      </c>
      <c r="O7335">
        <v>-0.99978719999999999</v>
      </c>
      <c r="P7335">
        <v>-4.2544319999999998E-3</v>
      </c>
      <c r="Q7335">
        <v>-8.7248329999999999E-2</v>
      </c>
      <c r="R7335">
        <v>-0.9961776</v>
      </c>
      <c r="S7335">
        <v>6.3110349999999996E-2</v>
      </c>
      <c r="T7335">
        <v>-0.30251040000000001</v>
      </c>
      <c r="U7335">
        <v>-2.985382</v>
      </c>
      <c r="V7335">
        <v>-1.100188E-2</v>
      </c>
      <c r="W7335">
        <v>-7.3478420000000003E-2</v>
      </c>
      <c r="X7335">
        <v>0.99723609999999896</v>
      </c>
      <c r="Y7335">
        <v>-3.6344599999999998E-2</v>
      </c>
      <c r="Z7335">
        <v>8.6993959999999995E-2</v>
      </c>
      <c r="AA7335">
        <v>0.99554560000000003</v>
      </c>
      <c r="AB7335">
        <v>15</v>
      </c>
      <c r="AC7335">
        <v>0.23610000000002099</v>
      </c>
      <c r="AD7335">
        <v>-1.12126813205</v>
      </c>
      <c r="AE7335">
        <v>-10.914829999999901</v>
      </c>
      <c r="AF7335">
        <v>-0.39912661442930902</v>
      </c>
      <c r="AG7335">
        <v>-1.12126813205</v>
      </c>
      <c r="AH7335">
        <v>10.7960503710597</v>
      </c>
      <c r="AI7335">
        <v>95.925410602396695</v>
      </c>
      <c r="AJ7335">
        <v>92.117242860608698</v>
      </c>
      <c r="AK7335">
        <v>10.861456987566401</v>
      </c>
      <c r="AL7335">
        <v>94.213801028481896</v>
      </c>
      <c r="AM7335">
        <v>90.632082731600306</v>
      </c>
      <c r="AN7335">
        <v>0.99999997935621998</v>
      </c>
    </row>
    <row r="7336" spans="1:40" x14ac:dyDescent="0.25">
      <c r="A7336" t="str">
        <f>"20190303154326048"</f>
        <v>20190303154326048</v>
      </c>
      <c r="B7336" t="str">
        <f>"1551599006037898"</f>
        <v>1551599006037898</v>
      </c>
      <c r="C7336" t="s">
        <v>40</v>
      </c>
      <c r="D7336">
        <v>5.6189519999999904</v>
      </c>
      <c r="E7336">
        <v>0.48989240000000001</v>
      </c>
      <c r="F7336" t="s">
        <v>58</v>
      </c>
      <c r="G7336">
        <v>-301.35219999999998</v>
      </c>
      <c r="H7336" s="1">
        <v>-2.2781319999999999E-6</v>
      </c>
      <c r="I7336">
        <v>-43.664749999999998</v>
      </c>
      <c r="J7336">
        <v>-301.608</v>
      </c>
      <c r="K7336">
        <v>1.121259</v>
      </c>
      <c r="L7336">
        <v>-32.669829999999997</v>
      </c>
      <c r="M7336">
        <v>-1.515435E-2</v>
      </c>
      <c r="N7336">
        <v>-1.381275E-2</v>
      </c>
      <c r="O7336">
        <v>-0.99978979999999995</v>
      </c>
      <c r="P7336">
        <v>-2.4095689999999999E-3</v>
      </c>
      <c r="Q7336">
        <v>-8.7355539999999995E-2</v>
      </c>
      <c r="R7336">
        <v>-0.99617449999999996</v>
      </c>
      <c r="S7336">
        <v>6.7932129999999993E-2</v>
      </c>
      <c r="T7336">
        <v>-0.3002688</v>
      </c>
      <c r="U7336">
        <v>-2.9855040000000002</v>
      </c>
      <c r="V7336">
        <v>-1.267797E-2</v>
      </c>
      <c r="W7336">
        <v>-7.3590149999999993E-2</v>
      </c>
      <c r="X7336">
        <v>0.99720799999999998</v>
      </c>
      <c r="Y7336">
        <v>-3.7782700000000002E-2</v>
      </c>
      <c r="Z7336">
        <v>8.6249590000000001E-2</v>
      </c>
      <c r="AA7336">
        <v>0.99555689999999997</v>
      </c>
      <c r="AB7336">
        <v>15</v>
      </c>
      <c r="AC7336">
        <v>0.25580000000002201</v>
      </c>
      <c r="AD7336">
        <v>-1.1212612781319999</v>
      </c>
      <c r="AE7336">
        <v>-10.99492</v>
      </c>
      <c r="AF7336">
        <v>-0.41806192203442699</v>
      </c>
      <c r="AG7336">
        <v>-1.1212612781319999</v>
      </c>
      <c r="AH7336">
        <v>10.8767245769548</v>
      </c>
      <c r="AI7336">
        <v>95.881412044812294</v>
      </c>
      <c r="AJ7336">
        <v>92.201158831904294</v>
      </c>
      <c r="AK7336">
        <v>10.942355329060801</v>
      </c>
      <c r="AL7336">
        <v>94.220219900234099</v>
      </c>
      <c r="AM7336">
        <v>90.728388702612406</v>
      </c>
      <c r="AN7336">
        <v>1.00000001818217</v>
      </c>
    </row>
    <row r="7337" spans="1:40" x14ac:dyDescent="0.25">
      <c r="A7337" t="str">
        <f>"20190303154326071"</f>
        <v>20190303154326071</v>
      </c>
      <c r="B7337" t="str">
        <f>"1551599006068153"</f>
        <v>1551599006068153</v>
      </c>
      <c r="C7337" t="s">
        <v>40</v>
      </c>
      <c r="D7337">
        <v>5.6381940000000004</v>
      </c>
      <c r="E7337">
        <v>0.48990280000000003</v>
      </c>
      <c r="F7337" t="s">
        <v>58</v>
      </c>
      <c r="G7337">
        <v>-301.33530000000002</v>
      </c>
      <c r="H7337" s="1">
        <v>-2.3749130000000001E-6</v>
      </c>
      <c r="I7337">
        <v>-43.820729999999998</v>
      </c>
      <c r="J7337">
        <v>-301.61009999999999</v>
      </c>
      <c r="K7337">
        <v>1.121254</v>
      </c>
      <c r="L7337">
        <v>-32.817749999999997</v>
      </c>
      <c r="M7337">
        <v>-1.499177E-2</v>
      </c>
      <c r="N7337">
        <v>-1.380899E-2</v>
      </c>
      <c r="O7337">
        <v>-0.99979229999999997</v>
      </c>
      <c r="P7337">
        <v>-1.198303E-3</v>
      </c>
      <c r="Q7337">
        <v>-8.7974670000000005E-2</v>
      </c>
      <c r="R7337">
        <v>-0.99612230000000002</v>
      </c>
      <c r="S7337">
        <v>7.3028560000000006E-2</v>
      </c>
      <c r="T7337">
        <v>-0.30019059999999997</v>
      </c>
      <c r="U7337">
        <v>-2.985382</v>
      </c>
      <c r="V7337">
        <v>-1.372629E-2</v>
      </c>
      <c r="W7337">
        <v>-7.421403E-2</v>
      </c>
      <c r="X7337">
        <v>0.99714789999999998</v>
      </c>
      <c r="Y7337">
        <v>-3.9318529999999997E-2</v>
      </c>
      <c r="Z7337">
        <v>8.6226839999999999E-2</v>
      </c>
      <c r="AA7337">
        <v>0.99549940000000003</v>
      </c>
      <c r="AB7337">
        <v>15</v>
      </c>
      <c r="AC7337">
        <v>0.27479999999997001</v>
      </c>
      <c r="AD7337">
        <v>-1.121256374913</v>
      </c>
      <c r="AE7337">
        <v>-11.002980000000001</v>
      </c>
      <c r="AF7337">
        <v>-0.43522219433403098</v>
      </c>
      <c r="AG7337">
        <v>-1.121256374913</v>
      </c>
      <c r="AH7337">
        <v>10.884660846127399</v>
      </c>
      <c r="AI7337">
        <v>95.876774472265694</v>
      </c>
      <c r="AJ7337">
        <v>92.289746882610899</v>
      </c>
      <c r="AK7337">
        <v>10.9509121059364</v>
      </c>
      <c r="AL7337">
        <v>94.256063538708403</v>
      </c>
      <c r="AM7337">
        <v>90.7886581474812</v>
      </c>
      <c r="AN7337">
        <v>1.0000000338802</v>
      </c>
    </row>
    <row r="7338" spans="1:40" x14ac:dyDescent="0.25">
      <c r="A7338" t="str">
        <f>"20190303154326098"</f>
        <v>20190303154326098</v>
      </c>
      <c r="B7338" t="str">
        <f>"1551599006087673"</f>
        <v>1551599006087673</v>
      </c>
      <c r="C7338" t="s">
        <v>40</v>
      </c>
      <c r="D7338">
        <v>5.543641</v>
      </c>
      <c r="E7338">
        <v>0.46563640000000001</v>
      </c>
      <c r="F7338" t="s">
        <v>58</v>
      </c>
      <c r="G7338">
        <v>-301.32650000000001</v>
      </c>
      <c r="H7338" s="1">
        <v>-2.418278E-6</v>
      </c>
      <c r="I7338">
        <v>-43.89087</v>
      </c>
      <c r="J7338">
        <v>-301.61259999999999</v>
      </c>
      <c r="K7338">
        <v>1.121251</v>
      </c>
      <c r="L7338">
        <v>-33.003329999999998</v>
      </c>
      <c r="M7338">
        <v>-1.4787379999999999E-2</v>
      </c>
      <c r="N7338">
        <v>-1.380428E-2</v>
      </c>
      <c r="O7338">
        <v>-0.9997954</v>
      </c>
      <c r="P7338">
        <v>-1.096325E-3</v>
      </c>
      <c r="Q7338">
        <v>-8.8872950000000006E-2</v>
      </c>
      <c r="R7338">
        <v>-0.99604280000000001</v>
      </c>
      <c r="S7338">
        <v>7.6446529999999999E-2</v>
      </c>
      <c r="T7338">
        <v>-0.302266799999999</v>
      </c>
      <c r="U7338">
        <v>-2.985077</v>
      </c>
      <c r="V7338">
        <v>-1.3623619999999999E-2</v>
      </c>
      <c r="W7338">
        <v>-7.5118009999999999E-2</v>
      </c>
      <c r="X7338">
        <v>0.99708160000000001</v>
      </c>
      <c r="Y7338">
        <v>-4.025339E-2</v>
      </c>
      <c r="Z7338">
        <v>8.6924210000000002E-2</v>
      </c>
      <c r="AA7338">
        <v>0.99540130000000004</v>
      </c>
      <c r="AB7338">
        <v>15</v>
      </c>
      <c r="AC7338">
        <v>0.28609999999997598</v>
      </c>
      <c r="AD7338">
        <v>-1.1212534182780001</v>
      </c>
      <c r="AE7338">
        <v>-10.88754</v>
      </c>
      <c r="AF7338">
        <v>-0.44239349099616498</v>
      </c>
      <c r="AG7338">
        <v>-1.1212534182780001</v>
      </c>
      <c r="AH7338">
        <v>10.7679926845284</v>
      </c>
      <c r="AI7338">
        <v>95.939716935317406</v>
      </c>
      <c r="AJ7338">
        <v>92.352623540952706</v>
      </c>
      <c r="AK7338">
        <v>10.835247467544701</v>
      </c>
      <c r="AL7338">
        <v>94.308002830429601</v>
      </c>
      <c r="AM7338">
        <v>90.782811915896801</v>
      </c>
      <c r="AN7338">
        <v>1.0000000177534101</v>
      </c>
    </row>
    <row r="7339" spans="1:40" x14ac:dyDescent="0.25">
      <c r="A7339" t="str">
        <f>"20190303154326118"</f>
        <v>20190303154326118</v>
      </c>
      <c r="B7339" t="str">
        <f>"1551599006108169"</f>
        <v>1551599006108169</v>
      </c>
      <c r="C7339" t="s">
        <v>40</v>
      </c>
      <c r="D7339">
        <v>5.6109900000000001</v>
      </c>
      <c r="E7339">
        <v>0.4605225</v>
      </c>
      <c r="F7339" t="s">
        <v>58</v>
      </c>
      <c r="G7339">
        <v>-300.71010000000001</v>
      </c>
      <c r="H7339" s="1">
        <v>-1.747622E-6</v>
      </c>
      <c r="I7339">
        <v>-42.970790000000001</v>
      </c>
      <c r="J7339">
        <v>-301.61450000000002</v>
      </c>
      <c r="K7339">
        <v>1.121245</v>
      </c>
      <c r="L7339">
        <v>-33.14432</v>
      </c>
      <c r="M7339">
        <v>-1.4632610000000001E-2</v>
      </c>
      <c r="N7339">
        <v>-1.3800730000000001E-2</v>
      </c>
      <c r="O7339">
        <v>-0.99979779999999996</v>
      </c>
      <c r="P7339">
        <v>-7.3808039999999895E-4</v>
      </c>
      <c r="Q7339">
        <v>-8.8996140000000001E-2</v>
      </c>
      <c r="R7339">
        <v>-0.99603200000000003</v>
      </c>
      <c r="S7339">
        <v>0.27005000000000001</v>
      </c>
      <c r="T7339">
        <v>-0.33547909999999997</v>
      </c>
      <c r="U7339">
        <v>-2.9822690000000001</v>
      </c>
      <c r="V7339">
        <v>-1.382792E-2</v>
      </c>
      <c r="W7339">
        <v>-7.5244920000000007E-2</v>
      </c>
      <c r="X7339">
        <v>0.99706919999999999</v>
      </c>
      <c r="Y7339">
        <v>-0.1042271</v>
      </c>
      <c r="Z7339">
        <v>9.7504839999999995E-2</v>
      </c>
      <c r="AA7339">
        <v>0.98976240000000004</v>
      </c>
      <c r="AB7339">
        <v>15</v>
      </c>
      <c r="AC7339">
        <v>0.90440000000000897</v>
      </c>
      <c r="AD7339">
        <v>-1.1212467476220001</v>
      </c>
      <c r="AE7339">
        <v>-9.8264700000000005</v>
      </c>
      <c r="AF7339">
        <v>-1.03474463786749</v>
      </c>
      <c r="AG7339">
        <v>-1.1212467476220001</v>
      </c>
      <c r="AH7339">
        <v>9.6871169733851605</v>
      </c>
      <c r="AI7339">
        <v>96.565367899189198</v>
      </c>
      <c r="AJ7339">
        <v>96.097020398769502</v>
      </c>
      <c r="AK7339">
        <v>9.8065348615449004</v>
      </c>
      <c r="AL7339">
        <v>94.315294954160606</v>
      </c>
      <c r="AM7339">
        <v>90.794559360835095</v>
      </c>
      <c r="AN7339">
        <v>0.99999999947298601</v>
      </c>
    </row>
    <row r="7340" spans="1:40" x14ac:dyDescent="0.25">
      <c r="A7340" t="str">
        <f>"20190303154326139"</f>
        <v>20190303154326139</v>
      </c>
      <c r="B7340" t="str">
        <f>"1551599006127689"</f>
        <v>1551599006127689</v>
      </c>
      <c r="C7340" t="s">
        <v>40</v>
      </c>
      <c r="D7340">
        <v>5.5594390000000002</v>
      </c>
      <c r="E7340">
        <v>0.45885280000000001</v>
      </c>
      <c r="F7340" t="s">
        <v>58</v>
      </c>
      <c r="G7340">
        <v>-300.57990000000001</v>
      </c>
      <c r="H7340" s="1">
        <v>-1.7713300000000001E-6</v>
      </c>
      <c r="I7340">
        <v>-43.036610000000003</v>
      </c>
      <c r="J7340">
        <v>-301.6164</v>
      </c>
      <c r="K7340">
        <v>1.1212439999999999</v>
      </c>
      <c r="L7340">
        <v>-33.283290000000001</v>
      </c>
      <c r="M7340">
        <v>-1.447968E-2</v>
      </c>
      <c r="N7340">
        <v>-1.3797149999999999E-2</v>
      </c>
      <c r="O7340">
        <v>-0.99980020000000003</v>
      </c>
      <c r="P7340">
        <v>-8.821352E-4</v>
      </c>
      <c r="Q7340">
        <v>-8.9115299999999995E-2</v>
      </c>
      <c r="R7340">
        <v>-0.99602139999999995</v>
      </c>
      <c r="S7340">
        <v>0.31188959999999999</v>
      </c>
      <c r="T7340">
        <v>-0.33799559999999901</v>
      </c>
      <c r="U7340">
        <v>-2.981995</v>
      </c>
      <c r="V7340">
        <v>-1.35316E-2</v>
      </c>
      <c r="W7340">
        <v>-7.5367660000000003E-2</v>
      </c>
      <c r="X7340">
        <v>0.99706399999999995</v>
      </c>
      <c r="Y7340">
        <v>-0.11780939999999999</v>
      </c>
      <c r="Z7340">
        <v>9.81823E-2</v>
      </c>
      <c r="AA7340">
        <v>0.98817060000000001</v>
      </c>
      <c r="AB7340">
        <v>15</v>
      </c>
      <c r="AC7340">
        <v>1.03649999999998</v>
      </c>
      <c r="AD7340">
        <v>-1.1212457713299999</v>
      </c>
      <c r="AE7340">
        <v>-9.7533199999999898</v>
      </c>
      <c r="AF7340">
        <v>-1.1624385732320901</v>
      </c>
      <c r="AG7340">
        <v>-1.1212457713299999</v>
      </c>
      <c r="AH7340">
        <v>9.6116792912759799</v>
      </c>
      <c r="AI7340">
        <v>96.606031841013106</v>
      </c>
      <c r="AJ7340">
        <v>96.895873199467005</v>
      </c>
      <c r="AK7340">
        <v>9.7464267459724407</v>
      </c>
      <c r="AL7340">
        <v>94.322347443483295</v>
      </c>
      <c r="AM7340">
        <v>90.7775388297825</v>
      </c>
      <c r="AN7340">
        <v>1.0000000042342101</v>
      </c>
    </row>
    <row r="7341" spans="1:40" x14ac:dyDescent="0.25">
      <c r="A7341" t="str">
        <f>"20190303154326160"</f>
        <v>20190303154326160</v>
      </c>
      <c r="B7341" t="str">
        <f>"1551599006157947"</f>
        <v>1551599006157947</v>
      </c>
      <c r="C7341" t="s">
        <v>40</v>
      </c>
      <c r="D7341">
        <v>5.5745100000000001</v>
      </c>
      <c r="E7341">
        <v>0.4569742</v>
      </c>
      <c r="F7341" t="s">
        <v>58</v>
      </c>
      <c r="G7341">
        <v>-300.56380000000001</v>
      </c>
      <c r="H7341" s="1">
        <v>-1.7128740000000001E-6</v>
      </c>
      <c r="I7341">
        <v>-42.948180000000001</v>
      </c>
      <c r="J7341">
        <v>-301.61829999999998</v>
      </c>
      <c r="K7341">
        <v>1.121245</v>
      </c>
      <c r="L7341">
        <v>-33.429319999999997</v>
      </c>
      <c r="M7341">
        <v>-1.4319299999999899E-2</v>
      </c>
      <c r="N7341">
        <v>-1.3793339999999999E-2</v>
      </c>
      <c r="O7341">
        <v>-0.99980239999999998</v>
      </c>
      <c r="P7341">
        <v>-6.73586E-4</v>
      </c>
      <c r="Q7341">
        <v>-8.9449269999999997E-2</v>
      </c>
      <c r="R7341">
        <v>-0.99599130000000002</v>
      </c>
      <c r="S7341">
        <v>0.32470700000000002</v>
      </c>
      <c r="T7341">
        <v>-0.34587030000000002</v>
      </c>
      <c r="U7341">
        <v>-2.9813230000000002</v>
      </c>
      <c r="V7341">
        <v>-1.3579269999999999E-2</v>
      </c>
      <c r="W7341">
        <v>-7.5705850000000005E-2</v>
      </c>
      <c r="X7341">
        <v>0.99703770000000003</v>
      </c>
      <c r="Y7341">
        <v>-0.12183919999999999</v>
      </c>
      <c r="Z7341">
        <v>0.10073500000000001</v>
      </c>
      <c r="AA7341">
        <v>0.98742479999999999</v>
      </c>
      <c r="AB7341">
        <v>15</v>
      </c>
      <c r="AC7341">
        <v>1.05449999999996</v>
      </c>
      <c r="AD7341">
        <v>-1.121246712874</v>
      </c>
      <c r="AE7341">
        <v>-9.5188599999999894</v>
      </c>
      <c r="AF7341">
        <v>-1.1746081507874699</v>
      </c>
      <c r="AG7341">
        <v>-1.121246712874</v>
      </c>
      <c r="AH7341">
        <v>9.3742914729707998</v>
      </c>
      <c r="AI7341">
        <v>96.768241947686903</v>
      </c>
      <c r="AJ7341">
        <v>97.1419967560185</v>
      </c>
      <c r="AK7341">
        <v>9.5138971572768298</v>
      </c>
      <c r="AL7341">
        <v>94.341779953686796</v>
      </c>
      <c r="AM7341">
        <v>90.780298235772904</v>
      </c>
      <c r="AN7341">
        <v>0.99999997375962202</v>
      </c>
    </row>
    <row r="7342" spans="1:40" x14ac:dyDescent="0.25">
      <c r="A7342" t="str">
        <f>"20190303154326183"</f>
        <v>20190303154326183</v>
      </c>
      <c r="B7342" t="str">
        <f>"1551599006177465"</f>
        <v>1551599006177465</v>
      </c>
      <c r="C7342" t="s">
        <v>40</v>
      </c>
      <c r="D7342">
        <v>5.5654209999999997</v>
      </c>
      <c r="E7342">
        <v>0.45639659999999899</v>
      </c>
      <c r="F7342" t="s">
        <v>58</v>
      </c>
      <c r="G7342">
        <v>-300.52710000000002</v>
      </c>
      <c r="H7342" s="1">
        <v>-1.7330740000000001E-6</v>
      </c>
      <c r="I7342">
        <v>-42.98798</v>
      </c>
      <c r="J7342">
        <v>-301.62029999999999</v>
      </c>
      <c r="K7342">
        <v>1.121238</v>
      </c>
      <c r="L7342">
        <v>-33.580410000000001</v>
      </c>
      <c r="M7342">
        <v>-1.415276E-2</v>
      </c>
      <c r="N7342">
        <v>-1.37894E-2</v>
      </c>
      <c r="O7342">
        <v>-0.99980500000000005</v>
      </c>
      <c r="P7342">
        <v>-1.826009E-4</v>
      </c>
      <c r="Q7342">
        <v>-8.9624579999999995E-2</v>
      </c>
      <c r="R7342">
        <v>-0.99597590000000003</v>
      </c>
      <c r="S7342">
        <v>0.34030149999999998</v>
      </c>
      <c r="T7342">
        <v>-0.34966409999999998</v>
      </c>
      <c r="U7342">
        <v>-2.980896</v>
      </c>
      <c r="V7342">
        <v>-1.390427E-2</v>
      </c>
      <c r="W7342">
        <v>-7.5885359999999999E-2</v>
      </c>
      <c r="X7342">
        <v>0.99701960000000001</v>
      </c>
      <c r="Y7342">
        <v>-0.12677060000000001</v>
      </c>
      <c r="Z7342">
        <v>0.1019269</v>
      </c>
      <c r="AA7342">
        <v>0.98668140000000004</v>
      </c>
      <c r="AB7342">
        <v>15</v>
      </c>
      <c r="AC7342">
        <v>1.09319999999996</v>
      </c>
      <c r="AD7342">
        <v>-1.121239733074</v>
      </c>
      <c r="AE7342">
        <v>-9.4075699999999998</v>
      </c>
      <c r="AF7342">
        <v>-1.2092969751131</v>
      </c>
      <c r="AG7342">
        <v>-1.121239733074</v>
      </c>
      <c r="AH7342">
        <v>9.2613494385089794</v>
      </c>
      <c r="AI7342">
        <v>96.845456231923293</v>
      </c>
      <c r="AJ7342">
        <v>97.439284622574704</v>
      </c>
      <c r="AK7342">
        <v>9.4070277524419108</v>
      </c>
      <c r="AL7342">
        <v>94.352094678217</v>
      </c>
      <c r="AM7342">
        <v>90.798985644829401</v>
      </c>
      <c r="AN7342">
        <v>0.99999999968536102</v>
      </c>
    </row>
    <row r="7343" spans="1:40" x14ac:dyDescent="0.25">
      <c r="A7343" t="str">
        <f>"20190303154326205"</f>
        <v>20190303154326205</v>
      </c>
      <c r="B7343" t="str">
        <f>"1551599006197961"</f>
        <v>1551599006197961</v>
      </c>
      <c r="C7343" t="s">
        <v>40</v>
      </c>
      <c r="D7343">
        <v>5.6071070000000001</v>
      </c>
      <c r="E7343">
        <v>0.45577479999999998</v>
      </c>
      <c r="F7343" t="s">
        <v>58</v>
      </c>
      <c r="G7343">
        <v>-300.51400000000001</v>
      </c>
      <c r="H7343" s="1">
        <v>-1.8031290000000001E-6</v>
      </c>
      <c r="I7343">
        <v>-43.101080000000003</v>
      </c>
      <c r="J7343">
        <v>-301.62220000000002</v>
      </c>
      <c r="K7343">
        <v>1.121235</v>
      </c>
      <c r="L7343">
        <v>-33.7301</v>
      </c>
      <c r="M7343">
        <v>-1.398811E-2</v>
      </c>
      <c r="N7343">
        <v>-1.3785469999999999E-2</v>
      </c>
      <c r="O7343">
        <v>-0.99980709999999995</v>
      </c>
      <c r="P7343">
        <v>1.5357620000000001E-4</v>
      </c>
      <c r="Q7343">
        <v>-9.0717179999999994E-2</v>
      </c>
      <c r="R7343">
        <v>-0.99587680000000001</v>
      </c>
      <c r="S7343">
        <v>0.34634399999999999</v>
      </c>
      <c r="T7343">
        <v>-0.35102139999999998</v>
      </c>
      <c r="U7343">
        <v>-2.980591</v>
      </c>
      <c r="V7343">
        <v>-1.407518E-2</v>
      </c>
      <c r="W7343">
        <v>-7.6983179999999998E-2</v>
      </c>
      <c r="X7343">
        <v>0.99693299999999996</v>
      </c>
      <c r="Y7343">
        <v>-0.12858530000000001</v>
      </c>
      <c r="Z7343">
        <v>0.1023594</v>
      </c>
      <c r="AA7343">
        <v>0.98640170000000005</v>
      </c>
      <c r="AB7343">
        <v>15</v>
      </c>
      <c r="AC7343">
        <v>1.1082000000000101</v>
      </c>
      <c r="AD7343">
        <v>-1.1212368031290001</v>
      </c>
      <c r="AE7343">
        <v>-9.3709799999999905</v>
      </c>
      <c r="AF7343">
        <v>-1.2219342561945501</v>
      </c>
      <c r="AG7343">
        <v>-1.1212368031290001</v>
      </c>
      <c r="AH7343">
        <v>9.2243248986076107</v>
      </c>
      <c r="AI7343">
        <v>96.870985746051801</v>
      </c>
      <c r="AJ7343">
        <v>97.545962913721297</v>
      </c>
      <c r="AK7343">
        <v>9.3722177274231608</v>
      </c>
      <c r="AL7343">
        <v>94.415179841274394</v>
      </c>
      <c r="AM7343">
        <v>90.808875654398406</v>
      </c>
      <c r="AN7343">
        <v>0.99999996359197096</v>
      </c>
    </row>
    <row r="7344" spans="1:40" x14ac:dyDescent="0.25">
      <c r="A7344" t="str">
        <f>"20190303154326228"</f>
        <v>20190303154326228</v>
      </c>
      <c r="B7344" t="str">
        <f>"1551599006217482"</f>
        <v>1551599006217482</v>
      </c>
      <c r="C7344" t="s">
        <v>40</v>
      </c>
      <c r="D7344">
        <v>5.5507229999999996</v>
      </c>
      <c r="E7344">
        <v>0.45557110000000001</v>
      </c>
      <c r="F7344" t="s">
        <v>58</v>
      </c>
      <c r="G7344">
        <v>-300.50420000000003</v>
      </c>
      <c r="H7344" s="1">
        <v>-1.8575250000000001E-6</v>
      </c>
      <c r="I7344">
        <v>-43.188800000000001</v>
      </c>
      <c r="J7344">
        <v>-301.62419999999997</v>
      </c>
      <c r="K7344">
        <v>1.1212299999999999</v>
      </c>
      <c r="L7344">
        <v>-33.883759999999903</v>
      </c>
      <c r="M7344">
        <v>-1.381925E-2</v>
      </c>
      <c r="N7344">
        <v>-1.3781440000000001E-2</v>
      </c>
      <c r="O7344">
        <v>-0.99980970000000002</v>
      </c>
      <c r="P7344">
        <v>5.6224279999999996E-4</v>
      </c>
      <c r="Q7344">
        <v>-9.1360259999999999E-2</v>
      </c>
      <c r="R7344">
        <v>-0.99581830000000005</v>
      </c>
      <c r="S7344">
        <v>0.35226439999999998</v>
      </c>
      <c r="T7344">
        <v>-0.35327330000000001</v>
      </c>
      <c r="U7344">
        <v>-2.980194</v>
      </c>
      <c r="V7344">
        <v>-1.4315E-2</v>
      </c>
      <c r="W7344">
        <v>-7.7631119999999998E-2</v>
      </c>
      <c r="X7344">
        <v>0.99687939999999997</v>
      </c>
      <c r="Y7344">
        <v>-0.13035459999999999</v>
      </c>
      <c r="Z7344">
        <v>0.1030877</v>
      </c>
      <c r="AA7344">
        <v>0.98609360000000001</v>
      </c>
      <c r="AB7344">
        <v>15</v>
      </c>
      <c r="AC7344">
        <v>1.1199999999999399</v>
      </c>
      <c r="AD7344">
        <v>-1.121231857525</v>
      </c>
      <c r="AE7344">
        <v>-9.30504</v>
      </c>
      <c r="AF7344">
        <v>-1.23087728596955</v>
      </c>
      <c r="AG7344">
        <v>-1.121231857525</v>
      </c>
      <c r="AH7344">
        <v>9.1576064100577597</v>
      </c>
      <c r="AI7344">
        <v>96.918786486321196</v>
      </c>
      <c r="AJ7344">
        <v>97.655266673116003</v>
      </c>
      <c r="AK7344">
        <v>9.3077373691448599</v>
      </c>
      <c r="AL7344">
        <v>94.452415235080196</v>
      </c>
      <c r="AM7344">
        <v>90.822700032954401</v>
      </c>
      <c r="AN7344">
        <v>1.0000000240808999</v>
      </c>
    </row>
    <row r="7345" spans="1:40" x14ac:dyDescent="0.25">
      <c r="A7345" t="str">
        <f>"20190303154326249"</f>
        <v>20190303154326249</v>
      </c>
      <c r="B7345" t="str">
        <f>"1551599006237977"</f>
        <v>1551599006237977</v>
      </c>
      <c r="C7345" t="s">
        <v>40</v>
      </c>
      <c r="D7345">
        <v>5.5329449999999998</v>
      </c>
      <c r="E7345">
        <v>0.45526549999999999</v>
      </c>
      <c r="F7345" t="s">
        <v>58</v>
      </c>
      <c r="G7345">
        <v>-300.50069999999999</v>
      </c>
      <c r="H7345" s="1">
        <v>-1.9283720000000001E-6</v>
      </c>
      <c r="I7345">
        <v>-43.301029999999997</v>
      </c>
      <c r="J7345">
        <v>-301.62599999999998</v>
      </c>
      <c r="K7345">
        <v>1.121218</v>
      </c>
      <c r="L7345">
        <v>-34.028840000000002</v>
      </c>
      <c r="M7345">
        <v>-1.365972E-2</v>
      </c>
      <c r="N7345">
        <v>-1.3777650000000001E-2</v>
      </c>
      <c r="O7345">
        <v>-0.99981189999999998</v>
      </c>
      <c r="P7345">
        <v>1.913412E-4</v>
      </c>
      <c r="Q7345">
        <v>-9.2228599999999994E-2</v>
      </c>
      <c r="R7345">
        <v>-0.99573820000000002</v>
      </c>
      <c r="S7345">
        <v>0.35549930000000002</v>
      </c>
      <c r="T7345">
        <v>-0.35478589999999999</v>
      </c>
      <c r="U7345">
        <v>-2.9798580000000001</v>
      </c>
      <c r="V7345">
        <v>-1.378356E-2</v>
      </c>
      <c r="W7345">
        <v>-7.8504060000000001E-2</v>
      </c>
      <c r="X7345">
        <v>0.99681850000000005</v>
      </c>
      <c r="Y7345">
        <v>-0.1312575</v>
      </c>
      <c r="Z7345">
        <v>0.10358439999999999</v>
      </c>
      <c r="AA7345">
        <v>0.98592170000000001</v>
      </c>
      <c r="AB7345">
        <v>15</v>
      </c>
      <c r="AC7345">
        <v>1.12529999999998</v>
      </c>
      <c r="AD7345">
        <v>-1.1212199283719999</v>
      </c>
      <c r="AE7345">
        <v>-9.2721899999999895</v>
      </c>
      <c r="AF7345">
        <v>-1.23407931465298</v>
      </c>
      <c r="AG7345">
        <v>-1.1212199283719999</v>
      </c>
      <c r="AH7345">
        <v>9.1244675493949092</v>
      </c>
      <c r="AI7345">
        <v>96.942832611734801</v>
      </c>
      <c r="AJ7345">
        <v>97.702484518789404</v>
      </c>
      <c r="AK7345">
        <v>9.2755589558038896</v>
      </c>
      <c r="AL7345">
        <v>94.502584243165501</v>
      </c>
      <c r="AM7345">
        <v>90.792209903177906</v>
      </c>
      <c r="AN7345">
        <v>0.99999999795250305</v>
      </c>
    </row>
    <row r="7346" spans="1:40" x14ac:dyDescent="0.25">
      <c r="A7346" t="str">
        <f>"20190303154326272"</f>
        <v>20190303154326272</v>
      </c>
      <c r="B7346" t="str">
        <f>"1551599006267257"</f>
        <v>1551599006267257</v>
      </c>
      <c r="C7346" t="s">
        <v>40</v>
      </c>
      <c r="D7346">
        <v>5.5427400000000002</v>
      </c>
      <c r="E7346">
        <v>0.45473799999999998</v>
      </c>
      <c r="F7346" t="s">
        <v>58</v>
      </c>
      <c r="G7346">
        <v>-300.50689999999997</v>
      </c>
      <c r="H7346" s="1">
        <v>-1.9748889999999998E-6</v>
      </c>
      <c r="I7346">
        <v>-43.37285</v>
      </c>
      <c r="J7346">
        <v>-301.62790000000001</v>
      </c>
      <c r="K7346">
        <v>1.1212120000000001</v>
      </c>
      <c r="L7346">
        <v>-34.180689999999998</v>
      </c>
      <c r="M7346">
        <v>-1.3492209999999999E-2</v>
      </c>
      <c r="N7346">
        <v>-1.377372E-2</v>
      </c>
      <c r="O7346">
        <v>-0.99981399999999998</v>
      </c>
      <c r="P7346" s="1">
        <v>1.230987E-5</v>
      </c>
      <c r="Q7346">
        <v>-9.2534359999999996E-2</v>
      </c>
      <c r="R7346">
        <v>-0.99570959999999997</v>
      </c>
      <c r="S7346">
        <v>0.35687259999999998</v>
      </c>
      <c r="T7346">
        <v>-0.35753790000000002</v>
      </c>
      <c r="U7346">
        <v>-2.9796450000000001</v>
      </c>
      <c r="V7346">
        <v>-1.3437670000000001E-2</v>
      </c>
      <c r="W7346">
        <v>-7.881399E-2</v>
      </c>
      <c r="X7346">
        <v>0.99679879999999998</v>
      </c>
      <c r="Y7346">
        <v>-0.1315355</v>
      </c>
      <c r="Z7346">
        <v>0.1044901</v>
      </c>
      <c r="AA7346">
        <v>0.98578909999999997</v>
      </c>
      <c r="AB7346">
        <v>15</v>
      </c>
      <c r="AC7346">
        <v>1.12100000000003</v>
      </c>
      <c r="AD7346">
        <v>-1.121213974889</v>
      </c>
      <c r="AE7346">
        <v>-9.1921599999999906</v>
      </c>
      <c r="AF7346">
        <v>-1.2269453997620301</v>
      </c>
      <c r="AG7346">
        <v>-1.121213974889</v>
      </c>
      <c r="AH7346">
        <v>9.0436185458848808</v>
      </c>
      <c r="AI7346">
        <v>97.003862458527394</v>
      </c>
      <c r="AJ7346">
        <v>97.726131001316304</v>
      </c>
      <c r="AK7346">
        <v>9.1950830444839706</v>
      </c>
      <c r="AL7346">
        <v>94.520396962507604</v>
      </c>
      <c r="AM7346">
        <v>90.772347581681103</v>
      </c>
      <c r="AN7346">
        <v>1.0000000318380899</v>
      </c>
    </row>
    <row r="7347" spans="1:40" x14ac:dyDescent="0.25">
      <c r="A7347" t="str">
        <f>"20190303154326298"</f>
        <v>20190303154326298</v>
      </c>
      <c r="B7347" t="str">
        <f>"1551599006287954"</f>
        <v>1551599006287954</v>
      </c>
      <c r="C7347" t="s">
        <v>40</v>
      </c>
      <c r="D7347">
        <v>5.510408</v>
      </c>
      <c r="E7347">
        <v>0.45442189999999999</v>
      </c>
      <c r="F7347" t="s">
        <v>58</v>
      </c>
      <c r="G7347">
        <v>-300.50150000000002</v>
      </c>
      <c r="H7347" s="1">
        <v>-2.0470749999999998E-6</v>
      </c>
      <c r="I7347">
        <v>-43.487589999999997</v>
      </c>
      <c r="J7347">
        <v>-301.62990000000002</v>
      </c>
      <c r="K7347">
        <v>1.1212150000000001</v>
      </c>
      <c r="L7347">
        <v>-34.34695</v>
      </c>
      <c r="M7347">
        <v>-1.3309659999999999E-2</v>
      </c>
      <c r="N7347">
        <v>-1.376951E-2</v>
      </c>
      <c r="O7347">
        <v>-0.9998167</v>
      </c>
      <c r="P7347" s="1">
        <v>1.9439380000000001E-5</v>
      </c>
      <c r="Q7347">
        <v>-9.3255539999999998E-2</v>
      </c>
      <c r="R7347">
        <v>-0.99564240000000004</v>
      </c>
      <c r="S7347">
        <v>0.36059570000000002</v>
      </c>
      <c r="T7347">
        <v>-0.35895050000000001</v>
      </c>
      <c r="U7347">
        <v>-2.9795530000000001</v>
      </c>
      <c r="V7347">
        <v>-1.326199E-2</v>
      </c>
      <c r="W7347">
        <v>-7.9540159999999999E-2</v>
      </c>
      <c r="X7347">
        <v>0.99674339999999995</v>
      </c>
      <c r="Y7347">
        <v>-0.13256519999999999</v>
      </c>
      <c r="Z7347">
        <v>0.1049426</v>
      </c>
      <c r="AA7347">
        <v>0.98560320000000001</v>
      </c>
      <c r="AB7347">
        <v>15</v>
      </c>
      <c r="AC7347">
        <v>1.1283999999999901</v>
      </c>
      <c r="AD7347">
        <v>-1.121217047075</v>
      </c>
      <c r="AE7347">
        <v>-9.1406399999999994</v>
      </c>
      <c r="AF7347">
        <v>-1.23171593814313</v>
      </c>
      <c r="AG7347">
        <v>-1.121217047075</v>
      </c>
      <c r="AH7347">
        <v>8.9915524479982007</v>
      </c>
      <c r="AI7347">
        <v>97.042803285343297</v>
      </c>
      <c r="AJ7347">
        <v>97.800165521490399</v>
      </c>
      <c r="AK7347">
        <v>9.1445211599093508</v>
      </c>
      <c r="AL7347">
        <v>94.562134792271905</v>
      </c>
      <c r="AM7347">
        <v>90.762293705892802</v>
      </c>
      <c r="AN7347">
        <v>0.99999996143757197</v>
      </c>
    </row>
    <row r="7348" spans="1:40" x14ac:dyDescent="0.25">
      <c r="A7348" t="str">
        <f>"20190303154326324"</f>
        <v>20190303154326324</v>
      </c>
      <c r="B7348" t="str">
        <f>"1551599006317233"</f>
        <v>1551599006317233</v>
      </c>
      <c r="C7348" t="s">
        <v>40</v>
      </c>
      <c r="D7348">
        <v>5.4811379999999996</v>
      </c>
      <c r="E7348">
        <v>0.45411509999999999</v>
      </c>
      <c r="F7348" t="s">
        <v>58</v>
      </c>
      <c r="G7348">
        <v>-300.5027</v>
      </c>
      <c r="H7348" s="1">
        <v>-2.1160090000000002E-6</v>
      </c>
      <c r="I7348">
        <v>-43.595779999999998</v>
      </c>
      <c r="J7348">
        <v>-301.63189999999997</v>
      </c>
      <c r="K7348">
        <v>1.1212120000000001</v>
      </c>
      <c r="L7348">
        <v>-34.516330000000004</v>
      </c>
      <c r="M7348">
        <v>-1.312342E-2</v>
      </c>
      <c r="N7348">
        <v>-1.376519E-2</v>
      </c>
      <c r="O7348">
        <v>-0.99981929999999997</v>
      </c>
      <c r="P7348">
        <v>7.7509369999999897E-4</v>
      </c>
      <c r="Q7348">
        <v>-9.3388269999999995E-2</v>
      </c>
      <c r="R7348">
        <v>-0.99562980000000001</v>
      </c>
      <c r="S7348">
        <v>0.36309809999999998</v>
      </c>
      <c r="T7348">
        <v>-0.3611724</v>
      </c>
      <c r="U7348">
        <v>-2.979279</v>
      </c>
      <c r="V7348">
        <v>-1.3832179999999999E-2</v>
      </c>
      <c r="W7348">
        <v>-7.9677510000000007E-2</v>
      </c>
      <c r="X7348">
        <v>0.99672470000000002</v>
      </c>
      <c r="Y7348">
        <v>-0.1331966</v>
      </c>
      <c r="Z7348">
        <v>0.10567219999999999</v>
      </c>
      <c r="AA7348">
        <v>0.98543999999999998</v>
      </c>
      <c r="AB7348">
        <v>15</v>
      </c>
      <c r="AC7348">
        <v>1.12919999999996</v>
      </c>
      <c r="AD7348">
        <v>-1.1212141160089999</v>
      </c>
      <c r="AE7348">
        <v>-9.0794499999999996</v>
      </c>
      <c r="AF7348">
        <v>-1.2297991777505899</v>
      </c>
      <c r="AG7348">
        <v>-1.1212141160089999</v>
      </c>
      <c r="AH7348">
        <v>8.9297468796387598</v>
      </c>
      <c r="AI7348">
        <v>97.090341836667307</v>
      </c>
      <c r="AJ7348">
        <v>97.841412295163195</v>
      </c>
      <c r="AK7348">
        <v>9.0834963778245701</v>
      </c>
      <c r="AL7348">
        <v>94.570029333547097</v>
      </c>
      <c r="AM7348">
        <v>90.795078785733693</v>
      </c>
      <c r="AN7348">
        <v>0.99999998119672096</v>
      </c>
    </row>
    <row r="7349" spans="1:40" x14ac:dyDescent="0.25">
      <c r="A7349" t="str">
        <f>"20190303154326344"</f>
        <v>20190303154326344</v>
      </c>
      <c r="B7349" t="str">
        <f>"1551599006337729"</f>
        <v>1551599006337729</v>
      </c>
      <c r="C7349" t="s">
        <v>40</v>
      </c>
      <c r="D7349">
        <v>5.4946960000000002</v>
      </c>
      <c r="E7349">
        <v>0.4539009</v>
      </c>
      <c r="F7349" t="s">
        <v>58</v>
      </c>
      <c r="G7349">
        <v>-300.48739999999998</v>
      </c>
      <c r="H7349" s="1">
        <v>-2.2363909999999998E-6</v>
      </c>
      <c r="I7349">
        <v>-43.788530000000002</v>
      </c>
      <c r="J7349">
        <v>-301.63369999999998</v>
      </c>
      <c r="K7349">
        <v>1.121211</v>
      </c>
      <c r="L7349">
        <v>-34.660919999999997</v>
      </c>
      <c r="M7349">
        <v>-1.2964399999999999E-2</v>
      </c>
      <c r="N7349">
        <v>-1.3761550000000001E-2</v>
      </c>
      <c r="O7349">
        <v>-0.99982139999999997</v>
      </c>
      <c r="P7349">
        <v>2.0008059999999999E-3</v>
      </c>
      <c r="Q7349">
        <v>-9.3469109999999994E-2</v>
      </c>
      <c r="R7349">
        <v>-0.99562039999999996</v>
      </c>
      <c r="S7349">
        <v>0.36773679999999997</v>
      </c>
      <c r="T7349">
        <v>-0.36023830000000001</v>
      </c>
      <c r="U7349">
        <v>-2.979095</v>
      </c>
      <c r="V7349">
        <v>-1.489906E-2</v>
      </c>
      <c r="W7349">
        <v>-7.9762410000000006E-2</v>
      </c>
      <c r="X7349">
        <v>0.99670259999999999</v>
      </c>
      <c r="Y7349">
        <v>-0.13456089999999901</v>
      </c>
      <c r="Z7349">
        <v>0.1053564</v>
      </c>
      <c r="AA7349">
        <v>0.98528850000000001</v>
      </c>
      <c r="AB7349">
        <v>15</v>
      </c>
      <c r="AC7349">
        <v>1.1462999999999901</v>
      </c>
      <c r="AD7349">
        <v>-1.1212132363909999</v>
      </c>
      <c r="AE7349">
        <v>-9.12760999999999</v>
      </c>
      <c r="AF7349">
        <v>-1.24603918865579</v>
      </c>
      <c r="AG7349">
        <v>-1.1212132363909999</v>
      </c>
      <c r="AH7349">
        <v>8.9786050924379008</v>
      </c>
      <c r="AI7349">
        <v>97.051139761029305</v>
      </c>
      <c r="AJ7349">
        <v>97.900969021074502</v>
      </c>
      <c r="AK7349">
        <v>9.1337332010014496</v>
      </c>
      <c r="AL7349">
        <v>94.574908968422406</v>
      </c>
      <c r="AM7349">
        <v>90.856413619657701</v>
      </c>
      <c r="AN7349">
        <v>1.0000000484423199</v>
      </c>
    </row>
    <row r="7350" spans="1:40" x14ac:dyDescent="0.25">
      <c r="A7350" t="str">
        <f>"20190303154326363"</f>
        <v>20190303154326363</v>
      </c>
      <c r="B7350" t="str">
        <f>"1551599006357249"</f>
        <v>1551599006357249</v>
      </c>
      <c r="C7350" t="s">
        <v>40</v>
      </c>
      <c r="D7350">
        <v>5.6260529999999997</v>
      </c>
      <c r="E7350">
        <v>0.45385880000000001</v>
      </c>
      <c r="F7350" t="s">
        <v>58</v>
      </c>
      <c r="G7350">
        <v>-300.47269999999997</v>
      </c>
      <c r="H7350" s="1">
        <v>-2.3211499999999998E-6</v>
      </c>
      <c r="I7350">
        <v>-43.925109999999997</v>
      </c>
      <c r="J7350">
        <v>-301.63499999999999</v>
      </c>
      <c r="K7350">
        <v>1.1212089999999999</v>
      </c>
      <c r="L7350">
        <v>-34.778779999999998</v>
      </c>
      <c r="M7350">
        <v>-1.2834440000000001E-2</v>
      </c>
      <c r="N7350">
        <v>-1.3758589999999999E-2</v>
      </c>
      <c r="O7350">
        <v>-0.99982309999999996</v>
      </c>
      <c r="P7350">
        <v>3.3247910000000001E-3</v>
      </c>
      <c r="Q7350">
        <v>-9.322018E-2</v>
      </c>
      <c r="R7350">
        <v>-0.99563999999999997</v>
      </c>
      <c r="S7350">
        <v>0.37329099999999998</v>
      </c>
      <c r="T7350">
        <v>-0.3604908</v>
      </c>
      <c r="U7350">
        <v>-2.9786069999999998</v>
      </c>
      <c r="V7350">
        <v>-1.6093710000000001E-2</v>
      </c>
      <c r="W7350">
        <v>-7.9516530000000002E-2</v>
      </c>
      <c r="X7350">
        <v>0.99670360000000002</v>
      </c>
      <c r="Y7350">
        <v>-0.1362582</v>
      </c>
      <c r="Z7350">
        <v>0.10543370000000001</v>
      </c>
      <c r="AA7350">
        <v>0.98504689999999995</v>
      </c>
      <c r="AB7350">
        <v>15</v>
      </c>
      <c r="AC7350">
        <v>1.1623000000000101</v>
      </c>
      <c r="AD7350">
        <v>-1.1212113211499899</v>
      </c>
      <c r="AE7350">
        <v>-9.1463300000000007</v>
      </c>
      <c r="AF7350">
        <v>-1.2609557374898299</v>
      </c>
      <c r="AG7350">
        <v>-1.1212113211499899</v>
      </c>
      <c r="AH7350">
        <v>8.9975967614281593</v>
      </c>
      <c r="AI7350">
        <v>97.035093475353506</v>
      </c>
      <c r="AJ7350">
        <v>97.977680595993803</v>
      </c>
      <c r="AK7350">
        <v>9.15444545998532</v>
      </c>
      <c r="AL7350">
        <v>94.560776523752395</v>
      </c>
      <c r="AM7350">
        <v>90.9250709382042</v>
      </c>
      <c r="AN7350">
        <v>0.99999997614888203</v>
      </c>
    </row>
    <row r="7351" spans="1:40" x14ac:dyDescent="0.25">
      <c r="A7351" t="str">
        <f>"20190303154326384"</f>
        <v>20190303154326384</v>
      </c>
      <c r="B7351" t="str">
        <f>"1551599006377746"</f>
        <v>1551599006377746</v>
      </c>
      <c r="C7351" t="s">
        <v>40</v>
      </c>
      <c r="D7351">
        <v>5.4768160000000004</v>
      </c>
      <c r="E7351">
        <v>0.45388089999999998</v>
      </c>
      <c r="F7351" t="s">
        <v>58</v>
      </c>
      <c r="G7351">
        <v>-300.45580000000001</v>
      </c>
      <c r="H7351" s="1">
        <v>-2.4186929999999998E-6</v>
      </c>
      <c r="I7351">
        <v>-44.082259999999998</v>
      </c>
      <c r="J7351">
        <v>-301.63670000000002</v>
      </c>
      <c r="K7351">
        <v>1.1212139999999999</v>
      </c>
      <c r="L7351">
        <v>-34.926270000000002</v>
      </c>
      <c r="M7351">
        <v>-1.2672279999999999E-2</v>
      </c>
      <c r="N7351">
        <v>-1.37549E-2</v>
      </c>
      <c r="O7351">
        <v>-0.99982550000000003</v>
      </c>
      <c r="P7351">
        <v>4.4937120000000004E-3</v>
      </c>
      <c r="Q7351">
        <v>-9.3261319999999995E-2</v>
      </c>
      <c r="R7351">
        <v>-0.99563190000000001</v>
      </c>
      <c r="S7351">
        <v>0.37750240000000002</v>
      </c>
      <c r="T7351">
        <v>-0.3589272</v>
      </c>
      <c r="U7351">
        <v>-2.9782709999999999</v>
      </c>
      <c r="V7351">
        <v>-1.7101680000000001E-2</v>
      </c>
      <c r="W7351">
        <v>-7.9561729999999997E-2</v>
      </c>
      <c r="X7351">
        <v>0.99668319999999999</v>
      </c>
      <c r="Y7351">
        <v>-0.13748850000000001</v>
      </c>
      <c r="Z7351">
        <v>0.1049204</v>
      </c>
      <c r="AA7351">
        <v>0.9849308</v>
      </c>
      <c r="AB7351">
        <v>15</v>
      </c>
      <c r="AC7351">
        <v>1.1809000000000001</v>
      </c>
      <c r="AD7351">
        <v>-1.121216418693</v>
      </c>
      <c r="AE7351">
        <v>-9.1559899999999903</v>
      </c>
      <c r="AF7351">
        <v>-1.27799247886628</v>
      </c>
      <c r="AG7351">
        <v>-1.121216418693</v>
      </c>
      <c r="AH7351">
        <v>9.0074255720431697</v>
      </c>
      <c r="AI7351">
        <v>97.025853168520797</v>
      </c>
      <c r="AJ7351">
        <v>98.075346516663501</v>
      </c>
      <c r="AK7351">
        <v>9.1664664112995506</v>
      </c>
      <c r="AL7351">
        <v>94.563374558009599</v>
      </c>
      <c r="AM7351">
        <v>90.983018417065296</v>
      </c>
      <c r="AN7351">
        <v>0.99999996875082697</v>
      </c>
    </row>
    <row r="7352" spans="1:40" x14ac:dyDescent="0.25">
      <c r="A7352" t="str">
        <f>"20190303154326407"</f>
        <v>20190303154326407</v>
      </c>
      <c r="B7352" t="str">
        <f>"1551599006397265"</f>
        <v>1551599006397265</v>
      </c>
      <c r="C7352" t="s">
        <v>40</v>
      </c>
      <c r="D7352">
        <v>5.5649410000000001</v>
      </c>
      <c r="E7352">
        <v>0.47721350000000001</v>
      </c>
      <c r="F7352" t="s">
        <v>58</v>
      </c>
      <c r="G7352">
        <v>-300.44200000000001</v>
      </c>
      <c r="H7352" s="1">
        <v>-2.5359539999999999E-6</v>
      </c>
      <c r="I7352">
        <v>-44.269759999999998</v>
      </c>
      <c r="J7352">
        <v>-301.63839999999999</v>
      </c>
      <c r="K7352">
        <v>1.12121</v>
      </c>
      <c r="L7352">
        <v>-35.07199</v>
      </c>
      <c r="M7352">
        <v>-1.251207E-2</v>
      </c>
      <c r="N7352">
        <v>-1.375122E-2</v>
      </c>
      <c r="O7352">
        <v>-0.99982709999999997</v>
      </c>
      <c r="P7352">
        <v>5.099676E-3</v>
      </c>
      <c r="Q7352">
        <v>-9.2788899999999994E-2</v>
      </c>
      <c r="R7352">
        <v>-0.99567300000000003</v>
      </c>
      <c r="S7352">
        <v>0.38079829999999998</v>
      </c>
      <c r="T7352">
        <v>-0.35735519999999998</v>
      </c>
      <c r="U7352">
        <v>-2.9779659999999999</v>
      </c>
      <c r="V7352">
        <v>-1.75485999999999E-2</v>
      </c>
      <c r="W7352">
        <v>-7.9092579999999996E-2</v>
      </c>
      <c r="X7352">
        <v>0.99671279999999995</v>
      </c>
      <c r="Y7352">
        <v>-0.13842160000000001</v>
      </c>
      <c r="Z7352">
        <v>0.1044076</v>
      </c>
      <c r="AA7352">
        <v>0.98485460000000002</v>
      </c>
      <c r="AB7352">
        <v>15</v>
      </c>
      <c r="AC7352">
        <v>1.1963999999999799</v>
      </c>
      <c r="AD7352">
        <v>-1.1212125359539999</v>
      </c>
      <c r="AE7352">
        <v>-9.1977699999999896</v>
      </c>
      <c r="AF7352">
        <v>-1.29251352020244</v>
      </c>
      <c r="AG7352">
        <v>-1.1212125359539999</v>
      </c>
      <c r="AH7352">
        <v>9.0498383440735193</v>
      </c>
      <c r="AI7352">
        <v>96.992321108679604</v>
      </c>
      <c r="AJ7352">
        <v>98.128113617393097</v>
      </c>
      <c r="AK7352">
        <v>9.2101727890713292</v>
      </c>
      <c r="AL7352">
        <v>94.536409133214306</v>
      </c>
      <c r="AM7352">
        <v>91.008672550505807</v>
      </c>
      <c r="AN7352">
        <v>0.99999999762842795</v>
      </c>
    </row>
    <row r="7353" spans="1:40" x14ac:dyDescent="0.25">
      <c r="A7353" t="str">
        <f>"20190303154326428"</f>
        <v>20190303154326428</v>
      </c>
      <c r="B7353" t="str">
        <f>"1551599006417762"</f>
        <v>1551599006417762</v>
      </c>
      <c r="C7353" t="s">
        <v>40</v>
      </c>
      <c r="D7353">
        <v>5.433694</v>
      </c>
      <c r="E7353">
        <v>0.49394949999999999</v>
      </c>
      <c r="F7353" t="s">
        <v>58</v>
      </c>
      <c r="G7353">
        <v>-300.83159999999998</v>
      </c>
      <c r="H7353" s="1">
        <v>-4.199669E-6</v>
      </c>
      <c r="I7353">
        <v>-47.292050000000003</v>
      </c>
      <c r="J7353">
        <v>-301.64</v>
      </c>
      <c r="K7353">
        <v>1.1212040000000001</v>
      </c>
      <c r="L7353">
        <v>-35.215969999999999</v>
      </c>
      <c r="M7353">
        <v>-1.235355E-2</v>
      </c>
      <c r="N7353">
        <v>-1.3747590000000001E-2</v>
      </c>
      <c r="O7353">
        <v>-0.99982930000000003</v>
      </c>
      <c r="P7353">
        <v>5.593158E-3</v>
      </c>
      <c r="Q7353">
        <v>-9.3301560000000006E-2</v>
      </c>
      <c r="R7353">
        <v>-0.99562249999999997</v>
      </c>
      <c r="S7353">
        <v>0.19717409999999999</v>
      </c>
      <c r="T7353">
        <v>-0.27401540000000002</v>
      </c>
      <c r="U7353">
        <v>-2.9864809999999999</v>
      </c>
      <c r="V7353">
        <v>-1.7883400000000001E-2</v>
      </c>
      <c r="W7353">
        <v>-7.9609570000000004E-2</v>
      </c>
      <c r="X7353">
        <v>0.99666569999999999</v>
      </c>
      <c r="Y7353">
        <v>-7.7947420000000003E-2</v>
      </c>
      <c r="Z7353">
        <v>7.7415960000000006E-2</v>
      </c>
      <c r="AA7353">
        <v>0.99394709999999997</v>
      </c>
      <c r="AB7353">
        <v>15</v>
      </c>
      <c r="AC7353">
        <v>0.808400000000006</v>
      </c>
      <c r="AD7353">
        <v>-1.121208199669</v>
      </c>
      <c r="AE7353">
        <v>-12.076079999999999</v>
      </c>
      <c r="AF7353">
        <v>-0.949387381959095</v>
      </c>
      <c r="AG7353">
        <v>-1.121208199669</v>
      </c>
      <c r="AH7353">
        <v>11.962510816779901</v>
      </c>
      <c r="AI7353">
        <v>95.337822431346794</v>
      </c>
      <c r="AJ7353">
        <v>94.537685699737096</v>
      </c>
      <c r="AK7353">
        <v>12.0523901890706</v>
      </c>
      <c r="AL7353">
        <v>94.566124128001604</v>
      </c>
      <c r="AM7353">
        <v>91.027960930180697</v>
      </c>
      <c r="AN7353">
        <v>1.0000000085938101</v>
      </c>
    </row>
    <row r="7354" spans="1:40" x14ac:dyDescent="0.25">
      <c r="A7354" t="str">
        <f>"20190303154326451"</f>
        <v>20190303154326451</v>
      </c>
      <c r="B7354" t="str">
        <f>"1551599006448017"</f>
        <v>1551599006448017</v>
      </c>
      <c r="C7354" t="s">
        <v>40</v>
      </c>
      <c r="D7354">
        <v>5.4395040000000003</v>
      </c>
      <c r="E7354">
        <v>0.5020329</v>
      </c>
      <c r="F7354" t="s">
        <v>58</v>
      </c>
      <c r="G7354">
        <v>-301.291</v>
      </c>
      <c r="H7354" s="1">
        <v>-6.1232979999999998E-6</v>
      </c>
      <c r="I7354">
        <v>-51.173450000000003</v>
      </c>
      <c r="J7354">
        <v>-301.64170000000001</v>
      </c>
      <c r="K7354">
        <v>1.1212059999999999</v>
      </c>
      <c r="L7354">
        <v>-35.365600000000001</v>
      </c>
      <c r="M7354">
        <v>-1.218882E-2</v>
      </c>
      <c r="N7354">
        <v>-1.3743790000000001E-2</v>
      </c>
      <c r="O7354">
        <v>-0.99983140000000004</v>
      </c>
      <c r="P7354">
        <v>4.4082959999999999E-3</v>
      </c>
      <c r="Q7354">
        <v>-9.4387520000000003E-2</v>
      </c>
      <c r="R7354">
        <v>-0.99552609999999997</v>
      </c>
      <c r="S7354">
        <v>6.5460210000000005E-2</v>
      </c>
      <c r="T7354">
        <v>-0.21030460000000001</v>
      </c>
      <c r="U7354">
        <v>-2.993134</v>
      </c>
      <c r="V7354">
        <v>-1.653365E-2</v>
      </c>
      <c r="W7354">
        <v>-8.0700129999999995E-2</v>
      </c>
      <c r="X7354">
        <v>0.99660130000000002</v>
      </c>
      <c r="Y7354">
        <v>-3.399597E-2</v>
      </c>
      <c r="Z7354">
        <v>5.6334719999999998E-2</v>
      </c>
      <c r="AA7354">
        <v>0.99783299999999997</v>
      </c>
      <c r="AB7354">
        <v>15</v>
      </c>
      <c r="AC7354">
        <v>0.350700000000017</v>
      </c>
      <c r="AD7354">
        <v>-1.1212121232979999</v>
      </c>
      <c r="AE7354">
        <v>-15.80785</v>
      </c>
      <c r="AF7354">
        <v>-0.54065262092650901</v>
      </c>
      <c r="AG7354">
        <v>-1.1212121232979999</v>
      </c>
      <c r="AH7354">
        <v>15.723339674737799</v>
      </c>
      <c r="AI7354">
        <v>94.0763868277933</v>
      </c>
      <c r="AJ7354">
        <v>91.969359819978393</v>
      </c>
      <c r="AK7354">
        <v>15.772534115009201</v>
      </c>
      <c r="AL7354">
        <v>94.628810298368805</v>
      </c>
      <c r="AM7354">
        <v>90.950451770739605</v>
      </c>
      <c r="AN7354">
        <v>1.0000000118630099</v>
      </c>
    </row>
    <row r="7355" spans="1:40" x14ac:dyDescent="0.25">
      <c r="A7355" t="str">
        <f>"20190303154326473"</f>
        <v>20190303154326473</v>
      </c>
      <c r="B7355" t="str">
        <f>"1551599006467538"</f>
        <v>1551599006467538</v>
      </c>
      <c r="C7355" t="s">
        <v>40</v>
      </c>
      <c r="D7355">
        <v>5.418075</v>
      </c>
      <c r="E7355">
        <v>0.50460850000000002</v>
      </c>
      <c r="F7355" t="s">
        <v>58</v>
      </c>
      <c r="G7355">
        <v>-301.65449999999998</v>
      </c>
      <c r="H7355" s="1">
        <v>-7.3768110000000003E-6</v>
      </c>
      <c r="I7355">
        <v>-54.199260000000002</v>
      </c>
      <c r="J7355">
        <v>-301.64330000000001</v>
      </c>
      <c r="K7355">
        <v>1.1212029999999999</v>
      </c>
      <c r="L7355">
        <v>-35.510559999999998</v>
      </c>
      <c r="M7355">
        <v>-1.2029049999999999E-2</v>
      </c>
      <c r="N7355">
        <v>-1.374009E-2</v>
      </c>
      <c r="O7355">
        <v>-0.99983330000000004</v>
      </c>
      <c r="P7355">
        <v>3.0400010000000001E-3</v>
      </c>
      <c r="Q7355">
        <v>-9.5331239999999998E-2</v>
      </c>
      <c r="R7355">
        <v>-0.99544120000000003</v>
      </c>
      <c r="S7355">
        <v>-2.0446779999999999E-3</v>
      </c>
      <c r="T7355">
        <v>-0.17839379999999999</v>
      </c>
      <c r="U7355">
        <v>-2.9965820000000001</v>
      </c>
      <c r="V7355">
        <v>-1.500512E-2</v>
      </c>
      <c r="W7355">
        <v>-8.1648129999999999E-2</v>
      </c>
      <c r="X7355">
        <v>0.9965482</v>
      </c>
      <c r="Y7355">
        <v>-1.13429E-2</v>
      </c>
      <c r="Z7355">
        <v>4.5697509999999997E-2</v>
      </c>
      <c r="AA7355">
        <v>0.99889090000000003</v>
      </c>
      <c r="AB7355">
        <v>15</v>
      </c>
      <c r="AC7355">
        <v>-1.1199999999973899E-2</v>
      </c>
      <c r="AD7355">
        <v>-1.121210376811</v>
      </c>
      <c r="AE7355">
        <v>-18.688700000000001</v>
      </c>
      <c r="AF7355">
        <v>-0.21286317330293</v>
      </c>
      <c r="AG7355">
        <v>-1.121210376811</v>
      </c>
      <c r="AH7355">
        <v>18.620462030784399</v>
      </c>
      <c r="AI7355">
        <v>93.445616416229697</v>
      </c>
      <c r="AJ7355">
        <v>90.654958517528797</v>
      </c>
      <c r="AK7355">
        <v>18.6554021580748</v>
      </c>
      <c r="AL7355">
        <v>94.683306863894103</v>
      </c>
      <c r="AM7355">
        <v>90.862642754641797</v>
      </c>
      <c r="AN7355">
        <v>0.99999994284097404</v>
      </c>
    </row>
    <row r="7356" spans="1:40" x14ac:dyDescent="0.25">
      <c r="A7356" t="str">
        <f>"20190303154326496"</f>
        <v>20190303154326496</v>
      </c>
      <c r="B7356" t="str">
        <f>"1551599006488032"</f>
        <v>1551599006488032</v>
      </c>
      <c r="C7356" t="s">
        <v>40</v>
      </c>
      <c r="D7356">
        <v>5.4034190000000004</v>
      </c>
      <c r="E7356">
        <v>0.5062392</v>
      </c>
      <c r="F7356" t="s">
        <v>58</v>
      </c>
      <c r="G7356">
        <v>-301.822</v>
      </c>
      <c r="H7356" s="1">
        <v>-7.8530489999999999E-6</v>
      </c>
      <c r="I7356">
        <v>-55.344650000000001</v>
      </c>
      <c r="J7356">
        <v>-301.64490000000001</v>
      </c>
      <c r="K7356">
        <v>1.1212029999999999</v>
      </c>
      <c r="L7356">
        <v>-35.658839999999998</v>
      </c>
      <c r="M7356">
        <v>-1.1865280000000001E-2</v>
      </c>
      <c r="N7356">
        <v>-1.373636E-2</v>
      </c>
      <c r="O7356">
        <v>-0.99983549999999999</v>
      </c>
      <c r="P7356">
        <v>1.336715E-3</v>
      </c>
      <c r="Q7356">
        <v>-9.616181E-2</v>
      </c>
      <c r="R7356">
        <v>-0.9953651</v>
      </c>
      <c r="S7356">
        <v>-2.700806E-2</v>
      </c>
      <c r="T7356">
        <v>-0.1694522</v>
      </c>
      <c r="U7356">
        <v>-2.9975890000000001</v>
      </c>
      <c r="V7356">
        <v>-1.313812E-2</v>
      </c>
      <c r="W7356">
        <v>-8.248287E-2</v>
      </c>
      <c r="X7356">
        <v>0.99650589999999994</v>
      </c>
      <c r="Y7356">
        <v>-2.8638349999999999E-3</v>
      </c>
      <c r="Z7356">
        <v>4.271312E-2</v>
      </c>
      <c r="AA7356">
        <v>0.99908330000000001</v>
      </c>
      <c r="AB7356">
        <v>15</v>
      </c>
      <c r="AC7356">
        <v>-0.17709999999999501</v>
      </c>
      <c r="AD7356">
        <v>-1.1212108530489999</v>
      </c>
      <c r="AE7356">
        <v>-19.68581</v>
      </c>
      <c r="AF7356">
        <v>-5.63293859893889E-2</v>
      </c>
      <c r="AG7356">
        <v>-1.1212108530489999</v>
      </c>
      <c r="AH7356">
        <v>19.6228759207259</v>
      </c>
      <c r="AI7356">
        <v>93.270194089139196</v>
      </c>
      <c r="AJ7356">
        <v>90.164472691352103</v>
      </c>
      <c r="AK7356">
        <v>19.654962380450499</v>
      </c>
      <c r="AL7356">
        <v>94.731295444298297</v>
      </c>
      <c r="AM7356">
        <v>90.755354499897905</v>
      </c>
      <c r="AN7356">
        <v>1.0000000213876901</v>
      </c>
    </row>
    <row r="7357" spans="1:40" x14ac:dyDescent="0.25">
      <c r="A7357" t="str">
        <f>"20190303154326524"</f>
        <v>20190303154326524</v>
      </c>
      <c r="B7357" t="str">
        <f>"1551599006517313"</f>
        <v>1551599006517313</v>
      </c>
      <c r="C7357" t="s">
        <v>40</v>
      </c>
      <c r="D7357">
        <v>5.3962149999999998</v>
      </c>
      <c r="E7357">
        <v>0.50769179999999903</v>
      </c>
      <c r="F7357" t="s">
        <v>58</v>
      </c>
      <c r="G7357">
        <v>-301.94929999999999</v>
      </c>
      <c r="H7357" s="1">
        <v>-8.0948290000000001E-6</v>
      </c>
      <c r="I7357">
        <v>-55.92013</v>
      </c>
      <c r="J7357">
        <v>-301.64670000000001</v>
      </c>
      <c r="K7357">
        <v>1.1211990000000001</v>
      </c>
      <c r="L7357">
        <v>-35.834290000000003</v>
      </c>
      <c r="M7357">
        <v>-1.167092E-2</v>
      </c>
      <c r="N7357">
        <v>-1.373193E-2</v>
      </c>
      <c r="O7357">
        <v>-0.99983759999999999</v>
      </c>
      <c r="P7357">
        <v>2.226214E-4</v>
      </c>
      <c r="Q7357">
        <v>-9.6822850000000002E-2</v>
      </c>
      <c r="R7357">
        <v>-0.99530180000000001</v>
      </c>
      <c r="S7357">
        <v>-4.5043949999999999E-2</v>
      </c>
      <c r="T7357">
        <v>-0.1659031</v>
      </c>
      <c r="U7357">
        <v>-2.9980159999999998</v>
      </c>
      <c r="V7357">
        <v>-1.1829310000000001E-2</v>
      </c>
      <c r="W7357">
        <v>-8.3148730000000004E-2</v>
      </c>
      <c r="X7357">
        <v>0.99646690000000004</v>
      </c>
      <c r="Y7357">
        <v>3.3366110000000002E-3</v>
      </c>
      <c r="Z7357">
        <v>4.1529219999999999E-2</v>
      </c>
      <c r="AA7357">
        <v>0.99913169999999996</v>
      </c>
      <c r="AB7357">
        <v>15</v>
      </c>
      <c r="AC7357">
        <v>-0.30259999999998399</v>
      </c>
      <c r="AD7357">
        <v>-1.1212070948289901</v>
      </c>
      <c r="AE7357">
        <v>-20.085840000000001</v>
      </c>
      <c r="AF7357">
        <v>6.7925445513635302E-2</v>
      </c>
      <c r="AG7357">
        <v>-1.1212070948289901</v>
      </c>
      <c r="AH7357">
        <v>20.025618859054099</v>
      </c>
      <c r="AI7357">
        <v>93.204548488998995</v>
      </c>
      <c r="AJ7357">
        <v>89.805657620294397</v>
      </c>
      <c r="AK7357">
        <v>20.0570967466318</v>
      </c>
      <c r="AL7357">
        <v>94.769578194683206</v>
      </c>
      <c r="AM7357">
        <v>90.680140706782197</v>
      </c>
      <c r="AN7357">
        <v>0.999999963335648</v>
      </c>
    </row>
    <row r="7358" spans="1:40" x14ac:dyDescent="0.25">
      <c r="A7358" t="str">
        <f>"20190303154326543"</f>
        <v>20190303154326543</v>
      </c>
      <c r="B7358" t="str">
        <f>"1551599006537809"</f>
        <v>1551599006537809</v>
      </c>
      <c r="C7358" t="s">
        <v>40</v>
      </c>
      <c r="D7358">
        <v>5.369796</v>
      </c>
      <c r="E7358">
        <v>0.5084031</v>
      </c>
      <c r="F7358" t="s">
        <v>58</v>
      </c>
      <c r="G7358">
        <v>-302.06849999999997</v>
      </c>
      <c r="H7358" s="1">
        <v>-8.5147720000000003E-6</v>
      </c>
      <c r="I7358">
        <v>-56.934170000000002</v>
      </c>
      <c r="J7358">
        <v>-301.64800000000002</v>
      </c>
      <c r="K7358">
        <v>1.121197</v>
      </c>
      <c r="L7358">
        <v>-35.96002</v>
      </c>
      <c r="M7358">
        <v>-1.1531949999999999E-2</v>
      </c>
      <c r="N7358">
        <v>-1.372874E-2</v>
      </c>
      <c r="O7358">
        <v>-0.99983929999999999</v>
      </c>
      <c r="P7358">
        <v>-1.348818E-4</v>
      </c>
      <c r="Q7358">
        <v>-9.6976439999999997E-2</v>
      </c>
      <c r="R7358">
        <v>-0.99528700000000003</v>
      </c>
      <c r="S7358">
        <v>-5.993652E-2</v>
      </c>
      <c r="T7358">
        <v>-0.1593446</v>
      </c>
      <c r="U7358">
        <v>-2.998688</v>
      </c>
      <c r="V7358">
        <v>-1.1333569999999999E-2</v>
      </c>
      <c r="W7358">
        <v>-8.3305539999999997E-2</v>
      </c>
      <c r="X7358">
        <v>0.9964596</v>
      </c>
      <c r="Y7358">
        <v>8.432185E-3</v>
      </c>
      <c r="Z7358">
        <v>3.9338890000000001E-2</v>
      </c>
      <c r="AA7358">
        <v>0.99919029999999998</v>
      </c>
      <c r="AB7358">
        <v>15</v>
      </c>
      <c r="AC7358">
        <v>-0.42050000000000398</v>
      </c>
      <c r="AD7358">
        <v>-1.1212055147719999</v>
      </c>
      <c r="AE7358">
        <v>-20.974149999999899</v>
      </c>
      <c r="AF7358">
        <v>0.17806775590655899</v>
      </c>
      <c r="AG7358">
        <v>-1.1212055147719999</v>
      </c>
      <c r="AH7358">
        <v>20.917853819426298</v>
      </c>
      <c r="AI7358">
        <v>93.068030238423006</v>
      </c>
      <c r="AJ7358">
        <v>89.512269062930201</v>
      </c>
      <c r="AK7358">
        <v>20.948637624985</v>
      </c>
      <c r="AL7358">
        <v>94.778593856709506</v>
      </c>
      <c r="AM7358">
        <v>90.651644811723699</v>
      </c>
      <c r="AN7358">
        <v>0.99999999861789801</v>
      </c>
    </row>
    <row r="7359" spans="1:40" x14ac:dyDescent="0.25">
      <c r="A7359" t="str">
        <f>"20190303154326563"</f>
        <v>20190303154326563</v>
      </c>
      <c r="B7359" t="str">
        <f>"1551599006557329"</f>
        <v>1551599006557329</v>
      </c>
      <c r="C7359" t="s">
        <v>40</v>
      </c>
      <c r="D7359">
        <v>5.3995280000000001</v>
      </c>
      <c r="E7359">
        <v>0.50891989999999998</v>
      </c>
      <c r="F7359" t="s">
        <v>58</v>
      </c>
      <c r="G7359">
        <v>-302.12880000000001</v>
      </c>
      <c r="H7359" s="1">
        <v>-8.7740369999999904E-6</v>
      </c>
      <c r="I7359">
        <v>-57.562119999999901</v>
      </c>
      <c r="J7359">
        <v>-301.64940000000001</v>
      </c>
      <c r="K7359">
        <v>1.1211960000000001</v>
      </c>
      <c r="L7359">
        <v>-36.092649999999999</v>
      </c>
      <c r="M7359">
        <v>-1.138482E-2</v>
      </c>
      <c r="N7359">
        <v>-1.3725380000000001E-2</v>
      </c>
      <c r="O7359">
        <v>-0.99984099999999998</v>
      </c>
      <c r="P7359">
        <v>-2.1425249999999999E-4</v>
      </c>
      <c r="Q7359">
        <v>-9.6819630000000004E-2</v>
      </c>
      <c r="R7359">
        <v>-0.99530200000000002</v>
      </c>
      <c r="S7359">
        <v>-6.674194E-2</v>
      </c>
      <c r="T7359">
        <v>-0.1556572</v>
      </c>
      <c r="U7359">
        <v>-2.9990230000000002</v>
      </c>
      <c r="V7359">
        <v>-1.110801E-2</v>
      </c>
      <c r="W7359">
        <v>-8.3151820000000001E-2</v>
      </c>
      <c r="X7359">
        <v>0.996475</v>
      </c>
      <c r="Y7359">
        <v>1.0843480000000001E-2</v>
      </c>
      <c r="Z7359">
        <v>3.8109810000000001E-2</v>
      </c>
      <c r="AA7359">
        <v>0.99921470000000001</v>
      </c>
      <c r="AB7359">
        <v>15</v>
      </c>
      <c r="AC7359">
        <v>-0.47939999999999799</v>
      </c>
      <c r="AD7359">
        <v>-1.1212047740369999</v>
      </c>
      <c r="AE7359">
        <v>-21.469469999999902</v>
      </c>
      <c r="AF7359">
        <v>0.23428122142420901</v>
      </c>
      <c r="AG7359">
        <v>-1.1212047740369999</v>
      </c>
      <c r="AH7359">
        <v>21.415161018072599</v>
      </c>
      <c r="AI7359">
        <v>92.996842646123696</v>
      </c>
      <c r="AJ7359">
        <v>89.373210889260505</v>
      </c>
      <c r="AK7359">
        <v>21.4457713609469</v>
      </c>
      <c r="AL7359">
        <v>94.769755586131694</v>
      </c>
      <c r="AM7359">
        <v>90.638667033107197</v>
      </c>
      <c r="AN7359">
        <v>1.0000000193402301</v>
      </c>
    </row>
    <row r="7360" spans="1:40" x14ac:dyDescent="0.25">
      <c r="A7360" t="str">
        <f>"20190303154326584"</f>
        <v>20190303154326584</v>
      </c>
      <c r="B7360" t="str">
        <f>"1551599006577825"</f>
        <v>1551599006577825</v>
      </c>
      <c r="C7360" t="s">
        <v>40</v>
      </c>
      <c r="D7360">
        <v>5.3765260000000001</v>
      </c>
      <c r="E7360">
        <v>0.50935920000000001</v>
      </c>
      <c r="F7360" t="s">
        <v>58</v>
      </c>
      <c r="G7360">
        <v>-302.17610000000002</v>
      </c>
      <c r="H7360" s="1">
        <v>-9.0446499999999999E-6</v>
      </c>
      <c r="I7360">
        <v>-58.216070000000002</v>
      </c>
      <c r="J7360">
        <v>-301.6508</v>
      </c>
      <c r="K7360">
        <v>1.121194</v>
      </c>
      <c r="L7360">
        <v>-36.234070000000003</v>
      </c>
      <c r="M7360">
        <v>-1.1227849999999999E-2</v>
      </c>
      <c r="N7360">
        <v>-1.3721779999999999E-2</v>
      </c>
      <c r="O7360">
        <v>-0.99984289999999998</v>
      </c>
      <c r="P7360" s="1">
        <v>6.6210330000000001E-5</v>
      </c>
      <c r="Q7360">
        <v>-9.6143450000000005E-2</v>
      </c>
      <c r="R7360">
        <v>-0.99536789999999997</v>
      </c>
      <c r="S7360">
        <v>-7.1411130000000003E-2</v>
      </c>
      <c r="T7360">
        <v>-0.15200610000000001</v>
      </c>
      <c r="U7360">
        <v>-2.9993590000000001</v>
      </c>
      <c r="V7360">
        <v>-1.1233140000000001E-2</v>
      </c>
      <c r="W7360">
        <v>-8.2478430000000005E-2</v>
      </c>
      <c r="X7360">
        <v>0.99652949999999996</v>
      </c>
      <c r="Y7360">
        <v>1.255307E-2</v>
      </c>
      <c r="Z7360">
        <v>3.6893530000000001E-2</v>
      </c>
      <c r="AA7360">
        <v>0.99924029999999997</v>
      </c>
      <c r="AB7360">
        <v>15</v>
      </c>
      <c r="AC7360">
        <v>-0.52530000000001498</v>
      </c>
      <c r="AD7360">
        <v>-1.1212030446500001</v>
      </c>
      <c r="AE7360">
        <v>-21.9819999999999</v>
      </c>
      <c r="AF7360">
        <v>0.27771099607551802</v>
      </c>
      <c r="AG7360">
        <v>-1.1212030446500001</v>
      </c>
      <c r="AH7360">
        <v>21.929494292280001</v>
      </c>
      <c r="AI7360">
        <v>92.926614573065194</v>
      </c>
      <c r="AJ7360">
        <v>89.274455795778707</v>
      </c>
      <c r="AK7360">
        <v>21.9598938881729</v>
      </c>
      <c r="AL7360">
        <v>94.731040474215803</v>
      </c>
      <c r="AM7360">
        <v>90.645825592556804</v>
      </c>
      <c r="AN7360">
        <v>0.99999995960988597</v>
      </c>
    </row>
    <row r="7361" spans="1:40" x14ac:dyDescent="0.25">
      <c r="A7361" t="str">
        <f>"20190303154326608"</f>
        <v>20190303154326608</v>
      </c>
      <c r="B7361" t="str">
        <f>"1551599006597346"</f>
        <v>1551599006597346</v>
      </c>
      <c r="C7361" t="s">
        <v>40</v>
      </c>
      <c r="D7361">
        <v>5.3700850000000004</v>
      </c>
      <c r="E7361">
        <v>0.50972450000000002</v>
      </c>
      <c r="F7361" t="s">
        <v>58</v>
      </c>
      <c r="G7361">
        <v>-302.21949999999998</v>
      </c>
      <c r="H7361" s="1">
        <v>-9.4525770000000004E-6</v>
      </c>
      <c r="I7361">
        <v>-59.140610000000002</v>
      </c>
      <c r="J7361">
        <v>-301.65230000000003</v>
      </c>
      <c r="K7361">
        <v>1.1211949999999999</v>
      </c>
      <c r="L7361">
        <v>-36.381160000000001</v>
      </c>
      <c r="M7361">
        <v>-1.106478E-2</v>
      </c>
      <c r="N7361">
        <v>-1.37108E-2</v>
      </c>
      <c r="O7361">
        <v>-0.99984479999999998</v>
      </c>
      <c r="P7361">
        <v>-1.3246699999999999E-4</v>
      </c>
      <c r="Q7361">
        <v>-9.6083039999999995E-2</v>
      </c>
      <c r="R7361">
        <v>-0.99537350000000002</v>
      </c>
      <c r="S7361">
        <v>-7.4462890000000004E-2</v>
      </c>
      <c r="T7361">
        <v>-0.14683019999999999</v>
      </c>
      <c r="U7361">
        <v>-2.9997859999999998</v>
      </c>
      <c r="V7361">
        <v>-1.0872039999999999E-2</v>
      </c>
      <c r="W7361">
        <v>-8.2428769999999998E-2</v>
      </c>
      <c r="X7361">
        <v>0.99653760000000002</v>
      </c>
      <c r="Y7361">
        <v>1.37299E-2</v>
      </c>
      <c r="Z7361">
        <v>3.5176939999999997E-2</v>
      </c>
      <c r="AA7361">
        <v>0.99928680000000003</v>
      </c>
      <c r="AB7361">
        <v>14</v>
      </c>
      <c r="AC7361">
        <v>-0.56719999999995696</v>
      </c>
      <c r="AD7361">
        <v>-1.121204452577</v>
      </c>
      <c r="AE7361">
        <v>-22.759450000000001</v>
      </c>
      <c r="AF7361">
        <v>0.31455039742751001</v>
      </c>
      <c r="AG7361">
        <v>-1.121204452577</v>
      </c>
      <c r="AH7361">
        <v>22.709254866960901</v>
      </c>
      <c r="AI7361">
        <v>92.826249279583394</v>
      </c>
      <c r="AJ7361">
        <v>89.206435530905196</v>
      </c>
      <c r="AK7361">
        <v>22.7390918461927</v>
      </c>
      <c r="AL7361">
        <v>94.728185509504101</v>
      </c>
      <c r="AM7361">
        <v>90.625061507192399</v>
      </c>
      <c r="AN7361">
        <v>0.99999994579561502</v>
      </c>
    </row>
    <row r="7362" spans="1:40" x14ac:dyDescent="0.25">
      <c r="A7362" t="str">
        <f>"20190303154326628"</f>
        <v>20190303154326628</v>
      </c>
      <c r="B7362" t="str">
        <f>"1551599006617842"</f>
        <v>1551599006617842</v>
      </c>
      <c r="C7362" t="s">
        <v>40</v>
      </c>
      <c r="D7362">
        <v>5.3397589999999999</v>
      </c>
      <c r="E7362">
        <v>0.51002499999999995</v>
      </c>
      <c r="F7362" t="s">
        <v>58</v>
      </c>
      <c r="G7362">
        <v>-302.25920000000002</v>
      </c>
      <c r="H7362" s="1">
        <v>-9.6900190000000007E-6</v>
      </c>
      <c r="I7362">
        <v>-59.675840000000001</v>
      </c>
      <c r="J7362">
        <v>-301.65370000000001</v>
      </c>
      <c r="K7362">
        <v>1.121181</v>
      </c>
      <c r="L7362">
        <v>-36.519199999999998</v>
      </c>
      <c r="M7362">
        <v>-1.0910629999999999E-2</v>
      </c>
      <c r="N7362">
        <v>-1.3666559999999999E-2</v>
      </c>
      <c r="O7362">
        <v>-0.99984720000000005</v>
      </c>
      <c r="P7362">
        <v>-6.205173E-4</v>
      </c>
      <c r="Q7362">
        <v>-9.6045350000000002E-2</v>
      </c>
      <c r="R7362">
        <v>-0.99537690000000001</v>
      </c>
      <c r="S7362">
        <v>-7.8155520000000006E-2</v>
      </c>
      <c r="T7362">
        <v>-0.14439399999999999</v>
      </c>
      <c r="U7362">
        <v>-3</v>
      </c>
      <c r="V7362">
        <v>-1.023101E-2</v>
      </c>
      <c r="W7362">
        <v>-8.2434960000000002E-2</v>
      </c>
      <c r="X7362">
        <v>0.99654390000000004</v>
      </c>
      <c r="Y7362">
        <v>1.51117E-2</v>
      </c>
      <c r="Z7362">
        <v>3.4407220000000002E-2</v>
      </c>
      <c r="AA7362">
        <v>0.9992936</v>
      </c>
      <c r="AB7362">
        <v>14</v>
      </c>
      <c r="AC7362">
        <v>-0.60550000000000603</v>
      </c>
      <c r="AD7362">
        <v>-1.1211906900190001</v>
      </c>
      <c r="AE7362">
        <v>-23.156639999999999</v>
      </c>
      <c r="AF7362">
        <v>0.35196232212836298</v>
      </c>
      <c r="AG7362">
        <v>-1.1211906900190001</v>
      </c>
      <c r="AH7362">
        <v>23.107734612257101</v>
      </c>
      <c r="AI7362">
        <v>92.777499523315001</v>
      </c>
      <c r="AJ7362">
        <v>89.127374591336107</v>
      </c>
      <c r="AK7362">
        <v>23.137595919846301</v>
      </c>
      <c r="AL7362">
        <v>94.728541264874707</v>
      </c>
      <c r="AM7362">
        <v>90.588205998102296</v>
      </c>
      <c r="AN7362">
        <v>0.999999970411515</v>
      </c>
    </row>
    <row r="7363" spans="1:40" x14ac:dyDescent="0.25">
      <c r="A7363" t="str">
        <f>"20190303154326655"</f>
        <v>20190303154326655</v>
      </c>
      <c r="B7363" t="str">
        <f>"1551599006648098"</f>
        <v>1551599006648098</v>
      </c>
      <c r="C7363" t="s">
        <v>40</v>
      </c>
      <c r="D7363">
        <v>5.3180399999999999</v>
      </c>
      <c r="E7363">
        <v>0.51032559999999905</v>
      </c>
      <c r="F7363" t="s">
        <v>58</v>
      </c>
      <c r="G7363">
        <v>-302.30259999999998</v>
      </c>
      <c r="H7363" s="1">
        <v>-9.9500930000000007E-6</v>
      </c>
      <c r="I7363">
        <v>-60.26211</v>
      </c>
      <c r="J7363">
        <v>-301.65530000000001</v>
      </c>
      <c r="K7363">
        <v>1.1211549999999999</v>
      </c>
      <c r="L7363">
        <v>-36.688870000000001</v>
      </c>
      <c r="M7363">
        <v>-1.072159E-2</v>
      </c>
      <c r="N7363">
        <v>-1.3527010000000001E-2</v>
      </c>
      <c r="O7363">
        <v>-0.99985119999999905</v>
      </c>
      <c r="P7363">
        <v>-1.332122E-3</v>
      </c>
      <c r="Q7363">
        <v>-9.54956E-2</v>
      </c>
      <c r="R7363">
        <v>-0.99542940000000002</v>
      </c>
      <c r="S7363">
        <v>-8.2000729999999994E-2</v>
      </c>
      <c r="T7363">
        <v>-0.14167639999999901</v>
      </c>
      <c r="U7363">
        <v>-3.0002140000000002</v>
      </c>
      <c r="V7363">
        <v>-9.3313140000000003E-3</v>
      </c>
      <c r="W7363">
        <v>-8.2023440000000003E-2</v>
      </c>
      <c r="X7363">
        <v>0.99658670000000005</v>
      </c>
      <c r="Y7363">
        <v>1.6579010000000002E-2</v>
      </c>
      <c r="Z7363">
        <v>3.3639170000000003E-2</v>
      </c>
      <c r="AA7363">
        <v>0.99929650000000003</v>
      </c>
      <c r="AB7363">
        <v>14</v>
      </c>
      <c r="AC7363">
        <v>-0.64729999999997201</v>
      </c>
      <c r="AD7363">
        <v>-1.1211649500930001</v>
      </c>
      <c r="AE7363">
        <v>-23.573239999999998</v>
      </c>
      <c r="AF7363">
        <v>0.39360740648104098</v>
      </c>
      <c r="AG7363">
        <v>-1.1211649500930001</v>
      </c>
      <c r="AH7363">
        <v>23.5256496423203</v>
      </c>
      <c r="AI7363">
        <v>92.728106799127403</v>
      </c>
      <c r="AJ7363">
        <v>89.041474323922799</v>
      </c>
      <c r="AK7363">
        <v>23.555639000650299</v>
      </c>
      <c r="AL7363">
        <v>94.704882718230493</v>
      </c>
      <c r="AM7363">
        <v>90.536460386304</v>
      </c>
      <c r="AN7363">
        <v>0.99999998437364501</v>
      </c>
    </row>
    <row r="7364" spans="1:40" x14ac:dyDescent="0.25">
      <c r="A7364" t="str">
        <f>"20190303154326674"</f>
        <v>20190303154326674</v>
      </c>
      <c r="B7364" t="str">
        <f>"1551599006667618"</f>
        <v>1551599006667618</v>
      </c>
      <c r="C7364" t="s">
        <v>40</v>
      </c>
      <c r="D7364">
        <v>5.2998159999999999</v>
      </c>
      <c r="E7364">
        <v>0.51053539999999997</v>
      </c>
      <c r="F7364" t="s">
        <v>58</v>
      </c>
      <c r="G7364">
        <v>-302.36259999999999</v>
      </c>
      <c r="H7364" s="1">
        <v>-1.0288490000000001E-5</v>
      </c>
      <c r="I7364">
        <v>-61.286320000000003</v>
      </c>
      <c r="J7364">
        <v>-301.65649999999999</v>
      </c>
      <c r="K7364">
        <v>1.1211180000000001</v>
      </c>
      <c r="L7364">
        <v>-36.811070000000001</v>
      </c>
      <c r="M7364">
        <v>-1.058503E-2</v>
      </c>
      <c r="N7364">
        <v>-1.3350799999999901E-2</v>
      </c>
      <c r="O7364">
        <v>-0.99985480000000004</v>
      </c>
      <c r="P7364">
        <v>-1.436564E-3</v>
      </c>
      <c r="Q7364">
        <v>-9.448368E-2</v>
      </c>
      <c r="R7364">
        <v>-0.99552560000000001</v>
      </c>
      <c r="S7364">
        <v>-8.627319E-2</v>
      </c>
      <c r="T7364">
        <v>-0.13676669999999999</v>
      </c>
      <c r="U7364">
        <v>-3.0005489999999999</v>
      </c>
      <c r="V7364">
        <v>-9.0924330000000005E-3</v>
      </c>
      <c r="W7364">
        <v>-8.1185899999999894E-2</v>
      </c>
      <c r="X7364">
        <v>0.99665749999999997</v>
      </c>
      <c r="Y7364">
        <v>1.813536E-2</v>
      </c>
      <c r="Z7364">
        <v>3.2177329999999997E-2</v>
      </c>
      <c r="AA7364">
        <v>0.99931760000000003</v>
      </c>
      <c r="AB7364">
        <v>14</v>
      </c>
      <c r="AC7364">
        <v>-0.70609999999999196</v>
      </c>
      <c r="AD7364">
        <v>-1.12112828849</v>
      </c>
      <c r="AE7364">
        <v>-24.475249999999999</v>
      </c>
      <c r="AF7364">
        <v>0.44603097133491298</v>
      </c>
      <c r="AG7364">
        <v>-1.12112828849</v>
      </c>
      <c r="AH7364">
        <v>24.430135535476602</v>
      </c>
      <c r="AI7364">
        <v>92.627091509507693</v>
      </c>
      <c r="AJ7364">
        <v>88.954043738236194</v>
      </c>
      <c r="AK7364">
        <v>24.459914033953599</v>
      </c>
      <c r="AL7364">
        <v>94.656734562966506</v>
      </c>
      <c r="AM7364">
        <v>90.522690677990397</v>
      </c>
      <c r="AN7364">
        <v>0.99999999750145896</v>
      </c>
    </row>
    <row r="7365" spans="1:40" x14ac:dyDescent="0.25">
      <c r="A7365" t="str">
        <f>"20190303154326697"</f>
        <v>20190303154326697</v>
      </c>
      <c r="B7365" t="str">
        <f>"1551599006688114"</f>
        <v>1551599006688114</v>
      </c>
      <c r="C7365" t="s">
        <v>40</v>
      </c>
      <c r="D7365">
        <v>5.2799399999999999</v>
      </c>
      <c r="E7365">
        <v>0.51061889999999999</v>
      </c>
      <c r="F7365" t="s">
        <v>58</v>
      </c>
      <c r="G7365">
        <v>-302.40289999999999</v>
      </c>
      <c r="H7365" s="1">
        <v>-1.0174790000000001E-5</v>
      </c>
      <c r="I7365">
        <v>-62.171500000000002</v>
      </c>
      <c r="J7365">
        <v>-301.65780000000001</v>
      </c>
      <c r="K7365">
        <v>1.121054</v>
      </c>
      <c r="L7365">
        <v>-36.957059999999998</v>
      </c>
      <c r="M7365">
        <v>-1.042043E-2</v>
      </c>
      <c r="N7365">
        <v>-1.309102E-2</v>
      </c>
      <c r="O7365">
        <v>-0.99985999999999997</v>
      </c>
      <c r="P7365">
        <v>-6.4808680000000003E-4</v>
      </c>
      <c r="Q7365">
        <v>-9.4282290000000005E-2</v>
      </c>
      <c r="R7365">
        <v>-0.99554520000000002</v>
      </c>
      <c r="S7365">
        <v>-8.8317870000000007E-2</v>
      </c>
      <c r="T7365">
        <v>-0.1326571</v>
      </c>
      <c r="U7365">
        <v>-3.0007630000000001</v>
      </c>
      <c r="V7365">
        <v>-9.7168559999999994E-3</v>
      </c>
      <c r="W7365">
        <v>-8.1243309999999999E-2</v>
      </c>
      <c r="X7365">
        <v>0.9966469</v>
      </c>
      <c r="Y7365">
        <v>1.8979340000000001E-2</v>
      </c>
      <c r="Z7365">
        <v>3.1067500000000001E-2</v>
      </c>
      <c r="AA7365">
        <v>0.99933709999999998</v>
      </c>
      <c r="AB7365">
        <v>14</v>
      </c>
      <c r="AC7365">
        <v>-0.745099999999979</v>
      </c>
      <c r="AD7365">
        <v>-1.1210641747900001</v>
      </c>
      <c r="AE7365">
        <v>-25.21444</v>
      </c>
      <c r="AF7365">
        <v>0.48134102814973501</v>
      </c>
      <c r="AG7365">
        <v>-1.1210641747900001</v>
      </c>
      <c r="AH7365">
        <v>25.1711208875351</v>
      </c>
      <c r="AI7365">
        <v>92.549672231938104</v>
      </c>
      <c r="AJ7365">
        <v>88.904480709804005</v>
      </c>
      <c r="AK7365">
        <v>25.200670641954801</v>
      </c>
      <c r="AL7365">
        <v>94.660034953412094</v>
      </c>
      <c r="AM7365">
        <v>90.558590208875003</v>
      </c>
      <c r="AN7365">
        <v>0.99999996799494395</v>
      </c>
    </row>
    <row r="7366" spans="1:40" x14ac:dyDescent="0.25">
      <c r="A7366" t="str">
        <f>"20190303154326721"</f>
        <v>20190303154326721</v>
      </c>
      <c r="B7366" t="str">
        <f>"1551599006717393"</f>
        <v>1551599006717393</v>
      </c>
      <c r="C7366" t="s">
        <v>40</v>
      </c>
      <c r="D7366">
        <v>5.2809119999999998</v>
      </c>
      <c r="E7366">
        <v>0.48642229999999997</v>
      </c>
      <c r="F7366" t="s">
        <v>58</v>
      </c>
      <c r="G7366">
        <v>-302.3956</v>
      </c>
      <c r="H7366" s="1">
        <v>-1.01289399999999E-5</v>
      </c>
      <c r="I7366">
        <v>-62.60183</v>
      </c>
      <c r="J7366">
        <v>-301.6592</v>
      </c>
      <c r="K7366">
        <v>1.1209979999999999</v>
      </c>
      <c r="L7366">
        <v>-37.114109999999997</v>
      </c>
      <c r="M7366">
        <v>-1.0242940000000001E-2</v>
      </c>
      <c r="N7366">
        <v>-1.2787740000000001E-2</v>
      </c>
      <c r="O7366">
        <v>-0.99986580000000003</v>
      </c>
      <c r="P7366">
        <v>3.8610370000000002E-4</v>
      </c>
      <c r="Q7366">
        <v>-9.4667089999999995E-2</v>
      </c>
      <c r="R7366">
        <v>-0.99550910000000004</v>
      </c>
      <c r="S7366">
        <v>-8.6334229999999998E-2</v>
      </c>
      <c r="T7366">
        <v>-0.13118669999999999</v>
      </c>
      <c r="U7366">
        <v>-3.0009459999999999</v>
      </c>
      <c r="V7366">
        <v>-1.057406E-2</v>
      </c>
      <c r="W7366">
        <v>-8.1931030000000002E-2</v>
      </c>
      <c r="X7366">
        <v>0.99658190000000002</v>
      </c>
      <c r="Y7366">
        <v>1.8495660000000001E-2</v>
      </c>
      <c r="Z7366">
        <v>3.087999E-2</v>
      </c>
      <c r="AA7366">
        <v>0.99935200000000002</v>
      </c>
      <c r="AB7366">
        <v>14</v>
      </c>
      <c r="AC7366">
        <v>-0.73640000000000305</v>
      </c>
      <c r="AD7366">
        <v>-1.12100812894</v>
      </c>
      <c r="AE7366">
        <v>-25.487719999999999</v>
      </c>
      <c r="AF7366">
        <v>0.47435399030425102</v>
      </c>
      <c r="AG7366">
        <v>-1.12100812894</v>
      </c>
      <c r="AH7366">
        <v>25.444745893490499</v>
      </c>
      <c r="AI7366">
        <v>92.522186338297303</v>
      </c>
      <c r="AJ7366">
        <v>88.931986436662996</v>
      </c>
      <c r="AK7366">
        <v>25.473844714089999</v>
      </c>
      <c r="AL7366">
        <v>94.6995700891366</v>
      </c>
      <c r="AM7366">
        <v>90.607904153741103</v>
      </c>
      <c r="AN7366">
        <v>0.99999999391467698</v>
      </c>
    </row>
    <row r="7367" spans="1:40" x14ac:dyDescent="0.25">
      <c r="A7367" t="str">
        <f>"20190303154326744"</f>
        <v>20190303154326744</v>
      </c>
      <c r="B7367" t="str">
        <f>"1551599006737890"</f>
        <v>1551599006737890</v>
      </c>
      <c r="C7367" t="s">
        <v>40</v>
      </c>
      <c r="D7367">
        <v>5.2357690000000003</v>
      </c>
      <c r="E7367">
        <v>0.4841645</v>
      </c>
      <c r="F7367" t="s">
        <v>58</v>
      </c>
      <c r="G7367">
        <v>-301.22750000000002</v>
      </c>
      <c r="H7367" s="1">
        <v>-5.0379499999999998E-6</v>
      </c>
      <c r="I7367">
        <v>-48.892150000000001</v>
      </c>
      <c r="J7367">
        <v>-301.66059999999999</v>
      </c>
      <c r="K7367">
        <v>1.1209519999999999</v>
      </c>
      <c r="L7367">
        <v>-37.266480000000001</v>
      </c>
      <c r="M7367">
        <v>-1.007039E-2</v>
      </c>
      <c r="N7367">
        <v>-1.2498449999999999E-2</v>
      </c>
      <c r="O7367">
        <v>-0.99987130000000002</v>
      </c>
      <c r="P7367">
        <v>1.721364E-3</v>
      </c>
      <c r="Q7367">
        <v>-9.547485E-2</v>
      </c>
      <c r="R7367">
        <v>-0.99543020000000004</v>
      </c>
      <c r="S7367">
        <v>0.1094666</v>
      </c>
      <c r="T7367">
        <v>-0.28424529999999998</v>
      </c>
      <c r="U7367">
        <v>-2.9864809999999999</v>
      </c>
      <c r="V7367">
        <v>-1.1736760000000001E-2</v>
      </c>
      <c r="W7367">
        <v>-8.3028290000000005E-2</v>
      </c>
      <c r="X7367">
        <v>0.99647810000000003</v>
      </c>
      <c r="Y7367">
        <v>-4.6536670000000002E-2</v>
      </c>
      <c r="Z7367">
        <v>8.2207169999999996E-2</v>
      </c>
      <c r="AA7367">
        <v>0.99552819999999997</v>
      </c>
      <c r="AB7367">
        <v>15</v>
      </c>
      <c r="AC7367">
        <v>0.43309999999996701</v>
      </c>
      <c r="AD7367">
        <v>-1.12095703795</v>
      </c>
      <c r="AE7367">
        <v>-11.62567</v>
      </c>
      <c r="AF7367">
        <v>-0.54510142306684495</v>
      </c>
      <c r="AG7367">
        <v>-1.12095703795</v>
      </c>
      <c r="AH7367">
        <v>11.5138231280862</v>
      </c>
      <c r="AI7367">
        <v>95.554466835200103</v>
      </c>
      <c r="AJ7367">
        <v>92.710542594028297</v>
      </c>
      <c r="AK7367">
        <v>11.581096807609001</v>
      </c>
      <c r="AL7367">
        <v>94.762653246746396</v>
      </c>
      <c r="AM7367">
        <v>90.674812340899393</v>
      </c>
      <c r="AN7367">
        <v>1.0000000261276101</v>
      </c>
    </row>
    <row r="7368" spans="1:40" x14ac:dyDescent="0.25">
      <c r="A7368" t="str">
        <f>"20190303154326768"</f>
        <v>20190303154326768</v>
      </c>
      <c r="B7368" t="str">
        <f>"1551599006757410"</f>
        <v>1551599006757410</v>
      </c>
      <c r="C7368" t="s">
        <v>40</v>
      </c>
      <c r="D7368">
        <v>5.2350979999999998</v>
      </c>
      <c r="E7368">
        <v>0.48271940000000002</v>
      </c>
      <c r="F7368" t="s">
        <v>58</v>
      </c>
      <c r="G7368">
        <v>-301.1635</v>
      </c>
      <c r="H7368" s="1">
        <v>-4.8579620000000001E-6</v>
      </c>
      <c r="I7368">
        <v>-48.546199999999999</v>
      </c>
      <c r="J7368">
        <v>-301.6619</v>
      </c>
      <c r="K7368">
        <v>1.120911</v>
      </c>
      <c r="L7368">
        <v>-37.41733</v>
      </c>
      <c r="M7368">
        <v>-9.9006300000000005E-3</v>
      </c>
      <c r="N7368">
        <v>-1.2219280000000001E-2</v>
      </c>
      <c r="O7368">
        <v>-0.99987649999999995</v>
      </c>
      <c r="P7368">
        <v>2.710643E-3</v>
      </c>
      <c r="Q7368">
        <v>-9.5382919999999996E-2</v>
      </c>
      <c r="R7368">
        <v>-0.99543709999999996</v>
      </c>
      <c r="S7368">
        <v>0.1315308</v>
      </c>
      <c r="T7368">
        <v>-0.29665429999999998</v>
      </c>
      <c r="U7368">
        <v>-2.9851070000000002</v>
      </c>
      <c r="V7368">
        <v>-1.255716E-2</v>
      </c>
      <c r="W7368">
        <v>-8.3214679999999999E-2</v>
      </c>
      <c r="X7368">
        <v>0.99645249999999996</v>
      </c>
      <c r="Y7368">
        <v>-5.3707209999999998E-2</v>
      </c>
      <c r="Z7368">
        <v>8.6595450000000004E-2</v>
      </c>
      <c r="AA7368">
        <v>0.99479479999999998</v>
      </c>
      <c r="AB7368">
        <v>15</v>
      </c>
      <c r="AC7368">
        <v>0.49840000000000301</v>
      </c>
      <c r="AD7368">
        <v>-1.120915857962</v>
      </c>
      <c r="AE7368">
        <v>-11.128869999999999</v>
      </c>
      <c r="AF7368">
        <v>-0.60246692195599805</v>
      </c>
      <c r="AG7368">
        <v>-1.120915857962</v>
      </c>
      <c r="AH7368">
        <v>11.011899611755499</v>
      </c>
      <c r="AI7368">
        <v>95.803574324007002</v>
      </c>
      <c r="AJ7368">
        <v>93.131560748120094</v>
      </c>
      <c r="AK7368">
        <v>11.0851861424183</v>
      </c>
      <c r="AL7368">
        <v>94.773369936562602</v>
      </c>
      <c r="AM7368">
        <v>90.7219954674745</v>
      </c>
      <c r="AN7368">
        <v>0.99999997499550797</v>
      </c>
    </row>
    <row r="7369" spans="1:40" x14ac:dyDescent="0.25">
      <c r="A7369" t="str">
        <f>"20190303154326786"</f>
        <v>20190303154326786</v>
      </c>
      <c r="B7369" t="str">
        <f>"1551599006777906"</f>
        <v>1551599006777906</v>
      </c>
      <c r="C7369" t="s">
        <v>40</v>
      </c>
      <c r="D7369">
        <v>5.2552760000000003</v>
      </c>
      <c r="E7369">
        <v>0.48237530000000001</v>
      </c>
      <c r="F7369" t="s">
        <v>58</v>
      </c>
      <c r="G7369">
        <v>-301.11540000000002</v>
      </c>
      <c r="H7369" s="1">
        <v>-4.8819590000000004E-6</v>
      </c>
      <c r="I7369">
        <v>-48.598770000000002</v>
      </c>
      <c r="J7369">
        <v>-301.66289999999998</v>
      </c>
      <c r="K7369">
        <v>1.1208849999999999</v>
      </c>
      <c r="L7369">
        <v>-37.536189999999998</v>
      </c>
      <c r="M7369">
        <v>-9.7678039999999997E-3</v>
      </c>
      <c r="N7369">
        <v>-1.2003720000000001E-2</v>
      </c>
      <c r="O7369">
        <v>-0.99988030000000006</v>
      </c>
      <c r="P7369">
        <v>3.1710110000000001E-3</v>
      </c>
      <c r="Q7369">
        <v>-9.4940919999999998E-2</v>
      </c>
      <c r="R7369">
        <v>-0.99547799999999997</v>
      </c>
      <c r="S7369">
        <v>0.145874</v>
      </c>
      <c r="T7369">
        <v>-0.29920780000000002</v>
      </c>
      <c r="U7369">
        <v>-2.98468</v>
      </c>
      <c r="V7369">
        <v>-1.2885260000000001E-2</v>
      </c>
      <c r="W7369">
        <v>-8.2987099999999994E-2</v>
      </c>
      <c r="X7369">
        <v>0.99646729999999994</v>
      </c>
      <c r="Y7369">
        <v>-5.8343329999999999E-2</v>
      </c>
      <c r="Z7369">
        <v>8.7643009999999993E-2</v>
      </c>
      <c r="AA7369">
        <v>0.99444189999999999</v>
      </c>
      <c r="AB7369">
        <v>15</v>
      </c>
      <c r="AC7369">
        <v>0.54749999999995602</v>
      </c>
      <c r="AD7369">
        <v>-1.1208898819589901</v>
      </c>
      <c r="AE7369">
        <v>-11.062579999999899</v>
      </c>
      <c r="AF7369">
        <v>-0.64889332739476402</v>
      </c>
      <c r="AG7369">
        <v>-1.1208898819589901</v>
      </c>
      <c r="AH7369">
        <v>10.944617955985899</v>
      </c>
      <c r="AI7369">
        <v>95.837363369612405</v>
      </c>
      <c r="AJ7369">
        <v>93.393026378863993</v>
      </c>
      <c r="AK7369">
        <v>11.020985386085201</v>
      </c>
      <c r="AL7369">
        <v>94.760285260243904</v>
      </c>
      <c r="AM7369">
        <v>90.740847061893902</v>
      </c>
      <c r="AN7369">
        <v>0.99999998433048298</v>
      </c>
    </row>
    <row r="7370" spans="1:40" x14ac:dyDescent="0.25">
      <c r="A7370" t="str">
        <f>"20190303154326809"</f>
        <v>20190303154326809</v>
      </c>
      <c r="B7370" t="str">
        <f>"1551599006797426"</f>
        <v>1551599006797426</v>
      </c>
      <c r="C7370" t="s">
        <v>40</v>
      </c>
      <c r="D7370">
        <v>5.2620630000000004</v>
      </c>
      <c r="E7370">
        <v>0.48176540000000001</v>
      </c>
      <c r="F7370" t="s">
        <v>58</v>
      </c>
      <c r="G7370">
        <v>-301.0992</v>
      </c>
      <c r="H7370" s="1">
        <v>-4.9530449999999996E-6</v>
      </c>
      <c r="I7370">
        <v>-48.740139999999997</v>
      </c>
      <c r="J7370">
        <v>-301.66419999999999</v>
      </c>
      <c r="K7370">
        <v>1.1208610000000001</v>
      </c>
      <c r="L7370">
        <v>-37.683039999999998</v>
      </c>
      <c r="M7370">
        <v>-9.6043050000000005E-3</v>
      </c>
      <c r="N7370">
        <v>-1.174714E-2</v>
      </c>
      <c r="O7370">
        <v>-0.99988480000000002</v>
      </c>
      <c r="P7370">
        <v>3.272774E-3</v>
      </c>
      <c r="Q7370">
        <v>-9.4567650000000003E-2</v>
      </c>
      <c r="R7370">
        <v>-0.99551279999999998</v>
      </c>
      <c r="S7370">
        <v>0.150177</v>
      </c>
      <c r="T7370">
        <v>-0.29860019999999998</v>
      </c>
      <c r="U7370">
        <v>-2.98468</v>
      </c>
      <c r="V7370">
        <v>-1.282457E-2</v>
      </c>
      <c r="W7370">
        <v>-8.2869180000000001E-2</v>
      </c>
      <c r="X7370">
        <v>0.99647790000000003</v>
      </c>
      <c r="Y7370">
        <v>-5.9610129999999997E-2</v>
      </c>
      <c r="Z7370">
        <v>8.7691169999999999E-2</v>
      </c>
      <c r="AA7370">
        <v>0.99436250000000004</v>
      </c>
      <c r="AB7370">
        <v>15</v>
      </c>
      <c r="AC7370">
        <v>0.56499999999999695</v>
      </c>
      <c r="AD7370">
        <v>-1.120865953045</v>
      </c>
      <c r="AE7370">
        <v>-11.057099999999901</v>
      </c>
      <c r="AF7370">
        <v>-0.66436775789108304</v>
      </c>
      <c r="AG7370">
        <v>-1.120865953045</v>
      </c>
      <c r="AH7370">
        <v>10.9390460449688</v>
      </c>
      <c r="AI7370">
        <v>95.839691277713399</v>
      </c>
      <c r="AJ7370">
        <v>93.475510508331695</v>
      </c>
      <c r="AK7370">
        <v>11.0163720605455</v>
      </c>
      <c r="AL7370">
        <v>94.753505572483505</v>
      </c>
      <c r="AM7370">
        <v>90.737350191193897</v>
      </c>
      <c r="AN7370">
        <v>0.99999998788898303</v>
      </c>
    </row>
    <row r="7371" spans="1:40" x14ac:dyDescent="0.25">
      <c r="A7371" t="str">
        <f>"20190303154326831"</f>
        <v>20190303154326831</v>
      </c>
      <c r="B7371" t="str">
        <f>"1551599006827682"</f>
        <v>1551599006827682</v>
      </c>
      <c r="C7371" t="s">
        <v>40</v>
      </c>
      <c r="D7371">
        <v>5.2030110000000001</v>
      </c>
      <c r="E7371">
        <v>0.48123050000000001</v>
      </c>
      <c r="F7371" t="s">
        <v>58</v>
      </c>
      <c r="G7371">
        <v>-301.08440000000002</v>
      </c>
      <c r="H7371" s="1">
        <v>-5.004666E-6</v>
      </c>
      <c r="I7371">
        <v>-48.843139999999998</v>
      </c>
      <c r="J7371">
        <v>-301.66539999999998</v>
      </c>
      <c r="K7371">
        <v>1.120838</v>
      </c>
      <c r="L7371">
        <v>-37.833739999999999</v>
      </c>
      <c r="M7371">
        <v>-9.4364849999999997E-3</v>
      </c>
      <c r="N7371">
        <v>-1.150113E-2</v>
      </c>
      <c r="O7371">
        <v>-0.99988940000000004</v>
      </c>
      <c r="P7371">
        <v>2.9839829999999999E-3</v>
      </c>
      <c r="Q7371">
        <v>-9.3845170000000006E-2</v>
      </c>
      <c r="R7371">
        <v>-0.99558210000000003</v>
      </c>
      <c r="S7371">
        <v>0.1550598</v>
      </c>
      <c r="T7371">
        <v>-0.29975159999999901</v>
      </c>
      <c r="U7371">
        <v>-2.9845280000000001</v>
      </c>
      <c r="V7371">
        <v>-1.236891E-2</v>
      </c>
      <c r="W7371">
        <v>-8.2391010000000001E-2</v>
      </c>
      <c r="X7371">
        <v>0.9965233</v>
      </c>
      <c r="Y7371">
        <v>-6.1064599999999997E-2</v>
      </c>
      <c r="Z7371">
        <v>8.8312890000000005E-2</v>
      </c>
      <c r="AA7371">
        <v>0.99421919999999997</v>
      </c>
      <c r="AB7371">
        <v>15</v>
      </c>
      <c r="AC7371">
        <v>0.58099999999995999</v>
      </c>
      <c r="AD7371">
        <v>-1.1208430046660001</v>
      </c>
      <c r="AE7371">
        <v>-11.009399999999999</v>
      </c>
      <c r="AF7371">
        <v>-0.67786459074887295</v>
      </c>
      <c r="AG7371">
        <v>-1.1208430046660001</v>
      </c>
      <c r="AH7371">
        <v>10.890858370828401</v>
      </c>
      <c r="AI7371">
        <v>95.864692577503803</v>
      </c>
      <c r="AJ7371">
        <v>93.561587252192695</v>
      </c>
      <c r="AK7371">
        <v>10.969347542034701</v>
      </c>
      <c r="AL7371">
        <v>94.726014484247997</v>
      </c>
      <c r="AM7371">
        <v>90.711122309230802</v>
      </c>
      <c r="AN7371">
        <v>0.99999997795314899</v>
      </c>
    </row>
    <row r="7372" spans="1:40" x14ac:dyDescent="0.25">
      <c r="A7372" t="str">
        <f>"20190303154326853"</f>
        <v>20190303154326853</v>
      </c>
      <c r="B7372" t="str">
        <f>"1551599006848178"</f>
        <v>1551599006848178</v>
      </c>
      <c r="C7372" t="s">
        <v>40</v>
      </c>
      <c r="D7372">
        <v>5.2157220000000004</v>
      </c>
      <c r="E7372">
        <v>0.48090909999999898</v>
      </c>
      <c r="F7372" t="s">
        <v>58</v>
      </c>
      <c r="G7372">
        <v>-301.07499999999999</v>
      </c>
      <c r="H7372" s="1">
        <v>-5.055977E-6</v>
      </c>
      <c r="I7372">
        <v>-48.94491</v>
      </c>
      <c r="J7372">
        <v>-301.66660000000002</v>
      </c>
      <c r="K7372">
        <v>1.1208279999999999</v>
      </c>
      <c r="L7372">
        <v>-37.97607</v>
      </c>
      <c r="M7372">
        <v>-9.2782090000000008E-3</v>
      </c>
      <c r="N7372">
        <v>-1.128812E-2</v>
      </c>
      <c r="O7372">
        <v>-0.99989340000000004</v>
      </c>
      <c r="P7372">
        <v>2.6185510000000002E-3</v>
      </c>
      <c r="Q7372">
        <v>-9.4249289999999999E-2</v>
      </c>
      <c r="R7372">
        <v>-0.99554529999999997</v>
      </c>
      <c r="S7372">
        <v>0.15859989999999999</v>
      </c>
      <c r="T7372">
        <v>-0.30105920000000003</v>
      </c>
      <c r="U7372">
        <v>-2.984467</v>
      </c>
      <c r="V7372">
        <v>-1.18456E-2</v>
      </c>
      <c r="W7372">
        <v>-8.3007719999999993E-2</v>
      </c>
      <c r="X7372">
        <v>0.99647850000000004</v>
      </c>
      <c r="Y7372">
        <v>-6.2080639999999999E-2</v>
      </c>
      <c r="Z7372">
        <v>8.8952429999999999E-2</v>
      </c>
      <c r="AA7372">
        <v>0.99409930000000002</v>
      </c>
      <c r="AB7372">
        <v>15</v>
      </c>
      <c r="AC7372">
        <v>0.59160000000002799</v>
      </c>
      <c r="AD7372">
        <v>-1.1208330559769999</v>
      </c>
      <c r="AE7372">
        <v>-10.96884</v>
      </c>
      <c r="AF7372">
        <v>-0.68620797231276398</v>
      </c>
      <c r="AG7372">
        <v>-1.1208330559769999</v>
      </c>
      <c r="AH7372">
        <v>10.8499182732278</v>
      </c>
      <c r="AI7372">
        <v>95.886248175176704</v>
      </c>
      <c r="AJ7372">
        <v>93.618877385969199</v>
      </c>
      <c r="AK7372">
        <v>10.9292211367672</v>
      </c>
      <c r="AL7372">
        <v>94.761470712947101</v>
      </c>
      <c r="AM7372">
        <v>90.681069304503097</v>
      </c>
      <c r="AN7372">
        <v>1.0000000003906</v>
      </c>
    </row>
    <row r="7373" spans="1:40" x14ac:dyDescent="0.25">
      <c r="A7373" t="str">
        <f>"20190303154326876"</f>
        <v>20190303154326876</v>
      </c>
      <c r="B7373" t="str">
        <f>"1551599006867698"</f>
        <v>1551599006867698</v>
      </c>
      <c r="C7373" t="s">
        <v>40</v>
      </c>
      <c r="D7373">
        <v>5.2619769999999999</v>
      </c>
      <c r="E7373">
        <v>0.48078470000000001</v>
      </c>
      <c r="F7373" t="s">
        <v>58</v>
      </c>
      <c r="G7373">
        <v>-301.07549999999998</v>
      </c>
      <c r="H7373" s="1">
        <v>-5.078954E-6</v>
      </c>
      <c r="I7373">
        <v>-48.989939999999997</v>
      </c>
      <c r="J7373">
        <v>-301.6678</v>
      </c>
      <c r="K7373">
        <v>1.120808</v>
      </c>
      <c r="L7373">
        <v>-38.124760000000002</v>
      </c>
      <c r="M7373">
        <v>-9.1116249999999999E-3</v>
      </c>
      <c r="N7373">
        <v>-1.108577E-2</v>
      </c>
      <c r="O7373">
        <v>-0.99989720000000004</v>
      </c>
      <c r="P7373">
        <v>2.5968570000000002E-3</v>
      </c>
      <c r="Q7373">
        <v>-9.4334619999999994E-2</v>
      </c>
      <c r="R7373">
        <v>-0.99553740000000002</v>
      </c>
      <c r="S7373">
        <v>0.160156299999999</v>
      </c>
      <c r="T7373">
        <v>-0.30369439999999998</v>
      </c>
      <c r="U7373">
        <v>-2.9842529999999998</v>
      </c>
      <c r="V7373">
        <v>-1.165763E-2</v>
      </c>
      <c r="W7373">
        <v>-8.3294729999999997E-2</v>
      </c>
      <c r="X7373">
        <v>0.99645669999999997</v>
      </c>
      <c r="Y7373">
        <v>-6.243017E-2</v>
      </c>
      <c r="Z7373">
        <v>9.0027910000000003E-2</v>
      </c>
      <c r="AA7373">
        <v>0.99398059999999999</v>
      </c>
      <c r="AB7373">
        <v>15</v>
      </c>
      <c r="AC7373">
        <v>0.59230000000002203</v>
      </c>
      <c r="AD7373">
        <v>-1.1208130789540001</v>
      </c>
      <c r="AE7373">
        <v>-10.865180000000001</v>
      </c>
      <c r="AF7373">
        <v>-0.68402362524350302</v>
      </c>
      <c r="AG7373">
        <v>-1.1208130789540001</v>
      </c>
      <c r="AH7373">
        <v>10.7453268793191</v>
      </c>
      <c r="AI7373">
        <v>95.942875880354606</v>
      </c>
      <c r="AJ7373">
        <v>93.642407218984303</v>
      </c>
      <c r="AK7373">
        <v>10.825255656161801</v>
      </c>
      <c r="AL7373">
        <v>94.777972640213804</v>
      </c>
      <c r="AM7373">
        <v>90.670277521963499</v>
      </c>
      <c r="AN7373">
        <v>0.99999993367893703</v>
      </c>
    </row>
    <row r="7374" spans="1:40" x14ac:dyDescent="0.25">
      <c r="A7374" t="str">
        <f>"20190303154326897"</f>
        <v>20190303154326897</v>
      </c>
      <c r="B7374" t="str">
        <f>"1551599006887243"</f>
        <v>1551599006887243</v>
      </c>
      <c r="C7374" t="s">
        <v>40</v>
      </c>
      <c r="D7374">
        <v>5.2231909999999999</v>
      </c>
      <c r="E7374">
        <v>0.48067929999999998</v>
      </c>
      <c r="F7374" t="s">
        <v>58</v>
      </c>
      <c r="G7374">
        <v>-301.07679999999999</v>
      </c>
      <c r="H7374" s="1">
        <v>-5.1243920000000002E-6</v>
      </c>
      <c r="I7374">
        <v>-49.078960000000002</v>
      </c>
      <c r="J7374">
        <v>-301.66890000000001</v>
      </c>
      <c r="K7374">
        <v>1.120795</v>
      </c>
      <c r="L7374">
        <v>-38.268520000000002</v>
      </c>
      <c r="M7374">
        <v>-8.9512159999999997E-3</v>
      </c>
      <c r="N7374">
        <v>-1.09117E-2</v>
      </c>
      <c r="O7374">
        <v>-0.99990060000000003</v>
      </c>
      <c r="P7374">
        <v>2.0730700000000002E-3</v>
      </c>
      <c r="Q7374">
        <v>-9.4282320000000003E-2</v>
      </c>
      <c r="R7374">
        <v>-0.99554350000000003</v>
      </c>
      <c r="S7374">
        <v>0.16098019999999999</v>
      </c>
      <c r="T7374">
        <v>-0.30532740000000003</v>
      </c>
      <c r="U7374">
        <v>-2.9841000000000002</v>
      </c>
      <c r="V7374">
        <v>-1.097425E-2</v>
      </c>
      <c r="W7374">
        <v>-8.3415710000000004E-2</v>
      </c>
      <c r="X7374">
        <v>0.99645439999999996</v>
      </c>
      <c r="Y7374">
        <v>-6.2543329999999994E-2</v>
      </c>
      <c r="Z7374">
        <v>9.0744050000000007E-2</v>
      </c>
      <c r="AA7374">
        <v>0.99390829999999997</v>
      </c>
      <c r="AB7374">
        <v>15</v>
      </c>
      <c r="AC7374">
        <v>0.59210000000001595</v>
      </c>
      <c r="AD7374">
        <v>-1.1208001243920001</v>
      </c>
      <c r="AE7374">
        <v>-10.8104399999999</v>
      </c>
      <c r="AF7374">
        <v>-0.68154456413930697</v>
      </c>
      <c r="AG7374">
        <v>-1.1208001243920001</v>
      </c>
      <c r="AH7374">
        <v>10.6901414649777</v>
      </c>
      <c r="AI7374">
        <v>95.973228436495006</v>
      </c>
      <c r="AJ7374">
        <v>93.647926302802603</v>
      </c>
      <c r="AK7374">
        <v>10.7703212790046</v>
      </c>
      <c r="AL7374">
        <v>94.7849282063668</v>
      </c>
      <c r="AM7374">
        <v>90.630990026329499</v>
      </c>
      <c r="AN7374">
        <v>0.99999999305861298</v>
      </c>
    </row>
    <row r="7375" spans="1:40" x14ac:dyDescent="0.25">
      <c r="A7375" t="str">
        <f>"20190303154326923"</f>
        <v>20190303154326923</v>
      </c>
      <c r="B7375" t="str">
        <f>"1551599006917499"</f>
        <v>1551599006917499</v>
      </c>
      <c r="C7375" t="s">
        <v>40</v>
      </c>
      <c r="D7375">
        <v>5.2732210000000004</v>
      </c>
      <c r="E7375">
        <v>0.48055049999999999</v>
      </c>
      <c r="F7375" t="s">
        <v>58</v>
      </c>
      <c r="G7375">
        <v>-301.08300000000003</v>
      </c>
      <c r="H7375" s="1">
        <v>-5.1742649999999998E-6</v>
      </c>
      <c r="I7375">
        <v>-49.176139999999997</v>
      </c>
      <c r="J7375">
        <v>-301.67009999999999</v>
      </c>
      <c r="K7375">
        <v>1.1207780000000001</v>
      </c>
      <c r="L7375">
        <v>-38.433619999999998</v>
      </c>
      <c r="M7375">
        <v>-8.7660689999999996E-3</v>
      </c>
      <c r="N7375">
        <v>-1.0736290000000001E-2</v>
      </c>
      <c r="O7375">
        <v>-0.99990420000000002</v>
      </c>
      <c r="P7375">
        <v>1.7789500000000001E-3</v>
      </c>
      <c r="Q7375">
        <v>-9.4877359999999994E-2</v>
      </c>
      <c r="R7375">
        <v>-0.99548740000000002</v>
      </c>
      <c r="S7375">
        <v>0.16027829999999901</v>
      </c>
      <c r="T7375">
        <v>-0.3066218</v>
      </c>
      <c r="U7375">
        <v>-2.9840390000000001</v>
      </c>
      <c r="V7375">
        <v>-1.04951E-2</v>
      </c>
      <c r="W7375">
        <v>-8.4185999999999997E-2</v>
      </c>
      <c r="X7375">
        <v>0.99639480000000002</v>
      </c>
      <c r="Y7375">
        <v>-6.2124319999999997E-2</v>
      </c>
      <c r="Z7375">
        <v>9.1349840000000002E-2</v>
      </c>
      <c r="AA7375">
        <v>0.99387910000000002</v>
      </c>
      <c r="AB7375">
        <v>15</v>
      </c>
      <c r="AC7375">
        <v>0.58710000000002005</v>
      </c>
      <c r="AD7375">
        <v>-1.1207831742649901</v>
      </c>
      <c r="AE7375">
        <v>-10.742520000000001</v>
      </c>
      <c r="AF7375">
        <v>-0.67393849847708698</v>
      </c>
      <c r="AG7375">
        <v>-1.1207831742649901</v>
      </c>
      <c r="AH7375">
        <v>10.6216869353349</v>
      </c>
      <c r="AI7375">
        <v>96.011468755586193</v>
      </c>
      <c r="AJ7375">
        <v>93.630509852743998</v>
      </c>
      <c r="AK7375">
        <v>10.7018961579577</v>
      </c>
      <c r="AL7375">
        <v>94.829218264047597</v>
      </c>
      <c r="AM7375">
        <v>90.603478359100606</v>
      </c>
      <c r="AN7375">
        <v>1.0000000135935201</v>
      </c>
    </row>
    <row r="7376" spans="1:40" x14ac:dyDescent="0.25">
      <c r="A7376" t="str">
        <f>"20190303154326945"</f>
        <v>20190303154326945</v>
      </c>
      <c r="B7376" t="str">
        <f>"1551599006937995"</f>
        <v>1551599006937995</v>
      </c>
      <c r="C7376" t="s">
        <v>40</v>
      </c>
      <c r="D7376">
        <v>5.2904080000000002</v>
      </c>
      <c r="E7376">
        <v>0.48043999999999998</v>
      </c>
      <c r="F7376" t="s">
        <v>58</v>
      </c>
      <c r="G7376">
        <v>-301.09050000000002</v>
      </c>
      <c r="H7376" s="1">
        <v>-5.1920870000000001E-6</v>
      </c>
      <c r="I7376">
        <v>-49.210270000000001</v>
      </c>
      <c r="J7376">
        <v>-301.6712</v>
      </c>
      <c r="K7376">
        <v>1.120771</v>
      </c>
      <c r="L7376">
        <v>-38.58652</v>
      </c>
      <c r="M7376">
        <v>-8.5950349999999991E-3</v>
      </c>
      <c r="N7376">
        <v>-1.059472E-2</v>
      </c>
      <c r="O7376">
        <v>-0.99990679999999998</v>
      </c>
      <c r="P7376">
        <v>1.9920739999999999E-3</v>
      </c>
      <c r="Q7376">
        <v>-9.4705860000000003E-2</v>
      </c>
      <c r="R7376">
        <v>-0.99550309999999997</v>
      </c>
      <c r="S7376">
        <v>0.16049189999999999</v>
      </c>
      <c r="T7376">
        <v>-0.31031180000000003</v>
      </c>
      <c r="U7376">
        <v>-2.9837340000000001</v>
      </c>
      <c r="V7376">
        <v>-1.0537889999999999E-2</v>
      </c>
      <c r="W7376">
        <v>-8.4155430000000003E-2</v>
      </c>
      <c r="X7376">
        <v>0.99639690000000003</v>
      </c>
      <c r="Y7376">
        <v>-6.2023380000000003E-2</v>
      </c>
      <c r="Z7376">
        <v>9.2717859999999999E-2</v>
      </c>
      <c r="AA7376">
        <v>0.99375880000000005</v>
      </c>
      <c r="AB7376">
        <v>15</v>
      </c>
      <c r="AC7376">
        <v>0.58069999999997801</v>
      </c>
      <c r="AD7376">
        <v>-1.1207761920870001</v>
      </c>
      <c r="AE7376">
        <v>-10.623749999999999</v>
      </c>
      <c r="AF7376">
        <v>-0.66462022226807105</v>
      </c>
      <c r="AG7376">
        <v>-1.1207761920870001</v>
      </c>
      <c r="AH7376">
        <v>10.501832413495601</v>
      </c>
      <c r="AI7376">
        <v>96.079589600888497</v>
      </c>
      <c r="AJ7376">
        <v>93.621198247988204</v>
      </c>
      <c r="AK7376">
        <v>10.582360008700499</v>
      </c>
      <c r="AL7376">
        <v>94.8274606427739</v>
      </c>
      <c r="AM7376">
        <v>90.605937365257404</v>
      </c>
      <c r="AN7376">
        <v>0.99999998292687298</v>
      </c>
    </row>
    <row r="7377" spans="1:40" x14ac:dyDescent="0.25">
      <c r="A7377" t="str">
        <f>"20190303154326966"</f>
        <v>20190303154326966</v>
      </c>
      <c r="B7377" t="str">
        <f>"1551599006957515"</f>
        <v>1551599006957515</v>
      </c>
      <c r="C7377" t="s">
        <v>40</v>
      </c>
      <c r="D7377">
        <v>5.2685009999999997</v>
      </c>
      <c r="E7377">
        <v>0.4802903</v>
      </c>
      <c r="F7377" t="s">
        <v>58</v>
      </c>
      <c r="G7377">
        <v>-301.08749999999998</v>
      </c>
      <c r="H7377" s="1">
        <v>-5.2540939999999996E-6</v>
      </c>
      <c r="I7377">
        <v>-49.332299999999996</v>
      </c>
      <c r="J7377">
        <v>-301.67219999999998</v>
      </c>
      <c r="K7377">
        <v>1.12076</v>
      </c>
      <c r="L7377">
        <v>-38.722290000000001</v>
      </c>
      <c r="M7377">
        <v>-8.4431650000000007E-3</v>
      </c>
      <c r="N7377">
        <v>-1.048313E-2</v>
      </c>
      <c r="O7377">
        <v>-0.99990959999999995</v>
      </c>
      <c r="P7377">
        <v>3.0258720000000002E-3</v>
      </c>
      <c r="Q7377">
        <v>-9.5258209999999996E-2</v>
      </c>
      <c r="R7377">
        <v>-0.99544849999999996</v>
      </c>
      <c r="S7377">
        <v>0.1620789</v>
      </c>
      <c r="T7377">
        <v>-0.31118829999999997</v>
      </c>
      <c r="U7377">
        <v>-2.9836119999999999</v>
      </c>
      <c r="V7377">
        <v>-1.1419530000000001E-2</v>
      </c>
      <c r="W7377">
        <v>-8.4819679999999995E-2</v>
      </c>
      <c r="X7377">
        <v>0.99633090000000002</v>
      </c>
      <c r="Y7377">
        <v>-6.2399049999999998E-2</v>
      </c>
      <c r="Z7377">
        <v>9.3119610000000005E-2</v>
      </c>
      <c r="AA7377">
        <v>0.99369770000000002</v>
      </c>
      <c r="AB7377">
        <v>15</v>
      </c>
      <c r="AC7377">
        <v>0.584699999999997</v>
      </c>
      <c r="AD7377">
        <v>-1.1207652540940001</v>
      </c>
      <c r="AE7377">
        <v>-10.6100099999999</v>
      </c>
      <c r="AF7377">
        <v>-0.66684777358866798</v>
      </c>
      <c r="AG7377">
        <v>-1.1207652540940001</v>
      </c>
      <c r="AH7377">
        <v>10.4880207158037</v>
      </c>
      <c r="AI7377">
        <v>96.087363899507807</v>
      </c>
      <c r="AJ7377">
        <v>93.6380745175492</v>
      </c>
      <c r="AK7377">
        <v>10.5687927050847</v>
      </c>
      <c r="AL7377">
        <v>94.865655735989193</v>
      </c>
      <c r="AM7377">
        <v>90.656671618175807</v>
      </c>
      <c r="AN7377">
        <v>1.0000000230377599</v>
      </c>
    </row>
    <row r="7378" spans="1:40" x14ac:dyDescent="0.25">
      <c r="A7378" t="str">
        <f>"20190303154326987"</f>
        <v>20190303154326987</v>
      </c>
      <c r="B7378" t="str">
        <f>"1551599006977541"</f>
        <v>1551599006977541</v>
      </c>
      <c r="C7378" t="s">
        <v>40</v>
      </c>
      <c r="D7378">
        <v>5.3065199999999999</v>
      </c>
      <c r="E7378">
        <v>0.48016439999999999</v>
      </c>
      <c r="F7378" t="s">
        <v>58</v>
      </c>
      <c r="G7378">
        <v>-301.07979999999998</v>
      </c>
      <c r="H7378" s="1">
        <v>-5.2669600000000003E-6</v>
      </c>
      <c r="I7378">
        <v>-49.358429999999998</v>
      </c>
      <c r="J7378">
        <v>-301.67320000000001</v>
      </c>
      <c r="K7378">
        <v>1.120743</v>
      </c>
      <c r="L7378">
        <v>-38.865810000000003</v>
      </c>
      <c r="M7378">
        <v>-8.2826129999999994E-3</v>
      </c>
      <c r="N7378">
        <v>-1.037127E-2</v>
      </c>
      <c r="O7378">
        <v>-0.99991229999999998</v>
      </c>
      <c r="P7378">
        <v>3.9588590000000003E-3</v>
      </c>
      <c r="Q7378">
        <v>-9.6194379999999996E-2</v>
      </c>
      <c r="R7378">
        <v>-0.99535499999999999</v>
      </c>
      <c r="S7378">
        <v>0.16616819999999999</v>
      </c>
      <c r="T7378">
        <v>-0.31434179999999901</v>
      </c>
      <c r="U7378">
        <v>-2.9831240000000001</v>
      </c>
      <c r="V7378">
        <v>-1.2192349999999999E-2</v>
      </c>
      <c r="W7378">
        <v>-8.5868399999999998E-2</v>
      </c>
      <c r="X7378">
        <v>0.99623189999999995</v>
      </c>
      <c r="Y7378">
        <v>-6.3598940000000007E-2</v>
      </c>
      <c r="Z7378">
        <v>9.4279279999999993E-2</v>
      </c>
      <c r="AA7378">
        <v>0.99351230000000001</v>
      </c>
      <c r="AB7378">
        <v>15</v>
      </c>
      <c r="AC7378">
        <v>0.59340000000003101</v>
      </c>
      <c r="AD7378">
        <v>-1.12074826696</v>
      </c>
      <c r="AE7378">
        <v>-10.492620000000001</v>
      </c>
      <c r="AF7378">
        <v>-0.67264088947583001</v>
      </c>
      <c r="AG7378">
        <v>-1.12074826696</v>
      </c>
      <c r="AH7378">
        <v>10.369417193172801</v>
      </c>
      <c r="AI7378">
        <v>96.155863338501405</v>
      </c>
      <c r="AJ7378">
        <v>93.711449122135903</v>
      </c>
      <c r="AK7378">
        <v>10.451475272427199</v>
      </c>
      <c r="AL7378">
        <v>94.925963025419094</v>
      </c>
      <c r="AM7378">
        <v>90.701177429862099</v>
      </c>
      <c r="AN7378">
        <v>1.00000001704734</v>
      </c>
    </row>
    <row r="7379" spans="1:40" x14ac:dyDescent="0.25">
      <c r="A7379" t="str">
        <f>"20190303154327009"</f>
        <v>20190303154327009</v>
      </c>
      <c r="B7379" t="str">
        <f>"1551599006998038"</f>
        <v>1551599006998038</v>
      </c>
      <c r="C7379" t="s">
        <v>40</v>
      </c>
      <c r="D7379">
        <v>5.3477629999999996</v>
      </c>
      <c r="E7379">
        <v>0.47391299999999997</v>
      </c>
      <c r="F7379" t="s">
        <v>58</v>
      </c>
      <c r="G7379">
        <v>-301.07619999999997</v>
      </c>
      <c r="H7379" s="1">
        <v>-5.2542560000000003E-6</v>
      </c>
      <c r="I7379">
        <v>-49.3339</v>
      </c>
      <c r="J7379">
        <v>-301.67430000000002</v>
      </c>
      <c r="K7379">
        <v>1.1207279999999999</v>
      </c>
      <c r="L7379">
        <v>-39.01343</v>
      </c>
      <c r="M7379">
        <v>-8.1174239999999998E-3</v>
      </c>
      <c r="N7379">
        <v>-1.025332E-2</v>
      </c>
      <c r="O7379">
        <v>-0.99991459999999999</v>
      </c>
      <c r="P7379">
        <v>4.3053780000000003E-3</v>
      </c>
      <c r="Q7379">
        <v>-9.7011769999999997E-2</v>
      </c>
      <c r="R7379">
        <v>-0.99527410000000005</v>
      </c>
      <c r="S7379">
        <v>0.17010500000000001</v>
      </c>
      <c r="T7379">
        <v>-0.31931130000000002</v>
      </c>
      <c r="U7379">
        <v>-2.9824519999999999</v>
      </c>
      <c r="V7379">
        <v>-1.237328E-2</v>
      </c>
      <c r="W7379">
        <v>-8.6804149999999997E-2</v>
      </c>
      <c r="X7379">
        <v>0.99614849999999999</v>
      </c>
      <c r="Y7379">
        <v>-6.4743270000000006E-2</v>
      </c>
      <c r="Z7379">
        <v>9.6049540000000003E-2</v>
      </c>
      <c r="AA7379">
        <v>0.9932687</v>
      </c>
      <c r="AB7379">
        <v>15</v>
      </c>
      <c r="AC7379">
        <v>0.59810000000004404</v>
      </c>
      <c r="AD7379">
        <v>-1.120733254256</v>
      </c>
      <c r="AE7379">
        <v>-10.32047</v>
      </c>
      <c r="AF7379">
        <v>-0.673939494334311</v>
      </c>
      <c r="AG7379">
        <v>-1.120733254256</v>
      </c>
      <c r="AH7379">
        <v>10.1954473699352</v>
      </c>
      <c r="AI7379">
        <v>96.259493781822698</v>
      </c>
      <c r="AJ7379">
        <v>93.781863949245803</v>
      </c>
      <c r="AK7379">
        <v>10.278977796568</v>
      </c>
      <c r="AL7379">
        <v>94.979778849606205</v>
      </c>
      <c r="AM7379">
        <v>90.711641152758204</v>
      </c>
      <c r="AN7379">
        <v>0.99999994628371403</v>
      </c>
    </row>
    <row r="7380" spans="1:40" x14ac:dyDescent="0.25">
      <c r="A7380" t="str">
        <f>"20190303154327032"</f>
        <v>20190303154327032</v>
      </c>
      <c r="B7380" t="str">
        <f>"1551599007027317"</f>
        <v>1551599007027317</v>
      </c>
      <c r="C7380" t="s">
        <v>40</v>
      </c>
      <c r="D7380">
        <v>5.3529970000000002</v>
      </c>
      <c r="E7380">
        <v>0.47671180000000002</v>
      </c>
      <c r="F7380" t="s">
        <v>58</v>
      </c>
      <c r="G7380">
        <v>-301.0197</v>
      </c>
      <c r="H7380" s="1">
        <v>-4.490176E-6</v>
      </c>
      <c r="I7380">
        <v>-47.840769999999999</v>
      </c>
      <c r="J7380">
        <v>-301.67529999999999</v>
      </c>
      <c r="K7380">
        <v>1.120711</v>
      </c>
      <c r="L7380">
        <v>-39.165219999999998</v>
      </c>
      <c r="M7380">
        <v>-7.9478529999999995E-3</v>
      </c>
      <c r="N7380">
        <v>-1.012614E-2</v>
      </c>
      <c r="O7380">
        <v>-0.99991730000000001</v>
      </c>
      <c r="P7380">
        <v>4.9864999999999996E-3</v>
      </c>
      <c r="Q7380">
        <v>-9.7340599999999999E-2</v>
      </c>
      <c r="R7380">
        <v>-0.99523879999999998</v>
      </c>
      <c r="S7380">
        <v>0.22070310000000001</v>
      </c>
      <c r="T7380">
        <v>-0.37789319999999998</v>
      </c>
      <c r="U7380">
        <v>-2.9764400000000002</v>
      </c>
      <c r="V7380">
        <v>-1.2885290000000001E-2</v>
      </c>
      <c r="W7380">
        <v>-8.7260149999999995E-2</v>
      </c>
      <c r="X7380">
        <v>0.99610220000000005</v>
      </c>
      <c r="Y7380">
        <v>-8.1319680000000005E-2</v>
      </c>
      <c r="Z7380">
        <v>0.11551110000000001</v>
      </c>
      <c r="AA7380">
        <v>0.98997190000000002</v>
      </c>
      <c r="AB7380">
        <v>15</v>
      </c>
      <c r="AC7380">
        <v>0.65559999999999197</v>
      </c>
      <c r="AD7380">
        <v>-1.1207154901759999</v>
      </c>
      <c r="AE7380">
        <v>-8.6755499999999994</v>
      </c>
      <c r="AF7380">
        <v>-0.71270886710076498</v>
      </c>
      <c r="AG7380">
        <v>-1.1207154901759999</v>
      </c>
      <c r="AH7380">
        <v>8.52855123141895</v>
      </c>
      <c r="AI7380">
        <v>97.4604902612665</v>
      </c>
      <c r="AJ7380">
        <v>94.776960074312996</v>
      </c>
      <c r="AK7380">
        <v>8.6313465488359409</v>
      </c>
      <c r="AL7380">
        <v>95.006005080180103</v>
      </c>
      <c r="AM7380">
        <v>90.741120298600293</v>
      </c>
      <c r="AN7380">
        <v>0.99999997866062296</v>
      </c>
    </row>
    <row r="7381" spans="1:40" x14ac:dyDescent="0.25">
      <c r="A7381" t="str">
        <f>"20190303154327054"</f>
        <v>20190303154327054</v>
      </c>
      <c r="B7381" t="str">
        <f>"1551599007047813"</f>
        <v>1551599007047813</v>
      </c>
      <c r="C7381" t="s">
        <v>40</v>
      </c>
      <c r="D7381">
        <v>5.4191409999999998</v>
      </c>
      <c r="E7381">
        <v>0.50097259999999999</v>
      </c>
      <c r="F7381" t="s">
        <v>58</v>
      </c>
      <c r="G7381">
        <v>-301.05919999999998</v>
      </c>
      <c r="H7381" s="1">
        <v>-4.733537E-6</v>
      </c>
      <c r="I7381">
        <v>-48.313890000000001</v>
      </c>
      <c r="J7381">
        <v>-301.67630000000003</v>
      </c>
      <c r="K7381">
        <v>1.120698</v>
      </c>
      <c r="L7381">
        <v>-39.316310000000001</v>
      </c>
      <c r="M7381">
        <v>-7.7783059999999996E-3</v>
      </c>
      <c r="N7381">
        <v>-9.9929879999999995E-3</v>
      </c>
      <c r="O7381">
        <v>-0.99992009999999998</v>
      </c>
      <c r="P7381">
        <v>5.6215340000000001E-3</v>
      </c>
      <c r="Q7381">
        <v>-9.7165909999999994E-2</v>
      </c>
      <c r="R7381">
        <v>-0.99525269999999999</v>
      </c>
      <c r="S7381">
        <v>0.20053099999999999</v>
      </c>
      <c r="T7381">
        <v>-0.3647687</v>
      </c>
      <c r="U7381">
        <v>-2.9776919999999998</v>
      </c>
      <c r="V7381">
        <v>-1.335129E-2</v>
      </c>
      <c r="W7381">
        <v>-8.7218069999999995E-2</v>
      </c>
      <c r="X7381">
        <v>0.99609979999999998</v>
      </c>
      <c r="Y7381">
        <v>-7.4484090000000003E-2</v>
      </c>
      <c r="Z7381">
        <v>0.1113542</v>
      </c>
      <c r="AA7381">
        <v>0.99098560000000002</v>
      </c>
      <c r="AB7381">
        <v>15</v>
      </c>
      <c r="AC7381">
        <v>0.61710000000005005</v>
      </c>
      <c r="AD7381">
        <v>-1.1207027335369999</v>
      </c>
      <c r="AE7381">
        <v>-8.9975799999999992</v>
      </c>
      <c r="AF7381">
        <v>-0.67662262254623995</v>
      </c>
      <c r="AG7381">
        <v>-1.1207027335369999</v>
      </c>
      <c r="AH7381">
        <v>8.8557607406578391</v>
      </c>
      <c r="AI7381">
        <v>97.191740710086407</v>
      </c>
      <c r="AJ7381">
        <v>94.369183747602705</v>
      </c>
      <c r="AK7381">
        <v>8.9519992787128508</v>
      </c>
      <c r="AL7381">
        <v>95.003584588208795</v>
      </c>
      <c r="AM7381">
        <v>90.767921811105694</v>
      </c>
      <c r="AN7381">
        <v>1.0000000301196099</v>
      </c>
    </row>
    <row r="7382" spans="1:40" x14ac:dyDescent="0.25">
      <c r="A7382" t="str">
        <f>"20190303154327078"</f>
        <v>20190303154327078</v>
      </c>
      <c r="B7382" t="str">
        <f>"1551599007067333"</f>
        <v>1551599007067333</v>
      </c>
      <c r="C7382" t="s">
        <v>40</v>
      </c>
      <c r="D7382">
        <v>5.4319509999999998</v>
      </c>
      <c r="E7382">
        <v>0.55060609999999999</v>
      </c>
      <c r="F7382" t="s">
        <v>42</v>
      </c>
      <c r="G7382">
        <v>-301.67430000000002</v>
      </c>
      <c r="H7382">
        <v>1.021407</v>
      </c>
      <c r="I7382">
        <v>-40.044640000000001</v>
      </c>
      <c r="J7382">
        <v>-301.6773</v>
      </c>
      <c r="K7382">
        <v>1.1206750000000001</v>
      </c>
      <c r="L7382">
        <v>-39.473329999999997</v>
      </c>
      <c r="M7382">
        <v>-7.6026330000000001E-3</v>
      </c>
      <c r="N7382">
        <v>-9.8392059999999996E-3</v>
      </c>
      <c r="O7382">
        <v>-0.99992300000000001</v>
      </c>
      <c r="P7382">
        <v>6.9459910000000003E-3</v>
      </c>
      <c r="Q7382">
        <v>-9.6773709999999999E-2</v>
      </c>
      <c r="R7382">
        <v>-0.99528249999999996</v>
      </c>
      <c r="S7382">
        <v>8.7890629999999997E-3</v>
      </c>
      <c r="T7382">
        <v>-0.40552319999999997</v>
      </c>
      <c r="U7382">
        <v>-2.9746700000000001</v>
      </c>
      <c r="V7382">
        <v>-1.450103E-2</v>
      </c>
      <c r="W7382">
        <v>-8.6979020000000004E-2</v>
      </c>
      <c r="X7382">
        <v>0.99610460000000001</v>
      </c>
      <c r="Y7382">
        <v>-1.052666E-2</v>
      </c>
      <c r="Z7382">
        <v>0.12531049999999999</v>
      </c>
      <c r="AA7382">
        <v>0.99206170000000005</v>
      </c>
      <c r="AB7382">
        <v>15</v>
      </c>
      <c r="AC7382">
        <v>2.9999999999858998E-3</v>
      </c>
      <c r="AD7382">
        <v>-9.9268000000000106E-2</v>
      </c>
      <c r="AE7382">
        <v>-0.57131000000000398</v>
      </c>
      <c r="AF7382">
        <v>-7.1283768713938898E-3</v>
      </c>
      <c r="AG7382">
        <v>-9.9268000000000106E-2</v>
      </c>
      <c r="AH7382">
        <v>0.55452944200068199</v>
      </c>
      <c r="AI7382">
        <v>100.148369199434</v>
      </c>
      <c r="AJ7382">
        <v>90.736486440272301</v>
      </c>
      <c r="AK7382">
        <v>0.56338960908629498</v>
      </c>
      <c r="AL7382">
        <v>94.989835923758903</v>
      </c>
      <c r="AM7382">
        <v>90.834038043615806</v>
      </c>
      <c r="AN7382">
        <v>1.0000000019661901</v>
      </c>
    </row>
    <row r="7383" spans="1:40" x14ac:dyDescent="0.25">
      <c r="A7383" t="str">
        <f>"20190303154327099"</f>
        <v>20190303154327099</v>
      </c>
      <c r="B7383" t="str">
        <f>"1551599007087830"</f>
        <v>1551599007087830</v>
      </c>
      <c r="C7383" t="s">
        <v>40</v>
      </c>
      <c r="D7383">
        <v>5.4302510000000002</v>
      </c>
      <c r="E7383">
        <v>0.5568786</v>
      </c>
      <c r="F7383" t="s">
        <v>42</v>
      </c>
      <c r="G7383">
        <v>-301.78160000000003</v>
      </c>
      <c r="H7383">
        <v>0.93138030000000005</v>
      </c>
      <c r="I7383">
        <v>-40.271270000000001</v>
      </c>
      <c r="J7383">
        <v>-301.6782</v>
      </c>
      <c r="K7383">
        <v>1.1206480000000001</v>
      </c>
      <c r="L7383">
        <v>-39.622129999999999</v>
      </c>
      <c r="M7383">
        <v>-7.43524599999999E-3</v>
      </c>
      <c r="N7383">
        <v>-9.6748500000000005E-3</v>
      </c>
      <c r="O7383">
        <v>-0.99992559999999997</v>
      </c>
      <c r="P7383">
        <v>7.7226780000000002E-3</v>
      </c>
      <c r="Q7383">
        <v>-9.7210379999999999E-2</v>
      </c>
      <c r="R7383">
        <v>-0.9952339</v>
      </c>
      <c r="S7383">
        <v>-0.3842468</v>
      </c>
      <c r="T7383">
        <v>-0.69955610000000001</v>
      </c>
      <c r="U7383">
        <v>-2.9488829999999999</v>
      </c>
      <c r="V7383">
        <v>-1.511058E-2</v>
      </c>
      <c r="W7383">
        <v>-8.7579999999999894E-2</v>
      </c>
      <c r="X7383">
        <v>0.99604280000000001</v>
      </c>
      <c r="Y7383">
        <v>0.1185364</v>
      </c>
      <c r="Z7383">
        <v>0.21966179999999999</v>
      </c>
      <c r="AA7383">
        <v>0.96834799999999999</v>
      </c>
      <c r="AB7383">
        <v>15</v>
      </c>
      <c r="AC7383">
        <v>-0.103400000000021</v>
      </c>
      <c r="AD7383">
        <v>-0.18926770000000001</v>
      </c>
      <c r="AE7383">
        <v>-0.64914000000000205</v>
      </c>
      <c r="AF7383">
        <v>9.1023829069677695E-2</v>
      </c>
      <c r="AG7383">
        <v>-0.18926770000000001</v>
      </c>
      <c r="AH7383">
        <v>0.60013510738814502</v>
      </c>
      <c r="AI7383">
        <v>107.317950781695</v>
      </c>
      <c r="AJ7383">
        <v>81.375554150193494</v>
      </c>
      <c r="AK7383">
        <v>0.63582210314015997</v>
      </c>
      <c r="AL7383">
        <v>95.024401847744201</v>
      </c>
      <c r="AM7383">
        <v>90.869145433015703</v>
      </c>
      <c r="AN7383">
        <v>0.99999992272988503</v>
      </c>
    </row>
    <row r="7384" spans="1:40" x14ac:dyDescent="0.25">
      <c r="A7384" t="str">
        <f>"20190303154327123"</f>
        <v>20190303154327123</v>
      </c>
      <c r="B7384" t="str">
        <f>"1551599007118085"</f>
        <v>1551599007118085</v>
      </c>
      <c r="C7384" t="s">
        <v>40</v>
      </c>
      <c r="D7384">
        <v>5.4061199999999996</v>
      </c>
      <c r="E7384">
        <v>0.56030239999999998</v>
      </c>
      <c r="F7384" t="s">
        <v>42</v>
      </c>
      <c r="G7384">
        <v>-301.79329999999999</v>
      </c>
      <c r="H7384">
        <v>0.92564999999999997</v>
      </c>
      <c r="I7384">
        <v>-40.405679999999997</v>
      </c>
      <c r="J7384">
        <v>-301.67930000000001</v>
      </c>
      <c r="K7384">
        <v>1.1206149999999999</v>
      </c>
      <c r="L7384">
        <v>-39.787199999999999</v>
      </c>
      <c r="M7384">
        <v>-7.2501219999999899E-3</v>
      </c>
      <c r="N7384">
        <v>-9.4815209999999997E-3</v>
      </c>
      <c r="O7384">
        <v>-0.99992899999999996</v>
      </c>
      <c r="P7384">
        <v>8.2089729999999996E-3</v>
      </c>
      <c r="Q7384">
        <v>-9.7079840000000001E-2</v>
      </c>
      <c r="R7384">
        <v>-0.99524299999999999</v>
      </c>
      <c r="S7384">
        <v>-0.43234250000000002</v>
      </c>
      <c r="T7384">
        <v>-0.73317670000000001</v>
      </c>
      <c r="U7384">
        <v>-2.9461059999999999</v>
      </c>
      <c r="V7384">
        <v>-1.541256E-2</v>
      </c>
      <c r="W7384">
        <v>-8.7642040000000004E-2</v>
      </c>
      <c r="X7384">
        <v>0.99603280000000005</v>
      </c>
      <c r="Y7384">
        <v>0.13396279999999999</v>
      </c>
      <c r="Z7384">
        <v>0.229986</v>
      </c>
      <c r="AA7384">
        <v>0.9639297</v>
      </c>
      <c r="AB7384">
        <v>15</v>
      </c>
      <c r="AC7384">
        <v>-0.113999999999975</v>
      </c>
      <c r="AD7384">
        <v>-0.194964999999999</v>
      </c>
      <c r="AE7384">
        <v>-0.61847999999999803</v>
      </c>
      <c r="AF7384">
        <v>9.9910697293687095E-2</v>
      </c>
      <c r="AG7384">
        <v>-0.194964999999999</v>
      </c>
      <c r="AH7384">
        <v>0.564991076424047</v>
      </c>
      <c r="AI7384">
        <v>108.76797397717201</v>
      </c>
      <c r="AJ7384">
        <v>79.971723591127002</v>
      </c>
      <c r="AK7384">
        <v>0.60597723975204998</v>
      </c>
      <c r="AL7384">
        <v>95.027969777427401</v>
      </c>
      <c r="AM7384">
        <v>90.886521174383702</v>
      </c>
      <c r="AN7384">
        <v>1.00000000642847</v>
      </c>
    </row>
    <row r="7385" spans="1:40" x14ac:dyDescent="0.25">
      <c r="A7385" t="str">
        <f>"20190303154327149"</f>
        <v>20190303154327149</v>
      </c>
      <c r="B7385" t="str">
        <f>"1551599007137605"</f>
        <v>1551599007137605</v>
      </c>
      <c r="C7385" t="s">
        <v>40</v>
      </c>
      <c r="D7385">
        <v>5.4349730000000003</v>
      </c>
      <c r="E7385">
        <v>0.56145389999999995</v>
      </c>
      <c r="F7385" t="s">
        <v>42</v>
      </c>
      <c r="G7385">
        <v>-301.79730000000001</v>
      </c>
      <c r="H7385">
        <v>0.92747769999999996</v>
      </c>
      <c r="I7385">
        <v>-40.544029999999999</v>
      </c>
      <c r="J7385">
        <v>-301.68029999999999</v>
      </c>
      <c r="K7385">
        <v>1.120582</v>
      </c>
      <c r="L7385">
        <v>-39.960540000000002</v>
      </c>
      <c r="M7385">
        <v>-7.0554839999999999E-3</v>
      </c>
      <c r="N7385">
        <v>-9.2682700000000003E-3</v>
      </c>
      <c r="O7385">
        <v>-0.9999323</v>
      </c>
      <c r="P7385">
        <v>8.9226640000000003E-3</v>
      </c>
      <c r="Q7385">
        <v>-9.7569619999999996E-2</v>
      </c>
      <c r="R7385">
        <v>-0.99518899999999999</v>
      </c>
      <c r="S7385">
        <v>-0.45858759999999998</v>
      </c>
      <c r="T7385">
        <v>-0.75150019999999995</v>
      </c>
      <c r="U7385">
        <v>-2.9448240000000001</v>
      </c>
      <c r="V7385">
        <v>-1.5931629999999999E-2</v>
      </c>
      <c r="W7385">
        <v>-8.8344829999999999E-2</v>
      </c>
      <c r="X7385">
        <v>0.99596260000000003</v>
      </c>
      <c r="Y7385">
        <v>0.14239079999999901</v>
      </c>
      <c r="Z7385">
        <v>0.23562959999999999</v>
      </c>
      <c r="AA7385">
        <v>0.96135499999999996</v>
      </c>
      <c r="AB7385">
        <v>15</v>
      </c>
      <c r="AC7385">
        <v>-0.11700000000001801</v>
      </c>
      <c r="AD7385">
        <v>-0.19310429999999901</v>
      </c>
      <c r="AE7385">
        <v>-0.58348999999999696</v>
      </c>
      <c r="AF7385">
        <v>0.102126915642309</v>
      </c>
      <c r="AG7385">
        <v>-0.19310429999999901</v>
      </c>
      <c r="AH7385">
        <v>0.52863928627130297</v>
      </c>
      <c r="AI7385">
        <v>109.73057908369699</v>
      </c>
      <c r="AJ7385">
        <v>79.065826175519902</v>
      </c>
      <c r="AK7385">
        <v>0.571995343133608</v>
      </c>
      <c r="AL7385">
        <v>95.068393191695193</v>
      </c>
      <c r="AM7385">
        <v>90.916437339135101</v>
      </c>
      <c r="AN7385">
        <v>1.00000006321047</v>
      </c>
    </row>
    <row r="7386" spans="1:40" x14ac:dyDescent="0.25">
      <c r="A7386" t="str">
        <f>"20190303154327169"</f>
        <v>20190303154327169</v>
      </c>
      <c r="B7386" t="str">
        <f>"1551599007158101"</f>
        <v>1551599007158101</v>
      </c>
      <c r="C7386" t="s">
        <v>40</v>
      </c>
      <c r="D7386">
        <v>5.4210379999999896</v>
      </c>
      <c r="E7386">
        <v>0.56268469999999904</v>
      </c>
      <c r="F7386" t="s">
        <v>42</v>
      </c>
      <c r="G7386">
        <v>-301.79500000000002</v>
      </c>
      <c r="H7386">
        <v>0.93331719999999896</v>
      </c>
      <c r="I7386">
        <v>-40.684719999999999</v>
      </c>
      <c r="J7386">
        <v>-301.68110000000001</v>
      </c>
      <c r="K7386">
        <v>1.120544</v>
      </c>
      <c r="L7386">
        <v>-40.105989999999998</v>
      </c>
      <c r="M7386">
        <v>-6.8923589999999998E-3</v>
      </c>
      <c r="N7386">
        <v>-9.0766709999999997E-3</v>
      </c>
      <c r="O7386">
        <v>-0.99993520000000002</v>
      </c>
      <c r="P7386">
        <v>8.9576510000000005E-3</v>
      </c>
      <c r="Q7386">
        <v>-9.7688940000000002E-2</v>
      </c>
      <c r="R7386">
        <v>-0.99517690000000003</v>
      </c>
      <c r="S7386">
        <v>-0.46615600000000001</v>
      </c>
      <c r="T7386">
        <v>-0.76130779999999998</v>
      </c>
      <c r="U7386">
        <v>-2.944061</v>
      </c>
      <c r="V7386">
        <v>-1.5803919999999999E-2</v>
      </c>
      <c r="W7386">
        <v>-8.8655049999999999E-2</v>
      </c>
      <c r="X7386">
        <v>0.99593699999999996</v>
      </c>
      <c r="Y7386">
        <v>0.14487939999999999</v>
      </c>
      <c r="Z7386">
        <v>0.23878740000000001</v>
      </c>
      <c r="AA7386">
        <v>0.96020340000000004</v>
      </c>
      <c r="AB7386">
        <v>15</v>
      </c>
      <c r="AC7386">
        <v>-0.1139</v>
      </c>
      <c r="AD7386">
        <v>-0.1872268</v>
      </c>
      <c r="AE7386">
        <v>-0.57872999999999297</v>
      </c>
      <c r="AF7386">
        <v>9.9847845632874799E-2</v>
      </c>
      <c r="AG7386">
        <v>-0.1872268</v>
      </c>
      <c r="AH7386">
        <v>0.52645660538894101</v>
      </c>
      <c r="AI7386">
        <v>109.25977374896701</v>
      </c>
      <c r="AJ7386">
        <v>79.260826883253401</v>
      </c>
      <c r="AK7386">
        <v>0.56760904174741</v>
      </c>
      <c r="AL7386">
        <v>95.086237853687294</v>
      </c>
      <c r="AM7386">
        <v>90.909115660932699</v>
      </c>
      <c r="AN7386">
        <v>0.99999999487343405</v>
      </c>
    </row>
    <row r="7387" spans="1:40" x14ac:dyDescent="0.25">
      <c r="A7387" t="str">
        <f>"20190303154327188"</f>
        <v>20190303154327188</v>
      </c>
      <c r="B7387" t="str">
        <f>"1551599007177622"</f>
        <v>1551599007177622</v>
      </c>
      <c r="C7387" t="s">
        <v>40</v>
      </c>
      <c r="D7387">
        <v>5.4384759999999996</v>
      </c>
      <c r="E7387">
        <v>0.56359769999999998</v>
      </c>
      <c r="F7387" t="s">
        <v>42</v>
      </c>
      <c r="G7387">
        <v>-301.79750000000001</v>
      </c>
      <c r="H7387">
        <v>0.93419969999999997</v>
      </c>
      <c r="I7387">
        <v>-40.823929999999997</v>
      </c>
      <c r="J7387">
        <v>-301.68180000000001</v>
      </c>
      <c r="K7387">
        <v>1.120512</v>
      </c>
      <c r="L7387">
        <v>-40.237670000000001</v>
      </c>
      <c r="M7387">
        <v>-6.7444580000000001E-3</v>
      </c>
      <c r="N7387">
        <v>-8.8865619999999902E-3</v>
      </c>
      <c r="O7387">
        <v>-0.99993799999999999</v>
      </c>
      <c r="P7387">
        <v>8.8572890000000008E-3</v>
      </c>
      <c r="Q7387">
        <v>-9.7963529999999993E-2</v>
      </c>
      <c r="R7387">
        <v>-0.99515089999999995</v>
      </c>
      <c r="S7387">
        <v>-0.47586060000000002</v>
      </c>
      <c r="T7387">
        <v>-0.76407559999999997</v>
      </c>
      <c r="U7387">
        <v>-2.9438170000000001</v>
      </c>
      <c r="V7387">
        <v>-1.555632E-2</v>
      </c>
      <c r="W7387">
        <v>-8.9119169999999998E-2</v>
      </c>
      <c r="X7387">
        <v>0.99589950000000005</v>
      </c>
      <c r="Y7387">
        <v>0.148086299999999</v>
      </c>
      <c r="Z7387">
        <v>0.2397176</v>
      </c>
      <c r="AA7387">
        <v>0.9594821</v>
      </c>
      <c r="AB7387">
        <v>15</v>
      </c>
      <c r="AC7387">
        <v>-0.11570000000000299</v>
      </c>
      <c r="AD7387">
        <v>-0.18631229999999999</v>
      </c>
      <c r="AE7387">
        <v>-0.58625999999999501</v>
      </c>
      <c r="AF7387">
        <v>0.101843091832119</v>
      </c>
      <c r="AG7387">
        <v>-0.18631229999999999</v>
      </c>
      <c r="AH7387">
        <v>0.53501818319850303</v>
      </c>
      <c r="AI7387">
        <v>108.885446528899</v>
      </c>
      <c r="AJ7387">
        <v>79.222433307286806</v>
      </c>
      <c r="AK7387">
        <v>0.57561162673997701</v>
      </c>
      <c r="AL7387">
        <v>95.112935521035297</v>
      </c>
      <c r="AM7387">
        <v>90.894908571819002</v>
      </c>
      <c r="AN7387">
        <v>1.0000000198268399</v>
      </c>
    </row>
    <row r="7388" spans="1:40" x14ac:dyDescent="0.25">
      <c r="A7388" t="str">
        <f>"20190303154327210"</f>
        <v>20190303154327210</v>
      </c>
      <c r="B7388" t="str">
        <f>"1551599007198118"</f>
        <v>1551599007198118</v>
      </c>
      <c r="C7388" t="s">
        <v>40</v>
      </c>
      <c r="D7388">
        <v>5.4406990000000004</v>
      </c>
      <c r="E7388">
        <v>0.56430729999999996</v>
      </c>
      <c r="F7388" t="s">
        <v>42</v>
      </c>
      <c r="G7388">
        <v>-301.80079999999998</v>
      </c>
      <c r="H7388">
        <v>0.93143779999999998</v>
      </c>
      <c r="I7388">
        <v>-40.962260000000001</v>
      </c>
      <c r="J7388">
        <v>-301.68259999999998</v>
      </c>
      <c r="K7388">
        <v>1.1204769999999999</v>
      </c>
      <c r="L7388">
        <v>-40.391750000000002</v>
      </c>
      <c r="M7388">
        <v>-6.5712130000000002E-3</v>
      </c>
      <c r="N7388">
        <v>-8.6410150000000002E-3</v>
      </c>
      <c r="O7388">
        <v>-0.99994110000000003</v>
      </c>
      <c r="P7388">
        <v>8.27172199999999E-3</v>
      </c>
      <c r="Q7388">
        <v>-9.7903669999999998E-2</v>
      </c>
      <c r="R7388">
        <v>-0.99516170000000004</v>
      </c>
      <c r="S7388">
        <v>-0.48297119999999999</v>
      </c>
      <c r="T7388">
        <v>-0.76801129999999995</v>
      </c>
      <c r="U7388">
        <v>-2.943298</v>
      </c>
      <c r="V7388">
        <v>-1.479769E-2</v>
      </c>
      <c r="W7388">
        <v>-8.9303660000000007E-2</v>
      </c>
      <c r="X7388">
        <v>0.99589450000000002</v>
      </c>
      <c r="Y7388">
        <v>0.15048739999999999</v>
      </c>
      <c r="Z7388">
        <v>0.24110760000000001</v>
      </c>
      <c r="AA7388">
        <v>0.95875999999999995</v>
      </c>
      <c r="AB7388">
        <v>16</v>
      </c>
      <c r="AC7388">
        <v>-0.118200000000001</v>
      </c>
      <c r="AD7388">
        <v>-0.18903919999999899</v>
      </c>
      <c r="AE7388">
        <v>-0.57050999999999796</v>
      </c>
      <c r="AF7388">
        <v>0.103547434889526</v>
      </c>
      <c r="AG7388">
        <v>-0.18903919999999899</v>
      </c>
      <c r="AH7388">
        <v>0.51686191857878805</v>
      </c>
      <c r="AI7388">
        <v>109.728758906697</v>
      </c>
      <c r="AJ7388">
        <v>78.671410110429704</v>
      </c>
      <c r="AK7388">
        <v>0.56000369042157705</v>
      </c>
      <c r="AL7388">
        <v>95.123548513305593</v>
      </c>
      <c r="AM7388">
        <v>90.851277716510296</v>
      </c>
      <c r="AN7388">
        <v>0.99999998522448996</v>
      </c>
    </row>
    <row r="7389" spans="1:40" x14ac:dyDescent="0.25">
      <c r="A7389" t="str">
        <f>"20190303154327233"</f>
        <v>20190303154327233</v>
      </c>
      <c r="B7389" t="str">
        <f>"1551599007227397"</f>
        <v>1551599007227397</v>
      </c>
      <c r="C7389" t="s">
        <v>40</v>
      </c>
      <c r="D7389">
        <v>5.4387610000000004</v>
      </c>
      <c r="E7389">
        <v>0.56512649999999998</v>
      </c>
      <c r="F7389" t="s">
        <v>42</v>
      </c>
      <c r="G7389">
        <v>-301.80160000000001</v>
      </c>
      <c r="H7389">
        <v>0.93440140000000005</v>
      </c>
      <c r="I7389">
        <v>-41.104039999999998</v>
      </c>
      <c r="J7389">
        <v>-301.68349999999998</v>
      </c>
      <c r="K7389">
        <v>1.1204369999999999</v>
      </c>
      <c r="L7389">
        <v>-40.553530000000002</v>
      </c>
      <c r="M7389">
        <v>-6.3892269999999999E-3</v>
      </c>
      <c r="N7389">
        <v>-8.3610549999999992E-3</v>
      </c>
      <c r="O7389">
        <v>-0.99994470000000002</v>
      </c>
      <c r="P7389">
        <v>8.3154159999999904E-3</v>
      </c>
      <c r="Q7389">
        <v>-9.7376959999999999E-2</v>
      </c>
      <c r="R7389">
        <v>-0.99521300000000001</v>
      </c>
      <c r="S7389">
        <v>-0.49084470000000002</v>
      </c>
      <c r="T7389">
        <v>-0.76882410000000001</v>
      </c>
      <c r="U7389">
        <v>-2.9430239999999999</v>
      </c>
      <c r="V7389">
        <v>-1.466077E-2</v>
      </c>
      <c r="W7389">
        <v>-8.9055339999999997E-2</v>
      </c>
      <c r="X7389">
        <v>0.99591879999999999</v>
      </c>
      <c r="Y7389">
        <v>0.1531624</v>
      </c>
      <c r="Z7389">
        <v>0.2415466</v>
      </c>
      <c r="AA7389">
        <v>0.95822569999999996</v>
      </c>
      <c r="AB7389">
        <v>16</v>
      </c>
      <c r="AC7389">
        <v>-0.118100000000026</v>
      </c>
      <c r="AD7389">
        <v>-0.1860356</v>
      </c>
      <c r="AE7389">
        <v>-0.55051000000000205</v>
      </c>
      <c r="AF7389">
        <v>0.103302182257417</v>
      </c>
      <c r="AG7389">
        <v>-0.1860356</v>
      </c>
      <c r="AH7389">
        <v>0.49699431422795498</v>
      </c>
      <c r="AI7389">
        <v>110.12729713750301</v>
      </c>
      <c r="AJ7389">
        <v>78.258043112734597</v>
      </c>
      <c r="AK7389">
        <v>0.540632901053404</v>
      </c>
      <c r="AL7389">
        <v>95.109263710568896</v>
      </c>
      <c r="AM7389">
        <v>90.843381585259706</v>
      </c>
      <c r="AN7389">
        <v>1.0000000239764699</v>
      </c>
    </row>
    <row r="7390" spans="1:40" x14ac:dyDescent="0.25">
      <c r="A7390" t="str">
        <f>"20190303154327255"</f>
        <v>20190303154327255</v>
      </c>
      <c r="B7390" t="str">
        <f>"1551599007247893"</f>
        <v>1551599007247893</v>
      </c>
      <c r="C7390" t="s">
        <v>40</v>
      </c>
      <c r="D7390">
        <v>5.4479989999999896</v>
      </c>
      <c r="E7390">
        <v>0.56562170000000001</v>
      </c>
      <c r="F7390" t="s">
        <v>42</v>
      </c>
      <c r="G7390">
        <v>-301.80090000000001</v>
      </c>
      <c r="H7390">
        <v>0.93930040000000004</v>
      </c>
      <c r="I7390">
        <v>-41.247579999999999</v>
      </c>
      <c r="J7390">
        <v>-301.68430000000001</v>
      </c>
      <c r="K7390">
        <v>1.120393</v>
      </c>
      <c r="L7390">
        <v>-40.711790000000001</v>
      </c>
      <c r="M7390">
        <v>-6.2115599999999997E-3</v>
      </c>
      <c r="N7390">
        <v>-8.0722720000000001E-3</v>
      </c>
      <c r="O7390">
        <v>-0.99994830000000001</v>
      </c>
      <c r="P7390">
        <v>8.6563490000000007E-3</v>
      </c>
      <c r="Q7390">
        <v>-9.6026390000000003E-2</v>
      </c>
      <c r="R7390">
        <v>-0.99534129999999998</v>
      </c>
      <c r="S7390">
        <v>-0.49786380000000002</v>
      </c>
      <c r="T7390">
        <v>-0.76818719999999996</v>
      </c>
      <c r="U7390">
        <v>-2.9434200000000001</v>
      </c>
      <c r="V7390">
        <v>-1.482554E-2</v>
      </c>
      <c r="W7390">
        <v>-8.7991459999999994E-2</v>
      </c>
      <c r="X7390">
        <v>0.99601090000000003</v>
      </c>
      <c r="Y7390">
        <v>0.15554399999999999</v>
      </c>
      <c r="Z7390">
        <v>0.2415089</v>
      </c>
      <c r="AA7390">
        <v>0.95785149999999997</v>
      </c>
      <c r="AB7390">
        <v>16</v>
      </c>
      <c r="AC7390">
        <v>-0.11660000000000501</v>
      </c>
      <c r="AD7390">
        <v>-0.18109259999999899</v>
      </c>
      <c r="AE7390">
        <v>-0.53578999999999799</v>
      </c>
      <c r="AF7390">
        <v>0.102129952783319</v>
      </c>
      <c r="AG7390">
        <v>-0.18109259999999899</v>
      </c>
      <c r="AH7390">
        <v>0.48374097998483201</v>
      </c>
      <c r="AI7390">
        <v>110.116986737288</v>
      </c>
      <c r="AJ7390">
        <v>78.078483949089801</v>
      </c>
      <c r="AK7390">
        <v>0.52652672557712499</v>
      </c>
      <c r="AL7390">
        <v>95.048067729979095</v>
      </c>
      <c r="AM7390">
        <v>90.852779969660801</v>
      </c>
      <c r="AN7390">
        <v>1.00000000329401</v>
      </c>
    </row>
    <row r="7391" spans="1:40" x14ac:dyDescent="0.25">
      <c r="A7391" t="str">
        <f>"20190303154327278"</f>
        <v>20190303154327278</v>
      </c>
      <c r="B7391" t="str">
        <f>"1551599007267414"</f>
        <v>1551599007267414</v>
      </c>
      <c r="C7391" t="s">
        <v>40</v>
      </c>
      <c r="D7391">
        <v>5.4481719999999996</v>
      </c>
      <c r="E7391">
        <v>0.5658687</v>
      </c>
      <c r="F7391" t="s">
        <v>42</v>
      </c>
      <c r="G7391">
        <v>-301.80029999999999</v>
      </c>
      <c r="H7391">
        <v>0.94375690000000001</v>
      </c>
      <c r="I7391">
        <v>-41.391860000000001</v>
      </c>
      <c r="J7391">
        <v>-301.68509999999998</v>
      </c>
      <c r="K7391">
        <v>1.120339</v>
      </c>
      <c r="L7391">
        <v>-40.87079</v>
      </c>
      <c r="M7391">
        <v>-6.0321990000000002E-3</v>
      </c>
      <c r="N7391">
        <v>-7.769298E-3</v>
      </c>
      <c r="O7391">
        <v>-0.99995160000000005</v>
      </c>
      <c r="P7391">
        <v>9.2504909999999996E-3</v>
      </c>
      <c r="Q7391">
        <v>-9.4971169999999994E-2</v>
      </c>
      <c r="R7391">
        <v>-0.99543709999999996</v>
      </c>
      <c r="S7391">
        <v>-0.50064090000000006</v>
      </c>
      <c r="T7391">
        <v>-0.76481129999999997</v>
      </c>
      <c r="U7391">
        <v>-2.9446110000000001</v>
      </c>
      <c r="V7391">
        <v>-1.5241650000000001E-2</v>
      </c>
      <c r="W7391">
        <v>-8.7237419999999996E-2</v>
      </c>
      <c r="X7391">
        <v>0.99607089999999998</v>
      </c>
      <c r="Y7391">
        <v>0.15657769999999999</v>
      </c>
      <c r="Z7391">
        <v>0.24064199999999999</v>
      </c>
      <c r="AA7391">
        <v>0.95790129999999996</v>
      </c>
      <c r="AB7391">
        <v>16</v>
      </c>
      <c r="AC7391">
        <v>-0.115200000000015</v>
      </c>
      <c r="AD7391">
        <v>-0.17658209999999999</v>
      </c>
      <c r="AE7391">
        <v>-0.52107000000000103</v>
      </c>
      <c r="AF7391">
        <v>0.100996462286205</v>
      </c>
      <c r="AG7391">
        <v>-0.17658209999999999</v>
      </c>
      <c r="AH7391">
        <v>0.47026582909040798</v>
      </c>
      <c r="AI7391">
        <v>110.159352142383</v>
      </c>
      <c r="AJ7391">
        <v>77.879010849977504</v>
      </c>
      <c r="AK7391">
        <v>0.51237825231446799</v>
      </c>
      <c r="AL7391">
        <v>95.004697872458905</v>
      </c>
      <c r="AM7391">
        <v>90.876658548493893</v>
      </c>
      <c r="AN7391">
        <v>0.99999995658489305</v>
      </c>
    </row>
    <row r="7392" spans="1:40" x14ac:dyDescent="0.25">
      <c r="A7392" t="str">
        <f>"20190303154327300"</f>
        <v>20190303154327300</v>
      </c>
      <c r="B7392" t="str">
        <f>"1551599007287910"</f>
        <v>1551599007287910</v>
      </c>
      <c r="C7392" t="s">
        <v>40</v>
      </c>
      <c r="D7392">
        <v>5.4071619999999996</v>
      </c>
      <c r="E7392">
        <v>0.56609240000000005</v>
      </c>
      <c r="F7392" t="s">
        <v>42</v>
      </c>
      <c r="G7392">
        <v>-301.82089999999999</v>
      </c>
      <c r="H7392">
        <v>0.91419790000000001</v>
      </c>
      <c r="I7392">
        <v>-41.666840000000001</v>
      </c>
      <c r="J7392">
        <v>-301.68579999999997</v>
      </c>
      <c r="K7392">
        <v>1.1202909999999999</v>
      </c>
      <c r="L7392">
        <v>-41.034849999999999</v>
      </c>
      <c r="M7392">
        <v>-5.848013E-3</v>
      </c>
      <c r="N7392">
        <v>-7.4461759999999997E-3</v>
      </c>
      <c r="O7392">
        <v>-0.99995520000000004</v>
      </c>
      <c r="P7392">
        <v>1.003948E-2</v>
      </c>
      <c r="Q7392">
        <v>-9.5318050000000001E-2</v>
      </c>
      <c r="R7392">
        <v>-0.99539630000000001</v>
      </c>
      <c r="S7392">
        <v>-0.50146480000000004</v>
      </c>
      <c r="T7392">
        <v>-0.762777699999999</v>
      </c>
      <c r="U7392">
        <v>-2.9456180000000001</v>
      </c>
      <c r="V7392">
        <v>-1.5846289999999999E-2</v>
      </c>
      <c r="W7392">
        <v>-8.7906600000000001E-2</v>
      </c>
      <c r="X7392">
        <v>0.99600270000000002</v>
      </c>
      <c r="Y7392">
        <v>0.1569894</v>
      </c>
      <c r="Z7392">
        <v>0.2402435</v>
      </c>
      <c r="AA7392">
        <v>0.9579339</v>
      </c>
      <c r="AB7392">
        <v>16</v>
      </c>
      <c r="AC7392">
        <v>-0.13510000000002201</v>
      </c>
      <c r="AD7392">
        <v>-0.2060931</v>
      </c>
      <c r="AE7392">
        <v>-0.63199000000000105</v>
      </c>
      <c r="AF7392">
        <v>0.11927228138076899</v>
      </c>
      <c r="AG7392">
        <v>-0.2060931</v>
      </c>
      <c r="AH7392">
        <v>0.57435965303801195</v>
      </c>
      <c r="AI7392">
        <v>109.35776021915299</v>
      </c>
      <c r="AJ7392">
        <v>78.268618120758603</v>
      </c>
      <c r="AK7392">
        <v>0.62176302078149404</v>
      </c>
      <c r="AL7392">
        <v>95.043186577073996</v>
      </c>
      <c r="AM7392">
        <v>90.911492452288996</v>
      </c>
      <c r="AN7392">
        <v>1.0000000268188001</v>
      </c>
    </row>
    <row r="7393" spans="1:40" x14ac:dyDescent="0.25">
      <c r="A7393" t="str">
        <f>"20190303154327325"</f>
        <v>20190303154327325</v>
      </c>
      <c r="B7393" t="str">
        <f>"1551599007318166"</f>
        <v>1551599007318166</v>
      </c>
      <c r="C7393" t="s">
        <v>40</v>
      </c>
      <c r="D7393">
        <v>5.3722180000000002</v>
      </c>
      <c r="E7393">
        <v>0.56647159999999996</v>
      </c>
      <c r="F7393" t="s">
        <v>42</v>
      </c>
      <c r="G7393">
        <v>-301.8184</v>
      </c>
      <c r="H7393">
        <v>0.91822539999999997</v>
      </c>
      <c r="I7393">
        <v>-41.813850000000002</v>
      </c>
      <c r="J7393">
        <v>-301.68669999999997</v>
      </c>
      <c r="K7393">
        <v>1.120244</v>
      </c>
      <c r="L7393">
        <v>-41.218960000000003</v>
      </c>
      <c r="M7393">
        <v>-5.6407580000000001E-3</v>
      </c>
      <c r="N7393">
        <v>-7.0822289999999998E-3</v>
      </c>
      <c r="O7393">
        <v>-0.99995919999999905</v>
      </c>
      <c r="P7393">
        <v>1.124002E-2</v>
      </c>
      <c r="Q7393">
        <v>-9.5517790000000005E-2</v>
      </c>
      <c r="R7393">
        <v>-0.99536440000000004</v>
      </c>
      <c r="S7393">
        <v>-0.50125120000000001</v>
      </c>
      <c r="T7393">
        <v>-0.76410500000000003</v>
      </c>
      <c r="U7393">
        <v>-2.94577</v>
      </c>
      <c r="V7393">
        <v>-1.6840419999999998E-2</v>
      </c>
      <c r="W7393">
        <v>-8.8469279999999997E-2</v>
      </c>
      <c r="X7393">
        <v>0.9959365</v>
      </c>
      <c r="Y7393">
        <v>0.1570946</v>
      </c>
      <c r="Z7393">
        <v>0.2409886</v>
      </c>
      <c r="AA7393">
        <v>0.95772950000000001</v>
      </c>
      <c r="AB7393">
        <v>16</v>
      </c>
      <c r="AC7393">
        <v>-0.13170000000002299</v>
      </c>
      <c r="AD7393">
        <v>-0.20201859999999899</v>
      </c>
      <c r="AE7393">
        <v>-0.59489000000000603</v>
      </c>
      <c r="AF7393">
        <v>0.115630547271642</v>
      </c>
      <c r="AG7393">
        <v>-0.20201859999999899</v>
      </c>
      <c r="AH7393">
        <v>0.53662995932693103</v>
      </c>
      <c r="AI7393">
        <v>110.204196986474</v>
      </c>
      <c r="AJ7393">
        <v>77.840088228908499</v>
      </c>
      <c r="AK7393">
        <v>0.58493901515929203</v>
      </c>
      <c r="AL7393">
        <v>95.075552192352603</v>
      </c>
      <c r="AM7393">
        <v>90.968729479691405</v>
      </c>
      <c r="AN7393">
        <v>0.99999996264087099</v>
      </c>
    </row>
    <row r="7394" spans="1:40" x14ac:dyDescent="0.25">
      <c r="A7394" t="str">
        <f>"20190303154327367"</f>
        <v>20190303154327367</v>
      </c>
      <c r="B7394" t="str">
        <f>"1551599007357206"</f>
        <v>1551599007357206</v>
      </c>
      <c r="C7394" t="s">
        <v>40</v>
      </c>
      <c r="D7394">
        <v>5.1622000000000003</v>
      </c>
      <c r="E7394">
        <v>0.5676542</v>
      </c>
      <c r="F7394" t="s">
        <v>42</v>
      </c>
      <c r="G7394">
        <v>-301.81349999999998</v>
      </c>
      <c r="H7394">
        <v>0.92674920000000005</v>
      </c>
      <c r="I7394">
        <v>-41.963790000000003</v>
      </c>
      <c r="J7394">
        <v>-301.68799999999999</v>
      </c>
      <c r="K7394">
        <v>1.12016</v>
      </c>
      <c r="L7394">
        <v>-41.525089999999999</v>
      </c>
      <c r="M7394">
        <v>-5.2969779999999999E-3</v>
      </c>
      <c r="N7394">
        <v>-6.478803E-3</v>
      </c>
      <c r="O7394">
        <v>-0.9999652</v>
      </c>
      <c r="P7394">
        <v>1.2548439999999999E-2</v>
      </c>
      <c r="Q7394">
        <v>-9.5041769999999998E-2</v>
      </c>
      <c r="R7394">
        <v>-0.99539460000000002</v>
      </c>
      <c r="S7394">
        <v>-0.50070190000000003</v>
      </c>
      <c r="T7394">
        <v>-0.76537919999999904</v>
      </c>
      <c r="U7394">
        <v>-2.946167</v>
      </c>
      <c r="V7394">
        <v>-1.7806160000000001E-2</v>
      </c>
      <c r="W7394">
        <v>-8.8594320000000004E-2</v>
      </c>
      <c r="X7394">
        <v>0.99590860000000003</v>
      </c>
      <c r="Y7394">
        <v>0.15721209999999999</v>
      </c>
      <c r="Z7394">
        <v>0.2419326</v>
      </c>
      <c r="AA7394">
        <v>0.9574722</v>
      </c>
      <c r="AB7394">
        <v>16</v>
      </c>
      <c r="AC7394">
        <v>-0.12549999999998801</v>
      </c>
      <c r="AD7394">
        <v>-0.19341079999999999</v>
      </c>
      <c r="AE7394">
        <v>-0.43869999999999698</v>
      </c>
      <c r="AF7394">
        <v>0.10441470897721</v>
      </c>
      <c r="AG7394">
        <v>-0.19341079999999999</v>
      </c>
      <c r="AH7394">
        <v>0.37244346992647798</v>
      </c>
      <c r="AI7394">
        <v>116.566152543559</v>
      </c>
      <c r="AJ7394">
        <v>74.339133623048397</v>
      </c>
      <c r="AK7394">
        <v>0.43246307044452997</v>
      </c>
      <c r="AL7394">
        <v>95.082744630188003</v>
      </c>
      <c r="AM7394">
        <v>91.024299948054306</v>
      </c>
      <c r="AN7394">
        <v>0.99999997621208303</v>
      </c>
    </row>
    <row r="7395" spans="1:40" x14ac:dyDescent="0.25">
      <c r="A7395" t="str">
        <f>"20190303154327390"</f>
        <v>20190303154327390</v>
      </c>
      <c r="B7395" t="str">
        <f>"1551599007387463"</f>
        <v>1551599007387463</v>
      </c>
      <c r="C7395" t="s">
        <v>40</v>
      </c>
      <c r="D7395">
        <v>5.0941589999999897</v>
      </c>
      <c r="E7395">
        <v>0.56845800000000002</v>
      </c>
      <c r="F7395" t="s">
        <v>42</v>
      </c>
      <c r="G7395">
        <v>-301.81479999999999</v>
      </c>
      <c r="H7395">
        <v>0.93073950000000005</v>
      </c>
      <c r="I7395">
        <v>-42.262369999999997</v>
      </c>
      <c r="J7395">
        <v>-301.68860000000001</v>
      </c>
      <c r="K7395">
        <v>1.1201209999999999</v>
      </c>
      <c r="L7395">
        <v>-41.697110000000002</v>
      </c>
      <c r="M7395">
        <v>-5.103532E-3</v>
      </c>
      <c r="N7395">
        <v>-6.142944E-3</v>
      </c>
      <c r="O7395">
        <v>-0.99996830000000003</v>
      </c>
      <c r="P7395">
        <v>1.3244519999999999E-2</v>
      </c>
      <c r="Q7395">
        <v>-9.4784460000000001E-2</v>
      </c>
      <c r="R7395">
        <v>-0.99540989999999996</v>
      </c>
      <c r="S7395">
        <v>-0.50674439999999998</v>
      </c>
      <c r="T7395">
        <v>-0.75737129999999997</v>
      </c>
      <c r="U7395">
        <v>-2.9479679999999999</v>
      </c>
      <c r="V7395">
        <v>-1.8309410000000002E-2</v>
      </c>
      <c r="W7395">
        <v>-8.8671570000000005E-2</v>
      </c>
      <c r="X7395">
        <v>0.99589260000000002</v>
      </c>
      <c r="Y7395">
        <v>0.15931799999999999</v>
      </c>
      <c r="Z7395">
        <v>0.2395968</v>
      </c>
      <c r="AA7395">
        <v>0.95771139999999999</v>
      </c>
      <c r="AB7395">
        <v>17</v>
      </c>
      <c r="AC7395">
        <v>-0.12619999999998299</v>
      </c>
      <c r="AD7395">
        <v>-0.18938149999999901</v>
      </c>
      <c r="AE7395">
        <v>-0.56526000000000898</v>
      </c>
      <c r="AF7395">
        <v>0.11140247960822799</v>
      </c>
      <c r="AG7395">
        <v>-0.18938149999999901</v>
      </c>
      <c r="AH7395">
        <v>0.51123605746578404</v>
      </c>
      <c r="AI7395">
        <v>109.89746162810999</v>
      </c>
      <c r="AJ7395">
        <v>77.706955119144794</v>
      </c>
      <c r="AK7395">
        <v>0.55645140979089103</v>
      </c>
      <c r="AL7395">
        <v>95.087188217306405</v>
      </c>
      <c r="AM7395">
        <v>91.053259906996303</v>
      </c>
      <c r="AN7395">
        <v>0.99999997627778603</v>
      </c>
    </row>
    <row r="7396" spans="1:40" x14ac:dyDescent="0.25">
      <c r="A7396" t="str">
        <f>"20190303154327411"</f>
        <v>20190303154327411</v>
      </c>
      <c r="B7396" t="str">
        <f>"1551599007407958"</f>
        <v>1551599007407958</v>
      </c>
      <c r="C7396" t="s">
        <v>40</v>
      </c>
      <c r="D7396">
        <v>5.2282520000000003</v>
      </c>
      <c r="E7396">
        <v>0.56890379999999996</v>
      </c>
      <c r="F7396" t="s">
        <v>42</v>
      </c>
      <c r="G7396">
        <v>-301.81330000000003</v>
      </c>
      <c r="H7396">
        <v>0.93696760000000001</v>
      </c>
      <c r="I7396">
        <v>-42.415460000000003</v>
      </c>
      <c r="J7396">
        <v>-301.68920000000003</v>
      </c>
      <c r="K7396">
        <v>1.1200889999999999</v>
      </c>
      <c r="L7396">
        <v>-41.859070000000003</v>
      </c>
      <c r="M7396">
        <v>-4.9216980000000004E-3</v>
      </c>
      <c r="N7396">
        <v>-5.8359419999999898E-3</v>
      </c>
      <c r="O7396">
        <v>-0.99997119999999995</v>
      </c>
      <c r="P7396">
        <v>1.3678279999999999E-2</v>
      </c>
      <c r="Q7396">
        <v>-9.4088619999999998E-2</v>
      </c>
      <c r="R7396">
        <v>-0.99547019999999997</v>
      </c>
      <c r="S7396">
        <v>-0.5111694</v>
      </c>
      <c r="T7396">
        <v>-0.75189879999999998</v>
      </c>
      <c r="U7396">
        <v>-2.949036</v>
      </c>
      <c r="V7396">
        <v>-1.856174E-2</v>
      </c>
      <c r="W7396">
        <v>-8.8281230000000002E-2</v>
      </c>
      <c r="X7396">
        <v>0.99592259999999999</v>
      </c>
      <c r="Y7396">
        <v>0.16090460000000001</v>
      </c>
      <c r="Z7396">
        <v>0.23808270000000001</v>
      </c>
      <c r="AA7396">
        <v>0.9578238</v>
      </c>
      <c r="AB7396">
        <v>17</v>
      </c>
      <c r="AC7396">
        <v>-0.124099999999998</v>
      </c>
      <c r="AD7396">
        <v>-0.18312139999999999</v>
      </c>
      <c r="AE7396">
        <v>-0.55638999999999295</v>
      </c>
      <c r="AF7396">
        <v>0.110008394025307</v>
      </c>
      <c r="AG7396">
        <v>-0.18312139999999999</v>
      </c>
      <c r="AH7396">
        <v>0.504894423175834</v>
      </c>
      <c r="AI7396">
        <v>109.51321789636199</v>
      </c>
      <c r="AJ7396">
        <v>77.708275973041793</v>
      </c>
      <c r="AK7396">
        <v>0.54822775599931595</v>
      </c>
      <c r="AL7396">
        <v>95.064735362492499</v>
      </c>
      <c r="AM7396">
        <v>91.067739848520802</v>
      </c>
      <c r="AN7396">
        <v>0.99999996947644898</v>
      </c>
    </row>
    <row r="7397" spans="1:40" x14ac:dyDescent="0.25">
      <c r="A7397" t="str">
        <f>"20190303154327434"</f>
        <v>20190303154327434</v>
      </c>
      <c r="B7397" t="str">
        <f>"1551599007427477"</f>
        <v>1551599007427477</v>
      </c>
      <c r="C7397" t="s">
        <v>40</v>
      </c>
      <c r="D7397">
        <v>5.1858389999999996</v>
      </c>
      <c r="E7397">
        <v>0.56933819999999902</v>
      </c>
      <c r="F7397" t="s">
        <v>42</v>
      </c>
      <c r="G7397">
        <v>-301.81299999999999</v>
      </c>
      <c r="H7397">
        <v>0.94050599999999995</v>
      </c>
      <c r="I7397">
        <v>-42.56861</v>
      </c>
      <c r="J7397">
        <v>-301.68979999999999</v>
      </c>
      <c r="K7397">
        <v>1.120055</v>
      </c>
      <c r="L7397">
        <v>-42.030209999999997</v>
      </c>
      <c r="M7397">
        <v>-4.7299300000000002E-3</v>
      </c>
      <c r="N7397">
        <v>-5.5279219999999898E-3</v>
      </c>
      <c r="O7397">
        <v>-0.99997380000000002</v>
      </c>
      <c r="P7397">
        <v>1.4441819999999999E-2</v>
      </c>
      <c r="Q7397">
        <v>-9.3570520000000004E-2</v>
      </c>
      <c r="R7397">
        <v>-0.99550839999999996</v>
      </c>
      <c r="S7397">
        <v>-0.5137024</v>
      </c>
      <c r="T7397">
        <v>-0.74666309999999902</v>
      </c>
      <c r="U7397">
        <v>-2.9501339999999998</v>
      </c>
      <c r="V7397">
        <v>-1.913482E-2</v>
      </c>
      <c r="W7397">
        <v>-8.806986E-2</v>
      </c>
      <c r="X7397">
        <v>0.99593050000000005</v>
      </c>
      <c r="Y7397">
        <v>0.16189799999999999</v>
      </c>
      <c r="Z7397">
        <v>0.23666329999999999</v>
      </c>
      <c r="AA7397">
        <v>0.95800810000000003</v>
      </c>
      <c r="AB7397">
        <v>17</v>
      </c>
      <c r="AC7397">
        <v>-0.12319999999999701</v>
      </c>
      <c r="AD7397">
        <v>-0.17954899999999999</v>
      </c>
      <c r="AE7397">
        <v>-0.53840000000000199</v>
      </c>
      <c r="AF7397">
        <v>0.10912021389841001</v>
      </c>
      <c r="AG7397">
        <v>-0.17954899999999999</v>
      </c>
      <c r="AH7397">
        <v>0.487461952310147</v>
      </c>
      <c r="AI7397">
        <v>109.77039780174999</v>
      </c>
      <c r="AJ7397">
        <v>77.3821393941803</v>
      </c>
      <c r="AK7397">
        <v>0.53081467522314696</v>
      </c>
      <c r="AL7397">
        <v>95.052577236589499</v>
      </c>
      <c r="AM7397">
        <v>91.100688809322904</v>
      </c>
      <c r="AN7397">
        <v>1.0000000012035499</v>
      </c>
    </row>
    <row r="7398" spans="1:40" x14ac:dyDescent="0.25">
      <c r="A7398" t="str">
        <f>"20190303154327458"</f>
        <v>20190303154327458</v>
      </c>
      <c r="B7398" t="str">
        <f>"1551599007447974"</f>
        <v>1551599007447974</v>
      </c>
      <c r="C7398" t="s">
        <v>40</v>
      </c>
      <c r="D7398">
        <v>5.1225310000000004</v>
      </c>
      <c r="E7398">
        <v>0.56949559999999999</v>
      </c>
      <c r="F7398" t="s">
        <v>42</v>
      </c>
      <c r="G7398">
        <v>-301.81099999999998</v>
      </c>
      <c r="H7398">
        <v>0.94561770000000001</v>
      </c>
      <c r="I7398">
        <v>-42.723750000000003</v>
      </c>
      <c r="J7398">
        <v>-301.69049999999999</v>
      </c>
      <c r="K7398">
        <v>1.120015</v>
      </c>
      <c r="L7398">
        <v>-42.215150000000001</v>
      </c>
      <c r="M7398">
        <v>-4.5230069999999999E-3</v>
      </c>
      <c r="N7398">
        <v>-5.2229019999999998E-3</v>
      </c>
      <c r="O7398">
        <v>-0.99997639999999999</v>
      </c>
      <c r="P7398">
        <v>1.486816E-2</v>
      </c>
      <c r="Q7398">
        <v>-9.2989489999999994E-2</v>
      </c>
      <c r="R7398">
        <v>-0.99555660000000001</v>
      </c>
      <c r="S7398">
        <v>-0.51519780000000004</v>
      </c>
      <c r="T7398">
        <v>-0.74228439999999996</v>
      </c>
      <c r="U7398">
        <v>-2.9512330000000002</v>
      </c>
      <c r="V7398">
        <v>-1.9354699999999999E-2</v>
      </c>
      <c r="W7398">
        <v>-8.7792490000000001E-2</v>
      </c>
      <c r="X7398">
        <v>0.99595080000000002</v>
      </c>
      <c r="Y7398">
        <v>0.1625675</v>
      </c>
      <c r="Z7398">
        <v>0.23551569999999999</v>
      </c>
      <c r="AA7398">
        <v>0.95817750000000002</v>
      </c>
      <c r="AB7398">
        <v>17</v>
      </c>
      <c r="AC7398">
        <v>-0.120499999999992</v>
      </c>
      <c r="AD7398">
        <v>-0.17439729999999901</v>
      </c>
      <c r="AE7398">
        <v>-0.50860000000000105</v>
      </c>
      <c r="AF7398">
        <v>0.106357652001593</v>
      </c>
      <c r="AG7398">
        <v>-0.17439729999999901</v>
      </c>
      <c r="AH7398">
        <v>0.45813603403500802</v>
      </c>
      <c r="AI7398">
        <v>110.345077361999</v>
      </c>
      <c r="AJ7398">
        <v>76.930130999898793</v>
      </c>
      <c r="AK7398">
        <v>0.501612394252682</v>
      </c>
      <c r="AL7398">
        <v>95.036623008216097</v>
      </c>
      <c r="AM7398">
        <v>91.1133110747232</v>
      </c>
      <c r="AN7398">
        <v>1.00000006086656</v>
      </c>
    </row>
    <row r="7399" spans="1:40" x14ac:dyDescent="0.25">
      <c r="A7399" t="str">
        <f>"20190303154327479"</f>
        <v>20190303154327479</v>
      </c>
      <c r="B7399" t="str">
        <f>"1551599007467494"</f>
        <v>1551599007467494</v>
      </c>
      <c r="C7399" t="s">
        <v>40</v>
      </c>
      <c r="D7399">
        <v>4.9474960000000001</v>
      </c>
      <c r="E7399">
        <v>0.56985079999999999</v>
      </c>
      <c r="F7399" t="s">
        <v>42</v>
      </c>
      <c r="G7399">
        <v>-301.83139999999997</v>
      </c>
      <c r="H7399">
        <v>0.9181262</v>
      </c>
      <c r="I7399">
        <v>-43.021900000000002</v>
      </c>
      <c r="J7399">
        <v>-301.69099999999997</v>
      </c>
      <c r="K7399">
        <v>1.119998</v>
      </c>
      <c r="L7399">
        <v>-42.381129999999999</v>
      </c>
      <c r="M7399">
        <v>-4.3375369999999998E-3</v>
      </c>
      <c r="N7399">
        <v>-4.9754209999999998E-3</v>
      </c>
      <c r="O7399">
        <v>-0.99997809999999998</v>
      </c>
      <c r="P7399">
        <v>1.576135E-2</v>
      </c>
      <c r="Q7399">
        <v>-9.2989909999999995E-2</v>
      </c>
      <c r="R7399">
        <v>-0.99554240000000005</v>
      </c>
      <c r="S7399">
        <v>-0.51577759999999995</v>
      </c>
      <c r="T7399">
        <v>-0.73875649999999904</v>
      </c>
      <c r="U7399">
        <v>-2.9520870000000001</v>
      </c>
      <c r="V7399">
        <v>-2.006281E-2</v>
      </c>
      <c r="W7399">
        <v>-8.8039679999999995E-2</v>
      </c>
      <c r="X7399">
        <v>0.99591490000000005</v>
      </c>
      <c r="Y7399">
        <v>0.1629295</v>
      </c>
      <c r="Z7399">
        <v>0.23460259999999999</v>
      </c>
      <c r="AA7399">
        <v>0.95833999999999997</v>
      </c>
      <c r="AB7399">
        <v>17</v>
      </c>
      <c r="AC7399">
        <v>-0.140399999999999</v>
      </c>
      <c r="AD7399">
        <v>-0.20187179999999999</v>
      </c>
      <c r="AE7399">
        <v>-0.64077000000000295</v>
      </c>
      <c r="AF7399">
        <v>0.12571335828208</v>
      </c>
      <c r="AG7399">
        <v>-0.20187179999999999</v>
      </c>
      <c r="AH7399">
        <v>0.58588556358722599</v>
      </c>
      <c r="AI7399">
        <v>108.61817844705401</v>
      </c>
      <c r="AJ7399">
        <v>77.889680570400401</v>
      </c>
      <c r="AK7399">
        <v>0.63231160491147098</v>
      </c>
      <c r="AL7399">
        <v>95.050841339303005</v>
      </c>
      <c r="AM7399">
        <v>91.154073380545995</v>
      </c>
      <c r="AN7399">
        <v>0.99999999482080404</v>
      </c>
    </row>
    <row r="7400" spans="1:40" x14ac:dyDescent="0.25">
      <c r="A7400" t="str">
        <f>"20190303154327501"</f>
        <v>20190303154327501</v>
      </c>
      <c r="B7400" t="str">
        <f>"1551599007497750"</f>
        <v>1551599007497750</v>
      </c>
      <c r="C7400" t="s">
        <v>40</v>
      </c>
      <c r="D7400">
        <v>4.926609</v>
      </c>
      <c r="E7400">
        <v>0.5703589</v>
      </c>
      <c r="F7400" t="s">
        <v>42</v>
      </c>
      <c r="G7400">
        <v>-301.83089999999999</v>
      </c>
      <c r="H7400">
        <v>0.9209001</v>
      </c>
      <c r="I7400">
        <v>-43.179819999999999</v>
      </c>
      <c r="J7400">
        <v>-301.69150000000002</v>
      </c>
      <c r="K7400">
        <v>1.1199779999999999</v>
      </c>
      <c r="L7400">
        <v>-42.550109999999997</v>
      </c>
      <c r="M7400">
        <v>-4.148667E-3</v>
      </c>
      <c r="N7400">
        <v>-4.7479990000000001E-3</v>
      </c>
      <c r="O7400">
        <v>-0.99998019999999999</v>
      </c>
      <c r="P7400">
        <v>1.6537139999999999E-2</v>
      </c>
      <c r="Q7400">
        <v>-9.289443E-2</v>
      </c>
      <c r="R7400">
        <v>-0.99553860000000005</v>
      </c>
      <c r="S7400">
        <v>-0.51626590000000006</v>
      </c>
      <c r="T7400">
        <v>-0.73607250000000002</v>
      </c>
      <c r="U7400">
        <v>-2.9528500000000002</v>
      </c>
      <c r="V7400">
        <v>-2.0650479999999999E-2</v>
      </c>
      <c r="W7400">
        <v>-8.8170890000000002E-2</v>
      </c>
      <c r="X7400">
        <v>0.99589130000000003</v>
      </c>
      <c r="Y7400">
        <v>0.16326009999999999</v>
      </c>
      <c r="Z7400">
        <v>0.23393600000000001</v>
      </c>
      <c r="AA7400">
        <v>0.95844669999999998</v>
      </c>
      <c r="AB7400">
        <v>17</v>
      </c>
      <c r="AC7400">
        <v>-0.139399999999966</v>
      </c>
      <c r="AD7400">
        <v>-0.1990779</v>
      </c>
      <c r="AE7400">
        <v>-0.62971000000000199</v>
      </c>
      <c r="AF7400">
        <v>0.124887438106001</v>
      </c>
      <c r="AG7400">
        <v>-0.1990779</v>
      </c>
      <c r="AH7400">
        <v>0.57545536385276697</v>
      </c>
      <c r="AI7400">
        <v>108.679286765765</v>
      </c>
      <c r="AJ7400">
        <v>77.755340869202001</v>
      </c>
      <c r="AK7400">
        <v>0.62159292004656097</v>
      </c>
      <c r="AL7400">
        <v>95.058388366811002</v>
      </c>
      <c r="AM7400">
        <v>91.187896525716198</v>
      </c>
      <c r="AN7400">
        <v>1.0000000147916499</v>
      </c>
    </row>
    <row r="7401" spans="1:40" x14ac:dyDescent="0.25">
      <c r="A7401" t="str">
        <f>"20190303154327524"</f>
        <v>20190303154327524</v>
      </c>
      <c r="B7401" t="str">
        <f>"1551599007517269"</f>
        <v>1551599007517269</v>
      </c>
      <c r="C7401" t="s">
        <v>40</v>
      </c>
      <c r="D7401">
        <v>5.0417630000000004</v>
      </c>
      <c r="E7401">
        <v>0.57046030000000003</v>
      </c>
      <c r="F7401" t="s">
        <v>42</v>
      </c>
      <c r="G7401">
        <v>-301.82990000000001</v>
      </c>
      <c r="H7401">
        <v>0.92421640000000005</v>
      </c>
      <c r="I7401">
        <v>-43.339280000000002</v>
      </c>
      <c r="J7401">
        <v>-301.69200000000001</v>
      </c>
      <c r="K7401">
        <v>1.1199619999999999</v>
      </c>
      <c r="L7401">
        <v>-42.733060000000002</v>
      </c>
      <c r="M7401">
        <v>-3.9447650000000003E-3</v>
      </c>
      <c r="N7401">
        <v>-4.5302809999999997E-3</v>
      </c>
      <c r="O7401">
        <v>-0.99998209999999998</v>
      </c>
      <c r="P7401">
        <v>1.7410660000000001E-2</v>
      </c>
      <c r="Q7401">
        <v>-9.2629000000000003E-2</v>
      </c>
      <c r="R7401">
        <v>-0.99554869999999995</v>
      </c>
      <c r="S7401">
        <v>-0.51806640000000004</v>
      </c>
      <c r="T7401">
        <v>-0.73268529999999998</v>
      </c>
      <c r="U7401">
        <v>-2.9536739999999999</v>
      </c>
      <c r="V7401">
        <v>-2.1320619999999998E-2</v>
      </c>
      <c r="W7401">
        <v>-8.812246E-2</v>
      </c>
      <c r="X7401">
        <v>0.99588140000000003</v>
      </c>
      <c r="Y7401">
        <v>0.164025</v>
      </c>
      <c r="Z7401">
        <v>0.23302320000000001</v>
      </c>
      <c r="AA7401">
        <v>0.95853849999999996</v>
      </c>
      <c r="AB7401">
        <v>18</v>
      </c>
      <c r="AC7401">
        <v>-0.13790000000000099</v>
      </c>
      <c r="AD7401">
        <v>-0.19574559999999999</v>
      </c>
      <c r="AE7401">
        <v>-0.60622000000000698</v>
      </c>
      <c r="AF7401">
        <v>0.123285947592777</v>
      </c>
      <c r="AG7401">
        <v>-0.19574559999999999</v>
      </c>
      <c r="AH7401">
        <v>0.55203503640320795</v>
      </c>
      <c r="AI7401">
        <v>109.088890225548</v>
      </c>
      <c r="AJ7401">
        <v>77.410726044122399</v>
      </c>
      <c r="AK7401">
        <v>0.59854694570259104</v>
      </c>
      <c r="AL7401">
        <v>95.0556030182928</v>
      </c>
      <c r="AM7401">
        <v>91.226446203451601</v>
      </c>
      <c r="AN7401">
        <v>0.99999994982979601</v>
      </c>
    </row>
    <row r="7402" spans="1:40" x14ac:dyDescent="0.25">
      <c r="A7402" t="str">
        <f>"20190303154327550"</f>
        <v>20190303154327550</v>
      </c>
      <c r="B7402" t="str">
        <f>"1551599007537766"</f>
        <v>1551599007537766</v>
      </c>
      <c r="C7402" t="s">
        <v>40</v>
      </c>
      <c r="D7402">
        <v>4.8900360000000003</v>
      </c>
      <c r="E7402">
        <v>0.57077239999999996</v>
      </c>
      <c r="F7402" t="s">
        <v>42</v>
      </c>
      <c r="G7402">
        <v>-301.82650000000001</v>
      </c>
      <c r="H7402">
        <v>0.92977810000000005</v>
      </c>
      <c r="I7402">
        <v>-43.500860000000003</v>
      </c>
      <c r="J7402">
        <v>-301.69260000000003</v>
      </c>
      <c r="K7402">
        <v>1.1199440000000001</v>
      </c>
      <c r="L7402">
        <v>-42.939239999999998</v>
      </c>
      <c r="M7402">
        <v>-3.7151710000000002E-3</v>
      </c>
      <c r="N7402">
        <v>-4.3189860000000004E-3</v>
      </c>
      <c r="O7402">
        <v>-0.99998379999999998</v>
      </c>
      <c r="P7402">
        <v>1.8382099999999998E-2</v>
      </c>
      <c r="Q7402">
        <v>-9.2337509999999998E-2</v>
      </c>
      <c r="R7402">
        <v>-0.9955581</v>
      </c>
      <c r="S7402">
        <v>-0.51651000000000002</v>
      </c>
      <c r="T7402">
        <v>-0.7318093</v>
      </c>
      <c r="U7402">
        <v>-2.9543759999999999</v>
      </c>
      <c r="V7402">
        <v>-2.2063470000000002E-2</v>
      </c>
      <c r="W7402">
        <v>-8.8041599999999998E-2</v>
      </c>
      <c r="X7402">
        <v>0.99587239999999999</v>
      </c>
      <c r="Y7402">
        <v>0.1637313</v>
      </c>
      <c r="Z7402">
        <v>0.2329242</v>
      </c>
      <c r="AA7402">
        <v>0.95861269999999998</v>
      </c>
      <c r="AB7402">
        <v>18</v>
      </c>
      <c r="AC7402">
        <v>-0.13389999999998201</v>
      </c>
      <c r="AD7402">
        <v>-0.1901659</v>
      </c>
      <c r="AE7402">
        <v>-0.56161999999999002</v>
      </c>
      <c r="AF7402">
        <v>0.11891233619948</v>
      </c>
      <c r="AG7402">
        <v>-0.1901659</v>
      </c>
      <c r="AH7402">
        <v>0.50710075920086595</v>
      </c>
      <c r="AI7402">
        <v>110.057259442955</v>
      </c>
      <c r="AJ7402">
        <v>76.802899436113805</v>
      </c>
      <c r="AK7402">
        <v>0.55448570153370302</v>
      </c>
      <c r="AL7402">
        <v>95.050951858382902</v>
      </c>
      <c r="AM7402">
        <v>91.269175591570402</v>
      </c>
      <c r="AN7402">
        <v>0.99999997856038003</v>
      </c>
    </row>
    <row r="7403" spans="1:40" x14ac:dyDescent="0.25">
      <c r="A7403" t="str">
        <f>"20190303154327571"</f>
        <v>20190303154327571</v>
      </c>
      <c r="B7403" t="str">
        <f>"1551599007557285"</f>
        <v>1551599007557285</v>
      </c>
      <c r="C7403" t="s">
        <v>40</v>
      </c>
      <c r="D7403">
        <v>5.0062860000000002</v>
      </c>
      <c r="E7403">
        <v>0.57092580000000004</v>
      </c>
      <c r="F7403" t="s">
        <v>42</v>
      </c>
      <c r="G7403">
        <v>-301.81959999999998</v>
      </c>
      <c r="H7403">
        <v>0.94066360000000004</v>
      </c>
      <c r="I7403">
        <v>-43.666260000000001</v>
      </c>
      <c r="J7403">
        <v>-301.69299999999998</v>
      </c>
      <c r="K7403">
        <v>1.1199300000000001</v>
      </c>
      <c r="L7403">
        <v>-43.11853</v>
      </c>
      <c r="M7403">
        <v>-3.5158899999999998E-3</v>
      </c>
      <c r="N7403">
        <v>-4.1633920000000001E-3</v>
      </c>
      <c r="O7403">
        <v>-0.99998520000000002</v>
      </c>
      <c r="P7403">
        <v>1.941391E-2</v>
      </c>
      <c r="Q7403">
        <v>-9.2364130000000003E-2</v>
      </c>
      <c r="R7403">
        <v>-0.99553630000000004</v>
      </c>
      <c r="S7403">
        <v>-0.51620480000000002</v>
      </c>
      <c r="T7403">
        <v>-0.72876350000000001</v>
      </c>
      <c r="U7403">
        <v>-2.9553219999999998</v>
      </c>
      <c r="V7403">
        <v>-2.2895539999999999E-2</v>
      </c>
      <c r="W7403">
        <v>-8.8223549999999998E-2</v>
      </c>
      <c r="X7403">
        <v>0.99583750000000004</v>
      </c>
      <c r="Y7403">
        <v>0.1638182</v>
      </c>
      <c r="Z7403">
        <v>0.23207349999999999</v>
      </c>
      <c r="AA7403">
        <v>0.9588042</v>
      </c>
      <c r="AB7403">
        <v>18</v>
      </c>
      <c r="AC7403">
        <v>-0.12659999999999599</v>
      </c>
      <c r="AD7403">
        <v>-0.17926639999999899</v>
      </c>
      <c r="AE7403">
        <v>-0.54773000000000105</v>
      </c>
      <c r="AF7403">
        <v>0.113166029213745</v>
      </c>
      <c r="AG7403">
        <v>-0.17926639999999899</v>
      </c>
      <c r="AH7403">
        <v>0.49757523966322897</v>
      </c>
      <c r="AI7403">
        <v>109.356810058325</v>
      </c>
      <c r="AJ7403">
        <v>77.186892858146095</v>
      </c>
      <c r="AK7403">
        <v>0.54085498191556503</v>
      </c>
      <c r="AL7403">
        <v>95.061417626886694</v>
      </c>
      <c r="AM7403">
        <v>91.3170690437898</v>
      </c>
      <c r="AN7403">
        <v>0.99999996346637099</v>
      </c>
    </row>
    <row r="7404" spans="1:40" x14ac:dyDescent="0.25">
      <c r="A7404" t="str">
        <f>"20190303154327590"</f>
        <v>20190303154327590</v>
      </c>
      <c r="B7404" t="str">
        <f>"1551599007577781"</f>
        <v>1551599007577781</v>
      </c>
      <c r="C7404" t="s">
        <v>40</v>
      </c>
      <c r="D7404">
        <v>4.9954109999999998</v>
      </c>
      <c r="E7404">
        <v>0.57070690000000002</v>
      </c>
      <c r="F7404" t="s">
        <v>42</v>
      </c>
      <c r="G7404">
        <v>-301.81689999999998</v>
      </c>
      <c r="H7404">
        <v>0.94477429999999996</v>
      </c>
      <c r="I7404">
        <v>-43.830069999999999</v>
      </c>
      <c r="J7404">
        <v>-301.69330000000002</v>
      </c>
      <c r="K7404">
        <v>1.1199190000000001</v>
      </c>
      <c r="L7404">
        <v>-43.266419999999997</v>
      </c>
      <c r="M7404">
        <v>-3.3500090000000001E-3</v>
      </c>
      <c r="N7404">
        <v>-4.0541830000000003E-3</v>
      </c>
      <c r="O7404">
        <v>-0.99998620000000005</v>
      </c>
      <c r="P7404">
        <v>2.037394E-2</v>
      </c>
      <c r="Q7404">
        <v>-9.2943150000000002E-2</v>
      </c>
      <c r="R7404">
        <v>-0.99546310000000005</v>
      </c>
      <c r="S7404">
        <v>-0.51443479999999997</v>
      </c>
      <c r="T7404">
        <v>-0.7276435</v>
      </c>
      <c r="U7404">
        <v>-2.9559630000000001</v>
      </c>
      <c r="V7404">
        <v>-2.3689930000000001E-2</v>
      </c>
      <c r="W7404">
        <v>-8.8911879999999999E-2</v>
      </c>
      <c r="X7404">
        <v>0.99575780000000003</v>
      </c>
      <c r="Y7404">
        <v>0.16340260000000001</v>
      </c>
      <c r="Z7404">
        <v>0.23180890000000001</v>
      </c>
      <c r="AA7404">
        <v>0.95893910000000004</v>
      </c>
      <c r="AB7404">
        <v>18</v>
      </c>
      <c r="AC7404">
        <v>-0.123599999999953</v>
      </c>
      <c r="AD7404">
        <v>-0.17514469999999999</v>
      </c>
      <c r="AE7404">
        <v>-0.56364999999999499</v>
      </c>
      <c r="AF7404">
        <v>0.111444243519076</v>
      </c>
      <c r="AG7404">
        <v>-0.17514469999999999</v>
      </c>
      <c r="AH7404">
        <v>0.51648010715025805</v>
      </c>
      <c r="AI7404">
        <v>108.33948847307801</v>
      </c>
      <c r="AJ7404">
        <v>77.823604933081199</v>
      </c>
      <c r="AK7404">
        <v>0.55663918873321405</v>
      </c>
      <c r="AL7404">
        <v>95.101011108228306</v>
      </c>
      <c r="AM7404">
        <v>91.362858525660698</v>
      </c>
      <c r="AN7404">
        <v>1.0000000657246799</v>
      </c>
    </row>
    <row r="7405" spans="1:40" x14ac:dyDescent="0.25">
      <c r="A7405" t="str">
        <f>"20190303154327612"</f>
        <v>20190303154327612</v>
      </c>
      <c r="B7405" t="str">
        <f>"1551599007608037"</f>
        <v>1551599007608037</v>
      </c>
      <c r="C7405" t="s">
        <v>40</v>
      </c>
      <c r="D7405">
        <v>4.874663</v>
      </c>
      <c r="E7405">
        <v>0.51100049999999997</v>
      </c>
      <c r="F7405" t="s">
        <v>42</v>
      </c>
      <c r="G7405">
        <v>-301.81849999999997</v>
      </c>
      <c r="H7405">
        <v>0.94103490000000001</v>
      </c>
      <c r="I7405">
        <v>-43.991680000000002</v>
      </c>
      <c r="J7405">
        <v>-301.69369999999998</v>
      </c>
      <c r="K7405">
        <v>1.119915</v>
      </c>
      <c r="L7405">
        <v>-43.452269999999999</v>
      </c>
      <c r="M7405">
        <v>-3.134866E-3</v>
      </c>
      <c r="N7405">
        <v>-3.9367359999999997E-3</v>
      </c>
      <c r="O7405">
        <v>-0.99998759999999998</v>
      </c>
      <c r="P7405">
        <v>2.1190730000000001E-2</v>
      </c>
      <c r="Q7405">
        <v>-9.2363070000000005E-2</v>
      </c>
      <c r="R7405">
        <v>-0.9955003</v>
      </c>
      <c r="S7405">
        <v>-0.51031490000000002</v>
      </c>
      <c r="T7405">
        <v>-0.72910079999999999</v>
      </c>
      <c r="U7405">
        <v>-2.9560550000000001</v>
      </c>
      <c r="V7405">
        <v>-2.4292049999999999E-2</v>
      </c>
      <c r="W7405">
        <v>-8.8449050000000001E-2</v>
      </c>
      <c r="X7405">
        <v>0.99578449999999996</v>
      </c>
      <c r="Y7405">
        <v>0.1622904</v>
      </c>
      <c r="Z7405">
        <v>0.23241039999999999</v>
      </c>
      <c r="AA7405">
        <v>0.95898240000000001</v>
      </c>
      <c r="AB7405">
        <v>18</v>
      </c>
      <c r="AC7405">
        <v>-0.124799999999993</v>
      </c>
      <c r="AD7405">
        <v>-0.17888009999999999</v>
      </c>
      <c r="AE7405">
        <v>-0.53941000000000305</v>
      </c>
      <c r="AF7405">
        <v>0.11147232093350901</v>
      </c>
      <c r="AG7405">
        <v>-0.17888009999999999</v>
      </c>
      <c r="AH7405">
        <v>0.48877739372027801</v>
      </c>
      <c r="AI7405">
        <v>109.637048154198</v>
      </c>
      <c r="AJ7405">
        <v>77.152654493125794</v>
      </c>
      <c r="AK7405">
        <v>0.53228517650062501</v>
      </c>
      <c r="AL7405">
        <v>95.074388070650798</v>
      </c>
      <c r="AM7405">
        <v>91.397446878649603</v>
      </c>
      <c r="AN7405">
        <v>1.0000000542896701</v>
      </c>
    </row>
    <row r="7406" spans="1:40" x14ac:dyDescent="0.25">
      <c r="A7406" t="str">
        <f>"20190303154327635"</f>
        <v>20190303154327635</v>
      </c>
      <c r="B7406" t="str">
        <f>"1551599007627558"</f>
        <v>1551599007627558</v>
      </c>
      <c r="C7406" t="s">
        <v>40</v>
      </c>
      <c r="D7406">
        <v>4.9697430000000002</v>
      </c>
      <c r="E7406">
        <v>0.49767610000000001</v>
      </c>
      <c r="F7406" t="s">
        <v>42</v>
      </c>
      <c r="G7406">
        <v>-301.70060000000001</v>
      </c>
      <c r="H7406">
        <v>1.0101169999999999</v>
      </c>
      <c r="I7406">
        <v>-44.189399999999999</v>
      </c>
      <c r="J7406">
        <v>-301.69400000000002</v>
      </c>
      <c r="K7406">
        <v>1.119915</v>
      </c>
      <c r="L7406">
        <v>-43.637819999999998</v>
      </c>
      <c r="M7406">
        <v>-2.9046419999999998E-3</v>
      </c>
      <c r="N7406">
        <v>-3.839791E-3</v>
      </c>
      <c r="O7406">
        <v>-0.99998860000000001</v>
      </c>
      <c r="P7406">
        <v>2.2476300000000001E-2</v>
      </c>
      <c r="Q7406">
        <v>-9.1773259999999995E-2</v>
      </c>
      <c r="R7406">
        <v>-0.99552660000000004</v>
      </c>
      <c r="S7406">
        <v>-2.7069090000000001E-2</v>
      </c>
      <c r="T7406">
        <v>-0.44283800000000001</v>
      </c>
      <c r="U7406">
        <v>-2.9730530000000002</v>
      </c>
      <c r="V7406">
        <v>-2.534631E-2</v>
      </c>
      <c r="W7406">
        <v>-8.7956500000000007E-2</v>
      </c>
      <c r="X7406">
        <v>0.99580179999999996</v>
      </c>
      <c r="Y7406">
        <v>6.1037919999999898E-3</v>
      </c>
      <c r="Z7406">
        <v>0.14352100000000001</v>
      </c>
      <c r="AA7406">
        <v>0.98962839999999996</v>
      </c>
      <c r="AB7406">
        <v>18</v>
      </c>
      <c r="AC7406">
        <v>-6.5999999999917201E-3</v>
      </c>
      <c r="AD7406">
        <v>-0.10979800000000001</v>
      </c>
      <c r="AE7406">
        <v>-0.55158000000000096</v>
      </c>
      <c r="AF7406">
        <v>4.8073530008314403E-3</v>
      </c>
      <c r="AG7406">
        <v>-0.10979800000000001</v>
      </c>
      <c r="AH7406">
        <v>0.530575668717295</v>
      </c>
      <c r="AI7406">
        <v>101.69135918573799</v>
      </c>
      <c r="AJ7406">
        <v>89.480878003397905</v>
      </c>
      <c r="AK7406">
        <v>0.541838769083275</v>
      </c>
      <c r="AL7406">
        <v>95.046056873950903</v>
      </c>
      <c r="AM7406">
        <v>91.458044255334897</v>
      </c>
      <c r="AN7406">
        <v>1.00000000310305</v>
      </c>
    </row>
    <row r="7407" spans="1:40" x14ac:dyDescent="0.25">
      <c r="A7407" t="str">
        <f>"20190303154327657"</f>
        <v>20190303154327657</v>
      </c>
      <c r="B7407" t="str">
        <f>"1551599007648054"</f>
        <v>1551599007648054</v>
      </c>
      <c r="C7407" t="s">
        <v>40</v>
      </c>
      <c r="D7407">
        <v>4.9375400000000003</v>
      </c>
      <c r="E7407">
        <v>0.49149939999999998</v>
      </c>
      <c r="F7407" t="s">
        <v>42</v>
      </c>
      <c r="G7407">
        <v>-301.6737</v>
      </c>
      <c r="H7407">
        <v>1.0258020000000001</v>
      </c>
      <c r="I7407">
        <v>-44.363669999999999</v>
      </c>
      <c r="J7407">
        <v>-301.69420000000002</v>
      </c>
      <c r="K7407">
        <v>1.1199170000000001</v>
      </c>
      <c r="L7407">
        <v>-43.826509999999999</v>
      </c>
      <c r="M7407">
        <v>-2.640936E-3</v>
      </c>
      <c r="N7407">
        <v>-3.7598499999999999E-3</v>
      </c>
      <c r="O7407">
        <v>-0.99998960000000003</v>
      </c>
      <c r="P7407">
        <v>2.363995E-2</v>
      </c>
      <c r="Q7407">
        <v>-9.1925110000000004E-2</v>
      </c>
      <c r="R7407">
        <v>-0.99548539999999996</v>
      </c>
      <c r="S7407">
        <v>8.3801269999999997E-2</v>
      </c>
      <c r="T7407">
        <v>-0.38586130000000002</v>
      </c>
      <c r="U7407">
        <v>-2.976013</v>
      </c>
      <c r="V7407">
        <v>-2.624319E-2</v>
      </c>
      <c r="W7407">
        <v>-8.8189550000000005E-2</v>
      </c>
      <c r="X7407">
        <v>0.99575789999999997</v>
      </c>
      <c r="Y7407">
        <v>-3.0559820000000001E-2</v>
      </c>
      <c r="Z7407">
        <v>0.1247954</v>
      </c>
      <c r="AA7407">
        <v>0.99171169999999997</v>
      </c>
      <c r="AB7407">
        <v>18</v>
      </c>
      <c r="AC7407">
        <v>2.0500000000026799E-2</v>
      </c>
      <c r="AD7407">
        <v>-9.4114999999999893E-2</v>
      </c>
      <c r="AE7407">
        <v>-0.53715999999999997</v>
      </c>
      <c r="AF7407">
        <v>-2.1266648948451299E-2</v>
      </c>
      <c r="AG7407">
        <v>-9.4114999999999893E-2</v>
      </c>
      <c r="AH7407">
        <v>0.52112960632181504</v>
      </c>
      <c r="AI7407">
        <v>100.228827821466</v>
      </c>
      <c r="AJ7407">
        <v>92.336872601407507</v>
      </c>
      <c r="AK7407">
        <v>0.52998676414380996</v>
      </c>
      <c r="AL7407">
        <v>95.059462022981506</v>
      </c>
      <c r="AM7407">
        <v>91.509680255757203</v>
      </c>
      <c r="AN7407">
        <v>0.99999994858149299</v>
      </c>
    </row>
    <row r="7408" spans="1:40" x14ac:dyDescent="0.25">
      <c r="A7408" t="str">
        <f>"20190303154327679"</f>
        <v>20190303154327679</v>
      </c>
      <c r="B7408" t="str">
        <f>"1551599007667574"</f>
        <v>1551599007667574</v>
      </c>
      <c r="C7408" t="s">
        <v>40</v>
      </c>
      <c r="D7408">
        <v>4.9262350000000001</v>
      </c>
      <c r="E7408">
        <v>0.48807240000000002</v>
      </c>
      <c r="F7408" t="s">
        <v>42</v>
      </c>
      <c r="G7408">
        <v>-301.6542</v>
      </c>
      <c r="H7408">
        <v>1.0142679999999999</v>
      </c>
      <c r="I7408">
        <v>-44.694769999999998</v>
      </c>
      <c r="J7408">
        <v>-301.69439999999997</v>
      </c>
      <c r="K7408">
        <v>1.1199380000000001</v>
      </c>
      <c r="L7408">
        <v>-44.010440000000003</v>
      </c>
      <c r="M7408">
        <v>-2.3445480000000001E-3</v>
      </c>
      <c r="N7408">
        <v>-3.6966439999999998E-3</v>
      </c>
      <c r="O7408">
        <v>-0.9999905</v>
      </c>
      <c r="P7408">
        <v>2.3959660000000001E-2</v>
      </c>
      <c r="Q7408">
        <v>-9.3284539999999999E-2</v>
      </c>
      <c r="R7408">
        <v>-0.99535130000000005</v>
      </c>
      <c r="S7408">
        <v>0.13708499999999901</v>
      </c>
      <c r="T7408">
        <v>-0.36222929999999998</v>
      </c>
      <c r="U7408">
        <v>-2.9768979999999998</v>
      </c>
      <c r="V7408">
        <v>-2.626121E-2</v>
      </c>
      <c r="W7408">
        <v>-8.9614109999999997E-2</v>
      </c>
      <c r="X7408">
        <v>0.99563029999999997</v>
      </c>
      <c r="Y7408">
        <v>-4.8015780000000001E-2</v>
      </c>
      <c r="Z7408">
        <v>0.1169854</v>
      </c>
      <c r="AA7408">
        <v>0.99197219999999997</v>
      </c>
      <c r="AB7408">
        <v>19</v>
      </c>
      <c r="AC7408">
        <v>4.0199999999970197E-2</v>
      </c>
      <c r="AD7408">
        <v>-0.105669999999999</v>
      </c>
      <c r="AE7408">
        <v>-0.684329999999995</v>
      </c>
      <c r="AF7408">
        <v>-4.0834061157750803E-2</v>
      </c>
      <c r="AG7408">
        <v>-0.105669999999999</v>
      </c>
      <c r="AH7408">
        <v>0.668352719820834</v>
      </c>
      <c r="AI7408">
        <v>98.9679385747624</v>
      </c>
      <c r="AJ7408">
        <v>93.496229901369603</v>
      </c>
      <c r="AK7408">
        <v>0.67788563013427405</v>
      </c>
      <c r="AL7408">
        <v>95.141407429922097</v>
      </c>
      <c r="AM7408">
        <v>91.510909927721301</v>
      </c>
      <c r="AN7408">
        <v>1.0000000170699199</v>
      </c>
    </row>
    <row r="7409" spans="1:40" x14ac:dyDescent="0.25">
      <c r="A7409" t="str">
        <f>"20190303154327702"</f>
        <v>20190303154327702</v>
      </c>
      <c r="B7409" t="str">
        <f>"1551599007697839"</f>
        <v>1551599007697839</v>
      </c>
      <c r="C7409" t="s">
        <v>40</v>
      </c>
      <c r="D7409">
        <v>4.9570089999999896</v>
      </c>
      <c r="E7409">
        <v>0.48492360000000001</v>
      </c>
      <c r="F7409" t="s">
        <v>42</v>
      </c>
      <c r="G7409">
        <v>-301.64679999999998</v>
      </c>
      <c r="H7409">
        <v>1.0178130000000001</v>
      </c>
      <c r="I7409">
        <v>-44.86909</v>
      </c>
      <c r="J7409">
        <v>-301.69450000000001</v>
      </c>
      <c r="K7409">
        <v>1.1199570000000001</v>
      </c>
      <c r="L7409">
        <v>-44.206020000000002</v>
      </c>
      <c r="M7409">
        <v>-1.9861660000000001E-3</v>
      </c>
      <c r="N7409">
        <v>-3.642354E-3</v>
      </c>
      <c r="O7409">
        <v>-0.99999150000000003</v>
      </c>
      <c r="P7409">
        <v>2.5333999999999999E-2</v>
      </c>
      <c r="Q7409">
        <v>-9.4305020000000003E-2</v>
      </c>
      <c r="R7409">
        <v>-0.99522100000000002</v>
      </c>
      <c r="S7409">
        <v>0.16583249999999999</v>
      </c>
      <c r="T7409">
        <v>-0.3540663</v>
      </c>
      <c r="U7409">
        <v>-2.9768370000000002</v>
      </c>
      <c r="V7409">
        <v>-2.7270699999999998E-2</v>
      </c>
      <c r="W7409">
        <v>-9.0691670000000002E-2</v>
      </c>
      <c r="X7409">
        <v>0.99550559999999999</v>
      </c>
      <c r="Y7409">
        <v>-5.722704E-2</v>
      </c>
      <c r="Z7409">
        <v>0.1143028</v>
      </c>
      <c r="AA7409">
        <v>0.99179629999999996</v>
      </c>
      <c r="AB7409">
        <v>19</v>
      </c>
      <c r="AC7409">
        <v>4.7700000000020198E-2</v>
      </c>
      <c r="AD7409">
        <v>-0.102144</v>
      </c>
      <c r="AE7409">
        <v>-0.66306999999999705</v>
      </c>
      <c r="AF7409">
        <v>-4.7886364558609999E-2</v>
      </c>
      <c r="AG7409">
        <v>-0.102144</v>
      </c>
      <c r="AH7409">
        <v>0.64768323264569405</v>
      </c>
      <c r="AI7409">
        <v>98.938115195923302</v>
      </c>
      <c r="AJ7409">
        <v>94.228461463964095</v>
      </c>
      <c r="AK7409">
        <v>0.65743446098985103</v>
      </c>
      <c r="AL7409">
        <v>95.203399414923993</v>
      </c>
      <c r="AM7409">
        <v>91.569157769496798</v>
      </c>
      <c r="AN7409">
        <v>1.00000003485861</v>
      </c>
    </row>
    <row r="7410" spans="1:40" x14ac:dyDescent="0.25">
      <c r="A7410" t="str">
        <f>"20190303154327725"</f>
        <v>20190303154327725</v>
      </c>
      <c r="B7410" t="str">
        <f>"1551599007717349"</f>
        <v>1551599007717349</v>
      </c>
      <c r="C7410" t="s">
        <v>40</v>
      </c>
      <c r="D7410">
        <v>4.9579979999999999</v>
      </c>
      <c r="E7410">
        <v>0.48372670000000001</v>
      </c>
      <c r="F7410" t="s">
        <v>58</v>
      </c>
      <c r="G7410">
        <v>-301.06939999999997</v>
      </c>
      <c r="H7410" s="1">
        <v>-7.15742E-6</v>
      </c>
      <c r="I7410">
        <v>-53.743989999999997</v>
      </c>
      <c r="J7410">
        <v>-301.69439999999997</v>
      </c>
      <c r="K7410">
        <v>1.1199889999999999</v>
      </c>
      <c r="L7410">
        <v>-44.396639999999998</v>
      </c>
      <c r="M7410">
        <v>-1.581959E-3</v>
      </c>
      <c r="N7410">
        <v>-3.6001610000000002E-3</v>
      </c>
      <c r="O7410">
        <v>-0.99999229999999995</v>
      </c>
      <c r="P7410">
        <v>2.761197E-2</v>
      </c>
      <c r="Q7410">
        <v>-9.4839119999999999E-2</v>
      </c>
      <c r="R7410">
        <v>-0.99510960000000004</v>
      </c>
      <c r="S7410">
        <v>0.19503780000000001</v>
      </c>
      <c r="T7410">
        <v>-0.34948800000000002</v>
      </c>
      <c r="U7410">
        <v>-2.9763489999999999</v>
      </c>
      <c r="V7410">
        <v>-2.9137489999999999E-2</v>
      </c>
      <c r="W7410">
        <v>-9.1271720000000001E-2</v>
      </c>
      <c r="X7410">
        <v>0.9953997</v>
      </c>
      <c r="Y7410">
        <v>-6.6535730000000001E-2</v>
      </c>
      <c r="Z7410">
        <v>0.1127914</v>
      </c>
      <c r="AA7410">
        <v>0.99138839999999995</v>
      </c>
      <c r="AB7410">
        <v>19</v>
      </c>
      <c r="AC7410">
        <v>0.625</v>
      </c>
      <c r="AD7410">
        <v>-1.1199961574199999</v>
      </c>
      <c r="AE7410">
        <v>-9.3473500000000005</v>
      </c>
      <c r="AF7410">
        <v>-0.630770925316819</v>
      </c>
      <c r="AG7410">
        <v>-1.1199961574199999</v>
      </c>
      <c r="AH7410">
        <v>9.2146460452167105</v>
      </c>
      <c r="AI7410">
        <v>96.914012203630406</v>
      </c>
      <c r="AJ7410">
        <v>93.915963835803694</v>
      </c>
      <c r="AK7410">
        <v>9.3038682864434694</v>
      </c>
      <c r="AL7410">
        <v>95.236772208019602</v>
      </c>
      <c r="AM7410">
        <v>91.676691904236804</v>
      </c>
      <c r="AN7410">
        <v>1.00000004147767</v>
      </c>
    </row>
    <row r="7411" spans="1:40" x14ac:dyDescent="0.25">
      <c r="A7411" t="str">
        <f>"20190303154327749"</f>
        <v>20190303154327749</v>
      </c>
      <c r="B7411" t="str">
        <f>"1551599007737845"</f>
        <v>1551599007737845</v>
      </c>
      <c r="C7411" t="s">
        <v>40</v>
      </c>
      <c r="D7411">
        <v>4.935924</v>
      </c>
      <c r="E7411">
        <v>0.48285689999999998</v>
      </c>
      <c r="F7411" t="s">
        <v>58</v>
      </c>
      <c r="G7411">
        <v>-301.01389999999998</v>
      </c>
      <c r="H7411" s="1">
        <v>-7.2511419999999998E-6</v>
      </c>
      <c r="I7411">
        <v>-53.982019999999999</v>
      </c>
      <c r="J7411">
        <v>-301.69420000000002</v>
      </c>
      <c r="K7411">
        <v>1.1200270000000001</v>
      </c>
      <c r="L7411">
        <v>-44.610990000000001</v>
      </c>
      <c r="M7411">
        <v>-1.0418949999999999E-3</v>
      </c>
      <c r="N7411">
        <v>-3.563475E-3</v>
      </c>
      <c r="O7411">
        <v>-0.99999329999999997</v>
      </c>
      <c r="P7411">
        <v>2.9452349999999999E-2</v>
      </c>
      <c r="Q7411">
        <v>-9.5213989999999998E-2</v>
      </c>
      <c r="R7411">
        <v>-0.9950213</v>
      </c>
      <c r="S7411">
        <v>0.21127319999999999</v>
      </c>
      <c r="T7411">
        <v>-0.34769800000000001</v>
      </c>
      <c r="U7411">
        <v>-2.9757389999999999</v>
      </c>
      <c r="V7411">
        <v>-3.042781E-2</v>
      </c>
      <c r="W7411">
        <v>-9.1688069999999997E-2</v>
      </c>
      <c r="X7411">
        <v>0.99532279999999995</v>
      </c>
      <c r="Y7411">
        <v>-7.1396870000000001E-2</v>
      </c>
      <c r="Z7411">
        <v>0.1122225</v>
      </c>
      <c r="AA7411">
        <v>0.99111490000000002</v>
      </c>
      <c r="AB7411">
        <v>19</v>
      </c>
      <c r="AC7411">
        <v>0.68030000000004498</v>
      </c>
      <c r="AD7411">
        <v>-1.1200342511420001</v>
      </c>
      <c r="AE7411">
        <v>-9.3710299999999904</v>
      </c>
      <c r="AF7411">
        <v>-0.68039466554703498</v>
      </c>
      <c r="AG7411">
        <v>-1.1200342511420001</v>
      </c>
      <c r="AH7411">
        <v>9.2390261996256093</v>
      </c>
      <c r="AI7411">
        <v>96.893670025573698</v>
      </c>
      <c r="AJ7411">
        <v>94.211861281864103</v>
      </c>
      <c r="AK7411">
        <v>9.3315067776862506</v>
      </c>
      <c r="AL7411">
        <v>95.260727892112001</v>
      </c>
      <c r="AM7411">
        <v>91.751032217857102</v>
      </c>
      <c r="AN7411">
        <v>1.00000001500078</v>
      </c>
    </row>
    <row r="7412" spans="1:40" x14ac:dyDescent="0.25">
      <c r="A7412" t="str">
        <f>"20190303154327772"</f>
        <v>20190303154327772</v>
      </c>
      <c r="B7412" t="str">
        <f>"1551599007768102"</f>
        <v>1551599007768102</v>
      </c>
      <c r="C7412" t="s">
        <v>40</v>
      </c>
      <c r="D7412">
        <v>4.9256140000000004</v>
      </c>
      <c r="E7412">
        <v>0.48190480000000002</v>
      </c>
      <c r="F7412" t="s">
        <v>58</v>
      </c>
      <c r="G7412">
        <v>-300.97070000000002</v>
      </c>
      <c r="H7412" s="1">
        <v>-7.3503669999999997E-6</v>
      </c>
      <c r="I7412">
        <v>-54.231780000000001</v>
      </c>
      <c r="J7412">
        <v>-301.69369999999998</v>
      </c>
      <c r="K7412">
        <v>1.1200810000000001</v>
      </c>
      <c r="L7412">
        <v>-44.808230000000002</v>
      </c>
      <c r="M7412">
        <v>-4.4436539999999998E-4</v>
      </c>
      <c r="N7412">
        <v>-3.5385299999999998E-3</v>
      </c>
      <c r="O7412">
        <v>-0.99999389999999999</v>
      </c>
      <c r="P7412">
        <v>3.1492920000000001E-2</v>
      </c>
      <c r="Q7412">
        <v>-9.6355330000000003E-2</v>
      </c>
      <c r="R7412">
        <v>-0.99484890000000004</v>
      </c>
      <c r="S7412">
        <v>0.22372439999999999</v>
      </c>
      <c r="T7412">
        <v>-0.34637319999999999</v>
      </c>
      <c r="U7412">
        <v>-2.97525</v>
      </c>
      <c r="V7412">
        <v>-3.1859510000000001E-2</v>
      </c>
      <c r="W7412">
        <v>-9.2860499999999999E-2</v>
      </c>
      <c r="X7412">
        <v>0.99516930000000003</v>
      </c>
      <c r="Y7412">
        <v>-7.4940599999999996E-2</v>
      </c>
      <c r="Z7412">
        <v>0.11179840000000001</v>
      </c>
      <c r="AA7412">
        <v>0.99090109999999998</v>
      </c>
      <c r="AB7412">
        <v>19</v>
      </c>
      <c r="AC7412">
        <v>0.72299999999995601</v>
      </c>
      <c r="AD7412">
        <v>-1.1200883503669901</v>
      </c>
      <c r="AE7412">
        <v>-9.4235500000000005</v>
      </c>
      <c r="AF7412">
        <v>-0.71711545506679097</v>
      </c>
      <c r="AG7412">
        <v>-1.1200883503669901</v>
      </c>
      <c r="AH7412">
        <v>9.2927102291242605</v>
      </c>
      <c r="AI7412">
        <v>96.852758337258194</v>
      </c>
      <c r="AJ7412">
        <v>94.412751171316799</v>
      </c>
      <c r="AK7412">
        <v>9.3874019777036306</v>
      </c>
      <c r="AL7412">
        <v>95.328190991293297</v>
      </c>
      <c r="AM7412">
        <v>91.833650030051103</v>
      </c>
      <c r="AN7412">
        <v>1.0000000182500799</v>
      </c>
    </row>
    <row r="7413" spans="1:40" x14ac:dyDescent="0.25">
      <c r="A7413" t="str">
        <f>"20190303154327791"</f>
        <v>20190303154327791</v>
      </c>
      <c r="B7413" t="str">
        <f>"1551599007787622"</f>
        <v>1551599007787622</v>
      </c>
      <c r="C7413" t="s">
        <v>40</v>
      </c>
      <c r="D7413">
        <v>4.944197</v>
      </c>
      <c r="E7413">
        <v>0.48144300000000001</v>
      </c>
      <c r="F7413" t="s">
        <v>58</v>
      </c>
      <c r="G7413">
        <v>-300.92619999999999</v>
      </c>
      <c r="H7413" s="1">
        <v>-7.4226260000000002E-6</v>
      </c>
      <c r="I7413">
        <v>-54.415529999999997</v>
      </c>
      <c r="J7413">
        <v>-301.69319999999999</v>
      </c>
      <c r="K7413">
        <v>1.1201399999999999</v>
      </c>
      <c r="L7413">
        <v>-44.973269999999999</v>
      </c>
      <c r="M7413">
        <v>1.527612E-4</v>
      </c>
      <c r="N7413">
        <v>-3.5237760000000002E-3</v>
      </c>
      <c r="O7413">
        <v>-0.99999380000000004</v>
      </c>
      <c r="P7413">
        <v>3.3278830000000002E-2</v>
      </c>
      <c r="Q7413">
        <v>-9.7480449999999996E-2</v>
      </c>
      <c r="R7413">
        <v>-0.99468100000000004</v>
      </c>
      <c r="S7413">
        <v>0.23760990000000001</v>
      </c>
      <c r="T7413">
        <v>-0.34678009999999998</v>
      </c>
      <c r="U7413">
        <v>-2.9744259999999998</v>
      </c>
      <c r="V7413">
        <v>-3.3035130000000003E-2</v>
      </c>
      <c r="W7413">
        <v>-9.4007010000000002E-2</v>
      </c>
      <c r="X7413">
        <v>0.99502330000000005</v>
      </c>
      <c r="Y7413">
        <v>-7.8961149999999994E-2</v>
      </c>
      <c r="Z7413">
        <v>0.11193980000000001</v>
      </c>
      <c r="AA7413">
        <v>0.99057289999999998</v>
      </c>
      <c r="AB7413">
        <v>19</v>
      </c>
      <c r="AC7413">
        <v>0.76699999999999502</v>
      </c>
      <c r="AD7413">
        <v>-1.120147422626</v>
      </c>
      <c r="AE7413">
        <v>-9.4422599999999992</v>
      </c>
      <c r="AF7413">
        <v>-0.755001794203076</v>
      </c>
      <c r="AG7413">
        <v>-1.120147422626</v>
      </c>
      <c r="AH7413">
        <v>9.3121822436717707</v>
      </c>
      <c r="AI7413">
        <v>96.836841292044696</v>
      </c>
      <c r="AJ7413">
        <v>94.635218866066396</v>
      </c>
      <c r="AK7413">
        <v>9.4096490953181302</v>
      </c>
      <c r="AL7413">
        <v>95.394169886818105</v>
      </c>
      <c r="AM7413">
        <v>91.901541942792093</v>
      </c>
      <c r="AN7413">
        <v>1.00000000264307</v>
      </c>
    </row>
    <row r="7414" spans="1:40" x14ac:dyDescent="0.25">
      <c r="A7414" t="str">
        <f>"20190303154327814"</f>
        <v>20190303154327814</v>
      </c>
      <c r="B7414" t="str">
        <f>"1551599007808117"</f>
        <v>1551599007808117</v>
      </c>
      <c r="C7414" t="s">
        <v>40</v>
      </c>
      <c r="D7414">
        <v>4.9675399999999996</v>
      </c>
      <c r="E7414">
        <v>0.48107240000000001</v>
      </c>
      <c r="F7414" t="s">
        <v>58</v>
      </c>
      <c r="G7414">
        <v>-300.90089999999998</v>
      </c>
      <c r="H7414" s="1">
        <v>-7.4663750000000002E-6</v>
      </c>
      <c r="I7414">
        <v>-54.52655</v>
      </c>
      <c r="J7414">
        <v>-301.69229999999999</v>
      </c>
      <c r="K7414">
        <v>1.1202259999999999</v>
      </c>
      <c r="L7414">
        <v>-45.177280000000003</v>
      </c>
      <c r="M7414">
        <v>1.021107E-3</v>
      </c>
      <c r="N7414">
        <v>-3.511765E-3</v>
      </c>
      <c r="O7414">
        <v>-0.99999329999999997</v>
      </c>
      <c r="P7414">
        <v>3.5531319999999998E-2</v>
      </c>
      <c r="Q7414">
        <v>-9.8427379999999995E-2</v>
      </c>
      <c r="R7414">
        <v>-0.9945098</v>
      </c>
      <c r="S7414">
        <v>0.24661250000000001</v>
      </c>
      <c r="T7414">
        <v>-0.34866619999999998</v>
      </c>
      <c r="U7414">
        <v>-2.973633</v>
      </c>
      <c r="V7414">
        <v>-3.4401220000000003E-2</v>
      </c>
      <c r="W7414">
        <v>-9.4975770000000001E-2</v>
      </c>
      <c r="X7414">
        <v>0.99488500000000002</v>
      </c>
      <c r="Y7414">
        <v>-8.1089110000000006E-2</v>
      </c>
      <c r="Z7414">
        <v>0.112578</v>
      </c>
      <c r="AA7414">
        <v>0.9903286</v>
      </c>
      <c r="AB7414">
        <v>20</v>
      </c>
      <c r="AC7414">
        <v>0.79140000000000998</v>
      </c>
      <c r="AD7414">
        <v>-1.120233466375</v>
      </c>
      <c r="AE7414">
        <v>-9.3492700000000006</v>
      </c>
      <c r="AF7414">
        <v>-0.77086441089347202</v>
      </c>
      <c r="AG7414">
        <v>-1.120233466375</v>
      </c>
      <c r="AH7414">
        <v>9.2186631020763699</v>
      </c>
      <c r="AI7414">
        <v>96.904634305196495</v>
      </c>
      <c r="AJ7414">
        <v>94.779951598805397</v>
      </c>
      <c r="AK7414">
        <v>9.3184174809220099</v>
      </c>
      <c r="AL7414">
        <v>95.449925218907595</v>
      </c>
      <c r="AM7414">
        <v>91.980389415033599</v>
      </c>
      <c r="AN7414">
        <v>1.0000000020247899</v>
      </c>
    </row>
    <row r="7415" spans="1:40" x14ac:dyDescent="0.25">
      <c r="A7415" t="str">
        <f>"20190303154327837"</f>
        <v>20190303154327837</v>
      </c>
      <c r="B7415" t="str">
        <f>"1551599007827638"</f>
        <v>1551599007827638</v>
      </c>
      <c r="C7415" t="s">
        <v>40</v>
      </c>
      <c r="D7415">
        <v>4.9766250000000003</v>
      </c>
      <c r="E7415">
        <v>0.48078660000000001</v>
      </c>
      <c r="F7415" t="s">
        <v>58</v>
      </c>
      <c r="G7415">
        <v>-300.87220000000002</v>
      </c>
      <c r="H7415" s="1">
        <v>-7.5313320000000002E-6</v>
      </c>
      <c r="I7415">
        <v>-54.690119999999901</v>
      </c>
      <c r="J7415">
        <v>-301.6909</v>
      </c>
      <c r="K7415">
        <v>1.120323</v>
      </c>
      <c r="L7415">
        <v>-45.381810000000002</v>
      </c>
      <c r="M7415">
        <v>2.0675770000000001E-3</v>
      </c>
      <c r="N7415">
        <v>-3.5065500000000002E-3</v>
      </c>
      <c r="O7415">
        <v>-0.99999179999999999</v>
      </c>
      <c r="P7415">
        <v>3.8587400000000001E-2</v>
      </c>
      <c r="Q7415">
        <v>-9.8666820000000002E-2</v>
      </c>
      <c r="R7415">
        <v>-0.99437220000000004</v>
      </c>
      <c r="S7415">
        <v>0.25625609999999999</v>
      </c>
      <c r="T7415">
        <v>-0.35007129999999997</v>
      </c>
      <c r="U7415">
        <v>-2.9727480000000002</v>
      </c>
      <c r="V7415">
        <v>-3.6390359999999997E-2</v>
      </c>
      <c r="W7415">
        <v>-9.5233180000000001E-2</v>
      </c>
      <c r="X7415">
        <v>0.99478960000000005</v>
      </c>
      <c r="Y7415">
        <v>-8.3254899999999896E-2</v>
      </c>
      <c r="Z7415">
        <v>0.1130526</v>
      </c>
      <c r="AA7415">
        <v>0.99009480000000005</v>
      </c>
      <c r="AB7415">
        <v>20</v>
      </c>
      <c r="AC7415">
        <v>0.818699999999978</v>
      </c>
      <c r="AD7415">
        <v>-1.120330531332</v>
      </c>
      <c r="AE7415">
        <v>-9.3083100000000005</v>
      </c>
      <c r="AF7415">
        <v>-0.78812331466710805</v>
      </c>
      <c r="AG7415">
        <v>-1.120330531332</v>
      </c>
      <c r="AH7415">
        <v>9.1780495601312406</v>
      </c>
      <c r="AI7415">
        <v>96.934185595181503</v>
      </c>
      <c r="AJ7415">
        <v>94.907975058937595</v>
      </c>
      <c r="AK7415">
        <v>9.2797021820089505</v>
      </c>
      <c r="AL7415">
        <v>95.464740987155594</v>
      </c>
      <c r="AM7415">
        <v>92.095000547676904</v>
      </c>
      <c r="AN7415">
        <v>0.99999998257099998</v>
      </c>
    </row>
    <row r="7416" spans="1:40" x14ac:dyDescent="0.25">
      <c r="A7416" t="str">
        <f>"20190303154327858"</f>
        <v>20190303154327858</v>
      </c>
      <c r="B7416" t="str">
        <f>"1551599007848134"</f>
        <v>1551599007848134</v>
      </c>
      <c r="C7416" t="s">
        <v>40</v>
      </c>
      <c r="D7416">
        <v>4.9547230000000004</v>
      </c>
      <c r="E7416">
        <v>0.48053820000000003</v>
      </c>
      <c r="F7416" t="s">
        <v>58</v>
      </c>
      <c r="G7416">
        <v>-300.83049999999997</v>
      </c>
      <c r="H7416" s="1">
        <v>-7.6260000000000003E-6</v>
      </c>
      <c r="I7416">
        <v>-54.928489999999996</v>
      </c>
      <c r="J7416">
        <v>-301.6893</v>
      </c>
      <c r="K7416">
        <v>1.120436</v>
      </c>
      <c r="L7416">
        <v>-45.575380000000003</v>
      </c>
      <c r="M7416">
        <v>3.2426640000000001E-3</v>
      </c>
      <c r="N7416">
        <v>-3.5072940000000002E-3</v>
      </c>
      <c r="O7416">
        <v>-0.99998869999999895</v>
      </c>
      <c r="P7416">
        <v>4.1606230000000001E-2</v>
      </c>
      <c r="Q7416">
        <v>-9.8936189999999993E-2</v>
      </c>
      <c r="R7416">
        <v>-0.99422379999999999</v>
      </c>
      <c r="S7416">
        <v>0.2678528</v>
      </c>
      <c r="T7416">
        <v>-0.348771</v>
      </c>
      <c r="U7416">
        <v>-2.9719850000000001</v>
      </c>
      <c r="V7416">
        <v>-3.8212660000000002E-2</v>
      </c>
      <c r="W7416">
        <v>-9.5516119999999996E-2</v>
      </c>
      <c r="X7416">
        <v>0.99469419999999997</v>
      </c>
      <c r="Y7416">
        <v>-8.5942829999999998E-2</v>
      </c>
      <c r="Z7416">
        <v>0.11262079999999999</v>
      </c>
      <c r="AA7416">
        <v>0.98991439999999997</v>
      </c>
      <c r="AB7416">
        <v>20</v>
      </c>
      <c r="AC7416">
        <v>0.85880000000002998</v>
      </c>
      <c r="AD7416">
        <v>-1.1204436259999999</v>
      </c>
      <c r="AE7416">
        <v>-9.3531099999999991</v>
      </c>
      <c r="AF7416">
        <v>-0.81684219156702398</v>
      </c>
      <c r="AG7416">
        <v>-1.1204436259999999</v>
      </c>
      <c r="AH7416">
        <v>9.2245748321323795</v>
      </c>
      <c r="AI7416">
        <v>96.898654833005097</v>
      </c>
      <c r="AJ7416">
        <v>95.060380129816807</v>
      </c>
      <c r="AK7416">
        <v>9.3282048604529599</v>
      </c>
      <c r="AL7416">
        <v>95.481026155744203</v>
      </c>
      <c r="AM7416">
        <v>92.200020895355095</v>
      </c>
      <c r="AN7416">
        <v>1.0000000440388801</v>
      </c>
    </row>
    <row r="7417" spans="1:40" x14ac:dyDescent="0.25">
      <c r="A7417" t="str">
        <f>"20190303154327880"</f>
        <v>20190303154327880</v>
      </c>
      <c r="B7417" t="str">
        <f>"1551599007877414"</f>
        <v>1551599007877414</v>
      </c>
      <c r="C7417" t="s">
        <v>40</v>
      </c>
      <c r="D7417">
        <v>5.0164739999999997</v>
      </c>
      <c r="E7417">
        <v>0.48029270000000002</v>
      </c>
      <c r="F7417" t="s">
        <v>58</v>
      </c>
      <c r="G7417">
        <v>-300.79289999999997</v>
      </c>
      <c r="H7417" s="1">
        <v>-7.7013679999999996E-6</v>
      </c>
      <c r="I7417">
        <v>-55.11889</v>
      </c>
      <c r="J7417">
        <v>-301.68720000000002</v>
      </c>
      <c r="K7417">
        <v>1.120555</v>
      </c>
      <c r="L7417">
        <v>-45.77243</v>
      </c>
      <c r="M7417">
        <v>4.5971170000000004E-3</v>
      </c>
      <c r="N7417">
        <v>-3.5122270000000001E-3</v>
      </c>
      <c r="O7417">
        <v>-0.99998350000000003</v>
      </c>
      <c r="P7417">
        <v>4.5111720000000001E-2</v>
      </c>
      <c r="Q7417">
        <v>-9.7802710000000001E-2</v>
      </c>
      <c r="R7417">
        <v>-0.99418329999999999</v>
      </c>
      <c r="S7417">
        <v>0.27905269999999999</v>
      </c>
      <c r="T7417">
        <v>-0.34881089999999998</v>
      </c>
      <c r="U7417">
        <v>-2.9710390000000002</v>
      </c>
      <c r="V7417">
        <v>-4.0346090000000001E-2</v>
      </c>
      <c r="W7417">
        <v>-9.4393039999999998E-2</v>
      </c>
      <c r="X7417">
        <v>0.99471710000000002</v>
      </c>
      <c r="Y7417">
        <v>-8.8321060000000007E-2</v>
      </c>
      <c r="Z7417">
        <v>0.11263289999999999</v>
      </c>
      <c r="AA7417">
        <v>0.98970360000000002</v>
      </c>
      <c r="AB7417">
        <v>20</v>
      </c>
      <c r="AC7417">
        <v>0.89430000000004295</v>
      </c>
      <c r="AD7417">
        <v>-1.120562701368</v>
      </c>
      <c r="AE7417">
        <v>-9.3464600000000004</v>
      </c>
      <c r="AF7417">
        <v>-0.83936789741333495</v>
      </c>
      <c r="AG7417">
        <v>-1.120562701368</v>
      </c>
      <c r="AH7417">
        <v>9.2191583824746903</v>
      </c>
      <c r="AI7417">
        <v>96.901875775692105</v>
      </c>
      <c r="AJ7417">
        <v>95.202211313073306</v>
      </c>
      <c r="AK7417">
        <v>9.3248635655466092</v>
      </c>
      <c r="AL7417">
        <v>95.416386685328703</v>
      </c>
      <c r="AM7417">
        <v>92.322664660783602</v>
      </c>
      <c r="AN7417">
        <v>0.99999998100556897</v>
      </c>
    </row>
    <row r="7418" spans="1:40" x14ac:dyDescent="0.25">
      <c r="A7418" t="str">
        <f>"20190303154327902"</f>
        <v>20190303154327902</v>
      </c>
      <c r="B7418" t="str">
        <f>"1551599007897910"</f>
        <v>1551599007897910</v>
      </c>
      <c r="C7418" t="s">
        <v>40</v>
      </c>
      <c r="D7418">
        <v>4.8944729999999996</v>
      </c>
      <c r="E7418">
        <v>0.44729920000000001</v>
      </c>
      <c r="F7418" t="s">
        <v>58</v>
      </c>
      <c r="G7418">
        <v>-300.74059999999997</v>
      </c>
      <c r="H7418" s="1">
        <v>-7.821003E-6</v>
      </c>
      <c r="I7418">
        <v>-55.420070000000003</v>
      </c>
      <c r="J7418">
        <v>-301.68450000000001</v>
      </c>
      <c r="K7418">
        <v>1.120676</v>
      </c>
      <c r="L7418">
        <v>-45.976750000000003</v>
      </c>
      <c r="M7418">
        <v>6.1753370000000004E-3</v>
      </c>
      <c r="N7418">
        <v>-3.5210250000000001E-3</v>
      </c>
      <c r="O7418">
        <v>-0.99997480000000005</v>
      </c>
      <c r="P7418">
        <v>4.9233869999999999E-2</v>
      </c>
      <c r="Q7418">
        <v>-9.5692020000000003E-2</v>
      </c>
      <c r="R7418">
        <v>-0.99419299999999999</v>
      </c>
      <c r="S7418">
        <v>0.2914429</v>
      </c>
      <c r="T7418">
        <v>-0.3450085</v>
      </c>
      <c r="U7418">
        <v>-2.9703979999999999</v>
      </c>
      <c r="V7418">
        <v>-4.2876860000000003E-2</v>
      </c>
      <c r="W7418">
        <v>-9.2290860000000002E-2</v>
      </c>
      <c r="X7418">
        <v>0.99480849999999998</v>
      </c>
      <c r="Y7418">
        <v>-9.0872789999999995E-2</v>
      </c>
      <c r="Z7418">
        <v>0.11136210000000001</v>
      </c>
      <c r="AA7418">
        <v>0.98961639999999995</v>
      </c>
      <c r="AB7418">
        <v>20</v>
      </c>
      <c r="AC7418">
        <v>0.94390000000004204</v>
      </c>
      <c r="AD7418">
        <v>-1.1206838210029999</v>
      </c>
      <c r="AE7418">
        <v>-9.4433199999999893</v>
      </c>
      <c r="AF7418">
        <v>-0.87338711509919198</v>
      </c>
      <c r="AG7418">
        <v>-1.1206838210029999</v>
      </c>
      <c r="AH7418">
        <v>9.3190208624749395</v>
      </c>
      <c r="AI7418">
        <v>96.827691277743696</v>
      </c>
      <c r="AJ7418">
        <v>95.354172822877203</v>
      </c>
      <c r="AK7418">
        <v>9.4267113626504102</v>
      </c>
      <c r="AL7418">
        <v>95.295412411277297</v>
      </c>
      <c r="AM7418">
        <v>92.467955986040494</v>
      </c>
      <c r="AN7418">
        <v>0.99999998981762395</v>
      </c>
    </row>
    <row r="7419" spans="1:40" x14ac:dyDescent="0.25">
      <c r="A7419" t="str">
        <f>"20190303154327925"</f>
        <v>20190303154327925</v>
      </c>
      <c r="B7419" t="str">
        <f>"1551599007917430"</f>
        <v>1551599007917430</v>
      </c>
      <c r="C7419" t="s">
        <v>40</v>
      </c>
      <c r="D7419">
        <v>4.909764</v>
      </c>
      <c r="E7419">
        <v>0.4357607</v>
      </c>
      <c r="F7419" t="s">
        <v>58</v>
      </c>
      <c r="G7419">
        <v>-299.68220000000002</v>
      </c>
      <c r="H7419" s="1">
        <v>-6.7039490000000002E-6</v>
      </c>
      <c r="I7419">
        <v>-56.426830000000002</v>
      </c>
      <c r="J7419">
        <v>-301.68130000000002</v>
      </c>
      <c r="K7419">
        <v>1.1208129999999901</v>
      </c>
      <c r="L7419">
        <v>-46.182400000000001</v>
      </c>
      <c r="M7419">
        <v>7.9560610000000004E-3</v>
      </c>
      <c r="N7419">
        <v>-3.5333019999999999E-3</v>
      </c>
      <c r="O7419">
        <v>-0.99996220000000002</v>
      </c>
      <c r="P7419">
        <v>5.434365E-2</v>
      </c>
      <c r="Q7419">
        <v>-9.1563500000000006E-2</v>
      </c>
      <c r="R7419">
        <v>-0.99431550000000002</v>
      </c>
      <c r="S7419">
        <v>0.5669556</v>
      </c>
      <c r="T7419">
        <v>-0.31731619999999999</v>
      </c>
      <c r="U7419">
        <v>-2.9588930000000002</v>
      </c>
      <c r="V7419">
        <v>-4.619881E-2</v>
      </c>
      <c r="W7419">
        <v>-8.8170520000000002E-2</v>
      </c>
      <c r="X7419">
        <v>0.99503350000000002</v>
      </c>
      <c r="Y7419">
        <v>-0.1793652</v>
      </c>
      <c r="Z7419">
        <v>0.1013066</v>
      </c>
      <c r="AA7419">
        <v>0.97855259999999999</v>
      </c>
      <c r="AB7419">
        <v>20</v>
      </c>
      <c r="AC7419">
        <v>1.9990999999999901</v>
      </c>
      <c r="AD7419">
        <v>-1.12081970394899</v>
      </c>
      <c r="AE7419">
        <v>-10.244429999999999</v>
      </c>
      <c r="AF7419">
        <v>-1.89567201077055</v>
      </c>
      <c r="AG7419">
        <v>-1.12081970394899</v>
      </c>
      <c r="AH7419">
        <v>10.143051761519301</v>
      </c>
      <c r="AI7419">
        <v>96.199192096956693</v>
      </c>
      <c r="AJ7419">
        <v>100.586090435906</v>
      </c>
      <c r="AK7419">
        <v>10.3793693555071</v>
      </c>
      <c r="AL7419">
        <v>95.058367066275807</v>
      </c>
      <c r="AM7419">
        <v>92.6582996990374</v>
      </c>
      <c r="AN7419">
        <v>1.0000000183823601</v>
      </c>
    </row>
    <row r="7420" spans="1:40" x14ac:dyDescent="0.25">
      <c r="A7420" t="str">
        <f>"20190303154327953"</f>
        <v>20190303154327953</v>
      </c>
      <c r="B7420" t="str">
        <f>"1551599007947685"</f>
        <v>1551599007947685</v>
      </c>
      <c r="C7420" t="s">
        <v>40</v>
      </c>
      <c r="D7420">
        <v>4.897481</v>
      </c>
      <c r="E7420">
        <v>0.42821680000000001</v>
      </c>
      <c r="F7420" t="s">
        <v>58</v>
      </c>
      <c r="G7420">
        <v>-299.03489999999999</v>
      </c>
      <c r="H7420" s="1">
        <v>-6.7799309999999999E-6</v>
      </c>
      <c r="I7420">
        <v>-57.771279999999997</v>
      </c>
      <c r="J7420">
        <v>-301.67660000000001</v>
      </c>
      <c r="K7420">
        <v>1.121005</v>
      </c>
      <c r="L7420">
        <v>-46.434809999999999</v>
      </c>
      <c r="M7420">
        <v>1.0407949999999999E-2</v>
      </c>
      <c r="N7420">
        <v>-3.5528449999999998E-3</v>
      </c>
      <c r="O7420">
        <v>-0.99993960000000004</v>
      </c>
      <c r="P7420">
        <v>6.1996370000000002E-2</v>
      </c>
      <c r="Q7420">
        <v>-8.4812709999999999E-2</v>
      </c>
      <c r="R7420">
        <v>-0.99446650000000003</v>
      </c>
      <c r="S7420">
        <v>0.67456050000000001</v>
      </c>
      <c r="T7420">
        <v>-0.28569460000000002</v>
      </c>
      <c r="U7420">
        <v>-2.9539789999999999</v>
      </c>
      <c r="V7420">
        <v>-5.139755E-2</v>
      </c>
      <c r="W7420">
        <v>-8.1431900000000002E-2</v>
      </c>
      <c r="X7420">
        <v>0.99535269999999998</v>
      </c>
      <c r="Y7420">
        <v>-0.2115186</v>
      </c>
      <c r="Z7420">
        <v>9.0437909999999996E-2</v>
      </c>
      <c r="AA7420">
        <v>0.97318079999999996</v>
      </c>
      <c r="AB7420">
        <v>21</v>
      </c>
      <c r="AC7420">
        <v>2.6417000000000099</v>
      </c>
      <c r="AD7420">
        <v>-1.121011779931</v>
      </c>
      <c r="AE7420">
        <v>-11.33647</v>
      </c>
      <c r="AF7420">
        <v>-2.5003765220174099</v>
      </c>
      <c r="AG7420">
        <v>-1.121011779931</v>
      </c>
      <c r="AH7420">
        <v>11.2589276390071</v>
      </c>
      <c r="AI7420">
        <v>95.551621503644299</v>
      </c>
      <c r="AJ7420">
        <v>102.521012492599</v>
      </c>
      <c r="AK7420">
        <v>11.5875796326497</v>
      </c>
      <c r="AL7420">
        <v>94.670876464566803</v>
      </c>
      <c r="AM7420">
        <v>92.955986802005299</v>
      </c>
      <c r="AN7420">
        <v>0.99999992994044795</v>
      </c>
    </row>
    <row r="7421" spans="1:40" x14ac:dyDescent="0.25">
      <c r="A7421" t="str">
        <f>"20190303154327975"</f>
        <v>20190303154327975</v>
      </c>
      <c r="B7421" t="str">
        <f>"1551599007968181"</f>
        <v>1551599007968181</v>
      </c>
      <c r="C7421" t="s">
        <v>40</v>
      </c>
      <c r="D7421">
        <v>4.9094629999999997</v>
      </c>
      <c r="E7421">
        <v>0.4263342</v>
      </c>
      <c r="F7421" t="s">
        <v>58</v>
      </c>
      <c r="G7421">
        <v>-298.37880000000001</v>
      </c>
      <c r="H7421" s="1">
        <v>-6.8476159999999999E-6</v>
      </c>
      <c r="I7421">
        <v>-59.268749999999997</v>
      </c>
      <c r="J7421">
        <v>-301.6721</v>
      </c>
      <c r="K7421">
        <v>1.121183</v>
      </c>
      <c r="L7421">
        <v>-46.639620000000001</v>
      </c>
      <c r="M7421">
        <v>1.261893E-2</v>
      </c>
      <c r="N7421">
        <v>-3.572249E-3</v>
      </c>
      <c r="O7421">
        <v>-0.99991410000000003</v>
      </c>
      <c r="P7421">
        <v>6.9461670000000003E-2</v>
      </c>
      <c r="Q7421">
        <v>-7.4971469999999998E-2</v>
      </c>
      <c r="R7421">
        <v>-0.99476359999999997</v>
      </c>
      <c r="S7421">
        <v>0.75738530000000004</v>
      </c>
      <c r="T7421">
        <v>-0.2574574</v>
      </c>
      <c r="U7421">
        <v>-2.9475099999999999</v>
      </c>
      <c r="V7421">
        <v>-5.6665729999999997E-2</v>
      </c>
      <c r="W7421">
        <v>-7.1603410000000006E-2</v>
      </c>
      <c r="X7421">
        <v>0.99582230000000005</v>
      </c>
      <c r="Y7421">
        <v>-0.23577999999999999</v>
      </c>
      <c r="Z7421">
        <v>8.0864539999999999E-2</v>
      </c>
      <c r="AA7421">
        <v>0.96843619999999997</v>
      </c>
      <c r="AB7421">
        <v>21</v>
      </c>
      <c r="AC7421">
        <v>3.2932999999999799</v>
      </c>
      <c r="AD7421">
        <v>-1.121189847616</v>
      </c>
      <c r="AE7421">
        <v>-12.6291299999999</v>
      </c>
      <c r="AF7421">
        <v>-3.1107144749036602</v>
      </c>
      <c r="AG7421">
        <v>-1.121189847616</v>
      </c>
      <c r="AH7421">
        <v>12.576868871435501</v>
      </c>
      <c r="AI7421">
        <v>94.946010881682199</v>
      </c>
      <c r="AJ7421">
        <v>103.89250503367001</v>
      </c>
      <c r="AK7421">
        <v>13.0042778280093</v>
      </c>
      <c r="AL7421">
        <v>94.106086767622799</v>
      </c>
      <c r="AM7421">
        <v>93.256815680519694</v>
      </c>
      <c r="AN7421">
        <v>1.0000000532286699</v>
      </c>
    </row>
    <row r="7422" spans="1:40" x14ac:dyDescent="0.25">
      <c r="A7422" t="str">
        <f>"20190303154327995"</f>
        <v>20190303154327995</v>
      </c>
      <c r="B7422" t="str">
        <f>"1551599007987702"</f>
        <v>1551599007987702</v>
      </c>
      <c r="C7422" t="s">
        <v>40</v>
      </c>
      <c r="D7422">
        <v>4.8949619999999996</v>
      </c>
      <c r="E7422">
        <v>0.42491200000000001</v>
      </c>
      <c r="F7422" t="s">
        <v>58</v>
      </c>
      <c r="G7422">
        <v>-297.79930000000002</v>
      </c>
      <c r="H7422" s="1">
        <v>-1.234418E-5</v>
      </c>
      <c r="I7422">
        <v>-60.989159999999998</v>
      </c>
      <c r="J7422">
        <v>-301.6671</v>
      </c>
      <c r="K7422">
        <v>1.121367</v>
      </c>
      <c r="L7422">
        <v>-46.83728</v>
      </c>
      <c r="M7422">
        <v>1.4939630000000001E-2</v>
      </c>
      <c r="N7422">
        <v>-3.5935920000000001E-3</v>
      </c>
      <c r="O7422">
        <v>-0.99988200000000005</v>
      </c>
      <c r="P7422">
        <v>7.5754130000000003E-2</v>
      </c>
      <c r="Q7422">
        <v>-6.4374310000000004E-2</v>
      </c>
      <c r="R7422">
        <v>-0.99504689999999996</v>
      </c>
      <c r="S7422">
        <v>0.79428100000000001</v>
      </c>
      <c r="T7422">
        <v>-0.2299496</v>
      </c>
      <c r="U7422">
        <v>-2.942993</v>
      </c>
      <c r="V7422">
        <v>-6.0658259999999999E-2</v>
      </c>
      <c r="W7422">
        <v>-6.1015600000000003E-2</v>
      </c>
      <c r="X7422">
        <v>0.99629190000000001</v>
      </c>
      <c r="Y7422">
        <v>-0.24540729999999999</v>
      </c>
      <c r="Z7422">
        <v>7.1777019999999997E-2</v>
      </c>
      <c r="AA7422">
        <v>0.96675919999999904</v>
      </c>
      <c r="AB7422">
        <v>21</v>
      </c>
      <c r="AC7422">
        <v>3.8677999999999799</v>
      </c>
      <c r="AD7422">
        <v>-1.12137934418</v>
      </c>
      <c r="AE7422">
        <v>-14.151879999999901</v>
      </c>
      <c r="AF7422">
        <v>-3.6347077310085698</v>
      </c>
      <c r="AG7422">
        <v>-1.12137934418</v>
      </c>
      <c r="AH7422">
        <v>14.125557357712299</v>
      </c>
      <c r="AI7422">
        <v>94.396373523103804</v>
      </c>
      <c r="AJ7422">
        <v>104.429985808335</v>
      </c>
      <c r="AK7422">
        <v>14.628737559660699</v>
      </c>
      <c r="AL7422">
        <v>93.498109392543896</v>
      </c>
      <c r="AM7422">
        <v>93.484096840245897</v>
      </c>
      <c r="AN7422">
        <v>0.99999993897759698</v>
      </c>
    </row>
    <row r="7423" spans="1:40" x14ac:dyDescent="0.25">
      <c r="A7423" t="str">
        <f>"20190303154328015"</f>
        <v>20190303154328015</v>
      </c>
      <c r="B7423" t="str">
        <f>"1551599008008198"</f>
        <v>1551599008008198</v>
      </c>
      <c r="C7423" t="s">
        <v>40</v>
      </c>
      <c r="D7423">
        <v>4.9320919999999999</v>
      </c>
      <c r="E7423">
        <v>0.42392160000000001</v>
      </c>
      <c r="F7423" t="s">
        <v>58</v>
      </c>
      <c r="G7423">
        <v>-296.90699999999998</v>
      </c>
      <c r="H7423" s="1">
        <v>-1.269391E-5</v>
      </c>
      <c r="I7423">
        <v>-63.811700000000002</v>
      </c>
      <c r="J7423">
        <v>-301.6619</v>
      </c>
      <c r="K7423">
        <v>1.1215310000000001</v>
      </c>
      <c r="L7423">
        <v>-47.017910000000001</v>
      </c>
      <c r="M7423">
        <v>1.7218219999999999E-2</v>
      </c>
      <c r="N7423">
        <v>-3.614899E-3</v>
      </c>
      <c r="O7423">
        <v>-0.99984519999999999</v>
      </c>
      <c r="P7423">
        <v>8.1531350000000002E-2</v>
      </c>
      <c r="Q7423">
        <v>-5.4871400000000001E-2</v>
      </c>
      <c r="R7423">
        <v>-0.99515929999999997</v>
      </c>
      <c r="S7423">
        <v>0.82434079999999998</v>
      </c>
      <c r="T7423">
        <v>-0.19419900000000001</v>
      </c>
      <c r="U7423">
        <v>-2.9396059999999999</v>
      </c>
      <c r="V7423">
        <v>-6.4182610000000001E-2</v>
      </c>
      <c r="W7423">
        <v>-5.1521280000000003E-2</v>
      </c>
      <c r="X7423">
        <v>0.99660729999999997</v>
      </c>
      <c r="Y7423">
        <v>-0.25287480000000001</v>
      </c>
      <c r="Z7423">
        <v>6.0012749999999997E-2</v>
      </c>
      <c r="AA7423">
        <v>0.96563600000000005</v>
      </c>
      <c r="AB7423">
        <v>21</v>
      </c>
      <c r="AC7423">
        <v>4.7549000000000197</v>
      </c>
      <c r="AD7423">
        <v>-1.1215436939100001</v>
      </c>
      <c r="AE7423">
        <v>-16.793789999999898</v>
      </c>
      <c r="AF7423">
        <v>-4.4466737235842499</v>
      </c>
      <c r="AG7423">
        <v>-1.1215436939100001</v>
      </c>
      <c r="AH7423">
        <v>16.803788996217602</v>
      </c>
      <c r="AI7423">
        <v>93.691755711898693</v>
      </c>
      <c r="AJ7423">
        <v>104.822056902086</v>
      </c>
      <c r="AK7423">
        <v>17.418326328633501</v>
      </c>
      <c r="AL7423">
        <v>92.953259484803695</v>
      </c>
      <c r="AM7423">
        <v>93.684822785573701</v>
      </c>
      <c r="AN7423">
        <v>0.99999998006627</v>
      </c>
    </row>
    <row r="7424" spans="1:40" x14ac:dyDescent="0.25">
      <c r="A7424" t="str">
        <f>"20190303154328037"</f>
        <v>20190303154328037</v>
      </c>
      <c r="B7424" t="str">
        <f>"1551599008027718"</f>
        <v>1551599008027718</v>
      </c>
      <c r="C7424" t="s">
        <v>40</v>
      </c>
      <c r="D7424">
        <v>4.8720739999999996</v>
      </c>
      <c r="E7424">
        <v>0.42352020000000001</v>
      </c>
      <c r="F7424" t="s">
        <v>58</v>
      </c>
      <c r="G7424">
        <v>-296.07260000000002</v>
      </c>
      <c r="H7424" s="1">
        <v>-1.299659E-5</v>
      </c>
      <c r="I7424">
        <v>-66.340919999999997</v>
      </c>
      <c r="J7424">
        <v>-301.65519999999998</v>
      </c>
      <c r="K7424">
        <v>1.1216969999999999</v>
      </c>
      <c r="L7424">
        <v>-47.229399999999998</v>
      </c>
      <c r="M7424">
        <v>2.0051510000000002E-2</v>
      </c>
      <c r="N7424">
        <v>-3.6411540000000002E-3</v>
      </c>
      <c r="O7424">
        <v>-0.99979229999999997</v>
      </c>
      <c r="P7424">
        <v>8.8948949999999999E-2</v>
      </c>
      <c r="Q7424">
        <v>-4.702257E-2</v>
      </c>
      <c r="R7424">
        <v>-0.99492579999999997</v>
      </c>
      <c r="S7424">
        <v>0.84915160000000001</v>
      </c>
      <c r="T7424">
        <v>-0.17039000000000001</v>
      </c>
      <c r="U7424">
        <v>-2.935638</v>
      </c>
      <c r="V7424">
        <v>-6.8796819999999995E-2</v>
      </c>
      <c r="W7424">
        <v>-4.368557E-2</v>
      </c>
      <c r="X7424">
        <v>0.99667380000000005</v>
      </c>
      <c r="Y7424">
        <v>-0.25814199999999998</v>
      </c>
      <c r="Z7424">
        <v>5.2179780000000002E-2</v>
      </c>
      <c r="AA7424">
        <v>0.96469680000000002</v>
      </c>
      <c r="AB7424">
        <v>21</v>
      </c>
      <c r="AC7424">
        <v>5.5825999999999496</v>
      </c>
      <c r="AD7424">
        <v>-1.1217099965899999</v>
      </c>
      <c r="AE7424">
        <v>-19.111519999999999</v>
      </c>
      <c r="AF7424">
        <v>-5.1818130050068296</v>
      </c>
      <c r="AG7424">
        <v>-1.1217099965899999</v>
      </c>
      <c r="AH7424">
        <v>19.158807303933798</v>
      </c>
      <c r="AI7424">
        <v>93.234762147676406</v>
      </c>
      <c r="AJ7424">
        <v>105.13447745792</v>
      </c>
      <c r="AK7424">
        <v>19.878866080452699</v>
      </c>
      <c r="AL7424">
        <v>92.503795484603899</v>
      </c>
      <c r="AM7424">
        <v>93.948658920070002</v>
      </c>
      <c r="AN7424">
        <v>1.00000004753738</v>
      </c>
    </row>
    <row r="7425" spans="1:40" x14ac:dyDescent="0.25">
      <c r="A7425" t="str">
        <f>"20190303154328058"</f>
        <v>20190303154328058</v>
      </c>
      <c r="B7425" t="str">
        <f>"1551599008048214"</f>
        <v>1551599008048214</v>
      </c>
      <c r="C7425" t="s">
        <v>40</v>
      </c>
      <c r="D7425">
        <v>4.8725459999999998</v>
      </c>
      <c r="E7425">
        <v>0.42324909999999999</v>
      </c>
      <c r="F7425" t="s">
        <v>58</v>
      </c>
      <c r="G7425">
        <v>-295.3109</v>
      </c>
      <c r="H7425" s="1">
        <v>-1.314589E-5</v>
      </c>
      <c r="I7425">
        <v>-68.496969999999905</v>
      </c>
      <c r="J7425">
        <v>-301.64760000000001</v>
      </c>
      <c r="K7425">
        <v>1.1218360000000001</v>
      </c>
      <c r="L7425">
        <v>-47.437739999999998</v>
      </c>
      <c r="M7425">
        <v>2.2996160000000002E-2</v>
      </c>
      <c r="N7425">
        <v>-3.6706849999999999E-3</v>
      </c>
      <c r="O7425">
        <v>-0.99972890000000003</v>
      </c>
      <c r="P7425">
        <v>9.8349679999999995E-2</v>
      </c>
      <c r="Q7425">
        <v>-4.056539E-2</v>
      </c>
      <c r="R7425">
        <v>-0.99432500000000001</v>
      </c>
      <c r="S7425">
        <v>0.87399289999999996</v>
      </c>
      <c r="T7425">
        <v>-0.15452949999999999</v>
      </c>
      <c r="U7425">
        <v>-2.9298709999999999</v>
      </c>
      <c r="V7425">
        <v>-7.5291220000000006E-2</v>
      </c>
      <c r="W7425">
        <v>-3.7247099999999998E-2</v>
      </c>
      <c r="X7425">
        <v>0.99646570000000001</v>
      </c>
      <c r="Y7425">
        <v>-0.26340370000000002</v>
      </c>
      <c r="Z7425">
        <v>4.696591E-2</v>
      </c>
      <c r="AA7425">
        <v>0.96354169999999995</v>
      </c>
      <c r="AB7425">
        <v>21</v>
      </c>
      <c r="AC7425">
        <v>6.3367000000000004</v>
      </c>
      <c r="AD7425">
        <v>-1.12184914589</v>
      </c>
      <c r="AE7425">
        <v>-21.0592299999999</v>
      </c>
      <c r="AF7425">
        <v>-5.8355542792531097</v>
      </c>
      <c r="AG7425">
        <v>-1.12184914589</v>
      </c>
      <c r="AH7425">
        <v>21.144359563340199</v>
      </c>
      <c r="AI7425">
        <v>92.927818741473899</v>
      </c>
      <c r="AJ7425">
        <v>105.428777462356</v>
      </c>
      <c r="AK7425">
        <v>21.963519312625198</v>
      </c>
      <c r="AL7425">
        <v>92.134595387893796</v>
      </c>
      <c r="AM7425">
        <v>94.320959346437604</v>
      </c>
      <c r="AN7425">
        <v>1.00000000277199</v>
      </c>
    </row>
    <row r="7426" spans="1:40" x14ac:dyDescent="0.25">
      <c r="A7426" t="str">
        <f>"20190303154328081"</f>
        <v>20190303154328081</v>
      </c>
      <c r="B7426" t="str">
        <f>"1551599008077494"</f>
        <v>1551599008077494</v>
      </c>
      <c r="C7426" t="s">
        <v>40</v>
      </c>
      <c r="D7426">
        <v>4.9710190000000001</v>
      </c>
      <c r="E7426">
        <v>0.42298590000000003</v>
      </c>
      <c r="F7426" t="s">
        <v>58</v>
      </c>
      <c r="G7426">
        <v>-294.70310000000001</v>
      </c>
      <c r="H7426" s="1">
        <v>-1.3199150000000001E-5</v>
      </c>
      <c r="I7426">
        <v>-69.888499999999993</v>
      </c>
      <c r="J7426">
        <v>-301.63909999999998</v>
      </c>
      <c r="K7426">
        <v>1.121942</v>
      </c>
      <c r="L7426">
        <v>-47.655239999999999</v>
      </c>
      <c r="M7426">
        <v>2.618703E-2</v>
      </c>
      <c r="N7426">
        <v>-3.7051380000000002E-3</v>
      </c>
      <c r="O7426">
        <v>-0.99965009999999999</v>
      </c>
      <c r="P7426">
        <v>0.10880090000000001</v>
      </c>
      <c r="Q7426">
        <v>-3.680978E-2</v>
      </c>
      <c r="R7426">
        <v>-0.99338179999999998</v>
      </c>
      <c r="S7426">
        <v>0.90377810000000003</v>
      </c>
      <c r="T7426">
        <v>-0.14599970000000001</v>
      </c>
      <c r="U7426">
        <v>-2.921783</v>
      </c>
      <c r="V7426">
        <v>-8.2593189999999997E-2</v>
      </c>
      <c r="W7426">
        <v>-3.3508999999999997E-2</v>
      </c>
      <c r="X7426">
        <v>0.99601980000000001</v>
      </c>
      <c r="Y7426">
        <v>-0.27007769999999998</v>
      </c>
      <c r="Z7426">
        <v>4.4152450000000003E-2</v>
      </c>
      <c r="AA7426">
        <v>0.96182570000000001</v>
      </c>
      <c r="AB7426">
        <v>21</v>
      </c>
      <c r="AC7426">
        <v>6.9359999999999697</v>
      </c>
      <c r="AD7426">
        <v>-1.1219551991500001</v>
      </c>
      <c r="AE7426">
        <v>-22.233259999999898</v>
      </c>
      <c r="AF7426">
        <v>-6.3366889746341304</v>
      </c>
      <c r="AG7426">
        <v>-1.1219551991500001</v>
      </c>
      <c r="AH7426">
        <v>22.355390595937401</v>
      </c>
      <c r="AI7426">
        <v>92.764378015494799</v>
      </c>
      <c r="AJ7426">
        <v>105.825508470294</v>
      </c>
      <c r="AK7426">
        <v>23.2631876432933</v>
      </c>
      <c r="AL7426">
        <v>91.920283823319807</v>
      </c>
      <c r="AM7426">
        <v>94.740306390166296</v>
      </c>
      <c r="AN7426">
        <v>0.99999996505370703</v>
      </c>
    </row>
    <row r="7427" spans="1:40" x14ac:dyDescent="0.25">
      <c r="A7427" t="str">
        <f>"20190303154328104"</f>
        <v>20190303154328104</v>
      </c>
      <c r="B7427" t="str">
        <f>"1551599008097349"</f>
        <v>1551599008097349</v>
      </c>
      <c r="C7427" t="s">
        <v>40</v>
      </c>
      <c r="D7427">
        <v>4.9224759999999996</v>
      </c>
      <c r="E7427">
        <v>0.42297669999999998</v>
      </c>
      <c r="F7427" t="s">
        <v>58</v>
      </c>
      <c r="G7427">
        <v>-294.60989999999998</v>
      </c>
      <c r="H7427" s="1">
        <v>-1.3098099999999999E-5</v>
      </c>
      <c r="I7427">
        <v>-69.518709999999999</v>
      </c>
      <c r="J7427">
        <v>-301.62970000000001</v>
      </c>
      <c r="K7427">
        <v>1.122009</v>
      </c>
      <c r="L7427">
        <v>-47.872410000000002</v>
      </c>
      <c r="M7427">
        <v>2.9472149999999999E-2</v>
      </c>
      <c r="N7427">
        <v>-3.7416120000000001E-3</v>
      </c>
      <c r="O7427">
        <v>-0.99955859999999996</v>
      </c>
      <c r="P7427">
        <v>0.1189948</v>
      </c>
      <c r="Q7427">
        <v>-3.5123550000000003E-2</v>
      </c>
      <c r="R7427">
        <v>-0.99227359999999998</v>
      </c>
      <c r="S7427">
        <v>0.93618769999999996</v>
      </c>
      <c r="T7427">
        <v>-0.1494296</v>
      </c>
      <c r="U7427">
        <v>-2.9119259999999998</v>
      </c>
      <c r="V7427">
        <v>-8.9544380000000007E-2</v>
      </c>
      <c r="W7427">
        <v>-3.1835450000000001E-2</v>
      </c>
      <c r="X7427">
        <v>0.99547390000000002</v>
      </c>
      <c r="Y7427">
        <v>-0.27754119999999999</v>
      </c>
      <c r="Z7427">
        <v>4.5257779999999997E-2</v>
      </c>
      <c r="AA7427">
        <v>0.95964709999999998</v>
      </c>
      <c r="AB7427">
        <v>22</v>
      </c>
      <c r="AC7427">
        <v>7.0198000000000302</v>
      </c>
      <c r="AD7427">
        <v>-1.1220220981</v>
      </c>
      <c r="AE7427">
        <v>-21.6463</v>
      </c>
      <c r="AF7427">
        <v>-6.3633130930987498</v>
      </c>
      <c r="AG7427">
        <v>-1.1220220981</v>
      </c>
      <c r="AH7427">
        <v>21.790810614439501</v>
      </c>
      <c r="AI7427">
        <v>92.829616319172501</v>
      </c>
      <c r="AJ7427">
        <v>106.278764763989</v>
      </c>
      <c r="AK7427">
        <v>22.7286188393355</v>
      </c>
      <c r="AL7427">
        <v>91.824345194067106</v>
      </c>
      <c r="AM7427">
        <v>95.140008569927303</v>
      </c>
      <c r="AN7427">
        <v>0.99999998872374796</v>
      </c>
    </row>
    <row r="7428" spans="1:40" x14ac:dyDescent="0.25">
      <c r="A7428" t="str">
        <f>"20190303154328126"</f>
        <v>20190303154328126</v>
      </c>
      <c r="B7428" t="str">
        <f>"1551599008117845"</f>
        <v>1551599008117845</v>
      </c>
      <c r="C7428" t="s">
        <v>40</v>
      </c>
      <c r="D7428">
        <v>4.9693300000000002</v>
      </c>
      <c r="E7428">
        <v>0.42611640000000001</v>
      </c>
      <c r="F7428" t="s">
        <v>58</v>
      </c>
      <c r="G7428">
        <v>-294.50659999999999</v>
      </c>
      <c r="H7428" s="1">
        <v>-1.3016999999999999E-5</v>
      </c>
      <c r="I7428">
        <v>-69.274039999999999</v>
      </c>
      <c r="J7428">
        <v>-301.61930000000001</v>
      </c>
      <c r="K7428">
        <v>1.1220829999999999</v>
      </c>
      <c r="L7428">
        <v>-48.093510000000002</v>
      </c>
      <c r="M7428">
        <v>3.2906360000000003E-2</v>
      </c>
      <c r="N7428">
        <v>-3.781207E-3</v>
      </c>
      <c r="O7428">
        <v>-0.99945150000000005</v>
      </c>
      <c r="P7428">
        <v>0.12979069999999901</v>
      </c>
      <c r="Q7428">
        <v>-3.514685E-2</v>
      </c>
      <c r="R7428">
        <v>-0.99091859999999998</v>
      </c>
      <c r="S7428">
        <v>0.96591190000000005</v>
      </c>
      <c r="T7428">
        <v>-0.152149799999999</v>
      </c>
      <c r="U7428">
        <v>-2.9021300000000001</v>
      </c>
      <c r="V7428">
        <v>-9.6954289999999999E-2</v>
      </c>
      <c r="W7428">
        <v>-3.1871240000000002E-2</v>
      </c>
      <c r="X7428">
        <v>0.99477839999999995</v>
      </c>
      <c r="Y7428">
        <v>-0.2840394</v>
      </c>
      <c r="Z7428">
        <v>4.6136290000000003E-2</v>
      </c>
      <c r="AA7428">
        <v>0.95770200000000005</v>
      </c>
      <c r="AB7428">
        <v>22</v>
      </c>
      <c r="AC7428">
        <v>7.11270000000001</v>
      </c>
      <c r="AD7428">
        <v>-1.1220960169999901</v>
      </c>
      <c r="AE7428">
        <v>-21.180530000000001</v>
      </c>
      <c r="AF7428">
        <v>-6.3957376300709798</v>
      </c>
      <c r="AG7428">
        <v>-1.1220960169999901</v>
      </c>
      <c r="AH7428">
        <v>21.349266703736301</v>
      </c>
      <c r="AI7428">
        <v>92.882308548195894</v>
      </c>
      <c r="AJ7428">
        <v>106.676978009471</v>
      </c>
      <c r="AK7428">
        <v>22.3149220946732</v>
      </c>
      <c r="AL7428">
        <v>91.826396853020299</v>
      </c>
      <c r="AM7428">
        <v>95.566648660285196</v>
      </c>
      <c r="AN7428">
        <v>0.99999998769755005</v>
      </c>
    </row>
    <row r="7429" spans="1:40" x14ac:dyDescent="0.25">
      <c r="A7429" t="str">
        <f>"20190303154328150"</f>
        <v>20190303154328150</v>
      </c>
      <c r="B7429" t="str">
        <f>"1551599008137366"</f>
        <v>1551599008137366</v>
      </c>
      <c r="C7429" t="s">
        <v>40</v>
      </c>
      <c r="D7429">
        <v>4.9215559999999998</v>
      </c>
      <c r="E7429">
        <v>0.42749860000000001</v>
      </c>
      <c r="F7429" t="s">
        <v>58</v>
      </c>
      <c r="G7429">
        <v>-297.67570000000001</v>
      </c>
      <c r="H7429" s="1">
        <v>-7.0447840000000003E-6</v>
      </c>
      <c r="I7429">
        <v>-59.854370000000003</v>
      </c>
      <c r="J7429">
        <v>-301.60809999999998</v>
      </c>
      <c r="K7429">
        <v>1.1221589999999999</v>
      </c>
      <c r="L7429">
        <v>-48.315370000000001</v>
      </c>
      <c r="M7429">
        <v>3.6439249999999999E-2</v>
      </c>
      <c r="N7429">
        <v>-3.825728E-3</v>
      </c>
      <c r="O7429">
        <v>-0.99932860000000001</v>
      </c>
      <c r="P7429">
        <v>0.141682</v>
      </c>
      <c r="Q7429">
        <v>-3.4127039999999997E-2</v>
      </c>
      <c r="R7429">
        <v>-0.98932399999999998</v>
      </c>
      <c r="S7429">
        <v>0.96932980000000002</v>
      </c>
      <c r="T7429">
        <v>-0.27580260000000001</v>
      </c>
      <c r="U7429">
        <v>-2.8907470000000002</v>
      </c>
      <c r="V7429">
        <v>-0.1053803</v>
      </c>
      <c r="W7429">
        <v>-3.08667E-2</v>
      </c>
      <c r="X7429">
        <v>0.99395279999999997</v>
      </c>
      <c r="Y7429">
        <v>-0.28191870000000002</v>
      </c>
      <c r="Z7429">
        <v>8.671653E-2</v>
      </c>
      <c r="AA7429">
        <v>0.95551149999999996</v>
      </c>
      <c r="AB7429">
        <v>22</v>
      </c>
      <c r="AC7429">
        <v>3.9323999999999701</v>
      </c>
      <c r="AD7429">
        <v>-1.1221660447839901</v>
      </c>
      <c r="AE7429">
        <v>-11.5389999999999</v>
      </c>
      <c r="AF7429">
        <v>-3.4798266902827399</v>
      </c>
      <c r="AG7429">
        <v>-1.1221660447839901</v>
      </c>
      <c r="AH7429">
        <v>11.576538192753899</v>
      </c>
      <c r="AI7429">
        <v>95.303639018525899</v>
      </c>
      <c r="AJ7429">
        <v>106.73041171836</v>
      </c>
      <c r="AK7429">
        <v>12.1402095103322</v>
      </c>
      <c r="AL7429">
        <v>91.768812649424405</v>
      </c>
      <c r="AM7429">
        <v>96.051972389754198</v>
      </c>
      <c r="AN7429">
        <v>0.99999996471240904</v>
      </c>
    </row>
    <row r="7430" spans="1:40" x14ac:dyDescent="0.25">
      <c r="A7430" t="str">
        <f>"20190303154328175"</f>
        <v>20190303154328175</v>
      </c>
      <c r="B7430" t="str">
        <f>"1551599008167622"</f>
        <v>1551599008167622</v>
      </c>
      <c r="C7430" t="s">
        <v>40</v>
      </c>
      <c r="D7430">
        <v>4.8782740000000002</v>
      </c>
      <c r="E7430">
        <v>0.4297028</v>
      </c>
      <c r="F7430" t="s">
        <v>58</v>
      </c>
      <c r="G7430">
        <v>-297.3682</v>
      </c>
      <c r="H7430" s="1">
        <v>-1.213071E-5</v>
      </c>
      <c r="I7430">
        <v>-60.623080000000002</v>
      </c>
      <c r="J7430">
        <v>-301.59460000000001</v>
      </c>
      <c r="K7430">
        <v>1.122239</v>
      </c>
      <c r="L7430">
        <v>-48.562559999999998</v>
      </c>
      <c r="M7430">
        <v>4.046955E-2</v>
      </c>
      <c r="N7430">
        <v>-3.880236E-3</v>
      </c>
      <c r="O7430">
        <v>-0.99917330000000004</v>
      </c>
      <c r="P7430">
        <v>0.15438080000000001</v>
      </c>
      <c r="Q7430">
        <v>-3.6478459999999997E-2</v>
      </c>
      <c r="R7430">
        <v>-0.9873381</v>
      </c>
      <c r="S7430">
        <v>0.99252320000000005</v>
      </c>
      <c r="T7430">
        <v>-0.26269379999999998</v>
      </c>
      <c r="U7430">
        <v>-2.8811650000000002</v>
      </c>
      <c r="V7430">
        <v>-0.1141224</v>
      </c>
      <c r="W7430">
        <v>-3.3232150000000002E-2</v>
      </c>
      <c r="X7430">
        <v>0.99291070000000003</v>
      </c>
      <c r="Y7430">
        <v>-0.2860164</v>
      </c>
      <c r="Z7430">
        <v>8.2484440000000006E-2</v>
      </c>
      <c r="AA7430">
        <v>0.95466799999999996</v>
      </c>
      <c r="AB7430">
        <v>22</v>
      </c>
      <c r="AC7430">
        <v>4.2264000000000097</v>
      </c>
      <c r="AD7430">
        <v>-1.12225113071</v>
      </c>
      <c r="AE7430">
        <v>-12.06052</v>
      </c>
      <c r="AF7430">
        <v>-3.7062688423657701</v>
      </c>
      <c r="AG7430">
        <v>-1.12225113071</v>
      </c>
      <c r="AH7430">
        <v>12.128153859254301</v>
      </c>
      <c r="AI7430">
        <v>95.057097115313994</v>
      </c>
      <c r="AJ7430">
        <v>106.992741927635</v>
      </c>
      <c r="AK7430">
        <v>12.731378258696701</v>
      </c>
      <c r="AL7430">
        <v>91.904412621853595</v>
      </c>
      <c r="AM7430">
        <v>96.556646548552706</v>
      </c>
      <c r="AN7430">
        <v>0.99999997807493601</v>
      </c>
    </row>
    <row r="7431" spans="1:40" x14ac:dyDescent="0.25">
      <c r="A7431" t="str">
        <f>"20190303154328195"</f>
        <v>20190303154328195</v>
      </c>
      <c r="B7431" t="str">
        <f>"1551599008188117"</f>
        <v>1551599008188117</v>
      </c>
      <c r="C7431" t="s">
        <v>40</v>
      </c>
      <c r="D7431">
        <v>4.9414899999999999</v>
      </c>
      <c r="E7431">
        <v>0.43050929999999998</v>
      </c>
      <c r="F7431" t="s">
        <v>58</v>
      </c>
      <c r="G7431">
        <v>-297.49590000000001</v>
      </c>
      <c r="H7431" s="1">
        <v>-7.0759250000000004E-6</v>
      </c>
      <c r="I7431">
        <v>-60.196759999999998</v>
      </c>
      <c r="J7431">
        <v>-301.58249999999998</v>
      </c>
      <c r="K7431">
        <v>1.122288</v>
      </c>
      <c r="L7431">
        <v>-48.768009999999997</v>
      </c>
      <c r="M7431">
        <v>4.389966E-2</v>
      </c>
      <c r="N7431">
        <v>-3.9276420000000003E-3</v>
      </c>
      <c r="O7431">
        <v>-0.99902829999999998</v>
      </c>
      <c r="P7431">
        <v>0.16524169999999999</v>
      </c>
      <c r="Q7431">
        <v>-4.1411219999999999E-2</v>
      </c>
      <c r="R7431">
        <v>-0.98538349999999997</v>
      </c>
      <c r="S7431">
        <v>1.011139</v>
      </c>
      <c r="T7431">
        <v>-0.27685710000000002</v>
      </c>
      <c r="U7431">
        <v>-2.8701479999999999</v>
      </c>
      <c r="V7431">
        <v>-0.1216174</v>
      </c>
      <c r="W7431">
        <v>-3.818125E-2</v>
      </c>
      <c r="X7431">
        <v>0.99184240000000001</v>
      </c>
      <c r="Y7431">
        <v>-0.28923579999999999</v>
      </c>
      <c r="Z7431">
        <v>8.7225349999999993E-2</v>
      </c>
      <c r="AA7431">
        <v>0.9532756</v>
      </c>
      <c r="AB7431">
        <v>22</v>
      </c>
      <c r="AC7431">
        <v>4.0865999999999696</v>
      </c>
      <c r="AD7431">
        <v>-1.1222950759250001</v>
      </c>
      <c r="AE7431">
        <v>-11.428750000000001</v>
      </c>
      <c r="AF7431">
        <v>-3.5505809581398999</v>
      </c>
      <c r="AG7431">
        <v>-1.1222950759250001</v>
      </c>
      <c r="AH7431">
        <v>11.4988195562384</v>
      </c>
      <c r="AI7431">
        <v>95.327788120315304</v>
      </c>
      <c r="AJ7431">
        <v>107.15953022237299</v>
      </c>
      <c r="AK7431">
        <v>12.086729192162901</v>
      </c>
      <c r="AL7431">
        <v>92.188156412024796</v>
      </c>
      <c r="AM7431">
        <v>96.990579450751795</v>
      </c>
      <c r="AN7431">
        <v>0.99999997313604005</v>
      </c>
    </row>
    <row r="7432" spans="1:40" x14ac:dyDescent="0.25">
      <c r="A7432" t="str">
        <f>"20190303154328216"</f>
        <v>20190303154328216</v>
      </c>
      <c r="B7432" t="str">
        <f>"1551599008207638"</f>
        <v>1551599008207638</v>
      </c>
      <c r="C7432" t="s">
        <v>40</v>
      </c>
      <c r="D7432">
        <v>4.870012</v>
      </c>
      <c r="E7432">
        <v>0.43113509999999999</v>
      </c>
      <c r="F7432" t="s">
        <v>58</v>
      </c>
      <c r="G7432">
        <v>-297.803</v>
      </c>
      <c r="H7432" s="1">
        <v>-7.0631119999999997E-6</v>
      </c>
      <c r="I7432">
        <v>-59.2074</v>
      </c>
      <c r="J7432">
        <v>-301.56970000000001</v>
      </c>
      <c r="K7432">
        <v>1.1223540000000001</v>
      </c>
      <c r="L7432">
        <v>-48.9711</v>
      </c>
      <c r="M7432">
        <v>4.7373999999999999E-2</v>
      </c>
      <c r="N7432">
        <v>-3.9750439999999996E-3</v>
      </c>
      <c r="O7432">
        <v>-0.99886949999999997</v>
      </c>
      <c r="P7432">
        <v>0.17491789999999999</v>
      </c>
      <c r="Q7432">
        <v>-4.7682299999999997E-2</v>
      </c>
      <c r="R7432">
        <v>-0.98342790000000002</v>
      </c>
      <c r="S7432">
        <v>1.034729</v>
      </c>
      <c r="T7432">
        <v>-0.30725839999999999</v>
      </c>
      <c r="U7432">
        <v>-2.858063</v>
      </c>
      <c r="V7432">
        <v>-0.12788369999999999</v>
      </c>
      <c r="W7432">
        <v>-4.4467100000000002E-2</v>
      </c>
      <c r="X7432">
        <v>0.99079189999999995</v>
      </c>
      <c r="Y7432">
        <v>-0.29381869999999999</v>
      </c>
      <c r="Z7432">
        <v>9.7255220000000003E-2</v>
      </c>
      <c r="AA7432">
        <v>0.95090059999999998</v>
      </c>
      <c r="AB7432">
        <v>22</v>
      </c>
      <c r="AC7432">
        <v>3.7667000000000099</v>
      </c>
      <c r="AD7432">
        <v>-1.122361063112</v>
      </c>
      <c r="AE7432">
        <v>-10.2363</v>
      </c>
      <c r="AF7432">
        <v>-3.24319249831228</v>
      </c>
      <c r="AG7432">
        <v>-1.122361063112</v>
      </c>
      <c r="AH7432">
        <v>10.2942526199709</v>
      </c>
      <c r="AI7432">
        <v>95.936806014741506</v>
      </c>
      <c r="AJ7432">
        <v>107.486973781993</v>
      </c>
      <c r="AK7432">
        <v>10.85125010959</v>
      </c>
      <c r="AL7432">
        <v>92.548617340026098</v>
      </c>
      <c r="AM7432">
        <v>97.3546309278981</v>
      </c>
      <c r="AN7432">
        <v>1.00000007640685</v>
      </c>
    </row>
    <row r="7433" spans="1:40" x14ac:dyDescent="0.25">
      <c r="A7433" t="str">
        <f>"20190303154328238"</f>
        <v>20190303154328238</v>
      </c>
      <c r="B7433" t="str">
        <f>"1551599008228133"</f>
        <v>1551599008228133</v>
      </c>
      <c r="C7433" t="s">
        <v>40</v>
      </c>
      <c r="D7433">
        <v>4.8014549999999998</v>
      </c>
      <c r="E7433">
        <v>0.42526350000000002</v>
      </c>
      <c r="F7433" t="s">
        <v>58</v>
      </c>
      <c r="G7433">
        <v>-298.0016</v>
      </c>
      <c r="H7433" s="1">
        <v>-7.0538899999999903E-6</v>
      </c>
      <c r="I7433">
        <v>-58.57676</v>
      </c>
      <c r="J7433">
        <v>-301.55470000000003</v>
      </c>
      <c r="K7433">
        <v>1.1224459999999901</v>
      </c>
      <c r="L7433">
        <v>-49.196080000000002</v>
      </c>
      <c r="M7433">
        <v>5.1365199999999903E-2</v>
      </c>
      <c r="N7433">
        <v>-4.0289899999999997E-3</v>
      </c>
      <c r="O7433">
        <v>-0.99867189999999995</v>
      </c>
      <c r="P7433">
        <v>0.18536250000000001</v>
      </c>
      <c r="Q7433">
        <v>-5.2083339999999999E-2</v>
      </c>
      <c r="R7433">
        <v>-0.98128930000000003</v>
      </c>
      <c r="S7433">
        <v>1.057312</v>
      </c>
      <c r="T7433">
        <v>-0.33258100000000002</v>
      </c>
      <c r="U7433">
        <v>-2.8463750000000001</v>
      </c>
      <c r="V7433">
        <v>-0.13442660000000001</v>
      </c>
      <c r="W7433">
        <v>-4.8891049999999998E-2</v>
      </c>
      <c r="X7433">
        <v>0.9897167</v>
      </c>
      <c r="Y7433">
        <v>-0.29759140000000001</v>
      </c>
      <c r="Z7433">
        <v>0.10562249999999999</v>
      </c>
      <c r="AA7433">
        <v>0.94883260000000003</v>
      </c>
      <c r="AB7433">
        <v>22</v>
      </c>
      <c r="AC7433">
        <v>3.5531000000000201</v>
      </c>
      <c r="AD7433">
        <v>-1.1224530538899999</v>
      </c>
      <c r="AE7433">
        <v>-9.3806799999999892</v>
      </c>
      <c r="AF7433">
        <v>-3.0286430894296701</v>
      </c>
      <c r="AG7433">
        <v>-1.1224530538899999</v>
      </c>
      <c r="AH7433">
        <v>9.4326955085745094</v>
      </c>
      <c r="AI7433">
        <v>96.463996450757094</v>
      </c>
      <c r="AJ7433">
        <v>107.8007482261</v>
      </c>
      <c r="AK7433">
        <v>9.9703723289964898</v>
      </c>
      <c r="AL7433">
        <v>92.802368022435402</v>
      </c>
      <c r="AM7433">
        <v>97.734770671061</v>
      </c>
      <c r="AN7433">
        <v>0.99999999590827604</v>
      </c>
    </row>
    <row r="7434" spans="1:40" x14ac:dyDescent="0.25">
      <c r="A7434" t="str">
        <f>"20190303154328260"</f>
        <v>20190303154328260</v>
      </c>
      <c r="B7434" t="str">
        <f>"1551599008257413"</f>
        <v>1551599008257413</v>
      </c>
      <c r="C7434" t="s">
        <v>40</v>
      </c>
      <c r="D7434">
        <v>4.7601870000000002</v>
      </c>
      <c r="E7434">
        <v>0.33572750000000001</v>
      </c>
      <c r="F7434" t="s">
        <v>58</v>
      </c>
      <c r="G7434">
        <v>-297.8734</v>
      </c>
      <c r="H7434" s="1">
        <v>-7.121336E-6</v>
      </c>
      <c r="I7434">
        <v>-58.368180000000002</v>
      </c>
      <c r="J7434">
        <v>-301.53870000000001</v>
      </c>
      <c r="K7434">
        <v>1.1225639999999999</v>
      </c>
      <c r="L7434">
        <v>-49.418239999999997</v>
      </c>
      <c r="M7434">
        <v>5.5488879999999997E-2</v>
      </c>
      <c r="N7434">
        <v>-4.0875800000000004E-3</v>
      </c>
      <c r="O7434">
        <v>-0.99845099999999998</v>
      </c>
      <c r="P7434">
        <v>0.19679840000000001</v>
      </c>
      <c r="Q7434">
        <v>-5.6190850000000001E-2</v>
      </c>
      <c r="R7434">
        <v>-0.97883279999999995</v>
      </c>
      <c r="S7434">
        <v>1.1336980000000001</v>
      </c>
      <c r="T7434">
        <v>-0.34567870000000001</v>
      </c>
      <c r="U7434">
        <v>-2.8247070000000001</v>
      </c>
      <c r="V7434">
        <v>-0.14185249999999999</v>
      </c>
      <c r="W7434">
        <v>-5.303654E-2</v>
      </c>
      <c r="X7434">
        <v>0.98846599999999996</v>
      </c>
      <c r="Y7434">
        <v>-0.3180849</v>
      </c>
      <c r="Z7434">
        <v>0.10968020000000001</v>
      </c>
      <c r="AA7434">
        <v>0.94169650000000005</v>
      </c>
      <c r="AB7434">
        <v>23</v>
      </c>
      <c r="AC7434">
        <v>3.6652999999999998</v>
      </c>
      <c r="AD7434">
        <v>-1.1225711213359999</v>
      </c>
      <c r="AE7434">
        <v>-8.9499399999999891</v>
      </c>
      <c r="AF7434">
        <v>-3.12097900364701</v>
      </c>
      <c r="AG7434">
        <v>-1.1225711213359999</v>
      </c>
      <c r="AH7434">
        <v>9.0180397796470793</v>
      </c>
      <c r="AI7434">
        <v>96.709159115273494</v>
      </c>
      <c r="AJ7434">
        <v>109.089803200459</v>
      </c>
      <c r="AK7434">
        <v>9.6086272344680008</v>
      </c>
      <c r="AL7434">
        <v>93.040196261286198</v>
      </c>
      <c r="AM7434">
        <v>98.166628729211595</v>
      </c>
      <c r="AN7434">
        <v>1.00000001974371</v>
      </c>
    </row>
    <row r="7435" spans="1:40" x14ac:dyDescent="0.25">
      <c r="A7435" t="str">
        <f>"20190303154328282"</f>
        <v>20190303154328282</v>
      </c>
      <c r="B7435" t="str">
        <f>"1551599008277909"</f>
        <v>1551599008277909</v>
      </c>
      <c r="C7435" t="s">
        <v>40</v>
      </c>
      <c r="D7435">
        <v>4.7211550000000004</v>
      </c>
      <c r="E7435">
        <v>0.32897379999999998</v>
      </c>
      <c r="F7435" t="s">
        <v>42</v>
      </c>
      <c r="G7435">
        <v>-300.9572</v>
      </c>
      <c r="H7435">
        <v>0.99450340000000004</v>
      </c>
      <c r="I7435">
        <v>-50.249980000000001</v>
      </c>
      <c r="J7435">
        <v>-301.52080000000001</v>
      </c>
      <c r="K7435">
        <v>1.1226969999999901</v>
      </c>
      <c r="L7435">
        <v>-49.649810000000002</v>
      </c>
      <c r="M7435">
        <v>5.997537E-2</v>
      </c>
      <c r="N7435">
        <v>-4.1539259999999996E-3</v>
      </c>
      <c r="O7435">
        <v>-0.99819139999999995</v>
      </c>
      <c r="P7435">
        <v>0.20776159999999999</v>
      </c>
      <c r="Q7435">
        <v>-6.0373370000000003E-2</v>
      </c>
      <c r="R7435">
        <v>-0.97631500000000004</v>
      </c>
      <c r="S7435">
        <v>1.864349</v>
      </c>
      <c r="T7435">
        <v>-0.41055570000000002</v>
      </c>
      <c r="U7435">
        <v>-2.6664729999999999</v>
      </c>
      <c r="V7435">
        <v>-0.1484567</v>
      </c>
      <c r="W7435">
        <v>-5.7256519999999998E-2</v>
      </c>
      <c r="X7435">
        <v>0.98726000000000003</v>
      </c>
      <c r="Y7435">
        <v>-0.51837089999999997</v>
      </c>
      <c r="Z7435">
        <v>0.12303459999999999</v>
      </c>
      <c r="AA7435">
        <v>0.84625890000000004</v>
      </c>
      <c r="AB7435">
        <v>23</v>
      </c>
      <c r="AC7435">
        <v>0.56360000000000798</v>
      </c>
      <c r="AD7435">
        <v>-0.12819359999999899</v>
      </c>
      <c r="AE7435">
        <v>-0.60017000000000498</v>
      </c>
      <c r="AF7435">
        <v>-0.51412537541287495</v>
      </c>
      <c r="AG7435">
        <v>-0.12819359999999899</v>
      </c>
      <c r="AH7435">
        <v>0.61791150406372797</v>
      </c>
      <c r="AI7435">
        <v>99.061162102066007</v>
      </c>
      <c r="AJ7435">
        <v>129.761716790371</v>
      </c>
      <c r="AK7435">
        <v>0.81398595047991396</v>
      </c>
      <c r="AL7435">
        <v>93.282352027775005</v>
      </c>
      <c r="AM7435">
        <v>98.551634418595896</v>
      </c>
      <c r="AN7435">
        <v>1.0000000042287001</v>
      </c>
    </row>
    <row r="7436" spans="1:40" x14ac:dyDescent="0.25">
      <c r="A7436" t="str">
        <f>"20190303154328307"</f>
        <v>20190303154328307</v>
      </c>
      <c r="B7436" t="str">
        <f>"1551599008297429"</f>
        <v>1551599008297429</v>
      </c>
      <c r="C7436" t="s">
        <v>40</v>
      </c>
      <c r="D7436">
        <v>4.7601760000000004</v>
      </c>
      <c r="E7436">
        <v>0.32693</v>
      </c>
      <c r="F7436" t="s">
        <v>42</v>
      </c>
      <c r="G7436">
        <v>-300.93040000000002</v>
      </c>
      <c r="H7436">
        <v>0.99333269999999996</v>
      </c>
      <c r="I7436">
        <v>-50.448630000000001</v>
      </c>
      <c r="J7436">
        <v>-301.50069999999999</v>
      </c>
      <c r="K7436">
        <v>1.1228590000000001</v>
      </c>
      <c r="L7436">
        <v>-49.894590000000001</v>
      </c>
      <c r="M7436">
        <v>6.4984399999999998E-2</v>
      </c>
      <c r="N7436">
        <v>-4.2285819999999998E-3</v>
      </c>
      <c r="O7436">
        <v>-0.99787740000000003</v>
      </c>
      <c r="P7436">
        <v>0.21681909999999999</v>
      </c>
      <c r="Q7436">
        <v>-6.5730849999999993E-2</v>
      </c>
      <c r="R7436">
        <v>-0.97399630000000004</v>
      </c>
      <c r="S7436">
        <v>1.9461980000000001</v>
      </c>
      <c r="T7436">
        <v>-0.42631580000000002</v>
      </c>
      <c r="U7436">
        <v>-2.632263</v>
      </c>
      <c r="V7436">
        <v>-0.15262529999999999</v>
      </c>
      <c r="W7436">
        <v>-6.2645119999999999E-2</v>
      </c>
      <c r="X7436">
        <v>0.98629670000000003</v>
      </c>
      <c r="Y7436">
        <v>-0.53606339999999997</v>
      </c>
      <c r="Z7436">
        <v>0.127217</v>
      </c>
      <c r="AA7436">
        <v>0.83453690000000003</v>
      </c>
      <c r="AB7436">
        <v>23</v>
      </c>
      <c r="AC7436">
        <v>0.57029999999997405</v>
      </c>
      <c r="AD7436">
        <v>-0.12952630000000001</v>
      </c>
      <c r="AE7436">
        <v>-0.55403999999999998</v>
      </c>
      <c r="AF7436">
        <v>-0.51930909055392505</v>
      </c>
      <c r="AG7436">
        <v>-0.12952630000000001</v>
      </c>
      <c r="AH7436">
        <v>0.57467928232632204</v>
      </c>
      <c r="AI7436">
        <v>99.4935199198069</v>
      </c>
      <c r="AJ7436">
        <v>132.10255285612999</v>
      </c>
      <c r="AK7436">
        <v>0.78531221272735297</v>
      </c>
      <c r="AL7436">
        <v>93.591652654949897</v>
      </c>
      <c r="AM7436">
        <v>98.796511152009799</v>
      </c>
      <c r="AN7436">
        <v>1.0000000368453901</v>
      </c>
    </row>
    <row r="7437" spans="1:40" x14ac:dyDescent="0.25">
      <c r="A7437" t="str">
        <f>"20190303154328329"</f>
        <v>20190303154328329</v>
      </c>
      <c r="B7437" t="str">
        <f>"1551599008317926"</f>
        <v>1551599008317926</v>
      </c>
      <c r="C7437" t="s">
        <v>40</v>
      </c>
      <c r="D7437">
        <v>4.7597649999999998</v>
      </c>
      <c r="E7437">
        <v>0.3267215</v>
      </c>
      <c r="F7437" t="s">
        <v>42</v>
      </c>
      <c r="G7437">
        <v>-300.92250000000001</v>
      </c>
      <c r="H7437">
        <v>0.99367589999999995</v>
      </c>
      <c r="I7437">
        <v>-50.653649999999999</v>
      </c>
      <c r="J7437">
        <v>-301.48039999999997</v>
      </c>
      <c r="K7437">
        <v>1.1230560000000001</v>
      </c>
      <c r="L7437">
        <v>-50.123260000000002</v>
      </c>
      <c r="M7437">
        <v>6.9993070000000004E-2</v>
      </c>
      <c r="N7437">
        <v>-4.3052659999999899E-3</v>
      </c>
      <c r="O7437">
        <v>-0.99753809999999998</v>
      </c>
      <c r="P7437">
        <v>0.22452150000000001</v>
      </c>
      <c r="Q7437">
        <v>-7.1436180000000002E-2</v>
      </c>
      <c r="R7437">
        <v>-0.97184749999999998</v>
      </c>
      <c r="S7437">
        <v>1.985962</v>
      </c>
      <c r="T7437">
        <v>-0.44382189999999999</v>
      </c>
      <c r="U7437">
        <v>-2.6080320000000001</v>
      </c>
      <c r="V7437">
        <v>-0.15542909999999999</v>
      </c>
      <c r="W7437">
        <v>-6.8385089999999996E-2</v>
      </c>
      <c r="X7437">
        <v>0.98547720000000005</v>
      </c>
      <c r="Y7437">
        <v>-0.54320559999999996</v>
      </c>
      <c r="Z7437">
        <v>0.1324649</v>
      </c>
      <c r="AA7437">
        <v>0.8290843</v>
      </c>
      <c r="AB7437">
        <v>23</v>
      </c>
      <c r="AC7437">
        <v>0.55789999999996098</v>
      </c>
      <c r="AD7437">
        <v>-0.1293801</v>
      </c>
      <c r="AE7437">
        <v>-0.53039000000000402</v>
      </c>
      <c r="AF7437">
        <v>-0.50513824829662701</v>
      </c>
      <c r="AG7437">
        <v>-0.1293801</v>
      </c>
      <c r="AH7437">
        <v>0.55253042249064499</v>
      </c>
      <c r="AI7437">
        <v>99.805080491091303</v>
      </c>
      <c r="AJ7437">
        <v>132.434398367217</v>
      </c>
      <c r="AK7437">
        <v>0.75973266873676404</v>
      </c>
      <c r="AL7437">
        <v>93.9212373158052</v>
      </c>
      <c r="AM7437">
        <v>98.962837547457397</v>
      </c>
      <c r="AN7437">
        <v>1.0000000186904701</v>
      </c>
    </row>
    <row r="7438" spans="1:40" x14ac:dyDescent="0.25">
      <c r="A7438" t="str">
        <f>"20190303154328355"</f>
        <v>20190303154328355</v>
      </c>
      <c r="B7438" t="str">
        <f>"1551599008348181"</f>
        <v>1551599008348181</v>
      </c>
      <c r="C7438" t="s">
        <v>40</v>
      </c>
      <c r="D7438">
        <v>4.7992290000000004</v>
      </c>
      <c r="E7438">
        <v>0.32752710000000002</v>
      </c>
      <c r="F7438" t="s">
        <v>42</v>
      </c>
      <c r="G7438">
        <v>-300.91039999999998</v>
      </c>
      <c r="H7438">
        <v>0.99165199999999998</v>
      </c>
      <c r="I7438">
        <v>-50.858640000000001</v>
      </c>
      <c r="J7438">
        <v>-301.45609999999999</v>
      </c>
      <c r="K7438">
        <v>1.1233489999999999</v>
      </c>
      <c r="L7438">
        <v>-50.377929999999999</v>
      </c>
      <c r="M7438">
        <v>7.6025200000000001E-2</v>
      </c>
      <c r="N7438">
        <v>-4.4035410000000004E-3</v>
      </c>
      <c r="O7438">
        <v>-0.99709639999999999</v>
      </c>
      <c r="P7438">
        <v>0.2312601</v>
      </c>
      <c r="Q7438">
        <v>-7.6004909999999995E-2</v>
      </c>
      <c r="R7438">
        <v>-0.96991919999999998</v>
      </c>
      <c r="S7438">
        <v>2.0076290000000001</v>
      </c>
      <c r="T7438">
        <v>-0.46268749999999997</v>
      </c>
      <c r="U7438">
        <v>-2.5890810000000002</v>
      </c>
      <c r="V7438">
        <v>-0.1562431</v>
      </c>
      <c r="W7438">
        <v>-7.2986389999999998E-2</v>
      </c>
      <c r="X7438">
        <v>0.98501830000000001</v>
      </c>
      <c r="Y7438">
        <v>-0.54491590000000001</v>
      </c>
      <c r="Z7438">
        <v>0.13836119999999999</v>
      </c>
      <c r="AA7438">
        <v>0.82699630000000002</v>
      </c>
      <c r="AB7438">
        <v>23</v>
      </c>
      <c r="AC7438">
        <v>0.54570000000000995</v>
      </c>
      <c r="AD7438">
        <v>-0.13169699999999901</v>
      </c>
      <c r="AE7438">
        <v>-0.48071000000000202</v>
      </c>
      <c r="AF7438">
        <v>-0.49145709867344001</v>
      </c>
      <c r="AG7438">
        <v>-0.13169699999999901</v>
      </c>
      <c r="AH7438">
        <v>0.50426879984237005</v>
      </c>
      <c r="AI7438">
        <v>100.59373056412601</v>
      </c>
      <c r="AJ7438">
        <v>134.26283337377001</v>
      </c>
      <c r="AK7438">
        <v>0.71635270791697203</v>
      </c>
      <c r="AL7438">
        <v>94.185533859925201</v>
      </c>
      <c r="AM7438">
        <v>99.013137285480695</v>
      </c>
      <c r="AN7438">
        <v>0.99999998537886603</v>
      </c>
    </row>
    <row r="7439" spans="1:40" x14ac:dyDescent="0.25">
      <c r="A7439" t="str">
        <f>"20190303154328379"</f>
        <v>20190303154328379</v>
      </c>
      <c r="B7439" t="str">
        <f>"1551599008367703"</f>
        <v>1551599008367703</v>
      </c>
      <c r="C7439" t="s">
        <v>40</v>
      </c>
      <c r="D7439">
        <v>4.8669370000000001</v>
      </c>
      <c r="E7439">
        <v>0.32807599999999998</v>
      </c>
      <c r="F7439" t="s">
        <v>42</v>
      </c>
      <c r="G7439">
        <v>-300.91379999999998</v>
      </c>
      <c r="H7439">
        <v>0.99595429999999996</v>
      </c>
      <c r="I7439">
        <v>-51.069270000000003</v>
      </c>
      <c r="J7439">
        <v>-301.43060000000003</v>
      </c>
      <c r="K7439">
        <v>1.1237239999999999</v>
      </c>
      <c r="L7439">
        <v>-50.622709999999998</v>
      </c>
      <c r="M7439">
        <v>8.2401409999999994E-2</v>
      </c>
      <c r="N7439">
        <v>-4.5134859999999997E-3</v>
      </c>
      <c r="O7439">
        <v>-0.99658899999999995</v>
      </c>
      <c r="P7439">
        <v>0.23901810000000001</v>
      </c>
      <c r="Q7439">
        <v>-7.6928449999999995E-2</v>
      </c>
      <c r="R7439">
        <v>-0.96796329999999997</v>
      </c>
      <c r="S7439">
        <v>2.0190429999999999</v>
      </c>
      <c r="T7439">
        <v>-0.47438530000000001</v>
      </c>
      <c r="U7439">
        <v>-2.5744630000000002</v>
      </c>
      <c r="V7439">
        <v>-0.1577604</v>
      </c>
      <c r="W7439">
        <v>-7.3958930000000006E-2</v>
      </c>
      <c r="X7439">
        <v>0.98470389999999997</v>
      </c>
      <c r="Y7439">
        <v>-0.5437824</v>
      </c>
      <c r="Z7439">
        <v>0.1421915</v>
      </c>
      <c r="AA7439">
        <v>0.82709259999999996</v>
      </c>
      <c r="AB7439">
        <v>23</v>
      </c>
      <c r="AC7439">
        <v>0.516800000000046</v>
      </c>
      <c r="AD7439">
        <v>-0.12776970000000001</v>
      </c>
      <c r="AE7439">
        <v>-0.44656000000000501</v>
      </c>
      <c r="AF7439">
        <v>-0.46207459645538301</v>
      </c>
      <c r="AG7439">
        <v>-0.12776970000000001</v>
      </c>
      <c r="AH7439">
        <v>0.47113928432367203</v>
      </c>
      <c r="AI7439">
        <v>100.957795478012</v>
      </c>
      <c r="AJ7439">
        <v>134.443480176528</v>
      </c>
      <c r="AK7439">
        <v>0.67216832278865801</v>
      </c>
      <c r="AL7439">
        <v>94.241407170939695</v>
      </c>
      <c r="AM7439">
        <v>99.102064375652006</v>
      </c>
      <c r="AN7439">
        <v>1.00000001890505</v>
      </c>
    </row>
    <row r="7440" spans="1:40" x14ac:dyDescent="0.25">
      <c r="A7440" t="str">
        <f>"20190303154328399"</f>
        <v>20190303154328399</v>
      </c>
      <c r="B7440" t="str">
        <f>"1551599008397958"</f>
        <v>1551599008397958</v>
      </c>
      <c r="C7440" t="s">
        <v>40</v>
      </c>
      <c r="D7440">
        <v>4.6803860000000004</v>
      </c>
      <c r="E7440">
        <v>0.32773669999999999</v>
      </c>
      <c r="F7440" t="s">
        <v>58</v>
      </c>
      <c r="G7440">
        <v>-296.58019999999999</v>
      </c>
      <c r="H7440" s="1">
        <v>-7.7597619999999992E-6</v>
      </c>
      <c r="I7440">
        <v>-56.720280000000002</v>
      </c>
      <c r="J7440">
        <v>-301.40480000000002</v>
      </c>
      <c r="K7440">
        <v>1.124133</v>
      </c>
      <c r="L7440">
        <v>-50.851100000000002</v>
      </c>
      <c r="M7440">
        <v>8.8885859999999997E-2</v>
      </c>
      <c r="N7440">
        <v>-4.6258769999999996E-3</v>
      </c>
      <c r="O7440">
        <v>-0.996031</v>
      </c>
      <c r="P7440">
        <v>0.24709120000000001</v>
      </c>
      <c r="Q7440">
        <v>-7.5816590000000003E-2</v>
      </c>
      <c r="R7440">
        <v>-0.96602169999999998</v>
      </c>
      <c r="S7440">
        <v>2.0357059999999998</v>
      </c>
      <c r="T7440">
        <v>-0.47162890000000002</v>
      </c>
      <c r="U7440">
        <v>-2.5591430000000002</v>
      </c>
      <c r="V7440">
        <v>-0.15950710000000001</v>
      </c>
      <c r="W7440">
        <v>-7.2903679999999998E-2</v>
      </c>
      <c r="X7440">
        <v>0.98450119999999997</v>
      </c>
      <c r="Y7440">
        <v>-0.54411140000000002</v>
      </c>
      <c r="Z7440">
        <v>0.14153370000000001</v>
      </c>
      <c r="AA7440">
        <v>0.82698909999999903</v>
      </c>
      <c r="AB7440">
        <v>23</v>
      </c>
      <c r="AC7440">
        <v>4.8246000000000304</v>
      </c>
      <c r="AD7440">
        <v>-1.1241407597619999</v>
      </c>
      <c r="AE7440">
        <v>-5.8691800000000001</v>
      </c>
      <c r="AF7440">
        <v>-4.1920382701323504</v>
      </c>
      <c r="AG7440">
        <v>-1.1241407597619999</v>
      </c>
      <c r="AH7440">
        <v>6.1403668826962496</v>
      </c>
      <c r="AI7440">
        <v>98.597908580461194</v>
      </c>
      <c r="AJ7440">
        <v>124.321415795916</v>
      </c>
      <c r="AK7440">
        <v>7.5193738276618101</v>
      </c>
      <c r="AL7440">
        <v>94.180782050661193</v>
      </c>
      <c r="AM7440">
        <v>99.202988582509306</v>
      </c>
      <c r="AN7440">
        <v>1.00000003715469</v>
      </c>
    </row>
    <row r="7441" spans="1:40" x14ac:dyDescent="0.25">
      <c r="A7441" t="str">
        <f>"20190303154328417"</f>
        <v>20190303154328417</v>
      </c>
      <c r="B7441" t="str">
        <f>"1551599008407718"</f>
        <v>1551599008407718</v>
      </c>
      <c r="C7441" t="s">
        <v>40</v>
      </c>
      <c r="D7441">
        <v>4.7081780000000002</v>
      </c>
      <c r="E7441">
        <v>0.32721909999999998</v>
      </c>
      <c r="F7441" t="s">
        <v>42</v>
      </c>
      <c r="G7441">
        <v>-300.75290000000001</v>
      </c>
      <c r="H7441">
        <v>0.97998450000000004</v>
      </c>
      <c r="I7441">
        <v>-51.655290000000001</v>
      </c>
      <c r="J7441">
        <v>-301.3827</v>
      </c>
      <c r="K7441">
        <v>1.1244499999999999</v>
      </c>
      <c r="L7441">
        <v>-51.034059999999997</v>
      </c>
      <c r="M7441">
        <v>9.4386769999999995E-2</v>
      </c>
      <c r="N7441">
        <v>-4.7166070000000003E-3</v>
      </c>
      <c r="O7441">
        <v>-0.99552459999999998</v>
      </c>
      <c r="P7441">
        <v>0.2543974</v>
      </c>
      <c r="Q7441">
        <v>-7.3667709999999997E-2</v>
      </c>
      <c r="R7441">
        <v>-0.96428999999999998</v>
      </c>
      <c r="S7441">
        <v>2.061035</v>
      </c>
      <c r="T7441">
        <v>-0.45574589999999998</v>
      </c>
      <c r="U7441">
        <v>-2.5425719999999998</v>
      </c>
      <c r="V7441">
        <v>-0.16147619999999999</v>
      </c>
      <c r="W7441">
        <v>-7.0805019999999996E-2</v>
      </c>
      <c r="X7441">
        <v>0.98433329999999997</v>
      </c>
      <c r="Y7441">
        <v>-0.54753960000000002</v>
      </c>
      <c r="Z7441">
        <v>0.13669339999999999</v>
      </c>
      <c r="AA7441">
        <v>0.82553940000000003</v>
      </c>
      <c r="AB7441">
        <v>24</v>
      </c>
      <c r="AC7441">
        <v>0.62979999999998804</v>
      </c>
      <c r="AD7441">
        <v>-0.1444655</v>
      </c>
      <c r="AE7441">
        <v>-0.62123000000000395</v>
      </c>
      <c r="AF7441">
        <v>-0.55358822671461705</v>
      </c>
      <c r="AG7441">
        <v>-0.1444655</v>
      </c>
      <c r="AH7441">
        <v>0.66029278592599605</v>
      </c>
      <c r="AI7441">
        <v>99.517734148330902</v>
      </c>
      <c r="AJ7441">
        <v>129.976405074669</v>
      </c>
      <c r="AK7441">
        <v>0.87368001499015602</v>
      </c>
      <c r="AL7441">
        <v>94.060226284502093</v>
      </c>
      <c r="AM7441">
        <v>99.316180172956706</v>
      </c>
      <c r="AN7441">
        <v>0.99999997975626498</v>
      </c>
    </row>
    <row r="7442" spans="1:40" x14ac:dyDescent="0.25">
      <c r="A7442" t="str">
        <f>"20190303154328438"</f>
        <v>20190303154328438</v>
      </c>
      <c r="B7442" t="str">
        <f>"1551599008428214"</f>
        <v>1551599008428214</v>
      </c>
      <c r="C7442" t="s">
        <v>40</v>
      </c>
      <c r="D7442">
        <v>4.6268379999999896</v>
      </c>
      <c r="E7442">
        <v>0.32649420000000001</v>
      </c>
      <c r="F7442" t="s">
        <v>42</v>
      </c>
      <c r="G7442">
        <v>-300.70620000000002</v>
      </c>
      <c r="H7442">
        <v>0.97947919999999999</v>
      </c>
      <c r="I7442">
        <v>-51.854089999999999</v>
      </c>
      <c r="J7442">
        <v>-301.35430000000002</v>
      </c>
      <c r="K7442">
        <v>1.124811</v>
      </c>
      <c r="L7442">
        <v>-51.253720000000001</v>
      </c>
      <c r="M7442">
        <v>0.1014274</v>
      </c>
      <c r="N7442">
        <v>-4.8275219999999999E-3</v>
      </c>
      <c r="O7442">
        <v>-0.99483140000000003</v>
      </c>
      <c r="P7442">
        <v>0.26310240000000001</v>
      </c>
      <c r="Q7442">
        <v>-7.2415750000000001E-2</v>
      </c>
      <c r="R7442">
        <v>-0.96204659999999997</v>
      </c>
      <c r="S7442">
        <v>2.0845639999999999</v>
      </c>
      <c r="T7442">
        <v>-0.4467486</v>
      </c>
      <c r="U7442">
        <v>-2.5270079999999999</v>
      </c>
      <c r="V7442">
        <v>-0.16335350000000001</v>
      </c>
      <c r="W7442">
        <v>-6.9606130000000002E-2</v>
      </c>
      <c r="X7442">
        <v>0.98410900000000001</v>
      </c>
      <c r="Y7442">
        <v>-0.54896040000000002</v>
      </c>
      <c r="Z7442">
        <v>0.13394900000000001</v>
      </c>
      <c r="AA7442">
        <v>0.82504549999999999</v>
      </c>
      <c r="AB7442">
        <v>24</v>
      </c>
      <c r="AC7442">
        <v>0.64809999999999901</v>
      </c>
      <c r="AD7442">
        <v>-0.14533180000000001</v>
      </c>
      <c r="AE7442">
        <v>-0.60036999999999796</v>
      </c>
      <c r="AF7442">
        <v>-0.56847876351286697</v>
      </c>
      <c r="AG7442">
        <v>-0.14533180000000001</v>
      </c>
      <c r="AH7442">
        <v>0.64554000033203096</v>
      </c>
      <c r="AI7442">
        <v>99.589973548524398</v>
      </c>
      <c r="AJ7442">
        <v>131.367957392389</v>
      </c>
      <c r="AK7442">
        <v>0.87235963265446703</v>
      </c>
      <c r="AL7442">
        <v>93.991365142333706</v>
      </c>
      <c r="AM7442">
        <v>99.424666431265294</v>
      </c>
      <c r="AN7442">
        <v>0.99999995158841204</v>
      </c>
    </row>
    <row r="7443" spans="1:40" x14ac:dyDescent="0.25">
      <c r="A7443" t="str">
        <f>"20190303154328461"</f>
        <v>20190303154328461</v>
      </c>
      <c r="B7443" t="str">
        <f>"1551599008457493"</f>
        <v>1551599008457493</v>
      </c>
      <c r="C7443" t="s">
        <v>40</v>
      </c>
      <c r="D7443">
        <v>4.6018559999999997</v>
      </c>
      <c r="E7443">
        <v>0.32530619999999999</v>
      </c>
      <c r="F7443" t="s">
        <v>42</v>
      </c>
      <c r="G7443">
        <v>-300.67599999999999</v>
      </c>
      <c r="H7443">
        <v>0.98383189999999998</v>
      </c>
      <c r="I7443">
        <v>-52.058979999999998</v>
      </c>
      <c r="J7443">
        <v>-301.32170000000002</v>
      </c>
      <c r="K7443">
        <v>1.1251789999999999</v>
      </c>
      <c r="L7443">
        <v>-51.487699999999997</v>
      </c>
      <c r="M7443">
        <v>0.10945729999999999</v>
      </c>
      <c r="N7443">
        <v>-4.9498900000000002E-3</v>
      </c>
      <c r="O7443">
        <v>-0.99397930000000001</v>
      </c>
      <c r="P7443">
        <v>0.27378920000000001</v>
      </c>
      <c r="Q7443">
        <v>-7.1166960000000001E-2</v>
      </c>
      <c r="R7443">
        <v>-0.95915329999999999</v>
      </c>
      <c r="S7443">
        <v>2.112854</v>
      </c>
      <c r="T7443">
        <v>-0.43902619999999998</v>
      </c>
      <c r="U7443">
        <v>-2.5074770000000002</v>
      </c>
      <c r="V7443">
        <v>-0.166297</v>
      </c>
      <c r="W7443">
        <v>-6.8425830000000007E-2</v>
      </c>
      <c r="X7443">
        <v>0.98369870000000004</v>
      </c>
      <c r="Y7443">
        <v>-0.5510602</v>
      </c>
      <c r="Z7443">
        <v>0.1315953</v>
      </c>
      <c r="AA7443">
        <v>0.82402389999999903</v>
      </c>
      <c r="AB7443">
        <v>24</v>
      </c>
      <c r="AC7443">
        <v>0.64570000000003303</v>
      </c>
      <c r="AD7443">
        <v>-0.1413471</v>
      </c>
      <c r="AE7443">
        <v>-0.57128000000000101</v>
      </c>
      <c r="AF7443">
        <v>-0.56412546561231902</v>
      </c>
      <c r="AG7443">
        <v>-0.1413471</v>
      </c>
      <c r="AH7443">
        <v>0.62181104854075497</v>
      </c>
      <c r="AI7443">
        <v>99.5564439501658</v>
      </c>
      <c r="AJ7443">
        <v>132.21524933293799</v>
      </c>
      <c r="AK7443">
        <v>0.85139034744239395</v>
      </c>
      <c r="AL7443">
        <v>93.923577259341002</v>
      </c>
      <c r="AM7443">
        <v>99.595289768222401</v>
      </c>
      <c r="AN7443">
        <v>0.999999959400938</v>
      </c>
    </row>
    <row r="7444" spans="1:40" x14ac:dyDescent="0.25">
      <c r="A7444" t="str">
        <f>"20190303154328484"</f>
        <v>20190303154328484</v>
      </c>
      <c r="B7444" t="str">
        <f>"1551599008477990"</f>
        <v>1551599008477990</v>
      </c>
      <c r="C7444" t="s">
        <v>40</v>
      </c>
      <c r="D7444">
        <v>4.5444469999999999</v>
      </c>
      <c r="E7444">
        <v>0.32428240000000003</v>
      </c>
      <c r="F7444" t="s">
        <v>42</v>
      </c>
      <c r="G7444">
        <v>-300.64800000000002</v>
      </c>
      <c r="H7444">
        <v>0.99003719999999995</v>
      </c>
      <c r="I7444">
        <v>-52.265529999999998</v>
      </c>
      <c r="J7444">
        <v>-301.28530000000001</v>
      </c>
      <c r="K7444">
        <v>1.125572</v>
      </c>
      <c r="L7444">
        <v>-51.730739999999997</v>
      </c>
      <c r="M7444">
        <v>0.11837490000000001</v>
      </c>
      <c r="N7444">
        <v>-5.0839539999999999E-3</v>
      </c>
      <c r="O7444">
        <v>-0.99295599999999995</v>
      </c>
      <c r="P7444">
        <v>0.28621279999999999</v>
      </c>
      <c r="Q7444">
        <v>-7.1169739999999995E-2</v>
      </c>
      <c r="R7444">
        <v>-0.95551929999999996</v>
      </c>
      <c r="S7444">
        <v>2.14975</v>
      </c>
      <c r="T7444">
        <v>-0.43124020000000002</v>
      </c>
      <c r="U7444">
        <v>-2.4821170000000001</v>
      </c>
      <c r="V7444">
        <v>-0.17016579999999901</v>
      </c>
      <c r="W7444">
        <v>-6.8513180000000007E-2</v>
      </c>
      <c r="X7444">
        <v>0.98303079999999998</v>
      </c>
      <c r="Y7444">
        <v>-0.55498519999999996</v>
      </c>
      <c r="Z7444">
        <v>0.1291802</v>
      </c>
      <c r="AA7444">
        <v>0.82176879999999997</v>
      </c>
      <c r="AB7444">
        <v>24</v>
      </c>
      <c r="AC7444">
        <v>0.63730000000003795</v>
      </c>
      <c r="AD7444">
        <v>-0.13553480000000001</v>
      </c>
      <c r="AE7444">
        <v>-0.53478999999999299</v>
      </c>
      <c r="AF7444">
        <v>-0.55478841620800701</v>
      </c>
      <c r="AG7444">
        <v>-0.13553480000000001</v>
      </c>
      <c r="AH7444">
        <v>0.590791488926249</v>
      </c>
      <c r="AI7444">
        <v>99.493978339000407</v>
      </c>
      <c r="AJ7444">
        <v>133.19991136926799</v>
      </c>
      <c r="AK7444">
        <v>0.82170216755058101</v>
      </c>
      <c r="AL7444">
        <v>93.9285936411042</v>
      </c>
      <c r="AM7444">
        <v>99.820763692352898</v>
      </c>
      <c r="AN7444">
        <v>1.00000000453599</v>
      </c>
    </row>
    <row r="7445" spans="1:40" x14ac:dyDescent="0.25">
      <c r="A7445" t="str">
        <f>"20190303154328506"</f>
        <v>20190303154328506</v>
      </c>
      <c r="B7445" t="str">
        <f>"1551599008497509"</f>
        <v>1551599008497509</v>
      </c>
      <c r="C7445" t="s">
        <v>40</v>
      </c>
      <c r="D7445">
        <v>4.5462619999999996</v>
      </c>
      <c r="E7445">
        <v>0.3236038</v>
      </c>
      <c r="F7445" t="s">
        <v>42</v>
      </c>
      <c r="G7445">
        <v>-300.62200000000001</v>
      </c>
      <c r="H7445">
        <v>0.9947395</v>
      </c>
      <c r="I7445">
        <v>-52.473840000000003</v>
      </c>
      <c r="J7445">
        <v>-301.24810000000002</v>
      </c>
      <c r="K7445">
        <v>1.12595499999999</v>
      </c>
      <c r="L7445">
        <v>-51.961030000000001</v>
      </c>
      <c r="M7445">
        <v>0.12736449999999999</v>
      </c>
      <c r="N7445">
        <v>-5.2199000000000004E-3</v>
      </c>
      <c r="O7445">
        <v>-0.99184220000000001</v>
      </c>
      <c r="P7445">
        <v>0.29906650000000001</v>
      </c>
      <c r="Q7445">
        <v>-7.1971129999999994E-2</v>
      </c>
      <c r="R7445">
        <v>-0.95151410000000003</v>
      </c>
      <c r="S7445">
        <v>2.189117</v>
      </c>
      <c r="T7445">
        <v>-0.4317105</v>
      </c>
      <c r="U7445">
        <v>-2.4517820000000001</v>
      </c>
      <c r="V7445">
        <v>-0.1744424</v>
      </c>
      <c r="W7445">
        <v>-6.9407360000000001E-2</v>
      </c>
      <c r="X7445">
        <v>0.98221809999999998</v>
      </c>
      <c r="Y7445">
        <v>-0.55985980000000002</v>
      </c>
      <c r="Z7445">
        <v>0.12935489999999999</v>
      </c>
      <c r="AA7445">
        <v>0.81842799999999905</v>
      </c>
      <c r="AB7445">
        <v>24</v>
      </c>
      <c r="AC7445">
        <v>0.62610000000000798</v>
      </c>
      <c r="AD7445">
        <v>-0.13121549999999901</v>
      </c>
      <c r="AE7445">
        <v>-0.51281000000000099</v>
      </c>
      <c r="AF7445">
        <v>-0.54145289288502996</v>
      </c>
      <c r="AG7445">
        <v>-0.13121549999999901</v>
      </c>
      <c r="AH7445">
        <v>0.57330688530216101</v>
      </c>
      <c r="AI7445">
        <v>99.447205559120803</v>
      </c>
      <c r="AJ7445">
        <v>133.36323227335799</v>
      </c>
      <c r="AK7445">
        <v>0.79941824309223997</v>
      </c>
      <c r="AL7445">
        <v>93.979948798662704</v>
      </c>
      <c r="AM7445">
        <v>100.070750151654</v>
      </c>
      <c r="AN7445">
        <v>0.99999996425376902</v>
      </c>
    </row>
    <row r="7446" spans="1:40" x14ac:dyDescent="0.25">
      <c r="A7446" t="str">
        <f>"20190303154328528"</f>
        <v>20190303154328528</v>
      </c>
      <c r="B7446" t="str">
        <f>"1551599008518005"</f>
        <v>1551599008518005</v>
      </c>
      <c r="C7446" t="s">
        <v>40</v>
      </c>
      <c r="D7446">
        <v>4.525779</v>
      </c>
      <c r="E7446">
        <v>0.32322580000000001</v>
      </c>
      <c r="F7446" t="s">
        <v>42</v>
      </c>
      <c r="G7446">
        <v>-300.58659999999998</v>
      </c>
      <c r="H7446">
        <v>0.99718530000000005</v>
      </c>
      <c r="I7446">
        <v>-52.679859999999998</v>
      </c>
      <c r="J7446">
        <v>-301.20819999999998</v>
      </c>
      <c r="K7446">
        <v>1.126366</v>
      </c>
      <c r="L7446">
        <v>-52.192140000000002</v>
      </c>
      <c r="M7446">
        <v>0.1369156</v>
      </c>
      <c r="N7446">
        <v>-5.3654799999999997E-3</v>
      </c>
      <c r="O7446">
        <v>-0.99056829999999996</v>
      </c>
      <c r="P7446">
        <v>0.3131062</v>
      </c>
      <c r="Q7446">
        <v>-7.2898480000000002E-2</v>
      </c>
      <c r="R7446">
        <v>-0.9469166</v>
      </c>
      <c r="S7446">
        <v>2.2268680000000001</v>
      </c>
      <c r="T7446">
        <v>-0.43352030000000003</v>
      </c>
      <c r="U7446">
        <v>-2.420166</v>
      </c>
      <c r="V7446">
        <v>-0.17943049999999999</v>
      </c>
      <c r="W7446">
        <v>-7.0443859999999997E-2</v>
      </c>
      <c r="X7446">
        <v>0.98124529999999999</v>
      </c>
      <c r="Y7446">
        <v>-0.56409160000000003</v>
      </c>
      <c r="Z7446">
        <v>0.12998860000000001</v>
      </c>
      <c r="AA7446">
        <v>0.81541619999999904</v>
      </c>
      <c r="AB7446">
        <v>24</v>
      </c>
      <c r="AC7446">
        <v>0.62160000000000004</v>
      </c>
      <c r="AD7446">
        <v>-0.12918069999999901</v>
      </c>
      <c r="AE7446">
        <v>-0.48771999999999499</v>
      </c>
      <c r="AF7446">
        <v>-0.53467566398940702</v>
      </c>
      <c r="AG7446">
        <v>-0.12918069999999901</v>
      </c>
      <c r="AH7446">
        <v>0.55344025334589197</v>
      </c>
      <c r="AI7446">
        <v>99.529387506003602</v>
      </c>
      <c r="AJ7446">
        <v>134.01203061351899</v>
      </c>
      <c r="AK7446">
        <v>0.78029599059495902</v>
      </c>
      <c r="AL7446">
        <v>94.039481497638803</v>
      </c>
      <c r="AM7446">
        <v>100.362616624959</v>
      </c>
      <c r="AN7446">
        <v>0.99999999025701902</v>
      </c>
    </row>
    <row r="7447" spans="1:40" x14ac:dyDescent="0.25">
      <c r="A7447" t="str">
        <f>"20190303154328551"</f>
        <v>20190303154328551</v>
      </c>
      <c r="B7447" t="str">
        <f>"1551599008548262"</f>
        <v>1551599008548262</v>
      </c>
      <c r="C7447" t="s">
        <v>40</v>
      </c>
      <c r="D7447">
        <v>4.5039769999999999</v>
      </c>
      <c r="E7447">
        <v>0.32324520000000001</v>
      </c>
      <c r="F7447" t="s">
        <v>42</v>
      </c>
      <c r="G7447">
        <v>-300.54939999999999</v>
      </c>
      <c r="H7447">
        <v>1.000947</v>
      </c>
      <c r="I7447">
        <v>-52.886240000000001</v>
      </c>
      <c r="J7447">
        <v>-301.16449999999998</v>
      </c>
      <c r="K7447">
        <v>1.1267929999999999</v>
      </c>
      <c r="L7447">
        <v>-52.427799999999998</v>
      </c>
      <c r="M7447">
        <v>0.14718809999999999</v>
      </c>
      <c r="N7447">
        <v>-5.525383E-3</v>
      </c>
      <c r="O7447">
        <v>-0.98909329999999995</v>
      </c>
      <c r="P7447">
        <v>0.32763609999999999</v>
      </c>
      <c r="Q7447">
        <v>-7.2912909999999997E-2</v>
      </c>
      <c r="R7447">
        <v>-0.94198669999999995</v>
      </c>
      <c r="S7447">
        <v>2.2657470000000002</v>
      </c>
      <c r="T7447">
        <v>-0.43116700000000002</v>
      </c>
      <c r="U7447">
        <v>-2.3858030000000001</v>
      </c>
      <c r="V7447">
        <v>-0.18426989999999999</v>
      </c>
      <c r="W7447">
        <v>-7.0566030000000002E-2</v>
      </c>
      <c r="X7447">
        <v>0.98033919999999997</v>
      </c>
      <c r="Y7447">
        <v>-0.56846359999999996</v>
      </c>
      <c r="Z7447">
        <v>0.12936789999999901</v>
      </c>
      <c r="AA7447">
        <v>0.81247340000000001</v>
      </c>
      <c r="AB7447">
        <v>24</v>
      </c>
      <c r="AC7447">
        <v>0.61509999999998399</v>
      </c>
      <c r="AD7447">
        <v>-0.12584599999999899</v>
      </c>
      <c r="AE7447">
        <v>-0.45844000000000301</v>
      </c>
      <c r="AF7447">
        <v>-0.52674750174396801</v>
      </c>
      <c r="AG7447">
        <v>-0.12584599999999899</v>
      </c>
      <c r="AH7447">
        <v>0.529728289938866</v>
      </c>
      <c r="AI7447">
        <v>99.562187315348893</v>
      </c>
      <c r="AJ7447">
        <v>134.838343546201</v>
      </c>
      <c r="AK7447">
        <v>0.75756993569641295</v>
      </c>
      <c r="AL7447">
        <v>94.0464989336907</v>
      </c>
      <c r="AM7447">
        <v>100.64541576982499</v>
      </c>
      <c r="AN7447">
        <v>0.99999995384630402</v>
      </c>
    </row>
    <row r="7448" spans="1:40" x14ac:dyDescent="0.25">
      <c r="A7448" t="str">
        <f>"20190303154328576"</f>
        <v>20190303154328576</v>
      </c>
      <c r="B7448" t="str">
        <f>"1551599008567782"</f>
        <v>1551599008567782</v>
      </c>
      <c r="C7448" t="s">
        <v>40</v>
      </c>
      <c r="D7448">
        <v>4.5287920000000002</v>
      </c>
      <c r="E7448">
        <v>0.32346049999999998</v>
      </c>
      <c r="F7448" t="s">
        <v>42</v>
      </c>
      <c r="G7448">
        <v>-300.51229999999998</v>
      </c>
      <c r="H7448">
        <v>1.0065200000000001</v>
      </c>
      <c r="I7448">
        <v>-53.093640000000001</v>
      </c>
      <c r="J7448">
        <v>-301.11290000000002</v>
      </c>
      <c r="K7448">
        <v>1.1272660000000001</v>
      </c>
      <c r="L7448">
        <v>-52.68768</v>
      </c>
      <c r="M7448">
        <v>0.15910779999999999</v>
      </c>
      <c r="N7448">
        <v>-5.7187929999999998E-3</v>
      </c>
      <c r="O7448">
        <v>-0.98724489999999998</v>
      </c>
      <c r="P7448">
        <v>0.34462930000000003</v>
      </c>
      <c r="Q7448">
        <v>-7.0354899999999998E-2</v>
      </c>
      <c r="R7448">
        <v>-0.93609889999999996</v>
      </c>
      <c r="S7448">
        <v>2.3027340000000001</v>
      </c>
      <c r="T7448">
        <v>-0.42466690000000001</v>
      </c>
      <c r="U7448">
        <v>-2.3509519999999999</v>
      </c>
      <c r="V7448">
        <v>-0.1901207</v>
      </c>
      <c r="W7448">
        <v>-6.8128759999999997E-2</v>
      </c>
      <c r="X7448">
        <v>0.97939399999999999</v>
      </c>
      <c r="Y7448">
        <v>-0.57129779999999997</v>
      </c>
      <c r="Z7448">
        <v>0.12748280000000001</v>
      </c>
      <c r="AA7448">
        <v>0.81078169999999905</v>
      </c>
      <c r="AB7448">
        <v>24</v>
      </c>
      <c r="AC7448">
        <v>0.60060000000004199</v>
      </c>
      <c r="AD7448">
        <v>-0.12074599999999901</v>
      </c>
      <c r="AE7448">
        <v>-0.40595999999999299</v>
      </c>
      <c r="AF7448">
        <v>-0.51409390031010105</v>
      </c>
      <c r="AG7448">
        <v>-0.12074599999999901</v>
      </c>
      <c r="AH7448">
        <v>0.48295156563793801</v>
      </c>
      <c r="AI7448">
        <v>99.713918436747406</v>
      </c>
      <c r="AJ7448">
        <v>136.789030167775</v>
      </c>
      <c r="AK7448">
        <v>0.71562165255404897</v>
      </c>
      <c r="AL7448">
        <v>93.906516398638104</v>
      </c>
      <c r="AM7448">
        <v>100.985669230914</v>
      </c>
      <c r="AN7448">
        <v>1.0000000078718101</v>
      </c>
    </row>
    <row r="7449" spans="1:40" x14ac:dyDescent="0.25">
      <c r="A7449" t="str">
        <f>"20190303154328599"</f>
        <v>20190303154328599</v>
      </c>
      <c r="B7449" t="str">
        <f>"1551599008587886"</f>
        <v>1551599008587886</v>
      </c>
      <c r="C7449" t="s">
        <v>40</v>
      </c>
      <c r="D7449">
        <v>4.6012320000000004</v>
      </c>
      <c r="E7449">
        <v>0.3238222</v>
      </c>
      <c r="F7449" t="s">
        <v>42</v>
      </c>
      <c r="G7449">
        <v>-300.48599999999999</v>
      </c>
      <c r="H7449">
        <v>1.0158320000000001</v>
      </c>
      <c r="I7449">
        <v>-53.306249999999999</v>
      </c>
      <c r="J7449">
        <v>-301.05889999999999</v>
      </c>
      <c r="K7449">
        <v>1.1277159999999999</v>
      </c>
      <c r="L7449">
        <v>-52.938139999999997</v>
      </c>
      <c r="M7449">
        <v>0.1712552</v>
      </c>
      <c r="N7449">
        <v>-5.9523950000000001E-3</v>
      </c>
      <c r="O7449">
        <v>-0.98520890000000005</v>
      </c>
      <c r="P7449">
        <v>0.36273179999999999</v>
      </c>
      <c r="Q7449">
        <v>-6.7321489999999998E-2</v>
      </c>
      <c r="R7449">
        <v>-0.92945889999999998</v>
      </c>
      <c r="S7449">
        <v>2.343445</v>
      </c>
      <c r="T7449">
        <v>-0.41636289999999998</v>
      </c>
      <c r="U7449">
        <v>-2.3107600000000001</v>
      </c>
      <c r="V7449">
        <v>-0.1970094</v>
      </c>
      <c r="W7449">
        <v>-6.5198699999999998E-2</v>
      </c>
      <c r="X7449">
        <v>0.97823130000000003</v>
      </c>
      <c r="Y7449">
        <v>-0.57554090000000002</v>
      </c>
      <c r="Z7449">
        <v>0.1250233</v>
      </c>
      <c r="AA7449">
        <v>0.80815950000000003</v>
      </c>
      <c r="AB7449">
        <v>24</v>
      </c>
      <c r="AC7449">
        <v>0.57290000000000396</v>
      </c>
      <c r="AD7449">
        <v>-0.111883999999999</v>
      </c>
      <c r="AE7449">
        <v>-0.368109999999994</v>
      </c>
      <c r="AF7449">
        <v>-0.48821493860012199</v>
      </c>
      <c r="AG7449">
        <v>-0.111883999999999</v>
      </c>
      <c r="AH7449">
        <v>0.448673564418403</v>
      </c>
      <c r="AI7449">
        <v>99.577661844487096</v>
      </c>
      <c r="AJ7449">
        <v>137.41673379913701</v>
      </c>
      <c r="AK7449">
        <v>0.67244317465213099</v>
      </c>
      <c r="AL7449">
        <v>93.738261920063294</v>
      </c>
      <c r="AM7449">
        <v>101.386681270843</v>
      </c>
      <c r="AN7449">
        <v>1.00000002523486</v>
      </c>
    </row>
    <row r="7450" spans="1:40" x14ac:dyDescent="0.25">
      <c r="A7450" t="str">
        <f>"20190303154328618"</f>
        <v>20190303154328618</v>
      </c>
      <c r="B7450" t="str">
        <f>"1551599008607407"</f>
        <v>1551599008607407</v>
      </c>
      <c r="C7450" t="s">
        <v>40</v>
      </c>
      <c r="D7450">
        <v>4.720745</v>
      </c>
      <c r="E7450">
        <v>0.33499259999999997</v>
      </c>
      <c r="F7450" t="s">
        <v>58</v>
      </c>
      <c r="G7450">
        <v>-294.47239999999999</v>
      </c>
      <c r="H7450" s="1">
        <v>-8.2748280000000007E-6</v>
      </c>
      <c r="I7450">
        <v>-59.200110000000002</v>
      </c>
      <c r="J7450">
        <v>-301.01409999999998</v>
      </c>
      <c r="K7450">
        <v>1.1280809999999999</v>
      </c>
      <c r="L7450">
        <v>-53.134279999999997</v>
      </c>
      <c r="M7450">
        <v>0.1811257</v>
      </c>
      <c r="N7450">
        <v>-6.1835900000000001E-3</v>
      </c>
      <c r="O7450">
        <v>-0.9834406</v>
      </c>
      <c r="P7450">
        <v>0.37856430000000002</v>
      </c>
      <c r="Q7450">
        <v>-6.5788830000000006E-2</v>
      </c>
      <c r="R7450">
        <v>-0.92323409999999995</v>
      </c>
      <c r="S7450">
        <v>2.3848880000000001</v>
      </c>
      <c r="T7450">
        <v>-0.40833219999999998</v>
      </c>
      <c r="U7450">
        <v>-2.2673649999999999</v>
      </c>
      <c r="V7450">
        <v>-0.20387369999999999</v>
      </c>
      <c r="W7450">
        <v>-6.3738610000000001E-2</v>
      </c>
      <c r="X7450">
        <v>0.97692009999999996</v>
      </c>
      <c r="Y7450">
        <v>-0.58230499999999996</v>
      </c>
      <c r="Z7450">
        <v>0.12265239999999999</v>
      </c>
      <c r="AA7450">
        <v>0.80366490000000002</v>
      </c>
      <c r="AB7450">
        <v>25</v>
      </c>
      <c r="AC7450">
        <v>6.5416999999999899</v>
      </c>
      <c r="AD7450">
        <v>-1.12808927482799</v>
      </c>
      <c r="AE7450">
        <v>-6.0658299999999903</v>
      </c>
      <c r="AF7450">
        <v>-5.25083820808341</v>
      </c>
      <c r="AG7450">
        <v>-1.12808927482799</v>
      </c>
      <c r="AH7450">
        <v>7.0378568036578004</v>
      </c>
      <c r="AI7450">
        <v>97.320804170586797</v>
      </c>
      <c r="AJ7450">
        <v>126.726061157511</v>
      </c>
      <c r="AK7450">
        <v>8.8529834343142699</v>
      </c>
      <c r="AL7450">
        <v>93.654430661271405</v>
      </c>
      <c r="AM7450">
        <v>101.78788670092899</v>
      </c>
      <c r="AN7450">
        <v>0.99999998887021502</v>
      </c>
    </row>
    <row r="7451" spans="1:40" x14ac:dyDescent="0.25">
      <c r="A7451" t="str">
        <f>"20190303154328640"</f>
        <v>20190303154328640</v>
      </c>
      <c r="B7451" t="str">
        <f>"1551599008637663"</f>
        <v>1551599008637663</v>
      </c>
      <c r="C7451" t="s">
        <v>40</v>
      </c>
      <c r="D7451">
        <v>4.7623540000000002</v>
      </c>
      <c r="E7451">
        <v>0.33770850000000002</v>
      </c>
      <c r="F7451" t="s">
        <v>58</v>
      </c>
      <c r="G7451">
        <v>-293.41829999999999</v>
      </c>
      <c r="H7451" s="1">
        <v>-1.088227E-5</v>
      </c>
      <c r="I7451">
        <v>-60.468780000000002</v>
      </c>
      <c r="J7451">
        <v>-300.95729999999998</v>
      </c>
      <c r="K7451">
        <v>1.1284809999999901</v>
      </c>
      <c r="L7451">
        <v>-53.368229999999997</v>
      </c>
      <c r="M7451">
        <v>0.19332579999999999</v>
      </c>
      <c r="N7451">
        <v>-6.5201469999999996E-3</v>
      </c>
      <c r="O7451">
        <v>-0.98111309999999996</v>
      </c>
      <c r="P7451">
        <v>0.39639150000000001</v>
      </c>
      <c r="Q7451">
        <v>-6.6210660000000005E-2</v>
      </c>
      <c r="R7451">
        <v>-0.91569109999999998</v>
      </c>
      <c r="S7451">
        <v>2.3441160000000001</v>
      </c>
      <c r="T7451">
        <v>-0.3481339</v>
      </c>
      <c r="U7451">
        <v>-2.263458</v>
      </c>
      <c r="V7451">
        <v>-0.2106191</v>
      </c>
      <c r="W7451">
        <v>-6.4156980000000002E-2</v>
      </c>
      <c r="X7451">
        <v>0.97546060000000001</v>
      </c>
      <c r="Y7451">
        <v>-0.56739430000000002</v>
      </c>
      <c r="Z7451">
        <v>0.1046883</v>
      </c>
      <c r="AA7451">
        <v>0.81676439999999995</v>
      </c>
      <c r="AB7451">
        <v>25</v>
      </c>
      <c r="AC7451">
        <v>7.5389999999999802</v>
      </c>
      <c r="AD7451">
        <v>-1.1284918822700001</v>
      </c>
      <c r="AE7451">
        <v>-7.1005499999999904</v>
      </c>
      <c r="AF7451">
        <v>-5.9533318996914097</v>
      </c>
      <c r="AG7451">
        <v>-1.1284918822700001</v>
      </c>
      <c r="AH7451">
        <v>8.3252530244323601</v>
      </c>
      <c r="AI7451">
        <v>96.292006707176498</v>
      </c>
      <c r="AJ7451">
        <v>125.56830170770201</v>
      </c>
      <c r="AK7451">
        <v>10.296868094573799</v>
      </c>
      <c r="AL7451">
        <v>93.678450793053401</v>
      </c>
      <c r="AM7451">
        <v>102.184121751544</v>
      </c>
      <c r="AN7451">
        <v>0.99999995275994402</v>
      </c>
    </row>
    <row r="7452" spans="1:40" x14ac:dyDescent="0.25">
      <c r="A7452" t="str">
        <f>"20190303154328662"</f>
        <v>20190303154328662</v>
      </c>
      <c r="B7452" t="str">
        <f>"1551599008658158"</f>
        <v>1551599008658158</v>
      </c>
      <c r="C7452" t="s">
        <v>40</v>
      </c>
      <c r="D7452">
        <v>4.7502149999999999</v>
      </c>
      <c r="E7452">
        <v>0.33901700000000001</v>
      </c>
      <c r="F7452" t="s">
        <v>42</v>
      </c>
      <c r="G7452">
        <v>-300.1927</v>
      </c>
      <c r="H7452">
        <v>1.012842</v>
      </c>
      <c r="I7452">
        <v>-54.087429999999998</v>
      </c>
      <c r="J7452">
        <v>-300.89789999999999</v>
      </c>
      <c r="K7452">
        <v>1.128854</v>
      </c>
      <c r="L7452">
        <v>-53.598210000000002</v>
      </c>
      <c r="M7452">
        <v>0.20572750000000001</v>
      </c>
      <c r="N7452">
        <v>-6.9264929999999997E-3</v>
      </c>
      <c r="O7452">
        <v>-0.97858489999999998</v>
      </c>
      <c r="P7452">
        <v>0.41523539999999998</v>
      </c>
      <c r="Q7452">
        <v>-6.8090199999999906E-2</v>
      </c>
      <c r="R7452">
        <v>-0.90716260000000004</v>
      </c>
      <c r="S7452">
        <v>2.3670960000000001</v>
      </c>
      <c r="T7452">
        <v>-0.35790100000000002</v>
      </c>
      <c r="U7452">
        <v>-2.2256469999999999</v>
      </c>
      <c r="V7452">
        <v>-0.21837300000000001</v>
      </c>
      <c r="W7452">
        <v>-6.5984050000000002E-2</v>
      </c>
      <c r="X7452">
        <v>0.97363200000000005</v>
      </c>
      <c r="Y7452">
        <v>-0.56758640000000005</v>
      </c>
      <c r="Z7452">
        <v>0.1079127</v>
      </c>
      <c r="AA7452">
        <v>0.81621109999999997</v>
      </c>
      <c r="AB7452">
        <v>25</v>
      </c>
      <c r="AC7452">
        <v>0.70519999999998995</v>
      </c>
      <c r="AD7452">
        <v>-0.116011999999999</v>
      </c>
      <c r="AE7452">
        <v>-0.48922000000000998</v>
      </c>
      <c r="AF7452">
        <v>-0.57888959115504202</v>
      </c>
      <c r="AG7452">
        <v>-0.116011999999999</v>
      </c>
      <c r="AH7452">
        <v>0.61264397932888603</v>
      </c>
      <c r="AI7452">
        <v>97.8368201405018</v>
      </c>
      <c r="AJ7452">
        <v>133.37732906976001</v>
      </c>
      <c r="AK7452">
        <v>0.85082582724056099</v>
      </c>
      <c r="AL7452">
        <v>93.783356489958294</v>
      </c>
      <c r="AM7452">
        <v>102.641494120305</v>
      </c>
      <c r="AN7452">
        <v>0.99999996670369995</v>
      </c>
    </row>
    <row r="7453" spans="1:40" x14ac:dyDescent="0.25">
      <c r="A7453" t="str">
        <f>"20190303154328684"</f>
        <v>20190303154328684</v>
      </c>
      <c r="B7453" t="str">
        <f>"1551599008677679"</f>
        <v>1551599008677679</v>
      </c>
      <c r="C7453" t="s">
        <v>40</v>
      </c>
      <c r="D7453">
        <v>4.7647570000000004</v>
      </c>
      <c r="E7453">
        <v>0.33986870000000002</v>
      </c>
      <c r="F7453" t="s">
        <v>42</v>
      </c>
      <c r="G7453">
        <v>-300.13549999999998</v>
      </c>
      <c r="H7453">
        <v>1.0129440000000001</v>
      </c>
      <c r="I7453">
        <v>-54.29</v>
      </c>
      <c r="J7453">
        <v>-300.83350000000002</v>
      </c>
      <c r="K7453">
        <v>1.1292169999999999</v>
      </c>
      <c r="L7453">
        <v>-53.832979999999999</v>
      </c>
      <c r="M7453">
        <v>0.2188165</v>
      </c>
      <c r="N7453">
        <v>-7.4362350000000002E-3</v>
      </c>
      <c r="O7453">
        <v>-0.97573790000000005</v>
      </c>
      <c r="P7453">
        <v>0.43455110000000002</v>
      </c>
      <c r="Q7453">
        <v>-7.037148E-2</v>
      </c>
      <c r="R7453">
        <v>-0.89789409999999903</v>
      </c>
      <c r="S7453">
        <v>2.4026179999999999</v>
      </c>
      <c r="T7453">
        <v>-0.36524699999999999</v>
      </c>
      <c r="U7453">
        <v>-2.1798709999999999</v>
      </c>
      <c r="V7453">
        <v>-0.226103</v>
      </c>
      <c r="W7453">
        <v>-6.8115159999999994E-2</v>
      </c>
      <c r="X7453">
        <v>0.971719</v>
      </c>
      <c r="Y7453">
        <v>-0.57089699999999999</v>
      </c>
      <c r="Z7453">
        <v>0.110196</v>
      </c>
      <c r="AA7453">
        <v>0.81359289999999995</v>
      </c>
      <c r="AB7453">
        <v>25</v>
      </c>
      <c r="AC7453">
        <v>0.69800000000003504</v>
      </c>
      <c r="AD7453">
        <v>-0.116272999999999</v>
      </c>
      <c r="AE7453">
        <v>-0.45701999999999199</v>
      </c>
      <c r="AF7453">
        <v>-0.57000656056129895</v>
      </c>
      <c r="AG7453">
        <v>-0.116272999999999</v>
      </c>
      <c r="AH7453">
        <v>0.58727574845218999</v>
      </c>
      <c r="AI7453">
        <v>98.085969965504901</v>
      </c>
      <c r="AJ7453">
        <v>134.14508487437601</v>
      </c>
      <c r="AK7453">
        <v>0.82663153480374896</v>
      </c>
      <c r="AL7453">
        <v>93.905735281800006</v>
      </c>
      <c r="AM7453">
        <v>103.098708206784</v>
      </c>
      <c r="AN7453">
        <v>1.0000000282959101</v>
      </c>
    </row>
    <row r="7454" spans="1:40" x14ac:dyDescent="0.25">
      <c r="A7454" t="str">
        <f>"20190303154328707"</f>
        <v>20190303154328707</v>
      </c>
      <c r="B7454" t="str">
        <f>"1551599008697671"</f>
        <v>1551599008697671</v>
      </c>
      <c r="C7454" t="s">
        <v>40</v>
      </c>
      <c r="D7454">
        <v>4.7665480000000002</v>
      </c>
      <c r="E7454">
        <v>0.34964400000000001</v>
      </c>
      <c r="F7454" t="s">
        <v>42</v>
      </c>
      <c r="G7454">
        <v>-300.07769999999999</v>
      </c>
      <c r="H7454">
        <v>1.0130140000000001</v>
      </c>
      <c r="I7454">
        <v>-54.4925</v>
      </c>
      <c r="J7454">
        <v>-300.76670000000001</v>
      </c>
      <c r="K7454">
        <v>1.1295729999999999</v>
      </c>
      <c r="L7454">
        <v>-54.062930000000001</v>
      </c>
      <c r="M7454">
        <v>0.23207</v>
      </c>
      <c r="N7454">
        <v>-8.0419289999999997E-3</v>
      </c>
      <c r="O7454">
        <v>-0.97266580000000002</v>
      </c>
      <c r="P7454">
        <v>0.45418120000000001</v>
      </c>
      <c r="Q7454">
        <v>-7.2536169999999997E-2</v>
      </c>
      <c r="R7454">
        <v>-0.88795139999999995</v>
      </c>
      <c r="S7454">
        <v>2.4420470000000001</v>
      </c>
      <c r="T7454">
        <v>-0.3753223</v>
      </c>
      <c r="U7454">
        <v>-2.129883</v>
      </c>
      <c r="V7454">
        <v>-0.23418620000000001</v>
      </c>
      <c r="W7454">
        <v>-7.0043670000000002E-2</v>
      </c>
      <c r="X7454">
        <v>0.9696652</v>
      </c>
      <c r="Y7454">
        <v>-0.57541960000000003</v>
      </c>
      <c r="Z7454">
        <v>0.11325159999999999</v>
      </c>
      <c r="AA7454">
        <v>0.80997919999999901</v>
      </c>
      <c r="AB7454">
        <v>25</v>
      </c>
      <c r="AC7454">
        <v>0.68900000000002104</v>
      </c>
      <c r="AD7454">
        <v>-0.116559</v>
      </c>
      <c r="AE7454">
        <v>-0.42956999999999801</v>
      </c>
      <c r="AF7454">
        <v>-0.55897540761849296</v>
      </c>
      <c r="AG7454">
        <v>-0.116559</v>
      </c>
      <c r="AH7454">
        <v>0.56607713962220396</v>
      </c>
      <c r="AI7454">
        <v>98.335332713585601</v>
      </c>
      <c r="AJ7454">
        <v>134.63833345583799</v>
      </c>
      <c r="AK7454">
        <v>0.80404156285985395</v>
      </c>
      <c r="AL7454">
        <v>94.016495698492093</v>
      </c>
      <c r="AM7454">
        <v>103.577641506954</v>
      </c>
      <c r="AN7454">
        <v>0.999999946034273</v>
      </c>
    </row>
    <row r="7455" spans="1:40" x14ac:dyDescent="0.25">
      <c r="A7455" t="str">
        <f>"20190303154328728"</f>
        <v>20190303154328728</v>
      </c>
      <c r="B7455" t="str">
        <f>"1551599008718167"</f>
        <v>1551599008718167</v>
      </c>
      <c r="C7455" t="s">
        <v>40</v>
      </c>
      <c r="D7455">
        <v>4.8121519999999904</v>
      </c>
      <c r="E7455">
        <v>0.35087069999999998</v>
      </c>
      <c r="F7455" t="s">
        <v>42</v>
      </c>
      <c r="G7455">
        <v>-300.03429999999997</v>
      </c>
      <c r="H7455">
        <v>1.014375</v>
      </c>
      <c r="I7455">
        <v>-54.702030000000001</v>
      </c>
      <c r="J7455">
        <v>-300.69670000000002</v>
      </c>
      <c r="K7455">
        <v>1.129929</v>
      </c>
      <c r="L7455">
        <v>-54.290439999999997</v>
      </c>
      <c r="M7455">
        <v>0.24562510000000001</v>
      </c>
      <c r="N7455">
        <v>-8.7487050000000007E-3</v>
      </c>
      <c r="O7455">
        <v>-0.96932549999999995</v>
      </c>
      <c r="P7455">
        <v>0.4738135</v>
      </c>
      <c r="Q7455">
        <v>-7.4038209999999993E-2</v>
      </c>
      <c r="R7455">
        <v>-0.8775075</v>
      </c>
      <c r="S7455">
        <v>2.4185789999999998</v>
      </c>
      <c r="T7455">
        <v>-0.3803937</v>
      </c>
      <c r="U7455">
        <v>-2.1104129999999999</v>
      </c>
      <c r="V7455">
        <v>-0.2421645</v>
      </c>
      <c r="W7455">
        <v>-7.1210579999999996E-2</v>
      </c>
      <c r="X7455">
        <v>0.96761839999999999</v>
      </c>
      <c r="Y7455">
        <v>-0.56358779999999997</v>
      </c>
      <c r="Z7455">
        <v>0.1153107</v>
      </c>
      <c r="AA7455">
        <v>0.81796829999999998</v>
      </c>
      <c r="AB7455">
        <v>25</v>
      </c>
      <c r="AC7455">
        <v>0.66240000000004695</v>
      </c>
      <c r="AD7455">
        <v>-0.115554</v>
      </c>
      <c r="AE7455">
        <v>-0.41159000000000301</v>
      </c>
      <c r="AF7455">
        <v>-0.52938233411687197</v>
      </c>
      <c r="AG7455">
        <v>-0.115554</v>
      </c>
      <c r="AH7455">
        <v>0.54962114896213099</v>
      </c>
      <c r="AI7455">
        <v>98.610660611361396</v>
      </c>
      <c r="AJ7455">
        <v>133.92543191136201</v>
      </c>
      <c r="AK7455">
        <v>0.77180424330103303</v>
      </c>
      <c r="AL7455">
        <v>94.083521964807005</v>
      </c>
      <c r="AM7455">
        <v>104.05072679703601</v>
      </c>
      <c r="AN7455">
        <v>0.99999997989137301</v>
      </c>
    </row>
    <row r="7456" spans="1:40" x14ac:dyDescent="0.25">
      <c r="A7456" t="str">
        <f>"20190303154328752"</f>
        <v>20190303154328752</v>
      </c>
      <c r="B7456" t="str">
        <f>"1551599008747447"</f>
        <v>1551599008747447</v>
      </c>
      <c r="C7456" t="s">
        <v>40</v>
      </c>
      <c r="D7456">
        <v>4.7969359999999996</v>
      </c>
      <c r="E7456">
        <v>0.3519718</v>
      </c>
      <c r="F7456" t="s">
        <v>42</v>
      </c>
      <c r="G7456">
        <v>-299.96899999999999</v>
      </c>
      <c r="H7456">
        <v>1.0173190000000001</v>
      </c>
      <c r="I7456">
        <v>-54.90108</v>
      </c>
      <c r="J7456">
        <v>-300.62119999999999</v>
      </c>
      <c r="K7456">
        <v>1.130288</v>
      </c>
      <c r="L7456">
        <v>-54.522550000000003</v>
      </c>
      <c r="M7456">
        <v>0.25992599999999999</v>
      </c>
      <c r="N7456">
        <v>-9.5563369999999998E-3</v>
      </c>
      <c r="O7456">
        <v>-0.96558140000000003</v>
      </c>
      <c r="P7456">
        <v>0.49444779999999999</v>
      </c>
      <c r="Q7456">
        <v>-7.4088719999999997E-2</v>
      </c>
      <c r="R7456">
        <v>-0.86604429999999999</v>
      </c>
      <c r="S7456">
        <v>2.4564819999999998</v>
      </c>
      <c r="T7456">
        <v>-0.38000260000000002</v>
      </c>
      <c r="U7456">
        <v>-2.060333</v>
      </c>
      <c r="V7456">
        <v>-0.25071839999999901</v>
      </c>
      <c r="W7456">
        <v>-7.085342E-2</v>
      </c>
      <c r="X7456">
        <v>0.96546359999999998</v>
      </c>
      <c r="Y7456">
        <v>-0.56741399999999997</v>
      </c>
      <c r="Z7456">
        <v>0.1148589</v>
      </c>
      <c r="AA7456">
        <v>0.81538259999999996</v>
      </c>
      <c r="AB7456">
        <v>25</v>
      </c>
      <c r="AC7456">
        <v>0.65219999999999301</v>
      </c>
      <c r="AD7456">
        <v>-0.112968999999999</v>
      </c>
      <c r="AE7456">
        <v>-0.37853000000000397</v>
      </c>
      <c r="AF7456">
        <v>-0.51972264697520798</v>
      </c>
      <c r="AG7456">
        <v>-0.112968999999999</v>
      </c>
      <c r="AH7456">
        <v>0.52330527438409802</v>
      </c>
      <c r="AI7456">
        <v>98.708354340870102</v>
      </c>
      <c r="AJ7456">
        <v>134.80319930211101</v>
      </c>
      <c r="AK7456">
        <v>0.746138080343132</v>
      </c>
      <c r="AL7456">
        <v>94.063006531911697</v>
      </c>
      <c r="AM7456">
        <v>104.55741989406199</v>
      </c>
      <c r="AN7456">
        <v>0.99999994307460605</v>
      </c>
    </row>
    <row r="7457" spans="1:40" x14ac:dyDescent="0.25">
      <c r="A7457" t="str">
        <f>"20190303154328775"</f>
        <v>20190303154328775</v>
      </c>
      <c r="B7457" t="str">
        <f>"1551599008767943"</f>
        <v>1551599008767943</v>
      </c>
      <c r="C7457" t="s">
        <v>40</v>
      </c>
      <c r="D7457">
        <v>4.8152499999999998</v>
      </c>
      <c r="E7457">
        <v>0.35944019999999999</v>
      </c>
      <c r="F7457" t="s">
        <v>42</v>
      </c>
      <c r="G7457">
        <v>-299.90320000000003</v>
      </c>
      <c r="H7457">
        <v>1.020173</v>
      </c>
      <c r="I7457">
        <v>-55.0995699999999</v>
      </c>
      <c r="J7457">
        <v>-300.54149999999998</v>
      </c>
      <c r="K7457">
        <v>1.1306499999999999</v>
      </c>
      <c r="L7457">
        <v>-54.754640000000002</v>
      </c>
      <c r="M7457">
        <v>0.27471649999999997</v>
      </c>
      <c r="N7457">
        <v>-1.0404119999999999E-2</v>
      </c>
      <c r="O7457">
        <v>-0.96146909999999997</v>
      </c>
      <c r="P7457">
        <v>0.51405859999999903</v>
      </c>
      <c r="Q7457">
        <v>-7.4905869999999999E-2</v>
      </c>
      <c r="R7457">
        <v>-0.85447850000000003</v>
      </c>
      <c r="S7457">
        <v>2.4967350000000001</v>
      </c>
      <c r="T7457">
        <v>-0.38281290000000001</v>
      </c>
      <c r="U7457">
        <v>-2.0058289999999999</v>
      </c>
      <c r="V7457">
        <v>-0.25786419999999999</v>
      </c>
      <c r="W7457">
        <v>-7.1204509999999999E-2</v>
      </c>
      <c r="X7457">
        <v>0.96355380000000002</v>
      </c>
      <c r="Y7457">
        <v>-0.57194809999999996</v>
      </c>
      <c r="Z7457">
        <v>0.11541179999999999</v>
      </c>
      <c r="AA7457">
        <v>0.81213029999999997</v>
      </c>
      <c r="AB7457">
        <v>25</v>
      </c>
      <c r="AC7457">
        <v>0.63829999999995801</v>
      </c>
      <c r="AD7457">
        <v>-0.11047699999999901</v>
      </c>
      <c r="AE7457">
        <v>-0.34492999999999002</v>
      </c>
      <c r="AF7457">
        <v>-0.50721551959353295</v>
      </c>
      <c r="AG7457">
        <v>-0.11047699999999901</v>
      </c>
      <c r="AH7457">
        <v>0.49552914785526297</v>
      </c>
      <c r="AI7457">
        <v>98.855480041332399</v>
      </c>
      <c r="AJ7457">
        <v>135.667716805162</v>
      </c>
      <c r="AK7457">
        <v>0.71765025410690197</v>
      </c>
      <c r="AL7457">
        <v>94.083173307418704</v>
      </c>
      <c r="AM7457">
        <v>104.982285936667</v>
      </c>
      <c r="AN7457">
        <v>0.99999997669020901</v>
      </c>
    </row>
    <row r="7458" spans="1:40" x14ac:dyDescent="0.25">
      <c r="A7458" t="str">
        <f>"20190303154328799"</f>
        <v>20190303154328799</v>
      </c>
      <c r="B7458" t="str">
        <f>"1551599008787969"</f>
        <v>1551599008787969</v>
      </c>
      <c r="C7458" t="s">
        <v>40</v>
      </c>
      <c r="D7458">
        <v>4.8715060000000001</v>
      </c>
      <c r="E7458">
        <v>0.36060219999999998</v>
      </c>
      <c r="F7458" t="s">
        <v>42</v>
      </c>
      <c r="G7458">
        <v>-299.84969999999998</v>
      </c>
      <c r="H7458">
        <v>1.027874</v>
      </c>
      <c r="I7458">
        <v>-55.304360000000003</v>
      </c>
      <c r="J7458">
        <v>-300.45490000000001</v>
      </c>
      <c r="K7458">
        <v>1.131006</v>
      </c>
      <c r="L7458">
        <v>-54.991729999999997</v>
      </c>
      <c r="M7458">
        <v>0.29037829999999998</v>
      </c>
      <c r="N7458">
        <v>-1.1260340000000001E-2</v>
      </c>
      <c r="O7458">
        <v>-0.95684579999999997</v>
      </c>
      <c r="P7458">
        <v>0.53386409999999995</v>
      </c>
      <c r="Q7458">
        <v>-7.6257140000000001E-2</v>
      </c>
      <c r="R7458">
        <v>-0.84212480000000001</v>
      </c>
      <c r="S7458">
        <v>2.4916689999999999</v>
      </c>
      <c r="T7458">
        <v>-0.37011359999999999</v>
      </c>
      <c r="U7458">
        <v>-1.9794620000000001</v>
      </c>
      <c r="V7458">
        <v>-0.26458199999999998</v>
      </c>
      <c r="W7458">
        <v>-7.2094350000000001E-2</v>
      </c>
      <c r="X7458">
        <v>0.96166459999999998</v>
      </c>
      <c r="Y7458">
        <v>-0.56335740000000001</v>
      </c>
      <c r="Z7458">
        <v>0.11128349999999999</v>
      </c>
      <c r="AA7458">
        <v>0.81868459999999998</v>
      </c>
      <c r="AB7458">
        <v>24</v>
      </c>
      <c r="AC7458">
        <v>0.60520000000002405</v>
      </c>
      <c r="AD7458">
        <v>-0.103131999999999</v>
      </c>
      <c r="AE7458">
        <v>-0.31262999999999103</v>
      </c>
      <c r="AF7458">
        <v>-0.47738997389266402</v>
      </c>
      <c r="AG7458">
        <v>-0.103131999999999</v>
      </c>
      <c r="AH7458">
        <v>0.46426355574058797</v>
      </c>
      <c r="AI7458">
        <v>98.803614969006304</v>
      </c>
      <c r="AJ7458">
        <v>135.798637320203</v>
      </c>
      <c r="AK7458">
        <v>0.67385313369170696</v>
      </c>
      <c r="AL7458">
        <v>94.134288595076995</v>
      </c>
      <c r="AM7458">
        <v>105.38313250512</v>
      </c>
      <c r="AN7458">
        <v>1.00000001645954</v>
      </c>
    </row>
    <row r="7459" spans="1:40" x14ac:dyDescent="0.25">
      <c r="A7459" t="str">
        <f>"20190303154328821"</f>
        <v>20190303154328821</v>
      </c>
      <c r="B7459" t="str">
        <f>"1551599008818225"</f>
        <v>1551599008818225</v>
      </c>
      <c r="C7459" t="s">
        <v>40</v>
      </c>
      <c r="D7459">
        <v>4.8917979999999996</v>
      </c>
      <c r="E7459">
        <v>0.36871039999999999</v>
      </c>
      <c r="F7459" t="s">
        <v>42</v>
      </c>
      <c r="G7459">
        <v>-299.60669999999999</v>
      </c>
      <c r="H7459">
        <v>1.005336</v>
      </c>
      <c r="I7459">
        <v>-55.637610000000002</v>
      </c>
      <c r="J7459">
        <v>-300.37029999999999</v>
      </c>
      <c r="K7459">
        <v>1.131321</v>
      </c>
      <c r="L7459">
        <v>-55.210720000000002</v>
      </c>
      <c r="M7459">
        <v>0.30527890000000002</v>
      </c>
      <c r="N7459">
        <v>-1.2012109999999999E-2</v>
      </c>
      <c r="O7459">
        <v>-0.95218740000000002</v>
      </c>
      <c r="P7459">
        <v>0.55106929999999998</v>
      </c>
      <c r="Q7459">
        <v>-7.6372309999999999E-2</v>
      </c>
      <c r="R7459">
        <v>-0.83095739999999996</v>
      </c>
      <c r="S7459">
        <v>2.5292659999999998</v>
      </c>
      <c r="T7459">
        <v>-0.3746448</v>
      </c>
      <c r="U7459">
        <v>-1.925079</v>
      </c>
      <c r="V7459">
        <v>-0.269310099999999</v>
      </c>
      <c r="W7459">
        <v>-7.1788450000000004E-2</v>
      </c>
      <c r="X7459">
        <v>0.96037410000000001</v>
      </c>
      <c r="Y7459">
        <v>-0.56734949999999995</v>
      </c>
      <c r="Z7459">
        <v>0.1124578</v>
      </c>
      <c r="AA7459">
        <v>0.81576210000000005</v>
      </c>
      <c r="AB7459">
        <v>24</v>
      </c>
      <c r="AC7459">
        <v>0.76359999999999595</v>
      </c>
      <c r="AD7459">
        <v>-0.12598499999999899</v>
      </c>
      <c r="AE7459">
        <v>-0.42688999999999999</v>
      </c>
      <c r="AF7459">
        <v>-0.58468673792880299</v>
      </c>
      <c r="AG7459">
        <v>-0.12598499999999899</v>
      </c>
      <c r="AH7459">
        <v>0.62664019215245903</v>
      </c>
      <c r="AI7459">
        <v>98.362488605209506</v>
      </c>
      <c r="AJ7459">
        <v>133.01639395177199</v>
      </c>
      <c r="AK7459">
        <v>0.86626135326222198</v>
      </c>
      <c r="AL7459">
        <v>94.116716509716298</v>
      </c>
      <c r="AM7459">
        <v>105.664669111462</v>
      </c>
      <c r="AN7459">
        <v>0.99999996173311001</v>
      </c>
    </row>
    <row r="7460" spans="1:40" x14ac:dyDescent="0.25">
      <c r="A7460" t="str">
        <f>"20190303154328841"</f>
        <v>20190303154328841</v>
      </c>
      <c r="B7460" t="str">
        <f>"1551599008837745"</f>
        <v>1551599008837745</v>
      </c>
      <c r="C7460" t="s">
        <v>40</v>
      </c>
      <c r="D7460">
        <v>4.9181150000000002</v>
      </c>
      <c r="E7460">
        <v>0.37677630000000001</v>
      </c>
      <c r="F7460" t="s">
        <v>42</v>
      </c>
      <c r="G7460">
        <v>-299.54539999999997</v>
      </c>
      <c r="H7460">
        <v>1.0086189999999999</v>
      </c>
      <c r="I7460">
        <v>-55.836669999999998</v>
      </c>
      <c r="J7460">
        <v>-300.28969999999998</v>
      </c>
      <c r="K7460">
        <v>1.13158</v>
      </c>
      <c r="L7460">
        <v>-55.409579999999998</v>
      </c>
      <c r="M7460">
        <v>0.31912859999999998</v>
      </c>
      <c r="N7460">
        <v>-1.2648100000000001E-2</v>
      </c>
      <c r="O7460">
        <v>-0.947627</v>
      </c>
      <c r="P7460">
        <v>0.56604330000000003</v>
      </c>
      <c r="Q7460">
        <v>-7.6411999999999994E-2</v>
      </c>
      <c r="R7460">
        <v>-0.82082710000000003</v>
      </c>
      <c r="S7460">
        <v>2.5143740000000001</v>
      </c>
      <c r="T7460">
        <v>-0.37406489999999998</v>
      </c>
      <c r="U7460">
        <v>-1.908447</v>
      </c>
      <c r="V7460">
        <v>-0.27269060000000001</v>
      </c>
      <c r="W7460">
        <v>-7.1455809999999995E-2</v>
      </c>
      <c r="X7460">
        <v>0.95944459999999998</v>
      </c>
      <c r="Y7460">
        <v>-0.5564076</v>
      </c>
      <c r="Z7460">
        <v>0.1123545</v>
      </c>
      <c r="AA7460">
        <v>0.82327819999999996</v>
      </c>
      <c r="AB7460">
        <v>24</v>
      </c>
      <c r="AC7460">
        <v>0.74430000000000895</v>
      </c>
      <c r="AD7460">
        <v>-0.122960999999999</v>
      </c>
      <c r="AE7460">
        <v>-0.42708999999999198</v>
      </c>
      <c r="AF7460">
        <v>-0.55761873285348296</v>
      </c>
      <c r="AG7460">
        <v>-0.122960999999999</v>
      </c>
      <c r="AH7460">
        <v>0.62937852156752505</v>
      </c>
      <c r="AI7460">
        <v>98.3194734579764</v>
      </c>
      <c r="AJ7460">
        <v>131.54040054678001</v>
      </c>
      <c r="AK7460">
        <v>0.84980902687642002</v>
      </c>
      <c r="AL7460">
        <v>94.097608336354099</v>
      </c>
      <c r="AM7460">
        <v>105.866058406132</v>
      </c>
      <c r="AN7460">
        <v>1.0000000182901301</v>
      </c>
    </row>
    <row r="7461" spans="1:40" x14ac:dyDescent="0.25">
      <c r="A7461" t="str">
        <f>"20190303154328864"</f>
        <v>20190303154328864</v>
      </c>
      <c r="B7461" t="str">
        <f>"1551599008858241"</f>
        <v>1551599008858241</v>
      </c>
      <c r="C7461" t="s">
        <v>40</v>
      </c>
      <c r="D7461">
        <v>4.9592010000000002</v>
      </c>
      <c r="E7461">
        <v>0.37946819999999998</v>
      </c>
      <c r="F7461" t="s">
        <v>42</v>
      </c>
      <c r="G7461">
        <v>-299.47430000000003</v>
      </c>
      <c r="H7461">
        <v>1.006518</v>
      </c>
      <c r="I7461">
        <v>-56.030250000000002</v>
      </c>
      <c r="J7461">
        <v>-300.19709999999998</v>
      </c>
      <c r="K7461">
        <v>1.1318090000000001</v>
      </c>
      <c r="L7461">
        <v>-55.626860000000001</v>
      </c>
      <c r="M7461">
        <v>0.33463389999999998</v>
      </c>
      <c r="N7461">
        <v>-1.328345E-2</v>
      </c>
      <c r="O7461">
        <v>-0.94225449999999999</v>
      </c>
      <c r="P7461">
        <v>0.58178090000000005</v>
      </c>
      <c r="Q7461">
        <v>-7.8117779999999998E-2</v>
      </c>
      <c r="R7461">
        <v>-0.80958540000000001</v>
      </c>
      <c r="S7461">
        <v>2.4947810000000001</v>
      </c>
      <c r="T7461">
        <v>-0.38262800000000002</v>
      </c>
      <c r="U7461">
        <v>-1.8988339999999999</v>
      </c>
      <c r="V7461">
        <v>-0.27545120000000001</v>
      </c>
      <c r="W7461">
        <v>-7.2771429999999998E-2</v>
      </c>
      <c r="X7461">
        <v>0.95855670000000004</v>
      </c>
      <c r="Y7461">
        <v>-0.54134099999999996</v>
      </c>
      <c r="Z7461">
        <v>0.1150674</v>
      </c>
      <c r="AA7461">
        <v>0.83289219999999897</v>
      </c>
      <c r="AB7461">
        <v>24</v>
      </c>
      <c r="AC7461">
        <v>0.72279999999994904</v>
      </c>
      <c r="AD7461">
        <v>-0.12529100000000001</v>
      </c>
      <c r="AE7461">
        <v>-0.40339000000000103</v>
      </c>
      <c r="AF7461">
        <v>-0.53388981669281099</v>
      </c>
      <c r="AG7461">
        <v>-0.12529100000000001</v>
      </c>
      <c r="AH7461">
        <v>0.60809230218573895</v>
      </c>
      <c r="AI7461">
        <v>98.801332488720405</v>
      </c>
      <c r="AJ7461">
        <v>131.28232261634901</v>
      </c>
      <c r="AK7461">
        <v>0.81884822710123495</v>
      </c>
      <c r="AL7461">
        <v>94.173184676262196</v>
      </c>
      <c r="AM7461">
        <v>106.032553164256</v>
      </c>
      <c r="AN7461">
        <v>0.99999999586028698</v>
      </c>
    </row>
    <row r="7462" spans="1:40" x14ac:dyDescent="0.25">
      <c r="A7462" t="str">
        <f>"20190303154328886"</f>
        <v>20190303154328886</v>
      </c>
      <c r="B7462" t="str">
        <f>"1551599008877761"</f>
        <v>1551599008877761</v>
      </c>
      <c r="C7462" t="s">
        <v>40</v>
      </c>
      <c r="D7462">
        <v>4.9678240000000002</v>
      </c>
      <c r="E7462">
        <v>0.38150830000000002</v>
      </c>
      <c r="F7462" t="s">
        <v>42</v>
      </c>
      <c r="G7462">
        <v>-299.39659999999998</v>
      </c>
      <c r="H7462">
        <v>1.0077240000000001</v>
      </c>
      <c r="I7462">
        <v>-56.219909999999999</v>
      </c>
      <c r="J7462">
        <v>-300.09949999999998</v>
      </c>
      <c r="K7462">
        <v>1.131993</v>
      </c>
      <c r="L7462">
        <v>-55.844760000000001</v>
      </c>
      <c r="M7462">
        <v>0.35057909999999998</v>
      </c>
      <c r="N7462">
        <v>-1.385958E-2</v>
      </c>
      <c r="O7462">
        <v>-0.93643050000000005</v>
      </c>
      <c r="P7462">
        <v>0.59734129999999996</v>
      </c>
      <c r="Q7462">
        <v>-8.1608589999999995E-2</v>
      </c>
      <c r="R7462">
        <v>-0.79782430000000004</v>
      </c>
      <c r="S7462">
        <v>2.513153</v>
      </c>
      <c r="T7462">
        <v>-0.38959319999999997</v>
      </c>
      <c r="U7462">
        <v>-1.8620300000000001</v>
      </c>
      <c r="V7462">
        <v>-0.27773880000000001</v>
      </c>
      <c r="W7462">
        <v>-7.5902919999999999E-2</v>
      </c>
      <c r="X7462">
        <v>0.95765330000000004</v>
      </c>
      <c r="Y7462">
        <v>-0.53764529999999999</v>
      </c>
      <c r="Z7462">
        <v>0.11705309999999999</v>
      </c>
      <c r="AA7462">
        <v>0.83500669999999899</v>
      </c>
      <c r="AB7462">
        <v>24</v>
      </c>
      <c r="AC7462">
        <v>0.70289999999999897</v>
      </c>
      <c r="AD7462">
        <v>-0.12426899999999901</v>
      </c>
      <c r="AE7462">
        <v>-0.37514999999999699</v>
      </c>
      <c r="AF7462">
        <v>-0.51423811785464402</v>
      </c>
      <c r="AG7462">
        <v>-0.12426899999999901</v>
      </c>
      <c r="AH7462">
        <v>0.58358466905225104</v>
      </c>
      <c r="AI7462">
        <v>99.077131547369106</v>
      </c>
      <c r="AJ7462">
        <v>131.38557991504399</v>
      </c>
      <c r="AK7462">
        <v>0.78768946429955</v>
      </c>
      <c r="AL7462">
        <v>94.353103837631906</v>
      </c>
      <c r="AM7462">
        <v>106.173226512292</v>
      </c>
      <c r="AN7462">
        <v>0.99999996864542695</v>
      </c>
    </row>
    <row r="7463" spans="1:40" x14ac:dyDescent="0.25">
      <c r="A7463" t="str">
        <f>"20190303154328908"</f>
        <v>20190303154328908</v>
      </c>
      <c r="B7463" t="str">
        <f>"1551599008897720"</f>
        <v>1551599008897720</v>
      </c>
      <c r="C7463" t="s">
        <v>40</v>
      </c>
      <c r="D7463">
        <v>5.0293950000000001</v>
      </c>
      <c r="E7463">
        <v>0.38229340000000001</v>
      </c>
      <c r="F7463" t="s">
        <v>42</v>
      </c>
      <c r="G7463">
        <v>-299.3159</v>
      </c>
      <c r="H7463">
        <v>1.0089319999999999</v>
      </c>
      <c r="I7463">
        <v>-56.407730000000001</v>
      </c>
      <c r="J7463">
        <v>-300.00080000000003</v>
      </c>
      <c r="K7463">
        <v>1.132142</v>
      </c>
      <c r="L7463">
        <v>-56.054749999999999</v>
      </c>
      <c r="M7463">
        <v>0.36633520000000003</v>
      </c>
      <c r="N7463">
        <v>-1.436247E-2</v>
      </c>
      <c r="O7463">
        <v>-0.93037199999999998</v>
      </c>
      <c r="P7463">
        <v>0.6124231</v>
      </c>
      <c r="Q7463">
        <v>-8.6119399999999999E-2</v>
      </c>
      <c r="R7463">
        <v>-0.78582540000000001</v>
      </c>
      <c r="S7463">
        <v>2.5356139999999998</v>
      </c>
      <c r="T7463">
        <v>-0.39811970000000002</v>
      </c>
      <c r="U7463">
        <v>-1.821075</v>
      </c>
      <c r="V7463">
        <v>-0.2798389</v>
      </c>
      <c r="W7463">
        <v>-8.0107789999999998E-2</v>
      </c>
      <c r="X7463">
        <v>0.95669899999999997</v>
      </c>
      <c r="Y7463">
        <v>-0.53554889999999999</v>
      </c>
      <c r="Z7463">
        <v>0.1195705</v>
      </c>
      <c r="AA7463">
        <v>0.83599659999999998</v>
      </c>
      <c r="AB7463">
        <v>24</v>
      </c>
      <c r="AC7463">
        <v>0.68490000000002704</v>
      </c>
      <c r="AD7463">
        <v>-0.12321</v>
      </c>
      <c r="AE7463">
        <v>-0.35298000000000901</v>
      </c>
      <c r="AF7463">
        <v>-0.49529045263591898</v>
      </c>
      <c r="AG7463">
        <v>-0.12321</v>
      </c>
      <c r="AH7463">
        <v>0.56492026632173997</v>
      </c>
      <c r="AI7463">
        <v>99.3133949011944</v>
      </c>
      <c r="AJ7463">
        <v>131.24247023244899</v>
      </c>
      <c r="AK7463">
        <v>0.76133320160972795</v>
      </c>
      <c r="AL7463">
        <v>94.594761430426004</v>
      </c>
      <c r="AM7463">
        <v>106.30444309173301</v>
      </c>
      <c r="AN7463">
        <v>1.00000002228644</v>
      </c>
    </row>
    <row r="7464" spans="1:40" x14ac:dyDescent="0.25">
      <c r="A7464" t="str">
        <f>"20190303154328930"</f>
        <v>20190303154328930</v>
      </c>
      <c r="B7464" t="str">
        <f>"1551599008918216"</f>
        <v>1551599008918216</v>
      </c>
      <c r="C7464" t="s">
        <v>40</v>
      </c>
      <c r="D7464">
        <v>5.1333129999999896</v>
      </c>
      <c r="E7464">
        <v>0.39078629999999998</v>
      </c>
      <c r="F7464" t="s">
        <v>42</v>
      </c>
      <c r="G7464">
        <v>-299.22710000000001</v>
      </c>
      <c r="H7464">
        <v>1.008769</v>
      </c>
      <c r="I7464">
        <v>-56.590169999999901</v>
      </c>
      <c r="J7464">
        <v>-299.90010000000001</v>
      </c>
      <c r="K7464">
        <v>1.132274</v>
      </c>
      <c r="L7464">
        <v>-56.25909</v>
      </c>
      <c r="M7464">
        <v>0.3820559</v>
      </c>
      <c r="N7464">
        <v>-1.4808709999999999E-2</v>
      </c>
      <c r="O7464">
        <v>-0.92402059999999997</v>
      </c>
      <c r="P7464">
        <v>0.62766250000000001</v>
      </c>
      <c r="Q7464">
        <v>-8.9733999999999994E-2</v>
      </c>
      <c r="R7464">
        <v>-0.77329669999999995</v>
      </c>
      <c r="S7464">
        <v>2.564362</v>
      </c>
      <c r="T7464">
        <v>-0.40885529999999998</v>
      </c>
      <c r="U7464">
        <v>-1.7743230000000001</v>
      </c>
      <c r="V7464">
        <v>-0.28234880000000001</v>
      </c>
      <c r="W7464">
        <v>-8.3478140000000006E-2</v>
      </c>
      <c r="X7464">
        <v>0.95567279999999999</v>
      </c>
      <c r="Y7464">
        <v>-0.53558139999999999</v>
      </c>
      <c r="Z7464">
        <v>0.12278849999999999</v>
      </c>
      <c r="AA7464">
        <v>0.8355091</v>
      </c>
      <c r="AB7464">
        <v>24</v>
      </c>
      <c r="AC7464">
        <v>0.67300000000000104</v>
      </c>
      <c r="AD7464">
        <v>-0.123504999999999</v>
      </c>
      <c r="AE7464">
        <v>-0.33107999999999199</v>
      </c>
      <c r="AF7464">
        <v>-0.48235006771118999</v>
      </c>
      <c r="AG7464">
        <v>-0.123504999999999</v>
      </c>
      <c r="AH7464">
        <v>0.54824431316705202</v>
      </c>
      <c r="AI7464">
        <v>99.599704241331196</v>
      </c>
      <c r="AJ7464">
        <v>131.34159664197799</v>
      </c>
      <c r="AK7464">
        <v>0.74059901415408402</v>
      </c>
      <c r="AL7464">
        <v>94.788517799030203</v>
      </c>
      <c r="AM7464">
        <v>106.45951454068501</v>
      </c>
      <c r="AN7464">
        <v>0.99999997268956897</v>
      </c>
    </row>
    <row r="7465" spans="1:40" x14ac:dyDescent="0.25">
      <c r="A7465" t="str">
        <f>"20190303154328954"</f>
        <v>20190303154328954</v>
      </c>
      <c r="B7465" t="str">
        <f>"1551599008947495"</f>
        <v>1551599008947495</v>
      </c>
      <c r="C7465" t="s">
        <v>40</v>
      </c>
      <c r="D7465">
        <v>5.1662509999999999</v>
      </c>
      <c r="E7465">
        <v>0.4026537</v>
      </c>
      <c r="F7465" t="s">
        <v>42</v>
      </c>
      <c r="G7465">
        <v>-299.149</v>
      </c>
      <c r="H7465">
        <v>1.0133989999999999</v>
      </c>
      <c r="I7465">
        <v>-56.779960000000003</v>
      </c>
      <c r="J7465">
        <v>-299.78870000000001</v>
      </c>
      <c r="K7465">
        <v>1.132436</v>
      </c>
      <c r="L7465">
        <v>-56.474910000000001</v>
      </c>
      <c r="M7465">
        <v>0.39906560000000002</v>
      </c>
      <c r="N7465">
        <v>-1.523948E-2</v>
      </c>
      <c r="O7465">
        <v>-0.9167959</v>
      </c>
      <c r="P7465">
        <v>0.64385409999999998</v>
      </c>
      <c r="Q7465">
        <v>-9.0731640000000002E-2</v>
      </c>
      <c r="R7465">
        <v>-0.75975009999999998</v>
      </c>
      <c r="S7465">
        <v>2.5468440000000001</v>
      </c>
      <c r="T7465">
        <v>-0.40298659999999997</v>
      </c>
      <c r="U7465">
        <v>-1.765533</v>
      </c>
      <c r="V7465">
        <v>-0.28486430000000001</v>
      </c>
      <c r="W7465">
        <v>-8.4251210000000007E-2</v>
      </c>
      <c r="X7465">
        <v>0.95485810000000004</v>
      </c>
      <c r="Y7465">
        <v>-0.51939199999999996</v>
      </c>
      <c r="Z7465">
        <v>0.1206533</v>
      </c>
      <c r="AA7465">
        <v>0.84597559999999905</v>
      </c>
      <c r="AB7465">
        <v>24</v>
      </c>
      <c r="AC7465">
        <v>0.63970000000000404</v>
      </c>
      <c r="AD7465">
        <v>-0.119037</v>
      </c>
      <c r="AE7465">
        <v>-0.30505000000000099</v>
      </c>
      <c r="AF7465">
        <v>-0.45204056021405398</v>
      </c>
      <c r="AG7465">
        <v>-0.119037</v>
      </c>
      <c r="AH7465">
        <v>0.52033353761082402</v>
      </c>
      <c r="AI7465">
        <v>99.798392409149798</v>
      </c>
      <c r="AJ7465">
        <v>130.982529121608</v>
      </c>
      <c r="AK7465">
        <v>0.69946941735163104</v>
      </c>
      <c r="AL7465">
        <v>94.832968085728595</v>
      </c>
      <c r="AM7465">
        <v>106.61150220955101</v>
      </c>
      <c r="AN7465">
        <v>0.99999996346828102</v>
      </c>
    </row>
    <row r="7466" spans="1:40" x14ac:dyDescent="0.25">
      <c r="A7466" t="str">
        <f>"20190303154328976"</f>
        <v>20190303154328976</v>
      </c>
      <c r="B7466" t="str">
        <f>"1551599008967992"</f>
        <v>1551599008967992</v>
      </c>
      <c r="C7466" t="s">
        <v>40</v>
      </c>
      <c r="D7466">
        <v>5.1747300000000003</v>
      </c>
      <c r="E7466">
        <v>0.40505999999999998</v>
      </c>
      <c r="F7466" t="s">
        <v>42</v>
      </c>
      <c r="G7466">
        <v>-299.07859999999999</v>
      </c>
      <c r="H7466">
        <v>1.022991</v>
      </c>
      <c r="I7466">
        <v>-56.975839999999998</v>
      </c>
      <c r="J7466">
        <v>-299.67860000000002</v>
      </c>
      <c r="K7466">
        <v>1.132595</v>
      </c>
      <c r="L7466">
        <v>-56.678159999999998</v>
      </c>
      <c r="M7466">
        <v>0.41549760000000002</v>
      </c>
      <c r="N7466">
        <v>-1.5609359999999999E-2</v>
      </c>
      <c r="O7466">
        <v>-0.9094603</v>
      </c>
      <c r="P7466">
        <v>0.65892879999999998</v>
      </c>
      <c r="Q7466">
        <v>-8.8090570000000007E-2</v>
      </c>
      <c r="R7466">
        <v>-0.74702950000000001</v>
      </c>
      <c r="S7466">
        <v>2.5130309999999998</v>
      </c>
      <c r="T7466">
        <v>-0.3873008</v>
      </c>
      <c r="U7466">
        <v>-1.7727660000000001</v>
      </c>
      <c r="V7466">
        <v>-0.28670869999999998</v>
      </c>
      <c r="W7466">
        <v>-8.1416870000000002E-2</v>
      </c>
      <c r="X7466">
        <v>0.95455190000000001</v>
      </c>
      <c r="Y7466">
        <v>-0.49749209999999999</v>
      </c>
      <c r="Z7466">
        <v>0.1152622</v>
      </c>
      <c r="AA7466">
        <v>0.85977689999999996</v>
      </c>
      <c r="AB7466">
        <v>24</v>
      </c>
      <c r="AC7466">
        <v>0.60000000000002196</v>
      </c>
      <c r="AD7466">
        <v>-0.10960399999999999</v>
      </c>
      <c r="AE7466">
        <v>-0.297680000000006</v>
      </c>
      <c r="AF7466">
        <v>-0.41103551393367199</v>
      </c>
      <c r="AG7466">
        <v>-0.10960399999999999</v>
      </c>
      <c r="AH7466">
        <v>0.50652624461791895</v>
      </c>
      <c r="AI7466">
        <v>99.537878053383395</v>
      </c>
      <c r="AJ7466">
        <v>129.05861129258801</v>
      </c>
      <c r="AK7466">
        <v>0.66146206770868599</v>
      </c>
      <c r="AL7466">
        <v>94.6700123105784</v>
      </c>
      <c r="AM7466">
        <v>106.718137728748</v>
      </c>
      <c r="AN7466">
        <v>0.99999995758494697</v>
      </c>
    </row>
    <row r="7467" spans="1:40" x14ac:dyDescent="0.25">
      <c r="A7467" t="str">
        <f>"20190303154328999"</f>
        <v>20190303154328999</v>
      </c>
      <c r="B7467" t="str">
        <f>"1551599008988018"</f>
        <v>1551599008988018</v>
      </c>
      <c r="C7467" t="s">
        <v>40</v>
      </c>
      <c r="D7467">
        <v>5.2724799999999998</v>
      </c>
      <c r="E7467">
        <v>0.4063599</v>
      </c>
      <c r="F7467" t="s">
        <v>42</v>
      </c>
      <c r="G7467">
        <v>-298.81029999999998</v>
      </c>
      <c r="H7467">
        <v>1.006092</v>
      </c>
      <c r="I7467">
        <v>-57.272910000000003</v>
      </c>
      <c r="J7467">
        <v>-299.55939999999998</v>
      </c>
      <c r="K7467">
        <v>1.1327719999999999</v>
      </c>
      <c r="L7467">
        <v>-56.886899999999997</v>
      </c>
      <c r="M7467">
        <v>0.4328439</v>
      </c>
      <c r="N7467">
        <v>-1.5956370000000001E-2</v>
      </c>
      <c r="O7467">
        <v>-0.90132789999999996</v>
      </c>
      <c r="P7467">
        <v>0.67368139999999999</v>
      </c>
      <c r="Q7467">
        <v>-8.6058209999999996E-2</v>
      </c>
      <c r="R7467">
        <v>-0.73399449999999999</v>
      </c>
      <c r="S7467">
        <v>2.5349119999999998</v>
      </c>
      <c r="T7467">
        <v>-0.3693244</v>
      </c>
      <c r="U7467">
        <v>-1.736389</v>
      </c>
      <c r="V7467">
        <v>-0.28736800000000001</v>
      </c>
      <c r="W7467">
        <v>-7.9187350000000004E-2</v>
      </c>
      <c r="X7467">
        <v>0.95454130000000004</v>
      </c>
      <c r="Y7467">
        <v>-0.49338320000000002</v>
      </c>
      <c r="Z7467">
        <v>0.1088778</v>
      </c>
      <c r="AA7467">
        <v>0.86297080000000004</v>
      </c>
      <c r="AB7467">
        <v>24</v>
      </c>
      <c r="AC7467">
        <v>0.74909999999999799</v>
      </c>
      <c r="AD7467">
        <v>-0.12667999999999899</v>
      </c>
      <c r="AE7467">
        <v>-0.38600999999999802</v>
      </c>
      <c r="AF7467">
        <v>-0.49693762020632998</v>
      </c>
      <c r="AG7467">
        <v>-0.12667999999999899</v>
      </c>
      <c r="AH7467">
        <v>0.65739481136600597</v>
      </c>
      <c r="AI7467">
        <v>98.739220788197699</v>
      </c>
      <c r="AJ7467">
        <v>127.08634902119501</v>
      </c>
      <c r="AK7467">
        <v>0.83376421054592897</v>
      </c>
      <c r="AL7467">
        <v>94.541855906649999</v>
      </c>
      <c r="AM7467">
        <v>106.754605364708</v>
      </c>
      <c r="AN7467">
        <v>1.0000000486148499</v>
      </c>
    </row>
    <row r="7468" spans="1:40" x14ac:dyDescent="0.25">
      <c r="A7468" t="str">
        <f>"20190303154329021"</f>
        <v>20190303154329021</v>
      </c>
      <c r="B7468" t="str">
        <f>"1551599009007538"</f>
        <v>1551599009007538</v>
      </c>
      <c r="C7468" t="s">
        <v>40</v>
      </c>
      <c r="D7468">
        <v>5.2855679999999996</v>
      </c>
      <c r="E7468">
        <v>0.41572799999999999</v>
      </c>
      <c r="F7468" t="s">
        <v>42</v>
      </c>
      <c r="G7468">
        <v>-298.71199999999999</v>
      </c>
      <c r="H7468">
        <v>1.012022</v>
      </c>
      <c r="I7468">
        <v>-57.447220000000002</v>
      </c>
      <c r="J7468">
        <v>-299.44959999999998</v>
      </c>
      <c r="K7468">
        <v>1.132922</v>
      </c>
      <c r="L7468">
        <v>-57.071109999999997</v>
      </c>
      <c r="M7468">
        <v>0.44846320000000001</v>
      </c>
      <c r="N7468">
        <v>-1.6238349999999999E-2</v>
      </c>
      <c r="O7468">
        <v>-0.89365380000000005</v>
      </c>
      <c r="P7468">
        <v>0.68644780000000005</v>
      </c>
      <c r="Q7468">
        <v>-8.5875499999999994E-2</v>
      </c>
      <c r="R7468">
        <v>-0.72209080000000003</v>
      </c>
      <c r="S7468">
        <v>2.561401</v>
      </c>
      <c r="T7468">
        <v>-0.36495860000000002</v>
      </c>
      <c r="U7468">
        <v>-1.693481</v>
      </c>
      <c r="V7468">
        <v>-0.287468</v>
      </c>
      <c r="W7468">
        <v>-7.8837229999999994E-2</v>
      </c>
      <c r="X7468">
        <v>0.9545401</v>
      </c>
      <c r="Y7468">
        <v>-0.49259439999999999</v>
      </c>
      <c r="Z7468">
        <v>0.10706309999999999</v>
      </c>
      <c r="AA7468">
        <v>0.86364819999999998</v>
      </c>
      <c r="AB7468">
        <v>24</v>
      </c>
      <c r="AC7468">
        <v>0.73759999999998604</v>
      </c>
      <c r="AD7468">
        <v>-0.12089999999999999</v>
      </c>
      <c r="AE7468">
        <v>-0.376109999999997</v>
      </c>
      <c r="AF7468">
        <v>-0.48031081236530898</v>
      </c>
      <c r="AG7468">
        <v>-0.12089999999999999</v>
      </c>
      <c r="AH7468">
        <v>0.65306163823362295</v>
      </c>
      <c r="AI7468">
        <v>98.482326090660607</v>
      </c>
      <c r="AJ7468">
        <v>126.33356954467401</v>
      </c>
      <c r="AK7468">
        <v>0.819636986602854</v>
      </c>
      <c r="AL7468">
        <v>94.521732902073893</v>
      </c>
      <c r="AM7468">
        <v>106.76012872348601</v>
      </c>
      <c r="AN7468">
        <v>0.99999998118304101</v>
      </c>
    </row>
    <row r="7469" spans="1:40" x14ac:dyDescent="0.25">
      <c r="A7469" t="str">
        <f>"20190303154329054"</f>
        <v>20190303154329054</v>
      </c>
      <c r="B7469" t="str">
        <f>"1551599009047554"</f>
        <v>1551599009047554</v>
      </c>
      <c r="C7469" t="s">
        <v>40</v>
      </c>
      <c r="D7469">
        <v>5.2874759999999998</v>
      </c>
      <c r="E7469">
        <v>0.41805569999999997</v>
      </c>
      <c r="F7469" t="s">
        <v>42</v>
      </c>
      <c r="G7469">
        <v>-298.62049999999999</v>
      </c>
      <c r="H7469">
        <v>1.009223</v>
      </c>
      <c r="I7469">
        <v>-57.627119999999998</v>
      </c>
      <c r="J7469">
        <v>-299.26859999999999</v>
      </c>
      <c r="K7469">
        <v>1.1331580000000001</v>
      </c>
      <c r="L7469">
        <v>-57.35886</v>
      </c>
      <c r="M7469">
        <v>0.47348499999999999</v>
      </c>
      <c r="N7469">
        <v>-1.66356E-2</v>
      </c>
      <c r="O7469">
        <v>-0.88064480000000001</v>
      </c>
      <c r="P7469">
        <v>0.70741160000000003</v>
      </c>
      <c r="Q7469">
        <v>-8.7539420000000007E-2</v>
      </c>
      <c r="R7469">
        <v>-0.70136030000000005</v>
      </c>
      <c r="S7469">
        <v>2.5351870000000001</v>
      </c>
      <c r="T7469">
        <v>-0.37815690000000002</v>
      </c>
      <c r="U7469">
        <v>-1.6995849999999999</v>
      </c>
      <c r="V7469">
        <v>-0.28866979999999998</v>
      </c>
      <c r="W7469">
        <v>-8.0316689999999996E-2</v>
      </c>
      <c r="X7469">
        <v>0.95405399999999996</v>
      </c>
      <c r="Y7469">
        <v>-0.46192430000000001</v>
      </c>
      <c r="Z7469">
        <v>0.1100853</v>
      </c>
      <c r="AA7469">
        <v>0.88006090000000003</v>
      </c>
      <c r="AB7469">
        <v>24</v>
      </c>
      <c r="AC7469">
        <v>0.64809999999999901</v>
      </c>
      <c r="AD7469">
        <v>-0.123934999999999</v>
      </c>
      <c r="AE7469">
        <v>-0.268259999999997</v>
      </c>
      <c r="AF7469">
        <v>-0.43035476397776801</v>
      </c>
      <c r="AG7469">
        <v>-0.123934999999999</v>
      </c>
      <c r="AH7469">
        <v>0.52673807382654003</v>
      </c>
      <c r="AI7469">
        <v>100.32638116790901</v>
      </c>
      <c r="AJ7469">
        <v>129.249459001102</v>
      </c>
      <c r="AK7469">
        <v>0.69138853441596404</v>
      </c>
      <c r="AL7469">
        <v>94.606769176506305</v>
      </c>
      <c r="AM7469">
        <v>106.834332877419</v>
      </c>
      <c r="AN7469">
        <v>1.00000002952029</v>
      </c>
    </row>
    <row r="7470" spans="1:40" x14ac:dyDescent="0.25">
      <c r="A7470" t="str">
        <f>"20190303154329076"</f>
        <v>20190303154329076</v>
      </c>
      <c r="B7470" t="str">
        <f>"1551599009068050"</f>
        <v>1551599009068050</v>
      </c>
      <c r="C7470" t="s">
        <v>40</v>
      </c>
      <c r="D7470">
        <v>5.3278699999999999</v>
      </c>
      <c r="E7470">
        <v>0.3715541</v>
      </c>
      <c r="F7470" t="s">
        <v>42</v>
      </c>
      <c r="G7470">
        <v>-298.52870000000001</v>
      </c>
      <c r="H7470">
        <v>1.0236179999999999</v>
      </c>
      <c r="I7470">
        <v>-57.830190000000002</v>
      </c>
      <c r="J7470">
        <v>-299.14420000000001</v>
      </c>
      <c r="K7470">
        <v>1.1332949999999999</v>
      </c>
      <c r="L7470">
        <v>-57.546019999999999</v>
      </c>
      <c r="M7470">
        <v>0.4902012</v>
      </c>
      <c r="N7470">
        <v>-1.6868830000000001E-2</v>
      </c>
      <c r="O7470">
        <v>-0.871446099999999</v>
      </c>
      <c r="P7470">
        <v>0.72161319999999995</v>
      </c>
      <c r="Q7470">
        <v>-8.8595569999999998E-2</v>
      </c>
      <c r="R7470">
        <v>-0.68660399999999999</v>
      </c>
      <c r="S7470">
        <v>2.5708920000000002</v>
      </c>
      <c r="T7470">
        <v>-0.38051629999999997</v>
      </c>
      <c r="U7470">
        <v>-1.636841</v>
      </c>
      <c r="V7470">
        <v>-0.28999609999999998</v>
      </c>
      <c r="W7470">
        <v>-8.1297190000000005E-2</v>
      </c>
      <c r="X7470">
        <v>0.95356859999999999</v>
      </c>
      <c r="Y7470">
        <v>-0.46573579999999998</v>
      </c>
      <c r="Z7470">
        <v>0.1106012</v>
      </c>
      <c r="AA7470">
        <v>0.87798489999999996</v>
      </c>
      <c r="AB7470">
        <v>24</v>
      </c>
      <c r="AC7470">
        <v>0.61549999999999705</v>
      </c>
      <c r="AD7470">
        <v>-0.109677</v>
      </c>
      <c r="AE7470">
        <v>-0.28417000000000298</v>
      </c>
      <c r="AF7470">
        <v>-0.38700198631571597</v>
      </c>
      <c r="AG7470">
        <v>-0.109677</v>
      </c>
      <c r="AH7470">
        <v>0.53542209040011701</v>
      </c>
      <c r="AI7470">
        <v>99.426038804172705</v>
      </c>
      <c r="AJ7470">
        <v>125.85932575235699</v>
      </c>
      <c r="AK7470">
        <v>0.66968380346977296</v>
      </c>
      <c r="AL7470">
        <v>94.663132038686797</v>
      </c>
      <c r="AM7470">
        <v>106.915390400929</v>
      </c>
      <c r="AN7470">
        <v>1.00000002301153</v>
      </c>
    </row>
    <row r="7471" spans="1:40" x14ac:dyDescent="0.25">
      <c r="A7471" t="str">
        <f>"20190303154329098"</f>
        <v>20190303154329098</v>
      </c>
      <c r="B7471" t="str">
        <f>"1551599009088078"</f>
        <v>1551599009088078</v>
      </c>
      <c r="C7471" t="s">
        <v>40</v>
      </c>
      <c r="D7471">
        <v>5.4059290000000004</v>
      </c>
      <c r="E7471">
        <v>0.3275709</v>
      </c>
      <c r="F7471" t="s">
        <v>42</v>
      </c>
      <c r="G7471">
        <v>-298.15640000000002</v>
      </c>
      <c r="H7471">
        <v>0.98609020000000003</v>
      </c>
      <c r="I7471">
        <v>-58.000500000000002</v>
      </c>
      <c r="J7471">
        <v>-299.0129</v>
      </c>
      <c r="K7471">
        <v>1.1334439999999999</v>
      </c>
      <c r="L7471">
        <v>-57.73404</v>
      </c>
      <c r="M7471">
        <v>0.50743130000000003</v>
      </c>
      <c r="N7471">
        <v>-1.7088820000000001E-2</v>
      </c>
      <c r="O7471">
        <v>-0.86152289999999998</v>
      </c>
      <c r="P7471">
        <v>0.73543419999999904</v>
      </c>
      <c r="Q7471">
        <v>-8.9831770000000005E-2</v>
      </c>
      <c r="R7471">
        <v>-0.67161519999999997</v>
      </c>
      <c r="S7471">
        <v>2.8554080000000002</v>
      </c>
      <c r="T7471">
        <v>-0.42547570000000001</v>
      </c>
      <c r="U7471">
        <v>-1.313385</v>
      </c>
      <c r="V7471">
        <v>-0.2904582</v>
      </c>
      <c r="W7471">
        <v>-8.2447779999999998E-2</v>
      </c>
      <c r="X7471">
        <v>0.95332910000000004</v>
      </c>
      <c r="Y7471">
        <v>-0.56234530000000005</v>
      </c>
      <c r="Z7471">
        <v>0.1249039</v>
      </c>
      <c r="AA7471">
        <v>0.81741469999999905</v>
      </c>
      <c r="AB7471">
        <v>23</v>
      </c>
      <c r="AC7471">
        <v>0.85649999999998205</v>
      </c>
      <c r="AD7471">
        <v>-0.14735380000000001</v>
      </c>
      <c r="AE7471">
        <v>-0.26646000000000197</v>
      </c>
      <c r="AF7471">
        <v>-0.58693290462215597</v>
      </c>
      <c r="AG7471">
        <v>-0.14735380000000001</v>
      </c>
      <c r="AH7471">
        <v>0.64681787319846795</v>
      </c>
      <c r="AI7471">
        <v>99.576131105864604</v>
      </c>
      <c r="AJ7471">
        <v>132.22110398232101</v>
      </c>
      <c r="AK7471">
        <v>0.88576336455716598</v>
      </c>
      <c r="AL7471">
        <v>94.729278224072601</v>
      </c>
      <c r="AM7471">
        <v>106.944814111138</v>
      </c>
      <c r="AN7471">
        <v>0.99999998764048903</v>
      </c>
    </row>
    <row r="7472" spans="1:40" x14ac:dyDescent="0.25">
      <c r="A7472" t="str">
        <f>"20190303154329121"</f>
        <v>20190303154329121</v>
      </c>
      <c r="B7472" t="str">
        <f>"1551599009118192"</f>
        <v>1551599009118192</v>
      </c>
      <c r="C7472" t="s">
        <v>40</v>
      </c>
      <c r="D7472">
        <v>5.3669460000000004</v>
      </c>
      <c r="E7472">
        <v>0.32456570000000001</v>
      </c>
      <c r="F7472" t="s">
        <v>58</v>
      </c>
      <c r="G7472">
        <v>-291.31169999999997</v>
      </c>
      <c r="H7472" s="1">
        <v>-9.3249449999999992E-6</v>
      </c>
      <c r="I7472">
        <v>-60.191670000000002</v>
      </c>
      <c r="J7472">
        <v>-298.88010000000003</v>
      </c>
      <c r="K7472">
        <v>1.133589</v>
      </c>
      <c r="L7472">
        <v>-57.9159199999999</v>
      </c>
      <c r="M7472">
        <v>0.52445600000000003</v>
      </c>
      <c r="N7472">
        <v>-1.7290549999999998E-2</v>
      </c>
      <c r="O7472">
        <v>-0.85126219999999997</v>
      </c>
      <c r="P7472">
        <v>0.7494769</v>
      </c>
      <c r="Q7472">
        <v>-8.9837979999999998E-2</v>
      </c>
      <c r="R7472">
        <v>-0.65590700000000002</v>
      </c>
      <c r="S7472">
        <v>3.115326</v>
      </c>
      <c r="T7472">
        <v>-0.45850999999999997</v>
      </c>
      <c r="U7472">
        <v>-0.99417109999999997</v>
      </c>
      <c r="V7472">
        <v>-0.29164820000000002</v>
      </c>
      <c r="W7472">
        <v>-8.2403790000000005E-2</v>
      </c>
      <c r="X7472">
        <v>0.95296959999999997</v>
      </c>
      <c r="Y7472">
        <v>-0.64157209999999998</v>
      </c>
      <c r="Z7472">
        <v>0.13378909999999999</v>
      </c>
      <c r="AA7472">
        <v>0.75530509999999995</v>
      </c>
      <c r="AB7472">
        <v>23</v>
      </c>
      <c r="AC7472">
        <v>7.5684000000000502</v>
      </c>
      <c r="AD7472">
        <v>-1.1335983249449999</v>
      </c>
      <c r="AE7472">
        <v>-2.2757499999999999</v>
      </c>
      <c r="AF7472">
        <v>-5.1441110373502603</v>
      </c>
      <c r="AG7472">
        <v>-1.1335983249449999</v>
      </c>
      <c r="AH7472">
        <v>5.78834538117981</v>
      </c>
      <c r="AI7472">
        <v>98.328226844979596</v>
      </c>
      <c r="AJ7472">
        <v>131.62754007029901</v>
      </c>
      <c r="AK7472">
        <v>7.8263571205722799</v>
      </c>
      <c r="AL7472">
        <v>94.726748844269395</v>
      </c>
      <c r="AM7472">
        <v>107.016282355077</v>
      </c>
      <c r="AN7472">
        <v>1.00000005784688</v>
      </c>
    </row>
    <row r="7473" spans="1:40" x14ac:dyDescent="0.25">
      <c r="A7473" t="str">
        <f>"20190303154329143"</f>
        <v>20190303154329143</v>
      </c>
      <c r="B7473" t="str">
        <f>"1551599009137715"</f>
        <v>1551599009137715</v>
      </c>
      <c r="C7473" t="s">
        <v>40</v>
      </c>
      <c r="D7473">
        <v>5.3828180000000003</v>
      </c>
      <c r="E7473">
        <v>0.32637090000000002</v>
      </c>
      <c r="F7473" t="s">
        <v>58</v>
      </c>
      <c r="G7473">
        <v>-291.54500000000002</v>
      </c>
      <c r="H7473" s="1">
        <v>-9.2558700000000002E-6</v>
      </c>
      <c r="I7473">
        <v>-60.034109999999998</v>
      </c>
      <c r="J7473">
        <v>-298.74369999999999</v>
      </c>
      <c r="K7473">
        <v>1.133732</v>
      </c>
      <c r="L7473">
        <v>-58.094569999999997</v>
      </c>
      <c r="M7473">
        <v>0.54151930000000004</v>
      </c>
      <c r="N7473">
        <v>-1.7478359999999998E-2</v>
      </c>
      <c r="O7473">
        <v>-0.84050689999999995</v>
      </c>
      <c r="P7473">
        <v>0.76315230000000001</v>
      </c>
      <c r="Q7473">
        <v>-8.9770020000000006E-2</v>
      </c>
      <c r="R7473">
        <v>-0.63995329999999995</v>
      </c>
      <c r="S7473">
        <v>3.1487120000000002</v>
      </c>
      <c r="T7473">
        <v>-0.48661880000000002</v>
      </c>
      <c r="U7473">
        <v>-0.90927119999999995</v>
      </c>
      <c r="V7473">
        <v>-0.29251129999999997</v>
      </c>
      <c r="W7473">
        <v>-8.2282270000000005E-2</v>
      </c>
      <c r="X7473">
        <v>0.95271550000000005</v>
      </c>
      <c r="Y7473">
        <v>-0.645873699999999</v>
      </c>
      <c r="Z7473">
        <v>0.14205219999999999</v>
      </c>
      <c r="AA7473">
        <v>0.75011219999999901</v>
      </c>
      <c r="AB7473">
        <v>23</v>
      </c>
      <c r="AC7473">
        <v>7.1986999999999703</v>
      </c>
      <c r="AD7473">
        <v>-1.13374125587</v>
      </c>
      <c r="AE7473">
        <v>-1.93954</v>
      </c>
      <c r="AF7473">
        <v>-4.8879858270337504</v>
      </c>
      <c r="AG7473">
        <v>-1.13374125587</v>
      </c>
      <c r="AH7473">
        <v>5.4042996013724203</v>
      </c>
      <c r="AI7473">
        <v>98.843534471961306</v>
      </c>
      <c r="AJ7473">
        <v>132.128157539022</v>
      </c>
      <c r="AK7473">
        <v>7.3745663507719996</v>
      </c>
      <c r="AL7473">
        <v>94.719762676316606</v>
      </c>
      <c r="AM7473">
        <v>107.068005364332</v>
      </c>
      <c r="AN7473">
        <v>1.00000002826214</v>
      </c>
    </row>
    <row r="7474" spans="1:40" x14ac:dyDescent="0.25">
      <c r="A7474" t="str">
        <f>"20190303154329165"</f>
        <v>20190303154329165</v>
      </c>
      <c r="B7474" t="str">
        <f>"1551599009158207"</f>
        <v>1551599009158207</v>
      </c>
      <c r="C7474" t="s">
        <v>40</v>
      </c>
      <c r="D7474">
        <v>5.1424789999999998</v>
      </c>
      <c r="E7474">
        <v>0.32310719999999998</v>
      </c>
      <c r="F7474" t="s">
        <v>58</v>
      </c>
      <c r="G7474">
        <v>-291.47320000000002</v>
      </c>
      <c r="H7474" s="1">
        <v>-9.2793859999999997E-6</v>
      </c>
      <c r="I7474">
        <v>-60.060189999999999</v>
      </c>
      <c r="J7474">
        <v>-298.60610000000003</v>
      </c>
      <c r="K7474">
        <v>1.1338600000000001</v>
      </c>
      <c r="L7474">
        <v>-58.266910000000003</v>
      </c>
      <c r="M7474">
        <v>0.55830809999999997</v>
      </c>
      <c r="N7474">
        <v>-1.76493E-2</v>
      </c>
      <c r="O7474">
        <v>-0.82944589999999996</v>
      </c>
      <c r="P7474">
        <v>0.77698029999999996</v>
      </c>
      <c r="Q7474">
        <v>-8.9250590000000005E-2</v>
      </c>
      <c r="R7474">
        <v>-0.623166</v>
      </c>
      <c r="S7474">
        <v>3.157349</v>
      </c>
      <c r="T7474">
        <v>-0.49234929999999899</v>
      </c>
      <c r="U7474">
        <v>-0.85360720000000001</v>
      </c>
      <c r="V7474">
        <v>-0.29416520000000002</v>
      </c>
      <c r="W7474">
        <v>-8.1748109999999999E-2</v>
      </c>
      <c r="X7474">
        <v>0.95225210000000005</v>
      </c>
      <c r="Y7474">
        <v>-0.64318839999999999</v>
      </c>
      <c r="Z7474">
        <v>0.1434416</v>
      </c>
      <c r="AA7474">
        <v>0.75215240000000005</v>
      </c>
      <c r="AB7474">
        <v>23</v>
      </c>
      <c r="AC7474">
        <v>7.1329000000000002</v>
      </c>
      <c r="AD7474">
        <v>-1.1338692793859999</v>
      </c>
      <c r="AE7474">
        <v>-1.79328000000001</v>
      </c>
      <c r="AF7474">
        <v>-4.8017931480252898</v>
      </c>
      <c r="AG7474">
        <v>-1.1338692793859999</v>
      </c>
      <c r="AH7474">
        <v>5.3436342647529296</v>
      </c>
      <c r="AI7474">
        <v>98.968999188654607</v>
      </c>
      <c r="AJ7474">
        <v>131.942884610785</v>
      </c>
      <c r="AK7474">
        <v>7.2730532883101899</v>
      </c>
      <c r="AL7474">
        <v>94.6890542875351</v>
      </c>
      <c r="AM7474">
        <v>107.166716566088</v>
      </c>
      <c r="AN7474">
        <v>0.99999999016701102</v>
      </c>
    </row>
    <row r="7475" spans="1:40" x14ac:dyDescent="0.25">
      <c r="A7475" t="str">
        <f>"20190303154329188"</f>
        <v>20190303154329188</v>
      </c>
      <c r="B7475" t="str">
        <f>"1551599009177728"</f>
        <v>1551599009177728</v>
      </c>
      <c r="C7475" t="s">
        <v>40</v>
      </c>
      <c r="D7475">
        <v>5.1600400000000004</v>
      </c>
      <c r="E7475">
        <v>0.32216299999999998</v>
      </c>
      <c r="F7475" t="s">
        <v>58</v>
      </c>
      <c r="G7475">
        <v>-291.06040000000002</v>
      </c>
      <c r="H7475" s="1">
        <v>-9.4282159999999994E-6</v>
      </c>
      <c r="I7475">
        <v>-60.07273</v>
      </c>
      <c r="J7475">
        <v>-298.46030000000002</v>
      </c>
      <c r="K7475">
        <v>1.1339920000000001</v>
      </c>
      <c r="L7475">
        <v>-58.441800000000001</v>
      </c>
      <c r="M7475">
        <v>0.57568929999999996</v>
      </c>
      <c r="N7475">
        <v>-1.781367E-2</v>
      </c>
      <c r="O7475">
        <v>-0.81747449999999999</v>
      </c>
      <c r="P7475">
        <v>0.79077509999999995</v>
      </c>
      <c r="Q7475">
        <v>-9.1177510000000003E-2</v>
      </c>
      <c r="R7475">
        <v>-0.60527839999999999</v>
      </c>
      <c r="S7475">
        <v>3.193085</v>
      </c>
      <c r="T7475">
        <v>-0.47981190000000001</v>
      </c>
      <c r="U7475">
        <v>-0.76416019999999996</v>
      </c>
      <c r="V7475">
        <v>-0.29552630000000002</v>
      </c>
      <c r="W7475">
        <v>-8.3661490000000005E-2</v>
      </c>
      <c r="X7475">
        <v>0.95166430000000002</v>
      </c>
      <c r="Y7475">
        <v>-0.64976540000000005</v>
      </c>
      <c r="Z7475">
        <v>0.1388877</v>
      </c>
      <c r="AA7475">
        <v>0.74733879999999997</v>
      </c>
      <c r="AB7475">
        <v>23</v>
      </c>
      <c r="AC7475">
        <v>7.3998999999999997</v>
      </c>
      <c r="AD7475">
        <v>-1.134001428216</v>
      </c>
      <c r="AE7475">
        <v>-1.63093</v>
      </c>
      <c r="AF7475">
        <v>-4.9991687366426696</v>
      </c>
      <c r="AG7475">
        <v>-1.134001428216</v>
      </c>
      <c r="AH7475">
        <v>5.47163032757914</v>
      </c>
      <c r="AI7475">
        <v>98.699105524341306</v>
      </c>
      <c r="AJ7475">
        <v>132.41646210295701</v>
      </c>
      <c r="AK7475">
        <v>7.4977587143295796</v>
      </c>
      <c r="AL7475">
        <v>94.799059777050701</v>
      </c>
      <c r="AM7475">
        <v>107.251465046433</v>
      </c>
      <c r="AN7475">
        <v>0.99999998939760004</v>
      </c>
    </row>
    <row r="7476" spans="1:40" x14ac:dyDescent="0.25">
      <c r="A7476" t="str">
        <f>"20190303154329210"</f>
        <v>20190303154329210</v>
      </c>
      <c r="B7476" t="str">
        <f>"1551599009207983"</f>
        <v>1551599009207983</v>
      </c>
      <c r="C7476" t="s">
        <v>40</v>
      </c>
      <c r="D7476">
        <v>5.096025</v>
      </c>
      <c r="E7476">
        <v>0.32057069999999999</v>
      </c>
      <c r="F7476" t="s">
        <v>58</v>
      </c>
      <c r="G7476">
        <v>-290.79610000000002</v>
      </c>
      <c r="H7476" s="1">
        <v>-9.5241200000000006E-6</v>
      </c>
      <c r="I7476">
        <v>-60.0745199999999</v>
      </c>
      <c r="J7476">
        <v>-298.31119999999999</v>
      </c>
      <c r="K7476">
        <v>1.1341110000000001</v>
      </c>
      <c r="L7476">
        <v>-58.612549999999999</v>
      </c>
      <c r="M7476">
        <v>0.59300149999999996</v>
      </c>
      <c r="N7476">
        <v>-1.79671E-2</v>
      </c>
      <c r="O7476">
        <v>-0.80500079999999996</v>
      </c>
      <c r="P7476">
        <v>0.8039946</v>
      </c>
      <c r="Q7476">
        <v>-9.4012129999999999E-2</v>
      </c>
      <c r="R7476">
        <v>-0.58715779999999995</v>
      </c>
      <c r="S7476">
        <v>3.2147220000000001</v>
      </c>
      <c r="T7476">
        <v>-0.47565669999999999</v>
      </c>
      <c r="U7476">
        <v>-0.68484500000000004</v>
      </c>
      <c r="V7476">
        <v>-0.29646159999999999</v>
      </c>
      <c r="W7476">
        <v>-8.6476199999999906E-2</v>
      </c>
      <c r="X7476">
        <v>0.95112160000000001</v>
      </c>
      <c r="Y7476">
        <v>-0.65260799999999997</v>
      </c>
      <c r="Z7476">
        <v>0.13705110000000001</v>
      </c>
      <c r="AA7476">
        <v>0.74519780000000002</v>
      </c>
      <c r="AB7476">
        <v>23</v>
      </c>
      <c r="AC7476">
        <v>7.5150999999999497</v>
      </c>
      <c r="AD7476">
        <v>-1.1341205241200001</v>
      </c>
      <c r="AE7476">
        <v>-1.46196999999999</v>
      </c>
      <c r="AF7476">
        <v>-5.0722426883170302</v>
      </c>
      <c r="AG7476">
        <v>-1.1341205241200001</v>
      </c>
      <c r="AH7476">
        <v>5.5132788409374101</v>
      </c>
      <c r="AI7476">
        <v>98.608406768810994</v>
      </c>
      <c r="AJ7476">
        <v>132.61420317877401</v>
      </c>
      <c r="AK7476">
        <v>7.5769465373819296</v>
      </c>
      <c r="AL7476">
        <v>94.960917726842595</v>
      </c>
      <c r="AM7476">
        <v>107.31209163169299</v>
      </c>
      <c r="AN7476">
        <v>0.99999995571377898</v>
      </c>
    </row>
    <row r="7477" spans="1:40" x14ac:dyDescent="0.25">
      <c r="A7477" t="str">
        <f>"20190303154329232"</f>
        <v>20190303154329232</v>
      </c>
      <c r="B7477" t="str">
        <f>"1551599009227507"</f>
        <v>1551599009227507</v>
      </c>
      <c r="C7477" t="s">
        <v>40</v>
      </c>
      <c r="D7477">
        <v>5.3853730000000004</v>
      </c>
      <c r="E7477">
        <v>0.32150990000000002</v>
      </c>
      <c r="F7477" t="s">
        <v>58</v>
      </c>
      <c r="G7477">
        <v>-290.55990000000003</v>
      </c>
      <c r="H7477" s="1">
        <v>-9.6123090000000007E-6</v>
      </c>
      <c r="I7477">
        <v>-60.05153</v>
      </c>
      <c r="J7477">
        <v>-298.166</v>
      </c>
      <c r="K7477">
        <v>1.1342190000000001</v>
      </c>
      <c r="L7477">
        <v>-58.771450000000002</v>
      </c>
      <c r="M7477">
        <v>0.60943380000000003</v>
      </c>
      <c r="N7477">
        <v>-1.8104840000000001E-2</v>
      </c>
      <c r="O7477">
        <v>-0.79263030000000001</v>
      </c>
      <c r="P7477">
        <v>0.81641600000000003</v>
      </c>
      <c r="Q7477">
        <v>-9.5406130000000006E-2</v>
      </c>
      <c r="R7477">
        <v>-0.56952879999999995</v>
      </c>
      <c r="S7477">
        <v>3.2371219999999998</v>
      </c>
      <c r="T7477">
        <v>-0.47363539999999998</v>
      </c>
      <c r="U7477">
        <v>-0.60095209999999999</v>
      </c>
      <c r="V7477">
        <v>-0.29739369999999998</v>
      </c>
      <c r="W7477">
        <v>-8.7854210000000002E-2</v>
      </c>
      <c r="X7477">
        <v>0.95070429999999995</v>
      </c>
      <c r="Y7477">
        <v>-0.65691189999999999</v>
      </c>
      <c r="Z7477">
        <v>0.1358917</v>
      </c>
      <c r="AA7477">
        <v>0.74161999999999995</v>
      </c>
      <c r="AB7477">
        <v>23</v>
      </c>
      <c r="AC7477">
        <v>7.6060999999999597</v>
      </c>
      <c r="AD7477">
        <v>-1.134228612309</v>
      </c>
      <c r="AE7477">
        <v>-1.2800800000000001</v>
      </c>
      <c r="AF7477">
        <v>-5.1384447794851296</v>
      </c>
      <c r="AG7477">
        <v>-1.134228612309</v>
      </c>
      <c r="AH7477">
        <v>5.5313572998935197</v>
      </c>
      <c r="AI7477">
        <v>98.543814106177294</v>
      </c>
      <c r="AJ7477">
        <v>132.891051655772</v>
      </c>
      <c r="AK7477">
        <v>7.6345270237182197</v>
      </c>
      <c r="AL7477">
        <v>95.040173224376801</v>
      </c>
      <c r="AM7477">
        <v>107.37041810542701</v>
      </c>
      <c r="AN7477">
        <v>1.0000000205264501</v>
      </c>
    </row>
    <row r="7478" spans="1:40" x14ac:dyDescent="0.25">
      <c r="A7478" t="str">
        <f>"20190303154329254"</f>
        <v>20190303154329254</v>
      </c>
      <c r="B7478" t="str">
        <f>"1551599009248000"</f>
        <v>1551599009248000</v>
      </c>
      <c r="C7478" t="s">
        <v>40</v>
      </c>
      <c r="D7478">
        <v>4.9601379999999997</v>
      </c>
      <c r="E7478">
        <v>0.3222525</v>
      </c>
      <c r="F7478" t="s">
        <v>58</v>
      </c>
      <c r="G7478">
        <v>-290.31569999999999</v>
      </c>
      <c r="H7478" s="1">
        <v>-9.6993849999999996E-6</v>
      </c>
      <c r="I7478">
        <v>-60.068710000000003</v>
      </c>
      <c r="J7478">
        <v>-298.01429999999999</v>
      </c>
      <c r="K7478">
        <v>1.1343259999999999</v>
      </c>
      <c r="L7478">
        <v>-58.93036</v>
      </c>
      <c r="M7478">
        <v>0.62616930000000004</v>
      </c>
      <c r="N7478">
        <v>-1.823791E-2</v>
      </c>
      <c r="O7478">
        <v>-0.77947409999999995</v>
      </c>
      <c r="P7478">
        <v>0.82867099999999905</v>
      </c>
      <c r="Q7478">
        <v>-9.5773520000000001E-2</v>
      </c>
      <c r="R7478">
        <v>-0.55148199999999903</v>
      </c>
      <c r="S7478">
        <v>3.2456670000000001</v>
      </c>
      <c r="T7478">
        <v>-0.468943</v>
      </c>
      <c r="U7478">
        <v>-0.5363464</v>
      </c>
      <c r="V7478">
        <v>-0.29794549999999997</v>
      </c>
      <c r="W7478">
        <v>-8.8190480000000002E-2</v>
      </c>
      <c r="X7478">
        <v>0.95050040000000002</v>
      </c>
      <c r="Y7478">
        <v>-0.65593859999999904</v>
      </c>
      <c r="Z7478">
        <v>0.1338308</v>
      </c>
      <c r="AA7478">
        <v>0.7428553</v>
      </c>
      <c r="AB7478">
        <v>23</v>
      </c>
      <c r="AC7478">
        <v>7.6985999999999901</v>
      </c>
      <c r="AD7478">
        <v>-1.134335699385</v>
      </c>
      <c r="AE7478">
        <v>-1.13834999999999</v>
      </c>
      <c r="AF7478">
        <v>-5.1789094416917596</v>
      </c>
      <c r="AG7478">
        <v>-1.134335699385</v>
      </c>
      <c r="AH7478">
        <v>5.5901245549620002</v>
      </c>
      <c r="AI7478">
        <v>98.4665954296633</v>
      </c>
      <c r="AJ7478">
        <v>132.81322547873901</v>
      </c>
      <c r="AK7478">
        <v>7.7043697356845797</v>
      </c>
      <c r="AL7478">
        <v>95.059515021974505</v>
      </c>
      <c r="AM7478">
        <v>107.40421155754299</v>
      </c>
      <c r="AN7478">
        <v>1.0000000460665099</v>
      </c>
    </row>
    <row r="7479" spans="1:40" x14ac:dyDescent="0.25">
      <c r="A7479" t="str">
        <f>"20190303154329278"</f>
        <v>20190303154329278</v>
      </c>
      <c r="B7479" t="str">
        <f>"1551599009267520"</f>
        <v>1551599009267520</v>
      </c>
      <c r="C7479" t="s">
        <v>40</v>
      </c>
      <c r="D7479">
        <v>5.4078229999999996</v>
      </c>
      <c r="E7479">
        <v>0.32238050000000001</v>
      </c>
      <c r="F7479" t="s">
        <v>58</v>
      </c>
      <c r="G7479">
        <v>-290.06689999999998</v>
      </c>
      <c r="H7479" s="1">
        <v>-9.7888970000000005E-6</v>
      </c>
      <c r="I7479">
        <v>-60.078249999999997</v>
      </c>
      <c r="J7479">
        <v>-297.85390000000001</v>
      </c>
      <c r="K7479">
        <v>1.1344399999999999</v>
      </c>
      <c r="L7479">
        <v>-59.090299999999999</v>
      </c>
      <c r="M7479">
        <v>0.64337129999999998</v>
      </c>
      <c r="N7479">
        <v>-1.8367310000000001E-2</v>
      </c>
      <c r="O7479">
        <v>-0.76533399999999996</v>
      </c>
      <c r="P7479">
        <v>0.84032059999999997</v>
      </c>
      <c r="Q7479">
        <v>-9.6516560000000001E-2</v>
      </c>
      <c r="R7479">
        <v>-0.53342829999999997</v>
      </c>
      <c r="S7479">
        <v>3.2538149999999999</v>
      </c>
      <c r="T7479">
        <v>-0.4644182</v>
      </c>
      <c r="U7479">
        <v>-0.46997070000000002</v>
      </c>
      <c r="V7479">
        <v>-0.29723260000000001</v>
      </c>
      <c r="W7479">
        <v>-8.8854569999999994E-2</v>
      </c>
      <c r="X7479">
        <v>0.95066170000000005</v>
      </c>
      <c r="Y7479">
        <v>-0.65464080000000002</v>
      </c>
      <c r="Z7479">
        <v>0.13169400000000001</v>
      </c>
      <c r="AA7479">
        <v>0.74438040000000005</v>
      </c>
      <c r="AB7479">
        <v>23</v>
      </c>
      <c r="AC7479">
        <v>7.7870000000000301</v>
      </c>
      <c r="AD7479">
        <v>-1.134449788897</v>
      </c>
      <c r="AE7479">
        <v>-0.987949999999998</v>
      </c>
      <c r="AF7479">
        <v>-5.2159840655774197</v>
      </c>
      <c r="AG7479">
        <v>-1.134449788897</v>
      </c>
      <c r="AH7479">
        <v>5.6490202447237401</v>
      </c>
      <c r="AI7479">
        <v>98.393173477669706</v>
      </c>
      <c r="AJ7479">
        <v>132.717624429908</v>
      </c>
      <c r="AK7479">
        <v>7.7720586604312603</v>
      </c>
      <c r="AL7479">
        <v>95.097714721650405</v>
      </c>
      <c r="AM7479">
        <v>107.362305316209</v>
      </c>
      <c r="AN7479">
        <v>1.0000000104797599</v>
      </c>
    </row>
    <row r="7480" spans="1:40" x14ac:dyDescent="0.25">
      <c r="A7480" t="str">
        <f>"20190303154329299"</f>
        <v>20190303154329299</v>
      </c>
      <c r="B7480" t="str">
        <f>"1551599009288017"</f>
        <v>1551599009288017</v>
      </c>
      <c r="C7480" t="s">
        <v>40</v>
      </c>
      <c r="D7480">
        <v>5.2438940000000001</v>
      </c>
      <c r="E7480">
        <v>0.34643390000000002</v>
      </c>
      <c r="F7480" t="s">
        <v>58</v>
      </c>
      <c r="G7480">
        <v>-289.8383</v>
      </c>
      <c r="H7480" s="1">
        <v>-1.0129479999999999E-6</v>
      </c>
      <c r="I7480">
        <v>-60.073349999999998</v>
      </c>
      <c r="J7480">
        <v>-297.69929999999999</v>
      </c>
      <c r="K7480">
        <v>1.1345229999999999</v>
      </c>
      <c r="L7480">
        <v>-59.237490000000001</v>
      </c>
      <c r="M7480">
        <v>0.65949859999999905</v>
      </c>
      <c r="N7480">
        <v>-1.8482309999999998E-2</v>
      </c>
      <c r="O7480">
        <v>-0.75147869999999894</v>
      </c>
      <c r="P7480">
        <v>0.85024429999999995</v>
      </c>
      <c r="Q7480">
        <v>-9.8341230000000002E-2</v>
      </c>
      <c r="R7480">
        <v>-0.51712069999999999</v>
      </c>
      <c r="S7480">
        <v>3.2629999999999999</v>
      </c>
      <c r="T7480">
        <v>-0.4618044</v>
      </c>
      <c r="U7480">
        <v>-0.400177</v>
      </c>
      <c r="V7480">
        <v>-0.29512670000000002</v>
      </c>
      <c r="W7480">
        <v>-9.0552030000000006E-2</v>
      </c>
      <c r="X7480">
        <v>0.95115749999999999</v>
      </c>
      <c r="Y7480">
        <v>-0.65481590000000001</v>
      </c>
      <c r="Z7480">
        <v>0.1301591</v>
      </c>
      <c r="AA7480">
        <v>0.7444963</v>
      </c>
      <c r="AB7480">
        <v>23</v>
      </c>
      <c r="AC7480">
        <v>7.86099999999999</v>
      </c>
      <c r="AD7480">
        <v>-1.1345240129480001</v>
      </c>
      <c r="AE7480">
        <v>-0.83585999999999605</v>
      </c>
      <c r="AF7480">
        <v>-5.24893141958007</v>
      </c>
      <c r="AG7480">
        <v>-1.1345240129480001</v>
      </c>
      <c r="AH7480">
        <v>5.6961227584159202</v>
      </c>
      <c r="AI7480">
        <v>98.332858451919904</v>
      </c>
      <c r="AJ7480">
        <v>132.660319207084</v>
      </c>
      <c r="AK7480">
        <v>7.8284251457336103</v>
      </c>
      <c r="AL7480">
        <v>95.195365682385798</v>
      </c>
      <c r="AM7480">
        <v>107.238156523019</v>
      </c>
      <c r="AN7480">
        <v>1.00000001449813</v>
      </c>
    </row>
    <row r="7481" spans="1:40" x14ac:dyDescent="0.25">
      <c r="A7481" t="str">
        <f>"20190303154329322"</f>
        <v>20190303154329322</v>
      </c>
      <c r="B7481" t="str">
        <f>"1551599009318272"</f>
        <v>1551599009318272</v>
      </c>
      <c r="C7481" t="s">
        <v>40</v>
      </c>
      <c r="D7481">
        <v>5.3247400000000003</v>
      </c>
      <c r="E7481">
        <v>0.34875319999999999</v>
      </c>
      <c r="F7481" t="s">
        <v>58</v>
      </c>
      <c r="G7481">
        <v>-288.74130000000002</v>
      </c>
      <c r="H7481" s="1">
        <v>-4.098101E-6</v>
      </c>
      <c r="I7481">
        <v>-60.653289999999998</v>
      </c>
      <c r="J7481">
        <v>-297.53829999999999</v>
      </c>
      <c r="K7481">
        <v>1.134582</v>
      </c>
      <c r="L7481">
        <v>-59.38391</v>
      </c>
      <c r="M7481">
        <v>0.67581769999999997</v>
      </c>
      <c r="N7481">
        <v>-1.8591529999999998E-2</v>
      </c>
      <c r="O7481">
        <v>-0.7368344</v>
      </c>
      <c r="P7481">
        <v>0.86011419999999905</v>
      </c>
      <c r="Q7481">
        <v>-9.9989880000000003E-2</v>
      </c>
      <c r="R7481">
        <v>-0.50020589999999998</v>
      </c>
      <c r="S7481">
        <v>3.1765140000000001</v>
      </c>
      <c r="T7481">
        <v>-0.40230369999999999</v>
      </c>
      <c r="U7481">
        <v>-0.50204470000000001</v>
      </c>
      <c r="V7481">
        <v>-0.29287590000000002</v>
      </c>
      <c r="W7481">
        <v>-9.2063110000000004E-2</v>
      </c>
      <c r="X7481">
        <v>0.951708</v>
      </c>
      <c r="Y7481">
        <v>-0.61421479999999995</v>
      </c>
      <c r="Z7481">
        <v>0.111378</v>
      </c>
      <c r="AA7481">
        <v>0.78123949999999998</v>
      </c>
      <c r="AB7481">
        <v>23</v>
      </c>
      <c r="AC7481">
        <v>8.7969999999999597</v>
      </c>
      <c r="AD7481">
        <v>-1.1345860981010001</v>
      </c>
      <c r="AE7481">
        <v>-1.26938</v>
      </c>
      <c r="AF7481">
        <v>-5.53484396563878</v>
      </c>
      <c r="AG7481">
        <v>-1.1345860981010001</v>
      </c>
      <c r="AH7481">
        <v>6.7713407001914199</v>
      </c>
      <c r="AI7481">
        <v>97.3918223087135</v>
      </c>
      <c r="AJ7481">
        <v>129.262310771659</v>
      </c>
      <c r="AK7481">
        <v>8.8188909856081601</v>
      </c>
      <c r="AL7481">
        <v>95.282307381448803</v>
      </c>
      <c r="AM7481">
        <v>107.10507559154399</v>
      </c>
      <c r="AN7481">
        <v>1.00000001314384</v>
      </c>
    </row>
    <row r="7482" spans="1:40" x14ac:dyDescent="0.25">
      <c r="A7482" t="str">
        <f>"20190303154329344"</f>
        <v>20190303154329344</v>
      </c>
      <c r="B7482" t="str">
        <f>"1551599009337792"</f>
        <v>1551599009337792</v>
      </c>
      <c r="C7482" t="s">
        <v>40</v>
      </c>
      <c r="D7482">
        <v>5.3675129999999998</v>
      </c>
      <c r="E7482">
        <v>0.35039300000000001</v>
      </c>
      <c r="F7482" t="s">
        <v>58</v>
      </c>
      <c r="G7482">
        <v>-288.62079999999997</v>
      </c>
      <c r="H7482" s="1">
        <v>-4.157314E-6</v>
      </c>
      <c r="I7482">
        <v>-60.661180000000002</v>
      </c>
      <c r="J7482">
        <v>-297.37079999999997</v>
      </c>
      <c r="K7482">
        <v>1.1346560000000001</v>
      </c>
      <c r="L7482">
        <v>-59.529209999999999</v>
      </c>
      <c r="M7482">
        <v>0.69227280000000002</v>
      </c>
      <c r="N7482">
        <v>-1.869403E-2</v>
      </c>
      <c r="O7482">
        <v>-0.72139370000000003</v>
      </c>
      <c r="P7482">
        <v>0.87113149999999995</v>
      </c>
      <c r="Q7482">
        <v>-9.8108829999999994E-2</v>
      </c>
      <c r="R7482">
        <v>-0.4811491</v>
      </c>
      <c r="S7482">
        <v>3.1763309999999998</v>
      </c>
      <c r="T7482">
        <v>-0.4041324</v>
      </c>
      <c r="U7482">
        <v>-0.45495609999999997</v>
      </c>
      <c r="V7482">
        <v>-0.29255809999999999</v>
      </c>
      <c r="W7482">
        <v>-9.0108149999999998E-2</v>
      </c>
      <c r="X7482">
        <v>0.95199279999999997</v>
      </c>
      <c r="Y7482">
        <v>-0.60777959999999998</v>
      </c>
      <c r="Z7482">
        <v>0.11086310000000001</v>
      </c>
      <c r="AA7482">
        <v>0.7863291</v>
      </c>
      <c r="AB7482">
        <v>23</v>
      </c>
      <c r="AC7482">
        <v>8.75</v>
      </c>
      <c r="AD7482">
        <v>-1.1346601573139901</v>
      </c>
      <c r="AE7482">
        <v>-1.1319699999999999</v>
      </c>
      <c r="AF7482">
        <v>-5.4395646531073396</v>
      </c>
      <c r="AG7482">
        <v>-1.1346601573139901</v>
      </c>
      <c r="AH7482">
        <v>6.7633264237052302</v>
      </c>
      <c r="AI7482">
        <v>97.448079561061604</v>
      </c>
      <c r="AJ7482">
        <v>128.80880050750801</v>
      </c>
      <c r="AK7482">
        <v>8.7532223553112196</v>
      </c>
      <c r="AL7482">
        <v>95.169828878769096</v>
      </c>
      <c r="AM7482">
        <v>107.08278224034299</v>
      </c>
      <c r="AN7482">
        <v>1.0000000059119301</v>
      </c>
    </row>
    <row r="7483" spans="1:40" x14ac:dyDescent="0.25">
      <c r="A7483" t="str">
        <f>"20190303154329367"</f>
        <v>20190303154329367</v>
      </c>
      <c r="B7483" t="str">
        <f>"1551599009357324"</f>
        <v>1551599009357324</v>
      </c>
      <c r="C7483" t="s">
        <v>40</v>
      </c>
      <c r="D7483">
        <v>5.3254449999999904</v>
      </c>
      <c r="E7483">
        <v>0.35132239999999998</v>
      </c>
      <c r="F7483" t="s">
        <v>58</v>
      </c>
      <c r="G7483">
        <v>-288.40929999999997</v>
      </c>
      <c r="H7483" s="1">
        <v>-4.2663159999999997E-6</v>
      </c>
      <c r="I7483">
        <v>-60.646810000000002</v>
      </c>
      <c r="J7483">
        <v>-297.20639999999997</v>
      </c>
      <c r="K7483">
        <v>1.134717</v>
      </c>
      <c r="L7483">
        <v>-59.665280000000003</v>
      </c>
      <c r="M7483">
        <v>0.7079318</v>
      </c>
      <c r="N7483">
        <v>-1.878428E-2</v>
      </c>
      <c r="O7483">
        <v>-0.70603099999999996</v>
      </c>
      <c r="P7483">
        <v>0.88170029999999999</v>
      </c>
      <c r="Q7483">
        <v>-9.5301399999999994E-2</v>
      </c>
      <c r="R7483">
        <v>-0.46208450000000001</v>
      </c>
      <c r="S7483">
        <v>3.179443</v>
      </c>
      <c r="T7483">
        <v>-0.4025667</v>
      </c>
      <c r="U7483">
        <v>-0.3965149</v>
      </c>
      <c r="V7483">
        <v>-0.29268699999999997</v>
      </c>
      <c r="W7483">
        <v>-8.7243970000000004E-2</v>
      </c>
      <c r="X7483">
        <v>0.95221990000000001</v>
      </c>
      <c r="Y7483">
        <v>-0.6048654</v>
      </c>
      <c r="Z7483">
        <v>0.1094639</v>
      </c>
      <c r="AA7483">
        <v>0.78876840000000004</v>
      </c>
      <c r="AB7483">
        <v>23</v>
      </c>
      <c r="AC7483">
        <v>8.7971000000000004</v>
      </c>
      <c r="AD7483">
        <v>-1.134721266316</v>
      </c>
      <c r="AE7483">
        <v>-0.98152999999999202</v>
      </c>
      <c r="AF7483">
        <v>-5.4279429851682499</v>
      </c>
      <c r="AG7483">
        <v>-1.134721266316</v>
      </c>
      <c r="AH7483">
        <v>6.81004664592058</v>
      </c>
      <c r="AI7483">
        <v>97.423774314850704</v>
      </c>
      <c r="AJ7483">
        <v>128.55657316224</v>
      </c>
      <c r="AK7483">
        <v>8.7821917948813404</v>
      </c>
      <c r="AL7483">
        <v>95.005074558404104</v>
      </c>
      <c r="AM7483">
        <v>107.086031945028</v>
      </c>
      <c r="AN7483">
        <v>0.99999996411318404</v>
      </c>
    </row>
    <row r="7484" spans="1:40" x14ac:dyDescent="0.25">
      <c r="A7484" t="str">
        <f>"20190303154329390"</f>
        <v>20190303154329390</v>
      </c>
      <c r="B7484" t="str">
        <f>"1551599009377807"</f>
        <v>1551599009377807</v>
      </c>
      <c r="C7484" t="s">
        <v>40</v>
      </c>
      <c r="D7484">
        <v>5.3236990000000004</v>
      </c>
      <c r="E7484">
        <v>0.36540109999999998</v>
      </c>
      <c r="F7484" t="s">
        <v>42</v>
      </c>
      <c r="G7484">
        <v>-296.22019999999998</v>
      </c>
      <c r="H7484">
        <v>1.0120119999999999</v>
      </c>
      <c r="I7484">
        <v>-59.76885</v>
      </c>
      <c r="J7484">
        <v>-297.03219999999999</v>
      </c>
      <c r="K7484">
        <v>1.134752</v>
      </c>
      <c r="L7484">
        <v>-59.802729999999997</v>
      </c>
      <c r="M7484">
        <v>0.72399199999999997</v>
      </c>
      <c r="N7484">
        <v>-1.8869859999999999E-2</v>
      </c>
      <c r="O7484">
        <v>-0.68955029999999995</v>
      </c>
      <c r="P7484">
        <v>0.89159149999999998</v>
      </c>
      <c r="Q7484">
        <v>-9.651643E-2</v>
      </c>
      <c r="R7484">
        <v>-0.44243519999999997</v>
      </c>
      <c r="S7484">
        <v>3.1846009999999998</v>
      </c>
      <c r="T7484">
        <v>-0.39618720000000002</v>
      </c>
      <c r="U7484">
        <v>-0.3340149</v>
      </c>
      <c r="V7484">
        <v>-0.29173710000000003</v>
      </c>
      <c r="W7484">
        <v>-8.8368009999999997E-2</v>
      </c>
      <c r="X7484">
        <v>0.95240780000000003</v>
      </c>
      <c r="Y7484">
        <v>-0.60239849999999995</v>
      </c>
      <c r="Z7484">
        <v>0.1065184</v>
      </c>
      <c r="AA7484">
        <v>0.79105619999999999</v>
      </c>
      <c r="AB7484">
        <v>22</v>
      </c>
      <c r="AC7484">
        <v>0.81200000000001105</v>
      </c>
      <c r="AD7484">
        <v>-0.122739999999999</v>
      </c>
      <c r="AE7484">
        <v>3.38800000000034E-2</v>
      </c>
      <c r="AF7484">
        <v>-0.57151216512734104</v>
      </c>
      <c r="AG7484">
        <v>-0.122739999999999</v>
      </c>
      <c r="AH7484">
        <v>0.552028858511872</v>
      </c>
      <c r="AI7484">
        <v>98.781130976046498</v>
      </c>
      <c r="AJ7484">
        <v>135.99346560696301</v>
      </c>
      <c r="AK7484">
        <v>0.80400691733246998</v>
      </c>
      <c r="AL7484">
        <v>95.069726695900599</v>
      </c>
      <c r="AM7484">
        <v>107.030628918186</v>
      </c>
      <c r="AN7484">
        <v>1.0000000291043001</v>
      </c>
    </row>
    <row r="7485" spans="1:40" x14ac:dyDescent="0.25">
      <c r="A7485" t="str">
        <f>"20190303154329411"</f>
        <v>20190303154329411</v>
      </c>
      <c r="B7485" t="str">
        <f>"1551599009408064"</f>
        <v>1551599009408064</v>
      </c>
      <c r="C7485" t="s">
        <v>40</v>
      </c>
      <c r="D7485">
        <v>5.375381</v>
      </c>
      <c r="E7485">
        <v>0.37161100000000002</v>
      </c>
      <c r="F7485" t="s">
        <v>42</v>
      </c>
      <c r="G7485">
        <v>-296.09379999999999</v>
      </c>
      <c r="H7485">
        <v>1.023166</v>
      </c>
      <c r="I7485">
        <v>-59.911380000000001</v>
      </c>
      <c r="J7485">
        <v>-296.86470000000003</v>
      </c>
      <c r="K7485">
        <v>1.134765</v>
      </c>
      <c r="L7485">
        <v>-59.92868</v>
      </c>
      <c r="M7485">
        <v>0.73893790000000004</v>
      </c>
      <c r="N7485">
        <v>-1.89433E-2</v>
      </c>
      <c r="O7485">
        <v>-0.67350719999999997</v>
      </c>
      <c r="P7485">
        <v>0.89939919999999995</v>
      </c>
      <c r="Q7485">
        <v>-0.1010924</v>
      </c>
      <c r="R7485">
        <v>-0.4252783</v>
      </c>
      <c r="S7485">
        <v>3.1435849999999999</v>
      </c>
      <c r="T7485">
        <v>-0.37383620000000001</v>
      </c>
      <c r="U7485">
        <v>-0.3641663</v>
      </c>
      <c r="V7485">
        <v>-0.288603</v>
      </c>
      <c r="W7485">
        <v>-9.2779299999999995E-2</v>
      </c>
      <c r="X7485">
        <v>0.95294299999999998</v>
      </c>
      <c r="Y7485">
        <v>-0.57707730000000002</v>
      </c>
      <c r="Z7485">
        <v>9.8658709999999997E-2</v>
      </c>
      <c r="AA7485">
        <v>0.81070850000000005</v>
      </c>
      <c r="AB7485">
        <v>22</v>
      </c>
      <c r="AC7485">
        <v>0.77090000000004</v>
      </c>
      <c r="AD7485">
        <v>-0.111599</v>
      </c>
      <c r="AE7485">
        <v>1.73000000000058E-2</v>
      </c>
      <c r="AF7485">
        <v>-0.52116926827822296</v>
      </c>
      <c r="AG7485">
        <v>-0.111599</v>
      </c>
      <c r="AH7485">
        <v>0.54664553005985606</v>
      </c>
      <c r="AI7485">
        <v>98.405185450901001</v>
      </c>
      <c r="AJ7485">
        <v>133.6332785283</v>
      </c>
      <c r="AK7485">
        <v>0.76347434700393102</v>
      </c>
      <c r="AL7485">
        <v>95.323518362429198</v>
      </c>
      <c r="AM7485">
        <v>106.84916853506201</v>
      </c>
      <c r="AN7485">
        <v>1.00000002568324</v>
      </c>
    </row>
    <row r="7486" spans="1:40" x14ac:dyDescent="0.25">
      <c r="A7486" t="str">
        <f>"20190303154329434"</f>
        <v>20190303154329434</v>
      </c>
      <c r="B7486" t="str">
        <f>"1551599009427588"</f>
        <v>1551599009427588</v>
      </c>
      <c r="C7486" t="s">
        <v>40</v>
      </c>
      <c r="D7486">
        <v>5.3565870000000002</v>
      </c>
      <c r="E7486">
        <v>0.3732511</v>
      </c>
      <c r="F7486" t="s">
        <v>42</v>
      </c>
      <c r="G7486">
        <v>-295.9513</v>
      </c>
      <c r="H7486">
        <v>1.022872</v>
      </c>
      <c r="I7486">
        <v>-60.030610000000003</v>
      </c>
      <c r="J7486">
        <v>-296.68830000000003</v>
      </c>
      <c r="K7486">
        <v>1.134776</v>
      </c>
      <c r="L7486">
        <v>-60.055019999999899</v>
      </c>
      <c r="M7486">
        <v>0.75414930000000002</v>
      </c>
      <c r="N7486">
        <v>-1.901222E-2</v>
      </c>
      <c r="O7486">
        <v>-0.65642789999999995</v>
      </c>
      <c r="P7486">
        <v>0.90765669999999998</v>
      </c>
      <c r="Q7486">
        <v>-0.1043808</v>
      </c>
      <c r="R7486">
        <v>-0.40652690000000002</v>
      </c>
      <c r="S7486">
        <v>3.1277159999999999</v>
      </c>
      <c r="T7486">
        <v>-0.38309549999999998</v>
      </c>
      <c r="U7486">
        <v>-0.34851070000000001</v>
      </c>
      <c r="V7486">
        <v>-0.28622429999999999</v>
      </c>
      <c r="W7486">
        <v>-9.5927769999999996E-2</v>
      </c>
      <c r="X7486">
        <v>0.95334859999999999</v>
      </c>
      <c r="Y7486">
        <v>-0.56163260000000004</v>
      </c>
      <c r="Z7486">
        <v>9.9706660000000003E-2</v>
      </c>
      <c r="AA7486">
        <v>0.821357</v>
      </c>
      <c r="AB7486">
        <v>22</v>
      </c>
      <c r="AC7486">
        <v>0.73700000000002297</v>
      </c>
      <c r="AD7486">
        <v>-0.111903999999999</v>
      </c>
      <c r="AE7486">
        <v>2.4409999999996001E-2</v>
      </c>
      <c r="AF7486">
        <v>-0.49097997107003799</v>
      </c>
      <c r="AG7486">
        <v>-0.111903999999999</v>
      </c>
      <c r="AH7486">
        <v>0.52772894275487603</v>
      </c>
      <c r="AI7486">
        <v>98.824650243628497</v>
      </c>
      <c r="AJ7486">
        <v>132.934004194968</v>
      </c>
      <c r="AK7486">
        <v>0.729439287555253</v>
      </c>
      <c r="AL7486">
        <v>95.504720897990197</v>
      </c>
      <c r="AM7486">
        <v>106.71135820242699</v>
      </c>
      <c r="AN7486">
        <v>1.00000002004481</v>
      </c>
    </row>
    <row r="7487" spans="1:40" x14ac:dyDescent="0.25">
      <c r="A7487" t="str">
        <f>"20190303154329455"</f>
        <v>20190303154329455</v>
      </c>
      <c r="B7487" t="str">
        <f>"1551599009448083"</f>
        <v>1551599009448083</v>
      </c>
      <c r="C7487" t="s">
        <v>40</v>
      </c>
      <c r="D7487">
        <v>5.5403379999999904</v>
      </c>
      <c r="E7487">
        <v>0.3924416</v>
      </c>
      <c r="F7487" t="s">
        <v>42</v>
      </c>
      <c r="G7487">
        <v>-295.80180000000001</v>
      </c>
      <c r="H7487">
        <v>1.023479</v>
      </c>
      <c r="I7487">
        <v>-60.138770000000001</v>
      </c>
      <c r="J7487">
        <v>-296.51710000000003</v>
      </c>
      <c r="K7487">
        <v>1.1347849999999999</v>
      </c>
      <c r="L7487">
        <v>-60.171719999999901</v>
      </c>
      <c r="M7487">
        <v>0.76840540000000002</v>
      </c>
      <c r="N7487">
        <v>-1.9070670000000001E-2</v>
      </c>
      <c r="O7487">
        <v>-0.63967929999999995</v>
      </c>
      <c r="P7487">
        <v>0.9153308</v>
      </c>
      <c r="Q7487">
        <v>-0.1062287</v>
      </c>
      <c r="R7487">
        <v>-0.38844000000000001</v>
      </c>
      <c r="S7487">
        <v>3.1277469999999998</v>
      </c>
      <c r="T7487">
        <v>-0.3926386</v>
      </c>
      <c r="U7487">
        <v>-0.29537960000000002</v>
      </c>
      <c r="V7487">
        <v>-0.283974</v>
      </c>
      <c r="W7487">
        <v>-9.7639509999999999E-2</v>
      </c>
      <c r="X7487">
        <v>0.95384760000000002</v>
      </c>
      <c r="Y7487">
        <v>-0.55698610000000004</v>
      </c>
      <c r="Z7487">
        <v>0.1010688</v>
      </c>
      <c r="AA7487">
        <v>0.8243492</v>
      </c>
      <c r="AB7487">
        <v>22</v>
      </c>
      <c r="AC7487">
        <v>0.71530000000001304</v>
      </c>
      <c r="AD7487">
        <v>-0.111305999999999</v>
      </c>
      <c r="AE7487">
        <v>3.2949999999999501E-2</v>
      </c>
      <c r="AF7487">
        <v>-0.47157497253260799</v>
      </c>
      <c r="AG7487">
        <v>-0.111305999999999</v>
      </c>
      <c r="AH7487">
        <v>0.51618673914512503</v>
      </c>
      <c r="AI7487">
        <v>99.0454934324042</v>
      </c>
      <c r="AJ7487">
        <v>132.41402196969901</v>
      </c>
      <c r="AK7487">
        <v>0.70796944144815099</v>
      </c>
      <c r="AL7487">
        <v>95.603259230065603</v>
      </c>
      <c r="AM7487">
        <v>106.579017213998</v>
      </c>
      <c r="AN7487">
        <v>0.99999997530739904</v>
      </c>
    </row>
    <row r="7488" spans="1:40" x14ac:dyDescent="0.25">
      <c r="A7488" t="str">
        <f>"20190303154329478"</f>
        <v>20190303154329478</v>
      </c>
      <c r="B7488" t="str">
        <f>"1551599009467600"</f>
        <v>1551599009467600</v>
      </c>
      <c r="C7488" t="s">
        <v>40</v>
      </c>
      <c r="D7488">
        <v>5.534351</v>
      </c>
      <c r="E7488">
        <v>0.39577770000000001</v>
      </c>
      <c r="F7488" t="s">
        <v>42</v>
      </c>
      <c r="G7488">
        <v>-295.6671</v>
      </c>
      <c r="H7488">
        <v>1.0210140000000001</v>
      </c>
      <c r="I7488">
        <v>-60.275300000000001</v>
      </c>
      <c r="J7488">
        <v>-296.33519999999999</v>
      </c>
      <c r="K7488">
        <v>1.1347719999999999</v>
      </c>
      <c r="L7488">
        <v>-60.289090000000002</v>
      </c>
      <c r="M7488">
        <v>0.78298990000000002</v>
      </c>
      <c r="N7488">
        <v>-1.912287E-2</v>
      </c>
      <c r="O7488">
        <v>-0.62174050000000003</v>
      </c>
      <c r="P7488">
        <v>0.92276630000000004</v>
      </c>
      <c r="Q7488">
        <v>-0.1075889</v>
      </c>
      <c r="R7488">
        <v>-0.37003619999999998</v>
      </c>
      <c r="S7488">
        <v>3.071167</v>
      </c>
      <c r="T7488">
        <v>-0.41101670000000001</v>
      </c>
      <c r="U7488">
        <v>-0.37374879999999999</v>
      </c>
      <c r="V7488">
        <v>-0.28088159999999901</v>
      </c>
      <c r="W7488">
        <v>-9.8826380000000005E-2</v>
      </c>
      <c r="X7488">
        <v>0.95464070000000001</v>
      </c>
      <c r="Y7488">
        <v>-0.51441499999999996</v>
      </c>
      <c r="Z7488">
        <v>0.103227</v>
      </c>
      <c r="AA7488">
        <v>0.85130569999999905</v>
      </c>
      <c r="AB7488">
        <v>22</v>
      </c>
      <c r="AC7488">
        <v>0.66809999999998104</v>
      </c>
      <c r="AD7488">
        <v>-0.113758</v>
      </c>
      <c r="AE7488">
        <v>1.3790000000000101E-2</v>
      </c>
      <c r="AF7488">
        <v>-0.41425513224919802</v>
      </c>
      <c r="AG7488">
        <v>-0.113758</v>
      </c>
      <c r="AH7488">
        <v>0.50014179754118604</v>
      </c>
      <c r="AI7488">
        <v>99.935586648371</v>
      </c>
      <c r="AJ7488">
        <v>129.63411561255</v>
      </c>
      <c r="AK7488">
        <v>0.65931025686434497</v>
      </c>
      <c r="AL7488">
        <v>95.6715922548034</v>
      </c>
      <c r="AM7488">
        <v>106.39533610012199</v>
      </c>
      <c r="AN7488">
        <v>0.999999996349477</v>
      </c>
    </row>
    <row r="7489" spans="1:40" x14ac:dyDescent="0.25">
      <c r="A7489" t="str">
        <f>"20190303154329500"</f>
        <v>20190303154329500</v>
      </c>
      <c r="B7489" t="str">
        <f>"1551599009497857"</f>
        <v>1551599009497857</v>
      </c>
      <c r="C7489" t="s">
        <v>40</v>
      </c>
      <c r="D7489">
        <v>5.579853</v>
      </c>
      <c r="E7489">
        <v>0.40008549999999998</v>
      </c>
      <c r="F7489" t="s">
        <v>42</v>
      </c>
      <c r="G7489">
        <v>-295.32150000000001</v>
      </c>
      <c r="H7489">
        <v>1.0042549999999999</v>
      </c>
      <c r="I7489">
        <v>-60.400440000000003</v>
      </c>
      <c r="J7489">
        <v>-296.15699999999998</v>
      </c>
      <c r="K7489">
        <v>1.1347560000000001</v>
      </c>
      <c r="L7489">
        <v>-60.39828</v>
      </c>
      <c r="M7489">
        <v>0.79673590000000005</v>
      </c>
      <c r="N7489">
        <v>-1.9164730000000001E-2</v>
      </c>
      <c r="O7489">
        <v>-0.60402389999999995</v>
      </c>
      <c r="P7489">
        <v>0.93026529999999996</v>
      </c>
      <c r="Q7489">
        <v>-0.1068516</v>
      </c>
      <c r="R7489">
        <v>-0.35098410000000002</v>
      </c>
      <c r="S7489">
        <v>3.0698240000000001</v>
      </c>
      <c r="T7489">
        <v>-0.39525500000000002</v>
      </c>
      <c r="U7489">
        <v>-0.33709719999999999</v>
      </c>
      <c r="V7489">
        <v>-0.27918850000000001</v>
      </c>
      <c r="W7489">
        <v>-9.7966819999999996E-2</v>
      </c>
      <c r="X7489">
        <v>0.95522580000000001</v>
      </c>
      <c r="Y7489">
        <v>-0.50598290000000001</v>
      </c>
      <c r="Z7489">
        <v>9.7207199999999994E-2</v>
      </c>
      <c r="AA7489">
        <v>0.85704849999999999</v>
      </c>
      <c r="AB7489">
        <v>22</v>
      </c>
      <c r="AC7489">
        <v>0.83549999999996705</v>
      </c>
      <c r="AD7489">
        <v>-0.13050099999999901</v>
      </c>
      <c r="AE7489">
        <v>-2.1599999999963801E-3</v>
      </c>
      <c r="AF7489">
        <v>-0.49105324230344899</v>
      </c>
      <c r="AG7489">
        <v>-0.13050099999999901</v>
      </c>
      <c r="AH7489">
        <v>0.65121250667747599</v>
      </c>
      <c r="AI7489">
        <v>99.090567965508697</v>
      </c>
      <c r="AJ7489">
        <v>127.01848170592299</v>
      </c>
      <c r="AK7489">
        <v>0.82597913207955298</v>
      </c>
      <c r="AL7489">
        <v>95.622102786550997</v>
      </c>
      <c r="AM7489">
        <v>106.292315089295</v>
      </c>
      <c r="AN7489">
        <v>1.0000000226693999</v>
      </c>
    </row>
    <row r="7490" spans="1:40" x14ac:dyDescent="0.25">
      <c r="A7490" t="str">
        <f>"20190303154329523"</f>
        <v>20190303154329523</v>
      </c>
      <c r="B7490" t="str">
        <f>"1551599009517379"</f>
        <v>1551599009517379</v>
      </c>
      <c r="C7490" t="s">
        <v>40</v>
      </c>
      <c r="D7490">
        <v>5.6659090000000001</v>
      </c>
      <c r="E7490">
        <v>0.40154830000000002</v>
      </c>
      <c r="F7490" t="s">
        <v>42</v>
      </c>
      <c r="G7490">
        <v>-295.1662</v>
      </c>
      <c r="H7490">
        <v>1.0124420000000001</v>
      </c>
      <c r="I7490">
        <v>-60.49729</v>
      </c>
      <c r="J7490">
        <v>-295.96749999999997</v>
      </c>
      <c r="K7490">
        <v>1.134738</v>
      </c>
      <c r="L7490">
        <v>-60.508420000000001</v>
      </c>
      <c r="M7490">
        <v>0.81077809999999995</v>
      </c>
      <c r="N7490">
        <v>-1.919935E-2</v>
      </c>
      <c r="O7490">
        <v>-0.58503890000000003</v>
      </c>
      <c r="P7490">
        <v>0.93805689999999997</v>
      </c>
      <c r="Q7490">
        <v>-0.105545</v>
      </c>
      <c r="R7490">
        <v>-0.3300149</v>
      </c>
      <c r="S7490">
        <v>3.0658259999999999</v>
      </c>
      <c r="T7490">
        <v>-0.37845109999999998</v>
      </c>
      <c r="U7490">
        <v>-0.306427</v>
      </c>
      <c r="V7490">
        <v>-0.27821190000000001</v>
      </c>
      <c r="W7490">
        <v>-9.6561859999999999E-2</v>
      </c>
      <c r="X7490">
        <v>0.95565370000000005</v>
      </c>
      <c r="Y7490">
        <v>-0.4947821</v>
      </c>
      <c r="Z7490">
        <v>9.0797290000000003E-2</v>
      </c>
      <c r="AA7490">
        <v>0.86426069999999999</v>
      </c>
      <c r="AB7490">
        <v>22</v>
      </c>
      <c r="AC7490">
        <v>0.80129999999996904</v>
      </c>
      <c r="AD7490">
        <v>-0.122295999999999</v>
      </c>
      <c r="AE7490">
        <v>1.1129999999994301E-2</v>
      </c>
      <c r="AF7490">
        <v>-0.46702707526224901</v>
      </c>
      <c r="AG7490">
        <v>-0.122295999999999</v>
      </c>
      <c r="AH7490">
        <v>0.62864304448872599</v>
      </c>
      <c r="AI7490">
        <v>98.875700085598396</v>
      </c>
      <c r="AJ7490">
        <v>126.609136201987</v>
      </c>
      <c r="AK7490">
        <v>0.792630227803649</v>
      </c>
      <c r="AL7490">
        <v>95.541221000346994</v>
      </c>
      <c r="AM7490">
        <v>106.231444652645</v>
      </c>
      <c r="AN7490">
        <v>1.0000000242159699</v>
      </c>
    </row>
    <row r="7491" spans="1:40" x14ac:dyDescent="0.25">
      <c r="A7491" t="str">
        <f>"20190303154329545"</f>
        <v>20190303154329545</v>
      </c>
      <c r="B7491" t="str">
        <f>"1551599009537875"</f>
        <v>1551599009537875</v>
      </c>
      <c r="C7491" t="s">
        <v>40</v>
      </c>
      <c r="D7491">
        <v>5.636209</v>
      </c>
      <c r="E7491">
        <v>0.42117739999999998</v>
      </c>
      <c r="F7491" t="s">
        <v>42</v>
      </c>
      <c r="G7491">
        <v>-295.00720000000001</v>
      </c>
      <c r="H7491">
        <v>1.0177210000000001</v>
      </c>
      <c r="I7491">
        <v>-60.586519999999901</v>
      </c>
      <c r="J7491">
        <v>-295.78829999999999</v>
      </c>
      <c r="K7491">
        <v>1.1346879999999999</v>
      </c>
      <c r="L7491">
        <v>-60.607059999999997</v>
      </c>
      <c r="M7491">
        <v>0.82351459999999999</v>
      </c>
      <c r="N7491">
        <v>-1.9223400000000002E-2</v>
      </c>
      <c r="O7491">
        <v>-0.56696950000000002</v>
      </c>
      <c r="P7491">
        <v>0.94431480000000001</v>
      </c>
      <c r="Q7491">
        <v>-0.10737240000000001</v>
      </c>
      <c r="R7491">
        <v>-0.31103249999999999</v>
      </c>
      <c r="S7491">
        <v>3.0685120000000001</v>
      </c>
      <c r="T7491">
        <v>-0.37385980000000002</v>
      </c>
      <c r="U7491">
        <v>-0.2487183</v>
      </c>
      <c r="V7491">
        <v>-0.27619009999999999</v>
      </c>
      <c r="W7491">
        <v>-9.8263059999999999E-2</v>
      </c>
      <c r="X7491">
        <v>0.95606659999999999</v>
      </c>
      <c r="Y7491">
        <v>-0.49206939999999999</v>
      </c>
      <c r="Z7491">
        <v>8.8134749999999998E-2</v>
      </c>
      <c r="AA7491">
        <v>0.86608309999999999</v>
      </c>
      <c r="AB7491">
        <v>22</v>
      </c>
      <c r="AC7491">
        <v>0.78109999999998003</v>
      </c>
      <c r="AD7491">
        <v>-0.116967</v>
      </c>
      <c r="AE7491">
        <v>2.0540000000003899E-2</v>
      </c>
      <c r="AF7491">
        <v>-0.44978086045244398</v>
      </c>
      <c r="AG7491">
        <v>-0.116967</v>
      </c>
      <c r="AH7491">
        <v>0.61787273974484103</v>
      </c>
      <c r="AI7491">
        <v>98.701550736869095</v>
      </c>
      <c r="AJ7491">
        <v>126.052769908999</v>
      </c>
      <c r="AK7491">
        <v>0.77314346924625699</v>
      </c>
      <c r="AL7491">
        <v>95.639158666507399</v>
      </c>
      <c r="AM7491">
        <v>106.113035593118</v>
      </c>
      <c r="AN7491">
        <v>0.99999997196706603</v>
      </c>
    </row>
    <row r="7492" spans="1:40" x14ac:dyDescent="0.25">
      <c r="A7492" t="str">
        <f>"20190303154329568"</f>
        <v>20190303154329568</v>
      </c>
      <c r="B7492" t="str">
        <f>"1551599009557392"</f>
        <v>1551599009557392</v>
      </c>
      <c r="C7492" t="s">
        <v>40</v>
      </c>
      <c r="D7492">
        <v>5.664555</v>
      </c>
      <c r="E7492">
        <v>0.42136760000000001</v>
      </c>
      <c r="F7492" t="s">
        <v>42</v>
      </c>
      <c r="G7492">
        <v>-294.86059999999998</v>
      </c>
      <c r="H7492">
        <v>1.0319990000000001</v>
      </c>
      <c r="I7492">
        <v>-60.710079999999998</v>
      </c>
      <c r="J7492">
        <v>-295.59890000000001</v>
      </c>
      <c r="K7492">
        <v>1.1346069999999999</v>
      </c>
      <c r="L7492">
        <v>-60.705750000000002</v>
      </c>
      <c r="M7492">
        <v>0.83641430000000005</v>
      </c>
      <c r="N7492">
        <v>-1.9240190000000001E-2</v>
      </c>
      <c r="O7492">
        <v>-0.54775980000000002</v>
      </c>
      <c r="P7492">
        <v>0.9492043</v>
      </c>
      <c r="Q7492">
        <v>-0.1121192</v>
      </c>
      <c r="R7492">
        <v>-0.29400720000000002</v>
      </c>
      <c r="S7492">
        <v>3.0282290000000001</v>
      </c>
      <c r="T7492">
        <v>-0.33515879999999998</v>
      </c>
      <c r="U7492">
        <v>-0.33572390000000002</v>
      </c>
      <c r="V7492">
        <v>-0.27081450000000001</v>
      </c>
      <c r="W7492">
        <v>-0.1027617</v>
      </c>
      <c r="X7492">
        <v>0.95713090000000001</v>
      </c>
      <c r="Y7492">
        <v>-0.44733139999999999</v>
      </c>
      <c r="Z7492">
        <v>7.5033959999999997E-2</v>
      </c>
      <c r="AA7492">
        <v>0.89121519999999999</v>
      </c>
      <c r="AB7492">
        <v>22</v>
      </c>
      <c r="AC7492">
        <v>0.73830000000003704</v>
      </c>
      <c r="AD7492">
        <v>-0.102608</v>
      </c>
      <c r="AE7492">
        <v>-4.3300000000030502E-3</v>
      </c>
      <c r="AF7492">
        <v>-0.39326787461192397</v>
      </c>
      <c r="AG7492">
        <v>-0.102608</v>
      </c>
      <c r="AH7492">
        <v>0.60826303912781698</v>
      </c>
      <c r="AI7492">
        <v>98.062905012889601</v>
      </c>
      <c r="AJ7492">
        <v>122.88438340925001</v>
      </c>
      <c r="AK7492">
        <v>0.73155447345689095</v>
      </c>
      <c r="AL7492">
        <v>95.898223716501903</v>
      </c>
      <c r="AM7492">
        <v>105.798545403707</v>
      </c>
      <c r="AN7492">
        <v>1.0000000100659701</v>
      </c>
    </row>
    <row r="7493" spans="1:40" x14ac:dyDescent="0.25">
      <c r="A7493" t="str">
        <f>"20190303154329590"</f>
        <v>20190303154329590</v>
      </c>
      <c r="B7493" t="str">
        <f>"1551599009587649"</f>
        <v>1551599009587649</v>
      </c>
      <c r="C7493" t="s">
        <v>40</v>
      </c>
      <c r="D7493">
        <v>5.6989769999999904</v>
      </c>
      <c r="E7493">
        <v>0.42334640000000001</v>
      </c>
      <c r="F7493" t="s">
        <v>42</v>
      </c>
      <c r="G7493">
        <v>-294.64839999999998</v>
      </c>
      <c r="H7493">
        <v>1.021366</v>
      </c>
      <c r="I7493">
        <v>-60.794370000000001</v>
      </c>
      <c r="J7493">
        <v>-295.40960000000001</v>
      </c>
      <c r="K7493">
        <v>1.13452</v>
      </c>
      <c r="L7493">
        <v>-60.79889</v>
      </c>
      <c r="M7493">
        <v>0.84874119999999997</v>
      </c>
      <c r="N7493">
        <v>-1.9249289999999999E-2</v>
      </c>
      <c r="O7493">
        <v>-0.52845779999999998</v>
      </c>
      <c r="P7493">
        <v>0.95359079999999996</v>
      </c>
      <c r="Q7493">
        <v>-0.11696040000000001</v>
      </c>
      <c r="R7493">
        <v>-0.27746219999999999</v>
      </c>
      <c r="S7493">
        <v>3.0303650000000002</v>
      </c>
      <c r="T7493">
        <v>-0.36101689999999997</v>
      </c>
      <c r="U7493">
        <v>-0.28259279999999998</v>
      </c>
      <c r="V7493">
        <v>-0.26508809999999999</v>
      </c>
      <c r="W7493">
        <v>-0.1073469</v>
      </c>
      <c r="X7493">
        <v>0.95823009999999997</v>
      </c>
      <c r="Y7493">
        <v>-0.44166440000000001</v>
      </c>
      <c r="Z7493">
        <v>7.9497750000000006E-2</v>
      </c>
      <c r="AA7493">
        <v>0.89365130000000004</v>
      </c>
      <c r="AB7493">
        <v>22</v>
      </c>
      <c r="AC7493">
        <v>0.76120000000002996</v>
      </c>
      <c r="AD7493">
        <v>-0.11315399999999901</v>
      </c>
      <c r="AE7493">
        <v>4.5200000000065101E-3</v>
      </c>
      <c r="AF7493">
        <v>-0.39739262855591601</v>
      </c>
      <c r="AG7493">
        <v>-0.11315399999999901</v>
      </c>
      <c r="AH7493">
        <v>0.62987438917671201</v>
      </c>
      <c r="AI7493">
        <v>98.639115803173993</v>
      </c>
      <c r="AJ7493">
        <v>122.248144767726</v>
      </c>
      <c r="AK7493">
        <v>0.75330370707126904</v>
      </c>
      <c r="AL7493">
        <v>96.162398493607299</v>
      </c>
      <c r="AM7493">
        <v>105.46375784006401</v>
      </c>
      <c r="AN7493">
        <v>0.99999999112361404</v>
      </c>
    </row>
    <row r="7494" spans="1:40" x14ac:dyDescent="0.25">
      <c r="A7494" t="str">
        <f>"20190303154329614"</f>
        <v>20190303154329614</v>
      </c>
      <c r="B7494" t="str">
        <f>"1551599009608144"</f>
        <v>1551599009608144</v>
      </c>
      <c r="C7494" t="s">
        <v>40</v>
      </c>
      <c r="D7494">
        <v>5.705273</v>
      </c>
      <c r="E7494">
        <v>0.4247823</v>
      </c>
      <c r="F7494" t="s">
        <v>58</v>
      </c>
      <c r="G7494">
        <v>-286.51190000000003</v>
      </c>
      <c r="H7494" s="1">
        <v>-5.0659979999999998E-6</v>
      </c>
      <c r="I7494">
        <v>-61.5182199999999</v>
      </c>
      <c r="J7494">
        <v>-295.21749999999997</v>
      </c>
      <c r="K7494">
        <v>1.134455</v>
      </c>
      <c r="L7494">
        <v>-60.887970000000003</v>
      </c>
      <c r="M7494">
        <v>0.86068880000000003</v>
      </c>
      <c r="N7494">
        <v>-1.925205E-2</v>
      </c>
      <c r="O7494">
        <v>-0.50876719999999998</v>
      </c>
      <c r="P7494">
        <v>0.95889000000000002</v>
      </c>
      <c r="Q7494">
        <v>-0.1174304</v>
      </c>
      <c r="R7494">
        <v>-0.2583413</v>
      </c>
      <c r="S7494">
        <v>3.0274350000000001</v>
      </c>
      <c r="T7494">
        <v>-0.38602170000000002</v>
      </c>
      <c r="U7494">
        <v>-0.244751</v>
      </c>
      <c r="V7494">
        <v>-0.26215319999999998</v>
      </c>
      <c r="W7494">
        <v>-0.1076599</v>
      </c>
      <c r="X7494">
        <v>0.95900209999999997</v>
      </c>
      <c r="Y7494">
        <v>-0.43130649999999998</v>
      </c>
      <c r="Z7494">
        <v>8.3120349999999996E-2</v>
      </c>
      <c r="AA7494">
        <v>0.89836839999999996</v>
      </c>
      <c r="AB7494">
        <v>22</v>
      </c>
      <c r="AC7494">
        <v>8.7055999999999401</v>
      </c>
      <c r="AD7494">
        <v>-1.134460065998</v>
      </c>
      <c r="AE7494">
        <v>-0.63024999999999598</v>
      </c>
      <c r="AF7494">
        <v>-3.8228158487904702</v>
      </c>
      <c r="AG7494">
        <v>-1.134460065998</v>
      </c>
      <c r="AH7494">
        <v>7.6850863269502803</v>
      </c>
      <c r="AI7494">
        <v>97.529105960009502</v>
      </c>
      <c r="AJ7494">
        <v>116.447269594468</v>
      </c>
      <c r="AK7494">
        <v>8.6580293663042003</v>
      </c>
      <c r="AL7494">
        <v>96.180436609142305</v>
      </c>
      <c r="AM7494">
        <v>105.288877542238</v>
      </c>
      <c r="AN7494">
        <v>0.99999999107132997</v>
      </c>
    </row>
    <row r="7495" spans="1:40" x14ac:dyDescent="0.25">
      <c r="A7495" t="str">
        <f>"20190303154329635"</f>
        <v>20190303154329635</v>
      </c>
      <c r="B7495" t="str">
        <f>"1551599009627668"</f>
        <v>1551599009627668</v>
      </c>
      <c r="C7495" t="s">
        <v>40</v>
      </c>
      <c r="D7495">
        <v>5.7468560000000002</v>
      </c>
      <c r="E7495">
        <v>0.42623719999999998</v>
      </c>
      <c r="F7495" t="s">
        <v>58</v>
      </c>
      <c r="G7495">
        <v>-286.47359999999998</v>
      </c>
      <c r="H7495" s="1">
        <v>-5.0971809999999998E-6</v>
      </c>
      <c r="I7495">
        <v>-61.451459999999997</v>
      </c>
      <c r="J7495">
        <v>-295.03219999999999</v>
      </c>
      <c r="K7495">
        <v>1.134398</v>
      </c>
      <c r="L7495">
        <v>-60.96875</v>
      </c>
      <c r="M7495">
        <v>0.87167739999999905</v>
      </c>
      <c r="N7495">
        <v>-1.924901E-2</v>
      </c>
      <c r="O7495">
        <v>-0.48970190000000002</v>
      </c>
      <c r="P7495">
        <v>0.96329949999999998</v>
      </c>
      <c r="Q7495">
        <v>-0.117023</v>
      </c>
      <c r="R7495">
        <v>-0.24157780000000001</v>
      </c>
      <c r="S7495">
        <v>3.0278930000000002</v>
      </c>
      <c r="T7495">
        <v>-0.39284940000000002</v>
      </c>
      <c r="U7495">
        <v>-0.19512940000000001</v>
      </c>
      <c r="V7495">
        <v>-0.25783719999999999</v>
      </c>
      <c r="W7495">
        <v>-0.1070469</v>
      </c>
      <c r="X7495">
        <v>0.96024010000000004</v>
      </c>
      <c r="Y7495">
        <v>-0.42602950000000001</v>
      </c>
      <c r="Z7495">
        <v>8.2664489999999993E-2</v>
      </c>
      <c r="AA7495">
        <v>0.90092479999999997</v>
      </c>
      <c r="AB7495">
        <v>22</v>
      </c>
      <c r="AC7495">
        <v>8.5586000000000109</v>
      </c>
      <c r="AD7495">
        <v>-1.134403097181</v>
      </c>
      <c r="AE7495">
        <v>-0.48270999999999697</v>
      </c>
      <c r="AF7495">
        <v>-3.7061891357885699</v>
      </c>
      <c r="AG7495">
        <v>-1.134403097181</v>
      </c>
      <c r="AH7495">
        <v>7.56565454084439</v>
      </c>
      <c r="AI7495">
        <v>97.668899661075102</v>
      </c>
      <c r="AJ7495">
        <v>116.098859253752</v>
      </c>
      <c r="AK7495">
        <v>8.5006962613970902</v>
      </c>
      <c r="AL7495">
        <v>96.145109746266797</v>
      </c>
      <c r="AM7495">
        <v>105.030149515278</v>
      </c>
      <c r="AN7495">
        <v>1.00000005507572</v>
      </c>
    </row>
    <row r="7496" spans="1:40" x14ac:dyDescent="0.25">
      <c r="A7496" t="str">
        <f>"20190303154329646"</f>
        <v>20190303154329646</v>
      </c>
      <c r="B7496" t="str">
        <f>"1551599009637424"</f>
        <v>1551599009637424</v>
      </c>
      <c r="C7496" t="s">
        <v>40</v>
      </c>
      <c r="D7496">
        <v>5.7446129999999904</v>
      </c>
      <c r="E7496">
        <v>0.4270177</v>
      </c>
      <c r="F7496" t="s">
        <v>58</v>
      </c>
      <c r="G7496">
        <v>-286.31979999999999</v>
      </c>
      <c r="H7496" s="1">
        <v>-5.1819420000000002E-6</v>
      </c>
      <c r="I7496">
        <v>-61.410080000000001</v>
      </c>
      <c r="J7496">
        <v>-294.9357</v>
      </c>
      <c r="K7496">
        <v>1.1343719999999999</v>
      </c>
      <c r="L7496">
        <v>-61.008360000000003</v>
      </c>
      <c r="M7496">
        <v>0.87719179999999997</v>
      </c>
      <c r="N7496">
        <v>-1.9244669999999998E-2</v>
      </c>
      <c r="O7496">
        <v>-0.47975420000000002</v>
      </c>
      <c r="P7496">
        <v>0.96548809999999996</v>
      </c>
      <c r="Q7496">
        <v>-0.1167247</v>
      </c>
      <c r="R7496">
        <v>-0.23282649999999999</v>
      </c>
      <c r="S7496">
        <v>3.0279240000000001</v>
      </c>
      <c r="T7496">
        <v>-0.39425270000000001</v>
      </c>
      <c r="U7496">
        <v>-0.1533813</v>
      </c>
      <c r="V7496">
        <v>-0.25566939999999999</v>
      </c>
      <c r="W7496">
        <v>-0.1066473</v>
      </c>
      <c r="X7496">
        <v>0.96086389999999999</v>
      </c>
      <c r="Y7496">
        <v>-0.42810989999999999</v>
      </c>
      <c r="Z7496">
        <v>8.2295880000000002E-2</v>
      </c>
      <c r="AA7496">
        <v>0.89997179999999999</v>
      </c>
      <c r="AB7496">
        <v>22</v>
      </c>
      <c r="AC7496">
        <v>8.6158999999999999</v>
      </c>
      <c r="AD7496">
        <v>-1.1343771819420001</v>
      </c>
      <c r="AE7496">
        <v>-0.40172000000001101</v>
      </c>
      <c r="AF7496">
        <v>-3.7175272469554201</v>
      </c>
      <c r="AG7496">
        <v>-1.1343771819420001</v>
      </c>
      <c r="AH7496">
        <v>7.6201539548909203</v>
      </c>
      <c r="AI7496">
        <v>97.620512663060495</v>
      </c>
      <c r="AJ7496">
        <v>116.005647593885</v>
      </c>
      <c r="AK7496">
        <v>8.55415493891749</v>
      </c>
      <c r="AL7496">
        <v>96.122083108786697</v>
      </c>
      <c r="AM7496">
        <v>104.90018289563599</v>
      </c>
      <c r="AN7496">
        <v>0.99999996150842896</v>
      </c>
    </row>
    <row r="7497" spans="1:40" x14ac:dyDescent="0.25">
      <c r="A7497" t="str">
        <f>"20190303154329657"</f>
        <v>20190303154329657</v>
      </c>
      <c r="B7497" t="str">
        <f>"1551599009648161"</f>
        <v>1551599009648161</v>
      </c>
      <c r="C7497" t="s">
        <v>40</v>
      </c>
      <c r="D7497">
        <v>5.7482410000000002</v>
      </c>
      <c r="E7497">
        <v>0.42770170000000002</v>
      </c>
      <c r="F7497" t="s">
        <v>58</v>
      </c>
      <c r="G7497">
        <v>-286.20679999999999</v>
      </c>
      <c r="H7497" s="1">
        <v>-5.2426350000000003E-6</v>
      </c>
      <c r="I7497">
        <v>-61.388599999999997</v>
      </c>
      <c r="J7497">
        <v>-294.83629999999999</v>
      </c>
      <c r="K7497">
        <v>1.134342</v>
      </c>
      <c r="L7497">
        <v>-61.048679999999997</v>
      </c>
      <c r="M7497">
        <v>0.88274390000000003</v>
      </c>
      <c r="N7497">
        <v>-1.9240299999999998E-2</v>
      </c>
      <c r="O7497">
        <v>-0.4694603</v>
      </c>
      <c r="P7497">
        <v>0.96755349999999996</v>
      </c>
      <c r="Q7497">
        <v>-0.11616949999999999</v>
      </c>
      <c r="R7497">
        <v>-0.22437660000000001</v>
      </c>
      <c r="S7497">
        <v>3.027863</v>
      </c>
      <c r="T7497">
        <v>-0.39349000000000001</v>
      </c>
      <c r="U7497">
        <v>-0.13189699999999999</v>
      </c>
      <c r="V7497">
        <v>-0.2528957</v>
      </c>
      <c r="W7497">
        <v>-0.10596709999999999</v>
      </c>
      <c r="X7497">
        <v>0.96167290000000005</v>
      </c>
      <c r="Y7497">
        <v>-0.42404249999999999</v>
      </c>
      <c r="Z7497">
        <v>8.0903429999999998E-2</v>
      </c>
      <c r="AA7497">
        <v>0.90202130000000003</v>
      </c>
      <c r="AB7497">
        <v>22</v>
      </c>
      <c r="AC7497">
        <v>8.6295000000000002</v>
      </c>
      <c r="AD7497">
        <v>-1.1343472426350001</v>
      </c>
      <c r="AE7497">
        <v>-0.33991999999999201</v>
      </c>
      <c r="AF7497">
        <v>-3.6882097796245601</v>
      </c>
      <c r="AG7497">
        <v>-1.1343472426350001</v>
      </c>
      <c r="AH7497">
        <v>7.6467336479948802</v>
      </c>
      <c r="AI7497">
        <v>97.610450574504199</v>
      </c>
      <c r="AJ7497">
        <v>115.749169128614</v>
      </c>
      <c r="AK7497">
        <v>8.5651719497491108</v>
      </c>
      <c r="AL7497">
        <v>96.082888093647895</v>
      </c>
      <c r="AM7497">
        <v>104.733749131073</v>
      </c>
      <c r="AN7497">
        <v>1.0000000139776499</v>
      </c>
    </row>
    <row r="7498" spans="1:40" x14ac:dyDescent="0.25">
      <c r="A7498" t="str">
        <f>"20190303154329668"</f>
        <v>20190303154329668</v>
      </c>
      <c r="B7498" t="str">
        <f>"1551599009657921"</f>
        <v>1551599009657921</v>
      </c>
      <c r="C7498" t="s">
        <v>40</v>
      </c>
      <c r="D7498">
        <v>5.7279549999999997</v>
      </c>
      <c r="E7498">
        <v>0.42852449999999997</v>
      </c>
      <c r="F7498" t="s">
        <v>58</v>
      </c>
      <c r="G7498">
        <v>-286.07190000000003</v>
      </c>
      <c r="H7498" s="1">
        <v>-5.3139610000000003E-6</v>
      </c>
      <c r="I7498">
        <v>-61.369239999999998</v>
      </c>
      <c r="J7498">
        <v>-294.73719999999997</v>
      </c>
      <c r="K7498">
        <v>1.1343129999999999</v>
      </c>
      <c r="L7498">
        <v>-61.086790000000001</v>
      </c>
      <c r="M7498">
        <v>0.88812000000000002</v>
      </c>
      <c r="N7498">
        <v>-1.9233980000000001E-2</v>
      </c>
      <c r="O7498">
        <v>-0.45920909999999898</v>
      </c>
      <c r="P7498">
        <v>0.96949079999999999</v>
      </c>
      <c r="Q7498">
        <v>-0.1157532</v>
      </c>
      <c r="R7498">
        <v>-0.2160754</v>
      </c>
      <c r="S7498">
        <v>3.0278930000000002</v>
      </c>
      <c r="T7498">
        <v>-0.3918912</v>
      </c>
      <c r="U7498">
        <v>-0.11074829999999999</v>
      </c>
      <c r="V7498">
        <v>-0.25005630000000001</v>
      </c>
      <c r="W7498">
        <v>-0.1054263</v>
      </c>
      <c r="X7498">
        <v>0.96247450000000001</v>
      </c>
      <c r="Y7498">
        <v>-0.4200101</v>
      </c>
      <c r="Z7498">
        <v>7.9328560000000006E-2</v>
      </c>
      <c r="AA7498">
        <v>0.9040456</v>
      </c>
      <c r="AB7498">
        <v>22</v>
      </c>
      <c r="AC7498">
        <v>8.6652999999999398</v>
      </c>
      <c r="AD7498">
        <v>-1.13431831396099</v>
      </c>
      <c r="AE7498">
        <v>-0.28245000000000398</v>
      </c>
      <c r="AF7498">
        <v>-3.6662673084300601</v>
      </c>
      <c r="AG7498">
        <v>-1.13431831396099</v>
      </c>
      <c r="AH7498">
        <v>7.69525359749455</v>
      </c>
      <c r="AI7498">
        <v>97.580021047644607</v>
      </c>
      <c r="AJ7498">
        <v>115.47463802087</v>
      </c>
      <c r="AK7498">
        <v>8.5991349532382095</v>
      </c>
      <c r="AL7498">
        <v>96.051728011127395</v>
      </c>
      <c r="AM7498">
        <v>104.563784631456</v>
      </c>
      <c r="AN7498">
        <v>1.00000001052581</v>
      </c>
    </row>
    <row r="7499" spans="1:40" x14ac:dyDescent="0.25">
      <c r="A7499" t="str">
        <f>"20190303154329681"</f>
        <v>20190303154329681</v>
      </c>
      <c r="B7499" t="str">
        <f>"1551599009677440"</f>
        <v>1551599009677440</v>
      </c>
      <c r="C7499" t="s">
        <v>40</v>
      </c>
      <c r="D7499">
        <v>5.8204859999999998</v>
      </c>
      <c r="E7499">
        <v>0.4297858</v>
      </c>
      <c r="F7499" t="s">
        <v>58</v>
      </c>
      <c r="G7499">
        <v>-285.9282</v>
      </c>
      <c r="H7499" s="1">
        <v>-5.3893280000000001E-6</v>
      </c>
      <c r="I7499">
        <v>-61.352020000000003</v>
      </c>
      <c r="J7499">
        <v>-294.6345</v>
      </c>
      <c r="K7499">
        <v>1.134288</v>
      </c>
      <c r="L7499">
        <v>-61.125269999999901</v>
      </c>
      <c r="M7499">
        <v>0.89355260000000003</v>
      </c>
      <c r="N7499">
        <v>-1.9227040000000001E-2</v>
      </c>
      <c r="O7499">
        <v>-0.44854660000000002</v>
      </c>
      <c r="P7499">
        <v>0.97144900000000001</v>
      </c>
      <c r="Q7499">
        <v>-0.1151311</v>
      </c>
      <c r="R7499">
        <v>-0.20744080000000001</v>
      </c>
      <c r="S7499">
        <v>3.0275569999999998</v>
      </c>
      <c r="T7499">
        <v>-0.38985180000000003</v>
      </c>
      <c r="U7499">
        <v>-9.1156009999999996E-2</v>
      </c>
      <c r="V7499">
        <v>-0.24717059999999999</v>
      </c>
      <c r="W7499">
        <v>-0.1046776</v>
      </c>
      <c r="X7499">
        <v>0.96330119999999997</v>
      </c>
      <c r="Y7499">
        <v>-0.41517169999999998</v>
      </c>
      <c r="Z7499">
        <v>7.7569070000000004E-2</v>
      </c>
      <c r="AA7499">
        <v>0.90643010000000002</v>
      </c>
      <c r="AB7499">
        <v>22</v>
      </c>
      <c r="AC7499">
        <v>8.7062999999999899</v>
      </c>
      <c r="AD7499">
        <v>-1.1342933893280001</v>
      </c>
      <c r="AE7499">
        <v>-0.22675000000000201</v>
      </c>
      <c r="AF7499">
        <v>-3.6414842557505498</v>
      </c>
      <c r="AG7499">
        <v>-1.1342933893280001</v>
      </c>
      <c r="AH7499">
        <v>7.7512223234731303</v>
      </c>
      <c r="AI7499">
        <v>97.544867342479407</v>
      </c>
      <c r="AJ7499">
        <v>115.16389581024301</v>
      </c>
      <c r="AK7499">
        <v>8.6387774937117392</v>
      </c>
      <c r="AL7499">
        <v>96.008592320124606</v>
      </c>
      <c r="AM7499">
        <v>104.390898084681</v>
      </c>
      <c r="AN7499">
        <v>0.99999995368377803</v>
      </c>
    </row>
    <row r="7500" spans="1:40" x14ac:dyDescent="0.25">
      <c r="A7500" t="str">
        <f>"20190303154329694"</f>
        <v>20190303154329694</v>
      </c>
      <c r="B7500" t="str">
        <f>"1551599009687200"</f>
        <v>1551599009687200</v>
      </c>
      <c r="C7500" t="s">
        <v>40</v>
      </c>
      <c r="D7500">
        <v>5.7693099999999999</v>
      </c>
      <c r="E7500">
        <v>0.43047269999999999</v>
      </c>
      <c r="F7500" t="s">
        <v>58</v>
      </c>
      <c r="G7500">
        <v>-285.82389999999998</v>
      </c>
      <c r="H7500" s="1">
        <v>-5.4438149999999996E-6</v>
      </c>
      <c r="I7500">
        <v>-61.340739999999997</v>
      </c>
      <c r="J7500">
        <v>-294.52839999999998</v>
      </c>
      <c r="K7500">
        <v>1.1342620000000001</v>
      </c>
      <c r="L7500">
        <v>-61.163699999999999</v>
      </c>
      <c r="M7500">
        <v>0.89901399999999998</v>
      </c>
      <c r="N7500">
        <v>-1.9219010000000002E-2</v>
      </c>
      <c r="O7500">
        <v>-0.437498</v>
      </c>
      <c r="P7500">
        <v>0.97333919999999996</v>
      </c>
      <c r="Q7500">
        <v>-0.1144437</v>
      </c>
      <c r="R7500">
        <v>-0.19878019999999999</v>
      </c>
      <c r="S7500">
        <v>3.026154</v>
      </c>
      <c r="T7500">
        <v>-0.38959349999999998</v>
      </c>
      <c r="U7500">
        <v>-7.4005130000000002E-2</v>
      </c>
      <c r="V7500">
        <v>-0.24395069999999999</v>
      </c>
      <c r="W7500">
        <v>-0.10385220000000001</v>
      </c>
      <c r="X7500">
        <v>0.96421089999999998</v>
      </c>
      <c r="Y7500">
        <v>-0.40920699999999999</v>
      </c>
      <c r="Z7500">
        <v>7.6084490000000005E-2</v>
      </c>
      <c r="AA7500">
        <v>0.90926379999999996</v>
      </c>
      <c r="AB7500">
        <v>22</v>
      </c>
      <c r="AC7500">
        <v>8.7044999999999906</v>
      </c>
      <c r="AD7500">
        <v>-1.134267443815</v>
      </c>
      <c r="AE7500">
        <v>-0.177040000000005</v>
      </c>
      <c r="AF7500">
        <v>-3.5888005162480798</v>
      </c>
      <c r="AG7500">
        <v>-1.134267443815</v>
      </c>
      <c r="AH7500">
        <v>7.7724583297967502</v>
      </c>
      <c r="AI7500">
        <v>97.547304165954799</v>
      </c>
      <c r="AJ7500">
        <v>114.784328820848</v>
      </c>
      <c r="AK7500">
        <v>8.6358068683793494</v>
      </c>
      <c r="AL7500">
        <v>95.961041278111594</v>
      </c>
      <c r="AM7500">
        <v>104.198203597831</v>
      </c>
      <c r="AN7500">
        <v>0.99999994157706795</v>
      </c>
    </row>
    <row r="7501" spans="1:40" x14ac:dyDescent="0.25">
      <c r="A7501" t="str">
        <f>"20190303154329705"</f>
        <v>20190303154329705</v>
      </c>
      <c r="B7501" t="str">
        <f>"1551599009697936"</f>
        <v>1551599009697936</v>
      </c>
      <c r="C7501" t="s">
        <v>40</v>
      </c>
      <c r="D7501">
        <v>5.8011160000000004</v>
      </c>
      <c r="E7501">
        <v>0.43047269999999999</v>
      </c>
      <c r="F7501" t="s">
        <v>58</v>
      </c>
      <c r="G7501">
        <v>-285.68200000000002</v>
      </c>
      <c r="H7501" s="1">
        <v>-5.5195009999999997E-6</v>
      </c>
      <c r="I7501">
        <v>-61.316800000000001</v>
      </c>
      <c r="J7501">
        <v>-294.42070000000001</v>
      </c>
      <c r="K7501">
        <v>1.1342369999999999</v>
      </c>
      <c r="L7501">
        <v>-61.200679999999998</v>
      </c>
      <c r="M7501">
        <v>0.90438249999999998</v>
      </c>
      <c r="N7501">
        <v>-1.9209339999999998E-2</v>
      </c>
      <c r="O7501">
        <v>-0.42629020000000001</v>
      </c>
      <c r="P7501">
        <v>0.97515569999999896</v>
      </c>
      <c r="Q7501">
        <v>-0.11366080000000001</v>
      </c>
      <c r="R7501">
        <v>-0.1901398</v>
      </c>
      <c r="S7501">
        <v>3.0258479999999999</v>
      </c>
      <c r="T7501">
        <v>-0.3879708</v>
      </c>
      <c r="U7501">
        <v>-5.2368159999999997E-2</v>
      </c>
      <c r="V7501">
        <v>-0.24060000000000001</v>
      </c>
      <c r="W7501">
        <v>-0.1029284</v>
      </c>
      <c r="X7501">
        <v>0.96515150000000005</v>
      </c>
      <c r="Y7501">
        <v>-0.40453250000000002</v>
      </c>
      <c r="Z7501">
        <v>7.4370790000000006E-2</v>
      </c>
      <c r="AA7501">
        <v>0.91149460000000004</v>
      </c>
      <c r="AB7501">
        <v>22</v>
      </c>
      <c r="AC7501">
        <v>8.7386999999999908</v>
      </c>
      <c r="AD7501">
        <v>-1.134242519501</v>
      </c>
      <c r="AE7501">
        <v>-0.116119999999995</v>
      </c>
      <c r="AF7501">
        <v>-3.5608941270117498</v>
      </c>
      <c r="AG7501">
        <v>-1.134242519501</v>
      </c>
      <c r="AH7501">
        <v>7.82233735319579</v>
      </c>
      <c r="AI7501">
        <v>97.517877576668795</v>
      </c>
      <c r="AJ7501">
        <v>114.476036291998</v>
      </c>
      <c r="AK7501">
        <v>8.6692234222006803</v>
      </c>
      <c r="AL7501">
        <v>95.907825799616603</v>
      </c>
      <c r="AM7501">
        <v>103.99780372271999</v>
      </c>
      <c r="AN7501">
        <v>1.0000000167394001</v>
      </c>
    </row>
    <row r="7502" spans="1:40" x14ac:dyDescent="0.25">
      <c r="A7502" t="str">
        <f>"20190303154329716"</f>
        <v>20190303154329716</v>
      </c>
      <c r="B7502" t="str">
        <f>"1551599009707696"</f>
        <v>1551599009707696</v>
      </c>
      <c r="C7502" t="s">
        <v>40</v>
      </c>
      <c r="D7502">
        <v>5.8365609999999997</v>
      </c>
      <c r="E7502">
        <v>0.4419864</v>
      </c>
      <c r="F7502" t="s">
        <v>58</v>
      </c>
      <c r="G7502">
        <v>-285.50880000000001</v>
      </c>
      <c r="H7502" s="1">
        <v>-5.6139649999999899E-6</v>
      </c>
      <c r="I7502">
        <v>-61.2757199999999</v>
      </c>
      <c r="J7502">
        <v>-294.32069999999999</v>
      </c>
      <c r="K7502">
        <v>1.134212</v>
      </c>
      <c r="L7502">
        <v>-61.234380000000002</v>
      </c>
      <c r="M7502">
        <v>0.90923739999999997</v>
      </c>
      <c r="N7502">
        <v>-1.9200430000000001E-2</v>
      </c>
      <c r="O7502">
        <v>-0.41583490000000001</v>
      </c>
      <c r="P7502">
        <v>0.97675350000000005</v>
      </c>
      <c r="Q7502">
        <v>-0.1121515</v>
      </c>
      <c r="R7502">
        <v>-0.1826874</v>
      </c>
      <c r="S7502">
        <v>3.0265200000000001</v>
      </c>
      <c r="T7502">
        <v>-0.3851926</v>
      </c>
      <c r="U7502">
        <v>-2.548218E-2</v>
      </c>
      <c r="V7502">
        <v>-0.23698060000000001</v>
      </c>
      <c r="W7502">
        <v>-0.1012681</v>
      </c>
      <c r="X7502">
        <v>0.96622200000000003</v>
      </c>
      <c r="Y7502">
        <v>-0.40227239999999997</v>
      </c>
      <c r="Z7502">
        <v>7.2658589999999995E-2</v>
      </c>
      <c r="AA7502">
        <v>0.91263229999999995</v>
      </c>
      <c r="AB7502">
        <v>21</v>
      </c>
      <c r="AC7502">
        <v>8.8118999999999801</v>
      </c>
      <c r="AD7502">
        <v>-1.134217613965</v>
      </c>
      <c r="AE7502">
        <v>-4.1339999999991002E-2</v>
      </c>
      <c r="AF7502">
        <v>-3.5682610142342401</v>
      </c>
      <c r="AG7502">
        <v>-1.134217613965</v>
      </c>
      <c r="AH7502">
        <v>7.8999024642451596</v>
      </c>
      <c r="AI7502">
        <v>97.454533041101897</v>
      </c>
      <c r="AJ7502">
        <v>114.30794149983601</v>
      </c>
      <c r="AK7502">
        <v>8.7422763171910294</v>
      </c>
      <c r="AL7502">
        <v>95.812198024268</v>
      </c>
      <c r="AM7502">
        <v>103.78063242987101</v>
      </c>
      <c r="AN7502">
        <v>0.99999999306898402</v>
      </c>
    </row>
    <row r="7503" spans="1:40" x14ac:dyDescent="0.25">
      <c r="A7503" t="str">
        <f>"20190303154329727"</f>
        <v>20190303154329727</v>
      </c>
      <c r="B7503" t="str">
        <f>"1551599009717769"</f>
        <v>1551599009717769</v>
      </c>
      <c r="C7503" t="s">
        <v>40</v>
      </c>
      <c r="D7503">
        <v>5.7995159999999997</v>
      </c>
      <c r="E7503">
        <v>0.44305099999999997</v>
      </c>
      <c r="F7503" t="s">
        <v>58</v>
      </c>
      <c r="G7503">
        <v>-286.22629999999998</v>
      </c>
      <c r="H7503" s="1">
        <v>-5.216189E-6</v>
      </c>
      <c r="I7503">
        <v>-61.482149999999997</v>
      </c>
      <c r="J7503">
        <v>-294.22219999999999</v>
      </c>
      <c r="K7503">
        <v>1.1341920000000001</v>
      </c>
      <c r="L7503">
        <v>-61.265529999999998</v>
      </c>
      <c r="M7503">
        <v>0.91387419999999997</v>
      </c>
      <c r="N7503">
        <v>-1.919007E-2</v>
      </c>
      <c r="O7503">
        <v>-0.4055435</v>
      </c>
      <c r="P7503">
        <v>0.97829540000000004</v>
      </c>
      <c r="Q7503">
        <v>-0.1102385</v>
      </c>
      <c r="R7503">
        <v>-0.17545859999999999</v>
      </c>
      <c r="S7503">
        <v>3.0058289999999999</v>
      </c>
      <c r="T7503">
        <v>-0.42118630000000001</v>
      </c>
      <c r="U7503">
        <v>-9.2010499999999995E-2</v>
      </c>
      <c r="V7503">
        <v>-0.2333847</v>
      </c>
      <c r="W7503">
        <v>-9.9206520000000006E-2</v>
      </c>
      <c r="X7503">
        <v>0.96731049999999996</v>
      </c>
      <c r="Y7503">
        <v>-0.37061929999999998</v>
      </c>
      <c r="Z7503">
        <v>7.6650510000000005E-2</v>
      </c>
      <c r="AA7503">
        <v>0.92561660000000001</v>
      </c>
      <c r="AB7503">
        <v>21</v>
      </c>
      <c r="AC7503">
        <v>7.9958999999999998</v>
      </c>
      <c r="AD7503">
        <v>-1.1341972161889999</v>
      </c>
      <c r="AE7503">
        <v>-0.21661999999999099</v>
      </c>
      <c r="AF7503">
        <v>-2.9852614505828199</v>
      </c>
      <c r="AG7503">
        <v>-1.1341972161889999</v>
      </c>
      <c r="AH7503">
        <v>7.2506766816257899</v>
      </c>
      <c r="AI7503">
        <v>98.230535107391404</v>
      </c>
      <c r="AJ7503">
        <v>112.378031700428</v>
      </c>
      <c r="AK7503">
        <v>7.9227837024002303</v>
      </c>
      <c r="AL7503">
        <v>95.693480341688797</v>
      </c>
      <c r="AM7503">
        <v>103.564610946923</v>
      </c>
      <c r="AN7503">
        <v>0.99999997760742498</v>
      </c>
    </row>
    <row r="7504" spans="1:40" x14ac:dyDescent="0.25">
      <c r="A7504" t="str">
        <f>"20190303154329739"</f>
        <v>20190303154329739</v>
      </c>
      <c r="B7504" t="str">
        <f>"1551599009727576"</f>
        <v>1551599009727576</v>
      </c>
      <c r="C7504" t="s">
        <v>40</v>
      </c>
      <c r="D7504">
        <v>5.8239369999999999</v>
      </c>
      <c r="E7504">
        <v>0.44394489999999998</v>
      </c>
      <c r="F7504" t="s">
        <v>58</v>
      </c>
      <c r="G7504">
        <v>-286.03739999999999</v>
      </c>
      <c r="H7504" s="1">
        <v>-5.3119620000000004E-6</v>
      </c>
      <c r="I7504">
        <v>-61.478029999999997</v>
      </c>
      <c r="J7504">
        <v>-294.12860000000001</v>
      </c>
      <c r="K7504">
        <v>1.13417099999999</v>
      </c>
      <c r="L7504">
        <v>-61.294530000000002</v>
      </c>
      <c r="M7504">
        <v>0.91816010000000003</v>
      </c>
      <c r="N7504">
        <v>-1.9180369999999999E-2</v>
      </c>
      <c r="O7504">
        <v>-0.39574490000000001</v>
      </c>
      <c r="P7504">
        <v>0.97973180000000004</v>
      </c>
      <c r="Q7504">
        <v>-0.10765909999999999</v>
      </c>
      <c r="R7504">
        <v>-0.16892289999999999</v>
      </c>
      <c r="S7504">
        <v>3.0056150000000001</v>
      </c>
      <c r="T7504">
        <v>-0.41649829999999999</v>
      </c>
      <c r="U7504">
        <v>-7.8033450000000004E-2</v>
      </c>
      <c r="V7504">
        <v>-0.22970840000000001</v>
      </c>
      <c r="W7504">
        <v>-9.6475140000000001E-2</v>
      </c>
      <c r="X7504">
        <v>0.9684661</v>
      </c>
      <c r="Y7504">
        <v>-0.36526969999999997</v>
      </c>
      <c r="Z7504">
        <v>7.4310500000000002E-2</v>
      </c>
      <c r="AA7504">
        <v>0.92793099999999995</v>
      </c>
      <c r="AB7504">
        <v>21</v>
      </c>
      <c r="AC7504">
        <v>8.0912000000000095</v>
      </c>
      <c r="AD7504">
        <v>-1.1341763119620001</v>
      </c>
      <c r="AE7504">
        <v>-0.18350000000000199</v>
      </c>
      <c r="AF7504">
        <v>-2.9756885449043802</v>
      </c>
      <c r="AG7504">
        <v>-1.1341763119620001</v>
      </c>
      <c r="AH7504">
        <v>7.3585056647803304</v>
      </c>
      <c r="AI7504">
        <v>98.131955358052807</v>
      </c>
      <c r="AJ7504">
        <v>112.017798081332</v>
      </c>
      <c r="AK7504">
        <v>8.01802243957294</v>
      </c>
      <c r="AL7504">
        <v>95.536229170154797</v>
      </c>
      <c r="AM7504">
        <v>103.34328777792901</v>
      </c>
      <c r="AN7504">
        <v>0.99999999425889396</v>
      </c>
    </row>
    <row r="7505" spans="1:40" x14ac:dyDescent="0.25">
      <c r="A7505" t="str">
        <f>"20190303154329758"</f>
        <v>20190303154329758</v>
      </c>
      <c r="B7505" t="str">
        <f>"1551599009748072"</f>
        <v>1551599009748072</v>
      </c>
      <c r="C7505" t="s">
        <v>40</v>
      </c>
      <c r="D7505">
        <v>5.8777220000000003</v>
      </c>
      <c r="E7505">
        <v>0.44537949999999998</v>
      </c>
      <c r="F7505" t="s">
        <v>58</v>
      </c>
      <c r="G7505">
        <v>-285.64510000000001</v>
      </c>
      <c r="H7505" s="1">
        <v>-5.5093080000000001E-6</v>
      </c>
      <c r="I7505">
        <v>-61.478279999999998</v>
      </c>
      <c r="J7505">
        <v>-293.95659999999998</v>
      </c>
      <c r="K7505">
        <v>1.134131</v>
      </c>
      <c r="L7505">
        <v>-61.344700000000003</v>
      </c>
      <c r="M7505">
        <v>0.92573130000000003</v>
      </c>
      <c r="N7505">
        <v>-1.91605E-2</v>
      </c>
      <c r="O7505">
        <v>-0.37769619999999998</v>
      </c>
      <c r="P7505">
        <v>0.98173869999999996</v>
      </c>
      <c r="Q7505">
        <v>-0.1047449</v>
      </c>
      <c r="R7505">
        <v>-0.15880159999999999</v>
      </c>
      <c r="S7505">
        <v>3.006653</v>
      </c>
      <c r="T7505">
        <v>-0.40196589999999999</v>
      </c>
      <c r="U7505">
        <v>-6.5124509999999997E-2</v>
      </c>
      <c r="V7505">
        <v>-0.22098580000000001</v>
      </c>
      <c r="W7505">
        <v>-9.3218910000000002E-2</v>
      </c>
      <c r="X7505">
        <v>0.9708118</v>
      </c>
      <c r="Y7505">
        <v>-0.35174109999999997</v>
      </c>
      <c r="Z7505">
        <v>6.8681210000000006E-2</v>
      </c>
      <c r="AA7505">
        <v>0.93357440000000003</v>
      </c>
      <c r="AB7505">
        <v>21</v>
      </c>
      <c r="AC7505">
        <v>8.3114999999999597</v>
      </c>
      <c r="AD7505">
        <v>-1.134136509308</v>
      </c>
      <c r="AE7505">
        <v>-0.133580000000002</v>
      </c>
      <c r="AF7505">
        <v>-2.9609979492990601</v>
      </c>
      <c r="AG7505">
        <v>-1.134136509308</v>
      </c>
      <c r="AH7505">
        <v>7.6045331521161996</v>
      </c>
      <c r="AI7505">
        <v>97.9120599753047</v>
      </c>
      <c r="AJ7505">
        <v>111.27458260868001</v>
      </c>
      <c r="AK7505">
        <v>8.23909575979871</v>
      </c>
      <c r="AL7505">
        <v>95.348815824302207</v>
      </c>
      <c r="AM7505">
        <v>102.82372431575401</v>
      </c>
      <c r="AN7505">
        <v>1.00000002000123</v>
      </c>
    </row>
    <row r="7506" spans="1:40" x14ac:dyDescent="0.25">
      <c r="A7506" t="str">
        <f>"20190303154329768"</f>
        <v>20190303154329768</v>
      </c>
      <c r="B7506" t="str">
        <f>"1551599009757832"</f>
        <v>1551599009757832</v>
      </c>
      <c r="C7506" t="s">
        <v>40</v>
      </c>
      <c r="D7506">
        <v>5.8259019999999904</v>
      </c>
      <c r="E7506">
        <v>0.44673469999999998</v>
      </c>
      <c r="F7506" t="s">
        <v>58</v>
      </c>
      <c r="G7506">
        <v>-285.3383</v>
      </c>
      <c r="H7506" s="1">
        <v>-5.6643759999999997E-6</v>
      </c>
      <c r="I7506">
        <v>-61.474609999999998</v>
      </c>
      <c r="J7506">
        <v>-293.85730000000001</v>
      </c>
      <c r="K7506">
        <v>1.1340950000000001</v>
      </c>
      <c r="L7506">
        <v>-61.371699999999997</v>
      </c>
      <c r="M7506">
        <v>0.92991860000000004</v>
      </c>
      <c r="N7506">
        <v>-1.9147600000000001E-2</v>
      </c>
      <c r="O7506">
        <v>-0.36726700000000001</v>
      </c>
      <c r="P7506">
        <v>0.98254419999999998</v>
      </c>
      <c r="Q7506">
        <v>-0.1055619</v>
      </c>
      <c r="R7506">
        <v>-0.15317809999999901</v>
      </c>
      <c r="S7506">
        <v>3.0062869999999999</v>
      </c>
      <c r="T7506">
        <v>-0.39561689999999999</v>
      </c>
      <c r="U7506">
        <v>-4.5318600000000001E-2</v>
      </c>
      <c r="V7506">
        <v>-0.21559220000000001</v>
      </c>
      <c r="W7506">
        <v>-9.3834020000000004E-2</v>
      </c>
      <c r="X7506">
        <v>0.97196459999999996</v>
      </c>
      <c r="Y7506">
        <v>-0.34766469999999999</v>
      </c>
      <c r="Z7506">
        <v>6.6195669999999998E-2</v>
      </c>
      <c r="AA7506">
        <v>0.93527930000000004</v>
      </c>
      <c r="AB7506">
        <v>21</v>
      </c>
      <c r="AC7506">
        <v>8.5190000000000001</v>
      </c>
      <c r="AD7506">
        <v>-1.1341006643760001</v>
      </c>
      <c r="AE7506">
        <v>-0.102910000000001</v>
      </c>
      <c r="AF7506">
        <v>-2.9807859865025401</v>
      </c>
      <c r="AG7506">
        <v>-1.1341006643760001</v>
      </c>
      <c r="AH7506">
        <v>7.8226140595634099</v>
      </c>
      <c r="AI7506">
        <v>97.715182024657594</v>
      </c>
      <c r="AJ7506">
        <v>110.85920724871301</v>
      </c>
      <c r="AK7506">
        <v>8.4477547395238197</v>
      </c>
      <c r="AL7506">
        <v>95.384214287549597</v>
      </c>
      <c r="AM7506">
        <v>102.506339746039</v>
      </c>
      <c r="AN7506">
        <v>1.0000000018316799</v>
      </c>
    </row>
    <row r="7507" spans="1:40" x14ac:dyDescent="0.25">
      <c r="A7507" t="str">
        <f>"20190303154329792"</f>
        <v>20190303154329792</v>
      </c>
      <c r="B7507" t="str">
        <f>"1551599009788088"</f>
        <v>1551599009788088</v>
      </c>
      <c r="C7507" t="s">
        <v>40</v>
      </c>
      <c r="D7507">
        <v>5.8162699999999896</v>
      </c>
      <c r="E7507">
        <v>0.4497583</v>
      </c>
      <c r="F7507" t="s">
        <v>58</v>
      </c>
      <c r="G7507">
        <v>-285.27820000000003</v>
      </c>
      <c r="H7507" s="1">
        <v>-5.6932349999999999E-6</v>
      </c>
      <c r="I7507">
        <v>-61.482280000000003</v>
      </c>
      <c r="J7507">
        <v>-293.65890000000002</v>
      </c>
      <c r="K7507">
        <v>1.133993</v>
      </c>
      <c r="L7507">
        <v>-61.422669999999997</v>
      </c>
      <c r="M7507">
        <v>0.93789089999999997</v>
      </c>
      <c r="N7507">
        <v>-1.911966E-2</v>
      </c>
      <c r="O7507">
        <v>-0.34640359999999998</v>
      </c>
      <c r="P7507">
        <v>0.98356399999999999</v>
      </c>
      <c r="Q7507">
        <v>-0.1090496</v>
      </c>
      <c r="R7507">
        <v>-0.1439116</v>
      </c>
      <c r="S7507">
        <v>3.0046080000000002</v>
      </c>
      <c r="T7507">
        <v>-0.39719199999999999</v>
      </c>
      <c r="U7507">
        <v>-3.872681E-2</v>
      </c>
      <c r="V7507">
        <v>-0.2028305</v>
      </c>
      <c r="W7507">
        <v>-9.685705E-2</v>
      </c>
      <c r="X7507">
        <v>0.97441180000000005</v>
      </c>
      <c r="Y7507">
        <v>-0.32898100000000002</v>
      </c>
      <c r="Z7507">
        <v>6.2937950000000006E-2</v>
      </c>
      <c r="AA7507">
        <v>0.94223679999999999</v>
      </c>
      <c r="AB7507">
        <v>21</v>
      </c>
      <c r="AC7507">
        <v>8.3806999999999903</v>
      </c>
      <c r="AD7507">
        <v>-1.1339986932349999</v>
      </c>
      <c r="AE7507">
        <v>-5.9610000000006297E-2</v>
      </c>
      <c r="AF7507">
        <v>-2.7965181740256599</v>
      </c>
      <c r="AG7507">
        <v>-1.1339986932349999</v>
      </c>
      <c r="AH7507">
        <v>7.7405562010281797</v>
      </c>
      <c r="AI7507">
        <v>97.845075765314704</v>
      </c>
      <c r="AJ7507">
        <v>109.86383991774601</v>
      </c>
      <c r="AK7507">
        <v>8.3079887599340392</v>
      </c>
      <c r="AL7507">
        <v>95.558214329136206</v>
      </c>
      <c r="AM7507">
        <v>101.758597975716</v>
      </c>
      <c r="AN7507">
        <v>0.99999992792209302</v>
      </c>
    </row>
    <row r="7508" spans="1:40" x14ac:dyDescent="0.25">
      <c r="A7508" t="str">
        <f>"20190303154329805"</f>
        <v>20190303154329805</v>
      </c>
      <c r="B7508" t="str">
        <f>"1551599009797848"</f>
        <v>1551599009797848</v>
      </c>
      <c r="C7508" t="s">
        <v>40</v>
      </c>
      <c r="D7508">
        <v>5.8492540000000002</v>
      </c>
      <c r="E7508">
        <v>0.45062360000000001</v>
      </c>
      <c r="F7508" t="s">
        <v>58</v>
      </c>
      <c r="G7508">
        <v>-285.31189999999998</v>
      </c>
      <c r="H7508" s="1">
        <v>-5.6701419999999899E-6</v>
      </c>
      <c r="I7508">
        <v>-61.516829999999999</v>
      </c>
      <c r="J7508">
        <v>-293.53879999999998</v>
      </c>
      <c r="K7508">
        <v>1.1339250000000001</v>
      </c>
      <c r="L7508">
        <v>-61.450989999999997</v>
      </c>
      <c r="M7508">
        <v>0.94246110000000005</v>
      </c>
      <c r="N7508">
        <v>-1.909928E-2</v>
      </c>
      <c r="O7508">
        <v>-0.33376980000000001</v>
      </c>
      <c r="P7508">
        <v>0.98415989999999998</v>
      </c>
      <c r="Q7508">
        <v>-0.1115015</v>
      </c>
      <c r="R7508">
        <v>-0.1378297</v>
      </c>
      <c r="S7508">
        <v>2.9999690000000001</v>
      </c>
      <c r="T7508">
        <v>-0.40756629999999999</v>
      </c>
      <c r="U7508">
        <v>-3.3843989999999997E-2</v>
      </c>
      <c r="V7508">
        <v>-0.19561799999999999</v>
      </c>
      <c r="W7508">
        <v>-9.9050289999999999E-2</v>
      </c>
      <c r="X7508">
        <v>0.97566520000000001</v>
      </c>
      <c r="Y7508">
        <v>-0.31768819999999998</v>
      </c>
      <c r="Z7508">
        <v>6.2529370000000001E-2</v>
      </c>
      <c r="AA7508">
        <v>0.94613119999999995</v>
      </c>
      <c r="AB7508">
        <v>21</v>
      </c>
      <c r="AC7508">
        <v>8.2269000000000005</v>
      </c>
      <c r="AD7508">
        <v>-1.133930670142</v>
      </c>
      <c r="AE7508">
        <v>-6.5840000000001397E-2</v>
      </c>
      <c r="AF7508">
        <v>-2.6342866593186698</v>
      </c>
      <c r="AG7508">
        <v>-1.133930670142</v>
      </c>
      <c r="AH7508">
        <v>7.6319472453988197</v>
      </c>
      <c r="AI7508">
        <v>97.994665700048699</v>
      </c>
      <c r="AJ7508">
        <v>109.04291966322199</v>
      </c>
      <c r="AK7508">
        <v>8.1530291134463493</v>
      </c>
      <c r="AL7508">
        <v>95.684484746177901</v>
      </c>
      <c r="AM7508">
        <v>101.337313697696</v>
      </c>
      <c r="AN7508">
        <v>0.99999997218206105</v>
      </c>
    </row>
    <row r="7509" spans="1:40" x14ac:dyDescent="0.25">
      <c r="A7509" t="str">
        <f>"20190303154329819"</f>
        <v>20190303154329819</v>
      </c>
      <c r="B7509" t="str">
        <f>"1551599009807608"</f>
        <v>1551599009807608</v>
      </c>
      <c r="C7509" t="s">
        <v>40</v>
      </c>
      <c r="D7509">
        <v>5.8983589999999904</v>
      </c>
      <c r="E7509">
        <v>0.45129360000000002</v>
      </c>
      <c r="F7509" t="s">
        <v>58</v>
      </c>
      <c r="G7509">
        <v>-285.33980000000003</v>
      </c>
      <c r="H7509" s="1">
        <v>-5.6571880000000003E-6</v>
      </c>
      <c r="I7509">
        <v>-61.510829999999999</v>
      </c>
      <c r="J7509">
        <v>-293.42</v>
      </c>
      <c r="K7509">
        <v>1.13385</v>
      </c>
      <c r="L7509">
        <v>-61.47775</v>
      </c>
      <c r="M7509">
        <v>0.94679290000000005</v>
      </c>
      <c r="N7509">
        <v>-1.9077449999999999E-2</v>
      </c>
      <c r="O7509">
        <v>-0.32127790000000001</v>
      </c>
      <c r="P7509">
        <v>0.98465809999999998</v>
      </c>
      <c r="Q7509">
        <v>-0.1140374</v>
      </c>
      <c r="R7509">
        <v>-0.1320769</v>
      </c>
      <c r="S7509">
        <v>2.99823</v>
      </c>
      <c r="T7509">
        <v>-0.41465869999999999</v>
      </c>
      <c r="U7509">
        <v>-2.1881100000000001E-2</v>
      </c>
      <c r="V7509">
        <v>-0.188273</v>
      </c>
      <c r="W7509">
        <v>-0.1013252</v>
      </c>
      <c r="X7509">
        <v>0.97687590000000002</v>
      </c>
      <c r="Y7509">
        <v>-0.30889349999999999</v>
      </c>
      <c r="Z7509">
        <v>6.1635750000000003E-2</v>
      </c>
      <c r="AA7509">
        <v>0.94909739999999998</v>
      </c>
      <c r="AB7509">
        <v>21</v>
      </c>
      <c r="AC7509">
        <v>8.0801999999999907</v>
      </c>
      <c r="AD7509">
        <v>-1.1338556571879901</v>
      </c>
      <c r="AE7509">
        <v>-3.30800000000053E-2</v>
      </c>
      <c r="AF7509">
        <v>-2.5156020168451101</v>
      </c>
      <c r="AG7509">
        <v>-1.1338556571879901</v>
      </c>
      <c r="AH7509">
        <v>7.5143339590368701</v>
      </c>
      <c r="AI7509">
        <v>98.143014992851505</v>
      </c>
      <c r="AJ7509">
        <v>108.50919528778</v>
      </c>
      <c r="AK7509">
        <v>8.0049420364189494</v>
      </c>
      <c r="AL7509">
        <v>95.815486363503894</v>
      </c>
      <c r="AM7509">
        <v>100.908842223679</v>
      </c>
      <c r="AN7509">
        <v>1.0000000213424201</v>
      </c>
    </row>
    <row r="7510" spans="1:40" x14ac:dyDescent="0.25">
      <c r="A7510" t="str">
        <f>"20190303154329833"</f>
        <v>20190303154329833</v>
      </c>
      <c r="B7510" t="str">
        <f>"1551599009828104"</f>
        <v>1551599009828104</v>
      </c>
      <c r="C7510" t="s">
        <v>40</v>
      </c>
      <c r="D7510">
        <v>5.9267500000000002</v>
      </c>
      <c r="E7510">
        <v>0.45227909999999999</v>
      </c>
      <c r="F7510" t="s">
        <v>58</v>
      </c>
      <c r="G7510">
        <v>-285.38330000000002</v>
      </c>
      <c r="H7510" s="1">
        <v>-5.6366810000000003E-6</v>
      </c>
      <c r="I7510">
        <v>-61.502960000000002</v>
      </c>
      <c r="J7510">
        <v>-293.28800000000001</v>
      </c>
      <c r="K7510">
        <v>1.133759</v>
      </c>
      <c r="L7510">
        <v>-61.5053699999999</v>
      </c>
      <c r="M7510">
        <v>0.95138290000000003</v>
      </c>
      <c r="N7510">
        <v>-1.904867E-2</v>
      </c>
      <c r="O7510">
        <v>-0.30742150000000001</v>
      </c>
      <c r="P7510">
        <v>0.98536780000000002</v>
      </c>
      <c r="Q7510">
        <v>-0.11623410000000001</v>
      </c>
      <c r="R7510">
        <v>-0.1246598</v>
      </c>
      <c r="S7510">
        <v>2.9965519999999999</v>
      </c>
      <c r="T7510">
        <v>-0.42276819999999998</v>
      </c>
      <c r="U7510">
        <v>-9.399414E-3</v>
      </c>
      <c r="V7510">
        <v>-0.18125250000000001</v>
      </c>
      <c r="W7510">
        <v>-0.1032729</v>
      </c>
      <c r="X7510">
        <v>0.97799910000000001</v>
      </c>
      <c r="Y7510">
        <v>-0.29893649999999999</v>
      </c>
      <c r="Z7510">
        <v>6.0557649999999998E-2</v>
      </c>
      <c r="AA7510">
        <v>0.95234960000000002</v>
      </c>
      <c r="AB7510">
        <v>21</v>
      </c>
      <c r="AC7510">
        <v>7.9046999999999903</v>
      </c>
      <c r="AD7510">
        <v>-1.1337646366809999</v>
      </c>
      <c r="AE7510">
        <v>2.4099999999975799E-3</v>
      </c>
      <c r="AF7510">
        <v>-2.3837699281801301</v>
      </c>
      <c r="AG7510">
        <v>-1.1337646366809999</v>
      </c>
      <c r="AH7510">
        <v>7.3694161089916204</v>
      </c>
      <c r="AI7510">
        <v>98.327800093260706</v>
      </c>
      <c r="AJ7510">
        <v>107.924731925936</v>
      </c>
      <c r="AK7510">
        <v>7.8279036216185904</v>
      </c>
      <c r="AL7510">
        <v>95.927670045196294</v>
      </c>
      <c r="AM7510">
        <v>100.499494827139</v>
      </c>
      <c r="AN7510">
        <v>1.0000000001157301</v>
      </c>
    </row>
    <row r="7511" spans="1:40" x14ac:dyDescent="0.25">
      <c r="A7511" t="str">
        <f>"20190303154329847"</f>
        <v>20190303154329847</v>
      </c>
      <c r="B7511" t="str">
        <f>"1551599009837865"</f>
        <v>1551599009837865</v>
      </c>
      <c r="C7511" t="s">
        <v>40</v>
      </c>
      <c r="D7511">
        <v>5.9146020000000004</v>
      </c>
      <c r="E7511">
        <v>0.45277869999999998</v>
      </c>
      <c r="F7511" t="s">
        <v>58</v>
      </c>
      <c r="G7511">
        <v>-285.41379999999998</v>
      </c>
      <c r="H7511" s="1">
        <v>-5.6234780000000003E-6</v>
      </c>
      <c r="I7511">
        <v>-61.490839999999999</v>
      </c>
      <c r="J7511">
        <v>-293.16500000000002</v>
      </c>
      <c r="K7511">
        <v>1.1336489999999999</v>
      </c>
      <c r="L7511">
        <v>-61.529049999999998</v>
      </c>
      <c r="M7511">
        <v>0.95544110000000004</v>
      </c>
      <c r="N7511">
        <v>-1.901591E-2</v>
      </c>
      <c r="O7511">
        <v>-0.29456900000000003</v>
      </c>
      <c r="P7511">
        <v>0.98515529999999996</v>
      </c>
      <c r="Q7511">
        <v>-0.1186519</v>
      </c>
      <c r="R7511">
        <v>-0.1240605</v>
      </c>
      <c r="S7511">
        <v>2.9943849999999999</v>
      </c>
      <c r="T7511">
        <v>-0.4311488</v>
      </c>
      <c r="U7511">
        <v>5.5236819999999898E-3</v>
      </c>
      <c r="V7511">
        <v>-0.16854539999999901</v>
      </c>
      <c r="W7511">
        <v>-0.10525320000000001</v>
      </c>
      <c r="X7511">
        <v>0.98005830000000005</v>
      </c>
      <c r="Y7511">
        <v>-0.29077509999999901</v>
      </c>
      <c r="Z7511">
        <v>5.9684920000000002E-2</v>
      </c>
      <c r="AA7511">
        <v>0.954928</v>
      </c>
      <c r="AB7511">
        <v>21</v>
      </c>
      <c r="AC7511">
        <v>7.7512000000000398</v>
      </c>
      <c r="AD7511">
        <v>-1.1336546234779901</v>
      </c>
      <c r="AE7511">
        <v>3.8209999999992299E-2</v>
      </c>
      <c r="AF7511">
        <v>-2.2716001584109802</v>
      </c>
      <c r="AG7511">
        <v>-1.1336546234779901</v>
      </c>
      <c r="AH7511">
        <v>7.2410101358427896</v>
      </c>
      <c r="AI7511">
        <v>98.496131384911905</v>
      </c>
      <c r="AJ7511">
        <v>107.417327531556</v>
      </c>
      <c r="AK7511">
        <v>7.6731719563948202</v>
      </c>
      <c r="AL7511">
        <v>96.041754506569802</v>
      </c>
      <c r="AM7511">
        <v>99.7579828630478</v>
      </c>
      <c r="AN7511">
        <v>1.0000000296851399</v>
      </c>
    </row>
    <row r="7512" spans="1:40" x14ac:dyDescent="0.25">
      <c r="A7512" t="str">
        <f>"20190303154329858"</f>
        <v>20190303154329858</v>
      </c>
      <c r="B7512" t="str">
        <f>"1551599009847625"</f>
        <v>1551599009847625</v>
      </c>
      <c r="C7512" t="s">
        <v>40</v>
      </c>
      <c r="D7512">
        <v>5.8752329999999997</v>
      </c>
      <c r="E7512">
        <v>0.45336939999999998</v>
      </c>
      <c r="F7512" t="s">
        <v>58</v>
      </c>
      <c r="G7512">
        <v>-285.42070000000001</v>
      </c>
      <c r="H7512" s="1">
        <v>-5.6148120000000003E-6</v>
      </c>
      <c r="I7512">
        <v>-61.520209999999999</v>
      </c>
      <c r="J7512">
        <v>-293.06659999999999</v>
      </c>
      <c r="K7512">
        <v>1.1335630000000001</v>
      </c>
      <c r="L7512">
        <v>-61.547179999999997</v>
      </c>
      <c r="M7512">
        <v>0.9585494</v>
      </c>
      <c r="N7512">
        <v>-1.8988100000000001E-2</v>
      </c>
      <c r="O7512">
        <v>-0.28429369999999998</v>
      </c>
      <c r="P7512">
        <v>0.98559450000000004</v>
      </c>
      <c r="Q7512">
        <v>-0.11991830000000001</v>
      </c>
      <c r="R7512">
        <v>-0.1192633</v>
      </c>
      <c r="S7512">
        <v>2.9928590000000002</v>
      </c>
      <c r="T7512">
        <v>-0.43810830000000001</v>
      </c>
      <c r="U7512">
        <v>3.4179689999999999E-3</v>
      </c>
      <c r="V7512">
        <v>-0.16274350000000001</v>
      </c>
      <c r="W7512">
        <v>-0.10632079999999999</v>
      </c>
      <c r="X7512">
        <v>0.9809232</v>
      </c>
      <c r="Y7512">
        <v>-0.27984350000000002</v>
      </c>
      <c r="Z7512">
        <v>5.857532E-2</v>
      </c>
      <c r="AA7512">
        <v>0.95825700000000003</v>
      </c>
      <c r="AB7512">
        <v>21</v>
      </c>
      <c r="AC7512">
        <v>7.6458999999999797</v>
      </c>
      <c r="AD7512">
        <v>-1.1335686148120001</v>
      </c>
      <c r="AE7512">
        <v>2.6970000000005701E-2</v>
      </c>
      <c r="AF7512">
        <v>-2.15261441203628</v>
      </c>
      <c r="AG7512">
        <v>-1.1335686148120001</v>
      </c>
      <c r="AH7512">
        <v>7.16513262012288</v>
      </c>
      <c r="AI7512">
        <v>98.615705713923106</v>
      </c>
      <c r="AJ7512">
        <v>106.721797678809</v>
      </c>
      <c r="AK7512">
        <v>7.5668918371641896</v>
      </c>
      <c r="AL7512">
        <v>96.103269187777101</v>
      </c>
      <c r="AM7512">
        <v>99.420051501836895</v>
      </c>
      <c r="AN7512">
        <v>0.99999994180156304</v>
      </c>
    </row>
    <row r="7513" spans="1:40" x14ac:dyDescent="0.25">
      <c r="A7513" t="str">
        <f>"20190303154329869"</f>
        <v>20190303154329869</v>
      </c>
      <c r="B7513" t="str">
        <f>"1551599009857385"</f>
        <v>1551599009857385</v>
      </c>
      <c r="C7513" t="s">
        <v>40</v>
      </c>
      <c r="D7513">
        <v>5.9277730000000002</v>
      </c>
      <c r="E7513">
        <v>0.4538565</v>
      </c>
      <c r="F7513" t="s">
        <v>58</v>
      </c>
      <c r="G7513">
        <v>-285.38490000000002</v>
      </c>
      <c r="H7513" s="1">
        <v>-5.6340409999999901E-6</v>
      </c>
      <c r="I7513">
        <v>-61.513330000000003</v>
      </c>
      <c r="J7513">
        <v>-292.96730000000002</v>
      </c>
      <c r="K7513">
        <v>1.1334649999999999</v>
      </c>
      <c r="L7513">
        <v>-61.56409</v>
      </c>
      <c r="M7513">
        <v>0.96155049999999997</v>
      </c>
      <c r="N7513">
        <v>-1.89544E-2</v>
      </c>
      <c r="O7513">
        <v>-0.27397339999999998</v>
      </c>
      <c r="P7513">
        <v>0.98604890000000001</v>
      </c>
      <c r="Q7513">
        <v>-0.1213304</v>
      </c>
      <c r="R7513">
        <v>-0.1139589</v>
      </c>
      <c r="S7513">
        <v>2.9916689999999999</v>
      </c>
      <c r="T7513">
        <v>-0.44146990000000003</v>
      </c>
      <c r="U7513">
        <v>1.318359E-2</v>
      </c>
      <c r="V7513">
        <v>-0.15742059999999999</v>
      </c>
      <c r="W7513">
        <v>-0.1075542</v>
      </c>
      <c r="X7513">
        <v>0.98165720000000001</v>
      </c>
      <c r="Y7513">
        <v>-0.27273160000000002</v>
      </c>
      <c r="Z7513">
        <v>5.721942E-2</v>
      </c>
      <c r="AA7513">
        <v>0.96038710000000005</v>
      </c>
      <c r="AB7513">
        <v>21</v>
      </c>
      <c r="AC7513">
        <v>7.5823999999999998</v>
      </c>
      <c r="AD7513">
        <v>-1.1334706340409999</v>
      </c>
      <c r="AE7513">
        <v>5.0759999999996801E-2</v>
      </c>
      <c r="AF7513">
        <v>-2.0800858851347201</v>
      </c>
      <c r="AG7513">
        <v>-1.1334706340409999</v>
      </c>
      <c r="AH7513">
        <v>7.1191801879310797</v>
      </c>
      <c r="AI7513">
        <v>98.6889410242607</v>
      </c>
      <c r="AJ7513">
        <v>106.287335221788</v>
      </c>
      <c r="AK7513">
        <v>7.5029487214028299</v>
      </c>
      <c r="AL7513">
        <v>96.174344989765899</v>
      </c>
      <c r="AM7513">
        <v>99.110504145057206</v>
      </c>
      <c r="AN7513">
        <v>1.00000000477692</v>
      </c>
    </row>
    <row r="7514" spans="1:40" x14ac:dyDescent="0.25">
      <c r="A7514" t="str">
        <f>"20190303154329880"</f>
        <v>20190303154329880</v>
      </c>
      <c r="B7514" t="str">
        <f>"1551599009877880"</f>
        <v>1551599009877880</v>
      </c>
      <c r="C7514" t="s">
        <v>40</v>
      </c>
      <c r="D7514">
        <v>5.8600180000000002</v>
      </c>
      <c r="E7514">
        <v>0.45424429999999999</v>
      </c>
      <c r="F7514" t="s">
        <v>58</v>
      </c>
      <c r="G7514">
        <v>-285.35770000000002</v>
      </c>
      <c r="H7514" s="1">
        <v>-5.6501399999999997E-6</v>
      </c>
      <c r="I7514">
        <v>-61.499639999999999</v>
      </c>
      <c r="J7514">
        <v>-292.86750000000001</v>
      </c>
      <c r="K7514">
        <v>1.133359</v>
      </c>
      <c r="L7514">
        <v>-61.58014</v>
      </c>
      <c r="M7514">
        <v>0.96443520000000005</v>
      </c>
      <c r="N7514">
        <v>-1.8917980000000001E-2</v>
      </c>
      <c r="O7514">
        <v>-0.2636423</v>
      </c>
      <c r="P7514">
        <v>0.98649430000000005</v>
      </c>
      <c r="Q7514">
        <v>-0.12249699999999999</v>
      </c>
      <c r="R7514">
        <v>-0.1087388</v>
      </c>
      <c r="S7514">
        <v>2.99057</v>
      </c>
      <c r="T7514">
        <v>-0.44545580000000001</v>
      </c>
      <c r="U7514">
        <v>2.5329589999999999E-2</v>
      </c>
      <c r="V7514">
        <v>-0.15204879999999901</v>
      </c>
      <c r="W7514">
        <v>-0.10854279999999999</v>
      </c>
      <c r="X7514">
        <v>0.98239480000000001</v>
      </c>
      <c r="Y7514">
        <v>-0.26637349999999999</v>
      </c>
      <c r="Z7514">
        <v>5.596889E-2</v>
      </c>
      <c r="AA7514">
        <v>0.96224359999999998</v>
      </c>
      <c r="AB7514">
        <v>21</v>
      </c>
      <c r="AC7514">
        <v>7.5097999999999798</v>
      </c>
      <c r="AD7514">
        <v>-1.1333646501400001</v>
      </c>
      <c r="AE7514">
        <v>8.0500000000000599E-2</v>
      </c>
      <c r="AF7514">
        <v>-2.01208335723042</v>
      </c>
      <c r="AG7514">
        <v>-1.1333646501400001</v>
      </c>
      <c r="AH7514">
        <v>7.0619568361344598</v>
      </c>
      <c r="AI7514">
        <v>98.774146899172095</v>
      </c>
      <c r="AJ7514">
        <v>105.903242095209</v>
      </c>
      <c r="AK7514">
        <v>7.4299548600282197</v>
      </c>
      <c r="AL7514">
        <v>96.231321439331197</v>
      </c>
      <c r="AM7514">
        <v>98.798066272161904</v>
      </c>
      <c r="AN7514">
        <v>0.99999996004015901</v>
      </c>
    </row>
    <row r="7515" spans="1:40" x14ac:dyDescent="0.25">
      <c r="A7515" t="str">
        <f>"20190303154329891"</f>
        <v>20190303154329891</v>
      </c>
      <c r="B7515" t="str">
        <f>"1551599009887640"</f>
        <v>1551599009887640</v>
      </c>
      <c r="C7515" t="s">
        <v>40</v>
      </c>
      <c r="D7515">
        <v>6.0188230000000003</v>
      </c>
      <c r="E7515">
        <v>0.47607759999999999</v>
      </c>
      <c r="F7515" t="s">
        <v>58</v>
      </c>
      <c r="G7515">
        <v>-285.34309999999999</v>
      </c>
      <c r="H7515" s="1">
        <v>-5.66020599999999E-6</v>
      </c>
      <c r="I7515">
        <v>-61.484279999999998</v>
      </c>
      <c r="J7515">
        <v>-292.76940000000002</v>
      </c>
      <c r="K7515">
        <v>1.133246</v>
      </c>
      <c r="L7515">
        <v>-61.594970000000004</v>
      </c>
      <c r="M7515">
        <v>0.96714140000000004</v>
      </c>
      <c r="N7515">
        <v>-1.8878860000000001E-2</v>
      </c>
      <c r="O7515">
        <v>-0.25353700000000001</v>
      </c>
      <c r="P7515">
        <v>0.986896</v>
      </c>
      <c r="Q7515">
        <v>-0.1235156</v>
      </c>
      <c r="R7515">
        <v>-0.1038273</v>
      </c>
      <c r="S7515">
        <v>2.9893489999999998</v>
      </c>
      <c r="T7515">
        <v>-0.45027519999999999</v>
      </c>
      <c r="U7515">
        <v>3.8085939999999999E-2</v>
      </c>
      <c r="V7515">
        <v>-0.14663599999999999</v>
      </c>
      <c r="W7515">
        <v>-0.1093853</v>
      </c>
      <c r="X7515">
        <v>0.983124</v>
      </c>
      <c r="Y7515">
        <v>-0.26043670000000002</v>
      </c>
      <c r="Z7515">
        <v>5.484849E-2</v>
      </c>
      <c r="AA7515">
        <v>0.96393169999999995</v>
      </c>
      <c r="AB7515">
        <v>21</v>
      </c>
      <c r="AC7515">
        <v>7.4263000000000199</v>
      </c>
      <c r="AD7515">
        <v>-1.1332516602060001</v>
      </c>
      <c r="AE7515">
        <v>0.110689999999991</v>
      </c>
      <c r="AF7515">
        <v>-1.9449677016246001</v>
      </c>
      <c r="AG7515">
        <v>-1.1332516602060001</v>
      </c>
      <c r="AH7515">
        <v>6.9926932490810403</v>
      </c>
      <c r="AI7515">
        <v>98.874237108100402</v>
      </c>
      <c r="AJ7515">
        <v>105.543528454856</v>
      </c>
      <c r="AK7515">
        <v>7.3460817829279597</v>
      </c>
      <c r="AL7515">
        <v>96.279881843039803</v>
      </c>
      <c r="AM7515">
        <v>98.483304129141601</v>
      </c>
      <c r="AN7515">
        <v>1.0000000298640399</v>
      </c>
    </row>
    <row r="7516" spans="1:40" x14ac:dyDescent="0.25">
      <c r="A7516" t="str">
        <f>"20190303154329903"</f>
        <v>20190303154329903</v>
      </c>
      <c r="B7516" t="str">
        <f>"1551599009897400"</f>
        <v>1551599009897400</v>
      </c>
      <c r="C7516" t="s">
        <v>40</v>
      </c>
      <c r="D7516">
        <v>5.9774200000000004</v>
      </c>
      <c r="E7516">
        <v>0.47649399999999997</v>
      </c>
      <c r="F7516" t="s">
        <v>58</v>
      </c>
      <c r="G7516">
        <v>-284.05169999999998</v>
      </c>
      <c r="H7516" s="1">
        <v>-6.177112E-6</v>
      </c>
      <c r="I7516">
        <v>-61.950449999999996</v>
      </c>
      <c r="J7516">
        <v>-292.6703</v>
      </c>
      <c r="K7516">
        <v>1.133124</v>
      </c>
      <c r="L7516">
        <v>-61.608800000000002</v>
      </c>
      <c r="M7516">
        <v>0.9697481</v>
      </c>
      <c r="N7516">
        <v>-1.8834050000000001E-2</v>
      </c>
      <c r="O7516">
        <v>-0.2433805</v>
      </c>
      <c r="P7516">
        <v>0.98721990000000004</v>
      </c>
      <c r="Q7516">
        <v>-0.124865</v>
      </c>
      <c r="R7516">
        <v>-9.9025329999999995E-2</v>
      </c>
      <c r="S7516">
        <v>2.978577</v>
      </c>
      <c r="T7516">
        <v>-0.38719819999999999</v>
      </c>
      <c r="U7516">
        <v>-0.121459999999999</v>
      </c>
      <c r="V7516">
        <v>-0.14106949999999999</v>
      </c>
      <c r="W7516">
        <v>-0.1105595</v>
      </c>
      <c r="X7516">
        <v>0.98380690000000004</v>
      </c>
      <c r="Y7516">
        <v>-0.20032340000000001</v>
      </c>
      <c r="Z7516">
        <v>4.146292E-2</v>
      </c>
      <c r="AA7516">
        <v>0.9788521</v>
      </c>
      <c r="AB7516">
        <v>21</v>
      </c>
      <c r="AC7516">
        <v>8.6186000000000096</v>
      </c>
      <c r="AD7516">
        <v>-1.1331301771119999</v>
      </c>
      <c r="AE7516">
        <v>-0.34164999999999401</v>
      </c>
      <c r="AF7516">
        <v>-1.7366262971047599</v>
      </c>
      <c r="AG7516">
        <v>-1.1331301771119999</v>
      </c>
      <c r="AH7516">
        <v>8.2992851163193198</v>
      </c>
      <c r="AI7516">
        <v>97.611854537509103</v>
      </c>
      <c r="AJ7516">
        <v>101.81862196326099</v>
      </c>
      <c r="AK7516">
        <v>8.5544133835136194</v>
      </c>
      <c r="AL7516">
        <v>96.347569212742798</v>
      </c>
      <c r="AM7516">
        <v>98.160101499971205</v>
      </c>
      <c r="AN7516">
        <v>1.0000000116790499</v>
      </c>
    </row>
    <row r="7517" spans="1:40" x14ac:dyDescent="0.25">
      <c r="A7517" t="str">
        <f>"20190303154329914"</f>
        <v>20190303154329914</v>
      </c>
      <c r="B7517" t="str">
        <f>"1551599009908136"</f>
        <v>1551599009908136</v>
      </c>
      <c r="C7517" t="s">
        <v>40</v>
      </c>
      <c r="D7517">
        <v>6.0062509999999998</v>
      </c>
      <c r="E7517">
        <v>0.47684110000000002</v>
      </c>
      <c r="F7517" t="s">
        <v>58</v>
      </c>
      <c r="G7517">
        <v>-283.90780000000001</v>
      </c>
      <c r="H7517" s="1">
        <v>-6.2272019999999999E-6</v>
      </c>
      <c r="I7517">
        <v>-61.9334699999999</v>
      </c>
      <c r="J7517">
        <v>-292.56009999999998</v>
      </c>
      <c r="K7517">
        <v>1.1329830000000001</v>
      </c>
      <c r="L7517">
        <v>-61.623440000000002</v>
      </c>
      <c r="M7517">
        <v>0.97250400000000004</v>
      </c>
      <c r="N7517">
        <v>-1.8782920000000002E-2</v>
      </c>
      <c r="O7517">
        <v>-0.23212769999999999</v>
      </c>
      <c r="P7517">
        <v>0.98775939999999995</v>
      </c>
      <c r="Q7517">
        <v>-0.12541769999999999</v>
      </c>
      <c r="R7517">
        <v>-9.2746510000000004E-2</v>
      </c>
      <c r="S7517">
        <v>2.979034</v>
      </c>
      <c r="T7517">
        <v>-0.38523849999999998</v>
      </c>
      <c r="U7517">
        <v>-0.1103821</v>
      </c>
      <c r="V7517">
        <v>-0.1359398</v>
      </c>
      <c r="W7517">
        <v>-0.1109522</v>
      </c>
      <c r="X7517">
        <v>0.98448460000000004</v>
      </c>
      <c r="Y7517">
        <v>-0.1927828</v>
      </c>
      <c r="Z7517">
        <v>3.9494349999999998E-2</v>
      </c>
      <c r="AA7517">
        <v>0.98044629999999999</v>
      </c>
      <c r="AB7517">
        <v>21</v>
      </c>
      <c r="AC7517">
        <v>8.6522999999999595</v>
      </c>
      <c r="AD7517">
        <v>-1.1329892272019999</v>
      </c>
      <c r="AE7517">
        <v>-0.31002999999998998</v>
      </c>
      <c r="AF7517">
        <v>-1.67849000115766</v>
      </c>
      <c r="AG7517">
        <v>-1.1329892272019999</v>
      </c>
      <c r="AH7517">
        <v>8.3449523754755699</v>
      </c>
      <c r="AI7517">
        <v>97.581712276304202</v>
      </c>
      <c r="AJ7517">
        <v>101.37263313698</v>
      </c>
      <c r="AK7517">
        <v>8.5871545591014904</v>
      </c>
      <c r="AL7517">
        <v>96.370208792952894</v>
      </c>
      <c r="AM7517">
        <v>97.861812604795901</v>
      </c>
      <c r="AN7517">
        <v>0.99999997377301897</v>
      </c>
    </row>
    <row r="7518" spans="1:40" x14ac:dyDescent="0.25">
      <c r="A7518" t="str">
        <f>"20190303154329926"</f>
        <v>20190303154329926</v>
      </c>
      <c r="B7518" t="str">
        <f>"1551599009917896"</f>
        <v>1551599009917896</v>
      </c>
      <c r="C7518" t="s">
        <v>40</v>
      </c>
      <c r="D7518">
        <v>6.0118429999999998</v>
      </c>
      <c r="E7518">
        <v>0.4771958</v>
      </c>
      <c r="F7518" t="s">
        <v>58</v>
      </c>
      <c r="G7518">
        <v>-283.78120000000001</v>
      </c>
      <c r="H7518" s="1">
        <v>-6.2732299999999999E-6</v>
      </c>
      <c r="I7518">
        <v>-61.901110000000003</v>
      </c>
      <c r="J7518">
        <v>-292.4633</v>
      </c>
      <c r="K7518">
        <v>1.1328450000000001</v>
      </c>
      <c r="L7518">
        <v>-61.634639999999997</v>
      </c>
      <c r="M7518">
        <v>0.97477950000000002</v>
      </c>
      <c r="N7518">
        <v>-1.8728370000000001E-2</v>
      </c>
      <c r="O7518">
        <v>-0.22238369999999999</v>
      </c>
      <c r="P7518">
        <v>0.9880968</v>
      </c>
      <c r="Q7518">
        <v>-0.12608139999999901</v>
      </c>
      <c r="R7518">
        <v>-8.813733E-2</v>
      </c>
      <c r="S7518">
        <v>2.979492</v>
      </c>
      <c r="T7518">
        <v>-0.38452740000000002</v>
      </c>
      <c r="U7518">
        <v>-9.4238279999999994E-2</v>
      </c>
      <c r="V7518">
        <v>-0.13069049999999999</v>
      </c>
      <c r="W7518">
        <v>-0.1114595</v>
      </c>
      <c r="X7518">
        <v>0.98513790000000001</v>
      </c>
      <c r="Y7518">
        <v>-0.18838650000000001</v>
      </c>
      <c r="Z7518">
        <v>3.8064609999999999E-2</v>
      </c>
      <c r="AA7518">
        <v>0.98135700000000003</v>
      </c>
      <c r="AB7518">
        <v>21</v>
      </c>
      <c r="AC7518">
        <v>8.6820999999999895</v>
      </c>
      <c r="AD7518">
        <v>-1.13285127323</v>
      </c>
      <c r="AE7518">
        <v>-0.26646999999999099</v>
      </c>
      <c r="AF7518">
        <v>-1.6433486136544</v>
      </c>
      <c r="AG7518">
        <v>-1.13285127323</v>
      </c>
      <c r="AH7518">
        <v>8.3813245159348195</v>
      </c>
      <c r="AI7518">
        <v>97.555506919173496</v>
      </c>
      <c r="AJ7518">
        <v>101.093404720102</v>
      </c>
      <c r="AK7518">
        <v>8.6157151365785491</v>
      </c>
      <c r="AL7518">
        <v>96.399456478141005</v>
      </c>
      <c r="AM7518">
        <v>97.556855121368997</v>
      </c>
      <c r="AN7518">
        <v>0.99999995447345402</v>
      </c>
    </row>
    <row r="7519" spans="1:40" x14ac:dyDescent="0.25">
      <c r="A7519" t="str">
        <f>"20190303154329937"</f>
        <v>20190303154329937</v>
      </c>
      <c r="B7519" t="str">
        <f>"1551599009927657"</f>
        <v>1551599009927657</v>
      </c>
      <c r="C7519" t="s">
        <v>40</v>
      </c>
      <c r="D7519">
        <v>5.9651670000000001</v>
      </c>
      <c r="E7519">
        <v>0.47783789999999998</v>
      </c>
      <c r="F7519" t="s">
        <v>58</v>
      </c>
      <c r="G7519">
        <v>-283.75709999999998</v>
      </c>
      <c r="H7519" s="1">
        <v>-6.2839299999999997E-6</v>
      </c>
      <c r="I7519">
        <v>-61.877569999999999</v>
      </c>
      <c r="J7519">
        <v>-292.36439999999999</v>
      </c>
      <c r="K7519">
        <v>1.132701</v>
      </c>
      <c r="L7519">
        <v>-61.645870000000002</v>
      </c>
      <c r="M7519">
        <v>0.97699259999999999</v>
      </c>
      <c r="N7519">
        <v>-1.8673559999999999E-2</v>
      </c>
      <c r="O7519">
        <v>-0.212454</v>
      </c>
      <c r="P7519">
        <v>0.98852499999999999</v>
      </c>
      <c r="Q7519">
        <v>-0.1264296</v>
      </c>
      <c r="R7519">
        <v>-8.2665740000000001E-2</v>
      </c>
      <c r="S7519">
        <v>2.9792480000000001</v>
      </c>
      <c r="T7519">
        <v>-0.38766260000000002</v>
      </c>
      <c r="U7519">
        <v>-8.3129880000000003E-2</v>
      </c>
      <c r="V7519">
        <v>-0.1261497</v>
      </c>
      <c r="W7519">
        <v>-0.1116747</v>
      </c>
      <c r="X7519">
        <v>0.98570530000000001</v>
      </c>
      <c r="Y7519">
        <v>-0.18211240000000001</v>
      </c>
      <c r="Z7519">
        <v>3.6870430000000003E-2</v>
      </c>
      <c r="AA7519">
        <v>0.98258619999999997</v>
      </c>
      <c r="AB7519">
        <v>21</v>
      </c>
      <c r="AC7519">
        <v>8.6073000000000093</v>
      </c>
      <c r="AD7519">
        <v>-1.1327072839300001</v>
      </c>
      <c r="AE7519">
        <v>-0.23170000000000299</v>
      </c>
      <c r="AF7519">
        <v>-1.5753040094259201</v>
      </c>
      <c r="AG7519">
        <v>-1.1327072839300001</v>
      </c>
      <c r="AH7519">
        <v>8.3160549598925897</v>
      </c>
      <c r="AI7519">
        <v>97.622452557811002</v>
      </c>
      <c r="AJ7519">
        <v>100.72640131951199</v>
      </c>
      <c r="AK7519">
        <v>8.5394015369424796</v>
      </c>
      <c r="AL7519">
        <v>96.411863943727496</v>
      </c>
      <c r="AM7519">
        <v>97.293019433188206</v>
      </c>
      <c r="AN7519">
        <v>0.99999996193913399</v>
      </c>
    </row>
    <row r="7520" spans="1:40" x14ac:dyDescent="0.25">
      <c r="A7520" t="str">
        <f>"20190303154329948"</f>
        <v>20190303154329948</v>
      </c>
      <c r="B7520" t="str">
        <f>"1551599009937416"</f>
        <v>1551599009937416</v>
      </c>
      <c r="C7520" t="s">
        <v>40</v>
      </c>
      <c r="D7520">
        <v>6.0035470000000002</v>
      </c>
      <c r="E7520">
        <v>0.47835280000000002</v>
      </c>
      <c r="F7520" t="s">
        <v>58</v>
      </c>
      <c r="G7520">
        <v>-283.7278</v>
      </c>
      <c r="H7520" s="1">
        <v>-6.2964270000000001E-6</v>
      </c>
      <c r="I7520">
        <v>-61.853810000000003</v>
      </c>
      <c r="J7520">
        <v>-292.25839999999999</v>
      </c>
      <c r="K7520">
        <v>1.1325190000000001</v>
      </c>
      <c r="L7520">
        <v>-61.65634</v>
      </c>
      <c r="M7520">
        <v>0.97921369999999996</v>
      </c>
      <c r="N7520">
        <v>-1.8603370000000001E-2</v>
      </c>
      <c r="O7520">
        <v>-0.2019763</v>
      </c>
      <c r="P7520">
        <v>0.98898989999999998</v>
      </c>
      <c r="Q7520">
        <v>-0.12653819999999999</v>
      </c>
      <c r="R7520">
        <v>-7.6729279999999997E-2</v>
      </c>
      <c r="S7520">
        <v>2.9788510000000001</v>
      </c>
      <c r="T7520">
        <v>-0.39068059999999899</v>
      </c>
      <c r="U7520">
        <v>-7.1716310000000005E-2</v>
      </c>
      <c r="V7520">
        <v>-0.12156069999999999</v>
      </c>
      <c r="W7520">
        <v>-0.11165700000000001</v>
      </c>
      <c r="X7520">
        <v>0.98628380000000004</v>
      </c>
      <c r="Y7520">
        <v>-0.17541570000000001</v>
      </c>
      <c r="Z7520">
        <v>3.5545930000000003E-2</v>
      </c>
      <c r="AA7520">
        <v>0.98385250000000002</v>
      </c>
      <c r="AB7520">
        <v>21</v>
      </c>
      <c r="AC7520">
        <v>8.5305999999999909</v>
      </c>
      <c r="AD7520">
        <v>-1.1325252964270001</v>
      </c>
      <c r="AE7520">
        <v>-0.19746999999999501</v>
      </c>
      <c r="AF7520">
        <v>-1.50339486356844</v>
      </c>
      <c r="AG7520">
        <v>-1.1325252964270001</v>
      </c>
      <c r="AH7520">
        <v>8.2492989310120901</v>
      </c>
      <c r="AI7520">
        <v>97.691983730840093</v>
      </c>
      <c r="AJ7520">
        <v>100.328526289511</v>
      </c>
      <c r="AK7520">
        <v>8.4613085581397094</v>
      </c>
      <c r="AL7520">
        <v>96.410843104966702</v>
      </c>
      <c r="AM7520">
        <v>97.026340049642101</v>
      </c>
      <c r="AN7520">
        <v>1.0000000117879599</v>
      </c>
    </row>
    <row r="7521" spans="1:40" x14ac:dyDescent="0.25">
      <c r="A7521" t="str">
        <f>"20190303154329958"</f>
        <v>20190303154329958</v>
      </c>
      <c r="B7521" t="str">
        <f>"1551599009948153"</f>
        <v>1551599009948153</v>
      </c>
      <c r="C7521" t="s">
        <v>40</v>
      </c>
      <c r="D7521">
        <v>5.9808379999999897</v>
      </c>
      <c r="E7521">
        <v>0.47883779999999998</v>
      </c>
      <c r="F7521" t="s">
        <v>58</v>
      </c>
      <c r="G7521">
        <v>-283.6669</v>
      </c>
      <c r="H7521" s="1">
        <v>-6.3202479999999997E-6</v>
      </c>
      <c r="I7521">
        <v>-61.823320000000002</v>
      </c>
      <c r="J7521">
        <v>-292.16820000000001</v>
      </c>
      <c r="K7521">
        <v>1.1323620000000001</v>
      </c>
      <c r="L7521">
        <v>-61.664790000000004</v>
      </c>
      <c r="M7521">
        <v>0.98099990000000004</v>
      </c>
      <c r="N7521">
        <v>-1.854271E-2</v>
      </c>
      <c r="O7521">
        <v>-0.19312090000000001</v>
      </c>
      <c r="P7521">
        <v>0.98936550000000001</v>
      </c>
      <c r="Q7521">
        <v>-0.12640370000000001</v>
      </c>
      <c r="R7521">
        <v>-7.1958759999999997E-2</v>
      </c>
      <c r="S7521">
        <v>2.9786990000000002</v>
      </c>
      <c r="T7521">
        <v>-0.39264969999999999</v>
      </c>
      <c r="U7521">
        <v>-5.7891850000000002E-2</v>
      </c>
      <c r="V7521">
        <v>-0.1174634</v>
      </c>
      <c r="W7521">
        <v>-0.11141189999999999</v>
      </c>
      <c r="X7521">
        <v>0.98680789999999996</v>
      </c>
      <c r="Y7521">
        <v>-0.17114949999999901</v>
      </c>
      <c r="Z7521">
        <v>3.4451509999999998E-2</v>
      </c>
      <c r="AA7521">
        <v>0.98464260000000003</v>
      </c>
      <c r="AB7521">
        <v>21</v>
      </c>
      <c r="AC7521">
        <v>8.5013000000000094</v>
      </c>
      <c r="AD7521">
        <v>-1.1323683202479999</v>
      </c>
      <c r="AE7521">
        <v>-0.15852999999999101</v>
      </c>
      <c r="AF7521">
        <v>-1.46061085605416</v>
      </c>
      <c r="AG7521">
        <v>-1.1323683202479999</v>
      </c>
      <c r="AH7521">
        <v>8.2259334456757198</v>
      </c>
      <c r="AI7521">
        <v>97.718734837185195</v>
      </c>
      <c r="AJ7521">
        <v>100.06859736205899</v>
      </c>
      <c r="AK7521">
        <v>8.4309918241100696</v>
      </c>
      <c r="AL7521">
        <v>96.396711513889102</v>
      </c>
      <c r="AM7521">
        <v>96.788188471127995</v>
      </c>
      <c r="AN7521">
        <v>1.00000004665178</v>
      </c>
    </row>
    <row r="7522" spans="1:40" x14ac:dyDescent="0.25">
      <c r="A7522" t="str">
        <f>"20190303154329969"</f>
        <v>20190303154329969</v>
      </c>
      <c r="B7522" t="str">
        <f>"1551599009957912"</f>
        <v>1551599009957912</v>
      </c>
      <c r="C7522" t="s">
        <v>40</v>
      </c>
      <c r="D7522">
        <v>6.0053150000000004</v>
      </c>
      <c r="E7522">
        <v>0.47939199999999998</v>
      </c>
      <c r="F7522" t="s">
        <v>58</v>
      </c>
      <c r="G7522">
        <v>-283.57069999999999</v>
      </c>
      <c r="H7522" s="1">
        <v>-6.3548819999999998E-6</v>
      </c>
      <c r="I7522">
        <v>-61.801589999999997</v>
      </c>
      <c r="J7522">
        <v>-292.06889999999999</v>
      </c>
      <c r="K7522">
        <v>1.13217099999999</v>
      </c>
      <c r="L7522">
        <v>-61.6729699999999</v>
      </c>
      <c r="M7522">
        <v>0.98284519999999997</v>
      </c>
      <c r="N7522">
        <v>-1.846882E-2</v>
      </c>
      <c r="O7522">
        <v>-0.18350520000000001</v>
      </c>
      <c r="P7522">
        <v>0.9897842</v>
      </c>
      <c r="Q7522">
        <v>-0.12595700000000001</v>
      </c>
      <c r="R7522">
        <v>-6.6801769999999996E-2</v>
      </c>
      <c r="S7522">
        <v>2.9786679999999999</v>
      </c>
      <c r="T7522">
        <v>-0.39231630000000001</v>
      </c>
      <c r="U7522">
        <v>-4.73938E-2</v>
      </c>
      <c r="V7522">
        <v>-0.1130231</v>
      </c>
      <c r="W7522">
        <v>-0.1108526</v>
      </c>
      <c r="X7522">
        <v>0.98738919999999997</v>
      </c>
      <c r="Y7522">
        <v>-0.16509370000000001</v>
      </c>
      <c r="Z7522">
        <v>3.2916130000000002E-2</v>
      </c>
      <c r="AA7522">
        <v>0.98572839999999995</v>
      </c>
      <c r="AB7522">
        <v>21</v>
      </c>
      <c r="AC7522">
        <v>8.49819999999999</v>
      </c>
      <c r="AD7522">
        <v>-1.13217735488199</v>
      </c>
      <c r="AE7522">
        <v>-0.128620000000012</v>
      </c>
      <c r="AF7522">
        <v>-1.4083045111913499</v>
      </c>
      <c r="AG7522">
        <v>-1.13217735488199</v>
      </c>
      <c r="AH7522">
        <v>8.2313809348102804</v>
      </c>
      <c r="AI7522">
        <v>97.720750419440407</v>
      </c>
      <c r="AJ7522">
        <v>99.708715996466296</v>
      </c>
      <c r="AK7522">
        <v>8.4273827047967593</v>
      </c>
      <c r="AL7522">
        <v>96.364466696689504</v>
      </c>
      <c r="AM7522">
        <v>96.530032791700407</v>
      </c>
      <c r="AN7522">
        <v>0.999999976168504</v>
      </c>
    </row>
    <row r="7523" spans="1:40" x14ac:dyDescent="0.25">
      <c r="A7523" t="str">
        <f>"20190303154329981"</f>
        <v>20190303154329981</v>
      </c>
      <c r="B7523" t="str">
        <f>"1551599009977434"</f>
        <v>1551599009977434</v>
      </c>
      <c r="C7523" t="s">
        <v>40</v>
      </c>
      <c r="D7523">
        <v>6.0058879999999997</v>
      </c>
      <c r="E7523">
        <v>0.47987920000000001</v>
      </c>
      <c r="F7523" t="s">
        <v>58</v>
      </c>
      <c r="G7523">
        <v>-283.40570000000002</v>
      </c>
      <c r="H7523" s="1">
        <v>-6.4127170000000003E-6</v>
      </c>
      <c r="I7523">
        <v>-61.778500000000001</v>
      </c>
      <c r="J7523">
        <v>-291.96870000000001</v>
      </c>
      <c r="K7523">
        <v>1.1319699999999999</v>
      </c>
      <c r="L7523">
        <v>-61.680570000000003</v>
      </c>
      <c r="M7523">
        <v>0.98459160000000001</v>
      </c>
      <c r="N7523">
        <v>-1.8390320000000002E-2</v>
      </c>
      <c r="O7523">
        <v>-0.17390059999999999</v>
      </c>
      <c r="P7523">
        <v>0.99012659999999997</v>
      </c>
      <c r="Q7523">
        <v>-0.1259624</v>
      </c>
      <c r="R7523">
        <v>-6.1506320000000003E-2</v>
      </c>
      <c r="S7523">
        <v>2.9789729999999999</v>
      </c>
      <c r="T7523">
        <v>-0.38931369999999998</v>
      </c>
      <c r="U7523">
        <v>-3.6285400000000002E-2</v>
      </c>
      <c r="V7523">
        <v>-0.10872370000000001</v>
      </c>
      <c r="W7523">
        <v>-0.1107571</v>
      </c>
      <c r="X7523">
        <v>0.98788260000000006</v>
      </c>
      <c r="Y7523">
        <v>-0.1592992</v>
      </c>
      <c r="Z7523">
        <v>3.1173369999999999E-2</v>
      </c>
      <c r="AA7523">
        <v>0.98673809999999995</v>
      </c>
      <c r="AB7523">
        <v>21</v>
      </c>
      <c r="AC7523">
        <v>8.5629999999999793</v>
      </c>
      <c r="AD7523">
        <v>-1.131976412717</v>
      </c>
      <c r="AE7523">
        <v>-9.7930000000005096E-2</v>
      </c>
      <c r="AF7523">
        <v>-1.3690046400587099</v>
      </c>
      <c r="AG7523">
        <v>-1.131976412717</v>
      </c>
      <c r="AH7523">
        <v>8.3044133433088199</v>
      </c>
      <c r="AI7523">
        <v>97.660025282852303</v>
      </c>
      <c r="AJ7523">
        <v>99.361166754604298</v>
      </c>
      <c r="AK7523">
        <v>8.49228033451414</v>
      </c>
      <c r="AL7523">
        <v>96.358960864251003</v>
      </c>
      <c r="AM7523">
        <v>96.280542744776199</v>
      </c>
      <c r="AN7523">
        <v>1.00000000476243</v>
      </c>
    </row>
    <row r="7524" spans="1:40" x14ac:dyDescent="0.25">
      <c r="A7524" t="str">
        <f>"20190303154329995"</f>
        <v>20190303154329995</v>
      </c>
      <c r="B7524" t="str">
        <f>"1551599009987194"</f>
        <v>1551599009987194</v>
      </c>
      <c r="C7524" t="s">
        <v>40</v>
      </c>
      <c r="D7524">
        <v>6.0143050000000002</v>
      </c>
      <c r="E7524">
        <v>0.480346</v>
      </c>
      <c r="F7524" t="s">
        <v>58</v>
      </c>
      <c r="G7524">
        <v>-283.26940000000002</v>
      </c>
      <c r="H7524" s="1">
        <v>-6.4613759999999998E-6</v>
      </c>
      <c r="I7524">
        <v>-61.751330000000003</v>
      </c>
      <c r="J7524">
        <v>-291.84829999999999</v>
      </c>
      <c r="K7524">
        <v>1.1317200000000001</v>
      </c>
      <c r="L7524">
        <v>-61.688720000000004</v>
      </c>
      <c r="M7524">
        <v>0.98653950000000001</v>
      </c>
      <c r="N7524">
        <v>-1.8291600000000002E-2</v>
      </c>
      <c r="O7524">
        <v>-0.162497799999999</v>
      </c>
      <c r="P7524">
        <v>0.99041009999999996</v>
      </c>
      <c r="Q7524">
        <v>-0.12679840000000001</v>
      </c>
      <c r="R7524">
        <v>-5.4868430000000003E-2</v>
      </c>
      <c r="S7524">
        <v>2.9791259999999999</v>
      </c>
      <c r="T7524">
        <v>-0.38765430000000001</v>
      </c>
      <c r="U7524">
        <v>-2.4230959999999999E-2</v>
      </c>
      <c r="V7524">
        <v>-0.1039505</v>
      </c>
      <c r="W7524">
        <v>-0.11149240000000001</v>
      </c>
      <c r="X7524">
        <v>0.98831360000000001</v>
      </c>
      <c r="Y7524">
        <v>-0.15203059999999999</v>
      </c>
      <c r="Z7524">
        <v>2.9256170000000001E-2</v>
      </c>
      <c r="AA7524">
        <v>0.98794269999999995</v>
      </c>
      <c r="AB7524">
        <v>21</v>
      </c>
      <c r="AC7524">
        <v>8.5788999999999707</v>
      </c>
      <c r="AD7524">
        <v>-1.1317264613760001</v>
      </c>
      <c r="AE7524">
        <v>-6.2610000000006494E-2</v>
      </c>
      <c r="AF7524">
        <v>-1.3097163234437199</v>
      </c>
      <c r="AG7524">
        <v>-1.1317264613760001</v>
      </c>
      <c r="AH7524">
        <v>8.3300555652264201</v>
      </c>
      <c r="AI7524">
        <v>97.644093390299403</v>
      </c>
      <c r="AJ7524">
        <v>98.935339707729796</v>
      </c>
      <c r="AK7524">
        <v>8.5079954954756101</v>
      </c>
      <c r="AL7524">
        <v>96.401352931402201</v>
      </c>
      <c r="AM7524">
        <v>96.004274931553198</v>
      </c>
      <c r="AN7524">
        <v>1.00000001682648</v>
      </c>
    </row>
    <row r="7525" spans="1:40" x14ac:dyDescent="0.25">
      <c r="A7525" t="str">
        <f>"20190303154330006"</f>
        <v>20190303154330006</v>
      </c>
      <c r="B7525" t="str">
        <f>"1551599009997928"</f>
        <v>1551599009997928</v>
      </c>
      <c r="C7525" t="s">
        <v>40</v>
      </c>
      <c r="D7525">
        <v>5.998316</v>
      </c>
      <c r="E7525">
        <v>0.480346</v>
      </c>
      <c r="F7525" t="s">
        <v>58</v>
      </c>
      <c r="G7525">
        <v>-283.20830000000001</v>
      </c>
      <c r="H7525" s="1">
        <v>-6.486282E-6</v>
      </c>
      <c r="I7525">
        <v>-61.711820000000003</v>
      </c>
      <c r="J7525">
        <v>-291.74119999999999</v>
      </c>
      <c r="K7525">
        <v>1.1314709999999999</v>
      </c>
      <c r="L7525">
        <v>-61.694609999999997</v>
      </c>
      <c r="M7525">
        <v>0.98811490000000002</v>
      </c>
      <c r="N7525">
        <v>-1.819254E-2</v>
      </c>
      <c r="O7525">
        <v>-0.15263679999999999</v>
      </c>
      <c r="P7525">
        <v>0.99062320000000004</v>
      </c>
      <c r="Q7525">
        <v>-0.12743270000000001</v>
      </c>
      <c r="R7525">
        <v>-4.9261300000000001E-2</v>
      </c>
      <c r="S7525">
        <v>2.9786679999999999</v>
      </c>
      <c r="T7525">
        <v>-0.39016879999999998</v>
      </c>
      <c r="U7525">
        <v>-7.9650880000000004E-3</v>
      </c>
      <c r="V7525">
        <v>-9.9717429999999996E-2</v>
      </c>
      <c r="W7525">
        <v>-0.1120478</v>
      </c>
      <c r="X7525">
        <v>0.98868690000000004</v>
      </c>
      <c r="Y7525">
        <v>-0.14762330000000001</v>
      </c>
      <c r="Z7525">
        <v>2.805003E-2</v>
      </c>
      <c r="AA7525">
        <v>0.98864580000000002</v>
      </c>
      <c r="AB7525">
        <v>21</v>
      </c>
      <c r="AC7525">
        <v>8.5328999999999802</v>
      </c>
      <c r="AD7525">
        <v>-1.1314774862819901</v>
      </c>
      <c r="AE7525">
        <v>-1.7209999999998601E-2</v>
      </c>
      <c r="AF7525">
        <v>-1.2634268263679</v>
      </c>
      <c r="AG7525">
        <v>-1.1314774862819901</v>
      </c>
      <c r="AH7525">
        <v>8.2897485802767097</v>
      </c>
      <c r="AI7525">
        <v>97.684679545298295</v>
      </c>
      <c r="AJ7525">
        <v>98.665669054142199</v>
      </c>
      <c r="AK7525">
        <v>8.4614667860689998</v>
      </c>
      <c r="AL7525">
        <v>96.433375568553799</v>
      </c>
      <c r="AM7525">
        <v>95.759287662437202</v>
      </c>
      <c r="AN7525">
        <v>1.0000000307811201</v>
      </c>
    </row>
    <row r="7526" spans="1:40" x14ac:dyDescent="0.25">
      <c r="A7526" t="str">
        <f>"20190303154330019"</f>
        <v>20190303154330019</v>
      </c>
      <c r="B7526" t="str">
        <f>"1551599010007688"</f>
        <v>1551599010007688</v>
      </c>
      <c r="C7526" t="s">
        <v>40</v>
      </c>
      <c r="D7526">
        <v>5.9836400000000003</v>
      </c>
      <c r="E7526">
        <v>0.4904732</v>
      </c>
      <c r="F7526" t="s">
        <v>58</v>
      </c>
      <c r="G7526">
        <v>-283.14609999999999</v>
      </c>
      <c r="H7526" s="1">
        <v>-6.5119449999999899E-6</v>
      </c>
      <c r="I7526">
        <v>-61.668900000000001</v>
      </c>
      <c r="J7526">
        <v>-291.6268</v>
      </c>
      <c r="K7526">
        <v>1.131194</v>
      </c>
      <c r="L7526">
        <v>-61.70035</v>
      </c>
      <c r="M7526">
        <v>0.9896684</v>
      </c>
      <c r="N7526">
        <v>-1.8084960000000001E-2</v>
      </c>
      <c r="O7526">
        <v>-0.1422311</v>
      </c>
      <c r="P7526">
        <v>0.99077930000000003</v>
      </c>
      <c r="Q7526">
        <v>-0.128329</v>
      </c>
      <c r="R7526">
        <v>-4.3456889999999998E-2</v>
      </c>
      <c r="S7526">
        <v>2.9783940000000002</v>
      </c>
      <c r="T7526">
        <v>-0.3920807</v>
      </c>
      <c r="U7526">
        <v>8.9111329999999999E-3</v>
      </c>
      <c r="V7526">
        <v>-9.5147739999999995E-2</v>
      </c>
      <c r="W7526">
        <v>-0.1128639</v>
      </c>
      <c r="X7526">
        <v>0.98904429999999999</v>
      </c>
      <c r="Y7526">
        <v>-0.14290530000000001</v>
      </c>
      <c r="Z7526">
        <v>2.6691240000000001E-2</v>
      </c>
      <c r="AA7526">
        <v>0.98937640000000004</v>
      </c>
      <c r="AB7526">
        <v>21</v>
      </c>
      <c r="AC7526">
        <v>8.4807000000000095</v>
      </c>
      <c r="AD7526">
        <v>-1.1312005119449999</v>
      </c>
      <c r="AE7526">
        <v>3.1449999999999499E-2</v>
      </c>
      <c r="AF7526">
        <v>-1.21591378245211</v>
      </c>
      <c r="AG7526">
        <v>-1.1312005119449999</v>
      </c>
      <c r="AH7526">
        <v>8.2433184786482698</v>
      </c>
      <c r="AI7526">
        <v>97.731065488449204</v>
      </c>
      <c r="AJ7526">
        <v>98.390792362328895</v>
      </c>
      <c r="AK7526">
        <v>8.4089452647169605</v>
      </c>
      <c r="AL7526">
        <v>96.480433419796299</v>
      </c>
      <c r="AM7526">
        <v>95.495041076459501</v>
      </c>
      <c r="AN7526">
        <v>0.99999998985640304</v>
      </c>
    </row>
    <row r="7527" spans="1:40" x14ac:dyDescent="0.25">
      <c r="A7527" t="str">
        <f>"20190303154330032"</f>
        <v>20190303154330032</v>
      </c>
      <c r="B7527" t="str">
        <f>"1551599010027208"</f>
        <v>1551599010027208</v>
      </c>
      <c r="C7527" t="s">
        <v>40</v>
      </c>
      <c r="D7527">
        <v>5.997401</v>
      </c>
      <c r="E7527">
        <v>0.49087579999999997</v>
      </c>
      <c r="F7527" t="s">
        <v>58</v>
      </c>
      <c r="G7527">
        <v>-282.80990000000003</v>
      </c>
      <c r="H7527" s="1">
        <v>-6.6027670000000003E-6</v>
      </c>
      <c r="I7527">
        <v>-61.861820000000002</v>
      </c>
      <c r="J7527">
        <v>-291.51159999999999</v>
      </c>
      <c r="K7527">
        <v>1.1308879999999999</v>
      </c>
      <c r="L7527">
        <v>-61.705019999999998</v>
      </c>
      <c r="M7527">
        <v>0.99108300000000005</v>
      </c>
      <c r="N7527">
        <v>-1.796735E-2</v>
      </c>
      <c r="O7527">
        <v>-0.13203039999999999</v>
      </c>
      <c r="P7527">
        <v>0.99097159999999995</v>
      </c>
      <c r="Q7527">
        <v>-0.12874820000000001</v>
      </c>
      <c r="R7527">
        <v>-3.741336E-2</v>
      </c>
      <c r="S7527">
        <v>2.9760439999999999</v>
      </c>
      <c r="T7527">
        <v>-0.38182519999999998</v>
      </c>
      <c r="U7527">
        <v>-5.450439E-2</v>
      </c>
      <c r="V7527">
        <v>-9.1062320000000002E-2</v>
      </c>
      <c r="W7527">
        <v>-0.1132248</v>
      </c>
      <c r="X7527">
        <v>0.98938760000000003</v>
      </c>
      <c r="Y7527">
        <v>-0.1120374</v>
      </c>
      <c r="Z7527">
        <v>2.262538E-2</v>
      </c>
      <c r="AA7527">
        <v>0.99344639999999995</v>
      </c>
      <c r="AB7527">
        <v>21</v>
      </c>
      <c r="AC7527">
        <v>8.7016999999999598</v>
      </c>
      <c r="AD7527">
        <v>-1.1308946027669999</v>
      </c>
      <c r="AE7527">
        <v>-0.156799999999996</v>
      </c>
      <c r="AF7527">
        <v>-0.97714841353962001</v>
      </c>
      <c r="AG7527">
        <v>-1.1308946027669999</v>
      </c>
      <c r="AH7527">
        <v>8.5026383871146791</v>
      </c>
      <c r="AI7527">
        <v>97.527196655800097</v>
      </c>
      <c r="AJ7527">
        <v>96.555840190932997</v>
      </c>
      <c r="AK7527">
        <v>8.6329949129306591</v>
      </c>
      <c r="AL7527">
        <v>96.501244723341003</v>
      </c>
      <c r="AM7527">
        <v>95.258635003214494</v>
      </c>
      <c r="AN7527">
        <v>1.00000001224629</v>
      </c>
    </row>
    <row r="7528" spans="1:40" x14ac:dyDescent="0.25">
      <c r="A7528" t="str">
        <f>"20190303154330042"</f>
        <v>20190303154330042</v>
      </c>
      <c r="B7528" t="str">
        <f>"1551599010037945"</f>
        <v>1551599010037945</v>
      </c>
      <c r="C7528" t="s">
        <v>40</v>
      </c>
      <c r="D7528">
        <v>5.9804209999999998</v>
      </c>
      <c r="E7528">
        <v>0.49087579999999997</v>
      </c>
      <c r="F7528" t="s">
        <v>58</v>
      </c>
      <c r="G7528">
        <v>-282.7407</v>
      </c>
      <c r="H7528" s="1">
        <v>-6.6304659999999998E-6</v>
      </c>
      <c r="I7528">
        <v>-61.821579999999997</v>
      </c>
      <c r="J7528">
        <v>-291.41989999999998</v>
      </c>
      <c r="K7528">
        <v>1.130633</v>
      </c>
      <c r="L7528">
        <v>-61.7080699999999</v>
      </c>
      <c r="M7528">
        <v>0.99210750000000003</v>
      </c>
      <c r="N7528">
        <v>-1.7868140000000001E-2</v>
      </c>
      <c r="O7528">
        <v>-0.1241112</v>
      </c>
      <c r="P7528">
        <v>0.99109290000000005</v>
      </c>
      <c r="Q7528">
        <v>-0.12890480000000001</v>
      </c>
      <c r="R7528">
        <v>-3.3446070000000001E-2</v>
      </c>
      <c r="S7528">
        <v>2.9759829999999998</v>
      </c>
      <c r="T7528">
        <v>-0.383714</v>
      </c>
      <c r="U7528">
        <v>-3.9550780000000001E-2</v>
      </c>
      <c r="V7528">
        <v>-8.7188269999999998E-2</v>
      </c>
      <c r="W7528">
        <v>-0.1133267</v>
      </c>
      <c r="X7528">
        <v>0.98972479999999996</v>
      </c>
      <c r="Y7528">
        <v>-0.10914749999999999</v>
      </c>
      <c r="Z7528">
        <v>2.1674019999999999E-2</v>
      </c>
      <c r="AA7528">
        <v>0.99378929999999999</v>
      </c>
      <c r="AB7528">
        <v>21</v>
      </c>
      <c r="AC7528">
        <v>8.6791999999999803</v>
      </c>
      <c r="AD7528">
        <v>-1.130639630466</v>
      </c>
      <c r="AE7528">
        <v>-0.113510000000012</v>
      </c>
      <c r="AF7528">
        <v>-0.94862998426141698</v>
      </c>
      <c r="AG7528">
        <v>-1.130639630466</v>
      </c>
      <c r="AH7528">
        <v>8.4822423568595493</v>
      </c>
      <c r="AI7528">
        <v>97.545982532417995</v>
      </c>
      <c r="AJ7528">
        <v>96.381281281522305</v>
      </c>
      <c r="AK7528">
        <v>8.6096852568210807</v>
      </c>
      <c r="AL7528">
        <v>96.507121342717895</v>
      </c>
      <c r="AM7528">
        <v>95.034386558632306</v>
      </c>
      <c r="AN7528">
        <v>0.99999995754675997</v>
      </c>
    </row>
    <row r="7529" spans="1:40" x14ac:dyDescent="0.25">
      <c r="A7529" t="str">
        <f>"20190303154330053"</f>
        <v>20190303154330053</v>
      </c>
      <c r="B7529" t="str">
        <f>"1551599010047705"</f>
        <v>1551599010047705</v>
      </c>
      <c r="C7529" t="s">
        <v>40</v>
      </c>
      <c r="D7529">
        <v>5.9789770000000004</v>
      </c>
      <c r="E7529">
        <v>0.50018200000000002</v>
      </c>
      <c r="F7529" t="s">
        <v>58</v>
      </c>
      <c r="G7529">
        <v>-282.66300000000001</v>
      </c>
      <c r="H7529" s="1">
        <v>-6.660107E-6</v>
      </c>
      <c r="I7529">
        <v>-61.789250000000003</v>
      </c>
      <c r="J7529">
        <v>-291.31830000000002</v>
      </c>
      <c r="K7529">
        <v>1.13035</v>
      </c>
      <c r="L7529">
        <v>-61.710999999999999</v>
      </c>
      <c r="M7529">
        <v>0.99315390000000003</v>
      </c>
      <c r="N7529">
        <v>-1.7757129999999999E-2</v>
      </c>
      <c r="O7529">
        <v>-0.115456</v>
      </c>
      <c r="P7529">
        <v>0.99132549999999997</v>
      </c>
      <c r="Q7529">
        <v>-0.12834660000000001</v>
      </c>
      <c r="R7529">
        <v>-2.8303140000000001E-2</v>
      </c>
      <c r="S7529">
        <v>2.9760439999999999</v>
      </c>
      <c r="T7529">
        <v>-0.38424960000000002</v>
      </c>
      <c r="U7529">
        <v>-2.758789E-2</v>
      </c>
      <c r="V7529">
        <v>-8.3795969999999997E-2</v>
      </c>
      <c r="W7529">
        <v>-0.1127339</v>
      </c>
      <c r="X7529">
        <v>0.99008549999999995</v>
      </c>
      <c r="Y7529">
        <v>-0.1045647</v>
      </c>
      <c r="Z7529">
        <v>2.0426619999999999E-2</v>
      </c>
      <c r="AA7529">
        <v>0.99430830000000003</v>
      </c>
      <c r="AB7529">
        <v>21</v>
      </c>
      <c r="AC7529">
        <v>8.6553000000000093</v>
      </c>
      <c r="AD7529">
        <v>-1.1303566601070001</v>
      </c>
      <c r="AE7529">
        <v>-7.8249999999997003E-2</v>
      </c>
      <c r="AF7529">
        <v>-0.90628142025465597</v>
      </c>
      <c r="AG7529">
        <v>-1.1303566601070001</v>
      </c>
      <c r="AH7529">
        <v>8.46212137277832</v>
      </c>
      <c r="AI7529">
        <v>97.565678669884406</v>
      </c>
      <c r="AJ7529">
        <v>96.112997042546397</v>
      </c>
      <c r="AK7529">
        <v>8.5852519077414797</v>
      </c>
      <c r="AL7529">
        <v>96.472937079027801</v>
      </c>
      <c r="AM7529">
        <v>94.837704142806601</v>
      </c>
      <c r="AN7529">
        <v>0.99999999705385001</v>
      </c>
    </row>
    <row r="7530" spans="1:40" x14ac:dyDescent="0.25">
      <c r="A7530" t="str">
        <f>"20190303154330064"</f>
        <v>20190303154330064</v>
      </c>
      <c r="B7530" t="str">
        <f>"1551599010057465"</f>
        <v>1551599010057465</v>
      </c>
      <c r="C7530" t="s">
        <v>40</v>
      </c>
      <c r="D7530">
        <v>5.9872269999999999</v>
      </c>
      <c r="E7530">
        <v>0.50018200000000002</v>
      </c>
      <c r="F7530" t="s">
        <v>58</v>
      </c>
      <c r="G7530">
        <v>-280.21069999999997</v>
      </c>
      <c r="H7530" s="1">
        <v>-7.4534200000000002E-6</v>
      </c>
      <c r="I7530">
        <v>-62.034480000000002</v>
      </c>
      <c r="J7530">
        <v>-291.22629999999998</v>
      </c>
      <c r="K7530">
        <v>1.1300840000000001</v>
      </c>
      <c r="L7530">
        <v>-61.712890000000002</v>
      </c>
      <c r="M7530">
        <v>0.99400529999999998</v>
      </c>
      <c r="N7530">
        <v>-1.7648799999999999E-2</v>
      </c>
      <c r="O7530">
        <v>-0.1078997</v>
      </c>
      <c r="P7530">
        <v>0.99154260000000005</v>
      </c>
      <c r="Q7530">
        <v>-0.12750210000000001</v>
      </c>
      <c r="R7530">
        <v>-2.422906E-2</v>
      </c>
      <c r="S7530">
        <v>2.9844360000000001</v>
      </c>
      <c r="T7530">
        <v>-0.3037087</v>
      </c>
      <c r="U7530">
        <v>-8.6914060000000001E-2</v>
      </c>
      <c r="V7530">
        <v>-8.0443479999999998E-2</v>
      </c>
      <c r="W7530">
        <v>-0.1118594</v>
      </c>
      <c r="X7530">
        <v>0.99046270000000003</v>
      </c>
      <c r="Y7530">
        <v>-7.8079670000000004E-2</v>
      </c>
      <c r="Z7530">
        <v>1.3678930000000001E-2</v>
      </c>
      <c r="AA7530">
        <v>0.99685330000000005</v>
      </c>
      <c r="AB7530">
        <v>21</v>
      </c>
      <c r="AC7530">
        <v>11.015599999999999</v>
      </c>
      <c r="AD7530">
        <v>-1.1300914534199999</v>
      </c>
      <c r="AE7530">
        <v>-0.32158999999999999</v>
      </c>
      <c r="AF7530">
        <v>-0.86000931458810104</v>
      </c>
      <c r="AG7530">
        <v>-1.1300914534199999</v>
      </c>
      <c r="AH7530">
        <v>10.8716496346751</v>
      </c>
      <c r="AI7530">
        <v>95.916145589865707</v>
      </c>
      <c r="AJ7530">
        <v>94.523003153322193</v>
      </c>
      <c r="AK7530">
        <v>10.964008778426001</v>
      </c>
      <c r="AL7530">
        <v>96.422512827198403</v>
      </c>
      <c r="AM7530">
        <v>94.643261602861301</v>
      </c>
      <c r="AN7530">
        <v>1.0000000194670799</v>
      </c>
    </row>
    <row r="7531" spans="1:40" x14ac:dyDescent="0.25">
      <c r="A7531" t="str">
        <f>"20190303154330074"</f>
        <v>20190303154330074</v>
      </c>
      <c r="B7531" t="str">
        <f>"1551599010068201"</f>
        <v>1551599010068201</v>
      </c>
      <c r="C7531" t="s">
        <v>40</v>
      </c>
      <c r="D7531">
        <v>6.0157689999999997</v>
      </c>
      <c r="E7531">
        <v>0.50120719999999996</v>
      </c>
      <c r="F7531" t="s">
        <v>58</v>
      </c>
      <c r="G7531">
        <v>-280.02510000000001</v>
      </c>
      <c r="H7531" s="1">
        <v>-7.5202940000000001E-6</v>
      </c>
      <c r="I7531">
        <v>-61.992199999999997</v>
      </c>
      <c r="J7531">
        <v>-291.12670000000003</v>
      </c>
      <c r="K7531">
        <v>1.129793</v>
      </c>
      <c r="L7531">
        <v>-61.714660000000002</v>
      </c>
      <c r="M7531">
        <v>0.99485369999999995</v>
      </c>
      <c r="N7531">
        <v>-1.7533469999999999E-2</v>
      </c>
      <c r="O7531">
        <v>-9.9792539999999999E-2</v>
      </c>
      <c r="P7531">
        <v>0.99182590000000004</v>
      </c>
      <c r="Q7531">
        <v>-0.12614489999999901</v>
      </c>
      <c r="R7531">
        <v>-1.9200800000000001E-2</v>
      </c>
      <c r="S7531">
        <v>2.9850460000000001</v>
      </c>
      <c r="T7531">
        <v>-0.30116369999999998</v>
      </c>
      <c r="U7531">
        <v>-7.4432369999999998E-2</v>
      </c>
      <c r="V7531">
        <v>-7.7520779999999997E-2</v>
      </c>
      <c r="W7531">
        <v>-0.1104875</v>
      </c>
      <c r="X7531">
        <v>0.99084970000000006</v>
      </c>
      <c r="Y7531">
        <v>-7.4188219999999999E-2</v>
      </c>
      <c r="Z7531">
        <v>1.266163E-2</v>
      </c>
      <c r="AA7531">
        <v>0.99716389999999999</v>
      </c>
      <c r="AB7531">
        <v>21</v>
      </c>
      <c r="AC7531">
        <v>11.101599999999999</v>
      </c>
      <c r="AD7531">
        <v>-1.129800520294</v>
      </c>
      <c r="AE7531">
        <v>-0.27754000000000101</v>
      </c>
      <c r="AF7531">
        <v>-0.82335101433673397</v>
      </c>
      <c r="AG7531">
        <v>-1.129800520294</v>
      </c>
      <c r="AH7531">
        <v>10.9604215847919</v>
      </c>
      <c r="AI7531">
        <v>95.868844502554694</v>
      </c>
      <c r="AJ7531">
        <v>94.296011848696196</v>
      </c>
      <c r="AK7531">
        <v>11.049217050309</v>
      </c>
      <c r="AL7531">
        <v>96.343418284679302</v>
      </c>
      <c r="AM7531">
        <v>94.473518353803101</v>
      </c>
      <c r="AN7531">
        <v>1.0000000434890699</v>
      </c>
    </row>
    <row r="7532" spans="1:40" x14ac:dyDescent="0.25">
      <c r="A7532" t="str">
        <f>"20190303154330083"</f>
        <v>20190303154330083</v>
      </c>
      <c r="B7532" t="str">
        <f>"1551599010077960"</f>
        <v>1551599010077960</v>
      </c>
      <c r="C7532" t="s">
        <v>40</v>
      </c>
      <c r="D7532">
        <v>6.0147399999999998</v>
      </c>
      <c r="E7532">
        <v>0.50153649999999905</v>
      </c>
      <c r="F7532" t="s">
        <v>41</v>
      </c>
      <c r="G7532">
        <v>-279.70420000000001</v>
      </c>
      <c r="H7532" s="1">
        <v>-3.5520839999999998E-6</v>
      </c>
      <c r="I7532">
        <v>-61.971499999999999</v>
      </c>
      <c r="J7532">
        <v>-291.04520000000002</v>
      </c>
      <c r="K7532">
        <v>1.129542</v>
      </c>
      <c r="L7532">
        <v>-61.715420000000002</v>
      </c>
      <c r="M7532">
        <v>0.9954672</v>
      </c>
      <c r="N7532">
        <v>-1.7431169999999999E-2</v>
      </c>
      <c r="O7532">
        <v>-9.3494359999999999E-2</v>
      </c>
      <c r="P7532">
        <v>0.99205390000000004</v>
      </c>
      <c r="Q7532">
        <v>-0.12477489999999999</v>
      </c>
      <c r="R7532">
        <v>-1.6140330000000001E-2</v>
      </c>
      <c r="S7532">
        <v>2.9859010000000001</v>
      </c>
      <c r="T7532">
        <v>-0.29533490000000001</v>
      </c>
      <c r="U7532">
        <v>-6.7138669999999998E-2</v>
      </c>
      <c r="V7532">
        <v>-7.4424920000000006E-2</v>
      </c>
      <c r="W7532">
        <v>-0.1090971</v>
      </c>
      <c r="X7532">
        <v>0.99124100000000004</v>
      </c>
      <c r="Y7532">
        <v>-7.0391880000000004E-2</v>
      </c>
      <c r="Z7532">
        <v>1.1670399999999999E-2</v>
      </c>
      <c r="AA7532">
        <v>0.99745110000000003</v>
      </c>
      <c r="AB7532">
        <v>21</v>
      </c>
      <c r="AC7532">
        <v>11.340999999999999</v>
      </c>
      <c r="AD7532">
        <v>-1.1295455520839901</v>
      </c>
      <c r="AE7532">
        <v>-0.25608000000000403</v>
      </c>
      <c r="AF7532">
        <v>-0.79761450922628596</v>
      </c>
      <c r="AG7532">
        <v>-1.1295455520839901</v>
      </c>
      <c r="AH7532">
        <v>11.204167851449</v>
      </c>
      <c r="AI7532">
        <v>95.742374830969695</v>
      </c>
      <c r="AJ7532">
        <v>94.071964901897502</v>
      </c>
      <c r="AK7532">
        <v>11.289173543843001</v>
      </c>
      <c r="AL7532">
        <v>96.263270075758996</v>
      </c>
      <c r="AM7532">
        <v>94.293857648121403</v>
      </c>
      <c r="AN7532">
        <v>0.99999998301320803</v>
      </c>
    </row>
    <row r="7533" spans="1:40" x14ac:dyDescent="0.25">
      <c r="A7533" t="str">
        <f>"20190303154330094"</f>
        <v>20190303154330094</v>
      </c>
      <c r="B7533" t="str">
        <f>"1551599010087720"</f>
        <v>1551599010087720</v>
      </c>
      <c r="C7533" t="s">
        <v>40</v>
      </c>
      <c r="D7533">
        <v>6.0677000000000003</v>
      </c>
      <c r="E7533">
        <v>0.50209059999999905</v>
      </c>
      <c r="F7533" t="s">
        <v>41</v>
      </c>
      <c r="G7533">
        <v>-279.47329999999999</v>
      </c>
      <c r="H7533" s="1">
        <v>-3.470475E-6</v>
      </c>
      <c r="I7533">
        <v>-61.94885</v>
      </c>
      <c r="J7533">
        <v>-290.95319999999998</v>
      </c>
      <c r="K7533">
        <v>1.129251</v>
      </c>
      <c r="L7533">
        <v>-61.716189999999997</v>
      </c>
      <c r="M7533">
        <v>0.99610960000000004</v>
      </c>
      <c r="N7533">
        <v>-1.731897E-2</v>
      </c>
      <c r="O7533">
        <v>-8.6405609999999994E-2</v>
      </c>
      <c r="P7533">
        <v>0.99220109999999995</v>
      </c>
      <c r="Q7533">
        <v>-0.1239991</v>
      </c>
      <c r="R7533">
        <v>-1.2702700000000001E-2</v>
      </c>
      <c r="S7533">
        <v>2.986389</v>
      </c>
      <c r="T7533">
        <v>-0.29150330000000002</v>
      </c>
      <c r="U7533">
        <v>-6.0241699999999898E-2</v>
      </c>
      <c r="V7533">
        <v>-7.0909810000000004E-2</v>
      </c>
      <c r="W7533">
        <v>-0.1083008</v>
      </c>
      <c r="X7533">
        <v>0.99158599999999997</v>
      </c>
      <c r="Y7533">
        <v>-6.5664310000000004E-2</v>
      </c>
      <c r="Z7533">
        <v>1.0675459999999999E-2</v>
      </c>
      <c r="AA7533">
        <v>0.99778469999999997</v>
      </c>
      <c r="AB7533">
        <v>21</v>
      </c>
      <c r="AC7533">
        <v>11.479899999999899</v>
      </c>
      <c r="AD7533">
        <v>-1.129254470475</v>
      </c>
      <c r="AE7533">
        <v>-0.23265999999999501</v>
      </c>
      <c r="AF7533">
        <v>-0.75300358840792503</v>
      </c>
      <c r="AG7533">
        <v>-1.129254470475</v>
      </c>
      <c r="AH7533">
        <v>11.3473045351169</v>
      </c>
      <c r="AI7533">
        <v>95.670825019682198</v>
      </c>
      <c r="AJ7533">
        <v>93.796563720713493</v>
      </c>
      <c r="AK7533">
        <v>11.428191032526801</v>
      </c>
      <c r="AL7533">
        <v>96.2173732013826</v>
      </c>
      <c r="AM7533">
        <v>94.090344536340396</v>
      </c>
      <c r="AN7533">
        <v>1.0000000299154299</v>
      </c>
    </row>
    <row r="7534" spans="1:40" x14ac:dyDescent="0.25">
      <c r="A7534" t="str">
        <f>"20190303154330105"</f>
        <v>20190303154330105</v>
      </c>
      <c r="B7534" t="str">
        <f>"1551599010098194"</f>
        <v>1551599010098194</v>
      </c>
      <c r="C7534" t="s">
        <v>40</v>
      </c>
      <c r="D7534">
        <v>6.0132810000000001</v>
      </c>
      <c r="E7534">
        <v>0.50209059999999905</v>
      </c>
      <c r="F7534" t="s">
        <v>41</v>
      </c>
      <c r="G7534">
        <v>-279.33969999999999</v>
      </c>
      <c r="H7534" s="1">
        <v>-3.4220430000000001E-6</v>
      </c>
      <c r="I7534">
        <v>-61.92671</v>
      </c>
      <c r="J7534">
        <v>-290.85809999999998</v>
      </c>
      <c r="K7534">
        <v>1.128927</v>
      </c>
      <c r="L7534">
        <v>-61.716279999999998</v>
      </c>
      <c r="M7534">
        <v>0.9966893</v>
      </c>
      <c r="N7534">
        <v>-1.7195419999999999E-2</v>
      </c>
      <c r="O7534">
        <v>-7.9466170000000003E-2</v>
      </c>
      <c r="P7534">
        <v>0.99220640000000004</v>
      </c>
      <c r="Q7534">
        <v>-0.12423910000000001</v>
      </c>
      <c r="R7534">
        <v>-9.5448340000000003E-3</v>
      </c>
      <c r="S7534">
        <v>2.9866030000000001</v>
      </c>
      <c r="T7534">
        <v>-0.29040480000000002</v>
      </c>
      <c r="U7534">
        <v>-5.4138180000000001E-2</v>
      </c>
      <c r="V7534">
        <v>-6.7240880000000003E-2</v>
      </c>
      <c r="W7534">
        <v>-0.10853160000000001</v>
      </c>
      <c r="X7534">
        <v>0.99181629999999998</v>
      </c>
      <c r="Y7534">
        <v>-6.0807559999999997E-2</v>
      </c>
      <c r="Z7534">
        <v>9.809E-3</v>
      </c>
      <c r="AA7534">
        <v>0.99810129999999997</v>
      </c>
      <c r="AB7534">
        <v>21</v>
      </c>
      <c r="AC7534">
        <v>11.5183999999999</v>
      </c>
      <c r="AD7534">
        <v>-1.1289304220430001</v>
      </c>
      <c r="AE7534">
        <v>-0.21042999999999501</v>
      </c>
      <c r="AF7534">
        <v>-0.69898180655013797</v>
      </c>
      <c r="AG7534">
        <v>-1.1289304220430001</v>
      </c>
      <c r="AH7534">
        <v>11.3893163930064</v>
      </c>
      <c r="AI7534">
        <v>95.650212496211495</v>
      </c>
      <c r="AJ7534">
        <v>93.511935083965497</v>
      </c>
      <c r="AK7534">
        <v>11.466454873399501</v>
      </c>
      <c r="AL7534">
        <v>96.230675609649197</v>
      </c>
      <c r="AM7534">
        <v>93.878472573602096</v>
      </c>
      <c r="AN7534">
        <v>1.00000000854371</v>
      </c>
    </row>
    <row r="7535" spans="1:40" x14ac:dyDescent="0.25">
      <c r="A7535" t="str">
        <f>"20190303154330116"</f>
        <v>20190303154330116</v>
      </c>
      <c r="B7535" t="str">
        <f>"1551599010107954"</f>
        <v>1551599010107954</v>
      </c>
      <c r="C7535" t="s">
        <v>40</v>
      </c>
      <c r="D7535">
        <v>6.0047040000000003</v>
      </c>
      <c r="E7535">
        <v>0.50808739999999997</v>
      </c>
      <c r="F7535" t="s">
        <v>41</v>
      </c>
      <c r="G7535">
        <v>-279.27719999999999</v>
      </c>
      <c r="H7535" s="1">
        <v>-3.3958129999999999E-6</v>
      </c>
      <c r="I7535">
        <v>-61.889519999999997</v>
      </c>
      <c r="J7535">
        <v>-290.75650000000002</v>
      </c>
      <c r="K7535">
        <v>1.1285769999999999</v>
      </c>
      <c r="L7535">
        <v>-61.7162199999999</v>
      </c>
      <c r="M7535">
        <v>0.99724880000000005</v>
      </c>
      <c r="N7535">
        <v>-1.7066669999999999E-2</v>
      </c>
      <c r="O7535">
        <v>-7.213514E-2</v>
      </c>
      <c r="P7535">
        <v>0.99207389999999995</v>
      </c>
      <c r="Q7535">
        <v>-0.12562670000000001</v>
      </c>
      <c r="R7535">
        <v>-2.737536E-3</v>
      </c>
      <c r="S7535">
        <v>2.9866640000000002</v>
      </c>
      <c r="T7535">
        <v>-0.29114509999999899</v>
      </c>
      <c r="U7535">
        <v>-4.4677729999999999E-2</v>
      </c>
      <c r="V7535">
        <v>-6.6802609999999998E-2</v>
      </c>
      <c r="W7535">
        <v>-0.1099836</v>
      </c>
      <c r="X7535">
        <v>0.99168590000000001</v>
      </c>
      <c r="Y7535">
        <v>-5.667138E-2</v>
      </c>
      <c r="Z7535">
        <v>9.0201459999999997E-3</v>
      </c>
      <c r="AA7535">
        <v>0.99835209999999996</v>
      </c>
      <c r="AB7535">
        <v>21</v>
      </c>
      <c r="AC7535">
        <v>11.4793</v>
      </c>
      <c r="AD7535">
        <v>-1.1285803958129901</v>
      </c>
      <c r="AE7535">
        <v>-0.17330000000000401</v>
      </c>
      <c r="AF7535">
        <v>-0.64906095727952695</v>
      </c>
      <c r="AG7535">
        <v>-1.1285803958129901</v>
      </c>
      <c r="AH7535">
        <v>11.352186962435299</v>
      </c>
      <c r="AI7535">
        <v>95.668222030432602</v>
      </c>
      <c r="AJ7535">
        <v>93.272321904219297</v>
      </c>
      <c r="AK7535">
        <v>11.4265971604045</v>
      </c>
      <c r="AL7535">
        <v>96.314370482854997</v>
      </c>
      <c r="AM7535">
        <v>93.853774594514306</v>
      </c>
      <c r="AN7535">
        <v>0.99999995261528996</v>
      </c>
    </row>
    <row r="7536" spans="1:40" x14ac:dyDescent="0.25">
      <c r="A7536" t="str">
        <f>"20190303154330126"</f>
        <v>20190303154330126</v>
      </c>
      <c r="B7536" t="str">
        <f>"1551599010117715"</f>
        <v>1551599010117715</v>
      </c>
      <c r="C7536" t="s">
        <v>40</v>
      </c>
      <c r="D7536">
        <v>5.9898439999999997</v>
      </c>
      <c r="E7536">
        <v>0.50893719999999998</v>
      </c>
      <c r="F7536" t="s">
        <v>41</v>
      </c>
      <c r="G7536">
        <v>-279.55259999999998</v>
      </c>
      <c r="H7536" s="1">
        <v>-3.502594E-6</v>
      </c>
      <c r="I7536">
        <v>-61.9871699999999</v>
      </c>
      <c r="J7536">
        <v>-290.66120000000001</v>
      </c>
      <c r="K7536">
        <v>1.1282319999999999</v>
      </c>
      <c r="L7536">
        <v>-61.715479999999999</v>
      </c>
      <c r="M7536">
        <v>0.99769490000000005</v>
      </c>
      <c r="N7536">
        <v>-1.6939010000000001E-2</v>
      </c>
      <c r="O7536">
        <v>-6.571196E-2</v>
      </c>
      <c r="P7536">
        <v>0.99179689999999998</v>
      </c>
      <c r="Q7536">
        <v>-0.1278136</v>
      </c>
      <c r="R7536">
        <v>-1.5772430000000001E-3</v>
      </c>
      <c r="S7536">
        <v>2.985687</v>
      </c>
      <c r="T7536">
        <v>-0.30075059999999998</v>
      </c>
      <c r="U7536">
        <v>-7.2204589999999999E-2</v>
      </c>
      <c r="V7536">
        <v>-6.1616339999999999E-2</v>
      </c>
      <c r="W7536">
        <v>-0.1121476</v>
      </c>
      <c r="X7536">
        <v>0.99177939999999998</v>
      </c>
      <c r="Y7536">
        <v>-4.1105540000000003E-2</v>
      </c>
      <c r="Z7536">
        <v>7.8991840000000001E-3</v>
      </c>
      <c r="AA7536">
        <v>0.9991236</v>
      </c>
      <c r="AB7536">
        <v>21</v>
      </c>
      <c r="AC7536">
        <v>11.108599999999999</v>
      </c>
      <c r="AD7536">
        <v>-1.1282355025940001</v>
      </c>
      <c r="AE7536">
        <v>-0.271689999999985</v>
      </c>
      <c r="AF7536">
        <v>-0.45428668691972102</v>
      </c>
      <c r="AG7536">
        <v>-1.1282355025940001</v>
      </c>
      <c r="AH7536">
        <v>10.9891508294769</v>
      </c>
      <c r="AI7536">
        <v>95.856943800226801</v>
      </c>
      <c r="AJ7536">
        <v>92.367234566335597</v>
      </c>
      <c r="AK7536">
        <v>11.0562528777258</v>
      </c>
      <c r="AL7536">
        <v>96.439130039261102</v>
      </c>
      <c r="AM7536">
        <v>93.555049235671802</v>
      </c>
      <c r="AN7536">
        <v>1.0000000179025501</v>
      </c>
    </row>
    <row r="7537" spans="1:40" x14ac:dyDescent="0.25">
      <c r="A7537" t="str">
        <f>"20190303154330138"</f>
        <v>20190303154330138</v>
      </c>
      <c r="B7537" t="str">
        <f>"1551599010128451"</f>
        <v>1551599010128451</v>
      </c>
      <c r="C7537" t="s">
        <v>40</v>
      </c>
      <c r="D7537">
        <v>6.0333009999999998</v>
      </c>
      <c r="E7537">
        <v>0.50893719999999998</v>
      </c>
      <c r="F7537" t="s">
        <v>41</v>
      </c>
      <c r="G7537">
        <v>-279.68200000000002</v>
      </c>
      <c r="H7537" s="1">
        <v>-3.547451E-6</v>
      </c>
      <c r="I7537">
        <v>-61.993400000000001</v>
      </c>
      <c r="J7537">
        <v>-290.55470000000003</v>
      </c>
      <c r="K7537">
        <v>1.1278509999999999</v>
      </c>
      <c r="L7537">
        <v>-61.714570000000002</v>
      </c>
      <c r="M7537">
        <v>0.9981371</v>
      </c>
      <c r="N7537">
        <v>-1.680077E-2</v>
      </c>
      <c r="O7537">
        <v>-5.8651540000000002E-2</v>
      </c>
      <c r="P7537">
        <v>0.99147790000000002</v>
      </c>
      <c r="Q7537">
        <v>-0.13027420000000001</v>
      </c>
      <c r="R7537">
        <v>6.2312000000000001E-4</v>
      </c>
      <c r="S7537">
        <v>2.9851070000000002</v>
      </c>
      <c r="T7537">
        <v>-0.30675150000000001</v>
      </c>
      <c r="U7537">
        <v>-7.5561519999999993E-2</v>
      </c>
      <c r="V7537">
        <v>-5.684724E-2</v>
      </c>
      <c r="W7537">
        <v>-0.1146078</v>
      </c>
      <c r="X7537">
        <v>0.99178299999999997</v>
      </c>
      <c r="Y7537">
        <v>-3.2962379999999999E-2</v>
      </c>
      <c r="Z7537">
        <v>6.9895399999999998E-3</v>
      </c>
      <c r="AA7537">
        <v>0.99943210000000005</v>
      </c>
      <c r="AB7537">
        <v>21</v>
      </c>
      <c r="AC7537">
        <v>10.8727</v>
      </c>
      <c r="AD7537">
        <v>-1.127854547451</v>
      </c>
      <c r="AE7537">
        <v>-0.27883000000000602</v>
      </c>
      <c r="AF7537">
        <v>-0.35561668583313299</v>
      </c>
      <c r="AG7537">
        <v>-1.127854547451</v>
      </c>
      <c r="AH7537">
        <v>10.754684220442</v>
      </c>
      <c r="AI7537">
        <v>95.983536118464698</v>
      </c>
      <c r="AJ7537">
        <v>91.893864451599399</v>
      </c>
      <c r="AK7537">
        <v>10.8195079272984</v>
      </c>
      <c r="AL7537">
        <v>96.581003828057902</v>
      </c>
      <c r="AM7537">
        <v>93.280502892699602</v>
      </c>
      <c r="AN7537">
        <v>1.0000000378027201</v>
      </c>
    </row>
    <row r="7538" spans="1:40" x14ac:dyDescent="0.25">
      <c r="A7538" t="str">
        <f>"20190303154330148"</f>
        <v>20190303154330148</v>
      </c>
      <c r="B7538" t="str">
        <f>"1551599010138211"</f>
        <v>1551599010138211</v>
      </c>
      <c r="C7538" t="s">
        <v>40</v>
      </c>
      <c r="D7538">
        <v>6.0308780000000004</v>
      </c>
      <c r="E7538">
        <v>0.51627889999999999</v>
      </c>
      <c r="F7538" t="s">
        <v>42</v>
      </c>
      <c r="G7538">
        <v>-289.67579999999998</v>
      </c>
      <c r="H7538">
        <v>1.0352410000000001</v>
      </c>
      <c r="I7538">
        <v>-61.734859999999998</v>
      </c>
      <c r="J7538">
        <v>-290.4588</v>
      </c>
      <c r="K7538">
        <v>1.127521</v>
      </c>
      <c r="L7538">
        <v>-61.713230000000003</v>
      </c>
      <c r="M7538">
        <v>0.99847529999999995</v>
      </c>
      <c r="N7538">
        <v>-1.6676119999999999E-2</v>
      </c>
      <c r="O7538">
        <v>-5.2623900000000001E-2</v>
      </c>
      <c r="P7538">
        <v>0.99122500000000002</v>
      </c>
      <c r="Q7538">
        <v>-0.13217290000000001</v>
      </c>
      <c r="R7538">
        <v>1.8303429999999999E-3</v>
      </c>
      <c r="S7538">
        <v>2.9845579999999998</v>
      </c>
      <c r="T7538">
        <v>-0.31421139999999997</v>
      </c>
      <c r="U7538">
        <v>-6.9030759999999997E-2</v>
      </c>
      <c r="V7538">
        <v>-5.2119539999999999E-2</v>
      </c>
      <c r="W7538">
        <v>-0.116507399999999</v>
      </c>
      <c r="X7538">
        <v>0.99182130000000002</v>
      </c>
      <c r="Y7538">
        <v>-2.913398E-2</v>
      </c>
      <c r="Z7538">
        <v>6.4184400000000001E-3</v>
      </c>
      <c r="AA7538">
        <v>0.99955490000000002</v>
      </c>
      <c r="AB7538">
        <v>21</v>
      </c>
      <c r="AC7538">
        <v>0.78300000000001502</v>
      </c>
      <c r="AD7538">
        <v>-9.2279999999999904E-2</v>
      </c>
      <c r="AE7538">
        <v>-2.1629999999994699E-2</v>
      </c>
      <c r="AF7538">
        <v>-1.9341771222163E-2</v>
      </c>
      <c r="AG7538">
        <v>-9.2279999999999904E-2</v>
      </c>
      <c r="AH7538">
        <v>0.772333912446174</v>
      </c>
      <c r="AI7538">
        <v>96.811398154762699</v>
      </c>
      <c r="AJ7538">
        <v>91.434574156640295</v>
      </c>
      <c r="AK7538">
        <v>0.77806771866491398</v>
      </c>
      <c r="AL7538">
        <v>96.690577508683603</v>
      </c>
      <c r="AM7538">
        <v>93.008087708136699</v>
      </c>
      <c r="AN7538">
        <v>0.99999995591912905</v>
      </c>
    </row>
    <row r="7539" spans="1:40" x14ac:dyDescent="0.25">
      <c r="A7539" t="str">
        <f>"20190303154330160"</f>
        <v>20190303154330160</v>
      </c>
      <c r="B7539" t="str">
        <f>"1551599010147972"</f>
        <v>1551599010147972</v>
      </c>
      <c r="C7539" t="s">
        <v>40</v>
      </c>
      <c r="D7539">
        <v>6.0184119999999997</v>
      </c>
      <c r="E7539">
        <v>0.5174704</v>
      </c>
      <c r="F7539" t="s">
        <v>42</v>
      </c>
      <c r="G7539">
        <v>-289.66739999999999</v>
      </c>
      <c r="H7539">
        <v>1.0435000000000001</v>
      </c>
      <c r="I7539">
        <v>-61.746040000000001</v>
      </c>
      <c r="J7539">
        <v>-290.358</v>
      </c>
      <c r="K7539">
        <v>1.1271880000000001</v>
      </c>
      <c r="L7539">
        <v>-61.711579999999998</v>
      </c>
      <c r="M7539">
        <v>0.99878219999999995</v>
      </c>
      <c r="N7539">
        <v>-1.6548899999999998E-2</v>
      </c>
      <c r="O7539">
        <v>-4.6480470000000003E-2</v>
      </c>
      <c r="P7539">
        <v>0.99114910000000001</v>
      </c>
      <c r="Q7539">
        <v>-0.13271089999999999</v>
      </c>
      <c r="R7539">
        <v>3.4115679999999998E-3</v>
      </c>
      <c r="S7539">
        <v>2.9844970000000002</v>
      </c>
      <c r="T7539">
        <v>-0.31661499999999998</v>
      </c>
      <c r="U7539">
        <v>-0.1239319</v>
      </c>
      <c r="V7539">
        <v>-4.7689710000000003E-2</v>
      </c>
      <c r="W7539">
        <v>-0.1170576</v>
      </c>
      <c r="X7539">
        <v>0.99197939999999996</v>
      </c>
      <c r="Y7539">
        <v>-4.785994E-3</v>
      </c>
      <c r="Z7539">
        <v>4.4378350000000002E-3</v>
      </c>
      <c r="AA7539">
        <v>0.9999787</v>
      </c>
      <c r="AB7539">
        <v>21</v>
      </c>
      <c r="AC7539">
        <v>0.69060000000001698</v>
      </c>
      <c r="AD7539">
        <v>-8.3687999999999693E-2</v>
      </c>
      <c r="AE7539">
        <v>-3.4459999999995702E-2</v>
      </c>
      <c r="AF7539">
        <v>2.2854607999999201E-3</v>
      </c>
      <c r="AG7539">
        <v>-8.3687999999999693E-2</v>
      </c>
      <c r="AH7539">
        <v>0.68147277474911705</v>
      </c>
      <c r="AI7539">
        <v>97.001092822207397</v>
      </c>
      <c r="AJ7539">
        <v>89.807847397576197</v>
      </c>
      <c r="AK7539">
        <v>0.6865959855689</v>
      </c>
      <c r="AL7539">
        <v>96.722318809826504</v>
      </c>
      <c r="AM7539">
        <v>92.752392777796103</v>
      </c>
      <c r="AN7539">
        <v>0.99999996009100101</v>
      </c>
    </row>
    <row r="7540" spans="1:40" x14ac:dyDescent="0.25">
      <c r="A7540" t="str">
        <f>"20190303154330170"</f>
        <v>20190303154330170</v>
      </c>
      <c r="B7540" t="str">
        <f>"1551599010167491"</f>
        <v>1551599010167491</v>
      </c>
      <c r="C7540" t="s">
        <v>40</v>
      </c>
      <c r="D7540">
        <v>6.0189779999999997</v>
      </c>
      <c r="E7540">
        <v>0.5179684</v>
      </c>
      <c r="F7540" t="s">
        <v>42</v>
      </c>
      <c r="G7540">
        <v>-289.49950000000001</v>
      </c>
      <c r="H7540">
        <v>1.034761</v>
      </c>
      <c r="I7540">
        <v>-61.748660000000001</v>
      </c>
      <c r="J7540">
        <v>-290.26339999999999</v>
      </c>
      <c r="K7540">
        <v>1.1268929999999999</v>
      </c>
      <c r="L7540">
        <v>-61.70975</v>
      </c>
      <c r="M7540">
        <v>0.9990253</v>
      </c>
      <c r="N7540">
        <v>-1.643211E-2</v>
      </c>
      <c r="O7540">
        <v>-4.0969819999999997E-2</v>
      </c>
      <c r="P7540">
        <v>0.99122569999999999</v>
      </c>
      <c r="Q7540">
        <v>-0.1320856</v>
      </c>
      <c r="R7540">
        <v>5.0171030000000002E-3</v>
      </c>
      <c r="S7540">
        <v>2.9841310000000001</v>
      </c>
      <c r="T7540">
        <v>-0.32177309999999998</v>
      </c>
      <c r="U7540">
        <v>-0.12857060000000001</v>
      </c>
      <c r="V7540">
        <v>-4.3927330000000001E-2</v>
      </c>
      <c r="W7540">
        <v>-0.1164531</v>
      </c>
      <c r="X7540">
        <v>0.99222429999999995</v>
      </c>
      <c r="Y7540">
        <v>2.2265309999999999E-3</v>
      </c>
      <c r="Z7540">
        <v>3.5914089999999998E-3</v>
      </c>
      <c r="AA7540">
        <v>0.99999110000000002</v>
      </c>
      <c r="AB7540">
        <v>21</v>
      </c>
      <c r="AC7540">
        <v>0.76389999999997804</v>
      </c>
      <c r="AD7540">
        <v>-9.2131999999999797E-2</v>
      </c>
      <c r="AE7540">
        <v>-3.8910000000001298E-2</v>
      </c>
      <c r="AF7540">
        <v>7.4679033839689102E-3</v>
      </c>
      <c r="AG7540">
        <v>-9.2131999999999797E-2</v>
      </c>
      <c r="AH7540">
        <v>0.75391462109264895</v>
      </c>
      <c r="AI7540">
        <v>96.966935871729007</v>
      </c>
      <c r="AJ7540">
        <v>89.432475057249604</v>
      </c>
      <c r="AK7540">
        <v>0.75955995872756799</v>
      </c>
      <c r="AL7540">
        <v>96.687444741114703</v>
      </c>
      <c r="AM7540">
        <v>92.534918995884695</v>
      </c>
      <c r="AN7540">
        <v>0.99999999816551399</v>
      </c>
    </row>
    <row r="7541" spans="1:40" x14ac:dyDescent="0.25">
      <c r="A7541" t="str">
        <f>"20190303154330183"</f>
        <v>20190303154330183</v>
      </c>
      <c r="B7541" t="str">
        <f>"1551599010178226"</f>
        <v>1551599010178226</v>
      </c>
      <c r="C7541" t="s">
        <v>40</v>
      </c>
      <c r="D7541">
        <v>6.0198609999999997</v>
      </c>
      <c r="E7541">
        <v>0.51797939999999998</v>
      </c>
      <c r="F7541" t="s">
        <v>42</v>
      </c>
      <c r="G7541">
        <v>-289.49059999999997</v>
      </c>
      <c r="H7541">
        <v>1.04542</v>
      </c>
      <c r="I7541">
        <v>-61.74288</v>
      </c>
      <c r="J7541">
        <v>-290.16019999999997</v>
      </c>
      <c r="K7541">
        <v>1.1265849999999999</v>
      </c>
      <c r="L7541">
        <v>-61.7074</v>
      </c>
      <c r="M7541">
        <v>0.99924579999999996</v>
      </c>
      <c r="N7541">
        <v>-1.6308590000000001E-2</v>
      </c>
      <c r="O7541">
        <v>-3.5242839999999998E-2</v>
      </c>
      <c r="P7541">
        <v>0.99131550000000002</v>
      </c>
      <c r="Q7541">
        <v>-0.1312981</v>
      </c>
      <c r="R7541">
        <v>7.3687409999999998E-3</v>
      </c>
      <c r="S7541">
        <v>2.9851679999999998</v>
      </c>
      <c r="T7541">
        <v>-0.31525350000000002</v>
      </c>
      <c r="U7541">
        <v>-0.1276245</v>
      </c>
      <c r="V7541">
        <v>-4.0701580000000001E-2</v>
      </c>
      <c r="W7541">
        <v>-0.11570469999999999</v>
      </c>
      <c r="X7541">
        <v>0.99244940000000004</v>
      </c>
      <c r="Y7541">
        <v>7.5631739999999998E-3</v>
      </c>
      <c r="Z7541">
        <v>2.6752379999999999E-3</v>
      </c>
      <c r="AA7541">
        <v>0.99996779999999996</v>
      </c>
      <c r="AB7541">
        <v>21</v>
      </c>
      <c r="AC7541">
        <v>0.66960000000000197</v>
      </c>
      <c r="AD7541">
        <v>-8.1164999999999904E-2</v>
      </c>
      <c r="AE7541">
        <v>-3.5480000000006798E-2</v>
      </c>
      <c r="AF7541">
        <v>1.16850053473854E-2</v>
      </c>
      <c r="AG7541">
        <v>-8.1164999999999904E-2</v>
      </c>
      <c r="AH7541">
        <v>0.66075331840419804</v>
      </c>
      <c r="AI7541">
        <v>97.001879790983693</v>
      </c>
      <c r="AJ7541">
        <v>88.986865912234407</v>
      </c>
      <c r="AK7541">
        <v>0.66582223179849398</v>
      </c>
      <c r="AL7541">
        <v>96.644272697450802</v>
      </c>
      <c r="AM7541">
        <v>92.348454884810806</v>
      </c>
      <c r="AN7541">
        <v>1.00000000388847</v>
      </c>
    </row>
    <row r="7542" spans="1:40" x14ac:dyDescent="0.25">
      <c r="A7542" t="str">
        <f>"20190303154330193"</f>
        <v>20190303154330193</v>
      </c>
      <c r="B7542" t="str">
        <f>"1551599010187988"</f>
        <v>1551599010187988</v>
      </c>
      <c r="C7542" t="s">
        <v>40</v>
      </c>
      <c r="D7542">
        <v>6.0150600000000001</v>
      </c>
      <c r="E7542">
        <v>0.51814499999999997</v>
      </c>
      <c r="F7542" t="s">
        <v>42</v>
      </c>
      <c r="G7542">
        <v>-289.31670000000003</v>
      </c>
      <c r="H7542">
        <v>1.0389090000000001</v>
      </c>
      <c r="I7542">
        <v>-61.741599999999998</v>
      </c>
      <c r="J7542">
        <v>-290.05029999999999</v>
      </c>
      <c r="K7542">
        <v>1.1262700000000001</v>
      </c>
      <c r="L7542">
        <v>-61.704650000000001</v>
      </c>
      <c r="M7542">
        <v>0.99943800000000005</v>
      </c>
      <c r="N7542">
        <v>-1.618089E-2</v>
      </c>
      <c r="O7542">
        <v>-2.935453E-2</v>
      </c>
      <c r="P7542">
        <v>0.99141190000000001</v>
      </c>
      <c r="Q7542">
        <v>-0.13043830000000001</v>
      </c>
      <c r="R7542">
        <v>9.3813969999999997E-3</v>
      </c>
      <c r="S7542">
        <v>2.9860229999999999</v>
      </c>
      <c r="T7542">
        <v>-0.31081039999999999</v>
      </c>
      <c r="U7542">
        <v>-0.1206665</v>
      </c>
      <c r="V7542">
        <v>-3.6979999999999999E-2</v>
      </c>
      <c r="W7542">
        <v>-0.1148855</v>
      </c>
      <c r="X7542">
        <v>0.99269019999999997</v>
      </c>
      <c r="Y7542">
        <v>1.106945E-2</v>
      </c>
      <c r="Z7542">
        <v>1.9071660000000001E-3</v>
      </c>
      <c r="AA7542">
        <v>0.99993690000000002</v>
      </c>
      <c r="AB7542">
        <v>21</v>
      </c>
      <c r="AC7542">
        <v>0.73359999999996695</v>
      </c>
      <c r="AD7542">
        <v>-8.7360999999999994E-2</v>
      </c>
      <c r="AE7542">
        <v>-3.6949999999997298E-2</v>
      </c>
      <c r="AF7542">
        <v>1.51820118765391E-2</v>
      </c>
      <c r="AG7542">
        <v>-8.7360999999999994E-2</v>
      </c>
      <c r="AH7542">
        <v>0.72412550679187204</v>
      </c>
      <c r="AI7542">
        <v>96.8776173522281</v>
      </c>
      <c r="AJ7542">
        <v>88.798912931411607</v>
      </c>
      <c r="AK7542">
        <v>0.72953422633362797</v>
      </c>
      <c r="AL7542">
        <v>96.597020805543195</v>
      </c>
      <c r="AM7542">
        <v>92.1334134577897</v>
      </c>
      <c r="AN7542">
        <v>1.0000000158431399</v>
      </c>
    </row>
    <row r="7543" spans="1:40" x14ac:dyDescent="0.25">
      <c r="A7543" t="str">
        <f>"20190303154330206"</f>
        <v>20190303154330206</v>
      </c>
      <c r="B7543" t="str">
        <f>"1551599010197746"</f>
        <v>1551599010197746</v>
      </c>
      <c r="C7543" t="s">
        <v>40</v>
      </c>
      <c r="D7543">
        <v>6.0329030000000001</v>
      </c>
      <c r="E7543">
        <v>0.51837149999999999</v>
      </c>
      <c r="F7543" t="s">
        <v>41</v>
      </c>
      <c r="G7543">
        <v>-279.07420000000002</v>
      </c>
      <c r="H7543" s="1">
        <v>-3.3589940000000002E-6</v>
      </c>
      <c r="I7543">
        <v>-62.130710000000001</v>
      </c>
      <c r="J7543">
        <v>-289.94760000000002</v>
      </c>
      <c r="K7543">
        <v>1.1259939999999999</v>
      </c>
      <c r="L7543">
        <v>-61.701630000000002</v>
      </c>
      <c r="M7543">
        <v>0.99957609999999997</v>
      </c>
      <c r="N7543">
        <v>-1.6065079999999999E-2</v>
      </c>
      <c r="O7543">
        <v>-2.428112E-2</v>
      </c>
      <c r="P7543">
        <v>0.99151299999999998</v>
      </c>
      <c r="Q7543">
        <v>-0.12953110000000001</v>
      </c>
      <c r="R7543">
        <v>1.112082E-2</v>
      </c>
      <c r="S7543">
        <v>2.986755</v>
      </c>
      <c r="T7543">
        <v>-0.30647600000000003</v>
      </c>
      <c r="U7543">
        <v>-0.11593630000000001</v>
      </c>
      <c r="V7543">
        <v>-3.3781909999999998E-2</v>
      </c>
      <c r="W7543">
        <v>-0.1140231</v>
      </c>
      <c r="X7543">
        <v>0.9929036</v>
      </c>
      <c r="Y7543">
        <v>1.451261E-2</v>
      </c>
      <c r="Z7543">
        <v>1.235096E-3</v>
      </c>
      <c r="AA7543">
        <v>0.9998939</v>
      </c>
      <c r="AB7543">
        <v>21</v>
      </c>
      <c r="AC7543">
        <v>10.8734</v>
      </c>
      <c r="AD7543">
        <v>-1.125997358994</v>
      </c>
      <c r="AE7543">
        <v>-0.42907999999999802</v>
      </c>
      <c r="AF7543">
        <v>0.163154166824969</v>
      </c>
      <c r="AG7543">
        <v>-1.125997358994</v>
      </c>
      <c r="AH7543">
        <v>10.765348550012</v>
      </c>
      <c r="AI7543">
        <v>95.970437064460299</v>
      </c>
      <c r="AJ7543">
        <v>89.131720676767998</v>
      </c>
      <c r="AK7543">
        <v>10.825304556355899</v>
      </c>
      <c r="AL7543">
        <v>96.547282027665702</v>
      </c>
      <c r="AM7543">
        <v>91.948642873437706</v>
      </c>
      <c r="AN7543">
        <v>1.0000000218349001</v>
      </c>
    </row>
    <row r="7544" spans="1:40" x14ac:dyDescent="0.25">
      <c r="A7544" t="str">
        <f>"20190303154330218"</f>
        <v>20190303154330218</v>
      </c>
      <c r="B7544" t="str">
        <f>"1551599010207507"</f>
        <v>1551599010207507</v>
      </c>
      <c r="C7544" t="s">
        <v>40</v>
      </c>
      <c r="D7544">
        <v>6.0019900000000002</v>
      </c>
      <c r="E7544">
        <v>0.51866239999999997</v>
      </c>
      <c r="F7544" t="s">
        <v>42</v>
      </c>
      <c r="G7544">
        <v>-289.13200000000001</v>
      </c>
      <c r="H7544">
        <v>1.0434429999999999</v>
      </c>
      <c r="I7544">
        <v>-61.732590000000002</v>
      </c>
      <c r="J7544">
        <v>-289.84070000000003</v>
      </c>
      <c r="K7544">
        <v>1.125712</v>
      </c>
      <c r="L7544">
        <v>-61.698390000000003</v>
      </c>
      <c r="M7544">
        <v>0.99968979999999996</v>
      </c>
      <c r="N7544">
        <v>-1.5948319999999998E-2</v>
      </c>
      <c r="O7544">
        <v>-1.913656E-2</v>
      </c>
      <c r="P7544">
        <v>0.99156129999999998</v>
      </c>
      <c r="Q7544">
        <v>-0.1290298</v>
      </c>
      <c r="R7544">
        <v>1.2559799999999999E-2</v>
      </c>
      <c r="S7544">
        <v>2.9873349999999999</v>
      </c>
      <c r="T7544">
        <v>-0.3031008</v>
      </c>
      <c r="U7544">
        <v>-0.1126404</v>
      </c>
      <c r="V7544">
        <v>-3.0206819999999999E-2</v>
      </c>
      <c r="W7544">
        <v>-0.1135679</v>
      </c>
      <c r="X7544">
        <v>0.99307089999999998</v>
      </c>
      <c r="Y7544">
        <v>1.8506680000000001E-2</v>
      </c>
      <c r="Z7544">
        <v>5.4702250000000004E-4</v>
      </c>
      <c r="AA7544">
        <v>0.99982859999999996</v>
      </c>
      <c r="AB7544">
        <v>21</v>
      </c>
      <c r="AC7544">
        <v>0.70870000000002098</v>
      </c>
      <c r="AD7544">
        <v>-8.2268999999999898E-2</v>
      </c>
      <c r="AE7544">
        <v>-3.4199999999998398E-2</v>
      </c>
      <c r="AF7544">
        <v>2.0356257134479298E-2</v>
      </c>
      <c r="AG7544">
        <v>-8.2268999999999898E-2</v>
      </c>
      <c r="AH7544">
        <v>0.699816221439437</v>
      </c>
      <c r="AI7544">
        <v>96.701995180127398</v>
      </c>
      <c r="AJ7544">
        <v>88.333849939831296</v>
      </c>
      <c r="AK7544">
        <v>0.70492929386946102</v>
      </c>
      <c r="AL7544">
        <v>96.521030828776802</v>
      </c>
      <c r="AM7544">
        <v>91.7422621310414</v>
      </c>
      <c r="AN7544">
        <v>0.99999996615586495</v>
      </c>
    </row>
    <row r="7545" spans="1:40" x14ac:dyDescent="0.25">
      <c r="A7545" t="str">
        <f>"20190303154330228"</f>
        <v>20190303154330228</v>
      </c>
      <c r="B7545" t="str">
        <f>"1551599010218244"</f>
        <v>1551599010218244</v>
      </c>
      <c r="C7545" t="s">
        <v>40</v>
      </c>
      <c r="D7545">
        <v>5.9986810000000004</v>
      </c>
      <c r="E7545">
        <v>0.51903820000000001</v>
      </c>
      <c r="F7545" t="s">
        <v>42</v>
      </c>
      <c r="G7545">
        <v>-288.95639999999997</v>
      </c>
      <c r="H7545">
        <v>1.0368409999999999</v>
      </c>
      <c r="I7545">
        <v>-61.731219999999901</v>
      </c>
      <c r="J7545">
        <v>-289.73599999999999</v>
      </c>
      <c r="K7545">
        <v>1.1254440000000001</v>
      </c>
      <c r="L7545">
        <v>-61.694850000000002</v>
      </c>
      <c r="M7545">
        <v>0.99976969999999998</v>
      </c>
      <c r="N7545">
        <v>-1.5837790000000001E-2</v>
      </c>
      <c r="O7545">
        <v>-1.4482780000000001E-2</v>
      </c>
      <c r="P7545">
        <v>0.99161600000000005</v>
      </c>
      <c r="Q7545">
        <v>-0.1285539</v>
      </c>
      <c r="R7545">
        <v>1.3099319999999999E-2</v>
      </c>
      <c r="S7545">
        <v>2.9879150000000001</v>
      </c>
      <c r="T7545">
        <v>-0.30044080000000001</v>
      </c>
      <c r="U7545">
        <v>-0.1107788</v>
      </c>
      <c r="V7545">
        <v>-2.621364E-2</v>
      </c>
      <c r="W7545">
        <v>-0.11313380000000001</v>
      </c>
      <c r="X7545">
        <v>0.9932339</v>
      </c>
      <c r="Y7545">
        <v>2.2492169999999999E-2</v>
      </c>
      <c r="Z7545" s="1">
        <v>-8.3158609999999994E-5</v>
      </c>
      <c r="AA7545">
        <v>0.99974700000000005</v>
      </c>
      <c r="AB7545">
        <v>21</v>
      </c>
      <c r="AC7545">
        <v>0.77960000000001595</v>
      </c>
      <c r="AD7545">
        <v>-8.8603000000000195E-2</v>
      </c>
      <c r="AE7545">
        <v>-3.6369999999990903E-2</v>
      </c>
      <c r="AF7545">
        <v>2.47549342813961E-2</v>
      </c>
      <c r="AG7545">
        <v>-8.8603000000000195E-2</v>
      </c>
      <c r="AH7545">
        <v>0.77011918625988196</v>
      </c>
      <c r="AI7545">
        <v>96.559723105479407</v>
      </c>
      <c r="AJ7545">
        <v>88.158901794247399</v>
      </c>
      <c r="AK7545">
        <v>0.77559451998183904</v>
      </c>
      <c r="AL7545">
        <v>96.495997196074001</v>
      </c>
      <c r="AM7545">
        <v>91.511811427879294</v>
      </c>
      <c r="AN7545">
        <v>0.99999999586684896</v>
      </c>
    </row>
    <row r="7546" spans="1:40" x14ac:dyDescent="0.25">
      <c r="A7546" t="str">
        <f>"20190303154330240"</f>
        <v>20190303154330240</v>
      </c>
      <c r="B7546" t="str">
        <f>"1551599010237762"</f>
        <v>1551599010237762</v>
      </c>
      <c r="C7546" t="s">
        <v>40</v>
      </c>
      <c r="D7546">
        <v>6.225187</v>
      </c>
      <c r="E7546">
        <v>0.51945490000000005</v>
      </c>
      <c r="F7546" t="s">
        <v>42</v>
      </c>
      <c r="G7546">
        <v>-288.94830000000002</v>
      </c>
      <c r="H7546">
        <v>1.047172</v>
      </c>
      <c r="I7546">
        <v>-61.724490000000003</v>
      </c>
      <c r="J7546">
        <v>-289.63189999999997</v>
      </c>
      <c r="K7546">
        <v>1.125189</v>
      </c>
      <c r="L7546">
        <v>-61.691189999999999</v>
      </c>
      <c r="M7546">
        <v>0.99982590000000005</v>
      </c>
      <c r="N7546">
        <v>-1.573279E-2</v>
      </c>
      <c r="O7546">
        <v>-1.0040479999999999E-2</v>
      </c>
      <c r="P7546">
        <v>0.99166370000000004</v>
      </c>
      <c r="Q7546">
        <v>-0.12815560000000001</v>
      </c>
      <c r="R7546">
        <v>1.339273E-2</v>
      </c>
      <c r="S7546">
        <v>2.9883120000000001</v>
      </c>
      <c r="T7546">
        <v>-0.29717110000000002</v>
      </c>
      <c r="U7546">
        <v>-0.1122742</v>
      </c>
      <c r="V7546">
        <v>-2.217775E-2</v>
      </c>
      <c r="W7546">
        <v>-0.1127779</v>
      </c>
      <c r="X7546">
        <v>0.9933727</v>
      </c>
      <c r="Y7546">
        <v>2.7386750000000001E-2</v>
      </c>
      <c r="Z7546">
        <v>-7.3603809999999998E-4</v>
      </c>
      <c r="AA7546">
        <v>0.99962470000000003</v>
      </c>
      <c r="AB7546">
        <v>21</v>
      </c>
      <c r="AC7546">
        <v>0.68359999999995502</v>
      </c>
      <c r="AD7546">
        <v>-7.8016999999999906E-2</v>
      </c>
      <c r="AE7546">
        <v>-3.3300000000004097E-2</v>
      </c>
      <c r="AF7546">
        <v>2.60947233086074E-2</v>
      </c>
      <c r="AG7546">
        <v>-7.8016999999999906E-2</v>
      </c>
      <c r="AH7546">
        <v>0.67512727454824795</v>
      </c>
      <c r="AI7546">
        <v>96.586926805381907</v>
      </c>
      <c r="AJ7546">
        <v>87.786530487010097</v>
      </c>
      <c r="AK7546">
        <v>0.68012088904289503</v>
      </c>
      <c r="AL7546">
        <v>96.4754741621405</v>
      </c>
      <c r="AM7546">
        <v>91.278956445256497</v>
      </c>
      <c r="AN7546">
        <v>1.0000000142143799</v>
      </c>
    </row>
    <row r="7547" spans="1:40" x14ac:dyDescent="0.25">
      <c r="A7547" t="str">
        <f>"20190303154330250"</f>
        <v>20190303154330250</v>
      </c>
      <c r="B7547" t="str">
        <f>"1551599010237762"</f>
        <v>1551599010237762</v>
      </c>
      <c r="C7547" t="s">
        <v>40</v>
      </c>
      <c r="D7547">
        <v>6.225187</v>
      </c>
      <c r="E7547">
        <v>0.51945490000000005</v>
      </c>
      <c r="F7547" t="s">
        <v>42</v>
      </c>
      <c r="G7547">
        <v>-288.77440000000001</v>
      </c>
      <c r="H7547">
        <v>1.039347</v>
      </c>
      <c r="I7547">
        <v>-61.724299999999999</v>
      </c>
      <c r="J7547">
        <v>-289.54640000000001</v>
      </c>
      <c r="K7547">
        <v>1.1249899999999999</v>
      </c>
      <c r="L7547">
        <v>-61.688020000000002</v>
      </c>
      <c r="M7547">
        <v>0.99985590000000002</v>
      </c>
      <c r="N7547">
        <v>-1.5650219999999999E-2</v>
      </c>
      <c r="O7547">
        <v>-6.5707319999999897E-3</v>
      </c>
      <c r="P7547">
        <v>0.99168900000000004</v>
      </c>
      <c r="Q7547">
        <v>-0.12803329999999999</v>
      </c>
      <c r="R7547">
        <v>1.266956E-2</v>
      </c>
      <c r="S7547">
        <v>2.9880070000000001</v>
      </c>
      <c r="T7547">
        <v>-0.2995989</v>
      </c>
      <c r="U7547">
        <v>-0.11477660000000001</v>
      </c>
      <c r="V7547">
        <v>-1.8071469999999999E-2</v>
      </c>
      <c r="W7547">
        <v>-0.11268359999999999</v>
      </c>
      <c r="X7547">
        <v>0.99346659999999998</v>
      </c>
      <c r="Y7547">
        <v>3.1656650000000001E-2</v>
      </c>
      <c r="Z7547">
        <v>-1.276725E-3</v>
      </c>
      <c r="AA7547">
        <v>0.999498</v>
      </c>
      <c r="AB7547">
        <v>21</v>
      </c>
      <c r="AC7547">
        <v>0.77199999999999103</v>
      </c>
      <c r="AD7547">
        <v>-8.56429999999999E-2</v>
      </c>
      <c r="AE7547">
        <v>-3.6280000000004899E-2</v>
      </c>
      <c r="AF7547">
        <v>3.0827435455044599E-2</v>
      </c>
      <c r="AG7547">
        <v>-8.56429999999999E-2</v>
      </c>
      <c r="AH7547">
        <v>0.76285405563668596</v>
      </c>
      <c r="AI7547">
        <v>96.400397919908102</v>
      </c>
      <c r="AJ7547">
        <v>87.6858988767803</v>
      </c>
      <c r="AK7547">
        <v>0.768265165439039</v>
      </c>
      <c r="AL7547">
        <v>96.470036415283005</v>
      </c>
      <c r="AM7547">
        <v>91.042113324043299</v>
      </c>
      <c r="AN7547">
        <v>1.00000002852624</v>
      </c>
    </row>
    <row r="7548" spans="1:40" x14ac:dyDescent="0.25">
      <c r="A7548" t="str">
        <f>"20190303154330261"</f>
        <v>20190303154330261</v>
      </c>
      <c r="B7548" t="str">
        <f>"1551599010258259"</f>
        <v>1551599010258259</v>
      </c>
      <c r="C7548" t="s">
        <v>40</v>
      </c>
      <c r="D7548">
        <v>6.1674660000000001</v>
      </c>
      <c r="E7548">
        <v>0.51930790000000004</v>
      </c>
      <c r="F7548" t="s">
        <v>42</v>
      </c>
      <c r="G7548">
        <v>-288.76819999999998</v>
      </c>
      <c r="H7548">
        <v>1.047123</v>
      </c>
      <c r="I7548">
        <v>-61.718690000000002</v>
      </c>
      <c r="J7548">
        <v>-289.45240000000001</v>
      </c>
      <c r="K7548">
        <v>1.1247799999999999</v>
      </c>
      <c r="L7548">
        <v>-61.684359999999998</v>
      </c>
      <c r="M7548">
        <v>0.99987459999999995</v>
      </c>
      <c r="N7548">
        <v>-1.5564049999999999E-2</v>
      </c>
      <c r="O7548">
        <v>-2.9249739999999999E-3</v>
      </c>
      <c r="P7548">
        <v>0.99169600000000002</v>
      </c>
      <c r="Q7548">
        <v>-0.12806789999999901</v>
      </c>
      <c r="R7548">
        <v>1.1735860000000001E-2</v>
      </c>
      <c r="S7548">
        <v>2.987946</v>
      </c>
      <c r="T7548">
        <v>-0.29953150000000001</v>
      </c>
      <c r="U7548">
        <v>-0.117157</v>
      </c>
      <c r="V7548">
        <v>-1.3580780000000001E-2</v>
      </c>
      <c r="W7548">
        <v>-0.1127505</v>
      </c>
      <c r="X7548">
        <v>0.99353049999999998</v>
      </c>
      <c r="Y7548">
        <v>3.6058319999999998E-2</v>
      </c>
      <c r="Z7548">
        <v>-1.8367430000000001E-3</v>
      </c>
      <c r="AA7548">
        <v>0.99934800000000001</v>
      </c>
      <c r="AB7548">
        <v>21</v>
      </c>
      <c r="AC7548">
        <v>0.684200000000032</v>
      </c>
      <c r="AD7548">
        <v>-7.7656999999999796E-2</v>
      </c>
      <c r="AE7548">
        <v>-3.43300000000041E-2</v>
      </c>
      <c r="AF7548">
        <v>3.1918194709610902E-2</v>
      </c>
      <c r="AG7548">
        <v>-7.7656999999999796E-2</v>
      </c>
      <c r="AH7548">
        <v>0.675615836314583</v>
      </c>
      <c r="AI7548">
        <v>96.549705582118506</v>
      </c>
      <c r="AJ7548">
        <v>87.295180174082901</v>
      </c>
      <c r="AK7548">
        <v>0.68081285173061601</v>
      </c>
      <c r="AL7548">
        <v>96.473894379155396</v>
      </c>
      <c r="AM7548">
        <v>90.783139439215702</v>
      </c>
      <c r="AN7548">
        <v>0.99999998363295395</v>
      </c>
    </row>
    <row r="7549" spans="1:40" x14ac:dyDescent="0.25">
      <c r="A7549" t="str">
        <f>"20190303154330270"</f>
        <v>20190303154330270</v>
      </c>
      <c r="B7549" t="str">
        <f>"1551599010268019"</f>
        <v>1551599010268019</v>
      </c>
      <c r="C7549" t="s">
        <v>40</v>
      </c>
      <c r="D7549">
        <v>6.1430800000000003</v>
      </c>
      <c r="E7549">
        <v>0.51936349999999998</v>
      </c>
      <c r="F7549" t="s">
        <v>42</v>
      </c>
      <c r="G7549">
        <v>-288.5958</v>
      </c>
      <c r="H7549">
        <v>1.0351870000000001</v>
      </c>
      <c r="I7549">
        <v>-61.7185699999999</v>
      </c>
      <c r="J7549">
        <v>-289.35309999999998</v>
      </c>
      <c r="K7549">
        <v>1.124565</v>
      </c>
      <c r="L7549">
        <v>-61.680329999999998</v>
      </c>
      <c r="M7549">
        <v>0.99987999999999999</v>
      </c>
      <c r="N7549">
        <v>-1.5477690000000001E-2</v>
      </c>
      <c r="O7549">
        <v>7.4866050000000001E-4</v>
      </c>
      <c r="P7549">
        <v>0.99166540000000003</v>
      </c>
      <c r="Q7549">
        <v>-0.12835369999999999</v>
      </c>
      <c r="R7549">
        <v>1.120114E-2</v>
      </c>
      <c r="S7549">
        <v>2.9861759999999999</v>
      </c>
      <c r="T7549">
        <v>-0.31257010000000002</v>
      </c>
      <c r="U7549">
        <v>-0.11883539999999999</v>
      </c>
      <c r="V7549">
        <v>-9.4600989999999996E-3</v>
      </c>
      <c r="W7549">
        <v>-0.1130775</v>
      </c>
      <c r="X7549">
        <v>0.99354109999999995</v>
      </c>
      <c r="Y7549">
        <v>4.025662E-2</v>
      </c>
      <c r="Z7549">
        <v>-2.4795329999999999E-3</v>
      </c>
      <c r="AA7549">
        <v>0.99918629999999997</v>
      </c>
      <c r="AB7549">
        <v>21</v>
      </c>
      <c r="AC7549">
        <v>0.75729999999998598</v>
      </c>
      <c r="AD7549">
        <v>-8.9377999999999902E-2</v>
      </c>
      <c r="AE7549">
        <v>-3.8239999999987603E-2</v>
      </c>
      <c r="AF7549">
        <v>3.8275231349507603E-2</v>
      </c>
      <c r="AG7549">
        <v>-8.9377999999999902E-2</v>
      </c>
      <c r="AH7549">
        <v>0.74689399864175399</v>
      </c>
      <c r="AI7549">
        <v>96.815062847173706</v>
      </c>
      <c r="AJ7549">
        <v>87.066394262473594</v>
      </c>
      <c r="AK7549">
        <v>0.75319590109474599</v>
      </c>
      <c r="AL7549">
        <v>96.492750805405294</v>
      </c>
      <c r="AM7549">
        <v>90.545530896768497</v>
      </c>
      <c r="AN7549">
        <v>0.99999996593427398</v>
      </c>
    </row>
    <row r="7550" spans="1:40" x14ac:dyDescent="0.25">
      <c r="A7550" t="str">
        <f>"20190303154330284"</f>
        <v>20190303154330284</v>
      </c>
      <c r="B7550" t="str">
        <f>"1551599010277778"</f>
        <v>1551599010277778</v>
      </c>
      <c r="C7550" t="s">
        <v>40</v>
      </c>
      <c r="D7550">
        <v>6.193784</v>
      </c>
      <c r="E7550">
        <v>0.51940180000000002</v>
      </c>
      <c r="F7550" t="s">
        <v>42</v>
      </c>
      <c r="G7550">
        <v>-288.59160000000003</v>
      </c>
      <c r="H7550">
        <v>1.0432809999999999</v>
      </c>
      <c r="I7550">
        <v>-61.711300000000001</v>
      </c>
      <c r="J7550">
        <v>-289.24669999999998</v>
      </c>
      <c r="K7550">
        <v>1.124341</v>
      </c>
      <c r="L7550">
        <v>-61.675809999999998</v>
      </c>
      <c r="M7550">
        <v>0.99987179999999998</v>
      </c>
      <c r="N7550">
        <v>-1.5391119999999999E-2</v>
      </c>
      <c r="O7550">
        <v>4.4464379999999996E-3</v>
      </c>
      <c r="P7550">
        <v>0.99151990000000001</v>
      </c>
      <c r="Q7550">
        <v>-0.12951029999999999</v>
      </c>
      <c r="R7550">
        <v>1.0759090000000001E-2</v>
      </c>
      <c r="S7550">
        <v>2.9852910000000001</v>
      </c>
      <c r="T7550">
        <v>-0.31893779999999999</v>
      </c>
      <c r="U7550">
        <v>-0.1209717</v>
      </c>
      <c r="V7550">
        <v>-5.4034449999999998E-3</v>
      </c>
      <c r="W7550">
        <v>-0.11428239999999899</v>
      </c>
      <c r="X7550">
        <v>0.99343360000000003</v>
      </c>
      <c r="Y7550">
        <v>4.4623419999999997E-2</v>
      </c>
      <c r="Z7550">
        <v>-3.1259170000000002E-3</v>
      </c>
      <c r="AA7550">
        <v>0.99899899999999997</v>
      </c>
      <c r="AB7550">
        <v>21</v>
      </c>
      <c r="AC7550">
        <v>0.65509999999994695</v>
      </c>
      <c r="AD7550">
        <v>-8.1060000000000104E-2</v>
      </c>
      <c r="AE7550">
        <v>-3.5490000000002901E-2</v>
      </c>
      <c r="AF7550">
        <v>3.7825412555689497E-2</v>
      </c>
      <c r="AG7550">
        <v>-8.1060000000000104E-2</v>
      </c>
      <c r="AH7550">
        <v>0.64508778983094905</v>
      </c>
      <c r="AI7550">
        <v>97.149941893546696</v>
      </c>
      <c r="AJ7550">
        <v>86.644243072211495</v>
      </c>
      <c r="AK7550">
        <v>0.65126011855785104</v>
      </c>
      <c r="AL7550">
        <v>96.562236781733404</v>
      </c>
      <c r="AM7550">
        <v>90.311637879291894</v>
      </c>
      <c r="AN7550">
        <v>0.99999999088829306</v>
      </c>
    </row>
    <row r="7551" spans="1:40" x14ac:dyDescent="0.25">
      <c r="A7551" t="str">
        <f>"20190303154330296"</f>
        <v>20190303154330296</v>
      </c>
      <c r="B7551" t="str">
        <f>"1551599010287538"</f>
        <v>1551599010287538</v>
      </c>
      <c r="C7551" t="s">
        <v>40</v>
      </c>
      <c r="D7551">
        <v>6.181565</v>
      </c>
      <c r="E7551">
        <v>0.51956979999999997</v>
      </c>
      <c r="F7551" t="s">
        <v>42</v>
      </c>
      <c r="G7551">
        <v>-288.416</v>
      </c>
      <c r="H7551">
        <v>1.0335719999999999</v>
      </c>
      <c r="I7551">
        <v>-61.710239999999999</v>
      </c>
      <c r="J7551">
        <v>-289.1361</v>
      </c>
      <c r="K7551">
        <v>1.124109</v>
      </c>
      <c r="L7551">
        <v>-61.670990000000003</v>
      </c>
      <c r="M7551">
        <v>0.99984969999999995</v>
      </c>
      <c r="N7551">
        <v>-1.530536E-2</v>
      </c>
      <c r="O7551">
        <v>8.1573429999999992E-3</v>
      </c>
      <c r="P7551">
        <v>0.99135139999999999</v>
      </c>
      <c r="Q7551">
        <v>-0.1308098</v>
      </c>
      <c r="R7551">
        <v>1.055646E-2</v>
      </c>
      <c r="S7551">
        <v>2.984283</v>
      </c>
      <c r="T7551">
        <v>-0.32671689999999998</v>
      </c>
      <c r="U7551">
        <v>-0.12258910000000001</v>
      </c>
      <c r="V7551">
        <v>-1.5760940000000001E-3</v>
      </c>
      <c r="W7551">
        <v>-0.1156363</v>
      </c>
      <c r="X7551">
        <v>0.99329040000000002</v>
      </c>
      <c r="Y7551">
        <v>4.8825390000000003E-2</v>
      </c>
      <c r="Z7551">
        <v>-3.8042739999999999E-3</v>
      </c>
      <c r="AA7551">
        <v>0.99880009999999997</v>
      </c>
      <c r="AB7551">
        <v>20</v>
      </c>
      <c r="AC7551">
        <v>0.72010000000000196</v>
      </c>
      <c r="AD7551">
        <v>-9.0537000000000006E-2</v>
      </c>
      <c r="AE7551">
        <v>-3.9249999999995497E-2</v>
      </c>
      <c r="AF7551">
        <v>4.4423336692282801E-2</v>
      </c>
      <c r="AG7551">
        <v>-9.0537000000000006E-2</v>
      </c>
      <c r="AH7551">
        <v>0.70858791069384397</v>
      </c>
      <c r="AI7551">
        <v>97.267173413225606</v>
      </c>
      <c r="AJ7551">
        <v>86.4126640046631</v>
      </c>
      <c r="AK7551">
        <v>0.71572844598586605</v>
      </c>
      <c r="AL7551">
        <v>96.640327019324602</v>
      </c>
      <c r="AM7551">
        <v>90.090913451422495</v>
      </c>
      <c r="AN7551">
        <v>1.0000000283410699</v>
      </c>
    </row>
    <row r="7552" spans="1:40" x14ac:dyDescent="0.25">
      <c r="A7552" t="str">
        <f>"20190303154330307"</f>
        <v>20190303154330307</v>
      </c>
      <c r="B7552" t="str">
        <f>"1551599010298275"</f>
        <v>1551599010298275</v>
      </c>
      <c r="C7552" t="s">
        <v>40</v>
      </c>
      <c r="D7552">
        <v>6.1730640000000001</v>
      </c>
      <c r="E7552">
        <v>0.51973369999999997</v>
      </c>
      <c r="F7552" t="s">
        <v>42</v>
      </c>
      <c r="G7552">
        <v>-288.24040000000002</v>
      </c>
      <c r="H7552">
        <v>1.0234510000000001</v>
      </c>
      <c r="I7552">
        <v>-61.708480000000002</v>
      </c>
      <c r="J7552">
        <v>-289.03899999999999</v>
      </c>
      <c r="K7552">
        <v>1.123904</v>
      </c>
      <c r="L7552">
        <v>-61.666600000000003</v>
      </c>
      <c r="M7552">
        <v>0.99982249999999995</v>
      </c>
      <c r="N7552">
        <v>-1.5236080000000001E-2</v>
      </c>
      <c r="O7552">
        <v>1.108316E-2</v>
      </c>
      <c r="P7552">
        <v>0.99119069999999998</v>
      </c>
      <c r="Q7552">
        <v>-0.13209290000000001</v>
      </c>
      <c r="R7552">
        <v>9.6172419999999998E-3</v>
      </c>
      <c r="S7552">
        <v>2.9832459999999998</v>
      </c>
      <c r="T7552">
        <v>-0.33540799999999998</v>
      </c>
      <c r="U7552">
        <v>-0.1244812</v>
      </c>
      <c r="V7552">
        <v>2.2155479999999999E-3</v>
      </c>
      <c r="W7552">
        <v>-0.1169621</v>
      </c>
      <c r="X7552">
        <v>0.99313390000000001</v>
      </c>
      <c r="Y7552">
        <v>5.2336470000000003E-2</v>
      </c>
      <c r="Z7552">
        <v>-4.4052789999999998E-3</v>
      </c>
      <c r="AA7552">
        <v>0.99861979999999995</v>
      </c>
      <c r="AB7552">
        <v>20</v>
      </c>
      <c r="AC7552">
        <v>0.79859999999996401</v>
      </c>
      <c r="AD7552">
        <v>-0.100452999999999</v>
      </c>
      <c r="AE7552">
        <v>-4.1879999999999001E-2</v>
      </c>
      <c r="AF7552">
        <v>4.9941449125352901E-2</v>
      </c>
      <c r="AG7552">
        <v>-0.100452999999999</v>
      </c>
      <c r="AH7552">
        <v>0.78568947036229297</v>
      </c>
      <c r="AI7552">
        <v>97.271409734558105</v>
      </c>
      <c r="AJ7552">
        <v>86.362952621536095</v>
      </c>
      <c r="AK7552">
        <v>0.79365792214777298</v>
      </c>
      <c r="AL7552">
        <v>96.716808997829105</v>
      </c>
      <c r="AM7552">
        <v>89.872181043136806</v>
      </c>
      <c r="AN7552">
        <v>0.99999999240927995</v>
      </c>
    </row>
    <row r="7553" spans="1:40" x14ac:dyDescent="0.25">
      <c r="A7553" t="str">
        <f>"20190303154330317"</f>
        <v>20190303154330317</v>
      </c>
      <c r="B7553" t="str">
        <f>"1551599010308034"</f>
        <v>1551599010308034</v>
      </c>
      <c r="C7553" t="s">
        <v>40</v>
      </c>
      <c r="D7553">
        <v>6.0410170000000001</v>
      </c>
      <c r="E7553">
        <v>0.5199608</v>
      </c>
      <c r="F7553" t="s">
        <v>42</v>
      </c>
      <c r="G7553">
        <v>-288.2364</v>
      </c>
      <c r="H7553">
        <v>1.0316179999999999</v>
      </c>
      <c r="I7553">
        <v>-61.701320000000003</v>
      </c>
      <c r="J7553">
        <v>-288.93689999999998</v>
      </c>
      <c r="K7553">
        <v>1.1236930000000001</v>
      </c>
      <c r="L7553">
        <v>-61.661900000000003</v>
      </c>
      <c r="M7553">
        <v>0.99978579999999995</v>
      </c>
      <c r="N7553">
        <v>-1.5165680000000001E-2</v>
      </c>
      <c r="O7553">
        <v>1.409438E-2</v>
      </c>
      <c r="P7553">
        <v>0.99100860000000002</v>
      </c>
      <c r="Q7553">
        <v>-0.13349739999999999</v>
      </c>
      <c r="R7553">
        <v>8.9782030000000006E-3</v>
      </c>
      <c r="S7553">
        <v>2.982208</v>
      </c>
      <c r="T7553">
        <v>-0.3430762</v>
      </c>
      <c r="U7553">
        <v>-0.12863160000000001</v>
      </c>
      <c r="V7553">
        <v>5.7871600000000004E-3</v>
      </c>
      <c r="W7553">
        <v>-0.1184161</v>
      </c>
      <c r="X7553">
        <v>0.99294720000000003</v>
      </c>
      <c r="Y7553">
        <v>5.6678819999999998E-2</v>
      </c>
      <c r="Z7553">
        <v>-5.081988E-3</v>
      </c>
      <c r="AA7553">
        <v>0.99837949999999998</v>
      </c>
      <c r="AB7553">
        <v>20</v>
      </c>
      <c r="AC7553">
        <v>0.70049999999997603</v>
      </c>
      <c r="AD7553">
        <v>-9.2075000000000101E-2</v>
      </c>
      <c r="AE7553">
        <v>-3.94199999999926E-2</v>
      </c>
      <c r="AF7553">
        <v>4.8455804854076599E-2</v>
      </c>
      <c r="AG7553">
        <v>-9.2075000000000101E-2</v>
      </c>
      <c r="AH7553">
        <v>0.688025281994737</v>
      </c>
      <c r="AI7553">
        <v>97.603708552004306</v>
      </c>
      <c r="AJ7553">
        <v>85.971461205570094</v>
      </c>
      <c r="AK7553">
        <v>0.69584808637589401</v>
      </c>
      <c r="AL7553">
        <v>96.800699999304001</v>
      </c>
      <c r="AM7553">
        <v>89.666068760755493</v>
      </c>
      <c r="AN7553">
        <v>1.00000000297395</v>
      </c>
    </row>
    <row r="7554" spans="1:40" x14ac:dyDescent="0.25">
      <c r="A7554" t="str">
        <f>"20190303154330328"</f>
        <v>20190303154330328</v>
      </c>
      <c r="B7554" t="str">
        <f>"1551599010317794"</f>
        <v>1551599010317794</v>
      </c>
      <c r="C7554" t="s">
        <v>40</v>
      </c>
      <c r="D7554">
        <v>6.186553</v>
      </c>
      <c r="E7554">
        <v>0.51944029999999997</v>
      </c>
      <c r="F7554" t="s">
        <v>42</v>
      </c>
      <c r="G7554">
        <v>-288.06049999999999</v>
      </c>
      <c r="H7554">
        <v>1.0220629999999999</v>
      </c>
      <c r="I7554">
        <v>-61.700980000000001</v>
      </c>
      <c r="J7554">
        <v>-288.84379999999999</v>
      </c>
      <c r="K7554">
        <v>1.1234999999999999</v>
      </c>
      <c r="L7554">
        <v>-61.657499999999999</v>
      </c>
      <c r="M7554">
        <v>0.99974810000000003</v>
      </c>
      <c r="N7554">
        <v>-1.5106069999999999E-2</v>
      </c>
      <c r="O7554">
        <v>1.6603679999999999E-2</v>
      </c>
      <c r="P7554">
        <v>0.99083569999999999</v>
      </c>
      <c r="Q7554">
        <v>-0.1348395</v>
      </c>
      <c r="R7554">
        <v>7.9481540000000007E-3</v>
      </c>
      <c r="S7554">
        <v>2.9818419999999999</v>
      </c>
      <c r="T7554">
        <v>-0.34608650000000002</v>
      </c>
      <c r="U7554">
        <v>-0.13235469999999999</v>
      </c>
      <c r="V7554">
        <v>9.2565930000000005E-3</v>
      </c>
      <c r="W7554">
        <v>-0.1198009</v>
      </c>
      <c r="X7554">
        <v>0.99275480000000005</v>
      </c>
      <c r="Y7554">
        <v>6.0384449999999999E-2</v>
      </c>
      <c r="Z7554">
        <v>-5.6187490000000001E-3</v>
      </c>
      <c r="AA7554">
        <v>0.99815940000000003</v>
      </c>
      <c r="AB7554">
        <v>20</v>
      </c>
      <c r="AC7554">
        <v>0.783299999999997</v>
      </c>
      <c r="AD7554">
        <v>-0.101437</v>
      </c>
      <c r="AE7554">
        <v>-4.3480000000002399E-2</v>
      </c>
      <c r="AF7554">
        <v>5.5552391336252102E-2</v>
      </c>
      <c r="AG7554">
        <v>-0.101437</v>
      </c>
      <c r="AH7554">
        <v>0.769603281449312</v>
      </c>
      <c r="AI7554">
        <v>97.4892839791695</v>
      </c>
      <c r="AJ7554">
        <v>85.871370664738194</v>
      </c>
      <c r="AK7554">
        <v>0.77824465559984801</v>
      </c>
      <c r="AL7554">
        <v>96.880611982008801</v>
      </c>
      <c r="AM7554">
        <v>89.465781135002004</v>
      </c>
      <c r="AN7554">
        <v>1.0000000165389</v>
      </c>
    </row>
    <row r="7555" spans="1:40" x14ac:dyDescent="0.25">
      <c r="A7555" t="str">
        <f>"20190303154330340"</f>
        <v>20190303154330340</v>
      </c>
      <c r="B7555" t="str">
        <f>"1551599010327555"</f>
        <v>1551599010327555</v>
      </c>
      <c r="C7555" t="s">
        <v>40</v>
      </c>
      <c r="D7555">
        <v>6.1337989999999998</v>
      </c>
      <c r="E7555">
        <v>0.51944029999999997</v>
      </c>
      <c r="F7555" t="s">
        <v>42</v>
      </c>
      <c r="G7555">
        <v>-288.05590000000001</v>
      </c>
      <c r="H7555">
        <v>1.0315160000000001</v>
      </c>
      <c r="I7555">
        <v>-61.692390000000003</v>
      </c>
      <c r="J7555">
        <v>-288.74209999999999</v>
      </c>
      <c r="K7555">
        <v>1.123291</v>
      </c>
      <c r="L7555">
        <v>-61.652650000000001</v>
      </c>
      <c r="M7555">
        <v>0.99970179999999997</v>
      </c>
      <c r="N7555">
        <v>-1.504371E-2</v>
      </c>
      <c r="O7555">
        <v>1.923443E-2</v>
      </c>
      <c r="P7555">
        <v>0.99063369999999995</v>
      </c>
      <c r="Q7555">
        <v>-0.13639179999999901</v>
      </c>
      <c r="R7555">
        <v>6.48374E-3</v>
      </c>
      <c r="S7555">
        <v>2.9813230000000002</v>
      </c>
      <c r="T7555">
        <v>-0.34838439999999998</v>
      </c>
      <c r="U7555">
        <v>-0.1312866</v>
      </c>
      <c r="V7555">
        <v>1.327386E-2</v>
      </c>
      <c r="W7555">
        <v>-0.12139999999999999</v>
      </c>
      <c r="X7555">
        <v>0.99251489999999998</v>
      </c>
      <c r="Y7555">
        <v>6.2623799999999993E-2</v>
      </c>
      <c r="Z7555">
        <v>-6.0686459999999996E-3</v>
      </c>
      <c r="AA7555">
        <v>0.99801870000000004</v>
      </c>
      <c r="AB7555">
        <v>20</v>
      </c>
      <c r="AC7555">
        <v>0.68619999999998504</v>
      </c>
      <c r="AD7555">
        <v>-9.1775000000000106E-2</v>
      </c>
      <c r="AE7555">
        <v>-3.9740000000001802E-2</v>
      </c>
      <c r="AF7555">
        <v>5.2005669392520298E-2</v>
      </c>
      <c r="AG7555">
        <v>-9.1775000000000106E-2</v>
      </c>
      <c r="AH7555">
        <v>0.67330513878335996</v>
      </c>
      <c r="AI7555">
        <v>97.7391091145508</v>
      </c>
      <c r="AJ7555">
        <v>85.583279030672301</v>
      </c>
      <c r="AK7555">
        <v>0.68151819505134603</v>
      </c>
      <c r="AL7555">
        <v>96.972907502310207</v>
      </c>
      <c r="AM7555">
        <v>89.233773904251606</v>
      </c>
      <c r="AN7555">
        <v>0.99999999104065396</v>
      </c>
    </row>
    <row r="7556" spans="1:40" x14ac:dyDescent="0.25">
      <c r="A7556" t="str">
        <f>"20190303154330350"</f>
        <v>20190303154330350</v>
      </c>
      <c r="B7556" t="str">
        <f>"1551599010348051"</f>
        <v>1551599010348051</v>
      </c>
      <c r="C7556" t="s">
        <v>40</v>
      </c>
      <c r="D7556">
        <v>6.1016469999999998</v>
      </c>
      <c r="E7556">
        <v>0.48332589999999997</v>
      </c>
      <c r="F7556" t="s">
        <v>42</v>
      </c>
      <c r="G7556">
        <v>-287.88060000000002</v>
      </c>
      <c r="H7556">
        <v>1.0212760000000001</v>
      </c>
      <c r="I7556">
        <v>-61.691879999999998</v>
      </c>
      <c r="J7556">
        <v>-288.63819999999998</v>
      </c>
      <c r="K7556">
        <v>1.123073</v>
      </c>
      <c r="L7556">
        <v>-61.64761</v>
      </c>
      <c r="M7556">
        <v>0.99965210000000004</v>
      </c>
      <c r="N7556">
        <v>-1.498412E-2</v>
      </c>
      <c r="O7556">
        <v>2.1707899999999999E-2</v>
      </c>
      <c r="P7556">
        <v>0.99046310000000004</v>
      </c>
      <c r="Q7556">
        <v>-0.13767689999999999</v>
      </c>
      <c r="R7556">
        <v>5.296785E-3</v>
      </c>
      <c r="S7556">
        <v>2.9806819999999998</v>
      </c>
      <c r="T7556">
        <v>-0.35302159999999999</v>
      </c>
      <c r="U7556">
        <v>-0.13565060000000001</v>
      </c>
      <c r="V7556">
        <v>1.6853139999999999E-2</v>
      </c>
      <c r="W7556">
        <v>-0.1227351</v>
      </c>
      <c r="X7556">
        <v>0.99229630000000002</v>
      </c>
      <c r="Y7556">
        <v>6.6501359999999995E-2</v>
      </c>
      <c r="Z7556">
        <v>-6.6596329999999999E-3</v>
      </c>
      <c r="AA7556">
        <v>0.99776410000000004</v>
      </c>
      <c r="AB7556">
        <v>20</v>
      </c>
      <c r="AC7556">
        <v>0.75759999999996797</v>
      </c>
      <c r="AD7556">
        <v>-0.101796999999999</v>
      </c>
      <c r="AE7556">
        <v>-4.4270000000004403E-2</v>
      </c>
      <c r="AF7556">
        <v>5.9634301749880297E-2</v>
      </c>
      <c r="AG7556">
        <v>-0.101796999999999</v>
      </c>
      <c r="AH7556">
        <v>0.74308972017129504</v>
      </c>
      <c r="AI7556">
        <v>97.775790166996799</v>
      </c>
      <c r="AJ7556">
        <v>85.411742612524705</v>
      </c>
      <c r="AK7556">
        <v>0.75239697725233401</v>
      </c>
      <c r="AL7556">
        <v>97.049979825536994</v>
      </c>
      <c r="AM7556">
        <v>89.026983206474299</v>
      </c>
      <c r="AN7556">
        <v>0.99999994004677795</v>
      </c>
    </row>
    <row r="7557" spans="1:40" x14ac:dyDescent="0.25">
      <c r="A7557" t="str">
        <f>"20190303154330362"</f>
        <v>20190303154330362</v>
      </c>
      <c r="B7557" t="str">
        <f>"1551599010357811"</f>
        <v>1551599010357811</v>
      </c>
      <c r="C7557" t="s">
        <v>40</v>
      </c>
      <c r="D7557">
        <v>6.1698700000000004</v>
      </c>
      <c r="E7557">
        <v>0.4839483</v>
      </c>
      <c r="F7557" t="s">
        <v>42</v>
      </c>
      <c r="G7557">
        <v>-287.88630000000001</v>
      </c>
      <c r="H7557">
        <v>1.010651</v>
      </c>
      <c r="I7557">
        <v>-61.609909999999999</v>
      </c>
      <c r="J7557">
        <v>-288.54180000000002</v>
      </c>
      <c r="K7557">
        <v>1.122871</v>
      </c>
      <c r="L7557">
        <v>-61.642940000000003</v>
      </c>
      <c r="M7557">
        <v>0.99960490000000002</v>
      </c>
      <c r="N7557">
        <v>-1.4932040000000001E-2</v>
      </c>
      <c r="O7557">
        <v>2.3817959999999999E-2</v>
      </c>
      <c r="P7557">
        <v>0.99027710000000002</v>
      </c>
      <c r="Q7557">
        <v>-0.13906489999999999</v>
      </c>
      <c r="R7557">
        <v>3.523797E-3</v>
      </c>
      <c r="S7557">
        <v>2.9664609999999998</v>
      </c>
      <c r="T7557">
        <v>-0.4436002</v>
      </c>
      <c r="U7557">
        <v>0.14889530000000001</v>
      </c>
      <c r="V7557">
        <v>2.065931E-2</v>
      </c>
      <c r="W7557">
        <v>-0.1241683</v>
      </c>
      <c r="X7557">
        <v>0.99204610000000004</v>
      </c>
      <c r="Y7557">
        <v>-2.6218669999999999E-2</v>
      </c>
      <c r="Z7557">
        <v>-1.039903E-3</v>
      </c>
      <c r="AA7557">
        <v>0.99965570000000004</v>
      </c>
      <c r="AB7557">
        <v>20</v>
      </c>
      <c r="AC7557">
        <v>0.65550000000001696</v>
      </c>
      <c r="AD7557">
        <v>-0.11222</v>
      </c>
      <c r="AE7557">
        <v>3.3030000000003598E-2</v>
      </c>
      <c r="AF7557">
        <v>-1.69118095704805E-2</v>
      </c>
      <c r="AG7557">
        <v>-0.11222</v>
      </c>
      <c r="AH7557">
        <v>0.63746490686326596</v>
      </c>
      <c r="AI7557">
        <v>99.980670252781707</v>
      </c>
      <c r="AJ7557">
        <v>91.519688482668698</v>
      </c>
      <c r="AK7557">
        <v>0.64748810428079695</v>
      </c>
      <c r="AL7557">
        <v>97.132728565942003</v>
      </c>
      <c r="AM7557">
        <v>88.806990722169203</v>
      </c>
      <c r="AN7557">
        <v>1.0000000191698799</v>
      </c>
    </row>
    <row r="7558" spans="1:40" x14ac:dyDescent="0.25">
      <c r="A7558" t="str">
        <f>"20190303154330372"</f>
        <v>20190303154330372</v>
      </c>
      <c r="B7558" t="str">
        <f>"1551599010367570"</f>
        <v>1551599010367570</v>
      </c>
      <c r="C7558" t="s">
        <v>40</v>
      </c>
      <c r="D7558">
        <v>6.1412529999999999</v>
      </c>
      <c r="E7558">
        <v>0.48397790000000002</v>
      </c>
      <c r="F7558" t="s">
        <v>42</v>
      </c>
      <c r="G7558">
        <v>-287.7124</v>
      </c>
      <c r="H7558">
        <v>0.99819270000000004</v>
      </c>
      <c r="I7558">
        <v>-61.6044699999999</v>
      </c>
      <c r="J7558">
        <v>-288.44470000000001</v>
      </c>
      <c r="K7558">
        <v>1.1226579999999999</v>
      </c>
      <c r="L7558">
        <v>-61.638210000000001</v>
      </c>
      <c r="M7558">
        <v>0.99955609999999995</v>
      </c>
      <c r="N7558">
        <v>-1.488212E-2</v>
      </c>
      <c r="O7558">
        <v>2.58065E-2</v>
      </c>
      <c r="P7558">
        <v>0.99012829999999996</v>
      </c>
      <c r="Q7558">
        <v>-0.14014749999999901</v>
      </c>
      <c r="R7558">
        <v>2.1342790000000002E-3</v>
      </c>
      <c r="S7558">
        <v>2.9663089999999999</v>
      </c>
      <c r="T7558">
        <v>-0.44611450000000002</v>
      </c>
      <c r="U7558">
        <v>0.1386414</v>
      </c>
      <c r="V7558">
        <v>2.3957470000000002E-2</v>
      </c>
      <c r="W7558">
        <v>-0.12529949999999901</v>
      </c>
      <c r="X7558">
        <v>0.99182959999999998</v>
      </c>
      <c r="Y7558">
        <v>-2.0868319999999999E-2</v>
      </c>
      <c r="Z7558">
        <v>-1.7584899999999999E-3</v>
      </c>
      <c r="AA7558">
        <v>0.99978069999999997</v>
      </c>
      <c r="AB7558">
        <v>20</v>
      </c>
      <c r="AC7558">
        <v>0.73230000000000905</v>
      </c>
      <c r="AD7558">
        <v>-0.1244653</v>
      </c>
      <c r="AE7558">
        <v>3.3740000000008701E-2</v>
      </c>
      <c r="AF7558">
        <v>-1.44130820516665E-2</v>
      </c>
      <c r="AG7558">
        <v>-0.1244653</v>
      </c>
      <c r="AH7558">
        <v>0.712390863940213</v>
      </c>
      <c r="AI7558">
        <v>99.908407706367697</v>
      </c>
      <c r="AJ7558">
        <v>91.159049285718694</v>
      </c>
      <c r="AK7558">
        <v>0.72332571561074799</v>
      </c>
      <c r="AL7558">
        <v>97.198052283897496</v>
      </c>
      <c r="AM7558">
        <v>88.616299564135105</v>
      </c>
      <c r="AN7558">
        <v>0.99999994025260297</v>
      </c>
    </row>
    <row r="7559" spans="1:40" x14ac:dyDescent="0.25">
      <c r="A7559" t="str">
        <f>"20190303154330385"</f>
        <v>20190303154330385</v>
      </c>
      <c r="B7559" t="str">
        <f>"1551599010378307"</f>
        <v>1551599010378307</v>
      </c>
      <c r="C7559" t="s">
        <v>40</v>
      </c>
      <c r="D7559">
        <v>6.1554479999999998</v>
      </c>
      <c r="E7559">
        <v>0.48385489999999998</v>
      </c>
      <c r="F7559" t="s">
        <v>42</v>
      </c>
      <c r="G7559">
        <v>-287.70600000000002</v>
      </c>
      <c r="H7559">
        <v>1.011371</v>
      </c>
      <c r="I7559">
        <v>-61.605080000000001</v>
      </c>
      <c r="J7559">
        <v>-288.33580000000001</v>
      </c>
      <c r="K7559">
        <v>1.1224080000000001</v>
      </c>
      <c r="L7559">
        <v>-61.632899999999999</v>
      </c>
      <c r="M7559">
        <v>0.99950490000000003</v>
      </c>
      <c r="N7559">
        <v>-1.483021E-2</v>
      </c>
      <c r="O7559">
        <v>2.7749800000000002E-2</v>
      </c>
      <c r="P7559">
        <v>0.98992270000000004</v>
      </c>
      <c r="Q7559">
        <v>-0.14160690000000001</v>
      </c>
      <c r="R7559">
        <v>8.2431589999999895E-4</v>
      </c>
      <c r="S7559">
        <v>2.9663390000000001</v>
      </c>
      <c r="T7559">
        <v>-0.44708540000000002</v>
      </c>
      <c r="U7559">
        <v>0.134246799999999</v>
      </c>
      <c r="V7559">
        <v>2.7117570000000001E-2</v>
      </c>
      <c r="W7559">
        <v>-0.1268166</v>
      </c>
      <c r="X7559">
        <v>0.99155550000000003</v>
      </c>
      <c r="Y7559">
        <v>-1.7505730000000001E-2</v>
      </c>
      <c r="Z7559">
        <v>-2.3045969999999998E-3</v>
      </c>
      <c r="AA7559">
        <v>0.99984410000000001</v>
      </c>
      <c r="AB7559">
        <v>20</v>
      </c>
      <c r="AC7559">
        <v>0.62980000000004499</v>
      </c>
      <c r="AD7559">
        <v>-0.111037</v>
      </c>
      <c r="AE7559">
        <v>2.7819999999991199E-2</v>
      </c>
      <c r="AF7559">
        <v>-1.00196973104435E-2</v>
      </c>
      <c r="AG7559">
        <v>-0.111037</v>
      </c>
      <c r="AH7559">
        <v>0.61136318589795802</v>
      </c>
      <c r="AI7559">
        <v>100.292612314102</v>
      </c>
      <c r="AJ7559">
        <v>90.938942659610902</v>
      </c>
      <c r="AK7559">
        <v>0.621445536450697</v>
      </c>
      <c r="AL7559">
        <v>97.285673815557303</v>
      </c>
      <c r="AM7559">
        <v>88.433436029492199</v>
      </c>
      <c r="AN7559">
        <v>1.0000000611092501</v>
      </c>
    </row>
    <row r="7560" spans="1:40" x14ac:dyDescent="0.25">
      <c r="A7560" t="str">
        <f>"20190303154330394"</f>
        <v>20190303154330394</v>
      </c>
      <c r="B7560" t="str">
        <f>"1551599010388067"</f>
        <v>1551599010388067</v>
      </c>
      <c r="C7560" t="s">
        <v>40</v>
      </c>
      <c r="D7560">
        <v>6.1324329999999998</v>
      </c>
      <c r="E7560">
        <v>0.48356529999999998</v>
      </c>
      <c r="F7560" t="s">
        <v>42</v>
      </c>
      <c r="G7560">
        <v>-287.53140000000002</v>
      </c>
      <c r="H7560">
        <v>1.000494</v>
      </c>
      <c r="I7560">
        <v>-61.597299999999997</v>
      </c>
      <c r="J7560">
        <v>-288.24329999999998</v>
      </c>
      <c r="K7560">
        <v>1.1221950000000001</v>
      </c>
      <c r="L7560">
        <v>-61.628390000000003</v>
      </c>
      <c r="M7560">
        <v>0.99946089999999999</v>
      </c>
      <c r="N7560">
        <v>-1.478783E-2</v>
      </c>
      <c r="O7560">
        <v>2.931746E-2</v>
      </c>
      <c r="P7560">
        <v>0.98974280000000003</v>
      </c>
      <c r="Q7560">
        <v>-0.14286109999999999</v>
      </c>
      <c r="R7560">
        <v>-5.4274640000000001E-4</v>
      </c>
      <c r="S7560">
        <v>2.9661249999999999</v>
      </c>
      <c r="T7560">
        <v>-0.4495326</v>
      </c>
      <c r="U7560">
        <v>0.1312866</v>
      </c>
      <c r="V7560">
        <v>2.997033E-2</v>
      </c>
      <c r="W7560">
        <v>-0.12812109999999999</v>
      </c>
      <c r="X7560">
        <v>0.99130560000000001</v>
      </c>
      <c r="Y7560">
        <v>-1.4991910000000001E-2</v>
      </c>
      <c r="Z7560">
        <v>-2.7427689999999999E-3</v>
      </c>
      <c r="AA7560">
        <v>0.99988379999999999</v>
      </c>
      <c r="AB7560">
        <v>20</v>
      </c>
      <c r="AC7560">
        <v>0.71189999999995701</v>
      </c>
      <c r="AD7560">
        <v>-0.121701</v>
      </c>
      <c r="AE7560">
        <v>3.1090000000006002E-2</v>
      </c>
      <c r="AF7560">
        <v>-9.9140695124350694E-3</v>
      </c>
      <c r="AG7560">
        <v>-0.121701</v>
      </c>
      <c r="AH7560">
        <v>0.69231141293299303</v>
      </c>
      <c r="AI7560">
        <v>99.969122662840704</v>
      </c>
      <c r="AJ7560">
        <v>90.820433559523494</v>
      </c>
      <c r="AK7560">
        <v>0.70299680984523305</v>
      </c>
      <c r="AL7560">
        <v>97.361031223604499</v>
      </c>
      <c r="AM7560">
        <v>88.268293334896299</v>
      </c>
      <c r="AN7560">
        <v>1.00000001476843</v>
      </c>
    </row>
    <row r="7561" spans="1:40" x14ac:dyDescent="0.25">
      <c r="A7561" t="str">
        <f>"20190303154330406"</f>
        <v>20190303154330406</v>
      </c>
      <c r="B7561" t="str">
        <f>"1551599010397826"</f>
        <v>1551599010397826</v>
      </c>
      <c r="C7561" t="s">
        <v>40</v>
      </c>
      <c r="D7561">
        <v>6.1181279999999996</v>
      </c>
      <c r="E7561">
        <v>0.48326560000000002</v>
      </c>
      <c r="F7561" t="s">
        <v>42</v>
      </c>
      <c r="G7561">
        <v>-287.52550000000002</v>
      </c>
      <c r="H7561">
        <v>1.0126729999999999</v>
      </c>
      <c r="I7561">
        <v>-61.597050000000003</v>
      </c>
      <c r="J7561">
        <v>-288.14109999999999</v>
      </c>
      <c r="K7561">
        <v>1.1219520000000001</v>
      </c>
      <c r="L7561">
        <v>-61.623570000000001</v>
      </c>
      <c r="M7561">
        <v>0.99941970000000002</v>
      </c>
      <c r="N7561">
        <v>-1.4745970000000001E-2</v>
      </c>
      <c r="O7561">
        <v>3.070548E-2</v>
      </c>
      <c r="P7561">
        <v>0.98962059999999996</v>
      </c>
      <c r="Q7561">
        <v>-0.14369760000000001</v>
      </c>
      <c r="R7561">
        <v>-1.4733470000000001E-3</v>
      </c>
      <c r="S7561">
        <v>2.965881</v>
      </c>
      <c r="T7561">
        <v>-0.45253110000000002</v>
      </c>
      <c r="U7561">
        <v>0.12948609999999999</v>
      </c>
      <c r="V7561">
        <v>3.2197700000000003E-2</v>
      </c>
      <c r="W7561">
        <v>-0.1290135</v>
      </c>
      <c r="X7561">
        <v>0.99112</v>
      </c>
      <c r="Y7561">
        <v>-1.304072E-2</v>
      </c>
      <c r="Z7561">
        <v>-3.118689E-3</v>
      </c>
      <c r="AA7561">
        <v>0.99991010000000002</v>
      </c>
      <c r="AB7561">
        <v>20</v>
      </c>
      <c r="AC7561">
        <v>0.61559999999997195</v>
      </c>
      <c r="AD7561">
        <v>-0.109279</v>
      </c>
      <c r="AE7561">
        <v>2.65199999999907E-2</v>
      </c>
      <c r="AF7561">
        <v>-7.3712896893435602E-3</v>
      </c>
      <c r="AG7561">
        <v>-0.109279</v>
      </c>
      <c r="AH7561">
        <v>0.59733568114061697</v>
      </c>
      <c r="AI7561">
        <v>100.366504345419</v>
      </c>
      <c r="AJ7561">
        <v>90.707010087518896</v>
      </c>
      <c r="AK7561">
        <v>0.607294122906198</v>
      </c>
      <c r="AL7561">
        <v>97.412589874811701</v>
      </c>
      <c r="AM7561">
        <v>88.139333519242896</v>
      </c>
      <c r="AN7561">
        <v>1.00000001473377</v>
      </c>
    </row>
    <row r="7562" spans="1:40" x14ac:dyDescent="0.25">
      <c r="A7562" t="str">
        <f>"20190303154330418"</f>
        <v>20190303154330418</v>
      </c>
      <c r="B7562" t="str">
        <f>"1551599010407587"</f>
        <v>1551599010407587</v>
      </c>
      <c r="C7562" t="s">
        <v>40</v>
      </c>
      <c r="D7562">
        <v>6.1171150000000001</v>
      </c>
      <c r="E7562">
        <v>0.48317179999999998</v>
      </c>
      <c r="F7562" t="s">
        <v>42</v>
      </c>
      <c r="G7562">
        <v>-287.35120000000001</v>
      </c>
      <c r="H7562">
        <v>1.0011650000000001</v>
      </c>
      <c r="I7562">
        <v>-61.589469999999999</v>
      </c>
      <c r="J7562">
        <v>-288.03750000000002</v>
      </c>
      <c r="K7562">
        <v>1.1217029999999999</v>
      </c>
      <c r="L7562">
        <v>-61.61871</v>
      </c>
      <c r="M7562">
        <v>0.99937929999999997</v>
      </c>
      <c r="N7562">
        <v>-1.4705589999999999E-2</v>
      </c>
      <c r="O7562">
        <v>3.2017039999999997E-2</v>
      </c>
      <c r="P7562">
        <v>0.98959920000000001</v>
      </c>
      <c r="Q7562">
        <v>-0.14383969999999999</v>
      </c>
      <c r="R7562">
        <v>-1.977688E-3</v>
      </c>
      <c r="S7562">
        <v>2.9657900000000001</v>
      </c>
      <c r="T7562">
        <v>-0.45359899999999997</v>
      </c>
      <c r="U7562">
        <v>0.1290588</v>
      </c>
      <c r="V7562">
        <v>3.3922109999999998E-2</v>
      </c>
      <c r="W7562">
        <v>-0.12921240000000001</v>
      </c>
      <c r="X7562">
        <v>0.99103649999999999</v>
      </c>
      <c r="Y7562">
        <v>-1.1617580000000001E-2</v>
      </c>
      <c r="Z7562">
        <v>-3.4275690000000001E-3</v>
      </c>
      <c r="AA7562">
        <v>0.9999266</v>
      </c>
      <c r="AB7562">
        <v>20</v>
      </c>
      <c r="AC7562">
        <v>0.68630000000001701</v>
      </c>
      <c r="AD7562">
        <v>-0.12053800000000001</v>
      </c>
      <c r="AE7562">
        <v>2.92400000000014E-2</v>
      </c>
      <c r="AF7562">
        <v>-7.0327880352361897E-3</v>
      </c>
      <c r="AG7562">
        <v>-0.12053800000000001</v>
      </c>
      <c r="AH7562">
        <v>0.66636587752118404</v>
      </c>
      <c r="AI7562">
        <v>100.25272318820799</v>
      </c>
      <c r="AJ7562">
        <v>90.604673988113305</v>
      </c>
      <c r="AK7562">
        <v>0.67721662138205596</v>
      </c>
      <c r="AL7562">
        <v>97.424082687208198</v>
      </c>
      <c r="AM7562">
        <v>88.039592671051494</v>
      </c>
      <c r="AN7562">
        <v>0.99999994909642898</v>
      </c>
    </row>
    <row r="7563" spans="1:40" x14ac:dyDescent="0.25">
      <c r="A7563" t="str">
        <f>"20190303154330430"</f>
        <v>20190303154330430</v>
      </c>
      <c r="B7563" t="str">
        <f>"1551599010418324"</f>
        <v>1551599010418324</v>
      </c>
      <c r="C7563" t="s">
        <v>40</v>
      </c>
      <c r="D7563">
        <v>6.13347</v>
      </c>
      <c r="E7563">
        <v>0.48271199999999997</v>
      </c>
      <c r="F7563" t="s">
        <v>42</v>
      </c>
      <c r="G7563">
        <v>-287.17660000000001</v>
      </c>
      <c r="H7563">
        <v>0.99024429999999997</v>
      </c>
      <c r="I7563">
        <v>-61.5815699999999</v>
      </c>
      <c r="J7563">
        <v>-287.92529999999999</v>
      </c>
      <c r="K7563">
        <v>1.1214360000000001</v>
      </c>
      <c r="L7563">
        <v>-61.613619999999997</v>
      </c>
      <c r="M7563">
        <v>0.99934400000000001</v>
      </c>
      <c r="N7563">
        <v>-1.4666719999999999E-2</v>
      </c>
      <c r="O7563">
        <v>3.3111740000000001E-2</v>
      </c>
      <c r="P7563">
        <v>0.9896433</v>
      </c>
      <c r="Q7563">
        <v>-0.1435283</v>
      </c>
      <c r="R7563">
        <v>-2.4150159999999999E-3</v>
      </c>
      <c r="S7563">
        <v>2.965973</v>
      </c>
      <c r="T7563">
        <v>-0.45283679999999898</v>
      </c>
      <c r="U7563">
        <v>0.12829589999999999</v>
      </c>
      <c r="V7563">
        <v>3.5358309999999997E-2</v>
      </c>
      <c r="W7563">
        <v>-0.12895999999999999</v>
      </c>
      <c r="X7563">
        <v>0.99101919999999999</v>
      </c>
      <c r="Y7563">
        <v>-1.028956E-2</v>
      </c>
      <c r="Z7563">
        <v>-3.6827470000000001E-3</v>
      </c>
      <c r="AA7563">
        <v>0.9999403</v>
      </c>
      <c r="AB7563">
        <v>20</v>
      </c>
      <c r="AC7563">
        <v>0.74869999999998504</v>
      </c>
      <c r="AD7563">
        <v>-0.13119169999999999</v>
      </c>
      <c r="AE7563">
        <v>3.2050000000005199E-2</v>
      </c>
      <c r="AF7563">
        <v>-7.0237311406857704E-3</v>
      </c>
      <c r="AG7563">
        <v>-0.13119169999999999</v>
      </c>
      <c r="AH7563">
        <v>0.727067555514192</v>
      </c>
      <c r="AI7563">
        <v>100.227895438598</v>
      </c>
      <c r="AJ7563">
        <v>90.553480388242903</v>
      </c>
      <c r="AK7563">
        <v>0.73884221944161299</v>
      </c>
      <c r="AL7563">
        <v>97.409499037462595</v>
      </c>
      <c r="AM7563">
        <v>87.956625906597196</v>
      </c>
      <c r="AN7563">
        <v>0.99999997322734702</v>
      </c>
    </row>
    <row r="7564" spans="1:40" x14ac:dyDescent="0.25">
      <c r="A7564" t="str">
        <f>"20190303154330443"</f>
        <v>20190303154330443</v>
      </c>
      <c r="B7564" t="str">
        <f>"1551599010437843"</f>
        <v>1551599010437843</v>
      </c>
      <c r="C7564" t="s">
        <v>40</v>
      </c>
      <c r="D7564">
        <v>6.0599619999999996</v>
      </c>
      <c r="E7564">
        <v>0.48447170000000001</v>
      </c>
      <c r="F7564" t="s">
        <v>42</v>
      </c>
      <c r="G7564">
        <v>-287.16860000000003</v>
      </c>
      <c r="H7564">
        <v>1.0066919999999999</v>
      </c>
      <c r="I7564">
        <v>-61.580390000000001</v>
      </c>
      <c r="J7564">
        <v>-287.81560000000002</v>
      </c>
      <c r="K7564">
        <v>1.121191</v>
      </c>
      <c r="L7564">
        <v>-61.608800000000002</v>
      </c>
      <c r="M7564">
        <v>0.99931559999999997</v>
      </c>
      <c r="N7564">
        <v>-1.4632630000000001E-2</v>
      </c>
      <c r="O7564">
        <v>3.3977159999999999E-2</v>
      </c>
      <c r="P7564">
        <v>0.9897416</v>
      </c>
      <c r="Q7564">
        <v>-0.142844</v>
      </c>
      <c r="R7564">
        <v>-2.7283310000000001E-3</v>
      </c>
      <c r="S7564">
        <v>2.9664920000000001</v>
      </c>
      <c r="T7564">
        <v>-0.44977470000000003</v>
      </c>
      <c r="U7564">
        <v>0.13064580000000001</v>
      </c>
      <c r="V7564">
        <v>3.6450860000000002E-2</v>
      </c>
      <c r="W7564">
        <v>-0.12832979999999999</v>
      </c>
      <c r="X7564">
        <v>0.99106139999999998</v>
      </c>
      <c r="Y7564">
        <v>-1.0212789999999999E-2</v>
      </c>
      <c r="Z7564">
        <v>-3.7788969999999998E-3</v>
      </c>
      <c r="AA7564">
        <v>0.99994070000000002</v>
      </c>
      <c r="AB7564">
        <v>20</v>
      </c>
      <c r="AC7564">
        <v>0.64699999999999103</v>
      </c>
      <c r="AD7564">
        <v>-0.114499</v>
      </c>
      <c r="AE7564">
        <v>2.84100000000009E-2</v>
      </c>
      <c r="AF7564">
        <v>-6.2137896707672802E-3</v>
      </c>
      <c r="AG7564">
        <v>-0.114499</v>
      </c>
      <c r="AH7564">
        <v>0.62796300740511302</v>
      </c>
      <c r="AI7564">
        <v>100.332956761864</v>
      </c>
      <c r="AJ7564">
        <v>90.566931968105806</v>
      </c>
      <c r="AK7564">
        <v>0.63834643482387099</v>
      </c>
      <c r="AL7564">
        <v>97.373088859207002</v>
      </c>
      <c r="AM7564">
        <v>87.893632546551302</v>
      </c>
      <c r="AN7564">
        <v>0.99999995066636804</v>
      </c>
    </row>
    <row r="7565" spans="1:40" x14ac:dyDescent="0.25">
      <c r="A7565" t="str">
        <f>"20190303154330464"</f>
        <v>20190303154330464</v>
      </c>
      <c r="B7565" t="str">
        <f>"1551599010458339"</f>
        <v>1551599010458339</v>
      </c>
      <c r="C7565" t="s">
        <v>40</v>
      </c>
      <c r="D7565">
        <v>6.1208390000000001</v>
      </c>
      <c r="E7565">
        <v>0.48447170000000001</v>
      </c>
      <c r="F7565" t="s">
        <v>42</v>
      </c>
      <c r="G7565">
        <v>-286.98399999999998</v>
      </c>
      <c r="H7565">
        <v>1.016575</v>
      </c>
      <c r="I7565">
        <v>-61.576680000000003</v>
      </c>
      <c r="J7565">
        <v>-287.61919999999998</v>
      </c>
      <c r="K7565">
        <v>1.120803</v>
      </c>
      <c r="L7565">
        <v>-61.600589999999997</v>
      </c>
      <c r="M7565">
        <v>0.99928119999999998</v>
      </c>
      <c r="N7565">
        <v>-1.4580559999999999E-2</v>
      </c>
      <c r="O7565">
        <v>3.4994829999999998E-2</v>
      </c>
      <c r="P7565">
        <v>0.99018050000000002</v>
      </c>
      <c r="Q7565">
        <v>-0.13977120000000001</v>
      </c>
      <c r="R7565">
        <v>-2.6193229999999998E-3</v>
      </c>
      <c r="S7565">
        <v>2.9773559999999999</v>
      </c>
      <c r="T7565">
        <v>-0.37452419999999997</v>
      </c>
      <c r="U7565">
        <v>0.1156311</v>
      </c>
      <c r="V7565">
        <v>3.7233700000000002E-2</v>
      </c>
      <c r="W7565">
        <v>-0.1253407</v>
      </c>
      <c r="X7565">
        <v>0.99141480000000004</v>
      </c>
      <c r="Y7565">
        <v>-3.9915940000000002E-3</v>
      </c>
      <c r="Z7565">
        <v>-3.5940159999999998E-3</v>
      </c>
      <c r="AA7565">
        <v>0.99998560000000003</v>
      </c>
      <c r="AB7565">
        <v>20</v>
      </c>
      <c r="AC7565">
        <v>0.63519999999994003</v>
      </c>
      <c r="AD7565">
        <v>-0.104228</v>
      </c>
      <c r="AE7565">
        <v>2.3910000000000702E-2</v>
      </c>
      <c r="AF7565">
        <v>-1.62069946871299E-3</v>
      </c>
      <c r="AG7565">
        <v>-0.104228</v>
      </c>
      <c r="AH7565">
        <v>0.61900484651471099</v>
      </c>
      <c r="AI7565">
        <v>99.557773801744403</v>
      </c>
      <c r="AJ7565">
        <v>90.150013409025902</v>
      </c>
      <c r="AK7565">
        <v>0.62772056096599904</v>
      </c>
      <c r="AL7565">
        <v>97.200431394076105</v>
      </c>
      <c r="AM7565">
        <v>87.849203262154205</v>
      </c>
      <c r="AN7565">
        <v>0.99999997257560902</v>
      </c>
    </row>
    <row r="7566" spans="1:40" x14ac:dyDescent="0.25">
      <c r="A7566" t="str">
        <f>"20190303154330473"</f>
        <v>20190303154330473</v>
      </c>
      <c r="B7566" t="str">
        <f>"1551599010468098"</f>
        <v>1551599010468098</v>
      </c>
      <c r="C7566" t="s">
        <v>40</v>
      </c>
      <c r="D7566">
        <v>6.1415360000000003</v>
      </c>
      <c r="E7566">
        <v>0.4796607</v>
      </c>
      <c r="F7566" t="s">
        <v>42</v>
      </c>
      <c r="G7566">
        <v>-286.8023</v>
      </c>
      <c r="H7566">
        <v>1.0206029999999999</v>
      </c>
      <c r="I7566">
        <v>-61.568869999999997</v>
      </c>
      <c r="J7566">
        <v>-287.53579999999999</v>
      </c>
      <c r="K7566">
        <v>1.1206499999999999</v>
      </c>
      <c r="L7566">
        <v>-61.597230000000003</v>
      </c>
      <c r="M7566">
        <v>0.99927189999999999</v>
      </c>
      <c r="N7566">
        <v>-1.456088E-2</v>
      </c>
      <c r="O7566">
        <v>3.5267949999999999E-2</v>
      </c>
      <c r="P7566">
        <v>0.99041849999999998</v>
      </c>
      <c r="Q7566">
        <v>-0.13807510000000001</v>
      </c>
      <c r="R7566">
        <v>-2.633083E-3</v>
      </c>
      <c r="S7566">
        <v>2.978485</v>
      </c>
      <c r="T7566">
        <v>-0.3653013</v>
      </c>
      <c r="U7566">
        <v>0.11596679999999999</v>
      </c>
      <c r="V7566">
        <v>3.7476669999999997E-2</v>
      </c>
      <c r="W7566">
        <v>-0.1236762</v>
      </c>
      <c r="X7566">
        <v>0.99161469999999896</v>
      </c>
      <c r="Y7566">
        <v>-3.8090020000000001E-3</v>
      </c>
      <c r="Z7566">
        <v>-3.5340010000000002E-3</v>
      </c>
      <c r="AA7566">
        <v>0.9999865</v>
      </c>
      <c r="AB7566">
        <v>20</v>
      </c>
      <c r="AC7566">
        <v>0.73349999999999205</v>
      </c>
      <c r="AD7566">
        <v>-0.100046999999999</v>
      </c>
      <c r="AE7566">
        <v>2.83600000000063E-2</v>
      </c>
      <c r="AF7566">
        <v>-2.42551438052759E-3</v>
      </c>
      <c r="AG7566">
        <v>-0.100046999999999</v>
      </c>
      <c r="AH7566">
        <v>0.72065675786205796</v>
      </c>
      <c r="AI7566">
        <v>97.903669583131105</v>
      </c>
      <c r="AJ7566">
        <v>90.192839671432495</v>
      </c>
      <c r="AK7566">
        <v>0.72757229742566698</v>
      </c>
      <c r="AL7566">
        <v>97.104314371905105</v>
      </c>
      <c r="AM7566">
        <v>87.835617453846396</v>
      </c>
      <c r="AN7566">
        <v>1.0000000082484</v>
      </c>
    </row>
    <row r="7567" spans="1:40" x14ac:dyDescent="0.25">
      <c r="A7567" t="str">
        <f>"20190303154330485"</f>
        <v>20190303154330485</v>
      </c>
      <c r="B7567" t="str">
        <f>"1551599010477858"</f>
        <v>1551599010477858</v>
      </c>
      <c r="C7567" t="s">
        <v>40</v>
      </c>
      <c r="D7567">
        <v>6.1088269999999998</v>
      </c>
      <c r="E7567">
        <v>0.47995599999999999</v>
      </c>
      <c r="F7567" t="s">
        <v>42</v>
      </c>
      <c r="G7567">
        <v>-286.80259999999998</v>
      </c>
      <c r="H7567">
        <v>1.020467</v>
      </c>
      <c r="I7567">
        <v>-61.559240000000003</v>
      </c>
      <c r="J7567">
        <v>-287.43520000000001</v>
      </c>
      <c r="K7567">
        <v>1.120479</v>
      </c>
      <c r="L7567">
        <v>-61.593440000000001</v>
      </c>
      <c r="M7567">
        <v>0.99926999999999999</v>
      </c>
      <c r="N7567">
        <v>-1.4540279999999999E-2</v>
      </c>
      <c r="O7567">
        <v>3.5331559999999998E-2</v>
      </c>
      <c r="P7567">
        <v>0.99063880000000004</v>
      </c>
      <c r="Q7567">
        <v>-0.13648070000000001</v>
      </c>
      <c r="R7567">
        <v>-2.876525E-3</v>
      </c>
      <c r="S7567">
        <v>2.9727779999999999</v>
      </c>
      <c r="T7567">
        <v>-0.40609610000000002</v>
      </c>
      <c r="U7567">
        <v>0.15435789999999999</v>
      </c>
      <c r="V7567">
        <v>3.7737779999999999E-2</v>
      </c>
      <c r="W7567">
        <v>-0.1221163</v>
      </c>
      <c r="X7567">
        <v>0.99179810000000002</v>
      </c>
      <c r="Y7567">
        <v>-1.6624340000000001E-2</v>
      </c>
      <c r="Z7567">
        <v>-3.0365739999999998E-3</v>
      </c>
      <c r="AA7567">
        <v>0.9998572</v>
      </c>
      <c r="AB7567">
        <v>20</v>
      </c>
      <c r="AC7567">
        <v>0.63260000000002403</v>
      </c>
      <c r="AD7567">
        <v>-0.100012</v>
      </c>
      <c r="AE7567">
        <v>3.4199999999998398E-2</v>
      </c>
      <c r="AF7567">
        <v>-1.15379908709193E-2</v>
      </c>
      <c r="AG7567">
        <v>-0.100012</v>
      </c>
      <c r="AH7567">
        <v>0.61801149508912101</v>
      </c>
      <c r="AI7567">
        <v>99.190835159031906</v>
      </c>
      <c r="AJ7567">
        <v>91.069561643466997</v>
      </c>
      <c r="AK7567">
        <v>0.626157914139578</v>
      </c>
      <c r="AL7567">
        <v>97.014256042528402</v>
      </c>
      <c r="AM7567">
        <v>87.820954740381097</v>
      </c>
      <c r="AN7567">
        <v>1.00000000096431</v>
      </c>
    </row>
    <row r="7568" spans="1:40" x14ac:dyDescent="0.25">
      <c r="A7568" t="str">
        <f>"20190303154330496"</f>
        <v>20190303154330496</v>
      </c>
      <c r="B7568" t="str">
        <f>"1551599010487619"</f>
        <v>1551599010487619</v>
      </c>
      <c r="C7568" t="s">
        <v>40</v>
      </c>
      <c r="D7568">
        <v>6.0714620000000004</v>
      </c>
      <c r="E7568">
        <v>0.48022189999999998</v>
      </c>
      <c r="F7568" t="s">
        <v>42</v>
      </c>
      <c r="G7568">
        <v>-286.62779999999998</v>
      </c>
      <c r="H7568">
        <v>1.0106189999999999</v>
      </c>
      <c r="I7568">
        <v>-61.55254</v>
      </c>
      <c r="J7568">
        <v>-287.33460000000002</v>
      </c>
      <c r="K7568">
        <v>1.1203149999999999</v>
      </c>
      <c r="L7568">
        <v>-61.5897199999999</v>
      </c>
      <c r="M7568">
        <v>0.9992704</v>
      </c>
      <c r="N7568">
        <v>-1.4520460000000001E-2</v>
      </c>
      <c r="O7568">
        <v>3.5326990000000003E-2</v>
      </c>
      <c r="P7568">
        <v>0.99088639999999995</v>
      </c>
      <c r="Q7568">
        <v>-0.13467770000000001</v>
      </c>
      <c r="R7568">
        <v>-2.4919830000000001E-3</v>
      </c>
      <c r="S7568">
        <v>2.9730219999999998</v>
      </c>
      <c r="T7568">
        <v>-0.40444910000000001</v>
      </c>
      <c r="U7568">
        <v>0.15124509999999999</v>
      </c>
      <c r="V7568">
        <v>3.7307689999999998E-2</v>
      </c>
      <c r="W7568">
        <v>-0.1203451</v>
      </c>
      <c r="X7568">
        <v>0.99203090000000005</v>
      </c>
      <c r="Y7568">
        <v>-1.5590089999999999E-2</v>
      </c>
      <c r="Z7568">
        <v>-3.099475E-3</v>
      </c>
      <c r="AA7568">
        <v>0.99987360000000003</v>
      </c>
      <c r="AB7568">
        <v>20</v>
      </c>
      <c r="AC7568">
        <v>0.70680000000004295</v>
      </c>
      <c r="AD7568">
        <v>-0.109695999999999</v>
      </c>
      <c r="AE7568">
        <v>3.7179999999992198E-2</v>
      </c>
      <c r="AF7568">
        <v>-1.1899211323685301E-2</v>
      </c>
      <c r="AG7568">
        <v>-0.109695999999999</v>
      </c>
      <c r="AH7568">
        <v>0.69107218017746797</v>
      </c>
      <c r="AI7568">
        <v>99.018169664320197</v>
      </c>
      <c r="AJ7568">
        <v>90.986448656621505</v>
      </c>
      <c r="AK7568">
        <v>0.69982537954933</v>
      </c>
      <c r="AL7568">
        <v>96.9120192981202</v>
      </c>
      <c r="AM7568">
        <v>87.846270413213702</v>
      </c>
      <c r="AN7568">
        <v>1.0000000566909699</v>
      </c>
    </row>
    <row r="7569" spans="1:40" x14ac:dyDescent="0.25">
      <c r="A7569" t="str">
        <f>"20190303154330506"</f>
        <v>20190303154330506</v>
      </c>
      <c r="B7569" t="str">
        <f>"1551599010498355"</f>
        <v>1551599010498355</v>
      </c>
      <c r="C7569" t="s">
        <v>40</v>
      </c>
      <c r="D7569">
        <v>6.1098889999999999</v>
      </c>
      <c r="E7569">
        <v>0.48038639999999999</v>
      </c>
      <c r="F7569" t="s">
        <v>42</v>
      </c>
      <c r="G7569">
        <v>-286.4529</v>
      </c>
      <c r="H7569">
        <v>1.001204</v>
      </c>
      <c r="I7569">
        <v>-61.545270000000002</v>
      </c>
      <c r="J7569">
        <v>-287.24009999999998</v>
      </c>
      <c r="K7569">
        <v>1.1201760000000001</v>
      </c>
      <c r="L7569">
        <v>-61.586550000000003</v>
      </c>
      <c r="M7569">
        <v>0.99927999999999995</v>
      </c>
      <c r="N7569">
        <v>-1.450509E-2</v>
      </c>
      <c r="O7569">
        <v>3.5058840000000001E-2</v>
      </c>
      <c r="P7569">
        <v>0.9910871</v>
      </c>
      <c r="Q7569">
        <v>-0.13319800000000001</v>
      </c>
      <c r="R7569">
        <v>-2.1733360000000001E-3</v>
      </c>
      <c r="S7569">
        <v>2.9733890000000001</v>
      </c>
      <c r="T7569">
        <v>-0.40165030000000002</v>
      </c>
      <c r="U7569">
        <v>0.15020749999999999</v>
      </c>
      <c r="V7569">
        <v>3.6690840000000002E-2</v>
      </c>
      <c r="W7569">
        <v>-0.1188897</v>
      </c>
      <c r="X7569">
        <v>0.99222929999999998</v>
      </c>
      <c r="Y7569">
        <v>-1.5501239999999999E-2</v>
      </c>
      <c r="Z7569">
        <v>-3.0486509999999999E-3</v>
      </c>
      <c r="AA7569">
        <v>0.99987519999999996</v>
      </c>
      <c r="AB7569">
        <v>20</v>
      </c>
      <c r="AC7569">
        <v>0.78719999999998402</v>
      </c>
      <c r="AD7569">
        <v>-0.11897199999999999</v>
      </c>
      <c r="AE7569">
        <v>4.1280000000007498E-2</v>
      </c>
      <c r="AF7569">
        <v>-1.3349317128452101E-2</v>
      </c>
      <c r="AG7569">
        <v>-0.11897199999999999</v>
      </c>
      <c r="AH7569">
        <v>0.77060994371002001</v>
      </c>
      <c r="AI7569">
        <v>98.775124021395797</v>
      </c>
      <c r="AJ7569">
        <v>90.992438577289704</v>
      </c>
      <c r="AK7569">
        <v>0.77985397761155095</v>
      </c>
      <c r="AL7569">
        <v>96.828028483451902</v>
      </c>
      <c r="AM7569">
        <v>87.882270885156601</v>
      </c>
      <c r="AN7569">
        <v>0.99999998114224198</v>
      </c>
    </row>
    <row r="7570" spans="1:40" x14ac:dyDescent="0.25">
      <c r="A7570" t="str">
        <f>"20190303154330518"</f>
        <v>20190303154330518</v>
      </c>
      <c r="B7570" t="str">
        <f>"1551599010508115"</f>
        <v>1551599010508115</v>
      </c>
      <c r="C7570" t="s">
        <v>40</v>
      </c>
      <c r="D7570">
        <v>6.0780430000000001</v>
      </c>
      <c r="E7570">
        <v>0.48061130000000002</v>
      </c>
      <c r="F7570" t="s">
        <v>42</v>
      </c>
      <c r="G7570">
        <v>-286.44670000000002</v>
      </c>
      <c r="H7570">
        <v>1.013924</v>
      </c>
      <c r="I7570">
        <v>-61.54663</v>
      </c>
      <c r="J7570">
        <v>-287.13889999999998</v>
      </c>
      <c r="K7570">
        <v>1.120039</v>
      </c>
      <c r="L7570">
        <v>-61.583190000000002</v>
      </c>
      <c r="M7570">
        <v>0.99929210000000002</v>
      </c>
      <c r="N7570">
        <v>-1.448932E-2</v>
      </c>
      <c r="O7570">
        <v>3.4721109999999999E-2</v>
      </c>
      <c r="P7570">
        <v>0.99120280000000005</v>
      </c>
      <c r="Q7570">
        <v>-0.13233889999999901</v>
      </c>
      <c r="R7570">
        <v>-1.8864520000000001E-3</v>
      </c>
      <c r="S7570">
        <v>2.9737550000000001</v>
      </c>
      <c r="T7570">
        <v>-0.39816620000000003</v>
      </c>
      <c r="U7570">
        <v>0.14993290000000001</v>
      </c>
      <c r="V7570">
        <v>3.603191E-2</v>
      </c>
      <c r="W7570">
        <v>-0.11805640000000001</v>
      </c>
      <c r="X7570">
        <v>0.99235300000000004</v>
      </c>
      <c r="Y7570">
        <v>-1.5733899999999999E-2</v>
      </c>
      <c r="Z7570">
        <v>-2.9600579999999998E-3</v>
      </c>
      <c r="AA7570">
        <v>0.99987190000000004</v>
      </c>
      <c r="AB7570">
        <v>20</v>
      </c>
      <c r="AC7570">
        <v>0.69219999999995696</v>
      </c>
      <c r="AD7570">
        <v>-0.106114999999999</v>
      </c>
      <c r="AE7570">
        <v>3.6559999999994298E-2</v>
      </c>
      <c r="AF7570">
        <v>-1.2215204377849899E-2</v>
      </c>
      <c r="AG7570">
        <v>-0.106114999999999</v>
      </c>
      <c r="AH7570">
        <v>0.67718175740243003</v>
      </c>
      <c r="AI7570">
        <v>98.904451809536795</v>
      </c>
      <c r="AJ7570">
        <v>91.033406105433698</v>
      </c>
      <c r="AK7570">
        <v>0.68555432826409601</v>
      </c>
      <c r="AL7570">
        <v>96.779944840185195</v>
      </c>
      <c r="AM7570">
        <v>87.920528451381898</v>
      </c>
      <c r="AN7570">
        <v>1.0000000443640999</v>
      </c>
    </row>
    <row r="7571" spans="1:40" x14ac:dyDescent="0.25">
      <c r="A7571" t="str">
        <f>"20190303154330528"</f>
        <v>20190303154330528</v>
      </c>
      <c r="B7571" t="str">
        <f>"1551599010517876"</f>
        <v>1551599010517876</v>
      </c>
      <c r="C7571" t="s">
        <v>40</v>
      </c>
      <c r="D7571">
        <v>6.0749680000000001</v>
      </c>
      <c r="E7571">
        <v>0.48058659999999997</v>
      </c>
      <c r="F7571" t="s">
        <v>42</v>
      </c>
      <c r="G7571">
        <v>-286.27229999999997</v>
      </c>
      <c r="H7571">
        <v>1.004024</v>
      </c>
      <c r="I7571">
        <v>-61.539960000000001</v>
      </c>
      <c r="J7571">
        <v>-287.04000000000002</v>
      </c>
      <c r="K7571">
        <v>1.119915</v>
      </c>
      <c r="L7571">
        <v>-61.58014</v>
      </c>
      <c r="M7571">
        <v>0.99931009999999998</v>
      </c>
      <c r="N7571">
        <v>-1.447673E-2</v>
      </c>
      <c r="O7571">
        <v>3.4202969999999999E-2</v>
      </c>
      <c r="P7571">
        <v>0.99117670000000002</v>
      </c>
      <c r="Q7571">
        <v>-0.1325404</v>
      </c>
      <c r="R7571">
        <v>-1.4070619999999999E-3</v>
      </c>
      <c r="S7571">
        <v>2.9738159999999998</v>
      </c>
      <c r="T7571">
        <v>-0.397928</v>
      </c>
      <c r="U7571">
        <v>0.14895630000000001</v>
      </c>
      <c r="V7571">
        <v>3.5001749999999998E-2</v>
      </c>
      <c r="W7571">
        <v>-0.11827849999999999</v>
      </c>
      <c r="X7571">
        <v>0.99236340000000001</v>
      </c>
      <c r="Y7571">
        <v>-1.591824E-2</v>
      </c>
      <c r="Z7571">
        <v>-2.8833719999999999E-3</v>
      </c>
      <c r="AA7571">
        <v>0.99986920000000001</v>
      </c>
      <c r="AB7571">
        <v>20</v>
      </c>
      <c r="AC7571">
        <v>0.76770000000004701</v>
      </c>
      <c r="AD7571">
        <v>-0.11589099999999899</v>
      </c>
      <c r="AE7571">
        <v>4.0179999999999397E-2</v>
      </c>
      <c r="AF7571">
        <v>-1.35873259662742E-2</v>
      </c>
      <c r="AG7571">
        <v>-0.11589099999999899</v>
      </c>
      <c r="AH7571">
        <v>0.75154532171258304</v>
      </c>
      <c r="AI7571">
        <v>98.764758199487503</v>
      </c>
      <c r="AJ7571">
        <v>91.035748088511198</v>
      </c>
      <c r="AK7571">
        <v>0.76054961041077596</v>
      </c>
      <c r="AL7571">
        <v>96.792760173052002</v>
      </c>
      <c r="AM7571">
        <v>87.979952160032298</v>
      </c>
      <c r="AN7571">
        <v>1.0000000218624301</v>
      </c>
    </row>
    <row r="7572" spans="1:40" x14ac:dyDescent="0.25">
      <c r="A7572" t="str">
        <f>"20190303154330540"</f>
        <v>20190303154330540</v>
      </c>
      <c r="B7572" t="str">
        <f>"1551599010538371"</f>
        <v>1551599010538371</v>
      </c>
      <c r="C7572" t="s">
        <v>40</v>
      </c>
      <c r="D7572">
        <v>6.0682619999999998</v>
      </c>
      <c r="E7572">
        <v>0.4809831</v>
      </c>
      <c r="F7572" t="s">
        <v>42</v>
      </c>
      <c r="G7572">
        <v>-286.26639999999998</v>
      </c>
      <c r="H7572">
        <v>1.0161340000000001</v>
      </c>
      <c r="I7572">
        <v>-61.541130000000003</v>
      </c>
      <c r="J7572">
        <v>-286.93790000000001</v>
      </c>
      <c r="K7572">
        <v>1.119794</v>
      </c>
      <c r="L7572">
        <v>-61.577179999999998</v>
      </c>
      <c r="M7572">
        <v>0.99933110000000003</v>
      </c>
      <c r="N7572">
        <v>-1.4464960000000001E-2</v>
      </c>
      <c r="O7572">
        <v>3.3587560000000002E-2</v>
      </c>
      <c r="P7572">
        <v>0.99105200000000004</v>
      </c>
      <c r="Q7572">
        <v>-0.13347490000000001</v>
      </c>
      <c r="R7572">
        <v>-7.4470000000000005E-4</v>
      </c>
      <c r="S7572">
        <v>2.9736020000000001</v>
      </c>
      <c r="T7572">
        <v>-0.39879120000000001</v>
      </c>
      <c r="U7572">
        <v>0.15060419999999999</v>
      </c>
      <c r="V7572">
        <v>3.368869E-2</v>
      </c>
      <c r="W7572">
        <v>-0.119232199999999</v>
      </c>
      <c r="X7572">
        <v>0.99229469999999997</v>
      </c>
      <c r="Y7572">
        <v>-1.7075070000000001E-2</v>
      </c>
      <c r="Z7572">
        <v>-2.7328109999999999E-3</v>
      </c>
      <c r="AA7572">
        <v>0.99985049999999998</v>
      </c>
      <c r="AB7572">
        <v>20</v>
      </c>
      <c r="AC7572">
        <v>0.67150000000003696</v>
      </c>
      <c r="AD7572">
        <v>-0.103659999999999</v>
      </c>
      <c r="AE7572">
        <v>3.6050000000003003E-2</v>
      </c>
      <c r="AF7572">
        <v>-1.31605304738458E-2</v>
      </c>
      <c r="AG7572">
        <v>-0.103659999999999</v>
      </c>
      <c r="AH7572">
        <v>0.65672694924704</v>
      </c>
      <c r="AI7572">
        <v>98.967984267478997</v>
      </c>
      <c r="AJ7572">
        <v>91.148029542773898</v>
      </c>
      <c r="AK7572">
        <v>0.66498788036300105</v>
      </c>
      <c r="AL7572">
        <v>96.847792685326297</v>
      </c>
      <c r="AM7572">
        <v>88.055538679997298</v>
      </c>
      <c r="AN7572">
        <v>1.0000000084994201</v>
      </c>
    </row>
    <row r="7573" spans="1:40" x14ac:dyDescent="0.25">
      <c r="A7573" t="str">
        <f>"20190303154330550"</f>
        <v>20190303154330550</v>
      </c>
      <c r="B7573" t="str">
        <f>"1551599010548131"</f>
        <v>1551599010548131</v>
      </c>
      <c r="C7573" t="s">
        <v>40</v>
      </c>
      <c r="D7573">
        <v>5.9914529999999999</v>
      </c>
      <c r="E7573">
        <v>0.48120839999999998</v>
      </c>
      <c r="F7573" t="s">
        <v>42</v>
      </c>
      <c r="G7573">
        <v>-286.09269999999998</v>
      </c>
      <c r="H7573">
        <v>1.0050589999999999</v>
      </c>
      <c r="I7573">
        <v>-61.534790000000001</v>
      </c>
      <c r="J7573">
        <v>-286.84449999999998</v>
      </c>
      <c r="K7573">
        <v>1.11969599999999</v>
      </c>
      <c r="L7573">
        <v>-61.574680000000001</v>
      </c>
      <c r="M7573">
        <v>0.99935350000000001</v>
      </c>
      <c r="N7573">
        <v>-1.445577E-2</v>
      </c>
      <c r="O7573">
        <v>3.2920400000000002E-2</v>
      </c>
      <c r="P7573">
        <v>0.99091399999999996</v>
      </c>
      <c r="Q7573">
        <v>-0.13449700000000001</v>
      </c>
      <c r="R7573">
        <v>-3.3905540000000003E-4</v>
      </c>
      <c r="S7573">
        <v>2.972839</v>
      </c>
      <c r="T7573">
        <v>-0.40349469999999998</v>
      </c>
      <c r="U7573">
        <v>0.14941409999999999</v>
      </c>
      <c r="V7573">
        <v>3.2587360000000003E-2</v>
      </c>
      <c r="W7573">
        <v>-0.120269</v>
      </c>
      <c r="X7573">
        <v>0.99220629999999999</v>
      </c>
      <c r="Y7573">
        <v>-1.7351229999999999E-2</v>
      </c>
      <c r="Z7573">
        <v>-2.6721259999999999E-3</v>
      </c>
      <c r="AA7573">
        <v>0.99984589999999995</v>
      </c>
      <c r="AB7573">
        <v>20</v>
      </c>
      <c r="AC7573">
        <v>0.75180000000000202</v>
      </c>
      <c r="AD7573">
        <v>-0.114636999999999</v>
      </c>
      <c r="AE7573">
        <v>3.9890000000006802E-2</v>
      </c>
      <c r="AF7573">
        <v>-1.4773691441708901E-2</v>
      </c>
      <c r="AG7573">
        <v>-0.114636999999999</v>
      </c>
      <c r="AH7573">
        <v>0.73564906504878902</v>
      </c>
      <c r="AI7573">
        <v>98.855470972931499</v>
      </c>
      <c r="AJ7573">
        <v>91.150489328618306</v>
      </c>
      <c r="AK7573">
        <v>0.74467405664154396</v>
      </c>
      <c r="AL7573">
        <v>96.907627893805099</v>
      </c>
      <c r="AM7573">
        <v>88.118891924102499</v>
      </c>
      <c r="AN7573">
        <v>0.99999995507622796</v>
      </c>
    </row>
    <row r="7574" spans="1:40" x14ac:dyDescent="0.25">
      <c r="A7574" t="str">
        <f>"20190303154330561"</f>
        <v>20190303154330561</v>
      </c>
      <c r="B7574" t="str">
        <f>"1551599010557891"</f>
        <v>1551599010557891</v>
      </c>
      <c r="C7574" t="s">
        <v>40</v>
      </c>
      <c r="D7574">
        <v>6.0144479999999998</v>
      </c>
      <c r="E7574">
        <v>0.48142230000000003</v>
      </c>
      <c r="F7574" t="s">
        <v>42</v>
      </c>
      <c r="G7574">
        <v>-286.08730000000003</v>
      </c>
      <c r="H7574">
        <v>1.0159400000000001</v>
      </c>
      <c r="I7574">
        <v>-61.536859999999997</v>
      </c>
      <c r="J7574">
        <v>-286.74549999999999</v>
      </c>
      <c r="K7574">
        <v>1.119605</v>
      </c>
      <c r="L7574">
        <v>-61.572139999999997</v>
      </c>
      <c r="M7574">
        <v>0.99937949999999998</v>
      </c>
      <c r="N7574">
        <v>-1.444695E-2</v>
      </c>
      <c r="O7574">
        <v>3.2126740000000001E-2</v>
      </c>
      <c r="P7574">
        <v>0.99078040000000001</v>
      </c>
      <c r="Q7574">
        <v>-0.13547909999999999</v>
      </c>
      <c r="R7574">
        <v>1.6058979999999999E-4</v>
      </c>
      <c r="S7574">
        <v>2.9722599999999999</v>
      </c>
      <c r="T7574">
        <v>-0.40722599999999998</v>
      </c>
      <c r="U7574">
        <v>0.1488342</v>
      </c>
      <c r="V7574">
        <v>3.1269060000000001E-2</v>
      </c>
      <c r="W7574">
        <v>-0.1212635</v>
      </c>
      <c r="X7574">
        <v>0.99212769999999995</v>
      </c>
      <c r="Y7574">
        <v>-1.7950379999999998E-2</v>
      </c>
      <c r="Z7574">
        <v>-2.561317E-3</v>
      </c>
      <c r="AA7574">
        <v>0.99983560000000005</v>
      </c>
      <c r="AB7574">
        <v>20</v>
      </c>
      <c r="AC7574">
        <v>0.65819999999996504</v>
      </c>
      <c r="AD7574">
        <v>-0.10366499999999899</v>
      </c>
      <c r="AE7574">
        <v>3.5280000000007299E-2</v>
      </c>
      <c r="AF7574">
        <v>-1.3773089777336199E-2</v>
      </c>
      <c r="AG7574">
        <v>-0.10366499999999899</v>
      </c>
      <c r="AH7574">
        <v>0.64308729505787299</v>
      </c>
      <c r="AI7574">
        <v>99.155180828143202</v>
      </c>
      <c r="AJ7574">
        <v>91.226924084002505</v>
      </c>
      <c r="AK7574">
        <v>0.65153464934097405</v>
      </c>
      <c r="AL7574">
        <v>96.965028482242701</v>
      </c>
      <c r="AM7574">
        <v>88.194796589608401</v>
      </c>
      <c r="AN7574">
        <v>0.99999998182641103</v>
      </c>
    </row>
    <row r="7575" spans="1:40" x14ac:dyDescent="0.25">
      <c r="A7575" t="str">
        <f>"20190303154330572"</f>
        <v>20190303154330572</v>
      </c>
      <c r="B7575" t="str">
        <f>"1551599010567651"</f>
        <v>1551599010567651</v>
      </c>
      <c r="C7575" t="s">
        <v>40</v>
      </c>
      <c r="D7575">
        <v>6.0344530000000001</v>
      </c>
      <c r="E7575">
        <v>0.48142230000000003</v>
      </c>
      <c r="F7575" t="s">
        <v>42</v>
      </c>
      <c r="G7575">
        <v>-285.91419999999999</v>
      </c>
      <c r="H7575">
        <v>1.004424</v>
      </c>
      <c r="I7575">
        <v>-61.530679999999997</v>
      </c>
      <c r="J7575">
        <v>-286.64710000000002</v>
      </c>
      <c r="K7575">
        <v>1.119524</v>
      </c>
      <c r="L7575">
        <v>-61.569789999999998</v>
      </c>
      <c r="M7575">
        <v>0.99940660000000003</v>
      </c>
      <c r="N7575">
        <v>-1.443882E-2</v>
      </c>
      <c r="O7575">
        <v>3.1272630000000003E-2</v>
      </c>
      <c r="P7575">
        <v>0.99069859999999998</v>
      </c>
      <c r="Q7575">
        <v>-0.13607169999999999</v>
      </c>
      <c r="R7575">
        <v>9.1089260000000005E-4</v>
      </c>
      <c r="S7575">
        <v>2.971619</v>
      </c>
      <c r="T7575">
        <v>-0.41155589999999997</v>
      </c>
      <c r="U7575">
        <v>0.14865110000000001</v>
      </c>
      <c r="V7575">
        <v>2.9646659999999998E-2</v>
      </c>
      <c r="W7575">
        <v>-0.1218645</v>
      </c>
      <c r="X7575">
        <v>0.99210390000000004</v>
      </c>
      <c r="Y7575">
        <v>-1.8741379999999998E-2</v>
      </c>
      <c r="Z7575">
        <v>-2.4300760000000002E-3</v>
      </c>
      <c r="AA7575">
        <v>0.99982139999999997</v>
      </c>
      <c r="AB7575">
        <v>20</v>
      </c>
      <c r="AC7575">
        <v>0.73290000000002897</v>
      </c>
      <c r="AD7575">
        <v>-0.11509999999999899</v>
      </c>
      <c r="AE7575">
        <v>3.9110000000000797E-2</v>
      </c>
      <c r="AF7575">
        <v>-1.5780660101432999E-2</v>
      </c>
      <c r="AG7575">
        <v>-0.11509999999999899</v>
      </c>
      <c r="AH7575">
        <v>0.716151740533294</v>
      </c>
      <c r="AI7575">
        <v>99.128324266589303</v>
      </c>
      <c r="AJ7575">
        <v>91.262328738369206</v>
      </c>
      <c r="AK7575">
        <v>0.725513855623794</v>
      </c>
      <c r="AL7575">
        <v>96.999720306659995</v>
      </c>
      <c r="AM7575">
        <v>88.288361574967496</v>
      </c>
      <c r="AN7575">
        <v>1.0000000146023</v>
      </c>
    </row>
    <row r="7576" spans="1:40" x14ac:dyDescent="0.25">
      <c r="A7576" t="str">
        <f>"20190303154330585"</f>
        <v>20190303154330585</v>
      </c>
      <c r="B7576" t="str">
        <f>"1551599010577411"</f>
        <v>1551599010577411</v>
      </c>
      <c r="C7576" t="s">
        <v>40</v>
      </c>
      <c r="D7576">
        <v>5.9326980000000002</v>
      </c>
      <c r="E7576">
        <v>0.48586560000000001</v>
      </c>
      <c r="F7576" t="s">
        <v>42</v>
      </c>
      <c r="G7576">
        <v>-285.90820000000002</v>
      </c>
      <c r="H7576">
        <v>1.016689</v>
      </c>
      <c r="I7576">
        <v>-61.532400000000003</v>
      </c>
      <c r="J7576">
        <v>-286.54289999999997</v>
      </c>
      <c r="K7576">
        <v>1.119462</v>
      </c>
      <c r="L7576">
        <v>-61.567599999999999</v>
      </c>
      <c r="M7576">
        <v>0.99943729999999997</v>
      </c>
      <c r="N7576">
        <v>-1.443113E-2</v>
      </c>
      <c r="O7576">
        <v>3.0280189999999998E-2</v>
      </c>
      <c r="P7576">
        <v>0.99064739999999996</v>
      </c>
      <c r="Q7576">
        <v>-0.1364406</v>
      </c>
      <c r="R7576">
        <v>1.3500140000000001E-3</v>
      </c>
      <c r="S7576">
        <v>2.9712830000000001</v>
      </c>
      <c r="T7576">
        <v>-0.41338979999999997</v>
      </c>
      <c r="U7576">
        <v>0.15087890000000001</v>
      </c>
      <c r="V7576">
        <v>2.820394E-2</v>
      </c>
      <c r="W7576">
        <v>-0.1222401</v>
      </c>
      <c r="X7576">
        <v>0.99209979999999998</v>
      </c>
      <c r="Y7576">
        <v>-2.0462419999999999E-2</v>
      </c>
      <c r="Z7576">
        <v>-2.1894570000000001E-3</v>
      </c>
      <c r="AA7576">
        <v>0.99978820000000002</v>
      </c>
      <c r="AB7576">
        <v>20</v>
      </c>
      <c r="AC7576">
        <v>0.63469999999995197</v>
      </c>
      <c r="AD7576">
        <v>-0.102773</v>
      </c>
      <c r="AE7576">
        <v>3.5199999999996102E-2</v>
      </c>
      <c r="AF7576">
        <v>-1.5556391160026601E-2</v>
      </c>
      <c r="AG7576">
        <v>-0.102773</v>
      </c>
      <c r="AH7576">
        <v>0.61928737889398999</v>
      </c>
      <c r="AI7576">
        <v>99.419650641009397</v>
      </c>
      <c r="AJ7576">
        <v>91.438957395530807</v>
      </c>
      <c r="AK7576">
        <v>0.62794995699682299</v>
      </c>
      <c r="AL7576">
        <v>97.021402394700502</v>
      </c>
      <c r="AM7576">
        <v>88.371603736631997</v>
      </c>
      <c r="AN7576">
        <v>1.0000000587197799</v>
      </c>
    </row>
    <row r="7577" spans="1:40" x14ac:dyDescent="0.25">
      <c r="A7577" t="str">
        <f>"20190303154330596"</f>
        <v>20190303154330596</v>
      </c>
      <c r="B7577" t="str">
        <f>"1551599010588147"</f>
        <v>1551599010588147</v>
      </c>
      <c r="C7577" t="s">
        <v>40</v>
      </c>
      <c r="D7577">
        <v>5.971762</v>
      </c>
      <c r="E7577">
        <v>0.48574230000000002</v>
      </c>
      <c r="F7577" t="s">
        <v>42</v>
      </c>
      <c r="G7577">
        <v>-285.73660000000001</v>
      </c>
      <c r="H7577">
        <v>1.0021150000000001</v>
      </c>
      <c r="I7577">
        <v>-61.536029999999997</v>
      </c>
      <c r="J7577">
        <v>-286.44400000000002</v>
      </c>
      <c r="K7577">
        <v>1.11941</v>
      </c>
      <c r="L7577">
        <v>-61.565550000000002</v>
      </c>
      <c r="M7577">
        <v>0.99946639999999998</v>
      </c>
      <c r="N7577">
        <v>-1.4423999999999999E-2</v>
      </c>
      <c r="O7577">
        <v>2.9311569999999999E-2</v>
      </c>
      <c r="P7577">
        <v>0.99067830000000001</v>
      </c>
      <c r="Q7577">
        <v>-0.1362131</v>
      </c>
      <c r="R7577">
        <v>1.7110910000000001E-3</v>
      </c>
      <c r="S7577">
        <v>2.9686889999999999</v>
      </c>
      <c r="T7577">
        <v>-0.43190790000000001</v>
      </c>
      <c r="U7577">
        <v>0.11660769999999999</v>
      </c>
      <c r="V7577">
        <v>2.687001E-2</v>
      </c>
      <c r="W7577">
        <v>-0.12201720000000001</v>
      </c>
      <c r="X7577">
        <v>0.99216420000000005</v>
      </c>
      <c r="Y7577">
        <v>-1.007341E-2</v>
      </c>
      <c r="Z7577">
        <v>-3.0169419999999999E-3</v>
      </c>
      <c r="AA7577">
        <v>0.99994470000000002</v>
      </c>
      <c r="AB7577">
        <v>20</v>
      </c>
      <c r="AC7577">
        <v>0.70740000000000602</v>
      </c>
      <c r="AD7577">
        <v>-0.117295</v>
      </c>
      <c r="AE7577">
        <v>2.9519999999997899E-2</v>
      </c>
      <c r="AF7577">
        <v>-8.5358818600292201E-3</v>
      </c>
      <c r="AG7577">
        <v>-0.117295</v>
      </c>
      <c r="AH7577">
        <v>0.689049939152796</v>
      </c>
      <c r="AI7577">
        <v>99.659966208785406</v>
      </c>
      <c r="AJ7577">
        <v>90.709738092907997</v>
      </c>
      <c r="AK7577">
        <v>0.69901416076543099</v>
      </c>
      <c r="AL7577">
        <v>97.008535276969994</v>
      </c>
      <c r="AM7577">
        <v>88.448682239994497</v>
      </c>
      <c r="AN7577">
        <v>0.99999999714744003</v>
      </c>
    </row>
    <row r="7578" spans="1:40" x14ac:dyDescent="0.25">
      <c r="A7578" t="str">
        <f>"20190303154330607"</f>
        <v>20190303154330607</v>
      </c>
      <c r="B7578" t="str">
        <f>"1551599010598297"</f>
        <v>1551599010598297</v>
      </c>
      <c r="C7578" t="s">
        <v>40</v>
      </c>
      <c r="D7578">
        <v>6.0028639999999998</v>
      </c>
      <c r="E7578">
        <v>0.48627090000000001</v>
      </c>
      <c r="F7578" t="s">
        <v>42</v>
      </c>
      <c r="G7578">
        <v>-285.5634</v>
      </c>
      <c r="H7578">
        <v>0.99173009999999995</v>
      </c>
      <c r="I7578">
        <v>-61.530430000000003</v>
      </c>
      <c r="J7578">
        <v>-286.33909999999997</v>
      </c>
      <c r="K7578">
        <v>1.1193820000000001</v>
      </c>
      <c r="L7578">
        <v>-61.563720000000004</v>
      </c>
      <c r="M7578">
        <v>0.99949809999999994</v>
      </c>
      <c r="N7578">
        <v>-1.441715E-2</v>
      </c>
      <c r="O7578">
        <v>2.821129E-2</v>
      </c>
      <c r="P7578">
        <v>0.99081050000000004</v>
      </c>
      <c r="Q7578">
        <v>-0.1352399</v>
      </c>
      <c r="R7578">
        <v>2.1608640000000002E-3</v>
      </c>
      <c r="S7578">
        <v>2.9688720000000002</v>
      </c>
      <c r="T7578">
        <v>-0.43041230000000003</v>
      </c>
      <c r="U7578">
        <v>0.11868289999999999</v>
      </c>
      <c r="V7578">
        <v>2.5330220000000001E-2</v>
      </c>
      <c r="W7578">
        <v>-0.1210442</v>
      </c>
      <c r="X7578">
        <v>0.99232390000000004</v>
      </c>
      <c r="Y7578">
        <v>-1.1838899999999999E-2</v>
      </c>
      <c r="Z7578">
        <v>-2.722066E-3</v>
      </c>
      <c r="AA7578">
        <v>0.99992619999999999</v>
      </c>
      <c r="AB7578">
        <v>20</v>
      </c>
      <c r="AC7578">
        <v>0.77569999999997197</v>
      </c>
      <c r="AD7578">
        <v>-0.12765189999999901</v>
      </c>
      <c r="AE7578">
        <v>3.3289999999993797E-2</v>
      </c>
      <c r="AF7578">
        <v>-1.10911676397904E-2</v>
      </c>
      <c r="AG7578">
        <v>-0.12765189999999901</v>
      </c>
      <c r="AH7578">
        <v>0.75589750986565496</v>
      </c>
      <c r="AI7578">
        <v>99.584352407195695</v>
      </c>
      <c r="AJ7578">
        <v>90.840631816833096</v>
      </c>
      <c r="AK7578">
        <v>0.766680550812607</v>
      </c>
      <c r="AL7578">
        <v>96.952370004014895</v>
      </c>
      <c r="AM7578">
        <v>88.537776218973804</v>
      </c>
      <c r="AN7578">
        <v>1.0000000204550401</v>
      </c>
    </row>
    <row r="7579" spans="1:40" x14ac:dyDescent="0.25">
      <c r="A7579" t="str">
        <f>"20190303154330619"</f>
        <v>20190303154330619</v>
      </c>
      <c r="B7579" t="str">
        <f>"1551599010608055"</f>
        <v>1551599010608055</v>
      </c>
      <c r="C7579" t="s">
        <v>40</v>
      </c>
      <c r="D7579">
        <v>5.9826240000000004</v>
      </c>
      <c r="E7579">
        <v>0.48669040000000002</v>
      </c>
      <c r="F7579" t="s">
        <v>42</v>
      </c>
      <c r="G7579">
        <v>-285.55599999999998</v>
      </c>
      <c r="H7579">
        <v>1.0069549999999901</v>
      </c>
      <c r="I7579">
        <v>-61.533250000000002</v>
      </c>
      <c r="J7579">
        <v>-286.23439999999999</v>
      </c>
      <c r="K7579">
        <v>1.1193649999999999</v>
      </c>
      <c r="L7579">
        <v>-61.561950000000003</v>
      </c>
      <c r="M7579">
        <v>0.99952890000000005</v>
      </c>
      <c r="N7579">
        <v>-1.441037E-2</v>
      </c>
      <c r="O7579">
        <v>2.7102089999999999E-2</v>
      </c>
      <c r="P7579">
        <v>0.99086549999999995</v>
      </c>
      <c r="Q7579">
        <v>-0.13483609999999999</v>
      </c>
      <c r="R7579">
        <v>2.1684270000000001E-3</v>
      </c>
      <c r="S7579">
        <v>2.9693909999999999</v>
      </c>
      <c r="T7579">
        <v>-0.42629719999999999</v>
      </c>
      <c r="U7579">
        <v>0.11581420000000001</v>
      </c>
      <c r="V7579">
        <v>2.4221579999999999E-2</v>
      </c>
      <c r="W7579">
        <v>-0.12064279999999999</v>
      </c>
      <c r="X7579">
        <v>0.99240050000000002</v>
      </c>
      <c r="Y7579">
        <v>-1.1963939999999999E-2</v>
      </c>
      <c r="Z7579">
        <v>-2.5391820000000001E-3</v>
      </c>
      <c r="AA7579">
        <v>0.99992519999999996</v>
      </c>
      <c r="AB7579">
        <v>20</v>
      </c>
      <c r="AC7579">
        <v>0.67840000000001</v>
      </c>
      <c r="AD7579">
        <v>-0.11241</v>
      </c>
      <c r="AE7579">
        <v>2.87000000000006E-2</v>
      </c>
      <c r="AF7579">
        <v>-1.0026688635904901E-2</v>
      </c>
      <c r="AG7579">
        <v>-0.11241</v>
      </c>
      <c r="AH7579">
        <v>0.66081762856153303</v>
      </c>
      <c r="AI7579">
        <v>99.652938375322805</v>
      </c>
      <c r="AJ7579">
        <v>90.869291065449602</v>
      </c>
      <c r="AK7579">
        <v>0.67038532263369999</v>
      </c>
      <c r="AL7579">
        <v>96.929201406936997</v>
      </c>
      <c r="AM7579">
        <v>88.6018559706974</v>
      </c>
      <c r="AN7579">
        <v>1.00000006126489</v>
      </c>
    </row>
    <row r="7580" spans="1:40" x14ac:dyDescent="0.25">
      <c r="A7580" t="str">
        <f>"20190303154330630"</f>
        <v>20190303154330630</v>
      </c>
      <c r="B7580" t="str">
        <f>"1551599010617815"</f>
        <v>1551599010617815</v>
      </c>
      <c r="C7580" t="s">
        <v>40</v>
      </c>
      <c r="D7580">
        <v>5.7615730000000003</v>
      </c>
      <c r="E7580">
        <v>0.48669040000000002</v>
      </c>
      <c r="F7580" t="s">
        <v>42</v>
      </c>
      <c r="G7580">
        <v>-285.38290000000001</v>
      </c>
      <c r="H7580">
        <v>0.99723519999999999</v>
      </c>
      <c r="I7580">
        <v>-61.529730000000001</v>
      </c>
      <c r="J7580">
        <v>-286.1343</v>
      </c>
      <c r="K7580">
        <v>1.1193709999999999</v>
      </c>
      <c r="L7580">
        <v>-61.560459999999999</v>
      </c>
      <c r="M7580">
        <v>0.99955769999999999</v>
      </c>
      <c r="N7580">
        <v>-1.4404119999999999E-2</v>
      </c>
      <c r="O7580">
        <v>2.6016049999999999E-2</v>
      </c>
      <c r="P7580">
        <v>0.99094800000000005</v>
      </c>
      <c r="Q7580">
        <v>-0.13422379999999901</v>
      </c>
      <c r="R7580">
        <v>2.4579440000000001E-3</v>
      </c>
      <c r="S7580">
        <v>2.969452</v>
      </c>
      <c r="T7580">
        <v>-0.42584749999999999</v>
      </c>
      <c r="U7580">
        <v>0.1124878</v>
      </c>
      <c r="V7580">
        <v>2.2861389999999999E-2</v>
      </c>
      <c r="W7580">
        <v>-0.1200295</v>
      </c>
      <c r="X7580">
        <v>0.99250700000000003</v>
      </c>
      <c r="Y7580">
        <v>-1.192241E-2</v>
      </c>
      <c r="Z7580">
        <v>-2.4002680000000001E-3</v>
      </c>
      <c r="AA7580">
        <v>0.99992599999999998</v>
      </c>
      <c r="AB7580">
        <v>20</v>
      </c>
      <c r="AC7580">
        <v>0.75139999999998897</v>
      </c>
      <c r="AD7580">
        <v>-0.1221358</v>
      </c>
      <c r="AE7580">
        <v>3.0729999999991198E-2</v>
      </c>
      <c r="AF7580">
        <v>-1.08820758989216E-2</v>
      </c>
      <c r="AG7580">
        <v>-0.1221358</v>
      </c>
      <c r="AH7580">
        <v>0.73262116308425496</v>
      </c>
      <c r="AI7580">
        <v>99.463752872545697</v>
      </c>
      <c r="AJ7580">
        <v>90.850987119649403</v>
      </c>
      <c r="AK7580">
        <v>0.74281178088156097</v>
      </c>
      <c r="AL7580">
        <v>96.893805564039198</v>
      </c>
      <c r="AM7580">
        <v>88.680483281946707</v>
      </c>
      <c r="AN7580">
        <v>0.99999993453598801</v>
      </c>
    </row>
    <row r="7581" spans="1:40" x14ac:dyDescent="0.25">
      <c r="A7581" t="str">
        <f>"20190303154330641"</f>
        <v>20190303154330641</v>
      </c>
      <c r="B7581" t="str">
        <f>"1551599010638313"</f>
        <v>1551599010638313</v>
      </c>
      <c r="C7581" t="s">
        <v>40</v>
      </c>
      <c r="D7581">
        <v>5.88666</v>
      </c>
      <c r="E7581">
        <v>0.49228650000000002</v>
      </c>
      <c r="F7581" t="s">
        <v>42</v>
      </c>
      <c r="G7581">
        <v>-285.37610000000001</v>
      </c>
      <c r="H7581">
        <v>1.011118</v>
      </c>
      <c r="I7581">
        <v>-61.531559999999999</v>
      </c>
      <c r="J7581">
        <v>-286.03949999999998</v>
      </c>
      <c r="K7581">
        <v>1.1193869999999999</v>
      </c>
      <c r="L7581">
        <v>-61.559109999999997</v>
      </c>
      <c r="M7581">
        <v>0.99958420000000003</v>
      </c>
      <c r="N7581">
        <v>-1.439822E-2</v>
      </c>
      <c r="O7581">
        <v>2.49844E-2</v>
      </c>
      <c r="P7581">
        <v>0.99098770000000003</v>
      </c>
      <c r="Q7581">
        <v>-0.13392679999999901</v>
      </c>
      <c r="R7581">
        <v>2.6661850000000002E-3</v>
      </c>
      <c r="S7581">
        <v>2.9696959999999999</v>
      </c>
      <c r="T7581">
        <v>-0.42397210000000002</v>
      </c>
      <c r="U7581">
        <v>0.11334230000000001</v>
      </c>
      <c r="V7581">
        <v>2.1637679999999999E-2</v>
      </c>
      <c r="W7581">
        <v>-0.1197318</v>
      </c>
      <c r="X7581">
        <v>0.99257050000000002</v>
      </c>
      <c r="Y7581">
        <v>-1.3214790000000001E-2</v>
      </c>
      <c r="Z7581">
        <v>-2.154984E-3</v>
      </c>
      <c r="AA7581">
        <v>0.99991039999999998</v>
      </c>
      <c r="AB7581">
        <v>20</v>
      </c>
      <c r="AC7581">
        <v>0.66339999999996702</v>
      </c>
      <c r="AD7581">
        <v>-0.108269</v>
      </c>
      <c r="AE7581">
        <v>2.7549999999997899E-2</v>
      </c>
      <c r="AF7581">
        <v>-1.0681027429411599E-2</v>
      </c>
      <c r="AG7581">
        <v>-0.108269</v>
      </c>
      <c r="AH7581">
        <v>0.64668624601042701</v>
      </c>
      <c r="AI7581">
        <v>99.503108826616497</v>
      </c>
      <c r="AJ7581">
        <v>90.946242721229197</v>
      </c>
      <c r="AK7581">
        <v>0.65577386459587295</v>
      </c>
      <c r="AL7581">
        <v>96.876623940917895</v>
      </c>
      <c r="AM7581">
        <v>88.751170408209404</v>
      </c>
      <c r="AN7581">
        <v>1.00000004529863</v>
      </c>
    </row>
    <row r="7582" spans="1:40" x14ac:dyDescent="0.25">
      <c r="A7582" t="str">
        <f>"20190303154330651"</f>
        <v>20190303154330651</v>
      </c>
      <c r="B7582" t="str">
        <f>"1551599010648070"</f>
        <v>1551599010648070</v>
      </c>
      <c r="C7582" t="s">
        <v>40</v>
      </c>
      <c r="D7582">
        <v>5.8846429999999996</v>
      </c>
      <c r="E7582">
        <v>0.49293019999999999</v>
      </c>
      <c r="F7582" t="s">
        <v>42</v>
      </c>
      <c r="G7582">
        <v>-285.19709999999998</v>
      </c>
      <c r="H7582">
        <v>1.0140610000000001</v>
      </c>
      <c r="I7582">
        <v>-61.53951</v>
      </c>
      <c r="J7582">
        <v>-285.9418</v>
      </c>
      <c r="K7582">
        <v>1.119421</v>
      </c>
      <c r="L7582">
        <v>-61.55789</v>
      </c>
      <c r="M7582">
        <v>0.99961029999999995</v>
      </c>
      <c r="N7582">
        <v>-1.4392230000000001E-2</v>
      </c>
      <c r="O7582">
        <v>2.3919490000000002E-2</v>
      </c>
      <c r="P7582">
        <v>0.99099369999999998</v>
      </c>
      <c r="Q7582">
        <v>-0.133882</v>
      </c>
      <c r="R7582">
        <v>2.689777E-3</v>
      </c>
      <c r="S7582">
        <v>2.9767459999999999</v>
      </c>
      <c r="T7582">
        <v>-0.37210070000000001</v>
      </c>
      <c r="U7582">
        <v>6.9763179999999994E-2</v>
      </c>
      <c r="V7582">
        <v>2.0567479999999999E-2</v>
      </c>
      <c r="W7582">
        <v>-0.119686899999999</v>
      </c>
      <c r="X7582">
        <v>0.9925986</v>
      </c>
      <c r="Y7582">
        <v>3.4388540000000002E-4</v>
      </c>
      <c r="Z7582">
        <v>-2.658381E-3</v>
      </c>
      <c r="AA7582">
        <v>0.99999640000000001</v>
      </c>
      <c r="AB7582">
        <v>20</v>
      </c>
      <c r="AC7582">
        <v>0.74470000000002201</v>
      </c>
      <c r="AD7582">
        <v>-0.105359999999999</v>
      </c>
      <c r="AE7582">
        <v>1.83800000000005E-2</v>
      </c>
      <c r="AF7582">
        <v>-5.4906737560250698E-4</v>
      </c>
      <c r="AG7582">
        <v>-0.105359999999999</v>
      </c>
      <c r="AH7582">
        <v>0.73031705937982505</v>
      </c>
      <c r="AI7582">
        <v>98.209197632341798</v>
      </c>
      <c r="AJ7582">
        <v>90.043076136534097</v>
      </c>
      <c r="AK7582">
        <v>0.73787806465308203</v>
      </c>
      <c r="AL7582">
        <v>96.874033191956102</v>
      </c>
      <c r="AM7582">
        <v>88.812953001953503</v>
      </c>
      <c r="AN7582">
        <v>0.999999977993559</v>
      </c>
    </row>
    <row r="7583" spans="1:40" x14ac:dyDescent="0.25">
      <c r="A7583" t="str">
        <f>"20190303154330663"</f>
        <v>20190303154330663</v>
      </c>
      <c r="B7583" t="str">
        <f>"1551599010657834"</f>
        <v>1551599010657834</v>
      </c>
      <c r="C7583" t="s">
        <v>40</v>
      </c>
      <c r="D7583">
        <v>5.9046339999999997</v>
      </c>
      <c r="E7583">
        <v>0.49347049999999998</v>
      </c>
      <c r="F7583" t="s">
        <v>42</v>
      </c>
      <c r="G7583">
        <v>-285.19130000000001</v>
      </c>
      <c r="H7583">
        <v>1.026043</v>
      </c>
      <c r="I7583">
        <v>-61.541730000000001</v>
      </c>
      <c r="J7583">
        <v>-285.84469999999999</v>
      </c>
      <c r="K7583">
        <v>1.1194630000000001</v>
      </c>
      <c r="L7583">
        <v>-61.556789999999999</v>
      </c>
      <c r="M7583">
        <v>0.99963480000000005</v>
      </c>
      <c r="N7583">
        <v>-1.438619E-2</v>
      </c>
      <c r="O7583">
        <v>2.2875690000000001E-2</v>
      </c>
      <c r="P7583">
        <v>0.9909618</v>
      </c>
      <c r="Q7583">
        <v>-0.13411229999999999</v>
      </c>
      <c r="R7583">
        <v>2.96116E-3</v>
      </c>
      <c r="S7583">
        <v>2.9770810000000001</v>
      </c>
      <c r="T7583">
        <v>-0.37025560000000002</v>
      </c>
      <c r="U7583">
        <v>6.4697270000000001E-2</v>
      </c>
      <c r="V7583">
        <v>1.9272790000000001E-2</v>
      </c>
      <c r="W7583">
        <v>-0.1199163</v>
      </c>
      <c r="X7583">
        <v>0.9925969</v>
      </c>
      <c r="Y7583">
        <v>1.005356E-3</v>
      </c>
      <c r="Z7583">
        <v>-2.5749459999999998E-3</v>
      </c>
      <c r="AA7583">
        <v>0.9999962</v>
      </c>
      <c r="AB7583">
        <v>20</v>
      </c>
      <c r="AC7583">
        <v>0.653399999999976</v>
      </c>
      <c r="AD7583">
        <v>-9.3419999999999795E-2</v>
      </c>
      <c r="AE7583">
        <v>1.50599999999982E-2</v>
      </c>
      <c r="AF7583">
        <v>-1.05382299197648E-4</v>
      </c>
      <c r="AG7583">
        <v>-9.3419999999999795E-2</v>
      </c>
      <c r="AH7583">
        <v>0.64048768489710295</v>
      </c>
      <c r="AI7583">
        <v>98.298506580364204</v>
      </c>
      <c r="AJ7583">
        <v>90.009427130399601</v>
      </c>
      <c r="AK7583">
        <v>0.64726484688285002</v>
      </c>
      <c r="AL7583">
        <v>96.887272161008099</v>
      </c>
      <c r="AM7583">
        <v>88.887654404494896</v>
      </c>
      <c r="AN7583">
        <v>0.99999998266484103</v>
      </c>
    </row>
    <row r="7584" spans="1:40" x14ac:dyDescent="0.25">
      <c r="A7584" t="str">
        <f>"20190303154330673"</f>
        <v>20190303154330673</v>
      </c>
      <c r="B7584" t="str">
        <f>"1551599010667591"</f>
        <v>1551599010667591</v>
      </c>
      <c r="C7584" t="s">
        <v>40</v>
      </c>
      <c r="D7584">
        <v>5.9618890000000002</v>
      </c>
      <c r="E7584">
        <v>0.49347049999999998</v>
      </c>
      <c r="F7584" t="s">
        <v>42</v>
      </c>
      <c r="G7584">
        <v>-285.01900000000001</v>
      </c>
      <c r="H7584">
        <v>1.0160439999999999</v>
      </c>
      <c r="I7584">
        <v>-61.539830000000002</v>
      </c>
      <c r="J7584">
        <v>-285.7491</v>
      </c>
      <c r="K7584">
        <v>1.1195109999999999</v>
      </c>
      <c r="L7584">
        <v>-61.555759999999999</v>
      </c>
      <c r="M7584">
        <v>0.99965780000000004</v>
      </c>
      <c r="N7584">
        <v>-1.43803E-2</v>
      </c>
      <c r="O7584">
        <v>2.1855090000000001E-2</v>
      </c>
      <c r="P7584">
        <v>0.99095449999999996</v>
      </c>
      <c r="Q7584">
        <v>-0.13415560000000001</v>
      </c>
      <c r="R7584">
        <v>3.4564510000000001E-3</v>
      </c>
      <c r="S7584">
        <v>2.976715</v>
      </c>
      <c r="T7584">
        <v>-0.37288460000000001</v>
      </c>
      <c r="U7584">
        <v>6.1187739999999997E-2</v>
      </c>
      <c r="V7584">
        <v>1.7780379999999998E-2</v>
      </c>
      <c r="W7584">
        <v>-0.1199573</v>
      </c>
      <c r="X7584">
        <v>0.99261980000000005</v>
      </c>
      <c r="Y7584">
        <v>1.162656E-3</v>
      </c>
      <c r="Z7584">
        <v>-2.494175E-3</v>
      </c>
      <c r="AA7584">
        <v>0.9999962</v>
      </c>
      <c r="AB7584">
        <v>20</v>
      </c>
      <c r="AC7584">
        <v>0.73009999999999298</v>
      </c>
      <c r="AD7584">
        <v>-0.103467</v>
      </c>
      <c r="AE7584">
        <v>1.59299999999973E-2</v>
      </c>
      <c r="AF7584" s="1">
        <v>3.1228860645325297E-5</v>
      </c>
      <c r="AG7584">
        <v>-0.103467</v>
      </c>
      <c r="AH7584">
        <v>0.71590278699796595</v>
      </c>
      <c r="AI7584">
        <v>98.223820484465605</v>
      </c>
      <c r="AJ7584">
        <v>89.997500663574201</v>
      </c>
      <c r="AK7584">
        <v>0.72334101328190703</v>
      </c>
      <c r="AL7584">
        <v>96.889638376168193</v>
      </c>
      <c r="AM7584">
        <v>88.973794603699105</v>
      </c>
      <c r="AN7584">
        <v>0.99999998154413605</v>
      </c>
    </row>
    <row r="7585" spans="1:40" x14ac:dyDescent="0.25">
      <c r="A7585" t="str">
        <f>"20190303154330686"</f>
        <v>20190303154330686</v>
      </c>
      <c r="B7585" t="str">
        <f>"1551599010678327"</f>
        <v>1551599010678327</v>
      </c>
      <c r="C7585" t="s">
        <v>40</v>
      </c>
      <c r="D7585">
        <v>5.9358589999999998</v>
      </c>
      <c r="E7585">
        <v>0.49170190000000003</v>
      </c>
      <c r="F7585" t="s">
        <v>42</v>
      </c>
      <c r="G7585">
        <v>-285.01350000000002</v>
      </c>
      <c r="H7585">
        <v>1.0273350000000001</v>
      </c>
      <c r="I7585">
        <v>-61.5402699999999</v>
      </c>
      <c r="J7585">
        <v>-285.64620000000002</v>
      </c>
      <c r="K7585">
        <v>1.1195820000000001</v>
      </c>
      <c r="L7585">
        <v>-61.554780000000001</v>
      </c>
      <c r="M7585">
        <v>0.99968040000000002</v>
      </c>
      <c r="N7585">
        <v>-1.4373729999999999E-2</v>
      </c>
      <c r="O7585">
        <v>2.0798339999999998E-2</v>
      </c>
      <c r="P7585">
        <v>0.99091119999999999</v>
      </c>
      <c r="Q7585">
        <v>-0.1344582</v>
      </c>
      <c r="R7585">
        <v>4.0182830000000001E-3</v>
      </c>
      <c r="S7585">
        <v>2.9766539999999999</v>
      </c>
      <c r="T7585">
        <v>-0.37303730000000002</v>
      </c>
      <c r="U7585">
        <v>6.2713619999999998E-2</v>
      </c>
      <c r="V7585">
        <v>1.6189329999999998E-2</v>
      </c>
      <c r="W7585">
        <v>-0.120258199999999</v>
      </c>
      <c r="X7585">
        <v>0.99261060000000001</v>
      </c>
      <c r="Y7585">
        <v>-3.874212E-4</v>
      </c>
      <c r="Z7585">
        <v>-2.2708379999999998E-3</v>
      </c>
      <c r="AA7585">
        <v>0.99999729999999998</v>
      </c>
      <c r="AB7585">
        <v>20</v>
      </c>
      <c r="AC7585">
        <v>0.63269999999999904</v>
      </c>
      <c r="AD7585">
        <v>-9.2246999999999899E-2</v>
      </c>
      <c r="AE7585">
        <v>1.45100000000155E-2</v>
      </c>
      <c r="AF7585">
        <v>-1.3183813824574799E-3</v>
      </c>
      <c r="AG7585">
        <v>-9.2246999999999899E-2</v>
      </c>
      <c r="AH7585">
        <v>0.61969870930467896</v>
      </c>
      <c r="AI7585">
        <v>98.466734077993294</v>
      </c>
      <c r="AJ7585">
        <v>90.121894033191694</v>
      </c>
      <c r="AK7585">
        <v>0.62652832134896697</v>
      </c>
      <c r="AL7585">
        <v>96.907004498430595</v>
      </c>
      <c r="AM7585">
        <v>89.065597278174707</v>
      </c>
      <c r="AN7585">
        <v>0.99999996615272302</v>
      </c>
    </row>
    <row r="7586" spans="1:40" x14ac:dyDescent="0.25">
      <c r="A7586" t="str">
        <f>"20190303154330696"</f>
        <v>20190303154330696</v>
      </c>
      <c r="B7586" t="str">
        <f>"1551599010688087"</f>
        <v>1551599010688087</v>
      </c>
      <c r="C7586" t="s">
        <v>40</v>
      </c>
      <c r="D7586">
        <v>5.9223980000000003</v>
      </c>
      <c r="E7586">
        <v>0.49168269999999997</v>
      </c>
      <c r="F7586" t="s">
        <v>42</v>
      </c>
      <c r="G7586">
        <v>-284.84989999999999</v>
      </c>
      <c r="H7586">
        <v>1.0001100000000001</v>
      </c>
      <c r="I7586">
        <v>-61.534120000000001</v>
      </c>
      <c r="J7586">
        <v>-285.54750000000001</v>
      </c>
      <c r="K7586">
        <v>1.1196539999999999</v>
      </c>
      <c r="L7586">
        <v>-61.55386</v>
      </c>
      <c r="M7586">
        <v>0.9997009</v>
      </c>
      <c r="N7586">
        <v>-1.436752E-2</v>
      </c>
      <c r="O7586">
        <v>1.9799569999999999E-2</v>
      </c>
      <c r="P7586">
        <v>0.99093229999999999</v>
      </c>
      <c r="Q7586">
        <v>-0.13428300000000001</v>
      </c>
      <c r="R7586">
        <v>4.6617409999999996E-3</v>
      </c>
      <c r="S7586">
        <v>2.9668269999999999</v>
      </c>
      <c r="T7586">
        <v>-0.44498559999999998</v>
      </c>
      <c r="U7586">
        <v>7.7880859999999996E-2</v>
      </c>
      <c r="V7586">
        <v>1.4577089999999999E-2</v>
      </c>
      <c r="W7586">
        <v>-0.1200806</v>
      </c>
      <c r="X7586">
        <v>0.99265709999999996</v>
      </c>
      <c r="Y7586">
        <v>-6.542254E-3</v>
      </c>
      <c r="Z7586">
        <v>-2.1341760000000002E-3</v>
      </c>
      <c r="AA7586">
        <v>0.99997630000000004</v>
      </c>
      <c r="AB7586">
        <v>20</v>
      </c>
      <c r="AC7586">
        <v>0.69760000000002198</v>
      </c>
      <c r="AD7586">
        <v>-0.119544</v>
      </c>
      <c r="AE7586">
        <v>1.9740000000005802E-2</v>
      </c>
      <c r="AF7586">
        <v>-5.7536989498164102E-3</v>
      </c>
      <c r="AG7586">
        <v>-0.119544</v>
      </c>
      <c r="AH7586">
        <v>0.67796112641847095</v>
      </c>
      <c r="AI7586">
        <v>99.999742362222705</v>
      </c>
      <c r="AJ7586">
        <v>90.486244327635404</v>
      </c>
      <c r="AK7586">
        <v>0.68844401509651199</v>
      </c>
      <c r="AL7586">
        <v>96.896754393163704</v>
      </c>
      <c r="AM7586">
        <v>89.158676540118705</v>
      </c>
      <c r="AN7586">
        <v>0.99999998011481805</v>
      </c>
    </row>
    <row r="7587" spans="1:40" x14ac:dyDescent="0.25">
      <c r="A7587" t="str">
        <f>"20190303154330707"</f>
        <v>20190303154330707</v>
      </c>
      <c r="B7587" t="str">
        <f>"1551599010697847"</f>
        <v>1551599010697847</v>
      </c>
      <c r="C7587" t="s">
        <v>40</v>
      </c>
      <c r="D7587">
        <v>5.8950329999999997</v>
      </c>
      <c r="E7587">
        <v>0.49196040000000002</v>
      </c>
      <c r="F7587" t="s">
        <v>42</v>
      </c>
      <c r="G7587">
        <v>-284.67930000000001</v>
      </c>
      <c r="H7587">
        <v>0.98831670000000005</v>
      </c>
      <c r="I7587">
        <v>-61.53058</v>
      </c>
      <c r="J7587">
        <v>-285.45249999999999</v>
      </c>
      <c r="K7587">
        <v>1.1197319999999999</v>
      </c>
      <c r="L7587">
        <v>-61.553069999999998</v>
      </c>
      <c r="M7587">
        <v>0.99971840000000001</v>
      </c>
      <c r="N7587">
        <v>-1.4361530000000001E-2</v>
      </c>
      <c r="O7587">
        <v>1.889561E-2</v>
      </c>
      <c r="P7587">
        <v>0.991066</v>
      </c>
      <c r="Q7587">
        <v>-0.1332681</v>
      </c>
      <c r="R7587">
        <v>5.3262079999999998E-3</v>
      </c>
      <c r="S7587">
        <v>2.9663089999999999</v>
      </c>
      <c r="T7587">
        <v>-0.44867459999999998</v>
      </c>
      <c r="U7587">
        <v>7.9864500000000005E-2</v>
      </c>
      <c r="V7587">
        <v>1.3044299999999899E-2</v>
      </c>
      <c r="W7587">
        <v>-0.1190621</v>
      </c>
      <c r="X7587">
        <v>0.99280109999999999</v>
      </c>
      <c r="Y7587">
        <v>-8.0936340000000006E-3</v>
      </c>
      <c r="Z7587">
        <v>-1.904109E-3</v>
      </c>
      <c r="AA7587">
        <v>0.9999654</v>
      </c>
      <c r="AB7587">
        <v>20</v>
      </c>
      <c r="AC7587">
        <v>0.77319999999997402</v>
      </c>
      <c r="AD7587">
        <v>-0.13141529999999901</v>
      </c>
      <c r="AE7587">
        <v>2.24899999999905E-2</v>
      </c>
      <c r="AF7587">
        <v>-7.6534901765730103E-3</v>
      </c>
      <c r="AG7587">
        <v>-0.13141529999999901</v>
      </c>
      <c r="AH7587">
        <v>0.75178810092827197</v>
      </c>
      <c r="AI7587">
        <v>99.914825532250603</v>
      </c>
      <c r="AJ7587">
        <v>90.5832727824302</v>
      </c>
      <c r="AK7587">
        <v>0.76322598598535096</v>
      </c>
      <c r="AL7587">
        <v>96.837976940922005</v>
      </c>
      <c r="AM7587">
        <v>89.247240626395197</v>
      </c>
      <c r="AN7587">
        <v>0.99999998079005403</v>
      </c>
    </row>
    <row r="7588" spans="1:40" x14ac:dyDescent="0.25">
      <c r="A7588" t="str">
        <f>"20190303154330719"</f>
        <v>20190303154330719</v>
      </c>
      <c r="B7588" t="str">
        <f>"1551599010707607"</f>
        <v>1551599010707607</v>
      </c>
      <c r="C7588" t="s">
        <v>40</v>
      </c>
      <c r="D7588">
        <v>5.9173019999999896</v>
      </c>
      <c r="E7588">
        <v>0.49193490000000001</v>
      </c>
      <c r="F7588" t="s">
        <v>42</v>
      </c>
      <c r="G7588">
        <v>-284.67309999999998</v>
      </c>
      <c r="H7588">
        <v>1.001204</v>
      </c>
      <c r="I7588">
        <v>-61.532249999999998</v>
      </c>
      <c r="J7588">
        <v>-285.35309999999998</v>
      </c>
      <c r="K7588">
        <v>1.119823</v>
      </c>
      <c r="L7588">
        <v>-61.552280000000003</v>
      </c>
      <c r="M7588">
        <v>0.99973559999999995</v>
      </c>
      <c r="N7588">
        <v>-1.435531E-2</v>
      </c>
      <c r="O7588">
        <v>1.797176E-2</v>
      </c>
      <c r="P7588">
        <v>0.99120739999999996</v>
      </c>
      <c r="Q7588">
        <v>-0.13217019999999999</v>
      </c>
      <c r="R7588">
        <v>6.2712509999999898E-3</v>
      </c>
      <c r="S7588">
        <v>2.9659420000000001</v>
      </c>
      <c r="T7588">
        <v>-0.45098759999999999</v>
      </c>
      <c r="U7588">
        <v>7.9589839999999995E-2</v>
      </c>
      <c r="V7588">
        <v>1.1212130000000001E-2</v>
      </c>
      <c r="W7588">
        <v>-0.1179603</v>
      </c>
      <c r="X7588">
        <v>0.99295500000000003</v>
      </c>
      <c r="Y7588">
        <v>-8.9105729999999998E-3</v>
      </c>
      <c r="Z7588">
        <v>-1.721853E-3</v>
      </c>
      <c r="AA7588">
        <v>0.99995880000000004</v>
      </c>
      <c r="AB7588">
        <v>20</v>
      </c>
      <c r="AC7588">
        <v>0.68000000000000604</v>
      </c>
      <c r="AD7588">
        <v>-0.118619</v>
      </c>
      <c r="AE7588">
        <v>2.0030000000005498E-2</v>
      </c>
      <c r="AF7588">
        <v>-7.5744261958674902E-3</v>
      </c>
      <c r="AG7588">
        <v>-0.118619</v>
      </c>
      <c r="AH7588">
        <v>0.66017885838356605</v>
      </c>
      <c r="AI7588">
        <v>100.185394280045</v>
      </c>
      <c r="AJ7588">
        <v>90.657342486207</v>
      </c>
      <c r="AK7588">
        <v>0.67079353317531698</v>
      </c>
      <c r="AL7588">
        <v>96.774400354558594</v>
      </c>
      <c r="AM7588">
        <v>89.353061893362295</v>
      </c>
      <c r="AN7588">
        <v>0.99999998813011304</v>
      </c>
    </row>
    <row r="7589" spans="1:40" x14ac:dyDescent="0.25">
      <c r="A7589" t="str">
        <f>"20190303154330729"</f>
        <v>20190303154330729</v>
      </c>
      <c r="B7589" t="str">
        <f>"1551599010718343"</f>
        <v>1551599010718343</v>
      </c>
      <c r="C7589" t="s">
        <v>40</v>
      </c>
      <c r="D7589">
        <v>5.8998499999999998</v>
      </c>
      <c r="E7589">
        <v>0.49227480000000001</v>
      </c>
      <c r="F7589" t="s">
        <v>42</v>
      </c>
      <c r="G7589">
        <v>-284.50139999999999</v>
      </c>
      <c r="H7589">
        <v>0.99221919999999997</v>
      </c>
      <c r="I7589">
        <v>-61.528750000000002</v>
      </c>
      <c r="J7589">
        <v>-285.2568</v>
      </c>
      <c r="K7589">
        <v>1.119907</v>
      </c>
      <c r="L7589">
        <v>-61.551569999999998</v>
      </c>
      <c r="M7589">
        <v>0.99975040000000004</v>
      </c>
      <c r="N7589">
        <v>-1.434915E-2</v>
      </c>
      <c r="O7589">
        <v>1.7130579999999999E-2</v>
      </c>
      <c r="P7589">
        <v>0.99133740000000004</v>
      </c>
      <c r="Q7589">
        <v>-0.131166</v>
      </c>
      <c r="R7589">
        <v>6.7715099999999997E-3</v>
      </c>
      <c r="S7589">
        <v>2.9668269999999999</v>
      </c>
      <c r="T7589">
        <v>-0.4444475</v>
      </c>
      <c r="U7589">
        <v>8.2611080000000003E-2</v>
      </c>
      <c r="V7589">
        <v>9.9050019999999996E-3</v>
      </c>
      <c r="W7589">
        <v>-0.11695460000000001</v>
      </c>
      <c r="X7589">
        <v>0.99308790000000002</v>
      </c>
      <c r="Y7589">
        <v>-1.0729249999999999E-2</v>
      </c>
      <c r="Z7589">
        <v>-1.4302179999999901E-3</v>
      </c>
      <c r="AA7589">
        <v>0.99994139999999998</v>
      </c>
      <c r="AB7589">
        <v>20</v>
      </c>
      <c r="AC7589">
        <v>0.75540000000000795</v>
      </c>
      <c r="AD7589">
        <v>-0.12768779999999999</v>
      </c>
      <c r="AE7589">
        <v>2.2819999999995799E-2</v>
      </c>
      <c r="AF7589">
        <v>-9.6008126220659892E-3</v>
      </c>
      <c r="AG7589">
        <v>-0.12768779999999999</v>
      </c>
      <c r="AH7589">
        <v>0.73470697927988704</v>
      </c>
      <c r="AI7589">
        <v>99.858371440324802</v>
      </c>
      <c r="AJ7589">
        <v>90.7486722609884</v>
      </c>
      <c r="AK7589">
        <v>0.74578193547069804</v>
      </c>
      <c r="AL7589">
        <v>96.716376040533106</v>
      </c>
      <c r="AM7589">
        <v>89.428554115815601</v>
      </c>
      <c r="AN7589">
        <v>1.00000003232609</v>
      </c>
    </row>
    <row r="7590" spans="1:40" x14ac:dyDescent="0.25">
      <c r="A7590" t="str">
        <f>"20190303154330740"</f>
        <v>20190303154330740</v>
      </c>
      <c r="B7590" t="str">
        <f>"1551599010737863"</f>
        <v>1551599010737863</v>
      </c>
      <c r="C7590" t="s">
        <v>40</v>
      </c>
      <c r="D7590">
        <v>5.8350650000000002</v>
      </c>
      <c r="E7590">
        <v>0.5004092</v>
      </c>
      <c r="F7590" t="s">
        <v>42</v>
      </c>
      <c r="G7590">
        <v>-284.4939</v>
      </c>
      <c r="H7590">
        <v>1.00776</v>
      </c>
      <c r="I7590">
        <v>-61.530830000000002</v>
      </c>
      <c r="J7590">
        <v>-285.16309999999999</v>
      </c>
      <c r="K7590">
        <v>1.1199889999999999</v>
      </c>
      <c r="L7590">
        <v>-61.550899999999999</v>
      </c>
      <c r="M7590">
        <v>0.99976370000000003</v>
      </c>
      <c r="N7590">
        <v>-1.434323E-2</v>
      </c>
      <c r="O7590">
        <v>1.6344689999999999E-2</v>
      </c>
      <c r="P7590">
        <v>0.99160409999999999</v>
      </c>
      <c r="Q7590">
        <v>-0.1290936</v>
      </c>
      <c r="R7590">
        <v>7.5178399999999996E-3</v>
      </c>
      <c r="S7590">
        <v>2.9679570000000002</v>
      </c>
      <c r="T7590">
        <v>-0.43613220000000003</v>
      </c>
      <c r="U7590">
        <v>8.1420899999999893E-2</v>
      </c>
      <c r="V7590">
        <v>8.4098909999999992E-3</v>
      </c>
      <c r="W7590">
        <v>-0.1148787</v>
      </c>
      <c r="X7590">
        <v>0.99334389999999995</v>
      </c>
      <c r="Y7590">
        <v>-1.1091139999999999E-2</v>
      </c>
      <c r="Z7590">
        <v>-1.2645930000000001E-3</v>
      </c>
      <c r="AA7590">
        <v>0.99993770000000004</v>
      </c>
      <c r="AB7590">
        <v>20</v>
      </c>
      <c r="AC7590">
        <v>0.66919999999998903</v>
      </c>
      <c r="AD7590">
        <v>-0.112228999999999</v>
      </c>
      <c r="AE7590">
        <v>2.0069999999996899E-2</v>
      </c>
      <c r="AF7590">
        <v>-8.8788323399289302E-3</v>
      </c>
      <c r="AG7590">
        <v>-0.112228999999999</v>
      </c>
      <c r="AH7590">
        <v>0.65114151748729898</v>
      </c>
      <c r="AI7590">
        <v>99.778372673799694</v>
      </c>
      <c r="AJ7590">
        <v>90.781225095250207</v>
      </c>
      <c r="AK7590">
        <v>0.66080213218510697</v>
      </c>
      <c r="AL7590">
        <v>96.5966288825351</v>
      </c>
      <c r="AM7590">
        <v>89.514931587776005</v>
      </c>
      <c r="AN7590">
        <v>0.99999997282376496</v>
      </c>
    </row>
    <row r="7591" spans="1:40" x14ac:dyDescent="0.25">
      <c r="A7591" t="str">
        <f>"20190303154330751"</f>
        <v>20190303154330751</v>
      </c>
      <c r="B7591" t="str">
        <f>"1551599010747623"</f>
        <v>1551599010747623</v>
      </c>
      <c r="C7591" t="s">
        <v>40</v>
      </c>
      <c r="D7591">
        <v>5.7880960000000004</v>
      </c>
      <c r="E7591">
        <v>0.50163159999999996</v>
      </c>
      <c r="F7591" t="s">
        <v>41</v>
      </c>
      <c r="G7591">
        <v>-272.01069999999999</v>
      </c>
      <c r="H7591" s="1">
        <v>-2.5608229999999998E-7</v>
      </c>
      <c r="I7591">
        <v>-61.459420000000001</v>
      </c>
      <c r="J7591">
        <v>-285.06270000000001</v>
      </c>
      <c r="K7591">
        <v>1.12007099999999</v>
      </c>
      <c r="L7591">
        <v>-61.550229999999999</v>
      </c>
      <c r="M7591">
        <v>0.99977640000000001</v>
      </c>
      <c r="N7591">
        <v>-1.4336990000000001E-2</v>
      </c>
      <c r="O7591">
        <v>1.554901E-2</v>
      </c>
      <c r="P7591">
        <v>0.99178299999999997</v>
      </c>
      <c r="Q7591">
        <v>-0.12770090000000001</v>
      </c>
      <c r="R7591">
        <v>7.684845E-3</v>
      </c>
      <c r="S7591">
        <v>2.9920960000000001</v>
      </c>
      <c r="T7591">
        <v>-0.25479230000000003</v>
      </c>
      <c r="U7591">
        <v>2.081299E-2</v>
      </c>
      <c r="V7591">
        <v>7.4813240000000001E-3</v>
      </c>
      <c r="W7591">
        <v>-0.1134859</v>
      </c>
      <c r="X7591">
        <v>0.99351140000000004</v>
      </c>
      <c r="Y7591">
        <v>8.5202880000000009E-3</v>
      </c>
      <c r="Z7591">
        <v>-1.522327E-3</v>
      </c>
      <c r="AA7591">
        <v>0.99996260000000003</v>
      </c>
      <c r="AB7591">
        <v>20</v>
      </c>
      <c r="AC7591">
        <v>13.052</v>
      </c>
      <c r="AD7591">
        <v>-1.1200712560822901</v>
      </c>
      <c r="AE7591">
        <v>9.0810000000011798E-2</v>
      </c>
      <c r="AF7591">
        <v>0.11134753488744301</v>
      </c>
      <c r="AG7591">
        <v>-1.1200712560822901</v>
      </c>
      <c r="AH7591">
        <v>12.956422313902801</v>
      </c>
      <c r="AI7591">
        <v>94.940703893808603</v>
      </c>
      <c r="AJ7591">
        <v>89.507612009090707</v>
      </c>
      <c r="AK7591">
        <v>13.0052234532293</v>
      </c>
      <c r="AL7591">
        <v>96.516302037396301</v>
      </c>
      <c r="AM7591">
        <v>89.568560372163205</v>
      </c>
      <c r="AN7591">
        <v>0.99999996081877995</v>
      </c>
    </row>
    <row r="7592" spans="1:40" x14ac:dyDescent="0.25">
      <c r="A7592" t="str">
        <f>"20190303154330764"</f>
        <v>20190303154330764</v>
      </c>
      <c r="B7592" t="str">
        <f>"1551599010758359"</f>
        <v>1551599010758359</v>
      </c>
      <c r="C7592" t="s">
        <v>40</v>
      </c>
      <c r="D7592">
        <v>5.8707500000000001</v>
      </c>
      <c r="E7592">
        <v>0.50036139999999996</v>
      </c>
      <c r="F7592" t="s">
        <v>65</v>
      </c>
      <c r="G7592">
        <v>-269.65769999999998</v>
      </c>
      <c r="H7592" s="1">
        <v>-3.3709959999999999E-6</v>
      </c>
      <c r="I7592">
        <v>-61.4886699999999</v>
      </c>
      <c r="J7592">
        <v>-284.959</v>
      </c>
      <c r="K7592">
        <v>1.120153</v>
      </c>
      <c r="L7592">
        <v>-61.549590000000002</v>
      </c>
      <c r="M7592">
        <v>0.99978809999999996</v>
      </c>
      <c r="N7592">
        <v>-1.4330580000000001E-2</v>
      </c>
      <c r="O7592">
        <v>1.4785049999999999E-2</v>
      </c>
      <c r="P7592">
        <v>0.99195949999999999</v>
      </c>
      <c r="Q7592">
        <v>-0.12629280000000001</v>
      </c>
      <c r="R7592">
        <v>8.1805929999999999E-3</v>
      </c>
      <c r="S7592">
        <v>2.9967039999999998</v>
      </c>
      <c r="T7592">
        <v>-0.2178853</v>
      </c>
      <c r="U7592">
        <v>1.196289E-2</v>
      </c>
      <c r="V7592">
        <v>6.2540340000000003E-3</v>
      </c>
      <c r="W7592">
        <v>-0.1120776</v>
      </c>
      <c r="X7592">
        <v>0.9936798</v>
      </c>
      <c r="Y7592">
        <v>1.073581E-2</v>
      </c>
      <c r="Z7592">
        <v>-1.328692E-3</v>
      </c>
      <c r="AA7592">
        <v>0.99994150000000004</v>
      </c>
      <c r="AB7592">
        <v>20</v>
      </c>
      <c r="AC7592">
        <v>15.301299999999999</v>
      </c>
      <c r="AD7592">
        <v>-1.1201563709960001</v>
      </c>
      <c r="AE7592">
        <v>6.0920000000010001E-2</v>
      </c>
      <c r="AF7592">
        <v>0.16445899969730901</v>
      </c>
      <c r="AG7592">
        <v>-1.1201563709960001</v>
      </c>
      <c r="AH7592">
        <v>15.218967622043699</v>
      </c>
      <c r="AI7592">
        <v>94.209285868479697</v>
      </c>
      <c r="AJ7592">
        <v>89.380875229729696</v>
      </c>
      <c r="AK7592">
        <v>15.261021346518</v>
      </c>
      <c r="AL7592">
        <v>96.435093855012397</v>
      </c>
      <c r="AM7592">
        <v>89.639395888042401</v>
      </c>
      <c r="AN7592">
        <v>1.0000000231455299</v>
      </c>
    </row>
    <row r="7593" spans="1:40" x14ac:dyDescent="0.25">
      <c r="A7593" t="str">
        <f>"20190303154330773"</f>
        <v>20190303154330773</v>
      </c>
      <c r="B7593" t="str">
        <f>"1551599010768118"</f>
        <v>1551599010768118</v>
      </c>
      <c r="C7593" t="s">
        <v>40</v>
      </c>
      <c r="D7593">
        <v>5.8691959999999996</v>
      </c>
      <c r="E7593">
        <v>0.49994569999999999</v>
      </c>
      <c r="F7593" t="s">
        <v>41</v>
      </c>
      <c r="G7593">
        <v>-268.80439999999999</v>
      </c>
      <c r="H7593" s="1">
        <v>-3.0587119999999999E-6</v>
      </c>
      <c r="I7593">
        <v>-61.42239</v>
      </c>
      <c r="J7593">
        <v>-284.86180000000002</v>
      </c>
      <c r="K7593">
        <v>1.1202270000000001</v>
      </c>
      <c r="L7593">
        <v>-61.54898</v>
      </c>
      <c r="M7593">
        <v>0.99979810000000002</v>
      </c>
      <c r="N7593">
        <v>-1.432464E-2</v>
      </c>
      <c r="O7593">
        <v>1.4095460000000001E-2</v>
      </c>
      <c r="P7593">
        <v>0.99212160000000005</v>
      </c>
      <c r="Q7593">
        <v>-0.12497949999999999</v>
      </c>
      <c r="R7593">
        <v>8.6763020000000003E-3</v>
      </c>
      <c r="S7593">
        <v>2.9976500000000001</v>
      </c>
      <c r="T7593">
        <v>-0.20785670000000001</v>
      </c>
      <c r="U7593">
        <v>2.3590090000000001E-2</v>
      </c>
      <c r="V7593">
        <v>5.0979119999999996E-3</v>
      </c>
      <c r="W7593">
        <v>-0.1107645</v>
      </c>
      <c r="X7593">
        <v>0.99383359999999998</v>
      </c>
      <c r="Y7593">
        <v>6.1887269999999998E-3</v>
      </c>
      <c r="Z7593">
        <v>-1.0331120000000001E-3</v>
      </c>
      <c r="AA7593">
        <v>0.99998030000000004</v>
      </c>
      <c r="AB7593">
        <v>20</v>
      </c>
      <c r="AC7593">
        <v>16.057400000000001</v>
      </c>
      <c r="AD7593">
        <v>-1.120230058712</v>
      </c>
      <c r="AE7593">
        <v>0.126590000000007</v>
      </c>
      <c r="AF7593">
        <v>9.9298968991495401E-2</v>
      </c>
      <c r="AG7593">
        <v>-1.120230058712</v>
      </c>
      <c r="AH7593">
        <v>15.9798195407389</v>
      </c>
      <c r="AI7593">
        <v>94.009956894050305</v>
      </c>
      <c r="AJ7593">
        <v>89.643967280736106</v>
      </c>
      <c r="AK7593">
        <v>16.019344812577899</v>
      </c>
      <c r="AL7593">
        <v>96.359387547754807</v>
      </c>
      <c r="AM7593">
        <v>89.706101423683705</v>
      </c>
      <c r="AN7593">
        <v>0.99999999382798399</v>
      </c>
    </row>
    <row r="7594" spans="1:40" x14ac:dyDescent="0.25">
      <c r="A7594" t="str">
        <f>"20190303154330785"</f>
        <v>20190303154330785</v>
      </c>
      <c r="B7594" t="str">
        <f>"1551599010777879"</f>
        <v>1551599010777879</v>
      </c>
      <c r="C7594" t="s">
        <v>40</v>
      </c>
      <c r="D7594">
        <v>5.9035690000000001</v>
      </c>
      <c r="E7594">
        <v>0.49972359999999999</v>
      </c>
      <c r="F7594" t="s">
        <v>41</v>
      </c>
      <c r="G7594">
        <v>-268.17579999999998</v>
      </c>
      <c r="H7594" s="1">
        <v>-2.7806600000000001E-6</v>
      </c>
      <c r="I7594">
        <v>-61.390970000000003</v>
      </c>
      <c r="J7594">
        <v>-284.7654</v>
      </c>
      <c r="K7594">
        <v>1.120295</v>
      </c>
      <c r="L7594">
        <v>-61.548430000000003</v>
      </c>
      <c r="M7594">
        <v>0.99980659999999999</v>
      </c>
      <c r="N7594">
        <v>-1.431878E-2</v>
      </c>
      <c r="O7594">
        <v>1.348471E-2</v>
      </c>
      <c r="P7594">
        <v>0.99218989999999996</v>
      </c>
      <c r="Q7594">
        <v>-0.1243938</v>
      </c>
      <c r="R7594">
        <v>9.2573069999999993E-3</v>
      </c>
      <c r="S7594">
        <v>2.9982600000000001</v>
      </c>
      <c r="T7594">
        <v>-0.2012901</v>
      </c>
      <c r="U7594">
        <v>2.838135E-2</v>
      </c>
      <c r="V7594">
        <v>3.930027E-3</v>
      </c>
      <c r="W7594">
        <v>-0.11018070000000001</v>
      </c>
      <c r="X7594">
        <v>0.9939038</v>
      </c>
      <c r="Y7594">
        <v>3.9911510000000001E-3</v>
      </c>
      <c r="Z7594">
        <v>-8.7374079999999997E-4</v>
      </c>
      <c r="AA7594">
        <v>0.99999170000000004</v>
      </c>
      <c r="AB7594">
        <v>20</v>
      </c>
      <c r="AC7594">
        <v>16.589600000000001</v>
      </c>
      <c r="AD7594">
        <v>-1.1202977806600001</v>
      </c>
      <c r="AE7594">
        <v>0.15746000000000701</v>
      </c>
      <c r="AF7594">
        <v>6.5982316439674296E-2</v>
      </c>
      <c r="AG7594">
        <v>-1.1202977806600001</v>
      </c>
      <c r="AH7594">
        <v>16.514908388661802</v>
      </c>
      <c r="AI7594">
        <v>93.880714108094594</v>
      </c>
      <c r="AJ7594">
        <v>89.7710863390718</v>
      </c>
      <c r="AK7594">
        <v>16.552994287116999</v>
      </c>
      <c r="AL7594">
        <v>96.325732248097793</v>
      </c>
      <c r="AM7594">
        <v>89.773446095145403</v>
      </c>
      <c r="AN7594">
        <v>0.99999999770957504</v>
      </c>
    </row>
    <row r="7595" spans="1:40" x14ac:dyDescent="0.25">
      <c r="A7595" t="str">
        <f>"20190303154330796"</f>
        <v>20190303154330796</v>
      </c>
      <c r="B7595" t="str">
        <f>"1551599010787639"</f>
        <v>1551599010787639</v>
      </c>
      <c r="C7595" t="s">
        <v>40</v>
      </c>
      <c r="D7595">
        <v>5.8523430000000003</v>
      </c>
      <c r="E7595">
        <v>0.49947180000000002</v>
      </c>
      <c r="F7595" t="s">
        <v>41</v>
      </c>
      <c r="G7595">
        <v>-267.76209999999998</v>
      </c>
      <c r="H7595" s="1">
        <v>-2.5967009999999999E-6</v>
      </c>
      <c r="I7595">
        <v>-61.366489999999999</v>
      </c>
      <c r="J7595">
        <v>-284.67009999999999</v>
      </c>
      <c r="K7595">
        <v>1.120358</v>
      </c>
      <c r="L7595">
        <v>-61.547849999999997</v>
      </c>
      <c r="M7595">
        <v>0.9998146</v>
      </c>
      <c r="N7595">
        <v>-1.4313070000000001E-2</v>
      </c>
      <c r="O7595">
        <v>1.2894549999999999E-2</v>
      </c>
      <c r="P7595">
        <v>0.99226300000000001</v>
      </c>
      <c r="Q7595">
        <v>-0.1237253</v>
      </c>
      <c r="R7595">
        <v>1.0313879999999999E-2</v>
      </c>
      <c r="S7595">
        <v>2.9985050000000002</v>
      </c>
      <c r="T7595">
        <v>-0.19756319999999999</v>
      </c>
      <c r="U7595">
        <v>3.207397E-2</v>
      </c>
      <c r="V7595">
        <v>2.3067679999999998E-3</v>
      </c>
      <c r="W7595">
        <v>-0.1095134</v>
      </c>
      <c r="X7595">
        <v>0.99398260000000005</v>
      </c>
      <c r="Y7595">
        <v>2.177099E-3</v>
      </c>
      <c r="Z7595">
        <v>-7.5143809999999895E-4</v>
      </c>
      <c r="AA7595">
        <v>0.99999740000000004</v>
      </c>
      <c r="AB7595">
        <v>20</v>
      </c>
      <c r="AC7595">
        <v>16.908000000000001</v>
      </c>
      <c r="AD7595">
        <v>-1.120360596701</v>
      </c>
      <c r="AE7595">
        <v>0.181359999999998</v>
      </c>
      <c r="AF7595">
        <v>3.6538020008394699E-2</v>
      </c>
      <c r="AG7595">
        <v>-1.120360596701</v>
      </c>
      <c r="AH7595">
        <v>16.8350242105905</v>
      </c>
      <c r="AI7595">
        <v>93.807376131920506</v>
      </c>
      <c r="AJ7595">
        <v>89.875647874039402</v>
      </c>
      <c r="AK7595">
        <v>16.872302245535799</v>
      </c>
      <c r="AL7595">
        <v>96.287266248797593</v>
      </c>
      <c r="AM7595">
        <v>89.867032045189006</v>
      </c>
      <c r="AN7595">
        <v>0.999999957530462</v>
      </c>
    </row>
    <row r="7596" spans="1:40" x14ac:dyDescent="0.25">
      <c r="A7596" t="str">
        <f>"20190303154330808"</f>
        <v>20190303154330808</v>
      </c>
      <c r="B7596" t="str">
        <f>"1551599010798375"</f>
        <v>1551599010798375</v>
      </c>
      <c r="C7596" t="s">
        <v>40</v>
      </c>
      <c r="D7596">
        <v>5.8695139999999997</v>
      </c>
      <c r="E7596">
        <v>0.49939119999999998</v>
      </c>
      <c r="F7596" t="s">
        <v>41</v>
      </c>
      <c r="G7596">
        <v>-267.15820000000002</v>
      </c>
      <c r="H7596" s="1">
        <v>-2.3277370000000001E-6</v>
      </c>
      <c r="I7596">
        <v>-61.329320000000003</v>
      </c>
      <c r="J7596">
        <v>-284.56799999999998</v>
      </c>
      <c r="K7596">
        <v>1.120422</v>
      </c>
      <c r="L7596">
        <v>-61.5473</v>
      </c>
      <c r="M7596">
        <v>0.99982170000000004</v>
      </c>
      <c r="N7596">
        <v>-1.430707E-2</v>
      </c>
      <c r="O7596">
        <v>1.233477E-2</v>
      </c>
      <c r="P7596">
        <v>0.9922647</v>
      </c>
      <c r="Q7596">
        <v>-0.12364559999999999</v>
      </c>
      <c r="R7596">
        <v>1.10794E-2</v>
      </c>
      <c r="S7596">
        <v>2.9990540000000001</v>
      </c>
      <c r="T7596">
        <v>-0.19187119999999999</v>
      </c>
      <c r="U7596">
        <v>3.7414549999999998E-2</v>
      </c>
      <c r="V7596">
        <v>1.002541E-3</v>
      </c>
      <c r="W7596">
        <v>-0.1094372</v>
      </c>
      <c r="X7596">
        <v>0.99399320000000002</v>
      </c>
      <c r="Y7596">
        <v>-1.5327099999999999E-4</v>
      </c>
      <c r="Z7596">
        <v>-6.0593879999999896E-4</v>
      </c>
      <c r="AA7596">
        <v>0.99999979999999999</v>
      </c>
      <c r="AB7596">
        <v>19</v>
      </c>
      <c r="AC7596">
        <v>17.409799999999901</v>
      </c>
      <c r="AD7596">
        <v>-1.1204243277370001</v>
      </c>
      <c r="AE7596">
        <v>0.217980000000004</v>
      </c>
      <c r="AF7596">
        <v>-3.18240359936647E-3</v>
      </c>
      <c r="AG7596">
        <v>-1.1204243277370001</v>
      </c>
      <c r="AH7596">
        <v>17.3393612786525</v>
      </c>
      <c r="AI7596">
        <v>93.697163853489002</v>
      </c>
      <c r="AJ7596">
        <v>90.010515859838904</v>
      </c>
      <c r="AK7596">
        <v>17.375523311644699</v>
      </c>
      <c r="AL7596">
        <v>96.282873681718698</v>
      </c>
      <c r="AM7596">
        <v>89.942211527592903</v>
      </c>
      <c r="AN7596">
        <v>0.99999999373926796</v>
      </c>
    </row>
    <row r="7597" spans="1:40" x14ac:dyDescent="0.25">
      <c r="A7597" t="str">
        <f>"20190303154330821"</f>
        <v>20190303154330821</v>
      </c>
      <c r="B7597" t="str">
        <f>"1551599010817895"</f>
        <v>1551599010817895</v>
      </c>
      <c r="C7597" t="s">
        <v>40</v>
      </c>
      <c r="D7597">
        <v>5.7934710000000003</v>
      </c>
      <c r="E7597">
        <v>0.49916490000000002</v>
      </c>
      <c r="F7597" t="s">
        <v>41</v>
      </c>
      <c r="G7597">
        <v>-266.85239999999999</v>
      </c>
      <c r="H7597" s="1">
        <v>-2.190905E-6</v>
      </c>
      <c r="I7597">
        <v>-61.308039999999998</v>
      </c>
      <c r="J7597">
        <v>-284.45890000000003</v>
      </c>
      <c r="K7597">
        <v>1.120485</v>
      </c>
      <c r="L7597">
        <v>-61.546660000000003</v>
      </c>
      <c r="M7597">
        <v>0.99982850000000001</v>
      </c>
      <c r="N7597">
        <v>-1.4300810000000001E-2</v>
      </c>
      <c r="O7597">
        <v>1.1766540000000001E-2</v>
      </c>
      <c r="P7597">
        <v>0.99229869999999998</v>
      </c>
      <c r="Q7597">
        <v>-0.1232878</v>
      </c>
      <c r="R7597">
        <v>1.1984E-2</v>
      </c>
      <c r="S7597">
        <v>2.9993590000000001</v>
      </c>
      <c r="T7597">
        <v>-0.18969520000000001</v>
      </c>
      <c r="U7597">
        <v>4.0496829999999998E-2</v>
      </c>
      <c r="V7597">
        <v>-4.4774840000000001E-4</v>
      </c>
      <c r="W7597">
        <v>-0.109083</v>
      </c>
      <c r="X7597">
        <v>0.99403260000000004</v>
      </c>
      <c r="Y7597">
        <v>-1.7427899999999999E-3</v>
      </c>
      <c r="Z7597">
        <v>-5.0769339999999995E-4</v>
      </c>
      <c r="AA7597">
        <v>0.99999830000000001</v>
      </c>
      <c r="AB7597">
        <v>19</v>
      </c>
      <c r="AC7597">
        <v>17.6065</v>
      </c>
      <c r="AD7597">
        <v>-1.120487190905</v>
      </c>
      <c r="AE7597">
        <v>0.23861999999999001</v>
      </c>
      <c r="AF7597">
        <v>-3.1288005918377701E-2</v>
      </c>
      <c r="AG7597">
        <v>-1.120487190905</v>
      </c>
      <c r="AH7597">
        <v>17.537074717855798</v>
      </c>
      <c r="AI7597">
        <v>93.655794403540995</v>
      </c>
      <c r="AJ7597">
        <v>90.102221654141502</v>
      </c>
      <c r="AK7597">
        <v>17.572861467158798</v>
      </c>
      <c r="AL7597">
        <v>96.262456898344695</v>
      </c>
      <c r="AM7597">
        <v>90.025808099119402</v>
      </c>
      <c r="AN7597">
        <v>1.00000005561519</v>
      </c>
    </row>
    <row r="7598" spans="1:40" x14ac:dyDescent="0.25">
      <c r="A7598" t="str">
        <f>"20190303154330833"</f>
        <v>20190303154330833</v>
      </c>
      <c r="B7598" t="str">
        <f>"1551599010827655"</f>
        <v>1551599010827655</v>
      </c>
      <c r="C7598" t="s">
        <v>40</v>
      </c>
      <c r="D7598">
        <v>5.8156290000000004</v>
      </c>
      <c r="E7598">
        <v>0.49918869999999999</v>
      </c>
      <c r="F7598" t="s">
        <v>41</v>
      </c>
      <c r="G7598">
        <v>-266.29070000000002</v>
      </c>
      <c r="H7598" s="1">
        <v>-1.9408519999999999E-6</v>
      </c>
      <c r="I7598">
        <v>-61.273969999999998</v>
      </c>
      <c r="J7598">
        <v>-284.34859999999998</v>
      </c>
      <c r="K7598">
        <v>1.120544</v>
      </c>
      <c r="L7598">
        <v>-61.546080000000003</v>
      </c>
      <c r="M7598">
        <v>0.99983480000000002</v>
      </c>
      <c r="N7598">
        <v>-1.4294670000000001E-2</v>
      </c>
      <c r="O7598">
        <v>1.1233760000000001E-2</v>
      </c>
      <c r="P7598">
        <v>0.99228660000000002</v>
      </c>
      <c r="Q7598">
        <v>-0.1233337</v>
      </c>
      <c r="R7598">
        <v>1.250012E-2</v>
      </c>
      <c r="S7598">
        <v>2.9997859999999998</v>
      </c>
      <c r="T7598">
        <v>-0.18500610000000001</v>
      </c>
      <c r="U7598">
        <v>4.501343E-2</v>
      </c>
      <c r="V7598">
        <v>-1.47725E-3</v>
      </c>
      <c r="W7598">
        <v>-0.10913399999999999</v>
      </c>
      <c r="X7598">
        <v>0.99402590000000002</v>
      </c>
      <c r="Y7598">
        <v>-3.7730260000000001E-3</v>
      </c>
      <c r="Z7598">
        <v>-3.8839629999999999E-4</v>
      </c>
      <c r="AA7598">
        <v>0.99999280000000002</v>
      </c>
      <c r="AB7598">
        <v>19</v>
      </c>
      <c r="AC7598">
        <v>18.057899999999901</v>
      </c>
      <c r="AD7598">
        <v>-1.120545940852</v>
      </c>
      <c r="AE7598">
        <v>0.27211000000000402</v>
      </c>
      <c r="AF7598">
        <v>-6.8948568071786398E-2</v>
      </c>
      <c r="AG7598">
        <v>-1.120545940852</v>
      </c>
      <c r="AH7598">
        <v>17.9905592788235</v>
      </c>
      <c r="AI7598">
        <v>93.564049994678896</v>
      </c>
      <c r="AJ7598">
        <v>90.219584202554998</v>
      </c>
      <c r="AK7598">
        <v>18.025554090664201</v>
      </c>
      <c r="AL7598">
        <v>96.265397190790694</v>
      </c>
      <c r="AM7598">
        <v>90.085148815512994</v>
      </c>
      <c r="AN7598">
        <v>0.99999995104718498</v>
      </c>
    </row>
    <row r="7599" spans="1:40" x14ac:dyDescent="0.25">
      <c r="A7599" t="str">
        <f>"20190303154330847"</f>
        <v>20190303154330847</v>
      </c>
      <c r="B7599" t="str">
        <f>"1551599010838390"</f>
        <v>1551599010838390</v>
      </c>
      <c r="C7599" t="s">
        <v>40</v>
      </c>
      <c r="D7599">
        <v>5.8454569999999997</v>
      </c>
      <c r="E7599">
        <v>0.49928529999999999</v>
      </c>
      <c r="F7599" t="s">
        <v>41</v>
      </c>
      <c r="G7599">
        <v>-266.07679999999999</v>
      </c>
      <c r="H7599" s="1">
        <v>-1.846269E-6</v>
      </c>
      <c r="I7599">
        <v>-61.263300000000001</v>
      </c>
      <c r="J7599">
        <v>-284.24020000000002</v>
      </c>
      <c r="K7599">
        <v>1.120593</v>
      </c>
      <c r="L7599">
        <v>-61.545499999999997</v>
      </c>
      <c r="M7599">
        <v>0.9998399</v>
      </c>
      <c r="N7599">
        <v>-1.428888E-2</v>
      </c>
      <c r="O7599">
        <v>1.076185E-2</v>
      </c>
      <c r="P7599">
        <v>0.99232169999999997</v>
      </c>
      <c r="Q7599">
        <v>-0.12301040000000001</v>
      </c>
      <c r="R7599">
        <v>1.287955E-2</v>
      </c>
      <c r="S7599">
        <v>2.999908</v>
      </c>
      <c r="T7599">
        <v>-0.18397440000000001</v>
      </c>
      <c r="U7599">
        <v>4.6417239999999999E-2</v>
      </c>
      <c r="V7599">
        <v>-2.3101279999999998E-3</v>
      </c>
      <c r="W7599">
        <v>-0.1088152</v>
      </c>
      <c r="X7599">
        <v>0.99405929999999998</v>
      </c>
      <c r="Y7599">
        <v>-4.7094520000000003E-3</v>
      </c>
      <c r="Z7599">
        <v>-3.2768599999999999E-4</v>
      </c>
      <c r="AA7599">
        <v>0.99998889999999996</v>
      </c>
      <c r="AB7599">
        <v>19</v>
      </c>
      <c r="AC7599">
        <v>18.163399999999999</v>
      </c>
      <c r="AD7599">
        <v>-1.1205948462690001</v>
      </c>
      <c r="AE7599">
        <v>0.28219999999999601</v>
      </c>
      <c r="AF7599">
        <v>-8.6363246944240996E-2</v>
      </c>
      <c r="AG7599">
        <v>-1.1205948462690001</v>
      </c>
      <c r="AH7599">
        <v>18.096521085639601</v>
      </c>
      <c r="AI7599">
        <v>93.543374444571498</v>
      </c>
      <c r="AJ7599">
        <v>90.273434433379606</v>
      </c>
      <c r="AK7599">
        <v>18.131388993204801</v>
      </c>
      <c r="AL7599">
        <v>96.247021628767399</v>
      </c>
      <c r="AM7599">
        <v>90.1331513585328</v>
      </c>
      <c r="AN7599">
        <v>0.99999998817945301</v>
      </c>
    </row>
    <row r="7600" spans="1:40" x14ac:dyDescent="0.25">
      <c r="A7600" t="str">
        <f>"20190303154330858"</f>
        <v>20190303154330858</v>
      </c>
      <c r="B7600" t="str">
        <f>"1551599010848151"</f>
        <v>1551599010848151</v>
      </c>
      <c r="C7600" t="s">
        <v>40</v>
      </c>
      <c r="D7600">
        <v>5.8043899999999997</v>
      </c>
      <c r="E7600">
        <v>0.49937969999999998</v>
      </c>
      <c r="F7600" t="s">
        <v>41</v>
      </c>
      <c r="G7600">
        <v>-265.7955</v>
      </c>
      <c r="H7600" s="1">
        <v>-1.72400999999999E-6</v>
      </c>
      <c r="I7600">
        <v>-61.257429999999999</v>
      </c>
      <c r="J7600">
        <v>-284.13389999999998</v>
      </c>
      <c r="K7600">
        <v>1.120649</v>
      </c>
      <c r="L7600">
        <v>-61.544919999999998</v>
      </c>
      <c r="M7600">
        <v>0.99984479999999998</v>
      </c>
      <c r="N7600">
        <v>-1.428334E-2</v>
      </c>
      <c r="O7600">
        <v>1.0321159999999999E-2</v>
      </c>
      <c r="P7600">
        <v>0.99225929999999996</v>
      </c>
      <c r="Q7600">
        <v>-0.1234915</v>
      </c>
      <c r="R7600">
        <v>1.310568E-2</v>
      </c>
      <c r="S7600">
        <v>3</v>
      </c>
      <c r="T7600">
        <v>-0.18226249999999999</v>
      </c>
      <c r="U7600">
        <v>4.6844480000000001E-2</v>
      </c>
      <c r="V7600">
        <v>-2.962199E-3</v>
      </c>
      <c r="W7600">
        <v>-0.10930230000000001</v>
      </c>
      <c r="X7600">
        <v>0.99400409999999995</v>
      </c>
      <c r="Y7600">
        <v>-5.2902160000000004E-3</v>
      </c>
      <c r="Z7600">
        <v>-2.8072500000000001E-4</v>
      </c>
      <c r="AA7600">
        <v>0.99998600000000004</v>
      </c>
      <c r="AB7600">
        <v>19</v>
      </c>
      <c r="AC7600">
        <v>18.338399999999901</v>
      </c>
      <c r="AD7600">
        <v>-1.1206507240100001</v>
      </c>
      <c r="AE7600">
        <v>0.28748999999999097</v>
      </c>
      <c r="AF7600">
        <v>-9.7816634653896298E-2</v>
      </c>
      <c r="AG7600">
        <v>-1.1206507240100001</v>
      </c>
      <c r="AH7600">
        <v>18.272172209407401</v>
      </c>
      <c r="AI7600">
        <v>93.509561645179602</v>
      </c>
      <c r="AJ7600">
        <v>90.306719241199005</v>
      </c>
      <c r="AK7600">
        <v>18.306766601163599</v>
      </c>
      <c r="AL7600">
        <v>96.275098052915894</v>
      </c>
      <c r="AM7600">
        <v>90.170744766907504</v>
      </c>
      <c r="AN7600">
        <v>0.99999995911250605</v>
      </c>
    </row>
    <row r="7601" spans="1:40" x14ac:dyDescent="0.25">
      <c r="A7601" t="str">
        <f>"20190303154330870"</f>
        <v>20190303154330870</v>
      </c>
      <c r="B7601" t="str">
        <f>"1551599010857911"</f>
        <v>1551599010857911</v>
      </c>
      <c r="C7601" t="s">
        <v>40</v>
      </c>
      <c r="D7601">
        <v>5.8175379999999999</v>
      </c>
      <c r="E7601">
        <v>0.49940269999999998</v>
      </c>
      <c r="F7601" t="s">
        <v>41</v>
      </c>
      <c r="G7601">
        <v>-265.85480000000001</v>
      </c>
      <c r="H7601" s="1">
        <v>-1.7502720000000001E-6</v>
      </c>
      <c r="I7601">
        <v>-61.260539999999999</v>
      </c>
      <c r="J7601">
        <v>-284.02859999999998</v>
      </c>
      <c r="K7601">
        <v>1.12069</v>
      </c>
      <c r="L7601">
        <v>-61.544339999999998</v>
      </c>
      <c r="M7601">
        <v>0.99984879999999998</v>
      </c>
      <c r="N7601">
        <v>-1.427808E-2</v>
      </c>
      <c r="O7601">
        <v>9.9291770000000008E-3</v>
      </c>
      <c r="P7601">
        <v>0.99224909999999999</v>
      </c>
      <c r="Q7601">
        <v>-0.1235048</v>
      </c>
      <c r="R7601">
        <v>1.372043E-2</v>
      </c>
      <c r="S7601">
        <v>2.9999389999999999</v>
      </c>
      <c r="T7601">
        <v>-0.1839199</v>
      </c>
      <c r="U7601">
        <v>4.6661380000000002E-2</v>
      </c>
      <c r="V7601">
        <v>-3.9537510000000001E-3</v>
      </c>
      <c r="W7601">
        <v>-0.1093204</v>
      </c>
      <c r="X7601">
        <v>0.99399870000000001</v>
      </c>
      <c r="Y7601">
        <v>-5.6204269999999999E-3</v>
      </c>
      <c r="Z7601">
        <v>-2.541477E-4</v>
      </c>
      <c r="AA7601">
        <v>0.99998410000000004</v>
      </c>
      <c r="AB7601">
        <v>19</v>
      </c>
      <c r="AC7601">
        <v>18.1737999999999</v>
      </c>
      <c r="AD7601">
        <v>-1.120691750272</v>
      </c>
      <c r="AE7601">
        <v>0.28380000000000599</v>
      </c>
      <c r="AF7601">
        <v>-0.102925451301054</v>
      </c>
      <c r="AG7601">
        <v>-1.120691750272</v>
      </c>
      <c r="AH7601">
        <v>18.106885627009301</v>
      </c>
      <c r="AI7601">
        <v>93.541639966314904</v>
      </c>
      <c r="AJ7601">
        <v>90.325684414806304</v>
      </c>
      <c r="AK7601">
        <v>18.141826003940501</v>
      </c>
      <c r="AL7601">
        <v>96.276141108413896</v>
      </c>
      <c r="AM7601">
        <v>90.227899745603494</v>
      </c>
      <c r="AN7601">
        <v>0.99999999880240897</v>
      </c>
    </row>
    <row r="7602" spans="1:40" x14ac:dyDescent="0.25">
      <c r="A7602" t="str">
        <f>"20190303154330880"</f>
        <v>20190303154330880</v>
      </c>
      <c r="B7602" t="str">
        <f>"1551599010878407"</f>
        <v>1551599010878407</v>
      </c>
      <c r="C7602" t="s">
        <v>40</v>
      </c>
      <c r="D7602">
        <v>5.7906899999999997</v>
      </c>
      <c r="E7602">
        <v>0.49968489999999999</v>
      </c>
      <c r="F7602" t="s">
        <v>41</v>
      </c>
      <c r="G7602">
        <v>-265.76060000000001</v>
      </c>
      <c r="H7602" s="1">
        <v>-1.7072769999999999E-6</v>
      </c>
      <c r="I7602">
        <v>-61.250830000000001</v>
      </c>
      <c r="J7602">
        <v>-283.9402</v>
      </c>
      <c r="K7602">
        <v>1.1207229999999999</v>
      </c>
      <c r="L7602">
        <v>-61.543880000000001</v>
      </c>
      <c r="M7602">
        <v>0.99985179999999996</v>
      </c>
      <c r="N7602">
        <v>-1.427379E-2</v>
      </c>
      <c r="O7602">
        <v>9.6206769999999994E-3</v>
      </c>
      <c r="P7602">
        <v>0.99227849999999995</v>
      </c>
      <c r="Q7602">
        <v>-0.123261999999999</v>
      </c>
      <c r="R7602">
        <v>1.377856E-2</v>
      </c>
      <c r="S7602">
        <v>2.9998469999999999</v>
      </c>
      <c r="T7602">
        <v>-0.1840321</v>
      </c>
      <c r="U7602">
        <v>4.8187260000000003E-2</v>
      </c>
      <c r="V7602">
        <v>-4.308872E-3</v>
      </c>
      <c r="W7602">
        <v>-0.1090815</v>
      </c>
      <c r="X7602">
        <v>0.9940234</v>
      </c>
      <c r="Y7602">
        <v>-6.4357310000000001E-3</v>
      </c>
      <c r="Z7602">
        <v>-2.091653E-4</v>
      </c>
      <c r="AA7602">
        <v>0.99997930000000002</v>
      </c>
      <c r="AB7602">
        <v>19</v>
      </c>
      <c r="AC7602">
        <v>18.179599999999901</v>
      </c>
      <c r="AD7602">
        <v>-1.1207247072769999</v>
      </c>
      <c r="AE7602">
        <v>0.29304999999999298</v>
      </c>
      <c r="AF7602">
        <v>-0.117671466109199</v>
      </c>
      <c r="AG7602">
        <v>-1.1207247072769999</v>
      </c>
      <c r="AH7602">
        <v>18.1127602651869</v>
      </c>
      <c r="AI7602">
        <v>93.540580586206701</v>
      </c>
      <c r="AJ7602">
        <v>90.372222865486094</v>
      </c>
      <c r="AK7602">
        <v>18.147780990180902</v>
      </c>
      <c r="AL7602">
        <v>96.262371229278997</v>
      </c>
      <c r="AM7602">
        <v>90.248363000067201</v>
      </c>
      <c r="AN7602">
        <v>0.999999929883858</v>
      </c>
    </row>
    <row r="7603" spans="1:40" x14ac:dyDescent="0.25">
      <c r="A7603" t="str">
        <f>"20190303154330890"</f>
        <v>20190303154330890</v>
      </c>
      <c r="B7603" t="str">
        <f>"1551599010888167"</f>
        <v>1551599010888167</v>
      </c>
      <c r="C7603" t="s">
        <v>40</v>
      </c>
      <c r="D7603">
        <v>5.8185250000000002</v>
      </c>
      <c r="E7603">
        <v>0.49979489999999999</v>
      </c>
      <c r="F7603" t="s">
        <v>41</v>
      </c>
      <c r="G7603">
        <v>-265.61020000000002</v>
      </c>
      <c r="H7603" s="1">
        <v>-1.64571E-6</v>
      </c>
      <c r="I7603">
        <v>-61.261879999999998</v>
      </c>
      <c r="J7603">
        <v>-283.8562</v>
      </c>
      <c r="K7603">
        <v>1.1207579999999999</v>
      </c>
      <c r="L7603">
        <v>-61.543399999999998</v>
      </c>
      <c r="M7603">
        <v>0.99985440000000003</v>
      </c>
      <c r="N7603">
        <v>-1.4269830000000001E-2</v>
      </c>
      <c r="O7603">
        <v>9.3472520000000003E-3</v>
      </c>
      <c r="P7603">
        <v>0.99227359999999998</v>
      </c>
      <c r="Q7603">
        <v>-0.12326239999999999</v>
      </c>
      <c r="R7603">
        <v>1.412414E-2</v>
      </c>
      <c r="S7603">
        <v>2.9999389999999999</v>
      </c>
      <c r="T7603">
        <v>-0.18342069999999999</v>
      </c>
      <c r="U7603">
        <v>4.6142580000000002E-2</v>
      </c>
      <c r="V7603">
        <v>-4.9179419999999998E-3</v>
      </c>
      <c r="W7603">
        <v>-0.1090859</v>
      </c>
      <c r="X7603">
        <v>0.99402020000000002</v>
      </c>
      <c r="Y7603">
        <v>-6.0279510000000001E-3</v>
      </c>
      <c r="Z7603">
        <v>-2.10471E-4</v>
      </c>
      <c r="AA7603">
        <v>0.99998180000000003</v>
      </c>
      <c r="AB7603">
        <v>19</v>
      </c>
      <c r="AC7603">
        <v>18.245999999999899</v>
      </c>
      <c r="AD7603">
        <v>-1.12075964571</v>
      </c>
      <c r="AE7603">
        <v>0.281519999999993</v>
      </c>
      <c r="AF7603">
        <v>-0.11052344808744501</v>
      </c>
      <c r="AG7603">
        <v>-1.12075964571</v>
      </c>
      <c r="AH7603">
        <v>18.179259970738102</v>
      </c>
      <c r="AI7603">
        <v>93.527780835849995</v>
      </c>
      <c r="AJ7603">
        <v>90.348333711242006</v>
      </c>
      <c r="AK7603">
        <v>18.214110208838299</v>
      </c>
      <c r="AL7603">
        <v>96.262624158884606</v>
      </c>
      <c r="AM7603">
        <v>90.2834701160061</v>
      </c>
      <c r="AN7603">
        <v>1.00000003887018</v>
      </c>
    </row>
    <row r="7604" spans="1:40" x14ac:dyDescent="0.25">
      <c r="A7604" t="str">
        <f>"20190303154330900"</f>
        <v>20190303154330900</v>
      </c>
      <c r="B7604" t="str">
        <f>"1551599010897927"</f>
        <v>1551599010897927</v>
      </c>
      <c r="C7604" t="s">
        <v>40</v>
      </c>
      <c r="D7604">
        <v>5.7713619999999999</v>
      </c>
      <c r="E7604">
        <v>0.49980289999999999</v>
      </c>
      <c r="F7604" t="s">
        <v>41</v>
      </c>
      <c r="G7604">
        <v>-265.49119999999999</v>
      </c>
      <c r="H7604" s="1">
        <v>-1.594073E-6</v>
      </c>
      <c r="I7604">
        <v>-61.259740000000001</v>
      </c>
      <c r="J7604">
        <v>-283.7704</v>
      </c>
      <c r="K7604">
        <v>1.120787</v>
      </c>
      <c r="L7604">
        <v>-61.542940000000002</v>
      </c>
      <c r="M7604">
        <v>0.99985690000000005</v>
      </c>
      <c r="N7604">
        <v>-1.42659E-2</v>
      </c>
      <c r="O7604">
        <v>9.0846940000000008E-3</v>
      </c>
      <c r="P7604">
        <v>0.99231080000000005</v>
      </c>
      <c r="Q7604">
        <v>-0.1229524</v>
      </c>
      <c r="R7604">
        <v>1.4210520000000001E-2</v>
      </c>
      <c r="S7604">
        <v>3</v>
      </c>
      <c r="T7604">
        <v>-0.1830803</v>
      </c>
      <c r="U7604">
        <v>4.6325680000000001E-2</v>
      </c>
      <c r="V7604">
        <v>-5.2570200000000003E-3</v>
      </c>
      <c r="W7604">
        <v>-0.108779399999999</v>
      </c>
      <c r="X7604">
        <v>0.99405200000000005</v>
      </c>
      <c r="Y7604">
        <v>-6.3502230000000003E-3</v>
      </c>
      <c r="Z7604">
        <v>-1.854065E-4</v>
      </c>
      <c r="AA7604">
        <v>0.99997979999999997</v>
      </c>
      <c r="AB7604">
        <v>19</v>
      </c>
      <c r="AC7604">
        <v>18.279199999999999</v>
      </c>
      <c r="AD7604">
        <v>-1.120788594073</v>
      </c>
      <c r="AE7604">
        <v>0.28320000000000001</v>
      </c>
      <c r="AF7604">
        <v>-0.116671934915052</v>
      </c>
      <c r="AG7604">
        <v>-1.120788594073</v>
      </c>
      <c r="AH7604">
        <v>18.212564402581901</v>
      </c>
      <c r="AI7604">
        <v>93.521429567575296</v>
      </c>
      <c r="AJ7604">
        <v>90.367038812771199</v>
      </c>
      <c r="AK7604">
        <v>18.24739108835</v>
      </c>
      <c r="AL7604">
        <v>96.244958202248895</v>
      </c>
      <c r="AM7604">
        <v>90.303004521726095</v>
      </c>
      <c r="AN7604">
        <v>0.99999998641382004</v>
      </c>
    </row>
    <row r="7605" spans="1:40" x14ac:dyDescent="0.25">
      <c r="A7605" t="str">
        <f>"20190303154330909"</f>
        <v>20190303154330909</v>
      </c>
      <c r="B7605" t="str">
        <f>"1551599010897927"</f>
        <v>1551599010897927</v>
      </c>
      <c r="C7605" t="s">
        <v>40</v>
      </c>
      <c r="D7605">
        <v>5.7713619999999999</v>
      </c>
      <c r="E7605">
        <v>0.49980289999999999</v>
      </c>
      <c r="F7605" t="s">
        <v>41</v>
      </c>
      <c r="G7605">
        <v>-265.2799</v>
      </c>
      <c r="H7605" s="1">
        <v>-1.502383E-6</v>
      </c>
      <c r="I7605">
        <v>-61.255839999999999</v>
      </c>
      <c r="J7605">
        <v>-283.68869999999998</v>
      </c>
      <c r="K7605">
        <v>1.1208119999999999</v>
      </c>
      <c r="L7605">
        <v>-61.54251</v>
      </c>
      <c r="M7605">
        <v>0.99985919999999895</v>
      </c>
      <c r="N7605">
        <v>-1.4262270000000001E-2</v>
      </c>
      <c r="O7605">
        <v>8.8522150000000001E-3</v>
      </c>
      <c r="P7605">
        <v>0.99235899999999999</v>
      </c>
      <c r="Q7605">
        <v>-0.1225173</v>
      </c>
      <c r="R7605">
        <v>1.460995E-2</v>
      </c>
      <c r="S7605">
        <v>3.0000610000000001</v>
      </c>
      <c r="T7605">
        <v>-0.18184639999999999</v>
      </c>
      <c r="U7605">
        <v>4.6569819999999998E-2</v>
      </c>
      <c r="V7605">
        <v>-5.8806090000000002E-3</v>
      </c>
      <c r="W7605">
        <v>-0.1083472</v>
      </c>
      <c r="X7605">
        <v>0.99409570000000003</v>
      </c>
      <c r="Y7605">
        <v>-6.6628210000000002E-3</v>
      </c>
      <c r="Z7605">
        <v>-1.6055900000000001E-4</v>
      </c>
      <c r="AA7605">
        <v>0.99997780000000003</v>
      </c>
      <c r="AB7605">
        <v>19</v>
      </c>
      <c r="AC7605">
        <v>18.4087999999999</v>
      </c>
      <c r="AD7605">
        <v>-1.1208135023829999</v>
      </c>
      <c r="AE7605">
        <v>0.28666999999999998</v>
      </c>
      <c r="AF7605">
        <v>-0.123226865348198</v>
      </c>
      <c r="AG7605">
        <v>-1.1208135023829999</v>
      </c>
      <c r="AH7605">
        <v>18.3426378856756</v>
      </c>
      <c r="AI7605">
        <v>93.496590536856601</v>
      </c>
      <c r="AJ7605">
        <v>90.384910454917502</v>
      </c>
      <c r="AK7605">
        <v>18.3772623742626</v>
      </c>
      <c r="AL7605">
        <v>96.220047779507993</v>
      </c>
      <c r="AM7605">
        <v>90.338931298640603</v>
      </c>
      <c r="AN7605">
        <v>0.99999997903426996</v>
      </c>
    </row>
    <row r="7606" spans="1:40" x14ac:dyDescent="0.25">
      <c r="A7606" t="str">
        <f>"20190303154330919"</f>
        <v>20190303154330919</v>
      </c>
      <c r="B7606" t="str">
        <f>"1551599010907687"</f>
        <v>1551599010907687</v>
      </c>
      <c r="C7606" t="s">
        <v>40</v>
      </c>
      <c r="D7606">
        <v>5.7731300000000001</v>
      </c>
      <c r="E7606">
        <v>0.49974180000000001</v>
      </c>
      <c r="F7606" t="s">
        <v>41</v>
      </c>
      <c r="G7606">
        <v>-265.06229999999999</v>
      </c>
      <c r="H7606" s="1">
        <v>-1.406415E-6</v>
      </c>
      <c r="I7606">
        <v>-61.245930000000001</v>
      </c>
      <c r="J7606">
        <v>-283.60570000000001</v>
      </c>
      <c r="K7606">
        <v>1.120838</v>
      </c>
      <c r="L7606">
        <v>-61.542050000000003</v>
      </c>
      <c r="M7606">
        <v>0.99986120000000001</v>
      </c>
      <c r="N7606">
        <v>-1.4258669999999999E-2</v>
      </c>
      <c r="O7606">
        <v>8.6275689999999999E-3</v>
      </c>
      <c r="P7606">
        <v>0.99241919999999995</v>
      </c>
      <c r="Q7606">
        <v>-0.12196989999999901</v>
      </c>
      <c r="R7606">
        <v>1.5085100000000001E-2</v>
      </c>
      <c r="S7606">
        <v>3.0001530000000001</v>
      </c>
      <c r="T7606">
        <v>-0.18052979999999999</v>
      </c>
      <c r="U7606">
        <v>4.7760009999999999E-2</v>
      </c>
      <c r="V7606">
        <v>-6.5725970000000003E-3</v>
      </c>
      <c r="W7606">
        <v>-0.1078025</v>
      </c>
      <c r="X7606">
        <v>0.9941506</v>
      </c>
      <c r="Y7606">
        <v>-7.2820189999999998E-3</v>
      </c>
      <c r="Z7606">
        <v>-1.2484080000000001E-4</v>
      </c>
      <c r="AA7606">
        <v>0.99997349999999996</v>
      </c>
      <c r="AB7606">
        <v>19</v>
      </c>
      <c r="AC7606">
        <v>18.543399999999998</v>
      </c>
      <c r="AD7606">
        <v>-1.120839406415</v>
      </c>
      <c r="AE7606">
        <v>0.29612000000000099</v>
      </c>
      <c r="AF7606">
        <v>-0.13561292685986001</v>
      </c>
      <c r="AG7606">
        <v>-1.120839406415</v>
      </c>
      <c r="AH7606">
        <v>18.477773593851801</v>
      </c>
      <c r="AI7606">
        <v>93.471146165224198</v>
      </c>
      <c r="AJ7606">
        <v>90.420500273559497</v>
      </c>
      <c r="AK7606">
        <v>18.512233491033701</v>
      </c>
      <c r="AL7606">
        <v>96.188654781534495</v>
      </c>
      <c r="AM7606">
        <v>90.3787922896434</v>
      </c>
      <c r="AN7606">
        <v>0.999999996758967</v>
      </c>
    </row>
    <row r="7607" spans="1:40" x14ac:dyDescent="0.25">
      <c r="A7607" t="str">
        <f>"20190303154330931"</f>
        <v>20190303154330931</v>
      </c>
      <c r="B7607" t="str">
        <f>"1551599010928183"</f>
        <v>1551599010928183</v>
      </c>
      <c r="C7607" t="s">
        <v>40</v>
      </c>
      <c r="D7607">
        <v>5.7519150000000003</v>
      </c>
      <c r="E7607">
        <v>0.499755</v>
      </c>
      <c r="F7607" t="s">
        <v>41</v>
      </c>
      <c r="G7607">
        <v>-264.83120000000002</v>
      </c>
      <c r="H7607" s="1">
        <v>-1.30328E-6</v>
      </c>
      <c r="I7607">
        <v>-61.230899999999998</v>
      </c>
      <c r="J7607">
        <v>-283.5077</v>
      </c>
      <c r="K7607">
        <v>1.1208640000000001</v>
      </c>
      <c r="L7607">
        <v>-61.541530000000002</v>
      </c>
      <c r="M7607">
        <v>0.99986339999999996</v>
      </c>
      <c r="N7607">
        <v>-1.4254559999999999E-2</v>
      </c>
      <c r="O7607">
        <v>8.3820660000000005E-3</v>
      </c>
      <c r="P7607">
        <v>0.99247759999999996</v>
      </c>
      <c r="Q7607">
        <v>-0.12148630000000001</v>
      </c>
      <c r="R7607">
        <v>1.515005E-2</v>
      </c>
      <c r="S7607">
        <v>3.0001829999999998</v>
      </c>
      <c r="T7607">
        <v>-0.17911199999999999</v>
      </c>
      <c r="U7607">
        <v>4.9713130000000001E-2</v>
      </c>
      <c r="V7607">
        <v>-6.8749240000000001E-3</v>
      </c>
      <c r="W7607">
        <v>-0.1073225</v>
      </c>
      <c r="X7607">
        <v>0.99420050000000004</v>
      </c>
      <c r="Y7607">
        <v>-8.1760189999999996E-3</v>
      </c>
      <c r="Z7607" s="1">
        <v>-7.835125E-5</v>
      </c>
      <c r="AA7607">
        <v>0.99996660000000004</v>
      </c>
      <c r="AB7607">
        <v>19</v>
      </c>
      <c r="AC7607">
        <v>18.676499999999901</v>
      </c>
      <c r="AD7607">
        <v>-1.12086530327999</v>
      </c>
      <c r="AE7607">
        <v>0.31063000000000301</v>
      </c>
      <c r="AF7607">
        <v>-0.15350281494513801</v>
      </c>
      <c r="AG7607">
        <v>-1.12086530327999</v>
      </c>
      <c r="AH7607">
        <v>18.611432201390301</v>
      </c>
      <c r="AI7607">
        <v>93.446333405720907</v>
      </c>
      <c r="AJ7607">
        <v>90.472551704917393</v>
      </c>
      <c r="AK7607">
        <v>18.6457853342046</v>
      </c>
      <c r="AL7607">
        <v>96.160992243320194</v>
      </c>
      <c r="AM7607">
        <v>90.396195587646105</v>
      </c>
      <c r="AN7607">
        <v>1.0000000088932499</v>
      </c>
    </row>
    <row r="7608" spans="1:40" x14ac:dyDescent="0.25">
      <c r="A7608" t="str">
        <f>"20190303154330941"</f>
        <v>20190303154330941</v>
      </c>
      <c r="B7608" t="str">
        <f>"1551599010937943"</f>
        <v>1551599010937943</v>
      </c>
      <c r="C7608" t="s">
        <v>40</v>
      </c>
      <c r="D7608">
        <v>5.7532430000000003</v>
      </c>
      <c r="E7608">
        <v>0.49976019999999999</v>
      </c>
      <c r="F7608" t="s">
        <v>41</v>
      </c>
      <c r="G7608">
        <v>-264.47399999999999</v>
      </c>
      <c r="H7608" s="1">
        <v>-1.148389E-6</v>
      </c>
      <c r="I7608">
        <v>-61.224739999999997</v>
      </c>
      <c r="J7608">
        <v>-283.41669999999999</v>
      </c>
      <c r="K7608">
        <v>1.1208819999999999</v>
      </c>
      <c r="L7608">
        <v>-61.541020000000003</v>
      </c>
      <c r="M7608">
        <v>0.99986520000000001</v>
      </c>
      <c r="N7608">
        <v>-1.4250870000000001E-2</v>
      </c>
      <c r="O7608">
        <v>8.1676470000000001E-3</v>
      </c>
      <c r="P7608">
        <v>0.99258480000000004</v>
      </c>
      <c r="Q7608">
        <v>-0.1205616</v>
      </c>
      <c r="R7608">
        <v>1.550876E-2</v>
      </c>
      <c r="S7608">
        <v>3.0003359999999999</v>
      </c>
      <c r="T7608">
        <v>-0.17668529999999999</v>
      </c>
      <c r="U7608">
        <v>4.9926760000000001E-2</v>
      </c>
      <c r="V7608">
        <v>-7.4402859999999999E-3</v>
      </c>
      <c r="W7608">
        <v>-0.1064001</v>
      </c>
      <c r="X7608">
        <v>0.9942955</v>
      </c>
      <c r="Y7608">
        <v>-8.4601099999999999E-3</v>
      </c>
      <c r="Z7608" s="1">
        <v>-5.4975619999999997E-5</v>
      </c>
      <c r="AA7608">
        <v>0.99996419999999997</v>
      </c>
      <c r="AB7608">
        <v>19</v>
      </c>
      <c r="AC7608">
        <v>18.942699999999999</v>
      </c>
      <c r="AD7608">
        <v>-1.1208831483889901</v>
      </c>
      <c r="AE7608">
        <v>0.31627999999999101</v>
      </c>
      <c r="AF7608">
        <v>-0.16097299749426899</v>
      </c>
      <c r="AG7608">
        <v>-1.1208831483889901</v>
      </c>
      <c r="AH7608">
        <v>18.878569280598899</v>
      </c>
      <c r="AI7608">
        <v>93.397727916078495</v>
      </c>
      <c r="AJ7608">
        <v>90.488535424565697</v>
      </c>
      <c r="AK7608">
        <v>18.912500348199298</v>
      </c>
      <c r="AL7608">
        <v>96.107838672719893</v>
      </c>
      <c r="AM7608">
        <v>90.428734746985697</v>
      </c>
      <c r="AN7608">
        <v>0.99999994022800898</v>
      </c>
    </row>
    <row r="7609" spans="1:40" x14ac:dyDescent="0.25">
      <c r="A7609" t="str">
        <f>"20190303154330952"</f>
        <v>20190303154330952</v>
      </c>
      <c r="B7609" t="str">
        <f>"1551599010947707"</f>
        <v>1551599010947707</v>
      </c>
      <c r="C7609" t="s">
        <v>40</v>
      </c>
      <c r="D7609">
        <v>5.7321809999999997</v>
      </c>
      <c r="E7609">
        <v>0.49977480000000002</v>
      </c>
      <c r="F7609" t="s">
        <v>41</v>
      </c>
      <c r="G7609">
        <v>-264.05520000000001</v>
      </c>
      <c r="H7609" s="1">
        <v>-9.6499389999999997E-7</v>
      </c>
      <c r="I7609">
        <v>-61.210720000000002</v>
      </c>
      <c r="J7609">
        <v>-283.3193</v>
      </c>
      <c r="K7609">
        <v>1.120897</v>
      </c>
      <c r="L7609">
        <v>-61.540529999999997</v>
      </c>
      <c r="M7609">
        <v>0.9998669</v>
      </c>
      <c r="N7609">
        <v>-1.4246999999999999E-2</v>
      </c>
      <c r="O7609">
        <v>7.9498620000000002E-3</v>
      </c>
      <c r="P7609">
        <v>0.99262050000000002</v>
      </c>
      <c r="Q7609">
        <v>-0.12024840000000001</v>
      </c>
      <c r="R7609">
        <v>1.5652860000000001E-2</v>
      </c>
      <c r="S7609">
        <v>3.0005190000000002</v>
      </c>
      <c r="T7609">
        <v>-0.17370669999999999</v>
      </c>
      <c r="U7609">
        <v>5.1177979999999998E-2</v>
      </c>
      <c r="V7609">
        <v>-7.7966060000000002E-3</v>
      </c>
      <c r="W7609">
        <v>-0.1060904</v>
      </c>
      <c r="X7609">
        <v>0.99432589999999998</v>
      </c>
      <c r="Y7609">
        <v>-9.0924330000000005E-3</v>
      </c>
      <c r="Z7609" s="1">
        <v>-1.8818009999999999E-5</v>
      </c>
      <c r="AA7609">
        <v>0.99995860000000003</v>
      </c>
      <c r="AB7609">
        <v>19</v>
      </c>
      <c r="AC7609">
        <v>19.2640999999999</v>
      </c>
      <c r="AD7609">
        <v>-1.1208979649938999</v>
      </c>
      <c r="AE7609">
        <v>0.32981000000000898</v>
      </c>
      <c r="AF7609">
        <v>-0.176041264336746</v>
      </c>
      <c r="AG7609">
        <v>-1.1208979649938999</v>
      </c>
      <c r="AH7609">
        <v>19.201125187234599</v>
      </c>
      <c r="AI7609">
        <v>93.340805679815006</v>
      </c>
      <c r="AJ7609">
        <v>90.5252889489539</v>
      </c>
      <c r="AK7609">
        <v>19.234620121815102</v>
      </c>
      <c r="AL7609">
        <v>96.0899929330578</v>
      </c>
      <c r="AM7609">
        <v>90.449252567609705</v>
      </c>
      <c r="AN7609">
        <v>0.99999997772404403</v>
      </c>
    </row>
    <row r="7610" spans="1:40" x14ac:dyDescent="0.25">
      <c r="A7610" t="str">
        <f>"20190303154330965"</f>
        <v>20190303154330965</v>
      </c>
      <c r="B7610" t="str">
        <f>"1551599010957463"</f>
        <v>1551599010957463</v>
      </c>
      <c r="C7610" t="s">
        <v>40</v>
      </c>
      <c r="D7610">
        <v>5.7423029999999997</v>
      </c>
      <c r="E7610">
        <v>0.49984119999999999</v>
      </c>
      <c r="F7610" t="s">
        <v>65</v>
      </c>
      <c r="G7610">
        <v>-263.79109999999997</v>
      </c>
      <c r="H7610" s="1">
        <v>-8.499535E-7</v>
      </c>
      <c r="I7610">
        <v>-61.204210000000003</v>
      </c>
      <c r="J7610">
        <v>-283.21929999999998</v>
      </c>
      <c r="K7610">
        <v>1.1209100000000001</v>
      </c>
      <c r="L7610">
        <v>-61.53998</v>
      </c>
      <c r="M7610">
        <v>0.9998686</v>
      </c>
      <c r="N7610">
        <v>-1.4243199999999999E-2</v>
      </c>
      <c r="O7610">
        <v>7.7415369999999997E-3</v>
      </c>
      <c r="P7610">
        <v>0.99264609999999998</v>
      </c>
      <c r="Q7610">
        <v>-0.1199761</v>
      </c>
      <c r="R7610">
        <v>1.6111139999999999E-2</v>
      </c>
      <c r="S7610">
        <v>3.00061</v>
      </c>
      <c r="T7610">
        <v>-0.17223189999999999</v>
      </c>
      <c r="U7610">
        <v>5.1666259999999999E-2</v>
      </c>
      <c r="V7610">
        <v>-8.4587350000000002E-3</v>
      </c>
      <c r="W7610">
        <v>-0.1058215</v>
      </c>
      <c r="X7610">
        <v>0.99434920000000004</v>
      </c>
      <c r="Y7610">
        <v>-9.4621010000000005E-3</v>
      </c>
      <c r="Z7610" s="1">
        <v>5.0258820000000004E-6</v>
      </c>
      <c r="AA7610">
        <v>0.99995520000000004</v>
      </c>
      <c r="AB7610">
        <v>19</v>
      </c>
      <c r="AC7610">
        <v>19.4282</v>
      </c>
      <c r="AD7610">
        <v>-1.1209108499535001</v>
      </c>
      <c r="AE7610">
        <v>0.33577000000001</v>
      </c>
      <c r="AF7610">
        <v>-0.184725833309212</v>
      </c>
      <c r="AG7610">
        <v>-1.1209108499535001</v>
      </c>
      <c r="AH7610">
        <v>19.365773381852598</v>
      </c>
      <c r="AI7610">
        <v>93.312492141170296</v>
      </c>
      <c r="AJ7610">
        <v>90.546515205844102</v>
      </c>
      <c r="AK7610">
        <v>19.399065530182199</v>
      </c>
      <c r="AL7610">
        <v>96.074498524688707</v>
      </c>
      <c r="AM7610">
        <v>90.487392281652106</v>
      </c>
      <c r="AN7610">
        <v>1.00000003580034</v>
      </c>
    </row>
    <row r="7611" spans="1:40" x14ac:dyDescent="0.25">
      <c r="A7611" t="str">
        <f>"20190303154330976"</f>
        <v>20190303154330976</v>
      </c>
      <c r="B7611" t="str">
        <f>"1551599010968199"</f>
        <v>1551599010968199</v>
      </c>
      <c r="C7611" t="s">
        <v>40</v>
      </c>
      <c r="D7611">
        <v>5.6889450000000004</v>
      </c>
      <c r="E7611">
        <v>0.49986370000000002</v>
      </c>
      <c r="F7611" t="s">
        <v>41</v>
      </c>
      <c r="G7611">
        <v>-263.5829</v>
      </c>
      <c r="H7611" s="1">
        <v>-7.5827059999999998E-7</v>
      </c>
      <c r="I7611">
        <v>-61.1952199999999</v>
      </c>
      <c r="J7611">
        <v>-283.12310000000002</v>
      </c>
      <c r="K7611">
        <v>1.1209209999999901</v>
      </c>
      <c r="L7611">
        <v>-61.539459999999998</v>
      </c>
      <c r="M7611">
        <v>0.99987020000000004</v>
      </c>
      <c r="N7611">
        <v>-1.42396E-2</v>
      </c>
      <c r="O7611">
        <v>7.5457519999999898E-3</v>
      </c>
      <c r="P7611">
        <v>0.99265020000000004</v>
      </c>
      <c r="Q7611">
        <v>-0.11987150000000001</v>
      </c>
      <c r="R7611">
        <v>1.6633019999999998E-2</v>
      </c>
      <c r="S7611">
        <v>3.0006710000000001</v>
      </c>
      <c r="T7611">
        <v>-0.17128850000000001</v>
      </c>
      <c r="U7611">
        <v>5.2673339999999999E-2</v>
      </c>
      <c r="V7611">
        <v>-9.1724149999999997E-3</v>
      </c>
      <c r="W7611">
        <v>-0.1057203</v>
      </c>
      <c r="X7611">
        <v>0.99435359999999995</v>
      </c>
      <c r="Y7611">
        <v>-9.9918839999999995E-3</v>
      </c>
      <c r="Z7611" s="1">
        <v>3.3192180000000002E-5</v>
      </c>
      <c r="AA7611">
        <v>0.99995009999999995</v>
      </c>
      <c r="AB7611">
        <v>19</v>
      </c>
      <c r="AC7611">
        <v>19.540199999999999</v>
      </c>
      <c r="AD7611">
        <v>-1.1209217582705999</v>
      </c>
      <c r="AE7611">
        <v>0.34424000000000599</v>
      </c>
      <c r="AF7611">
        <v>-0.19612455937562301</v>
      </c>
      <c r="AG7611">
        <v>-1.1209217582705999</v>
      </c>
      <c r="AH7611">
        <v>19.4781638574723</v>
      </c>
      <c r="AI7611">
        <v>93.293435907486199</v>
      </c>
      <c r="AJ7611">
        <v>90.576888553938602</v>
      </c>
      <c r="AK7611">
        <v>19.511376109580201</v>
      </c>
      <c r="AL7611">
        <v>96.068667710561897</v>
      </c>
      <c r="AM7611">
        <v>90.5285099403998</v>
      </c>
      <c r="AN7611">
        <v>0.99999999843099097</v>
      </c>
    </row>
    <row r="7612" spans="1:40" x14ac:dyDescent="0.25">
      <c r="A7612" t="str">
        <f>"20190303154330986"</f>
        <v>20190303154330986</v>
      </c>
      <c r="B7612" t="str">
        <f>"1551599010977959"</f>
        <v>1551599010977959</v>
      </c>
      <c r="C7612" t="s">
        <v>40</v>
      </c>
      <c r="D7612">
        <v>5.7587869999999999</v>
      </c>
      <c r="E7612">
        <v>0.49988630000000001</v>
      </c>
      <c r="F7612" t="s">
        <v>65</v>
      </c>
      <c r="G7612">
        <v>-263.46859999999998</v>
      </c>
      <c r="H7612" s="1">
        <v>-7.0662379999999998E-7</v>
      </c>
      <c r="I7612">
        <v>-61.185380000000002</v>
      </c>
      <c r="J7612">
        <v>-283.03030000000001</v>
      </c>
      <c r="K7612">
        <v>1.120927</v>
      </c>
      <c r="L7612">
        <v>-61.539000000000001</v>
      </c>
      <c r="M7612">
        <v>0.99987159999999997</v>
      </c>
      <c r="N7612">
        <v>-1.423632E-2</v>
      </c>
      <c r="O7612">
        <v>7.3683380000000003E-3</v>
      </c>
      <c r="P7612">
        <v>0.99263290000000004</v>
      </c>
      <c r="Q7612">
        <v>-0.1199882</v>
      </c>
      <c r="R7612">
        <v>1.6825679999999999E-2</v>
      </c>
      <c r="S7612">
        <v>3.00061</v>
      </c>
      <c r="T7612">
        <v>-0.17112949999999999</v>
      </c>
      <c r="U7612">
        <v>5.4046629999999998E-2</v>
      </c>
      <c r="V7612">
        <v>-9.540705E-3</v>
      </c>
      <c r="W7612">
        <v>-0.1058405</v>
      </c>
      <c r="X7612">
        <v>0.99433729999999998</v>
      </c>
      <c r="Y7612">
        <v>-1.062574E-2</v>
      </c>
      <c r="Z7612" s="1">
        <v>6.3443700000000004E-5</v>
      </c>
      <c r="AA7612">
        <v>0.99994360000000004</v>
      </c>
      <c r="AB7612">
        <v>19</v>
      </c>
      <c r="AC7612">
        <v>19.561699999999998</v>
      </c>
      <c r="AD7612">
        <v>-1.1209277066237999</v>
      </c>
      <c r="AE7612">
        <v>0.353619999999992</v>
      </c>
      <c r="AF7612">
        <v>-0.20877329450061499</v>
      </c>
      <c r="AG7612">
        <v>-1.1209277066237999</v>
      </c>
      <c r="AH7612">
        <v>19.499767408175401</v>
      </c>
      <c r="AI7612">
        <v>93.289790853182794</v>
      </c>
      <c r="AJ7612">
        <v>90.613410989841697</v>
      </c>
      <c r="AK7612">
        <v>19.533074365929</v>
      </c>
      <c r="AL7612">
        <v>96.075593807662401</v>
      </c>
      <c r="AM7612">
        <v>90.549738358916997</v>
      </c>
      <c r="AN7612">
        <v>0.99999995133171704</v>
      </c>
    </row>
    <row r="7613" spans="1:40" x14ac:dyDescent="0.25">
      <c r="A7613" t="str">
        <f>"20190303154330998"</f>
        <v>20190303154330998</v>
      </c>
      <c r="B7613" t="str">
        <f>"1551599010987719"</f>
        <v>1551599010987719</v>
      </c>
      <c r="C7613" t="s">
        <v>40</v>
      </c>
      <c r="D7613">
        <v>5.7959149999999999</v>
      </c>
      <c r="E7613">
        <v>0.49989040000000001</v>
      </c>
      <c r="F7613" t="s">
        <v>41</v>
      </c>
      <c r="G7613">
        <v>-263.52269999999999</v>
      </c>
      <c r="H7613" s="1">
        <v>-7.2975049999999999E-7</v>
      </c>
      <c r="I7613">
        <v>-61.1851699999999</v>
      </c>
      <c r="J7613">
        <v>-282.93110000000001</v>
      </c>
      <c r="K7613">
        <v>1.1209290000000001</v>
      </c>
      <c r="L7613">
        <v>-61.53848</v>
      </c>
      <c r="M7613">
        <v>0.99987300000000001</v>
      </c>
      <c r="N7613">
        <v>-1.423284E-2</v>
      </c>
      <c r="O7613">
        <v>7.1802979999999999E-3</v>
      </c>
      <c r="P7613">
        <v>0.99261630000000001</v>
      </c>
      <c r="Q7613">
        <v>-0.1201147</v>
      </c>
      <c r="R7613">
        <v>1.6903439999999999E-2</v>
      </c>
      <c r="S7613">
        <v>3.0004580000000001</v>
      </c>
      <c r="T7613">
        <v>-0.17240949999999999</v>
      </c>
      <c r="U7613">
        <v>5.4412839999999997E-2</v>
      </c>
      <c r="V7613">
        <v>-9.8051340000000001E-3</v>
      </c>
      <c r="W7613">
        <v>-0.1059706</v>
      </c>
      <c r="X7613">
        <v>0.99432089999999995</v>
      </c>
      <c r="Y7613">
        <v>-1.0935749999999999E-2</v>
      </c>
      <c r="Z7613" s="1">
        <v>8.17462E-5</v>
      </c>
      <c r="AA7613">
        <v>0.99994019999999995</v>
      </c>
      <c r="AB7613">
        <v>19</v>
      </c>
      <c r="AC7613">
        <v>19.4084</v>
      </c>
      <c r="AD7613">
        <v>-1.1209297297505001</v>
      </c>
      <c r="AE7613">
        <v>0.353310000000014</v>
      </c>
      <c r="AF7613">
        <v>-0.21321770865991699</v>
      </c>
      <c r="AG7613">
        <v>-1.1209297297505001</v>
      </c>
      <c r="AH7613">
        <v>19.345927309524299</v>
      </c>
      <c r="AI7613">
        <v>93.315887998869997</v>
      </c>
      <c r="AJ7613">
        <v>90.631449711404699</v>
      </c>
      <c r="AK7613">
        <v>19.379547175197899</v>
      </c>
      <c r="AL7613">
        <v>96.083089969130597</v>
      </c>
      <c r="AM7613">
        <v>90.564983182862704</v>
      </c>
      <c r="AN7613">
        <v>0.99999998044696303</v>
      </c>
    </row>
    <row r="7614" spans="1:40" x14ac:dyDescent="0.25">
      <c r="A7614" t="str">
        <f>"20190303154331009"</f>
        <v>20190303154331009</v>
      </c>
      <c r="B7614" t="str">
        <f>"1551599010997480"</f>
        <v>1551599010997480</v>
      </c>
      <c r="C7614" t="s">
        <v>40</v>
      </c>
      <c r="D7614">
        <v>5.7492850000000004</v>
      </c>
      <c r="E7614">
        <v>0.49979119999999999</v>
      </c>
      <c r="F7614" t="s">
        <v>65</v>
      </c>
      <c r="G7614">
        <v>-263.4316</v>
      </c>
      <c r="H7614" s="1">
        <v>-6.9021379999999995E-7</v>
      </c>
      <c r="I7614">
        <v>-61.183410000000002</v>
      </c>
      <c r="J7614">
        <v>-282.83699999999999</v>
      </c>
      <c r="K7614">
        <v>1.120924</v>
      </c>
      <c r="L7614">
        <v>-61.537990000000001</v>
      </c>
      <c r="M7614">
        <v>0.99987420000000005</v>
      </c>
      <c r="N7614">
        <v>-1.422967E-2</v>
      </c>
      <c r="O7614">
        <v>7.0064259999999996E-3</v>
      </c>
      <c r="P7614">
        <v>0.99259010000000003</v>
      </c>
      <c r="Q7614">
        <v>-0.1202896</v>
      </c>
      <c r="R7614">
        <v>1.718256E-2</v>
      </c>
      <c r="S7614">
        <v>3.0005190000000002</v>
      </c>
      <c r="T7614">
        <v>-0.17248520000000001</v>
      </c>
      <c r="U7614">
        <v>5.4626460000000002E-2</v>
      </c>
      <c r="V7614">
        <v>-1.0257260000000001E-2</v>
      </c>
      <c r="W7614">
        <v>-0.10614899999999999</v>
      </c>
      <c r="X7614">
        <v>0.99429730000000005</v>
      </c>
      <c r="Y7614">
        <v>-1.117975E-2</v>
      </c>
      <c r="Z7614" s="1">
        <v>9.7923109999999998E-5</v>
      </c>
      <c r="AA7614">
        <v>0.99993750000000003</v>
      </c>
      <c r="AB7614">
        <v>19</v>
      </c>
      <c r="AC7614">
        <v>19.405399999999901</v>
      </c>
      <c r="AD7614">
        <v>-1.1209246902137999</v>
      </c>
      <c r="AE7614">
        <v>0.354580000000005</v>
      </c>
      <c r="AF7614">
        <v>-0.217868325235653</v>
      </c>
      <c r="AG7614">
        <v>-1.1209246902137999</v>
      </c>
      <c r="AH7614">
        <v>19.342889713336898</v>
      </c>
      <c r="AI7614">
        <v>93.316383757605394</v>
      </c>
      <c r="AJ7614">
        <v>90.645322796323299</v>
      </c>
      <c r="AK7614">
        <v>19.376566291027601</v>
      </c>
      <c r="AL7614">
        <v>96.093369572238103</v>
      </c>
      <c r="AM7614">
        <v>90.591047426930501</v>
      </c>
      <c r="AN7614">
        <v>0.99999997118549799</v>
      </c>
    </row>
    <row r="7615" spans="1:40" x14ac:dyDescent="0.25">
      <c r="A7615" t="str">
        <f>"20190303154331019"</f>
        <v>20190303154331019</v>
      </c>
      <c r="B7615" t="str">
        <f>"1551599011008215"</f>
        <v>1551599011008215</v>
      </c>
      <c r="C7615" t="s">
        <v>40</v>
      </c>
      <c r="D7615">
        <v>5.7962339999999903</v>
      </c>
      <c r="E7615">
        <v>0.4997858</v>
      </c>
      <c r="F7615" t="s">
        <v>41</v>
      </c>
      <c r="G7615">
        <v>-263.41550000000001</v>
      </c>
      <c r="H7615" s="1">
        <v>-6.8085820000000001E-7</v>
      </c>
      <c r="I7615">
        <v>-61.174259999999997</v>
      </c>
      <c r="J7615">
        <v>-282.74720000000002</v>
      </c>
      <c r="K7615">
        <v>1.1209199999999999</v>
      </c>
      <c r="L7615">
        <v>-61.537570000000002</v>
      </c>
      <c r="M7615">
        <v>0.99987550000000003</v>
      </c>
      <c r="N7615">
        <v>-1.422669E-2</v>
      </c>
      <c r="O7615">
        <v>6.8405749999999998E-3</v>
      </c>
      <c r="P7615">
        <v>0.99263239999999997</v>
      </c>
      <c r="Q7615">
        <v>-0.1199001</v>
      </c>
      <c r="R7615">
        <v>1.747305E-2</v>
      </c>
      <c r="S7615">
        <v>3.000397</v>
      </c>
      <c r="T7615">
        <v>-0.17316960000000001</v>
      </c>
      <c r="U7615">
        <v>5.6182860000000001E-2</v>
      </c>
      <c r="V7615">
        <v>-1.0712849999999999E-2</v>
      </c>
      <c r="W7615">
        <v>-0.10576149999999999</v>
      </c>
      <c r="X7615">
        <v>0.99433380000000005</v>
      </c>
      <c r="Y7615">
        <v>-1.1863210000000001E-2</v>
      </c>
      <c r="Z7615">
        <v>1.2933749999999999E-4</v>
      </c>
      <c r="AA7615">
        <v>0.99992959999999997</v>
      </c>
      <c r="AB7615">
        <v>19</v>
      </c>
      <c r="AC7615">
        <v>19.331700000000001</v>
      </c>
      <c r="AD7615">
        <v>-1.1209206808582</v>
      </c>
      <c r="AE7615">
        <v>0.36330999999999802</v>
      </c>
      <c r="AF7615">
        <v>-0.230274253280391</v>
      </c>
      <c r="AG7615">
        <v>-1.1209206808582</v>
      </c>
      <c r="AH7615">
        <v>19.268971910769501</v>
      </c>
      <c r="AI7615">
        <v>93.329038830465507</v>
      </c>
      <c r="AJ7615">
        <v>90.684681822698394</v>
      </c>
      <c r="AK7615">
        <v>19.302921227174998</v>
      </c>
      <c r="AL7615">
        <v>96.071041699872396</v>
      </c>
      <c r="AM7615">
        <v>90.6172749471488</v>
      </c>
      <c r="AN7615">
        <v>0.999999982929906</v>
      </c>
    </row>
    <row r="7616" spans="1:40" x14ac:dyDescent="0.25">
      <c r="A7616" t="str">
        <f>"20190303154331031"</f>
        <v>20190303154331031</v>
      </c>
      <c r="B7616" t="str">
        <f>"1551599011027736"</f>
        <v>1551599011027736</v>
      </c>
      <c r="C7616" t="s">
        <v>40</v>
      </c>
      <c r="D7616">
        <v>5.6757210000000002</v>
      </c>
      <c r="E7616">
        <v>0.50005749999999904</v>
      </c>
      <c r="F7616" t="s">
        <v>65</v>
      </c>
      <c r="G7616">
        <v>-263.17079999999999</v>
      </c>
      <c r="H7616" s="1">
        <v>-5.7353869999999998E-7</v>
      </c>
      <c r="I7616">
        <v>-61.16536</v>
      </c>
      <c r="J7616">
        <v>-282.64350000000002</v>
      </c>
      <c r="K7616">
        <v>1.1209169999999999</v>
      </c>
      <c r="L7616">
        <v>-61.537080000000003</v>
      </c>
      <c r="M7616">
        <v>0.99987680000000001</v>
      </c>
      <c r="N7616">
        <v>-1.4223319999999999E-2</v>
      </c>
      <c r="O7616">
        <v>6.6496369999999999E-3</v>
      </c>
      <c r="P7616">
        <v>0.9926026</v>
      </c>
      <c r="Q7616">
        <v>-0.12016300000000001</v>
      </c>
      <c r="R7616">
        <v>1.7349719999999999E-2</v>
      </c>
      <c r="S7616">
        <v>3.0004879999999998</v>
      </c>
      <c r="T7616">
        <v>-0.17180500000000001</v>
      </c>
      <c r="U7616">
        <v>5.7037350000000001E-2</v>
      </c>
      <c r="V7616">
        <v>-1.078082E-2</v>
      </c>
      <c r="W7616">
        <v>-0.1060281</v>
      </c>
      <c r="X7616">
        <v>0.99430469999999904</v>
      </c>
      <c r="Y7616">
        <v>-1.2337320000000001E-2</v>
      </c>
      <c r="Z7616">
        <v>1.5485370000000001E-4</v>
      </c>
      <c r="AA7616">
        <v>0.99992389999999998</v>
      </c>
      <c r="AB7616">
        <v>19</v>
      </c>
      <c r="AC7616">
        <v>19.4727</v>
      </c>
      <c r="AD7616">
        <v>-1.12091757353869</v>
      </c>
      <c r="AE7616">
        <v>0.37172000000000299</v>
      </c>
      <c r="AF7616">
        <v>-0.241412658357194</v>
      </c>
      <c r="AG7616">
        <v>-1.12091757353869</v>
      </c>
      <c r="AH7616">
        <v>19.410447164693</v>
      </c>
      <c r="AI7616">
        <v>93.304800021337897</v>
      </c>
      <c r="AJ7616">
        <v>90.712565413627303</v>
      </c>
      <c r="AK7616">
        <v>19.4442843892908</v>
      </c>
      <c r="AL7616">
        <v>96.086402960162204</v>
      </c>
      <c r="AM7616">
        <v>90.621209254758696</v>
      </c>
      <c r="AN7616">
        <v>1.00000001025578</v>
      </c>
    </row>
    <row r="7617" spans="1:40" x14ac:dyDescent="0.25">
      <c r="A7617" t="str">
        <f>"20190303154331044"</f>
        <v>20190303154331044</v>
      </c>
      <c r="B7617" t="str">
        <f>"1551599011037495"</f>
        <v>1551599011037495</v>
      </c>
      <c r="C7617" t="s">
        <v>40</v>
      </c>
      <c r="D7617">
        <v>5.675878</v>
      </c>
      <c r="E7617">
        <v>0.50013200000000002</v>
      </c>
      <c r="F7617" t="s">
        <v>65</v>
      </c>
      <c r="G7617">
        <v>-262.8929</v>
      </c>
      <c r="H7617" s="1">
        <v>-4.5767380000000001E-7</v>
      </c>
      <c r="I7617">
        <v>-61.178080000000001</v>
      </c>
      <c r="J7617">
        <v>-282.54689999999999</v>
      </c>
      <c r="K7617">
        <v>1.120911</v>
      </c>
      <c r="L7617">
        <v>-61.536650000000002</v>
      </c>
      <c r="M7617">
        <v>0.99987800000000004</v>
      </c>
      <c r="N7617">
        <v>-1.422028E-2</v>
      </c>
      <c r="O7617">
        <v>6.4702379999999997E-3</v>
      </c>
      <c r="P7617">
        <v>0.99263380000000001</v>
      </c>
      <c r="Q7617">
        <v>-0.1199231</v>
      </c>
      <c r="R7617">
        <v>1.7237760000000001E-2</v>
      </c>
      <c r="S7617">
        <v>3.0008240000000002</v>
      </c>
      <c r="T7617">
        <v>-0.1703074</v>
      </c>
      <c r="U7617">
        <v>5.4534909999999999E-2</v>
      </c>
      <c r="V7617">
        <v>-1.08489E-2</v>
      </c>
      <c r="W7617">
        <v>-0.1057905</v>
      </c>
      <c r="X7617">
        <v>0.99432929999999997</v>
      </c>
      <c r="Y7617">
        <v>-1.1682440000000001E-2</v>
      </c>
      <c r="Z7617">
        <v>1.3945049999999901E-4</v>
      </c>
      <c r="AA7617">
        <v>0.99993180000000004</v>
      </c>
      <c r="AB7617">
        <v>19</v>
      </c>
      <c r="AC7617">
        <v>19.654</v>
      </c>
      <c r="AD7617">
        <v>-1.1209114576738</v>
      </c>
      <c r="AE7617">
        <v>0.35857</v>
      </c>
      <c r="AF7617">
        <v>-0.230633654961866</v>
      </c>
      <c r="AG7617">
        <v>-1.1209114576738</v>
      </c>
      <c r="AH7617">
        <v>19.592202912576401</v>
      </c>
      <c r="AI7617">
        <v>93.274217084460702</v>
      </c>
      <c r="AJ7617">
        <v>90.674437926611006</v>
      </c>
      <c r="AK7617">
        <v>19.625596789558099</v>
      </c>
      <c r="AL7617">
        <v>96.072712287364993</v>
      </c>
      <c r="AM7617">
        <v>90.625116365535206</v>
      </c>
      <c r="AN7617">
        <v>1.00000004267997</v>
      </c>
    </row>
    <row r="7618" spans="1:40" x14ac:dyDescent="0.25">
      <c r="A7618" t="str">
        <f>"20190303154331055"</f>
        <v>20190303154331055</v>
      </c>
      <c r="B7618" t="str">
        <f>"1551599011048231"</f>
        <v>1551599011048231</v>
      </c>
      <c r="C7618" t="s">
        <v>40</v>
      </c>
      <c r="D7618">
        <v>5.6808170000000002</v>
      </c>
      <c r="E7618">
        <v>0.50013200000000002</v>
      </c>
      <c r="F7618" t="s">
        <v>41</v>
      </c>
      <c r="G7618">
        <v>-262.70420000000001</v>
      </c>
      <c r="H7618" s="1">
        <v>-3.7801459999999999E-7</v>
      </c>
      <c r="I7618">
        <v>-61.182839999999999</v>
      </c>
      <c r="J7618">
        <v>-282.44909999999999</v>
      </c>
      <c r="K7618">
        <v>1.1209039999999999</v>
      </c>
      <c r="L7618">
        <v>-61.536219999999901</v>
      </c>
      <c r="M7618">
        <v>0.99987910000000002</v>
      </c>
      <c r="N7618">
        <v>-1.4217250000000001E-2</v>
      </c>
      <c r="O7618">
        <v>6.2876030000000001E-3</v>
      </c>
      <c r="P7618">
        <v>0.99270809999999998</v>
      </c>
      <c r="Q7618">
        <v>-0.1193168</v>
      </c>
      <c r="R7618">
        <v>1.7144320000000001E-2</v>
      </c>
      <c r="S7618">
        <v>3.0008539999999999</v>
      </c>
      <c r="T7618">
        <v>-0.16951759999999999</v>
      </c>
      <c r="U7618">
        <v>5.3497309999999999E-2</v>
      </c>
      <c r="V7618">
        <v>-1.0938740000000001E-2</v>
      </c>
      <c r="W7618">
        <v>-0.1051861</v>
      </c>
      <c r="X7618">
        <v>0.99439239999999995</v>
      </c>
      <c r="Y7618">
        <v>-1.151956E-2</v>
      </c>
      <c r="Z7618">
        <v>1.4153479999999999E-4</v>
      </c>
      <c r="AA7618">
        <v>0.99993370000000004</v>
      </c>
      <c r="AB7618">
        <v>19</v>
      </c>
      <c r="AC7618">
        <v>19.744899999999902</v>
      </c>
      <c r="AD7618">
        <v>-1.1209043780146</v>
      </c>
      <c r="AE7618">
        <v>0.35337999999999398</v>
      </c>
      <c r="AF7618">
        <v>-0.228476277096403</v>
      </c>
      <c r="AG7618">
        <v>-1.1209043780146</v>
      </c>
      <c r="AH7618">
        <v>19.683317565787402</v>
      </c>
      <c r="AI7618">
        <v>93.2590790825695</v>
      </c>
      <c r="AJ7618">
        <v>90.6650372055867</v>
      </c>
      <c r="AK7618">
        <v>19.7165316024265</v>
      </c>
      <c r="AL7618">
        <v>96.037888628560296</v>
      </c>
      <c r="AM7618">
        <v>90.6302525606676</v>
      </c>
      <c r="AN7618">
        <v>1.0000000084218701</v>
      </c>
    </row>
    <row r="7619" spans="1:40" x14ac:dyDescent="0.25">
      <c r="A7619" t="str">
        <f>"20190303154331067"</f>
        <v>20190303154331067</v>
      </c>
      <c r="B7619" t="str">
        <f>"1551599011057991"</f>
        <v>1551599011057991</v>
      </c>
      <c r="C7619" t="s">
        <v>40</v>
      </c>
      <c r="D7619">
        <v>5.6871299999999998</v>
      </c>
      <c r="E7619">
        <v>0.50024809999999997</v>
      </c>
      <c r="F7619" t="s">
        <v>41</v>
      </c>
      <c r="G7619">
        <v>-262.39019999999999</v>
      </c>
      <c r="H7619" s="1">
        <v>-2.4256080000000001E-7</v>
      </c>
      <c r="I7619">
        <v>-61.18</v>
      </c>
      <c r="J7619">
        <v>-282.34589999999997</v>
      </c>
      <c r="K7619">
        <v>1.120895</v>
      </c>
      <c r="L7619">
        <v>-61.535800000000002</v>
      </c>
      <c r="M7619">
        <v>0.99988049999999995</v>
      </c>
      <c r="N7619">
        <v>-1.421415E-2</v>
      </c>
      <c r="O7619">
        <v>6.089629E-3</v>
      </c>
      <c r="P7619">
        <v>0.99272490000000002</v>
      </c>
      <c r="Q7619">
        <v>-0.11919970000000001</v>
      </c>
      <c r="R7619">
        <v>1.6993379999999999E-2</v>
      </c>
      <c r="S7619">
        <v>3.0009160000000001</v>
      </c>
      <c r="T7619">
        <v>-0.16769339999999999</v>
      </c>
      <c r="U7619">
        <v>5.3283690000000002E-2</v>
      </c>
      <c r="V7619">
        <v>-1.098676E-2</v>
      </c>
      <c r="W7619">
        <v>-0.1050716</v>
      </c>
      <c r="X7619">
        <v>0.99440399999999995</v>
      </c>
      <c r="Y7619">
        <v>-1.1645890000000001E-2</v>
      </c>
      <c r="Z7619">
        <v>1.5448400000000001E-4</v>
      </c>
      <c r="AA7619">
        <v>0.99993220000000005</v>
      </c>
      <c r="AB7619">
        <v>19</v>
      </c>
      <c r="AC7619">
        <v>19.955699999999901</v>
      </c>
      <c r="AD7619">
        <v>-1.1208952425608001</v>
      </c>
      <c r="AE7619">
        <v>0.355800000000002</v>
      </c>
      <c r="AF7619">
        <v>-0.233521800643473</v>
      </c>
      <c r="AG7619">
        <v>-1.1208952425608001</v>
      </c>
      <c r="AH7619">
        <v>19.894749297966801</v>
      </c>
      <c r="AI7619">
        <v>93.224485535942406</v>
      </c>
      <c r="AJ7619">
        <v>90.672499008307298</v>
      </c>
      <c r="AK7619">
        <v>19.927668910465201</v>
      </c>
      <c r="AL7619">
        <v>96.031291559248004</v>
      </c>
      <c r="AM7619">
        <v>90.633011699446797</v>
      </c>
      <c r="AN7619">
        <v>1.00000003261892</v>
      </c>
    </row>
    <row r="7620" spans="1:40" x14ac:dyDescent="0.25">
      <c r="A7620" t="str">
        <f>"20190303154331078"</f>
        <v>20190303154331078</v>
      </c>
      <c r="B7620" t="str">
        <f>"1551599011067751"</f>
        <v>1551599011067751</v>
      </c>
      <c r="C7620" t="s">
        <v>40</v>
      </c>
      <c r="D7620">
        <v>5.6009399999999996</v>
      </c>
      <c r="E7620">
        <v>0.50045509999999904</v>
      </c>
      <c r="F7620" t="s">
        <v>41</v>
      </c>
      <c r="G7620">
        <v>-262.16739999999999</v>
      </c>
      <c r="H7620" s="1">
        <v>-1.4882019999999999E-7</v>
      </c>
      <c r="I7620">
        <v>-61.186909999999997</v>
      </c>
      <c r="J7620">
        <v>-282.255</v>
      </c>
      <c r="K7620">
        <v>1.1208849999999999</v>
      </c>
      <c r="L7620">
        <v>-61.535429999999998</v>
      </c>
      <c r="M7620">
        <v>0.99988160000000004</v>
      </c>
      <c r="N7620">
        <v>-1.421145E-2</v>
      </c>
      <c r="O7620">
        <v>5.9140240000000004E-3</v>
      </c>
      <c r="P7620">
        <v>0.99274620000000002</v>
      </c>
      <c r="Q7620">
        <v>-0.11907429999999999</v>
      </c>
      <c r="R7620">
        <v>1.662512E-2</v>
      </c>
      <c r="S7620">
        <v>3.001099</v>
      </c>
      <c r="T7620">
        <v>-0.16670839999999901</v>
      </c>
      <c r="U7620">
        <v>5.1879880000000003E-2</v>
      </c>
      <c r="V7620">
        <v>-1.079487E-2</v>
      </c>
      <c r="W7620">
        <v>-0.1049485</v>
      </c>
      <c r="X7620">
        <v>0.9944191</v>
      </c>
      <c r="Y7620">
        <v>-1.135341E-2</v>
      </c>
      <c r="Z7620">
        <v>1.5159409999999999E-4</v>
      </c>
      <c r="AA7620">
        <v>0.99993549999999998</v>
      </c>
      <c r="AB7620">
        <v>19</v>
      </c>
      <c r="AC7620">
        <v>20.087599999999998</v>
      </c>
      <c r="AD7620">
        <v>-1.1208851488202001</v>
      </c>
      <c r="AE7620">
        <v>0.34852000000000699</v>
      </c>
      <c r="AF7620">
        <v>-0.22899059018151699</v>
      </c>
      <c r="AG7620">
        <v>-1.1208851488202001</v>
      </c>
      <c r="AH7620">
        <v>20.026972310073699</v>
      </c>
      <c r="AI7620">
        <v>93.203223628996099</v>
      </c>
      <c r="AJ7620">
        <v>90.655097657013002</v>
      </c>
      <c r="AK7620">
        <v>20.059622132924101</v>
      </c>
      <c r="AL7620">
        <v>96.024199242518193</v>
      </c>
      <c r="AM7620">
        <v>90.6219472234921</v>
      </c>
      <c r="AN7620">
        <v>1.00000003165768</v>
      </c>
    </row>
    <row r="7621" spans="1:40" x14ac:dyDescent="0.25">
      <c r="A7621" t="str">
        <f>"20190303154331088"</f>
        <v>20190303154331088</v>
      </c>
      <c r="B7621" t="str">
        <f>"1551599011077512"</f>
        <v>1551599011077512</v>
      </c>
      <c r="C7621" t="s">
        <v>40</v>
      </c>
      <c r="D7621">
        <v>5.6183630000000004</v>
      </c>
      <c r="E7621">
        <v>0.50067680000000003</v>
      </c>
      <c r="F7621" t="s">
        <v>41</v>
      </c>
      <c r="G7621">
        <v>-261.74630000000002</v>
      </c>
      <c r="H7621" s="1">
        <v>2.861623E-8</v>
      </c>
      <c r="I7621">
        <v>-61.199010000000001</v>
      </c>
      <c r="J7621">
        <v>-282.1628</v>
      </c>
      <c r="K7621">
        <v>1.1208769999999999</v>
      </c>
      <c r="L7621">
        <v>-61.535130000000002</v>
      </c>
      <c r="M7621">
        <v>0.99988279999999996</v>
      </c>
      <c r="N7621">
        <v>-1.4208770000000001E-2</v>
      </c>
      <c r="O7621">
        <v>5.7306750000000002E-3</v>
      </c>
      <c r="P7621">
        <v>0.99275979999999997</v>
      </c>
      <c r="Q7621">
        <v>-0.1190185</v>
      </c>
      <c r="R7621">
        <v>1.6211159999999999E-2</v>
      </c>
      <c r="S7621">
        <v>3.0014340000000002</v>
      </c>
      <c r="T7621">
        <v>-0.16404070000000001</v>
      </c>
      <c r="U7621">
        <v>4.9224850000000001E-2</v>
      </c>
      <c r="V7621">
        <v>-1.056495E-2</v>
      </c>
      <c r="W7621">
        <v>-0.10489510000000001</v>
      </c>
      <c r="X7621">
        <v>0.99442710000000001</v>
      </c>
      <c r="Y7621">
        <v>-1.0652139999999999E-2</v>
      </c>
      <c r="Z7621">
        <v>1.350472E-4</v>
      </c>
      <c r="AA7621">
        <v>0.99994329999999998</v>
      </c>
      <c r="AB7621">
        <v>19</v>
      </c>
      <c r="AC7621">
        <v>20.4164999999999</v>
      </c>
      <c r="AD7621">
        <v>-1.1208769713837601</v>
      </c>
      <c r="AE7621">
        <v>0.33612000000000802</v>
      </c>
      <c r="AF7621">
        <v>-0.21844413380651401</v>
      </c>
      <c r="AG7621">
        <v>-1.1208769713837601</v>
      </c>
      <c r="AH7621">
        <v>20.356751029458501</v>
      </c>
      <c r="AI7621">
        <v>93.151438529519396</v>
      </c>
      <c r="AJ7621">
        <v>90.6148056995291</v>
      </c>
      <c r="AK7621">
        <v>20.388756595239801</v>
      </c>
      <c r="AL7621">
        <v>96.021123289006695</v>
      </c>
      <c r="AM7621">
        <v>90.608696476935293</v>
      </c>
      <c r="AN7621">
        <v>0.999999928693458</v>
      </c>
    </row>
    <row r="7622" spans="1:40" x14ac:dyDescent="0.25">
      <c r="A7622" t="str">
        <f>"20190303154331098"</f>
        <v>20190303154331098</v>
      </c>
      <c r="B7622" t="str">
        <f>"1551599011088248"</f>
        <v>1551599011088248</v>
      </c>
      <c r="C7622" t="s">
        <v>40</v>
      </c>
      <c r="D7622">
        <v>5.6023170000000002</v>
      </c>
      <c r="E7622">
        <v>0.50085789999999997</v>
      </c>
      <c r="F7622" t="s">
        <v>41</v>
      </c>
      <c r="G7622">
        <v>-261.37900000000002</v>
      </c>
      <c r="H7622" s="1">
        <v>1.8189050000000001E-7</v>
      </c>
      <c r="I7622">
        <v>-61.215150000000001</v>
      </c>
      <c r="J7622">
        <v>-282.0763</v>
      </c>
      <c r="K7622">
        <v>1.1208689999999999</v>
      </c>
      <c r="L7622">
        <v>-61.534820000000003</v>
      </c>
      <c r="M7622">
        <v>0.99988379999999999</v>
      </c>
      <c r="N7622">
        <v>-1.420626E-2</v>
      </c>
      <c r="O7622">
        <v>5.5567580000000002E-3</v>
      </c>
      <c r="P7622">
        <v>0.99272890000000003</v>
      </c>
      <c r="Q7622">
        <v>-0.1193424</v>
      </c>
      <c r="R7622">
        <v>1.5716029999999999E-2</v>
      </c>
      <c r="S7622">
        <v>3.001709</v>
      </c>
      <c r="T7622">
        <v>-0.1618829</v>
      </c>
      <c r="U7622">
        <v>4.6203609999999999E-2</v>
      </c>
      <c r="V7622">
        <v>-1.0245000000000001E-2</v>
      </c>
      <c r="W7622">
        <v>-0.10522189999999999</v>
      </c>
      <c r="X7622">
        <v>0.99439599999999995</v>
      </c>
      <c r="Y7622">
        <v>-9.8200649999999994E-3</v>
      </c>
      <c r="Z7622">
        <v>1.1387739999999999E-4</v>
      </c>
      <c r="AA7622">
        <v>0.99995179999999995</v>
      </c>
      <c r="AB7622">
        <v>19</v>
      </c>
      <c r="AC7622">
        <v>20.697299999999899</v>
      </c>
      <c r="AD7622">
        <v>-1.1208688181094999</v>
      </c>
      <c r="AE7622">
        <v>0.31966999999999501</v>
      </c>
      <c r="AF7622">
        <v>-0.204045305794295</v>
      </c>
      <c r="AG7622">
        <v>-1.1208688181094999</v>
      </c>
      <c r="AH7622">
        <v>20.6382435311364</v>
      </c>
      <c r="AI7622">
        <v>93.108544218870605</v>
      </c>
      <c r="AJ7622">
        <v>90.5664510128709</v>
      </c>
      <c r="AK7622">
        <v>20.669665634565099</v>
      </c>
      <c r="AL7622">
        <v>96.039951275116806</v>
      </c>
      <c r="AM7622">
        <v>90.590282436065095</v>
      </c>
      <c r="AN7622">
        <v>1.0000000065403001</v>
      </c>
    </row>
    <row r="7623" spans="1:40" x14ac:dyDescent="0.25">
      <c r="A7623" t="str">
        <f>"20190303154331109"</f>
        <v>20190303154331109</v>
      </c>
      <c r="B7623" t="str">
        <f>"1551599011098008"</f>
        <v>1551599011098008</v>
      </c>
      <c r="C7623" t="s">
        <v>40</v>
      </c>
      <c r="D7623">
        <v>5.5849390000000003</v>
      </c>
      <c r="E7623">
        <v>0.50101459999999998</v>
      </c>
      <c r="F7623" t="s">
        <v>41</v>
      </c>
      <c r="G7623">
        <v>-261.21129999999999</v>
      </c>
      <c r="H7623" s="1">
        <v>2.4884969999999998E-7</v>
      </c>
      <c r="I7623">
        <v>-61.2339699999999</v>
      </c>
      <c r="J7623">
        <v>-281.98469999999998</v>
      </c>
      <c r="K7623">
        <v>1.120857</v>
      </c>
      <c r="L7623">
        <v>-61.534519999999901</v>
      </c>
      <c r="M7623">
        <v>0.99988489999999997</v>
      </c>
      <c r="N7623">
        <v>-1.420366E-2</v>
      </c>
      <c r="O7623">
        <v>5.3685460000000001E-3</v>
      </c>
      <c r="P7623">
        <v>0.99269560000000001</v>
      </c>
      <c r="Q7623">
        <v>-0.1197043</v>
      </c>
      <c r="R7623">
        <v>1.506274E-2</v>
      </c>
      <c r="S7623">
        <v>3.001862</v>
      </c>
      <c r="T7623">
        <v>-0.16126009999999999</v>
      </c>
      <c r="U7623">
        <v>4.3273930000000002E-2</v>
      </c>
      <c r="V7623">
        <v>-9.7808840000000001E-3</v>
      </c>
      <c r="W7623">
        <v>-0.1055869</v>
      </c>
      <c r="X7623">
        <v>0.99436199999999997</v>
      </c>
      <c r="Y7623">
        <v>-9.0331779999999993E-3</v>
      </c>
      <c r="Z7623" s="1">
        <v>9.4702600000000004E-5</v>
      </c>
      <c r="AA7623">
        <v>0.99995919999999905</v>
      </c>
      <c r="AB7623">
        <v>19</v>
      </c>
      <c r="AC7623">
        <v>20.773399999999899</v>
      </c>
      <c r="AD7623">
        <v>-1.1208567511503</v>
      </c>
      <c r="AE7623">
        <v>0.30055000000000098</v>
      </c>
      <c r="AF7623">
        <v>-0.18846292947358201</v>
      </c>
      <c r="AG7623">
        <v>-1.1208567511503</v>
      </c>
      <c r="AH7623">
        <v>20.714421249000502</v>
      </c>
      <c r="AI7623">
        <v>93.097124638313502</v>
      </c>
      <c r="AJ7623">
        <v>90.521271262915604</v>
      </c>
      <c r="AK7623">
        <v>20.745579910270699</v>
      </c>
      <c r="AL7623">
        <v>96.060981283386099</v>
      </c>
      <c r="AM7623">
        <v>90.5635626667883</v>
      </c>
      <c r="AN7623">
        <v>1.0000000230937101</v>
      </c>
    </row>
    <row r="7624" spans="1:40" x14ac:dyDescent="0.25">
      <c r="A7624" t="str">
        <f>"20190303154331121"</f>
        <v>20190303154331121</v>
      </c>
      <c r="B7624" t="str">
        <f>"1551599011117527"</f>
        <v>1551599011117527</v>
      </c>
      <c r="C7624" t="s">
        <v>40</v>
      </c>
      <c r="D7624">
        <v>8.1418110000000006</v>
      </c>
      <c r="E7624">
        <v>0.50136670000000005</v>
      </c>
      <c r="F7624" t="s">
        <v>41</v>
      </c>
      <c r="G7624">
        <v>-261.0598</v>
      </c>
      <c r="H7624" s="1">
        <v>3.080602E-7</v>
      </c>
      <c r="I7624">
        <v>-61.255580000000002</v>
      </c>
      <c r="J7624">
        <v>-281.892</v>
      </c>
      <c r="K7624">
        <v>1.120851</v>
      </c>
      <c r="L7624">
        <v>-61.534239999999997</v>
      </c>
      <c r="M7624">
        <v>0.99988580000000005</v>
      </c>
      <c r="N7624">
        <v>-1.420104E-2</v>
      </c>
      <c r="O7624">
        <v>5.1755760000000003E-3</v>
      </c>
      <c r="P7624">
        <v>0.99261949999999999</v>
      </c>
      <c r="Q7624">
        <v>-0.1204287</v>
      </c>
      <c r="R7624">
        <v>1.428369E-2</v>
      </c>
      <c r="S7624">
        <v>3.0021059999999999</v>
      </c>
      <c r="T7624">
        <v>-0.16080999999999901</v>
      </c>
      <c r="U7624">
        <v>4.0008540000000002E-2</v>
      </c>
      <c r="V7624">
        <v>-9.1955390000000008E-3</v>
      </c>
      <c r="W7624">
        <v>-0.1063152</v>
      </c>
      <c r="X7624">
        <v>0.99428989999999995</v>
      </c>
      <c r="Y7624">
        <v>-8.1390679999999993E-3</v>
      </c>
      <c r="Z7624" s="1">
        <v>7.211311E-5</v>
      </c>
      <c r="AA7624">
        <v>0.99996689999999999</v>
      </c>
      <c r="AB7624">
        <v>19</v>
      </c>
      <c r="AC7624">
        <v>20.8322</v>
      </c>
      <c r="AD7624">
        <v>-1.1208506919398</v>
      </c>
      <c r="AE7624">
        <v>0.27866000000000202</v>
      </c>
      <c r="AF7624">
        <v>-0.17033376135998199</v>
      </c>
      <c r="AG7624">
        <v>-1.1208506919398</v>
      </c>
      <c r="AH7624">
        <v>20.773238761334301</v>
      </c>
      <c r="AI7624">
        <v>93.088379702999902</v>
      </c>
      <c r="AJ7624">
        <v>90.469796117596502</v>
      </c>
      <c r="AK7624">
        <v>20.804152674388899</v>
      </c>
      <c r="AL7624">
        <v>96.102946498404506</v>
      </c>
      <c r="AM7624">
        <v>90.529876200633595</v>
      </c>
      <c r="AN7624">
        <v>0.99999994246527302</v>
      </c>
    </row>
    <row r="7625" spans="1:40" x14ac:dyDescent="0.25">
      <c r="A7625" t="str">
        <f>"20190303154331132"</f>
        <v>20190303154331132</v>
      </c>
      <c r="B7625" t="str">
        <f>"1551599011128263"</f>
        <v>1551599011128263</v>
      </c>
      <c r="C7625" t="s">
        <v>40</v>
      </c>
      <c r="D7625">
        <v>5.597601</v>
      </c>
      <c r="E7625">
        <v>0.50156619999999996</v>
      </c>
      <c r="F7625" t="s">
        <v>41</v>
      </c>
      <c r="G7625">
        <v>-260.91910000000001</v>
      </c>
      <c r="H7625" s="1">
        <v>3.5898380000000002E-7</v>
      </c>
      <c r="I7625">
        <v>-61.291150000000002</v>
      </c>
      <c r="J7625">
        <v>-281.79829999999998</v>
      </c>
      <c r="K7625">
        <v>1.1208450000000001</v>
      </c>
      <c r="L7625">
        <v>-61.533940000000001</v>
      </c>
      <c r="M7625">
        <v>0.99988690000000002</v>
      </c>
      <c r="N7625">
        <v>-1.419844E-2</v>
      </c>
      <c r="O7625">
        <v>4.9777930000000003E-3</v>
      </c>
      <c r="P7625">
        <v>0.99258100000000005</v>
      </c>
      <c r="Q7625">
        <v>-0.1208453</v>
      </c>
      <c r="R7625">
        <v>1.3406980000000001E-2</v>
      </c>
      <c r="S7625">
        <v>3.002319</v>
      </c>
      <c r="T7625">
        <v>-0.16045219999999999</v>
      </c>
      <c r="U7625">
        <v>3.4790040000000001E-2</v>
      </c>
      <c r="V7625">
        <v>-8.5171680000000003E-3</v>
      </c>
      <c r="W7625">
        <v>-0.1067351</v>
      </c>
      <c r="X7625">
        <v>0.994251</v>
      </c>
      <c r="Y7625">
        <v>-6.6007430000000001E-3</v>
      </c>
      <c r="Z7625" s="1">
        <v>2.797172E-5</v>
      </c>
      <c r="AA7625">
        <v>0.99997820000000004</v>
      </c>
      <c r="AB7625">
        <v>19</v>
      </c>
      <c r="AC7625">
        <v>20.879199999999901</v>
      </c>
      <c r="AD7625">
        <v>-1.1208446410161901</v>
      </c>
      <c r="AE7625">
        <v>0.24278999999999901</v>
      </c>
      <c r="AF7625">
        <v>-0.13844527077736299</v>
      </c>
      <c r="AG7625">
        <v>-1.1208446410161901</v>
      </c>
      <c r="AH7625">
        <v>20.8201586259012</v>
      </c>
      <c r="AI7625">
        <v>93.081452014880796</v>
      </c>
      <c r="AJ7625">
        <v>90.380987145218398</v>
      </c>
      <c r="AK7625">
        <v>20.8507665329115</v>
      </c>
      <c r="AL7625">
        <v>96.127142397705498</v>
      </c>
      <c r="AM7625">
        <v>90.490807495628601</v>
      </c>
      <c r="AN7625">
        <v>0.99999998736187501</v>
      </c>
    </row>
    <row r="7626" spans="1:40" x14ac:dyDescent="0.25">
      <c r="A7626" t="str">
        <f>"20190303154331143"</f>
        <v>20190303154331143</v>
      </c>
      <c r="B7626" t="str">
        <f>"1551599011138023"</f>
        <v>1551599011138023</v>
      </c>
      <c r="C7626" t="s">
        <v>40</v>
      </c>
      <c r="D7626">
        <v>5.5790490000000004</v>
      </c>
      <c r="E7626">
        <v>0.50170700000000001</v>
      </c>
      <c r="F7626" t="s">
        <v>65</v>
      </c>
      <c r="G7626">
        <v>-260.79340000000002</v>
      </c>
      <c r="H7626" s="1">
        <v>4.0518440000000001E-7</v>
      </c>
      <c r="I7626">
        <v>-61.320160000000001</v>
      </c>
      <c r="J7626">
        <v>-281.70150000000001</v>
      </c>
      <c r="K7626">
        <v>1.1208400000000001</v>
      </c>
      <c r="L7626">
        <v>-61.53369</v>
      </c>
      <c r="M7626">
        <v>0.99988790000000005</v>
      </c>
      <c r="N7626">
        <v>-1.419576E-2</v>
      </c>
      <c r="O7626">
        <v>4.7701940000000002E-3</v>
      </c>
      <c r="P7626">
        <v>0.9925427</v>
      </c>
      <c r="Q7626">
        <v>-0.1212037</v>
      </c>
      <c r="R7626">
        <v>1.299408E-2</v>
      </c>
      <c r="S7626">
        <v>3.0025019999999998</v>
      </c>
      <c r="T7626">
        <v>-0.16021659999999999</v>
      </c>
      <c r="U7626">
        <v>3.0548100000000002E-2</v>
      </c>
      <c r="V7626">
        <v>-8.31203199999999E-3</v>
      </c>
      <c r="W7626">
        <v>-0.10709680000000001</v>
      </c>
      <c r="X7626">
        <v>0.99421389999999998</v>
      </c>
      <c r="Y7626">
        <v>-5.3970729999999996E-3</v>
      </c>
      <c r="Z7626" s="1">
        <v>-4.4333649999999999E-6</v>
      </c>
      <c r="AA7626">
        <v>0.99998549999999997</v>
      </c>
      <c r="AB7626">
        <v>19</v>
      </c>
      <c r="AC7626">
        <v>20.908099999999902</v>
      </c>
      <c r="AD7626">
        <v>-1.1208395948156</v>
      </c>
      <c r="AE7626">
        <v>0.21353000000000499</v>
      </c>
      <c r="AF7626">
        <v>-0.113455814128216</v>
      </c>
      <c r="AG7626">
        <v>-1.1208395948156</v>
      </c>
      <c r="AH7626">
        <v>20.848971056539298</v>
      </c>
      <c r="AI7626">
        <v>93.077210361229007</v>
      </c>
      <c r="AJ7626">
        <v>90.3117887749559</v>
      </c>
      <c r="AK7626">
        <v>20.8793857125989</v>
      </c>
      <c r="AL7626">
        <v>96.147985388146395</v>
      </c>
      <c r="AM7626">
        <v>90.479004827152906</v>
      </c>
      <c r="AN7626">
        <v>1.0000000466997001</v>
      </c>
    </row>
    <row r="7627" spans="1:40" x14ac:dyDescent="0.25">
      <c r="A7627" t="str">
        <f>"20190303154331153"</f>
        <v>20190303154331153</v>
      </c>
      <c r="B7627" t="str">
        <f>"1551599011147783"</f>
        <v>1551599011147783</v>
      </c>
      <c r="C7627" t="s">
        <v>40</v>
      </c>
      <c r="D7627">
        <v>5.5898510000000003</v>
      </c>
      <c r="E7627">
        <v>0.50188980000000005</v>
      </c>
      <c r="F7627" t="s">
        <v>41</v>
      </c>
      <c r="G7627">
        <v>-260.68110000000001</v>
      </c>
      <c r="H7627" s="1">
        <v>4.4931320000000001E-7</v>
      </c>
      <c r="I7627">
        <v>-61.335360000000001</v>
      </c>
      <c r="J7627">
        <v>-281.60879999999997</v>
      </c>
      <c r="K7627">
        <v>1.120835</v>
      </c>
      <c r="L7627">
        <v>-61.533479999999997</v>
      </c>
      <c r="M7627">
        <v>0.99988880000000002</v>
      </c>
      <c r="N7627">
        <v>-1.4193219999999999E-2</v>
      </c>
      <c r="O7627">
        <v>4.5701759999999996E-3</v>
      </c>
      <c r="P7627">
        <v>0.99246650000000003</v>
      </c>
      <c r="Q7627">
        <v>-0.1219121</v>
      </c>
      <c r="R7627">
        <v>1.215775E-2</v>
      </c>
      <c r="S7627">
        <v>3.0026250000000001</v>
      </c>
      <c r="T7627">
        <v>-0.16010439999999901</v>
      </c>
      <c r="U7627">
        <v>2.8320310000000001E-2</v>
      </c>
      <c r="V7627">
        <v>-7.6761719999999898E-3</v>
      </c>
      <c r="W7627">
        <v>-0.107809</v>
      </c>
      <c r="X7627">
        <v>0.99414199999999997</v>
      </c>
      <c r="Y7627">
        <v>-4.8556600000000004E-3</v>
      </c>
      <c r="Z7627" s="1">
        <v>-1.482126E-5</v>
      </c>
      <c r="AA7627">
        <v>0.99998819999999999</v>
      </c>
      <c r="AB7627">
        <v>19</v>
      </c>
      <c r="AC7627">
        <v>20.927699999999898</v>
      </c>
      <c r="AD7627">
        <v>-1.1208345506868</v>
      </c>
      <c r="AE7627">
        <v>0.19812000000001001</v>
      </c>
      <c r="AF7627">
        <v>-0.102171976669505</v>
      </c>
      <c r="AG7627">
        <v>-1.1208345506868</v>
      </c>
      <c r="AH7627">
        <v>20.868532958400099</v>
      </c>
      <c r="AI7627">
        <v>93.074326206305201</v>
      </c>
      <c r="AJ7627">
        <v>90.280516904810995</v>
      </c>
      <c r="AK7627">
        <v>20.898860663650101</v>
      </c>
      <c r="AL7627">
        <v>96.189029304231596</v>
      </c>
      <c r="AM7627">
        <v>90.442395068493099</v>
      </c>
      <c r="AN7627">
        <v>1.00000001013078</v>
      </c>
    </row>
    <row r="7628" spans="1:40" x14ac:dyDescent="0.25">
      <c r="A7628" t="str">
        <f>"20190303154331166"</f>
        <v>20190303154331166</v>
      </c>
      <c r="B7628" t="str">
        <f>"1551599011157543"</f>
        <v>1551599011157543</v>
      </c>
      <c r="C7628" t="s">
        <v>40</v>
      </c>
      <c r="D7628">
        <v>5.590414</v>
      </c>
      <c r="E7628">
        <v>0.50204510000000002</v>
      </c>
      <c r="F7628" t="s">
        <v>41</v>
      </c>
      <c r="G7628">
        <v>-260.7484</v>
      </c>
      <c r="H7628" s="1">
        <v>4.1292649999999999E-7</v>
      </c>
      <c r="I7628">
        <v>-61.363590000000002</v>
      </c>
      <c r="J7628">
        <v>-281.51220000000001</v>
      </c>
      <c r="K7628">
        <v>1.1208279999999999</v>
      </c>
      <c r="L7628">
        <v>-61.533259999999999</v>
      </c>
      <c r="M7628">
        <v>0.9998899</v>
      </c>
      <c r="N7628">
        <v>-1.4190639999999999E-2</v>
      </c>
      <c r="O7628">
        <v>4.3598669999999999E-3</v>
      </c>
      <c r="P7628">
        <v>0.99240930000000005</v>
      </c>
      <c r="Q7628">
        <v>-0.1224557</v>
      </c>
      <c r="R7628">
        <v>1.1323959999999999E-2</v>
      </c>
      <c r="S7628">
        <v>3.0026549999999999</v>
      </c>
      <c r="T7628">
        <v>-0.1613337</v>
      </c>
      <c r="U7628">
        <v>2.444458E-2</v>
      </c>
      <c r="V7628">
        <v>-7.0523799999999996E-3</v>
      </c>
      <c r="W7628">
        <v>-0.1083563</v>
      </c>
      <c r="X7628">
        <v>0.9940871</v>
      </c>
      <c r="Y7628">
        <v>-3.7769969999999998E-3</v>
      </c>
      <c r="Z7628" s="1">
        <v>-4.4023770000000002E-5</v>
      </c>
      <c r="AA7628">
        <v>0.99999280000000002</v>
      </c>
      <c r="AB7628">
        <v>19</v>
      </c>
      <c r="AC7628">
        <v>20.7638</v>
      </c>
      <c r="AD7628">
        <v>-1.1208275870735001</v>
      </c>
      <c r="AE7628">
        <v>0.16966999999999599</v>
      </c>
      <c r="AF7628">
        <v>-7.8901981698836998E-2</v>
      </c>
      <c r="AG7628">
        <v>-1.1208275870735001</v>
      </c>
      <c r="AH7628">
        <v>20.7040185026624</v>
      </c>
      <c r="AI7628">
        <v>93.098702824695096</v>
      </c>
      <c r="AJ7628">
        <v>90.218350300484104</v>
      </c>
      <c r="AK7628">
        <v>20.7344848540119</v>
      </c>
      <c r="AL7628">
        <v>96.2205721710814</v>
      </c>
      <c r="AM7628">
        <v>90.4064682368588</v>
      </c>
      <c r="AN7628">
        <v>0.99999999309988197</v>
      </c>
    </row>
    <row r="7629" spans="1:40" x14ac:dyDescent="0.25">
      <c r="A7629" t="str">
        <f>"20190303154331177"</f>
        <v>20190303154331177</v>
      </c>
      <c r="B7629" t="str">
        <f>"1551599011168279"</f>
        <v>1551599011168279</v>
      </c>
      <c r="C7629" t="s">
        <v>40</v>
      </c>
      <c r="D7629">
        <v>5.5662589999999996</v>
      </c>
      <c r="E7629">
        <v>0.50217219999999996</v>
      </c>
      <c r="F7629" t="s">
        <v>41</v>
      </c>
      <c r="G7629">
        <v>-260.74770000000001</v>
      </c>
      <c r="H7629" s="1">
        <v>4.0649269999999998E-7</v>
      </c>
      <c r="I7629">
        <v>-61.388849999999998</v>
      </c>
      <c r="J7629">
        <v>-281.42329999999998</v>
      </c>
      <c r="K7629">
        <v>1.1208199999999999</v>
      </c>
      <c r="L7629">
        <v>-61.533079999999998</v>
      </c>
      <c r="M7629">
        <v>0.99989070000000002</v>
      </c>
      <c r="N7629">
        <v>-1.4188289999999999E-2</v>
      </c>
      <c r="O7629">
        <v>4.1660739999999996E-3</v>
      </c>
      <c r="P7629">
        <v>0.99237370000000003</v>
      </c>
      <c r="Q7629">
        <v>-0.1228216</v>
      </c>
      <c r="R7629">
        <v>1.047149E-2</v>
      </c>
      <c r="S7629">
        <v>3.0027159999999999</v>
      </c>
      <c r="T7629">
        <v>-0.162081</v>
      </c>
      <c r="U7629">
        <v>2.087402E-2</v>
      </c>
      <c r="V7629">
        <v>-6.3932349999999997E-3</v>
      </c>
      <c r="W7629">
        <v>-0.1087253</v>
      </c>
      <c r="X7629">
        <v>0.99405129999999997</v>
      </c>
      <c r="Y7629">
        <v>-2.78327E-3</v>
      </c>
      <c r="Z7629" s="1">
        <v>-7.0802340000000001E-5</v>
      </c>
      <c r="AA7629">
        <v>0.99999610000000005</v>
      </c>
      <c r="AB7629">
        <v>19</v>
      </c>
      <c r="AC7629">
        <v>20.6755999999999</v>
      </c>
      <c r="AD7629">
        <v>-1.1208195935073</v>
      </c>
      <c r="AE7629">
        <v>0.14423000000000699</v>
      </c>
      <c r="AF7629">
        <v>-5.7913817509323298E-2</v>
      </c>
      <c r="AG7629">
        <v>-1.1208195935073</v>
      </c>
      <c r="AH7629">
        <v>20.615441830206201</v>
      </c>
      <c r="AI7629">
        <v>93.111978800235093</v>
      </c>
      <c r="AJ7629">
        <v>90.160957432646001</v>
      </c>
      <c r="AK7629">
        <v>20.645968914683099</v>
      </c>
      <c r="AL7629">
        <v>96.241839760098102</v>
      </c>
      <c r="AM7629">
        <v>90.368492383067107</v>
      </c>
      <c r="AN7629">
        <v>1.0000000256727699</v>
      </c>
    </row>
    <row r="7630" spans="1:40" x14ac:dyDescent="0.25">
      <c r="A7630" t="str">
        <f>"20190303154331187"</f>
        <v>20190303154331187</v>
      </c>
      <c r="B7630" t="str">
        <f>"1551599011178042"</f>
        <v>1551599011178042</v>
      </c>
      <c r="C7630" t="s">
        <v>40</v>
      </c>
      <c r="D7630">
        <v>5.57925</v>
      </c>
      <c r="E7630">
        <v>0.50232019999999999</v>
      </c>
      <c r="F7630" t="s">
        <v>65</v>
      </c>
      <c r="G7630">
        <v>-260.69850000000002</v>
      </c>
      <c r="H7630" s="1">
        <v>4.2099730000000002E-7</v>
      </c>
      <c r="I7630">
        <v>-61.413800000000002</v>
      </c>
      <c r="J7630">
        <v>-281.32639999999998</v>
      </c>
      <c r="K7630">
        <v>1.120817</v>
      </c>
      <c r="L7630">
        <v>-61.53293</v>
      </c>
      <c r="M7630">
        <v>0.99989170000000005</v>
      </c>
      <c r="N7630">
        <v>-1.418577E-2</v>
      </c>
      <c r="O7630">
        <v>3.9535799999999999E-3</v>
      </c>
      <c r="P7630">
        <v>0.99227969999999999</v>
      </c>
      <c r="Q7630">
        <v>-0.1236963</v>
      </c>
      <c r="R7630">
        <v>8.9658240000000007E-3</v>
      </c>
      <c r="S7630">
        <v>3.0027469999999998</v>
      </c>
      <c r="T7630">
        <v>-0.16239149999999999</v>
      </c>
      <c r="U7630">
        <v>1.7272949999999999E-2</v>
      </c>
      <c r="V7630">
        <v>-5.1001340000000001E-3</v>
      </c>
      <c r="W7630">
        <v>-0.10960449999999999</v>
      </c>
      <c r="X7630">
        <v>0.99396220000000002</v>
      </c>
      <c r="Y7630">
        <v>-1.7981570000000001E-3</v>
      </c>
      <c r="Z7630" s="1">
        <v>-9.6243910000000003E-5</v>
      </c>
      <c r="AA7630">
        <v>0.99999839999999995</v>
      </c>
      <c r="AB7630">
        <v>19</v>
      </c>
      <c r="AC7630">
        <v>20.627899999999901</v>
      </c>
      <c r="AD7630">
        <v>-1.1208165790027</v>
      </c>
      <c r="AE7630">
        <v>0.119130000000005</v>
      </c>
      <c r="AF7630">
        <v>-3.7456242183377002E-2</v>
      </c>
      <c r="AG7630">
        <v>-1.1208165790027</v>
      </c>
      <c r="AH7630">
        <v>20.5674906114001</v>
      </c>
      <c r="AI7630">
        <v>93.119218532012994</v>
      </c>
      <c r="AJ7630">
        <v>90.104343415613997</v>
      </c>
      <c r="AK7630">
        <v>20.598041237551602</v>
      </c>
      <c r="AL7630">
        <v>96.292517196723395</v>
      </c>
      <c r="AM7630">
        <v>90.293988633239593</v>
      </c>
      <c r="AN7630">
        <v>1.0000000064079499</v>
      </c>
    </row>
    <row r="7631" spans="1:40" x14ac:dyDescent="0.25">
      <c r="A7631" t="str">
        <f>"20190303154331199"</f>
        <v>20190303154331199</v>
      </c>
      <c r="B7631" t="str">
        <f>"1551599011187800"</f>
        <v>1551599011187800</v>
      </c>
      <c r="C7631" t="s">
        <v>40</v>
      </c>
      <c r="D7631">
        <v>5.5609070000000003</v>
      </c>
      <c r="E7631">
        <v>0.50239800000000001</v>
      </c>
      <c r="F7631" t="s">
        <v>41</v>
      </c>
      <c r="G7631">
        <v>-260.81779999999998</v>
      </c>
      <c r="H7631" s="1">
        <v>3.5914350000000002E-7</v>
      </c>
      <c r="I7631">
        <v>-61.453870000000002</v>
      </c>
      <c r="J7631">
        <v>-281.23250000000002</v>
      </c>
      <c r="K7631">
        <v>1.1208119999999999</v>
      </c>
      <c r="L7631">
        <v>-61.532809999999998</v>
      </c>
      <c r="M7631">
        <v>0.99989260000000002</v>
      </c>
      <c r="N7631">
        <v>-1.4182510000000001E-2</v>
      </c>
      <c r="O7631">
        <v>3.7481300000000001E-3</v>
      </c>
      <c r="P7631">
        <v>0.99226769999999997</v>
      </c>
      <c r="Q7631">
        <v>-0.12388970000000001</v>
      </c>
      <c r="R7631">
        <v>7.5185349999999998E-3</v>
      </c>
      <c r="S7631">
        <v>3.0028079999999999</v>
      </c>
      <c r="T7631">
        <v>-0.1641068</v>
      </c>
      <c r="U7631">
        <v>1.1566160000000001E-2</v>
      </c>
      <c r="V7631">
        <v>-3.8568539999999998E-3</v>
      </c>
      <c r="W7631">
        <v>-0.1098021</v>
      </c>
      <c r="X7631">
        <v>0.993946</v>
      </c>
      <c r="Y7631">
        <v>-1.061153E-4</v>
      </c>
      <c r="Z7631">
        <v>-1.4790340000000001E-4</v>
      </c>
      <c r="AA7631">
        <v>1</v>
      </c>
      <c r="AB7631">
        <v>19</v>
      </c>
      <c r="AC7631">
        <v>20.4147</v>
      </c>
      <c r="AD7631">
        <v>-1.1208116408564901</v>
      </c>
      <c r="AE7631">
        <v>7.8940000000002897E-2</v>
      </c>
      <c r="AF7631">
        <v>-2.4075578475067699E-3</v>
      </c>
      <c r="AG7631">
        <v>-1.1208116408564901</v>
      </c>
      <c r="AH7631">
        <v>20.353502852551799</v>
      </c>
      <c r="AI7631">
        <v>93.151938175851001</v>
      </c>
      <c r="AJ7631">
        <v>90.006777354441198</v>
      </c>
      <c r="AK7631">
        <v>20.384339648353802</v>
      </c>
      <c r="AL7631">
        <v>96.3039075446423</v>
      </c>
      <c r="AM7631">
        <v>90.222326310781597</v>
      </c>
      <c r="AN7631">
        <v>1.0000000137015901</v>
      </c>
    </row>
    <row r="7632" spans="1:40" x14ac:dyDescent="0.25">
      <c r="A7632" t="str">
        <f>"20190303154331209"</f>
        <v>20190303154331209</v>
      </c>
      <c r="B7632" t="str">
        <f>"1551599011197560"</f>
        <v>1551599011197560</v>
      </c>
      <c r="C7632" t="s">
        <v>40</v>
      </c>
      <c r="D7632">
        <v>5.5937530000000004</v>
      </c>
      <c r="E7632">
        <v>0.50249220000000006</v>
      </c>
      <c r="F7632" t="s">
        <v>41</v>
      </c>
      <c r="G7632">
        <v>-260.67110000000002</v>
      </c>
      <c r="H7632" s="1">
        <v>4.1258720000000002E-7</v>
      </c>
      <c r="I7632">
        <v>-61.489490000000004</v>
      </c>
      <c r="J7632">
        <v>-281.14150000000001</v>
      </c>
      <c r="K7632">
        <v>1.1208129999999901</v>
      </c>
      <c r="L7632">
        <v>-61.532679999999999</v>
      </c>
      <c r="M7632">
        <v>0.99989320000000004</v>
      </c>
      <c r="N7632">
        <v>-1.4177560000000001E-2</v>
      </c>
      <c r="O7632">
        <v>3.549258E-3</v>
      </c>
      <c r="P7632">
        <v>0.99224420000000002</v>
      </c>
      <c r="Q7632">
        <v>-0.1241674</v>
      </c>
      <c r="R7632">
        <v>5.8461880000000004E-3</v>
      </c>
      <c r="S7632">
        <v>3.0028990000000002</v>
      </c>
      <c r="T7632">
        <v>-0.16369</v>
      </c>
      <c r="U7632">
        <v>6.3171390000000003E-3</v>
      </c>
      <c r="V7632">
        <v>-2.3823160000000002E-3</v>
      </c>
      <c r="W7632">
        <v>-0.1100859</v>
      </c>
      <c r="X7632">
        <v>0.99391929999999995</v>
      </c>
      <c r="Y7632">
        <v>1.4403650000000001E-3</v>
      </c>
      <c r="Z7632">
        <v>-1.924823E-4</v>
      </c>
      <c r="AA7632">
        <v>0.99999890000000002</v>
      </c>
      <c r="AB7632">
        <v>19</v>
      </c>
      <c r="AC7632">
        <v>20.470399999999898</v>
      </c>
      <c r="AD7632">
        <v>-1.1208125874128001</v>
      </c>
      <c r="AE7632">
        <v>4.3190000000002698E-2</v>
      </c>
      <c r="AF7632">
        <v>2.9384215865790701E-2</v>
      </c>
      <c r="AG7632">
        <v>-1.1208125874128001</v>
      </c>
      <c r="AH7632">
        <v>20.409240292701899</v>
      </c>
      <c r="AI7632">
        <v>93.143346968035104</v>
      </c>
      <c r="AJ7632">
        <v>89.917508424322904</v>
      </c>
      <c r="AK7632">
        <v>20.440014031636402</v>
      </c>
      <c r="AL7632">
        <v>96.320266855704901</v>
      </c>
      <c r="AM7632">
        <v>90.137331462295194</v>
      </c>
      <c r="AN7632">
        <v>1.0000000778603999</v>
      </c>
    </row>
    <row r="7633" spans="1:40" x14ac:dyDescent="0.25">
      <c r="A7633" t="str">
        <f>"20190303154331220"</f>
        <v>20190303154331220</v>
      </c>
      <c r="B7633" t="str">
        <f>"1551599011218055"</f>
        <v>1551599011218055</v>
      </c>
      <c r="C7633" t="s">
        <v>40</v>
      </c>
      <c r="D7633">
        <v>5.5468659999999996</v>
      </c>
      <c r="E7633">
        <v>0.50261840000000002</v>
      </c>
      <c r="F7633" t="s">
        <v>65</v>
      </c>
      <c r="G7633">
        <v>-260.57600000000002</v>
      </c>
      <c r="H7633" s="1">
        <v>4.4261979999999999E-7</v>
      </c>
      <c r="I7633">
        <v>-61.529899999999998</v>
      </c>
      <c r="J7633">
        <v>-281.05279999999999</v>
      </c>
      <c r="K7633">
        <v>1.1208070000000001</v>
      </c>
      <c r="L7633">
        <v>-61.532589999999999</v>
      </c>
      <c r="M7633">
        <v>0.99989410000000001</v>
      </c>
      <c r="N7633">
        <v>-1.416215E-2</v>
      </c>
      <c r="O7633">
        <v>3.355172E-3</v>
      </c>
      <c r="P7633">
        <v>0.99226020000000004</v>
      </c>
      <c r="Q7633">
        <v>-0.124118699999999</v>
      </c>
      <c r="R7633">
        <v>3.8186090000000002E-3</v>
      </c>
      <c r="S7633">
        <v>3.0029599999999999</v>
      </c>
      <c r="T7633">
        <v>-0.16366059999999999</v>
      </c>
      <c r="U7633">
        <v>3.9672850000000001E-4</v>
      </c>
      <c r="V7633">
        <v>-5.4722769999999998E-4</v>
      </c>
      <c r="W7633">
        <v>-0.110053399999999</v>
      </c>
      <c r="X7633">
        <v>0.99392550000000002</v>
      </c>
      <c r="Y7633">
        <v>3.2146570000000001E-3</v>
      </c>
      <c r="Z7633">
        <v>-2.455472E-4</v>
      </c>
      <c r="AA7633">
        <v>0.99999479999999996</v>
      </c>
      <c r="AB7633">
        <v>19</v>
      </c>
      <c r="AC7633">
        <v>20.476800000000001</v>
      </c>
      <c r="AD7633">
        <v>-1.1208065573802</v>
      </c>
      <c r="AE7633">
        <v>2.6900000000011901E-3</v>
      </c>
      <c r="AF7633">
        <v>6.5822887518169698E-2</v>
      </c>
      <c r="AG7633">
        <v>-1.1208065573802</v>
      </c>
      <c r="AH7633">
        <v>20.415529478365102</v>
      </c>
      <c r="AI7633">
        <v>93.142350651103001</v>
      </c>
      <c r="AJ7633">
        <v>89.815270008736107</v>
      </c>
      <c r="AK7633">
        <v>20.446378258106702</v>
      </c>
      <c r="AL7633">
        <v>96.318394012426694</v>
      </c>
      <c r="AM7633">
        <v>90.031545457355193</v>
      </c>
      <c r="AN7633">
        <v>0.99999997492998205</v>
      </c>
    </row>
    <row r="7634" spans="1:40" x14ac:dyDescent="0.25">
      <c r="A7634" t="str">
        <f>"20190303154331387"</f>
        <v>20190303154331387</v>
      </c>
      <c r="B7634" t="str">
        <f>"1551599011378120"</f>
        <v>1551599011378120</v>
      </c>
      <c r="C7634" t="s">
        <v>40</v>
      </c>
      <c r="D7634">
        <v>5.6417659999999996</v>
      </c>
      <c r="E7634">
        <v>0.52673019999999904</v>
      </c>
      <c r="F7634" t="s">
        <v>41</v>
      </c>
      <c r="G7634">
        <v>-260.40410000000003</v>
      </c>
      <c r="H7634" s="1">
        <v>5.0347779999999997E-7</v>
      </c>
      <c r="I7634">
        <v>-61.578479999999999</v>
      </c>
      <c r="J7634">
        <v>-279.64389999999997</v>
      </c>
      <c r="K7634">
        <v>1.120279</v>
      </c>
      <c r="L7634">
        <v>-61.534759999999999</v>
      </c>
      <c r="M7634">
        <v>0.99992060000000005</v>
      </c>
      <c r="N7634">
        <v>-1.258197E-2</v>
      </c>
      <c r="O7634">
        <v>-8.0009989999999995E-4</v>
      </c>
      <c r="P7634">
        <v>0.99270919999999896</v>
      </c>
      <c r="Q7634">
        <v>-0.120314</v>
      </c>
      <c r="R7634">
        <v>-7.2984080000000002E-3</v>
      </c>
      <c r="S7634">
        <v>3.0030519999999998</v>
      </c>
      <c r="T7634">
        <v>-0.1630045</v>
      </c>
      <c r="U7634">
        <v>-6.6833500000000002E-3</v>
      </c>
      <c r="V7634">
        <v>6.3771909999999999E-3</v>
      </c>
      <c r="W7634">
        <v>-0.1078218</v>
      </c>
      <c r="X7634">
        <v>0.99414979999999997</v>
      </c>
      <c r="Y7634">
        <v>1.4234650000000001E-3</v>
      </c>
      <c r="Z7634" s="1">
        <v>-1.4232E-5</v>
      </c>
      <c r="AA7634">
        <v>0.99999899999999997</v>
      </c>
      <c r="AB7634">
        <v>19</v>
      </c>
      <c r="AC7634">
        <v>19.239799999999899</v>
      </c>
      <c r="AD7634">
        <v>-1.1202784965221999</v>
      </c>
      <c r="AE7634">
        <v>-4.3720000000007503E-2</v>
      </c>
      <c r="AF7634">
        <v>2.82292984055461E-2</v>
      </c>
      <c r="AG7634">
        <v>-1.1202784965221999</v>
      </c>
      <c r="AH7634">
        <v>19.1748188605943</v>
      </c>
      <c r="AI7634">
        <v>93.343670543721302</v>
      </c>
      <c r="AJ7634">
        <v>89.915648825655794</v>
      </c>
      <c r="AK7634">
        <v>19.2075375605428</v>
      </c>
      <c r="AL7634">
        <v>96.189766947662903</v>
      </c>
      <c r="AM7634">
        <v>89.632468750824202</v>
      </c>
      <c r="AN7634">
        <v>1.0000000169801599</v>
      </c>
    </row>
    <row r="7635" spans="1:40" x14ac:dyDescent="0.25">
      <c r="A7635" t="str">
        <f>"20190303154331400"</f>
        <v>20190303154331400</v>
      </c>
      <c r="B7635" t="str">
        <f>"1551599011397640"</f>
        <v>1551599011397640</v>
      </c>
      <c r="C7635" t="s">
        <v>40</v>
      </c>
      <c r="D7635">
        <v>5.4832720000000004</v>
      </c>
      <c r="E7635">
        <v>0.52707219999999999</v>
      </c>
      <c r="F7635" t="s">
        <v>66</v>
      </c>
      <c r="G7635">
        <v>-229.2097</v>
      </c>
      <c r="H7635" s="1">
        <v>-3.8113930000000001E-6</v>
      </c>
      <c r="I7635">
        <v>-65.385310000000004</v>
      </c>
      <c r="J7635">
        <v>-279.5505</v>
      </c>
      <c r="K7635">
        <v>1.1202379999999901</v>
      </c>
      <c r="L7635">
        <v>-61.535310000000003</v>
      </c>
      <c r="M7635">
        <v>0.99992130000000001</v>
      </c>
      <c r="N7635">
        <v>-1.248993E-2</v>
      </c>
      <c r="O7635">
        <v>-1.2346290000000001E-3</v>
      </c>
      <c r="P7635">
        <v>0.99284989999999995</v>
      </c>
      <c r="Q7635">
        <v>-0.11919630000000001</v>
      </c>
      <c r="R7635">
        <v>-6.4281059999999899E-3</v>
      </c>
      <c r="S7635">
        <v>3.0122680000000002</v>
      </c>
      <c r="T7635">
        <v>-6.6910739999999996E-2</v>
      </c>
      <c r="U7635">
        <v>-0.2299805</v>
      </c>
      <c r="V7635">
        <v>5.0663189999999997E-3</v>
      </c>
      <c r="W7635">
        <v>-0.10679279999999999</v>
      </c>
      <c r="X7635">
        <v>0.99426840000000005</v>
      </c>
      <c r="Y7635">
        <v>7.4866509999999997E-2</v>
      </c>
      <c r="Z7635">
        <v>-1.2865280000000001E-3</v>
      </c>
      <c r="AA7635">
        <v>0.99719270000000004</v>
      </c>
      <c r="AB7635">
        <v>19</v>
      </c>
      <c r="AC7635">
        <v>50.340800000000002</v>
      </c>
      <c r="AD7635">
        <v>-1.1202418113929999</v>
      </c>
      <c r="AE7635">
        <v>-3.85</v>
      </c>
      <c r="AF7635">
        <v>3.7859760843998602</v>
      </c>
      <c r="AG7635">
        <v>-1.1202418113929999</v>
      </c>
      <c r="AH7635">
        <v>50.320741236514003</v>
      </c>
      <c r="AI7635">
        <v>91.271716596489895</v>
      </c>
      <c r="AJ7635">
        <v>85.697350019846795</v>
      </c>
      <c r="AK7635">
        <v>50.475395542975598</v>
      </c>
      <c r="AL7635">
        <v>96.130467226180102</v>
      </c>
      <c r="AM7635">
        <v>89.708050478014798</v>
      </c>
      <c r="AN7635">
        <v>1.0000000104793001</v>
      </c>
    </row>
    <row r="7636" spans="1:40" x14ac:dyDescent="0.25">
      <c r="A7636" t="str">
        <f>"20190303154331410"</f>
        <v>20190303154331410</v>
      </c>
      <c r="B7636" t="str">
        <f>"1551599011408375"</f>
        <v>1551599011408375</v>
      </c>
      <c r="C7636" t="s">
        <v>40</v>
      </c>
      <c r="D7636">
        <v>5.4615429999999998</v>
      </c>
      <c r="E7636">
        <v>0.52714499999999997</v>
      </c>
      <c r="F7636" t="s">
        <v>67</v>
      </c>
      <c r="G7636">
        <v>-233.98920000000001</v>
      </c>
      <c r="H7636" s="1">
        <v>-1.9315430000000002E-6</v>
      </c>
      <c r="I7636">
        <v>-65.017759999999996</v>
      </c>
      <c r="J7636">
        <v>-279.45999999999998</v>
      </c>
      <c r="K7636">
        <v>1.1201939999999999</v>
      </c>
      <c r="L7636">
        <v>-61.535919999999997</v>
      </c>
      <c r="M7636">
        <v>0.99992179999999997</v>
      </c>
      <c r="N7636">
        <v>-1.240571E-2</v>
      </c>
      <c r="O7636">
        <v>-1.686101E-3</v>
      </c>
      <c r="P7636">
        <v>0.99299300000000001</v>
      </c>
      <c r="Q7636">
        <v>-0.1180303</v>
      </c>
      <c r="R7636">
        <v>-5.8271520000000004E-3</v>
      </c>
      <c r="S7636">
        <v>3.0112000000000001</v>
      </c>
      <c r="T7636">
        <v>-7.4038030000000005E-2</v>
      </c>
      <c r="U7636">
        <v>-0.2301636</v>
      </c>
      <c r="V7636">
        <v>4.0087079999999997E-3</v>
      </c>
      <c r="W7636">
        <v>-0.1057078</v>
      </c>
      <c r="X7636">
        <v>0.99438919999999997</v>
      </c>
      <c r="Y7636">
        <v>7.4498480000000006E-2</v>
      </c>
      <c r="Z7636">
        <v>-1.356791E-3</v>
      </c>
      <c r="AA7636">
        <v>0.9972202</v>
      </c>
      <c r="AB7636">
        <v>19</v>
      </c>
      <c r="AC7636">
        <v>45.470799999999898</v>
      </c>
      <c r="AD7636">
        <v>-1.1201959315429999</v>
      </c>
      <c r="AE7636">
        <v>-3.4818399999999898</v>
      </c>
      <c r="AF7636">
        <v>3.4031074684147602</v>
      </c>
      <c r="AG7636">
        <v>-1.1201959315429999</v>
      </c>
      <c r="AH7636">
        <v>45.449183861811598</v>
      </c>
      <c r="AI7636">
        <v>91.407955889560498</v>
      </c>
      <c r="AJ7636">
        <v>85.717843503654095</v>
      </c>
      <c r="AK7636">
        <v>45.590177594207503</v>
      </c>
      <c r="AL7636">
        <v>96.067947194519704</v>
      </c>
      <c r="AM7636">
        <v>89.7690232300601</v>
      </c>
      <c r="AN7636">
        <v>1.0000000448986499</v>
      </c>
    </row>
    <row r="7637" spans="1:40" x14ac:dyDescent="0.25">
      <c r="A7637" t="str">
        <f>"20190303154331422"</f>
        <v>20190303154331422</v>
      </c>
      <c r="B7637" t="str">
        <f>"1551599011418135"</f>
        <v>1551599011418135</v>
      </c>
      <c r="C7637" t="s">
        <v>40</v>
      </c>
      <c r="D7637">
        <v>5.5113529999999997</v>
      </c>
      <c r="E7637">
        <v>0.52681069999999997</v>
      </c>
      <c r="F7637" t="s">
        <v>67</v>
      </c>
      <c r="G7637">
        <v>-235.2824</v>
      </c>
      <c r="H7637" s="1">
        <v>-2.4533190000000002E-6</v>
      </c>
      <c r="I7637">
        <v>-64.893869999999893</v>
      </c>
      <c r="J7637">
        <v>-279.3673</v>
      </c>
      <c r="K7637">
        <v>1.1201559999999999</v>
      </c>
      <c r="L7637">
        <v>-61.5366199999999</v>
      </c>
      <c r="M7637">
        <v>0.99992170000000002</v>
      </c>
      <c r="N7637">
        <v>-1.232347E-2</v>
      </c>
      <c r="O7637">
        <v>-2.1762970000000002E-3</v>
      </c>
      <c r="P7637">
        <v>0.99306830000000001</v>
      </c>
      <c r="Q7637">
        <v>-0.1174371</v>
      </c>
      <c r="R7637">
        <v>-4.9047120000000003E-3</v>
      </c>
      <c r="S7637">
        <v>3.010742</v>
      </c>
      <c r="T7637">
        <v>-7.6342229999999997E-2</v>
      </c>
      <c r="U7637">
        <v>-0.22885130000000001</v>
      </c>
      <c r="V7637">
        <v>2.5908649999999999E-3</v>
      </c>
      <c r="W7637">
        <v>-0.10519389999999899</v>
      </c>
      <c r="X7637">
        <v>0.99444840000000001</v>
      </c>
      <c r="Y7637">
        <v>7.3587760000000002E-2</v>
      </c>
      <c r="Z7637">
        <v>-1.3573680000000001E-3</v>
      </c>
      <c r="AA7637">
        <v>0.99728779999999995</v>
      </c>
      <c r="AB7637">
        <v>19</v>
      </c>
      <c r="AC7637">
        <v>44.084899999999998</v>
      </c>
      <c r="AD7637">
        <v>-1.1201584533190001</v>
      </c>
      <c r="AE7637">
        <v>-3.3572500000000001</v>
      </c>
      <c r="AF7637">
        <v>3.2592008440918399</v>
      </c>
      <c r="AG7637">
        <v>-1.1201584533190001</v>
      </c>
      <c r="AH7637">
        <v>44.063817920453999</v>
      </c>
      <c r="AI7637">
        <v>91.452252725311098</v>
      </c>
      <c r="AJ7637">
        <v>85.769794053700593</v>
      </c>
      <c r="AK7637">
        <v>44.198384527373797</v>
      </c>
      <c r="AL7637">
        <v>96.038337808846293</v>
      </c>
      <c r="AM7637">
        <v>89.850725996522698</v>
      </c>
      <c r="AN7637">
        <v>1.0000000447205999</v>
      </c>
    </row>
    <row r="7638" spans="1:40" x14ac:dyDescent="0.25">
      <c r="A7638" t="str">
        <f>"20190303154331433"</f>
        <v>20190303154331433</v>
      </c>
      <c r="B7638" t="str">
        <f>"1551599011427899"</f>
        <v>1551599011427899</v>
      </c>
      <c r="C7638" t="s">
        <v>40</v>
      </c>
      <c r="D7638">
        <v>5.561833</v>
      </c>
      <c r="E7638">
        <v>0.52484889999999995</v>
      </c>
      <c r="F7638" t="s">
        <v>67</v>
      </c>
      <c r="G7638">
        <v>-237.4716</v>
      </c>
      <c r="H7638" s="1">
        <v>-3.1728189999999998E-6</v>
      </c>
      <c r="I7638">
        <v>-64.646360000000001</v>
      </c>
      <c r="J7638">
        <v>-279.26459999999997</v>
      </c>
      <c r="K7638">
        <v>1.1201129999999999</v>
      </c>
      <c r="L7638">
        <v>-61.537509999999997</v>
      </c>
      <c r="M7638">
        <v>0.99992130000000001</v>
      </c>
      <c r="N7638">
        <v>-1.223608E-2</v>
      </c>
      <c r="O7638">
        <v>-2.7470609999999999E-3</v>
      </c>
      <c r="P7638">
        <v>0.99311749999999999</v>
      </c>
      <c r="Q7638">
        <v>-0.11705260000000001</v>
      </c>
      <c r="R7638">
        <v>-4.0557340000000001E-3</v>
      </c>
      <c r="S7638">
        <v>3.010345</v>
      </c>
      <c r="T7638">
        <v>-8.0487009999999998E-2</v>
      </c>
      <c r="U7638">
        <v>-0.2234497</v>
      </c>
      <c r="V7638">
        <v>1.166105E-3</v>
      </c>
      <c r="W7638">
        <v>-0.1048938</v>
      </c>
      <c r="X7638">
        <v>0.9944828</v>
      </c>
      <c r="Y7638">
        <v>7.1246939999999995E-2</v>
      </c>
      <c r="Z7638">
        <v>-1.347834E-3</v>
      </c>
      <c r="AA7638">
        <v>0.99745779999999995</v>
      </c>
      <c r="AB7638">
        <v>19</v>
      </c>
      <c r="AC7638">
        <v>41.7929999999999</v>
      </c>
      <c r="AD7638">
        <v>-1.1201161728189999</v>
      </c>
      <c r="AE7638">
        <v>-3.1088499999999999</v>
      </c>
      <c r="AF7638">
        <v>2.99188443562486</v>
      </c>
      <c r="AG7638">
        <v>-1.1201161728189999</v>
      </c>
      <c r="AH7638">
        <v>41.771542833334102</v>
      </c>
      <c r="AI7638">
        <v>91.532111972700804</v>
      </c>
      <c r="AJ7638">
        <v>85.903189143661805</v>
      </c>
      <c r="AK7638">
        <v>41.8935296125047</v>
      </c>
      <c r="AL7638">
        <v>96.021047632300096</v>
      </c>
      <c r="AM7638">
        <v>89.932816470683903</v>
      </c>
      <c r="AN7638">
        <v>1.00000005428757</v>
      </c>
    </row>
    <row r="7639" spans="1:40" x14ac:dyDescent="0.25">
      <c r="A7639" t="str">
        <f>"20190303154331445"</f>
        <v>20190303154331445</v>
      </c>
      <c r="B7639" t="str">
        <f>"1551599011437656"</f>
        <v>1551599011437656</v>
      </c>
      <c r="C7639" t="s">
        <v>40</v>
      </c>
      <c r="D7639">
        <v>5.5154249999999996</v>
      </c>
      <c r="E7639">
        <v>0.52323249999999999</v>
      </c>
      <c r="F7639" t="s">
        <v>68</v>
      </c>
      <c r="G7639">
        <v>-243.97909999999999</v>
      </c>
      <c r="H7639" s="1">
        <v>-1.6427219999999999E-6</v>
      </c>
      <c r="I7639">
        <v>-63.948639999999997</v>
      </c>
      <c r="J7639">
        <v>-279.16860000000003</v>
      </c>
      <c r="K7639">
        <v>1.1200779999999999</v>
      </c>
      <c r="L7639">
        <v>-61.53839</v>
      </c>
      <c r="M7639">
        <v>0.99992049999999999</v>
      </c>
      <c r="N7639">
        <v>-1.2159100000000001E-2</v>
      </c>
      <c r="O7639">
        <v>-3.323847E-3</v>
      </c>
      <c r="P7639">
        <v>0.99309990000000004</v>
      </c>
      <c r="Q7639">
        <v>-0.1172291</v>
      </c>
      <c r="R7639">
        <v>-3.2167350000000001E-3</v>
      </c>
      <c r="S7639">
        <v>3.0086979999999999</v>
      </c>
      <c r="T7639">
        <v>-9.5509049999999998E-2</v>
      </c>
      <c r="U7639">
        <v>-0.2055969</v>
      </c>
      <c r="V7639">
        <v>-2.5399420000000002E-4</v>
      </c>
      <c r="W7639">
        <v>-0.1051449</v>
      </c>
      <c r="X7639">
        <v>0.99445689999999998</v>
      </c>
      <c r="Y7639">
        <v>6.4814109999999994E-2</v>
      </c>
      <c r="Z7639">
        <v>-1.3569389999999999E-3</v>
      </c>
      <c r="AA7639">
        <v>0.99789640000000002</v>
      </c>
      <c r="AB7639">
        <v>19</v>
      </c>
      <c r="AC7639">
        <v>35.189500000000002</v>
      </c>
      <c r="AD7639">
        <v>-1.1200796427219999</v>
      </c>
      <c r="AE7639">
        <v>-2.41025</v>
      </c>
      <c r="AF7639">
        <v>2.2909532868320599</v>
      </c>
      <c r="AG7639">
        <v>-1.1200796427219999</v>
      </c>
      <c r="AH7639">
        <v>35.161859760901599</v>
      </c>
      <c r="AI7639">
        <v>91.820680006195005</v>
      </c>
      <c r="AJ7639">
        <v>86.272191330618696</v>
      </c>
      <c r="AK7639">
        <v>35.254211481946399</v>
      </c>
      <c r="AL7639">
        <v>96.035514807840201</v>
      </c>
      <c r="AM7639">
        <v>90.014633912605305</v>
      </c>
      <c r="AN7639">
        <v>1.0000000202333299</v>
      </c>
    </row>
    <row r="7640" spans="1:40" x14ac:dyDescent="0.25">
      <c r="A7640" t="str">
        <f>"20190303154331458"</f>
        <v>20190303154331458</v>
      </c>
      <c r="B7640" t="str">
        <f>"1551599011447416"</f>
        <v>1551599011447416</v>
      </c>
      <c r="C7640" t="s">
        <v>40</v>
      </c>
      <c r="D7640">
        <v>5.5404439999999999</v>
      </c>
      <c r="E7640">
        <v>0.52215400000000001</v>
      </c>
      <c r="F7640" t="s">
        <v>68</v>
      </c>
      <c r="G7640">
        <v>-247.95930000000001</v>
      </c>
      <c r="H7640" s="1">
        <v>-3.1378229999999998E-6</v>
      </c>
      <c r="I7640">
        <v>-63.5135199999999</v>
      </c>
      <c r="J7640">
        <v>-279.06200000000001</v>
      </c>
      <c r="K7640">
        <v>1.120045</v>
      </c>
      <c r="L7640">
        <v>-61.539459999999998</v>
      </c>
      <c r="M7640">
        <v>0.99991929999999996</v>
      </c>
      <c r="N7640">
        <v>-1.207548E-2</v>
      </c>
      <c r="O7640">
        <v>-3.9821379999999997E-3</v>
      </c>
      <c r="P7640">
        <v>0.99309179999999997</v>
      </c>
      <c r="Q7640">
        <v>-0.117308</v>
      </c>
      <c r="R7640">
        <v>-2.7679369999999998E-3</v>
      </c>
      <c r="S7640">
        <v>3.0074770000000002</v>
      </c>
      <c r="T7640">
        <v>-0.1079363</v>
      </c>
      <c r="U7640">
        <v>-0.19033810000000001</v>
      </c>
      <c r="V7640">
        <v>-1.3640589999999999E-3</v>
      </c>
      <c r="W7640">
        <v>-0.1053052</v>
      </c>
      <c r="X7640">
        <v>0.99443899999999996</v>
      </c>
      <c r="Y7640">
        <v>5.913736E-2</v>
      </c>
      <c r="Z7640">
        <v>-1.322686E-3</v>
      </c>
      <c r="AA7640">
        <v>0.99824900000000005</v>
      </c>
      <c r="AB7640">
        <v>19</v>
      </c>
      <c r="AC7640">
        <v>31.102699999999999</v>
      </c>
      <c r="AD7640">
        <v>-1.1200481378230001</v>
      </c>
      <c r="AE7640">
        <v>-1.9740599999999899</v>
      </c>
      <c r="AF7640">
        <v>1.8477934610706399</v>
      </c>
      <c r="AG7640">
        <v>-1.1200481378230001</v>
      </c>
      <c r="AH7640">
        <v>31.070184365104002</v>
      </c>
      <c r="AI7640">
        <v>92.060921575765803</v>
      </c>
      <c r="AJ7640">
        <v>86.596537290376105</v>
      </c>
      <c r="AK7640">
        <v>31.145227643852099</v>
      </c>
      <c r="AL7640">
        <v>96.044750806369294</v>
      </c>
      <c r="AM7640">
        <v>90.078591823822407</v>
      </c>
      <c r="AN7640">
        <v>0.999999985262497</v>
      </c>
    </row>
    <row r="7641" spans="1:40" x14ac:dyDescent="0.25">
      <c r="A7641" t="str">
        <f>"20190303154331468"</f>
        <v>20190303154331468</v>
      </c>
      <c r="B7641" t="str">
        <f>"1551599011458152"</f>
        <v>1551599011458152</v>
      </c>
      <c r="C7641" t="s">
        <v>40</v>
      </c>
      <c r="D7641">
        <v>5.5462689999999997</v>
      </c>
      <c r="E7641">
        <v>0.52133719999999995</v>
      </c>
      <c r="F7641" t="s">
        <v>69</v>
      </c>
      <c r="G7641">
        <v>-250.22749999999999</v>
      </c>
      <c r="H7641" s="1">
        <v>1.24125999999999E-7</v>
      </c>
      <c r="I7641">
        <v>-63.271259999999998</v>
      </c>
      <c r="J7641">
        <v>-278.96249999999998</v>
      </c>
      <c r="K7641">
        <v>1.120018</v>
      </c>
      <c r="L7641">
        <v>-61.540590000000002</v>
      </c>
      <c r="M7641">
        <v>0.99991730000000001</v>
      </c>
      <c r="N7641">
        <v>-1.2001380000000001E-2</v>
      </c>
      <c r="O7641">
        <v>-4.6334559999999898E-3</v>
      </c>
      <c r="P7641">
        <v>0.99307509999999999</v>
      </c>
      <c r="Q7641">
        <v>-0.11746669999999999</v>
      </c>
      <c r="R7641">
        <v>-1.929224E-3</v>
      </c>
      <c r="S7641">
        <v>3.0065309999999998</v>
      </c>
      <c r="T7641">
        <v>-0.1167858</v>
      </c>
      <c r="U7641">
        <v>-0.1805725</v>
      </c>
      <c r="V7641">
        <v>-2.8552999999999999E-3</v>
      </c>
      <c r="W7641">
        <v>-0.105535199999999</v>
      </c>
      <c r="X7641">
        <v>0.9944115</v>
      </c>
      <c r="Y7641">
        <v>5.5273210000000003E-2</v>
      </c>
      <c r="Z7641">
        <v>-1.2800999999999999E-3</v>
      </c>
      <c r="AA7641">
        <v>0.99847039999999998</v>
      </c>
      <c r="AB7641">
        <v>19</v>
      </c>
      <c r="AC7641">
        <v>28.7349999999999</v>
      </c>
      <c r="AD7641">
        <v>-1.120017875874</v>
      </c>
      <c r="AE7641">
        <v>-1.7306699999999899</v>
      </c>
      <c r="AF7641">
        <v>1.59508491477718</v>
      </c>
      <c r="AG7641">
        <v>-1.120017875874</v>
      </c>
      <c r="AH7641">
        <v>28.699267463458501</v>
      </c>
      <c r="AI7641">
        <v>92.231451083308201</v>
      </c>
      <c r="AJ7641">
        <v>86.818814171458001</v>
      </c>
      <c r="AK7641">
        <v>28.765373087564001</v>
      </c>
      <c r="AL7641">
        <v>96.058002398754695</v>
      </c>
      <c r="AM7641">
        <v>90.164515584994703</v>
      </c>
      <c r="AN7641">
        <v>1.00000003125468</v>
      </c>
    </row>
    <row r="7642" spans="1:40" x14ac:dyDescent="0.25">
      <c r="A7642" t="str">
        <f>"20190303154331481"</f>
        <v>20190303154331481</v>
      </c>
      <c r="B7642" t="str">
        <f>"1551599011477672"</f>
        <v>1551599011477672</v>
      </c>
      <c r="C7642" t="s">
        <v>40</v>
      </c>
      <c r="D7642">
        <v>5.5757089999999998</v>
      </c>
      <c r="E7642">
        <v>0.51975879999999997</v>
      </c>
      <c r="F7642" t="s">
        <v>69</v>
      </c>
      <c r="G7642">
        <v>-251.851</v>
      </c>
      <c r="H7642" s="1">
        <v>-5.3189839999999996E-7</v>
      </c>
      <c r="I7642">
        <v>-63.089460000000003</v>
      </c>
      <c r="J7642">
        <v>-278.86410000000001</v>
      </c>
      <c r="K7642">
        <v>1.119991</v>
      </c>
      <c r="L7642">
        <v>-61.541809999999998</v>
      </c>
      <c r="M7642">
        <v>0.99991479999999999</v>
      </c>
      <c r="N7642">
        <v>-1.1930700000000001E-2</v>
      </c>
      <c r="O7642">
        <v>-5.2917729999999996E-3</v>
      </c>
      <c r="P7642">
        <v>0.9930736</v>
      </c>
      <c r="Q7642">
        <v>-0.11748219999999999</v>
      </c>
      <c r="R7642">
        <v>-1.67467299999999E-3</v>
      </c>
      <c r="S7642">
        <v>3.0058289999999999</v>
      </c>
      <c r="T7642">
        <v>-0.12417549999999999</v>
      </c>
      <c r="U7642">
        <v>-0.1717224</v>
      </c>
      <c r="V7642">
        <v>-3.7685209999999999E-3</v>
      </c>
      <c r="W7642">
        <v>-0.1056193</v>
      </c>
      <c r="X7642">
        <v>0.99439949999999999</v>
      </c>
      <c r="Y7642">
        <v>5.1698050000000002E-2</v>
      </c>
      <c r="Z7642">
        <v>-1.2201060000000001E-3</v>
      </c>
      <c r="AA7642">
        <v>0.99866200000000005</v>
      </c>
      <c r="AB7642">
        <v>19</v>
      </c>
      <c r="AC7642">
        <v>27.013100000000001</v>
      </c>
      <c r="AD7642">
        <v>-1.1199915318984</v>
      </c>
      <c r="AE7642">
        <v>-1.54764999999999</v>
      </c>
      <c r="AF7642">
        <v>1.4022683169394301</v>
      </c>
      <c r="AG7642">
        <v>-1.1199915318984</v>
      </c>
      <c r="AH7642">
        <v>26.9746938200892</v>
      </c>
      <c r="AI7642">
        <v>92.374357533978099</v>
      </c>
      <c r="AJ7642">
        <v>87.024181252566606</v>
      </c>
      <c r="AK7642">
        <v>27.034327144424601</v>
      </c>
      <c r="AL7642">
        <v>96.062848233918402</v>
      </c>
      <c r="AM7642">
        <v>90.217135381323402</v>
      </c>
      <c r="AN7642">
        <v>1.00000000194163</v>
      </c>
    </row>
    <row r="7643" spans="1:40" x14ac:dyDescent="0.25">
      <c r="A7643" t="str">
        <f>"20190303154331492"</f>
        <v>20190303154331492</v>
      </c>
      <c r="B7643" t="str">
        <f>"1551599011488409"</f>
        <v>1551599011488409</v>
      </c>
      <c r="C7643" t="s">
        <v>40</v>
      </c>
      <c r="D7643">
        <v>5.5618069999999999</v>
      </c>
      <c r="E7643">
        <v>0.51928359999999996</v>
      </c>
      <c r="F7643" t="s">
        <v>69</v>
      </c>
      <c r="G7643">
        <v>-253.9254</v>
      </c>
      <c r="H7643" s="1">
        <v>-1.3702719999999999E-6</v>
      </c>
      <c r="I7643">
        <v>-62.85765</v>
      </c>
      <c r="J7643">
        <v>-278.77249999999998</v>
      </c>
      <c r="K7643">
        <v>1.1199730000000001</v>
      </c>
      <c r="L7643">
        <v>-61.542940000000002</v>
      </c>
      <c r="M7643">
        <v>0.99991200000000002</v>
      </c>
      <c r="N7643">
        <v>-1.186749E-2</v>
      </c>
      <c r="O7643">
        <v>-5.9197850000000003E-3</v>
      </c>
      <c r="P7643">
        <v>0.99309360000000002</v>
      </c>
      <c r="Q7643">
        <v>-0.1173184</v>
      </c>
      <c r="R7643">
        <v>-1.237321E-3</v>
      </c>
      <c r="S7643">
        <v>3.0047299999999999</v>
      </c>
      <c r="T7643">
        <v>-0.1349418</v>
      </c>
      <c r="U7643">
        <v>-0.15853879999999901</v>
      </c>
      <c r="V7643">
        <v>-4.8335490000000004E-3</v>
      </c>
      <c r="W7643">
        <v>-0.1055162</v>
      </c>
      <c r="X7643">
        <v>0.99440589999999995</v>
      </c>
      <c r="Y7643">
        <v>4.6720699999999997E-2</v>
      </c>
      <c r="Z7643">
        <v>-1.1301169999999999E-3</v>
      </c>
      <c r="AA7643">
        <v>0.99890730000000005</v>
      </c>
      <c r="AB7643">
        <v>19</v>
      </c>
      <c r="AC7643">
        <v>24.847099999999902</v>
      </c>
      <c r="AD7643">
        <v>-1.119974370272</v>
      </c>
      <c r="AE7643">
        <v>-1.3147099999999901</v>
      </c>
      <c r="AF7643">
        <v>1.16522629436842</v>
      </c>
      <c r="AG7643">
        <v>-1.119974370272</v>
      </c>
      <c r="AH7643">
        <v>24.804193331828699</v>
      </c>
      <c r="AI7643">
        <v>92.582454609341198</v>
      </c>
      <c r="AJ7643">
        <v>87.310394193626493</v>
      </c>
      <c r="AK7643">
        <v>24.856791863591098</v>
      </c>
      <c r="AL7643">
        <v>96.056907474802699</v>
      </c>
      <c r="AM7643">
        <v>90.278497720816702</v>
      </c>
      <c r="AN7643">
        <v>1.0000000628065899</v>
      </c>
    </row>
    <row r="7644" spans="1:40" x14ac:dyDescent="0.25">
      <c r="A7644" t="str">
        <f>"20190303154331503"</f>
        <v>20190303154331503</v>
      </c>
      <c r="B7644" t="str">
        <f>"1551599011498168"</f>
        <v>1551599011498168</v>
      </c>
      <c r="C7644" t="s">
        <v>40</v>
      </c>
      <c r="D7644">
        <v>5.5590080000000004</v>
      </c>
      <c r="E7644">
        <v>0.5189781</v>
      </c>
      <c r="F7644" t="s">
        <v>69</v>
      </c>
      <c r="G7644">
        <v>-254.53309999999999</v>
      </c>
      <c r="H7644" s="1">
        <v>-1.6141379999999999E-6</v>
      </c>
      <c r="I7644">
        <v>-62.781939999999999</v>
      </c>
      <c r="J7644">
        <v>-278.68700000000001</v>
      </c>
      <c r="K7644">
        <v>1.1199600000000001</v>
      </c>
      <c r="L7644">
        <v>-61.5441</v>
      </c>
      <c r="M7644">
        <v>0.9999091</v>
      </c>
      <c r="N7644">
        <v>-1.1810950000000001E-2</v>
      </c>
      <c r="O7644">
        <v>-6.5154549999999999E-3</v>
      </c>
      <c r="P7644">
        <v>0.99310039999999999</v>
      </c>
      <c r="Q7644">
        <v>-0.1172641</v>
      </c>
      <c r="R7644">
        <v>-8.4019170000000003E-4</v>
      </c>
      <c r="S7644">
        <v>3.0042719999999998</v>
      </c>
      <c r="T7644">
        <v>-0.13881160000000001</v>
      </c>
      <c r="U7644">
        <v>-0.15356449999999999</v>
      </c>
      <c r="V7644">
        <v>-5.8240870000000004E-3</v>
      </c>
      <c r="W7644">
        <v>-0.1055161</v>
      </c>
      <c r="X7644">
        <v>0.99440059999999997</v>
      </c>
      <c r="Y7644">
        <v>4.4484580000000003E-2</v>
      </c>
      <c r="Z7644">
        <v>-1.065746E-3</v>
      </c>
      <c r="AA7644">
        <v>0.99900949999999999</v>
      </c>
      <c r="AB7644">
        <v>19</v>
      </c>
      <c r="AC7644">
        <v>24.1539</v>
      </c>
      <c r="AD7644">
        <v>-1.119961614138</v>
      </c>
      <c r="AE7644">
        <v>-1.2378400000000001</v>
      </c>
      <c r="AF7644">
        <v>1.07811726370001</v>
      </c>
      <c r="AG7644">
        <v>-1.119961614138</v>
      </c>
      <c r="AH7644">
        <v>24.109753507797102</v>
      </c>
      <c r="AI7644">
        <v>92.656976761895805</v>
      </c>
      <c r="AJ7644">
        <v>87.439606953578604</v>
      </c>
      <c r="AK7644">
        <v>24.159819226520899</v>
      </c>
      <c r="AL7644">
        <v>96.056901728211699</v>
      </c>
      <c r="AM7644">
        <v>90.335570784149994</v>
      </c>
      <c r="AN7644">
        <v>1.0000000603144701</v>
      </c>
    </row>
    <row r="7645" spans="1:40" x14ac:dyDescent="0.25">
      <c r="A7645" t="str">
        <f>"20190303154331513"</f>
        <v>20190303154331513</v>
      </c>
      <c r="B7645" t="str">
        <f>"1551599011507929"</f>
        <v>1551599011507929</v>
      </c>
      <c r="C7645" t="s">
        <v>40</v>
      </c>
      <c r="D7645">
        <v>5.60025</v>
      </c>
      <c r="E7645">
        <v>0.518536</v>
      </c>
      <c r="F7645" t="s">
        <v>69</v>
      </c>
      <c r="G7645">
        <v>-255.20160000000001</v>
      </c>
      <c r="H7645" s="1">
        <v>-1.8866179999999999E-6</v>
      </c>
      <c r="I7645">
        <v>-62.71754</v>
      </c>
      <c r="J7645">
        <v>-278.59120000000001</v>
      </c>
      <c r="K7645">
        <v>1.1199539999999999</v>
      </c>
      <c r="L7645">
        <v>-61.545499999999997</v>
      </c>
      <c r="M7645">
        <v>0.99990509999999999</v>
      </c>
      <c r="N7645">
        <v>-1.174917E-2</v>
      </c>
      <c r="O7645">
        <v>-7.1877149999999999E-3</v>
      </c>
      <c r="P7645">
        <v>0.99309559999999997</v>
      </c>
      <c r="Q7645">
        <v>-0.11730640000000001</v>
      </c>
      <c r="R7645">
        <v>-4.3426869999999999E-4</v>
      </c>
      <c r="S7645">
        <v>3.0038149999999999</v>
      </c>
      <c r="T7645">
        <v>-0.14324509999999999</v>
      </c>
      <c r="U7645">
        <v>-0.15008540000000001</v>
      </c>
      <c r="V7645">
        <v>-6.8998949999999996E-3</v>
      </c>
      <c r="W7645">
        <v>-0.1056179</v>
      </c>
      <c r="X7645">
        <v>0.99438289999999996</v>
      </c>
      <c r="Y7645">
        <v>4.2666460000000003E-2</v>
      </c>
      <c r="Z7645">
        <v>-1.00914E-3</v>
      </c>
      <c r="AA7645">
        <v>0.99908889999999995</v>
      </c>
      <c r="AB7645">
        <v>19</v>
      </c>
      <c r="AC7645">
        <v>23.389600000000002</v>
      </c>
      <c r="AD7645">
        <v>-1.1199558866179999</v>
      </c>
      <c r="AE7645">
        <v>-1.17204</v>
      </c>
      <c r="AF7645">
        <v>1.00158968826249</v>
      </c>
      <c r="AG7645">
        <v>-1.1199558866179999</v>
      </c>
      <c r="AH7645">
        <v>23.3440326690612</v>
      </c>
      <c r="AI7645">
        <v>92.744201685818794</v>
      </c>
      <c r="AJ7645">
        <v>87.543197129151693</v>
      </c>
      <c r="AK7645">
        <v>23.392335162309099</v>
      </c>
      <c r="AL7645">
        <v>96.062767272642901</v>
      </c>
      <c r="AM7645">
        <v>90.397561661523099</v>
      </c>
      <c r="AN7645">
        <v>1.00000005058191</v>
      </c>
    </row>
    <row r="7646" spans="1:40" x14ac:dyDescent="0.25">
      <c r="A7646" t="str">
        <f>"20190303154331523"</f>
        <v>20190303154331523</v>
      </c>
      <c r="B7646" t="str">
        <f>"1551599011517688"</f>
        <v>1551599011517688</v>
      </c>
      <c r="C7646" t="s">
        <v>40</v>
      </c>
      <c r="D7646">
        <v>5.551933</v>
      </c>
      <c r="E7646">
        <v>0.51822699999999999</v>
      </c>
      <c r="F7646" t="s">
        <v>69</v>
      </c>
      <c r="G7646">
        <v>-255.61410000000001</v>
      </c>
      <c r="H7646" s="1">
        <v>-2.05048E-6</v>
      </c>
      <c r="I7646">
        <v>-62.658650000000002</v>
      </c>
      <c r="J7646">
        <v>-278.50959999999998</v>
      </c>
      <c r="K7646">
        <v>1.1199479999999999</v>
      </c>
      <c r="L7646">
        <v>-61.546719999999901</v>
      </c>
      <c r="M7646">
        <v>0.99990140000000005</v>
      </c>
      <c r="N7646">
        <v>-1.169515E-2</v>
      </c>
      <c r="O7646">
        <v>-7.7650490000000004E-3</v>
      </c>
      <c r="P7646">
        <v>0.99307120000000004</v>
      </c>
      <c r="Q7646">
        <v>-0.1175143</v>
      </c>
      <c r="R7646">
        <v>-1.13125E-4</v>
      </c>
      <c r="S7646">
        <v>3.0035099999999999</v>
      </c>
      <c r="T7646">
        <v>-0.1463979</v>
      </c>
      <c r="U7646">
        <v>-0.14550779999999999</v>
      </c>
      <c r="V7646">
        <v>-7.7953600000000003E-3</v>
      </c>
      <c r="W7646">
        <v>-0.10587820000000001</v>
      </c>
      <c r="X7646">
        <v>0.99434849999999997</v>
      </c>
      <c r="Y7646">
        <v>4.0576929999999997E-2</v>
      </c>
      <c r="Z7646">
        <v>-9.3804710000000005E-4</v>
      </c>
      <c r="AA7646">
        <v>0.99917599999999995</v>
      </c>
      <c r="AB7646">
        <v>19</v>
      </c>
      <c r="AC7646">
        <v>22.895499999999899</v>
      </c>
      <c r="AD7646">
        <v>-1.11995005048</v>
      </c>
      <c r="AE7646">
        <v>-1.1119300000000001</v>
      </c>
      <c r="AF7646">
        <v>0.93187512690280205</v>
      </c>
      <c r="AG7646">
        <v>-1.11995005048</v>
      </c>
      <c r="AH7646">
        <v>22.8489013956729</v>
      </c>
      <c r="AI7646">
        <v>92.803807593790296</v>
      </c>
      <c r="AJ7646">
        <v>87.664529386610496</v>
      </c>
      <c r="AK7646">
        <v>22.895304635599199</v>
      </c>
      <c r="AL7646">
        <v>96.077766071453993</v>
      </c>
      <c r="AM7646">
        <v>90.4491705653287</v>
      </c>
      <c r="AN7646">
        <v>0.99999995016250798</v>
      </c>
    </row>
    <row r="7647" spans="1:40" x14ac:dyDescent="0.25">
      <c r="A7647" t="str">
        <f>"20190303154331533"</f>
        <v>20190303154331533</v>
      </c>
      <c r="B7647" t="str">
        <f>"1551599011527448"</f>
        <v>1551599011527448</v>
      </c>
      <c r="C7647" t="s">
        <v>40</v>
      </c>
      <c r="D7647">
        <v>5.5737990000000002</v>
      </c>
      <c r="E7647">
        <v>0.51804110000000003</v>
      </c>
      <c r="F7647" t="s">
        <v>69</v>
      </c>
      <c r="G7647">
        <v>-256.11869999999999</v>
      </c>
      <c r="H7647" s="1">
        <v>-2.2555310000000001E-6</v>
      </c>
      <c r="I7647">
        <v>-62.607239999999997</v>
      </c>
      <c r="J7647">
        <v>-278.41840000000002</v>
      </c>
      <c r="K7647">
        <v>1.119942</v>
      </c>
      <c r="L7647">
        <v>-61.54813</v>
      </c>
      <c r="M7647">
        <v>0.99989689999999998</v>
      </c>
      <c r="N7647">
        <v>-1.1634439999999999E-2</v>
      </c>
      <c r="O7647">
        <v>-8.4107419999999902E-3</v>
      </c>
      <c r="P7647">
        <v>0.99307489999999998</v>
      </c>
      <c r="Q7647">
        <v>-0.117483</v>
      </c>
      <c r="R7647">
        <v>3.2958020000000001E-4</v>
      </c>
      <c r="S7647">
        <v>3.003174</v>
      </c>
      <c r="T7647">
        <v>-0.15021370000000001</v>
      </c>
      <c r="U7647">
        <v>-0.14224239999999999</v>
      </c>
      <c r="V7647">
        <v>-8.8792190000000007E-3</v>
      </c>
      <c r="W7647">
        <v>-0.10590529999999999</v>
      </c>
      <c r="X7647">
        <v>0.99433660000000001</v>
      </c>
      <c r="Y7647">
        <v>3.8853840000000001E-2</v>
      </c>
      <c r="Z7647">
        <v>-8.7447459999999996E-4</v>
      </c>
      <c r="AA7647">
        <v>0.99924449999999998</v>
      </c>
      <c r="AB7647">
        <v>19</v>
      </c>
      <c r="AC7647">
        <v>22.299700000000001</v>
      </c>
      <c r="AD7647">
        <v>-1.119944255531</v>
      </c>
      <c r="AE7647">
        <v>-1.05910999999999</v>
      </c>
      <c r="AF7647">
        <v>0.86931507778577399</v>
      </c>
      <c r="AG7647">
        <v>-1.119944255531</v>
      </c>
      <c r="AH7647">
        <v>22.251820442431001</v>
      </c>
      <c r="AI7647">
        <v>92.879098832299107</v>
      </c>
      <c r="AJ7647">
        <v>87.762755249347094</v>
      </c>
      <c r="AK7647">
        <v>22.296939181020999</v>
      </c>
      <c r="AL7647">
        <v>96.079327118281</v>
      </c>
      <c r="AM7647">
        <v>90.511625793681901</v>
      </c>
      <c r="AN7647">
        <v>1.00000002359884</v>
      </c>
    </row>
    <row r="7648" spans="1:40" x14ac:dyDescent="0.25">
      <c r="A7648" t="str">
        <f>"20190303154331545"</f>
        <v>20190303154331545</v>
      </c>
      <c r="B7648" t="str">
        <f>"1551599011538184"</f>
        <v>1551599011538184</v>
      </c>
      <c r="C7648" t="s">
        <v>40</v>
      </c>
      <c r="D7648">
        <v>5.5742320000000003</v>
      </c>
      <c r="E7648">
        <v>0.51786769999999904</v>
      </c>
      <c r="F7648" t="s">
        <v>69</v>
      </c>
      <c r="G7648">
        <v>-256.4427</v>
      </c>
      <c r="H7648" s="1">
        <v>-2.386005E-6</v>
      </c>
      <c r="I7648">
        <v>-62.568980000000003</v>
      </c>
      <c r="J7648">
        <v>-278.3168</v>
      </c>
      <c r="K7648">
        <v>1.1199349999999999</v>
      </c>
      <c r="L7648">
        <v>-61.549840000000003</v>
      </c>
      <c r="M7648">
        <v>0.9998918</v>
      </c>
      <c r="N7648">
        <v>-1.1544E-2</v>
      </c>
      <c r="O7648">
        <v>-9.1289839999999997E-3</v>
      </c>
      <c r="P7648">
        <v>0.99306689999999997</v>
      </c>
      <c r="Q7648">
        <v>-0.1175504</v>
      </c>
      <c r="R7648">
        <v>2.879561E-4</v>
      </c>
      <c r="S7648">
        <v>3.002869</v>
      </c>
      <c r="T7648">
        <v>-0.1530347</v>
      </c>
      <c r="U7648">
        <v>-0.139495799999999</v>
      </c>
      <c r="V7648">
        <v>-9.5499609999999992E-3</v>
      </c>
      <c r="W7648">
        <v>-0.10606169999999999</v>
      </c>
      <c r="X7648">
        <v>0.99431369999999997</v>
      </c>
      <c r="Y7648">
        <v>3.7230369999999999E-2</v>
      </c>
      <c r="Z7648">
        <v>-8.0337279999999995E-4</v>
      </c>
      <c r="AA7648">
        <v>0.99930640000000004</v>
      </c>
      <c r="AB7648">
        <v>19</v>
      </c>
      <c r="AC7648">
        <v>21.874099999999999</v>
      </c>
      <c r="AD7648">
        <v>-1.1199373860049999</v>
      </c>
      <c r="AE7648">
        <v>-1.0191399999999999</v>
      </c>
      <c r="AF7648">
        <v>0.81725824241502498</v>
      </c>
      <c r="AG7648">
        <v>-1.1199373860049999</v>
      </c>
      <c r="AH7648">
        <v>21.825404340991899</v>
      </c>
      <c r="AI7648">
        <v>92.935415666107502</v>
      </c>
      <c r="AJ7648">
        <v>87.855545752378902</v>
      </c>
      <c r="AK7648">
        <v>21.869395177534201</v>
      </c>
      <c r="AL7648">
        <v>96.088339016740704</v>
      </c>
      <c r="AM7648">
        <v>90.550284719581896</v>
      </c>
      <c r="AN7648">
        <v>1.0000000099848401</v>
      </c>
    </row>
    <row r="7649" spans="1:40" x14ac:dyDescent="0.25">
      <c r="A7649" t="str">
        <f>"20190303154331556"</f>
        <v>20190303154331556</v>
      </c>
      <c r="B7649" t="str">
        <f>"1551599011547944"</f>
        <v>1551599011547944</v>
      </c>
      <c r="C7649" t="s">
        <v>40</v>
      </c>
      <c r="D7649">
        <v>5.5610689999999998</v>
      </c>
      <c r="E7649">
        <v>0.5177387</v>
      </c>
      <c r="F7649" t="s">
        <v>69</v>
      </c>
      <c r="G7649">
        <v>-256.74689999999998</v>
      </c>
      <c r="H7649" s="1">
        <v>-2.5107770000000002E-6</v>
      </c>
      <c r="I7649">
        <v>-62.543190000000003</v>
      </c>
      <c r="J7649">
        <v>-278.22989999999999</v>
      </c>
      <c r="K7649">
        <v>1.119929</v>
      </c>
      <c r="L7649">
        <v>-61.551270000000002</v>
      </c>
      <c r="M7649">
        <v>0.99988679999999996</v>
      </c>
      <c r="N7649">
        <v>-1.146104E-2</v>
      </c>
      <c r="O7649">
        <v>-9.743448E-3</v>
      </c>
      <c r="P7649">
        <v>0.99309400000000003</v>
      </c>
      <c r="Q7649">
        <v>-0.1173197</v>
      </c>
      <c r="R7649">
        <v>5.7440059999999996E-4</v>
      </c>
      <c r="S7649">
        <v>3.0025330000000001</v>
      </c>
      <c r="T7649">
        <v>-0.15589549999999999</v>
      </c>
      <c r="U7649">
        <v>-0.13827509999999901</v>
      </c>
      <c r="V7649">
        <v>-1.044527E-2</v>
      </c>
      <c r="W7649">
        <v>-0.1059118</v>
      </c>
      <c r="X7649">
        <v>0.99432069999999995</v>
      </c>
      <c r="Y7649">
        <v>3.6216610000000003E-2</v>
      </c>
      <c r="Z7649">
        <v>-7.5321779999999998E-4</v>
      </c>
      <c r="AA7649">
        <v>0.99934369999999995</v>
      </c>
      <c r="AB7649">
        <v>19</v>
      </c>
      <c r="AC7649">
        <v>21.483000000000001</v>
      </c>
      <c r="AD7649">
        <v>-1.119931510777</v>
      </c>
      <c r="AE7649">
        <v>-0.99192000000000702</v>
      </c>
      <c r="AF7649">
        <v>0.78042425056451503</v>
      </c>
      <c r="AG7649">
        <v>-1.119931510777</v>
      </c>
      <c r="AH7649">
        <v>21.433520624754301</v>
      </c>
      <c r="AI7649">
        <v>92.9890875340989</v>
      </c>
      <c r="AJ7649">
        <v>87.914702331058706</v>
      </c>
      <c r="AK7649">
        <v>21.476943799606801</v>
      </c>
      <c r="AL7649">
        <v>96.079701585309294</v>
      </c>
      <c r="AM7649">
        <v>90.601866051770799</v>
      </c>
      <c r="AN7649">
        <v>1.00000003374655</v>
      </c>
    </row>
    <row r="7650" spans="1:40" x14ac:dyDescent="0.25">
      <c r="A7650" t="str">
        <f>"20190303154331566"</f>
        <v>20190303154331566</v>
      </c>
      <c r="B7650" t="str">
        <f>"1551599011557704"</f>
        <v>1551599011557704</v>
      </c>
      <c r="C7650" t="s">
        <v>40</v>
      </c>
      <c r="D7650">
        <v>5.5649730000000002</v>
      </c>
      <c r="E7650">
        <v>0.51762569999999997</v>
      </c>
      <c r="F7650" t="s">
        <v>69</v>
      </c>
      <c r="G7650">
        <v>-256.94459999999998</v>
      </c>
      <c r="H7650" s="1">
        <v>-2.5901579999999999E-6</v>
      </c>
      <c r="I7650">
        <v>-62.518830000000001</v>
      </c>
      <c r="J7650">
        <v>-278.13499999999999</v>
      </c>
      <c r="K7650">
        <v>1.1199140000000001</v>
      </c>
      <c r="L7650">
        <v>-61.552950000000003</v>
      </c>
      <c r="M7650">
        <v>0.99988169999999998</v>
      </c>
      <c r="N7650">
        <v>-1.132115E-2</v>
      </c>
      <c r="O7650">
        <v>-1.040693E-2</v>
      </c>
      <c r="P7650">
        <v>0.99312400000000001</v>
      </c>
      <c r="Q7650">
        <v>-0.11706560000000001</v>
      </c>
      <c r="R7650">
        <v>6.2956609999999995E-4</v>
      </c>
      <c r="S7650">
        <v>3.0022890000000002</v>
      </c>
      <c r="T7650">
        <v>-0.15796660000000001</v>
      </c>
      <c r="U7650">
        <v>-0.1364746</v>
      </c>
      <c r="V7650">
        <v>-1.1156599999999999E-2</v>
      </c>
      <c r="W7650">
        <v>-0.1057955</v>
      </c>
      <c r="X7650">
        <v>0.99432529999999997</v>
      </c>
      <c r="Y7650">
        <v>3.4960810000000002E-2</v>
      </c>
      <c r="Z7650">
        <v>-6.876435E-4</v>
      </c>
      <c r="AA7650">
        <v>0.99938850000000001</v>
      </c>
      <c r="AB7650">
        <v>19</v>
      </c>
      <c r="AC7650">
        <v>21.1904</v>
      </c>
      <c r="AD7650">
        <v>-1.1199165901579999</v>
      </c>
      <c r="AE7650">
        <v>-0.96587999999999796</v>
      </c>
      <c r="AF7650">
        <v>0.743214930839735</v>
      </c>
      <c r="AG7650">
        <v>-1.1199165901579999</v>
      </c>
      <c r="AH7650">
        <v>21.1403791479337</v>
      </c>
      <c r="AI7650">
        <v>93.030554152243297</v>
      </c>
      <c r="AJ7650">
        <v>87.986528628798695</v>
      </c>
      <c r="AK7650">
        <v>21.183064275989999</v>
      </c>
      <c r="AL7650">
        <v>96.073000765799804</v>
      </c>
      <c r="AM7650">
        <v>90.642847235935704</v>
      </c>
      <c r="AN7650">
        <v>0.999999979881949</v>
      </c>
    </row>
    <row r="7651" spans="1:40" x14ac:dyDescent="0.25">
      <c r="A7651" t="str">
        <f>"20190303154331579"</f>
        <v>20190303154331579</v>
      </c>
      <c r="B7651" t="str">
        <f>"1551599011568441"</f>
        <v>1551599011568441</v>
      </c>
      <c r="C7651" t="s">
        <v>40</v>
      </c>
      <c r="D7651">
        <v>5.5200050000000003</v>
      </c>
      <c r="E7651">
        <v>0.51733799999999996</v>
      </c>
      <c r="F7651" t="s">
        <v>69</v>
      </c>
      <c r="G7651">
        <v>-257.01900000000001</v>
      </c>
      <c r="H7651" s="1">
        <v>-2.6190930000000001E-6</v>
      </c>
      <c r="I7651">
        <v>-62.5053699999999</v>
      </c>
      <c r="J7651">
        <v>-278.03379999999999</v>
      </c>
      <c r="K7651">
        <v>1.1198900000000001</v>
      </c>
      <c r="L7651">
        <v>-61.554810000000003</v>
      </c>
      <c r="M7651">
        <v>0.99987619999999999</v>
      </c>
      <c r="N7651">
        <v>-1.115463E-2</v>
      </c>
      <c r="O7651">
        <v>-1.111172E-2</v>
      </c>
      <c r="P7651">
        <v>0.99315629999999999</v>
      </c>
      <c r="Q7651">
        <v>-0.11679489999999899</v>
      </c>
      <c r="R7651">
        <v>3.9052869999999998E-4</v>
      </c>
      <c r="S7651">
        <v>3.002075</v>
      </c>
      <c r="T7651">
        <v>-0.1592191</v>
      </c>
      <c r="U7651">
        <v>-0.13540650000000001</v>
      </c>
      <c r="V7651">
        <v>-1.1615220000000001E-2</v>
      </c>
      <c r="W7651">
        <v>-0.10568959999999999</v>
      </c>
      <c r="X7651">
        <v>0.99433139999999998</v>
      </c>
      <c r="Y7651">
        <v>3.390671E-2</v>
      </c>
      <c r="Z7651">
        <v>-6.226901E-4</v>
      </c>
      <c r="AA7651">
        <v>0.9994248</v>
      </c>
      <c r="AB7651">
        <v>19</v>
      </c>
      <c r="AC7651">
        <v>21.014799999999902</v>
      </c>
      <c r="AD7651">
        <v>-1.1198926190930001</v>
      </c>
      <c r="AE7651">
        <v>-0.95055999999999596</v>
      </c>
      <c r="AF7651">
        <v>0.71495000507196604</v>
      </c>
      <c r="AG7651">
        <v>-1.1198926190930001</v>
      </c>
      <c r="AH7651">
        <v>20.9646496264773</v>
      </c>
      <c r="AI7651">
        <v>93.055954720982498</v>
      </c>
      <c r="AJ7651">
        <v>88.046819309801293</v>
      </c>
      <c r="AK7651">
        <v>21.006709569778099</v>
      </c>
      <c r="AL7651">
        <v>96.066898390518105</v>
      </c>
      <c r="AM7651">
        <v>90.6692666207352</v>
      </c>
      <c r="AN7651">
        <v>1.00000006895488</v>
      </c>
    </row>
    <row r="7652" spans="1:40" x14ac:dyDescent="0.25">
      <c r="A7652" t="str">
        <f>"20190303154331589"</f>
        <v>20190303154331589</v>
      </c>
      <c r="B7652" t="str">
        <f>"1551599011578200"</f>
        <v>1551599011578200</v>
      </c>
      <c r="C7652" t="s">
        <v>40</v>
      </c>
      <c r="D7652">
        <v>5.5632219999999997</v>
      </c>
      <c r="E7652">
        <v>0.51730730000000003</v>
      </c>
      <c r="F7652" t="s">
        <v>69</v>
      </c>
      <c r="G7652">
        <v>-257.38</v>
      </c>
      <c r="H7652" s="1">
        <v>-2.7674859999999998E-6</v>
      </c>
      <c r="I7652">
        <v>-62.47625</v>
      </c>
      <c r="J7652">
        <v>-277.94220000000001</v>
      </c>
      <c r="K7652">
        <v>1.119866</v>
      </c>
      <c r="L7652">
        <v>-61.5565199999999</v>
      </c>
      <c r="M7652">
        <v>0.99987099999999995</v>
      </c>
      <c r="N7652">
        <v>-1.096659E-2</v>
      </c>
      <c r="O7652">
        <v>-1.174093E-2</v>
      </c>
      <c r="P7652">
        <v>0.99314230000000003</v>
      </c>
      <c r="Q7652">
        <v>-0.1169133</v>
      </c>
      <c r="R7652">
        <v>2.2165149999999999E-4</v>
      </c>
      <c r="S7652">
        <v>3.0015869999999998</v>
      </c>
      <c r="T7652">
        <v>-0.1627526</v>
      </c>
      <c r="U7652">
        <v>-0.13391110000000001</v>
      </c>
      <c r="V7652">
        <v>-1.20681E-2</v>
      </c>
      <c r="W7652">
        <v>-0.105994699999999</v>
      </c>
      <c r="X7652">
        <v>0.99429350000000005</v>
      </c>
      <c r="Y7652">
        <v>3.2789209999999999E-2</v>
      </c>
      <c r="Z7652">
        <v>-5.6075400000000001E-4</v>
      </c>
      <c r="AA7652">
        <v>0.99946210000000002</v>
      </c>
      <c r="AB7652">
        <v>19</v>
      </c>
      <c r="AC7652">
        <v>20.562200000000001</v>
      </c>
      <c r="AD7652">
        <v>-1.1198687674859999</v>
      </c>
      <c r="AE7652">
        <v>-0.91973000000000804</v>
      </c>
      <c r="AF7652">
        <v>0.67623093797656797</v>
      </c>
      <c r="AG7652">
        <v>-1.1198687674859999</v>
      </c>
      <c r="AH7652">
        <v>20.510864567114499</v>
      </c>
      <c r="AI7652">
        <v>93.123484583183796</v>
      </c>
      <c r="AJ7652">
        <v>88.111676408679003</v>
      </c>
      <c r="AK7652">
        <v>20.552541439646301</v>
      </c>
      <c r="AL7652">
        <v>96.084478255825402</v>
      </c>
      <c r="AM7652">
        <v>90.695385463049107</v>
      </c>
      <c r="AN7652">
        <v>1.0000000398039699</v>
      </c>
    </row>
    <row r="7653" spans="1:40" x14ac:dyDescent="0.25">
      <c r="A7653" t="str">
        <f>"20190303154331600"</f>
        <v>20190303154331600</v>
      </c>
      <c r="B7653" t="str">
        <f>"1551599011587959"</f>
        <v>1551599011587959</v>
      </c>
      <c r="C7653" t="s">
        <v>40</v>
      </c>
      <c r="D7653">
        <v>5.5596880000000004</v>
      </c>
      <c r="E7653">
        <v>0.51727670000000003</v>
      </c>
      <c r="F7653" t="s">
        <v>69</v>
      </c>
      <c r="G7653">
        <v>-257.65879999999999</v>
      </c>
      <c r="H7653" s="1">
        <v>-2.8843160000000001E-6</v>
      </c>
      <c r="I7653">
        <v>-62.463810000000002</v>
      </c>
      <c r="J7653">
        <v>-277.85270000000003</v>
      </c>
      <c r="K7653">
        <v>1.1198380000000001</v>
      </c>
      <c r="L7653">
        <v>-61.558259999999997</v>
      </c>
      <c r="M7653">
        <v>0.99986589999999997</v>
      </c>
      <c r="N7653">
        <v>-1.076156E-2</v>
      </c>
      <c r="O7653">
        <v>-1.2349189999999999E-2</v>
      </c>
      <c r="P7653">
        <v>0.99313810000000002</v>
      </c>
      <c r="Q7653">
        <v>-0.116948</v>
      </c>
      <c r="R7653">
        <v>-1.9019100000000001E-4</v>
      </c>
      <c r="S7653">
        <v>3.0012210000000001</v>
      </c>
      <c r="T7653">
        <v>-0.1657006</v>
      </c>
      <c r="U7653">
        <v>-0.134246799999999</v>
      </c>
      <c r="V7653">
        <v>-1.225743E-2</v>
      </c>
      <c r="W7653">
        <v>-0.10623339999999901</v>
      </c>
      <c r="X7653">
        <v>0.99426570000000003</v>
      </c>
      <c r="Y7653">
        <v>3.2298559999999997E-2</v>
      </c>
      <c r="Z7653">
        <v>-5.1640810000000003E-4</v>
      </c>
      <c r="AA7653">
        <v>0.99947819999999998</v>
      </c>
      <c r="AB7653">
        <v>19</v>
      </c>
      <c r="AC7653">
        <v>20.193899999999999</v>
      </c>
      <c r="AD7653">
        <v>-1.1198408843159999</v>
      </c>
      <c r="AE7653">
        <v>-0.90554999999999797</v>
      </c>
      <c r="AF7653">
        <v>0.65408081938623497</v>
      </c>
      <c r="AG7653">
        <v>-1.1198408843159999</v>
      </c>
      <c r="AH7653">
        <v>20.1417280309456</v>
      </c>
      <c r="AI7653">
        <v>93.180584443649394</v>
      </c>
      <c r="AJ7653">
        <v>88.140035196940104</v>
      </c>
      <c r="AK7653">
        <v>20.183435619266</v>
      </c>
      <c r="AL7653">
        <v>96.098232468036002</v>
      </c>
      <c r="AM7653">
        <v>90.706313645175499</v>
      </c>
      <c r="AN7653">
        <v>1.0000000310311199</v>
      </c>
    </row>
    <row r="7654" spans="1:40" x14ac:dyDescent="0.25">
      <c r="A7654" t="str">
        <f>"20190303154331612"</f>
        <v>20190303154331612</v>
      </c>
      <c r="B7654" t="str">
        <f>"1551599011607480"</f>
        <v>1551599011607480</v>
      </c>
      <c r="C7654" t="s">
        <v>40</v>
      </c>
      <c r="D7654">
        <v>5.5865679999999998</v>
      </c>
      <c r="E7654">
        <v>0.51719700000000002</v>
      </c>
      <c r="F7654" t="s">
        <v>69</v>
      </c>
      <c r="G7654">
        <v>-257.86239999999998</v>
      </c>
      <c r="H7654" s="1">
        <v>-2.9705300000000002E-6</v>
      </c>
      <c r="I7654">
        <v>-62.458840000000002</v>
      </c>
      <c r="J7654">
        <v>-277.7491</v>
      </c>
      <c r="K7654">
        <v>1.119796</v>
      </c>
      <c r="L7654">
        <v>-61.560299999999998</v>
      </c>
      <c r="M7654">
        <v>0.99985999999999997</v>
      </c>
      <c r="N7654">
        <v>-1.0493270000000001E-2</v>
      </c>
      <c r="O7654">
        <v>-1.3043249999999999E-2</v>
      </c>
      <c r="P7654">
        <v>0.99315830000000005</v>
      </c>
      <c r="Q7654">
        <v>-0.11677360000000001</v>
      </c>
      <c r="R7654">
        <v>-1.0277299999999999E-3</v>
      </c>
      <c r="S7654">
        <v>3.0008849999999998</v>
      </c>
      <c r="T7654">
        <v>-0.1681069</v>
      </c>
      <c r="U7654">
        <v>-0.13519289999999901</v>
      </c>
      <c r="V7654">
        <v>-1.2105599999999999E-2</v>
      </c>
      <c r="W7654">
        <v>-0.1063263</v>
      </c>
      <c r="X7654">
        <v>0.99425759999999996</v>
      </c>
      <c r="Y7654">
        <v>3.1924920000000002E-2</v>
      </c>
      <c r="Z7654">
        <v>-4.6786020000000002E-4</v>
      </c>
      <c r="AA7654">
        <v>0.99949010000000005</v>
      </c>
      <c r="AB7654">
        <v>19</v>
      </c>
      <c r="AC7654">
        <v>19.886700000000001</v>
      </c>
      <c r="AD7654">
        <v>-1.11979897053</v>
      </c>
      <c r="AE7654">
        <v>-0.898540000000004</v>
      </c>
      <c r="AF7654">
        <v>0.63704634189468401</v>
      </c>
      <c r="AG7654">
        <v>-1.11979897053</v>
      </c>
      <c r="AH7654">
        <v>19.8339692666503</v>
      </c>
      <c r="AI7654">
        <v>93.229749368654197</v>
      </c>
      <c r="AJ7654">
        <v>88.160351943147901</v>
      </c>
      <c r="AK7654">
        <v>19.875767020332798</v>
      </c>
      <c r="AL7654">
        <v>96.103585745947498</v>
      </c>
      <c r="AM7654">
        <v>90.697571250853699</v>
      </c>
      <c r="AN7654">
        <v>1.0000000013904</v>
      </c>
    </row>
    <row r="7655" spans="1:40" x14ac:dyDescent="0.25">
      <c r="A7655" t="str">
        <f>"20190303154331623"</f>
        <v>20190303154331623</v>
      </c>
      <c r="B7655" t="str">
        <f>"1551599011618216"</f>
        <v>1551599011618216</v>
      </c>
      <c r="C7655" t="s">
        <v>40</v>
      </c>
      <c r="D7655">
        <v>5.5196209999999999</v>
      </c>
      <c r="E7655">
        <v>0.51710829999999997</v>
      </c>
      <c r="F7655" t="s">
        <v>69</v>
      </c>
      <c r="G7655">
        <v>-258.17720000000003</v>
      </c>
      <c r="H7655" s="1">
        <v>-3.0826980000000001E-6</v>
      </c>
      <c r="I7655">
        <v>-62.454929999999997</v>
      </c>
      <c r="J7655">
        <v>-277.65379999999999</v>
      </c>
      <c r="K7655">
        <v>1.119758</v>
      </c>
      <c r="L7655">
        <v>-61.562260000000002</v>
      </c>
      <c r="M7655">
        <v>0.99985440000000003</v>
      </c>
      <c r="N7655">
        <v>-1.021794E-2</v>
      </c>
      <c r="O7655">
        <v>-1.366652E-2</v>
      </c>
      <c r="P7655">
        <v>0.99318459999999997</v>
      </c>
      <c r="Q7655">
        <v>-0.1165375</v>
      </c>
      <c r="R7655">
        <v>-1.834547E-3</v>
      </c>
      <c r="S7655">
        <v>3.0003660000000001</v>
      </c>
      <c r="T7655">
        <v>-0.17166519999999999</v>
      </c>
      <c r="U7655">
        <v>-0.13714599999999999</v>
      </c>
      <c r="V7655">
        <v>-1.191448E-2</v>
      </c>
      <c r="W7655">
        <v>-0.1063644</v>
      </c>
      <c r="X7655">
        <v>0.99425580000000002</v>
      </c>
      <c r="Y7655">
        <v>3.1958390000000003E-2</v>
      </c>
      <c r="Z7655">
        <v>-4.3523759999999998E-4</v>
      </c>
      <c r="AA7655">
        <v>0.99948910000000002</v>
      </c>
      <c r="AB7655">
        <v>19</v>
      </c>
      <c r="AC7655">
        <v>19.476599999999902</v>
      </c>
      <c r="AD7655">
        <v>-1.119761082698</v>
      </c>
      <c r="AE7655">
        <v>-0.89267000000000896</v>
      </c>
      <c r="AF7655">
        <v>0.62433602775890895</v>
      </c>
      <c r="AG7655">
        <v>-1.119761082698</v>
      </c>
      <c r="AH7655">
        <v>19.422915209311402</v>
      </c>
      <c r="AI7655">
        <v>93.297838369751901</v>
      </c>
      <c r="AJ7655">
        <v>88.1589011663539</v>
      </c>
      <c r="AK7655">
        <v>19.465181622219301</v>
      </c>
      <c r="AL7655">
        <v>96.105781368674798</v>
      </c>
      <c r="AM7655">
        <v>90.686560486541893</v>
      </c>
      <c r="AN7655">
        <v>0.99999996812733405</v>
      </c>
    </row>
    <row r="7656" spans="1:40" x14ac:dyDescent="0.25">
      <c r="A7656" t="str">
        <f>"20190303154331633"</f>
        <v>20190303154331633</v>
      </c>
      <c r="B7656" t="str">
        <f>"1551599011627975"</f>
        <v>1551599011627975</v>
      </c>
      <c r="C7656" t="s">
        <v>40</v>
      </c>
      <c r="D7656">
        <v>5.5501379999999996</v>
      </c>
      <c r="E7656">
        <v>0.51703959999999904</v>
      </c>
      <c r="F7656" t="s">
        <v>69</v>
      </c>
      <c r="G7656">
        <v>-258.23759999999999</v>
      </c>
      <c r="H7656" s="1">
        <v>-3.1041020000000001E-6</v>
      </c>
      <c r="I7656">
        <v>-62.461329999999997</v>
      </c>
      <c r="J7656">
        <v>-277.55549999999999</v>
      </c>
      <c r="K7656">
        <v>1.119715</v>
      </c>
      <c r="L7656">
        <v>-61.564300000000003</v>
      </c>
      <c r="M7656">
        <v>0.99984850000000003</v>
      </c>
      <c r="N7656">
        <v>-9.9205639999999998E-3</v>
      </c>
      <c r="O7656">
        <v>-1.430389E-2</v>
      </c>
      <c r="P7656">
        <v>0.99323490000000003</v>
      </c>
      <c r="Q7656">
        <v>-0.116094</v>
      </c>
      <c r="R7656">
        <v>-2.611688E-3</v>
      </c>
      <c r="S7656">
        <v>3</v>
      </c>
      <c r="T7656">
        <v>-0.17301449999999999</v>
      </c>
      <c r="U7656">
        <v>-0.13891600000000001</v>
      </c>
      <c r="V7656">
        <v>-1.1766749999999999E-2</v>
      </c>
      <c r="W7656">
        <v>-0.10621659999999999</v>
      </c>
      <c r="X7656">
        <v>0.99427339999999997</v>
      </c>
      <c r="Y7656">
        <v>3.1915970000000002E-2</v>
      </c>
      <c r="Z7656">
        <v>-3.9565619999999999E-4</v>
      </c>
      <c r="AA7656">
        <v>0.99949049999999995</v>
      </c>
      <c r="AB7656">
        <v>19</v>
      </c>
      <c r="AC7656">
        <v>19.317900000000002</v>
      </c>
      <c r="AD7656">
        <v>-1.1197181041019999</v>
      </c>
      <c r="AE7656">
        <v>-0.89702999999999999</v>
      </c>
      <c r="AF7656">
        <v>0.61852992040661903</v>
      </c>
      <c r="AG7656">
        <v>-1.1197181041019999</v>
      </c>
      <c r="AH7656">
        <v>19.264172968482001</v>
      </c>
      <c r="AI7656">
        <v>93.324829326330999</v>
      </c>
      <c r="AJ7656">
        <v>88.160991217420005</v>
      </c>
      <c r="AK7656">
        <v>19.306597526614699</v>
      </c>
      <c r="AL7656">
        <v>96.097264561405396</v>
      </c>
      <c r="AM7656">
        <v>90.678036485433196</v>
      </c>
      <c r="AN7656">
        <v>1.0000000082343401</v>
      </c>
    </row>
    <row r="7657" spans="1:40" x14ac:dyDescent="0.25">
      <c r="A7657" t="str">
        <f>"20190303154331645"</f>
        <v>20190303154331645</v>
      </c>
      <c r="B7657" t="str">
        <f>"1551599011637736"</f>
        <v>1551599011637736</v>
      </c>
      <c r="C7657" t="s">
        <v>40</v>
      </c>
      <c r="D7657">
        <v>5.5222740000000003</v>
      </c>
      <c r="E7657">
        <v>0.51691509999999996</v>
      </c>
      <c r="F7657" t="s">
        <v>69</v>
      </c>
      <c r="G7657">
        <v>-258.22739999999999</v>
      </c>
      <c r="H7657" s="1">
        <v>-3.101959E-6</v>
      </c>
      <c r="I7657">
        <v>-62.471159999999998</v>
      </c>
      <c r="J7657">
        <v>-277.4615</v>
      </c>
      <c r="K7657">
        <v>1.119678</v>
      </c>
      <c r="L7657">
        <v>-61.566279999999999</v>
      </c>
      <c r="M7657">
        <v>0.99984309999999998</v>
      </c>
      <c r="N7657">
        <v>-9.6130859999999999E-3</v>
      </c>
      <c r="O7657">
        <v>-1.4890489999999999E-2</v>
      </c>
      <c r="P7657">
        <v>0.99330280000000004</v>
      </c>
      <c r="Q7657">
        <v>-0.1154898</v>
      </c>
      <c r="R7657">
        <v>-3.4650549999999999E-3</v>
      </c>
      <c r="S7657">
        <v>2.9997560000000001</v>
      </c>
      <c r="T7657">
        <v>-0.1737831</v>
      </c>
      <c r="U7657">
        <v>-0.14074710000000001</v>
      </c>
      <c r="V7657">
        <v>-1.149356E-2</v>
      </c>
      <c r="W7657">
        <v>-0.1059184</v>
      </c>
      <c r="X7657">
        <v>0.99430839999999998</v>
      </c>
      <c r="Y7657">
        <v>3.1942930000000001E-2</v>
      </c>
      <c r="Z7657">
        <v>-3.5939320000000002E-4</v>
      </c>
      <c r="AA7657">
        <v>0.99948959999999998</v>
      </c>
      <c r="AB7657">
        <v>19</v>
      </c>
      <c r="AC7657">
        <v>19.234100000000002</v>
      </c>
      <c r="AD7657">
        <v>-1.1196811019590001</v>
      </c>
      <c r="AE7657">
        <v>-0.90487999999999102</v>
      </c>
      <c r="AF7657">
        <v>0.61627748662705795</v>
      </c>
      <c r="AG7657">
        <v>-1.1196811019590001</v>
      </c>
      <c r="AH7657">
        <v>19.180586574591999</v>
      </c>
      <c r="AI7657">
        <v>93.339173259907</v>
      </c>
      <c r="AJ7657">
        <v>88.159704056482994</v>
      </c>
      <c r="AK7657">
        <v>19.2231211060022</v>
      </c>
      <c r="AL7657">
        <v>96.080082071205695</v>
      </c>
      <c r="AM7657">
        <v>90.662272541600004</v>
      </c>
      <c r="AN7657">
        <v>1.0000000018452899</v>
      </c>
    </row>
    <row r="7658" spans="1:40" x14ac:dyDescent="0.25">
      <c r="A7658" t="str">
        <f>"20190303154331658"</f>
        <v>20190303154331658</v>
      </c>
      <c r="B7658" t="str">
        <f>"1551599011647497"</f>
        <v>1551599011647497</v>
      </c>
      <c r="C7658" t="s">
        <v>40</v>
      </c>
      <c r="D7658">
        <v>5.593019</v>
      </c>
      <c r="E7658">
        <v>0.51689099999999999</v>
      </c>
      <c r="F7658" t="s">
        <v>69</v>
      </c>
      <c r="G7658">
        <v>-258.23009999999999</v>
      </c>
      <c r="H7658" s="1">
        <v>-3.1039980000000002E-6</v>
      </c>
      <c r="I7658">
        <v>-62.479669999999999</v>
      </c>
      <c r="J7658">
        <v>-277.3544</v>
      </c>
      <c r="K7658">
        <v>1.119634</v>
      </c>
      <c r="L7658">
        <v>-61.568629999999999</v>
      </c>
      <c r="M7658">
        <v>0.99983639999999996</v>
      </c>
      <c r="N7658">
        <v>-9.2581750000000004E-3</v>
      </c>
      <c r="O7658">
        <v>-1.555174E-2</v>
      </c>
      <c r="P7658">
        <v>0.99335910000000005</v>
      </c>
      <c r="Q7658">
        <v>-0.11497590000000001</v>
      </c>
      <c r="R7658">
        <v>-4.3313650000000002E-3</v>
      </c>
      <c r="S7658">
        <v>2.9994200000000002</v>
      </c>
      <c r="T7658">
        <v>-0.17463090000000001</v>
      </c>
      <c r="U7658">
        <v>-0.1424561</v>
      </c>
      <c r="V7658">
        <v>-1.1280399999999999E-2</v>
      </c>
      <c r="W7658">
        <v>-0.10575759999999999</v>
      </c>
      <c r="X7658">
        <v>0.99432799999999999</v>
      </c>
      <c r="Y7658">
        <v>3.185661E-2</v>
      </c>
      <c r="Z7658">
        <v>-3.1351959999999999E-4</v>
      </c>
      <c r="AA7658">
        <v>0.99949239999999995</v>
      </c>
      <c r="AB7658">
        <v>19</v>
      </c>
      <c r="AC7658">
        <v>19.124300000000002</v>
      </c>
      <c r="AD7658">
        <v>-1.119637103998</v>
      </c>
      <c r="AE7658">
        <v>-0.91103999999999197</v>
      </c>
      <c r="AF7658">
        <v>0.61141009196930696</v>
      </c>
      <c r="AG7658">
        <v>-1.119637103998</v>
      </c>
      <c r="AH7658">
        <v>19.070937318120901</v>
      </c>
      <c r="AI7658">
        <v>93.358204086001805</v>
      </c>
      <c r="AJ7658">
        <v>88.163738751142006</v>
      </c>
      <c r="AK7658">
        <v>19.113556961929099</v>
      </c>
      <c r="AL7658">
        <v>96.070816610991301</v>
      </c>
      <c r="AM7658">
        <v>90.6499782622558</v>
      </c>
      <c r="AN7658">
        <v>1.00000004448295</v>
      </c>
    </row>
    <row r="7659" spans="1:40" x14ac:dyDescent="0.25">
      <c r="A7659" t="str">
        <f>"20190303154331670"</f>
        <v>20190303154331670</v>
      </c>
      <c r="B7659" t="str">
        <f>"1551599011658232"</f>
        <v>1551599011658232</v>
      </c>
      <c r="C7659" t="s">
        <v>40</v>
      </c>
      <c r="D7659">
        <v>5.5749339999999998</v>
      </c>
      <c r="E7659">
        <v>0.51687499999999997</v>
      </c>
      <c r="F7659" t="s">
        <v>69</v>
      </c>
      <c r="G7659">
        <v>-258.20620000000002</v>
      </c>
      <c r="H7659" s="1">
        <v>-3.0978370000000002E-6</v>
      </c>
      <c r="I7659">
        <v>-62.494320000000002</v>
      </c>
      <c r="J7659">
        <v>-277.23840000000001</v>
      </c>
      <c r="K7659">
        <v>1.1195870000000001</v>
      </c>
      <c r="L7659">
        <v>-61.57123</v>
      </c>
      <c r="M7659">
        <v>0.99982890000000002</v>
      </c>
      <c r="N7659">
        <v>-8.8648960000000006E-3</v>
      </c>
      <c r="O7659">
        <v>-1.6240979999999999E-2</v>
      </c>
      <c r="P7659">
        <v>0.99344469999999996</v>
      </c>
      <c r="Q7659">
        <v>-0.1142017</v>
      </c>
      <c r="R7659">
        <v>-5.1032909999999898E-3</v>
      </c>
      <c r="S7659">
        <v>2.9991460000000001</v>
      </c>
      <c r="T7659">
        <v>-0.17536650000000001</v>
      </c>
      <c r="U7659">
        <v>-0.14498900000000001</v>
      </c>
      <c r="V7659">
        <v>-1.1189350000000001E-2</v>
      </c>
      <c r="W7659">
        <v>-0.1053743</v>
      </c>
      <c r="X7659">
        <v>0.99436970000000002</v>
      </c>
      <c r="Y7659">
        <v>3.201507E-2</v>
      </c>
      <c r="Z7659">
        <v>-2.7243180000000001E-4</v>
      </c>
      <c r="AA7659">
        <v>0.99948729999999997</v>
      </c>
      <c r="AB7659">
        <v>20</v>
      </c>
      <c r="AC7659">
        <v>19.0321999999999</v>
      </c>
      <c r="AD7659">
        <v>-1.1195900978369999</v>
      </c>
      <c r="AE7659">
        <v>-0.92308999999998698</v>
      </c>
      <c r="AF7659">
        <v>0.61174257060666903</v>
      </c>
      <c r="AG7659">
        <v>-1.1195900978369999</v>
      </c>
      <c r="AH7659">
        <v>18.979158623550401</v>
      </c>
      <c r="AI7659">
        <v>93.374246130414704</v>
      </c>
      <c r="AJ7659">
        <v>88.153862480425005</v>
      </c>
      <c r="AK7659">
        <v>19.021991825719901</v>
      </c>
      <c r="AL7659">
        <v>96.048731869653594</v>
      </c>
      <c r="AM7659">
        <v>90.644705357598895</v>
      </c>
      <c r="AN7659">
        <v>1.0000000224659999</v>
      </c>
    </row>
    <row r="7660" spans="1:40" x14ac:dyDescent="0.25">
      <c r="A7660" t="str">
        <f>"20190303154331683"</f>
        <v>20190303154331683</v>
      </c>
      <c r="B7660" t="str">
        <f>"1551599011677752"</f>
        <v>1551599011677752</v>
      </c>
      <c r="C7660" t="s">
        <v>40</v>
      </c>
      <c r="D7660">
        <v>5.5537519999999896</v>
      </c>
      <c r="E7660">
        <v>0.51687609999999995</v>
      </c>
      <c r="F7660" t="s">
        <v>69</v>
      </c>
      <c r="G7660">
        <v>-257.98790000000002</v>
      </c>
      <c r="H7660" s="1">
        <v>-3.0264450000000001E-6</v>
      </c>
      <c r="I7660">
        <v>-62.516199999999998</v>
      </c>
      <c r="J7660">
        <v>-277.1354</v>
      </c>
      <c r="K7660">
        <v>1.1195469999999901</v>
      </c>
      <c r="L7660">
        <v>-61.573549999999997</v>
      </c>
      <c r="M7660">
        <v>0.99982199999999999</v>
      </c>
      <c r="N7660">
        <v>-8.5203750000000002E-3</v>
      </c>
      <c r="O7660">
        <v>-1.6836540000000001E-2</v>
      </c>
      <c r="P7660">
        <v>0.99347149999999995</v>
      </c>
      <c r="Q7660">
        <v>-0.1139346</v>
      </c>
      <c r="R7660">
        <v>-5.7618799999999996E-3</v>
      </c>
      <c r="S7660">
        <v>2.9990230000000002</v>
      </c>
      <c r="T7660">
        <v>-0.1744194</v>
      </c>
      <c r="U7660">
        <v>-0.14721679999999901</v>
      </c>
      <c r="V7660">
        <v>-1.1119560000000001E-2</v>
      </c>
      <c r="W7660">
        <v>-0.1054501</v>
      </c>
      <c r="X7660">
        <v>0.99436239999999998</v>
      </c>
      <c r="Y7660">
        <v>3.2163850000000001E-2</v>
      </c>
      <c r="Z7660">
        <v>-2.368394E-4</v>
      </c>
      <c r="AA7660">
        <v>0.9994826</v>
      </c>
      <c r="AB7660">
        <v>20</v>
      </c>
      <c r="AC7660">
        <v>19.147499999999901</v>
      </c>
      <c r="AD7660">
        <v>-1.11955002644499</v>
      </c>
      <c r="AE7660">
        <v>-0.94264999999999999</v>
      </c>
      <c r="AF7660">
        <v>0.61801931520506304</v>
      </c>
      <c r="AG7660">
        <v>-1.11955002644499</v>
      </c>
      <c r="AH7660">
        <v>19.0955329514365</v>
      </c>
      <c r="AI7660">
        <v>93.353595430111099</v>
      </c>
      <c r="AJ7660">
        <v>88.146291978260393</v>
      </c>
      <c r="AK7660">
        <v>19.138305014683901</v>
      </c>
      <c r="AL7660">
        <v>96.053099507995597</v>
      </c>
      <c r="AM7660">
        <v>90.640689253025499</v>
      </c>
      <c r="AN7660">
        <v>0.99999997536918095</v>
      </c>
    </row>
    <row r="7661" spans="1:40" x14ac:dyDescent="0.25">
      <c r="A7661" t="str">
        <f>"20190303154331696"</f>
        <v>20190303154331696</v>
      </c>
      <c r="B7661" t="str">
        <f>"1551599011687512"</f>
        <v>1551599011687512</v>
      </c>
      <c r="C7661" t="s">
        <v>40</v>
      </c>
      <c r="D7661">
        <v>5.5574669999999999</v>
      </c>
      <c r="E7661">
        <v>0.51684140000000001</v>
      </c>
      <c r="F7661" t="s">
        <v>69</v>
      </c>
      <c r="G7661">
        <v>-258.01760000000002</v>
      </c>
      <c r="H7661" s="1">
        <v>-3.0377810000000001E-6</v>
      </c>
      <c r="I7661">
        <v>-62.525329999999997</v>
      </c>
      <c r="J7661">
        <v>-277.01589999999999</v>
      </c>
      <c r="K7661">
        <v>1.119505</v>
      </c>
      <c r="L7661">
        <v>-61.57629</v>
      </c>
      <c r="M7661">
        <v>0.99981370000000003</v>
      </c>
      <c r="N7661">
        <v>-8.125106E-3</v>
      </c>
      <c r="O7661">
        <v>-1.751285E-2</v>
      </c>
      <c r="P7661">
        <v>0.99347450000000004</v>
      </c>
      <c r="Q7661">
        <v>-0.1138743</v>
      </c>
      <c r="R7661">
        <v>-6.418839E-3</v>
      </c>
      <c r="S7661">
        <v>2.9987180000000002</v>
      </c>
      <c r="T7661">
        <v>-0.17560609999999999</v>
      </c>
      <c r="U7661">
        <v>-0.14929200000000001</v>
      </c>
      <c r="V7661">
        <v>-1.113101E-2</v>
      </c>
      <c r="W7661">
        <v>-0.10578319999999999</v>
      </c>
      <c r="X7661">
        <v>0.99432690000000001</v>
      </c>
      <c r="Y7661">
        <v>3.2183839999999998E-2</v>
      </c>
      <c r="Z7661">
        <v>-1.901463E-4</v>
      </c>
      <c r="AA7661">
        <v>0.99948199999999998</v>
      </c>
      <c r="AB7661">
        <v>20</v>
      </c>
      <c r="AC7661">
        <v>18.998299999999901</v>
      </c>
      <c r="AD7661">
        <v>-1.1195080377810001</v>
      </c>
      <c r="AE7661">
        <v>-0.94904000000000299</v>
      </c>
      <c r="AF7661">
        <v>0.61404223880078901</v>
      </c>
      <c r="AG7661">
        <v>-1.1195080377810001</v>
      </c>
      <c r="AH7661">
        <v>18.946382208161801</v>
      </c>
      <c r="AI7661">
        <v>93.3798034545257</v>
      </c>
      <c r="AJ7661">
        <v>88.143723798951996</v>
      </c>
      <c r="AK7661">
        <v>18.9893587278622</v>
      </c>
      <c r="AL7661">
        <v>96.072292023098598</v>
      </c>
      <c r="AM7661">
        <v>90.641371822439993</v>
      </c>
      <c r="AN7661">
        <v>0.99999998442473403</v>
      </c>
    </row>
    <row r="7662" spans="1:40" x14ac:dyDescent="0.25">
      <c r="A7662" t="str">
        <f>"20190303154331707"</f>
        <v>20190303154331707</v>
      </c>
      <c r="B7662" t="str">
        <f>"1551599011698248"</f>
        <v>1551599011698248</v>
      </c>
      <c r="C7662" t="s">
        <v>40</v>
      </c>
      <c r="D7662">
        <v>5.5882610000000001</v>
      </c>
      <c r="E7662">
        <v>0.51682570000000005</v>
      </c>
      <c r="F7662" t="s">
        <v>69</v>
      </c>
      <c r="G7662">
        <v>-258.05419999999998</v>
      </c>
      <c r="H7662" s="1">
        <v>-3.0510760000000001E-6</v>
      </c>
      <c r="I7662">
        <v>-62.531590000000001</v>
      </c>
      <c r="J7662">
        <v>-276.91849999999999</v>
      </c>
      <c r="K7662">
        <v>1.11948</v>
      </c>
      <c r="L7662">
        <v>-61.578609999999998</v>
      </c>
      <c r="M7662">
        <v>0.9998068</v>
      </c>
      <c r="N7662">
        <v>-7.8215699999999999E-3</v>
      </c>
      <c r="O7662">
        <v>-1.803712E-2</v>
      </c>
      <c r="P7662">
        <v>0.99347529999999995</v>
      </c>
      <c r="Q7662">
        <v>-0.11384569999999999</v>
      </c>
      <c r="R7662">
        <v>-6.7876019999999898E-3</v>
      </c>
      <c r="S7662">
        <v>2.9984440000000001</v>
      </c>
      <c r="T7662">
        <v>-0.17702970000000001</v>
      </c>
      <c r="U7662">
        <v>-0.151062</v>
      </c>
      <c r="V7662">
        <v>-1.128004E-2</v>
      </c>
      <c r="W7662">
        <v>-0.1060565</v>
      </c>
      <c r="X7662">
        <v>0.99429610000000002</v>
      </c>
      <c r="Y7662">
        <v>3.225343E-2</v>
      </c>
      <c r="Z7662">
        <v>-1.5479099999999999E-4</v>
      </c>
      <c r="AA7662">
        <v>0.99947969999999997</v>
      </c>
      <c r="AB7662">
        <v>20</v>
      </c>
      <c r="AC7662">
        <v>18.8643</v>
      </c>
      <c r="AD7662">
        <v>-1.1194830510760001</v>
      </c>
      <c r="AE7662">
        <v>-0.95298000000000305</v>
      </c>
      <c r="AF7662">
        <v>0.61041270763603095</v>
      </c>
      <c r="AG7662">
        <v>-1.1194830510760001</v>
      </c>
      <c r="AH7662">
        <v>18.812337506865902</v>
      </c>
      <c r="AI7662">
        <v>93.403749379700002</v>
      </c>
      <c r="AJ7662">
        <v>88.141549096098501</v>
      </c>
      <c r="AK7662">
        <v>18.8555002173775</v>
      </c>
      <c r="AL7662">
        <v>96.088039587345506</v>
      </c>
      <c r="AM7662">
        <v>90.649978371580801</v>
      </c>
      <c r="AN7662">
        <v>0.99999997748492997</v>
      </c>
    </row>
    <row r="7663" spans="1:40" x14ac:dyDescent="0.25">
      <c r="A7663" t="str">
        <f>"20190303154331716"</f>
        <v>20190303154331716</v>
      </c>
      <c r="B7663" t="str">
        <f>"1551599011708008"</f>
        <v>1551599011708008</v>
      </c>
      <c r="C7663" t="s">
        <v>40</v>
      </c>
      <c r="D7663">
        <v>5.5377929999999997</v>
      </c>
      <c r="E7663">
        <v>0.51680760000000003</v>
      </c>
      <c r="F7663" t="s">
        <v>69</v>
      </c>
      <c r="G7663">
        <v>-258.03620000000001</v>
      </c>
      <c r="H7663" s="1">
        <v>-3.0455249999999999E-6</v>
      </c>
      <c r="I7663">
        <v>-62.535919999999997</v>
      </c>
      <c r="J7663">
        <v>-276.8329</v>
      </c>
      <c r="K7663">
        <v>1.119456</v>
      </c>
      <c r="L7663">
        <v>-61.580660000000002</v>
      </c>
      <c r="M7663">
        <v>0.99980040000000003</v>
      </c>
      <c r="N7663">
        <v>-7.5563540000000004E-3</v>
      </c>
      <c r="O7663">
        <v>-1.8496539999999999E-2</v>
      </c>
      <c r="P7663">
        <v>0.99346950000000001</v>
      </c>
      <c r="Q7663">
        <v>-0.11387410000000001</v>
      </c>
      <c r="R7663">
        <v>-7.1541469999999996E-3</v>
      </c>
      <c r="S7663">
        <v>2.998291</v>
      </c>
      <c r="T7663">
        <v>-0.17776049999999999</v>
      </c>
      <c r="U7663">
        <v>-0.15200810000000001</v>
      </c>
      <c r="V7663">
        <v>-1.1366920000000001E-2</v>
      </c>
      <c r="W7663">
        <v>-0.1063489</v>
      </c>
      <c r="X7663">
        <v>0.99426389999999998</v>
      </c>
      <c r="Y7663">
        <v>3.2112429999999997E-2</v>
      </c>
      <c r="Z7663">
        <v>-1.1683429999999999E-4</v>
      </c>
      <c r="AA7663">
        <v>0.99948419999999905</v>
      </c>
      <c r="AB7663">
        <v>20</v>
      </c>
      <c r="AC7663">
        <v>18.796699999999898</v>
      </c>
      <c r="AD7663">
        <v>-1.119459045525</v>
      </c>
      <c r="AE7663">
        <v>-0.955260000000002</v>
      </c>
      <c r="AF7663">
        <v>0.60527141206410695</v>
      </c>
      <c r="AG7663">
        <v>-1.119459045525</v>
      </c>
      <c r="AH7663">
        <v>18.744838225093702</v>
      </c>
      <c r="AI7663">
        <v>93.415921420346507</v>
      </c>
      <c r="AJ7663">
        <v>88.150560080863599</v>
      </c>
      <c r="AK7663">
        <v>18.787988240410499</v>
      </c>
      <c r="AL7663">
        <v>96.104888028214603</v>
      </c>
      <c r="AM7663">
        <v>90.655005346069103</v>
      </c>
      <c r="AN7663">
        <v>0.99999999912235304</v>
      </c>
    </row>
    <row r="7664" spans="1:40" x14ac:dyDescent="0.25">
      <c r="A7664" t="str">
        <f>"20190303154331726"</f>
        <v>20190303154331726</v>
      </c>
      <c r="B7664" t="str">
        <f>"1551599011717768"</f>
        <v>1551599011717768</v>
      </c>
      <c r="C7664" t="s">
        <v>40</v>
      </c>
      <c r="D7664">
        <v>5.5448459999999997</v>
      </c>
      <c r="E7664">
        <v>0.51679179999999902</v>
      </c>
      <c r="F7664" t="s">
        <v>69</v>
      </c>
      <c r="G7664">
        <v>-258.09210000000002</v>
      </c>
      <c r="H7664" s="1">
        <v>-3.064758E-6</v>
      </c>
      <c r="I7664">
        <v>-62.537329999999997</v>
      </c>
      <c r="J7664">
        <v>-276.74009999999998</v>
      </c>
      <c r="K7664">
        <v>1.1194379999999999</v>
      </c>
      <c r="L7664">
        <v>-61.582889999999999</v>
      </c>
      <c r="M7664">
        <v>0.99979359999999995</v>
      </c>
      <c r="N7664">
        <v>-7.2915050000000002E-3</v>
      </c>
      <c r="O7664">
        <v>-1.897151E-2</v>
      </c>
      <c r="P7664">
        <v>0.99346210000000001</v>
      </c>
      <c r="Q7664">
        <v>-0.11391560000000001</v>
      </c>
      <c r="R7664">
        <v>-7.5231319999999897E-3</v>
      </c>
      <c r="S7664">
        <v>2.9980769999999999</v>
      </c>
      <c r="T7664">
        <v>-0.17908740000000001</v>
      </c>
      <c r="U7664">
        <v>-0.15304570000000001</v>
      </c>
      <c r="V7664">
        <v>-1.1467049999999999E-2</v>
      </c>
      <c r="W7664">
        <v>-0.106654</v>
      </c>
      <c r="X7664">
        <v>0.99423010000000001</v>
      </c>
      <c r="Y7664">
        <v>3.1987210000000002E-2</v>
      </c>
      <c r="Z7664" s="1">
        <v>-7.7547799999999996E-5</v>
      </c>
      <c r="AA7664">
        <v>0.9994883</v>
      </c>
      <c r="AB7664">
        <v>20</v>
      </c>
      <c r="AC7664">
        <v>18.6479999999999</v>
      </c>
      <c r="AD7664">
        <v>-1.119441064758</v>
      </c>
      <c r="AE7664">
        <v>-0.95444000000000495</v>
      </c>
      <c r="AF7664">
        <v>0.59832764285588702</v>
      </c>
      <c r="AG7664">
        <v>-1.119441064758</v>
      </c>
      <c r="AH7664">
        <v>18.595913929361402</v>
      </c>
      <c r="AI7664">
        <v>93.443169598827794</v>
      </c>
      <c r="AJ7664">
        <v>88.157131388769798</v>
      </c>
      <c r="AK7664">
        <v>18.6391834352766</v>
      </c>
      <c r="AL7664">
        <v>96.122468769446897</v>
      </c>
      <c r="AM7664">
        <v>90.660797171560105</v>
      </c>
      <c r="AN7664">
        <v>1.0000000303488501</v>
      </c>
    </row>
    <row r="7665" spans="1:40" x14ac:dyDescent="0.25">
      <c r="A7665" t="str">
        <f>"20190303154331735"</f>
        <v>20190303154331735</v>
      </c>
      <c r="B7665" t="str">
        <f>"1551599011727528"</f>
        <v>1551599011727528</v>
      </c>
      <c r="C7665" t="s">
        <v>40</v>
      </c>
      <c r="D7665">
        <v>5.5719099999999999</v>
      </c>
      <c r="E7665">
        <v>0.51674799999999999</v>
      </c>
      <c r="F7665" t="s">
        <v>69</v>
      </c>
      <c r="G7665">
        <v>-258.1182</v>
      </c>
      <c r="H7665" s="1">
        <v>-3.0740379999999999E-6</v>
      </c>
      <c r="I7665">
        <v>-62.54036</v>
      </c>
      <c r="J7665">
        <v>-276.65960000000001</v>
      </c>
      <c r="K7665">
        <v>1.1194200000000001</v>
      </c>
      <c r="L7665">
        <v>-61.584870000000002</v>
      </c>
      <c r="M7665">
        <v>0.99978719999999999</v>
      </c>
      <c r="N7665">
        <v>-7.0614789999999998E-3</v>
      </c>
      <c r="O7665">
        <v>-1.9383859999999999E-2</v>
      </c>
      <c r="P7665">
        <v>0.99348119999999995</v>
      </c>
      <c r="Q7665">
        <v>-0.1137248</v>
      </c>
      <c r="R7665">
        <v>-7.86713E-3</v>
      </c>
      <c r="S7665">
        <v>2.9979550000000001</v>
      </c>
      <c r="T7665">
        <v>-0.18021980000000001</v>
      </c>
      <c r="U7665">
        <v>-0.15414430000000001</v>
      </c>
      <c r="V7665">
        <v>-1.1530530000000001E-2</v>
      </c>
      <c r="W7665">
        <v>-0.10669190000000001</v>
      </c>
      <c r="X7665">
        <v>0.99422529999999998</v>
      </c>
      <c r="Y7665">
        <v>3.1943109999999997E-2</v>
      </c>
      <c r="Z7665" s="1">
        <v>-4.5068499999999997E-5</v>
      </c>
      <c r="AA7665">
        <v>0.99948970000000004</v>
      </c>
      <c r="AB7665">
        <v>20</v>
      </c>
      <c r="AC7665">
        <v>18.541399999999999</v>
      </c>
      <c r="AD7665">
        <v>-1.119423074038</v>
      </c>
      <c r="AE7665">
        <v>-0.95549000000000395</v>
      </c>
      <c r="AF7665">
        <v>0.59373913752729801</v>
      </c>
      <c r="AG7665">
        <v>-1.119423074038</v>
      </c>
      <c r="AH7665">
        <v>18.4892220924519</v>
      </c>
      <c r="AI7665">
        <v>93.462941568446098</v>
      </c>
      <c r="AJ7665">
        <v>88.160708974451495</v>
      </c>
      <c r="AK7665">
        <v>18.5325920412157</v>
      </c>
      <c r="AL7665">
        <v>96.124652737397</v>
      </c>
      <c r="AM7665">
        <v>90.664458133697906</v>
      </c>
      <c r="AN7665">
        <v>1.0000000309038899</v>
      </c>
    </row>
    <row r="7666" spans="1:40" x14ac:dyDescent="0.25">
      <c r="A7666" t="str">
        <f>"20190303154331746"</f>
        <v>20190303154331746</v>
      </c>
      <c r="B7666" t="str">
        <f>"1551599011738264"</f>
        <v>1551599011738264</v>
      </c>
      <c r="C7666" t="s">
        <v>40</v>
      </c>
      <c r="D7666">
        <v>5.5741389999999997</v>
      </c>
      <c r="E7666">
        <v>0.51662569999999997</v>
      </c>
      <c r="F7666" t="s">
        <v>69</v>
      </c>
      <c r="G7666">
        <v>-258.09120000000001</v>
      </c>
      <c r="H7666" s="1">
        <v>-3.0653699999999999E-6</v>
      </c>
      <c r="I7666">
        <v>-62.544359999999998</v>
      </c>
      <c r="J7666">
        <v>-276.56560000000002</v>
      </c>
      <c r="K7666">
        <v>1.1194090000000001</v>
      </c>
      <c r="L7666">
        <v>-61.58719</v>
      </c>
      <c r="M7666">
        <v>0.99977990000000005</v>
      </c>
      <c r="N7666">
        <v>-6.8207099999999998E-3</v>
      </c>
      <c r="O7666">
        <v>-1.984029E-2</v>
      </c>
      <c r="P7666">
        <v>0.99348040000000004</v>
      </c>
      <c r="Q7666">
        <v>-0.1136866</v>
      </c>
      <c r="R7666">
        <v>-8.4754600000000006E-3</v>
      </c>
      <c r="S7666">
        <v>2.9978030000000002</v>
      </c>
      <c r="T7666">
        <v>-0.1807269</v>
      </c>
      <c r="U7666">
        <v>-0.15490719999999999</v>
      </c>
      <c r="V7666">
        <v>-1.137383E-2</v>
      </c>
      <c r="W7666">
        <v>-0.10689360000000001</v>
      </c>
      <c r="X7666">
        <v>0.99420540000000002</v>
      </c>
      <c r="Y7666">
        <v>3.1744519999999998E-2</v>
      </c>
      <c r="Z7666" s="1">
        <v>-4.9636000000000002E-6</v>
      </c>
      <c r="AA7666">
        <v>0.99949600000000005</v>
      </c>
      <c r="AB7666">
        <v>20</v>
      </c>
      <c r="AC7666">
        <v>18.474399999999999</v>
      </c>
      <c r="AD7666">
        <v>-1.1194120653699999</v>
      </c>
      <c r="AE7666">
        <v>-0.95716999999999797</v>
      </c>
      <c r="AF7666">
        <v>0.58828153311188502</v>
      </c>
      <c r="AG7666">
        <v>-1.1194120653699999</v>
      </c>
      <c r="AH7666">
        <v>18.4222986070499</v>
      </c>
      <c r="AI7666">
        <v>93.475476589888899</v>
      </c>
      <c r="AJ7666">
        <v>88.170988334497906</v>
      </c>
      <c r="AK7666">
        <v>18.465650394762999</v>
      </c>
      <c r="AL7666">
        <v>96.136276006714397</v>
      </c>
      <c r="AM7666">
        <v>90.655442053144895</v>
      </c>
      <c r="AN7666">
        <v>0.99999999155949404</v>
      </c>
    </row>
    <row r="7667" spans="1:40" x14ac:dyDescent="0.25">
      <c r="A7667" t="str">
        <f>"20190303154331757"</f>
        <v>20190303154331757</v>
      </c>
      <c r="B7667" t="str">
        <f>"1551599011748024"</f>
        <v>1551599011748024</v>
      </c>
      <c r="C7667" t="s">
        <v>40</v>
      </c>
      <c r="D7667">
        <v>5.532235</v>
      </c>
      <c r="E7667">
        <v>0.51657779999999998</v>
      </c>
      <c r="F7667" t="s">
        <v>69</v>
      </c>
      <c r="G7667">
        <v>-258.07139999999998</v>
      </c>
      <c r="H7667" s="1">
        <v>-3.0591940000000001E-6</v>
      </c>
      <c r="I7667">
        <v>-62.548580000000001</v>
      </c>
      <c r="J7667">
        <v>-276.46409999999997</v>
      </c>
      <c r="K7667">
        <v>1.119397</v>
      </c>
      <c r="L7667">
        <v>-61.5897199999999</v>
      </c>
      <c r="M7667">
        <v>0.99977190000000005</v>
      </c>
      <c r="N7667">
        <v>-6.5645679999999998E-3</v>
      </c>
      <c r="O7667">
        <v>-2.0329940000000001E-2</v>
      </c>
      <c r="P7667">
        <v>0.99349129999999997</v>
      </c>
      <c r="Q7667">
        <v>-0.1135577</v>
      </c>
      <c r="R7667">
        <v>-8.9496909999999992E-3</v>
      </c>
      <c r="S7667">
        <v>2.9975589999999999</v>
      </c>
      <c r="T7667">
        <v>-0.18143480000000001</v>
      </c>
      <c r="U7667">
        <v>-0.15582279999999901</v>
      </c>
      <c r="V7667">
        <v>-1.138316E-2</v>
      </c>
      <c r="W7667">
        <v>-0.1070195</v>
      </c>
      <c r="X7667">
        <v>0.99419179999999996</v>
      </c>
      <c r="Y7667">
        <v>3.1565040000000003E-2</v>
      </c>
      <c r="Z7667" s="1">
        <v>3.751594E-5</v>
      </c>
      <c r="AA7667">
        <v>0.99950170000000005</v>
      </c>
      <c r="AB7667">
        <v>20</v>
      </c>
      <c r="AC7667">
        <v>18.392699999999898</v>
      </c>
      <c r="AD7667">
        <v>-1.1194000591940001</v>
      </c>
      <c r="AE7667">
        <v>-0.95886000000000804</v>
      </c>
      <c r="AF7667">
        <v>0.58257925425358403</v>
      </c>
      <c r="AG7667">
        <v>-1.1194000591940001</v>
      </c>
      <c r="AH7667">
        <v>18.3406415546714</v>
      </c>
      <c r="AI7667">
        <v>93.490893431743999</v>
      </c>
      <c r="AJ7667">
        <v>88.180646359968094</v>
      </c>
      <c r="AK7667">
        <v>18.384003582379702</v>
      </c>
      <c r="AL7667">
        <v>96.143530849359493</v>
      </c>
      <c r="AM7667">
        <v>90.655988640678999</v>
      </c>
      <c r="AN7667">
        <v>1.0000000424495299</v>
      </c>
    </row>
    <row r="7668" spans="1:40" x14ac:dyDescent="0.25">
      <c r="A7668" t="str">
        <f>"20190303154331768"</f>
        <v>20190303154331768</v>
      </c>
      <c r="B7668" t="str">
        <f>"1551599011757785"</f>
        <v>1551599011757785</v>
      </c>
      <c r="C7668" t="s">
        <v>40</v>
      </c>
      <c r="D7668">
        <v>5.5226569999999997</v>
      </c>
      <c r="E7668">
        <v>0.51649489999999998</v>
      </c>
      <c r="F7668" t="s">
        <v>69</v>
      </c>
      <c r="G7668">
        <v>-257.98320000000001</v>
      </c>
      <c r="H7668" s="1">
        <v>-3.0303550000000001E-6</v>
      </c>
      <c r="I7668">
        <v>-62.557209999999998</v>
      </c>
      <c r="J7668">
        <v>-276.36090000000002</v>
      </c>
      <c r="K7668">
        <v>1.119391</v>
      </c>
      <c r="L7668">
        <v>-61.592379999999999</v>
      </c>
      <c r="M7668">
        <v>0.99976370000000003</v>
      </c>
      <c r="N7668">
        <v>-6.3299269999999999E-3</v>
      </c>
      <c r="O7668">
        <v>-2.0803740000000001E-2</v>
      </c>
      <c r="P7668">
        <v>0.99347529999999995</v>
      </c>
      <c r="Q7668">
        <v>-0.11364879999999999</v>
      </c>
      <c r="R7668">
        <v>-9.5447199999999996E-3</v>
      </c>
      <c r="S7668">
        <v>2.9974980000000002</v>
      </c>
      <c r="T7668">
        <v>-0.18156030000000001</v>
      </c>
      <c r="U7668">
        <v>-0.15692139999999999</v>
      </c>
      <c r="V7668">
        <v>-1.125571E-2</v>
      </c>
      <c r="W7668">
        <v>-0.1073445</v>
      </c>
      <c r="X7668">
        <v>0.99415810000000004</v>
      </c>
      <c r="Y7668">
        <v>3.1459149999999998E-2</v>
      </c>
      <c r="Z7668" s="1">
        <v>7.5363899999999999E-5</v>
      </c>
      <c r="AA7668">
        <v>0.99950499999999998</v>
      </c>
      <c r="AB7668">
        <v>20</v>
      </c>
      <c r="AC7668">
        <v>18.377700000000001</v>
      </c>
      <c r="AD7668">
        <v>-1.1193940303550001</v>
      </c>
      <c r="AE7668">
        <v>-0.96482999999999197</v>
      </c>
      <c r="AF7668">
        <v>0.58014223095963902</v>
      </c>
      <c r="AG7668">
        <v>-1.1193940303550001</v>
      </c>
      <c r="AH7668">
        <v>18.3259909219265</v>
      </c>
      <c r="AI7668">
        <v>93.493670409656701</v>
      </c>
      <c r="AJ7668">
        <v>88.18680450027</v>
      </c>
      <c r="AK7668">
        <v>18.369310038046301</v>
      </c>
      <c r="AL7668">
        <v>96.162260561175202</v>
      </c>
      <c r="AM7668">
        <v>90.648666570224506</v>
      </c>
      <c r="AN7668">
        <v>0.99999993024172895</v>
      </c>
    </row>
    <row r="7669" spans="1:40" x14ac:dyDescent="0.25">
      <c r="A7669" t="str">
        <f>"20190303154331780"</f>
        <v>20190303154331780</v>
      </c>
      <c r="B7669" t="str">
        <f>"1551599011767543"</f>
        <v>1551599011767543</v>
      </c>
      <c r="C7669" t="s">
        <v>40</v>
      </c>
      <c r="D7669">
        <v>5.5178250000000002</v>
      </c>
      <c r="E7669">
        <v>0.51643649999999997</v>
      </c>
      <c r="F7669" t="s">
        <v>69</v>
      </c>
      <c r="G7669">
        <v>-257.99169999999998</v>
      </c>
      <c r="H7669" s="1">
        <v>-3.0337400000000001E-6</v>
      </c>
      <c r="I7669">
        <v>-62.561010000000003</v>
      </c>
      <c r="J7669">
        <v>-276.25670000000002</v>
      </c>
      <c r="K7669">
        <v>1.1193879999999901</v>
      </c>
      <c r="L7669">
        <v>-61.595059999999997</v>
      </c>
      <c r="M7669">
        <v>0.99975510000000001</v>
      </c>
      <c r="N7669">
        <v>-6.1042689999999998E-3</v>
      </c>
      <c r="O7669">
        <v>-2.127248E-2</v>
      </c>
      <c r="P7669">
        <v>0.99347850000000004</v>
      </c>
      <c r="Q7669">
        <v>-0.1135757</v>
      </c>
      <c r="R7669">
        <v>-1.006201E-2</v>
      </c>
      <c r="S7669">
        <v>2.9972840000000001</v>
      </c>
      <c r="T7669">
        <v>-0.18265029999999999</v>
      </c>
      <c r="U7669">
        <v>-0.15805050000000001</v>
      </c>
      <c r="V7669">
        <v>-1.120054E-2</v>
      </c>
      <c r="W7669">
        <v>-0.1074962</v>
      </c>
      <c r="X7669">
        <v>0.99414239999999998</v>
      </c>
      <c r="Y7669">
        <v>3.1370799999999997E-2</v>
      </c>
      <c r="Z7669">
        <v>1.140691E-4</v>
      </c>
      <c r="AA7669">
        <v>0.99950779999999995</v>
      </c>
      <c r="AB7669">
        <v>20</v>
      </c>
      <c r="AC7669">
        <v>18.265000000000001</v>
      </c>
      <c r="AD7669">
        <v>-1.1193910337399999</v>
      </c>
      <c r="AE7669">
        <v>-0.96594999999999898</v>
      </c>
      <c r="AF7669">
        <v>0.57502855652866103</v>
      </c>
      <c r="AG7669">
        <v>-1.1193910337399999</v>
      </c>
      <c r="AH7669">
        <v>18.2131975170118</v>
      </c>
      <c r="AI7669">
        <v>93.515252440552004</v>
      </c>
      <c r="AJ7669">
        <v>88.191653670512693</v>
      </c>
      <c r="AK7669">
        <v>18.256622303178801</v>
      </c>
      <c r="AL7669">
        <v>96.1710024959187</v>
      </c>
      <c r="AM7669">
        <v>90.645497585790693</v>
      </c>
      <c r="AN7669">
        <v>0.99999999829424502</v>
      </c>
    </row>
    <row r="7670" spans="1:40" x14ac:dyDescent="0.25">
      <c r="A7670" t="str">
        <f>"20190303154331790"</f>
        <v>20190303154331790</v>
      </c>
      <c r="B7670" t="str">
        <f>"1551599011788040"</f>
        <v>1551599011788040</v>
      </c>
      <c r="C7670" t="s">
        <v>40</v>
      </c>
      <c r="D7670">
        <v>5.52501</v>
      </c>
      <c r="E7670">
        <v>0.51627279999999998</v>
      </c>
      <c r="F7670" t="s">
        <v>69</v>
      </c>
      <c r="G7670">
        <v>-257.9255</v>
      </c>
      <c r="H7670" s="1">
        <v>-3.012219E-6</v>
      </c>
      <c r="I7670">
        <v>-62.568449999999999</v>
      </c>
      <c r="J7670">
        <v>-276.15449999999998</v>
      </c>
      <c r="K7670">
        <v>1.1193869999999999</v>
      </c>
      <c r="L7670">
        <v>-61.597720000000002</v>
      </c>
      <c r="M7670">
        <v>0.99974689999999999</v>
      </c>
      <c r="N7670">
        <v>-5.9018480000000003E-3</v>
      </c>
      <c r="O7670">
        <v>-2.1715950000000001E-2</v>
      </c>
      <c r="P7670">
        <v>0.9935022</v>
      </c>
      <c r="Q7670">
        <v>-0.1133426</v>
      </c>
      <c r="R7670">
        <v>-1.034037E-2</v>
      </c>
      <c r="S7670">
        <v>2.997131</v>
      </c>
      <c r="T7670">
        <v>-0.18301999999999999</v>
      </c>
      <c r="U7670">
        <v>-0.15914919999999999</v>
      </c>
      <c r="V7670">
        <v>-1.136033E-2</v>
      </c>
      <c r="W7670">
        <v>-0.1074643</v>
      </c>
      <c r="X7670">
        <v>0.99414400000000003</v>
      </c>
      <c r="Y7670">
        <v>3.1296659999999997E-2</v>
      </c>
      <c r="Z7670">
        <v>1.4913839999999999E-4</v>
      </c>
      <c r="AA7670">
        <v>0.99951009999999996</v>
      </c>
      <c r="AB7670">
        <v>20</v>
      </c>
      <c r="AC7670">
        <v>18.2289999999999</v>
      </c>
      <c r="AD7670">
        <v>-1.1193900122189999</v>
      </c>
      <c r="AE7670">
        <v>-0.97073000000000298</v>
      </c>
      <c r="AF7670">
        <v>0.57248155625105401</v>
      </c>
      <c r="AG7670">
        <v>-1.1193900122189999</v>
      </c>
      <c r="AH7670">
        <v>18.177431582202701</v>
      </c>
      <c r="AI7670">
        <v>93.522157086624404</v>
      </c>
      <c r="AJ7670">
        <v>88.1961181621771</v>
      </c>
      <c r="AK7670">
        <v>18.220861342355999</v>
      </c>
      <c r="AL7670">
        <v>96.169164330984898</v>
      </c>
      <c r="AM7670">
        <v>90.654704583239607</v>
      </c>
      <c r="AN7670">
        <v>0.99999996280409797</v>
      </c>
    </row>
    <row r="7671" spans="1:40" x14ac:dyDescent="0.25">
      <c r="A7671" t="str">
        <f>"20190303154331802"</f>
        <v>20190303154331802</v>
      </c>
      <c r="B7671" t="str">
        <f>"1551599011797800"</f>
        <v>1551599011797800</v>
      </c>
      <c r="C7671" t="s">
        <v>40</v>
      </c>
      <c r="D7671">
        <v>5.5535240000000003</v>
      </c>
      <c r="E7671">
        <v>0.51619989999999905</v>
      </c>
      <c r="F7671" t="s">
        <v>69</v>
      </c>
      <c r="G7671">
        <v>-257.89679999999998</v>
      </c>
      <c r="H7671" s="1">
        <v>-3.001893E-6</v>
      </c>
      <c r="I7671">
        <v>-62.564279999999997</v>
      </c>
      <c r="J7671">
        <v>-276.05430000000001</v>
      </c>
      <c r="K7671">
        <v>1.119389</v>
      </c>
      <c r="L7671">
        <v>-61.600369999999998</v>
      </c>
      <c r="M7671">
        <v>0.99973860000000003</v>
      </c>
      <c r="N7671">
        <v>-5.7192170000000004E-3</v>
      </c>
      <c r="O7671">
        <v>-2.2138290000000001E-2</v>
      </c>
      <c r="P7671">
        <v>0.99349549999999998</v>
      </c>
      <c r="Q7671">
        <v>-0.11337319999999999</v>
      </c>
      <c r="R7671">
        <v>-1.064378E-2</v>
      </c>
      <c r="S7671">
        <v>2.9970089999999998</v>
      </c>
      <c r="T7671">
        <v>-0.1837481</v>
      </c>
      <c r="U7671">
        <v>-0.15866089999999999</v>
      </c>
      <c r="V7671">
        <v>-1.147336E-2</v>
      </c>
      <c r="W7671">
        <v>-0.1076767</v>
      </c>
      <c r="X7671">
        <v>0.9941198</v>
      </c>
      <c r="Y7671">
        <v>3.0716239999999999E-2</v>
      </c>
      <c r="Z7671">
        <v>2.0030140000000001E-4</v>
      </c>
      <c r="AA7671">
        <v>0.99952810000000003</v>
      </c>
      <c r="AB7671">
        <v>20</v>
      </c>
      <c r="AC7671">
        <v>18.157499999999999</v>
      </c>
      <c r="AD7671">
        <v>-1.1193920018929999</v>
      </c>
      <c r="AE7671">
        <v>-0.96391000000000504</v>
      </c>
      <c r="AF7671">
        <v>0.55957046902183705</v>
      </c>
      <c r="AG7671">
        <v>-1.1193920018929999</v>
      </c>
      <c r="AH7671">
        <v>18.105770014469499</v>
      </c>
      <c r="AI7671">
        <v>93.536133236206794</v>
      </c>
      <c r="AJ7671">
        <v>88.229800541746798</v>
      </c>
      <c r="AK7671">
        <v>18.148968713967399</v>
      </c>
      <c r="AL7671">
        <v>96.181404482816802</v>
      </c>
      <c r="AM7671">
        <v>90.661234108545997</v>
      </c>
      <c r="AN7671">
        <v>1.0000000432323</v>
      </c>
    </row>
    <row r="7672" spans="1:40" x14ac:dyDescent="0.25">
      <c r="A7672" t="str">
        <f>"20190303154331813"</f>
        <v>20190303154331813</v>
      </c>
      <c r="B7672" t="str">
        <f>"1551599011807563"</f>
        <v>1551599011807563</v>
      </c>
      <c r="C7672" t="s">
        <v>40</v>
      </c>
      <c r="D7672">
        <v>5.5349329999999997</v>
      </c>
      <c r="E7672">
        <v>0.51616079999999998</v>
      </c>
      <c r="F7672" t="s">
        <v>69</v>
      </c>
      <c r="G7672">
        <v>-257.8605</v>
      </c>
      <c r="H7672" s="1">
        <v>-2.9897369999999999E-6</v>
      </c>
      <c r="I7672">
        <v>-62.565809999999999</v>
      </c>
      <c r="J7672">
        <v>-275.94299999999998</v>
      </c>
      <c r="K7672">
        <v>1.119391</v>
      </c>
      <c r="L7672">
        <v>-61.60333</v>
      </c>
      <c r="M7672">
        <v>0.99972939999999999</v>
      </c>
      <c r="N7672">
        <v>-5.5300059999999996E-3</v>
      </c>
      <c r="O7672">
        <v>-2.259651E-2</v>
      </c>
      <c r="P7672">
        <v>0.99352079999999998</v>
      </c>
      <c r="Q7672">
        <v>-0.11309039999999999</v>
      </c>
      <c r="R7672">
        <v>-1.127061E-2</v>
      </c>
      <c r="S7672">
        <v>2.9968870000000001</v>
      </c>
      <c r="T7672">
        <v>-0.1843863</v>
      </c>
      <c r="U7672">
        <v>-0.1590271</v>
      </c>
      <c r="V7672">
        <v>-1.129903E-2</v>
      </c>
      <c r="W7672">
        <v>-0.107582399999999</v>
      </c>
      <c r="X7672">
        <v>0.99413200000000002</v>
      </c>
      <c r="Y7672">
        <v>3.0383730000000001E-2</v>
      </c>
      <c r="Z7672">
        <v>2.4558339999999998E-4</v>
      </c>
      <c r="AA7672">
        <v>0.99953829999999999</v>
      </c>
      <c r="AB7672">
        <v>21</v>
      </c>
      <c r="AC7672">
        <v>18.0824999999999</v>
      </c>
      <c r="AD7672">
        <v>-1.119393989737</v>
      </c>
      <c r="AE7672">
        <v>-0.96247999999999201</v>
      </c>
      <c r="AF7672">
        <v>0.55151904618018299</v>
      </c>
      <c r="AG7672">
        <v>-1.119393989737</v>
      </c>
      <c r="AH7672">
        <v>18.0307295235528</v>
      </c>
      <c r="AI7672">
        <v>93.550853256745299</v>
      </c>
      <c r="AJ7672">
        <v>88.247998553725694</v>
      </c>
      <c r="AK7672">
        <v>18.0738602217146</v>
      </c>
      <c r="AL7672">
        <v>96.175969959782705</v>
      </c>
      <c r="AM7672">
        <v>90.651179981479004</v>
      </c>
      <c r="AN7672">
        <v>1.00000003714634</v>
      </c>
    </row>
    <row r="7673" spans="1:40" x14ac:dyDescent="0.25">
      <c r="A7673" t="str">
        <f>"20190303154331826"</f>
        <v>20190303154331826</v>
      </c>
      <c r="B7673" t="str">
        <f>"1551599011818295"</f>
        <v>1551599011818295</v>
      </c>
      <c r="C7673" t="s">
        <v>40</v>
      </c>
      <c r="D7673">
        <v>5.5230699999999997</v>
      </c>
      <c r="E7673">
        <v>0.51609189999999905</v>
      </c>
      <c r="F7673" t="s">
        <v>69</v>
      </c>
      <c r="G7673">
        <v>-257.721</v>
      </c>
      <c r="H7673" s="1">
        <v>-2.936793E-6</v>
      </c>
      <c r="I7673">
        <v>-62.57976</v>
      </c>
      <c r="J7673">
        <v>-275.83359999999999</v>
      </c>
      <c r="K7673">
        <v>1.1193979999999999</v>
      </c>
      <c r="L7673">
        <v>-61.606290000000001</v>
      </c>
      <c r="M7673">
        <v>0.99972050000000001</v>
      </c>
      <c r="N7673">
        <v>-5.3687159999999999E-3</v>
      </c>
      <c r="O7673">
        <v>-2.3027679999999998E-2</v>
      </c>
      <c r="P7673">
        <v>0.99348840000000005</v>
      </c>
      <c r="Q7673">
        <v>-0.11333219999999999</v>
      </c>
      <c r="R7673">
        <v>-1.1703099999999999E-2</v>
      </c>
      <c r="S7673">
        <v>2.9967959999999998</v>
      </c>
      <c r="T7673">
        <v>-0.1840967</v>
      </c>
      <c r="U7673">
        <v>-0.16058349999999999</v>
      </c>
      <c r="V7673">
        <v>-1.1291900000000001E-2</v>
      </c>
      <c r="W7673">
        <v>-0.107985</v>
      </c>
      <c r="X7673">
        <v>0.99408839999999998</v>
      </c>
      <c r="Y7673">
        <v>3.0472829999999999E-2</v>
      </c>
      <c r="Z7673">
        <v>2.7211720000000001E-4</v>
      </c>
      <c r="AA7673">
        <v>0.99953559999999997</v>
      </c>
      <c r="AB7673">
        <v>21</v>
      </c>
      <c r="AC7673">
        <v>18.112599999999901</v>
      </c>
      <c r="AD7673">
        <v>-1.11940093679299</v>
      </c>
      <c r="AE7673">
        <v>-0.97346999999999895</v>
      </c>
      <c r="AF7673">
        <v>0.55400478191137004</v>
      </c>
      <c r="AG7673">
        <v>-1.11940093679299</v>
      </c>
      <c r="AH7673">
        <v>18.061426548091099</v>
      </c>
      <c r="AI7673">
        <v>93.544846339803698</v>
      </c>
      <c r="AJ7673">
        <v>88.243096333283702</v>
      </c>
      <c r="AK7673">
        <v>18.104560439507001</v>
      </c>
      <c r="AL7673">
        <v>96.199172595692502</v>
      </c>
      <c r="AM7673">
        <v>90.650797644084506</v>
      </c>
      <c r="AN7673">
        <v>1.0000000071225801</v>
      </c>
    </row>
    <row r="7674" spans="1:40" x14ac:dyDescent="0.25">
      <c r="A7674" t="str">
        <f>"20190303154331835"</f>
        <v>20190303154331835</v>
      </c>
      <c r="B7674" t="str">
        <f>"1551599011828057"</f>
        <v>1551599011828057</v>
      </c>
      <c r="C7674" t="s">
        <v>40</v>
      </c>
      <c r="D7674">
        <v>5.4851390000000002</v>
      </c>
      <c r="E7674">
        <v>0.51596920000000002</v>
      </c>
      <c r="F7674" t="s">
        <v>69</v>
      </c>
      <c r="G7674">
        <v>-257.7235</v>
      </c>
      <c r="H7674" s="1">
        <v>-2.938288E-6</v>
      </c>
      <c r="I7674">
        <v>-62.581760000000003</v>
      </c>
      <c r="J7674">
        <v>-275.73970000000003</v>
      </c>
      <c r="K7674">
        <v>1.1194010000000001</v>
      </c>
      <c r="L7674">
        <v>-61.60886</v>
      </c>
      <c r="M7674">
        <v>0.99971259999999995</v>
      </c>
      <c r="N7674">
        <v>-5.2342990000000004E-3</v>
      </c>
      <c r="O7674">
        <v>-2.3394459999999999E-2</v>
      </c>
      <c r="P7674">
        <v>0.99348429999999999</v>
      </c>
      <c r="Q7674">
        <v>-0.1133363</v>
      </c>
      <c r="R7674">
        <v>-1.200242E-2</v>
      </c>
      <c r="S7674">
        <v>2.996613</v>
      </c>
      <c r="T7674">
        <v>-0.18522350000000001</v>
      </c>
      <c r="U7674">
        <v>-0.16140750000000001</v>
      </c>
      <c r="V7674">
        <v>-1.135478E-2</v>
      </c>
      <c r="W7674">
        <v>-0.10812289999999999</v>
      </c>
      <c r="X7674">
        <v>0.99407270000000003</v>
      </c>
      <c r="Y7674">
        <v>3.038426E-2</v>
      </c>
      <c r="Z7674">
        <v>3.0387159999999998E-4</v>
      </c>
      <c r="AA7674">
        <v>0.99953820000000004</v>
      </c>
      <c r="AB7674">
        <v>21</v>
      </c>
      <c r="AC7674">
        <v>18.016200000000001</v>
      </c>
      <c r="AD7674">
        <v>-1.1194039382879899</v>
      </c>
      <c r="AE7674">
        <v>-0.97289999999999499</v>
      </c>
      <c r="AF7674">
        <v>0.54903526788821599</v>
      </c>
      <c r="AG7674">
        <v>-1.1194039382879899</v>
      </c>
      <c r="AH7674">
        <v>17.964877488021099</v>
      </c>
      <c r="AI7674">
        <v>93.563870205193595</v>
      </c>
      <c r="AJ7674">
        <v>88.249494587059203</v>
      </c>
      <c r="AK7674">
        <v>18.008090627883</v>
      </c>
      <c r="AL7674">
        <v>96.207120181893103</v>
      </c>
      <c r="AM7674">
        <v>90.654431692032503</v>
      </c>
      <c r="AN7674">
        <v>1.0000000127092701</v>
      </c>
    </row>
    <row r="7675" spans="1:40" x14ac:dyDescent="0.25">
      <c r="A7675" t="str">
        <f>"20190303154331847"</f>
        <v>20190303154331847</v>
      </c>
      <c r="B7675" t="str">
        <f>"1551599011837816"</f>
        <v>1551599011837816</v>
      </c>
      <c r="C7675" t="s">
        <v>40</v>
      </c>
      <c r="D7675">
        <v>5.5279059999999998</v>
      </c>
      <c r="E7675">
        <v>0.51588999999999996</v>
      </c>
      <c r="F7675" t="s">
        <v>69</v>
      </c>
      <c r="G7675">
        <v>-257.69479999999999</v>
      </c>
      <c r="H7675" s="1">
        <v>-2.9256579999999999E-6</v>
      </c>
      <c r="I7675">
        <v>-62.580289999999998</v>
      </c>
      <c r="J7675">
        <v>-275.62979999999999</v>
      </c>
      <c r="K7675">
        <v>1.119399</v>
      </c>
      <c r="L7675">
        <v>-61.611849999999997</v>
      </c>
      <c r="M7675">
        <v>0.99970360000000003</v>
      </c>
      <c r="N7675">
        <v>-5.1038539999999997E-3</v>
      </c>
      <c r="O7675">
        <v>-2.3802279999999999E-2</v>
      </c>
      <c r="P7675">
        <v>0.99348389999999998</v>
      </c>
      <c r="Q7675">
        <v>-0.1133204</v>
      </c>
      <c r="R7675">
        <v>-1.218838E-2</v>
      </c>
      <c r="S7675">
        <v>2.996521</v>
      </c>
      <c r="T7675">
        <v>-0.18588750000000001</v>
      </c>
      <c r="U7675">
        <v>-0.16131589999999901</v>
      </c>
      <c r="V7675">
        <v>-1.1571730000000001E-2</v>
      </c>
      <c r="W7675">
        <v>-0.10823670000000001</v>
      </c>
      <c r="X7675">
        <v>0.99405779999999999</v>
      </c>
      <c r="Y7675">
        <v>2.9949429999999999E-2</v>
      </c>
      <c r="Z7675">
        <v>3.484707E-4</v>
      </c>
      <c r="AA7675">
        <v>0.99955139999999998</v>
      </c>
      <c r="AB7675">
        <v>21</v>
      </c>
      <c r="AC7675">
        <v>17.934999999999999</v>
      </c>
      <c r="AD7675">
        <v>-1.1194019256579999</v>
      </c>
      <c r="AE7675">
        <v>-0.96844000000000796</v>
      </c>
      <c r="AF7675">
        <v>0.53917187594044502</v>
      </c>
      <c r="AG7675">
        <v>-1.1194019256579999</v>
      </c>
      <c r="AH7675">
        <v>17.883506357829699</v>
      </c>
      <c r="AI7675">
        <v>93.580082218494994</v>
      </c>
      <c r="AJ7675">
        <v>88.273106103093099</v>
      </c>
      <c r="AK7675">
        <v>17.926616151229101</v>
      </c>
      <c r="AL7675">
        <v>96.213679018390593</v>
      </c>
      <c r="AM7675">
        <v>90.666944462127105</v>
      </c>
      <c r="AN7675">
        <v>0.99999999895146097</v>
      </c>
    </row>
    <row r="7676" spans="1:40" x14ac:dyDescent="0.25">
      <c r="A7676" t="str">
        <f>"20190303154331860"</f>
        <v>20190303154331860</v>
      </c>
      <c r="B7676" t="str">
        <f>"1551599011847577"</f>
        <v>1551599011847577</v>
      </c>
      <c r="C7676" t="s">
        <v>40</v>
      </c>
      <c r="D7676">
        <v>5.5178289999999999</v>
      </c>
      <c r="E7676">
        <v>0.51588999999999996</v>
      </c>
      <c r="F7676" t="s">
        <v>69</v>
      </c>
      <c r="G7676">
        <v>-257.63400000000001</v>
      </c>
      <c r="H7676" s="1">
        <v>-2.8995369999999999E-6</v>
      </c>
      <c r="I7676">
        <v>-62.580120000000001</v>
      </c>
      <c r="J7676">
        <v>-275.512</v>
      </c>
      <c r="K7676">
        <v>1.1194029999999999</v>
      </c>
      <c r="L7676">
        <v>-61.615139999999997</v>
      </c>
      <c r="M7676">
        <v>0.99969399999999997</v>
      </c>
      <c r="N7676">
        <v>-4.9730470000000004E-3</v>
      </c>
      <c r="O7676">
        <v>-2.4232159999999999E-2</v>
      </c>
      <c r="P7676">
        <v>0.99351699999999998</v>
      </c>
      <c r="Q7676">
        <v>-0.1130236</v>
      </c>
      <c r="R7676">
        <v>-1.2241210000000001E-2</v>
      </c>
      <c r="S7676">
        <v>2.996429</v>
      </c>
      <c r="T7676">
        <v>-0.1863889</v>
      </c>
      <c r="U7676">
        <v>-0.16122439999999999</v>
      </c>
      <c r="V7676">
        <v>-1.1943560000000001E-2</v>
      </c>
      <c r="W7676">
        <v>-0.10806979999999999</v>
      </c>
      <c r="X7676">
        <v>0.9940715</v>
      </c>
      <c r="Y7676">
        <v>2.9492669999999999E-2</v>
      </c>
      <c r="Z7676">
        <v>3.9489590000000001E-4</v>
      </c>
      <c r="AA7676">
        <v>0.99956489999999998</v>
      </c>
      <c r="AB7676">
        <v>21</v>
      </c>
      <c r="AC7676">
        <v>17.877999999999901</v>
      </c>
      <c r="AD7676">
        <v>-1.119405899537</v>
      </c>
      <c r="AE7676">
        <v>-0.96497999999998996</v>
      </c>
      <c r="AF7676">
        <v>0.52939926477600896</v>
      </c>
      <c r="AG7676">
        <v>-1.119405899537</v>
      </c>
      <c r="AH7676">
        <v>17.8264490712099</v>
      </c>
      <c r="AI7676">
        <v>93.591572168687406</v>
      </c>
      <c r="AJ7676">
        <v>88.298964023437193</v>
      </c>
      <c r="AK7676">
        <v>17.8694045686448</v>
      </c>
      <c r="AL7676">
        <v>96.204060304680993</v>
      </c>
      <c r="AM7676">
        <v>90.688363618762594</v>
      </c>
      <c r="AN7676">
        <v>0.99999993870487902</v>
      </c>
    </row>
    <row r="7677" spans="1:40" x14ac:dyDescent="0.25">
      <c r="A7677" t="str">
        <f>"20190303154331871"</f>
        <v>20190303154331871</v>
      </c>
      <c r="B7677" t="str">
        <f>"1551599011868072"</f>
        <v>1551599011868072</v>
      </c>
      <c r="C7677" t="s">
        <v>40</v>
      </c>
      <c r="D7677">
        <v>5.4862359999999999</v>
      </c>
      <c r="E7677">
        <v>0.50892099999999996</v>
      </c>
      <c r="F7677" t="s">
        <v>69</v>
      </c>
      <c r="G7677">
        <v>-257.42079999999999</v>
      </c>
      <c r="H7677" s="1">
        <v>-2.8100089999999998E-6</v>
      </c>
      <c r="I7677">
        <v>-62.588900000000002</v>
      </c>
      <c r="J7677">
        <v>-275.40559999999999</v>
      </c>
      <c r="K7677">
        <v>1.1194109999999999</v>
      </c>
      <c r="L7677">
        <v>-61.618130000000001</v>
      </c>
      <c r="M7677">
        <v>0.9996855</v>
      </c>
      <c r="N7677">
        <v>-4.8710330000000003E-3</v>
      </c>
      <c r="O7677">
        <v>-2.4606949999999999E-2</v>
      </c>
      <c r="P7677">
        <v>0.99348829999999999</v>
      </c>
      <c r="Q7677">
        <v>-0.11326459999999999</v>
      </c>
      <c r="R7677">
        <v>-1.2346319999999999E-2</v>
      </c>
      <c r="S7677">
        <v>2.9964900000000001</v>
      </c>
      <c r="T7677">
        <v>-0.18540999999999999</v>
      </c>
      <c r="U7677">
        <v>-0.1612854</v>
      </c>
      <c r="V7677">
        <v>-1.220808E-2</v>
      </c>
      <c r="W7677">
        <v>-0.1084123</v>
      </c>
      <c r="X7677">
        <v>0.99403109999999995</v>
      </c>
      <c r="Y7677">
        <v>2.9138890000000001E-2</v>
      </c>
      <c r="Z7677">
        <v>4.2887889999999998E-4</v>
      </c>
      <c r="AA7677">
        <v>0.99957530000000006</v>
      </c>
      <c r="AB7677">
        <v>21</v>
      </c>
      <c r="AC7677">
        <v>17.9848</v>
      </c>
      <c r="AD7677">
        <v>-1.1194138100090001</v>
      </c>
      <c r="AE7677">
        <v>-0.97076999999999403</v>
      </c>
      <c r="AF7677">
        <v>0.52588837285610102</v>
      </c>
      <c r="AG7677">
        <v>-1.1194138100090001</v>
      </c>
      <c r="AH7677">
        <v>17.933966077994398</v>
      </c>
      <c r="AI7677">
        <v>93.570160383838299</v>
      </c>
      <c r="AJ7677">
        <v>88.320363033571297</v>
      </c>
      <c r="AK7677">
        <v>17.976562105847702</v>
      </c>
      <c r="AL7677">
        <v>96.223799418346701</v>
      </c>
      <c r="AM7677">
        <v>90.703636229767298</v>
      </c>
      <c r="AN7677">
        <v>1.0000000458878899</v>
      </c>
    </row>
    <row r="7678" spans="1:40" x14ac:dyDescent="0.25">
      <c r="A7678" t="str">
        <f>"20190303154331892"</f>
        <v>20190303154331892</v>
      </c>
      <c r="B7678" t="str">
        <f>"1551599011887592"</f>
        <v>1551599011887592</v>
      </c>
      <c r="C7678" t="s">
        <v>40</v>
      </c>
      <c r="D7678">
        <v>5.5295610000000002</v>
      </c>
      <c r="E7678">
        <v>0.50944670000000003</v>
      </c>
      <c r="F7678" t="s">
        <v>41</v>
      </c>
      <c r="G7678">
        <v>-260.70699999999999</v>
      </c>
      <c r="H7678" s="1">
        <v>2.2369699999999999E-7</v>
      </c>
      <c r="I7678">
        <v>-62.141530000000003</v>
      </c>
      <c r="J7678">
        <v>-275.2081</v>
      </c>
      <c r="K7678">
        <v>1.1194280000000001</v>
      </c>
      <c r="L7678">
        <v>-61.623750000000001</v>
      </c>
      <c r="M7678">
        <v>0.99966940000000004</v>
      </c>
      <c r="N7678">
        <v>-4.7109229999999997E-3</v>
      </c>
      <c r="O7678">
        <v>-2.5279940000000001E-2</v>
      </c>
      <c r="P7678">
        <v>0.99349149999999997</v>
      </c>
      <c r="Q7678">
        <v>-0.1132428</v>
      </c>
      <c r="R7678">
        <v>-1.228273E-2</v>
      </c>
      <c r="S7678">
        <v>2.9923709999999999</v>
      </c>
      <c r="T7678">
        <v>-0.22789139999999999</v>
      </c>
      <c r="U7678">
        <v>-0.10656740000000001</v>
      </c>
      <c r="V7678">
        <v>-1.2937830000000001E-2</v>
      </c>
      <c r="W7678">
        <v>-0.1085494</v>
      </c>
      <c r="X7678">
        <v>0.99400690000000003</v>
      </c>
      <c r="Y7678">
        <v>1.0347429999999999E-2</v>
      </c>
      <c r="Z7678">
        <v>1.38484E-3</v>
      </c>
      <c r="AA7678">
        <v>0.99994550000000004</v>
      </c>
      <c r="AB7678">
        <v>21</v>
      </c>
      <c r="AC7678">
        <v>14.501099999999999</v>
      </c>
      <c r="AD7678">
        <v>-1.1194277763030001</v>
      </c>
      <c r="AE7678">
        <v>-0.51778000000000102</v>
      </c>
      <c r="AF7678">
        <v>0.15013002601422501</v>
      </c>
      <c r="AG7678">
        <v>-1.1194277763030001</v>
      </c>
      <c r="AH7678">
        <v>14.423710317574701</v>
      </c>
      <c r="AI7678">
        <v>94.437604444455999</v>
      </c>
      <c r="AJ7678">
        <v>89.403655088404093</v>
      </c>
      <c r="AK7678">
        <v>14.4678635912971</v>
      </c>
      <c r="AL7678">
        <v>96.231701348449107</v>
      </c>
      <c r="AM7678">
        <v>90.745710315061501</v>
      </c>
      <c r="AN7678">
        <v>1.00000003846653</v>
      </c>
    </row>
    <row r="7679" spans="1:40" x14ac:dyDescent="0.25">
      <c r="A7679" t="str">
        <f>"20190303154331902"</f>
        <v>20190303154331902</v>
      </c>
      <c r="B7679" t="str">
        <f>"1551599011898329"</f>
        <v>1551599011898329</v>
      </c>
      <c r="C7679" t="s">
        <v>40</v>
      </c>
      <c r="D7679">
        <v>5.4996859999999996</v>
      </c>
      <c r="E7679">
        <v>0.50969929999999997</v>
      </c>
      <c r="F7679" t="s">
        <v>65</v>
      </c>
      <c r="G7679">
        <v>-260.37549999999999</v>
      </c>
      <c r="H7679" s="1">
        <v>3.5798980000000001E-7</v>
      </c>
      <c r="I7679">
        <v>-62.171390000000002</v>
      </c>
      <c r="J7679">
        <v>-275.1105</v>
      </c>
      <c r="K7679">
        <v>1.1194329999999999</v>
      </c>
      <c r="L7679">
        <v>-61.626559999999998</v>
      </c>
      <c r="M7679">
        <v>0.99966149999999998</v>
      </c>
      <c r="N7679">
        <v>-4.6460800000000003E-3</v>
      </c>
      <c r="O7679">
        <v>-2.5602070000000001E-2</v>
      </c>
      <c r="P7679">
        <v>0.99351029999999996</v>
      </c>
      <c r="Q7679">
        <v>-0.113085199999999</v>
      </c>
      <c r="R7679">
        <v>-1.220969E-2</v>
      </c>
      <c r="S7679">
        <v>2.9925540000000002</v>
      </c>
      <c r="T7679">
        <v>-0.22584940000000001</v>
      </c>
      <c r="U7679">
        <v>-0.1105042</v>
      </c>
      <c r="V7679">
        <v>-1.332947E-2</v>
      </c>
      <c r="W7679">
        <v>-0.108456</v>
      </c>
      <c r="X7679">
        <v>0.99401189999999995</v>
      </c>
      <c r="Y7679">
        <v>1.133405E-2</v>
      </c>
      <c r="Z7679">
        <v>1.3563220000000001E-3</v>
      </c>
      <c r="AA7679">
        <v>0.99993489999999996</v>
      </c>
      <c r="AB7679">
        <v>21</v>
      </c>
      <c r="AC7679">
        <v>14.734999999999999</v>
      </c>
      <c r="AD7679">
        <v>-1.1194326420102001</v>
      </c>
      <c r="AE7679">
        <v>-0.54483000000000403</v>
      </c>
      <c r="AF7679">
        <v>0.16644154521593199</v>
      </c>
      <c r="AG7679">
        <v>-1.1194326420102001</v>
      </c>
      <c r="AH7679">
        <v>14.659625021392999</v>
      </c>
      <c r="AI7679">
        <v>94.366443482871105</v>
      </c>
      <c r="AJ7679">
        <v>89.349506667216104</v>
      </c>
      <c r="AK7679">
        <v>14.703245831986401</v>
      </c>
      <c r="AL7679">
        <v>96.226318269009099</v>
      </c>
      <c r="AM7679">
        <v>90.768277121310604</v>
      </c>
      <c r="AN7679">
        <v>1.00000001802404</v>
      </c>
    </row>
    <row r="7680" spans="1:40" x14ac:dyDescent="0.25">
      <c r="A7680" t="str">
        <f>"20190303154331912"</f>
        <v>20190303154331912</v>
      </c>
      <c r="B7680" t="str">
        <f>"1551599011908093"</f>
        <v>1551599011908093</v>
      </c>
      <c r="C7680" t="s">
        <v>40</v>
      </c>
      <c r="D7680">
        <v>5.5138150000000001</v>
      </c>
      <c r="E7680">
        <v>0.5098956</v>
      </c>
      <c r="F7680" t="s">
        <v>41</v>
      </c>
      <c r="G7680">
        <v>-260.17939999999999</v>
      </c>
      <c r="H7680" s="1">
        <v>4.3791760000000002E-7</v>
      </c>
      <c r="I7680">
        <v>-62.187109999999997</v>
      </c>
      <c r="J7680">
        <v>-274.99869999999999</v>
      </c>
      <c r="K7680">
        <v>1.11944</v>
      </c>
      <c r="L7680">
        <v>-61.62979</v>
      </c>
      <c r="M7680">
        <v>0.9996524</v>
      </c>
      <c r="N7680">
        <v>-4.5788360000000002E-3</v>
      </c>
      <c r="O7680">
        <v>-2.5965450000000001E-2</v>
      </c>
      <c r="P7680">
        <v>0.99347560000000001</v>
      </c>
      <c r="Q7680">
        <v>-0.1133388</v>
      </c>
      <c r="R7680">
        <v>-1.2688090000000001E-2</v>
      </c>
      <c r="S7680">
        <v>2.9926759999999999</v>
      </c>
      <c r="T7680">
        <v>-0.2243706</v>
      </c>
      <c r="U7680">
        <v>-0.1123657</v>
      </c>
      <c r="V7680">
        <v>-1.3210980000000001E-2</v>
      </c>
      <c r="W7680">
        <v>-0.10877680000000001</v>
      </c>
      <c r="X7680">
        <v>0.99397840000000004</v>
      </c>
      <c r="Y7680">
        <v>1.1590039999999999E-2</v>
      </c>
      <c r="Z7680">
        <v>1.3638910000000001E-3</v>
      </c>
      <c r="AA7680">
        <v>0.99993189999999998</v>
      </c>
      <c r="AB7680">
        <v>21</v>
      </c>
      <c r="AC7680">
        <v>14.819299999999901</v>
      </c>
      <c r="AD7680">
        <v>-1.11943956208239</v>
      </c>
      <c r="AE7680">
        <v>-0.55731999999999704</v>
      </c>
      <c r="AF7680">
        <v>0.17136183963016799</v>
      </c>
      <c r="AG7680">
        <v>-1.11943956208239</v>
      </c>
      <c r="AH7680">
        <v>14.744757151686001</v>
      </c>
      <c r="AI7680">
        <v>94.341342925631395</v>
      </c>
      <c r="AJ7680">
        <v>89.334145142697395</v>
      </c>
      <c r="AK7680">
        <v>14.7881835691687</v>
      </c>
      <c r="AL7680">
        <v>96.244808315600196</v>
      </c>
      <c r="AM7680">
        <v>90.761474123515697</v>
      </c>
      <c r="AN7680">
        <v>0.99999999093867997</v>
      </c>
    </row>
    <row r="7681" spans="1:40" x14ac:dyDescent="0.25">
      <c r="A7681" t="str">
        <f>"20190303154331925"</f>
        <v>20190303154331925</v>
      </c>
      <c r="B7681" t="str">
        <f>"1551599011917853"</f>
        <v>1551599011917853</v>
      </c>
      <c r="C7681" t="s">
        <v>40</v>
      </c>
      <c r="D7681">
        <v>5.4963329999999999</v>
      </c>
      <c r="E7681">
        <v>0.5098956</v>
      </c>
      <c r="F7681" t="s">
        <v>41</v>
      </c>
      <c r="G7681">
        <v>-260.08030000000002</v>
      </c>
      <c r="H7681" s="1">
        <v>4.7559199999999999E-7</v>
      </c>
      <c r="I7681">
        <v>-62.20523</v>
      </c>
      <c r="J7681">
        <v>-274.89060000000001</v>
      </c>
      <c r="K7681">
        <v>1.119443</v>
      </c>
      <c r="L7681">
        <v>-61.633000000000003</v>
      </c>
      <c r="M7681">
        <v>0.99964370000000002</v>
      </c>
      <c r="N7681">
        <v>-4.5261310000000001E-3</v>
      </c>
      <c r="O7681">
        <v>-2.6309329999999999E-2</v>
      </c>
      <c r="P7681">
        <v>0.99341170000000001</v>
      </c>
      <c r="Q7681">
        <v>-0.1138436</v>
      </c>
      <c r="R7681">
        <v>-1.3156259999999999E-2</v>
      </c>
      <c r="S7681">
        <v>2.992645</v>
      </c>
      <c r="T7681">
        <v>-0.2245606</v>
      </c>
      <c r="U7681">
        <v>-0.115448</v>
      </c>
      <c r="V7681">
        <v>-1.308315E-2</v>
      </c>
      <c r="W7681">
        <v>-0.1093344</v>
      </c>
      <c r="X7681">
        <v>0.99391890000000005</v>
      </c>
      <c r="Y7681">
        <v>1.2273829999999999E-2</v>
      </c>
      <c r="Z7681">
        <v>1.36385E-3</v>
      </c>
      <c r="AA7681">
        <v>0.99992380000000003</v>
      </c>
      <c r="AB7681">
        <v>21</v>
      </c>
      <c r="AC7681">
        <v>14.8102999999999</v>
      </c>
      <c r="AD7681">
        <v>-1.119442524408</v>
      </c>
      <c r="AE7681">
        <v>-0.57223000000000401</v>
      </c>
      <c r="AF7681">
        <v>0.181344390813068</v>
      </c>
      <c r="AG7681">
        <v>-1.119442524408</v>
      </c>
      <c r="AH7681">
        <v>14.736163975070699</v>
      </c>
      <c r="AI7681">
        <v>94.3438408634361</v>
      </c>
      <c r="AJ7681">
        <v>89.2949492284461</v>
      </c>
      <c r="AK7681">
        <v>14.779734979143001</v>
      </c>
      <c r="AL7681">
        <v>96.276948206231594</v>
      </c>
      <c r="AM7681">
        <v>90.754152061467806</v>
      </c>
      <c r="AN7681">
        <v>0.99999997980724598</v>
      </c>
    </row>
    <row r="7682" spans="1:40" x14ac:dyDescent="0.25">
      <c r="A7682" t="str">
        <f>"20190303154331936"</f>
        <v>20190303154331936</v>
      </c>
      <c r="B7682" t="str">
        <f>"1551599011927613"</f>
        <v>1551599011927613</v>
      </c>
      <c r="C7682" t="s">
        <v>40</v>
      </c>
      <c r="D7682">
        <v>5.5454819999999998</v>
      </c>
      <c r="E7682">
        <v>0.50631879999999996</v>
      </c>
      <c r="F7682" t="s">
        <v>41</v>
      </c>
      <c r="G7682">
        <v>-260.07350000000002</v>
      </c>
      <c r="H7682" s="1">
        <v>4.7685219999999997E-7</v>
      </c>
      <c r="I7682">
        <v>-62.211530000000003</v>
      </c>
      <c r="J7682">
        <v>-274.78739999999999</v>
      </c>
      <c r="K7682">
        <v>1.119443</v>
      </c>
      <c r="L7682">
        <v>-61.636049999999997</v>
      </c>
      <c r="M7682">
        <v>0.99963519999999995</v>
      </c>
      <c r="N7682">
        <v>-4.4783440000000004E-3</v>
      </c>
      <c r="O7682">
        <v>-2.6635349999999999E-2</v>
      </c>
      <c r="P7682">
        <v>0.99338009999999999</v>
      </c>
      <c r="Q7682">
        <v>-0.1140906</v>
      </c>
      <c r="R7682">
        <v>-1.338837E-2</v>
      </c>
      <c r="S7682">
        <v>2.9924010000000001</v>
      </c>
      <c r="T7682">
        <v>-0.22607830000000001</v>
      </c>
      <c r="U7682">
        <v>-0.11685180000000001</v>
      </c>
      <c r="V7682">
        <v>-1.3174190000000001E-2</v>
      </c>
      <c r="W7682">
        <v>-0.109629</v>
      </c>
      <c r="X7682">
        <v>0.99388529999999997</v>
      </c>
      <c r="Y7682">
        <v>1.2420199999999999E-2</v>
      </c>
      <c r="Z7682">
        <v>1.392957E-3</v>
      </c>
      <c r="AA7682">
        <v>0.99992190000000003</v>
      </c>
      <c r="AB7682">
        <v>21</v>
      </c>
      <c r="AC7682">
        <v>14.713899999999899</v>
      </c>
      <c r="AD7682">
        <v>-1.1194425231478</v>
      </c>
      <c r="AE7682">
        <v>-0.57548000000000599</v>
      </c>
      <c r="AF7682">
        <v>0.18230838792562101</v>
      </c>
      <c r="AG7682">
        <v>-1.1194425231478</v>
      </c>
      <c r="AH7682">
        <v>14.6394006776854</v>
      </c>
      <c r="AI7682">
        <v>94.372433798698196</v>
      </c>
      <c r="AJ7682">
        <v>89.286517153138107</v>
      </c>
      <c r="AK7682">
        <v>14.6832707566385</v>
      </c>
      <c r="AL7682">
        <v>96.293929284116302</v>
      </c>
      <c r="AM7682">
        <v>90.759424937856906</v>
      </c>
      <c r="AN7682">
        <v>1.0000000332396199</v>
      </c>
    </row>
    <row r="7683" spans="1:40" x14ac:dyDescent="0.25">
      <c r="A7683" t="str">
        <f>"20190303154331947"</f>
        <v>20190303154331947</v>
      </c>
      <c r="B7683" t="str">
        <f>"1551599011937373"</f>
        <v>1551599011937373</v>
      </c>
      <c r="C7683" t="s">
        <v>40</v>
      </c>
      <c r="D7683">
        <v>5.5406519999999997</v>
      </c>
      <c r="E7683">
        <v>0.50430580000000003</v>
      </c>
      <c r="F7683" t="s">
        <v>69</v>
      </c>
      <c r="G7683">
        <v>-259.85090000000002</v>
      </c>
      <c r="H7683" s="1">
        <v>-3.6021030000000001E-6</v>
      </c>
      <c r="I7683">
        <v>-62.079689999999999</v>
      </c>
      <c r="J7683">
        <v>-274.67270000000002</v>
      </c>
      <c r="K7683">
        <v>1.1194440000000001</v>
      </c>
      <c r="L7683">
        <v>-61.639499999999998</v>
      </c>
      <c r="M7683">
        <v>0.99962589999999996</v>
      </c>
      <c r="N7683">
        <v>-4.4376870000000001E-3</v>
      </c>
      <c r="O7683">
        <v>-2.699097E-2</v>
      </c>
      <c r="P7683">
        <v>0.99333660000000001</v>
      </c>
      <c r="Q7683">
        <v>-0.114423</v>
      </c>
      <c r="R7683">
        <v>-1.377451E-2</v>
      </c>
      <c r="S7683">
        <v>2.993042</v>
      </c>
      <c r="T7683">
        <v>-0.22431960000000001</v>
      </c>
      <c r="U7683">
        <v>-8.8897710000000005E-2</v>
      </c>
      <c r="V7683">
        <v>-1.314095E-2</v>
      </c>
      <c r="W7683">
        <v>-0.110002</v>
      </c>
      <c r="X7683">
        <v>0.99384450000000002</v>
      </c>
      <c r="Y7683">
        <v>2.7569439999999999E-3</v>
      </c>
      <c r="Z7683">
        <v>1.7903400000000001E-3</v>
      </c>
      <c r="AA7683">
        <v>0.99999459999999996</v>
      </c>
      <c r="AB7683">
        <v>22</v>
      </c>
      <c r="AC7683">
        <v>14.8217999999999</v>
      </c>
      <c r="AD7683">
        <v>-1.119447602103</v>
      </c>
      <c r="AE7683">
        <v>-0.44019000000000102</v>
      </c>
      <c r="AF7683">
        <v>3.9744440310584203E-2</v>
      </c>
      <c r="AG7683">
        <v>-1.119447602103</v>
      </c>
      <c r="AH7683">
        <v>14.744249110536201</v>
      </c>
      <c r="AI7683">
        <v>94.341799361031605</v>
      </c>
      <c r="AJ7683">
        <v>89.845554483218905</v>
      </c>
      <c r="AK7683">
        <v>14.786738125358699</v>
      </c>
      <c r="AL7683">
        <v>96.315430813794293</v>
      </c>
      <c r="AM7683">
        <v>90.757540138925293</v>
      </c>
      <c r="AN7683">
        <v>1.0000000073755699</v>
      </c>
    </row>
    <row r="7684" spans="1:40" x14ac:dyDescent="0.25">
      <c r="A7684" t="str">
        <f>"20190303154331958"</f>
        <v>20190303154331958</v>
      </c>
      <c r="B7684" t="str">
        <f>"1551599011948109"</f>
        <v>1551599011948109</v>
      </c>
      <c r="C7684" t="s">
        <v>40</v>
      </c>
      <c r="D7684">
        <v>5.5099460000000002</v>
      </c>
      <c r="E7684">
        <v>0.50279419999999997</v>
      </c>
      <c r="F7684" t="s">
        <v>69</v>
      </c>
      <c r="G7684">
        <v>-259.53870000000001</v>
      </c>
      <c r="H7684" s="1">
        <v>-3.4869500000000001E-6</v>
      </c>
      <c r="I7684">
        <v>-62.012999999999998</v>
      </c>
      <c r="J7684">
        <v>-274.5684</v>
      </c>
      <c r="K7684">
        <v>1.11944</v>
      </c>
      <c r="L7684">
        <v>-61.64264</v>
      </c>
      <c r="M7684">
        <v>0.99961719999999998</v>
      </c>
      <c r="N7684">
        <v>-4.4027780000000004E-3</v>
      </c>
      <c r="O7684">
        <v>-2.7313819999999999E-2</v>
      </c>
      <c r="P7684">
        <v>0.9933708</v>
      </c>
      <c r="Q7684">
        <v>-0.1140964</v>
      </c>
      <c r="R7684">
        <v>-1.401458E-2</v>
      </c>
      <c r="S7684">
        <v>2.9936219999999998</v>
      </c>
      <c r="T7684">
        <v>-0.22143579999999999</v>
      </c>
      <c r="U7684">
        <v>-7.388306E-2</v>
      </c>
      <c r="V7684">
        <v>-1.3222889999999999E-2</v>
      </c>
      <c r="W7684">
        <v>-0.1097098</v>
      </c>
      <c r="X7684">
        <v>0.99387570000000003</v>
      </c>
      <c r="Y7684">
        <v>-2.568968E-3</v>
      </c>
      <c r="Z7684">
        <v>1.9973880000000001E-3</v>
      </c>
      <c r="AA7684">
        <v>0.99999470000000001</v>
      </c>
      <c r="AB7684">
        <v>22</v>
      </c>
      <c r="AC7684">
        <v>15.029699999999901</v>
      </c>
      <c r="AD7684">
        <v>-1.1194434869499901</v>
      </c>
      <c r="AE7684">
        <v>-0.37036000000000502</v>
      </c>
      <c r="AF7684">
        <v>-4.0078481622929103E-2</v>
      </c>
      <c r="AG7684">
        <v>-1.1194434869499901</v>
      </c>
      <c r="AH7684">
        <v>14.951315164145401</v>
      </c>
      <c r="AI7684">
        <v>94.281877936304198</v>
      </c>
      <c r="AJ7684">
        <v>90.153586645785097</v>
      </c>
      <c r="AK7684">
        <v>14.993217971562</v>
      </c>
      <c r="AL7684">
        <v>96.298587112222904</v>
      </c>
      <c r="AM7684">
        <v>90.762239275796802</v>
      </c>
      <c r="AN7684">
        <v>0.99999999604324097</v>
      </c>
    </row>
    <row r="7685" spans="1:40" x14ac:dyDescent="0.25">
      <c r="A7685" t="str">
        <f>"20190303154331968"</f>
        <v>20190303154331968</v>
      </c>
      <c r="B7685" t="str">
        <f>"1551599011957869"</f>
        <v>1551599011957869</v>
      </c>
      <c r="C7685" t="s">
        <v>40</v>
      </c>
      <c r="D7685">
        <v>5.5550810000000004</v>
      </c>
      <c r="E7685">
        <v>0.50146990000000002</v>
      </c>
      <c r="F7685" t="s">
        <v>69</v>
      </c>
      <c r="G7685">
        <v>-259.041</v>
      </c>
      <c r="H7685" s="1">
        <v>-3.311295E-6</v>
      </c>
      <c r="I7685">
        <v>-61.96611</v>
      </c>
      <c r="J7685">
        <v>-274.46019999999999</v>
      </c>
      <c r="K7685">
        <v>1.119434</v>
      </c>
      <c r="L7685">
        <v>-61.645969999999998</v>
      </c>
      <c r="M7685">
        <v>0.99960819999999995</v>
      </c>
      <c r="N7685">
        <v>-4.3733510000000001E-3</v>
      </c>
      <c r="O7685">
        <v>-2.7645759999999998E-2</v>
      </c>
      <c r="P7685">
        <v>0.99337319999999996</v>
      </c>
      <c r="Q7685">
        <v>-0.1140776</v>
      </c>
      <c r="R7685">
        <v>-1.399944E-2</v>
      </c>
      <c r="S7685">
        <v>2.994354</v>
      </c>
      <c r="T7685">
        <v>-0.21587729999999999</v>
      </c>
      <c r="U7685">
        <v>-6.2377929999999998E-2</v>
      </c>
      <c r="V7685">
        <v>-1.356836E-2</v>
      </c>
      <c r="W7685">
        <v>-0.109719899999999</v>
      </c>
      <c r="X7685">
        <v>0.99387000000000003</v>
      </c>
      <c r="Y7685">
        <v>-6.7388559999999997E-3</v>
      </c>
      <c r="Z7685">
        <v>2.1265530000000002E-3</v>
      </c>
      <c r="AA7685">
        <v>0.99997499999999995</v>
      </c>
      <c r="AB7685">
        <v>22</v>
      </c>
      <c r="AC7685">
        <v>15.419199999999901</v>
      </c>
      <c r="AD7685">
        <v>-1.119437311295</v>
      </c>
      <c r="AE7685">
        <v>-0.32014000000000198</v>
      </c>
      <c r="AF7685">
        <v>-0.105705042143688</v>
      </c>
      <c r="AG7685">
        <v>-1.119437311295</v>
      </c>
      <c r="AH7685">
        <v>15.341330883334001</v>
      </c>
      <c r="AI7685">
        <v>94.173304588944404</v>
      </c>
      <c r="AJ7685">
        <v>90.394773895004704</v>
      </c>
      <c r="AK7685">
        <v>15.382481812821799</v>
      </c>
      <c r="AL7685">
        <v>96.299168866306999</v>
      </c>
      <c r="AM7685">
        <v>90.782156087672107</v>
      </c>
      <c r="AN7685">
        <v>1.0000000668745399</v>
      </c>
    </row>
    <row r="7686" spans="1:40" x14ac:dyDescent="0.25">
      <c r="A7686" t="str">
        <f>"20190303154331980"</f>
        <v>20190303154331980</v>
      </c>
      <c r="B7686" t="str">
        <f>"1551599011977389"</f>
        <v>1551599011977389</v>
      </c>
      <c r="C7686" t="s">
        <v>40</v>
      </c>
      <c r="D7686">
        <v>5.5415979999999996</v>
      </c>
      <c r="E7686">
        <v>0.49928539999999999</v>
      </c>
      <c r="F7686" t="s">
        <v>69</v>
      </c>
      <c r="G7686">
        <v>-258.8288</v>
      </c>
      <c r="H7686" s="1">
        <v>-3.2323860000000002E-6</v>
      </c>
      <c r="I7686">
        <v>-61.915970000000002</v>
      </c>
      <c r="J7686">
        <v>-274.35399999999998</v>
      </c>
      <c r="K7686">
        <v>1.1194280000000001</v>
      </c>
      <c r="L7686">
        <v>-61.649230000000003</v>
      </c>
      <c r="M7686">
        <v>0.99959929999999997</v>
      </c>
      <c r="N7686">
        <v>-4.3474450000000001E-3</v>
      </c>
      <c r="O7686">
        <v>-2.7971269999999999E-2</v>
      </c>
      <c r="P7686">
        <v>0.99337540000000002</v>
      </c>
      <c r="Q7686">
        <v>-0.114033</v>
      </c>
      <c r="R7686">
        <v>-1.420603E-2</v>
      </c>
      <c r="S7686">
        <v>2.9946899999999999</v>
      </c>
      <c r="T7686">
        <v>-0.21446390000000001</v>
      </c>
      <c r="U7686">
        <v>-5.1727290000000002E-2</v>
      </c>
      <c r="V7686">
        <v>-1.3685910000000001E-2</v>
      </c>
      <c r="W7686">
        <v>-0.1097007</v>
      </c>
      <c r="X7686">
        <v>0.99387040000000004</v>
      </c>
      <c r="Y7686">
        <v>-1.061171E-2</v>
      </c>
      <c r="Z7686">
        <v>2.2812230000000002E-3</v>
      </c>
      <c r="AA7686">
        <v>0.99994110000000003</v>
      </c>
      <c r="AB7686">
        <v>22</v>
      </c>
      <c r="AC7686">
        <v>15.5252</v>
      </c>
      <c r="AD7686">
        <v>-1.1194312323860001</v>
      </c>
      <c r="AE7686">
        <v>-0.26673999999999098</v>
      </c>
      <c r="AF7686">
        <v>-0.16676128611223701</v>
      </c>
      <c r="AG7686">
        <v>-1.1194312323860001</v>
      </c>
      <c r="AH7686">
        <v>15.446304674947401</v>
      </c>
      <c r="AI7686">
        <v>94.144876720835995</v>
      </c>
      <c r="AJ7686">
        <v>90.618552261000104</v>
      </c>
      <c r="AK7686">
        <v>15.487713314814799</v>
      </c>
      <c r="AL7686">
        <v>96.298062783323303</v>
      </c>
      <c r="AM7686">
        <v>90.788931156242498</v>
      </c>
      <c r="AN7686">
        <v>0.99999995985458801</v>
      </c>
    </row>
    <row r="7687" spans="1:40" x14ac:dyDescent="0.25">
      <c r="A7687" t="str">
        <f>"20190303154331991"</f>
        <v>20190303154331991</v>
      </c>
      <c r="B7687" t="str">
        <f>"1551599011988125"</f>
        <v>1551599011988125</v>
      </c>
      <c r="C7687" t="s">
        <v>40</v>
      </c>
      <c r="D7687">
        <v>5.5331530000000004</v>
      </c>
      <c r="E7687">
        <v>0.49850169999999999</v>
      </c>
      <c r="F7687" t="s">
        <v>69</v>
      </c>
      <c r="G7687">
        <v>-258.42</v>
      </c>
      <c r="H7687" s="1">
        <v>-3.0709499999999998E-6</v>
      </c>
      <c r="I7687">
        <v>-61.834629999999997</v>
      </c>
      <c r="J7687">
        <v>-274.24489999999997</v>
      </c>
      <c r="K7687">
        <v>1.119418</v>
      </c>
      <c r="L7687">
        <v>-61.652619999999999</v>
      </c>
      <c r="M7687">
        <v>0.99958999999999998</v>
      </c>
      <c r="N7687">
        <v>-4.3250390000000001E-3</v>
      </c>
      <c r="O7687">
        <v>-2.8304670000000001E-2</v>
      </c>
      <c r="P7687">
        <v>0.99337750000000002</v>
      </c>
      <c r="Q7687">
        <v>-0.1140217</v>
      </c>
      <c r="R7687">
        <v>-1.4150899999999999E-2</v>
      </c>
      <c r="S7687">
        <v>2.9953310000000002</v>
      </c>
      <c r="T7687">
        <v>-0.21043490000000001</v>
      </c>
      <c r="U7687">
        <v>-3.4851069999999998E-2</v>
      </c>
      <c r="V7687">
        <v>-1.4073560000000001E-2</v>
      </c>
      <c r="W7687">
        <v>-0.10971119999999999</v>
      </c>
      <c r="X7687">
        <v>0.99386390000000002</v>
      </c>
      <c r="Y7687">
        <v>-1.6568570000000001E-2</v>
      </c>
      <c r="Z7687">
        <v>2.4805880000000002E-3</v>
      </c>
      <c r="AA7687">
        <v>0.99985959999999996</v>
      </c>
      <c r="AB7687">
        <v>22</v>
      </c>
      <c r="AC7687">
        <v>15.8248999999999</v>
      </c>
      <c r="AD7687">
        <v>-1.1194210709500001</v>
      </c>
      <c r="AE7687">
        <v>-0.182010000000005</v>
      </c>
      <c r="AF7687">
        <v>-0.26466152675301502</v>
      </c>
      <c r="AG7687">
        <v>-1.1194210709500001</v>
      </c>
      <c r="AH7687">
        <v>15.744936288762499</v>
      </c>
      <c r="AI7687">
        <v>94.066154719569695</v>
      </c>
      <c r="AJ7687">
        <v>90.963011868492302</v>
      </c>
      <c r="AK7687">
        <v>15.7868986186337</v>
      </c>
      <c r="AL7687">
        <v>96.2986675853696</v>
      </c>
      <c r="AM7687">
        <v>90.811279794794203</v>
      </c>
      <c r="AN7687">
        <v>1.0000000321098601</v>
      </c>
    </row>
    <row r="7688" spans="1:40" x14ac:dyDescent="0.25">
      <c r="A7688" t="str">
        <f>"20190303154332002"</f>
        <v>20190303154332002</v>
      </c>
      <c r="B7688" t="str">
        <f>"1551599011997888"</f>
        <v>1551599011997888</v>
      </c>
      <c r="C7688" t="s">
        <v>40</v>
      </c>
      <c r="D7688">
        <v>5.5350479999999997</v>
      </c>
      <c r="E7688">
        <v>0.4977627</v>
      </c>
      <c r="F7688" t="s">
        <v>69</v>
      </c>
      <c r="G7688">
        <v>-258.16210000000001</v>
      </c>
      <c r="H7688" s="1">
        <v>-2.9536610000000002E-6</v>
      </c>
      <c r="I7688">
        <v>-61.804659999999998</v>
      </c>
      <c r="J7688">
        <v>-274.13549999999998</v>
      </c>
      <c r="K7688">
        <v>1.119408</v>
      </c>
      <c r="L7688">
        <v>-61.656100000000002</v>
      </c>
      <c r="M7688">
        <v>0.99958060000000004</v>
      </c>
      <c r="N7688">
        <v>-4.3059190000000001E-3</v>
      </c>
      <c r="O7688">
        <v>-2.8639390000000001E-2</v>
      </c>
      <c r="P7688">
        <v>0.99338479999999996</v>
      </c>
      <c r="Q7688">
        <v>-0.1139713</v>
      </c>
      <c r="R7688">
        <v>-1.4048140000000001E-2</v>
      </c>
      <c r="S7688">
        <v>2.9956670000000001</v>
      </c>
      <c r="T7688">
        <v>-0.208509</v>
      </c>
      <c r="U7688">
        <v>-2.8320310000000001E-2</v>
      </c>
      <c r="V7688">
        <v>-1.4511029999999999E-2</v>
      </c>
      <c r="W7688">
        <v>-0.1096792</v>
      </c>
      <c r="X7688">
        <v>0.99386110000000005</v>
      </c>
      <c r="Y7688">
        <v>-1.9078939999999999E-2</v>
      </c>
      <c r="Z7688">
        <v>2.5717779999999998E-3</v>
      </c>
      <c r="AA7688">
        <v>0.99981469999999995</v>
      </c>
      <c r="AB7688">
        <v>22</v>
      </c>
      <c r="AC7688">
        <v>15.9733999999999</v>
      </c>
      <c r="AD7688">
        <v>-1.119410953661</v>
      </c>
      <c r="AE7688">
        <v>-0.148559999999996</v>
      </c>
      <c r="AF7688">
        <v>-0.30746370845725202</v>
      </c>
      <c r="AG7688">
        <v>-1.119410953661</v>
      </c>
      <c r="AH7688">
        <v>15.893055793534799</v>
      </c>
      <c r="AI7688">
        <v>94.028164140926094</v>
      </c>
      <c r="AJ7688">
        <v>91.108293827918999</v>
      </c>
      <c r="AK7688">
        <v>15.9353957362723</v>
      </c>
      <c r="AL7688">
        <v>96.296823245602894</v>
      </c>
      <c r="AM7688">
        <v>90.836496873022298</v>
      </c>
      <c r="AN7688">
        <v>0.99999999149875496</v>
      </c>
    </row>
    <row r="7689" spans="1:40" x14ac:dyDescent="0.25">
      <c r="A7689" t="str">
        <f>"20190303154332014"</f>
        <v>20190303154332014</v>
      </c>
      <c r="B7689" t="str">
        <f>"1551599012007644"</f>
        <v>1551599012007644</v>
      </c>
      <c r="C7689" t="s">
        <v>40</v>
      </c>
      <c r="D7689">
        <v>5.5235130000000003</v>
      </c>
      <c r="E7689">
        <v>0.49708229999999998</v>
      </c>
      <c r="F7689" t="s">
        <v>69</v>
      </c>
      <c r="G7689">
        <v>-257.89179999999999</v>
      </c>
      <c r="H7689" s="1">
        <v>-2.8312320000000001E-6</v>
      </c>
      <c r="I7689">
        <v>-61.775559999999999</v>
      </c>
      <c r="J7689">
        <v>-274.01749999999998</v>
      </c>
      <c r="K7689">
        <v>1.1193979999999999</v>
      </c>
      <c r="L7689">
        <v>-61.659820000000003</v>
      </c>
      <c r="M7689">
        <v>0.99957039999999997</v>
      </c>
      <c r="N7689">
        <v>-4.2875669999999999E-3</v>
      </c>
      <c r="O7689">
        <v>-2.9000459999999999E-2</v>
      </c>
      <c r="P7689">
        <v>0.99334520000000004</v>
      </c>
      <c r="Q7689">
        <v>-0.1142968</v>
      </c>
      <c r="R7689">
        <v>-1.421705E-2</v>
      </c>
      <c r="S7689">
        <v>2.9959410000000002</v>
      </c>
      <c r="T7689">
        <v>-0.2064607</v>
      </c>
      <c r="U7689">
        <v>-2.2033690000000002E-2</v>
      </c>
      <c r="V7689">
        <v>-1.470145E-2</v>
      </c>
      <c r="W7689">
        <v>-0.1100228</v>
      </c>
      <c r="X7689">
        <v>0.99382029999999999</v>
      </c>
      <c r="Y7689">
        <v>-2.1534000000000001E-2</v>
      </c>
      <c r="Z7689">
        <v>2.6589719999999999E-3</v>
      </c>
      <c r="AA7689">
        <v>0.9997646</v>
      </c>
      <c r="AB7689">
        <v>22</v>
      </c>
      <c r="AC7689">
        <v>16.125699999999899</v>
      </c>
      <c r="AD7689">
        <v>-1.1194008312319901</v>
      </c>
      <c r="AE7689">
        <v>-0.11574000000000199</v>
      </c>
      <c r="AF7689">
        <v>-0.35027779244311902</v>
      </c>
      <c r="AG7689">
        <v>-1.1194008312319901</v>
      </c>
      <c r="AH7689">
        <v>16.0449613014314</v>
      </c>
      <c r="AI7689">
        <v>93.989911934638002</v>
      </c>
      <c r="AJ7689">
        <v>91.250626372917495</v>
      </c>
      <c r="AK7689">
        <v>16.087775977967699</v>
      </c>
      <c r="AL7689">
        <v>96.316630087739995</v>
      </c>
      <c r="AM7689">
        <v>90.847506942323903</v>
      </c>
      <c r="AN7689">
        <v>0.99999996892201504</v>
      </c>
    </row>
    <row r="7690" spans="1:40" x14ac:dyDescent="0.25">
      <c r="A7690" t="str">
        <f>"20190303154332026"</f>
        <v>20190303154332026</v>
      </c>
      <c r="B7690" t="str">
        <f>"1551599012017405"</f>
        <v>1551599012017405</v>
      </c>
      <c r="C7690" t="s">
        <v>40</v>
      </c>
      <c r="D7690">
        <v>5.5177239999999896</v>
      </c>
      <c r="E7690">
        <v>0.49657509999999999</v>
      </c>
      <c r="F7690" t="s">
        <v>69</v>
      </c>
      <c r="G7690">
        <v>-257.82490000000001</v>
      </c>
      <c r="H7690" s="1">
        <v>-2.7973170000000001E-6</v>
      </c>
      <c r="I7690">
        <v>-61.752189999999999</v>
      </c>
      <c r="J7690">
        <v>-273.90949999999998</v>
      </c>
      <c r="K7690">
        <v>1.1193879999999901</v>
      </c>
      <c r="L7690">
        <v>-61.663330000000002</v>
      </c>
      <c r="M7690">
        <v>0.99956069999999997</v>
      </c>
      <c r="N7690">
        <v>-4.2749090000000003E-3</v>
      </c>
      <c r="O7690">
        <v>-2.9331619999999999E-2</v>
      </c>
      <c r="P7690">
        <v>0.99332920000000002</v>
      </c>
      <c r="Q7690">
        <v>-0.11445180000000001</v>
      </c>
      <c r="R7690">
        <v>-1.407548E-2</v>
      </c>
      <c r="S7690">
        <v>2.9960330000000002</v>
      </c>
      <c r="T7690">
        <v>-0.2071171</v>
      </c>
      <c r="U7690">
        <v>-1.7089839999999999E-2</v>
      </c>
      <c r="V7690">
        <v>-1.517317E-2</v>
      </c>
      <c r="W7690">
        <v>-0.1101898</v>
      </c>
      <c r="X7690">
        <v>0.99379470000000003</v>
      </c>
      <c r="Y7690">
        <v>-2.3508620000000001E-2</v>
      </c>
      <c r="Z7690">
        <v>2.7616670000000002E-3</v>
      </c>
      <c r="AA7690">
        <v>0.99971980000000005</v>
      </c>
      <c r="AB7690">
        <v>22</v>
      </c>
      <c r="AC7690">
        <v>16.084599999999899</v>
      </c>
      <c r="AD7690">
        <v>-1.1193907973170001</v>
      </c>
      <c r="AE7690">
        <v>-8.8859999999996803E-2</v>
      </c>
      <c r="AF7690">
        <v>-0.38112402179007498</v>
      </c>
      <c r="AG7690">
        <v>-1.1193907973170001</v>
      </c>
      <c r="AH7690">
        <v>16.002781488255401</v>
      </c>
      <c r="AI7690">
        <v>94.000178066428006</v>
      </c>
      <c r="AJ7690">
        <v>91.364304741493797</v>
      </c>
      <c r="AK7690">
        <v>16.046411020472899</v>
      </c>
      <c r="AL7690">
        <v>96.326257064310994</v>
      </c>
      <c r="AM7690">
        <v>90.874718953995398</v>
      </c>
      <c r="AN7690">
        <v>0.99999996142998804</v>
      </c>
    </row>
    <row r="7691" spans="1:40" x14ac:dyDescent="0.25">
      <c r="A7691" t="str">
        <f>"20190303154332035"</f>
        <v>20190303154332035</v>
      </c>
      <c r="B7691" t="str">
        <f>"1551599012028141"</f>
        <v>1551599012028141</v>
      </c>
      <c r="C7691" t="s">
        <v>40</v>
      </c>
      <c r="D7691">
        <v>5.6067080000000002</v>
      </c>
      <c r="E7691">
        <v>0.49621850000000001</v>
      </c>
      <c r="F7691" t="s">
        <v>69</v>
      </c>
      <c r="G7691">
        <v>-257.70159999999998</v>
      </c>
      <c r="H7691" s="1">
        <v>-2.7398649999999999E-6</v>
      </c>
      <c r="I7691">
        <v>-61.731679999999997</v>
      </c>
      <c r="J7691">
        <v>-273.80220000000003</v>
      </c>
      <c r="K7691">
        <v>1.1193789999999999</v>
      </c>
      <c r="L7691">
        <v>-61.666840000000001</v>
      </c>
      <c r="M7691">
        <v>0.99955090000000002</v>
      </c>
      <c r="N7691">
        <v>-4.2629950000000003E-3</v>
      </c>
      <c r="O7691">
        <v>-2.9661119999999999E-2</v>
      </c>
      <c r="P7691">
        <v>0.99330370000000001</v>
      </c>
      <c r="Q7691">
        <v>-0.1146726</v>
      </c>
      <c r="R7691">
        <v>-1.4073799999999999E-2</v>
      </c>
      <c r="S7691">
        <v>2.996124</v>
      </c>
      <c r="T7691">
        <v>-0.20692550000000001</v>
      </c>
      <c r="U7691">
        <v>-1.2634279999999999E-2</v>
      </c>
      <c r="V7691">
        <v>-1.5503060000000001E-2</v>
      </c>
      <c r="W7691">
        <v>-0.1104221</v>
      </c>
      <c r="X7691">
        <v>0.99376390000000003</v>
      </c>
      <c r="Y7691">
        <v>-2.5319919999999999E-2</v>
      </c>
      <c r="Z7691">
        <v>2.8468510000000001E-3</v>
      </c>
      <c r="AA7691">
        <v>0.99967530000000004</v>
      </c>
      <c r="AB7691">
        <v>22</v>
      </c>
      <c r="AC7691">
        <v>16.1006</v>
      </c>
      <c r="AD7691">
        <v>-1.1193817398649999</v>
      </c>
      <c r="AE7691">
        <v>-6.48400000000037E-2</v>
      </c>
      <c r="AF7691">
        <v>-0.41076923842133301</v>
      </c>
      <c r="AG7691">
        <v>-1.1193817398649999</v>
      </c>
      <c r="AH7691">
        <v>16.018015337887299</v>
      </c>
      <c r="AI7691">
        <v>93.996173847672296</v>
      </c>
      <c r="AJ7691">
        <v>91.468982649163806</v>
      </c>
      <c r="AK7691">
        <v>16.062333647747799</v>
      </c>
      <c r="AL7691">
        <v>96.339648112856096</v>
      </c>
      <c r="AM7691">
        <v>90.893761444971702</v>
      </c>
      <c r="AN7691">
        <v>1.00000003699049</v>
      </c>
    </row>
    <row r="7692" spans="1:40" x14ac:dyDescent="0.25">
      <c r="A7692" t="str">
        <f>"20190303154332047"</f>
        <v>20190303154332047</v>
      </c>
      <c r="B7692" t="str">
        <f>"1551599012037901"</f>
        <v>1551599012037901</v>
      </c>
      <c r="C7692" t="s">
        <v>40</v>
      </c>
      <c r="D7692">
        <v>5.5338880000000001</v>
      </c>
      <c r="E7692">
        <v>0.49571589999999999</v>
      </c>
      <c r="F7692" t="s">
        <v>69</v>
      </c>
      <c r="G7692">
        <v>-257.53570000000002</v>
      </c>
      <c r="H7692" s="1">
        <v>-2.666076E-6</v>
      </c>
      <c r="I7692">
        <v>-61.719859999999997</v>
      </c>
      <c r="J7692">
        <v>-273.68119999999999</v>
      </c>
      <c r="K7692">
        <v>1.1193649999999999</v>
      </c>
      <c r="L7692">
        <v>-61.670810000000003</v>
      </c>
      <c r="M7692">
        <v>0.99953999999999998</v>
      </c>
      <c r="N7692">
        <v>-4.2534770000000003E-3</v>
      </c>
      <c r="O7692">
        <v>-3.0034249999999998E-2</v>
      </c>
      <c r="P7692">
        <v>0.99326720000000002</v>
      </c>
      <c r="Q7692">
        <v>-0.11494699999999999</v>
      </c>
      <c r="R7692">
        <v>-1.4419700000000001E-2</v>
      </c>
      <c r="S7692">
        <v>2.9962770000000001</v>
      </c>
      <c r="T7692">
        <v>-0.20618990000000001</v>
      </c>
      <c r="U7692">
        <v>-9.765625E-3</v>
      </c>
      <c r="V7692">
        <v>-1.552862E-2</v>
      </c>
      <c r="W7692">
        <v>-0.1107059</v>
      </c>
      <c r="X7692">
        <v>0.9937319</v>
      </c>
      <c r="Y7692">
        <v>-2.6647170000000001E-2</v>
      </c>
      <c r="Z7692">
        <v>2.9090140000000001E-3</v>
      </c>
      <c r="AA7692">
        <v>0.99964059999999999</v>
      </c>
      <c r="AB7692">
        <v>22</v>
      </c>
      <c r="AC7692">
        <v>16.145499999999899</v>
      </c>
      <c r="AD7692">
        <v>-1.1193676660759999</v>
      </c>
      <c r="AE7692">
        <v>-4.90500000000011E-2</v>
      </c>
      <c r="AF7692">
        <v>-0.43380926095635503</v>
      </c>
      <c r="AG7692">
        <v>-1.1193676660759999</v>
      </c>
      <c r="AH7692">
        <v>16.062483320855801</v>
      </c>
      <c r="AI7692">
        <v>93.984953967419202</v>
      </c>
      <c r="AJ7692">
        <v>91.547045910472505</v>
      </c>
      <c r="AK7692">
        <v>16.107282355491201</v>
      </c>
      <c r="AL7692">
        <v>96.356009124168907</v>
      </c>
      <c r="AM7692">
        <v>90.895263579416095</v>
      </c>
      <c r="AN7692">
        <v>1.0000000117057599</v>
      </c>
    </row>
    <row r="7693" spans="1:40" x14ac:dyDescent="0.25">
      <c r="A7693" t="str">
        <f>"20190303154332060"</f>
        <v>20190303154332060</v>
      </c>
      <c r="B7693" t="str">
        <f>"1551599012047660"</f>
        <v>1551599012047660</v>
      </c>
      <c r="C7693" t="s">
        <v>40</v>
      </c>
      <c r="D7693">
        <v>5.7721</v>
      </c>
      <c r="E7693">
        <v>0.49534280000000003</v>
      </c>
      <c r="F7693" t="s">
        <v>69</v>
      </c>
      <c r="G7693">
        <v>-257.49029999999999</v>
      </c>
      <c r="H7693" s="1">
        <v>-2.6438020000000001E-6</v>
      </c>
      <c r="I7693">
        <v>-61.707250000000002</v>
      </c>
      <c r="J7693">
        <v>-273.5686</v>
      </c>
      <c r="K7693">
        <v>1.1193550000000001</v>
      </c>
      <c r="L7693">
        <v>-61.674529999999997</v>
      </c>
      <c r="M7693">
        <v>0.99952940000000001</v>
      </c>
      <c r="N7693">
        <v>-4.2458080000000002E-3</v>
      </c>
      <c r="O7693">
        <v>-3.0381640000000001E-2</v>
      </c>
      <c r="P7693">
        <v>0.99326899999999996</v>
      </c>
      <c r="Q7693">
        <v>-0.1149125</v>
      </c>
      <c r="R7693">
        <v>-1.4552300000000001E-2</v>
      </c>
      <c r="S7693">
        <v>2.9962770000000001</v>
      </c>
      <c r="T7693">
        <v>-0.20715030000000001</v>
      </c>
      <c r="U7693">
        <v>-6.7443850000000003E-3</v>
      </c>
      <c r="V7693">
        <v>-1.574238E-2</v>
      </c>
      <c r="W7693">
        <v>-0.1106786</v>
      </c>
      <c r="X7693">
        <v>0.99373160000000005</v>
      </c>
      <c r="Y7693">
        <v>-2.7997149999999998E-2</v>
      </c>
      <c r="Z7693">
        <v>2.994989E-3</v>
      </c>
      <c r="AA7693">
        <v>0.99960349999999998</v>
      </c>
      <c r="AB7693">
        <v>22</v>
      </c>
      <c r="AC7693">
        <v>16.078299999999999</v>
      </c>
      <c r="AD7693">
        <v>-1.1193576438020001</v>
      </c>
      <c r="AE7693">
        <v>-3.2719999999997598E-2</v>
      </c>
      <c r="AF7693">
        <v>-0.45358616321530199</v>
      </c>
      <c r="AG7693">
        <v>-1.1193576438020001</v>
      </c>
      <c r="AH7693">
        <v>15.994350239104399</v>
      </c>
      <c r="AI7693">
        <v>94.001689282560307</v>
      </c>
      <c r="AJ7693">
        <v>91.624424171107293</v>
      </c>
      <c r="AK7693">
        <v>16.039885956992901</v>
      </c>
      <c r="AL7693">
        <v>96.354435135877296</v>
      </c>
      <c r="AM7693">
        <v>90.907585601812102</v>
      </c>
      <c r="AN7693">
        <v>1.0000000339322901</v>
      </c>
    </row>
    <row r="7694" spans="1:40" x14ac:dyDescent="0.25">
      <c r="A7694" t="str">
        <f>"20190303154332072"</f>
        <v>20190303154332072</v>
      </c>
      <c r="B7694" t="str">
        <f>"1551599012068157"</f>
        <v>1551599012068157</v>
      </c>
      <c r="C7694" t="s">
        <v>40</v>
      </c>
      <c r="D7694">
        <v>5.4908929999999998</v>
      </c>
      <c r="E7694">
        <v>0.4946198</v>
      </c>
      <c r="F7694" t="s">
        <v>69</v>
      </c>
      <c r="G7694">
        <v>-257.358</v>
      </c>
      <c r="H7694" s="1">
        <v>-2.5848359999999999E-6</v>
      </c>
      <c r="I7694">
        <v>-61.697319999999998</v>
      </c>
      <c r="J7694">
        <v>-273.44639999999998</v>
      </c>
      <c r="K7694">
        <v>1.1193470000000001</v>
      </c>
      <c r="L7694">
        <v>-61.67868</v>
      </c>
      <c r="M7694">
        <v>0.99951789999999996</v>
      </c>
      <c r="N7694">
        <v>-4.2399120000000002E-3</v>
      </c>
      <c r="O7694">
        <v>-3.0760389999999999E-2</v>
      </c>
      <c r="P7694">
        <v>0.99324559999999995</v>
      </c>
      <c r="Q7694">
        <v>-0.1150795</v>
      </c>
      <c r="R7694">
        <v>-1.483772E-2</v>
      </c>
      <c r="S7694">
        <v>2.9963380000000002</v>
      </c>
      <c r="T7694">
        <v>-0.2068999</v>
      </c>
      <c r="U7694">
        <v>-4.2114259999999999E-3</v>
      </c>
      <c r="V7694">
        <v>-1.583495E-2</v>
      </c>
      <c r="W7694">
        <v>-0.1108512</v>
      </c>
      <c r="X7694">
        <v>0.99371089999999995</v>
      </c>
      <c r="Y7694">
        <v>-2.9217409999999999E-2</v>
      </c>
      <c r="Z7694">
        <v>3.0605129999999999E-3</v>
      </c>
      <c r="AA7694">
        <v>0.99956840000000002</v>
      </c>
      <c r="AB7694">
        <v>22</v>
      </c>
      <c r="AC7694">
        <v>16.088399999999901</v>
      </c>
      <c r="AD7694">
        <v>-1.11934958483599</v>
      </c>
      <c r="AE7694">
        <v>-1.8639999999990602E-2</v>
      </c>
      <c r="AF7694">
        <v>-0.47396437183414403</v>
      </c>
      <c r="AG7694">
        <v>-1.11934958483599</v>
      </c>
      <c r="AH7694">
        <v>16.003890505560701</v>
      </c>
      <c r="AI7694">
        <v>93.999137773521895</v>
      </c>
      <c r="AJ7694">
        <v>91.696351453932905</v>
      </c>
      <c r="AK7694">
        <v>16.0499874465002</v>
      </c>
      <c r="AL7694">
        <v>96.364385554993405</v>
      </c>
      <c r="AM7694">
        <v>90.912940595478105</v>
      </c>
      <c r="AN7694">
        <v>1.00000004348087</v>
      </c>
    </row>
    <row r="7695" spans="1:40" x14ac:dyDescent="0.25">
      <c r="A7695" t="str">
        <f>"20190303154332084"</f>
        <v>20190303154332084</v>
      </c>
      <c r="B7695" t="str">
        <f>"1551599012077916"</f>
        <v>1551599012077916</v>
      </c>
      <c r="C7695" t="s">
        <v>40</v>
      </c>
      <c r="D7695">
        <v>5.4882339999999896</v>
      </c>
      <c r="E7695">
        <v>0.49431920000000001</v>
      </c>
      <c r="F7695" t="s">
        <v>69</v>
      </c>
      <c r="G7695">
        <v>-257.22980000000001</v>
      </c>
      <c r="H7695" s="1">
        <v>-2.524857E-6</v>
      </c>
      <c r="I7695">
        <v>-61.674880000000002</v>
      </c>
      <c r="J7695">
        <v>-273.32389999999998</v>
      </c>
      <c r="K7695">
        <v>1.1193390000000001</v>
      </c>
      <c r="L7695">
        <v>-61.682859999999998</v>
      </c>
      <c r="M7695">
        <v>0.99950620000000001</v>
      </c>
      <c r="N7695">
        <v>-4.2359709999999998E-3</v>
      </c>
      <c r="O7695">
        <v>-3.114068E-2</v>
      </c>
      <c r="P7695">
        <v>0.99326990000000004</v>
      </c>
      <c r="Q7695">
        <v>-0.1148576</v>
      </c>
      <c r="R7695">
        <v>-1.491963E-2</v>
      </c>
      <c r="S7695">
        <v>2.9964599999999999</v>
      </c>
      <c r="T7695">
        <v>-0.2068316</v>
      </c>
      <c r="U7695">
        <v>7.0190429999999896E-4</v>
      </c>
      <c r="V7695">
        <v>-1.613291E-2</v>
      </c>
      <c r="W7695">
        <v>-0.1106327</v>
      </c>
      <c r="X7695">
        <v>0.99373040000000001</v>
      </c>
      <c r="Y7695">
        <v>-3.1230939999999999E-2</v>
      </c>
      <c r="Z7695">
        <v>3.1577139999999998E-3</v>
      </c>
      <c r="AA7695">
        <v>0.99950720000000004</v>
      </c>
      <c r="AB7695">
        <v>22</v>
      </c>
      <c r="AC7695">
        <v>16.094099999999901</v>
      </c>
      <c r="AD7695">
        <v>-1.11934152485699</v>
      </c>
      <c r="AE7695">
        <v>7.9799999999963199E-3</v>
      </c>
      <c r="AF7695">
        <v>-0.50671071370481602</v>
      </c>
      <c r="AG7695">
        <v>-1.11934152485699</v>
      </c>
      <c r="AH7695">
        <v>16.008609469299198</v>
      </c>
      <c r="AI7695">
        <v>93.997685645979502</v>
      </c>
      <c r="AJ7695">
        <v>91.812942942681005</v>
      </c>
      <c r="AK7695">
        <v>16.0556923966918</v>
      </c>
      <c r="AL7695">
        <v>96.351789311901001</v>
      </c>
      <c r="AM7695">
        <v>90.930097799605903</v>
      </c>
      <c r="AN7695">
        <v>0.99999998648925803</v>
      </c>
    </row>
    <row r="7696" spans="1:40" x14ac:dyDescent="0.25">
      <c r="A7696" t="str">
        <f>"20190303154332096"</f>
        <v>20190303154332096</v>
      </c>
      <c r="B7696" t="str">
        <f>"1551599012087677"</f>
        <v>1551599012087677</v>
      </c>
      <c r="C7696" t="s">
        <v>40</v>
      </c>
      <c r="D7696">
        <v>5.4888649999999997</v>
      </c>
      <c r="E7696">
        <v>0.49404680000000001</v>
      </c>
      <c r="F7696" t="s">
        <v>69</v>
      </c>
      <c r="G7696">
        <v>-257.00650000000002</v>
      </c>
      <c r="H7696" s="1">
        <v>-2.4273559999999999E-6</v>
      </c>
      <c r="I7696">
        <v>-61.66724</v>
      </c>
      <c r="J7696">
        <v>-273.20350000000002</v>
      </c>
      <c r="K7696">
        <v>1.119332</v>
      </c>
      <c r="L7696">
        <v>-61.686950000000003</v>
      </c>
      <c r="M7696">
        <v>0.99949429999999995</v>
      </c>
      <c r="N7696">
        <v>-4.233044E-3</v>
      </c>
      <c r="O7696">
        <v>-3.1515019999999998E-2</v>
      </c>
      <c r="P7696">
        <v>0.99329529999999999</v>
      </c>
      <c r="Q7696">
        <v>-0.114590899999999</v>
      </c>
      <c r="R7696">
        <v>-1.5276649999999999E-2</v>
      </c>
      <c r="S7696">
        <v>2.9965820000000001</v>
      </c>
      <c r="T7696">
        <v>-0.20555999999999999</v>
      </c>
      <c r="U7696">
        <v>2.8686520000000002E-3</v>
      </c>
      <c r="V7696">
        <v>-1.6149500000000001E-2</v>
      </c>
      <c r="W7696">
        <v>-0.1103686</v>
      </c>
      <c r="X7696">
        <v>0.99375950000000002</v>
      </c>
      <c r="Y7696">
        <v>-3.2326269999999997E-2</v>
      </c>
      <c r="Z7696">
        <v>3.2017640000000002E-3</v>
      </c>
      <c r="AA7696">
        <v>0.99947229999999998</v>
      </c>
      <c r="AB7696">
        <v>22</v>
      </c>
      <c r="AC7696">
        <v>16.196999999999999</v>
      </c>
      <c r="AD7696">
        <v>-1.119334427356</v>
      </c>
      <c r="AE7696">
        <v>1.9710000000003398E-2</v>
      </c>
      <c r="AF7696">
        <v>-0.52763367429487795</v>
      </c>
      <c r="AG7696">
        <v>-1.119334427356</v>
      </c>
      <c r="AH7696">
        <v>16.111387852445301</v>
      </c>
      <c r="AI7696">
        <v>93.972100565060899</v>
      </c>
      <c r="AJ7696">
        <v>91.875715624228505</v>
      </c>
      <c r="AK7696">
        <v>16.158840471594299</v>
      </c>
      <c r="AL7696">
        <v>96.336564242687999</v>
      </c>
      <c r="AM7696">
        <v>90.931026822357495</v>
      </c>
      <c r="AN7696">
        <v>0.99999998902822995</v>
      </c>
    </row>
    <row r="7697" spans="1:40" x14ac:dyDescent="0.25">
      <c r="A7697" t="str">
        <f>"20190303154332106"</f>
        <v>20190303154332106</v>
      </c>
      <c r="B7697" t="str">
        <f>"1551599012097437"</f>
        <v>1551599012097437</v>
      </c>
      <c r="C7697" t="s">
        <v>40</v>
      </c>
      <c r="D7697">
        <v>5.5086240000000002</v>
      </c>
      <c r="E7697">
        <v>0.49376589999999998</v>
      </c>
      <c r="F7697" t="s">
        <v>69</v>
      </c>
      <c r="G7697">
        <v>-256.79059999999998</v>
      </c>
      <c r="H7697" s="1">
        <v>-2.334253E-6</v>
      </c>
      <c r="I7697">
        <v>-61.665059999999997</v>
      </c>
      <c r="J7697">
        <v>-273.09879999999998</v>
      </c>
      <c r="K7697">
        <v>1.119326</v>
      </c>
      <c r="L7697">
        <v>-61.69061</v>
      </c>
      <c r="M7697">
        <v>0.99948400000000004</v>
      </c>
      <c r="N7697">
        <v>-4.2326859999999899E-3</v>
      </c>
      <c r="O7697">
        <v>-3.18412E-2</v>
      </c>
      <c r="P7697">
        <v>0.99335399999999996</v>
      </c>
      <c r="Q7697">
        <v>-0.1140914</v>
      </c>
      <c r="R7697">
        <v>-1.520085E-2</v>
      </c>
      <c r="S7697">
        <v>2.9967350000000001</v>
      </c>
      <c r="T7697">
        <v>-0.20437340000000001</v>
      </c>
      <c r="U7697">
        <v>3.9978030000000003E-3</v>
      </c>
      <c r="V7697">
        <v>-1.6551779999999999E-2</v>
      </c>
      <c r="W7697">
        <v>-0.1098687</v>
      </c>
      <c r="X7697">
        <v>0.99380829999999998</v>
      </c>
      <c r="Y7697">
        <v>-3.3028299999999997E-2</v>
      </c>
      <c r="Z7697">
        <v>3.2290219999999998E-3</v>
      </c>
      <c r="AA7697">
        <v>0.99944920000000004</v>
      </c>
      <c r="AB7697">
        <v>23</v>
      </c>
      <c r="AC7697">
        <v>16.308199999999999</v>
      </c>
      <c r="AD7697">
        <v>-1.119328334253</v>
      </c>
      <c r="AE7697">
        <v>2.5550000000002598E-2</v>
      </c>
      <c r="AF7697">
        <v>-0.54225982249837501</v>
      </c>
      <c r="AG7697">
        <v>-1.119328334253</v>
      </c>
      <c r="AH7697">
        <v>16.222693939048099</v>
      </c>
      <c r="AI7697">
        <v>93.944824410562106</v>
      </c>
      <c r="AJ7697">
        <v>91.9144561263752</v>
      </c>
      <c r="AK7697">
        <v>16.270302402690199</v>
      </c>
      <c r="AL7697">
        <v>96.307746663405993</v>
      </c>
      <c r="AM7697">
        <v>90.954167384213704</v>
      </c>
      <c r="AN7697">
        <v>1.00000001490487</v>
      </c>
    </row>
    <row r="7698" spans="1:40" x14ac:dyDescent="0.25">
      <c r="A7698" t="str">
        <f>"20190303154332115"</f>
        <v>20190303154332115</v>
      </c>
      <c r="B7698" t="str">
        <f>"1551599012108173"</f>
        <v>1551599012108173</v>
      </c>
      <c r="C7698" t="s">
        <v>40</v>
      </c>
      <c r="D7698">
        <v>5.5114049999999999</v>
      </c>
      <c r="E7698">
        <v>0.49345650000000002</v>
      </c>
      <c r="F7698" t="s">
        <v>69</v>
      </c>
      <c r="G7698">
        <v>-256.5856</v>
      </c>
      <c r="H7698" s="1">
        <v>-2.2440699999999998E-6</v>
      </c>
      <c r="I7698">
        <v>-61.654960000000003</v>
      </c>
      <c r="J7698">
        <v>-273.0093</v>
      </c>
      <c r="K7698">
        <v>1.1193200000000001</v>
      </c>
      <c r="L7698">
        <v>-61.693730000000002</v>
      </c>
      <c r="M7698">
        <v>0.99947509999999995</v>
      </c>
      <c r="N7698">
        <v>-4.2323760000000004E-3</v>
      </c>
      <c r="O7698">
        <v>-3.2120160000000002E-2</v>
      </c>
      <c r="P7698">
        <v>0.99341120000000005</v>
      </c>
      <c r="Q7698">
        <v>-0.1135655</v>
      </c>
      <c r="R7698">
        <v>-1.540684E-2</v>
      </c>
      <c r="S7698">
        <v>2.9968569999999999</v>
      </c>
      <c r="T7698">
        <v>-0.20313880000000001</v>
      </c>
      <c r="U7698">
        <v>6.4697269999999998E-3</v>
      </c>
      <c r="V7698">
        <v>-1.6625729999999998E-2</v>
      </c>
      <c r="W7698">
        <v>-0.1093426</v>
      </c>
      <c r="X7698">
        <v>0.99386509999999995</v>
      </c>
      <c r="Y7698">
        <v>-3.4130109999999998E-2</v>
      </c>
      <c r="Z7698">
        <v>3.266382E-3</v>
      </c>
      <c r="AA7698">
        <v>0.99941210000000003</v>
      </c>
      <c r="AB7698">
        <v>23</v>
      </c>
      <c r="AC7698">
        <v>16.423699999999901</v>
      </c>
      <c r="AD7698">
        <v>-1.1193222440699999</v>
      </c>
      <c r="AE7698">
        <v>3.8770000000006598E-2</v>
      </c>
      <c r="AF7698">
        <v>-0.56366844688939599</v>
      </c>
      <c r="AG7698">
        <v>-1.1193222440699999</v>
      </c>
      <c r="AH7698">
        <v>16.3380931792436</v>
      </c>
      <c r="AI7698">
        <v>93.916884818385796</v>
      </c>
      <c r="AJ7698">
        <v>91.975935519539505</v>
      </c>
      <c r="AK7698">
        <v>16.386088402597299</v>
      </c>
      <c r="AL7698">
        <v>96.277420561461</v>
      </c>
      <c r="AM7698">
        <v>90.958374852733897</v>
      </c>
      <c r="AN7698">
        <v>1.0000000280354</v>
      </c>
    </row>
    <row r="7699" spans="1:40" x14ac:dyDescent="0.25">
      <c r="A7699" t="str">
        <f>"20190303154332126"</f>
        <v>20190303154332126</v>
      </c>
      <c r="B7699" t="str">
        <f>"1551599012117933"</f>
        <v>1551599012117933</v>
      </c>
      <c r="C7699" t="s">
        <v>40</v>
      </c>
      <c r="D7699">
        <v>5.5241540000000002</v>
      </c>
      <c r="E7699">
        <v>0.49320330000000001</v>
      </c>
      <c r="F7699" t="s">
        <v>69</v>
      </c>
      <c r="G7699">
        <v>-256.39690000000002</v>
      </c>
      <c r="H7699" s="1">
        <v>-2.1613579999999999E-6</v>
      </c>
      <c r="I7699">
        <v>-61.647210000000001</v>
      </c>
      <c r="J7699">
        <v>-272.89620000000002</v>
      </c>
      <c r="K7699">
        <v>1.1193169999999999</v>
      </c>
      <c r="L7699">
        <v>-61.697780000000002</v>
      </c>
      <c r="M7699">
        <v>0.99946380000000001</v>
      </c>
      <c r="N7699">
        <v>-4.2339869999999998E-3</v>
      </c>
      <c r="O7699">
        <v>-3.2473769999999999E-2</v>
      </c>
      <c r="P7699">
        <v>0.99351999999999996</v>
      </c>
      <c r="Q7699">
        <v>-0.11260149999999999</v>
      </c>
      <c r="R7699">
        <v>-1.5477950000000001E-2</v>
      </c>
      <c r="S7699">
        <v>2.9969480000000002</v>
      </c>
      <c r="T7699">
        <v>-0.2019299</v>
      </c>
      <c r="U7699">
        <v>8.3923339999999996E-3</v>
      </c>
      <c r="V7699">
        <v>-1.6909029999999999E-2</v>
      </c>
      <c r="W7699">
        <v>-0.1083761</v>
      </c>
      <c r="X7699">
        <v>0.99396620000000002</v>
      </c>
      <c r="Y7699">
        <v>-3.5123429999999997E-2</v>
      </c>
      <c r="Z7699">
        <v>3.3043109999999999E-3</v>
      </c>
      <c r="AA7699">
        <v>0.99937750000000003</v>
      </c>
      <c r="AB7699">
        <v>23</v>
      </c>
      <c r="AC7699">
        <v>16.499300000000002</v>
      </c>
      <c r="AD7699">
        <v>-1.119319161358</v>
      </c>
      <c r="AE7699">
        <v>5.0570000000000399E-2</v>
      </c>
      <c r="AF7699">
        <v>-0.58365635954980899</v>
      </c>
      <c r="AG7699">
        <v>-1.119319161358</v>
      </c>
      <c r="AH7699">
        <v>16.413416615582602</v>
      </c>
      <c r="AI7699">
        <v>93.898810481570607</v>
      </c>
      <c r="AJ7699">
        <v>92.036563272088202</v>
      </c>
      <c r="AK7699">
        <v>16.461888565037398</v>
      </c>
      <c r="AL7699">
        <v>96.2217129890482</v>
      </c>
      <c r="AM7699">
        <v>90.974603174000805</v>
      </c>
      <c r="AN7699">
        <v>1.0000000505445901</v>
      </c>
    </row>
    <row r="7700" spans="1:40" x14ac:dyDescent="0.25">
      <c r="A7700" t="str">
        <f>"20190303154332137"</f>
        <v>20190303154332137</v>
      </c>
      <c r="B7700" t="str">
        <f>"1551599012127693"</f>
        <v>1551599012127693</v>
      </c>
      <c r="C7700" t="s">
        <v>40</v>
      </c>
      <c r="D7700">
        <v>5.5318040000000002</v>
      </c>
      <c r="E7700">
        <v>0.49296960000000001</v>
      </c>
      <c r="F7700" t="s">
        <v>69</v>
      </c>
      <c r="G7700">
        <v>-256.041</v>
      </c>
      <c r="H7700" s="1">
        <v>-2.007239E-6</v>
      </c>
      <c r="I7700">
        <v>-61.640630000000002</v>
      </c>
      <c r="J7700">
        <v>-272.78379999999999</v>
      </c>
      <c r="K7700">
        <v>1.119316</v>
      </c>
      <c r="L7700">
        <v>-61.701749999999997</v>
      </c>
      <c r="M7700">
        <v>0.99945220000000001</v>
      </c>
      <c r="N7700">
        <v>-4.2359199999999998E-3</v>
      </c>
      <c r="O7700">
        <v>-3.2824619999999999E-2</v>
      </c>
      <c r="P7700">
        <v>0.99358420000000003</v>
      </c>
      <c r="Q7700">
        <v>-0.11201759999999999</v>
      </c>
      <c r="R7700">
        <v>-1.557559E-2</v>
      </c>
      <c r="S7700">
        <v>2.9971619999999999</v>
      </c>
      <c r="T7700">
        <v>-0.19903560000000001</v>
      </c>
      <c r="U7700">
        <v>1.0162350000000001E-2</v>
      </c>
      <c r="V7700">
        <v>-1.7162750000000001E-2</v>
      </c>
      <c r="W7700">
        <v>-0.1077897</v>
      </c>
      <c r="X7700">
        <v>0.99402559999999995</v>
      </c>
      <c r="Y7700">
        <v>-3.6065680000000003E-2</v>
      </c>
      <c r="Z7700">
        <v>3.3109160000000001E-3</v>
      </c>
      <c r="AA7700">
        <v>0.99934389999999995</v>
      </c>
      <c r="AB7700">
        <v>23</v>
      </c>
      <c r="AC7700">
        <v>16.7427999999999</v>
      </c>
      <c r="AD7700">
        <v>-1.1193180072390001</v>
      </c>
      <c r="AE7700">
        <v>6.11199999999954E-2</v>
      </c>
      <c r="AF7700">
        <v>-0.60795086541747601</v>
      </c>
      <c r="AG7700">
        <v>-1.1193180072390001</v>
      </c>
      <c r="AH7700">
        <v>16.657323815493999</v>
      </c>
      <c r="AI7700">
        <v>93.841760635509701</v>
      </c>
      <c r="AJ7700">
        <v>92.090225586142395</v>
      </c>
      <c r="AK7700">
        <v>16.705954439968899</v>
      </c>
      <c r="AL7700">
        <v>96.187916850616503</v>
      </c>
      <c r="AM7700">
        <v>90.989165109073099</v>
      </c>
      <c r="AN7700">
        <v>1.0000000364345001</v>
      </c>
    </row>
    <row r="7701" spans="1:40" x14ac:dyDescent="0.25">
      <c r="A7701" t="str">
        <f>"20190303154332148"</f>
        <v>20190303154332148</v>
      </c>
      <c r="B7701" t="str">
        <f>"1551599012137453"</f>
        <v>1551599012137453</v>
      </c>
      <c r="C7701" t="s">
        <v>40</v>
      </c>
      <c r="D7701">
        <v>5.5648499999999999</v>
      </c>
      <c r="E7701">
        <v>0.49270069999999999</v>
      </c>
      <c r="F7701" t="s">
        <v>69</v>
      </c>
      <c r="G7701">
        <v>-255.77780000000001</v>
      </c>
      <c r="H7701" s="1">
        <v>-1.8930919999999999E-6</v>
      </c>
      <c r="I7701">
        <v>-61.635089999999998</v>
      </c>
      <c r="J7701">
        <v>-272.66640000000001</v>
      </c>
      <c r="K7701">
        <v>1.119318</v>
      </c>
      <c r="L7701">
        <v>-61.706020000000002</v>
      </c>
      <c r="M7701">
        <v>0.99944010000000005</v>
      </c>
      <c r="N7701">
        <v>-4.2393800000000001E-3</v>
      </c>
      <c r="O7701">
        <v>-3.3191579999999998E-2</v>
      </c>
      <c r="P7701">
        <v>0.99365530000000002</v>
      </c>
      <c r="Q7701">
        <v>-0.1113389</v>
      </c>
      <c r="R7701">
        <v>-1.5908740000000001E-2</v>
      </c>
      <c r="S7701">
        <v>2.9973450000000001</v>
      </c>
      <c r="T7701">
        <v>-0.1972817</v>
      </c>
      <c r="U7701">
        <v>1.1749269999999999E-2</v>
      </c>
      <c r="V7701">
        <v>-1.719673E-2</v>
      </c>
      <c r="W7701">
        <v>-0.1071069</v>
      </c>
      <c r="X7701">
        <v>0.99409879999999995</v>
      </c>
      <c r="Y7701">
        <v>-3.6961340000000002E-2</v>
      </c>
      <c r="Z7701">
        <v>3.3349030000000002E-3</v>
      </c>
      <c r="AA7701">
        <v>0.99931110000000001</v>
      </c>
      <c r="AB7701">
        <v>23</v>
      </c>
      <c r="AC7701">
        <v>16.888599999999901</v>
      </c>
      <c r="AD7701">
        <v>-1.1193198930920001</v>
      </c>
      <c r="AE7701">
        <v>7.0929999999989904E-2</v>
      </c>
      <c r="AF7701">
        <v>-0.62869367811945698</v>
      </c>
      <c r="AG7701">
        <v>-1.1193198930920001</v>
      </c>
      <c r="AH7701">
        <v>16.8031319974891</v>
      </c>
      <c r="AI7701">
        <v>93.808400305099198</v>
      </c>
      <c r="AJ7701">
        <v>92.1427374144086</v>
      </c>
      <c r="AK7701">
        <v>16.852103064277198</v>
      </c>
      <c r="AL7701">
        <v>96.148567589014505</v>
      </c>
      <c r="AM7701">
        <v>90.991050169994494</v>
      </c>
      <c r="AN7701">
        <v>1.0000000198558701</v>
      </c>
    </row>
    <row r="7702" spans="1:40" x14ac:dyDescent="0.25">
      <c r="A7702" t="str">
        <f>"20190303154332158"</f>
        <v>20190303154332158</v>
      </c>
      <c r="B7702" t="str">
        <f>"1551599012148189"</f>
        <v>1551599012148189</v>
      </c>
      <c r="C7702" t="s">
        <v>40</v>
      </c>
      <c r="D7702">
        <v>5.5615629999999996</v>
      </c>
      <c r="E7702">
        <v>0.49246180000000001</v>
      </c>
      <c r="F7702" t="s">
        <v>69</v>
      </c>
      <c r="G7702">
        <v>-255.464</v>
      </c>
      <c r="H7702" s="1">
        <v>-1.7578430000000001E-6</v>
      </c>
      <c r="I7702">
        <v>-61.632289999999998</v>
      </c>
      <c r="J7702">
        <v>-272.55669999999998</v>
      </c>
      <c r="K7702">
        <v>1.119316</v>
      </c>
      <c r="L7702">
        <v>-61.710019999999901</v>
      </c>
      <c r="M7702">
        <v>0.9994286</v>
      </c>
      <c r="N7702">
        <v>-4.2431279999999997E-3</v>
      </c>
      <c r="O7702">
        <v>-3.3534210000000002E-2</v>
      </c>
      <c r="P7702">
        <v>0.99372090000000002</v>
      </c>
      <c r="Q7702">
        <v>-0.11075839999999899</v>
      </c>
      <c r="R7702">
        <v>-1.585286E-2</v>
      </c>
      <c r="S7702">
        <v>2.9974980000000002</v>
      </c>
      <c r="T7702">
        <v>-0.19503970000000001</v>
      </c>
      <c r="U7702">
        <v>1.2847900000000001E-2</v>
      </c>
      <c r="V7702">
        <v>-1.7595550000000001E-2</v>
      </c>
      <c r="W7702">
        <v>-0.10652200000000001</v>
      </c>
      <c r="X7702">
        <v>0.9941546</v>
      </c>
      <c r="Y7702">
        <v>-3.767115E-2</v>
      </c>
      <c r="Z7702">
        <v>3.3415350000000001E-3</v>
      </c>
      <c r="AA7702">
        <v>0.99928459999999997</v>
      </c>
      <c r="AB7702">
        <v>23</v>
      </c>
      <c r="AC7702">
        <v>17.092699999999901</v>
      </c>
      <c r="AD7702">
        <v>-1.119317757843</v>
      </c>
      <c r="AE7702">
        <v>7.7729999999988295E-2</v>
      </c>
      <c r="AF7702">
        <v>-0.648102409683319</v>
      </c>
      <c r="AG7702">
        <v>-1.119317757843</v>
      </c>
      <c r="AH7702">
        <v>17.007547739552201</v>
      </c>
      <c r="AI7702">
        <v>93.762653997505197</v>
      </c>
      <c r="AJ7702">
        <v>92.182300165072903</v>
      </c>
      <c r="AK7702">
        <v>17.056658204044801</v>
      </c>
      <c r="AL7702">
        <v>96.1148628622486</v>
      </c>
      <c r="AM7702">
        <v>91.013972578925603</v>
      </c>
      <c r="AN7702">
        <v>0.99999995428248001</v>
      </c>
    </row>
    <row r="7703" spans="1:40" x14ac:dyDescent="0.25">
      <c r="A7703" t="str">
        <f>"20190303154332169"</f>
        <v>20190303154332169</v>
      </c>
      <c r="B7703" t="str">
        <f>"1551599012157949"</f>
        <v>1551599012157949</v>
      </c>
      <c r="C7703" t="s">
        <v>40</v>
      </c>
      <c r="D7703">
        <v>5.5140580000000003</v>
      </c>
      <c r="E7703">
        <v>0.4922648</v>
      </c>
      <c r="F7703" t="s">
        <v>69</v>
      </c>
      <c r="G7703">
        <v>-255.2029</v>
      </c>
      <c r="H7703" s="1">
        <v>-1.6438390000000001E-6</v>
      </c>
      <c r="I7703">
        <v>-61.623280000000001</v>
      </c>
      <c r="J7703">
        <v>-272.44639999999998</v>
      </c>
      <c r="K7703">
        <v>1.119313</v>
      </c>
      <c r="L7703">
        <v>-61.714080000000003</v>
      </c>
      <c r="M7703">
        <v>0.99941690000000005</v>
      </c>
      <c r="N7703">
        <v>-4.2479479999999997E-3</v>
      </c>
      <c r="O7703">
        <v>-3.387888E-2</v>
      </c>
      <c r="P7703">
        <v>0.99374569999999995</v>
      </c>
      <c r="Q7703">
        <v>-0.1105112</v>
      </c>
      <c r="R7703">
        <v>-1.6029430000000001E-2</v>
      </c>
      <c r="S7703">
        <v>2.9976500000000001</v>
      </c>
      <c r="T7703">
        <v>-0.1933482</v>
      </c>
      <c r="U7703">
        <v>1.498413E-2</v>
      </c>
      <c r="V7703">
        <v>-1.7763370000000001E-2</v>
      </c>
      <c r="W7703">
        <v>-0.10626960000000001</v>
      </c>
      <c r="X7703">
        <v>0.99417869999999997</v>
      </c>
      <c r="Y7703">
        <v>-3.8727259999999999E-2</v>
      </c>
      <c r="Z7703">
        <v>3.3688379999999999E-3</v>
      </c>
      <c r="AA7703">
        <v>0.99924420000000003</v>
      </c>
      <c r="AB7703">
        <v>23</v>
      </c>
      <c r="AC7703">
        <v>17.243499999999901</v>
      </c>
      <c r="AD7703">
        <v>-1.119314643839</v>
      </c>
      <c r="AE7703">
        <v>9.0800000000001505E-2</v>
      </c>
      <c r="AF7703">
        <v>-0.67211169106662605</v>
      </c>
      <c r="AG7703">
        <v>-1.119314643839</v>
      </c>
      <c r="AH7703">
        <v>17.158228944291299</v>
      </c>
      <c r="AI7703">
        <v>93.729541455937493</v>
      </c>
      <c r="AJ7703">
        <v>92.243208513641306</v>
      </c>
      <c r="AK7703">
        <v>17.207830191569698</v>
      </c>
      <c r="AL7703">
        <v>96.100318411521897</v>
      </c>
      <c r="AM7703">
        <v>91.023616626123498</v>
      </c>
      <c r="AN7703">
        <v>1.0000000263658</v>
      </c>
    </row>
    <row r="7704" spans="1:40" x14ac:dyDescent="0.25">
      <c r="A7704" t="str">
        <f>"20190303154332181"</f>
        <v>20190303154332181</v>
      </c>
      <c r="B7704" t="str">
        <f>"1551599012177470"</f>
        <v>1551599012177470</v>
      </c>
      <c r="C7704" t="s">
        <v>40</v>
      </c>
      <c r="D7704">
        <v>5.5348319999999998</v>
      </c>
      <c r="E7704">
        <v>0.49196400000000001</v>
      </c>
      <c r="F7704" t="s">
        <v>69</v>
      </c>
      <c r="G7704">
        <v>-255.0496</v>
      </c>
      <c r="H7704" s="1">
        <v>-1.577509E-6</v>
      </c>
      <c r="I7704">
        <v>-61.620750000000001</v>
      </c>
      <c r="J7704">
        <v>-272.32909999999998</v>
      </c>
      <c r="K7704">
        <v>1.1193059999999999</v>
      </c>
      <c r="L7704">
        <v>-61.718440000000001</v>
      </c>
      <c r="M7704">
        <v>0.99940450000000003</v>
      </c>
      <c r="N7704">
        <v>-4.2537850000000004E-3</v>
      </c>
      <c r="O7704">
        <v>-3.4245240000000003E-2</v>
      </c>
      <c r="P7704">
        <v>0.99376399999999998</v>
      </c>
      <c r="Q7704">
        <v>-0.1102991</v>
      </c>
      <c r="R7704">
        <v>-1.6350179999999999E-2</v>
      </c>
      <c r="S7704">
        <v>2.997681</v>
      </c>
      <c r="T7704">
        <v>-0.19287180000000001</v>
      </c>
      <c r="U7704">
        <v>1.6082760000000001E-2</v>
      </c>
      <c r="V7704">
        <v>-1.7808350000000001E-2</v>
      </c>
      <c r="W7704">
        <v>-0.1060514</v>
      </c>
      <c r="X7704">
        <v>0.99420120000000001</v>
      </c>
      <c r="Y7704">
        <v>-3.9458170000000001E-2</v>
      </c>
      <c r="Z7704">
        <v>3.4073100000000002E-3</v>
      </c>
      <c r="AA7704">
        <v>0.99921539999999998</v>
      </c>
      <c r="AB7704">
        <v>23</v>
      </c>
      <c r="AC7704">
        <v>17.279499999999899</v>
      </c>
      <c r="AD7704">
        <v>-1.119307577509</v>
      </c>
      <c r="AE7704">
        <v>9.7689999999999999E-2</v>
      </c>
      <c r="AF7704">
        <v>-0.68649816193928404</v>
      </c>
      <c r="AG7704">
        <v>-1.119307577509</v>
      </c>
      <c r="AH7704">
        <v>17.193875874567102</v>
      </c>
      <c r="AI7704">
        <v>93.721696849042104</v>
      </c>
      <c r="AJ7704">
        <v>92.286428397179904</v>
      </c>
      <c r="AK7704">
        <v>17.243940871199801</v>
      </c>
      <c r="AL7704">
        <v>96.087745391946996</v>
      </c>
      <c r="AM7704">
        <v>91.026184831796897</v>
      </c>
      <c r="AN7704">
        <v>1.00000003142656</v>
      </c>
    </row>
    <row r="7705" spans="1:40" x14ac:dyDescent="0.25">
      <c r="A7705" t="str">
        <f>"20190303154332194"</f>
        <v>20190303154332194</v>
      </c>
      <c r="B7705" t="str">
        <f>"1551599012188205"</f>
        <v>1551599012188205</v>
      </c>
      <c r="C7705" t="s">
        <v>40</v>
      </c>
      <c r="D7705">
        <v>5.518796</v>
      </c>
      <c r="E7705">
        <v>0.49175479999999999</v>
      </c>
      <c r="F7705" t="s">
        <v>69</v>
      </c>
      <c r="G7705">
        <v>-255.1206</v>
      </c>
      <c r="H7705" s="1">
        <v>-1.6073339999999999E-6</v>
      </c>
      <c r="I7705">
        <v>-61.61788</v>
      </c>
      <c r="J7705">
        <v>-272.19779999999997</v>
      </c>
      <c r="K7705">
        <v>1.1193</v>
      </c>
      <c r="L7705">
        <v>-61.72336</v>
      </c>
      <c r="M7705">
        <v>0.99939040000000001</v>
      </c>
      <c r="N7705">
        <v>-4.2611510000000003E-3</v>
      </c>
      <c r="O7705">
        <v>-3.4655480000000002E-2</v>
      </c>
      <c r="P7705">
        <v>0.99379070000000003</v>
      </c>
      <c r="Q7705">
        <v>-0.11002290000000001</v>
      </c>
      <c r="R7705">
        <v>-1.659453E-2</v>
      </c>
      <c r="S7705">
        <v>2.9974980000000002</v>
      </c>
      <c r="T7705">
        <v>-0.19496910000000001</v>
      </c>
      <c r="U7705">
        <v>1.7517089999999999E-2</v>
      </c>
      <c r="V7705">
        <v>-1.79734E-2</v>
      </c>
      <c r="W7705">
        <v>-0.1057674</v>
      </c>
      <c r="X7705">
        <v>0.99422840000000001</v>
      </c>
      <c r="Y7705">
        <v>-4.0340719999999997E-2</v>
      </c>
      <c r="Z7705">
        <v>3.5005150000000001E-3</v>
      </c>
      <c r="AA7705">
        <v>0.99917979999999995</v>
      </c>
      <c r="AB7705">
        <v>23</v>
      </c>
      <c r="AC7705">
        <v>17.077199999999898</v>
      </c>
      <c r="AD7705">
        <v>-1.1193016073340001</v>
      </c>
      <c r="AE7705">
        <v>0.105479999999992</v>
      </c>
      <c r="AF7705">
        <v>-0.69425808106550702</v>
      </c>
      <c r="AG7705">
        <v>-1.1193016073340001</v>
      </c>
      <c r="AH7705">
        <v>16.990299386328299</v>
      </c>
      <c r="AI7705">
        <v>93.766000710081798</v>
      </c>
      <c r="AJ7705">
        <v>92.339919972908703</v>
      </c>
      <c r="AK7705">
        <v>17.041276466520099</v>
      </c>
      <c r="AL7705">
        <v>96.071381860369897</v>
      </c>
      <c r="AM7705">
        <v>91.035665249929593</v>
      </c>
      <c r="AN7705">
        <v>0.999999948688438</v>
      </c>
    </row>
    <row r="7706" spans="1:40" x14ac:dyDescent="0.25">
      <c r="A7706" t="str">
        <f>"20190303154332203"</f>
        <v>20190303154332203</v>
      </c>
      <c r="B7706" t="str">
        <f>"1551599012197965"</f>
        <v>1551599012197965</v>
      </c>
      <c r="C7706" t="s">
        <v>40</v>
      </c>
      <c r="D7706">
        <v>5.5105700000000004</v>
      </c>
      <c r="E7706">
        <v>0.49156179999999999</v>
      </c>
      <c r="F7706" t="s">
        <v>69</v>
      </c>
      <c r="G7706">
        <v>-254.9639</v>
      </c>
      <c r="H7706" s="1">
        <v>-1.5400409999999999E-6</v>
      </c>
      <c r="I7706">
        <v>-61.617559999999997</v>
      </c>
      <c r="J7706">
        <v>-272.09010000000001</v>
      </c>
      <c r="K7706">
        <v>1.1192930000000001</v>
      </c>
      <c r="L7706">
        <v>-61.727449999999997</v>
      </c>
      <c r="M7706">
        <v>0.99937849999999995</v>
      </c>
      <c r="N7706">
        <v>-4.2680080000000002E-3</v>
      </c>
      <c r="O7706">
        <v>-3.499145E-2</v>
      </c>
      <c r="P7706">
        <v>0.99385140000000005</v>
      </c>
      <c r="Q7706">
        <v>-0.109456399999999</v>
      </c>
      <c r="R7706">
        <v>-1.6695399999999999E-2</v>
      </c>
      <c r="S7706">
        <v>2.997528</v>
      </c>
      <c r="T7706">
        <v>-0.1946831</v>
      </c>
      <c r="U7706">
        <v>1.8402100000000001E-2</v>
      </c>
      <c r="V7706">
        <v>-1.8208709999999999E-2</v>
      </c>
      <c r="W7706">
        <v>-0.1051935</v>
      </c>
      <c r="X7706">
        <v>0.99428499999999997</v>
      </c>
      <c r="Y7706">
        <v>-4.0969989999999998E-2</v>
      </c>
      <c r="Z7706">
        <v>3.5372789999999999E-3</v>
      </c>
      <c r="AA7706">
        <v>0.99915410000000004</v>
      </c>
      <c r="AB7706">
        <v>23</v>
      </c>
      <c r="AC7706">
        <v>17.126200000000001</v>
      </c>
      <c r="AD7706">
        <v>-1.1192945400409999</v>
      </c>
      <c r="AE7706">
        <v>0.10989</v>
      </c>
      <c r="AF7706">
        <v>-0.70608291736280304</v>
      </c>
      <c r="AG7706">
        <v>-1.1192945400409999</v>
      </c>
      <c r="AH7706">
        <v>17.0390894943069</v>
      </c>
      <c r="AI7706">
        <v>93.7551355630807</v>
      </c>
      <c r="AJ7706">
        <v>92.372922470096498</v>
      </c>
      <c r="AK7706">
        <v>17.090405031729201</v>
      </c>
      <c r="AL7706">
        <v>96.038315364667994</v>
      </c>
      <c r="AM7706">
        <v>91.0491615834475</v>
      </c>
      <c r="AN7706">
        <v>0.99999994539355497</v>
      </c>
    </row>
    <row r="7707" spans="1:40" x14ac:dyDescent="0.25">
      <c r="A7707" t="str">
        <f>"20190303154332215"</f>
        <v>20190303154332215</v>
      </c>
      <c r="B7707" t="str">
        <f>"1551599012207725"</f>
        <v>1551599012207725</v>
      </c>
      <c r="C7707" t="s">
        <v>40</v>
      </c>
      <c r="D7707">
        <v>5.498176</v>
      </c>
      <c r="E7707">
        <v>0.49139480000000002</v>
      </c>
      <c r="F7707" t="s">
        <v>69</v>
      </c>
      <c r="G7707">
        <v>-254.75980000000001</v>
      </c>
      <c r="H7707" s="1">
        <v>-1.4516100000000001E-6</v>
      </c>
      <c r="I7707">
        <v>-61.613639999999997</v>
      </c>
      <c r="J7707">
        <v>-271.97449999999998</v>
      </c>
      <c r="K7707">
        <v>1.119286</v>
      </c>
      <c r="L7707">
        <v>-61.731839999999998</v>
      </c>
      <c r="M7707">
        <v>0.99936590000000003</v>
      </c>
      <c r="N7707">
        <v>-4.2755609999999998E-3</v>
      </c>
      <c r="O7707">
        <v>-3.5352330000000001E-2</v>
      </c>
      <c r="P7707">
        <v>0.9938669</v>
      </c>
      <c r="Q7707">
        <v>-0.1093349</v>
      </c>
      <c r="R7707">
        <v>-1.6574200000000001E-2</v>
      </c>
      <c r="S7707">
        <v>2.9975890000000001</v>
      </c>
      <c r="T7707">
        <v>-0.19360179999999999</v>
      </c>
      <c r="U7707">
        <v>1.9683840000000001E-2</v>
      </c>
      <c r="V7707">
        <v>-1.868972E-2</v>
      </c>
      <c r="W7707">
        <v>-0.1050638</v>
      </c>
      <c r="X7707">
        <v>0.9942898</v>
      </c>
      <c r="Y7707">
        <v>-4.1757219999999998E-2</v>
      </c>
      <c r="Z7707">
        <v>3.56596E-3</v>
      </c>
      <c r="AA7707">
        <v>0.99912140000000005</v>
      </c>
      <c r="AB7707">
        <v>23</v>
      </c>
      <c r="AC7707">
        <v>17.214699999999901</v>
      </c>
      <c r="AD7707">
        <v>-1.11928745161</v>
      </c>
      <c r="AE7707">
        <v>0.118200000000001</v>
      </c>
      <c r="AF7707">
        <v>-0.72365224810043605</v>
      </c>
      <c r="AG7707">
        <v>-1.11928745161</v>
      </c>
      <c r="AH7707">
        <v>17.127357789353699</v>
      </c>
      <c r="AI7707">
        <v>93.735687895128095</v>
      </c>
      <c r="AJ7707">
        <v>92.419379230084402</v>
      </c>
      <c r="AK7707">
        <v>17.1791403108551</v>
      </c>
      <c r="AL7707">
        <v>96.030842622287295</v>
      </c>
      <c r="AM7707">
        <v>91.076865098143699</v>
      </c>
      <c r="AN7707">
        <v>0.99999995704407796</v>
      </c>
    </row>
    <row r="7708" spans="1:40" x14ac:dyDescent="0.25">
      <c r="A7708" t="str">
        <f>"20190303154332226"</f>
        <v>20190303154332226</v>
      </c>
      <c r="B7708" t="str">
        <f>"1551599012217485"</f>
        <v>1551599012217485</v>
      </c>
      <c r="C7708" t="s">
        <v>40</v>
      </c>
      <c r="D7708">
        <v>5.5055909999999999</v>
      </c>
      <c r="E7708">
        <v>0.49124050000000002</v>
      </c>
      <c r="F7708" t="s">
        <v>69</v>
      </c>
      <c r="G7708">
        <v>-254.654</v>
      </c>
      <c r="H7708" s="1">
        <v>-1.405088E-6</v>
      </c>
      <c r="I7708">
        <v>-61.608580000000003</v>
      </c>
      <c r="J7708">
        <v>-271.85969999999998</v>
      </c>
      <c r="K7708">
        <v>1.1192820000000001</v>
      </c>
      <c r="L7708">
        <v>-61.736330000000002</v>
      </c>
      <c r="M7708">
        <v>0.99935320000000005</v>
      </c>
      <c r="N7708">
        <v>-4.2839189999999997E-3</v>
      </c>
      <c r="O7708">
        <v>-3.5709640000000001E-2</v>
      </c>
      <c r="P7708">
        <v>0.99388220000000005</v>
      </c>
      <c r="Q7708">
        <v>-0.1092177</v>
      </c>
      <c r="R7708">
        <v>-1.642915E-2</v>
      </c>
      <c r="S7708">
        <v>2.9975589999999999</v>
      </c>
      <c r="T7708">
        <v>-0.1937083</v>
      </c>
      <c r="U7708">
        <v>2.133179E-2</v>
      </c>
      <c r="V7708">
        <v>-1.9191110000000001E-2</v>
      </c>
      <c r="W7708">
        <v>-0.10493760000000001</v>
      </c>
      <c r="X7708">
        <v>0.9942936</v>
      </c>
      <c r="Y7708">
        <v>-4.2660910000000003E-2</v>
      </c>
      <c r="Z7708">
        <v>3.6204990000000001E-3</v>
      </c>
      <c r="AA7708">
        <v>0.99908300000000005</v>
      </c>
      <c r="AB7708">
        <v>23</v>
      </c>
      <c r="AC7708">
        <v>17.205699999999901</v>
      </c>
      <c r="AD7708">
        <v>-1.1192834050879901</v>
      </c>
      <c r="AE7708">
        <v>0.127749999999998</v>
      </c>
      <c r="AF7708">
        <v>-0.73895638680275</v>
      </c>
      <c r="AG7708">
        <v>-1.1192834050879901</v>
      </c>
      <c r="AH7708">
        <v>17.117727661830699</v>
      </c>
      <c r="AI7708">
        <v>93.737624258022507</v>
      </c>
      <c r="AJ7708">
        <v>92.471870789022105</v>
      </c>
      <c r="AK7708">
        <v>17.170190802291799</v>
      </c>
      <c r="AL7708">
        <v>96.023571558403702</v>
      </c>
      <c r="AM7708">
        <v>91.105742905075104</v>
      </c>
      <c r="AN7708">
        <v>0.99999998079887498</v>
      </c>
    </row>
    <row r="7709" spans="1:40" x14ac:dyDescent="0.25">
      <c r="A7709" t="str">
        <f>"20190303154332237"</f>
        <v>20190303154332237</v>
      </c>
      <c r="B7709" t="str">
        <f>"1551599012228223"</f>
        <v>1551599012228223</v>
      </c>
      <c r="C7709" t="s">
        <v>40</v>
      </c>
      <c r="D7709">
        <v>5.5210650000000001</v>
      </c>
      <c r="E7709">
        <v>0.49108790000000002</v>
      </c>
      <c r="F7709" t="s">
        <v>69</v>
      </c>
      <c r="G7709">
        <v>-254.5505</v>
      </c>
      <c r="H7709" s="1">
        <v>-1.359496E-6</v>
      </c>
      <c r="I7709">
        <v>-61.603279999999998</v>
      </c>
      <c r="J7709">
        <v>-271.74029999999999</v>
      </c>
      <c r="K7709">
        <v>1.1192759999999999</v>
      </c>
      <c r="L7709">
        <v>-61.740940000000002</v>
      </c>
      <c r="M7709">
        <v>0.99933970000000005</v>
      </c>
      <c r="N7709">
        <v>-4.2930520000000003E-3</v>
      </c>
      <c r="O7709">
        <v>-3.6080420000000002E-2</v>
      </c>
      <c r="P7709">
        <v>0.99392230000000004</v>
      </c>
      <c r="Q7709">
        <v>-0.10887579999999999</v>
      </c>
      <c r="R7709">
        <v>-1.6262829999999999E-2</v>
      </c>
      <c r="S7709">
        <v>2.9975589999999999</v>
      </c>
      <c r="T7709">
        <v>-0.19383410000000001</v>
      </c>
      <c r="U7709">
        <v>2.3040769999999999E-2</v>
      </c>
      <c r="V7709">
        <v>-1.972807E-2</v>
      </c>
      <c r="W7709">
        <v>-0.10458580000000001</v>
      </c>
      <c r="X7709">
        <v>0.99432019999999999</v>
      </c>
      <c r="Y7709">
        <v>-4.3598199999999997E-2</v>
      </c>
      <c r="Z7709">
        <v>3.67739E-3</v>
      </c>
      <c r="AA7709">
        <v>0.9990424</v>
      </c>
      <c r="AB7709">
        <v>23</v>
      </c>
      <c r="AC7709">
        <v>17.189799999999899</v>
      </c>
      <c r="AD7709">
        <v>-1.1192773594959999</v>
      </c>
      <c r="AE7709">
        <v>0.13765999999999601</v>
      </c>
      <c r="AF7709">
        <v>-0.75459223643958795</v>
      </c>
      <c r="AG7709">
        <v>-1.1192773594959999</v>
      </c>
      <c r="AH7709">
        <v>17.101141624325301</v>
      </c>
      <c r="AI7709">
        <v>93.741063464546897</v>
      </c>
      <c r="AJ7709">
        <v>92.526551972547793</v>
      </c>
      <c r="AK7709">
        <v>17.154335781545299</v>
      </c>
      <c r="AL7709">
        <v>96.003303118428505</v>
      </c>
      <c r="AM7709">
        <v>91.136642766543602</v>
      </c>
      <c r="AN7709">
        <v>1.0000000232177999</v>
      </c>
    </row>
    <row r="7710" spans="1:40" x14ac:dyDescent="0.25">
      <c r="A7710" t="str">
        <f>"20190303154332248"</f>
        <v>20190303154332248</v>
      </c>
      <c r="B7710" t="str">
        <f>"1551599012237981"</f>
        <v>1551599012237981</v>
      </c>
      <c r="C7710" t="s">
        <v>40</v>
      </c>
      <c r="D7710">
        <v>5.4959300000000004</v>
      </c>
      <c r="E7710">
        <v>0.49094559999999998</v>
      </c>
      <c r="F7710" t="s">
        <v>69</v>
      </c>
      <c r="G7710">
        <v>-254.41149999999999</v>
      </c>
      <c r="H7710" s="1">
        <v>-1.2985679999999999E-6</v>
      </c>
      <c r="I7710">
        <v>-61.597320000000003</v>
      </c>
      <c r="J7710">
        <v>-271.61720000000003</v>
      </c>
      <c r="K7710">
        <v>1.119273</v>
      </c>
      <c r="L7710">
        <v>-61.74579</v>
      </c>
      <c r="M7710">
        <v>0.99932589999999999</v>
      </c>
      <c r="N7710">
        <v>-4.304492E-3</v>
      </c>
      <c r="O7710">
        <v>-3.6460369999999999E-2</v>
      </c>
      <c r="P7710">
        <v>0.99391289999999999</v>
      </c>
      <c r="Q7710">
        <v>-0.1089613</v>
      </c>
      <c r="R7710">
        <v>-1.627491E-2</v>
      </c>
      <c r="S7710">
        <v>2.997528</v>
      </c>
      <c r="T7710">
        <v>-0.1936127</v>
      </c>
      <c r="U7710">
        <v>2.4841309999999998E-2</v>
      </c>
      <c r="V7710">
        <v>-2.0094420000000002E-2</v>
      </c>
      <c r="W7710">
        <v>-0.1046595</v>
      </c>
      <c r="X7710">
        <v>0.99430510000000005</v>
      </c>
      <c r="Y7710">
        <v>-4.4575669999999998E-2</v>
      </c>
      <c r="Z7710">
        <v>3.7295129999999998E-3</v>
      </c>
      <c r="AA7710">
        <v>0.99899910000000003</v>
      </c>
      <c r="AB7710">
        <v>23</v>
      </c>
      <c r="AC7710">
        <v>17.2057</v>
      </c>
      <c r="AD7710">
        <v>-1.119274298568</v>
      </c>
      <c r="AE7710">
        <v>0.14847000000000299</v>
      </c>
      <c r="AF7710">
        <v>-0.77243466595323296</v>
      </c>
      <c r="AG7710">
        <v>-1.119274298568</v>
      </c>
      <c r="AH7710">
        <v>17.116417988736501</v>
      </c>
      <c r="AI7710">
        <v>93.737557351051393</v>
      </c>
      <c r="AJ7710">
        <v>92.583907379477296</v>
      </c>
      <c r="AK7710">
        <v>17.170358034524099</v>
      </c>
      <c r="AL7710">
        <v>96.007549173318097</v>
      </c>
      <c r="AM7710">
        <v>91.157762092388893</v>
      </c>
      <c r="AN7710">
        <v>1.00000001427069</v>
      </c>
    </row>
    <row r="7711" spans="1:40" x14ac:dyDescent="0.25">
      <c r="A7711" t="str">
        <f>"20190303154332260"</f>
        <v>20190303154332260</v>
      </c>
      <c r="B7711" t="str">
        <f>"1551599012257501"</f>
        <v>1551599012257501</v>
      </c>
      <c r="C7711" t="s">
        <v>40</v>
      </c>
      <c r="D7711">
        <v>5.5290249999999999</v>
      </c>
      <c r="E7711">
        <v>0.49069049999999997</v>
      </c>
      <c r="F7711" t="s">
        <v>69</v>
      </c>
      <c r="G7711">
        <v>-254.37029999999999</v>
      </c>
      <c r="H7711" s="1">
        <v>-1.2806939999999999E-6</v>
      </c>
      <c r="I7711">
        <v>-61.596530000000001</v>
      </c>
      <c r="J7711">
        <v>-271.50360000000001</v>
      </c>
      <c r="K7711">
        <v>1.1192709999999999</v>
      </c>
      <c r="L7711">
        <v>-61.750309999999999</v>
      </c>
      <c r="M7711">
        <v>0.99931309999999995</v>
      </c>
      <c r="N7711">
        <v>-4.3161730000000004E-3</v>
      </c>
      <c r="O7711">
        <v>-3.6809929999999998E-2</v>
      </c>
      <c r="P7711">
        <v>0.99393860000000001</v>
      </c>
      <c r="Q7711">
        <v>-0.10874780000000001</v>
      </c>
      <c r="R7711">
        <v>-1.613096E-2</v>
      </c>
      <c r="S7711">
        <v>2.9974669999999999</v>
      </c>
      <c r="T7711">
        <v>-0.19452639999999999</v>
      </c>
      <c r="U7711">
        <v>2.5939940000000002E-2</v>
      </c>
      <c r="V7711">
        <v>-2.0586090000000001E-2</v>
      </c>
      <c r="W7711">
        <v>-0.1044337</v>
      </c>
      <c r="X7711">
        <v>0.99431879999999995</v>
      </c>
      <c r="Y7711">
        <v>-4.5287590000000003E-2</v>
      </c>
      <c r="Z7711">
        <v>3.7930350000000002E-3</v>
      </c>
      <c r="AA7711">
        <v>0.99896680000000004</v>
      </c>
      <c r="AB7711">
        <v>23</v>
      </c>
      <c r="AC7711">
        <v>17.133299999999998</v>
      </c>
      <c r="AD7711">
        <v>-1.1192722806940001</v>
      </c>
      <c r="AE7711">
        <v>0.153779999999997</v>
      </c>
      <c r="AF7711">
        <v>-0.78102426672111203</v>
      </c>
      <c r="AG7711">
        <v>-1.1192722806940001</v>
      </c>
      <c r="AH7711">
        <v>17.043298522263498</v>
      </c>
      <c r="AI7711">
        <v>93.753421304517801</v>
      </c>
      <c r="AJ7711">
        <v>92.623794260191303</v>
      </c>
      <c r="AK7711">
        <v>17.097859335674901</v>
      </c>
      <c r="AL7711">
        <v>95.994540401647598</v>
      </c>
      <c r="AM7711">
        <v>91.186065866558494</v>
      </c>
      <c r="AN7711">
        <v>1.0000000304153001</v>
      </c>
    </row>
    <row r="7712" spans="1:40" x14ac:dyDescent="0.25">
      <c r="A7712" t="str">
        <f>"20190303154332282"</f>
        <v>20190303154332282</v>
      </c>
      <c r="B7712" t="str">
        <f>"1551599012277997"</f>
        <v>1551599012277997</v>
      </c>
      <c r="C7712" t="s">
        <v>40</v>
      </c>
      <c r="D7712">
        <v>5.5256019999999904</v>
      </c>
      <c r="E7712">
        <v>0.4905292</v>
      </c>
      <c r="F7712" t="s">
        <v>69</v>
      </c>
      <c r="G7712">
        <v>-254.3227</v>
      </c>
      <c r="H7712" s="1">
        <v>-1.25829E-6</v>
      </c>
      <c r="I7712">
        <v>-61.587620000000001</v>
      </c>
      <c r="J7712">
        <v>-271.26299999999998</v>
      </c>
      <c r="K7712">
        <v>1.1192660000000001</v>
      </c>
      <c r="L7712">
        <v>-61.759979999999999</v>
      </c>
      <c r="M7712">
        <v>0.9992856</v>
      </c>
      <c r="N7712">
        <v>-4.346417E-3</v>
      </c>
      <c r="O7712">
        <v>-3.7541239999999997E-2</v>
      </c>
      <c r="P7712">
        <v>0.99388799999999999</v>
      </c>
      <c r="Q7712">
        <v>-0.1092492</v>
      </c>
      <c r="R7712">
        <v>-1.5855589999999999E-2</v>
      </c>
      <c r="S7712">
        <v>2.9973749999999999</v>
      </c>
      <c r="T7712">
        <v>-0.19526740000000001</v>
      </c>
      <c r="U7712">
        <v>2.838135E-2</v>
      </c>
      <c r="V7712">
        <v>-2.1587789999999999E-2</v>
      </c>
      <c r="W7712">
        <v>-0.1049042</v>
      </c>
      <c r="X7712">
        <v>0.99424800000000002</v>
      </c>
      <c r="Y7712">
        <v>-4.6826359999999997E-2</v>
      </c>
      <c r="Z7712">
        <v>3.9051839999999999E-3</v>
      </c>
      <c r="AA7712">
        <v>0.99889539999999999</v>
      </c>
      <c r="AB7712">
        <v>24</v>
      </c>
      <c r="AC7712">
        <v>16.940299999999901</v>
      </c>
      <c r="AD7712">
        <v>-1.1192672582900001</v>
      </c>
      <c r="AE7712">
        <v>0.172360000000011</v>
      </c>
      <c r="AF7712">
        <v>-0.80469194012368905</v>
      </c>
      <c r="AG7712">
        <v>-1.1192672582900001</v>
      </c>
      <c r="AH7712">
        <v>16.848345151134499</v>
      </c>
      <c r="AI7712">
        <v>93.796367106484595</v>
      </c>
      <c r="AJ7712">
        <v>92.734419456625702</v>
      </c>
      <c r="AK7712">
        <v>16.904645002061901</v>
      </c>
      <c r="AL7712">
        <v>96.021647113959901</v>
      </c>
      <c r="AM7712">
        <v>91.243849560406304</v>
      </c>
      <c r="AN7712">
        <v>1.00000000467936</v>
      </c>
    </row>
    <row r="7713" spans="1:40" x14ac:dyDescent="0.25">
      <c r="A7713" t="str">
        <f>"20190303154332295"</f>
        <v>20190303154332295</v>
      </c>
      <c r="B7713" t="str">
        <f>"1551599012287757"</f>
        <v>1551599012287757</v>
      </c>
      <c r="C7713" t="s">
        <v>40</v>
      </c>
      <c r="D7713">
        <v>5.534052</v>
      </c>
      <c r="E7713">
        <v>0.49038969999999998</v>
      </c>
      <c r="F7713" t="s">
        <v>69</v>
      </c>
      <c r="G7713">
        <v>-254.28649999999999</v>
      </c>
      <c r="H7713" s="1">
        <v>-1.2428739999999999E-6</v>
      </c>
      <c r="I7713">
        <v>-61.587989999999998</v>
      </c>
      <c r="J7713">
        <v>-271.12880000000001</v>
      </c>
      <c r="K7713">
        <v>1.119267</v>
      </c>
      <c r="L7713">
        <v>-61.765410000000003</v>
      </c>
      <c r="M7713">
        <v>0.9992704</v>
      </c>
      <c r="N7713">
        <v>-4.365875E-3</v>
      </c>
      <c r="O7713">
        <v>-3.7944560000000002E-2</v>
      </c>
      <c r="P7713">
        <v>0.99387380000000003</v>
      </c>
      <c r="Q7713">
        <v>-0.1093788</v>
      </c>
      <c r="R7713">
        <v>-1.585139E-2</v>
      </c>
      <c r="S7713">
        <v>2.997223</v>
      </c>
      <c r="T7713">
        <v>-0.1976086</v>
      </c>
      <c r="U7713">
        <v>3.0364990000000001E-2</v>
      </c>
      <c r="V7713">
        <v>-2.1991460000000001E-2</v>
      </c>
      <c r="W7713">
        <v>-0.1050143</v>
      </c>
      <c r="X7713">
        <v>0.99422750000000004</v>
      </c>
      <c r="Y7713">
        <v>-4.7883540000000002E-2</v>
      </c>
      <c r="Z7713">
        <v>4.01448E-3</v>
      </c>
      <c r="AA7713">
        <v>0.99884490000000004</v>
      </c>
      <c r="AB7713">
        <v>24</v>
      </c>
      <c r="AC7713">
        <v>16.842300000000002</v>
      </c>
      <c r="AD7713">
        <v>-1.119268242874</v>
      </c>
      <c r="AE7713">
        <v>0.17741999999999</v>
      </c>
      <c r="AF7713">
        <v>-0.81278277094050999</v>
      </c>
      <c r="AG7713">
        <v>-1.119268242874</v>
      </c>
      <c r="AH7713">
        <v>16.749474841679699</v>
      </c>
      <c r="AI7713">
        <v>93.818573987704397</v>
      </c>
      <c r="AJ7713">
        <v>92.778148060229299</v>
      </c>
      <c r="AK7713">
        <v>16.806495312952801</v>
      </c>
      <c r="AL7713">
        <v>96.027990598106499</v>
      </c>
      <c r="AM7713">
        <v>91.267126903050197</v>
      </c>
      <c r="AN7713">
        <v>0.99999997463683499</v>
      </c>
    </row>
    <row r="7714" spans="1:40" x14ac:dyDescent="0.25">
      <c r="A7714" t="str">
        <f>"20190303154332308"</f>
        <v>20190303154332308</v>
      </c>
      <c r="B7714" t="str">
        <f>"1551599012297517"</f>
        <v>1551599012297517</v>
      </c>
      <c r="C7714" t="s">
        <v>40</v>
      </c>
      <c r="D7714">
        <v>5.5331830000000002</v>
      </c>
      <c r="E7714">
        <v>0.49023850000000002</v>
      </c>
      <c r="F7714" t="s">
        <v>69</v>
      </c>
      <c r="G7714">
        <v>-254.24690000000001</v>
      </c>
      <c r="H7714" s="1">
        <v>-1.225917E-6</v>
      </c>
      <c r="I7714">
        <v>-61.588189999999997</v>
      </c>
      <c r="J7714">
        <v>-270.99400000000003</v>
      </c>
      <c r="K7714">
        <v>1.11927</v>
      </c>
      <c r="L7714">
        <v>-61.771000000000001</v>
      </c>
      <c r="M7714">
        <v>0.99925540000000002</v>
      </c>
      <c r="N7714">
        <v>-4.3886580000000001E-3</v>
      </c>
      <c r="O7714">
        <v>-3.8337019999999999E-2</v>
      </c>
      <c r="P7714">
        <v>0.99385619999999997</v>
      </c>
      <c r="Q7714">
        <v>-0.10956730000000001</v>
      </c>
      <c r="R7714">
        <v>-1.5661689999999999E-2</v>
      </c>
      <c r="S7714">
        <v>2.9971619999999999</v>
      </c>
      <c r="T7714">
        <v>-0.1987121</v>
      </c>
      <c r="U7714">
        <v>3.1463619999999998E-2</v>
      </c>
      <c r="V7714">
        <v>-2.2569909999999999E-2</v>
      </c>
      <c r="W7714">
        <v>-0.1051798</v>
      </c>
      <c r="X7714">
        <v>0.99419709999999994</v>
      </c>
      <c r="Y7714">
        <v>-4.8637560000000003E-2</v>
      </c>
      <c r="Z7714">
        <v>4.0878360000000001E-3</v>
      </c>
      <c r="AA7714">
        <v>0.99880809999999998</v>
      </c>
      <c r="AB7714">
        <v>24</v>
      </c>
      <c r="AC7714">
        <v>16.7471</v>
      </c>
      <c r="AD7714">
        <v>-1.1192712259169999</v>
      </c>
      <c r="AE7714">
        <v>0.182809999999996</v>
      </c>
      <c r="AF7714">
        <v>-0.82104860825407</v>
      </c>
      <c r="AG7714">
        <v>-1.1192712259169999</v>
      </c>
      <c r="AH7714">
        <v>16.6534022629376</v>
      </c>
      <c r="AI7714">
        <v>93.840402557759504</v>
      </c>
      <c r="AJ7714">
        <v>92.822519941649205</v>
      </c>
      <c r="AK7714">
        <v>16.711154832192101</v>
      </c>
      <c r="AL7714">
        <v>96.037525506330397</v>
      </c>
      <c r="AM7714">
        <v>91.300485090817304</v>
      </c>
      <c r="AN7714">
        <v>1.00000003240692</v>
      </c>
    </row>
    <row r="7715" spans="1:40" x14ac:dyDescent="0.25">
      <c r="A7715" t="str">
        <f>"20190303154332320"</f>
        <v>20190303154332320</v>
      </c>
      <c r="B7715" t="str">
        <f>"1551599012318014"</f>
        <v>1551599012318014</v>
      </c>
      <c r="C7715" t="s">
        <v>40</v>
      </c>
      <c r="D7715">
        <v>5.4931960000000002</v>
      </c>
      <c r="E7715">
        <v>0.4901221</v>
      </c>
      <c r="F7715" t="s">
        <v>69</v>
      </c>
      <c r="G7715">
        <v>-254.2396</v>
      </c>
      <c r="H7715" s="1">
        <v>-1.222232E-6</v>
      </c>
      <c r="I7715">
        <v>-61.585720000000002</v>
      </c>
      <c r="J7715">
        <v>-270.8612</v>
      </c>
      <c r="K7715">
        <v>1.119272</v>
      </c>
      <c r="L7715">
        <v>-61.776490000000003</v>
      </c>
      <c r="M7715">
        <v>0.99924049999999998</v>
      </c>
      <c r="N7715">
        <v>-4.4119809999999997E-3</v>
      </c>
      <c r="O7715">
        <v>-3.871612E-2</v>
      </c>
      <c r="P7715">
        <v>0.99381739999999996</v>
      </c>
      <c r="Q7715">
        <v>-0.10990850000000001</v>
      </c>
      <c r="R7715">
        <v>-1.571171E-2</v>
      </c>
      <c r="S7715">
        <v>2.9970400000000001</v>
      </c>
      <c r="T7715">
        <v>-0.20021630000000001</v>
      </c>
      <c r="U7715">
        <v>3.3142089999999999E-2</v>
      </c>
      <c r="V7715">
        <v>-2.2893400000000001E-2</v>
      </c>
      <c r="W7715">
        <v>-0.1054981</v>
      </c>
      <c r="X7715">
        <v>0.99415589999999998</v>
      </c>
      <c r="Y7715">
        <v>-4.9570400000000001E-2</v>
      </c>
      <c r="Z7715">
        <v>4.1758159999999997E-3</v>
      </c>
      <c r="AA7715">
        <v>0.99876189999999998</v>
      </c>
      <c r="AB7715">
        <v>24</v>
      </c>
      <c r="AC7715">
        <v>16.621600000000001</v>
      </c>
      <c r="AD7715">
        <v>-1.1192732222319901</v>
      </c>
      <c r="AE7715">
        <v>0.19077000000000699</v>
      </c>
      <c r="AF7715">
        <v>-0.83039220432456995</v>
      </c>
      <c r="AG7715">
        <v>-1.1192732222319901</v>
      </c>
      <c r="AH7715">
        <v>16.526821253831599</v>
      </c>
      <c r="AI7715">
        <v>93.869553913274302</v>
      </c>
      <c r="AJ7715">
        <v>92.876414674315299</v>
      </c>
      <c r="AK7715">
        <v>16.585479930201299</v>
      </c>
      <c r="AL7715">
        <v>96.055865254676306</v>
      </c>
      <c r="AM7715">
        <v>91.319172791521794</v>
      </c>
      <c r="AN7715">
        <v>0.99999995518598805</v>
      </c>
    </row>
    <row r="7716" spans="1:40" x14ac:dyDescent="0.25">
      <c r="A7716" t="str">
        <f>"20190303154332332"</f>
        <v>20190303154332332</v>
      </c>
      <c r="B7716" t="str">
        <f>"1551599012327774"</f>
        <v>1551599012327774</v>
      </c>
      <c r="C7716" t="s">
        <v>40</v>
      </c>
      <c r="D7716">
        <v>5.5248970000000002</v>
      </c>
      <c r="E7716">
        <v>0.49000919999999998</v>
      </c>
      <c r="F7716" t="s">
        <v>69</v>
      </c>
      <c r="G7716">
        <v>-254.2655</v>
      </c>
      <c r="H7716" s="1">
        <v>-1.23407E-6</v>
      </c>
      <c r="I7716">
        <v>-61.5890699999999</v>
      </c>
      <c r="J7716">
        <v>-270.73379999999997</v>
      </c>
      <c r="K7716">
        <v>1.1192799999999901</v>
      </c>
      <c r="L7716">
        <v>-61.781799999999997</v>
      </c>
      <c r="M7716">
        <v>0.99922679999999997</v>
      </c>
      <c r="N7716">
        <v>-4.4355920000000004E-3</v>
      </c>
      <c r="O7716">
        <v>-3.9068369999999998E-2</v>
      </c>
      <c r="P7716">
        <v>0.99381819999999998</v>
      </c>
      <c r="Q7716">
        <v>-0.1099301</v>
      </c>
      <c r="R7716">
        <v>-1.5529960000000001E-2</v>
      </c>
      <c r="S7716">
        <v>2.9968569999999999</v>
      </c>
      <c r="T7716">
        <v>-0.20211799999999999</v>
      </c>
      <c r="U7716">
        <v>3.3843989999999997E-2</v>
      </c>
      <c r="V7716">
        <v>-2.3423389999999999E-2</v>
      </c>
      <c r="W7716">
        <v>-0.1054963</v>
      </c>
      <c r="X7716">
        <v>0.99414380000000002</v>
      </c>
      <c r="Y7716">
        <v>-5.0151229999999998E-2</v>
      </c>
      <c r="Z7716">
        <v>4.2589189999999999E-3</v>
      </c>
      <c r="AA7716">
        <v>0.99873259999999997</v>
      </c>
      <c r="AB7716">
        <v>24</v>
      </c>
      <c r="AC7716">
        <v>16.4682999999999</v>
      </c>
      <c r="AD7716">
        <v>-1.11928123406999</v>
      </c>
      <c r="AE7716">
        <v>0.19273000000000401</v>
      </c>
      <c r="AF7716">
        <v>-0.83213535650603998</v>
      </c>
      <c r="AG7716">
        <v>-1.11928123406999</v>
      </c>
      <c r="AH7716">
        <v>16.372576831379199</v>
      </c>
      <c r="AI7716">
        <v>93.905810352992702</v>
      </c>
      <c r="AJ7716">
        <v>92.909551410537404</v>
      </c>
      <c r="AK7716">
        <v>16.431874872694902</v>
      </c>
      <c r="AL7716">
        <v>96.055761211578996</v>
      </c>
      <c r="AM7716">
        <v>91.349717343115998</v>
      </c>
      <c r="AN7716">
        <v>1.0000000097956101</v>
      </c>
    </row>
    <row r="7717" spans="1:40" x14ac:dyDescent="0.25">
      <c r="A7717" t="str">
        <f>"20190303154332343"</f>
        <v>20190303154332343</v>
      </c>
      <c r="B7717" t="str">
        <f>"1551599012337533"</f>
        <v>1551599012337533</v>
      </c>
      <c r="C7717" t="s">
        <v>40</v>
      </c>
      <c r="D7717">
        <v>5.4891860000000001</v>
      </c>
      <c r="E7717">
        <v>0.48993769999999998</v>
      </c>
      <c r="F7717" t="s">
        <v>69</v>
      </c>
      <c r="G7717">
        <v>-254.18119999999999</v>
      </c>
      <c r="H7717" s="1">
        <v>-1.1975219999999999E-6</v>
      </c>
      <c r="I7717">
        <v>-61.58728</v>
      </c>
      <c r="J7717">
        <v>-270.6198</v>
      </c>
      <c r="K7717">
        <v>1.1192899999999999</v>
      </c>
      <c r="L7717">
        <v>-61.786560000000001</v>
      </c>
      <c r="M7717">
        <v>0.99921490000000002</v>
      </c>
      <c r="N7717">
        <v>-4.4571000000000003E-3</v>
      </c>
      <c r="O7717">
        <v>-3.9371259999999998E-2</v>
      </c>
      <c r="P7717">
        <v>0.99379839999999997</v>
      </c>
      <c r="Q7717">
        <v>-0.1101129</v>
      </c>
      <c r="R7717">
        <v>-1.5499489999999999E-2</v>
      </c>
      <c r="S7717">
        <v>2.9967959999999998</v>
      </c>
      <c r="T7717">
        <v>-0.20264199999999999</v>
      </c>
      <c r="U7717">
        <v>3.5217289999999998E-2</v>
      </c>
      <c r="V7717">
        <v>-2.375149E-2</v>
      </c>
      <c r="W7717">
        <v>-0.1056581</v>
      </c>
      <c r="X7717">
        <v>0.99411879999999997</v>
      </c>
      <c r="Y7717">
        <v>-5.090832E-2</v>
      </c>
      <c r="Z7717">
        <v>4.316233E-3</v>
      </c>
      <c r="AA7717">
        <v>0.99869399999999997</v>
      </c>
      <c r="AB7717">
        <v>24</v>
      </c>
      <c r="AC7717">
        <v>16.438600000000001</v>
      </c>
      <c r="AD7717">
        <v>-1.1192911975219999</v>
      </c>
      <c r="AE7717">
        <v>0.199279999999987</v>
      </c>
      <c r="AF7717">
        <v>-0.84243511342924104</v>
      </c>
      <c r="AG7717">
        <v>-1.1192911975219999</v>
      </c>
      <c r="AH7717">
        <v>16.342254281918901</v>
      </c>
      <c r="AI7717">
        <v>93.912925398293098</v>
      </c>
      <c r="AJ7717">
        <v>92.950956993381894</v>
      </c>
      <c r="AK7717">
        <v>16.402188412528499</v>
      </c>
      <c r="AL7717">
        <v>96.065083965301</v>
      </c>
      <c r="AM7717">
        <v>91.368650591707095</v>
      </c>
      <c r="AN7717">
        <v>0.999999977943134</v>
      </c>
    </row>
    <row r="7718" spans="1:40" x14ac:dyDescent="0.25">
      <c r="A7718" t="str">
        <f>"20190303154332355"</f>
        <v>20190303154332355</v>
      </c>
      <c r="B7718" t="str">
        <f>"1551599012348270"</f>
        <v>1551599012348270</v>
      </c>
      <c r="C7718" t="s">
        <v>40</v>
      </c>
      <c r="D7718">
        <v>5.4964500000000003</v>
      </c>
      <c r="E7718">
        <v>0.4898863</v>
      </c>
      <c r="F7718" t="s">
        <v>69</v>
      </c>
      <c r="G7718">
        <v>-254.18289999999999</v>
      </c>
      <c r="H7718" s="1">
        <v>-1.1989080000000001E-6</v>
      </c>
      <c r="I7718">
        <v>-61.590209999999999</v>
      </c>
      <c r="J7718">
        <v>-270.48320000000001</v>
      </c>
      <c r="K7718">
        <v>1.1193070000000001</v>
      </c>
      <c r="L7718">
        <v>-61.79233</v>
      </c>
      <c r="M7718">
        <v>0.99920059999999999</v>
      </c>
      <c r="N7718">
        <v>-4.4830699999999996E-3</v>
      </c>
      <c r="O7718">
        <v>-3.9726240000000003E-2</v>
      </c>
      <c r="P7718">
        <v>0.99377079999999995</v>
      </c>
      <c r="Q7718">
        <v>-0.11031580000000001</v>
      </c>
      <c r="R7718">
        <v>-1.5810000000000001E-2</v>
      </c>
      <c r="S7718">
        <v>2.9966740000000001</v>
      </c>
      <c r="T7718">
        <v>-0.20406260000000001</v>
      </c>
      <c r="U7718">
        <v>3.5797120000000002E-2</v>
      </c>
      <c r="V7718">
        <v>-2.3789439999999999E-2</v>
      </c>
      <c r="W7718">
        <v>-0.1058361</v>
      </c>
      <c r="X7718">
        <v>0.99409899999999995</v>
      </c>
      <c r="Y7718">
        <v>-5.1451879999999998E-2</v>
      </c>
      <c r="Z7718">
        <v>4.3889239999999998E-3</v>
      </c>
      <c r="AA7718">
        <v>0.99866580000000005</v>
      </c>
      <c r="AB7718">
        <v>24</v>
      </c>
      <c r="AC7718">
        <v>16.3003</v>
      </c>
      <c r="AD7718">
        <v>-1.119308198908</v>
      </c>
      <c r="AE7718">
        <v>0.20212000000000699</v>
      </c>
      <c r="AF7718">
        <v>-0.84553023951834305</v>
      </c>
      <c r="AG7718">
        <v>-1.119308198908</v>
      </c>
      <c r="AH7718">
        <v>16.203012642872999</v>
      </c>
      <c r="AI7718">
        <v>93.946376310775094</v>
      </c>
      <c r="AJ7718">
        <v>92.987185952342699</v>
      </c>
      <c r="AK7718">
        <v>16.263621704134199</v>
      </c>
      <c r="AL7718">
        <v>96.075339865578101</v>
      </c>
      <c r="AM7718">
        <v>91.370863873572702</v>
      </c>
      <c r="AN7718">
        <v>1.00000001965986</v>
      </c>
    </row>
    <row r="7719" spans="1:40" x14ac:dyDescent="0.25">
      <c r="A7719" t="str">
        <f>"20190303154332366"</f>
        <v>20190303154332366</v>
      </c>
      <c r="B7719" t="str">
        <f>"1551599012358029"</f>
        <v>1551599012358029</v>
      </c>
      <c r="C7719" t="s">
        <v>40</v>
      </c>
      <c r="D7719">
        <v>5.488753</v>
      </c>
      <c r="E7719">
        <v>0.48976049999999899</v>
      </c>
      <c r="F7719" t="s">
        <v>69</v>
      </c>
      <c r="G7719">
        <v>-254.12649999999999</v>
      </c>
      <c r="H7719" s="1">
        <v>-1.1768370000000001E-6</v>
      </c>
      <c r="I7719">
        <v>-61.599760000000003</v>
      </c>
      <c r="J7719">
        <v>-270.36059999999998</v>
      </c>
      <c r="K7719">
        <v>1.119324</v>
      </c>
      <c r="L7719">
        <v>-61.797550000000001</v>
      </c>
      <c r="M7719">
        <v>0.99918870000000004</v>
      </c>
      <c r="N7719">
        <v>-4.5065929999999997E-3</v>
      </c>
      <c r="O7719">
        <v>-4.0019079999999999E-2</v>
      </c>
      <c r="P7719">
        <v>0.99372899999999997</v>
      </c>
      <c r="Q7719">
        <v>-0.1106774</v>
      </c>
      <c r="R7719">
        <v>-1.5907299999999999E-2</v>
      </c>
      <c r="S7719">
        <v>2.9965820000000001</v>
      </c>
      <c r="T7719">
        <v>-0.20505909999999999</v>
      </c>
      <c r="U7719">
        <v>3.5278320000000002E-2</v>
      </c>
      <c r="V7719">
        <v>-2.397722E-2</v>
      </c>
      <c r="W7719">
        <v>-0.1061754</v>
      </c>
      <c r="X7719">
        <v>0.99405829999999995</v>
      </c>
      <c r="Y7719">
        <v>-5.1569129999999998E-2</v>
      </c>
      <c r="Z7719">
        <v>4.4333819999999996E-3</v>
      </c>
      <c r="AA7719">
        <v>0.99865959999999998</v>
      </c>
      <c r="AB7719">
        <v>24</v>
      </c>
      <c r="AC7719">
        <v>16.234099999999899</v>
      </c>
      <c r="AD7719">
        <v>-1.1193251768370001</v>
      </c>
      <c r="AE7719">
        <v>0.19779000000000399</v>
      </c>
      <c r="AF7719">
        <v>-0.84330348713587</v>
      </c>
      <c r="AG7719">
        <v>-1.1193251768370001</v>
      </c>
      <c r="AH7719">
        <v>16.1364785062514</v>
      </c>
      <c r="AI7719">
        <v>93.962640368323505</v>
      </c>
      <c r="AJ7719">
        <v>92.991595375180594</v>
      </c>
      <c r="AK7719">
        <v>16.197221619945498</v>
      </c>
      <c r="AL7719">
        <v>96.094890520281595</v>
      </c>
      <c r="AM7719">
        <v>91.381737045932894</v>
      </c>
      <c r="AN7719">
        <v>1.0000000132214799</v>
      </c>
    </row>
    <row r="7720" spans="1:40" x14ac:dyDescent="0.25">
      <c r="A7720" t="str">
        <f>"20190303154332378"</f>
        <v>20190303154332378</v>
      </c>
      <c r="B7720" t="str">
        <f>"1551599012367789"</f>
        <v>1551599012367789</v>
      </c>
      <c r="C7720" t="s">
        <v>40</v>
      </c>
      <c r="D7720">
        <v>5.5243129999999896</v>
      </c>
      <c r="E7720">
        <v>0.48965360000000002</v>
      </c>
      <c r="F7720" t="s">
        <v>69</v>
      </c>
      <c r="G7720">
        <v>-254.18010000000001</v>
      </c>
      <c r="H7720" s="1">
        <v>-1.2007020000000001E-6</v>
      </c>
      <c r="I7720">
        <v>-61.603580000000001</v>
      </c>
      <c r="J7720">
        <v>-270.23239999999998</v>
      </c>
      <c r="K7720">
        <v>1.119345</v>
      </c>
      <c r="L7720">
        <v>-61.80301</v>
      </c>
      <c r="M7720">
        <v>0.99917690000000003</v>
      </c>
      <c r="N7720">
        <v>-4.5315260000000001E-3</v>
      </c>
      <c r="O7720">
        <v>-4.031643E-2</v>
      </c>
      <c r="P7720">
        <v>0.9937201</v>
      </c>
      <c r="Q7720">
        <v>-0.11075699999999999</v>
      </c>
      <c r="R7720">
        <v>-1.592447E-2</v>
      </c>
      <c r="S7720">
        <v>2.996429</v>
      </c>
      <c r="T7720">
        <v>-0.20728559999999999</v>
      </c>
      <c r="U7720">
        <v>3.5919189999999997E-2</v>
      </c>
      <c r="V7720">
        <v>-2.4250580000000001E-2</v>
      </c>
      <c r="W7720">
        <v>-0.106231199999999</v>
      </c>
      <c r="X7720">
        <v>0.99404570000000003</v>
      </c>
      <c r="Y7720">
        <v>-5.2073950000000001E-2</v>
      </c>
      <c r="Z7720">
        <v>4.5197550000000003E-3</v>
      </c>
      <c r="AA7720">
        <v>0.99863299999999999</v>
      </c>
      <c r="AB7720">
        <v>24</v>
      </c>
      <c r="AC7720">
        <v>16.052299999999899</v>
      </c>
      <c r="AD7720">
        <v>-1.1193462007019901</v>
      </c>
      <c r="AE7720">
        <v>0.199429999999992</v>
      </c>
      <c r="AF7720">
        <v>-0.84235054114664798</v>
      </c>
      <c r="AG7720">
        <v>-1.1193462007019901</v>
      </c>
      <c r="AH7720">
        <v>15.9536465350109</v>
      </c>
      <c r="AI7720">
        <v>94.007868051501305</v>
      </c>
      <c r="AJ7720">
        <v>93.022403429438995</v>
      </c>
      <c r="AK7720">
        <v>16.0150344400273</v>
      </c>
      <c r="AL7720">
        <v>96.098105852681798</v>
      </c>
      <c r="AM7720">
        <v>91.397501478045896</v>
      </c>
      <c r="AN7720">
        <v>1.00000000608613</v>
      </c>
    </row>
    <row r="7721" spans="1:40" x14ac:dyDescent="0.25">
      <c r="A7721" t="str">
        <f>"20190303154332389"</f>
        <v>20190303154332389</v>
      </c>
      <c r="B7721" t="str">
        <f>"1551599012378526"</f>
        <v>1551599012378526</v>
      </c>
      <c r="C7721" t="s">
        <v>40</v>
      </c>
      <c r="D7721">
        <v>5.4847169999999998</v>
      </c>
      <c r="E7721">
        <v>0.4895292</v>
      </c>
      <c r="F7721" t="s">
        <v>69</v>
      </c>
      <c r="G7721">
        <v>-254.11410000000001</v>
      </c>
      <c r="H7721" s="1">
        <v>-1.172967E-6</v>
      </c>
      <c r="I7721">
        <v>-61.606340000000003</v>
      </c>
      <c r="J7721">
        <v>-270.1139</v>
      </c>
      <c r="K7721">
        <v>1.119373</v>
      </c>
      <c r="L7721">
        <v>-61.808039999999998</v>
      </c>
      <c r="M7721">
        <v>0.99916649999999996</v>
      </c>
      <c r="N7721">
        <v>-4.5554829999999999E-3</v>
      </c>
      <c r="O7721">
        <v>-4.0566209999999998E-2</v>
      </c>
      <c r="P7721">
        <v>0.99372210000000005</v>
      </c>
      <c r="Q7721">
        <v>-0.1107103</v>
      </c>
      <c r="R7721">
        <v>-1.6112830000000002E-2</v>
      </c>
      <c r="S7721">
        <v>2.9963380000000002</v>
      </c>
      <c r="T7721">
        <v>-0.20808280000000001</v>
      </c>
      <c r="U7721">
        <v>3.6560059999999998E-2</v>
      </c>
      <c r="V7721">
        <v>-2.430479E-2</v>
      </c>
      <c r="W7721">
        <v>-0.10616200000000001</v>
      </c>
      <c r="X7721">
        <v>0.99405180000000004</v>
      </c>
      <c r="Y7721">
        <v>-5.2534129999999998E-2</v>
      </c>
      <c r="Z7721">
        <v>4.5703289999999997E-3</v>
      </c>
      <c r="AA7721">
        <v>0.99860859999999996</v>
      </c>
      <c r="AB7721">
        <v>24</v>
      </c>
      <c r="AC7721">
        <v>15.999799999999899</v>
      </c>
      <c r="AD7721">
        <v>-1.1193741729669999</v>
      </c>
      <c r="AE7721">
        <v>0.20170000000000199</v>
      </c>
      <c r="AF7721">
        <v>-0.84644951430068605</v>
      </c>
      <c r="AG7721">
        <v>-1.1193741729669999</v>
      </c>
      <c r="AH7721">
        <v>15.900631616416099</v>
      </c>
      <c r="AI7721">
        <v>94.021195308219404</v>
      </c>
      <c r="AJ7721">
        <v>93.047190326065206</v>
      </c>
      <c r="AK7721">
        <v>15.9624422041346</v>
      </c>
      <c r="AL7721">
        <v>96.094118246985104</v>
      </c>
      <c r="AM7721">
        <v>91.400615632922495</v>
      </c>
      <c r="AN7721">
        <v>1.0000000370720901</v>
      </c>
    </row>
    <row r="7722" spans="1:40" x14ac:dyDescent="0.25">
      <c r="A7722" t="str">
        <f>"20190303154332399"</f>
        <v>20190303154332399</v>
      </c>
      <c r="B7722" t="str">
        <f>"1551599012388285"</f>
        <v>1551599012388285</v>
      </c>
      <c r="C7722" t="s">
        <v>40</v>
      </c>
      <c r="D7722">
        <v>5.5224500000000001</v>
      </c>
      <c r="E7722">
        <v>0.48946719999999999</v>
      </c>
      <c r="F7722" t="s">
        <v>69</v>
      </c>
      <c r="G7722">
        <v>-254.04230000000001</v>
      </c>
      <c r="H7722" s="1">
        <v>-1.1429899999999901E-6</v>
      </c>
      <c r="I7722">
        <v>-61.609969999999997</v>
      </c>
      <c r="J7722">
        <v>-270.00670000000002</v>
      </c>
      <c r="K7722">
        <v>1.1193949999999999</v>
      </c>
      <c r="L7722">
        <v>-61.812649999999998</v>
      </c>
      <c r="M7722">
        <v>0.99915770000000004</v>
      </c>
      <c r="N7722">
        <v>-4.5776020000000001E-3</v>
      </c>
      <c r="O7722">
        <v>-4.078118E-2</v>
      </c>
      <c r="P7722">
        <v>0.99374850000000003</v>
      </c>
      <c r="Q7722">
        <v>-0.110434</v>
      </c>
      <c r="R7722">
        <v>-1.6376760000000001E-2</v>
      </c>
      <c r="S7722">
        <v>2.9962770000000001</v>
      </c>
      <c r="T7722">
        <v>-0.20868900000000001</v>
      </c>
      <c r="U7722">
        <v>3.6926269999999997E-2</v>
      </c>
      <c r="V7722">
        <v>-2.4250580000000001E-2</v>
      </c>
      <c r="W7722">
        <v>-0.1058648</v>
      </c>
      <c r="X7722">
        <v>0.99408479999999999</v>
      </c>
      <c r="Y7722">
        <v>-5.2868659999999998E-2</v>
      </c>
      <c r="Z7722">
        <v>4.6099440000000004E-3</v>
      </c>
      <c r="AA7722">
        <v>0.9985908</v>
      </c>
      <c r="AB7722">
        <v>24</v>
      </c>
      <c r="AC7722">
        <v>15.964399999999999</v>
      </c>
      <c r="AD7722">
        <v>-1.1193961429899999</v>
      </c>
      <c r="AE7722">
        <v>0.20268</v>
      </c>
      <c r="AF7722">
        <v>-0.84938981050304097</v>
      </c>
      <c r="AG7722">
        <v>-1.1193961429899999</v>
      </c>
      <c r="AH7722">
        <v>15.864865167502799</v>
      </c>
      <c r="AI7722">
        <v>94.030244571978002</v>
      </c>
      <c r="AJ7722">
        <v>93.064635655114401</v>
      </c>
      <c r="AK7722">
        <v>15.926972642601401</v>
      </c>
      <c r="AL7722">
        <v>96.076993554505407</v>
      </c>
      <c r="AM7722">
        <v>91.397446532391598</v>
      </c>
      <c r="AN7722">
        <v>1.0000000180502</v>
      </c>
    </row>
    <row r="7723" spans="1:40" x14ac:dyDescent="0.25">
      <c r="A7723" t="str">
        <f>"20190303154332408"</f>
        <v>20190303154332408</v>
      </c>
      <c r="B7723" t="str">
        <f>"1551599012398046"</f>
        <v>1551599012398046</v>
      </c>
      <c r="C7723" t="s">
        <v>40</v>
      </c>
      <c r="D7723">
        <v>5.4987849999999998</v>
      </c>
      <c r="E7723">
        <v>0.48940129999999998</v>
      </c>
      <c r="F7723" t="s">
        <v>69</v>
      </c>
      <c r="G7723">
        <v>-253.90299999999999</v>
      </c>
      <c r="H7723" s="1">
        <v>-1.0845519999999999E-6</v>
      </c>
      <c r="I7723">
        <v>-61.615830000000003</v>
      </c>
      <c r="J7723">
        <v>-269.89850000000001</v>
      </c>
      <c r="K7723">
        <v>1.1194200000000001</v>
      </c>
      <c r="L7723">
        <v>-61.81729</v>
      </c>
      <c r="M7723">
        <v>0.99914950000000002</v>
      </c>
      <c r="N7723">
        <v>-4.6007579999999999E-3</v>
      </c>
      <c r="O7723">
        <v>-4.0978500000000001E-2</v>
      </c>
      <c r="P7723">
        <v>0.99377139999999997</v>
      </c>
      <c r="Q7723">
        <v>-0.1102085</v>
      </c>
      <c r="R7723">
        <v>-1.65159E-2</v>
      </c>
      <c r="S7723">
        <v>2.9963380000000002</v>
      </c>
      <c r="T7723">
        <v>-0.20828070000000001</v>
      </c>
      <c r="U7723">
        <v>3.6621090000000002E-2</v>
      </c>
      <c r="V7723">
        <v>-2.4302420000000002E-2</v>
      </c>
      <c r="W7723">
        <v>-0.1056174</v>
      </c>
      <c r="X7723">
        <v>0.99410980000000004</v>
      </c>
      <c r="Y7723">
        <v>-5.296418E-2</v>
      </c>
      <c r="Z7723">
        <v>4.6167150000000004E-3</v>
      </c>
      <c r="AA7723">
        <v>0.99858579999999997</v>
      </c>
      <c r="AB7723">
        <v>24</v>
      </c>
      <c r="AC7723">
        <v>15.9955</v>
      </c>
      <c r="AD7723">
        <v>-1.1194210845520001</v>
      </c>
      <c r="AE7723">
        <v>0.201459999999997</v>
      </c>
      <c r="AF7723">
        <v>-0.85259418788291796</v>
      </c>
      <c r="AG7723">
        <v>-1.1194210845520001</v>
      </c>
      <c r="AH7723">
        <v>15.8959671601887</v>
      </c>
      <c r="AI7723">
        <v>94.022453504938397</v>
      </c>
      <c r="AJ7723">
        <v>93.070167718525397</v>
      </c>
      <c r="AK7723">
        <v>15.9581262174339</v>
      </c>
      <c r="AL7723">
        <v>96.062738962346302</v>
      </c>
      <c r="AM7723">
        <v>91.400397434453794</v>
      </c>
      <c r="AN7723">
        <v>0.99999996862832696</v>
      </c>
    </row>
    <row r="7724" spans="1:40" x14ac:dyDescent="0.25">
      <c r="A7724" t="str">
        <f>"20190303154332419"</f>
        <v>20190303154332419</v>
      </c>
      <c r="B7724" t="str">
        <f>"1551599012408312"</f>
        <v>1551599012408312</v>
      </c>
      <c r="C7724" t="s">
        <v>40</v>
      </c>
      <c r="D7724">
        <v>5.5183839999999904</v>
      </c>
      <c r="E7724">
        <v>0.4893421</v>
      </c>
      <c r="F7724" t="s">
        <v>69</v>
      </c>
      <c r="G7724">
        <v>-253.7679</v>
      </c>
      <c r="H7724" s="1">
        <v>-1.027511E-6</v>
      </c>
      <c r="I7724">
        <v>-61.619979999999998</v>
      </c>
      <c r="J7724">
        <v>-269.78789999999998</v>
      </c>
      <c r="K7724">
        <v>1.1194489999999999</v>
      </c>
      <c r="L7724">
        <v>-61.822020000000002</v>
      </c>
      <c r="M7724">
        <v>0.99914159999999996</v>
      </c>
      <c r="N7724">
        <v>-4.624647E-3</v>
      </c>
      <c r="O7724">
        <v>-4.116794E-2</v>
      </c>
      <c r="P7724">
        <v>0.99377300000000002</v>
      </c>
      <c r="Q7724">
        <v>-0.1101299</v>
      </c>
      <c r="R7724">
        <v>-1.6939989999999999E-2</v>
      </c>
      <c r="S7724">
        <v>2.9963679999999999</v>
      </c>
      <c r="T7724">
        <v>-0.2079406</v>
      </c>
      <c r="U7724">
        <v>3.6651610000000001E-2</v>
      </c>
      <c r="V7724">
        <v>-2.4060450000000001E-2</v>
      </c>
      <c r="W7724">
        <v>-0.1055166</v>
      </c>
      <c r="X7724">
        <v>0.99412639999999997</v>
      </c>
      <c r="Y7724">
        <v>-5.3163410000000001E-2</v>
      </c>
      <c r="Z7724">
        <v>4.6283069999999999E-3</v>
      </c>
      <c r="AA7724">
        <v>0.99857510000000005</v>
      </c>
      <c r="AB7724">
        <v>24</v>
      </c>
      <c r="AC7724">
        <v>16.0199999999999</v>
      </c>
      <c r="AD7724">
        <v>-1.119450027511</v>
      </c>
      <c r="AE7724">
        <v>0.20203999999998901</v>
      </c>
      <c r="AF7724">
        <v>-0.857201100997669</v>
      </c>
      <c r="AG7724">
        <v>-1.119450027511</v>
      </c>
      <c r="AH7724">
        <v>15.9203745431792</v>
      </c>
      <c r="AI7724">
        <v>94.016365982433598</v>
      </c>
      <c r="AJ7724">
        <v>93.0820019886186</v>
      </c>
      <c r="AK7724">
        <v>15.982687123470701</v>
      </c>
      <c r="AL7724">
        <v>96.056931033388807</v>
      </c>
      <c r="AM7724">
        <v>91.386436534677102</v>
      </c>
      <c r="AN7724">
        <v>0.99999997865335999</v>
      </c>
    </row>
    <row r="7725" spans="1:40" x14ac:dyDescent="0.25">
      <c r="A7725" t="str">
        <f>"20190303154332428"</f>
        <v>20190303154332428</v>
      </c>
      <c r="B7725" t="str">
        <f>"1551599012418072"</f>
        <v>1551599012418072</v>
      </c>
      <c r="C7725" t="s">
        <v>40</v>
      </c>
      <c r="D7725">
        <v>5.4607359999999998</v>
      </c>
      <c r="E7725">
        <v>0.48927730000000003</v>
      </c>
      <c r="F7725" t="s">
        <v>69</v>
      </c>
      <c r="G7725">
        <v>-253.67349999999999</v>
      </c>
      <c r="H7725" s="1">
        <v>-9.8900629999999996E-7</v>
      </c>
      <c r="I7725">
        <v>-61.629010000000001</v>
      </c>
      <c r="J7725">
        <v>-269.67700000000002</v>
      </c>
      <c r="K7725">
        <v>1.119478</v>
      </c>
      <c r="L7725">
        <v>-61.826779999999999</v>
      </c>
      <c r="M7725">
        <v>0.99913450000000004</v>
      </c>
      <c r="N7725">
        <v>-4.6489720000000003E-3</v>
      </c>
      <c r="O7725">
        <v>-4.1334610000000001E-2</v>
      </c>
      <c r="P7725">
        <v>0.99378060000000001</v>
      </c>
      <c r="Q7725">
        <v>-0.1100648</v>
      </c>
      <c r="R7725">
        <v>-1.6904740000000001E-2</v>
      </c>
      <c r="S7725">
        <v>2.9963380000000002</v>
      </c>
      <c r="T7725">
        <v>-0.2081528</v>
      </c>
      <c r="U7725">
        <v>3.5888669999999998E-2</v>
      </c>
      <c r="V7725">
        <v>-2.425503E-2</v>
      </c>
      <c r="W7725">
        <v>-0.1054288</v>
      </c>
      <c r="X7725">
        <v>0.99413099999999999</v>
      </c>
      <c r="Y7725">
        <v>-5.3075329999999997E-2</v>
      </c>
      <c r="Z7725">
        <v>4.6403089999999996E-3</v>
      </c>
      <c r="AA7725">
        <v>0.99857969999999896</v>
      </c>
      <c r="AB7725">
        <v>24</v>
      </c>
      <c r="AC7725">
        <v>16.003499999999999</v>
      </c>
      <c r="AD7725">
        <v>-1.1194789890062999</v>
      </c>
      <c r="AE7725">
        <v>0.197770000000005</v>
      </c>
      <c r="AF7725">
        <v>-0.85492382200798001</v>
      </c>
      <c r="AG7725">
        <v>-1.1194789890062999</v>
      </c>
      <c r="AH7725">
        <v>15.903837251924999</v>
      </c>
      <c r="AI7725">
        <v>94.0206510535577</v>
      </c>
      <c r="AJ7725">
        <v>93.077020048313003</v>
      </c>
      <c r="AK7725">
        <v>15.966094302739799</v>
      </c>
      <c r="AL7725">
        <v>96.051872167344399</v>
      </c>
      <c r="AM7725">
        <v>91.397637933858704</v>
      </c>
      <c r="AN7725">
        <v>0.99999999175537002</v>
      </c>
    </row>
    <row r="7726" spans="1:40" x14ac:dyDescent="0.25">
      <c r="A7726" t="str">
        <f>"20190303154332438"</f>
        <v>20190303154332438</v>
      </c>
      <c r="B7726" t="str">
        <f>"1551599012427832"</f>
        <v>1551599012427832</v>
      </c>
      <c r="C7726" t="s">
        <v>40</v>
      </c>
      <c r="D7726">
        <v>5.5111980000000003</v>
      </c>
      <c r="E7726">
        <v>0.48927399999999999</v>
      </c>
      <c r="F7726" t="s">
        <v>69</v>
      </c>
      <c r="G7726">
        <v>-253.55950000000001</v>
      </c>
      <c r="H7726" s="1">
        <v>-9.4043719999999998E-7</v>
      </c>
      <c r="I7726">
        <v>-61.630450000000003</v>
      </c>
      <c r="J7726">
        <v>-269.57350000000002</v>
      </c>
      <c r="K7726">
        <v>1.119505</v>
      </c>
      <c r="L7726">
        <v>-61.831240000000001</v>
      </c>
      <c r="M7726">
        <v>0.99912840000000003</v>
      </c>
      <c r="N7726">
        <v>-4.672069E-3</v>
      </c>
      <c r="O7726">
        <v>-4.147899E-2</v>
      </c>
      <c r="P7726">
        <v>0.99377559999999998</v>
      </c>
      <c r="Q7726">
        <v>-0.11006050000000001</v>
      </c>
      <c r="R7726">
        <v>-1.7214750000000001E-2</v>
      </c>
      <c r="S7726">
        <v>2.9963380000000002</v>
      </c>
      <c r="T7726">
        <v>-0.2081182</v>
      </c>
      <c r="U7726">
        <v>3.649902E-2</v>
      </c>
      <c r="V7726">
        <v>-2.408254E-2</v>
      </c>
      <c r="W7726">
        <v>-0.105403</v>
      </c>
      <c r="X7726">
        <v>0.99413790000000002</v>
      </c>
      <c r="Y7726">
        <v>-5.3421929999999999E-2</v>
      </c>
      <c r="Z7726">
        <v>4.6613569999999997E-3</v>
      </c>
      <c r="AA7726">
        <v>0.99856109999999998</v>
      </c>
      <c r="AB7726">
        <v>24</v>
      </c>
      <c r="AC7726">
        <v>16.013999999999999</v>
      </c>
      <c r="AD7726">
        <v>-1.1195059404372001</v>
      </c>
      <c r="AE7726">
        <v>0.200789999999997</v>
      </c>
      <c r="AF7726">
        <v>-0.860663516022659</v>
      </c>
      <c r="AG7726">
        <v>-1.1195059404372001</v>
      </c>
      <c r="AH7726">
        <v>15.914126962265</v>
      </c>
      <c r="AI7726">
        <v>94.018086154525406</v>
      </c>
      <c r="AJ7726">
        <v>93.095639146231704</v>
      </c>
      <c r="AK7726">
        <v>15.9766539741454</v>
      </c>
      <c r="AL7726">
        <v>96.050385830275403</v>
      </c>
      <c r="AM7726">
        <v>91.387692883882195</v>
      </c>
      <c r="AN7726">
        <v>0.99999996267913005</v>
      </c>
    </row>
    <row r="7727" spans="1:40" x14ac:dyDescent="0.25">
      <c r="A7727" t="str">
        <f>"20190303154332449"</f>
        <v>20190303154332449</v>
      </c>
      <c r="B7727" t="str">
        <f>"1551599012437592"</f>
        <v>1551599012437592</v>
      </c>
      <c r="C7727" t="s">
        <v>40</v>
      </c>
      <c r="D7727">
        <v>5.5856870000000001</v>
      </c>
      <c r="E7727">
        <v>0.48927399999999999</v>
      </c>
      <c r="F7727" t="s">
        <v>69</v>
      </c>
      <c r="G7727">
        <v>-253.47720000000001</v>
      </c>
      <c r="H7727" s="1">
        <v>-9.0725019999999996E-7</v>
      </c>
      <c r="I7727">
        <v>-61.640079999999998</v>
      </c>
      <c r="J7727">
        <v>-269.45269999999999</v>
      </c>
      <c r="K7727">
        <v>1.119534</v>
      </c>
      <c r="L7727">
        <v>-61.836399999999998</v>
      </c>
      <c r="M7727">
        <v>0.99912259999999997</v>
      </c>
      <c r="N7727">
        <v>-4.6998819999999998E-3</v>
      </c>
      <c r="O7727">
        <v>-4.1619299999999998E-2</v>
      </c>
      <c r="P7727">
        <v>0.99379459999999997</v>
      </c>
      <c r="Q7727">
        <v>-0.10984720000000001</v>
      </c>
      <c r="R7727">
        <v>-1.749734E-2</v>
      </c>
      <c r="S7727">
        <v>2.9963069999999998</v>
      </c>
      <c r="T7727">
        <v>-0.2083951</v>
      </c>
      <c r="U7727">
        <v>3.5583499999999997E-2</v>
      </c>
      <c r="V7727">
        <v>-2.3932889999999998E-2</v>
      </c>
      <c r="W7727">
        <v>-0.1051637</v>
      </c>
      <c r="X7727">
        <v>0.99416689999999996</v>
      </c>
      <c r="Y7727">
        <v>-5.3256749999999999E-2</v>
      </c>
      <c r="Z7727">
        <v>4.6702339999999997E-3</v>
      </c>
      <c r="AA7727">
        <v>0.99856990000000001</v>
      </c>
      <c r="AB7727">
        <v>25</v>
      </c>
      <c r="AC7727">
        <v>15.975499999999901</v>
      </c>
      <c r="AD7727">
        <v>-1.1195349072501899</v>
      </c>
      <c r="AE7727">
        <v>0.196319999999992</v>
      </c>
      <c r="AF7727">
        <v>-0.85683902255946398</v>
      </c>
      <c r="AG7727">
        <v>-1.1195349072501899</v>
      </c>
      <c r="AH7727">
        <v>15.875534463963</v>
      </c>
      <c r="AI7727">
        <v>94.027949320271702</v>
      </c>
      <c r="AJ7727">
        <v>93.089387212434602</v>
      </c>
      <c r="AK7727">
        <v>15.938008847895899</v>
      </c>
      <c r="AL7727">
        <v>96.036598059639601</v>
      </c>
      <c r="AM7727">
        <v>91.379032825377095</v>
      </c>
      <c r="AN7727">
        <v>1.0000000060385199</v>
      </c>
    </row>
    <row r="7728" spans="1:40" x14ac:dyDescent="0.25">
      <c r="A7728" t="str">
        <f>"20190303154332471"</f>
        <v>20190303154332471</v>
      </c>
      <c r="B7728" t="str">
        <f>"1551599012467848"</f>
        <v>1551599012467848</v>
      </c>
      <c r="C7728" t="s">
        <v>40</v>
      </c>
      <c r="D7728">
        <v>5.5135839999999998</v>
      </c>
      <c r="E7728">
        <v>0.50293239999999995</v>
      </c>
      <c r="F7728" t="s">
        <v>69</v>
      </c>
      <c r="G7728">
        <v>-253.30680000000001</v>
      </c>
      <c r="H7728" s="1">
        <v>-8.3620359999999901E-7</v>
      </c>
      <c r="I7728">
        <v>-61.649259999999998</v>
      </c>
      <c r="J7728">
        <v>-269.20589999999999</v>
      </c>
      <c r="K7728">
        <v>1.1195999999999999</v>
      </c>
      <c r="L7728">
        <v>-61.84695</v>
      </c>
      <c r="M7728">
        <v>0.99911289999999997</v>
      </c>
      <c r="N7728">
        <v>-4.7585750000000001E-3</v>
      </c>
      <c r="O7728">
        <v>-4.1842320000000002E-2</v>
      </c>
      <c r="P7728">
        <v>0.99381920000000001</v>
      </c>
      <c r="Q7728">
        <v>-0.1095473</v>
      </c>
      <c r="R7728">
        <v>-1.7964939999999999E-2</v>
      </c>
      <c r="S7728">
        <v>2.9963679999999999</v>
      </c>
      <c r="T7728">
        <v>-0.207764</v>
      </c>
      <c r="U7728">
        <v>3.4729000000000003E-2</v>
      </c>
      <c r="V7728">
        <v>-2.367209E-2</v>
      </c>
      <c r="W7728">
        <v>-0.1048091</v>
      </c>
      <c r="X7728">
        <v>0.99421060000000006</v>
      </c>
      <c r="Y7728">
        <v>-5.3195810000000003E-2</v>
      </c>
      <c r="Z7728">
        <v>4.6670640000000003E-3</v>
      </c>
      <c r="AA7728">
        <v>0.99857320000000005</v>
      </c>
      <c r="AB7728">
        <v>25</v>
      </c>
      <c r="AC7728">
        <v>15.899099999999899</v>
      </c>
      <c r="AD7728">
        <v>-1.1196008362035901</v>
      </c>
      <c r="AE7728">
        <v>0.197690000000001</v>
      </c>
      <c r="AF7728">
        <v>-0.85852299063807003</v>
      </c>
      <c r="AG7728">
        <v>-1.1196008362035901</v>
      </c>
      <c r="AH7728">
        <v>15.7985730632835</v>
      </c>
      <c r="AI7728">
        <v>94.047663142306405</v>
      </c>
      <c r="AJ7728">
        <v>93.110496736938401</v>
      </c>
      <c r="AK7728">
        <v>15.8614462957761</v>
      </c>
      <c r="AL7728">
        <v>96.016168011658095</v>
      </c>
      <c r="AM7728">
        <v>91.363951091423502</v>
      </c>
      <c r="AN7728">
        <v>1.00000001622006</v>
      </c>
    </row>
    <row r="7729" spans="1:40" x14ac:dyDescent="0.25">
      <c r="A7729" t="str">
        <f>"20190303154332484"</f>
        <v>20190303154332484</v>
      </c>
      <c r="B7729" t="str">
        <f>"1551599012477608"</f>
        <v>1551599012477608</v>
      </c>
      <c r="C7729" t="s">
        <v>40</v>
      </c>
      <c r="D7729">
        <v>5.5380699999999896</v>
      </c>
      <c r="E7729">
        <v>0.504799</v>
      </c>
      <c r="F7729" t="s">
        <v>68</v>
      </c>
      <c r="G7729">
        <v>-249.71889999999999</v>
      </c>
      <c r="H7729" s="1">
        <v>-3.5275929999999999E-6</v>
      </c>
      <c r="I7729">
        <v>-62.335009999999997</v>
      </c>
      <c r="J7729">
        <v>-269.07</v>
      </c>
      <c r="K7729">
        <v>1.11964</v>
      </c>
      <c r="L7729">
        <v>-61.852780000000003</v>
      </c>
      <c r="M7729">
        <v>0.99910940000000004</v>
      </c>
      <c r="N7729">
        <v>-4.7927619999999999E-3</v>
      </c>
      <c r="O7729">
        <v>-4.1922189999999998E-2</v>
      </c>
      <c r="P7729">
        <v>0.99382809999999999</v>
      </c>
      <c r="Q7729">
        <v>-0.1094599</v>
      </c>
      <c r="R7729">
        <v>-1.8011340000000001E-2</v>
      </c>
      <c r="S7729">
        <v>2.9983520000000001</v>
      </c>
      <c r="T7729">
        <v>-0.17226669999999999</v>
      </c>
      <c r="U7729">
        <v>-7.5103760000000006E-2</v>
      </c>
      <c r="V7729">
        <v>-2.3697050000000001E-2</v>
      </c>
      <c r="W7729">
        <v>-0.10468959999999999</v>
      </c>
      <c r="X7729">
        <v>0.99422259999999996</v>
      </c>
      <c r="Y7729">
        <v>-1.680305E-2</v>
      </c>
      <c r="Z7729">
        <v>2.7271079999999998E-3</v>
      </c>
      <c r="AA7729">
        <v>0.9998551</v>
      </c>
      <c r="AB7729">
        <v>25</v>
      </c>
      <c r="AC7729">
        <v>19.351099999999999</v>
      </c>
      <c r="AD7729">
        <v>-1.1196435275929999</v>
      </c>
      <c r="AE7729">
        <v>-0.482229999999994</v>
      </c>
      <c r="AF7729">
        <v>-0.32834521975841202</v>
      </c>
      <c r="AG7729">
        <v>-1.1196435275929999</v>
      </c>
      <c r="AH7729">
        <v>19.289767482530301</v>
      </c>
      <c r="AI7729">
        <v>93.321434100742593</v>
      </c>
      <c r="AJ7729">
        <v>90.975179131261498</v>
      </c>
      <c r="AK7729">
        <v>19.3250237190618</v>
      </c>
      <c r="AL7729">
        <v>96.009283265441198</v>
      </c>
      <c r="AM7729">
        <v>91.365372232229603</v>
      </c>
      <c r="AN7729">
        <v>1.00000002043881</v>
      </c>
    </row>
    <row r="7730" spans="1:40" x14ac:dyDescent="0.25">
      <c r="A7730" t="str">
        <f>"20190303154332508"</f>
        <v>20190303154332508</v>
      </c>
      <c r="B7730" t="str">
        <f>"1551599012498104"</f>
        <v>1551599012498104</v>
      </c>
      <c r="C7730" t="s">
        <v>40</v>
      </c>
      <c r="D7730">
        <v>5.5614589999999904</v>
      </c>
      <c r="E7730">
        <v>0.5056233</v>
      </c>
      <c r="F7730" t="s">
        <v>68</v>
      </c>
      <c r="G7730">
        <v>-248.82499999999999</v>
      </c>
      <c r="H7730" s="1">
        <v>-3.2456809999999998E-6</v>
      </c>
      <c r="I7730">
        <v>-62.460729999999998</v>
      </c>
      <c r="J7730">
        <v>-268.80489999999998</v>
      </c>
      <c r="K7730">
        <v>1.119705</v>
      </c>
      <c r="L7730">
        <v>-61.86401</v>
      </c>
      <c r="M7730">
        <v>0.99910520000000003</v>
      </c>
      <c r="N7730">
        <v>-4.862346E-3</v>
      </c>
      <c r="O7730">
        <v>-4.2016039999999998E-2</v>
      </c>
      <c r="P7730">
        <v>0.99388279999999996</v>
      </c>
      <c r="Q7730">
        <v>-0.1089691</v>
      </c>
      <c r="R7730">
        <v>-1.7976789999999999E-2</v>
      </c>
      <c r="S7730">
        <v>2.998688</v>
      </c>
      <c r="T7730">
        <v>-0.16584090000000001</v>
      </c>
      <c r="U7730">
        <v>-9.0057369999999998E-2</v>
      </c>
      <c r="V7730">
        <v>-2.381223E-2</v>
      </c>
      <c r="W7730">
        <v>-0.10413269999999999</v>
      </c>
      <c r="X7730">
        <v>0.99427829999999995</v>
      </c>
      <c r="Y7730">
        <v>-1.193225E-2</v>
      </c>
      <c r="Z7730">
        <v>2.4749809999999998E-3</v>
      </c>
      <c r="AA7730">
        <v>0.99992570000000003</v>
      </c>
      <c r="AB7730">
        <v>25</v>
      </c>
      <c r="AC7730">
        <v>19.979899999999901</v>
      </c>
      <c r="AD7730">
        <v>-1.1197082456809999</v>
      </c>
      <c r="AE7730">
        <v>-0.59672000000000402</v>
      </c>
      <c r="AF7730">
        <v>-0.242532039766022</v>
      </c>
      <c r="AG7730">
        <v>-1.1197082456809999</v>
      </c>
      <c r="AH7730">
        <v>19.9248065734369</v>
      </c>
      <c r="AI7730">
        <v>93.216212518392197</v>
      </c>
      <c r="AJ7730">
        <v>90.697390761350604</v>
      </c>
      <c r="AK7730">
        <v>19.957717437989601</v>
      </c>
      <c r="AL7730">
        <v>95.977200069841501</v>
      </c>
      <c r="AM7730">
        <v>91.371929290457999</v>
      </c>
      <c r="AN7730">
        <v>0.99999998967887604</v>
      </c>
    </row>
    <row r="7731" spans="1:40" x14ac:dyDescent="0.25">
      <c r="A7731" t="str">
        <f>"20190303154332521"</f>
        <v>20190303154332521</v>
      </c>
      <c r="B7731" t="str">
        <f>"1551599012508371"</f>
        <v>1551599012508371</v>
      </c>
      <c r="C7731" t="s">
        <v>40</v>
      </c>
      <c r="D7731">
        <v>5.5271670000000004</v>
      </c>
      <c r="E7731">
        <v>0.50630500000000001</v>
      </c>
      <c r="F7731" t="s">
        <v>68</v>
      </c>
      <c r="G7731">
        <v>-248.00970000000001</v>
      </c>
      <c r="H7731" s="1">
        <v>-2.9809729999999998E-6</v>
      </c>
      <c r="I7731">
        <v>-62.532420000000002</v>
      </c>
      <c r="J7731">
        <v>-268.66759999999999</v>
      </c>
      <c r="K7731">
        <v>1.1197379999999999</v>
      </c>
      <c r="L7731">
        <v>-61.869810000000001</v>
      </c>
      <c r="M7731">
        <v>0.99910410000000005</v>
      </c>
      <c r="N7731">
        <v>-4.8993120000000003E-3</v>
      </c>
      <c r="O7731">
        <v>-4.2035160000000002E-2</v>
      </c>
      <c r="P7731">
        <v>0.99387950000000003</v>
      </c>
      <c r="Q7731">
        <v>-0.1090071</v>
      </c>
      <c r="R7731">
        <v>-1.791858E-2</v>
      </c>
      <c r="S7731">
        <v>2.9990230000000002</v>
      </c>
      <c r="T7731">
        <v>-0.16148100000000001</v>
      </c>
      <c r="U7731">
        <v>-9.6405030000000003E-2</v>
      </c>
      <c r="V7731">
        <v>-2.3882380000000002E-2</v>
      </c>
      <c r="W7731">
        <v>-0.10413559999999999</v>
      </c>
      <c r="X7731">
        <v>0.9942763</v>
      </c>
      <c r="Y7731">
        <v>-9.8477259999999994E-3</v>
      </c>
      <c r="Z7731">
        <v>2.3434369999999999E-3</v>
      </c>
      <c r="AA7731">
        <v>0.99994870000000002</v>
      </c>
      <c r="AB7731">
        <v>25</v>
      </c>
      <c r="AC7731">
        <v>20.657899999999898</v>
      </c>
      <c r="AD7731">
        <v>-1.1197409809729999</v>
      </c>
      <c r="AE7731">
        <v>-0.66260999999999304</v>
      </c>
      <c r="AF7731">
        <v>-0.20574038530088001</v>
      </c>
      <c r="AG7731">
        <v>-1.1197409809729999</v>
      </c>
      <c r="AH7731">
        <v>20.607011249348201</v>
      </c>
      <c r="AI7731">
        <v>93.110116865542693</v>
      </c>
      <c r="AJ7731">
        <v>90.572022014991802</v>
      </c>
      <c r="AK7731">
        <v>20.638436510583201</v>
      </c>
      <c r="AL7731">
        <v>95.977367217949507</v>
      </c>
      <c r="AM7731">
        <v>91.375972161566494</v>
      </c>
      <c r="AN7731">
        <v>0.99999997600175605</v>
      </c>
    </row>
    <row r="7732" spans="1:40" x14ac:dyDescent="0.25">
      <c r="A7732" t="str">
        <f>"20190303154332530"</f>
        <v>20190303154332530</v>
      </c>
      <c r="B7732" t="str">
        <f>"1551599012518131"</f>
        <v>1551599012518131</v>
      </c>
      <c r="C7732" t="s">
        <v>40</v>
      </c>
      <c r="D7732">
        <v>5.50197</v>
      </c>
      <c r="E7732">
        <v>0.50650050000000002</v>
      </c>
      <c r="F7732" t="s">
        <v>68</v>
      </c>
      <c r="G7732">
        <v>-246.96209999999999</v>
      </c>
      <c r="H7732" s="1">
        <v>-2.5649230000000002E-6</v>
      </c>
      <c r="I7732">
        <v>-62.605089999999997</v>
      </c>
      <c r="J7732">
        <v>-268.54849999999999</v>
      </c>
      <c r="K7732">
        <v>1.119761</v>
      </c>
      <c r="L7732">
        <v>-61.874850000000002</v>
      </c>
      <c r="M7732">
        <v>0.99910410000000005</v>
      </c>
      <c r="N7732">
        <v>-4.9315590000000003E-3</v>
      </c>
      <c r="O7732">
        <v>-4.20344E-2</v>
      </c>
      <c r="P7732">
        <v>0.9938806</v>
      </c>
      <c r="Q7732">
        <v>-0.1090391</v>
      </c>
      <c r="R7732">
        <v>-1.7672719999999999E-2</v>
      </c>
      <c r="S7732">
        <v>2.999695</v>
      </c>
      <c r="T7732">
        <v>-0.15474779999999999</v>
      </c>
      <c r="U7732">
        <v>-0.10162350000000001</v>
      </c>
      <c r="V7732">
        <v>-2.412181E-2</v>
      </c>
      <c r="W7732">
        <v>-0.1041367</v>
      </c>
      <c r="X7732">
        <v>0.9942704</v>
      </c>
      <c r="Y7732">
        <v>-8.1247590000000005E-3</v>
      </c>
      <c r="Z7732">
        <v>2.187769E-3</v>
      </c>
      <c r="AA7732">
        <v>0.99996459999999998</v>
      </c>
      <c r="AB7732">
        <v>25</v>
      </c>
      <c r="AC7732">
        <v>21.586400000000001</v>
      </c>
      <c r="AD7732">
        <v>-1.119763564923</v>
      </c>
      <c r="AE7732">
        <v>-0.730240000000002</v>
      </c>
      <c r="AF7732">
        <v>-0.17731116175591999</v>
      </c>
      <c r="AG7732">
        <v>-1.119763564923</v>
      </c>
      <c r="AH7732">
        <v>21.5401209281805</v>
      </c>
      <c r="AI7732">
        <v>92.975742716583198</v>
      </c>
      <c r="AJ7732">
        <v>90.471629282352893</v>
      </c>
      <c r="AK7732">
        <v>21.569935542093098</v>
      </c>
      <c r="AL7732">
        <v>95.977430616891994</v>
      </c>
      <c r="AM7732">
        <v>91.389769669476706</v>
      </c>
      <c r="AN7732">
        <v>0.99999997116036199</v>
      </c>
    </row>
    <row r="7733" spans="1:40" x14ac:dyDescent="0.25">
      <c r="A7733" t="str">
        <f>"20190303154332539"</f>
        <v>20190303154332539</v>
      </c>
      <c r="B7733" t="str">
        <f>"1551599012527891"</f>
        <v>1551599012527891</v>
      </c>
      <c r="C7733" t="s">
        <v>40</v>
      </c>
      <c r="D7733">
        <v>5.538538</v>
      </c>
      <c r="E7733">
        <v>0.50683800000000001</v>
      </c>
      <c r="F7733" t="s">
        <v>68</v>
      </c>
      <c r="G7733">
        <v>-246.95930000000001</v>
      </c>
      <c r="H7733" s="1">
        <v>-2.5654850000000001E-6</v>
      </c>
      <c r="I7733">
        <v>-62.611710000000002</v>
      </c>
      <c r="J7733">
        <v>-268.45139999999998</v>
      </c>
      <c r="K7733">
        <v>1.1197779999999999</v>
      </c>
      <c r="L7733">
        <v>-61.87894</v>
      </c>
      <c r="M7733">
        <v>0.99910429999999995</v>
      </c>
      <c r="N7733">
        <v>-4.9575599999999997E-3</v>
      </c>
      <c r="O7733">
        <v>-4.2024119999999998E-2</v>
      </c>
      <c r="P7733">
        <v>0.99389970000000005</v>
      </c>
      <c r="Q7733">
        <v>-0.1089369</v>
      </c>
      <c r="R7733">
        <v>-1.7218870000000001E-2</v>
      </c>
      <c r="S7733">
        <v>2.9995729999999998</v>
      </c>
      <c r="T7733">
        <v>-0.15557850000000001</v>
      </c>
      <c r="U7733">
        <v>-0.10238650000000001</v>
      </c>
      <c r="V7733">
        <v>-2.4562110000000002E-2</v>
      </c>
      <c r="W7733">
        <v>-0.10400959999999999</v>
      </c>
      <c r="X7733">
        <v>0.99427290000000002</v>
      </c>
      <c r="Y7733">
        <v>-7.8588300000000007E-3</v>
      </c>
      <c r="Z7733">
        <v>2.191569E-3</v>
      </c>
      <c r="AA7733">
        <v>0.99996669999999999</v>
      </c>
      <c r="AB7733">
        <v>25</v>
      </c>
      <c r="AC7733">
        <v>21.492099999999901</v>
      </c>
      <c r="AD7733">
        <v>-1.1197805654849999</v>
      </c>
      <c r="AE7733">
        <v>-0.73276999999999404</v>
      </c>
      <c r="AF7733">
        <v>-0.17061242412460301</v>
      </c>
      <c r="AG7733">
        <v>-1.1197805654849999</v>
      </c>
      <c r="AH7733">
        <v>21.445758361058299</v>
      </c>
      <c r="AI7733">
        <v>92.988864429343295</v>
      </c>
      <c r="AJ7733">
        <v>90.455808810708405</v>
      </c>
      <c r="AK7733">
        <v>21.4756506023684</v>
      </c>
      <c r="AL7733">
        <v>95.970108707063105</v>
      </c>
      <c r="AM7733">
        <v>91.415123620719896</v>
      </c>
      <c r="AN7733">
        <v>0.99999994690710903</v>
      </c>
    </row>
    <row r="7734" spans="1:40" x14ac:dyDescent="0.25">
      <c r="A7734" t="str">
        <f>"20190303154332550"</f>
        <v>20190303154332550</v>
      </c>
      <c r="B7734" t="str">
        <f>"1551599012548386"</f>
        <v>1551599012548386</v>
      </c>
      <c r="C7734" t="s">
        <v>40</v>
      </c>
      <c r="D7734">
        <v>5.5334450000000004</v>
      </c>
      <c r="E7734">
        <v>0.50733439999999996</v>
      </c>
      <c r="F7734" t="s">
        <v>68</v>
      </c>
      <c r="G7734">
        <v>-246.62100000000001</v>
      </c>
      <c r="H7734" s="1">
        <v>-2.4261130000000001E-6</v>
      </c>
      <c r="I7734">
        <v>-62.633310000000002</v>
      </c>
      <c r="J7734">
        <v>-268.31979999999999</v>
      </c>
      <c r="K7734">
        <v>1.1197950000000001</v>
      </c>
      <c r="L7734">
        <v>-61.884459999999997</v>
      </c>
      <c r="M7734">
        <v>0.99910560000000004</v>
      </c>
      <c r="N7734">
        <v>-4.9923709999999998E-3</v>
      </c>
      <c r="O7734">
        <v>-4.1992729999999999E-2</v>
      </c>
      <c r="P7734">
        <v>0.99389059999999996</v>
      </c>
      <c r="Q7734">
        <v>-0.10907459999999999</v>
      </c>
      <c r="R7734">
        <v>-1.6874900000000002E-2</v>
      </c>
      <c r="S7734">
        <v>2.9997560000000001</v>
      </c>
      <c r="T7734">
        <v>-0.153870799999999</v>
      </c>
      <c r="U7734">
        <v>-0.1036682</v>
      </c>
      <c r="V7734">
        <v>-2.486905E-2</v>
      </c>
      <c r="W7734">
        <v>-0.104114</v>
      </c>
      <c r="X7734">
        <v>0.99425439999999998</v>
      </c>
      <c r="Y7734">
        <v>-7.4048480000000003E-3</v>
      </c>
      <c r="Z7734">
        <v>2.1497669999999999E-3</v>
      </c>
      <c r="AA7734">
        <v>0.99997029999999998</v>
      </c>
      <c r="AB7734">
        <v>25</v>
      </c>
      <c r="AC7734">
        <v>21.698799999999999</v>
      </c>
      <c r="AD7734">
        <v>-1.1197974261129999</v>
      </c>
      <c r="AE7734">
        <v>-0.74884999999999702</v>
      </c>
      <c r="AF7734">
        <v>-0.16258115237148499</v>
      </c>
      <c r="AG7734">
        <v>-1.1197974261129999</v>
      </c>
      <c r="AH7734">
        <v>21.653506503647499</v>
      </c>
      <c r="AI7734">
        <v>92.960294617319207</v>
      </c>
      <c r="AJ7734">
        <v>90.430186160208095</v>
      </c>
      <c r="AK7734">
        <v>21.683051510572501</v>
      </c>
      <c r="AL7734">
        <v>95.976122701455907</v>
      </c>
      <c r="AM7734">
        <v>91.432827012277599</v>
      </c>
      <c r="AN7734">
        <v>1.0000000032816301</v>
      </c>
    </row>
    <row r="7735" spans="1:40" x14ac:dyDescent="0.25">
      <c r="A7735" t="str">
        <f>"20190303154332561"</f>
        <v>20190303154332561</v>
      </c>
      <c r="B7735" t="str">
        <f>"1551599012558147"</f>
        <v>1551599012558147</v>
      </c>
      <c r="C7735" t="s">
        <v>40</v>
      </c>
      <c r="D7735">
        <v>5.4945459999999997</v>
      </c>
      <c r="E7735">
        <v>0.50739219999999996</v>
      </c>
      <c r="F7735" t="s">
        <v>68</v>
      </c>
      <c r="G7735">
        <v>-246.23099999999999</v>
      </c>
      <c r="H7735" s="1">
        <v>-2.2682140000000001E-6</v>
      </c>
      <c r="I7735">
        <v>-62.668610000000001</v>
      </c>
      <c r="J7735">
        <v>-268.20670000000001</v>
      </c>
      <c r="K7735">
        <v>1.119815</v>
      </c>
      <c r="L7735">
        <v>-61.889189999999999</v>
      </c>
      <c r="M7735">
        <v>0.99910699999999997</v>
      </c>
      <c r="N7735">
        <v>-5.0225189999999996E-3</v>
      </c>
      <c r="O7735">
        <v>-4.1951580000000002E-2</v>
      </c>
      <c r="P7735">
        <v>0.99387650000000005</v>
      </c>
      <c r="Q7735">
        <v>-0.1092196</v>
      </c>
      <c r="R7735">
        <v>-1.673796E-2</v>
      </c>
      <c r="S7735">
        <v>2.9999389999999999</v>
      </c>
      <c r="T7735">
        <v>-0.1520832</v>
      </c>
      <c r="U7735">
        <v>-0.1065063</v>
      </c>
      <c r="V7735">
        <v>-2.496025E-2</v>
      </c>
      <c r="W7735">
        <v>-0.1042302</v>
      </c>
      <c r="X7735">
        <v>0.99423989999999995</v>
      </c>
      <c r="Y7735">
        <v>-6.4237629999999999E-3</v>
      </c>
      <c r="Z7735">
        <v>2.092076E-3</v>
      </c>
      <c r="AA7735">
        <v>0.99997720000000001</v>
      </c>
      <c r="AB7735">
        <v>25</v>
      </c>
      <c r="AC7735">
        <v>21.9757</v>
      </c>
      <c r="AD7735">
        <v>-1.119817268214</v>
      </c>
      <c r="AE7735">
        <v>-0.779420000000001</v>
      </c>
      <c r="AF7735">
        <v>-0.142822776775576</v>
      </c>
      <c r="AG7735">
        <v>-1.119817268214</v>
      </c>
      <c r="AH7735">
        <v>21.932173371031698</v>
      </c>
      <c r="AI7735">
        <v>92.922819274443</v>
      </c>
      <c r="AJ7735">
        <v>90.373106053809593</v>
      </c>
      <c r="AK7735">
        <v>21.961207112468799</v>
      </c>
      <c r="AL7735">
        <v>95.982817129795393</v>
      </c>
      <c r="AM7735">
        <v>91.438100249840602</v>
      </c>
      <c r="AN7735">
        <v>0.99999996371205502</v>
      </c>
    </row>
    <row r="7736" spans="1:40" x14ac:dyDescent="0.25">
      <c r="A7736" t="str">
        <f>"20190303154332572"</f>
        <v>20190303154332572</v>
      </c>
      <c r="B7736" t="str">
        <f>"1551599012567907"</f>
        <v>1551599012567907</v>
      </c>
      <c r="C7736" t="s">
        <v>40</v>
      </c>
      <c r="D7736">
        <v>5.5430699999999904</v>
      </c>
      <c r="E7736">
        <v>0.50757059999999998</v>
      </c>
      <c r="F7736" t="s">
        <v>68</v>
      </c>
      <c r="G7736">
        <v>-246.08959999999999</v>
      </c>
      <c r="H7736" s="1">
        <v>-2.209048E-6</v>
      </c>
      <c r="I7736">
        <v>-62.674320000000002</v>
      </c>
      <c r="J7736">
        <v>-268.0745</v>
      </c>
      <c r="K7736">
        <v>1.1198380000000001</v>
      </c>
      <c r="L7736">
        <v>-61.894680000000001</v>
      </c>
      <c r="M7736">
        <v>0.99910949999999998</v>
      </c>
      <c r="N7736">
        <v>-5.0579860000000004E-3</v>
      </c>
      <c r="O7736">
        <v>-4.1889799999999998E-2</v>
      </c>
      <c r="P7736">
        <v>0.99390109999999998</v>
      </c>
      <c r="Q7736">
        <v>-0.10903599999999999</v>
      </c>
      <c r="R7736">
        <v>-1.6494720000000001E-2</v>
      </c>
      <c r="S7736">
        <v>3.0000309999999999</v>
      </c>
      <c r="T7736">
        <v>-0.15189549999999999</v>
      </c>
      <c r="U7736">
        <v>-0.1065063</v>
      </c>
      <c r="V7736">
        <v>-2.5138600000000001E-2</v>
      </c>
      <c r="W7736">
        <v>-0.1040123</v>
      </c>
      <c r="X7736">
        <v>0.99425830000000004</v>
      </c>
      <c r="Y7736">
        <v>-6.3633689999999998E-3</v>
      </c>
      <c r="Z7736">
        <v>2.0833259999999999E-3</v>
      </c>
      <c r="AA7736">
        <v>0.99997760000000002</v>
      </c>
      <c r="AB7736">
        <v>25</v>
      </c>
      <c r="AC7736">
        <v>21.9849</v>
      </c>
      <c r="AD7736">
        <v>-1.119840209048</v>
      </c>
      <c r="AE7736">
        <v>-0.77963999999998601</v>
      </c>
      <c r="AF7736">
        <v>-0.141632129502165</v>
      </c>
      <c r="AG7736">
        <v>-1.119840209048</v>
      </c>
      <c r="AH7736">
        <v>21.941404647538501</v>
      </c>
      <c r="AI7736">
        <v>92.921652531616004</v>
      </c>
      <c r="AJ7736">
        <v>90.369840066681306</v>
      </c>
      <c r="AK7736">
        <v>21.970419651452499</v>
      </c>
      <c r="AL7736">
        <v>95.970263706843099</v>
      </c>
      <c r="AM7736">
        <v>91.448344841405401</v>
      </c>
      <c r="AN7736">
        <v>1.0000000374400599</v>
      </c>
    </row>
    <row r="7737" spans="1:40" x14ac:dyDescent="0.25">
      <c r="A7737" t="str">
        <f>"20190303154332584"</f>
        <v>20190303154332584</v>
      </c>
      <c r="B7737" t="str">
        <f>"1551599012577667"</f>
        <v>1551599012577667</v>
      </c>
      <c r="C7737" t="s">
        <v>40</v>
      </c>
      <c r="D7737">
        <v>5.5477160000000003</v>
      </c>
      <c r="E7737">
        <v>0.50780930000000002</v>
      </c>
      <c r="F7737" t="s">
        <v>68</v>
      </c>
      <c r="G7737">
        <v>-246.14089999999999</v>
      </c>
      <c r="H7737" s="1">
        <v>-2.232179E-6</v>
      </c>
      <c r="I7737">
        <v>-62.678489999999996</v>
      </c>
      <c r="J7737">
        <v>-267.94150000000002</v>
      </c>
      <c r="K7737">
        <v>1.1198650000000001</v>
      </c>
      <c r="L7737">
        <v>-61.900179999999999</v>
      </c>
      <c r="M7737">
        <v>0.99911280000000002</v>
      </c>
      <c r="N7737">
        <v>-5.0953480000000004E-3</v>
      </c>
      <c r="O7737">
        <v>-4.1806919999999997E-2</v>
      </c>
      <c r="P7737">
        <v>0.99392190000000002</v>
      </c>
      <c r="Q7737">
        <v>-0.10889070000000001</v>
      </c>
      <c r="R7737">
        <v>-1.6204679999999999E-2</v>
      </c>
      <c r="S7737">
        <v>2.9998170000000002</v>
      </c>
      <c r="T7737">
        <v>-0.1531585</v>
      </c>
      <c r="U7737">
        <v>-0.10720830000000001</v>
      </c>
      <c r="V7737">
        <v>-2.5341530000000001E-2</v>
      </c>
      <c r="W7737">
        <v>-0.1038311</v>
      </c>
      <c r="X7737">
        <v>0.99427209999999999</v>
      </c>
      <c r="Y7737">
        <v>-6.0438779999999999E-3</v>
      </c>
      <c r="Z7737">
        <v>2.0881960000000001E-3</v>
      </c>
      <c r="AA7737">
        <v>0.99997959999999997</v>
      </c>
      <c r="AB7737">
        <v>25</v>
      </c>
      <c r="AC7737">
        <v>21.800599999999999</v>
      </c>
      <c r="AD7737">
        <v>-1.119867232179</v>
      </c>
      <c r="AE7737">
        <v>-0.77830999999999695</v>
      </c>
      <c r="AF7737">
        <v>-0.133446500381009</v>
      </c>
      <c r="AG7737">
        <v>-1.119867232179</v>
      </c>
      <c r="AH7737">
        <v>21.756741345881</v>
      </c>
      <c r="AI7737">
        <v>92.946483868945506</v>
      </c>
      <c r="AJ7737">
        <v>90.3514232789571</v>
      </c>
      <c r="AK7737">
        <v>21.785952000721501</v>
      </c>
      <c r="AL7737">
        <v>95.959825119387901</v>
      </c>
      <c r="AM7737">
        <v>91.460011231279296</v>
      </c>
      <c r="AN7737">
        <v>1.0000000496541701</v>
      </c>
    </row>
    <row r="7738" spans="1:40" x14ac:dyDescent="0.25">
      <c r="A7738" t="str">
        <f>"20190303154332595"</f>
        <v>20190303154332595</v>
      </c>
      <c r="B7738" t="str">
        <f>"1551599012588403"</f>
        <v>1551599012588403</v>
      </c>
      <c r="C7738" t="s">
        <v>40</v>
      </c>
      <c r="D7738">
        <v>5.5475500000000002</v>
      </c>
      <c r="E7738">
        <v>0.50787190000000004</v>
      </c>
      <c r="F7738" t="s">
        <v>68</v>
      </c>
      <c r="G7738">
        <v>-245.7697</v>
      </c>
      <c r="H7738" s="1">
        <v>-2.0788189999999998E-6</v>
      </c>
      <c r="I7738">
        <v>-62.700580000000002</v>
      </c>
      <c r="J7738">
        <v>-267.8143</v>
      </c>
      <c r="K7738">
        <v>1.1198870000000001</v>
      </c>
      <c r="L7738">
        <v>-61.9054</v>
      </c>
      <c r="M7738">
        <v>0.99911609999999995</v>
      </c>
      <c r="N7738">
        <v>-5.1316690000000002E-3</v>
      </c>
      <c r="O7738">
        <v>-4.1720590000000002E-2</v>
      </c>
      <c r="P7738">
        <v>0.99392210000000003</v>
      </c>
      <c r="Q7738">
        <v>-0.1089128</v>
      </c>
      <c r="R7738">
        <v>-1.6034949999999999E-2</v>
      </c>
      <c r="S7738">
        <v>2.9999389999999999</v>
      </c>
      <c r="T7738">
        <v>-0.15152280000000001</v>
      </c>
      <c r="U7738">
        <v>-0.1083069</v>
      </c>
      <c r="V7738">
        <v>-2.5420740000000001E-2</v>
      </c>
      <c r="W7738">
        <v>-0.1038183</v>
      </c>
      <c r="X7738">
        <v>0.99427129999999997</v>
      </c>
      <c r="Y7738">
        <v>-5.5951919999999997E-3</v>
      </c>
      <c r="Z7738">
        <v>2.0459129999999999E-3</v>
      </c>
      <c r="AA7738">
        <v>0.99998220000000004</v>
      </c>
      <c r="AB7738">
        <v>25</v>
      </c>
      <c r="AC7738">
        <v>22.044599999999999</v>
      </c>
      <c r="AD7738">
        <v>-1.1198890788189999</v>
      </c>
      <c r="AE7738">
        <v>-0.795180000000002</v>
      </c>
      <c r="AF7738">
        <v>-0.124916273278721</v>
      </c>
      <c r="AG7738">
        <v>-1.1198890788189999</v>
      </c>
      <c r="AH7738">
        <v>22.001873950423501</v>
      </c>
      <c r="AI7738">
        <v>92.913777253203193</v>
      </c>
      <c r="AJ7738">
        <v>90.325294943818406</v>
      </c>
      <c r="AK7738">
        <v>22.030710677472801</v>
      </c>
      <c r="AL7738">
        <v>95.959088429808503</v>
      </c>
      <c r="AM7738">
        <v>91.464573980590501</v>
      </c>
      <c r="AN7738">
        <v>0.99999993572036106</v>
      </c>
    </row>
    <row r="7739" spans="1:40" x14ac:dyDescent="0.25">
      <c r="A7739" t="str">
        <f>"20190303154332605"</f>
        <v>20190303154332605</v>
      </c>
      <c r="B7739" t="str">
        <f>"1551599012598163"</f>
        <v>1551599012598163</v>
      </c>
      <c r="C7739" t="s">
        <v>40</v>
      </c>
      <c r="D7739">
        <v>5.5549239999999998</v>
      </c>
      <c r="E7739">
        <v>0.5080382</v>
      </c>
      <c r="F7739" t="s">
        <v>68</v>
      </c>
      <c r="G7739">
        <v>-245.5583</v>
      </c>
      <c r="H7739" s="1">
        <v>-1.9904090000000001E-6</v>
      </c>
      <c r="I7739">
        <v>-62.70926</v>
      </c>
      <c r="J7739">
        <v>-267.69630000000001</v>
      </c>
      <c r="K7739">
        <v>1.119907</v>
      </c>
      <c r="L7739">
        <v>-61.910249999999998</v>
      </c>
      <c r="M7739">
        <v>0.99912020000000001</v>
      </c>
      <c r="N7739">
        <v>-5.1681799999999996E-3</v>
      </c>
      <c r="O7739">
        <v>-4.1620799999999999E-2</v>
      </c>
      <c r="P7739">
        <v>0.99390630000000002</v>
      </c>
      <c r="Q7739">
        <v>-0.10910160000000001</v>
      </c>
      <c r="R7739">
        <v>-1.5726799999999999E-2</v>
      </c>
      <c r="S7739">
        <v>3.0000610000000001</v>
      </c>
      <c r="T7739">
        <v>-0.15095829999999999</v>
      </c>
      <c r="U7739">
        <v>-0.1083679</v>
      </c>
      <c r="V7739">
        <v>-2.5624190000000002E-2</v>
      </c>
      <c r="W7739">
        <v>-0.10397199999999999</v>
      </c>
      <c r="X7739">
        <v>0.99425010000000003</v>
      </c>
      <c r="Y7739">
        <v>-5.4772149999999997E-3</v>
      </c>
      <c r="Z7739">
        <v>2.0282799999999999E-3</v>
      </c>
      <c r="AA7739">
        <v>0.99998299999999996</v>
      </c>
      <c r="AB7739">
        <v>25</v>
      </c>
      <c r="AC7739">
        <v>22.138000000000002</v>
      </c>
      <c r="AD7739">
        <v>-1.119908990409</v>
      </c>
      <c r="AE7739">
        <v>-0.799010000000002</v>
      </c>
      <c r="AF7739">
        <v>-0.12278206872404</v>
      </c>
      <c r="AG7739">
        <v>-1.119908990409</v>
      </c>
      <c r="AH7739">
        <v>22.095600850170399</v>
      </c>
      <c r="AI7739">
        <v>92.901491985067693</v>
      </c>
      <c r="AJ7739">
        <v>90.318381110225403</v>
      </c>
      <c r="AK7739">
        <v>22.124304475242901</v>
      </c>
      <c r="AL7739">
        <v>95.967942212238597</v>
      </c>
      <c r="AM7739">
        <v>91.476321714397699</v>
      </c>
      <c r="AN7739">
        <v>1.00000001862358</v>
      </c>
    </row>
    <row r="7740" spans="1:40" x14ac:dyDescent="0.25">
      <c r="A7740" t="str">
        <f>"20190303154332617"</f>
        <v>20190303154332617</v>
      </c>
      <c r="B7740" t="str">
        <f>"1551599012607923"</f>
        <v>1551599012607923</v>
      </c>
      <c r="C7740" t="s">
        <v>40</v>
      </c>
      <c r="D7740">
        <v>5.5480790000000004</v>
      </c>
      <c r="E7740">
        <v>0.50831170000000003</v>
      </c>
      <c r="F7740" t="s">
        <v>68</v>
      </c>
      <c r="G7740">
        <v>-245.3963</v>
      </c>
      <c r="H7740" s="1">
        <v>-1.9234309999999999E-6</v>
      </c>
      <c r="I7740">
        <v>-62.718640000000001</v>
      </c>
      <c r="J7740">
        <v>-267.5641</v>
      </c>
      <c r="K7740">
        <v>1.1199300000000001</v>
      </c>
      <c r="L7740">
        <v>-61.915649999999999</v>
      </c>
      <c r="M7740">
        <v>0.99912460000000003</v>
      </c>
      <c r="N7740">
        <v>-5.2096829999999997E-3</v>
      </c>
      <c r="O7740">
        <v>-4.1505630000000002E-2</v>
      </c>
      <c r="P7740">
        <v>0.99392499999999995</v>
      </c>
      <c r="Q7740">
        <v>-0.108948</v>
      </c>
      <c r="R7740">
        <v>-1.560576E-2</v>
      </c>
      <c r="S7740">
        <v>3.0001220000000002</v>
      </c>
      <c r="T7740">
        <v>-0.15066669999999999</v>
      </c>
      <c r="U7740">
        <v>-0.1087646</v>
      </c>
      <c r="V7740">
        <v>-2.5626610000000001E-2</v>
      </c>
      <c r="W7740">
        <v>-0.1037782</v>
      </c>
      <c r="X7740">
        <v>0.99427030000000005</v>
      </c>
      <c r="Y7740">
        <v>-5.2313759999999898E-3</v>
      </c>
      <c r="Z7740">
        <v>2.0103339999999999E-3</v>
      </c>
      <c r="AA7740">
        <v>0.99998430000000005</v>
      </c>
      <c r="AB7740">
        <v>25</v>
      </c>
      <c r="AC7740">
        <v>22.1678</v>
      </c>
      <c r="AD7740">
        <v>-1.1199319234309999</v>
      </c>
      <c r="AE7740">
        <v>-0.80299000000000098</v>
      </c>
      <c r="AF7740">
        <v>-0.117503535496588</v>
      </c>
      <c r="AG7740">
        <v>-1.1199319234309999</v>
      </c>
      <c r="AH7740">
        <v>22.125627818944398</v>
      </c>
      <c r="AI7740">
        <v>92.897624150802201</v>
      </c>
      <c r="AJ7740">
        <v>90.304280331564797</v>
      </c>
      <c r="AK7740">
        <v>22.154265074166201</v>
      </c>
      <c r="AL7740">
        <v>95.9567778051847</v>
      </c>
      <c r="AM7740">
        <v>91.476431096367506</v>
      </c>
      <c r="AN7740">
        <v>1.00000003369871</v>
      </c>
    </row>
    <row r="7741" spans="1:40" x14ac:dyDescent="0.25">
      <c r="A7741" t="str">
        <f>"20190303154332628"</f>
        <v>20190303154332628</v>
      </c>
      <c r="B7741" t="str">
        <f>"1551599012617682"</f>
        <v>1551599012617682</v>
      </c>
      <c r="C7741" t="s">
        <v>40</v>
      </c>
      <c r="D7741">
        <v>5.517754</v>
      </c>
      <c r="E7741">
        <v>0.5084398</v>
      </c>
      <c r="F7741" t="s">
        <v>68</v>
      </c>
      <c r="G7741">
        <v>-244.9759</v>
      </c>
      <c r="H7741" s="1">
        <v>-1.7507119999999999E-6</v>
      </c>
      <c r="I7741">
        <v>-62.747300000000003</v>
      </c>
      <c r="J7741">
        <v>-267.43529999999998</v>
      </c>
      <c r="K7741">
        <v>1.1199539999999999</v>
      </c>
      <c r="L7741">
        <v>-61.920870000000001</v>
      </c>
      <c r="M7741">
        <v>0.99912979999999996</v>
      </c>
      <c r="N7741">
        <v>-5.2531590000000003E-3</v>
      </c>
      <c r="O7741">
        <v>-4.1379029999999997E-2</v>
      </c>
      <c r="P7741">
        <v>0.99387190000000003</v>
      </c>
      <c r="Q7741">
        <v>-0.1094507</v>
      </c>
      <c r="R7741">
        <v>-1.547568E-2</v>
      </c>
      <c r="S7741">
        <v>3.000305</v>
      </c>
      <c r="T7741">
        <v>-0.14875650000000001</v>
      </c>
      <c r="U7741">
        <v>-0.11047360000000001</v>
      </c>
      <c r="V7741">
        <v>-2.5624419999999998E-2</v>
      </c>
      <c r="W7741">
        <v>-0.1042389</v>
      </c>
      <c r="X7741">
        <v>0.9942221</v>
      </c>
      <c r="Y7741">
        <v>-4.5405419999999998E-3</v>
      </c>
      <c r="Z7741">
        <v>1.9559349999999998E-3</v>
      </c>
      <c r="AA7741">
        <v>0.99998779999999998</v>
      </c>
      <c r="AB7741">
        <v>26</v>
      </c>
      <c r="AC7741">
        <v>22.459399999999899</v>
      </c>
      <c r="AD7741">
        <v>-1.1199557507119999</v>
      </c>
      <c r="AE7741">
        <v>-0.82643000000000899</v>
      </c>
      <c r="AF7741">
        <v>-0.103382044697559</v>
      </c>
      <c r="AG7741">
        <v>-1.1199557507119999</v>
      </c>
      <c r="AH7741">
        <v>22.418689939847599</v>
      </c>
      <c r="AI7741">
        <v>92.859879704807497</v>
      </c>
      <c r="AJ7741">
        <v>90.264213157320697</v>
      </c>
      <c r="AK7741">
        <v>22.446885025538499</v>
      </c>
      <c r="AL7741">
        <v>95.983318285605094</v>
      </c>
      <c r="AM7741">
        <v>91.476376519048202</v>
      </c>
      <c r="AN7741">
        <v>0.99999997165097698</v>
      </c>
    </row>
    <row r="7742" spans="1:40" x14ac:dyDescent="0.25">
      <c r="A7742" t="str">
        <f>"20190303154332639"</f>
        <v>20190303154332639</v>
      </c>
      <c r="B7742" t="str">
        <f>"1551599012628419"</f>
        <v>1551599012628419</v>
      </c>
      <c r="C7742" t="s">
        <v>40</v>
      </c>
      <c r="D7742">
        <v>5.4426069999999998</v>
      </c>
      <c r="E7742">
        <v>0.50834020000000002</v>
      </c>
      <c r="F7742" t="s">
        <v>68</v>
      </c>
      <c r="G7742">
        <v>-245.05240000000001</v>
      </c>
      <c r="H7742" s="1">
        <v>-1.7838190000000001E-6</v>
      </c>
      <c r="I7742">
        <v>-62.748390000000001</v>
      </c>
      <c r="J7742">
        <v>-267.31290000000001</v>
      </c>
      <c r="K7742">
        <v>1.1199730000000001</v>
      </c>
      <c r="L7742">
        <v>-61.925840000000001</v>
      </c>
      <c r="M7742">
        <v>0.99913470000000004</v>
      </c>
      <c r="N7742">
        <v>-5.2962209999999899E-3</v>
      </c>
      <c r="O7742">
        <v>-4.1254119999999998E-2</v>
      </c>
      <c r="P7742">
        <v>0.99388180000000004</v>
      </c>
      <c r="Q7742">
        <v>-0.1093836</v>
      </c>
      <c r="R7742">
        <v>-1.530624E-2</v>
      </c>
      <c r="S7742">
        <v>3.0002749999999998</v>
      </c>
      <c r="T7742">
        <v>-0.15012249999999999</v>
      </c>
      <c r="U7742">
        <v>-0.1109314</v>
      </c>
      <c r="V7742">
        <v>-2.5666439999999999E-2</v>
      </c>
      <c r="W7742">
        <v>-0.10413</v>
      </c>
      <c r="X7742">
        <v>0.99423249999999996</v>
      </c>
      <c r="Y7742">
        <v>-4.2624289999999999E-3</v>
      </c>
      <c r="Z7742">
        <v>1.9608260000000001E-3</v>
      </c>
      <c r="AA7742">
        <v>0.99998900000000002</v>
      </c>
      <c r="AB7742">
        <v>26</v>
      </c>
      <c r="AC7742">
        <v>22.2605</v>
      </c>
      <c r="AD7742">
        <v>-1.119974783819</v>
      </c>
      <c r="AE7742">
        <v>-0.822549999999999</v>
      </c>
      <c r="AF7742">
        <v>-9.6257114215271694E-2</v>
      </c>
      <c r="AG7742">
        <v>-1.119974783819</v>
      </c>
      <c r="AH7742">
        <v>22.219315398204898</v>
      </c>
      <c r="AI7742">
        <v>92.885550862273803</v>
      </c>
      <c r="AJ7742">
        <v>90.248211602952097</v>
      </c>
      <c r="AK7742">
        <v>22.247732147644498</v>
      </c>
      <c r="AL7742">
        <v>95.977044202468605</v>
      </c>
      <c r="AM7742">
        <v>91.478781007280404</v>
      </c>
      <c r="AN7742">
        <v>1.00000004354926</v>
      </c>
    </row>
    <row r="7743" spans="1:40" x14ac:dyDescent="0.25">
      <c r="A7743" t="str">
        <f>"20190303154332649"</f>
        <v>20190303154332649</v>
      </c>
      <c r="B7743" t="str">
        <f>"1551599012638179"</f>
        <v>1551599012638179</v>
      </c>
      <c r="C7743" t="s">
        <v>40</v>
      </c>
      <c r="D7743">
        <v>5.4818809999999996</v>
      </c>
      <c r="E7743">
        <v>0.50838119999999998</v>
      </c>
      <c r="F7743" t="s">
        <v>68</v>
      </c>
      <c r="G7743">
        <v>-245.0334</v>
      </c>
      <c r="H7743" s="1">
        <v>-1.773277E-6</v>
      </c>
      <c r="I7743">
        <v>-62.739359999999998</v>
      </c>
      <c r="J7743">
        <v>-267.18700000000001</v>
      </c>
      <c r="K7743">
        <v>1.119991</v>
      </c>
      <c r="L7743">
        <v>-61.930909999999997</v>
      </c>
      <c r="M7743">
        <v>0.99914000000000003</v>
      </c>
      <c r="N7743">
        <v>-5.3438260000000003E-3</v>
      </c>
      <c r="O7743">
        <v>-4.1117550000000003E-2</v>
      </c>
      <c r="P7743">
        <v>0.9938477</v>
      </c>
      <c r="Q7743">
        <v>-0.10973629999999999</v>
      </c>
      <c r="R7743">
        <v>-1.498699E-2</v>
      </c>
      <c r="S7743">
        <v>3.0001829999999998</v>
      </c>
      <c r="T7743">
        <v>-0.1508176</v>
      </c>
      <c r="U7743">
        <v>-0.10955810000000001</v>
      </c>
      <c r="V7743">
        <v>-2.5844800000000001E-2</v>
      </c>
      <c r="W7743">
        <v>-0.1044364</v>
      </c>
      <c r="X7743">
        <v>0.99419570000000002</v>
      </c>
      <c r="Y7743">
        <v>-4.5810299999999998E-3</v>
      </c>
      <c r="Z7743">
        <v>1.9718100000000001E-3</v>
      </c>
      <c r="AA7743">
        <v>0.99998750000000003</v>
      </c>
      <c r="AB7743">
        <v>26</v>
      </c>
      <c r="AC7743">
        <v>22.153600000000001</v>
      </c>
      <c r="AD7743">
        <v>-1.1199927732770001</v>
      </c>
      <c r="AE7743">
        <v>-0.80845</v>
      </c>
      <c r="AF7743">
        <v>-0.102885883038502</v>
      </c>
      <c r="AG7743">
        <v>-1.1199927732770001</v>
      </c>
      <c r="AH7743">
        <v>22.111666695405901</v>
      </c>
      <c r="AI7743">
        <v>92.899617319180607</v>
      </c>
      <c r="AJ7743">
        <v>90.266596110034001</v>
      </c>
      <c r="AK7743">
        <v>22.1402523329307</v>
      </c>
      <c r="AL7743">
        <v>95.994696118099498</v>
      </c>
      <c r="AM7743">
        <v>91.4891077632914</v>
      </c>
      <c r="AN7743">
        <v>1.00000000261524</v>
      </c>
    </row>
    <row r="7744" spans="1:40" x14ac:dyDescent="0.25">
      <c r="A7744" t="str">
        <f>"20190303154332661"</f>
        <v>20190303154332661</v>
      </c>
      <c r="B7744" t="str">
        <f>"1551599012657699"</f>
        <v>1551599012657699</v>
      </c>
      <c r="C7744" t="s">
        <v>40</v>
      </c>
      <c r="D7744">
        <v>5.5316039999999997</v>
      </c>
      <c r="E7744">
        <v>0.50851659999999999</v>
      </c>
      <c r="F7744" t="s">
        <v>68</v>
      </c>
      <c r="G7744">
        <v>-244.97190000000001</v>
      </c>
      <c r="H7744" s="1">
        <v>-1.7464060000000001E-6</v>
      </c>
      <c r="I7744">
        <v>-62.737549999999999</v>
      </c>
      <c r="J7744">
        <v>-267.05709999999999</v>
      </c>
      <c r="K7744">
        <v>1.120007</v>
      </c>
      <c r="L7744">
        <v>-61.936070000000001</v>
      </c>
      <c r="M7744">
        <v>0.99914590000000003</v>
      </c>
      <c r="N7744">
        <v>-5.3976079999999999E-3</v>
      </c>
      <c r="O7744">
        <v>-4.0971460000000001E-2</v>
      </c>
      <c r="P7744">
        <v>0.99384930000000005</v>
      </c>
      <c r="Q7744">
        <v>-0.10973090000000001</v>
      </c>
      <c r="R7744">
        <v>-1.4935240000000001E-2</v>
      </c>
      <c r="S7744">
        <v>3.0002140000000002</v>
      </c>
      <c r="T7744">
        <v>-0.15125859999999999</v>
      </c>
      <c r="U7744">
        <v>-0.1089478</v>
      </c>
      <c r="V7744">
        <v>-2.5748719999999999E-2</v>
      </c>
      <c r="W7744">
        <v>-0.1043781</v>
      </c>
      <c r="X7744">
        <v>0.99420430000000004</v>
      </c>
      <c r="Y7744">
        <v>-4.638217E-3</v>
      </c>
      <c r="Z7744">
        <v>1.9711070000000002E-3</v>
      </c>
      <c r="AA7744">
        <v>0.99998730000000002</v>
      </c>
      <c r="AB7744">
        <v>26</v>
      </c>
      <c r="AC7744">
        <v>22.085199999999901</v>
      </c>
      <c r="AD7744">
        <v>-1.120008746406</v>
      </c>
      <c r="AE7744">
        <v>-0.80148000000000497</v>
      </c>
      <c r="AF7744">
        <v>-0.10380232207140699</v>
      </c>
      <c r="AG7744">
        <v>-1.120008746406</v>
      </c>
      <c r="AH7744">
        <v>22.042877484907802</v>
      </c>
      <c r="AI7744">
        <v>92.908691289622595</v>
      </c>
      <c r="AJ7744">
        <v>90.269810100797301</v>
      </c>
      <c r="AK7744">
        <v>22.0715573154399</v>
      </c>
      <c r="AL7744">
        <v>95.991337510070693</v>
      </c>
      <c r="AM7744">
        <v>91.483561543771003</v>
      </c>
      <c r="AN7744">
        <v>0.99999998723986905</v>
      </c>
    </row>
    <row r="7745" spans="1:40" x14ac:dyDescent="0.25">
      <c r="A7745" t="str">
        <f>"20190303154332673"</f>
        <v>20190303154332673</v>
      </c>
      <c r="B7745" t="str">
        <f>"1551599012668439"</f>
        <v>1551599012668439</v>
      </c>
      <c r="C7745" t="s">
        <v>40</v>
      </c>
      <c r="D7745">
        <v>5.5043829999999998</v>
      </c>
      <c r="E7745">
        <v>0.50857969999999997</v>
      </c>
      <c r="F7745" t="s">
        <v>68</v>
      </c>
      <c r="G7745">
        <v>-244.6884</v>
      </c>
      <c r="H7745" s="1">
        <v>-1.629506E-6</v>
      </c>
      <c r="I7745">
        <v>-62.755290000000002</v>
      </c>
      <c r="J7745">
        <v>-266.92790000000002</v>
      </c>
      <c r="K7745">
        <v>1.1200220000000001</v>
      </c>
      <c r="L7745">
        <v>-61.941249999999997</v>
      </c>
      <c r="M7745">
        <v>0.99915160000000003</v>
      </c>
      <c r="N7745">
        <v>-5.4552410000000004E-3</v>
      </c>
      <c r="O7745">
        <v>-4.0821219999999998E-2</v>
      </c>
      <c r="P7745">
        <v>0.9938515</v>
      </c>
      <c r="Q7745">
        <v>-0.10971649999999999</v>
      </c>
      <c r="R7745">
        <v>-1.4881200000000001E-2</v>
      </c>
      <c r="S7745">
        <v>3.0003660000000001</v>
      </c>
      <c r="T7745">
        <v>-0.150229799999999</v>
      </c>
      <c r="U7745">
        <v>-0.1098938</v>
      </c>
      <c r="V7745">
        <v>-2.5650780000000001E-2</v>
      </c>
      <c r="W7745">
        <v>-0.10430689999999999</v>
      </c>
      <c r="X7745">
        <v>0.9942143</v>
      </c>
      <c r="Y7745">
        <v>-4.1764250000000001E-3</v>
      </c>
      <c r="Z7745">
        <v>1.934449E-3</v>
      </c>
      <c r="AA7745">
        <v>0.99998940000000003</v>
      </c>
      <c r="AB7745">
        <v>26</v>
      </c>
      <c r="AC7745">
        <v>22.2395</v>
      </c>
      <c r="AD7745">
        <v>-1.12002362950599</v>
      </c>
      <c r="AE7745">
        <v>-0.81404000000000498</v>
      </c>
      <c r="AF7745">
        <v>-9.4256811662130402E-2</v>
      </c>
      <c r="AG7745">
        <v>-1.12002362950599</v>
      </c>
      <c r="AH7745">
        <v>22.197966830083601</v>
      </c>
      <c r="AI7745">
        <v>92.888448120075495</v>
      </c>
      <c r="AJ7745">
        <v>90.243287373250297</v>
      </c>
      <c r="AK7745">
        <v>22.2264047625046</v>
      </c>
      <c r="AL7745">
        <v>95.987235685050806</v>
      </c>
      <c r="AM7745">
        <v>91.477906193039999</v>
      </c>
      <c r="AN7745">
        <v>0.99999998311335403</v>
      </c>
    </row>
    <row r="7746" spans="1:40" x14ac:dyDescent="0.25">
      <c r="A7746" t="str">
        <f>"20190303154332686"</f>
        <v>20190303154332686</v>
      </c>
      <c r="B7746" t="str">
        <f>"1551599012678194"</f>
        <v>1551599012678194</v>
      </c>
      <c r="C7746" t="s">
        <v>40</v>
      </c>
      <c r="D7746">
        <v>5.4954419999999997</v>
      </c>
      <c r="E7746">
        <v>0.50854969999999999</v>
      </c>
      <c r="F7746" t="s">
        <v>68</v>
      </c>
      <c r="G7746">
        <v>-244.54079999999999</v>
      </c>
      <c r="H7746" s="1">
        <v>-1.568351E-6</v>
      </c>
      <c r="I7746">
        <v>-62.763440000000003</v>
      </c>
      <c r="J7746">
        <v>-266.78559999999999</v>
      </c>
      <c r="K7746">
        <v>1.120042</v>
      </c>
      <c r="L7746">
        <v>-61.946840000000002</v>
      </c>
      <c r="M7746">
        <v>0.99915810000000005</v>
      </c>
      <c r="N7746">
        <v>-5.5340900000000002E-3</v>
      </c>
      <c r="O7746">
        <v>-4.0650190000000003E-2</v>
      </c>
      <c r="P7746">
        <v>0.99383290000000002</v>
      </c>
      <c r="Q7746">
        <v>-0.1098856</v>
      </c>
      <c r="R7746">
        <v>-1.487846E-2</v>
      </c>
      <c r="S7746">
        <v>3.0003660000000001</v>
      </c>
      <c r="T7746">
        <v>-0.15010850000000001</v>
      </c>
      <c r="U7746">
        <v>-0.11019900000000001</v>
      </c>
      <c r="V7746">
        <v>-2.548129E-2</v>
      </c>
      <c r="W7746">
        <v>-0.104398</v>
      </c>
      <c r="X7746">
        <v>0.99420909999999996</v>
      </c>
      <c r="Y7746">
        <v>-3.9044589999999999E-3</v>
      </c>
      <c r="Z7746">
        <v>1.9145169999999999E-3</v>
      </c>
      <c r="AA7746">
        <v>0.9999905</v>
      </c>
      <c r="AB7746">
        <v>26</v>
      </c>
      <c r="AC7746">
        <v>22.244800000000001</v>
      </c>
      <c r="AD7746">
        <v>-1.1200435683509999</v>
      </c>
      <c r="AE7746">
        <v>-0.81660000000000099</v>
      </c>
      <c r="AF7746">
        <v>-8.8121091838213095E-2</v>
      </c>
      <c r="AG7746">
        <v>-1.1200435683509999</v>
      </c>
      <c r="AH7746">
        <v>22.203393848667002</v>
      </c>
      <c r="AI7746">
        <v>92.887797917875702</v>
      </c>
      <c r="AJ7746">
        <v>90.227394972747504</v>
      </c>
      <c r="AK7746">
        <v>22.231800676527602</v>
      </c>
      <c r="AL7746">
        <v>95.992483963808894</v>
      </c>
      <c r="AM7746">
        <v>91.468152749158307</v>
      </c>
      <c r="AN7746">
        <v>0.99999998653343602</v>
      </c>
    </row>
    <row r="7747" spans="1:40" x14ac:dyDescent="0.25">
      <c r="A7747" t="str">
        <f>"20190303154332697"</f>
        <v>20190303154332697</v>
      </c>
      <c r="B7747" t="str">
        <f>"1551599012687954"</f>
        <v>1551599012687954</v>
      </c>
      <c r="C7747" t="s">
        <v>40</v>
      </c>
      <c r="D7747">
        <v>5.5008470000000003</v>
      </c>
      <c r="E7747">
        <v>0.5085037</v>
      </c>
      <c r="F7747" t="s">
        <v>68</v>
      </c>
      <c r="G7747">
        <v>-244.5112</v>
      </c>
      <c r="H7747" s="1">
        <v>-1.555509E-6</v>
      </c>
      <c r="I7747">
        <v>-62.7628699999999</v>
      </c>
      <c r="J7747">
        <v>-266.64780000000002</v>
      </c>
      <c r="K7747">
        <v>1.120058</v>
      </c>
      <c r="L7747">
        <v>-61.952300000000001</v>
      </c>
      <c r="M7747">
        <v>0.99916450000000001</v>
      </c>
      <c r="N7747">
        <v>-5.6180600000000002E-3</v>
      </c>
      <c r="O7747">
        <v>-4.0482869999999997E-2</v>
      </c>
      <c r="P7747">
        <v>0.99384459999999997</v>
      </c>
      <c r="Q7747">
        <v>-0.1098287</v>
      </c>
      <c r="R7747">
        <v>-1.4513760000000001E-2</v>
      </c>
      <c r="S7747">
        <v>3.0002749999999998</v>
      </c>
      <c r="T7747">
        <v>-0.15086620000000001</v>
      </c>
      <c r="U7747">
        <v>-0.1099243</v>
      </c>
      <c r="V7747">
        <v>-2.5678409999999999E-2</v>
      </c>
      <c r="W7747">
        <v>-0.104258</v>
      </c>
      <c r="X7747">
        <v>0.99421870000000001</v>
      </c>
      <c r="Y7747">
        <v>-3.8272279999999998E-3</v>
      </c>
      <c r="Z7747">
        <v>1.912457E-3</v>
      </c>
      <c r="AA7747">
        <v>0.99999079999999996</v>
      </c>
      <c r="AB7747">
        <v>26</v>
      </c>
      <c r="AC7747">
        <v>22.136600000000001</v>
      </c>
      <c r="AD7747">
        <v>-1.120059555509</v>
      </c>
      <c r="AE7747">
        <v>-0.81056999999999102</v>
      </c>
      <c r="AF7747">
        <v>-8.60417051074297E-2</v>
      </c>
      <c r="AG7747">
        <v>-1.120059555509</v>
      </c>
      <c r="AH7747">
        <v>22.094777730608801</v>
      </c>
      <c r="AI7747">
        <v>92.902012089883698</v>
      </c>
      <c r="AJ7747">
        <v>90.223120671546695</v>
      </c>
      <c r="AK7747">
        <v>22.123316648909299</v>
      </c>
      <c r="AL7747">
        <v>95.984418656220996</v>
      </c>
      <c r="AM7747">
        <v>91.479490882901302</v>
      </c>
      <c r="AN7747">
        <v>0.99999996736690799</v>
      </c>
    </row>
    <row r="7748" spans="1:40" x14ac:dyDescent="0.25">
      <c r="A7748" t="str">
        <f>"20190303154332707"</f>
        <v>20190303154332707</v>
      </c>
      <c r="B7748" t="str">
        <f>"1551599012697716"</f>
        <v>1551599012697716</v>
      </c>
      <c r="C7748" t="s">
        <v>40</v>
      </c>
      <c r="D7748">
        <v>5.5116809999999896</v>
      </c>
      <c r="E7748">
        <v>0.50855819999999996</v>
      </c>
      <c r="F7748" t="s">
        <v>68</v>
      </c>
      <c r="G7748">
        <v>-244.4453</v>
      </c>
      <c r="H7748" s="1">
        <v>-1.524986E-6</v>
      </c>
      <c r="I7748">
        <v>-62.75441</v>
      </c>
      <c r="J7748">
        <v>-266.51170000000002</v>
      </c>
      <c r="K7748">
        <v>1.1200779999999999</v>
      </c>
      <c r="L7748">
        <v>-61.957639999999998</v>
      </c>
      <c r="M7748">
        <v>0.99917069999999997</v>
      </c>
      <c r="N7748">
        <v>-5.7257239999999997E-3</v>
      </c>
      <c r="O7748">
        <v>-4.0314080000000002E-2</v>
      </c>
      <c r="P7748">
        <v>0.993834</v>
      </c>
      <c r="Q7748">
        <v>-0.1099364</v>
      </c>
      <c r="R7748">
        <v>-1.443098E-2</v>
      </c>
      <c r="S7748">
        <v>3.0002749999999998</v>
      </c>
      <c r="T7748">
        <v>-0.1513563</v>
      </c>
      <c r="U7748">
        <v>-0.10839840000000001</v>
      </c>
      <c r="V7748">
        <v>-2.55926E-2</v>
      </c>
      <c r="W7748">
        <v>-0.1042589</v>
      </c>
      <c r="X7748">
        <v>0.99422089999999996</v>
      </c>
      <c r="Y7748">
        <v>-4.1657689999999997E-3</v>
      </c>
      <c r="Z7748">
        <v>1.917209E-3</v>
      </c>
      <c r="AA7748">
        <v>0.99998949999999998</v>
      </c>
      <c r="AB7748">
        <v>26</v>
      </c>
      <c r="AC7748">
        <v>22.066400000000002</v>
      </c>
      <c r="AD7748">
        <v>-1.1200795249860001</v>
      </c>
      <c r="AE7748">
        <v>-0.79676999999999498</v>
      </c>
      <c r="AF7748">
        <v>-9.3238984084478393E-2</v>
      </c>
      <c r="AG7748">
        <v>-1.1200795249860001</v>
      </c>
      <c r="AH7748">
        <v>22.023910942815</v>
      </c>
      <c r="AI7748">
        <v>92.9113817234457</v>
      </c>
      <c r="AJ7748">
        <v>90.242562203079501</v>
      </c>
      <c r="AK7748">
        <v>22.0525718424743</v>
      </c>
      <c r="AL7748">
        <v>95.984470016472102</v>
      </c>
      <c r="AM7748">
        <v>91.474545766865205</v>
      </c>
      <c r="AN7748">
        <v>1.00000004870038</v>
      </c>
    </row>
    <row r="7749" spans="1:40" x14ac:dyDescent="0.25">
      <c r="A7749" t="str">
        <f>"20190303154332720"</f>
        <v>20190303154332720</v>
      </c>
      <c r="B7749" t="str">
        <f>"1551599012707981"</f>
        <v>1551599012707981</v>
      </c>
      <c r="C7749" t="s">
        <v>40</v>
      </c>
      <c r="D7749">
        <v>5.47783</v>
      </c>
      <c r="E7749">
        <v>0.50857220000000003</v>
      </c>
      <c r="F7749" t="s">
        <v>68</v>
      </c>
      <c r="G7749">
        <v>-244.38220000000001</v>
      </c>
      <c r="H7749" s="1">
        <v>-1.4988599999999999E-6</v>
      </c>
      <c r="I7749">
        <v>-62.758009999999999</v>
      </c>
      <c r="J7749">
        <v>-266.37900000000002</v>
      </c>
      <c r="K7749">
        <v>1.120098</v>
      </c>
      <c r="L7749">
        <v>-61.962829999999997</v>
      </c>
      <c r="M7749">
        <v>0.99917670000000003</v>
      </c>
      <c r="N7749">
        <v>-5.841939E-3</v>
      </c>
      <c r="O7749">
        <v>-4.014914E-2</v>
      </c>
      <c r="P7749">
        <v>0.99384099999999997</v>
      </c>
      <c r="Q7749">
        <v>-0.1099132</v>
      </c>
      <c r="R7749">
        <v>-1.4120850000000001E-2</v>
      </c>
      <c r="S7749">
        <v>3.0002439999999999</v>
      </c>
      <c r="T7749">
        <v>-0.15185699999999999</v>
      </c>
      <c r="U7749">
        <v>-0.10852050000000001</v>
      </c>
      <c r="V7749">
        <v>-2.5738520000000001E-2</v>
      </c>
      <c r="W7749">
        <v>-0.1041203</v>
      </c>
      <c r="X7749">
        <v>0.99423159999999999</v>
      </c>
      <c r="Y7749">
        <v>-3.9600440000000002E-3</v>
      </c>
      <c r="Z7749">
        <v>1.9066739999999999E-3</v>
      </c>
      <c r="AA7749">
        <v>0.9999903</v>
      </c>
      <c r="AB7749">
        <v>26</v>
      </c>
      <c r="AC7749">
        <v>21.9968</v>
      </c>
      <c r="AD7749">
        <v>-1.1200994988599999</v>
      </c>
      <c r="AE7749">
        <v>-0.795179999999994</v>
      </c>
      <c r="AF7749">
        <v>-8.8399862463113404E-2</v>
      </c>
      <c r="AG7749">
        <v>-1.1200994988599999</v>
      </c>
      <c r="AH7749">
        <v>21.954137979081899</v>
      </c>
      <c r="AI7749">
        <v>92.9206729439192</v>
      </c>
      <c r="AJ7749">
        <v>90.230704191651895</v>
      </c>
      <c r="AK7749">
        <v>21.982870873195701</v>
      </c>
      <c r="AL7749">
        <v>95.976485708909607</v>
      </c>
      <c r="AM7749">
        <v>91.482933411931398</v>
      </c>
      <c r="AN7749">
        <v>0.99999999136121998</v>
      </c>
    </row>
    <row r="7750" spans="1:40" x14ac:dyDescent="0.25">
      <c r="A7750" t="str">
        <f>"20190303154332731"</f>
        <v>20190303154332731</v>
      </c>
      <c r="B7750" t="str">
        <f>"1551599012728477"</f>
        <v>1551599012728477</v>
      </c>
      <c r="C7750" t="s">
        <v>40</v>
      </c>
      <c r="D7750">
        <v>5.5066990000000002</v>
      </c>
      <c r="E7750">
        <v>0.50857019999999997</v>
      </c>
      <c r="F7750" t="s">
        <v>68</v>
      </c>
      <c r="G7750">
        <v>-244.26730000000001</v>
      </c>
      <c r="H7750" s="1">
        <v>-1.4490279999999999E-6</v>
      </c>
      <c r="I7750">
        <v>-62.756039999999999</v>
      </c>
      <c r="J7750">
        <v>-266.2475</v>
      </c>
      <c r="K7750">
        <v>1.1201219999999901</v>
      </c>
      <c r="L7750">
        <v>-61.967959999999998</v>
      </c>
      <c r="M7750">
        <v>0.99918249999999997</v>
      </c>
      <c r="N7750">
        <v>-5.9743139999999997E-3</v>
      </c>
      <c r="O7750">
        <v>-3.9984859999999997E-2</v>
      </c>
      <c r="P7750">
        <v>0.99381929999999996</v>
      </c>
      <c r="Q7750">
        <v>-0.11013870000000001</v>
      </c>
      <c r="R7750">
        <v>-1.388035E-2</v>
      </c>
      <c r="S7750">
        <v>3.0002439999999999</v>
      </c>
      <c r="T7750">
        <v>-0.1519817</v>
      </c>
      <c r="U7750">
        <v>-0.1076355</v>
      </c>
      <c r="V7750">
        <v>-2.5814119999999999E-2</v>
      </c>
      <c r="W7750">
        <v>-0.1042144</v>
      </c>
      <c r="X7750">
        <v>0.99421979999999999</v>
      </c>
      <c r="Y7750">
        <v>-4.0903679999999996E-3</v>
      </c>
      <c r="Z7750">
        <v>1.8997459999999999E-3</v>
      </c>
      <c r="AA7750">
        <v>0.99998980000000004</v>
      </c>
      <c r="AB7750">
        <v>26</v>
      </c>
      <c r="AC7750">
        <v>21.9802</v>
      </c>
      <c r="AD7750">
        <v>-1.1201234490280001</v>
      </c>
      <c r="AE7750">
        <v>-0.788080000000007</v>
      </c>
      <c r="AF7750">
        <v>-9.1204547979332404E-2</v>
      </c>
      <c r="AG7750">
        <v>-1.1201234490280001</v>
      </c>
      <c r="AH7750">
        <v>21.9372359170506</v>
      </c>
      <c r="AI7750">
        <v>92.922980171136999</v>
      </c>
      <c r="AJ7750">
        <v>90.238207109743797</v>
      </c>
      <c r="AK7750">
        <v>21.966003607642602</v>
      </c>
      <c r="AL7750">
        <v>95.981906619441006</v>
      </c>
      <c r="AM7750">
        <v>91.487304821708406</v>
      </c>
      <c r="AN7750">
        <v>1.0000000103353801</v>
      </c>
    </row>
    <row r="7751" spans="1:40" x14ac:dyDescent="0.25">
      <c r="A7751" t="str">
        <f>"20190303154332741"</f>
        <v>20190303154332741</v>
      </c>
      <c r="B7751" t="str">
        <f>"1551599012738237"</f>
        <v>1551599012738237</v>
      </c>
      <c r="C7751" t="s">
        <v>40</v>
      </c>
      <c r="D7751">
        <v>5.5149350000000004</v>
      </c>
      <c r="E7751">
        <v>0.50858490000000001</v>
      </c>
      <c r="F7751" t="s">
        <v>68</v>
      </c>
      <c r="G7751">
        <v>-244.3844</v>
      </c>
      <c r="H7751" s="1">
        <v>-1.4969739999999999E-6</v>
      </c>
      <c r="I7751">
        <v>-62.74738</v>
      </c>
      <c r="J7751">
        <v>-266.13650000000001</v>
      </c>
      <c r="K7751">
        <v>1.1201449999999999</v>
      </c>
      <c r="L7751">
        <v>-61.972230000000003</v>
      </c>
      <c r="M7751">
        <v>0.99918720000000005</v>
      </c>
      <c r="N7751">
        <v>-6.100355E-3</v>
      </c>
      <c r="O7751">
        <v>-3.9846079999999999E-2</v>
      </c>
      <c r="P7751">
        <v>0.99381969999999997</v>
      </c>
      <c r="Q7751">
        <v>-0.11019760000000001</v>
      </c>
      <c r="R7751">
        <v>-1.3378009999999999E-2</v>
      </c>
      <c r="S7751">
        <v>3.0001220000000002</v>
      </c>
      <c r="T7751">
        <v>-0.15370690000000001</v>
      </c>
      <c r="U7751">
        <v>-0.10696410000000001</v>
      </c>
      <c r="V7751">
        <v>-2.617887E-2</v>
      </c>
      <c r="W7751">
        <v>-0.1041483</v>
      </c>
      <c r="X7751">
        <v>0.99421720000000002</v>
      </c>
      <c r="Y7751">
        <v>-4.1726180000000003E-3</v>
      </c>
      <c r="Z7751">
        <v>1.915279E-3</v>
      </c>
      <c r="AA7751">
        <v>0.99998940000000003</v>
      </c>
      <c r="AB7751">
        <v>26</v>
      </c>
      <c r="AC7751">
        <v>21.752099999999999</v>
      </c>
      <c r="AD7751">
        <v>-1.120146496974</v>
      </c>
      <c r="AE7751">
        <v>-0.775150000000003</v>
      </c>
      <c r="AF7751">
        <v>-9.1974084110777204E-2</v>
      </c>
      <c r="AG7751">
        <v>-1.120146496974</v>
      </c>
      <c r="AH7751">
        <v>21.708218043318301</v>
      </c>
      <c r="AI7751">
        <v>92.953822461345993</v>
      </c>
      <c r="AJ7751">
        <v>90.242751169262405</v>
      </c>
      <c r="AK7751">
        <v>21.737293254291799</v>
      </c>
      <c r="AL7751">
        <v>95.978098581478093</v>
      </c>
      <c r="AM7751">
        <v>91.508314538615707</v>
      </c>
      <c r="AN7751">
        <v>1.0000000212016</v>
      </c>
    </row>
    <row r="7752" spans="1:40" x14ac:dyDescent="0.25">
      <c r="A7752" t="str">
        <f>"20190303154332750"</f>
        <v>20190303154332750</v>
      </c>
      <c r="B7752" t="str">
        <f>"1551599012738237"</f>
        <v>1551599012738237</v>
      </c>
      <c r="C7752" t="s">
        <v>40</v>
      </c>
      <c r="D7752">
        <v>5.5149350000000004</v>
      </c>
      <c r="E7752">
        <v>0.50858490000000001</v>
      </c>
      <c r="F7752" t="s">
        <v>68</v>
      </c>
      <c r="G7752">
        <v>-244.3192</v>
      </c>
      <c r="H7752" s="1">
        <v>-1.467227E-6</v>
      </c>
      <c r="I7752">
        <v>-62.740690000000001</v>
      </c>
      <c r="J7752">
        <v>-266.02159999999998</v>
      </c>
      <c r="K7752">
        <v>1.1201730000000001</v>
      </c>
      <c r="L7752">
        <v>-61.976649999999999</v>
      </c>
      <c r="M7752">
        <v>0.99919210000000003</v>
      </c>
      <c r="N7752">
        <v>-6.2421869999999997E-3</v>
      </c>
      <c r="O7752">
        <v>-3.9702939999999999E-2</v>
      </c>
      <c r="P7752">
        <v>0.99379390000000001</v>
      </c>
      <c r="Q7752">
        <v>-0.11042540000000001</v>
      </c>
      <c r="R7752">
        <v>-1.342105E-2</v>
      </c>
      <c r="S7752">
        <v>3.0001829999999998</v>
      </c>
      <c r="T7752">
        <v>-0.15403599999999901</v>
      </c>
      <c r="U7752">
        <v>-0.105682399999999</v>
      </c>
      <c r="V7752">
        <v>-2.5992790000000002E-2</v>
      </c>
      <c r="W7752">
        <v>-0.10423499999999999</v>
      </c>
      <c r="X7752">
        <v>0.99421300000000001</v>
      </c>
      <c r="Y7752">
        <v>-4.4565469999999999E-3</v>
      </c>
      <c r="Z7752">
        <v>1.9162179999999999E-3</v>
      </c>
      <c r="AA7752">
        <v>0.99998830000000005</v>
      </c>
      <c r="AB7752">
        <v>26</v>
      </c>
      <c r="AC7752">
        <v>21.702399999999901</v>
      </c>
      <c r="AD7752">
        <v>-1.12017446722699</v>
      </c>
      <c r="AE7752">
        <v>-0.76404000000000105</v>
      </c>
      <c r="AF7752">
        <v>-9.7967584255880105E-2</v>
      </c>
      <c r="AG7752">
        <v>-1.12017446722699</v>
      </c>
      <c r="AH7752">
        <v>21.6579944711971</v>
      </c>
      <c r="AI7752">
        <v>92.960730110624397</v>
      </c>
      <c r="AJ7752">
        <v>90.259169464252494</v>
      </c>
      <c r="AK7752">
        <v>21.6871647063188</v>
      </c>
      <c r="AL7752">
        <v>95.983093288591306</v>
      </c>
      <c r="AM7752">
        <v>91.497604628295804</v>
      </c>
      <c r="AN7752">
        <v>1.0000000248629899</v>
      </c>
    </row>
    <row r="7753" spans="1:40" x14ac:dyDescent="0.25">
      <c r="A7753" t="str">
        <f>"20190303154332763"</f>
        <v>20190303154332763</v>
      </c>
      <c r="B7753" t="str">
        <f>"1551599012757761"</f>
        <v>1551599012757761</v>
      </c>
      <c r="C7753" t="s">
        <v>40</v>
      </c>
      <c r="D7753">
        <v>5.5475519999999996</v>
      </c>
      <c r="E7753">
        <v>0.50861279999999998</v>
      </c>
      <c r="F7753" t="s">
        <v>68</v>
      </c>
      <c r="G7753">
        <v>-244.29820000000001</v>
      </c>
      <c r="H7753" s="1">
        <v>-1.4586169999999999E-6</v>
      </c>
      <c r="I7753">
        <v>-62.742269999999998</v>
      </c>
      <c r="J7753">
        <v>-265.88749999999999</v>
      </c>
      <c r="K7753">
        <v>1.120207</v>
      </c>
      <c r="L7753">
        <v>-61.981839999999998</v>
      </c>
      <c r="M7753">
        <v>0.99919749999999996</v>
      </c>
      <c r="N7753">
        <v>-6.4257409999999996E-3</v>
      </c>
      <c r="O7753">
        <v>-3.9536559999999998E-2</v>
      </c>
      <c r="P7753">
        <v>0.9937724</v>
      </c>
      <c r="Q7753">
        <v>-0.11065419999999999</v>
      </c>
      <c r="R7753">
        <v>-1.3122969999999999E-2</v>
      </c>
      <c r="S7753">
        <v>3.0001220000000002</v>
      </c>
      <c r="T7753">
        <v>-0.154701799999999</v>
      </c>
      <c r="U7753">
        <v>-0.1057434</v>
      </c>
      <c r="V7753">
        <v>-2.612445E-2</v>
      </c>
      <c r="W7753">
        <v>-0.1042815</v>
      </c>
      <c r="X7753">
        <v>0.99420459999999999</v>
      </c>
      <c r="Y7753">
        <v>-4.2693499999999999E-3</v>
      </c>
      <c r="Z7753">
        <v>1.9057499999999999E-3</v>
      </c>
      <c r="AA7753">
        <v>0.99998909999999996</v>
      </c>
      <c r="AB7753">
        <v>26</v>
      </c>
      <c r="AC7753">
        <v>21.589299999999898</v>
      </c>
      <c r="AD7753">
        <v>-1.120208458617</v>
      </c>
      <c r="AE7753">
        <v>-0.76042999999999195</v>
      </c>
      <c r="AF7753">
        <v>-9.3497422362027793E-2</v>
      </c>
      <c r="AG7753">
        <v>-1.120208458617</v>
      </c>
      <c r="AH7753">
        <v>21.544552424301099</v>
      </c>
      <c r="AI7753">
        <v>92.976384340150304</v>
      </c>
      <c r="AJ7753">
        <v>90.248646338141199</v>
      </c>
      <c r="AK7753">
        <v>21.573857974924302</v>
      </c>
      <c r="AL7753">
        <v>95.985772576684397</v>
      </c>
      <c r="AM7753">
        <v>91.5051996018707</v>
      </c>
      <c r="AN7753">
        <v>0.99999995239560502</v>
      </c>
    </row>
    <row r="7754" spans="1:40" x14ac:dyDescent="0.25">
      <c r="A7754" t="str">
        <f>"20190303154332773"</f>
        <v>20190303154332773</v>
      </c>
      <c r="B7754" t="str">
        <f>"1551599012768493"</f>
        <v>1551599012768493</v>
      </c>
      <c r="C7754" t="s">
        <v>40</v>
      </c>
      <c r="D7754">
        <v>5.512194</v>
      </c>
      <c r="E7754">
        <v>0.50863519999999995</v>
      </c>
      <c r="F7754" t="s">
        <v>68</v>
      </c>
      <c r="G7754">
        <v>-244.3064</v>
      </c>
      <c r="H7754" s="1">
        <v>-1.4609310000000001E-6</v>
      </c>
      <c r="I7754">
        <v>-62.7376199999999</v>
      </c>
      <c r="J7754">
        <v>-265.75310000000002</v>
      </c>
      <c r="K7754">
        <v>1.120242</v>
      </c>
      <c r="L7754">
        <v>-61.9869699999999</v>
      </c>
      <c r="M7754">
        <v>0.99920279999999995</v>
      </c>
      <c r="N7754">
        <v>-6.6221580000000004E-3</v>
      </c>
      <c r="O7754">
        <v>-3.9370710000000003E-2</v>
      </c>
      <c r="P7754">
        <v>0.99379660000000003</v>
      </c>
      <c r="Q7754">
        <v>-0.1104369</v>
      </c>
      <c r="R7754">
        <v>-1.312522E-2</v>
      </c>
      <c r="S7754">
        <v>3.0000610000000001</v>
      </c>
      <c r="T7754">
        <v>-0.15572459999999999</v>
      </c>
      <c r="U7754">
        <v>-0.105072</v>
      </c>
      <c r="V7754">
        <v>-2.5958229999999999E-2</v>
      </c>
      <c r="W7754">
        <v>-0.10386860000000001</v>
      </c>
      <c r="X7754">
        <v>0.99425220000000003</v>
      </c>
      <c r="Y7754">
        <v>-4.3259379999999997E-3</v>
      </c>
      <c r="Z7754">
        <v>1.9067929999999999E-3</v>
      </c>
      <c r="AA7754">
        <v>0.99998889999999996</v>
      </c>
      <c r="AB7754">
        <v>26</v>
      </c>
      <c r="AC7754">
        <v>21.4467</v>
      </c>
      <c r="AD7754">
        <v>-1.1202434609309999</v>
      </c>
      <c r="AE7754">
        <v>-0.75065000000000004</v>
      </c>
      <c r="AF7754">
        <v>-9.4065952785127901E-2</v>
      </c>
      <c r="AG7754">
        <v>-1.1202434609309999</v>
      </c>
      <c r="AH7754">
        <v>21.401306017360401</v>
      </c>
      <c r="AI7754">
        <v>92.996362863183506</v>
      </c>
      <c r="AJ7754">
        <v>90.251832639531699</v>
      </c>
      <c r="AK7754">
        <v>21.4308117686647</v>
      </c>
      <c r="AL7754">
        <v>95.961985829431597</v>
      </c>
      <c r="AM7754">
        <v>91.495555378737393</v>
      </c>
      <c r="AN7754">
        <v>0.99999997648776595</v>
      </c>
    </row>
    <row r="7755" spans="1:40" x14ac:dyDescent="0.25">
      <c r="A7755" t="str">
        <f>"20190303154332786"</f>
        <v>20190303154332786</v>
      </c>
      <c r="B7755" t="str">
        <f>"1551599012778253"</f>
        <v>1551599012778253</v>
      </c>
      <c r="C7755" t="s">
        <v>40</v>
      </c>
      <c r="D7755">
        <v>5.5215189999999996</v>
      </c>
      <c r="E7755">
        <v>0.50858899999999996</v>
      </c>
      <c r="F7755" t="s">
        <v>68</v>
      </c>
      <c r="G7755">
        <v>-244.13489999999999</v>
      </c>
      <c r="H7755" s="1">
        <v>-1.3893030000000001E-6</v>
      </c>
      <c r="I7755">
        <v>-62.744919999999901</v>
      </c>
      <c r="J7755">
        <v>-265.62119999999999</v>
      </c>
      <c r="K7755">
        <v>1.120274</v>
      </c>
      <c r="L7755">
        <v>-61.991999999999997</v>
      </c>
      <c r="M7755">
        <v>0.99920759999999997</v>
      </c>
      <c r="N7755">
        <v>-6.8372499999999996E-3</v>
      </c>
      <c r="O7755">
        <v>-3.9209470000000003E-2</v>
      </c>
      <c r="P7755">
        <v>0.99379240000000002</v>
      </c>
      <c r="Q7755">
        <v>-0.110518699999999</v>
      </c>
      <c r="R7755">
        <v>-1.2745909999999999E-2</v>
      </c>
      <c r="S7755">
        <v>3.0000610000000001</v>
      </c>
      <c r="T7755">
        <v>-0.155462299999999</v>
      </c>
      <c r="U7755">
        <v>-0.1051941</v>
      </c>
      <c r="V7755">
        <v>-2.617715E-2</v>
      </c>
      <c r="W7755">
        <v>-0.1037368</v>
      </c>
      <c r="X7755">
        <v>0.99426029999999999</v>
      </c>
      <c r="Y7755">
        <v>-4.1249920000000001E-3</v>
      </c>
      <c r="Z7755">
        <v>1.882042E-3</v>
      </c>
      <c r="AA7755">
        <v>0.99998969999999998</v>
      </c>
      <c r="AB7755">
        <v>26</v>
      </c>
      <c r="AC7755">
        <v>21.4863</v>
      </c>
      <c r="AD7755">
        <v>-1.120275389303</v>
      </c>
      <c r="AE7755">
        <v>-0.75291999999999504</v>
      </c>
      <c r="AF7755">
        <v>-8.9901063408668103E-2</v>
      </c>
      <c r="AG7755">
        <v>-1.120275389303</v>
      </c>
      <c r="AH7755">
        <v>21.441083132702101</v>
      </c>
      <c r="AI7755">
        <v>92.990901847780805</v>
      </c>
      <c r="AJ7755">
        <v>90.240236059424404</v>
      </c>
      <c r="AK7755">
        <v>21.470518043413001</v>
      </c>
      <c r="AL7755">
        <v>95.954392757378898</v>
      </c>
      <c r="AM7755">
        <v>91.5081501361948</v>
      </c>
      <c r="AN7755">
        <v>1.0000000555062201</v>
      </c>
    </row>
    <row r="7756" spans="1:40" x14ac:dyDescent="0.25">
      <c r="A7756" t="str">
        <f>"20190303154332795"</f>
        <v>20190303154332795</v>
      </c>
      <c r="B7756" t="str">
        <f>"1551599012788013"</f>
        <v>1551599012788013</v>
      </c>
      <c r="C7756" t="s">
        <v>40</v>
      </c>
      <c r="D7756">
        <v>5.5375860000000001</v>
      </c>
      <c r="E7756">
        <v>0.50858840000000005</v>
      </c>
      <c r="F7756" t="s">
        <v>68</v>
      </c>
      <c r="G7756">
        <v>-244.14349999999999</v>
      </c>
      <c r="H7756" s="1">
        <v>-1.390151E-6</v>
      </c>
      <c r="I7756">
        <v>-62.734340000000003</v>
      </c>
      <c r="J7756">
        <v>-265.4948</v>
      </c>
      <c r="K7756">
        <v>1.1203110000000001</v>
      </c>
      <c r="L7756">
        <v>-61.9968</v>
      </c>
      <c r="M7756">
        <v>0.99921219999999999</v>
      </c>
      <c r="N7756">
        <v>-7.0480350000000002E-3</v>
      </c>
      <c r="O7756">
        <v>-3.9055619999999999E-2</v>
      </c>
      <c r="P7756">
        <v>0.99378599999999995</v>
      </c>
      <c r="Q7756">
        <v>-0.1105786</v>
      </c>
      <c r="R7756">
        <v>-1.2727230000000001E-2</v>
      </c>
      <c r="S7756">
        <v>3</v>
      </c>
      <c r="T7756">
        <v>-0.156479799999999</v>
      </c>
      <c r="U7756">
        <v>-0.1036987</v>
      </c>
      <c r="V7756">
        <v>-2.604244E-2</v>
      </c>
      <c r="W7756">
        <v>-0.1035871</v>
      </c>
      <c r="X7756">
        <v>0.99427940000000004</v>
      </c>
      <c r="Y7756">
        <v>-4.4675110000000004E-3</v>
      </c>
      <c r="Z7756">
        <v>1.8914520000000001E-3</v>
      </c>
      <c r="AA7756">
        <v>0.99998830000000005</v>
      </c>
      <c r="AB7756">
        <v>26</v>
      </c>
      <c r="AC7756">
        <v>21.351299999999998</v>
      </c>
      <c r="AD7756">
        <v>-1.1203123901509999</v>
      </c>
      <c r="AE7756">
        <v>-0.73754000000000197</v>
      </c>
      <c r="AF7756">
        <v>-9.66658807509789E-2</v>
      </c>
      <c r="AG7756">
        <v>-1.1203123901509999</v>
      </c>
      <c r="AH7756">
        <v>21.3052282125063</v>
      </c>
      <c r="AI7756">
        <v>93.010033389719197</v>
      </c>
      <c r="AJ7756">
        <v>90.259960087236806</v>
      </c>
      <c r="AK7756">
        <v>21.334882079144499</v>
      </c>
      <c r="AL7756">
        <v>95.945769388443296</v>
      </c>
      <c r="AM7756">
        <v>91.500363805695201</v>
      </c>
      <c r="AN7756">
        <v>1.0000000106159601</v>
      </c>
    </row>
    <row r="7757" spans="1:40" x14ac:dyDescent="0.25">
      <c r="A7757" t="str">
        <f>"20190303154332807"</f>
        <v>20190303154332807</v>
      </c>
      <c r="B7757" t="str">
        <f>"1551599012797775"</f>
        <v>1551599012797775</v>
      </c>
      <c r="C7757" t="s">
        <v>40</v>
      </c>
      <c r="D7757">
        <v>5.5747419999999996</v>
      </c>
      <c r="E7757">
        <v>0.50861970000000001</v>
      </c>
      <c r="F7757" t="s">
        <v>68</v>
      </c>
      <c r="G7757">
        <v>-244.15530000000001</v>
      </c>
      <c r="H7757" s="1">
        <v>-1.3950979999999999E-6</v>
      </c>
      <c r="I7757">
        <v>-62.73395</v>
      </c>
      <c r="J7757">
        <v>-265.36340000000001</v>
      </c>
      <c r="K7757">
        <v>1.1203529999999999</v>
      </c>
      <c r="L7757">
        <v>-62.001769999999901</v>
      </c>
      <c r="M7757">
        <v>0.99921689999999996</v>
      </c>
      <c r="N7757">
        <v>-7.2859539999999999E-3</v>
      </c>
      <c r="O7757">
        <v>-3.8896390000000003E-2</v>
      </c>
      <c r="P7757">
        <v>0.99382760000000003</v>
      </c>
      <c r="Q7757">
        <v>-0.1102315</v>
      </c>
      <c r="R7757">
        <v>-1.250195E-2</v>
      </c>
      <c r="S7757">
        <v>2.999908</v>
      </c>
      <c r="T7757">
        <v>-0.1574932</v>
      </c>
      <c r="U7757">
        <v>-0.1036377</v>
      </c>
      <c r="V7757">
        <v>-2.6110890000000001E-2</v>
      </c>
      <c r="W7757">
        <v>-0.10300330000000001</v>
      </c>
      <c r="X7757">
        <v>0.99433830000000001</v>
      </c>
      <c r="Y7757">
        <v>-4.327572E-3</v>
      </c>
      <c r="Z7757">
        <v>1.8853120000000001E-3</v>
      </c>
      <c r="AA7757">
        <v>0.99998889999999996</v>
      </c>
      <c r="AB7757">
        <v>26</v>
      </c>
      <c r="AC7757">
        <v>21.208100000000002</v>
      </c>
      <c r="AD7757">
        <v>-1.1203543950979999</v>
      </c>
      <c r="AE7757">
        <v>-0.73218000000000605</v>
      </c>
      <c r="AF7757">
        <v>-9.3054979904434995E-2</v>
      </c>
      <c r="AG7757">
        <v>-1.1203543950979999</v>
      </c>
      <c r="AH7757">
        <v>21.161545384918899</v>
      </c>
      <c r="AI7757">
        <v>93.030548272640303</v>
      </c>
      <c r="AJ7757">
        <v>90.251948671464902</v>
      </c>
      <c r="AK7757">
        <v>21.1913863698882</v>
      </c>
      <c r="AL7757">
        <v>95.912139948252104</v>
      </c>
      <c r="AM7757">
        <v>91.504216488032199</v>
      </c>
      <c r="AN7757">
        <v>1.0000000566171801</v>
      </c>
    </row>
    <row r="7758" spans="1:40" x14ac:dyDescent="0.25">
      <c r="A7758" t="str">
        <f>"20190303154332819"</f>
        <v>20190303154332819</v>
      </c>
      <c r="B7758" t="str">
        <f>"1551599012808026"</f>
        <v>1551599012808026</v>
      </c>
      <c r="C7758" t="s">
        <v>40</v>
      </c>
      <c r="D7758">
        <v>5.5066739999999896</v>
      </c>
      <c r="E7758">
        <v>0.50858800000000004</v>
      </c>
      <c r="F7758" t="s">
        <v>68</v>
      </c>
      <c r="G7758">
        <v>-244.0488</v>
      </c>
      <c r="H7758" s="1">
        <v>-1.3494900000000001E-6</v>
      </c>
      <c r="I7758">
        <v>-62.734169999999999</v>
      </c>
      <c r="J7758">
        <v>-265.22300000000001</v>
      </c>
      <c r="K7758">
        <v>1.120403</v>
      </c>
      <c r="L7758">
        <v>-62.007019999999997</v>
      </c>
      <c r="M7758">
        <v>0.99922140000000004</v>
      </c>
      <c r="N7758">
        <v>-7.5427069999999896E-3</v>
      </c>
      <c r="O7758">
        <v>-3.8727449999999997E-2</v>
      </c>
      <c r="P7758">
        <v>0.99384419999999996</v>
      </c>
      <c r="Q7758">
        <v>-0.1101043</v>
      </c>
      <c r="R7758">
        <v>-1.2289660000000001E-2</v>
      </c>
      <c r="S7758">
        <v>2.9998469999999999</v>
      </c>
      <c r="T7758">
        <v>-0.1576805</v>
      </c>
      <c r="U7758">
        <v>-0.1030884</v>
      </c>
      <c r="V7758">
        <v>-2.6154589999999998E-2</v>
      </c>
      <c r="W7758">
        <v>-0.1026209</v>
      </c>
      <c r="X7758">
        <v>0.9943767</v>
      </c>
      <c r="Y7758">
        <v>-4.3412240000000003E-3</v>
      </c>
      <c r="Z7758">
        <v>1.8713149999999999E-3</v>
      </c>
      <c r="AA7758">
        <v>0.99998889999999996</v>
      </c>
      <c r="AB7758">
        <v>26</v>
      </c>
      <c r="AC7758">
        <v>21.174199999999999</v>
      </c>
      <c r="AD7758">
        <v>-1.12040434949</v>
      </c>
      <c r="AE7758">
        <v>-0.72715000000000096</v>
      </c>
      <c r="AF7758">
        <v>-9.3180997577321803E-2</v>
      </c>
      <c r="AG7758">
        <v>-1.12040434949</v>
      </c>
      <c r="AH7758">
        <v>21.127391952682</v>
      </c>
      <c r="AI7758">
        <v>93.035573060208094</v>
      </c>
      <c r="AJ7758">
        <v>90.252697696297801</v>
      </c>
      <c r="AK7758">
        <v>21.157284308883298</v>
      </c>
      <c r="AL7758">
        <v>95.890113260664904</v>
      </c>
      <c r="AM7758">
        <v>91.506674673219095</v>
      </c>
      <c r="AN7758">
        <v>1.00000006659888</v>
      </c>
    </row>
    <row r="7759" spans="1:40" x14ac:dyDescent="0.25">
      <c r="A7759" t="str">
        <f>"20190303154332830"</f>
        <v>20190303154332830</v>
      </c>
      <c r="B7759" t="str">
        <f>"1551599012817785"</f>
        <v>1551599012817785</v>
      </c>
      <c r="C7759" t="s">
        <v>40</v>
      </c>
      <c r="D7759">
        <v>5.5254510000000003</v>
      </c>
      <c r="E7759">
        <v>0.50857680000000005</v>
      </c>
      <c r="F7759" t="s">
        <v>68</v>
      </c>
      <c r="G7759">
        <v>-243.95609999999999</v>
      </c>
      <c r="H7759" s="1">
        <v>-1.3089920000000001E-6</v>
      </c>
      <c r="I7759">
        <v>-62.731529999999999</v>
      </c>
      <c r="J7759">
        <v>-265.09140000000002</v>
      </c>
      <c r="K7759">
        <v>1.1204459999999901</v>
      </c>
      <c r="L7759">
        <v>-62.011960000000002</v>
      </c>
      <c r="M7759">
        <v>0.99922549999999999</v>
      </c>
      <c r="N7759">
        <v>-7.7885929999999999E-3</v>
      </c>
      <c r="O7759">
        <v>-3.8571859999999999E-2</v>
      </c>
      <c r="P7759">
        <v>0.99385840000000003</v>
      </c>
      <c r="Q7759">
        <v>-0.1099899</v>
      </c>
      <c r="R7759">
        <v>-1.215276E-2</v>
      </c>
      <c r="S7759">
        <v>2.9997560000000001</v>
      </c>
      <c r="T7759">
        <v>-0.15803610000000001</v>
      </c>
      <c r="U7759">
        <v>-0.1022034</v>
      </c>
      <c r="V7759">
        <v>-2.6136599999999999E-2</v>
      </c>
      <c r="W7759">
        <v>-0.1022622</v>
      </c>
      <c r="X7759">
        <v>0.99441409999999997</v>
      </c>
      <c r="Y7759">
        <v>-4.4793139999999999E-3</v>
      </c>
      <c r="Z7759">
        <v>1.864447E-3</v>
      </c>
      <c r="AA7759">
        <v>0.99998830000000005</v>
      </c>
      <c r="AB7759">
        <v>26</v>
      </c>
      <c r="AC7759">
        <v>21.135300000000001</v>
      </c>
      <c r="AD7759">
        <v>-1.12044730899199</v>
      </c>
      <c r="AE7759">
        <v>-0.71957000000001103</v>
      </c>
      <c r="AF7759">
        <v>-9.5948714871343696E-2</v>
      </c>
      <c r="AG7759">
        <v>-1.12044730899199</v>
      </c>
      <c r="AH7759">
        <v>21.088129584767</v>
      </c>
      <c r="AI7759">
        <v>93.041328654156402</v>
      </c>
      <c r="AJ7759">
        <v>90.260687817521799</v>
      </c>
      <c r="AK7759">
        <v>21.118092189211598</v>
      </c>
      <c r="AL7759">
        <v>95.869452722157803</v>
      </c>
      <c r="AM7759">
        <v>91.505582208143693</v>
      </c>
      <c r="AN7759">
        <v>1.0000000408436001</v>
      </c>
    </row>
    <row r="7760" spans="1:40" x14ac:dyDescent="0.25">
      <c r="A7760" t="str">
        <f>"20190303154332840"</f>
        <v>20190303154332840</v>
      </c>
      <c r="B7760" t="str">
        <f>"1551599012828520"</f>
        <v>1551599012828520</v>
      </c>
      <c r="C7760" t="s">
        <v>40</v>
      </c>
      <c r="D7760">
        <v>5.5306810000000004</v>
      </c>
      <c r="E7760">
        <v>0.50856520000000005</v>
      </c>
      <c r="F7760" t="s">
        <v>68</v>
      </c>
      <c r="G7760">
        <v>-243.8792</v>
      </c>
      <c r="H7760" s="1">
        <v>-1.2758210000000001E-6</v>
      </c>
      <c r="I7760">
        <v>-62.730739999999997</v>
      </c>
      <c r="J7760">
        <v>-264.98149999999998</v>
      </c>
      <c r="K7760">
        <v>1.1204799999999999</v>
      </c>
      <c r="L7760">
        <v>-62.01605</v>
      </c>
      <c r="M7760">
        <v>0.99922900000000003</v>
      </c>
      <c r="N7760">
        <v>-7.9936620000000003E-3</v>
      </c>
      <c r="O7760">
        <v>-3.8443329999999998E-2</v>
      </c>
      <c r="P7760">
        <v>0.99388330000000003</v>
      </c>
      <c r="Q7760">
        <v>-0.109796699999999</v>
      </c>
      <c r="R7760">
        <v>-1.188373E-2</v>
      </c>
      <c r="S7760">
        <v>2.9997250000000002</v>
      </c>
      <c r="T7760">
        <v>-0.15844829999999999</v>
      </c>
      <c r="U7760">
        <v>-0.1016541</v>
      </c>
      <c r="V7760">
        <v>-2.6278510000000001E-2</v>
      </c>
      <c r="W7760">
        <v>-0.1018651</v>
      </c>
      <c r="X7760">
        <v>0.99445099999999997</v>
      </c>
      <c r="Y7760">
        <v>-4.5334069999999997E-3</v>
      </c>
      <c r="Z7760">
        <v>1.858518E-3</v>
      </c>
      <c r="AA7760">
        <v>0.99998799999999999</v>
      </c>
      <c r="AB7760">
        <v>26</v>
      </c>
      <c r="AC7760">
        <v>21.1022999999999</v>
      </c>
      <c r="AD7760">
        <v>-1.1204812758210001</v>
      </c>
      <c r="AE7760">
        <v>-0.71469000000000404</v>
      </c>
      <c r="AF7760">
        <v>-9.6834095801962602E-2</v>
      </c>
      <c r="AG7760">
        <v>-1.1204812758210001</v>
      </c>
      <c r="AH7760">
        <v>21.054882586360801</v>
      </c>
      <c r="AI7760">
        <v>93.046213554042396</v>
      </c>
      <c r="AJ7760">
        <v>90.263508754408704</v>
      </c>
      <c r="AK7760">
        <v>21.084898288989098</v>
      </c>
      <c r="AL7760">
        <v>95.846581809874493</v>
      </c>
      <c r="AM7760">
        <v>91.513696907117406</v>
      </c>
      <c r="AN7760">
        <v>0.99999992504341195</v>
      </c>
    </row>
    <row r="7761" spans="1:40" x14ac:dyDescent="0.25">
      <c r="A7761" t="str">
        <f>"20190303154332850"</f>
        <v>20190303154332850</v>
      </c>
      <c r="B7761" t="str">
        <f>"1551599012848042"</f>
        <v>1551599012848042</v>
      </c>
      <c r="C7761" t="s">
        <v>40</v>
      </c>
      <c r="D7761">
        <v>5.4996859999999996</v>
      </c>
      <c r="E7761">
        <v>0.50853379999999904</v>
      </c>
      <c r="F7761" t="s">
        <v>68</v>
      </c>
      <c r="G7761">
        <v>-243.78639999999999</v>
      </c>
      <c r="H7761" s="1">
        <v>-1.2353390000000001E-6</v>
      </c>
      <c r="I7761">
        <v>-62.728189999999998</v>
      </c>
      <c r="J7761">
        <v>-264.85090000000002</v>
      </c>
      <c r="K7761">
        <v>1.120519</v>
      </c>
      <c r="L7761">
        <v>-62.020899999999997</v>
      </c>
      <c r="M7761">
        <v>0.99923280000000003</v>
      </c>
      <c r="N7761">
        <v>-8.2366920000000003E-3</v>
      </c>
      <c r="O7761">
        <v>-3.8292329999999999E-2</v>
      </c>
      <c r="P7761">
        <v>0.99390250000000002</v>
      </c>
      <c r="Q7761">
        <v>-0.109628</v>
      </c>
      <c r="R7761">
        <v>-1.1832290000000001E-2</v>
      </c>
      <c r="S7761">
        <v>2.9997859999999998</v>
      </c>
      <c r="T7761">
        <v>-0.15858449999999999</v>
      </c>
      <c r="U7761">
        <v>-0.1007996</v>
      </c>
      <c r="V7761">
        <v>-2.6180499999999999E-2</v>
      </c>
      <c r="W7761">
        <v>-0.10145460000000001</v>
      </c>
      <c r="X7761">
        <v>0.99449560000000004</v>
      </c>
      <c r="Y7761">
        <v>-4.6678120000000003E-3</v>
      </c>
      <c r="Z7761">
        <v>1.8489209999999999E-3</v>
      </c>
      <c r="AA7761">
        <v>0.99998739999999997</v>
      </c>
      <c r="AB7761">
        <v>26</v>
      </c>
      <c r="AC7761">
        <v>21.064499999999999</v>
      </c>
      <c r="AD7761">
        <v>-1.120520235339</v>
      </c>
      <c r="AE7761">
        <v>-0.70729000000000697</v>
      </c>
      <c r="AF7761">
        <v>-9.9583317676118402E-2</v>
      </c>
      <c r="AG7761">
        <v>-1.120520235339</v>
      </c>
      <c r="AH7761">
        <v>21.0167309046189</v>
      </c>
      <c r="AI7761">
        <v>93.051836834186204</v>
      </c>
      <c r="AJ7761">
        <v>90.271481855999895</v>
      </c>
      <c r="AK7761">
        <v>21.0468159195668</v>
      </c>
      <c r="AL7761">
        <v>95.822939104004703</v>
      </c>
      <c r="AM7761">
        <v>91.507986338645097</v>
      </c>
      <c r="AN7761">
        <v>0.99999997643038396</v>
      </c>
    </row>
    <row r="7762" spans="1:40" x14ac:dyDescent="0.25">
      <c r="A7762" t="str">
        <f>"20190303154332863"</f>
        <v>20190303154332863</v>
      </c>
      <c r="B7762" t="str">
        <f>"1551599012857804"</f>
        <v>1551599012857804</v>
      </c>
      <c r="C7762" t="s">
        <v>40</v>
      </c>
      <c r="D7762">
        <v>5.5442289999999996</v>
      </c>
      <c r="E7762">
        <v>0.50854359999999998</v>
      </c>
      <c r="F7762" t="s">
        <v>68</v>
      </c>
      <c r="G7762">
        <v>-243.76759999999999</v>
      </c>
      <c r="H7762" s="1">
        <v>-1.226638E-6</v>
      </c>
      <c r="I7762">
        <v>-62.725900000000003</v>
      </c>
      <c r="J7762">
        <v>-264.7079</v>
      </c>
      <c r="K7762">
        <v>1.1205540000000001</v>
      </c>
      <c r="L7762">
        <v>-62.026150000000001</v>
      </c>
      <c r="M7762">
        <v>0.99923680000000004</v>
      </c>
      <c r="N7762">
        <v>-8.4964299999999993E-3</v>
      </c>
      <c r="O7762">
        <v>-3.812571E-2</v>
      </c>
      <c r="P7762">
        <v>0.99390840000000003</v>
      </c>
      <c r="Q7762">
        <v>-0.10961460000000001</v>
      </c>
      <c r="R7762">
        <v>-1.144473E-2</v>
      </c>
      <c r="S7762">
        <v>2.999603</v>
      </c>
      <c r="T7762">
        <v>-0.159420799999999</v>
      </c>
      <c r="U7762">
        <v>-0.10031130000000001</v>
      </c>
      <c r="V7762">
        <v>-2.6402700000000001E-2</v>
      </c>
      <c r="W7762">
        <v>-0.101183</v>
      </c>
      <c r="X7762">
        <v>0.9945174</v>
      </c>
      <c r="Y7762">
        <v>-4.6617300000000002E-3</v>
      </c>
      <c r="Z7762">
        <v>1.843412E-3</v>
      </c>
      <c r="AA7762">
        <v>0.99998739999999997</v>
      </c>
      <c r="AB7762">
        <v>26</v>
      </c>
      <c r="AC7762">
        <v>20.940300000000001</v>
      </c>
      <c r="AD7762">
        <v>-1.1205552266379999</v>
      </c>
      <c r="AE7762">
        <v>-0.69975000000000098</v>
      </c>
      <c r="AF7762">
        <v>-9.8868639240110301E-2</v>
      </c>
      <c r="AG7762">
        <v>-1.1205552266379999</v>
      </c>
      <c r="AH7762">
        <v>20.891995712076799</v>
      </c>
      <c r="AI7762">
        <v>93.070118777880296</v>
      </c>
      <c r="AJ7762">
        <v>90.271142764209401</v>
      </c>
      <c r="AK7762">
        <v>20.9222585744753</v>
      </c>
      <c r="AL7762">
        <v>95.807297052550695</v>
      </c>
      <c r="AM7762">
        <v>91.520745664709196</v>
      </c>
      <c r="AN7762">
        <v>0.99999998047952399</v>
      </c>
    </row>
    <row r="7763" spans="1:40" x14ac:dyDescent="0.25">
      <c r="A7763" t="str">
        <f>"20190303154332874"</f>
        <v>20190303154332874</v>
      </c>
      <c r="B7763" t="str">
        <f>"1551599012868537"</f>
        <v>1551599012868537</v>
      </c>
      <c r="C7763" t="s">
        <v>40</v>
      </c>
      <c r="D7763">
        <v>5.5505820000000003</v>
      </c>
      <c r="E7763">
        <v>0.50851919999999995</v>
      </c>
      <c r="F7763" t="s">
        <v>68</v>
      </c>
      <c r="G7763">
        <v>-243.68719999999999</v>
      </c>
      <c r="H7763" s="1">
        <v>-1.1910229999999999E-6</v>
      </c>
      <c r="I7763">
        <v>-62.7215699999999</v>
      </c>
      <c r="J7763">
        <v>-264.5813</v>
      </c>
      <c r="K7763">
        <v>1.1205799999999999</v>
      </c>
      <c r="L7763">
        <v>-62.030790000000003</v>
      </c>
      <c r="M7763">
        <v>0.99924060000000003</v>
      </c>
      <c r="N7763">
        <v>-8.723494E-3</v>
      </c>
      <c r="O7763">
        <v>-3.7977709999999998E-2</v>
      </c>
      <c r="P7763">
        <v>0.99392939999999996</v>
      </c>
      <c r="Q7763">
        <v>-0.10944479999999999</v>
      </c>
      <c r="R7763">
        <v>-1.1225570000000001E-2</v>
      </c>
      <c r="S7763">
        <v>2.999603</v>
      </c>
      <c r="T7763">
        <v>-0.15990070000000001</v>
      </c>
      <c r="U7763">
        <v>-9.9243159999999997E-2</v>
      </c>
      <c r="V7763">
        <v>-2.647584E-2</v>
      </c>
      <c r="W7763">
        <v>-0.10078719999999999</v>
      </c>
      <c r="X7763">
        <v>0.99455570000000004</v>
      </c>
      <c r="Y7763">
        <v>-4.8692290000000001E-3</v>
      </c>
      <c r="Z7763">
        <v>1.841606E-3</v>
      </c>
      <c r="AA7763">
        <v>0.9999865</v>
      </c>
      <c r="AB7763">
        <v>26</v>
      </c>
      <c r="AC7763">
        <v>20.894100000000002</v>
      </c>
      <c r="AD7763">
        <v>-1.1205811910229999</v>
      </c>
      <c r="AE7763">
        <v>-0.69077999999998896</v>
      </c>
      <c r="AF7763">
        <v>-0.102962736580544</v>
      </c>
      <c r="AG7763">
        <v>-1.1205811910229999</v>
      </c>
      <c r="AH7763">
        <v>20.845368032065</v>
      </c>
      <c r="AI7763">
        <v>93.077041035565998</v>
      </c>
      <c r="AJ7763">
        <v>90.283002068804095</v>
      </c>
      <c r="AK7763">
        <v>20.875719674373698</v>
      </c>
      <c r="AL7763">
        <v>95.784502540080894</v>
      </c>
      <c r="AM7763">
        <v>91.5248977063181</v>
      </c>
      <c r="AN7763">
        <v>1.00000003509501</v>
      </c>
    </row>
    <row r="7764" spans="1:40" x14ac:dyDescent="0.25">
      <c r="A7764" t="str">
        <f>"20190303154332888"</f>
        <v>20190303154332888</v>
      </c>
      <c r="B7764" t="str">
        <f>"1551599012878298"</f>
        <v>1551599012878298</v>
      </c>
      <c r="C7764" t="s">
        <v>40</v>
      </c>
      <c r="D7764">
        <v>5.5095429999999999</v>
      </c>
      <c r="E7764">
        <v>0.5084748</v>
      </c>
      <c r="F7764" t="s">
        <v>68</v>
      </c>
      <c r="G7764">
        <v>-243.64320000000001</v>
      </c>
      <c r="H7764" s="1">
        <v>-1.1709789999999999E-6</v>
      </c>
      <c r="I7764">
        <v>-62.717320000000001</v>
      </c>
      <c r="J7764">
        <v>-264.42860000000002</v>
      </c>
      <c r="K7764">
        <v>1.1206050000000001</v>
      </c>
      <c r="L7764">
        <v>-62.036380000000001</v>
      </c>
      <c r="M7764">
        <v>0.9992453</v>
      </c>
      <c r="N7764">
        <v>-8.9816879999999998E-3</v>
      </c>
      <c r="O7764">
        <v>-3.7796160000000002E-2</v>
      </c>
      <c r="P7764">
        <v>0.99392219999999998</v>
      </c>
      <c r="Q7764">
        <v>-0.10954700000000001</v>
      </c>
      <c r="R7764">
        <v>-1.088654E-2</v>
      </c>
      <c r="S7764">
        <v>2.9995419999999999</v>
      </c>
      <c r="T7764">
        <v>-0.16053120000000001</v>
      </c>
      <c r="U7764">
        <v>-9.8358150000000005E-2</v>
      </c>
      <c r="V7764">
        <v>-2.6635140000000002E-2</v>
      </c>
      <c r="W7764">
        <v>-0.1006325</v>
      </c>
      <c r="X7764">
        <v>0.99456710000000004</v>
      </c>
      <c r="Y7764">
        <v>-4.9816519999999996E-3</v>
      </c>
      <c r="Z7764">
        <v>1.836404E-3</v>
      </c>
      <c r="AA7764">
        <v>0.99998589999999998</v>
      </c>
      <c r="AB7764">
        <v>26</v>
      </c>
      <c r="AC7764">
        <v>20.785399999999999</v>
      </c>
      <c r="AD7764">
        <v>-1.1206061709789901</v>
      </c>
      <c r="AE7764">
        <v>-0.680939999999992</v>
      </c>
      <c r="AF7764">
        <v>-0.104881906080214</v>
      </c>
      <c r="AG7764">
        <v>-1.1206061709789901</v>
      </c>
      <c r="AH7764">
        <v>20.7360775455873</v>
      </c>
      <c r="AI7764">
        <v>93.093294306078306</v>
      </c>
      <c r="AJ7764">
        <v>90.289796337250806</v>
      </c>
      <c r="AK7764">
        <v>20.766599875311101</v>
      </c>
      <c r="AL7764">
        <v>95.775593655535602</v>
      </c>
      <c r="AM7764">
        <v>91.534050773713503</v>
      </c>
      <c r="AN7764">
        <v>1.00000002357073</v>
      </c>
    </row>
    <row r="7765" spans="1:40" x14ac:dyDescent="0.25">
      <c r="A7765" t="str">
        <f>"20190303154332901"</f>
        <v>20190303154332901</v>
      </c>
      <c r="B7765" t="str">
        <f>"1551599012897819"</f>
        <v>1551599012897819</v>
      </c>
      <c r="C7765" t="s">
        <v>40</v>
      </c>
      <c r="D7765">
        <v>5.521674</v>
      </c>
      <c r="E7765">
        <v>0.50838660000000002</v>
      </c>
      <c r="F7765" t="s">
        <v>68</v>
      </c>
      <c r="G7765">
        <v>-243.69890000000001</v>
      </c>
      <c r="H7765" s="1">
        <v>-1.191869E-6</v>
      </c>
      <c r="I7765">
        <v>-62.705959999999997</v>
      </c>
      <c r="J7765">
        <v>-264.27629999999999</v>
      </c>
      <c r="K7765">
        <v>1.1206290000000001</v>
      </c>
      <c r="L7765">
        <v>-62.041930000000001</v>
      </c>
      <c r="M7765">
        <v>0.99924990000000002</v>
      </c>
      <c r="N7765">
        <v>-9.2297899999999999E-3</v>
      </c>
      <c r="O7765">
        <v>-3.7614710000000003E-2</v>
      </c>
      <c r="P7765">
        <v>0.9938998</v>
      </c>
      <c r="Q7765">
        <v>-0.1097867</v>
      </c>
      <c r="R7765">
        <v>-1.050415E-2</v>
      </c>
      <c r="S7765">
        <v>2.9994510000000001</v>
      </c>
      <c r="T7765">
        <v>-0.16214429999999999</v>
      </c>
      <c r="U7765">
        <v>-9.6893309999999996E-2</v>
      </c>
      <c r="V7765">
        <v>-2.6837179999999999E-2</v>
      </c>
      <c r="W7765">
        <v>-0.1006256</v>
      </c>
      <c r="X7765">
        <v>0.99456230000000001</v>
      </c>
      <c r="Y7765">
        <v>-5.2859860000000003E-3</v>
      </c>
      <c r="Z7765">
        <v>1.850855E-3</v>
      </c>
      <c r="AA7765">
        <v>0.99998430000000005</v>
      </c>
      <c r="AB7765">
        <v>26</v>
      </c>
      <c r="AC7765">
        <v>20.577399999999901</v>
      </c>
      <c r="AD7765">
        <v>-1.120630191869</v>
      </c>
      <c r="AE7765">
        <v>-0.66402999999998902</v>
      </c>
      <c r="AF7765">
        <v>-0.110159333522063</v>
      </c>
      <c r="AG7765">
        <v>-1.120630191869</v>
      </c>
      <c r="AH7765">
        <v>20.5269989385313</v>
      </c>
      <c r="AI7765">
        <v>93.124800893686</v>
      </c>
      <c r="AJ7765">
        <v>90.307478180949104</v>
      </c>
      <c r="AK7765">
        <v>20.5578606019244</v>
      </c>
      <c r="AL7765">
        <v>95.775196682908302</v>
      </c>
      <c r="AM7765">
        <v>91.545689099113204</v>
      </c>
      <c r="AN7765">
        <v>0.99999995709349998</v>
      </c>
    </row>
    <row r="7766" spans="1:40" x14ac:dyDescent="0.25">
      <c r="A7766" t="str">
        <f>"20190303154332913"</f>
        <v>20190303154332913</v>
      </c>
      <c r="B7766" t="str">
        <f>"1551599012908083"</f>
        <v>1551599012908083</v>
      </c>
      <c r="C7766" t="s">
        <v>40</v>
      </c>
      <c r="D7766">
        <v>5.5567270000000004</v>
      </c>
      <c r="E7766">
        <v>0.50836809999999999</v>
      </c>
      <c r="F7766" t="s">
        <v>68</v>
      </c>
      <c r="G7766">
        <v>-243.89400000000001</v>
      </c>
      <c r="H7766" s="1">
        <v>-1.2708890000000001E-6</v>
      </c>
      <c r="I7766">
        <v>-62.688319999999997</v>
      </c>
      <c r="J7766">
        <v>-264.1173</v>
      </c>
      <c r="K7766">
        <v>1.1206499999999999</v>
      </c>
      <c r="L7766">
        <v>-62.047669999999997</v>
      </c>
      <c r="M7766">
        <v>0.99925450000000005</v>
      </c>
      <c r="N7766">
        <v>-9.4754320000000006E-3</v>
      </c>
      <c r="O7766">
        <v>-3.7425170000000001E-2</v>
      </c>
      <c r="P7766">
        <v>0.99388520000000002</v>
      </c>
      <c r="Q7766">
        <v>-0.1099357</v>
      </c>
      <c r="R7766">
        <v>-1.032741E-2</v>
      </c>
      <c r="S7766">
        <v>2.9991759999999998</v>
      </c>
      <c r="T7766">
        <v>-0.1648966</v>
      </c>
      <c r="U7766">
        <v>-9.5123289999999999E-2</v>
      </c>
      <c r="V7766">
        <v>-2.6825109999999999E-2</v>
      </c>
      <c r="W7766">
        <v>-0.1005302</v>
      </c>
      <c r="X7766">
        <v>0.99457229999999996</v>
      </c>
      <c r="Y7766">
        <v>-5.6810250000000001E-3</v>
      </c>
      <c r="Z7766">
        <v>1.8834570000000001E-3</v>
      </c>
      <c r="AA7766">
        <v>0.99998209999999998</v>
      </c>
      <c r="AB7766">
        <v>26</v>
      </c>
      <c r="AC7766">
        <v>20.223299999999899</v>
      </c>
      <c r="AD7766">
        <v>-1.120651270889</v>
      </c>
      <c r="AE7766">
        <v>-0.64065000000000005</v>
      </c>
      <c r="AF7766">
        <v>-0.116336409043536</v>
      </c>
      <c r="AG7766">
        <v>-1.120651270889</v>
      </c>
      <c r="AH7766">
        <v>20.1712308253509</v>
      </c>
      <c r="AI7766">
        <v>93.179854751052005</v>
      </c>
      <c r="AJ7766">
        <v>90.330446436037207</v>
      </c>
      <c r="AK7766">
        <v>20.202671764907802</v>
      </c>
      <c r="AL7766">
        <v>95.769702652369901</v>
      </c>
      <c r="AM7766">
        <v>91.544978736973206</v>
      </c>
      <c r="AN7766">
        <v>0.99999998378291999</v>
      </c>
    </row>
    <row r="7767" spans="1:40" x14ac:dyDescent="0.25">
      <c r="A7767" t="str">
        <f>"20190303154332926"</f>
        <v>20190303154332926</v>
      </c>
      <c r="B7767" t="str">
        <f>"1551599012917843"</f>
        <v>1551599012917843</v>
      </c>
      <c r="C7767" t="s">
        <v>40</v>
      </c>
      <c r="D7767">
        <v>5.5463300000000002</v>
      </c>
      <c r="E7767">
        <v>0.50836809999999999</v>
      </c>
      <c r="F7767" t="s">
        <v>68</v>
      </c>
      <c r="G7767">
        <v>-243.9365</v>
      </c>
      <c r="H7767" s="1">
        <v>-1.287631E-6</v>
      </c>
      <c r="I7767">
        <v>-62.682769999999998</v>
      </c>
      <c r="J7767">
        <v>-263.98200000000003</v>
      </c>
      <c r="K7767">
        <v>1.1206670000000001</v>
      </c>
      <c r="L7767">
        <v>-62.052549999999997</v>
      </c>
      <c r="M7767">
        <v>0.99925889999999995</v>
      </c>
      <c r="N7767">
        <v>-9.6657310000000003E-3</v>
      </c>
      <c r="O7767">
        <v>-3.7263299999999999E-2</v>
      </c>
      <c r="P7767">
        <v>0.99390590000000001</v>
      </c>
      <c r="Q7767">
        <v>-0.1097906</v>
      </c>
      <c r="R7767">
        <v>-9.8648710000000008E-3</v>
      </c>
      <c r="S7767">
        <v>2.9990230000000002</v>
      </c>
      <c r="T7767">
        <v>-0.16653699999999999</v>
      </c>
      <c r="U7767">
        <v>-9.4390870000000002E-2</v>
      </c>
      <c r="V7767">
        <v>-2.712813E-2</v>
      </c>
      <c r="W7767">
        <v>-0.1001958</v>
      </c>
      <c r="X7767">
        <v>0.99459790000000003</v>
      </c>
      <c r="Y7767">
        <v>-5.7606589999999996E-3</v>
      </c>
      <c r="Z7767">
        <v>1.8941559999999999E-3</v>
      </c>
      <c r="AA7767">
        <v>0.99998160000000003</v>
      </c>
      <c r="AB7767">
        <v>26</v>
      </c>
      <c r="AC7767">
        <v>20.045500000000001</v>
      </c>
      <c r="AD7767">
        <v>-1.1206682876309999</v>
      </c>
      <c r="AE7767">
        <v>-0.630220000000001</v>
      </c>
      <c r="AF7767">
        <v>-0.116849140379362</v>
      </c>
      <c r="AG7767">
        <v>-1.1206682876309999</v>
      </c>
      <c r="AH7767">
        <v>19.9926365066088</v>
      </c>
      <c r="AI7767">
        <v>93.208248514055299</v>
      </c>
      <c r="AJ7767">
        <v>90.334867607418005</v>
      </c>
      <c r="AK7767">
        <v>20.0243618030112</v>
      </c>
      <c r="AL7767">
        <v>95.750445283291697</v>
      </c>
      <c r="AM7767">
        <v>91.562382223985594</v>
      </c>
      <c r="AN7767">
        <v>1.00000005822967</v>
      </c>
    </row>
    <row r="7768" spans="1:40" x14ac:dyDescent="0.25">
      <c r="A7768" t="str">
        <f>"20190303154332941"</f>
        <v>20190303154332941</v>
      </c>
      <c r="B7768" t="str">
        <f>"1551599012938340"</f>
        <v>1551599012938340</v>
      </c>
      <c r="C7768" t="s">
        <v>40</v>
      </c>
      <c r="D7768">
        <v>5.5561610000000003</v>
      </c>
      <c r="E7768">
        <v>0.50834639999999998</v>
      </c>
      <c r="F7768" t="s">
        <v>68</v>
      </c>
      <c r="G7768">
        <v>-243.8604</v>
      </c>
      <c r="H7768" s="1">
        <v>-1.2534280000000001E-6</v>
      </c>
      <c r="I7768">
        <v>-62.67698</v>
      </c>
      <c r="J7768">
        <v>-263.80619999999999</v>
      </c>
      <c r="K7768">
        <v>1.120682</v>
      </c>
      <c r="L7768">
        <v>-62.058839999999996</v>
      </c>
      <c r="M7768">
        <v>0.99926440000000005</v>
      </c>
      <c r="N7768">
        <v>-9.8990870000000009E-3</v>
      </c>
      <c r="O7768">
        <v>-3.7051220000000003E-2</v>
      </c>
      <c r="P7768">
        <v>0.99389830000000001</v>
      </c>
      <c r="Q7768">
        <v>-0.10992349999999999</v>
      </c>
      <c r="R7768">
        <v>-9.1111270000000001E-3</v>
      </c>
      <c r="S7768">
        <v>2.9990540000000001</v>
      </c>
      <c r="T7768">
        <v>-0.16703129999999999</v>
      </c>
      <c r="U7768">
        <v>-9.3078610000000006E-2</v>
      </c>
      <c r="V7768">
        <v>-2.767095E-2</v>
      </c>
      <c r="W7768">
        <v>-0.10009709999999999</v>
      </c>
      <c r="X7768">
        <v>0.99459280000000005</v>
      </c>
      <c r="Y7768">
        <v>-5.9857790000000001E-3</v>
      </c>
      <c r="Z7768">
        <v>1.890416E-3</v>
      </c>
      <c r="AA7768">
        <v>0.99998030000000004</v>
      </c>
      <c r="AB7768">
        <v>26</v>
      </c>
      <c r="AC7768">
        <v>19.945799999999899</v>
      </c>
      <c r="AD7768">
        <v>-1.120683253428</v>
      </c>
      <c r="AE7768">
        <v>-0.61814000000000302</v>
      </c>
      <c r="AF7768">
        <v>-0.120955385737249</v>
      </c>
      <c r="AG7768">
        <v>-1.120683253428</v>
      </c>
      <c r="AH7768">
        <v>19.892269252099801</v>
      </c>
      <c r="AI7768">
        <v>93.224440235383</v>
      </c>
      <c r="AJ7768">
        <v>90.348383968478402</v>
      </c>
      <c r="AK7768">
        <v>19.924179711041798</v>
      </c>
      <c r="AL7768">
        <v>95.744762100178605</v>
      </c>
      <c r="AM7768">
        <v>91.593636897230297</v>
      </c>
      <c r="AN7768">
        <v>0.99999997435707599</v>
      </c>
    </row>
    <row r="7769" spans="1:40" x14ac:dyDescent="0.25">
      <c r="A7769" t="str">
        <f>"20190303154332952"</f>
        <v>20190303154332952</v>
      </c>
      <c r="B7769" t="str">
        <f>"1551599012948100"</f>
        <v>1551599012948100</v>
      </c>
      <c r="C7769" t="s">
        <v>40</v>
      </c>
      <c r="D7769">
        <v>5.573169</v>
      </c>
      <c r="E7769">
        <v>0.50834040000000003</v>
      </c>
      <c r="F7769" t="s">
        <v>68</v>
      </c>
      <c r="G7769">
        <v>-243.9134</v>
      </c>
      <c r="H7769" s="1">
        <v>-1.27166E-6</v>
      </c>
      <c r="I7769">
        <v>-62.66001</v>
      </c>
      <c r="J7769">
        <v>-263.67469999999997</v>
      </c>
      <c r="K7769">
        <v>1.120692</v>
      </c>
      <c r="L7769">
        <v>-62.063540000000003</v>
      </c>
      <c r="M7769">
        <v>0.99926870000000001</v>
      </c>
      <c r="N7769">
        <v>-1.0059200000000001E-2</v>
      </c>
      <c r="O7769">
        <v>-3.6891149999999998E-2</v>
      </c>
      <c r="P7769">
        <v>0.99390210000000001</v>
      </c>
      <c r="Q7769">
        <v>-0.1099202</v>
      </c>
      <c r="R7769">
        <v>-8.7269080000000002E-3</v>
      </c>
      <c r="S7769">
        <v>2.9988709999999998</v>
      </c>
      <c r="T7769">
        <v>-0.16894509999999999</v>
      </c>
      <c r="U7769">
        <v>-9.0637209999999996E-2</v>
      </c>
      <c r="V7769">
        <v>-2.7895739999999999E-2</v>
      </c>
      <c r="W7769">
        <v>-9.993465E-2</v>
      </c>
      <c r="X7769">
        <v>0.99460289999999996</v>
      </c>
      <c r="Y7769">
        <v>-6.6349740000000001E-3</v>
      </c>
      <c r="Z7769">
        <v>1.9247680000000001E-3</v>
      </c>
      <c r="AA7769">
        <v>0.99997619999999998</v>
      </c>
      <c r="AB7769">
        <v>26</v>
      </c>
      <c r="AC7769">
        <v>19.761299999999899</v>
      </c>
      <c r="AD7769">
        <v>-1.12069327166</v>
      </c>
      <c r="AE7769">
        <v>-0.59646999999999595</v>
      </c>
      <c r="AF7769">
        <v>-0.13256404051145201</v>
      </c>
      <c r="AG7769">
        <v>-1.12069327166</v>
      </c>
      <c r="AH7769">
        <v>19.706530125585601</v>
      </c>
      <c r="AI7769">
        <v>93.254781971269495</v>
      </c>
      <c r="AJ7769">
        <v>90.385417697816607</v>
      </c>
      <c r="AK7769">
        <v>19.738815978284901</v>
      </c>
      <c r="AL7769">
        <v>95.735407246025503</v>
      </c>
      <c r="AM7769">
        <v>91.606560033239703</v>
      </c>
      <c r="AN7769">
        <v>1.00000001763459</v>
      </c>
    </row>
    <row r="7770" spans="1:40" x14ac:dyDescent="0.25">
      <c r="A7770" t="str">
        <f>"20190303154332964"</f>
        <v>20190303154332964</v>
      </c>
      <c r="B7770" t="str">
        <f>"1551599012957859"</f>
        <v>1551599012957859</v>
      </c>
      <c r="C7770" t="s">
        <v>40</v>
      </c>
      <c r="D7770">
        <v>5.5911609999999996</v>
      </c>
      <c r="E7770">
        <v>0.50836419999999904</v>
      </c>
      <c r="F7770" t="s">
        <v>68</v>
      </c>
      <c r="G7770">
        <v>-243.8758</v>
      </c>
      <c r="H7770" s="1">
        <v>-1.25401E-6</v>
      </c>
      <c r="I7770">
        <v>-62.654220000000002</v>
      </c>
      <c r="J7770">
        <v>-263.5351</v>
      </c>
      <c r="K7770">
        <v>1.120695</v>
      </c>
      <c r="L7770">
        <v>-62.068510000000003</v>
      </c>
      <c r="M7770">
        <v>0.99927350000000004</v>
      </c>
      <c r="N7770">
        <v>-1.0211619999999999E-2</v>
      </c>
      <c r="O7770">
        <v>-3.6720580000000003E-2</v>
      </c>
      <c r="P7770">
        <v>0.99391110000000005</v>
      </c>
      <c r="Q7770">
        <v>-0.1098769</v>
      </c>
      <c r="R7770">
        <v>-8.2281200000000002E-3</v>
      </c>
      <c r="S7770">
        <v>2.99884</v>
      </c>
      <c r="T7770">
        <v>-0.16974620000000001</v>
      </c>
      <c r="U7770">
        <v>-8.9477539999999994E-2</v>
      </c>
      <c r="V7770">
        <v>-2.8225900000000002E-2</v>
      </c>
      <c r="W7770">
        <v>-9.9739770000000005E-2</v>
      </c>
      <c r="X7770">
        <v>0.99461310000000003</v>
      </c>
      <c r="Y7770">
        <v>-6.849824E-3</v>
      </c>
      <c r="Z7770">
        <v>1.9296809999999999E-3</v>
      </c>
      <c r="AA7770">
        <v>0.99997469999999999</v>
      </c>
      <c r="AB7770">
        <v>26</v>
      </c>
      <c r="AC7770">
        <v>19.659300000000002</v>
      </c>
      <c r="AD7770">
        <v>-1.1206962540100001</v>
      </c>
      <c r="AE7770">
        <v>-0.58570999999999795</v>
      </c>
      <c r="AF7770">
        <v>-0.13618137363372801</v>
      </c>
      <c r="AG7770">
        <v>-1.1206962540100001</v>
      </c>
      <c r="AH7770">
        <v>19.6038987937816</v>
      </c>
      <c r="AI7770">
        <v>93.271788433939506</v>
      </c>
      <c r="AJ7770">
        <v>90.398007178864603</v>
      </c>
      <c r="AK7770">
        <v>19.6363783162045</v>
      </c>
      <c r="AL7770">
        <v>95.724185646114705</v>
      </c>
      <c r="AM7770">
        <v>91.625547668740495</v>
      </c>
      <c r="AN7770">
        <v>0.99999997092103599</v>
      </c>
    </row>
    <row r="7771" spans="1:40" x14ac:dyDescent="0.25">
      <c r="A7771" t="str">
        <f>"20190303154332974"</f>
        <v>20190303154332974</v>
      </c>
      <c r="B7771" t="str">
        <f>"1551599012967619"</f>
        <v>1551599012967619</v>
      </c>
      <c r="C7771" t="s">
        <v>40</v>
      </c>
      <c r="D7771">
        <v>5.5490120000000003</v>
      </c>
      <c r="E7771">
        <v>0.50834889999999999</v>
      </c>
      <c r="F7771" t="s">
        <v>68</v>
      </c>
      <c r="G7771">
        <v>-243.8058</v>
      </c>
      <c r="H7771" s="1">
        <v>-1.2224750000000001E-6</v>
      </c>
      <c r="I7771">
        <v>-62.648690000000002</v>
      </c>
      <c r="J7771">
        <v>-263.41559999999998</v>
      </c>
      <c r="K7771">
        <v>1.1206989999999999</v>
      </c>
      <c r="L7771">
        <v>-62.072719999999997</v>
      </c>
      <c r="M7771">
        <v>0.99927750000000004</v>
      </c>
      <c r="N7771">
        <v>-1.0336349999999999E-2</v>
      </c>
      <c r="O7771">
        <v>-3.6574450000000001E-2</v>
      </c>
      <c r="P7771">
        <v>0.99390020000000001</v>
      </c>
      <c r="Q7771">
        <v>-0.10997709999999999</v>
      </c>
      <c r="R7771">
        <v>-8.213995E-3</v>
      </c>
      <c r="S7771">
        <v>2.99884</v>
      </c>
      <c r="T7771">
        <v>-0.17034469999999999</v>
      </c>
      <c r="U7771">
        <v>-8.8195800000000005E-2</v>
      </c>
      <c r="V7771">
        <v>-2.8094600000000001E-2</v>
      </c>
      <c r="W7771">
        <v>-9.9715799999999993E-2</v>
      </c>
      <c r="X7771">
        <v>0.99461929999999998</v>
      </c>
      <c r="Y7771">
        <v>-7.1300510000000001E-3</v>
      </c>
      <c r="Z7771">
        <v>1.9361630000000001E-3</v>
      </c>
      <c r="AA7771">
        <v>0.99997270000000005</v>
      </c>
      <c r="AB7771">
        <v>26</v>
      </c>
      <c r="AC7771">
        <v>19.6097999999999</v>
      </c>
      <c r="AD7771">
        <v>-1.12070022247499</v>
      </c>
      <c r="AE7771">
        <v>-0.57597000000000498</v>
      </c>
      <c r="AF7771">
        <v>-0.14121053900265901</v>
      </c>
      <c r="AG7771">
        <v>-1.12070022247499</v>
      </c>
      <c r="AH7771">
        <v>19.553934684510001</v>
      </c>
      <c r="AI7771">
        <v>93.280135474133701</v>
      </c>
      <c r="AJ7771">
        <v>90.413759552452703</v>
      </c>
      <c r="AK7771">
        <v>19.586532900211498</v>
      </c>
      <c r="AL7771">
        <v>95.722804933390506</v>
      </c>
      <c r="AM7771">
        <v>91.617979965951307</v>
      </c>
      <c r="AN7771">
        <v>1.00000004962564</v>
      </c>
    </row>
    <row r="7772" spans="1:40" x14ac:dyDescent="0.25">
      <c r="A7772" t="str">
        <f>"20190303154332986"</f>
        <v>20190303154332986</v>
      </c>
      <c r="B7772" t="str">
        <f>"1551599012978356"</f>
        <v>1551599012978356</v>
      </c>
      <c r="C7772" t="s">
        <v>40</v>
      </c>
      <c r="D7772">
        <v>5.5640499999999999</v>
      </c>
      <c r="E7772">
        <v>0.50835429999999904</v>
      </c>
      <c r="F7772" t="s">
        <v>68</v>
      </c>
      <c r="G7772">
        <v>-243.804</v>
      </c>
      <c r="H7772" s="1">
        <v>-1.221588E-6</v>
      </c>
      <c r="I7772">
        <v>-62.648260000000001</v>
      </c>
      <c r="J7772">
        <v>-263.28289999999998</v>
      </c>
      <c r="K7772">
        <v>1.120703</v>
      </c>
      <c r="L7772">
        <v>-62.077390000000001</v>
      </c>
      <c r="M7772">
        <v>0.99928220000000001</v>
      </c>
      <c r="N7772">
        <v>-1.0453189999999999E-2</v>
      </c>
      <c r="O7772">
        <v>-3.641316E-2</v>
      </c>
      <c r="P7772">
        <v>0.99390800000000001</v>
      </c>
      <c r="Q7772">
        <v>-0.1099281</v>
      </c>
      <c r="R7772">
        <v>-7.9237819999999903E-3</v>
      </c>
      <c r="S7772">
        <v>2.9987490000000001</v>
      </c>
      <c r="T7772">
        <v>-0.17136189999999901</v>
      </c>
      <c r="U7772">
        <v>-8.8012699999999999E-2</v>
      </c>
      <c r="V7772">
        <v>-2.8225489999999999E-2</v>
      </c>
      <c r="W7772">
        <v>-9.9550390000000002E-2</v>
      </c>
      <c r="X7772">
        <v>0.99463210000000002</v>
      </c>
      <c r="Y7772">
        <v>-7.0286139999999999E-3</v>
      </c>
      <c r="Z7772">
        <v>1.93502E-3</v>
      </c>
      <c r="AA7772">
        <v>0.99997340000000001</v>
      </c>
      <c r="AB7772">
        <v>26</v>
      </c>
      <c r="AC7772">
        <v>19.4788999999999</v>
      </c>
      <c r="AD7772">
        <v>-1.1207042215880001</v>
      </c>
      <c r="AE7772">
        <v>-0.57086999999999899</v>
      </c>
      <c r="AF7772">
        <v>-0.13837798653403199</v>
      </c>
      <c r="AG7772">
        <v>-1.1207042215880001</v>
      </c>
      <c r="AH7772">
        <v>19.422531774906499</v>
      </c>
      <c r="AI7772">
        <v>93.302292293637294</v>
      </c>
      <c r="AJ7772">
        <v>90.408203243113405</v>
      </c>
      <c r="AK7772">
        <v>19.4553300400352</v>
      </c>
      <c r="AL7772">
        <v>95.713280608917898</v>
      </c>
      <c r="AM7772">
        <v>91.625493034265801</v>
      </c>
      <c r="AN7772">
        <v>0.99999998639265097</v>
      </c>
    </row>
    <row r="7773" spans="1:40" x14ac:dyDescent="0.25">
      <c r="A7773" t="str">
        <f>"20190303154332997"</f>
        <v>20190303154332997</v>
      </c>
      <c r="B7773" t="str">
        <f>"1551599012988115"</f>
        <v>1551599012988115</v>
      </c>
      <c r="C7773" t="s">
        <v>40</v>
      </c>
      <c r="D7773">
        <v>5.5480689999999999</v>
      </c>
      <c r="E7773">
        <v>0.50836720000000002</v>
      </c>
      <c r="F7773" t="s">
        <v>68</v>
      </c>
      <c r="G7773">
        <v>-243.7251</v>
      </c>
      <c r="H7773" s="1">
        <v>-1.1873099999999999E-6</v>
      </c>
      <c r="I7773">
        <v>-62.64658</v>
      </c>
      <c r="J7773">
        <v>-263.15390000000002</v>
      </c>
      <c r="K7773">
        <v>1.120703</v>
      </c>
      <c r="L7773">
        <v>-62.081940000000003</v>
      </c>
      <c r="M7773">
        <v>0.99928689999999998</v>
      </c>
      <c r="N7773">
        <v>-1.056171E-2</v>
      </c>
      <c r="O7773">
        <v>-3.6256480000000001E-2</v>
      </c>
      <c r="P7773">
        <v>0.99392449999999999</v>
      </c>
      <c r="Q7773">
        <v>-0.1097838</v>
      </c>
      <c r="R7773">
        <v>-7.8795459999999994E-3</v>
      </c>
      <c r="S7773">
        <v>2.998688</v>
      </c>
      <c r="T7773">
        <v>-0.17183129999999999</v>
      </c>
      <c r="U7773">
        <v>-8.7280269999999993E-2</v>
      </c>
      <c r="V7773">
        <v>-2.811522E-2</v>
      </c>
      <c r="W7773">
        <v>-9.9297670000000005E-2</v>
      </c>
      <c r="X7773">
        <v>0.99466049999999995</v>
      </c>
      <c r="Y7773">
        <v>-7.1151340000000004E-3</v>
      </c>
      <c r="Z7773">
        <v>1.9333659999999999E-3</v>
      </c>
      <c r="AA7773">
        <v>0.9999728</v>
      </c>
      <c r="AB7773">
        <v>26</v>
      </c>
      <c r="AC7773">
        <v>19.428799999999999</v>
      </c>
      <c r="AD7773">
        <v>-1.1207041873100001</v>
      </c>
      <c r="AE7773">
        <v>-0.56464000000000403</v>
      </c>
      <c r="AF7773">
        <v>-0.139725820014418</v>
      </c>
      <c r="AG7773">
        <v>-1.1207041873100001</v>
      </c>
      <c r="AH7773">
        <v>19.3720953907638</v>
      </c>
      <c r="AI7773">
        <v>93.310868715014195</v>
      </c>
      <c r="AJ7773">
        <v>90.413252195507198</v>
      </c>
      <c r="AK7773">
        <v>19.404988559880302</v>
      </c>
      <c r="AL7773">
        <v>95.698728630193699</v>
      </c>
      <c r="AM7773">
        <v>91.619099816527793</v>
      </c>
      <c r="AN7773">
        <v>1.0000000015616599</v>
      </c>
    </row>
    <row r="7774" spans="1:40" x14ac:dyDescent="0.25">
      <c r="A7774" t="str">
        <f>"20190303154333007"</f>
        <v>20190303154333007</v>
      </c>
      <c r="B7774" t="str">
        <f>"1551599012997877"</f>
        <v>1551599012997877</v>
      </c>
      <c r="C7774" t="s">
        <v>40</v>
      </c>
      <c r="D7774">
        <v>5.5491929999999998</v>
      </c>
      <c r="E7774">
        <v>0.50837140000000003</v>
      </c>
      <c r="F7774" t="s">
        <v>68</v>
      </c>
      <c r="G7774">
        <v>-243.61750000000001</v>
      </c>
      <c r="H7774" s="1">
        <v>-1.142214E-6</v>
      </c>
      <c r="I7774">
        <v>-62.650509999999997</v>
      </c>
      <c r="J7774">
        <v>-263.02289999999999</v>
      </c>
      <c r="K7774">
        <v>1.1207009999999999</v>
      </c>
      <c r="L7774">
        <v>-62.086489999999998</v>
      </c>
      <c r="M7774">
        <v>0.99929159999999995</v>
      </c>
      <c r="N7774">
        <v>-1.065257E-2</v>
      </c>
      <c r="O7774">
        <v>-3.6098060000000001E-2</v>
      </c>
      <c r="P7774">
        <v>0.9939287</v>
      </c>
      <c r="Q7774">
        <v>-0.1097421</v>
      </c>
      <c r="R7774">
        <v>-7.9093559999999993E-3</v>
      </c>
      <c r="S7774">
        <v>2.9986570000000001</v>
      </c>
      <c r="T7774">
        <v>-0.1720177</v>
      </c>
      <c r="U7774">
        <v>-8.7280269999999993E-2</v>
      </c>
      <c r="V7774">
        <v>-2.7929200000000001E-2</v>
      </c>
      <c r="W7774">
        <v>-9.9165260000000005E-2</v>
      </c>
      <c r="X7774">
        <v>0.99467899999999998</v>
      </c>
      <c r="Y7774">
        <v>-6.9568249999999998E-3</v>
      </c>
      <c r="Z7774">
        <v>1.920124E-3</v>
      </c>
      <c r="AA7774">
        <v>0.99997400000000003</v>
      </c>
      <c r="AB7774">
        <v>26</v>
      </c>
      <c r="AC7774">
        <v>19.405399999999901</v>
      </c>
      <c r="AD7774">
        <v>-1.120702142214</v>
      </c>
      <c r="AE7774">
        <v>-0.56401999999999197</v>
      </c>
      <c r="AF7774">
        <v>-0.13642994408287201</v>
      </c>
      <c r="AG7774">
        <v>-1.120702142214</v>
      </c>
      <c r="AH7774">
        <v>19.348633258987601</v>
      </c>
      <c r="AI7774">
        <v>93.314872299332905</v>
      </c>
      <c r="AJ7774">
        <v>90.403993933144093</v>
      </c>
      <c r="AK7774">
        <v>19.381542647890701</v>
      </c>
      <c r="AL7774">
        <v>95.691104183627402</v>
      </c>
      <c r="AM7774">
        <v>91.608363040196195</v>
      </c>
      <c r="AN7774">
        <v>1.00000005102225</v>
      </c>
    </row>
    <row r="7775" spans="1:40" x14ac:dyDescent="0.25">
      <c r="A7775" t="str">
        <f>"20190303154333019"</f>
        <v>20190303154333019</v>
      </c>
      <c r="B7775" t="str">
        <f>"1551599013007635"</f>
        <v>1551599013007635</v>
      </c>
      <c r="C7775" t="s">
        <v>40</v>
      </c>
      <c r="D7775">
        <v>5.5519629999999998</v>
      </c>
      <c r="E7775">
        <v>0.50837869999999996</v>
      </c>
      <c r="F7775" t="s">
        <v>68</v>
      </c>
      <c r="G7775">
        <v>-243.5368</v>
      </c>
      <c r="H7775" s="1">
        <v>-1.1085770000000001E-6</v>
      </c>
      <c r="I7775">
        <v>-62.654200000000003</v>
      </c>
      <c r="J7775">
        <v>-262.89490000000001</v>
      </c>
      <c r="K7775">
        <v>1.1206959999999999</v>
      </c>
      <c r="L7775">
        <v>-62.090969999999999</v>
      </c>
      <c r="M7775">
        <v>0.99929610000000002</v>
      </c>
      <c r="N7775">
        <v>-1.073474E-2</v>
      </c>
      <c r="O7775">
        <v>-3.594352E-2</v>
      </c>
      <c r="P7775">
        <v>0.99394830000000001</v>
      </c>
      <c r="Q7775">
        <v>-0.1095508</v>
      </c>
      <c r="R7775">
        <v>-8.0911290000000007E-3</v>
      </c>
      <c r="S7775">
        <v>2.998596</v>
      </c>
      <c r="T7775">
        <v>-0.17245839999999901</v>
      </c>
      <c r="U7775">
        <v>-8.7371829999999998E-2</v>
      </c>
      <c r="V7775">
        <v>-2.7595100000000001E-2</v>
      </c>
      <c r="W7775">
        <v>-9.8891590000000001E-2</v>
      </c>
      <c r="X7775">
        <v>0.99471549999999997</v>
      </c>
      <c r="Y7775">
        <v>-6.7714610000000003E-3</v>
      </c>
      <c r="Z7775">
        <v>1.909757E-3</v>
      </c>
      <c r="AA7775">
        <v>0.99997530000000001</v>
      </c>
      <c r="AB7775">
        <v>26</v>
      </c>
      <c r="AC7775">
        <v>19.3581</v>
      </c>
      <c r="AD7775">
        <v>-1.1206971085769999</v>
      </c>
      <c r="AE7775">
        <v>-0.56323000000000401</v>
      </c>
      <c r="AF7775">
        <v>-0.132528576785227</v>
      </c>
      <c r="AG7775">
        <v>-1.1206971085769999</v>
      </c>
      <c r="AH7775">
        <v>19.301200414219402</v>
      </c>
      <c r="AI7775">
        <v>93.322989761401303</v>
      </c>
      <c r="AJ7775">
        <v>90.393406038063603</v>
      </c>
      <c r="AK7775">
        <v>19.3341631125503</v>
      </c>
      <c r="AL7775">
        <v>95.675346992168699</v>
      </c>
      <c r="AM7775">
        <v>91.589074816825899</v>
      </c>
      <c r="AN7775">
        <v>0.99999998102849297</v>
      </c>
    </row>
    <row r="7776" spans="1:40" x14ac:dyDescent="0.25">
      <c r="A7776" t="str">
        <f>"20190303154333030"</f>
        <v>20190303154333030</v>
      </c>
      <c r="B7776" t="str">
        <f>"1551599013018372"</f>
        <v>1551599013018372</v>
      </c>
      <c r="C7776" t="s">
        <v>40</v>
      </c>
      <c r="D7776">
        <v>5.5909089999999999</v>
      </c>
      <c r="E7776">
        <v>0.50838930000000004</v>
      </c>
      <c r="F7776" t="s">
        <v>68</v>
      </c>
      <c r="G7776">
        <v>-243.40299999999999</v>
      </c>
      <c r="H7776" s="1">
        <v>-1.0534369999999999E-6</v>
      </c>
      <c r="I7776">
        <v>-62.66283</v>
      </c>
      <c r="J7776">
        <v>-262.76949999999999</v>
      </c>
      <c r="K7776">
        <v>1.120695</v>
      </c>
      <c r="L7776">
        <v>-62.095309999999998</v>
      </c>
      <c r="M7776">
        <v>0.99930099999999999</v>
      </c>
      <c r="N7776">
        <v>-1.080272E-2</v>
      </c>
      <c r="O7776">
        <v>-3.5792959999999999E-2</v>
      </c>
      <c r="P7776">
        <v>0.99393379999999998</v>
      </c>
      <c r="Q7776">
        <v>-0.1096563</v>
      </c>
      <c r="R7776">
        <v>-8.4324889999999996E-3</v>
      </c>
      <c r="S7776">
        <v>2.998535</v>
      </c>
      <c r="T7776">
        <v>-0.1724021</v>
      </c>
      <c r="U7776">
        <v>-8.7982179999999993E-2</v>
      </c>
      <c r="V7776">
        <v>-2.7104070000000001E-2</v>
      </c>
      <c r="W7776">
        <v>-9.8929180000000005E-2</v>
      </c>
      <c r="X7776">
        <v>0.99472530000000003</v>
      </c>
      <c r="Y7776">
        <v>-6.4178509999999996E-3</v>
      </c>
      <c r="Z7776">
        <v>1.887765E-3</v>
      </c>
      <c r="AA7776">
        <v>0.99997760000000002</v>
      </c>
      <c r="AB7776">
        <v>26</v>
      </c>
      <c r="AC7776">
        <v>19.366499999999998</v>
      </c>
      <c r="AD7776">
        <v>-1.1206960534370001</v>
      </c>
      <c r="AE7776">
        <v>-0.56752000000000802</v>
      </c>
      <c r="AF7776">
        <v>-0.125647998468051</v>
      </c>
      <c r="AG7776">
        <v>-1.1206960534370001</v>
      </c>
      <c r="AH7776">
        <v>19.309796608868201</v>
      </c>
      <c r="AI7776">
        <v>93.321518613204304</v>
      </c>
      <c r="AJ7776">
        <v>90.372815859247098</v>
      </c>
      <c r="AK7776">
        <v>19.342698677784501</v>
      </c>
      <c r="AL7776">
        <v>95.677511144029197</v>
      </c>
      <c r="AM7776">
        <v>91.560797402849602</v>
      </c>
      <c r="AN7776">
        <v>1.0000000178630599</v>
      </c>
    </row>
    <row r="7777" spans="1:40" x14ac:dyDescent="0.25">
      <c r="A7777" t="str">
        <f>"20190303154333042"</f>
        <v>20190303154333042</v>
      </c>
      <c r="B7777" t="str">
        <f>"1551599013037892"</f>
        <v>1551599013037892</v>
      </c>
      <c r="C7777" t="s">
        <v>40</v>
      </c>
      <c r="D7777">
        <v>5.5923980000000002</v>
      </c>
      <c r="E7777">
        <v>0.50839009999999996</v>
      </c>
      <c r="F7777" t="s">
        <v>68</v>
      </c>
      <c r="G7777">
        <v>-243.4083</v>
      </c>
      <c r="H7777" s="1">
        <v>-1.057597E-6</v>
      </c>
      <c r="I7777">
        <v>-62.66986</v>
      </c>
      <c r="J7777">
        <v>-262.63409999999999</v>
      </c>
      <c r="K7777">
        <v>1.1206929999999999</v>
      </c>
      <c r="L7777">
        <v>-62.099980000000002</v>
      </c>
      <c r="M7777">
        <v>0.99930609999999997</v>
      </c>
      <c r="N7777">
        <v>-1.086677E-2</v>
      </c>
      <c r="O7777">
        <v>-3.5630580000000002E-2</v>
      </c>
      <c r="P7777">
        <v>0.99392860000000005</v>
      </c>
      <c r="Q7777">
        <v>-0.1096946</v>
      </c>
      <c r="R7777">
        <v>-8.5653399999999994E-3</v>
      </c>
      <c r="S7777">
        <v>2.9984130000000002</v>
      </c>
      <c r="T7777">
        <v>-0.17355860000000001</v>
      </c>
      <c r="U7777">
        <v>-8.8989260000000001E-2</v>
      </c>
      <c r="V7777">
        <v>-2.681006E-2</v>
      </c>
      <c r="W7777">
        <v>-9.8903420000000006E-2</v>
      </c>
      <c r="X7777">
        <v>0.99473579999999995</v>
      </c>
      <c r="Y7777">
        <v>-5.9190750000000002E-3</v>
      </c>
      <c r="Z7777">
        <v>1.876008E-3</v>
      </c>
      <c r="AA7777">
        <v>0.99998069999999895</v>
      </c>
      <c r="AB7777">
        <v>26</v>
      </c>
      <c r="AC7777">
        <v>19.2257999999999</v>
      </c>
      <c r="AD7777">
        <v>-1.1206940575969999</v>
      </c>
      <c r="AE7777">
        <v>-0.56987999999999694</v>
      </c>
      <c r="AF7777">
        <v>-0.115157703473231</v>
      </c>
      <c r="AG7777">
        <v>-1.1206940575969999</v>
      </c>
      <c r="AH7777">
        <v>19.16882132516</v>
      </c>
      <c r="AI7777">
        <v>93.345895598131307</v>
      </c>
      <c r="AJ7777">
        <v>90.344203271613395</v>
      </c>
      <c r="AK7777">
        <v>19.201899058773101</v>
      </c>
      <c r="AL7777">
        <v>95.676028096223007</v>
      </c>
      <c r="AM7777">
        <v>91.543858683962597</v>
      </c>
      <c r="AN7777">
        <v>0.99999998880326901</v>
      </c>
    </row>
    <row r="7778" spans="1:40" x14ac:dyDescent="0.25">
      <c r="A7778" t="str">
        <f>"20190303154333052"</f>
        <v>20190303154333052</v>
      </c>
      <c r="B7778" t="str">
        <f>"1551599013047652"</f>
        <v>1551599013047652</v>
      </c>
      <c r="C7778" t="s">
        <v>40</v>
      </c>
      <c r="D7778">
        <v>5.5513570000000003</v>
      </c>
      <c r="E7778">
        <v>0.50829789999999997</v>
      </c>
      <c r="F7778" t="s">
        <v>68</v>
      </c>
      <c r="G7778">
        <v>-243.38249999999999</v>
      </c>
      <c r="H7778" s="1">
        <v>-1.047647E-6</v>
      </c>
      <c r="I7778">
        <v>-62.674050000000001</v>
      </c>
      <c r="J7778">
        <v>-262.5016</v>
      </c>
      <c r="K7778">
        <v>1.120684</v>
      </c>
      <c r="L7778">
        <v>-62.104550000000003</v>
      </c>
      <c r="M7778">
        <v>0.99931099999999995</v>
      </c>
      <c r="N7778">
        <v>-1.0921210000000001E-2</v>
      </c>
      <c r="O7778">
        <v>-3.5472190000000001E-2</v>
      </c>
      <c r="P7778">
        <v>0.99392740000000002</v>
      </c>
      <c r="Q7778">
        <v>-0.10968029999999999</v>
      </c>
      <c r="R7778">
        <v>-8.8793169999999994E-3</v>
      </c>
      <c r="S7778">
        <v>2.9982600000000001</v>
      </c>
      <c r="T7778">
        <v>-0.1745379</v>
      </c>
      <c r="U7778">
        <v>-8.9416499999999996E-2</v>
      </c>
      <c r="V7778">
        <v>-2.6339230000000002E-2</v>
      </c>
      <c r="W7778">
        <v>-9.8834630000000007E-2</v>
      </c>
      <c r="X7778">
        <v>0.99475519999999995</v>
      </c>
      <c r="Y7778">
        <v>-5.6169200000000001E-3</v>
      </c>
      <c r="Z7778">
        <v>1.8689970000000001E-3</v>
      </c>
      <c r="AA7778">
        <v>0.9999825</v>
      </c>
      <c r="AB7778">
        <v>26</v>
      </c>
      <c r="AC7778">
        <v>19.1191</v>
      </c>
      <c r="AD7778">
        <v>-1.1206850476470001</v>
      </c>
      <c r="AE7778">
        <v>-0.56949999999999701</v>
      </c>
      <c r="AF7778">
        <v>-0.10872201852956</v>
      </c>
      <c r="AG7778">
        <v>-1.1206850476470001</v>
      </c>
      <c r="AH7778">
        <v>19.0618335886866</v>
      </c>
      <c r="AI7778">
        <v>93.364610959267296</v>
      </c>
      <c r="AJ7778">
        <v>90.3267915032595</v>
      </c>
      <c r="AK7778">
        <v>19.095058397818899</v>
      </c>
      <c r="AL7778">
        <v>95.672067400412303</v>
      </c>
      <c r="AM7778">
        <v>91.516729125990807</v>
      </c>
      <c r="AN7778">
        <v>0.99999997352563397</v>
      </c>
    </row>
    <row r="7779" spans="1:40" x14ac:dyDescent="0.25">
      <c r="A7779" t="str">
        <f>"20190303154333064"</f>
        <v>20190303154333064</v>
      </c>
      <c r="B7779" t="str">
        <f>"1551599013058388"</f>
        <v>1551599013058388</v>
      </c>
      <c r="C7779" t="s">
        <v>40</v>
      </c>
      <c r="D7779">
        <v>5.5944589999999996</v>
      </c>
      <c r="E7779">
        <v>0.50829789999999997</v>
      </c>
      <c r="F7779" t="s">
        <v>68</v>
      </c>
      <c r="G7779">
        <v>-243.27860000000001</v>
      </c>
      <c r="H7779" s="1">
        <v>-1.004483E-6</v>
      </c>
      <c r="I7779">
        <v>-62.679340000000003</v>
      </c>
      <c r="J7779">
        <v>-262.3707</v>
      </c>
      <c r="K7779">
        <v>1.120682</v>
      </c>
      <c r="L7779">
        <v>-62.109009999999998</v>
      </c>
      <c r="M7779">
        <v>0.99931619999999999</v>
      </c>
      <c r="N7779">
        <v>-1.096345E-2</v>
      </c>
      <c r="O7779">
        <v>-3.5316479999999997E-2</v>
      </c>
      <c r="P7779">
        <v>0.99394459999999996</v>
      </c>
      <c r="Q7779">
        <v>-0.1094866</v>
      </c>
      <c r="R7779">
        <v>-9.3361409999999992E-3</v>
      </c>
      <c r="S7779">
        <v>2.99823</v>
      </c>
      <c r="T7779">
        <v>-0.1747938</v>
      </c>
      <c r="U7779">
        <v>-8.966064E-2</v>
      </c>
      <c r="V7779">
        <v>-2.572841E-2</v>
      </c>
      <c r="W7779">
        <v>-9.8598199999999997E-2</v>
      </c>
      <c r="X7779">
        <v>0.99479470000000003</v>
      </c>
      <c r="Y7779">
        <v>-5.3799929999999996E-3</v>
      </c>
      <c r="Z7779">
        <v>1.855343E-3</v>
      </c>
      <c r="AA7779">
        <v>0.99998379999999998</v>
      </c>
      <c r="AB7779">
        <v>26</v>
      </c>
      <c r="AC7779">
        <v>19.092099999999899</v>
      </c>
      <c r="AD7779">
        <v>-1.1206830044829901</v>
      </c>
      <c r="AE7779">
        <v>-0.570330000000005</v>
      </c>
      <c r="AF7779">
        <v>-0.103974085054267</v>
      </c>
      <c r="AG7779">
        <v>-1.1206830044829901</v>
      </c>
      <c r="AH7779">
        <v>19.034804925798198</v>
      </c>
      <c r="AI7779">
        <v>93.369375973640302</v>
      </c>
      <c r="AJ7779">
        <v>90.312964436871695</v>
      </c>
      <c r="AK7779">
        <v>19.0680502299026</v>
      </c>
      <c r="AL7779">
        <v>95.658454172114304</v>
      </c>
      <c r="AM7779">
        <v>91.481512475305394</v>
      </c>
      <c r="AN7779">
        <v>1.00000002563622</v>
      </c>
    </row>
    <row r="7780" spans="1:40" x14ac:dyDescent="0.25">
      <c r="A7780" t="str">
        <f>"20190303154333074"</f>
        <v>20190303154333074</v>
      </c>
      <c r="B7780" t="str">
        <f>"1551599013068148"</f>
        <v>1551599013068148</v>
      </c>
      <c r="C7780" t="s">
        <v>40</v>
      </c>
      <c r="D7780">
        <v>5.5833389999999996</v>
      </c>
      <c r="E7780">
        <v>0.49903979999999998</v>
      </c>
      <c r="F7780" t="s">
        <v>68</v>
      </c>
      <c r="G7780">
        <v>-243.08090000000001</v>
      </c>
      <c r="H7780" s="1">
        <v>-9.2361640000000003E-7</v>
      </c>
      <c r="I7780">
        <v>-62.694240000000001</v>
      </c>
      <c r="J7780">
        <v>-262.24079999999998</v>
      </c>
      <c r="K7780">
        <v>1.120682</v>
      </c>
      <c r="L7780">
        <v>-62.113460000000003</v>
      </c>
      <c r="M7780">
        <v>0.99932109999999996</v>
      </c>
      <c r="N7780">
        <v>-1.1002110000000001E-2</v>
      </c>
      <c r="O7780">
        <v>-3.5162289999999999E-2</v>
      </c>
      <c r="P7780">
        <v>0.99395739999999999</v>
      </c>
      <c r="Q7780">
        <v>-0.10934199999999999</v>
      </c>
      <c r="R7780">
        <v>-9.6546600000000007E-3</v>
      </c>
      <c r="S7780">
        <v>2.99823</v>
      </c>
      <c r="T7780">
        <v>-0.1741886</v>
      </c>
      <c r="U7780">
        <v>-9.0972899999999995E-2</v>
      </c>
      <c r="V7780">
        <v>-2.525736E-2</v>
      </c>
      <c r="W7780">
        <v>-9.8414749999999995E-2</v>
      </c>
      <c r="X7780">
        <v>0.99482490000000001</v>
      </c>
      <c r="Y7780">
        <v>-4.7902659999999996E-3</v>
      </c>
      <c r="Z7780">
        <v>1.818809E-3</v>
      </c>
      <c r="AA7780">
        <v>0.99998690000000001</v>
      </c>
      <c r="AB7780">
        <v>26</v>
      </c>
      <c r="AC7780">
        <v>19.159899999999901</v>
      </c>
      <c r="AD7780">
        <v>-1.1206829236164</v>
      </c>
      <c r="AE7780">
        <v>-0.58078000000000396</v>
      </c>
      <c r="AF7780">
        <v>-9.3007988637793595E-2</v>
      </c>
      <c r="AG7780">
        <v>-1.1206829236164</v>
      </c>
      <c r="AH7780">
        <v>19.103177290903702</v>
      </c>
      <c r="AI7780">
        <v>93.357354271541197</v>
      </c>
      <c r="AJ7780">
        <v>90.278954805408702</v>
      </c>
      <c r="AK7780">
        <v>19.136247367468201</v>
      </c>
      <c r="AL7780">
        <v>95.647892096021195</v>
      </c>
      <c r="AM7780">
        <v>91.454355749609903</v>
      </c>
      <c r="AN7780">
        <v>0.99999998945586999</v>
      </c>
    </row>
    <row r="7781" spans="1:40" x14ac:dyDescent="0.25">
      <c r="A7781" t="str">
        <f>"20190303154333086"</f>
        <v>20190303154333086</v>
      </c>
      <c r="B7781" t="str">
        <f>"1551599013077908"</f>
        <v>1551599013077908</v>
      </c>
      <c r="C7781" t="s">
        <v>40</v>
      </c>
      <c r="D7781">
        <v>5.5767699999999998</v>
      </c>
      <c r="E7781">
        <v>0.49881569999999997</v>
      </c>
      <c r="F7781" t="s">
        <v>68</v>
      </c>
      <c r="G7781">
        <v>-242.85329999999999</v>
      </c>
      <c r="H7781" s="1">
        <v>-7.025135E-7</v>
      </c>
      <c r="I7781">
        <v>-62.230200000000004</v>
      </c>
      <c r="J7781">
        <v>-262.11540000000002</v>
      </c>
      <c r="K7781">
        <v>1.1206849999999999</v>
      </c>
      <c r="L7781">
        <v>-62.117710000000002</v>
      </c>
      <c r="M7781">
        <v>0.99932609999999999</v>
      </c>
      <c r="N7781">
        <v>-1.10267E-2</v>
      </c>
      <c r="O7781">
        <v>-3.501423E-2</v>
      </c>
      <c r="P7781">
        <v>0.99398470000000005</v>
      </c>
      <c r="Q7781">
        <v>-0.1090855</v>
      </c>
      <c r="R7781">
        <v>-9.7391270000000002E-3</v>
      </c>
      <c r="S7781">
        <v>2.998993</v>
      </c>
      <c r="T7781">
        <v>-0.17335510000000001</v>
      </c>
      <c r="U7781">
        <v>-1.8066410000000001E-2</v>
      </c>
      <c r="V7781">
        <v>-2.5025619999999998E-2</v>
      </c>
      <c r="W7781">
        <v>-9.8133390000000001E-2</v>
      </c>
      <c r="X7781">
        <v>0.99485860000000004</v>
      </c>
      <c r="Y7781">
        <v>-2.8899660000000001E-2</v>
      </c>
      <c r="Z7781">
        <v>2.6300590000000001E-3</v>
      </c>
      <c r="AA7781">
        <v>0.99957879999999999</v>
      </c>
      <c r="AB7781">
        <v>26</v>
      </c>
      <c r="AC7781">
        <v>19.2621</v>
      </c>
      <c r="AD7781">
        <v>-1.1206857025135</v>
      </c>
      <c r="AE7781">
        <v>-0.112490000000008</v>
      </c>
      <c r="AF7781">
        <v>-0.56017138804537003</v>
      </c>
      <c r="AG7781">
        <v>-1.1206857025135</v>
      </c>
      <c r="AH7781">
        <v>19.189272572756</v>
      </c>
      <c r="AI7781">
        <v>93.340953067717905</v>
      </c>
      <c r="AJ7781">
        <v>91.672097990032</v>
      </c>
      <c r="AK7781">
        <v>19.230130272552099</v>
      </c>
      <c r="AL7781">
        <v>95.631692661855993</v>
      </c>
      <c r="AM7781">
        <v>91.440968681046897</v>
      </c>
      <c r="AN7781">
        <v>1.0000000389416099</v>
      </c>
    </row>
    <row r="7782" spans="1:40" x14ac:dyDescent="0.25">
      <c r="A7782" t="str">
        <f>"20190303154333098"</f>
        <v>20190303154333098</v>
      </c>
      <c r="B7782" t="str">
        <f>"1551599013087669"</f>
        <v>1551599013087669</v>
      </c>
      <c r="C7782" t="s">
        <v>40</v>
      </c>
      <c r="D7782">
        <v>5.5777839999999896</v>
      </c>
      <c r="E7782">
        <v>0.49900470000000002</v>
      </c>
      <c r="F7782" t="s">
        <v>68</v>
      </c>
      <c r="G7782">
        <v>-241.76849999999999</v>
      </c>
      <c r="H7782" s="1">
        <v>-2.3667310000000001E-7</v>
      </c>
      <c r="I7782">
        <v>-62.228380000000001</v>
      </c>
      <c r="J7782">
        <v>-261.97359999999998</v>
      </c>
      <c r="K7782">
        <v>1.120682</v>
      </c>
      <c r="L7782">
        <v>-62.122500000000002</v>
      </c>
      <c r="M7782">
        <v>0.99933170000000004</v>
      </c>
      <c r="N7782">
        <v>-1.105097E-2</v>
      </c>
      <c r="O7782">
        <v>-3.4846729999999999E-2</v>
      </c>
      <c r="P7782">
        <v>0.99407959999999995</v>
      </c>
      <c r="Q7782">
        <v>-0.10821219999999999</v>
      </c>
      <c r="R7782">
        <v>-9.8144289999999995E-3</v>
      </c>
      <c r="S7782">
        <v>2.9998469999999999</v>
      </c>
      <c r="T7782">
        <v>-0.1652285</v>
      </c>
      <c r="U7782">
        <v>-1.6326899999999998E-2</v>
      </c>
      <c r="V7782">
        <v>-2.4787779999999999E-2</v>
      </c>
      <c r="W7782">
        <v>-9.723474E-2</v>
      </c>
      <c r="X7782">
        <v>0.99495270000000002</v>
      </c>
      <c r="Y7782">
        <v>-2.932206E-2</v>
      </c>
      <c r="Z7782">
        <v>2.5016529999999999E-3</v>
      </c>
      <c r="AA7782">
        <v>0.99956690000000004</v>
      </c>
      <c r="AB7782">
        <v>26</v>
      </c>
      <c r="AC7782">
        <v>20.205099999999899</v>
      </c>
      <c r="AD7782">
        <v>-1.1206822366731</v>
      </c>
      <c r="AE7782">
        <v>-0.105879999999999</v>
      </c>
      <c r="AF7782">
        <v>-0.596473936903823</v>
      </c>
      <c r="AG7782">
        <v>-1.1206822366731</v>
      </c>
      <c r="AH7782">
        <v>20.1345767677882</v>
      </c>
      <c r="AI7782">
        <v>93.184378208612401</v>
      </c>
      <c r="AJ7782">
        <v>91.696854487862595</v>
      </c>
      <c r="AK7782">
        <v>20.174560502052</v>
      </c>
      <c r="AL7782">
        <v>95.579956866627199</v>
      </c>
      <c r="AM7782">
        <v>91.427144675218798</v>
      </c>
      <c r="AN7782">
        <v>0.99999995196874103</v>
      </c>
    </row>
    <row r="7783" spans="1:40" x14ac:dyDescent="0.25">
      <c r="A7783" t="str">
        <f>"20190303154333110"</f>
        <v>20190303154333110</v>
      </c>
      <c r="B7783" t="str">
        <f>"1551599013098405"</f>
        <v>1551599013098405</v>
      </c>
      <c r="C7783" t="s">
        <v>40</v>
      </c>
      <c r="D7783">
        <v>5.5552669999999997</v>
      </c>
      <c r="E7783">
        <v>0.49912810000000002</v>
      </c>
      <c r="F7783" t="s">
        <v>68</v>
      </c>
      <c r="G7783">
        <v>-241.22790000000001</v>
      </c>
      <c r="H7783" s="1">
        <v>-9.7829799999999992E-9</v>
      </c>
      <c r="I7783">
        <v>-62.24736</v>
      </c>
      <c r="J7783">
        <v>-261.83839999999998</v>
      </c>
      <c r="K7783">
        <v>1.1206860000000001</v>
      </c>
      <c r="L7783">
        <v>-62.127040000000001</v>
      </c>
      <c r="M7783">
        <v>0.99933700000000003</v>
      </c>
      <c r="N7783">
        <v>-1.1063389999999999E-2</v>
      </c>
      <c r="O7783">
        <v>-3.4687280000000001E-2</v>
      </c>
      <c r="P7783">
        <v>0.99414919999999996</v>
      </c>
      <c r="Q7783">
        <v>-0.107609</v>
      </c>
      <c r="R7783">
        <v>-9.3877969999999998E-3</v>
      </c>
      <c r="S7783">
        <v>3.000092</v>
      </c>
      <c r="T7783">
        <v>-0.16206470000000001</v>
      </c>
      <c r="U7783">
        <v>-1.8066410000000001E-2</v>
      </c>
      <c r="V7783">
        <v>-2.505829E-2</v>
      </c>
      <c r="W7783">
        <v>-9.6618850000000006E-2</v>
      </c>
      <c r="X7783">
        <v>0.99500599999999995</v>
      </c>
      <c r="Y7783">
        <v>-2.858838E-2</v>
      </c>
      <c r="Z7783">
        <v>2.4183669999999998E-3</v>
      </c>
      <c r="AA7783">
        <v>0.99958840000000004</v>
      </c>
      <c r="AB7783">
        <v>26</v>
      </c>
      <c r="AC7783">
        <v>20.610499999999899</v>
      </c>
      <c r="AD7783">
        <v>-1.1206860097829701</v>
      </c>
      <c r="AE7783">
        <v>-0.120319999999999</v>
      </c>
      <c r="AF7783">
        <v>-0.59296524618096402</v>
      </c>
      <c r="AG7783">
        <v>-1.1206860097829701</v>
      </c>
      <c r="AH7783">
        <v>20.5415384244085</v>
      </c>
      <c r="AI7783">
        <v>93.121495913840604</v>
      </c>
      <c r="AJ7783">
        <v>91.653477614582698</v>
      </c>
      <c r="AK7783">
        <v>20.580630353736801</v>
      </c>
      <c r="AL7783">
        <v>95.544501593753097</v>
      </c>
      <c r="AM7783">
        <v>91.442635363422198</v>
      </c>
      <c r="AN7783">
        <v>1.00000003005452</v>
      </c>
    </row>
    <row r="7784" spans="1:40" x14ac:dyDescent="0.25">
      <c r="A7784" t="str">
        <f>"20190303154333122"</f>
        <v>20190303154333122</v>
      </c>
      <c r="B7784" t="str">
        <f>"1551599013117924"</f>
        <v>1551599013117924</v>
      </c>
      <c r="C7784" t="s">
        <v>40</v>
      </c>
      <c r="D7784">
        <v>5.5404589999999896</v>
      </c>
      <c r="E7784">
        <v>0.49903039999999999</v>
      </c>
      <c r="F7784" t="s">
        <v>68</v>
      </c>
      <c r="G7784">
        <v>-241.2235</v>
      </c>
      <c r="H7784" s="1">
        <v>-8.3178969999999908E-9</v>
      </c>
      <c r="I7784">
        <v>-62.248829999999998</v>
      </c>
      <c r="J7784">
        <v>-261.69729999999998</v>
      </c>
      <c r="K7784">
        <v>1.120687</v>
      </c>
      <c r="L7784">
        <v>-62.131770000000003</v>
      </c>
      <c r="M7784">
        <v>0.99934270000000003</v>
      </c>
      <c r="N7784">
        <v>-1.107029E-2</v>
      </c>
      <c r="O7784">
        <v>-3.4521019999999999E-2</v>
      </c>
      <c r="P7784">
        <v>0.99421060000000006</v>
      </c>
      <c r="Q7784">
        <v>-0.1070752</v>
      </c>
      <c r="R7784">
        <v>-8.9489770000000003E-3</v>
      </c>
      <c r="S7784">
        <v>2.9998469999999999</v>
      </c>
      <c r="T7784">
        <v>-0.16308059999999999</v>
      </c>
      <c r="U7784">
        <v>-1.773071E-2</v>
      </c>
      <c r="V7784">
        <v>-2.5333379999999999E-2</v>
      </c>
      <c r="W7784">
        <v>-9.6077850000000006E-2</v>
      </c>
      <c r="X7784">
        <v>0.99505140000000003</v>
      </c>
      <c r="Y7784">
        <v>-2.853259E-2</v>
      </c>
      <c r="Z7784">
        <v>2.4259849999999999E-3</v>
      </c>
      <c r="AA7784">
        <v>0.99958990000000003</v>
      </c>
      <c r="AB7784">
        <v>26</v>
      </c>
      <c r="AC7784">
        <v>20.473799999999901</v>
      </c>
      <c r="AD7784">
        <v>-1.1206870083178899</v>
      </c>
      <c r="AE7784">
        <v>-0.117060000000009</v>
      </c>
      <c r="AF7784">
        <v>-0.58806760681693304</v>
      </c>
      <c r="AG7784">
        <v>-1.1206870083178899</v>
      </c>
      <c r="AH7784">
        <v>20.404502716225899</v>
      </c>
      <c r="AI7784">
        <v>93.142424829222506</v>
      </c>
      <c r="AJ7784">
        <v>91.650835021039001</v>
      </c>
      <c r="AK7784">
        <v>20.443715268445501</v>
      </c>
      <c r="AL7784">
        <v>95.513359800628905</v>
      </c>
      <c r="AM7784">
        <v>91.458399301596501</v>
      </c>
      <c r="AN7784">
        <v>1.0000000110224001</v>
      </c>
    </row>
    <row r="7785" spans="1:40" x14ac:dyDescent="0.25">
      <c r="A7785" t="str">
        <f>"20190303154333134"</f>
        <v>20190303154333134</v>
      </c>
      <c r="B7785" t="str">
        <f>"1551599013127684"</f>
        <v>1551599013127684</v>
      </c>
      <c r="C7785" t="s">
        <v>40</v>
      </c>
      <c r="D7785">
        <v>5.54453</v>
      </c>
      <c r="E7785">
        <v>0.49917450000000002</v>
      </c>
      <c r="F7785" t="s">
        <v>68</v>
      </c>
      <c r="G7785">
        <v>-240.66370000000001</v>
      </c>
      <c r="H7785" s="1">
        <v>2.3414800000000001E-7</v>
      </c>
      <c r="I7785">
        <v>-62.240189999999998</v>
      </c>
      <c r="J7785">
        <v>-261.55099999999999</v>
      </c>
      <c r="K7785">
        <v>1.120687</v>
      </c>
      <c r="L7785">
        <v>-62.136629999999997</v>
      </c>
      <c r="M7785">
        <v>0.99934860000000003</v>
      </c>
      <c r="N7785">
        <v>-1.107205E-2</v>
      </c>
      <c r="O7785">
        <v>-3.4348770000000001E-2</v>
      </c>
      <c r="P7785">
        <v>0.99429350000000005</v>
      </c>
      <c r="Q7785">
        <v>-0.10632460000000001</v>
      </c>
      <c r="R7785">
        <v>-8.6809450000000007E-3</v>
      </c>
      <c r="S7785">
        <v>3.0001220000000002</v>
      </c>
      <c r="T7785">
        <v>-0.15984860000000001</v>
      </c>
      <c r="U7785">
        <v>-1.5472410000000001E-2</v>
      </c>
      <c r="V7785">
        <v>-2.5432969999999999E-2</v>
      </c>
      <c r="W7785">
        <v>-9.5324699999999998E-2</v>
      </c>
      <c r="X7785">
        <v>0.99512129999999999</v>
      </c>
      <c r="Y7785">
        <v>-2.9115820000000001E-2</v>
      </c>
      <c r="Z7785">
        <v>2.3847650000000001E-3</v>
      </c>
      <c r="AA7785">
        <v>0.99957320000000005</v>
      </c>
      <c r="AB7785">
        <v>26</v>
      </c>
      <c r="AC7785">
        <v>20.8872999999999</v>
      </c>
      <c r="AD7785">
        <v>-1.1206867658520001</v>
      </c>
      <c r="AE7785">
        <v>-0.103560000000001</v>
      </c>
      <c r="AF7785">
        <v>-0.61223571277354705</v>
      </c>
      <c r="AG7785">
        <v>-1.1206867658520001</v>
      </c>
      <c r="AH7785">
        <v>20.8186003514408</v>
      </c>
      <c r="AI7785">
        <v>93.079987986362795</v>
      </c>
      <c r="AJ7785">
        <v>91.684475164509394</v>
      </c>
      <c r="AK7785">
        <v>20.8577297898923</v>
      </c>
      <c r="AL7785">
        <v>95.470008466998195</v>
      </c>
      <c r="AM7785">
        <v>91.464027237006206</v>
      </c>
      <c r="AN7785">
        <v>1.0000000180534001</v>
      </c>
    </row>
    <row r="7786" spans="1:40" x14ac:dyDescent="0.25">
      <c r="A7786" t="str">
        <f>"20190303154333154"</f>
        <v>20190303154333154</v>
      </c>
      <c r="B7786" t="str">
        <f>"1551599013148180"</f>
        <v>1551599013148180</v>
      </c>
      <c r="C7786" t="s">
        <v>40</v>
      </c>
      <c r="D7786">
        <v>5.5683939999999996</v>
      </c>
      <c r="E7786">
        <v>0.49910539999999998</v>
      </c>
      <c r="F7786" t="s">
        <v>68</v>
      </c>
      <c r="G7786">
        <v>-240.2671</v>
      </c>
      <c r="H7786" s="1">
        <v>4.0194610000000001E-7</v>
      </c>
      <c r="I7786">
        <v>-62.248930000000001</v>
      </c>
      <c r="J7786">
        <v>-261.32780000000002</v>
      </c>
      <c r="K7786">
        <v>1.1206929999999999</v>
      </c>
      <c r="L7786">
        <v>-62.144010000000002</v>
      </c>
      <c r="M7786">
        <v>0.99935770000000002</v>
      </c>
      <c r="N7786">
        <v>-1.1061659999999999E-2</v>
      </c>
      <c r="O7786">
        <v>-3.4086949999999998E-2</v>
      </c>
      <c r="P7786">
        <v>0.99440039999999996</v>
      </c>
      <c r="Q7786">
        <v>-0.1053762</v>
      </c>
      <c r="R7786">
        <v>-7.9962999999999996E-3</v>
      </c>
      <c r="S7786">
        <v>3.0002140000000002</v>
      </c>
      <c r="T7786">
        <v>-0.15797410000000001</v>
      </c>
      <c r="U7786">
        <v>-1.5838620000000001E-2</v>
      </c>
      <c r="V7786">
        <v>-2.5860930000000001E-2</v>
      </c>
      <c r="W7786">
        <v>-9.4385839999999999E-2</v>
      </c>
      <c r="X7786">
        <v>0.99519970000000002</v>
      </c>
      <c r="Y7786">
        <v>-2.8734909999999999E-2</v>
      </c>
      <c r="Z7786">
        <v>2.33139E-3</v>
      </c>
      <c r="AA7786">
        <v>0.99958440000000004</v>
      </c>
      <c r="AB7786">
        <v>26</v>
      </c>
      <c r="AC7786">
        <v>21.060700000000001</v>
      </c>
      <c r="AD7786">
        <v>-1.12069259805389</v>
      </c>
      <c r="AE7786">
        <v>-0.10492000000000599</v>
      </c>
      <c r="AF7786">
        <v>-0.61134886439070801</v>
      </c>
      <c r="AG7786">
        <v>-1.12069259805389</v>
      </c>
      <c r="AH7786">
        <v>20.992595599706799</v>
      </c>
      <c r="AI7786">
        <v>93.054549685603106</v>
      </c>
      <c r="AJ7786">
        <v>91.6681030366762</v>
      </c>
      <c r="AK7786">
        <v>21.0313758310329</v>
      </c>
      <c r="AL7786">
        <v>95.4159724268888</v>
      </c>
      <c r="AM7786">
        <v>91.488534175519305</v>
      </c>
      <c r="AN7786">
        <v>0.99999995868652902</v>
      </c>
    </row>
    <row r="7787" spans="1:40" x14ac:dyDescent="0.25">
      <c r="A7787" t="str">
        <f>"20190303154333164"</f>
        <v>20190303154333164</v>
      </c>
      <c r="B7787" t="str">
        <f>"1551599013157940"</f>
        <v>1551599013157940</v>
      </c>
      <c r="C7787" t="s">
        <v>40</v>
      </c>
      <c r="D7787">
        <v>5.5361070000000003</v>
      </c>
      <c r="E7787">
        <v>0.49907430000000003</v>
      </c>
      <c r="F7787" t="s">
        <v>67</v>
      </c>
      <c r="G7787">
        <v>-239.803</v>
      </c>
      <c r="H7787" s="1">
        <v>-3.5390490000000002E-6</v>
      </c>
      <c r="I7787">
        <v>-62.238309999999998</v>
      </c>
      <c r="J7787">
        <v>-261.20240000000001</v>
      </c>
      <c r="K7787">
        <v>1.1206910000000001</v>
      </c>
      <c r="L7787">
        <v>-62.148130000000002</v>
      </c>
      <c r="M7787">
        <v>0.99936290000000005</v>
      </c>
      <c r="N7787">
        <v>-1.104844E-2</v>
      </c>
      <c r="O7787">
        <v>-3.3941100000000002E-2</v>
      </c>
      <c r="P7787">
        <v>0.99445530000000004</v>
      </c>
      <c r="Q7787">
        <v>-0.1048808</v>
      </c>
      <c r="R7787">
        <v>-7.6747580000000003E-3</v>
      </c>
      <c r="S7787">
        <v>3.0002439999999999</v>
      </c>
      <c r="T7787">
        <v>-0.15620889999999901</v>
      </c>
      <c r="U7787">
        <v>-1.3153079999999999E-2</v>
      </c>
      <c r="V7787">
        <v>-2.6039610000000001E-2</v>
      </c>
      <c r="W7787">
        <v>-9.3903180000000003E-2</v>
      </c>
      <c r="X7787">
        <v>0.99524069999999998</v>
      </c>
      <c r="Y7787">
        <v>-2.9484469999999999E-2</v>
      </c>
      <c r="Z7787">
        <v>2.3208529999999999E-3</v>
      </c>
      <c r="AA7787">
        <v>0.99956259999999997</v>
      </c>
      <c r="AB7787">
        <v>26</v>
      </c>
      <c r="AC7787">
        <v>21.3994</v>
      </c>
      <c r="AD7787">
        <v>-1.120694539049</v>
      </c>
      <c r="AE7787">
        <v>-9.0179999999996596E-2</v>
      </c>
      <c r="AF7787">
        <v>-0.63449520451621599</v>
      </c>
      <c r="AG7787">
        <v>-1.120694539049</v>
      </c>
      <c r="AH7787">
        <v>21.331625635482901</v>
      </c>
      <c r="AI7787">
        <v>93.006042845275005</v>
      </c>
      <c r="AJ7787">
        <v>91.703723034027803</v>
      </c>
      <c r="AK7787">
        <v>21.3704654293443</v>
      </c>
      <c r="AL7787">
        <v>95.388194665206896</v>
      </c>
      <c r="AM7787">
        <v>91.498752459266896</v>
      </c>
      <c r="AN7787">
        <v>0.99999995971977595</v>
      </c>
    </row>
    <row r="7788" spans="1:40" x14ac:dyDescent="0.25">
      <c r="A7788" t="str">
        <f>"20190303154333175"</f>
        <v>20190303154333175</v>
      </c>
      <c r="B7788" t="str">
        <f>"1551599013167700"</f>
        <v>1551599013167700</v>
      </c>
      <c r="C7788" t="s">
        <v>40</v>
      </c>
      <c r="D7788">
        <v>5.5268110000000004</v>
      </c>
      <c r="E7788">
        <v>0.49901849999999998</v>
      </c>
      <c r="F7788" t="s">
        <v>67</v>
      </c>
      <c r="G7788">
        <v>-239.5067</v>
      </c>
      <c r="H7788" s="1">
        <v>-3.4375499999999998E-6</v>
      </c>
      <c r="I7788">
        <v>-62.234580000000001</v>
      </c>
      <c r="J7788">
        <v>-261.07440000000003</v>
      </c>
      <c r="K7788">
        <v>1.1206860000000001</v>
      </c>
      <c r="L7788">
        <v>-62.15231</v>
      </c>
      <c r="M7788">
        <v>0.99936809999999998</v>
      </c>
      <c r="N7788">
        <v>-1.103346E-2</v>
      </c>
      <c r="O7788">
        <v>-3.379215E-2</v>
      </c>
      <c r="P7788">
        <v>0.99449449999999995</v>
      </c>
      <c r="Q7788">
        <v>-0.104516899999999</v>
      </c>
      <c r="R7788">
        <v>-7.5617979999999998E-3</v>
      </c>
      <c r="S7788">
        <v>3.000305</v>
      </c>
      <c r="T7788">
        <v>-0.1549809</v>
      </c>
      <c r="U7788">
        <v>-1.196289E-2</v>
      </c>
      <c r="V7788">
        <v>-2.6005819999999999E-2</v>
      </c>
      <c r="W7788">
        <v>-9.355368E-2</v>
      </c>
      <c r="X7788">
        <v>0.99527449999999995</v>
      </c>
      <c r="Y7788">
        <v>-2.9733059999999999E-2</v>
      </c>
      <c r="Z7788">
        <v>2.302952E-3</v>
      </c>
      <c r="AA7788">
        <v>0.99955519999999998</v>
      </c>
      <c r="AB7788">
        <v>26</v>
      </c>
      <c r="AC7788">
        <v>21.567699999999999</v>
      </c>
      <c r="AD7788">
        <v>-1.1206894375500001</v>
      </c>
      <c r="AE7788">
        <v>-8.2270000000001106E-2</v>
      </c>
      <c r="AF7788">
        <v>-0.64489902322121795</v>
      </c>
      <c r="AG7788">
        <v>-1.1206894375500001</v>
      </c>
      <c r="AH7788">
        <v>21.500111714766302</v>
      </c>
      <c r="AI7788">
        <v>92.982492791279796</v>
      </c>
      <c r="AJ7788">
        <v>91.718080226694696</v>
      </c>
      <c r="AK7788">
        <v>21.5389564118836</v>
      </c>
      <c r="AL7788">
        <v>95.368081233621595</v>
      </c>
      <c r="AM7788">
        <v>91.496757696512105</v>
      </c>
      <c r="AN7788">
        <v>0.99999996203283104</v>
      </c>
    </row>
    <row r="7789" spans="1:40" x14ac:dyDescent="0.25">
      <c r="A7789" t="str">
        <f>"20190303154333187"</f>
        <v>20190303154333187</v>
      </c>
      <c r="B7789" t="str">
        <f>"1551599013178437"</f>
        <v>1551599013178437</v>
      </c>
      <c r="C7789" t="s">
        <v>40</v>
      </c>
      <c r="D7789">
        <v>5.5721629999999998</v>
      </c>
      <c r="E7789">
        <v>0.49908409999999898</v>
      </c>
      <c r="F7789" t="s">
        <v>67</v>
      </c>
      <c r="G7789">
        <v>-239.2912</v>
      </c>
      <c r="H7789" s="1">
        <v>-3.3640420000000002E-6</v>
      </c>
      <c r="I7789">
        <v>-62.233569999999901</v>
      </c>
      <c r="J7789">
        <v>-260.94229999999999</v>
      </c>
      <c r="K7789">
        <v>1.120681</v>
      </c>
      <c r="L7789">
        <v>-62.156619999999997</v>
      </c>
      <c r="M7789">
        <v>0.99937339999999997</v>
      </c>
      <c r="N7789">
        <v>-1.100958E-2</v>
      </c>
      <c r="O7789">
        <v>-3.3639820000000001E-2</v>
      </c>
      <c r="P7789">
        <v>0.99452839999999998</v>
      </c>
      <c r="Q7789">
        <v>-0.1042023</v>
      </c>
      <c r="R7789">
        <v>-7.4544110000000002E-3</v>
      </c>
      <c r="S7789">
        <v>3.000305</v>
      </c>
      <c r="T7789">
        <v>-0.15435779999999999</v>
      </c>
      <c r="U7789">
        <v>-1.119995E-2</v>
      </c>
      <c r="V7789">
        <v>-2.5963819999999999E-2</v>
      </c>
      <c r="W7789">
        <v>-9.3262390000000001E-2</v>
      </c>
      <c r="X7789">
        <v>0.99530300000000005</v>
      </c>
      <c r="Y7789">
        <v>-2.9835440000000001E-2</v>
      </c>
      <c r="Z7789">
        <v>2.2903649999999999E-3</v>
      </c>
      <c r="AA7789">
        <v>0.9995522</v>
      </c>
      <c r="AB7789">
        <v>26</v>
      </c>
      <c r="AC7789">
        <v>21.6510999999999</v>
      </c>
      <c r="AD7789">
        <v>-1.1206843640419999</v>
      </c>
      <c r="AE7789">
        <v>-7.6949999999996493E-2</v>
      </c>
      <c r="AF7789">
        <v>-0.64973603749929698</v>
      </c>
      <c r="AG7789">
        <v>-1.1206843640419999</v>
      </c>
      <c r="AH7789">
        <v>21.583606912792199</v>
      </c>
      <c r="AI7789">
        <v>92.970952816353005</v>
      </c>
      <c r="AJ7789">
        <v>91.724266656829201</v>
      </c>
      <c r="AK7789">
        <v>21.622446155053002</v>
      </c>
      <c r="AL7789">
        <v>95.351317904341698</v>
      </c>
      <c r="AM7789">
        <v>91.494298724890101</v>
      </c>
      <c r="AN7789">
        <v>1.0000000275732499</v>
      </c>
    </row>
    <row r="7790" spans="1:40" x14ac:dyDescent="0.25">
      <c r="A7790" t="str">
        <f>"20190303154333198"</f>
        <v>20190303154333198</v>
      </c>
      <c r="B7790" t="str">
        <f>"1551599013188195"</f>
        <v>1551599013188195</v>
      </c>
      <c r="C7790" t="s">
        <v>40</v>
      </c>
      <c r="D7790">
        <v>5.5371439999999996</v>
      </c>
      <c r="E7790">
        <v>0.49918750000000001</v>
      </c>
      <c r="F7790" t="s">
        <v>67</v>
      </c>
      <c r="G7790">
        <v>-239.0795</v>
      </c>
      <c r="H7790" s="1">
        <v>-3.2931829999999998E-6</v>
      </c>
      <c r="I7790">
        <v>-62.2401699999999</v>
      </c>
      <c r="J7790">
        <v>-260.80329999999998</v>
      </c>
      <c r="K7790">
        <v>1.1206769999999999</v>
      </c>
      <c r="L7790">
        <v>-62.16113</v>
      </c>
      <c r="M7790">
        <v>0.99937909999999996</v>
      </c>
      <c r="N7790">
        <v>-1.0981990000000001E-2</v>
      </c>
      <c r="O7790">
        <v>-3.3479719999999998E-2</v>
      </c>
      <c r="P7790">
        <v>0.99457399999999996</v>
      </c>
      <c r="Q7790">
        <v>-0.1037935</v>
      </c>
      <c r="R7790">
        <v>-7.0449070000000004E-3</v>
      </c>
      <c r="S7790">
        <v>3.0002749999999998</v>
      </c>
      <c r="T7790">
        <v>-0.15379370000000001</v>
      </c>
      <c r="U7790">
        <v>-1.147461E-2</v>
      </c>
      <c r="V7790">
        <v>-2.6215349999999998E-2</v>
      </c>
      <c r="W7790">
        <v>-9.2880690000000002E-2</v>
      </c>
      <c r="X7790">
        <v>0.99533210000000005</v>
      </c>
      <c r="Y7790">
        <v>-2.9584860000000001E-2</v>
      </c>
      <c r="Z7790">
        <v>2.2675569999999999E-3</v>
      </c>
      <c r="AA7790">
        <v>0.99955970000000005</v>
      </c>
      <c r="AB7790">
        <v>26</v>
      </c>
      <c r="AC7790">
        <v>21.723799999999901</v>
      </c>
      <c r="AD7790">
        <v>-1.120680293183</v>
      </c>
      <c r="AE7790">
        <v>-7.90399999999849E-2</v>
      </c>
      <c r="AF7790">
        <v>-0.64663403261113295</v>
      </c>
      <c r="AG7790">
        <v>-1.120680293183</v>
      </c>
      <c r="AH7790">
        <v>21.6566327273082</v>
      </c>
      <c r="AI7790">
        <v>92.960963600315594</v>
      </c>
      <c r="AJ7790">
        <v>91.710256488661003</v>
      </c>
      <c r="AK7790">
        <v>21.6952483502074</v>
      </c>
      <c r="AL7790">
        <v>95.329352760952304</v>
      </c>
      <c r="AM7790">
        <v>91.508724310121906</v>
      </c>
      <c r="AN7790">
        <v>1.00000002822045</v>
      </c>
    </row>
    <row r="7791" spans="1:40" x14ac:dyDescent="0.25">
      <c r="A7791" t="str">
        <f>"20190303154333209"</f>
        <v>20190303154333209</v>
      </c>
      <c r="B7791" t="str">
        <f>"1551599013197957"</f>
        <v>1551599013197957</v>
      </c>
      <c r="C7791" t="s">
        <v>40</v>
      </c>
      <c r="D7791">
        <v>5.5589659999999999</v>
      </c>
      <c r="E7791">
        <v>0.49911529999999998</v>
      </c>
      <c r="F7791" t="s">
        <v>67</v>
      </c>
      <c r="G7791">
        <v>-238.96379999999999</v>
      </c>
      <c r="H7791" s="1">
        <v>-3.254113E-6</v>
      </c>
      <c r="I7791">
        <v>-62.24194</v>
      </c>
      <c r="J7791">
        <v>-260.67759999999998</v>
      </c>
      <c r="K7791">
        <v>1.1206719999999999</v>
      </c>
      <c r="L7791">
        <v>-62.165190000000003</v>
      </c>
      <c r="M7791">
        <v>0.9993843</v>
      </c>
      <c r="N7791">
        <v>-1.095077E-2</v>
      </c>
      <c r="O7791">
        <v>-3.3336049999999999E-2</v>
      </c>
      <c r="P7791">
        <v>0.99462839999999997</v>
      </c>
      <c r="Q7791">
        <v>-0.10327649999999999</v>
      </c>
      <c r="R7791">
        <v>-6.9593579999999997E-3</v>
      </c>
      <c r="S7791">
        <v>3.0002140000000002</v>
      </c>
      <c r="T7791">
        <v>-0.1539537</v>
      </c>
      <c r="U7791">
        <v>-1.1108399999999999E-2</v>
      </c>
      <c r="V7791">
        <v>-2.6160530000000001E-2</v>
      </c>
      <c r="W7791">
        <v>-9.2394169999999998E-2</v>
      </c>
      <c r="X7791">
        <v>0.99537880000000001</v>
      </c>
      <c r="Y7791">
        <v>-2.9563039999999999E-2</v>
      </c>
      <c r="Z7791">
        <v>2.2642920000000002E-3</v>
      </c>
      <c r="AA7791">
        <v>0.99956040000000002</v>
      </c>
      <c r="AB7791">
        <v>26</v>
      </c>
      <c r="AC7791">
        <v>21.7137999999999</v>
      </c>
      <c r="AD7791">
        <v>-1.1206752541129901</v>
      </c>
      <c r="AE7791">
        <v>-7.6749999999996904E-2</v>
      </c>
      <c r="AF7791">
        <v>-0.64546899759684695</v>
      </c>
      <c r="AG7791">
        <v>-1.1206752541129901</v>
      </c>
      <c r="AH7791">
        <v>21.6466289583555</v>
      </c>
      <c r="AI7791">
        <v>92.962319774672594</v>
      </c>
      <c r="AJ7791">
        <v>91.707965446447801</v>
      </c>
      <c r="AK7791">
        <v>21.685227425894201</v>
      </c>
      <c r="AL7791">
        <v>95.301356953293293</v>
      </c>
      <c r="AM7791">
        <v>91.505500204024401</v>
      </c>
      <c r="AN7791">
        <v>1.0000000057346501</v>
      </c>
    </row>
    <row r="7792" spans="1:40" x14ac:dyDescent="0.25">
      <c r="A7792" t="str">
        <f>"20190303154333220"</f>
        <v>20190303154333220</v>
      </c>
      <c r="B7792" t="str">
        <f>"1551599013218452"</f>
        <v>1551599013218452</v>
      </c>
      <c r="C7792" t="s">
        <v>40</v>
      </c>
      <c r="D7792">
        <v>5.5492910000000002</v>
      </c>
      <c r="E7792">
        <v>0.49929479999999998</v>
      </c>
      <c r="F7792" t="s">
        <v>67</v>
      </c>
      <c r="G7792">
        <v>-238.69640000000001</v>
      </c>
      <c r="H7792" s="1">
        <v>-3.1628189999999999E-6</v>
      </c>
      <c r="I7792">
        <v>-62.240250000000003</v>
      </c>
      <c r="J7792">
        <v>-260.55040000000002</v>
      </c>
      <c r="K7792">
        <v>1.120668</v>
      </c>
      <c r="L7792">
        <v>-62.169280000000001</v>
      </c>
      <c r="M7792">
        <v>0.99938959999999999</v>
      </c>
      <c r="N7792">
        <v>-1.091693E-2</v>
      </c>
      <c r="O7792">
        <v>-3.3191180000000001E-2</v>
      </c>
      <c r="P7792">
        <v>0.99466379999999999</v>
      </c>
      <c r="Q7792">
        <v>-0.1029592</v>
      </c>
      <c r="R7792">
        <v>-6.620524E-3</v>
      </c>
      <c r="S7792">
        <v>3.0002749999999998</v>
      </c>
      <c r="T7792">
        <v>-0.1529644</v>
      </c>
      <c r="U7792">
        <v>-1.025391E-2</v>
      </c>
      <c r="V7792">
        <v>-2.6356299999999999E-2</v>
      </c>
      <c r="W7792">
        <v>-9.2110220000000007E-2</v>
      </c>
      <c r="X7792">
        <v>0.99539999999999995</v>
      </c>
      <c r="Y7792">
        <v>-2.9703750000000001E-2</v>
      </c>
      <c r="Z7792">
        <v>2.2475910000000002E-3</v>
      </c>
      <c r="AA7792">
        <v>0.99955620000000001</v>
      </c>
      <c r="AB7792">
        <v>26</v>
      </c>
      <c r="AC7792">
        <v>21.853999999999999</v>
      </c>
      <c r="AD7792">
        <v>-1.120671162819</v>
      </c>
      <c r="AE7792">
        <v>-7.0969999999995495E-2</v>
      </c>
      <c r="AF7792">
        <v>-0.65275574828780802</v>
      </c>
      <c r="AG7792">
        <v>-1.120671162819</v>
      </c>
      <c r="AH7792">
        <v>21.787022006691402</v>
      </c>
      <c r="AI7792">
        <v>92.943241389182802</v>
      </c>
      <c r="AJ7792">
        <v>91.716111762721695</v>
      </c>
      <c r="AK7792">
        <v>21.8255886940571</v>
      </c>
      <c r="AL7792">
        <v>95.2850178890926</v>
      </c>
      <c r="AM7792">
        <v>91.516728948805707</v>
      </c>
      <c r="AN7792">
        <v>1.0000000535890601</v>
      </c>
    </row>
    <row r="7793" spans="1:40" x14ac:dyDescent="0.25">
      <c r="A7793" t="str">
        <f>"20190303154333231"</f>
        <v>20190303154333231</v>
      </c>
      <c r="B7793" t="str">
        <f>"1551599013228212"</f>
        <v>1551599013228212</v>
      </c>
      <c r="C7793" t="s">
        <v>40</v>
      </c>
      <c r="D7793">
        <v>5.5267580000000001</v>
      </c>
      <c r="E7793">
        <v>0.4990637</v>
      </c>
      <c r="F7793" t="s">
        <v>67</v>
      </c>
      <c r="G7793">
        <v>-238.36240000000001</v>
      </c>
      <c r="H7793" s="1">
        <v>-3.0506259999999999E-6</v>
      </c>
      <c r="I7793">
        <v>-62.248440000000002</v>
      </c>
      <c r="J7793">
        <v>-260.4228</v>
      </c>
      <c r="K7793">
        <v>1.1206659999999999</v>
      </c>
      <c r="L7793">
        <v>-62.173400000000001</v>
      </c>
      <c r="M7793">
        <v>0.99939460000000002</v>
      </c>
      <c r="N7793">
        <v>-1.087984E-2</v>
      </c>
      <c r="O7793">
        <v>-3.3046289999999999E-2</v>
      </c>
      <c r="P7793">
        <v>0.99471270000000001</v>
      </c>
      <c r="Q7793">
        <v>-0.1024994</v>
      </c>
      <c r="R7793">
        <v>-6.3945410000000001E-3</v>
      </c>
      <c r="S7793">
        <v>3.000305</v>
      </c>
      <c r="T7793">
        <v>-0.1515396</v>
      </c>
      <c r="U7793">
        <v>-1.071167E-2</v>
      </c>
      <c r="V7793">
        <v>-2.643993E-2</v>
      </c>
      <c r="W7793">
        <v>-9.1686889999999993E-2</v>
      </c>
      <c r="X7793">
        <v>0.99543680000000001</v>
      </c>
      <c r="Y7793">
        <v>-2.9408320000000002E-2</v>
      </c>
      <c r="Z7793">
        <v>2.210671E-3</v>
      </c>
      <c r="AA7793">
        <v>0.99956509999999998</v>
      </c>
      <c r="AB7793">
        <v>26</v>
      </c>
      <c r="AC7793">
        <v>22.060399999999898</v>
      </c>
      <c r="AD7793">
        <v>-1.120669050626</v>
      </c>
      <c r="AE7793">
        <v>-7.50400000000013E-2</v>
      </c>
      <c r="AF7793">
        <v>-0.652374991048847</v>
      </c>
      <c r="AG7793">
        <v>-1.120669050626</v>
      </c>
      <c r="AH7793">
        <v>21.994071415131401</v>
      </c>
      <c r="AI7793">
        <v>92.915602585053094</v>
      </c>
      <c r="AJ7793">
        <v>91.698975006522602</v>
      </c>
      <c r="AK7793">
        <v>22.032264288172399</v>
      </c>
      <c r="AL7793">
        <v>95.260660132981002</v>
      </c>
      <c r="AM7793">
        <v>91.521483132153904</v>
      </c>
      <c r="AN7793">
        <v>0.99999998924525801</v>
      </c>
    </row>
    <row r="7794" spans="1:40" x14ac:dyDescent="0.25">
      <c r="A7794" t="str">
        <f>"20190303154333242"</f>
        <v>20190303154333242</v>
      </c>
      <c r="B7794" t="str">
        <f>"1551599013237976"</f>
        <v>1551599013237976</v>
      </c>
      <c r="C7794" t="s">
        <v>40</v>
      </c>
      <c r="D7794">
        <v>5.637537</v>
      </c>
      <c r="E7794">
        <v>0.49870320000000001</v>
      </c>
      <c r="F7794" t="s">
        <v>67</v>
      </c>
      <c r="G7794">
        <v>-238.0856</v>
      </c>
      <c r="H7794" s="1">
        <v>-2.9482969999999999E-6</v>
      </c>
      <c r="I7794">
        <v>-62.234450000000002</v>
      </c>
      <c r="J7794">
        <v>-260.28739999999999</v>
      </c>
      <c r="K7794">
        <v>1.1206590000000001</v>
      </c>
      <c r="L7794">
        <v>-62.177700000000002</v>
      </c>
      <c r="M7794">
        <v>0.99940010000000001</v>
      </c>
      <c r="N7794">
        <v>-1.0837319999999999E-2</v>
      </c>
      <c r="O7794">
        <v>-3.2893260000000001E-2</v>
      </c>
      <c r="P7794">
        <v>0.99473959999999995</v>
      </c>
      <c r="Q7794">
        <v>-0.102259</v>
      </c>
      <c r="R7794">
        <v>-6.0297369999999899E-3</v>
      </c>
      <c r="S7794">
        <v>3.000397</v>
      </c>
      <c r="T7794">
        <v>-0.15053150000000001</v>
      </c>
      <c r="U7794">
        <v>-8.2092290000000002E-3</v>
      </c>
      <c r="V7794">
        <v>-2.6653059999999999E-2</v>
      </c>
      <c r="W7794">
        <v>-9.1488669999999994E-2</v>
      </c>
      <c r="X7794">
        <v>0.99544940000000004</v>
      </c>
      <c r="Y7794">
        <v>-3.0089069999999999E-2</v>
      </c>
      <c r="Z7794">
        <v>2.2101180000000001E-3</v>
      </c>
      <c r="AA7794">
        <v>0.99954480000000001</v>
      </c>
      <c r="AB7794">
        <v>26</v>
      </c>
      <c r="AC7794">
        <v>22.201799999999899</v>
      </c>
      <c r="AD7794">
        <v>-1.1206619482969999</v>
      </c>
      <c r="AE7794">
        <v>-5.6750000000000897E-2</v>
      </c>
      <c r="AF7794">
        <v>-0.671901302527801</v>
      </c>
      <c r="AG7794">
        <v>-1.1206619482969999</v>
      </c>
      <c r="AH7794">
        <v>22.1352545242388</v>
      </c>
      <c r="AI7794">
        <v>92.8969596535416</v>
      </c>
      <c r="AJ7794">
        <v>91.738642390574299</v>
      </c>
      <c r="AK7794">
        <v>22.1737869434955</v>
      </c>
      <c r="AL7794">
        <v>95.249254786184906</v>
      </c>
      <c r="AM7794">
        <v>91.533722437806603</v>
      </c>
      <c r="AN7794">
        <v>1.00000003515304</v>
      </c>
    </row>
    <row r="7795" spans="1:40" x14ac:dyDescent="0.25">
      <c r="A7795" t="str">
        <f>"20190303154333254"</f>
        <v>20190303154333254</v>
      </c>
      <c r="B7795" t="str">
        <f>"1551599013247732"</f>
        <v>1551599013247732</v>
      </c>
      <c r="C7795" t="s">
        <v>40</v>
      </c>
      <c r="D7795">
        <v>5.6371520000000004</v>
      </c>
      <c r="E7795">
        <v>0.49836180000000002</v>
      </c>
      <c r="F7795" t="s">
        <v>67</v>
      </c>
      <c r="G7795">
        <v>-238.22569999999999</v>
      </c>
      <c r="H7795" s="1">
        <v>-2.9970619999999999E-6</v>
      </c>
      <c r="I7795">
        <v>-62.208840000000002</v>
      </c>
      <c r="J7795">
        <v>-260.15030000000002</v>
      </c>
      <c r="K7795">
        <v>1.120654</v>
      </c>
      <c r="L7795">
        <v>-62.182040000000001</v>
      </c>
      <c r="M7795">
        <v>0.99940560000000001</v>
      </c>
      <c r="N7795">
        <v>-1.079217E-2</v>
      </c>
      <c r="O7795">
        <v>-3.2738660000000003E-2</v>
      </c>
      <c r="P7795">
        <v>0.99481209999999998</v>
      </c>
      <c r="Q7795">
        <v>-0.10155459999999999</v>
      </c>
      <c r="R7795">
        <v>-5.9407829999999998E-3</v>
      </c>
      <c r="S7795">
        <v>3.0001829999999998</v>
      </c>
      <c r="T7795">
        <v>-0.15239939999999999</v>
      </c>
      <c r="U7795">
        <v>-4.2419429999999998E-3</v>
      </c>
      <c r="V7795">
        <v>-2.6591070000000001E-2</v>
      </c>
      <c r="W7795">
        <v>-9.0828469999999994E-2</v>
      </c>
      <c r="X7795">
        <v>0.99551149999999999</v>
      </c>
      <c r="Y7795">
        <v>-3.1252370000000002E-2</v>
      </c>
      <c r="Z7795">
        <v>2.2705339999999998E-3</v>
      </c>
      <c r="AA7795">
        <v>0.99950890000000003</v>
      </c>
      <c r="AB7795">
        <v>26</v>
      </c>
      <c r="AC7795">
        <v>21.924600000000002</v>
      </c>
      <c r="AD7795">
        <v>-1.1206569970619999</v>
      </c>
      <c r="AE7795">
        <v>-2.6800000000001399E-2</v>
      </c>
      <c r="AF7795">
        <v>-0.68923751581470605</v>
      </c>
      <c r="AG7795">
        <v>-1.1206569970619999</v>
      </c>
      <c r="AH7795">
        <v>21.856619595100899</v>
      </c>
      <c r="AI7795">
        <v>92.933707085385805</v>
      </c>
      <c r="AJ7795">
        <v>91.806195065837102</v>
      </c>
      <c r="AK7795">
        <v>21.896180958861699</v>
      </c>
      <c r="AL7795">
        <v>95.211270031560801</v>
      </c>
      <c r="AM7795">
        <v>91.530061580193902</v>
      </c>
      <c r="AN7795">
        <v>1.0000000212992599</v>
      </c>
    </row>
    <row r="7796" spans="1:40" x14ac:dyDescent="0.25">
      <c r="A7796" t="str">
        <f>"20190303154333265"</f>
        <v>20190303154333265</v>
      </c>
      <c r="B7796" t="str">
        <f>"1551599013258467"</f>
        <v>1551599013258467</v>
      </c>
      <c r="C7796" t="s">
        <v>40</v>
      </c>
      <c r="D7796">
        <v>5.6417830000000002</v>
      </c>
      <c r="E7796">
        <v>0.4980368</v>
      </c>
      <c r="F7796" t="s">
        <v>67</v>
      </c>
      <c r="G7796">
        <v>-238.1626</v>
      </c>
      <c r="H7796" s="1">
        <v>-2.96988E-6</v>
      </c>
      <c r="I7796">
        <v>-62.1913699999999</v>
      </c>
      <c r="J7796">
        <v>-260.0231</v>
      </c>
      <c r="K7796">
        <v>1.1206510000000001</v>
      </c>
      <c r="L7796">
        <v>-62.186070000000001</v>
      </c>
      <c r="M7796">
        <v>0.99941089999999999</v>
      </c>
      <c r="N7796">
        <v>-1.074467E-2</v>
      </c>
      <c r="O7796">
        <v>-3.259621E-2</v>
      </c>
      <c r="P7796">
        <v>0.99485599999999996</v>
      </c>
      <c r="Q7796">
        <v>-0.1011373</v>
      </c>
      <c r="R7796">
        <v>-5.7295410000000003E-3</v>
      </c>
      <c r="S7796">
        <v>3.0000309999999999</v>
      </c>
      <c r="T7796">
        <v>-0.1529044</v>
      </c>
      <c r="U7796">
        <v>-1.2817379999999999E-3</v>
      </c>
      <c r="V7796">
        <v>-2.6661750000000001E-2</v>
      </c>
      <c r="W7796">
        <v>-9.0458049999999998E-2</v>
      </c>
      <c r="X7796">
        <v>0.99554330000000002</v>
      </c>
      <c r="Y7796">
        <v>-3.2094280000000003E-2</v>
      </c>
      <c r="Z7796">
        <v>2.2998519999999998E-3</v>
      </c>
      <c r="AA7796">
        <v>0.99948219999999999</v>
      </c>
      <c r="AB7796">
        <v>26</v>
      </c>
      <c r="AC7796">
        <v>21.860499999999998</v>
      </c>
      <c r="AD7796">
        <v>-1.12065396988</v>
      </c>
      <c r="AE7796">
        <v>-5.2999999999983E-3</v>
      </c>
      <c r="AF7796">
        <v>-0.70545942619504498</v>
      </c>
      <c r="AG7796">
        <v>-1.12065396988</v>
      </c>
      <c r="AH7796">
        <v>21.7917863265682</v>
      </c>
      <c r="AI7796">
        <v>92.942333387969597</v>
      </c>
      <c r="AJ7796">
        <v>91.854172764824398</v>
      </c>
      <c r="AK7796">
        <v>21.831983181218799</v>
      </c>
      <c r="AL7796">
        <v>95.189958989170194</v>
      </c>
      <c r="AM7796">
        <v>91.534077616560495</v>
      </c>
      <c r="AN7796">
        <v>0.99999998494887699</v>
      </c>
    </row>
    <row r="7797" spans="1:40" x14ac:dyDescent="0.25">
      <c r="A7797" t="str">
        <f>"20190303154333276"</f>
        <v>20190303154333276</v>
      </c>
      <c r="B7797" t="str">
        <f>"1551599013268228"</f>
        <v>1551599013268228</v>
      </c>
      <c r="C7797" t="s">
        <v>40</v>
      </c>
      <c r="D7797">
        <v>5.5647399999999996</v>
      </c>
      <c r="E7797">
        <v>0.49792029999999898</v>
      </c>
      <c r="F7797" t="s">
        <v>67</v>
      </c>
      <c r="G7797">
        <v>-238.21260000000001</v>
      </c>
      <c r="H7797" s="1">
        <v>-2.9860019999999999E-6</v>
      </c>
      <c r="I7797">
        <v>-62.171579999999999</v>
      </c>
      <c r="J7797">
        <v>-259.8956</v>
      </c>
      <c r="K7797">
        <v>1.1206480000000001</v>
      </c>
      <c r="L7797">
        <v>-62.190060000000003</v>
      </c>
      <c r="M7797">
        <v>0.99941610000000003</v>
      </c>
      <c r="N7797">
        <v>-1.069604E-2</v>
      </c>
      <c r="O7797">
        <v>-3.24534E-2</v>
      </c>
      <c r="P7797">
        <v>0.99485109999999999</v>
      </c>
      <c r="Q7797">
        <v>-0.10119549999999999</v>
      </c>
      <c r="R7797">
        <v>-5.5681530000000002E-3</v>
      </c>
      <c r="S7797">
        <v>2.9998469999999999</v>
      </c>
      <c r="T7797">
        <v>-0.1541361</v>
      </c>
      <c r="U7797">
        <v>1.9836430000000002E-3</v>
      </c>
      <c r="V7797">
        <v>-2.668096E-2</v>
      </c>
      <c r="W7797">
        <v>-9.0564790000000006E-2</v>
      </c>
      <c r="X7797">
        <v>0.99553309999999995</v>
      </c>
      <c r="Y7797">
        <v>-3.3036650000000001E-2</v>
      </c>
      <c r="Z7797">
        <v>2.3441870000000002E-3</v>
      </c>
      <c r="AA7797">
        <v>0.99945139999999999</v>
      </c>
      <c r="AB7797">
        <v>26</v>
      </c>
      <c r="AC7797">
        <v>21.683</v>
      </c>
      <c r="AD7797">
        <v>-1.120650986002</v>
      </c>
      <c r="AE7797">
        <v>1.8479999999989598E-2</v>
      </c>
      <c r="AF7797">
        <v>-0.72027355946090599</v>
      </c>
      <c r="AG7797">
        <v>-1.120650986002</v>
      </c>
      <c r="AH7797">
        <v>21.613244720797599</v>
      </c>
      <c r="AI7797">
        <v>92.966495556271497</v>
      </c>
      <c r="AJ7797">
        <v>91.908707748521493</v>
      </c>
      <c r="AK7797">
        <v>21.654260550616101</v>
      </c>
      <c r="AL7797">
        <v>95.196099847548297</v>
      </c>
      <c r="AM7797">
        <v>91.535198124359098</v>
      </c>
      <c r="AN7797">
        <v>1.0000000040049299</v>
      </c>
    </row>
    <row r="7798" spans="1:40" x14ac:dyDescent="0.25">
      <c r="A7798" t="str">
        <f>"20190303154333286"</f>
        <v>20190303154333286</v>
      </c>
      <c r="B7798" t="str">
        <f>"1551599013277988"</f>
        <v>1551599013277988</v>
      </c>
      <c r="C7798" t="s">
        <v>40</v>
      </c>
      <c r="D7798">
        <v>5.6263809999999896</v>
      </c>
      <c r="E7798">
        <v>0.49757990000000002</v>
      </c>
      <c r="F7798" t="s">
        <v>67</v>
      </c>
      <c r="G7798">
        <v>-238.0284</v>
      </c>
      <c r="H7798" s="1">
        <v>-2.9050970000000001E-6</v>
      </c>
      <c r="I7798">
        <v>-62.1644199999999</v>
      </c>
      <c r="J7798">
        <v>-259.76029999999997</v>
      </c>
      <c r="K7798">
        <v>1.1206430000000001</v>
      </c>
      <c r="L7798">
        <v>-62.194310000000002</v>
      </c>
      <c r="M7798">
        <v>0.99942160000000002</v>
      </c>
      <c r="N7798">
        <v>-1.0636980000000001E-2</v>
      </c>
      <c r="O7798">
        <v>-3.2301709999999997E-2</v>
      </c>
      <c r="P7798">
        <v>0.99485699999999999</v>
      </c>
      <c r="Q7798">
        <v>-0.1011479</v>
      </c>
      <c r="R7798">
        <v>-5.3659249999999997E-3</v>
      </c>
      <c r="S7798">
        <v>2.9998779999999998</v>
      </c>
      <c r="T7798">
        <v>-0.15373719999999999</v>
      </c>
      <c r="U7798">
        <v>3.5095209999999998E-3</v>
      </c>
      <c r="V7798">
        <v>-2.6732200000000001E-2</v>
      </c>
      <c r="W7798">
        <v>-9.0576030000000002E-2</v>
      </c>
      <c r="X7798">
        <v>0.99553069999999999</v>
      </c>
      <c r="Y7798">
        <v>-3.3393249999999999E-2</v>
      </c>
      <c r="Z7798">
        <v>2.343482E-3</v>
      </c>
      <c r="AA7798">
        <v>0.99943950000000004</v>
      </c>
      <c r="AB7798">
        <v>26</v>
      </c>
      <c r="AC7798">
        <v>21.7318999999999</v>
      </c>
      <c r="AD7798">
        <v>-1.1206459050969999</v>
      </c>
      <c r="AE7798">
        <v>2.98900000000017E-2</v>
      </c>
      <c r="AF7798">
        <v>-0.72995058190607198</v>
      </c>
      <c r="AG7798">
        <v>-1.1206459050969999</v>
      </c>
      <c r="AH7798">
        <v>21.661990482989701</v>
      </c>
      <c r="AI7798">
        <v>92.959781803769005</v>
      </c>
      <c r="AJ7798">
        <v>91.929982761992804</v>
      </c>
      <c r="AK7798">
        <v>21.7032372419824</v>
      </c>
      <c r="AL7798">
        <v>95.196746524549297</v>
      </c>
      <c r="AM7798">
        <v>91.538148718620405</v>
      </c>
      <c r="AN7798">
        <v>1.0000000011849399</v>
      </c>
    </row>
    <row r="7799" spans="1:40" x14ac:dyDescent="0.25">
      <c r="A7799" t="str">
        <f>"20190303154333300"</f>
        <v>20190303154333300</v>
      </c>
      <c r="B7799" t="str">
        <f>"1551599013287749"</f>
        <v>1551599013287749</v>
      </c>
      <c r="C7799" t="s">
        <v>40</v>
      </c>
      <c r="D7799">
        <v>5.5707760000000004</v>
      </c>
      <c r="E7799">
        <v>0.49755100000000002</v>
      </c>
      <c r="F7799" t="s">
        <v>67</v>
      </c>
      <c r="G7799">
        <v>-238.18459999999999</v>
      </c>
      <c r="H7799" s="1">
        <v>-2.9671590000000001E-6</v>
      </c>
      <c r="I7799">
        <v>-62.14573</v>
      </c>
      <c r="J7799">
        <v>-259.61590000000001</v>
      </c>
      <c r="K7799">
        <v>1.1206370000000001</v>
      </c>
      <c r="L7799">
        <v>-62.198790000000002</v>
      </c>
      <c r="M7799">
        <v>0.99942759999999997</v>
      </c>
      <c r="N7799">
        <v>-1.057189E-2</v>
      </c>
      <c r="O7799">
        <v>-3.2140090000000003E-2</v>
      </c>
      <c r="P7799">
        <v>0.9948863</v>
      </c>
      <c r="Q7799">
        <v>-0.10086580000000001</v>
      </c>
      <c r="R7799">
        <v>-5.2607490000000003E-3</v>
      </c>
      <c r="S7799">
        <v>2.9996640000000001</v>
      </c>
      <c r="T7799">
        <v>-0.15580329999999901</v>
      </c>
      <c r="U7799">
        <v>6.7443850000000003E-3</v>
      </c>
      <c r="V7799">
        <v>-2.6677659999999999E-2</v>
      </c>
      <c r="W7799">
        <v>-9.0358400000000005E-2</v>
      </c>
      <c r="X7799">
        <v>0.99555190000000005</v>
      </c>
      <c r="Y7799">
        <v>-3.4305889999999999E-2</v>
      </c>
      <c r="Z7799">
        <v>2.4002070000000001E-3</v>
      </c>
      <c r="AA7799">
        <v>0.99940850000000003</v>
      </c>
      <c r="AB7799">
        <v>26</v>
      </c>
      <c r="AC7799">
        <v>21.4313</v>
      </c>
      <c r="AD7799">
        <v>-1.1206399671589999</v>
      </c>
      <c r="AE7799">
        <v>5.3059999999995E-2</v>
      </c>
      <c r="AF7799">
        <v>-0.73985198138708796</v>
      </c>
      <c r="AG7799">
        <v>-1.1206399671589999</v>
      </c>
      <c r="AH7799">
        <v>21.360118210293599</v>
      </c>
      <c r="AI7799">
        <v>93.001423057431197</v>
      </c>
      <c r="AJ7799">
        <v>91.983765046352403</v>
      </c>
      <c r="AK7799">
        <v>21.402286439725899</v>
      </c>
      <c r="AL7799">
        <v>95.184226107180805</v>
      </c>
      <c r="AM7799">
        <v>91.534979362990498</v>
      </c>
      <c r="AN7799">
        <v>0.99999996179362205</v>
      </c>
    </row>
    <row r="7800" spans="1:40" x14ac:dyDescent="0.25">
      <c r="A7800" t="str">
        <f>"20190303154333313"</f>
        <v>20190303154333313</v>
      </c>
      <c r="B7800" t="str">
        <f>"1551599013308244"</f>
        <v>1551599013308244</v>
      </c>
      <c r="C7800" t="s">
        <v>40</v>
      </c>
      <c r="D7800">
        <v>5.5737699999999997</v>
      </c>
      <c r="E7800">
        <v>0.49740240000000002</v>
      </c>
      <c r="F7800" t="s">
        <v>67</v>
      </c>
      <c r="G7800">
        <v>-237.8229</v>
      </c>
      <c r="H7800" s="1">
        <v>-2.8119990000000001E-6</v>
      </c>
      <c r="I7800">
        <v>-62.145740000000004</v>
      </c>
      <c r="J7800">
        <v>-259.46069999999997</v>
      </c>
      <c r="K7800">
        <v>1.1206309999999999</v>
      </c>
      <c r="L7800">
        <v>-62.203609999999998</v>
      </c>
      <c r="M7800">
        <v>0.99943380000000004</v>
      </c>
      <c r="N7800">
        <v>-1.0497319999999999E-2</v>
      </c>
      <c r="O7800">
        <v>-3.1966050000000003E-2</v>
      </c>
      <c r="P7800">
        <v>0.9949036</v>
      </c>
      <c r="Q7800">
        <v>-0.10069</v>
      </c>
      <c r="R7800">
        <v>-5.3296860000000001E-3</v>
      </c>
      <c r="S7800">
        <v>2.9998170000000002</v>
      </c>
      <c r="T7800">
        <v>-0.1542567</v>
      </c>
      <c r="U7800">
        <v>7.2937009999999997E-3</v>
      </c>
      <c r="V7800">
        <v>-2.643628E-2</v>
      </c>
      <c r="W7800">
        <v>-9.0256539999999996E-2</v>
      </c>
      <c r="X7800">
        <v>0.9955676</v>
      </c>
      <c r="Y7800">
        <v>-3.43165E-2</v>
      </c>
      <c r="Z7800">
        <v>2.3690400000000002E-3</v>
      </c>
      <c r="AA7800">
        <v>0.99940819999999997</v>
      </c>
      <c r="AB7800">
        <v>26</v>
      </c>
      <c r="AC7800">
        <v>21.637799999999899</v>
      </c>
      <c r="AD7800">
        <v>-1.120633811999</v>
      </c>
      <c r="AE7800">
        <v>5.7869999999994003E-2</v>
      </c>
      <c r="AF7800">
        <v>-0.74754844473332605</v>
      </c>
      <c r="AG7800">
        <v>-1.120633811999</v>
      </c>
      <c r="AH7800">
        <v>21.567042867399898</v>
      </c>
      <c r="AI7800">
        <v>92.972659032463298</v>
      </c>
      <c r="AJ7800">
        <v>91.985169249058004</v>
      </c>
      <c r="AK7800">
        <v>21.6090718648924</v>
      </c>
      <c r="AL7800">
        <v>95.178365903786897</v>
      </c>
      <c r="AM7800">
        <v>91.521073417446601</v>
      </c>
      <c r="AN7800">
        <v>0.99999998304138404</v>
      </c>
    </row>
    <row r="7801" spans="1:40" x14ac:dyDescent="0.25">
      <c r="A7801" t="str">
        <f>"20190303154333326"</f>
        <v>20190303154333326</v>
      </c>
      <c r="B7801" t="str">
        <f>"1551599013318004"</f>
        <v>1551599013318004</v>
      </c>
      <c r="C7801" t="s">
        <v>40</v>
      </c>
      <c r="D7801">
        <v>5.526281</v>
      </c>
      <c r="E7801">
        <v>0.49736200000000003</v>
      </c>
      <c r="F7801" t="s">
        <v>67</v>
      </c>
      <c r="G7801">
        <v>-237.5078</v>
      </c>
      <c r="H7801" s="1">
        <v>-2.6762080000000001E-6</v>
      </c>
      <c r="I7801">
        <v>-62.143469999999901</v>
      </c>
      <c r="J7801">
        <v>-259.31040000000002</v>
      </c>
      <c r="K7801">
        <v>1.1206179999999999</v>
      </c>
      <c r="L7801">
        <v>-62.20825</v>
      </c>
      <c r="M7801">
        <v>0.99944</v>
      </c>
      <c r="N7801">
        <v>-1.0420769999999999E-2</v>
      </c>
      <c r="O7801">
        <v>-3.1797470000000001E-2</v>
      </c>
      <c r="P7801">
        <v>0.99492720000000001</v>
      </c>
      <c r="Q7801">
        <v>-0.1004601</v>
      </c>
      <c r="R7801">
        <v>-5.2898090000000004E-3</v>
      </c>
      <c r="S7801">
        <v>2.9998779999999998</v>
      </c>
      <c r="T7801">
        <v>-0.1531354</v>
      </c>
      <c r="U7801">
        <v>8.2092290000000002E-3</v>
      </c>
      <c r="V7801">
        <v>-2.630847E-2</v>
      </c>
      <c r="W7801">
        <v>-9.010261E-2</v>
      </c>
      <c r="X7801">
        <v>0.99558500000000005</v>
      </c>
      <c r="Y7801">
        <v>-3.445397E-2</v>
      </c>
      <c r="Z7801">
        <v>2.349177E-3</v>
      </c>
      <c r="AA7801">
        <v>0.9994035</v>
      </c>
      <c r="AB7801">
        <v>26</v>
      </c>
      <c r="AC7801">
        <v>21.802600000000002</v>
      </c>
      <c r="AD7801">
        <v>-1.120620676208</v>
      </c>
      <c r="AE7801">
        <v>6.4780000000005999E-2</v>
      </c>
      <c r="AF7801">
        <v>-0.75605507662383098</v>
      </c>
      <c r="AG7801">
        <v>-1.120620676208</v>
      </c>
      <c r="AH7801">
        <v>21.732102525096799</v>
      </c>
      <c r="AI7801">
        <v>92.950073518950404</v>
      </c>
      <c r="AJ7801">
        <v>91.992503990376207</v>
      </c>
      <c r="AK7801">
        <v>21.7741059550135</v>
      </c>
      <c r="AL7801">
        <v>95.169509914044198</v>
      </c>
      <c r="AM7801">
        <v>91.513696555601001</v>
      </c>
      <c r="AN7801">
        <v>1.0000000540737699</v>
      </c>
    </row>
    <row r="7802" spans="1:40" x14ac:dyDescent="0.25">
      <c r="A7802" t="str">
        <f>"20190303154333340"</f>
        <v>20190303154333340</v>
      </c>
      <c r="B7802" t="str">
        <f>"1551599013328328"</f>
        <v>1551599013328328</v>
      </c>
      <c r="C7802" t="s">
        <v>40</v>
      </c>
      <c r="D7802">
        <v>5.545655</v>
      </c>
      <c r="E7802">
        <v>0.4973572</v>
      </c>
      <c r="F7802" t="s">
        <v>67</v>
      </c>
      <c r="G7802">
        <v>-237.2259</v>
      </c>
      <c r="H7802" s="1">
        <v>-2.555695E-6</v>
      </c>
      <c r="I7802">
        <v>-62.145060000000001</v>
      </c>
      <c r="J7802">
        <v>-259.15449999999998</v>
      </c>
      <c r="K7802">
        <v>1.120611</v>
      </c>
      <c r="L7802">
        <v>-62.213039999999999</v>
      </c>
      <c r="M7802">
        <v>0.99944659999999996</v>
      </c>
      <c r="N7802">
        <v>-1.0339060000000001E-2</v>
      </c>
      <c r="O7802">
        <v>-3.1622549999999999E-2</v>
      </c>
      <c r="P7802">
        <v>0.99495599999999995</v>
      </c>
      <c r="Q7802">
        <v>-0.1001827</v>
      </c>
      <c r="R7802">
        <v>-5.136369E-3</v>
      </c>
      <c r="S7802">
        <v>2.9999690000000001</v>
      </c>
      <c r="T7802">
        <v>-0.15222539999999901</v>
      </c>
      <c r="U7802">
        <v>8.5754390000000007E-3</v>
      </c>
      <c r="V7802">
        <v>-2.6289E-2</v>
      </c>
      <c r="W7802">
        <v>-8.9906280000000005E-2</v>
      </c>
      <c r="X7802">
        <v>0.99560320000000002</v>
      </c>
      <c r="Y7802">
        <v>-3.440211E-2</v>
      </c>
      <c r="Z7802">
        <v>2.3268020000000002E-3</v>
      </c>
      <c r="AA7802">
        <v>0.9994054</v>
      </c>
      <c r="AB7802">
        <v>26</v>
      </c>
      <c r="AC7802">
        <v>21.9285999999999</v>
      </c>
      <c r="AD7802">
        <v>-1.1206135556950001</v>
      </c>
      <c r="AE7802">
        <v>6.7979999999998597E-2</v>
      </c>
      <c r="AF7802">
        <v>-0.75943792699322499</v>
      </c>
      <c r="AG7802">
        <v>-1.1206135556950001</v>
      </c>
      <c r="AH7802">
        <v>21.858399482085101</v>
      </c>
      <c r="AI7802">
        <v>92.933044060200501</v>
      </c>
      <c r="AJ7802">
        <v>91.989857149600198</v>
      </c>
      <c r="AK7802">
        <v>21.900277364101601</v>
      </c>
      <c r="AL7802">
        <v>95.158215517877693</v>
      </c>
      <c r="AM7802">
        <v>91.5125492034621</v>
      </c>
      <c r="AN7802">
        <v>0.99999999127733896</v>
      </c>
    </row>
    <row r="7803" spans="1:40" x14ac:dyDescent="0.25">
      <c r="A7803" t="str">
        <f>"20190303154333352"</f>
        <v>20190303154333352</v>
      </c>
      <c r="B7803" t="str">
        <f>"1551599013347944"</f>
        <v>1551599013347944</v>
      </c>
      <c r="C7803" t="s">
        <v>40</v>
      </c>
      <c r="D7803">
        <v>5.5629019999999896</v>
      </c>
      <c r="E7803">
        <v>0.49713800000000002</v>
      </c>
      <c r="F7803" t="s">
        <v>67</v>
      </c>
      <c r="G7803">
        <v>-236.86680000000001</v>
      </c>
      <c r="H7803" s="1">
        <v>-2.4018189999999999E-6</v>
      </c>
      <c r="I7803">
        <v>-62.145650000000003</v>
      </c>
      <c r="J7803">
        <v>-258.9837</v>
      </c>
      <c r="K7803">
        <v>1.1206</v>
      </c>
      <c r="L7803">
        <v>-62.218229999999998</v>
      </c>
      <c r="M7803">
        <v>0.99945340000000005</v>
      </c>
      <c r="N7803">
        <v>-1.024602E-2</v>
      </c>
      <c r="O7803">
        <v>-3.143054E-2</v>
      </c>
      <c r="P7803">
        <v>0.99500140000000004</v>
      </c>
      <c r="Q7803">
        <v>-9.9725889999999998E-2</v>
      </c>
      <c r="R7803">
        <v>-5.1764209999999996E-3</v>
      </c>
      <c r="S7803">
        <v>3.0000610000000001</v>
      </c>
      <c r="T7803">
        <v>-0.15084139999999999</v>
      </c>
      <c r="U7803">
        <v>9.0637210000000003E-3</v>
      </c>
      <c r="V7803">
        <v>-2.605913E-2</v>
      </c>
      <c r="W7803">
        <v>-8.9541549999999998E-2</v>
      </c>
      <c r="X7803">
        <v>0.99564209999999997</v>
      </c>
      <c r="Y7803">
        <v>-3.437428E-2</v>
      </c>
      <c r="Z7803">
        <v>2.2970629999999998E-3</v>
      </c>
      <c r="AA7803">
        <v>0.99940640000000003</v>
      </c>
      <c r="AB7803">
        <v>26</v>
      </c>
      <c r="AC7803">
        <v>22.116899999999902</v>
      </c>
      <c r="AD7803">
        <v>-1.1206024018189999</v>
      </c>
      <c r="AE7803">
        <v>7.2580000000002004E-2</v>
      </c>
      <c r="AF7803">
        <v>-0.76576093605094098</v>
      </c>
      <c r="AG7803">
        <v>-1.1206024018189999</v>
      </c>
      <c r="AH7803">
        <v>22.0470923760186</v>
      </c>
      <c r="AI7803">
        <v>92.907956664671403</v>
      </c>
      <c r="AJ7803">
        <v>91.989252755997796</v>
      </c>
      <c r="AK7803">
        <v>22.088830249491298</v>
      </c>
      <c r="AL7803">
        <v>95.137233461600701</v>
      </c>
      <c r="AM7803">
        <v>91.499271042750806</v>
      </c>
      <c r="AN7803">
        <v>0.999999979362584</v>
      </c>
    </row>
    <row r="7804" spans="1:40" x14ac:dyDescent="0.25">
      <c r="A7804" t="str">
        <f>"20190303154333366"</f>
        <v>20190303154333366</v>
      </c>
      <c r="B7804" t="str">
        <f>"1551599013357703"</f>
        <v>1551599013357703</v>
      </c>
      <c r="C7804" t="s">
        <v>40</v>
      </c>
      <c r="D7804">
        <v>5.5860050000000001</v>
      </c>
      <c r="E7804">
        <v>0.49714459999999999</v>
      </c>
      <c r="F7804" t="s">
        <v>67</v>
      </c>
      <c r="G7804">
        <v>-236.90039999999999</v>
      </c>
      <c r="H7804" s="1">
        <v>-2.414472E-6</v>
      </c>
      <c r="I7804">
        <v>-62.139090000000003</v>
      </c>
      <c r="J7804">
        <v>-258.82709999999997</v>
      </c>
      <c r="K7804">
        <v>1.1205959999999999</v>
      </c>
      <c r="L7804">
        <v>-62.22296</v>
      </c>
      <c r="M7804">
        <v>0.99945989999999996</v>
      </c>
      <c r="N7804">
        <v>-1.0160789999999999E-2</v>
      </c>
      <c r="O7804">
        <v>-3.1254659999999997E-2</v>
      </c>
      <c r="P7804">
        <v>0.99507639999999997</v>
      </c>
      <c r="Q7804">
        <v>-9.8991200000000001E-2</v>
      </c>
      <c r="R7804">
        <v>-4.8862669999999997E-3</v>
      </c>
      <c r="S7804">
        <v>2.9998629999999999</v>
      </c>
      <c r="T7804">
        <v>-0.15222620000000001</v>
      </c>
      <c r="U7804">
        <v>1.074219E-2</v>
      </c>
      <c r="V7804">
        <v>-2.6176029999999999E-2</v>
      </c>
      <c r="W7804">
        <v>-8.8891129999999999E-2</v>
      </c>
      <c r="X7804">
        <v>0.99569730000000001</v>
      </c>
      <c r="Y7804">
        <v>-3.4755800000000003E-2</v>
      </c>
      <c r="Z7804">
        <v>2.3253280000000002E-3</v>
      </c>
      <c r="AA7804">
        <v>0.99939310000000003</v>
      </c>
      <c r="AB7804">
        <v>26</v>
      </c>
      <c r="AC7804">
        <v>21.926699999999901</v>
      </c>
      <c r="AD7804">
        <v>-1.12059841447199</v>
      </c>
      <c r="AE7804">
        <v>8.3869999999997405E-2</v>
      </c>
      <c r="AF7804">
        <v>-0.76717215638791703</v>
      </c>
      <c r="AG7804">
        <v>-1.12059841447199</v>
      </c>
      <c r="AH7804">
        <v>21.856280048921899</v>
      </c>
      <c r="AI7804">
        <v>92.933251934649903</v>
      </c>
      <c r="AJ7804">
        <v>92.010300374547896</v>
      </c>
      <c r="AK7804">
        <v>21.898430799967301</v>
      </c>
      <c r="AL7804">
        <v>95.099818007754905</v>
      </c>
      <c r="AM7804">
        <v>91.505910158286994</v>
      </c>
      <c r="AN7804">
        <v>0.99999996538326297</v>
      </c>
    </row>
    <row r="7805" spans="1:40" x14ac:dyDescent="0.25">
      <c r="A7805" t="str">
        <f>"20190303154333377"</f>
        <v>20190303154333377</v>
      </c>
      <c r="B7805" t="str">
        <f>"1551599013367905"</f>
        <v>1551599013367905</v>
      </c>
      <c r="C7805" t="s">
        <v>40</v>
      </c>
      <c r="D7805">
        <v>5.6280559999999999</v>
      </c>
      <c r="E7805">
        <v>0.49714459999999999</v>
      </c>
      <c r="F7805" t="s">
        <v>67</v>
      </c>
      <c r="G7805">
        <v>-236.41</v>
      </c>
      <c r="H7805" s="1">
        <v>-2.2032069999999999E-6</v>
      </c>
      <c r="I7805">
        <v>-62.13579</v>
      </c>
      <c r="J7805">
        <v>-258.69619999999998</v>
      </c>
      <c r="K7805">
        <v>1.1205889999999901</v>
      </c>
      <c r="L7805">
        <v>-62.226900000000001</v>
      </c>
      <c r="M7805">
        <v>0.99946500000000005</v>
      </c>
      <c r="N7805">
        <v>-1.0089799999999999E-2</v>
      </c>
      <c r="O7805">
        <v>-3.1107340000000001E-2</v>
      </c>
      <c r="P7805">
        <v>0.99513169999999995</v>
      </c>
      <c r="Q7805">
        <v>-9.8438460000000005E-2</v>
      </c>
      <c r="R7805">
        <v>-4.7722709999999998E-3</v>
      </c>
      <c r="S7805">
        <v>2.9999850000000001</v>
      </c>
      <c r="T7805">
        <v>-0.14996499999999999</v>
      </c>
      <c r="U7805">
        <v>1.165771E-2</v>
      </c>
      <c r="V7805">
        <v>-2.6145350000000001E-2</v>
      </c>
      <c r="W7805">
        <v>-8.8408550000000002E-2</v>
      </c>
      <c r="X7805">
        <v>0.99574110000000005</v>
      </c>
      <c r="Y7805">
        <v>-3.491557E-2</v>
      </c>
      <c r="Z7805">
        <v>2.2885470000000002E-3</v>
      </c>
      <c r="AA7805">
        <v>0.99938760000000004</v>
      </c>
      <c r="AB7805">
        <v>27</v>
      </c>
      <c r="AC7805">
        <v>22.286199999999901</v>
      </c>
      <c r="AD7805">
        <v>-1.12059120320699</v>
      </c>
      <c r="AE7805">
        <v>9.1110000000000399E-2</v>
      </c>
      <c r="AF7805">
        <v>-0.78238762983923904</v>
      </c>
      <c r="AG7805">
        <v>-1.12059120320699</v>
      </c>
      <c r="AH7805">
        <v>22.2164111418696</v>
      </c>
      <c r="AI7805">
        <v>92.885754285744795</v>
      </c>
      <c r="AJ7805">
        <v>92.016932021291495</v>
      </c>
      <c r="AK7805">
        <v>22.2584091765926</v>
      </c>
      <c r="AL7805">
        <v>95.072058768847299</v>
      </c>
      <c r="AM7805">
        <v>91.504079812523102</v>
      </c>
      <c r="AN7805">
        <v>0.99999999463446698</v>
      </c>
    </row>
    <row r="7806" spans="1:40" x14ac:dyDescent="0.25">
      <c r="A7806" t="str">
        <f>"20190303154333390"</f>
        <v>20190303154333390</v>
      </c>
      <c r="B7806" t="str">
        <f>"1551599013377665"</f>
        <v>1551599013377665</v>
      </c>
      <c r="C7806" t="s">
        <v>40</v>
      </c>
      <c r="D7806">
        <v>5.6157279999999998</v>
      </c>
      <c r="E7806">
        <v>0.48411209999999999</v>
      </c>
      <c r="F7806" t="s">
        <v>67</v>
      </c>
      <c r="G7806">
        <v>-236.02699999999999</v>
      </c>
      <c r="H7806" s="1">
        <v>-2.0389749999999998E-6</v>
      </c>
      <c r="I7806">
        <v>-62.135980000000004</v>
      </c>
      <c r="J7806">
        <v>-258.5394</v>
      </c>
      <c r="K7806">
        <v>1.1205830000000001</v>
      </c>
      <c r="L7806">
        <v>-62.2316</v>
      </c>
      <c r="M7806">
        <v>0.99947140000000001</v>
      </c>
      <c r="N7806">
        <v>-1.0005989999999999E-2</v>
      </c>
      <c r="O7806">
        <v>-3.0930760000000002E-2</v>
      </c>
      <c r="P7806">
        <v>0.99517270000000002</v>
      </c>
      <c r="Q7806">
        <v>-9.8032460000000002E-2</v>
      </c>
      <c r="R7806">
        <v>-4.5666719999999999E-3</v>
      </c>
      <c r="S7806">
        <v>3.000092</v>
      </c>
      <c r="T7806">
        <v>-0.14830170000000001</v>
      </c>
      <c r="U7806">
        <v>1.202393E-2</v>
      </c>
      <c r="V7806">
        <v>-2.617649E-2</v>
      </c>
      <c r="W7806">
        <v>-8.8085659999999996E-2</v>
      </c>
      <c r="X7806">
        <v>0.99576889999999996</v>
      </c>
      <c r="Y7806">
        <v>-3.486276E-2</v>
      </c>
      <c r="Z7806">
        <v>2.2541990000000001E-3</v>
      </c>
      <c r="AA7806">
        <v>0.99938959999999999</v>
      </c>
      <c r="AB7806">
        <v>27</v>
      </c>
      <c r="AC7806">
        <v>22.5123999999999</v>
      </c>
      <c r="AD7806">
        <v>-1.1205850389749901</v>
      </c>
      <c r="AE7806">
        <v>9.5619999999996694E-2</v>
      </c>
      <c r="AF7806">
        <v>-0.78997749717028198</v>
      </c>
      <c r="AG7806">
        <v>-1.1205850389749901</v>
      </c>
      <c r="AH7806">
        <v>22.443063821568501</v>
      </c>
      <c r="AI7806">
        <v>92.856645612592899</v>
      </c>
      <c r="AJ7806">
        <v>92.015932300743202</v>
      </c>
      <c r="AK7806">
        <v>22.484903579393201</v>
      </c>
      <c r="AL7806">
        <v>95.053486062336603</v>
      </c>
      <c r="AM7806">
        <v>91.505828376595403</v>
      </c>
      <c r="AN7806">
        <v>0.99999999716678201</v>
      </c>
    </row>
    <row r="7807" spans="1:40" x14ac:dyDescent="0.25">
      <c r="A7807" t="str">
        <f>"20190303154333401"</f>
        <v>20190303154333401</v>
      </c>
      <c r="B7807" t="str">
        <f>"1551599013398161"</f>
        <v>1551599013398161</v>
      </c>
      <c r="C7807" t="s">
        <v>40</v>
      </c>
      <c r="D7807">
        <v>5.6319379999999999</v>
      </c>
      <c r="E7807">
        <v>0.48347699999999999</v>
      </c>
      <c r="F7807" t="s">
        <v>68</v>
      </c>
      <c r="G7807">
        <v>-241.9991</v>
      </c>
      <c r="H7807" s="1">
        <v>-1.671011E-7</v>
      </c>
      <c r="I7807">
        <v>-61.595170000000003</v>
      </c>
      <c r="J7807">
        <v>-258.41649999999998</v>
      </c>
      <c r="K7807">
        <v>1.1205780000000001</v>
      </c>
      <c r="L7807">
        <v>-62.235259999999997</v>
      </c>
      <c r="M7807">
        <v>0.99947640000000004</v>
      </c>
      <c r="N7807">
        <v>-9.9418000000000006E-3</v>
      </c>
      <c r="O7807">
        <v>-3.079254E-2</v>
      </c>
      <c r="P7807">
        <v>0.99522489999999997</v>
      </c>
      <c r="Q7807">
        <v>-9.7518789999999994E-2</v>
      </c>
      <c r="R7807">
        <v>-4.2184120000000004E-3</v>
      </c>
      <c r="S7807">
        <v>2.995117</v>
      </c>
      <c r="T7807">
        <v>-0.20291529999999999</v>
      </c>
      <c r="U7807">
        <v>0.1152344</v>
      </c>
      <c r="V7807">
        <v>-2.6389300000000001E-2</v>
      </c>
      <c r="W7807">
        <v>-8.7635630000000006E-2</v>
      </c>
      <c r="X7807">
        <v>0.99580299999999999</v>
      </c>
      <c r="Y7807">
        <v>-6.8966239999999998E-2</v>
      </c>
      <c r="Z7807">
        <v>4.4533999999999997E-3</v>
      </c>
      <c r="AA7807">
        <v>0.99760910000000003</v>
      </c>
      <c r="AB7807">
        <v>27</v>
      </c>
      <c r="AC7807">
        <v>16.417399999999901</v>
      </c>
      <c r="AD7807">
        <v>-1.1205781671010999</v>
      </c>
      <c r="AE7807">
        <v>0.64009000000000005</v>
      </c>
      <c r="AF7807">
        <v>-1.1400416622985099</v>
      </c>
      <c r="AG7807">
        <v>-1.1205781671010999</v>
      </c>
      <c r="AH7807">
        <v>16.314014453380601</v>
      </c>
      <c r="AI7807">
        <v>93.919835182991704</v>
      </c>
      <c r="AJ7807">
        <v>93.997394986875804</v>
      </c>
      <c r="AK7807">
        <v>16.392146229382799</v>
      </c>
      <c r="AL7807">
        <v>95.027601091005806</v>
      </c>
      <c r="AM7807">
        <v>91.518012816248699</v>
      </c>
      <c r="AN7807">
        <v>1.0000000068044901</v>
      </c>
    </row>
    <row r="7808" spans="1:40" x14ac:dyDescent="0.25">
      <c r="A7808" t="str">
        <f>"20190303154333410"</f>
        <v>20190303154333410</v>
      </c>
      <c r="B7808" t="str">
        <f>"1551599013398161"</f>
        <v>1551599013398161</v>
      </c>
      <c r="C7808" t="s">
        <v>40</v>
      </c>
      <c r="D7808">
        <v>5.6319379999999999</v>
      </c>
      <c r="E7808">
        <v>0.48347699999999999</v>
      </c>
      <c r="F7808" t="s">
        <v>68</v>
      </c>
      <c r="G7808">
        <v>-240.697</v>
      </c>
      <c r="H7808" s="1">
        <v>4.1255900000000001E-7</v>
      </c>
      <c r="I7808">
        <v>-61.516019999999997</v>
      </c>
      <c r="J7808">
        <v>-258.29840000000002</v>
      </c>
      <c r="K7808">
        <v>1.120573</v>
      </c>
      <c r="L7808">
        <v>-62.238770000000002</v>
      </c>
      <c r="M7808">
        <v>0.99948110000000001</v>
      </c>
      <c r="N7808">
        <v>-9.8815359999999998E-3</v>
      </c>
      <c r="O7808">
        <v>-3.0659579999999999E-2</v>
      </c>
      <c r="P7808">
        <v>0.99522659999999996</v>
      </c>
      <c r="Q7808">
        <v>-9.7512349999999998E-2</v>
      </c>
      <c r="R7808">
        <v>-3.9374659999999997E-3</v>
      </c>
      <c r="S7808">
        <v>2.9963380000000002</v>
      </c>
      <c r="T7808">
        <v>-0.18948770000000001</v>
      </c>
      <c r="U7808">
        <v>0.1216125</v>
      </c>
      <c r="V7808">
        <v>-2.65378E-2</v>
      </c>
      <c r="W7808">
        <v>-8.7689320000000001E-2</v>
      </c>
      <c r="X7808">
        <v>0.99579430000000002</v>
      </c>
      <c r="Y7808">
        <v>-7.0963189999999995E-2</v>
      </c>
      <c r="Z7808">
        <v>4.2255259999999899E-3</v>
      </c>
      <c r="AA7808">
        <v>0.99746999999999997</v>
      </c>
      <c r="AB7808">
        <v>27</v>
      </c>
      <c r="AC7808">
        <v>17.601400000000002</v>
      </c>
      <c r="AD7808">
        <v>-1.120572587441</v>
      </c>
      <c r="AE7808">
        <v>0.72274999999999701</v>
      </c>
      <c r="AF7808">
        <v>-1.2570018799360201</v>
      </c>
      <c r="AG7808">
        <v>-1.120572587441</v>
      </c>
      <c r="AH7808">
        <v>17.500154016262201</v>
      </c>
      <c r="AI7808">
        <v>93.654381216249107</v>
      </c>
      <c r="AJ7808">
        <v>94.108388195389097</v>
      </c>
      <c r="AK7808">
        <v>17.5809876640303</v>
      </c>
      <c r="AL7808">
        <v>95.030689326085593</v>
      </c>
      <c r="AM7808">
        <v>91.526564400609104</v>
      </c>
      <c r="AN7808">
        <v>0.99999997979169597</v>
      </c>
    </row>
    <row r="7809" spans="1:40" x14ac:dyDescent="0.25">
      <c r="A7809" t="str">
        <f>"20190303154333421"</f>
        <v>20190303154333421</v>
      </c>
      <c r="B7809" t="str">
        <f>"1551599013417681"</f>
        <v>1551599013417681</v>
      </c>
      <c r="C7809" t="s">
        <v>40</v>
      </c>
      <c r="D7809">
        <v>5.6466399999999997</v>
      </c>
      <c r="E7809">
        <v>0.4828556</v>
      </c>
      <c r="F7809" t="s">
        <v>68</v>
      </c>
      <c r="G7809">
        <v>-240.5788</v>
      </c>
      <c r="H7809" s="1">
        <v>4.6366600000000002E-7</v>
      </c>
      <c r="I7809">
        <v>-61.514470000000003</v>
      </c>
      <c r="J7809">
        <v>-258.17529999999999</v>
      </c>
      <c r="K7809">
        <v>1.120568</v>
      </c>
      <c r="L7809">
        <v>-62.242400000000004</v>
      </c>
      <c r="M7809">
        <v>0.99948590000000004</v>
      </c>
      <c r="N7809">
        <v>-9.8210559999999999E-3</v>
      </c>
      <c r="O7809">
        <v>-3.0521019999999999E-2</v>
      </c>
      <c r="P7809">
        <v>0.99525960000000002</v>
      </c>
      <c r="Q7809">
        <v>-9.7185830000000001E-2</v>
      </c>
      <c r="R7809">
        <v>-3.6248769999999999E-3</v>
      </c>
      <c r="S7809">
        <v>2.9963380000000002</v>
      </c>
      <c r="T7809">
        <v>-0.18948609999999999</v>
      </c>
      <c r="U7809">
        <v>0.12246700000000001</v>
      </c>
      <c r="V7809">
        <v>-2.6712699999999999E-2</v>
      </c>
      <c r="W7809">
        <v>-8.7422890000000003E-2</v>
      </c>
      <c r="X7809">
        <v>0.99581310000000001</v>
      </c>
      <c r="Y7809">
        <v>-7.1108770000000002E-2</v>
      </c>
      <c r="Z7809">
        <v>4.2230990000000001E-3</v>
      </c>
      <c r="AA7809">
        <v>0.99745969999999995</v>
      </c>
      <c r="AB7809">
        <v>27</v>
      </c>
      <c r="AC7809">
        <v>17.596499999999899</v>
      </c>
      <c r="AD7809">
        <v>-1.120567536334</v>
      </c>
      <c r="AE7809">
        <v>0.72793000000000696</v>
      </c>
      <c r="AF7809">
        <v>-1.2595806038697599</v>
      </c>
      <c r="AG7809">
        <v>-1.120567536334</v>
      </c>
      <c r="AH7809">
        <v>17.495255820394899</v>
      </c>
      <c r="AI7809">
        <v>93.655341451684507</v>
      </c>
      <c r="AJ7809">
        <v>94.117936178670206</v>
      </c>
      <c r="AK7809">
        <v>17.576296285685199</v>
      </c>
      <c r="AL7809">
        <v>95.015364907227493</v>
      </c>
      <c r="AM7809">
        <v>91.536591570653499</v>
      </c>
      <c r="AN7809">
        <v>1.0000000300844201</v>
      </c>
    </row>
    <row r="7810" spans="1:40" x14ac:dyDescent="0.25">
      <c r="A7810" t="str">
        <f>"20190303154333432"</f>
        <v>20190303154333432</v>
      </c>
      <c r="B7810" t="str">
        <f>"1551599013428417"</f>
        <v>1551599013428417</v>
      </c>
      <c r="C7810" t="s">
        <v>40</v>
      </c>
      <c r="D7810">
        <v>5.6501320000000002</v>
      </c>
      <c r="E7810">
        <v>0.48258970000000001</v>
      </c>
      <c r="F7810" t="s">
        <v>68</v>
      </c>
      <c r="G7810">
        <v>-240.62479999999999</v>
      </c>
      <c r="H7810" s="1">
        <v>4.502561E-7</v>
      </c>
      <c r="I7810">
        <v>-61.490639999999999</v>
      </c>
      <c r="J7810">
        <v>-258.0403</v>
      </c>
      <c r="K7810">
        <v>1.120563</v>
      </c>
      <c r="L7810">
        <v>-62.246400000000001</v>
      </c>
      <c r="M7810">
        <v>0.99949120000000002</v>
      </c>
      <c r="N7810">
        <v>-9.7569530000000005E-3</v>
      </c>
      <c r="O7810">
        <v>-3.03691E-2</v>
      </c>
      <c r="P7810">
        <v>0.99526749999999997</v>
      </c>
      <c r="Q7810">
        <v>-9.7116960000000002E-2</v>
      </c>
      <c r="R7810">
        <v>-3.3338460000000001E-3</v>
      </c>
      <c r="S7810">
        <v>2.99614</v>
      </c>
      <c r="T7810">
        <v>-0.19129850000000001</v>
      </c>
      <c r="U7810">
        <v>0.12832639999999901</v>
      </c>
      <c r="V7810">
        <v>-2.685278E-2</v>
      </c>
      <c r="W7810">
        <v>-8.7417949999999994E-2</v>
      </c>
      <c r="X7810">
        <v>0.99580970000000002</v>
      </c>
      <c r="Y7810">
        <v>-7.2899099999999994E-2</v>
      </c>
      <c r="Z7810">
        <v>4.3203759999999999E-3</v>
      </c>
      <c r="AA7810">
        <v>0.99733000000000005</v>
      </c>
      <c r="AB7810">
        <v>27</v>
      </c>
      <c r="AC7810">
        <v>17.415500000000002</v>
      </c>
      <c r="AD7810">
        <v>-1.12056254974389</v>
      </c>
      <c r="AE7810">
        <v>0.75576000000000199</v>
      </c>
      <c r="AF7810">
        <v>-1.27904428553542</v>
      </c>
      <c r="AG7810">
        <v>-1.12056254974389</v>
      </c>
      <c r="AH7810">
        <v>17.312972562595402</v>
      </c>
      <c r="AI7810">
        <v>93.693202120314098</v>
      </c>
      <c r="AJ7810">
        <v>94.225210201481701</v>
      </c>
      <c r="AK7810">
        <v>17.3962821794034</v>
      </c>
      <c r="AL7810">
        <v>95.015081109586802</v>
      </c>
      <c r="AM7810">
        <v>91.544650754214899</v>
      </c>
      <c r="AN7810">
        <v>0.99999996419500903</v>
      </c>
    </row>
    <row r="7811" spans="1:40" x14ac:dyDescent="0.25">
      <c r="A7811" t="str">
        <f>"20190303154333444"</f>
        <v>20190303154333444</v>
      </c>
      <c r="B7811" t="str">
        <f>"1551599013438177"</f>
        <v>1551599013438177</v>
      </c>
      <c r="C7811" t="s">
        <v>40</v>
      </c>
      <c r="D7811">
        <v>5.6233089999999999</v>
      </c>
      <c r="E7811">
        <v>0.48251830000000001</v>
      </c>
      <c r="F7811" t="s">
        <v>68</v>
      </c>
      <c r="G7811">
        <v>-240.49469999999999</v>
      </c>
      <c r="H7811" s="1">
        <v>5.0962119999999999E-7</v>
      </c>
      <c r="I7811">
        <v>-61.477310000000003</v>
      </c>
      <c r="J7811">
        <v>-257.89699999999999</v>
      </c>
      <c r="K7811">
        <v>1.120566</v>
      </c>
      <c r="L7811">
        <v>-62.250549999999997</v>
      </c>
      <c r="M7811">
        <v>0.99949679999999996</v>
      </c>
      <c r="N7811">
        <v>-9.6933729999999999E-3</v>
      </c>
      <c r="O7811">
        <v>-3.0208120000000001E-2</v>
      </c>
      <c r="P7811">
        <v>0.99528229999999995</v>
      </c>
      <c r="Q7811">
        <v>-9.6980910000000004E-2</v>
      </c>
      <c r="R7811">
        <v>-2.8803800000000001E-3</v>
      </c>
      <c r="S7811">
        <v>2.9960330000000002</v>
      </c>
      <c r="T7811">
        <v>-0.19134429999999999</v>
      </c>
      <c r="U7811">
        <v>0.13131709999999999</v>
      </c>
      <c r="V7811">
        <v>-2.714594E-2</v>
      </c>
      <c r="W7811">
        <v>-8.7345339999999994E-2</v>
      </c>
      <c r="X7811">
        <v>0.99580820000000003</v>
      </c>
      <c r="Y7811">
        <v>-7.3731870000000005E-2</v>
      </c>
      <c r="Z7811">
        <v>4.3429710000000002E-3</v>
      </c>
      <c r="AA7811">
        <v>0.99726859999999995</v>
      </c>
      <c r="AB7811">
        <v>27</v>
      </c>
      <c r="AC7811">
        <v>17.402299999999901</v>
      </c>
      <c r="AD7811">
        <v>-1.1205654903788</v>
      </c>
      <c r="AE7811">
        <v>0.77324000000000104</v>
      </c>
      <c r="AF7811">
        <v>-1.29325081313862</v>
      </c>
      <c r="AG7811">
        <v>-1.1205654903788</v>
      </c>
      <c r="AH7811">
        <v>17.299410870780399</v>
      </c>
      <c r="AI7811">
        <v>93.695859534161499</v>
      </c>
      <c r="AJ7811">
        <v>94.275303980238405</v>
      </c>
      <c r="AK7811">
        <v>17.383836779030901</v>
      </c>
      <c r="AL7811">
        <v>95.010904503450504</v>
      </c>
      <c r="AM7811">
        <v>91.561508225277706</v>
      </c>
      <c r="AN7811">
        <v>1.0000000408327101</v>
      </c>
    </row>
    <row r="7812" spans="1:40" x14ac:dyDescent="0.25">
      <c r="A7812" t="str">
        <f>"20190303154333455"</f>
        <v>20190303154333455</v>
      </c>
      <c r="B7812" t="str">
        <f>"1551599013447937"</f>
        <v>1551599013447937</v>
      </c>
      <c r="C7812" t="s">
        <v>40</v>
      </c>
      <c r="D7812">
        <v>5.6147710000000002</v>
      </c>
      <c r="E7812">
        <v>0.48249069999999999</v>
      </c>
      <c r="F7812" t="s">
        <v>68</v>
      </c>
      <c r="G7812">
        <v>-240.29929999999999</v>
      </c>
      <c r="H7812" s="1">
        <v>5.9613880000000003E-7</v>
      </c>
      <c r="I7812">
        <v>-61.46716</v>
      </c>
      <c r="J7812">
        <v>-257.76139999999998</v>
      </c>
      <c r="K7812">
        <v>1.120563</v>
      </c>
      <c r="L7812">
        <v>-62.254489999999997</v>
      </c>
      <c r="M7812">
        <v>0.9995018</v>
      </c>
      <c r="N7812">
        <v>-9.6348100000000006E-3</v>
      </c>
      <c r="O7812">
        <v>-3.0055620000000002E-2</v>
      </c>
      <c r="P7812">
        <v>0.99530759999999996</v>
      </c>
      <c r="Q7812">
        <v>-9.6731040000000004E-2</v>
      </c>
      <c r="R7812">
        <v>-2.5376719999999999E-3</v>
      </c>
      <c r="S7812">
        <v>2.995987</v>
      </c>
      <c r="T7812">
        <v>-0.19077530000000001</v>
      </c>
      <c r="U7812">
        <v>0.1333618</v>
      </c>
      <c r="V7812">
        <v>-2.7337750000000001E-2</v>
      </c>
      <c r="W7812">
        <v>-8.7153759999999997E-2</v>
      </c>
      <c r="X7812">
        <v>0.99581969999999997</v>
      </c>
      <c r="Y7812">
        <v>-7.4259939999999997E-2</v>
      </c>
      <c r="Z7812">
        <v>4.3410009999999997E-3</v>
      </c>
      <c r="AA7812">
        <v>0.99722949999999999</v>
      </c>
      <c r="AB7812">
        <v>27</v>
      </c>
      <c r="AC7812">
        <v>17.4620999999999</v>
      </c>
      <c r="AD7812">
        <v>-1.1205624038612001</v>
      </c>
      <c r="AE7812">
        <v>0.78733000000000397</v>
      </c>
      <c r="AF7812">
        <v>-1.3064638578816801</v>
      </c>
      <c r="AG7812">
        <v>-1.1205624038612001</v>
      </c>
      <c r="AH7812">
        <v>17.359206584121399</v>
      </c>
      <c r="AI7812">
        <v>93.683015742336295</v>
      </c>
      <c r="AJ7812">
        <v>94.303999340368904</v>
      </c>
      <c r="AK7812">
        <v>17.444327477524102</v>
      </c>
      <c r="AL7812">
        <v>94.999885949544904</v>
      </c>
      <c r="AM7812">
        <v>91.572517986087604</v>
      </c>
      <c r="AN7812">
        <v>1.0000000026826401</v>
      </c>
    </row>
    <row r="7813" spans="1:40" x14ac:dyDescent="0.25">
      <c r="A7813" t="str">
        <f>"20190303154333465"</f>
        <v>20190303154333465</v>
      </c>
      <c r="B7813" t="str">
        <f>"1551599013457697"</f>
        <v>1551599013457697</v>
      </c>
      <c r="C7813" t="s">
        <v>40</v>
      </c>
      <c r="D7813">
        <v>5.6267079999999998</v>
      </c>
      <c r="E7813">
        <v>0.48249730000000002</v>
      </c>
      <c r="F7813" t="s">
        <v>68</v>
      </c>
      <c r="G7813">
        <v>-240.08410000000001</v>
      </c>
      <c r="H7813" s="1">
        <v>6.9032690000000005E-7</v>
      </c>
      <c r="I7813">
        <v>-61.460169999999998</v>
      </c>
      <c r="J7813">
        <v>-257.63600000000002</v>
      </c>
      <c r="K7813">
        <v>1.1205620000000001</v>
      </c>
      <c r="L7813">
        <v>-62.258119999999998</v>
      </c>
      <c r="M7813">
        <v>0.99950660000000002</v>
      </c>
      <c r="N7813">
        <v>-9.5861910000000009E-3</v>
      </c>
      <c r="O7813">
        <v>-2.9914739999999999E-2</v>
      </c>
      <c r="P7813">
        <v>0.99533289999999996</v>
      </c>
      <c r="Q7813">
        <v>-9.6483040000000006E-2</v>
      </c>
      <c r="R7813">
        <v>-1.9545890000000001E-3</v>
      </c>
      <c r="S7813">
        <v>2.9960330000000002</v>
      </c>
      <c r="T7813">
        <v>-0.1899179</v>
      </c>
      <c r="U7813">
        <v>0.13461300000000001</v>
      </c>
      <c r="V7813">
        <v>-2.7780320000000001E-2</v>
      </c>
      <c r="W7813">
        <v>-8.6954329999999996E-2</v>
      </c>
      <c r="X7813">
        <v>0.99582490000000001</v>
      </c>
      <c r="Y7813">
        <v>-7.4535820000000003E-2</v>
      </c>
      <c r="Z7813">
        <v>4.3238779999999997E-3</v>
      </c>
      <c r="AA7813">
        <v>0.99720900000000001</v>
      </c>
      <c r="AB7813">
        <v>27</v>
      </c>
      <c r="AC7813">
        <v>17.5518999999999</v>
      </c>
      <c r="AD7813">
        <v>-1.1205613096731</v>
      </c>
      <c r="AE7813">
        <v>0.79795000000000005</v>
      </c>
      <c r="AF7813">
        <v>-1.3173192589875899</v>
      </c>
      <c r="AG7813">
        <v>-1.1205613096731</v>
      </c>
      <c r="AH7813">
        <v>17.449198031036001</v>
      </c>
      <c r="AI7813">
        <v>93.664005408849903</v>
      </c>
      <c r="AJ7813">
        <v>94.317329111055002</v>
      </c>
      <c r="AK7813">
        <v>17.534694169136401</v>
      </c>
      <c r="AL7813">
        <v>94.988415837803601</v>
      </c>
      <c r="AM7813">
        <v>91.597953997799195</v>
      </c>
      <c r="AN7813">
        <v>1.00000001657253</v>
      </c>
    </row>
    <row r="7814" spans="1:40" x14ac:dyDescent="0.25">
      <c r="A7814" t="str">
        <f>"20190303154333478"</f>
        <v>20190303154333478</v>
      </c>
      <c r="B7814" t="str">
        <f>"1551599013468433"</f>
        <v>1551599013468433</v>
      </c>
      <c r="C7814" t="s">
        <v>40</v>
      </c>
      <c r="D7814">
        <v>5.5964410000000004</v>
      </c>
      <c r="E7814">
        <v>0.48250949999999998</v>
      </c>
      <c r="F7814" t="s">
        <v>67</v>
      </c>
      <c r="G7814">
        <v>-239.83330000000001</v>
      </c>
      <c r="H7814" s="1">
        <v>-3.4092150000000001E-6</v>
      </c>
      <c r="I7814">
        <v>-61.448210000000003</v>
      </c>
      <c r="J7814">
        <v>-257.49709999999999</v>
      </c>
      <c r="K7814">
        <v>1.120568</v>
      </c>
      <c r="L7814">
        <v>-62.262120000000003</v>
      </c>
      <c r="M7814">
        <v>0.9995117</v>
      </c>
      <c r="N7814">
        <v>-9.5333889999999998E-3</v>
      </c>
      <c r="O7814">
        <v>-2.975858E-2</v>
      </c>
      <c r="P7814">
        <v>0.99535439999999997</v>
      </c>
      <c r="Q7814">
        <v>-9.6262249999999994E-2</v>
      </c>
      <c r="R7814">
        <v>-1.8392090000000001E-3</v>
      </c>
      <c r="S7814">
        <v>2.9960779999999998</v>
      </c>
      <c r="T7814">
        <v>-0.18858330000000001</v>
      </c>
      <c r="U7814">
        <v>0.13629150000000001</v>
      </c>
      <c r="V7814">
        <v>-2.7741310000000002E-2</v>
      </c>
      <c r="W7814">
        <v>-8.6785929999999997E-2</v>
      </c>
      <c r="X7814">
        <v>0.99584070000000002</v>
      </c>
      <c r="Y7814">
        <v>-7.4939169999999999E-2</v>
      </c>
      <c r="Z7814">
        <v>4.2998189999999999E-3</v>
      </c>
      <c r="AA7814">
        <v>0.99717889999999998</v>
      </c>
      <c r="AB7814">
        <v>27</v>
      </c>
      <c r="AC7814">
        <v>17.663799999999899</v>
      </c>
      <c r="AD7814">
        <v>-1.1205714092149901</v>
      </c>
      <c r="AE7814">
        <v>0.81390999999999902</v>
      </c>
      <c r="AF7814">
        <v>-1.3338662102949499</v>
      </c>
      <c r="AG7814">
        <v>-1.1205714092149901</v>
      </c>
      <c r="AH7814">
        <v>17.561229113865299</v>
      </c>
      <c r="AI7814">
        <v>93.640600914813604</v>
      </c>
      <c r="AJ7814">
        <v>94.343570746117194</v>
      </c>
      <c r="AK7814">
        <v>17.647426082570501</v>
      </c>
      <c r="AL7814">
        <v>94.9787305038992</v>
      </c>
      <c r="AM7814">
        <v>91.595685956980205</v>
      </c>
      <c r="AN7814">
        <v>1.00000003885148</v>
      </c>
    </row>
    <row r="7815" spans="1:40" x14ac:dyDescent="0.25">
      <c r="A7815" t="str">
        <f>"20190303154333487"</f>
        <v>20190303154333487</v>
      </c>
      <c r="B7815" t="str">
        <f>"1551599013478193"</f>
        <v>1551599013478193</v>
      </c>
      <c r="C7815" t="s">
        <v>40</v>
      </c>
      <c r="D7815">
        <v>5.6205660000000002</v>
      </c>
      <c r="E7815">
        <v>0.48249619999999999</v>
      </c>
      <c r="F7815" t="s">
        <v>67</v>
      </c>
      <c r="G7815">
        <v>-239.57069999999999</v>
      </c>
      <c r="H7815" s="1">
        <v>-3.3192669999999999E-6</v>
      </c>
      <c r="I7815">
        <v>-61.444960000000002</v>
      </c>
      <c r="J7815">
        <v>-257.3657</v>
      </c>
      <c r="K7815">
        <v>1.120568</v>
      </c>
      <c r="L7815">
        <v>-62.2658699999999</v>
      </c>
      <c r="M7815">
        <v>0.99951650000000003</v>
      </c>
      <c r="N7815">
        <v>-9.4881370000000007E-3</v>
      </c>
      <c r="O7815">
        <v>-2.9610919999999999E-2</v>
      </c>
      <c r="P7815">
        <v>0.99537580000000003</v>
      </c>
      <c r="Q7815">
        <v>-9.6046450000000005E-2</v>
      </c>
      <c r="R7815">
        <v>-1.539171E-3</v>
      </c>
      <c r="S7815">
        <v>2.9961700000000002</v>
      </c>
      <c r="T7815">
        <v>-0.1872886</v>
      </c>
      <c r="U7815">
        <v>0.1365662</v>
      </c>
      <c r="V7815">
        <v>-2.789463E-2</v>
      </c>
      <c r="W7815">
        <v>-8.661518E-2</v>
      </c>
      <c r="X7815">
        <v>0.99585119999999905</v>
      </c>
      <c r="Y7815">
        <v>-7.4884909999999999E-2</v>
      </c>
      <c r="Z7815">
        <v>4.260603E-3</v>
      </c>
      <c r="AA7815">
        <v>0.99718309999999999</v>
      </c>
      <c r="AB7815">
        <v>27</v>
      </c>
      <c r="AC7815">
        <v>17.795000000000002</v>
      </c>
      <c r="AD7815">
        <v>-1.1205713192669999</v>
      </c>
      <c r="AE7815">
        <v>0.82090999999999703</v>
      </c>
      <c r="AF7815">
        <v>-1.34218905774134</v>
      </c>
      <c r="AG7815">
        <v>-1.1205713192669999</v>
      </c>
      <c r="AH7815">
        <v>17.692877502133399</v>
      </c>
      <c r="AI7815">
        <v>93.613609620933204</v>
      </c>
      <c r="AJ7815">
        <v>94.338172658217005</v>
      </c>
      <c r="AK7815">
        <v>17.779062569600899</v>
      </c>
      <c r="AL7815">
        <v>94.968910682909893</v>
      </c>
      <c r="AM7815">
        <v>91.604483449598902</v>
      </c>
      <c r="AN7815">
        <v>0.99999995616535298</v>
      </c>
    </row>
    <row r="7816" spans="1:40" x14ac:dyDescent="0.25">
      <c r="A7816" t="str">
        <f>"20190303154333499"</f>
        <v>20190303154333499</v>
      </c>
      <c r="B7816" t="str">
        <f>"1551599013487953"</f>
        <v>1551599013487953</v>
      </c>
      <c r="C7816" t="s">
        <v>40</v>
      </c>
      <c r="D7816">
        <v>5.5903890000000001</v>
      </c>
      <c r="E7816">
        <v>0.48243570000000002</v>
      </c>
      <c r="F7816" t="s">
        <v>67</v>
      </c>
      <c r="G7816">
        <v>-239.43190000000001</v>
      </c>
      <c r="H7816" s="1">
        <v>-3.271578E-6</v>
      </c>
      <c r="I7816">
        <v>-61.442340000000002</v>
      </c>
      <c r="J7816">
        <v>-257.23110000000003</v>
      </c>
      <c r="K7816">
        <v>1.1205670000000001</v>
      </c>
      <c r="L7816">
        <v>-62.269710000000003</v>
      </c>
      <c r="M7816">
        <v>0.99952149999999995</v>
      </c>
      <c r="N7816">
        <v>-9.4438979999999992E-3</v>
      </c>
      <c r="O7816">
        <v>-2.9459920000000001E-2</v>
      </c>
      <c r="P7816">
        <v>0.99543040000000005</v>
      </c>
      <c r="Q7816">
        <v>-9.5485810000000004E-2</v>
      </c>
      <c r="R7816">
        <v>-1.1425560000000001E-3</v>
      </c>
      <c r="S7816">
        <v>2.996124</v>
      </c>
      <c r="T7816">
        <v>-0.18720890000000001</v>
      </c>
      <c r="U7816">
        <v>0.13757320000000001</v>
      </c>
      <c r="V7816">
        <v>-2.8142819999999999E-2</v>
      </c>
      <c r="W7816">
        <v>-8.6098300000000003E-2</v>
      </c>
      <c r="X7816">
        <v>0.99588909999999997</v>
      </c>
      <c r="Y7816">
        <v>-7.5069430000000006E-2</v>
      </c>
      <c r="Z7816">
        <v>4.257144E-3</v>
      </c>
      <c r="AA7816">
        <v>0.99716919999999998</v>
      </c>
      <c r="AB7816">
        <v>27</v>
      </c>
      <c r="AC7816">
        <v>17.799199999999999</v>
      </c>
      <c r="AD7816">
        <v>-1.1205702715779999</v>
      </c>
      <c r="AE7816">
        <v>0.82736999999999405</v>
      </c>
      <c r="AF7816">
        <v>-1.34607353229073</v>
      </c>
      <c r="AG7816">
        <v>-1.1205702715779999</v>
      </c>
      <c r="AH7816">
        <v>17.697107462737399</v>
      </c>
      <c r="AI7816">
        <v>93.612690017954094</v>
      </c>
      <c r="AJ7816">
        <v>94.349643865095004</v>
      </c>
      <c r="AK7816">
        <v>17.783565565868798</v>
      </c>
      <c r="AL7816">
        <v>94.939184286465107</v>
      </c>
      <c r="AM7816">
        <v>91.618690065848</v>
      </c>
      <c r="AN7816">
        <v>1.00000001753962</v>
      </c>
    </row>
    <row r="7817" spans="1:40" x14ac:dyDescent="0.25">
      <c r="A7817" t="str">
        <f>"20190303154333513"</f>
        <v>20190303154333513</v>
      </c>
      <c r="B7817" t="str">
        <f>"1551599013508448"</f>
        <v>1551599013508448</v>
      </c>
      <c r="C7817" t="s">
        <v>40</v>
      </c>
      <c r="D7817">
        <v>5.6421270000000003</v>
      </c>
      <c r="E7817">
        <v>0.48245559999999998</v>
      </c>
      <c r="F7817" t="s">
        <v>67</v>
      </c>
      <c r="G7817">
        <v>-239.1497</v>
      </c>
      <c r="H7817" s="1">
        <v>-3.1732509999999999E-6</v>
      </c>
      <c r="I7817">
        <v>-61.429450000000003</v>
      </c>
      <c r="J7817">
        <v>-257.07459999999998</v>
      </c>
      <c r="K7817">
        <v>1.1205620000000001</v>
      </c>
      <c r="L7817">
        <v>-62.274140000000003</v>
      </c>
      <c r="M7817">
        <v>0.99952700000000005</v>
      </c>
      <c r="N7817">
        <v>-9.3965720000000006E-3</v>
      </c>
      <c r="O7817">
        <v>-2.9284000000000001E-2</v>
      </c>
      <c r="P7817">
        <v>0.9954172</v>
      </c>
      <c r="Q7817">
        <v>-9.5622550000000001E-2</v>
      </c>
      <c r="R7817">
        <v>-9.6509350000000005E-4</v>
      </c>
      <c r="S7817">
        <v>2.996124</v>
      </c>
      <c r="T7817">
        <v>-0.18568000000000001</v>
      </c>
      <c r="U7817">
        <v>0.13922119999999999</v>
      </c>
      <c r="V7817">
        <v>-2.8144269999999999E-2</v>
      </c>
      <c r="W7817">
        <v>-8.6282380000000006E-2</v>
      </c>
      <c r="X7817">
        <v>0.99587309999999996</v>
      </c>
      <c r="Y7817">
        <v>-7.5444020000000001E-2</v>
      </c>
      <c r="Z7817">
        <v>4.2267540000000001E-3</v>
      </c>
      <c r="AA7817">
        <v>0.9971411</v>
      </c>
      <c r="AB7817">
        <v>27</v>
      </c>
      <c r="AC7817">
        <v>17.924899999999901</v>
      </c>
      <c r="AD7817">
        <v>-1.120565173251</v>
      </c>
      <c r="AE7817">
        <v>0.84468999999999905</v>
      </c>
      <c r="AF7817">
        <v>-1.36394507247381</v>
      </c>
      <c r="AG7817">
        <v>-1.120565173251</v>
      </c>
      <c r="AH7817">
        <v>17.822976054873202</v>
      </c>
      <c r="AI7817">
        <v>93.587100877130993</v>
      </c>
      <c r="AJ7817">
        <v>94.376164391971102</v>
      </c>
      <c r="AK7817">
        <v>17.910178333026501</v>
      </c>
      <c r="AL7817">
        <v>94.949770824508093</v>
      </c>
      <c r="AM7817">
        <v>91.618799414966404</v>
      </c>
      <c r="AN7817">
        <v>0.99999999016795305</v>
      </c>
    </row>
    <row r="7818" spans="1:40" x14ac:dyDescent="0.25">
      <c r="A7818" t="str">
        <f>"20190303154333525"</f>
        <v>20190303154333525</v>
      </c>
      <c r="B7818" t="str">
        <f>"1551599013518209"</f>
        <v>1551599013518209</v>
      </c>
      <c r="C7818" t="s">
        <v>40</v>
      </c>
      <c r="D7818">
        <v>5.6239980000000003</v>
      </c>
      <c r="E7818">
        <v>0.48252800000000001</v>
      </c>
      <c r="F7818" t="s">
        <v>67</v>
      </c>
      <c r="G7818">
        <v>-239.0402</v>
      </c>
      <c r="H7818" s="1">
        <v>-3.1366880000000001E-6</v>
      </c>
      <c r="I7818">
        <v>-61.433309999999999</v>
      </c>
      <c r="J7818">
        <v>-256.93220000000002</v>
      </c>
      <c r="K7818">
        <v>1.1205620000000001</v>
      </c>
      <c r="L7818">
        <v>-62.278170000000003</v>
      </c>
      <c r="M7818">
        <v>0.99953199999999998</v>
      </c>
      <c r="N7818">
        <v>-9.3563229999999997E-3</v>
      </c>
      <c r="O7818">
        <v>-2.9123960000000001E-2</v>
      </c>
      <c r="P7818">
        <v>0.99540790000000001</v>
      </c>
      <c r="Q7818">
        <v>-9.5724119999999996E-2</v>
      </c>
      <c r="R7818">
        <v>-5.6023919999999999E-4</v>
      </c>
      <c r="S7818">
        <v>2.9960939999999998</v>
      </c>
      <c r="T7818">
        <v>-0.18616199999999999</v>
      </c>
      <c r="U7818">
        <v>0.139679</v>
      </c>
      <c r="V7818">
        <v>-2.838895E-2</v>
      </c>
      <c r="W7818">
        <v>-8.6424329999999994E-2</v>
      </c>
      <c r="X7818">
        <v>0.99585380000000001</v>
      </c>
      <c r="Y7818">
        <v>-7.5436059999999999E-2</v>
      </c>
      <c r="Z7818">
        <v>4.2284690000000003E-3</v>
      </c>
      <c r="AA7818">
        <v>0.99714170000000002</v>
      </c>
      <c r="AB7818">
        <v>27</v>
      </c>
      <c r="AC7818">
        <v>17.891999999999999</v>
      </c>
      <c r="AD7818">
        <v>-1.1205651366880001</v>
      </c>
      <c r="AE7818">
        <v>0.84485999999999695</v>
      </c>
      <c r="AF7818">
        <v>-1.36028652320291</v>
      </c>
      <c r="AG7818">
        <v>-1.1205651366880001</v>
      </c>
      <c r="AH7818">
        <v>17.790177260012602</v>
      </c>
      <c r="AI7818">
        <v>93.593714388577098</v>
      </c>
      <c r="AJ7818">
        <v>94.372486861128195</v>
      </c>
      <c r="AK7818">
        <v>17.877260768737401</v>
      </c>
      <c r="AL7818">
        <v>94.957934683942895</v>
      </c>
      <c r="AM7818">
        <v>91.632896937903993</v>
      </c>
      <c r="AN7818">
        <v>0.99999994413624405</v>
      </c>
    </row>
    <row r="7819" spans="1:40" x14ac:dyDescent="0.25">
      <c r="A7819" t="str">
        <f>"20190303154333546"</f>
        <v>20190303154333546</v>
      </c>
      <c r="B7819" t="str">
        <f>"1551599013537728"</f>
        <v>1551599013537728</v>
      </c>
      <c r="C7819" t="s">
        <v>40</v>
      </c>
      <c r="D7819">
        <v>5.6137430000000004</v>
      </c>
      <c r="E7819">
        <v>0.48255300000000001</v>
      </c>
      <c r="F7819" t="s">
        <v>67</v>
      </c>
      <c r="G7819">
        <v>-238.89439999999999</v>
      </c>
      <c r="H7819" s="1">
        <v>-3.0820380000000001E-6</v>
      </c>
      <c r="I7819">
        <v>-61.433109999999999</v>
      </c>
      <c r="J7819">
        <v>-256.68340000000001</v>
      </c>
      <c r="K7819">
        <v>1.1205639999999999</v>
      </c>
      <c r="L7819">
        <v>-62.2851</v>
      </c>
      <c r="M7819">
        <v>0.99954080000000001</v>
      </c>
      <c r="N7819">
        <v>-9.2885620000000002E-3</v>
      </c>
      <c r="O7819">
        <v>-2.8844720000000001E-2</v>
      </c>
      <c r="P7819">
        <v>0.99542390000000003</v>
      </c>
      <c r="Q7819">
        <v>-9.5558009999999999E-2</v>
      </c>
      <c r="R7819">
        <v>-3.2874869999999999E-4</v>
      </c>
      <c r="S7819">
        <v>2.9960170000000002</v>
      </c>
      <c r="T7819">
        <v>-0.1861216</v>
      </c>
      <c r="U7819">
        <v>0.14035029999999901</v>
      </c>
      <c r="V7819">
        <v>-2.8342659999999999E-2</v>
      </c>
      <c r="W7819">
        <v>-8.6325609999999997E-2</v>
      </c>
      <c r="X7819">
        <v>0.99586370000000002</v>
      </c>
      <c r="Y7819">
        <v>-7.5382260000000006E-2</v>
      </c>
      <c r="Z7819">
        <v>4.210419E-3</v>
      </c>
      <c r="AA7819">
        <v>0.99714579999999997</v>
      </c>
      <c r="AB7819">
        <v>27</v>
      </c>
      <c r="AC7819">
        <v>17.789000000000001</v>
      </c>
      <c r="AD7819">
        <v>-1.12056708203799</v>
      </c>
      <c r="AE7819">
        <v>0.85199000000000003</v>
      </c>
      <c r="AF7819">
        <v>-1.35939454889871</v>
      </c>
      <c r="AG7819">
        <v>-1.12056708203799</v>
      </c>
      <c r="AH7819">
        <v>17.6869994132446</v>
      </c>
      <c r="AI7819">
        <v>93.614520615322803</v>
      </c>
      <c r="AJ7819">
        <v>94.395021656098095</v>
      </c>
      <c r="AK7819">
        <v>17.7745203133316</v>
      </c>
      <c r="AL7819">
        <v>94.952257131511701</v>
      </c>
      <c r="AM7819">
        <v>91.630219635263501</v>
      </c>
      <c r="AN7819">
        <v>0.999999963147718</v>
      </c>
    </row>
    <row r="7820" spans="1:40" x14ac:dyDescent="0.25">
      <c r="A7820" t="str">
        <f>"20190303154333557"</f>
        <v>20190303154333557</v>
      </c>
      <c r="B7820" t="str">
        <f>"1551599013548465"</f>
        <v>1551599013548465</v>
      </c>
      <c r="C7820" t="s">
        <v>40</v>
      </c>
      <c r="D7820">
        <v>5.6094850000000003</v>
      </c>
      <c r="E7820">
        <v>0.48261660000000001</v>
      </c>
      <c r="F7820" t="s">
        <v>67</v>
      </c>
      <c r="G7820">
        <v>-238.63149999999999</v>
      </c>
      <c r="H7820" s="1">
        <v>-2.9701140000000001E-6</v>
      </c>
      <c r="I7820">
        <v>-61.436250000000001</v>
      </c>
      <c r="J7820">
        <v>-256.54039999999998</v>
      </c>
      <c r="K7820">
        <v>1.1205620000000001</v>
      </c>
      <c r="L7820">
        <v>-62.289090000000002</v>
      </c>
      <c r="M7820">
        <v>0.99954580000000004</v>
      </c>
      <c r="N7820">
        <v>-9.2502529999999999E-3</v>
      </c>
      <c r="O7820">
        <v>-2.868422E-2</v>
      </c>
      <c r="P7820">
        <v>0.99542070000000005</v>
      </c>
      <c r="Q7820">
        <v>-9.5591280000000001E-2</v>
      </c>
      <c r="R7820">
        <v>-2.5903569999999998E-4</v>
      </c>
      <c r="S7820">
        <v>2.995987</v>
      </c>
      <c r="T7820">
        <v>-0.18597530000000001</v>
      </c>
      <c r="U7820">
        <v>0.1408691</v>
      </c>
      <c r="V7820">
        <v>-2.8252260000000001E-2</v>
      </c>
      <c r="W7820">
        <v>-8.6397009999999996E-2</v>
      </c>
      <c r="X7820">
        <v>0.99586010000000003</v>
      </c>
      <c r="Y7820">
        <v>-7.5395439999999994E-2</v>
      </c>
      <c r="Z7820">
        <v>4.1988709999999999E-3</v>
      </c>
      <c r="AA7820">
        <v>0.9971449</v>
      </c>
      <c r="AB7820">
        <v>27</v>
      </c>
      <c r="AC7820">
        <v>17.9088999999999</v>
      </c>
      <c r="AD7820">
        <v>-1.1205649701139999</v>
      </c>
      <c r="AE7820">
        <v>0.85284000000000004</v>
      </c>
      <c r="AF7820">
        <v>-1.3608978973261401</v>
      </c>
      <c r="AG7820">
        <v>-1.1205649701139999</v>
      </c>
      <c r="AH7820">
        <v>17.807506810286998</v>
      </c>
      <c r="AI7820">
        <v>93.590236656380796</v>
      </c>
      <c r="AJ7820">
        <v>94.370203893919296</v>
      </c>
      <c r="AK7820">
        <v>17.894552459830098</v>
      </c>
      <c r="AL7820">
        <v>94.956363277488506</v>
      </c>
      <c r="AM7820">
        <v>91.625028650943705</v>
      </c>
      <c r="AN7820">
        <v>0.99999998615202801</v>
      </c>
    </row>
    <row r="7821" spans="1:40" x14ac:dyDescent="0.25">
      <c r="A7821" t="str">
        <f>"20190303154333567"</f>
        <v>20190303154333567</v>
      </c>
      <c r="B7821" t="str">
        <f>"1551599013558225"</f>
        <v>1551599013558225</v>
      </c>
      <c r="C7821" t="s">
        <v>40</v>
      </c>
      <c r="D7821">
        <v>5.6547349999999996</v>
      </c>
      <c r="E7821">
        <v>0.48263980000000001</v>
      </c>
      <c r="F7821" t="s">
        <v>67</v>
      </c>
      <c r="G7821">
        <v>-238.4683</v>
      </c>
      <c r="H7821" s="1">
        <v>-2.9014989999999998E-6</v>
      </c>
      <c r="I7821">
        <v>-61.441510000000001</v>
      </c>
      <c r="J7821">
        <v>-256.4169</v>
      </c>
      <c r="K7821">
        <v>1.1205590000000001</v>
      </c>
      <c r="L7821">
        <v>-62.292479999999998</v>
      </c>
      <c r="M7821">
        <v>0.99955000000000005</v>
      </c>
      <c r="N7821">
        <v>-9.2168600000000003E-3</v>
      </c>
      <c r="O7821">
        <v>-2.8545310000000001E-2</v>
      </c>
      <c r="P7821">
        <v>0.99544440000000001</v>
      </c>
      <c r="Q7821">
        <v>-9.5343689999999995E-2</v>
      </c>
      <c r="R7821">
        <v>-3.3824149999999998E-4</v>
      </c>
      <c r="S7821">
        <v>2.9960019999999998</v>
      </c>
      <c r="T7821">
        <v>-0.18576809999999999</v>
      </c>
      <c r="U7821">
        <v>0.14050289999999999</v>
      </c>
      <c r="V7821">
        <v>-2.8035770000000002E-2</v>
      </c>
      <c r="W7821">
        <v>-8.618236E-2</v>
      </c>
      <c r="X7821">
        <v>0.99588480000000001</v>
      </c>
      <c r="Y7821">
        <v>-7.5136250000000002E-2</v>
      </c>
      <c r="Z7821">
        <v>4.177437E-3</v>
      </c>
      <c r="AA7821">
        <v>0.99716450000000001</v>
      </c>
      <c r="AB7821">
        <v>27</v>
      </c>
      <c r="AC7821">
        <v>17.948599999999999</v>
      </c>
      <c r="AD7821">
        <v>-1.120561901499</v>
      </c>
      <c r="AE7821">
        <v>0.850970000000003</v>
      </c>
      <c r="AF7821">
        <v>-1.3577132017545801</v>
      </c>
      <c r="AG7821">
        <v>-1.120561901499</v>
      </c>
      <c r="AH7821">
        <v>17.8475842316243</v>
      </c>
      <c r="AI7821">
        <v>93.582280688009206</v>
      </c>
      <c r="AJ7821">
        <v>94.350263518192705</v>
      </c>
      <c r="AK7821">
        <v>17.934193793372302</v>
      </c>
      <c r="AL7821">
        <v>94.944018777929102</v>
      </c>
      <c r="AM7821">
        <v>91.612543088874304</v>
      </c>
      <c r="AN7821">
        <v>0.99999996922284995</v>
      </c>
    </row>
    <row r="7822" spans="1:40" x14ac:dyDescent="0.25">
      <c r="A7822" t="str">
        <f>"20190303154333578"</f>
        <v>20190303154333578</v>
      </c>
      <c r="B7822" t="str">
        <f>"1551599013567985"</f>
        <v>1551599013567985</v>
      </c>
      <c r="C7822" t="s">
        <v>40</v>
      </c>
      <c r="D7822">
        <v>5.6223559999999999</v>
      </c>
      <c r="E7822">
        <v>0.48268450000000002</v>
      </c>
      <c r="F7822" t="s">
        <v>67</v>
      </c>
      <c r="G7822">
        <v>-238.29740000000001</v>
      </c>
      <c r="H7822" s="1">
        <v>-2.8290759999999999E-6</v>
      </c>
      <c r="I7822">
        <v>-61.444890000000001</v>
      </c>
      <c r="J7822">
        <v>-256.28579999999999</v>
      </c>
      <c r="K7822">
        <v>1.1205579999999999</v>
      </c>
      <c r="L7822">
        <v>-62.296080000000003</v>
      </c>
      <c r="M7822">
        <v>0.99955479999999997</v>
      </c>
      <c r="N7822">
        <v>-9.1811749999999998E-3</v>
      </c>
      <c r="O7822">
        <v>-2.839829E-2</v>
      </c>
      <c r="P7822">
        <v>0.99544929999999998</v>
      </c>
      <c r="Q7822">
        <v>-9.5293669999999997E-2</v>
      </c>
      <c r="R7822">
        <v>-3.4707199999999997E-4</v>
      </c>
      <c r="S7822">
        <v>2.9960330000000002</v>
      </c>
      <c r="T7822">
        <v>-0.18528330000000001</v>
      </c>
      <c r="U7822">
        <v>0.1401367</v>
      </c>
      <c r="V7822">
        <v>-2.7880519999999999E-2</v>
      </c>
      <c r="W7822">
        <v>-8.6167740000000007E-2</v>
      </c>
      <c r="X7822">
        <v>0.99589039999999995</v>
      </c>
      <c r="Y7822">
        <v>-7.4869359999999996E-2</v>
      </c>
      <c r="Z7822">
        <v>4.149214E-3</v>
      </c>
      <c r="AA7822">
        <v>0.99718470000000003</v>
      </c>
      <c r="AB7822">
        <v>27</v>
      </c>
      <c r="AC7822">
        <v>17.988399999999899</v>
      </c>
      <c r="AD7822">
        <v>-1.1205608290760001</v>
      </c>
      <c r="AE7822">
        <v>0.851190000000002</v>
      </c>
      <c r="AF7822">
        <v>-1.3564559203587301</v>
      </c>
      <c r="AG7822">
        <v>-1.1205608290760001</v>
      </c>
      <c r="AH7822">
        <v>17.887713192114301</v>
      </c>
      <c r="AI7822">
        <v>93.574326579137207</v>
      </c>
      <c r="AJ7822">
        <v>94.336537430776701</v>
      </c>
      <c r="AK7822">
        <v>17.9740343962861</v>
      </c>
      <c r="AL7822">
        <v>94.943178101880804</v>
      </c>
      <c r="AM7822">
        <v>91.603609183833996</v>
      </c>
      <c r="AN7822">
        <v>0.999999945812167</v>
      </c>
    </row>
    <row r="7823" spans="1:40" x14ac:dyDescent="0.25">
      <c r="A7823" t="str">
        <f>"20190303154333589"</f>
        <v>20190303154333589</v>
      </c>
      <c r="B7823" t="str">
        <f>"1551599013577746"</f>
        <v>1551599013577746</v>
      </c>
      <c r="C7823" t="s">
        <v>40</v>
      </c>
      <c r="D7823">
        <v>5.6701360000000003</v>
      </c>
      <c r="E7823">
        <v>0.48274440000000002</v>
      </c>
      <c r="F7823" t="s">
        <v>67</v>
      </c>
      <c r="G7823">
        <v>-238.08330000000001</v>
      </c>
      <c r="H7823" s="1">
        <v>-2.7377870000000001E-6</v>
      </c>
      <c r="I7823">
        <v>-61.447040000000001</v>
      </c>
      <c r="J7823">
        <v>-256.14929999999998</v>
      </c>
      <c r="K7823">
        <v>1.120555</v>
      </c>
      <c r="L7823">
        <v>-62.299799999999998</v>
      </c>
      <c r="M7823">
        <v>0.99955930000000004</v>
      </c>
      <c r="N7823">
        <v>-9.1431229999999995E-3</v>
      </c>
      <c r="O7823">
        <v>-2.8244829999999999E-2</v>
      </c>
      <c r="P7823">
        <v>0.99545280000000003</v>
      </c>
      <c r="Q7823">
        <v>-9.5257369999999994E-2</v>
      </c>
      <c r="R7823">
        <v>-3.2109880000000002E-4</v>
      </c>
      <c r="S7823">
        <v>2.9960779999999998</v>
      </c>
      <c r="T7823">
        <v>-0.18444089999999999</v>
      </c>
      <c r="U7823">
        <v>0.13974</v>
      </c>
      <c r="V7823">
        <v>-2.7753719999999999E-2</v>
      </c>
      <c r="W7823">
        <v>-8.6169250000000003E-2</v>
      </c>
      <c r="X7823">
        <v>0.99589380000000005</v>
      </c>
      <c r="Y7823">
        <v>-7.4586449999999999E-2</v>
      </c>
      <c r="Z7823">
        <v>4.1123380000000001E-3</v>
      </c>
      <c r="AA7823">
        <v>0.99720609999999998</v>
      </c>
      <c r="AB7823">
        <v>27</v>
      </c>
      <c r="AC7823">
        <v>18.065999999999899</v>
      </c>
      <c r="AD7823">
        <v>-1.120557737787</v>
      </c>
      <c r="AE7823">
        <v>0.85275999999999597</v>
      </c>
      <c r="AF7823">
        <v>-1.3575011733098901</v>
      </c>
      <c r="AG7823">
        <v>-1.120557737787</v>
      </c>
      <c r="AH7823">
        <v>17.9657405418547</v>
      </c>
      <c r="AI7823">
        <v>93.558905491811004</v>
      </c>
      <c r="AJ7823">
        <v>94.321089290770303</v>
      </c>
      <c r="AK7823">
        <v>18.051767013134601</v>
      </c>
      <c r="AL7823">
        <v>94.943264996330399</v>
      </c>
      <c r="AM7823">
        <v>91.596314339201996</v>
      </c>
      <c r="AN7823">
        <v>0.99999993474891802</v>
      </c>
    </row>
    <row r="7824" spans="1:40" x14ac:dyDescent="0.25">
      <c r="A7824" t="str">
        <f>"20190303154333600"</f>
        <v>20190303154333600</v>
      </c>
      <c r="B7824" t="str">
        <f>"1551599013598241"</f>
        <v>1551599013598241</v>
      </c>
      <c r="C7824" t="s">
        <v>40</v>
      </c>
      <c r="D7824">
        <v>5.5744239999999996</v>
      </c>
      <c r="E7824">
        <v>0.48281079999999998</v>
      </c>
      <c r="F7824" t="s">
        <v>67</v>
      </c>
      <c r="G7824">
        <v>-237.905</v>
      </c>
      <c r="H7824" s="1">
        <v>-2.6624309999999999E-6</v>
      </c>
      <c r="I7824">
        <v>-61.451250000000002</v>
      </c>
      <c r="J7824">
        <v>-256.01609999999999</v>
      </c>
      <c r="K7824">
        <v>1.120552</v>
      </c>
      <c r="L7824">
        <v>-62.30341</v>
      </c>
      <c r="M7824">
        <v>0.99956389999999995</v>
      </c>
      <c r="N7824">
        <v>-9.1047209999999996E-3</v>
      </c>
      <c r="O7824">
        <v>-2.80953E-2</v>
      </c>
      <c r="P7824">
        <v>0.99546480000000004</v>
      </c>
      <c r="Q7824">
        <v>-9.5130679999999995E-2</v>
      </c>
      <c r="R7824">
        <v>-4.3311579999999998E-4</v>
      </c>
      <c r="S7824">
        <v>2.99614</v>
      </c>
      <c r="T7824">
        <v>-0.1840222</v>
      </c>
      <c r="U7824">
        <v>0.1393433</v>
      </c>
      <c r="V7824">
        <v>-2.749275E-2</v>
      </c>
      <c r="W7824">
        <v>-8.6080530000000002E-2</v>
      </c>
      <c r="X7824">
        <v>0.99590880000000004</v>
      </c>
      <c r="Y7824">
        <v>-7.4306269999999994E-2</v>
      </c>
      <c r="Z7824">
        <v>4.0851029999999997E-3</v>
      </c>
      <c r="AA7824">
        <v>0.99722710000000003</v>
      </c>
      <c r="AB7824">
        <v>27</v>
      </c>
      <c r="AC7824">
        <v>18.1111</v>
      </c>
      <c r="AD7824">
        <v>-1.1205546624310001</v>
      </c>
      <c r="AE7824">
        <v>0.85215999999999703</v>
      </c>
      <c r="AF7824">
        <v>-1.35550394094999</v>
      </c>
      <c r="AG7824">
        <v>-1.1205546624310001</v>
      </c>
      <c r="AH7824">
        <v>18.0112120249903</v>
      </c>
      <c r="AI7824">
        <v>93.550013982675793</v>
      </c>
      <c r="AJ7824">
        <v>94.3039037456074</v>
      </c>
      <c r="AK7824">
        <v>18.096872445110002</v>
      </c>
      <c r="AL7824">
        <v>94.938162317269203</v>
      </c>
      <c r="AM7824">
        <v>91.581287945876795</v>
      </c>
      <c r="AN7824">
        <v>1.0000000234325399</v>
      </c>
    </row>
    <row r="7825" spans="1:40" x14ac:dyDescent="0.25">
      <c r="A7825" t="str">
        <f>"20190303154333610"</f>
        <v>20190303154333610</v>
      </c>
      <c r="B7825" t="str">
        <f>"1551599013608001"</f>
        <v>1551599013608001</v>
      </c>
      <c r="C7825" t="s">
        <v>40</v>
      </c>
      <c r="D7825">
        <v>5.6068939999999996</v>
      </c>
      <c r="E7825">
        <v>0.48277710000000001</v>
      </c>
      <c r="F7825" t="s">
        <v>67</v>
      </c>
      <c r="G7825">
        <v>-237.68129999999999</v>
      </c>
      <c r="H7825" s="1">
        <v>-2.5676460000000002E-6</v>
      </c>
      <c r="I7825">
        <v>-61.4557</v>
      </c>
      <c r="J7825">
        <v>-255.8836</v>
      </c>
      <c r="K7825">
        <v>1.120547</v>
      </c>
      <c r="L7825">
        <v>-62.307009999999998</v>
      </c>
      <c r="M7825">
        <v>0.99956849999999997</v>
      </c>
      <c r="N7825">
        <v>-9.0647060000000005E-3</v>
      </c>
      <c r="O7825">
        <v>-2.794659E-2</v>
      </c>
      <c r="P7825">
        <v>0.9955001</v>
      </c>
      <c r="Q7825">
        <v>-9.4761819999999997E-2</v>
      </c>
      <c r="R7825">
        <v>-2.9967980000000002E-4</v>
      </c>
      <c r="S7825">
        <v>2.9962309999999999</v>
      </c>
      <c r="T7825">
        <v>-0.18311830000000001</v>
      </c>
      <c r="U7825">
        <v>0.13851930000000001</v>
      </c>
      <c r="V7825">
        <v>-2.747929E-2</v>
      </c>
      <c r="W7825">
        <v>-8.5751229999999998E-2</v>
      </c>
      <c r="X7825">
        <v>0.99593759999999998</v>
      </c>
      <c r="Y7825">
        <v>-7.3885899999999893E-2</v>
      </c>
      <c r="Z7825">
        <v>4.0425469999999996E-3</v>
      </c>
      <c r="AA7825">
        <v>0.99725850000000005</v>
      </c>
      <c r="AB7825">
        <v>27</v>
      </c>
      <c r="AC7825">
        <v>18.202300000000001</v>
      </c>
      <c r="AD7825">
        <v>-1.120549567646</v>
      </c>
      <c r="AE7825">
        <v>0.85130999999999701</v>
      </c>
      <c r="AF7825">
        <v>-1.35456822928036</v>
      </c>
      <c r="AG7825">
        <v>-1.120549567646</v>
      </c>
      <c r="AH7825">
        <v>18.102942003080301</v>
      </c>
      <c r="AI7825">
        <v>93.5321690807355</v>
      </c>
      <c r="AJ7825">
        <v>94.279231602299504</v>
      </c>
      <c r="AK7825">
        <v>18.1881003842681</v>
      </c>
      <c r="AL7825">
        <v>94.919224692719396</v>
      </c>
      <c r="AM7825">
        <v>91.580468484677198</v>
      </c>
      <c r="AN7825">
        <v>1.00000004395958</v>
      </c>
    </row>
    <row r="7826" spans="1:40" x14ac:dyDescent="0.25">
      <c r="A7826" t="str">
        <f>"20190303154333622"</f>
        <v>20190303154333622</v>
      </c>
      <c r="B7826" t="str">
        <f>"1551599013617765"</f>
        <v>1551599013617765</v>
      </c>
      <c r="C7826" t="s">
        <v>40</v>
      </c>
      <c r="D7826">
        <v>5.5916969999999999</v>
      </c>
      <c r="E7826">
        <v>0.48276560000000002</v>
      </c>
      <c r="F7826" t="s">
        <v>67</v>
      </c>
      <c r="G7826">
        <v>-237.47479999999999</v>
      </c>
      <c r="H7826" s="1">
        <v>-2.478059E-6</v>
      </c>
      <c r="I7826">
        <v>-61.451949999999997</v>
      </c>
      <c r="J7826">
        <v>-255.7448</v>
      </c>
      <c r="K7826">
        <v>1.120541</v>
      </c>
      <c r="L7826">
        <v>-62.310699999999997</v>
      </c>
      <c r="M7826">
        <v>0.99957309999999999</v>
      </c>
      <c r="N7826">
        <v>-9.0196300000000007E-3</v>
      </c>
      <c r="O7826">
        <v>-2.7790479999999999E-2</v>
      </c>
      <c r="P7826">
        <v>0.99550810000000001</v>
      </c>
      <c r="Q7826">
        <v>-9.4676360000000001E-2</v>
      </c>
      <c r="R7826" s="1">
        <v>5.4019040000000002E-5</v>
      </c>
      <c r="S7826">
        <v>2.9962460000000002</v>
      </c>
      <c r="T7826">
        <v>-0.18238270000000001</v>
      </c>
      <c r="U7826">
        <v>0.13916020000000001</v>
      </c>
      <c r="V7826">
        <v>-2.767789E-2</v>
      </c>
      <c r="W7826">
        <v>-8.5710789999999995E-2</v>
      </c>
      <c r="X7826">
        <v>0.99593560000000003</v>
      </c>
      <c r="Y7826">
        <v>-7.3944419999999997E-2</v>
      </c>
      <c r="Z7826">
        <v>4.0201780000000001E-3</v>
      </c>
      <c r="AA7826">
        <v>0.99725430000000004</v>
      </c>
      <c r="AB7826">
        <v>27</v>
      </c>
      <c r="AC7826">
        <v>18.27</v>
      </c>
      <c r="AD7826">
        <v>-1.120543478059</v>
      </c>
      <c r="AE7826">
        <v>0.85875000000000001</v>
      </c>
      <c r="AF7826">
        <v>-1.3610624329627199</v>
      </c>
      <c r="AG7826">
        <v>-1.120543478059</v>
      </c>
      <c r="AH7826">
        <v>18.170874861398602</v>
      </c>
      <c r="AI7826">
        <v>93.518957740491004</v>
      </c>
      <c r="AJ7826">
        <v>94.283656138517003</v>
      </c>
      <c r="AK7826">
        <v>18.2561989981828</v>
      </c>
      <c r="AL7826">
        <v>94.916898999303598</v>
      </c>
      <c r="AM7826">
        <v>91.591888281730803</v>
      </c>
      <c r="AN7826">
        <v>1.00000006223231</v>
      </c>
    </row>
    <row r="7827" spans="1:40" x14ac:dyDescent="0.25">
      <c r="A7827" t="str">
        <f>"20190303154333633"</f>
        <v>20190303154333633</v>
      </c>
      <c r="B7827" t="str">
        <f>"1551599013628497"</f>
        <v>1551599013628497</v>
      </c>
      <c r="C7827" t="s">
        <v>40</v>
      </c>
      <c r="D7827">
        <v>5.5982969999999996</v>
      </c>
      <c r="E7827">
        <v>0.48275000000000001</v>
      </c>
      <c r="F7827" t="s">
        <v>67</v>
      </c>
      <c r="G7827">
        <v>-237.35810000000001</v>
      </c>
      <c r="H7827" s="1">
        <v>-2.4274100000000001E-6</v>
      </c>
      <c r="I7827">
        <v>-61.4497199999999</v>
      </c>
      <c r="J7827">
        <v>-255.60730000000001</v>
      </c>
      <c r="K7827">
        <v>1.120533</v>
      </c>
      <c r="L7827">
        <v>-62.314390000000003</v>
      </c>
      <c r="M7827">
        <v>0.99957790000000002</v>
      </c>
      <c r="N7827">
        <v>-8.9729130000000008E-3</v>
      </c>
      <c r="O7827">
        <v>-2.7636029999999999E-2</v>
      </c>
      <c r="P7827">
        <v>0.99552799999999997</v>
      </c>
      <c r="Q7827">
        <v>-9.4468730000000001E-2</v>
      </c>
      <c r="R7827">
        <v>1.6589419999999999E-4</v>
      </c>
      <c r="S7827">
        <v>2.9961700000000002</v>
      </c>
      <c r="T7827">
        <v>-0.18259619999999999</v>
      </c>
      <c r="U7827">
        <v>0.14028929999999901</v>
      </c>
      <c r="V7827">
        <v>-2.763649E-2</v>
      </c>
      <c r="W7827">
        <v>-8.5549490000000006E-2</v>
      </c>
      <c r="X7827">
        <v>0.99595060000000002</v>
      </c>
      <c r="Y7827">
        <v>-7.4165809999999999E-2</v>
      </c>
      <c r="Z7827">
        <v>4.0241340000000004E-3</v>
      </c>
      <c r="AA7827">
        <v>0.99723779999999995</v>
      </c>
      <c r="AB7827">
        <v>27</v>
      </c>
      <c r="AC7827">
        <v>18.249199999999998</v>
      </c>
      <c r="AD7827">
        <v>-1.1205354274099999</v>
      </c>
      <c r="AE7827">
        <v>0.86467000000001004</v>
      </c>
      <c r="AF7827">
        <v>-1.36356600541308</v>
      </c>
      <c r="AG7827">
        <v>-1.1205354274099999</v>
      </c>
      <c r="AH7827">
        <v>18.1500562621105</v>
      </c>
      <c r="AI7827">
        <v>93.522899991931695</v>
      </c>
      <c r="AJ7827">
        <v>94.296410244062599</v>
      </c>
      <c r="AK7827">
        <v>18.235664348001499</v>
      </c>
      <c r="AL7827">
        <v>94.907623208846005</v>
      </c>
      <c r="AM7827">
        <v>91.589484464202698</v>
      </c>
      <c r="AN7827">
        <v>1.00000004422956</v>
      </c>
    </row>
    <row r="7828" spans="1:40" x14ac:dyDescent="0.25">
      <c r="A7828" t="str">
        <f>"20190303154333645"</f>
        <v>20190303154333645</v>
      </c>
      <c r="B7828" t="str">
        <f>"1551599013638257"</f>
        <v>1551599013638257</v>
      </c>
      <c r="C7828" t="s">
        <v>40</v>
      </c>
      <c r="D7828">
        <v>5.578246</v>
      </c>
      <c r="E7828">
        <v>0.48272229999999999</v>
      </c>
      <c r="F7828" t="s">
        <v>67</v>
      </c>
      <c r="G7828">
        <v>-237.1541</v>
      </c>
      <c r="H7828" s="1">
        <v>-2.3392730000000001E-6</v>
      </c>
      <c r="I7828">
        <v>-61.447479999999999</v>
      </c>
      <c r="J7828">
        <v>-255.46860000000001</v>
      </c>
      <c r="K7828">
        <v>1.120528</v>
      </c>
      <c r="L7828">
        <v>-62.318049999999999</v>
      </c>
      <c r="M7828">
        <v>0.99958259999999999</v>
      </c>
      <c r="N7828">
        <v>-8.9219239999999995E-3</v>
      </c>
      <c r="O7828">
        <v>-2.7480129999999998E-2</v>
      </c>
      <c r="P7828">
        <v>0.99551670000000003</v>
      </c>
      <c r="Q7828">
        <v>-9.4586799999999999E-2</v>
      </c>
      <c r="R7828">
        <v>5.3203759999999995E-4</v>
      </c>
      <c r="S7828">
        <v>2.9961700000000002</v>
      </c>
      <c r="T7828">
        <v>-0.1819364</v>
      </c>
      <c r="U7828">
        <v>0.14074710000000001</v>
      </c>
      <c r="V7828">
        <v>-2.784646E-2</v>
      </c>
      <c r="W7828">
        <v>-8.5718639999999999E-2</v>
      </c>
      <c r="X7828">
        <v>0.99593010000000004</v>
      </c>
      <c r="Y7828">
        <v>-7.4163930000000003E-2</v>
      </c>
      <c r="Z7828">
        <v>4.001297E-3</v>
      </c>
      <c r="AA7828">
        <v>0.99723799999999996</v>
      </c>
      <c r="AB7828">
        <v>27</v>
      </c>
      <c r="AC7828">
        <v>18.314499999999999</v>
      </c>
      <c r="AD7828">
        <v>-1.1205303392729999</v>
      </c>
      <c r="AE7828">
        <v>0.87056999999999296</v>
      </c>
      <c r="AF7828">
        <v>-1.3684350987312399</v>
      </c>
      <c r="AG7828">
        <v>-1.1205303392729999</v>
      </c>
      <c r="AH7828">
        <v>18.2156254343016</v>
      </c>
      <c r="AI7828">
        <v>93.510235604429894</v>
      </c>
      <c r="AJ7828">
        <v>94.296232129679197</v>
      </c>
      <c r="AK7828">
        <v>18.301289922392002</v>
      </c>
      <c r="AL7828">
        <v>94.917351048235702</v>
      </c>
      <c r="AM7828">
        <v>91.601587357209795</v>
      </c>
      <c r="AN7828">
        <v>0.99999993733199299</v>
      </c>
    </row>
    <row r="7829" spans="1:40" x14ac:dyDescent="0.25">
      <c r="A7829" t="str">
        <f>"20190303154333656"</f>
        <v>20190303154333656</v>
      </c>
      <c r="B7829" t="str">
        <f>"1551599013648018"</f>
        <v>1551599013648018</v>
      </c>
      <c r="C7829" t="s">
        <v>40</v>
      </c>
      <c r="D7829">
        <v>5.5342510000000003</v>
      </c>
      <c r="E7829">
        <v>0.48264689999999999</v>
      </c>
      <c r="F7829" t="s">
        <v>67</v>
      </c>
      <c r="G7829">
        <v>-237.09610000000001</v>
      </c>
      <c r="H7829" s="1">
        <v>-2.314183E-6</v>
      </c>
      <c r="I7829">
        <v>-61.446680000000001</v>
      </c>
      <c r="J7829">
        <v>-255.3349</v>
      </c>
      <c r="K7829">
        <v>1.120519</v>
      </c>
      <c r="L7829">
        <v>-62.321559999999998</v>
      </c>
      <c r="M7829">
        <v>0.99958709999999995</v>
      </c>
      <c r="N7829">
        <v>-8.8719869999999996E-3</v>
      </c>
      <c r="O7829">
        <v>-2.7329840000000001E-2</v>
      </c>
      <c r="P7829">
        <v>0.99551179999999995</v>
      </c>
      <c r="Q7829">
        <v>-9.4634979999999994E-2</v>
      </c>
      <c r="R7829">
        <v>9.0892239999999997E-4</v>
      </c>
      <c r="S7829">
        <v>2.9960939999999998</v>
      </c>
      <c r="T7829">
        <v>-0.18273039999999999</v>
      </c>
      <c r="U7829">
        <v>0.14208979999999999</v>
      </c>
      <c r="V7829">
        <v>-2.8073230000000001E-2</v>
      </c>
      <c r="W7829">
        <v>-8.5816820000000002E-2</v>
      </c>
      <c r="X7829">
        <v>0.99591540000000001</v>
      </c>
      <c r="Y7829">
        <v>-7.4459079999999997E-2</v>
      </c>
      <c r="Z7829">
        <v>4.0204159999999997E-3</v>
      </c>
      <c r="AA7829">
        <v>0.99721599999999999</v>
      </c>
      <c r="AB7829">
        <v>27</v>
      </c>
      <c r="AC7829">
        <v>18.238800000000001</v>
      </c>
      <c r="AD7829">
        <v>-1.1205213141829999</v>
      </c>
      <c r="AE7829">
        <v>0.87487999999999</v>
      </c>
      <c r="AF7829">
        <v>-1.3678851931601701</v>
      </c>
      <c r="AG7829">
        <v>-1.1205213141829999</v>
      </c>
      <c r="AH7829">
        <v>18.139765931223</v>
      </c>
      <c r="AI7829">
        <v>93.524775270612395</v>
      </c>
      <c r="AJ7829">
        <v>94.312403953982496</v>
      </c>
      <c r="AK7829">
        <v>18.225745141331402</v>
      </c>
      <c r="AL7829">
        <v>94.922996555748298</v>
      </c>
      <c r="AM7829">
        <v>91.614646962699993</v>
      </c>
      <c r="AN7829">
        <v>1.0000000583973501</v>
      </c>
    </row>
    <row r="7830" spans="1:40" x14ac:dyDescent="0.25">
      <c r="A7830" t="str">
        <f>"20190303154333666"</f>
        <v>20190303154333666</v>
      </c>
      <c r="B7830" t="str">
        <f>"1551599013657777"</f>
        <v>1551599013657777</v>
      </c>
      <c r="C7830" t="s">
        <v>40</v>
      </c>
      <c r="D7830">
        <v>5.5684909999999999</v>
      </c>
      <c r="E7830">
        <v>0.48268559999999999</v>
      </c>
      <c r="F7830" t="s">
        <v>67</v>
      </c>
      <c r="G7830">
        <v>-237.02549999999999</v>
      </c>
      <c r="H7830" s="1">
        <v>-2.2827779999999998E-6</v>
      </c>
      <c r="I7830">
        <v>-61.442500000000003</v>
      </c>
      <c r="J7830">
        <v>-255.19929999999999</v>
      </c>
      <c r="K7830">
        <v>1.1205099999999999</v>
      </c>
      <c r="L7830">
        <v>-62.325130000000001</v>
      </c>
      <c r="M7830">
        <v>0.99959180000000003</v>
      </c>
      <c r="N7830">
        <v>-8.8184609999999997E-3</v>
      </c>
      <c r="O7830">
        <v>-2.7177509999999998E-2</v>
      </c>
      <c r="P7830">
        <v>0.99551149999999999</v>
      </c>
      <c r="Q7830">
        <v>-9.4635849999999994E-2</v>
      </c>
      <c r="R7830">
        <v>1.036735E-3</v>
      </c>
      <c r="S7830">
        <v>2.9959560000000001</v>
      </c>
      <c r="T7830">
        <v>-0.1833495</v>
      </c>
      <c r="U7830">
        <v>0.14382929999999999</v>
      </c>
      <c r="V7830">
        <v>-2.8049350000000001E-2</v>
      </c>
      <c r="W7830">
        <v>-8.5871009999999998E-2</v>
      </c>
      <c r="X7830">
        <v>0.9959114</v>
      </c>
      <c r="Y7830">
        <v>-7.4884980000000004E-2</v>
      </c>
      <c r="Z7830">
        <v>4.0402440000000001E-3</v>
      </c>
      <c r="AA7830">
        <v>0.99718399999999996</v>
      </c>
      <c r="AB7830">
        <v>27</v>
      </c>
      <c r="AC7830">
        <v>18.1738</v>
      </c>
      <c r="AD7830">
        <v>-1.1205122827779901</v>
      </c>
      <c r="AE7830">
        <v>0.88262999999999803</v>
      </c>
      <c r="AF7830">
        <v>-1.37104215834373</v>
      </c>
      <c r="AG7830">
        <v>-1.1205122827779901</v>
      </c>
      <c r="AH7830">
        <v>18.0745512497292</v>
      </c>
      <c r="AI7830">
        <v>93.5373137768471</v>
      </c>
      <c r="AJ7830">
        <v>94.337854862421594</v>
      </c>
      <c r="AK7830">
        <v>18.161076709680501</v>
      </c>
      <c r="AL7830">
        <v>94.926112926863993</v>
      </c>
      <c r="AM7830">
        <v>91.613280693918497</v>
      </c>
      <c r="AN7830">
        <v>1.0000000565218901</v>
      </c>
    </row>
    <row r="7831" spans="1:40" x14ac:dyDescent="0.25">
      <c r="A7831" t="str">
        <f>"20190303154333679"</f>
        <v>20190303154333679</v>
      </c>
      <c r="B7831" t="str">
        <f>"1551599013668513"</f>
        <v>1551599013668513</v>
      </c>
      <c r="C7831" t="s">
        <v>40</v>
      </c>
      <c r="D7831">
        <v>5.5506529999999996</v>
      </c>
      <c r="E7831">
        <v>0.4827032</v>
      </c>
      <c r="F7831" t="s">
        <v>67</v>
      </c>
      <c r="G7831">
        <v>-236.8982</v>
      </c>
      <c r="H7831" s="1">
        <v>-2.229139E-6</v>
      </c>
      <c r="I7831">
        <v>-61.446100000000001</v>
      </c>
      <c r="J7831">
        <v>-255.05690000000001</v>
      </c>
      <c r="K7831">
        <v>1.1204909999999999</v>
      </c>
      <c r="L7831">
        <v>-62.328859999999999</v>
      </c>
      <c r="M7831">
        <v>0.9995965</v>
      </c>
      <c r="N7831">
        <v>-8.7617809999999997E-3</v>
      </c>
      <c r="O7831">
        <v>-2.7017179999999998E-2</v>
      </c>
      <c r="P7831">
        <v>0.99549069999999995</v>
      </c>
      <c r="Q7831">
        <v>-9.4848360000000007E-2</v>
      </c>
      <c r="R7831">
        <v>1.3730599999999999E-3</v>
      </c>
      <c r="S7831">
        <v>2.9959410000000002</v>
      </c>
      <c r="T7831">
        <v>-0.1834306</v>
      </c>
      <c r="U7831">
        <v>0.1438904</v>
      </c>
      <c r="V7831">
        <v>-2.822535E-2</v>
      </c>
      <c r="W7831">
        <v>-8.6140289999999994E-2</v>
      </c>
      <c r="X7831">
        <v>0.99588310000000002</v>
      </c>
      <c r="Y7831">
        <v>-7.4745930000000002E-2</v>
      </c>
      <c r="Z7831">
        <v>4.0281580000000004E-3</v>
      </c>
      <c r="AA7831">
        <v>0.99719449999999998</v>
      </c>
      <c r="AB7831">
        <v>27</v>
      </c>
      <c r="AC7831">
        <v>18.1587</v>
      </c>
      <c r="AD7831">
        <v>-1.120493229139</v>
      </c>
      <c r="AE7831">
        <v>0.88275999999999699</v>
      </c>
      <c r="AF7831">
        <v>-1.36785752740887</v>
      </c>
      <c r="AG7831">
        <v>-1.120493229139</v>
      </c>
      <c r="AH7831">
        <v>18.059619096485601</v>
      </c>
      <c r="AI7831">
        <v>93.540201273952405</v>
      </c>
      <c r="AJ7831">
        <v>94.331382038087696</v>
      </c>
      <c r="AK7831">
        <v>18.145974242293601</v>
      </c>
      <c r="AL7831">
        <v>94.941599271816798</v>
      </c>
      <c r="AM7831">
        <v>91.623444181487002</v>
      </c>
      <c r="AN7831">
        <v>0.99999998440475801</v>
      </c>
    </row>
    <row r="7832" spans="1:40" x14ac:dyDescent="0.25">
      <c r="A7832" t="str">
        <f>"20190303154333689"</f>
        <v>20190303154333689</v>
      </c>
      <c r="B7832" t="str">
        <f>"1551599013678273"</f>
        <v>1551599013678273</v>
      </c>
      <c r="C7832" t="s">
        <v>40</v>
      </c>
      <c r="D7832">
        <v>5.5756110000000003</v>
      </c>
      <c r="E7832">
        <v>0.48273270000000001</v>
      </c>
      <c r="F7832" t="s">
        <v>67</v>
      </c>
      <c r="G7832">
        <v>-236.828</v>
      </c>
      <c r="H7832" s="1">
        <v>-2.199619E-6</v>
      </c>
      <c r="I7832">
        <v>-61.448250000000002</v>
      </c>
      <c r="J7832">
        <v>-254.92750000000001</v>
      </c>
      <c r="K7832">
        <v>1.1204809999999901</v>
      </c>
      <c r="L7832">
        <v>-62.332210000000003</v>
      </c>
      <c r="M7832">
        <v>0.99960110000000002</v>
      </c>
      <c r="N7832">
        <v>-8.7092160000000005E-3</v>
      </c>
      <c r="O7832">
        <v>-2.6872130000000001E-2</v>
      </c>
      <c r="P7832">
        <v>0.99549849999999995</v>
      </c>
      <c r="Q7832">
        <v>-9.4770859999999998E-2</v>
      </c>
      <c r="R7832">
        <v>1.4105890000000001E-3</v>
      </c>
      <c r="S7832">
        <v>2.9958339999999999</v>
      </c>
      <c r="T7832">
        <v>-0.18414839999999999</v>
      </c>
      <c r="U7832">
        <v>0.14471439999999999</v>
      </c>
      <c r="V7832">
        <v>-2.8119040000000001E-2</v>
      </c>
      <c r="W7832">
        <v>-8.6114999999999997E-2</v>
      </c>
      <c r="X7832">
        <v>0.99588829999999995</v>
      </c>
      <c r="Y7832">
        <v>-7.4874979999999994E-2</v>
      </c>
      <c r="Z7832">
        <v>4.0399909999999997E-3</v>
      </c>
      <c r="AA7832">
        <v>0.99718479999999998</v>
      </c>
      <c r="AB7832">
        <v>27</v>
      </c>
      <c r="AC7832">
        <v>18.099499999999999</v>
      </c>
      <c r="AD7832">
        <v>-1.1204831996189999</v>
      </c>
      <c r="AE7832">
        <v>0.88395999999999397</v>
      </c>
      <c r="AF7832">
        <v>-1.36481310112468</v>
      </c>
      <c r="AG7832">
        <v>-1.1204831996189999</v>
      </c>
      <c r="AH7832">
        <v>18.000387020216198</v>
      </c>
      <c r="AI7832">
        <v>93.551767794351207</v>
      </c>
      <c r="AJ7832">
        <v>94.335945389925996</v>
      </c>
      <c r="AK7832">
        <v>18.086794361610899</v>
      </c>
      <c r="AL7832">
        <v>94.940144830087803</v>
      </c>
      <c r="AM7832">
        <v>91.617324337271299</v>
      </c>
      <c r="AN7832">
        <v>0.99999998985620497</v>
      </c>
    </row>
    <row r="7833" spans="1:40" x14ac:dyDescent="0.25">
      <c r="A7833" t="str">
        <f>"20190303154333700"</f>
        <v>20190303154333700</v>
      </c>
      <c r="B7833" t="str">
        <f>"1551599013697793"</f>
        <v>1551599013697793</v>
      </c>
      <c r="C7833" t="s">
        <v>40</v>
      </c>
      <c r="D7833">
        <v>5.5121129999999896</v>
      </c>
      <c r="E7833">
        <v>0.48277910000000002</v>
      </c>
      <c r="F7833" t="s">
        <v>67</v>
      </c>
      <c r="G7833">
        <v>-236.6815</v>
      </c>
      <c r="H7833" s="1">
        <v>-2.1376079999999999E-6</v>
      </c>
      <c r="I7833">
        <v>-61.451520000000002</v>
      </c>
      <c r="J7833">
        <v>-254.79050000000001</v>
      </c>
      <c r="K7833">
        <v>1.1204719999999999</v>
      </c>
      <c r="L7833">
        <v>-62.335720000000002</v>
      </c>
      <c r="M7833">
        <v>0.99960570000000004</v>
      </c>
      <c r="N7833">
        <v>-8.6538050000000005E-3</v>
      </c>
      <c r="O7833">
        <v>-2.6718370000000002E-2</v>
      </c>
      <c r="P7833">
        <v>0.99549390000000004</v>
      </c>
      <c r="Q7833">
        <v>-9.4819100000000003E-2</v>
      </c>
      <c r="R7833">
        <v>1.345981E-3</v>
      </c>
      <c r="S7833">
        <v>2.9958499999999999</v>
      </c>
      <c r="T7833">
        <v>-0.1839741</v>
      </c>
      <c r="U7833">
        <v>0.14459229999999901</v>
      </c>
      <c r="V7833">
        <v>-2.7900339999999999E-2</v>
      </c>
      <c r="W7833">
        <v>-8.6218359999999994E-2</v>
      </c>
      <c r="X7833">
        <v>0.99588549999999998</v>
      </c>
      <c r="Y7833">
        <v>-7.4681860000000003E-2</v>
      </c>
      <c r="Z7833">
        <v>4.0207960000000001E-3</v>
      </c>
      <c r="AA7833">
        <v>0.99719930000000001</v>
      </c>
      <c r="AB7833">
        <v>27</v>
      </c>
      <c r="AC7833">
        <v>18.109000000000002</v>
      </c>
      <c r="AD7833">
        <v>-1.1204741376080001</v>
      </c>
      <c r="AE7833">
        <v>0.88419999999999899</v>
      </c>
      <c r="AF7833">
        <v>-1.36254140548841</v>
      </c>
      <c r="AG7833">
        <v>-1.1204741376080001</v>
      </c>
      <c r="AH7833">
        <v>18.0101237897922</v>
      </c>
      <c r="AI7833">
        <v>93.549868448246897</v>
      </c>
      <c r="AJ7833">
        <v>94.326424420277405</v>
      </c>
      <c r="AK7833">
        <v>18.096312892364502</v>
      </c>
      <c r="AL7833">
        <v>94.946089069714205</v>
      </c>
      <c r="AM7833">
        <v>91.604756470301993</v>
      </c>
      <c r="AN7833">
        <v>0.999999981841727</v>
      </c>
    </row>
    <row r="7834" spans="1:40" x14ac:dyDescent="0.25">
      <c r="A7834" t="str">
        <f>"20190303154333712"</f>
        <v>20190303154333712</v>
      </c>
      <c r="B7834" t="str">
        <f>"1551599013708528"</f>
        <v>1551599013708528</v>
      </c>
      <c r="C7834" t="s">
        <v>40</v>
      </c>
      <c r="D7834">
        <v>5.4945550000000001</v>
      </c>
      <c r="E7834">
        <v>0.48280899999999999</v>
      </c>
      <c r="F7834" t="s">
        <v>67</v>
      </c>
      <c r="G7834">
        <v>-236.51249999999999</v>
      </c>
      <c r="H7834" s="1">
        <v>-2.066507E-6</v>
      </c>
      <c r="I7834">
        <v>-61.456679999999999</v>
      </c>
      <c r="J7834">
        <v>-254.64240000000001</v>
      </c>
      <c r="K7834">
        <v>1.120468</v>
      </c>
      <c r="L7834">
        <v>-62.33954</v>
      </c>
      <c r="M7834">
        <v>0.99961049999999996</v>
      </c>
      <c r="N7834">
        <v>-8.5943400000000007E-3</v>
      </c>
      <c r="O7834">
        <v>-2.6552070000000001E-2</v>
      </c>
      <c r="P7834">
        <v>0.9955001</v>
      </c>
      <c r="Q7834">
        <v>-9.4748819999999997E-2</v>
      </c>
      <c r="R7834">
        <v>1.4840579999999999E-3</v>
      </c>
      <c r="S7834">
        <v>2.995911</v>
      </c>
      <c r="T7834">
        <v>-0.1836554</v>
      </c>
      <c r="U7834">
        <v>0.14407349999999999</v>
      </c>
      <c r="V7834">
        <v>-2.7872830000000001E-2</v>
      </c>
      <c r="W7834">
        <v>-8.6207290000000006E-2</v>
      </c>
      <c r="X7834">
        <v>0.99588719999999997</v>
      </c>
      <c r="Y7834">
        <v>-7.4344370000000007E-2</v>
      </c>
      <c r="Z7834">
        <v>3.9927629999999999E-3</v>
      </c>
      <c r="AA7834">
        <v>0.99722460000000002</v>
      </c>
      <c r="AB7834">
        <v>28</v>
      </c>
      <c r="AC7834">
        <v>18.129899999999999</v>
      </c>
      <c r="AD7834">
        <v>-1.120470066507</v>
      </c>
      <c r="AE7834">
        <v>0.88285999999999298</v>
      </c>
      <c r="AF7834">
        <v>-1.3587752528519601</v>
      </c>
      <c r="AG7834">
        <v>-1.120470066507</v>
      </c>
      <c r="AH7834">
        <v>18.031356531740901</v>
      </c>
      <c r="AI7834">
        <v>93.5457652508763</v>
      </c>
      <c r="AJ7834">
        <v>94.309449738433898</v>
      </c>
      <c r="AK7834">
        <v>18.117161525262599</v>
      </c>
      <c r="AL7834">
        <v>94.945452576509894</v>
      </c>
      <c r="AM7834">
        <v>91.603172256124495</v>
      </c>
      <c r="AN7834">
        <v>0.99999995331259495</v>
      </c>
    </row>
    <row r="7835" spans="1:40" x14ac:dyDescent="0.25">
      <c r="A7835" t="str">
        <f>"20190303154333725"</f>
        <v>20190303154333725</v>
      </c>
      <c r="B7835" t="str">
        <f>"1551599013718289"</f>
        <v>1551599013718289</v>
      </c>
      <c r="C7835" t="s">
        <v>40</v>
      </c>
      <c r="D7835">
        <v>5.5272059999999996</v>
      </c>
      <c r="E7835">
        <v>0.4828807</v>
      </c>
      <c r="F7835" t="s">
        <v>67</v>
      </c>
      <c r="G7835">
        <v>-236.34</v>
      </c>
      <c r="H7835" s="1">
        <v>-1.9929250000000001E-6</v>
      </c>
      <c r="I7835">
        <v>-61.458379999999998</v>
      </c>
      <c r="J7835">
        <v>-254.49510000000001</v>
      </c>
      <c r="K7835">
        <v>1.1204609999999999</v>
      </c>
      <c r="L7835">
        <v>-62.343260000000001</v>
      </c>
      <c r="M7835">
        <v>0.99961540000000004</v>
      </c>
      <c r="N7835">
        <v>-8.5361829999999993E-3</v>
      </c>
      <c r="O7835">
        <v>-2.6386860000000002E-2</v>
      </c>
      <c r="P7835">
        <v>0.99547980000000003</v>
      </c>
      <c r="Q7835">
        <v>-9.4969120000000004E-2</v>
      </c>
      <c r="R7835">
        <v>1.1450989999999999E-3</v>
      </c>
      <c r="S7835">
        <v>2.995911</v>
      </c>
      <c r="T7835">
        <v>-0.1834084</v>
      </c>
      <c r="U7835">
        <v>0.1442261</v>
      </c>
      <c r="V7835">
        <v>-2.7368799999999999E-2</v>
      </c>
      <c r="W7835">
        <v>-8.6485329999999999E-2</v>
      </c>
      <c r="X7835">
        <v>0.99587709999999996</v>
      </c>
      <c r="Y7835">
        <v>-7.4231240000000004E-2</v>
      </c>
      <c r="Z7835">
        <v>3.9742650000000003E-3</v>
      </c>
      <c r="AA7835">
        <v>0.99723320000000004</v>
      </c>
      <c r="AB7835">
        <v>28</v>
      </c>
      <c r="AC7835">
        <v>18.155100000000001</v>
      </c>
      <c r="AD7835">
        <v>-1.1204629929250001</v>
      </c>
      <c r="AE7835">
        <v>0.884879999999995</v>
      </c>
      <c r="AF7835">
        <v>-1.35848334244924</v>
      </c>
      <c r="AG7835">
        <v>-1.1204629929250001</v>
      </c>
      <c r="AH7835">
        <v>18.056814676930401</v>
      </c>
      <c r="AI7835">
        <v>93.540788906699206</v>
      </c>
      <c r="AJ7835">
        <v>94.302475681828795</v>
      </c>
      <c r="AK7835">
        <v>18.142476969455899</v>
      </c>
      <c r="AL7835">
        <v>94.961442679195002</v>
      </c>
      <c r="AM7835">
        <v>91.574212447813494</v>
      </c>
      <c r="AN7835">
        <v>0.99999998091152897</v>
      </c>
    </row>
    <row r="7836" spans="1:40" x14ac:dyDescent="0.25">
      <c r="A7836" t="str">
        <f>"20190303154333737"</f>
        <v>20190303154333737</v>
      </c>
      <c r="B7836" t="str">
        <f>"1551599013728049"</f>
        <v>1551599013728049</v>
      </c>
      <c r="C7836" t="s">
        <v>40</v>
      </c>
      <c r="D7836">
        <v>5.5121719999999996</v>
      </c>
      <c r="E7836">
        <v>0.4828807</v>
      </c>
      <c r="F7836" t="s">
        <v>67</v>
      </c>
      <c r="G7836">
        <v>-236.25229999999999</v>
      </c>
      <c r="H7836" s="1">
        <v>-1.9597130000000002E-6</v>
      </c>
      <c r="I7836">
        <v>-61.474820000000001</v>
      </c>
      <c r="J7836">
        <v>-254.3434</v>
      </c>
      <c r="K7836">
        <v>1.120452</v>
      </c>
      <c r="L7836">
        <v>-62.347110000000001</v>
      </c>
      <c r="M7836">
        <v>0.99962039999999996</v>
      </c>
      <c r="N7836">
        <v>-8.4767260000000004E-3</v>
      </c>
      <c r="O7836">
        <v>-2.6216630000000001E-2</v>
      </c>
      <c r="P7836">
        <v>0.99549410000000005</v>
      </c>
      <c r="Q7836">
        <v>-9.4817460000000006E-2</v>
      </c>
      <c r="R7836">
        <v>1.1029270000000001E-3</v>
      </c>
      <c r="S7836">
        <v>2.995911</v>
      </c>
      <c r="T7836">
        <v>-0.18400730000000001</v>
      </c>
      <c r="U7836">
        <v>0.1426086</v>
      </c>
      <c r="V7836">
        <v>-2.71577E-2</v>
      </c>
      <c r="W7836">
        <v>-8.6392659999999996E-2</v>
      </c>
      <c r="X7836">
        <v>0.99589090000000002</v>
      </c>
      <c r="Y7836">
        <v>-7.3524779999999998E-2</v>
      </c>
      <c r="Z7836">
        <v>3.9526550000000002E-3</v>
      </c>
      <c r="AA7836">
        <v>0.99728550000000005</v>
      </c>
      <c r="AB7836">
        <v>28</v>
      </c>
      <c r="AC7836">
        <v>18.091100000000001</v>
      </c>
      <c r="AD7836">
        <v>-1.1204539597130001</v>
      </c>
      <c r="AE7836">
        <v>0.87229000000000601</v>
      </c>
      <c r="AF7836">
        <v>-1.3411623256123999</v>
      </c>
      <c r="AG7836">
        <v>-1.1204539597130001</v>
      </c>
      <c r="AH7836">
        <v>17.993153655601098</v>
      </c>
      <c r="AI7836">
        <v>93.553439668451901</v>
      </c>
      <c r="AJ7836">
        <v>94.262793859209296</v>
      </c>
      <c r="AK7836">
        <v>18.077823760993802</v>
      </c>
      <c r="AL7836">
        <v>94.956113242650503</v>
      </c>
      <c r="AM7836">
        <v>91.562054695869605</v>
      </c>
      <c r="AN7836">
        <v>0.99999995853698698</v>
      </c>
    </row>
    <row r="7837" spans="1:40" x14ac:dyDescent="0.25">
      <c r="A7837" t="str">
        <f>"20190303154333749"</f>
        <v>20190303154333749</v>
      </c>
      <c r="B7837" t="str">
        <f>"1551599013737810"</f>
        <v>1551599013737810</v>
      </c>
      <c r="C7837" t="s">
        <v>40</v>
      </c>
      <c r="D7837">
        <v>5.497986</v>
      </c>
      <c r="E7837">
        <v>0.48287839999999999</v>
      </c>
      <c r="F7837" t="s">
        <v>67</v>
      </c>
      <c r="G7837">
        <v>-236.0557</v>
      </c>
      <c r="H7837" s="1">
        <v>-1.876004E-6</v>
      </c>
      <c r="I7837">
        <v>-61.47728</v>
      </c>
      <c r="J7837">
        <v>-254.1825</v>
      </c>
      <c r="K7837">
        <v>1.1204400000000001</v>
      </c>
      <c r="L7837">
        <v>-62.351170000000003</v>
      </c>
      <c r="M7837">
        <v>0.9996256</v>
      </c>
      <c r="N7837">
        <v>-8.4145480000000009E-3</v>
      </c>
      <c r="O7837">
        <v>-2.6036259999999999E-2</v>
      </c>
      <c r="P7837">
        <v>0.99550349999999999</v>
      </c>
      <c r="Q7837">
        <v>-9.471868E-2</v>
      </c>
      <c r="R7837">
        <v>1.1378919999999999E-3</v>
      </c>
      <c r="S7837">
        <v>2.9959410000000002</v>
      </c>
      <c r="T7837">
        <v>-0.18355550000000001</v>
      </c>
      <c r="U7837">
        <v>0.14248659999999999</v>
      </c>
      <c r="V7837">
        <v>-2.701342E-2</v>
      </c>
      <c r="W7837">
        <v>-8.6355669999999995E-2</v>
      </c>
      <c r="X7837">
        <v>0.99589810000000001</v>
      </c>
      <c r="Y7837">
        <v>-7.3305499999999996E-2</v>
      </c>
      <c r="Z7837">
        <v>3.9253389999999999E-3</v>
      </c>
      <c r="AA7837">
        <v>0.99730180000000002</v>
      </c>
      <c r="AB7837">
        <v>28</v>
      </c>
      <c r="AC7837">
        <v>18.126799999999999</v>
      </c>
      <c r="AD7837">
        <v>-1.12044187600399</v>
      </c>
      <c r="AE7837">
        <v>0.87388999999998795</v>
      </c>
      <c r="AF7837">
        <v>-1.34045498550035</v>
      </c>
      <c r="AG7837">
        <v>-1.12044187600399</v>
      </c>
      <c r="AH7837">
        <v>18.029177618959402</v>
      </c>
      <c r="AI7837">
        <v>93.546368833213606</v>
      </c>
      <c r="AJ7837">
        <v>94.252072180282795</v>
      </c>
      <c r="AK7837">
        <v>18.113626229489299</v>
      </c>
      <c r="AL7837">
        <v>94.953985585880105</v>
      </c>
      <c r="AM7837">
        <v>91.553748860058704</v>
      </c>
      <c r="AN7837">
        <v>1.00000002609242</v>
      </c>
    </row>
    <row r="7838" spans="1:40" x14ac:dyDescent="0.25">
      <c r="A7838" t="str">
        <f>"20190303154333761"</f>
        <v>20190303154333761</v>
      </c>
      <c r="B7838" t="str">
        <f>"1551599013758305"</f>
        <v>1551599013758305</v>
      </c>
      <c r="C7838" t="s">
        <v>40</v>
      </c>
      <c r="D7838">
        <v>5.433173</v>
      </c>
      <c r="E7838">
        <v>0.48292370000000001</v>
      </c>
      <c r="F7838" t="s">
        <v>67</v>
      </c>
      <c r="G7838">
        <v>-235.86940000000001</v>
      </c>
      <c r="H7838" s="1">
        <v>-1.7966469999999999E-6</v>
      </c>
      <c r="I7838">
        <v>-61.479390000000002</v>
      </c>
      <c r="J7838">
        <v>-254.03960000000001</v>
      </c>
      <c r="K7838">
        <v>1.120433</v>
      </c>
      <c r="L7838">
        <v>-62.354709999999997</v>
      </c>
      <c r="M7838">
        <v>0.99963020000000002</v>
      </c>
      <c r="N7838">
        <v>-8.3603429999999992E-3</v>
      </c>
      <c r="O7838">
        <v>-2.587619E-2</v>
      </c>
      <c r="P7838">
        <v>0.99549019999999999</v>
      </c>
      <c r="Q7838">
        <v>-9.4861000000000001E-2</v>
      </c>
      <c r="R7838">
        <v>9.6142269999999999E-4</v>
      </c>
      <c r="S7838">
        <v>2.9959259999999999</v>
      </c>
      <c r="T7838">
        <v>-0.18329809999999999</v>
      </c>
      <c r="U7838">
        <v>0.1426086</v>
      </c>
      <c r="V7838">
        <v>-2.6677220000000001E-2</v>
      </c>
      <c r="W7838">
        <v>-8.6551870000000003E-2</v>
      </c>
      <c r="X7838">
        <v>0.9958901</v>
      </c>
      <c r="Y7838">
        <v>-7.3187630000000004E-2</v>
      </c>
      <c r="Z7838">
        <v>3.906868E-3</v>
      </c>
      <c r="AA7838">
        <v>0.99731049999999999</v>
      </c>
      <c r="AB7838">
        <v>28</v>
      </c>
      <c r="AC7838">
        <v>18.170199999999902</v>
      </c>
      <c r="AD7838">
        <v>-1.1204347966470001</v>
      </c>
      <c r="AE7838">
        <v>0.87531999999999399</v>
      </c>
      <c r="AF7838">
        <v>-1.34013497724525</v>
      </c>
      <c r="AG7838">
        <v>-1.1204347966470001</v>
      </c>
      <c r="AH7838">
        <v>18.072903978315001</v>
      </c>
      <c r="AI7838">
        <v>93.537839606512094</v>
      </c>
      <c r="AJ7838">
        <v>94.240813169654203</v>
      </c>
      <c r="AK7838">
        <v>18.157125160668102</v>
      </c>
      <c r="AL7838">
        <v>94.965269416102103</v>
      </c>
      <c r="AM7838">
        <v>91.534433043820897</v>
      </c>
      <c r="AN7838">
        <v>0.99999999577271703</v>
      </c>
    </row>
    <row r="7839" spans="1:40" x14ac:dyDescent="0.25">
      <c r="A7839" t="str">
        <f>"20190303154333771"</f>
        <v>20190303154333771</v>
      </c>
      <c r="B7839" t="str">
        <f>"1551599013768065"</f>
        <v>1551599013768065</v>
      </c>
      <c r="C7839" t="s">
        <v>40</v>
      </c>
      <c r="D7839">
        <v>5.4761059999999997</v>
      </c>
      <c r="E7839">
        <v>0.48292370000000001</v>
      </c>
      <c r="F7839" t="s">
        <v>67</v>
      </c>
      <c r="G7839">
        <v>-235.76079999999999</v>
      </c>
      <c r="H7839" s="1">
        <v>-1.7528950000000001E-6</v>
      </c>
      <c r="I7839">
        <v>-61.4899699999999</v>
      </c>
      <c r="J7839">
        <v>-253.90530000000001</v>
      </c>
      <c r="K7839">
        <v>1.1204270000000001</v>
      </c>
      <c r="L7839">
        <v>-62.358029999999999</v>
      </c>
      <c r="M7839">
        <v>0.99963460000000004</v>
      </c>
      <c r="N7839">
        <v>-8.3104370000000004E-3</v>
      </c>
      <c r="O7839">
        <v>-2.572615E-2</v>
      </c>
      <c r="P7839">
        <v>0.99550150000000004</v>
      </c>
      <c r="Q7839">
        <v>-9.4744579999999995E-2</v>
      </c>
      <c r="R7839">
        <v>8.8788940000000002E-4</v>
      </c>
      <c r="S7839">
        <v>2.995987</v>
      </c>
      <c r="T7839">
        <v>-0.183645</v>
      </c>
      <c r="U7839">
        <v>0.14172360000000001</v>
      </c>
      <c r="V7839">
        <v>-2.6454660000000001E-2</v>
      </c>
      <c r="W7839">
        <v>-8.6484889999999995E-2</v>
      </c>
      <c r="X7839">
        <v>0.99590190000000001</v>
      </c>
      <c r="Y7839">
        <v>-7.2743509999999997E-2</v>
      </c>
      <c r="Z7839">
        <v>3.8901040000000001E-3</v>
      </c>
      <c r="AA7839">
        <v>0.99734310000000004</v>
      </c>
      <c r="AB7839">
        <v>28</v>
      </c>
      <c r="AC7839">
        <v>18.144500000000001</v>
      </c>
      <c r="AD7839">
        <v>-1.1204287528949901</v>
      </c>
      <c r="AE7839">
        <v>0.86806000000001404</v>
      </c>
      <c r="AF7839">
        <v>-1.3295188560751501</v>
      </c>
      <c r="AG7839">
        <v>-1.1204287528949901</v>
      </c>
      <c r="AH7839">
        <v>18.047501826388</v>
      </c>
      <c r="AI7839">
        <v>93.542913128136504</v>
      </c>
      <c r="AJ7839">
        <v>94.213240506547805</v>
      </c>
      <c r="AK7839">
        <v>18.1310590742088</v>
      </c>
      <c r="AL7839">
        <v>94.961417081191399</v>
      </c>
      <c r="AM7839">
        <v>91.521619754693106</v>
      </c>
      <c r="AN7839">
        <v>1.00000003982881</v>
      </c>
    </row>
    <row r="7840" spans="1:40" x14ac:dyDescent="0.25">
      <c r="A7840" t="str">
        <f>"20190303154333782"</f>
        <v>20190303154333782</v>
      </c>
      <c r="B7840" t="str">
        <f>"1551599013777825"</f>
        <v>1551599013777825</v>
      </c>
      <c r="C7840" t="s">
        <v>40</v>
      </c>
      <c r="D7840">
        <v>5.4146970000000003</v>
      </c>
      <c r="E7840">
        <v>0.48373060000000001</v>
      </c>
      <c r="F7840" t="s">
        <v>67</v>
      </c>
      <c r="G7840">
        <v>-235.59219999999999</v>
      </c>
      <c r="H7840" s="1">
        <v>-1.681335E-6</v>
      </c>
      <c r="I7840">
        <v>-61.492980000000003</v>
      </c>
      <c r="J7840">
        <v>-253.7748</v>
      </c>
      <c r="K7840">
        <v>1.1204209999999999</v>
      </c>
      <c r="L7840">
        <v>-62.361269999999998</v>
      </c>
      <c r="M7840">
        <v>0.99963869999999999</v>
      </c>
      <c r="N7840">
        <v>-8.2641669999999993E-3</v>
      </c>
      <c r="O7840">
        <v>-2.5580180000000001E-2</v>
      </c>
      <c r="P7840">
        <v>0.99548139999999996</v>
      </c>
      <c r="Q7840">
        <v>-9.4951869999999994E-2</v>
      </c>
      <c r="R7840">
        <v>9.2097580000000004E-4</v>
      </c>
      <c r="S7840">
        <v>2.9959720000000001</v>
      </c>
      <c r="T7840">
        <v>-0.18329860000000001</v>
      </c>
      <c r="U7840">
        <v>0.14151</v>
      </c>
      <c r="V7840">
        <v>-2.6341050000000001E-2</v>
      </c>
      <c r="W7840">
        <v>-8.6738419999999997E-2</v>
      </c>
      <c r="X7840">
        <v>0.99588279999999996</v>
      </c>
      <c r="Y7840">
        <v>-7.2528549999999997E-2</v>
      </c>
      <c r="Z7840">
        <v>3.8673050000000001E-3</v>
      </c>
      <c r="AA7840">
        <v>0.99735890000000005</v>
      </c>
      <c r="AB7840">
        <v>28</v>
      </c>
      <c r="AC7840">
        <v>18.182600000000001</v>
      </c>
      <c r="AD7840">
        <v>-1.12042268133499</v>
      </c>
      <c r="AE7840">
        <v>0.86828999999999401</v>
      </c>
      <c r="AF7840">
        <v>-1.3281044088865901</v>
      </c>
      <c r="AG7840">
        <v>-1.12042268133499</v>
      </c>
      <c r="AH7840">
        <v>18.085920235225501</v>
      </c>
      <c r="AI7840">
        <v>93.535447758235406</v>
      </c>
      <c r="AJ7840">
        <v>94.199865921027495</v>
      </c>
      <c r="AK7840">
        <v>18.169196984475999</v>
      </c>
      <c r="AL7840">
        <v>94.9759983818564</v>
      </c>
      <c r="AM7840">
        <v>91.515117228671201</v>
      </c>
      <c r="AN7840">
        <v>0.99999997787751904</v>
      </c>
    </row>
    <row r="7841" spans="1:40" x14ac:dyDescent="0.25">
      <c r="A7841" t="str">
        <f>"20190303154333792"</f>
        <v>20190303154333792</v>
      </c>
      <c r="B7841" t="str">
        <f>"1551599013787584"</f>
        <v>1551599013787584</v>
      </c>
      <c r="C7841" t="s">
        <v>40</v>
      </c>
      <c r="D7841">
        <v>5.4038579999999996</v>
      </c>
      <c r="E7841">
        <v>0.48373060000000001</v>
      </c>
      <c r="F7841" t="s">
        <v>67</v>
      </c>
      <c r="G7841">
        <v>-235.19919999999999</v>
      </c>
      <c r="H7841" s="1">
        <v>-1.5206460000000001E-6</v>
      </c>
      <c r="I7841">
        <v>-61.522669999999998</v>
      </c>
      <c r="J7841">
        <v>-253.6465</v>
      </c>
      <c r="K7841">
        <v>1.120414</v>
      </c>
      <c r="L7841">
        <v>-62.364409999999999</v>
      </c>
      <c r="M7841">
        <v>0.99964260000000005</v>
      </c>
      <c r="N7841">
        <v>-8.219868E-3</v>
      </c>
      <c r="O7841">
        <v>-2.5436730000000001E-2</v>
      </c>
      <c r="P7841">
        <v>0.9954672</v>
      </c>
      <c r="Q7841">
        <v>-9.5100069999999995E-2</v>
      </c>
      <c r="R7841">
        <v>1.028597E-3</v>
      </c>
      <c r="S7841">
        <v>2.9962309999999999</v>
      </c>
      <c r="T7841">
        <v>-0.1807231</v>
      </c>
      <c r="U7841">
        <v>0.13525390000000001</v>
      </c>
      <c r="V7841">
        <v>-2.6305470000000001E-2</v>
      </c>
      <c r="W7841">
        <v>-8.6930859999999999E-2</v>
      </c>
      <c r="X7841">
        <v>0.99586699999999995</v>
      </c>
      <c r="Y7841">
        <v>-7.0313130000000001E-2</v>
      </c>
      <c r="Z7841">
        <v>3.7303430000000001E-3</v>
      </c>
      <c r="AA7841">
        <v>0.99751800000000002</v>
      </c>
      <c r="AB7841">
        <v>28</v>
      </c>
      <c r="AC7841">
        <v>18.447299999999998</v>
      </c>
      <c r="AD7841">
        <v>-1.120415520646</v>
      </c>
      <c r="AE7841">
        <v>0.84174000000000104</v>
      </c>
      <c r="AF7841">
        <v>-1.30591515020213</v>
      </c>
      <c r="AG7841">
        <v>-1.120415520646</v>
      </c>
      <c r="AH7841">
        <v>18.3523601451421</v>
      </c>
      <c r="AI7841">
        <v>93.4847939860515</v>
      </c>
      <c r="AJ7841">
        <v>94.070186074844102</v>
      </c>
      <c r="AK7841">
        <v>18.432847534101501</v>
      </c>
      <c r="AL7841">
        <v>94.987065992669898</v>
      </c>
      <c r="AM7841">
        <v>91.513095640624499</v>
      </c>
      <c r="AN7841">
        <v>1.00000001693063</v>
      </c>
    </row>
    <row r="7842" spans="1:40" x14ac:dyDescent="0.25">
      <c r="A7842" t="str">
        <f>"20190303154333802"</f>
        <v>20190303154333802</v>
      </c>
      <c r="B7842" t="str">
        <f>"1551599013798321"</f>
        <v>1551599013798321</v>
      </c>
      <c r="C7842" t="s">
        <v>40</v>
      </c>
      <c r="D7842">
        <v>5.3985949999999896</v>
      </c>
      <c r="E7842">
        <v>0.50998279999999996</v>
      </c>
      <c r="F7842" t="s">
        <v>67</v>
      </c>
      <c r="G7842">
        <v>-235.11449999999999</v>
      </c>
      <c r="H7842" s="1">
        <v>-1.48517E-6</v>
      </c>
      <c r="I7842">
        <v>-61.525889999999997</v>
      </c>
      <c r="J7842">
        <v>-253.5318</v>
      </c>
      <c r="K7842">
        <v>1.1204069999999999</v>
      </c>
      <c r="L7842">
        <v>-62.367190000000001</v>
      </c>
      <c r="M7842">
        <v>0.99964620000000004</v>
      </c>
      <c r="N7842">
        <v>-8.1827989999999993E-3</v>
      </c>
      <c r="O7842">
        <v>-2.530891E-2</v>
      </c>
      <c r="P7842">
        <v>0.99547390000000002</v>
      </c>
      <c r="Q7842">
        <v>-9.502845E-2</v>
      </c>
      <c r="R7842">
        <v>1.2255460000000001E-3</v>
      </c>
      <c r="S7842">
        <v>2.9962010000000001</v>
      </c>
      <c r="T7842">
        <v>-0.18114569999999999</v>
      </c>
      <c r="U7842">
        <v>0.13555909999999999</v>
      </c>
      <c r="V7842">
        <v>-2.637488E-2</v>
      </c>
      <c r="W7842">
        <v>-8.6896139999999997E-2</v>
      </c>
      <c r="X7842">
        <v>0.99586819999999998</v>
      </c>
      <c r="Y7842">
        <v>-7.0286849999999998E-2</v>
      </c>
      <c r="Z7842">
        <v>3.730957E-3</v>
      </c>
      <c r="AA7842">
        <v>0.99751990000000001</v>
      </c>
      <c r="AB7842">
        <v>28</v>
      </c>
      <c r="AC7842">
        <v>18.417300000000001</v>
      </c>
      <c r="AD7842">
        <v>-1.12040848517</v>
      </c>
      <c r="AE7842">
        <v>0.84129999999999605</v>
      </c>
      <c r="AF7842">
        <v>-1.3023580952362901</v>
      </c>
      <c r="AG7842">
        <v>-1.12040848517</v>
      </c>
      <c r="AH7842">
        <v>18.322439739585199</v>
      </c>
      <c r="AI7842">
        <v>93.490467908548098</v>
      </c>
      <c r="AJ7842">
        <v>94.065743128893303</v>
      </c>
      <c r="AK7842">
        <v>18.402805487006599</v>
      </c>
      <c r="AL7842">
        <v>94.985069098456293</v>
      </c>
      <c r="AM7842">
        <v>91.517084426483194</v>
      </c>
      <c r="AN7842">
        <v>1.0000000226065699</v>
      </c>
    </row>
    <row r="7843" spans="1:40" x14ac:dyDescent="0.25">
      <c r="A7843" t="str">
        <f>"20190303154333812"</f>
        <v>20190303154333812</v>
      </c>
      <c r="B7843" t="str">
        <f>"1551599013808082"</f>
        <v>1551599013808082</v>
      </c>
      <c r="C7843" t="s">
        <v>40</v>
      </c>
      <c r="D7843">
        <v>5.4099459999999997</v>
      </c>
      <c r="E7843">
        <v>0.51067470000000004</v>
      </c>
      <c r="F7843" t="s">
        <v>66</v>
      </c>
      <c r="G7843">
        <v>-222.15280000000001</v>
      </c>
      <c r="H7843" s="1">
        <v>-6.4828729999999999E-7</v>
      </c>
      <c r="I7843">
        <v>-63.111980000000003</v>
      </c>
      <c r="J7843">
        <v>-253.38939999999999</v>
      </c>
      <c r="K7843">
        <v>1.120403</v>
      </c>
      <c r="L7843">
        <v>-62.370669999999997</v>
      </c>
      <c r="M7843">
        <v>0.99965059999999994</v>
      </c>
      <c r="N7843">
        <v>-8.1382850000000003E-3</v>
      </c>
      <c r="O7843">
        <v>-2.515032E-2</v>
      </c>
      <c r="P7843">
        <v>0.99545249999999996</v>
      </c>
      <c r="Q7843">
        <v>-9.5253909999999997E-2</v>
      </c>
      <c r="R7843">
        <v>1.2173240000000001E-3</v>
      </c>
      <c r="S7843">
        <v>3.0034939999999999</v>
      </c>
      <c r="T7843">
        <v>-0.107242</v>
      </c>
      <c r="U7843">
        <v>-7.1289060000000001E-2</v>
      </c>
      <c r="V7843">
        <v>-2.6208530000000001E-2</v>
      </c>
      <c r="W7843">
        <v>-8.7166030000000005E-2</v>
      </c>
      <c r="X7843">
        <v>0.99584899999999998</v>
      </c>
      <c r="Y7843">
        <v>-1.412232E-3</v>
      </c>
      <c r="Z7843">
        <v>7.237748E-4</v>
      </c>
      <c r="AA7843">
        <v>0.99999870000000002</v>
      </c>
      <c r="AB7843">
        <v>28</v>
      </c>
      <c r="AC7843">
        <v>31.2365999999999</v>
      </c>
      <c r="AD7843">
        <v>-1.1204036482873001</v>
      </c>
      <c r="AE7843">
        <v>-0.74131000000000502</v>
      </c>
      <c r="AF7843">
        <v>-4.4503749675805698E-2</v>
      </c>
      <c r="AG7843">
        <v>-1.1204036482873001</v>
      </c>
      <c r="AH7843">
        <v>31.2052393803435</v>
      </c>
      <c r="AI7843">
        <v>92.056281989375705</v>
      </c>
      <c r="AJ7843">
        <v>90.081713050462</v>
      </c>
      <c r="AK7843">
        <v>31.225378295600699</v>
      </c>
      <c r="AL7843">
        <v>95.000591581073095</v>
      </c>
      <c r="AM7843">
        <v>91.507549447149799</v>
      </c>
      <c r="AN7843">
        <v>1.0000000173158601</v>
      </c>
    </row>
    <row r="7844" spans="1:40" x14ac:dyDescent="0.25">
      <c r="A7844" t="str">
        <f>"20190303154333825"</f>
        <v>20190303154333825</v>
      </c>
      <c r="B7844" t="str">
        <f>"1551599013817841"</f>
        <v>1551599013817841</v>
      </c>
      <c r="C7844" t="s">
        <v>40</v>
      </c>
      <c r="D7844">
        <v>5.3892100000000003</v>
      </c>
      <c r="E7844">
        <v>0.5107102</v>
      </c>
      <c r="F7844" t="s">
        <v>66</v>
      </c>
      <c r="G7844">
        <v>-222.3202</v>
      </c>
      <c r="H7844" s="1">
        <v>-7.3200540000000004E-7</v>
      </c>
      <c r="I7844">
        <v>-63.165570000000002</v>
      </c>
      <c r="J7844">
        <v>-253.23869999999999</v>
      </c>
      <c r="K7844">
        <v>1.120395</v>
      </c>
      <c r="L7844">
        <v>-62.374270000000003</v>
      </c>
      <c r="M7844">
        <v>0.99965510000000002</v>
      </c>
      <c r="N7844">
        <v>-8.0954909999999998E-3</v>
      </c>
      <c r="O7844">
        <v>-2.4983620000000002E-2</v>
      </c>
      <c r="P7844">
        <v>0.99546120000000005</v>
      </c>
      <c r="Q7844">
        <v>-9.5159469999999996E-2</v>
      </c>
      <c r="R7844">
        <v>1.3999170000000001E-3</v>
      </c>
      <c r="S7844">
        <v>3.0034329999999998</v>
      </c>
      <c r="T7844">
        <v>-0.1083086</v>
      </c>
      <c r="U7844">
        <v>-7.6843259999999997E-2</v>
      </c>
      <c r="V7844">
        <v>-2.6224790000000001E-2</v>
      </c>
      <c r="W7844">
        <v>-8.7114150000000001E-2</v>
      </c>
      <c r="X7844">
        <v>0.99585310000000005</v>
      </c>
      <c r="Y7844">
        <v>6.0179489999999999E-4</v>
      </c>
      <c r="Z7844">
        <v>6.8487820000000005E-4</v>
      </c>
      <c r="AA7844">
        <v>0.99999959999999999</v>
      </c>
      <c r="AB7844">
        <v>28</v>
      </c>
      <c r="AC7844">
        <v>30.918499999999899</v>
      </c>
      <c r="AD7844">
        <v>-1.1203957320053901</v>
      </c>
      <c r="AE7844">
        <v>-0.791299999999999</v>
      </c>
      <c r="AF7844">
        <v>1.8547294915018799E-2</v>
      </c>
      <c r="AG7844">
        <v>-1.1203957320053901</v>
      </c>
      <c r="AH7844">
        <v>30.888085306804001</v>
      </c>
      <c r="AI7844">
        <v>92.077364240950402</v>
      </c>
      <c r="AJ7844">
        <v>89.965595744063094</v>
      </c>
      <c r="AK7844">
        <v>30.9084041082493</v>
      </c>
      <c r="AL7844">
        <v>94.997607783596393</v>
      </c>
      <c r="AM7844">
        <v>91.508478104254394</v>
      </c>
      <c r="AN7844">
        <v>1.0000000057601801</v>
      </c>
    </row>
    <row r="7845" spans="1:40" x14ac:dyDescent="0.25">
      <c r="A7845" t="str">
        <f>"20190303154333835"</f>
        <v>20190303154333835</v>
      </c>
      <c r="B7845" t="str">
        <f>"1551599013828578"</f>
        <v>1551599013828578</v>
      </c>
      <c r="C7845" t="s">
        <v>40</v>
      </c>
      <c r="D7845">
        <v>5.413341</v>
      </c>
      <c r="E7845">
        <v>0.51137630000000001</v>
      </c>
      <c r="F7845" t="s">
        <v>66</v>
      </c>
      <c r="G7845">
        <v>-223.37219999999999</v>
      </c>
      <c r="H7845" s="1">
        <v>-1.1769610000000001E-6</v>
      </c>
      <c r="I7845">
        <v>-63.136989999999997</v>
      </c>
      <c r="J7845">
        <v>-253.11109999999999</v>
      </c>
      <c r="K7845">
        <v>1.1203909999999999</v>
      </c>
      <c r="L7845">
        <v>-62.377319999999997</v>
      </c>
      <c r="M7845">
        <v>0.99965890000000002</v>
      </c>
      <c r="N7845">
        <v>-8.0601500000000003E-3</v>
      </c>
      <c r="O7845">
        <v>-2.4842469999999998E-2</v>
      </c>
      <c r="P7845">
        <v>0.99544460000000001</v>
      </c>
      <c r="Q7845">
        <v>-9.5323489999999997E-2</v>
      </c>
      <c r="R7845">
        <v>1.922514E-3</v>
      </c>
      <c r="S7845">
        <v>3.0030359999999998</v>
      </c>
      <c r="T7845">
        <v>-0.1126544</v>
      </c>
      <c r="U7845">
        <v>-7.6690670000000002E-2</v>
      </c>
      <c r="V7845">
        <v>-2.6606589999999999E-2</v>
      </c>
      <c r="W7845">
        <v>-8.7313760000000004E-2</v>
      </c>
      <c r="X7845">
        <v>0.99582550000000003</v>
      </c>
      <c r="Y7845">
        <v>6.9649269999999997E-4</v>
      </c>
      <c r="Z7845">
        <v>7.1525669999999996E-4</v>
      </c>
      <c r="AA7845">
        <v>0.99999950000000004</v>
      </c>
      <c r="AB7845">
        <v>28</v>
      </c>
      <c r="AC7845">
        <v>29.738900000000001</v>
      </c>
      <c r="AD7845">
        <v>-1.1203921769609999</v>
      </c>
      <c r="AE7845">
        <v>-0.75967000000000695</v>
      </c>
      <c r="AF7845">
        <v>2.0594603153700201E-2</v>
      </c>
      <c r="AG7845">
        <v>-1.1203921769609999</v>
      </c>
      <c r="AH7845">
        <v>29.706457577443299</v>
      </c>
      <c r="AI7845">
        <v>92.159911391581502</v>
      </c>
      <c r="AJ7845">
        <v>89.9602785472036</v>
      </c>
      <c r="AK7845">
        <v>29.727585246170101</v>
      </c>
      <c r="AL7845">
        <v>95.009088293752498</v>
      </c>
      <c r="AM7845">
        <v>91.530471677617498</v>
      </c>
      <c r="AN7845">
        <v>1.0000000148835</v>
      </c>
    </row>
    <row r="7846" spans="1:40" x14ac:dyDescent="0.25">
      <c r="A7846" t="str">
        <f>"20190303154333846"</f>
        <v>20190303154333846</v>
      </c>
      <c r="B7846" t="str">
        <f>"1551599013838337"</f>
        <v>1551599013838337</v>
      </c>
      <c r="C7846" t="s">
        <v>40</v>
      </c>
      <c r="D7846">
        <v>5.4163100000000002</v>
      </c>
      <c r="E7846">
        <v>0.51162200000000002</v>
      </c>
      <c r="F7846" t="s">
        <v>66</v>
      </c>
      <c r="G7846">
        <v>-222.21440000000001</v>
      </c>
      <c r="H7846" s="1">
        <v>-6.949847E-7</v>
      </c>
      <c r="I7846">
        <v>-63.203279999999999</v>
      </c>
      <c r="J7846">
        <v>-252.98050000000001</v>
      </c>
      <c r="K7846">
        <v>1.1203890000000001</v>
      </c>
      <c r="L7846">
        <v>-62.380429999999997</v>
      </c>
      <c r="M7846">
        <v>0.99966279999999996</v>
      </c>
      <c r="N7846">
        <v>-8.0284229999999998E-3</v>
      </c>
      <c r="O7846">
        <v>-2.4699550000000001E-2</v>
      </c>
      <c r="P7846">
        <v>0.99544299999999997</v>
      </c>
      <c r="Q7846">
        <v>-9.5336260000000006E-2</v>
      </c>
      <c r="R7846">
        <v>2.0950019999999999E-3</v>
      </c>
      <c r="S7846">
        <v>3.0034640000000001</v>
      </c>
      <c r="T7846">
        <v>-0.1089128</v>
      </c>
      <c r="U7846">
        <v>-8.0291749999999995E-2</v>
      </c>
      <c r="V7846">
        <v>-2.6636400000000001E-2</v>
      </c>
      <c r="W7846">
        <v>-8.7358160000000004E-2</v>
      </c>
      <c r="X7846">
        <v>0.99582079999999995</v>
      </c>
      <c r="Y7846">
        <v>2.0320310000000001E-3</v>
      </c>
      <c r="Z7846">
        <v>6.5183549999999998E-4</v>
      </c>
      <c r="AA7846">
        <v>0.99999769999999999</v>
      </c>
      <c r="AB7846">
        <v>28</v>
      </c>
      <c r="AC7846">
        <v>30.766099999999899</v>
      </c>
      <c r="AD7846">
        <v>-1.1203896949847001</v>
      </c>
      <c r="AE7846">
        <v>-0.82285000000000197</v>
      </c>
      <c r="AF7846">
        <v>6.2582786941576901E-2</v>
      </c>
      <c r="AG7846">
        <v>-1.1203896949847001</v>
      </c>
      <c r="AH7846">
        <v>30.736306060842502</v>
      </c>
      <c r="AI7846">
        <v>92.087598252582595</v>
      </c>
      <c r="AJ7846">
        <v>89.883339116951205</v>
      </c>
      <c r="AK7846">
        <v>30.7567829907426</v>
      </c>
      <c r="AL7846">
        <v>95.011642029742802</v>
      </c>
      <c r="AM7846">
        <v>91.532192827864506</v>
      </c>
      <c r="AN7846">
        <v>1.00000000581809</v>
      </c>
    </row>
    <row r="7847" spans="1:40" x14ac:dyDescent="0.25">
      <c r="A7847" t="str">
        <f>"20190303154333856"</f>
        <v>20190303154333856</v>
      </c>
      <c r="B7847" t="str">
        <f>"1551599013848098"</f>
        <v>1551599013848098</v>
      </c>
      <c r="C7847" t="s">
        <v>40</v>
      </c>
      <c r="D7847">
        <v>5.38347</v>
      </c>
      <c r="E7847">
        <v>0.51153090000000001</v>
      </c>
      <c r="F7847" t="s">
        <v>66</v>
      </c>
      <c r="G7847">
        <v>-221.13740000000001</v>
      </c>
      <c r="H7847" s="1">
        <v>-2.4244619999999998E-7</v>
      </c>
      <c r="I7847">
        <v>-63.245829999999998</v>
      </c>
      <c r="J7847">
        <v>-252.8442</v>
      </c>
      <c r="K7847">
        <v>1.120384</v>
      </c>
      <c r="L7847">
        <v>-62.38364</v>
      </c>
      <c r="M7847">
        <v>0.99966659999999996</v>
      </c>
      <c r="N7847">
        <v>-7.9958489999999993E-3</v>
      </c>
      <c r="O7847">
        <v>-2.4550539999999999E-2</v>
      </c>
      <c r="P7847">
        <v>0.99543170000000003</v>
      </c>
      <c r="Q7847">
        <v>-9.544126E-2</v>
      </c>
      <c r="R7847">
        <v>2.609732E-3</v>
      </c>
      <c r="S7847">
        <v>3.0037989999999999</v>
      </c>
      <c r="T7847">
        <v>-0.10568760000000001</v>
      </c>
      <c r="U7847">
        <v>-8.1634520000000002E-2</v>
      </c>
      <c r="V7847">
        <v>-2.700265E-2</v>
      </c>
      <c r="W7847">
        <v>-8.749593E-2</v>
      </c>
      <c r="X7847">
        <v>0.99579879999999998</v>
      </c>
      <c r="Y7847">
        <v>2.6236760000000001E-3</v>
      </c>
      <c r="Z7847">
        <v>6.1035599999999897E-4</v>
      </c>
      <c r="AA7847">
        <v>0.99999640000000001</v>
      </c>
      <c r="AB7847">
        <v>28</v>
      </c>
      <c r="AC7847">
        <v>31.706799999999902</v>
      </c>
      <c r="AD7847">
        <v>-1.1203842424462001</v>
      </c>
      <c r="AE7847">
        <v>-0.86219000000000501</v>
      </c>
      <c r="AF7847">
        <v>8.33821187220493E-2</v>
      </c>
      <c r="AG7847">
        <v>-1.1203842424462001</v>
      </c>
      <c r="AH7847">
        <v>31.678884991387399</v>
      </c>
      <c r="AI7847">
        <v>92.025523367167906</v>
      </c>
      <c r="AJ7847">
        <v>89.849191899957503</v>
      </c>
      <c r="AK7847">
        <v>31.6988007300906</v>
      </c>
      <c r="AL7847">
        <v>95.019566213776002</v>
      </c>
      <c r="AM7847">
        <v>91.5532844988482</v>
      </c>
      <c r="AN7847">
        <v>0.99999996547751302</v>
      </c>
    </row>
    <row r="7848" spans="1:40" x14ac:dyDescent="0.25">
      <c r="A7848" t="str">
        <f>"20190303154333867"</f>
        <v>20190303154333867</v>
      </c>
      <c r="B7848" t="str">
        <f>"1551599013857857"</f>
        <v>1551599013857857</v>
      </c>
      <c r="C7848" t="s">
        <v>40</v>
      </c>
      <c r="D7848">
        <v>5.4062999999999999</v>
      </c>
      <c r="E7848">
        <v>0.5115094</v>
      </c>
      <c r="F7848" t="s">
        <v>66</v>
      </c>
      <c r="G7848">
        <v>-221.67660000000001</v>
      </c>
      <c r="H7848" s="1">
        <v>-4.6517059999999998E-7</v>
      </c>
      <c r="I7848">
        <v>-63.20729</v>
      </c>
      <c r="J7848">
        <v>-252.69890000000001</v>
      </c>
      <c r="K7848">
        <v>1.1203799999999999</v>
      </c>
      <c r="L7848">
        <v>-62.387050000000002</v>
      </c>
      <c r="M7848">
        <v>0.99967090000000003</v>
      </c>
      <c r="N7848">
        <v>-7.9654500000000007E-3</v>
      </c>
      <c r="O7848">
        <v>-2.43938E-2</v>
      </c>
      <c r="P7848">
        <v>0.99542430000000004</v>
      </c>
      <c r="Q7848">
        <v>-9.5509949999999996E-2</v>
      </c>
      <c r="R7848">
        <v>2.9386410000000001E-3</v>
      </c>
      <c r="S7848">
        <v>3.0036619999999998</v>
      </c>
      <c r="T7848">
        <v>-0.1079727</v>
      </c>
      <c r="U7848">
        <v>-7.9376219999999997E-2</v>
      </c>
      <c r="V7848">
        <v>-2.7175250000000001E-2</v>
      </c>
      <c r="W7848">
        <v>-8.7594989999999998E-2</v>
      </c>
      <c r="X7848">
        <v>0.99578540000000004</v>
      </c>
      <c r="Y7848">
        <v>2.0312730000000001E-3</v>
      </c>
      <c r="Z7848">
        <v>6.3746910000000003E-4</v>
      </c>
      <c r="AA7848">
        <v>0.99999769999999999</v>
      </c>
      <c r="AB7848">
        <v>28</v>
      </c>
      <c r="AC7848">
        <v>31.022300000000001</v>
      </c>
      <c r="AD7848">
        <v>-1.1203804651706</v>
      </c>
      <c r="AE7848">
        <v>-0.82023999999999797</v>
      </c>
      <c r="AF7848">
        <v>6.3137975440251598E-2</v>
      </c>
      <c r="AG7848">
        <v>-1.1203804651706</v>
      </c>
      <c r="AH7848">
        <v>30.992681387108</v>
      </c>
      <c r="AI7848">
        <v>92.070327424718101</v>
      </c>
      <c r="AJ7848">
        <v>89.883277781934297</v>
      </c>
      <c r="AK7848">
        <v>31.012989832543902</v>
      </c>
      <c r="AL7848">
        <v>95.025263788549395</v>
      </c>
      <c r="AM7848">
        <v>91.563229153936206</v>
      </c>
      <c r="AN7848">
        <v>0.99999996966941096</v>
      </c>
    </row>
    <row r="7849" spans="1:40" x14ac:dyDescent="0.25">
      <c r="A7849" t="str">
        <f>"20190303154333880"</f>
        <v>20190303154333880</v>
      </c>
      <c r="B7849" t="str">
        <f>"1551599013867617"</f>
        <v>1551599013867617</v>
      </c>
      <c r="C7849" t="s">
        <v>40</v>
      </c>
      <c r="D7849">
        <v>5.3612229999999998</v>
      </c>
      <c r="E7849">
        <v>0.51137069999999996</v>
      </c>
      <c r="F7849" t="s">
        <v>66</v>
      </c>
      <c r="G7849">
        <v>-221.19980000000001</v>
      </c>
      <c r="H7849" s="1">
        <v>-2.6040820000000002E-7</v>
      </c>
      <c r="I7849">
        <v>-63.206310000000002</v>
      </c>
      <c r="J7849">
        <v>-252.55430000000001</v>
      </c>
      <c r="K7849">
        <v>1.120371</v>
      </c>
      <c r="L7849">
        <v>-62.390439999999998</v>
      </c>
      <c r="M7849">
        <v>0.99967470000000003</v>
      </c>
      <c r="N7849">
        <v>-7.9368640000000001E-3</v>
      </c>
      <c r="O7849">
        <v>-2.423838E-2</v>
      </c>
      <c r="P7849">
        <v>0.99540830000000002</v>
      </c>
      <c r="Q7849">
        <v>-9.5663490000000004E-2</v>
      </c>
      <c r="R7849">
        <v>3.2905569999999999E-3</v>
      </c>
      <c r="S7849">
        <v>3.0037690000000001</v>
      </c>
      <c r="T7849">
        <v>-0.1068399</v>
      </c>
      <c r="U7849">
        <v>-7.8125E-2</v>
      </c>
      <c r="V7849">
        <v>-2.737233E-2</v>
      </c>
      <c r="W7849">
        <v>-8.7777179999999996E-2</v>
      </c>
      <c r="X7849">
        <v>0.99576399999999998</v>
      </c>
      <c r="Y7849">
        <v>1.7694830000000001E-3</v>
      </c>
      <c r="Z7849">
        <v>6.3076720000000003E-4</v>
      </c>
      <c r="AA7849">
        <v>0.99999819999999995</v>
      </c>
      <c r="AB7849">
        <v>28</v>
      </c>
      <c r="AC7849">
        <v>31.354500000000002</v>
      </c>
      <c r="AD7849">
        <v>-1.1203712604081999</v>
      </c>
      <c r="AE7849">
        <v>-0.81586999999998899</v>
      </c>
      <c r="AF7849">
        <v>5.5553181310102402E-2</v>
      </c>
      <c r="AG7849">
        <v>-1.1203712604081999</v>
      </c>
      <c r="AH7849">
        <v>31.3250947495488</v>
      </c>
      <c r="AI7849">
        <v>92.048360704120398</v>
      </c>
      <c r="AJ7849">
        <v>89.898389469652102</v>
      </c>
      <c r="AK7849">
        <v>31.345173136949001</v>
      </c>
      <c r="AL7849">
        <v>95.035742663392298</v>
      </c>
      <c r="AM7849">
        <v>91.5745941198075</v>
      </c>
      <c r="AN7849">
        <v>1.00000001073719</v>
      </c>
    </row>
    <row r="7850" spans="1:40" x14ac:dyDescent="0.25">
      <c r="A7850" t="str">
        <f>"20190303154333890"</f>
        <v>20190303154333890</v>
      </c>
      <c r="B7850" t="str">
        <f>"1551599013878353"</f>
        <v>1551599013878353</v>
      </c>
      <c r="C7850" t="s">
        <v>40</v>
      </c>
      <c r="D7850">
        <v>5.4086610000000004</v>
      </c>
      <c r="E7850">
        <v>0.51147410000000004</v>
      </c>
      <c r="F7850" t="s">
        <v>66</v>
      </c>
      <c r="G7850">
        <v>-221.78579999999999</v>
      </c>
      <c r="H7850" s="1">
        <v>-5.0354049999999998E-7</v>
      </c>
      <c r="I7850">
        <v>-63.169179999999997</v>
      </c>
      <c r="J7850">
        <v>-252.42179999999999</v>
      </c>
      <c r="K7850">
        <v>1.120366</v>
      </c>
      <c r="L7850">
        <v>-62.39349</v>
      </c>
      <c r="M7850">
        <v>0.99967830000000002</v>
      </c>
      <c r="N7850">
        <v>-7.9134210000000003E-3</v>
      </c>
      <c r="O7850">
        <v>-2.4097520000000001E-2</v>
      </c>
      <c r="P7850">
        <v>0.99540740000000005</v>
      </c>
      <c r="Q7850">
        <v>-9.5659339999999995E-2</v>
      </c>
      <c r="R7850">
        <v>3.6592230000000001E-3</v>
      </c>
      <c r="S7850">
        <v>3.003571</v>
      </c>
      <c r="T7850">
        <v>-0.10936890000000001</v>
      </c>
      <c r="U7850">
        <v>-7.6019290000000003E-2</v>
      </c>
      <c r="V7850">
        <v>-2.7600670000000001E-2</v>
      </c>
      <c r="W7850">
        <v>-8.7796449999999998E-2</v>
      </c>
      <c r="X7850">
        <v>0.99575599999999997</v>
      </c>
      <c r="Y7850">
        <v>1.212419E-3</v>
      </c>
      <c r="Z7850">
        <v>6.5939259999999995E-4</v>
      </c>
      <c r="AA7850">
        <v>0.99999899999999997</v>
      </c>
      <c r="AB7850">
        <v>28</v>
      </c>
      <c r="AC7850">
        <v>30.635999999999999</v>
      </c>
      <c r="AD7850">
        <v>-1.1203665035404999</v>
      </c>
      <c r="AE7850">
        <v>-0.77569000000000399</v>
      </c>
      <c r="AF7850">
        <v>3.7140362881639397E-2</v>
      </c>
      <c r="AG7850">
        <v>-1.1203665035404999</v>
      </c>
      <c r="AH7850">
        <v>30.604891656765702</v>
      </c>
      <c r="AI7850">
        <v>92.096513653254604</v>
      </c>
      <c r="AJ7850">
        <v>89.9304691216702</v>
      </c>
      <c r="AK7850">
        <v>30.625414182198099</v>
      </c>
      <c r="AL7850">
        <v>95.036851022859096</v>
      </c>
      <c r="AM7850">
        <v>91.587735439125098</v>
      </c>
      <c r="AN7850">
        <v>1.00000001257652</v>
      </c>
    </row>
    <row r="7851" spans="1:40" x14ac:dyDescent="0.25">
      <c r="A7851" t="str">
        <f>"20190303154333901"</f>
        <v>20190303154333901</v>
      </c>
      <c r="B7851" t="str">
        <f>"1551599013897873"</f>
        <v>1551599013897873</v>
      </c>
      <c r="C7851" t="s">
        <v>40</v>
      </c>
      <c r="D7851">
        <v>5.396153</v>
      </c>
      <c r="E7851">
        <v>0.51148209999999905</v>
      </c>
      <c r="F7851" t="s">
        <v>66</v>
      </c>
      <c r="G7851">
        <v>-221.18860000000001</v>
      </c>
      <c r="H7851" s="1">
        <v>-2.4994350000000002E-7</v>
      </c>
      <c r="I7851">
        <v>-63.180759999999999</v>
      </c>
      <c r="J7851">
        <v>-252.28059999999999</v>
      </c>
      <c r="K7851">
        <v>1.120363</v>
      </c>
      <c r="L7851">
        <v>-62.39676</v>
      </c>
      <c r="M7851">
        <v>0.99968210000000002</v>
      </c>
      <c r="N7851">
        <v>-7.8905060000000003E-3</v>
      </c>
      <c r="O7851">
        <v>-2.394868E-2</v>
      </c>
      <c r="P7851">
        <v>0.99537450000000005</v>
      </c>
      <c r="Q7851">
        <v>-9.5991900000000005E-2</v>
      </c>
      <c r="R7851">
        <v>3.9533989999999998E-3</v>
      </c>
      <c r="S7851">
        <v>3.003784</v>
      </c>
      <c r="T7851">
        <v>-0.1077487</v>
      </c>
      <c r="U7851">
        <v>-7.5714110000000001E-2</v>
      </c>
      <c r="V7851">
        <v>-2.7746050000000001E-2</v>
      </c>
      <c r="W7851">
        <v>-8.8152099999999997E-2</v>
      </c>
      <c r="X7851">
        <v>0.99572050000000001</v>
      </c>
      <c r="Y7851">
        <v>1.257567E-3</v>
      </c>
      <c r="Z7851">
        <v>6.4209529999999996E-4</v>
      </c>
      <c r="AA7851">
        <v>0.99999899999999997</v>
      </c>
      <c r="AB7851">
        <v>28</v>
      </c>
      <c r="AC7851">
        <v>31.091999999999899</v>
      </c>
      <c r="AD7851">
        <v>-1.1203632499434999</v>
      </c>
      <c r="AE7851">
        <v>-0.78399999999999803</v>
      </c>
      <c r="AF7851">
        <v>3.9088902142681403E-2</v>
      </c>
      <c r="AG7851">
        <v>-1.1203632499434999</v>
      </c>
      <c r="AH7851">
        <v>31.061552477773699</v>
      </c>
      <c r="AI7851">
        <v>92.065711916569398</v>
      </c>
      <c r="AJ7851">
        <v>89.927897102441506</v>
      </c>
      <c r="AK7851">
        <v>31.0817757549916</v>
      </c>
      <c r="AL7851">
        <v>95.057307772114896</v>
      </c>
      <c r="AM7851">
        <v>91.596151020811405</v>
      </c>
      <c r="AN7851">
        <v>0.99999997507263005</v>
      </c>
    </row>
    <row r="7852" spans="1:40" x14ac:dyDescent="0.25">
      <c r="A7852" t="str">
        <f>"20190303154333912"</f>
        <v>20190303154333912</v>
      </c>
      <c r="B7852" t="str">
        <f>"1551599013907639"</f>
        <v>1551599013907639</v>
      </c>
      <c r="C7852" t="s">
        <v>40</v>
      </c>
      <c r="D7852">
        <v>5.3729529999999999</v>
      </c>
      <c r="E7852">
        <v>0.51156259999999998</v>
      </c>
      <c r="F7852" t="s">
        <v>66</v>
      </c>
      <c r="G7852">
        <v>-221.4092</v>
      </c>
      <c r="H7852" s="1">
        <v>-3.4147079999999898E-7</v>
      </c>
      <c r="I7852">
        <v>-63.1667699999999</v>
      </c>
      <c r="J7852">
        <v>-252.13120000000001</v>
      </c>
      <c r="K7852">
        <v>1.120358</v>
      </c>
      <c r="L7852">
        <v>-62.400210000000001</v>
      </c>
      <c r="M7852">
        <v>0.99968599999999996</v>
      </c>
      <c r="N7852">
        <v>-7.86833199999999E-3</v>
      </c>
      <c r="O7852">
        <v>-2.3792569999999999E-2</v>
      </c>
      <c r="P7852">
        <v>0.9953613</v>
      </c>
      <c r="Q7852">
        <v>-9.6108429999999995E-2</v>
      </c>
      <c r="R7852">
        <v>4.3787799999999997E-3</v>
      </c>
      <c r="S7852">
        <v>3.0037229999999999</v>
      </c>
      <c r="T7852">
        <v>-0.1090091</v>
      </c>
      <c r="U7852">
        <v>-7.4920650000000005E-2</v>
      </c>
      <c r="V7852">
        <v>-2.801586E-2</v>
      </c>
      <c r="W7852">
        <v>-8.8290889999999997E-2</v>
      </c>
      <c r="X7852">
        <v>0.99570069999999999</v>
      </c>
      <c r="Y7852">
        <v>1.1505479999999999E-3</v>
      </c>
      <c r="Z7852">
        <v>6.5036420000000002E-4</v>
      </c>
      <c r="AA7852">
        <v>0.99999910000000003</v>
      </c>
      <c r="AB7852">
        <v>28</v>
      </c>
      <c r="AC7852">
        <v>30.722000000000001</v>
      </c>
      <c r="AD7852">
        <v>-1.1203583414708</v>
      </c>
      <c r="AE7852">
        <v>-0.76655999999999802</v>
      </c>
      <c r="AF7852">
        <v>3.53181177797878E-2</v>
      </c>
      <c r="AG7852">
        <v>-1.1203583414708</v>
      </c>
      <c r="AH7852">
        <v>30.690751719428601</v>
      </c>
      <c r="AI7852">
        <v>92.090638622601304</v>
      </c>
      <c r="AJ7852">
        <v>89.934065538232304</v>
      </c>
      <c r="AK7852">
        <v>30.7112144222002</v>
      </c>
      <c r="AL7852">
        <v>95.065290718207294</v>
      </c>
      <c r="AM7852">
        <v>91.611696304767406</v>
      </c>
      <c r="AN7852">
        <v>1.0000000268245099</v>
      </c>
    </row>
    <row r="7853" spans="1:40" x14ac:dyDescent="0.25">
      <c r="A7853" t="str">
        <f>"20190303154333926"</f>
        <v>20190303154333926</v>
      </c>
      <c r="B7853" t="str">
        <f>"1551599013918369"</f>
        <v>1551599013918369</v>
      </c>
      <c r="C7853" t="s">
        <v>40</v>
      </c>
      <c r="D7853">
        <v>5.385961</v>
      </c>
      <c r="E7853">
        <v>0.51163570000000003</v>
      </c>
      <c r="F7853" t="s">
        <v>66</v>
      </c>
      <c r="G7853">
        <v>-221.10380000000001</v>
      </c>
      <c r="H7853" s="1">
        <v>-2.1059189999999999E-7</v>
      </c>
      <c r="I7853">
        <v>-63.167459999999998</v>
      </c>
      <c r="J7853">
        <v>-251.98230000000001</v>
      </c>
      <c r="K7853">
        <v>1.120352</v>
      </c>
      <c r="L7853">
        <v>-62.403559999999999</v>
      </c>
      <c r="M7853">
        <v>0.99968979999999996</v>
      </c>
      <c r="N7853">
        <v>-7.8493360000000002E-3</v>
      </c>
      <c r="O7853">
        <v>-2.36391E-2</v>
      </c>
      <c r="P7853">
        <v>0.99532750000000003</v>
      </c>
      <c r="Q7853">
        <v>-9.6451969999999998E-2</v>
      </c>
      <c r="R7853">
        <v>4.5173210000000004E-3</v>
      </c>
      <c r="S7853">
        <v>3.0038450000000001</v>
      </c>
      <c r="T7853">
        <v>-0.1084647</v>
      </c>
      <c r="U7853">
        <v>-7.4279789999999998E-2</v>
      </c>
      <c r="V7853">
        <v>-2.80007E-2</v>
      </c>
      <c r="W7853">
        <v>-8.8653449999999995E-2</v>
      </c>
      <c r="X7853">
        <v>0.99566889999999997</v>
      </c>
      <c r="Y7853">
        <v>1.0897280000000001E-3</v>
      </c>
      <c r="Z7853">
        <v>6.4359589999999896E-4</v>
      </c>
      <c r="AA7853">
        <v>0.99999919999999998</v>
      </c>
      <c r="AB7853">
        <v>28</v>
      </c>
      <c r="AC7853">
        <v>30.878499999999999</v>
      </c>
      <c r="AD7853">
        <v>-1.1203522105918999</v>
      </c>
      <c r="AE7853">
        <v>-0.76389999999999902</v>
      </c>
      <c r="AF7853">
        <v>3.3679815948909099E-2</v>
      </c>
      <c r="AG7853">
        <v>-1.1203522105918999</v>
      </c>
      <c r="AH7853">
        <v>30.847345726409898</v>
      </c>
      <c r="AI7853">
        <v>92.080023779051899</v>
      </c>
      <c r="AJ7853">
        <v>89.937443222539201</v>
      </c>
      <c r="AK7853">
        <v>30.867702567091701</v>
      </c>
      <c r="AL7853">
        <v>95.086145710756796</v>
      </c>
      <c r="AM7853">
        <v>91.610876059882798</v>
      </c>
      <c r="AN7853">
        <v>1.0000000159122999</v>
      </c>
    </row>
    <row r="7854" spans="1:40" x14ac:dyDescent="0.25">
      <c r="A7854" t="str">
        <f>"20190303154333937"</f>
        <v>20190303154333937</v>
      </c>
      <c r="B7854" t="str">
        <f>"1551599013928129"</f>
        <v>1551599013928129</v>
      </c>
      <c r="C7854" t="s">
        <v>40</v>
      </c>
      <c r="D7854">
        <v>5.3562240000000001</v>
      </c>
      <c r="E7854">
        <v>0.51169469999999995</v>
      </c>
      <c r="F7854" t="s">
        <v>66</v>
      </c>
      <c r="G7854">
        <v>-221.23949999999999</v>
      </c>
      <c r="H7854" s="1">
        <v>-2.6833389999999998E-7</v>
      </c>
      <c r="I7854">
        <v>-63.16534</v>
      </c>
      <c r="J7854">
        <v>-251.82159999999999</v>
      </c>
      <c r="K7854">
        <v>1.120344</v>
      </c>
      <c r="L7854">
        <v>-62.407229999999998</v>
      </c>
      <c r="M7854">
        <v>0.99969390000000002</v>
      </c>
      <c r="N7854">
        <v>-7.8303160000000004E-3</v>
      </c>
      <c r="O7854">
        <v>-2.3475139999999999E-2</v>
      </c>
      <c r="P7854">
        <v>0.99533070000000001</v>
      </c>
      <c r="Q7854">
        <v>-9.6402000000000002E-2</v>
      </c>
      <c r="R7854">
        <v>4.8543869999999999E-3</v>
      </c>
      <c r="S7854">
        <v>3.0038149999999999</v>
      </c>
      <c r="T7854">
        <v>-0.10946740000000001</v>
      </c>
      <c r="U7854">
        <v>-7.4432369999999998E-2</v>
      </c>
      <c r="V7854">
        <v>-2.8175019999999999E-2</v>
      </c>
      <c r="W7854">
        <v>-8.8622409999999999E-2</v>
      </c>
      <c r="X7854">
        <v>0.99566670000000002</v>
      </c>
      <c r="Y7854">
        <v>1.304747E-3</v>
      </c>
      <c r="Z7854">
        <v>6.4231900000000003E-4</v>
      </c>
      <c r="AA7854">
        <v>0.99999890000000002</v>
      </c>
      <c r="AB7854">
        <v>28</v>
      </c>
      <c r="AC7854">
        <v>30.582100000000001</v>
      </c>
      <c r="AD7854">
        <v>-1.1203442683339</v>
      </c>
      <c r="AE7854">
        <v>-0.75810999999999495</v>
      </c>
      <c r="AF7854">
        <v>3.9906559149306998E-2</v>
      </c>
      <c r="AG7854">
        <v>-1.1203442683339</v>
      </c>
      <c r="AH7854">
        <v>30.550493899013201</v>
      </c>
      <c r="AI7854">
        <v>92.100201444398806</v>
      </c>
      <c r="AJ7854">
        <v>89.925157474663294</v>
      </c>
      <c r="AK7854">
        <v>30.5710556128946</v>
      </c>
      <c r="AL7854">
        <v>95.084360453971399</v>
      </c>
      <c r="AM7854">
        <v>91.620902909479597</v>
      </c>
      <c r="AN7854">
        <v>0.99999997039754795</v>
      </c>
    </row>
    <row r="7855" spans="1:40" x14ac:dyDescent="0.25">
      <c r="A7855" t="str">
        <f>"20190303154333950"</f>
        <v>20190303154333950</v>
      </c>
      <c r="B7855" t="str">
        <f>"1551599013937889"</f>
        <v>1551599013937889</v>
      </c>
      <c r="C7855" t="s">
        <v>40</v>
      </c>
      <c r="D7855">
        <v>5.3987150000000002</v>
      </c>
      <c r="E7855">
        <v>0.5117505</v>
      </c>
      <c r="F7855" t="s">
        <v>66</v>
      </c>
      <c r="G7855">
        <v>-220.6849</v>
      </c>
      <c r="H7855" s="1">
        <v>-3.2043599999999997E-8</v>
      </c>
      <c r="I7855">
        <v>-63.172719999999998</v>
      </c>
      <c r="J7855">
        <v>-251.6584</v>
      </c>
      <c r="K7855">
        <v>1.1203449999999999</v>
      </c>
      <c r="L7855">
        <v>-62.410890000000002</v>
      </c>
      <c r="M7855">
        <v>0.99969790000000003</v>
      </c>
      <c r="N7855">
        <v>-7.8142719999999902E-3</v>
      </c>
      <c r="O7855">
        <v>-2.3312019999999999E-2</v>
      </c>
      <c r="P7855">
        <v>0.99530479999999999</v>
      </c>
      <c r="Q7855">
        <v>-9.6646609999999994E-2</v>
      </c>
      <c r="R7855">
        <v>5.3092429999999999E-3</v>
      </c>
      <c r="S7855">
        <v>3.003952</v>
      </c>
      <c r="T7855">
        <v>-0.1080866</v>
      </c>
      <c r="U7855">
        <v>-7.3852539999999994E-2</v>
      </c>
      <c r="V7855">
        <v>-2.8467300000000001E-2</v>
      </c>
      <c r="W7855">
        <v>-8.8883190000000001E-2</v>
      </c>
      <c r="X7855">
        <v>0.99563520000000005</v>
      </c>
      <c r="Y7855">
        <v>1.27356E-3</v>
      </c>
      <c r="Z7855">
        <v>6.2828459999999999E-4</v>
      </c>
      <c r="AA7855">
        <v>0.99999899999999997</v>
      </c>
      <c r="AB7855">
        <v>28</v>
      </c>
      <c r="AC7855">
        <v>30.973500000000001</v>
      </c>
      <c r="AD7855">
        <v>-1.1203450320435999</v>
      </c>
      <c r="AE7855">
        <v>-0.76182999999999601</v>
      </c>
      <c r="AF7855">
        <v>3.9494557757350203E-2</v>
      </c>
      <c r="AG7855">
        <v>-1.1203450320435999</v>
      </c>
      <c r="AH7855">
        <v>30.9423834966688</v>
      </c>
      <c r="AI7855">
        <v>92.073626962450206</v>
      </c>
      <c r="AJ7855">
        <v>89.926868263247798</v>
      </c>
      <c r="AK7855">
        <v>30.962684464784999</v>
      </c>
      <c r="AL7855">
        <v>95.0993609406856</v>
      </c>
      <c r="AM7855">
        <v>91.637760391364694</v>
      </c>
      <c r="AN7855">
        <v>1.00000003005645</v>
      </c>
    </row>
    <row r="7856" spans="1:40" x14ac:dyDescent="0.25">
      <c r="A7856" t="str">
        <f>"20190303154333963"</f>
        <v>20190303154333963</v>
      </c>
      <c r="B7856" t="str">
        <f>"1551599013958385"</f>
        <v>1551599013958385</v>
      </c>
      <c r="C7856" t="s">
        <v>40</v>
      </c>
      <c r="D7856">
        <v>5.3868179999999999</v>
      </c>
      <c r="E7856">
        <v>0.51176149999999998</v>
      </c>
      <c r="F7856" t="s">
        <v>66</v>
      </c>
      <c r="G7856">
        <v>-220.5162</v>
      </c>
      <c r="H7856" s="1">
        <v>4.1593639999999999E-8</v>
      </c>
      <c r="I7856">
        <v>-63.167009999999998</v>
      </c>
      <c r="J7856">
        <v>-251.4983</v>
      </c>
      <c r="K7856">
        <v>1.120339</v>
      </c>
      <c r="L7856">
        <v>-62.414490000000001</v>
      </c>
      <c r="M7856">
        <v>0.99970159999999997</v>
      </c>
      <c r="N7856">
        <v>-7.8005180000000002E-3</v>
      </c>
      <c r="O7856">
        <v>-2.315393E-2</v>
      </c>
      <c r="P7856">
        <v>0.99526009999999998</v>
      </c>
      <c r="Q7856">
        <v>-9.7093260000000001E-2</v>
      </c>
      <c r="R7856">
        <v>5.4923089999999999E-3</v>
      </c>
      <c r="S7856">
        <v>3.0040439999999999</v>
      </c>
      <c r="T7856">
        <v>-0.10807070000000001</v>
      </c>
      <c r="U7856">
        <v>-7.2937009999999997E-2</v>
      </c>
      <c r="V7856">
        <v>-2.849223E-2</v>
      </c>
      <c r="W7856">
        <v>-8.9343759999999994E-2</v>
      </c>
      <c r="X7856">
        <v>0.99559319999999896</v>
      </c>
      <c r="Y7856">
        <v>1.1264350000000001E-3</v>
      </c>
      <c r="Z7856">
        <v>6.2724229999999996E-4</v>
      </c>
      <c r="AA7856">
        <v>0.99999919999999998</v>
      </c>
      <c r="AB7856">
        <v>28</v>
      </c>
      <c r="AC7856">
        <v>30.982099999999999</v>
      </c>
      <c r="AD7856">
        <v>-1.1203389584063601</v>
      </c>
      <c r="AE7856">
        <v>-0.75251999999999697</v>
      </c>
      <c r="AF7856">
        <v>3.4893532045597003E-2</v>
      </c>
      <c r="AG7856">
        <v>-1.1203389584063601</v>
      </c>
      <c r="AH7856">
        <v>30.9507703093125</v>
      </c>
      <c r="AI7856">
        <v>92.073054698750397</v>
      </c>
      <c r="AJ7856">
        <v>89.935405443821907</v>
      </c>
      <c r="AK7856">
        <v>30.971060034815199</v>
      </c>
      <c r="AL7856">
        <v>95.125855387479106</v>
      </c>
      <c r="AM7856">
        <v>91.639262977334496</v>
      </c>
      <c r="AN7856">
        <v>0.99999996725377405</v>
      </c>
    </row>
    <row r="7857" spans="1:40" x14ac:dyDescent="0.25">
      <c r="A7857" t="str">
        <f>"20190303154333973"</f>
        <v>20190303154333973</v>
      </c>
      <c r="B7857" t="str">
        <f>"1551599013968145"</f>
        <v>1551599013968145</v>
      </c>
      <c r="C7857" t="s">
        <v>40</v>
      </c>
      <c r="D7857">
        <v>5.3722209999999997</v>
      </c>
      <c r="E7857">
        <v>0.51174989999999998</v>
      </c>
      <c r="F7857" t="s">
        <v>66</v>
      </c>
      <c r="G7857">
        <v>-220.6035</v>
      </c>
      <c r="H7857" s="1">
        <v>5.5604799999999998E-9</v>
      </c>
      <c r="I7857">
        <v>-63.160510000000002</v>
      </c>
      <c r="J7857">
        <v>-251.36420000000001</v>
      </c>
      <c r="K7857">
        <v>1.120333</v>
      </c>
      <c r="L7857">
        <v>-62.417450000000002</v>
      </c>
      <c r="M7857">
        <v>0.9997047</v>
      </c>
      <c r="N7857">
        <v>-7.7901819999999997E-3</v>
      </c>
      <c r="O7857">
        <v>-2.302301E-2</v>
      </c>
      <c r="P7857">
        <v>0.99522390000000005</v>
      </c>
      <c r="Q7857">
        <v>-9.7467680000000001E-2</v>
      </c>
      <c r="R7857">
        <v>5.4415059999999996E-3</v>
      </c>
      <c r="S7857">
        <v>3.0040740000000001</v>
      </c>
      <c r="T7857">
        <v>-0.10893700000000001</v>
      </c>
      <c r="U7857">
        <v>-7.2540279999999999E-2</v>
      </c>
      <c r="V7857">
        <v>-2.8310370000000001E-2</v>
      </c>
      <c r="W7857">
        <v>-8.9728489999999994E-2</v>
      </c>
      <c r="X7857">
        <v>0.9955638</v>
      </c>
      <c r="Y7857">
        <v>1.125284E-3</v>
      </c>
      <c r="Z7857">
        <v>6.3028960000000001E-4</v>
      </c>
      <c r="AA7857">
        <v>0.99999919999999998</v>
      </c>
      <c r="AB7857">
        <v>28</v>
      </c>
      <c r="AC7857">
        <v>30.7607</v>
      </c>
      <c r="AD7857">
        <v>-1.1203329944395199</v>
      </c>
      <c r="AE7857">
        <v>-0.74305999999999195</v>
      </c>
      <c r="AF7857">
        <v>3.4591858914128901E-2</v>
      </c>
      <c r="AG7857">
        <v>-1.1203329944395199</v>
      </c>
      <c r="AH7857">
        <v>30.728916301900298</v>
      </c>
      <c r="AI7857">
        <v>92.087997260330795</v>
      </c>
      <c r="AJ7857">
        <v>89.935501575629203</v>
      </c>
      <c r="AK7857">
        <v>30.749351858280399</v>
      </c>
      <c r="AL7857">
        <v>95.147987623515704</v>
      </c>
      <c r="AM7857">
        <v>91.628853630137101</v>
      </c>
      <c r="AN7857">
        <v>0.99999997941882801</v>
      </c>
    </row>
    <row r="7858" spans="1:40" x14ac:dyDescent="0.25">
      <c r="A7858" t="str">
        <f>"20190303154333984"</f>
        <v>20190303154333984</v>
      </c>
      <c r="B7858" t="str">
        <f>"1551599013977905"</f>
        <v>1551599013977905</v>
      </c>
      <c r="C7858" t="s">
        <v>40</v>
      </c>
      <c r="D7858">
        <v>5.3623120000000002</v>
      </c>
      <c r="E7858">
        <v>0.51171350000000004</v>
      </c>
      <c r="F7858" t="s">
        <v>66</v>
      </c>
      <c r="G7858">
        <v>-220.83260000000001</v>
      </c>
      <c r="H7858" s="1">
        <v>-9.1556099999999995E-8</v>
      </c>
      <c r="I7858">
        <v>-63.155340000000002</v>
      </c>
      <c r="J7858">
        <v>-251.2252</v>
      </c>
      <c r="K7858">
        <v>1.120331</v>
      </c>
      <c r="L7858">
        <v>-62.420529999999999</v>
      </c>
      <c r="M7858">
        <v>0.99970780000000004</v>
      </c>
      <c r="N7858">
        <v>-7.7814859999999998E-3</v>
      </c>
      <c r="O7858">
        <v>-2.2889610000000001E-2</v>
      </c>
      <c r="P7858">
        <v>0.99520200000000003</v>
      </c>
      <c r="Q7858">
        <v>-9.7664269999999997E-2</v>
      </c>
      <c r="R7858">
        <v>5.8743519999999898E-3</v>
      </c>
      <c r="S7858">
        <v>3.0039980000000002</v>
      </c>
      <c r="T7858">
        <v>-0.11022949999999999</v>
      </c>
      <c r="U7858">
        <v>-7.2601319999999997E-2</v>
      </c>
      <c r="V7858">
        <v>-2.8610340000000001E-2</v>
      </c>
      <c r="W7858">
        <v>-8.9933949999999999E-2</v>
      </c>
      <c r="X7858">
        <v>0.99553670000000005</v>
      </c>
      <c r="Y7858">
        <v>1.279739E-3</v>
      </c>
      <c r="Z7858">
        <v>6.3288050000000001E-4</v>
      </c>
      <c r="AA7858">
        <v>0.99999899999999997</v>
      </c>
      <c r="AB7858">
        <v>28</v>
      </c>
      <c r="AC7858">
        <v>30.392599999999899</v>
      </c>
      <c r="AD7858">
        <v>-1.1203310915561</v>
      </c>
      <c r="AE7858">
        <v>-0.73480999999999597</v>
      </c>
      <c r="AF7858">
        <v>3.8868918285510201E-2</v>
      </c>
      <c r="AG7858">
        <v>-1.1203310915561</v>
      </c>
      <c r="AH7858">
        <v>30.360227114425602</v>
      </c>
      <c r="AI7858">
        <v>92.113326694491803</v>
      </c>
      <c r="AJ7858">
        <v>89.926646670103494</v>
      </c>
      <c r="AK7858">
        <v>30.3809157693942</v>
      </c>
      <c r="AL7858">
        <v>95.159807326620395</v>
      </c>
      <c r="AM7858">
        <v>91.646147917756593</v>
      </c>
      <c r="AN7858">
        <v>0.99999999398220396</v>
      </c>
    </row>
    <row r="7859" spans="1:40" x14ac:dyDescent="0.25">
      <c r="A7859" t="str">
        <f>"20190303154333994"</f>
        <v>20190303154333994</v>
      </c>
      <c r="B7859" t="str">
        <f>"1551599013987666"</f>
        <v>1551599013987666</v>
      </c>
      <c r="C7859" t="s">
        <v>40</v>
      </c>
      <c r="D7859">
        <v>5.3414339999999996</v>
      </c>
      <c r="E7859">
        <v>0.51174179999999903</v>
      </c>
      <c r="F7859" t="s">
        <v>66</v>
      </c>
      <c r="G7859">
        <v>-221.03360000000001</v>
      </c>
      <c r="H7859" s="1">
        <v>-1.7316979999999899E-7</v>
      </c>
      <c r="I7859">
        <v>-63.13458</v>
      </c>
      <c r="J7859">
        <v>-251.08760000000001</v>
      </c>
      <c r="K7859">
        <v>1.1203259999999999</v>
      </c>
      <c r="L7859">
        <v>-62.423549999999999</v>
      </c>
      <c r="M7859">
        <v>0.99971089999999996</v>
      </c>
      <c r="N7859">
        <v>-7.7733730000000001E-3</v>
      </c>
      <c r="O7859">
        <v>-2.275835E-2</v>
      </c>
      <c r="P7859">
        <v>0.99517080000000002</v>
      </c>
      <c r="Q7859">
        <v>-9.7992460000000003E-2</v>
      </c>
      <c r="R7859">
        <v>5.7300090000000003E-3</v>
      </c>
      <c r="S7859">
        <v>3.003952</v>
      </c>
      <c r="T7859">
        <v>-0.111468899999999</v>
      </c>
      <c r="U7859">
        <v>-7.1044919999999998E-2</v>
      </c>
      <c r="V7859">
        <v>-2.833509E-2</v>
      </c>
      <c r="W7859">
        <v>-9.0270130000000004E-2</v>
      </c>
      <c r="X7859">
        <v>0.99551420000000002</v>
      </c>
      <c r="Y7859">
        <v>8.9411329999999998E-4</v>
      </c>
      <c r="Z7859">
        <v>6.4706319999999998E-4</v>
      </c>
      <c r="AA7859">
        <v>0.99999939999999998</v>
      </c>
      <c r="AB7859">
        <v>29</v>
      </c>
      <c r="AC7859">
        <v>30.053999999999998</v>
      </c>
      <c r="AD7859">
        <v>-1.1203261731698</v>
      </c>
      <c r="AE7859">
        <v>-0.71103000000000705</v>
      </c>
      <c r="AF7859">
        <v>2.6808566167261998E-2</v>
      </c>
      <c r="AG7859">
        <v>-1.1203261731698</v>
      </c>
      <c r="AH7859">
        <v>30.0207048422131</v>
      </c>
      <c r="AI7859">
        <v>92.137197066043697</v>
      </c>
      <c r="AJ7859">
        <v>89.948834736027806</v>
      </c>
      <c r="AK7859">
        <v>30.041613948934</v>
      </c>
      <c r="AL7859">
        <v>95.179147407369598</v>
      </c>
      <c r="AM7859">
        <v>91.630356324707606</v>
      </c>
      <c r="AN7859">
        <v>1.00000004804858</v>
      </c>
    </row>
    <row r="7860" spans="1:40" x14ac:dyDescent="0.25">
      <c r="A7860" t="str">
        <f>"20190303154334004"</f>
        <v>20190303154334004</v>
      </c>
      <c r="B7860" t="str">
        <f>"1551599013998401"</f>
        <v>1551599013998401</v>
      </c>
      <c r="C7860" t="s">
        <v>40</v>
      </c>
      <c r="D7860">
        <v>5.3822869999999998</v>
      </c>
      <c r="E7860">
        <v>0.51174149999999996</v>
      </c>
      <c r="F7860" t="s">
        <v>66</v>
      </c>
      <c r="G7860">
        <v>-220.93299999999999</v>
      </c>
      <c r="H7860" s="1">
        <v>-1.317148E-7</v>
      </c>
      <c r="I7860">
        <v>-63.142229999999998</v>
      </c>
      <c r="J7860">
        <v>-250.96559999999999</v>
      </c>
      <c r="K7860">
        <v>1.120323</v>
      </c>
      <c r="L7860">
        <v>-62.426209999999998</v>
      </c>
      <c r="M7860">
        <v>0.99971339999999997</v>
      </c>
      <c r="N7860">
        <v>-7.7706859999999997E-3</v>
      </c>
      <c r="O7860">
        <v>-2.2644149999999998E-2</v>
      </c>
      <c r="P7860">
        <v>0.9951702</v>
      </c>
      <c r="Q7860">
        <v>-9.798685E-2</v>
      </c>
      <c r="R7860">
        <v>5.9065569999999998E-3</v>
      </c>
      <c r="S7860">
        <v>3.0039829999999998</v>
      </c>
      <c r="T7860">
        <v>-0.1116062</v>
      </c>
      <c r="U7860">
        <v>-7.1594240000000003E-2</v>
      </c>
      <c r="V7860">
        <v>-2.8397749999999999E-2</v>
      </c>
      <c r="W7860">
        <v>-9.0267150000000004E-2</v>
      </c>
      <c r="X7860">
        <v>0.99551270000000003</v>
      </c>
      <c r="Y7860">
        <v>1.190595E-3</v>
      </c>
      <c r="Z7860">
        <v>6.3812449999999996E-4</v>
      </c>
      <c r="AA7860">
        <v>0.99999910000000003</v>
      </c>
      <c r="AB7860">
        <v>29</v>
      </c>
      <c r="AC7860">
        <v>30.032599999999999</v>
      </c>
      <c r="AD7860">
        <v>-1.1203231317147999</v>
      </c>
      <c r="AE7860">
        <v>-0.71602000000000698</v>
      </c>
      <c r="AF7860">
        <v>3.57035132112897E-2</v>
      </c>
      <c r="AG7860">
        <v>-1.1203231317147999</v>
      </c>
      <c r="AH7860">
        <v>29.999390858422</v>
      </c>
      <c r="AI7860">
        <v>92.138707631339699</v>
      </c>
      <c r="AJ7860">
        <v>89.931809960255407</v>
      </c>
      <c r="AK7860">
        <v>30.020323957890302</v>
      </c>
      <c r="AL7860">
        <v>95.178975887262197</v>
      </c>
      <c r="AM7860">
        <v>91.633962190499403</v>
      </c>
      <c r="AN7860">
        <v>1.0000000632177299</v>
      </c>
    </row>
    <row r="7861" spans="1:40" x14ac:dyDescent="0.25">
      <c r="A7861" t="str">
        <f>"20190303154334014"</f>
        <v>20190303154334014</v>
      </c>
      <c r="B7861" t="str">
        <f>"1551599014008161"</f>
        <v>1551599014008161</v>
      </c>
      <c r="C7861" t="s">
        <v>40</v>
      </c>
      <c r="D7861">
        <v>5.3536099999999998</v>
      </c>
      <c r="E7861">
        <v>0.51174739999999996</v>
      </c>
      <c r="F7861" t="s">
        <v>66</v>
      </c>
      <c r="G7861">
        <v>-220.71799999999999</v>
      </c>
      <c r="H7861" s="1">
        <v>-3.9317170000000002E-8</v>
      </c>
      <c r="I7861">
        <v>-63.141559999999998</v>
      </c>
      <c r="J7861">
        <v>-250.83959999999999</v>
      </c>
      <c r="K7861">
        <v>1.1203190000000001</v>
      </c>
      <c r="L7861">
        <v>-62.428989999999999</v>
      </c>
      <c r="M7861">
        <v>0.9997161</v>
      </c>
      <c r="N7861">
        <v>-7.7681919999999897E-3</v>
      </c>
      <c r="O7861">
        <v>-2.252614E-2</v>
      </c>
      <c r="P7861">
        <v>0.99514820000000004</v>
      </c>
      <c r="Q7861">
        <v>-9.8190949999999999E-2</v>
      </c>
      <c r="R7861">
        <v>6.225207E-3</v>
      </c>
      <c r="S7861">
        <v>3.004013</v>
      </c>
      <c r="T7861">
        <v>-0.1112639</v>
      </c>
      <c r="U7861">
        <v>-7.1044919999999998E-2</v>
      </c>
      <c r="V7861">
        <v>-2.859896E-2</v>
      </c>
      <c r="W7861">
        <v>-9.0473899999999996E-2</v>
      </c>
      <c r="X7861">
        <v>0.99548809999999999</v>
      </c>
      <c r="Y7861">
        <v>1.1255729999999999E-3</v>
      </c>
      <c r="Z7861">
        <v>6.3367160000000003E-4</v>
      </c>
      <c r="AA7861">
        <v>0.99999919999999998</v>
      </c>
      <c r="AB7861">
        <v>29</v>
      </c>
      <c r="AC7861">
        <v>30.121600000000001</v>
      </c>
      <c r="AD7861">
        <v>-1.12031903931717</v>
      </c>
      <c r="AE7861">
        <v>-0.71256999999999904</v>
      </c>
      <c r="AF7861">
        <v>3.3798614422147898E-2</v>
      </c>
      <c r="AG7861">
        <v>-1.12031903931717</v>
      </c>
      <c r="AH7861">
        <v>30.088409179583</v>
      </c>
      <c r="AI7861">
        <v>92.132378371985197</v>
      </c>
      <c r="AJ7861">
        <v>89.9356390983084</v>
      </c>
      <c r="AK7861">
        <v>30.109278039405201</v>
      </c>
      <c r="AL7861">
        <v>95.190870828822995</v>
      </c>
      <c r="AM7861">
        <v>91.645573798089799</v>
      </c>
      <c r="AN7861">
        <v>0.99999999216794999</v>
      </c>
    </row>
    <row r="7862" spans="1:40" x14ac:dyDescent="0.25">
      <c r="A7862" t="str">
        <f>"20190303154334024"</f>
        <v>20190303154334024</v>
      </c>
      <c r="B7862" t="str">
        <f>"1551599014017921"</f>
        <v>1551599014017921</v>
      </c>
      <c r="C7862" t="s">
        <v>40</v>
      </c>
      <c r="D7862">
        <v>5.3293819999999998</v>
      </c>
      <c r="E7862">
        <v>0.51173930000000001</v>
      </c>
      <c r="F7862" t="s">
        <v>66</v>
      </c>
      <c r="G7862">
        <v>-220.6104</v>
      </c>
      <c r="H7862" s="1">
        <v>8.3836079999999999E-9</v>
      </c>
      <c r="I7862">
        <v>-63.1346699999999</v>
      </c>
      <c r="J7862">
        <v>-250.70830000000001</v>
      </c>
      <c r="K7862">
        <v>1.1203179999999999</v>
      </c>
      <c r="L7862">
        <v>-62.431789999999999</v>
      </c>
      <c r="M7862">
        <v>0.99971880000000002</v>
      </c>
      <c r="N7862">
        <v>-7.7715179999999998E-3</v>
      </c>
      <c r="O7862">
        <v>-2.2405169999999999E-2</v>
      </c>
      <c r="P7862">
        <v>0.99510069999999995</v>
      </c>
      <c r="Q7862">
        <v>-9.8674769999999995E-2</v>
      </c>
      <c r="R7862">
        <v>6.1731529999999998E-3</v>
      </c>
      <c r="S7862">
        <v>3.004089</v>
      </c>
      <c r="T7862">
        <v>-0.11133369999999999</v>
      </c>
      <c r="U7862">
        <v>-7.012939E-2</v>
      </c>
      <c r="V7862">
        <v>-2.84254E-2</v>
      </c>
      <c r="W7862">
        <v>-9.0954560000000004E-2</v>
      </c>
      <c r="X7862">
        <v>0.99544929999999998</v>
      </c>
      <c r="Y7862">
        <v>9.4150120000000004E-4</v>
      </c>
      <c r="Z7862">
        <v>6.3467289999999995E-4</v>
      </c>
      <c r="AA7862">
        <v>0.99999930000000004</v>
      </c>
      <c r="AB7862">
        <v>29</v>
      </c>
      <c r="AC7862">
        <v>30.097899999999999</v>
      </c>
      <c r="AD7862">
        <v>-1.1203179916163899</v>
      </c>
      <c r="AE7862">
        <v>-0.70287999999999295</v>
      </c>
      <c r="AF7862">
        <v>2.82954563979794E-2</v>
      </c>
      <c r="AG7862">
        <v>-1.1203179916163899</v>
      </c>
      <c r="AH7862">
        <v>30.0644608089369</v>
      </c>
      <c r="AI7862">
        <v>92.134073792234403</v>
      </c>
      <c r="AJ7862">
        <v>89.946075542061905</v>
      </c>
      <c r="AK7862">
        <v>30.085340562594499</v>
      </c>
      <c r="AL7862">
        <v>95.2185244796365</v>
      </c>
      <c r="AM7862">
        <v>91.635656376087695</v>
      </c>
      <c r="AN7862">
        <v>1.0000000221102201</v>
      </c>
    </row>
    <row r="7863" spans="1:40" x14ac:dyDescent="0.25">
      <c r="A7863" t="str">
        <f>"20190303154334035"</f>
        <v>20190303154334035</v>
      </c>
      <c r="B7863" t="str">
        <f>"1551599014027682"</f>
        <v>1551599014027682</v>
      </c>
      <c r="C7863" t="s">
        <v>40</v>
      </c>
      <c r="D7863">
        <v>5.3442080000000001</v>
      </c>
      <c r="E7863">
        <v>0.51171199999999994</v>
      </c>
      <c r="F7863" t="s">
        <v>66</v>
      </c>
      <c r="G7863">
        <v>-220.65600000000001</v>
      </c>
      <c r="H7863" s="1">
        <v>-1.096231E-8</v>
      </c>
      <c r="I7863">
        <v>-63.13364</v>
      </c>
      <c r="J7863">
        <v>-250.5702</v>
      </c>
      <c r="K7863">
        <v>1.1203160000000001</v>
      </c>
      <c r="L7863">
        <v>-62.434780000000003</v>
      </c>
      <c r="M7863">
        <v>0.99972159999999999</v>
      </c>
      <c r="N7863">
        <v>-7.7758419999999998E-3</v>
      </c>
      <c r="O7863">
        <v>-2.227788E-2</v>
      </c>
      <c r="P7863">
        <v>0.99509590000000003</v>
      </c>
      <c r="Q7863">
        <v>-9.8732280000000006E-2</v>
      </c>
      <c r="R7863">
        <v>6.0139470000000004E-3</v>
      </c>
      <c r="S7863">
        <v>3.0041199999999999</v>
      </c>
      <c r="T7863">
        <v>-0.1119903</v>
      </c>
      <c r="U7863">
        <v>-7.0159910000000006E-2</v>
      </c>
      <c r="V7863">
        <v>-2.813999E-2</v>
      </c>
      <c r="W7863">
        <v>-9.1007539999999998E-2</v>
      </c>
      <c r="X7863">
        <v>0.99545249999999996</v>
      </c>
      <c r="Y7863">
        <v>1.078699E-3</v>
      </c>
      <c r="Z7863">
        <v>6.3251269999999905E-4</v>
      </c>
      <c r="AA7863">
        <v>0.99999919999999998</v>
      </c>
      <c r="AB7863">
        <v>29</v>
      </c>
      <c r="AC7863">
        <v>29.914200000000001</v>
      </c>
      <c r="AD7863">
        <v>-1.12031601096231</v>
      </c>
      <c r="AE7863">
        <v>-0.69885999999999604</v>
      </c>
      <c r="AF7863">
        <v>3.2196320343536901E-2</v>
      </c>
      <c r="AG7863">
        <v>-1.12031601096231</v>
      </c>
      <c r="AH7863">
        <v>29.880458209845099</v>
      </c>
      <c r="AI7863">
        <v>92.147198977460604</v>
      </c>
      <c r="AJ7863">
        <v>89.938263578668398</v>
      </c>
      <c r="AK7863">
        <v>29.9014703216708</v>
      </c>
      <c r="AL7863">
        <v>95.221573000319594</v>
      </c>
      <c r="AM7863">
        <v>91.6192368787585</v>
      </c>
      <c r="AN7863">
        <v>0.99999995556514898</v>
      </c>
    </row>
    <row r="7864" spans="1:40" x14ac:dyDescent="0.25">
      <c r="A7864" t="str">
        <f>"20190303154334047"</f>
        <v>20190303154334047</v>
      </c>
      <c r="B7864" t="str">
        <f>"1551599014038417"</f>
        <v>1551599014038417</v>
      </c>
      <c r="C7864" t="s">
        <v>40</v>
      </c>
      <c r="D7864">
        <v>5.349691</v>
      </c>
      <c r="E7864">
        <v>0.51173999999999997</v>
      </c>
      <c r="F7864" t="s">
        <v>66</v>
      </c>
      <c r="G7864">
        <v>-220.33920000000001</v>
      </c>
      <c r="H7864" s="1">
        <v>1.226713E-7</v>
      </c>
      <c r="I7864">
        <v>-63.143859999999997</v>
      </c>
      <c r="J7864">
        <v>-250.42269999999999</v>
      </c>
      <c r="K7864">
        <v>1.1203190000000001</v>
      </c>
      <c r="L7864">
        <v>-62.437930000000001</v>
      </c>
      <c r="M7864">
        <v>0.99972450000000002</v>
      </c>
      <c r="N7864">
        <v>-7.7878469999999997E-3</v>
      </c>
      <c r="O7864">
        <v>-2.2143590000000001E-2</v>
      </c>
      <c r="P7864">
        <v>0.99509289999999995</v>
      </c>
      <c r="Q7864">
        <v>-9.8754540000000002E-2</v>
      </c>
      <c r="R7864">
        <v>6.1582859999999998E-3</v>
      </c>
      <c r="S7864">
        <v>3.004181</v>
      </c>
      <c r="T7864">
        <v>-0.1113306</v>
      </c>
      <c r="U7864">
        <v>-7.0465089999999994E-2</v>
      </c>
      <c r="V7864">
        <v>-2.8150399999999999E-2</v>
      </c>
      <c r="W7864">
        <v>-9.1017790000000001E-2</v>
      </c>
      <c r="X7864">
        <v>0.99545130000000004</v>
      </c>
      <c r="Y7864">
        <v>1.3136910000000001E-3</v>
      </c>
      <c r="Z7864">
        <v>6.1825849999999996E-4</v>
      </c>
      <c r="AA7864">
        <v>0.99999890000000002</v>
      </c>
      <c r="AB7864">
        <v>29</v>
      </c>
      <c r="AC7864">
        <v>30.083499999999901</v>
      </c>
      <c r="AD7864">
        <v>-1.1203188773287001</v>
      </c>
      <c r="AE7864">
        <v>-0.70592999999999495</v>
      </c>
      <c r="AF7864">
        <v>3.9525240480300899E-2</v>
      </c>
      <c r="AG7864">
        <v>-1.1203188773287001</v>
      </c>
      <c r="AH7864">
        <v>30.050103624200499</v>
      </c>
      <c r="AI7864">
        <v>92.135093241636</v>
      </c>
      <c r="AJ7864">
        <v>89.924638257953603</v>
      </c>
      <c r="AK7864">
        <v>30.071006043308898</v>
      </c>
      <c r="AL7864">
        <v>95.222162565559003</v>
      </c>
      <c r="AM7864">
        <v>91.619837525610095</v>
      </c>
      <c r="AN7864">
        <v>0.99999998689416603</v>
      </c>
    </row>
    <row r="7865" spans="1:40" x14ac:dyDescent="0.25">
      <c r="A7865" t="str">
        <f>"20190303154334058"</f>
        <v>20190303154334058</v>
      </c>
      <c r="B7865" t="str">
        <f>"1551599014048178"</f>
        <v>1551599014048178</v>
      </c>
      <c r="C7865" t="s">
        <v>40</v>
      </c>
      <c r="D7865">
        <v>5.3338210000000004</v>
      </c>
      <c r="E7865">
        <v>0.51174439999999999</v>
      </c>
      <c r="F7865" t="s">
        <v>66</v>
      </c>
      <c r="G7865">
        <v>-220.06010000000001</v>
      </c>
      <c r="H7865" s="1">
        <v>2.4108980000000001E-7</v>
      </c>
      <c r="I7865">
        <v>-63.14978</v>
      </c>
      <c r="J7865">
        <v>-250.27279999999999</v>
      </c>
      <c r="K7865">
        <v>1.12032</v>
      </c>
      <c r="L7865">
        <v>-62.441130000000001</v>
      </c>
      <c r="M7865">
        <v>0.99972749999999999</v>
      </c>
      <c r="N7865">
        <v>-7.8019309999999998E-3</v>
      </c>
      <c r="O7865">
        <v>-2.2007269999999999E-2</v>
      </c>
      <c r="P7865">
        <v>0.99505259999999995</v>
      </c>
      <c r="Q7865">
        <v>-9.9174949999999998E-2</v>
      </c>
      <c r="R7865">
        <v>5.9112929999999998E-3</v>
      </c>
      <c r="S7865">
        <v>3.0042270000000002</v>
      </c>
      <c r="T7865">
        <v>-0.1108497</v>
      </c>
      <c r="U7865">
        <v>-7.0434570000000002E-2</v>
      </c>
      <c r="V7865">
        <v>-2.776725E-2</v>
      </c>
      <c r="W7865">
        <v>-9.1424190000000002E-2</v>
      </c>
      <c r="X7865">
        <v>0.9954248</v>
      </c>
      <c r="Y7865">
        <v>1.439269E-3</v>
      </c>
      <c r="Z7865">
        <v>6.0772189999999996E-4</v>
      </c>
      <c r="AA7865">
        <v>0.99999879999999997</v>
      </c>
      <c r="AB7865">
        <v>29</v>
      </c>
      <c r="AC7865">
        <v>30.212699999999899</v>
      </c>
      <c r="AD7865">
        <v>-1.1203197589102001</v>
      </c>
      <c r="AE7865">
        <v>-0.708650000000005</v>
      </c>
      <c r="AF7865">
        <v>4.3499387460020897E-2</v>
      </c>
      <c r="AG7865">
        <v>-1.1203197589102001</v>
      </c>
      <c r="AH7865">
        <v>30.1795040757926</v>
      </c>
      <c r="AI7865">
        <v>92.125948337689806</v>
      </c>
      <c r="AJ7865">
        <v>89.917416483032198</v>
      </c>
      <c r="AK7865">
        <v>30.2003224290685</v>
      </c>
      <c r="AL7865">
        <v>95.2455451617097</v>
      </c>
      <c r="AM7865">
        <v>91.597844231998806</v>
      </c>
      <c r="AN7865">
        <v>0.99999996757237797</v>
      </c>
    </row>
    <row r="7866" spans="1:40" x14ac:dyDescent="0.25">
      <c r="A7866" t="str">
        <f>"20190303154334068"</f>
        <v>20190303154334068</v>
      </c>
      <c r="B7866" t="str">
        <f>"1551599014057937"</f>
        <v>1551599014057937</v>
      </c>
      <c r="C7866" t="s">
        <v>40</v>
      </c>
      <c r="D7866">
        <v>5.3697140000000001</v>
      </c>
      <c r="E7866">
        <v>0.51174830000000004</v>
      </c>
      <c r="F7866" t="s">
        <v>66</v>
      </c>
      <c r="G7866">
        <v>-220.1884</v>
      </c>
      <c r="H7866" s="1">
        <v>1.8481560000000001E-7</v>
      </c>
      <c r="I7866">
        <v>-63.155329999999999</v>
      </c>
      <c r="J7866">
        <v>-250.13499999999999</v>
      </c>
      <c r="K7866">
        <v>1.120323</v>
      </c>
      <c r="L7866">
        <v>-62.444029999999998</v>
      </c>
      <c r="M7866">
        <v>0.99973009999999995</v>
      </c>
      <c r="N7866">
        <v>-7.8197330000000006E-3</v>
      </c>
      <c r="O7866">
        <v>-2.1882639999999998E-2</v>
      </c>
      <c r="P7866">
        <v>0.99503269999999999</v>
      </c>
      <c r="Q7866">
        <v>-9.9377950000000007E-2</v>
      </c>
      <c r="R7866">
        <v>5.8553219999999996E-3</v>
      </c>
      <c r="S7866">
        <v>3.0042270000000002</v>
      </c>
      <c r="T7866">
        <v>-0.11187519999999999</v>
      </c>
      <c r="U7866">
        <v>-7.1319579999999994E-2</v>
      </c>
      <c r="V7866">
        <v>-2.7586889999999999E-2</v>
      </c>
      <c r="W7866">
        <v>-9.1609479999999993E-2</v>
      </c>
      <c r="X7866">
        <v>0.99541279999999999</v>
      </c>
      <c r="Y7866">
        <v>1.858132E-3</v>
      </c>
      <c r="Z7866">
        <v>6.014754E-4</v>
      </c>
      <c r="AA7866">
        <v>0.9999981</v>
      </c>
      <c r="AB7866">
        <v>29</v>
      </c>
      <c r="AC7866">
        <v>29.946599999999901</v>
      </c>
      <c r="AD7866">
        <v>-1.1203228151844</v>
      </c>
      <c r="AE7866">
        <v>-0.71130000000000104</v>
      </c>
      <c r="AF7866">
        <v>5.57211105486956E-2</v>
      </c>
      <c r="AG7866">
        <v>-1.1203228151844</v>
      </c>
      <c r="AH7866">
        <v>29.913152710278901</v>
      </c>
      <c r="AI7866">
        <v>92.144864864173996</v>
      </c>
      <c r="AJ7866">
        <v>89.893271672079607</v>
      </c>
      <c r="AK7866">
        <v>29.934176673509</v>
      </c>
      <c r="AL7866">
        <v>95.256206128983195</v>
      </c>
      <c r="AM7866">
        <v>91.587490015468703</v>
      </c>
      <c r="AN7866">
        <v>0.99999998786479105</v>
      </c>
    </row>
    <row r="7867" spans="1:40" x14ac:dyDescent="0.25">
      <c r="A7867" t="str">
        <f>"20190303154334080"</f>
        <v>20190303154334080</v>
      </c>
      <c r="B7867" t="str">
        <f>"1551599014077457"</f>
        <v>1551599014077457</v>
      </c>
      <c r="C7867" t="s">
        <v>40</v>
      </c>
      <c r="D7867">
        <v>5.3185200000000004</v>
      </c>
      <c r="E7867">
        <v>0.51171659999999997</v>
      </c>
      <c r="F7867" t="s">
        <v>66</v>
      </c>
      <c r="G7867">
        <v>-220.1534</v>
      </c>
      <c r="H7867" s="1">
        <v>1.9890269999999999E-7</v>
      </c>
      <c r="I7867">
        <v>-63.15945</v>
      </c>
      <c r="J7867">
        <v>-249.99590000000001</v>
      </c>
      <c r="K7867">
        <v>1.1203190000000001</v>
      </c>
      <c r="L7867">
        <v>-62.446959999999997</v>
      </c>
      <c r="M7867">
        <v>0.99973259999999997</v>
      </c>
      <c r="N7867">
        <v>-7.8401100000000008E-3</v>
      </c>
      <c r="O7867">
        <v>-2.175707E-2</v>
      </c>
      <c r="P7867">
        <v>0.99501240000000002</v>
      </c>
      <c r="Q7867">
        <v>-9.9602540000000003E-2</v>
      </c>
      <c r="R7867">
        <v>5.4704549999999999E-3</v>
      </c>
      <c r="S7867">
        <v>3.0041660000000001</v>
      </c>
      <c r="T7867">
        <v>-0.11225690000000001</v>
      </c>
      <c r="U7867">
        <v>-7.1685789999999999E-2</v>
      </c>
      <c r="V7867">
        <v>-2.7076599999999999E-2</v>
      </c>
      <c r="W7867">
        <v>-9.1813619999999999E-2</v>
      </c>
      <c r="X7867">
        <v>0.99540799999999996</v>
      </c>
      <c r="Y7867">
        <v>2.105839E-3</v>
      </c>
      <c r="Z7867">
        <v>5.9438290000000005E-4</v>
      </c>
      <c r="AA7867">
        <v>0.99999760000000004</v>
      </c>
      <c r="AB7867">
        <v>29</v>
      </c>
      <c r="AC7867">
        <v>29.842500000000001</v>
      </c>
      <c r="AD7867">
        <v>-1.1203188010973</v>
      </c>
      <c r="AE7867">
        <v>-0.71249000000000196</v>
      </c>
      <c r="AF7867">
        <v>6.2927417007574801E-2</v>
      </c>
      <c r="AG7867">
        <v>-1.1203188010973</v>
      </c>
      <c r="AH7867">
        <v>29.808950897411499</v>
      </c>
      <c r="AI7867">
        <v>92.152346767335203</v>
      </c>
      <c r="AJ7867">
        <v>89.879047402010997</v>
      </c>
      <c r="AK7867">
        <v>29.830062482002901</v>
      </c>
      <c r="AL7867">
        <v>95.267952007484595</v>
      </c>
      <c r="AM7867">
        <v>91.558147454257593</v>
      </c>
      <c r="AN7867">
        <v>0.999999984774532</v>
      </c>
    </row>
    <row r="7868" spans="1:40" x14ac:dyDescent="0.25">
      <c r="A7868" t="str">
        <f>"20190303154334092"</f>
        <v>20190303154334092</v>
      </c>
      <c r="B7868" t="str">
        <f>"1551599014088195"</f>
        <v>1551599014088195</v>
      </c>
      <c r="C7868" t="s">
        <v>40</v>
      </c>
      <c r="D7868">
        <v>5.3519930000000002</v>
      </c>
      <c r="E7868">
        <v>0.51173270000000004</v>
      </c>
      <c r="F7868" t="s">
        <v>70</v>
      </c>
      <c r="G7868">
        <v>-219.97800000000001</v>
      </c>
      <c r="H7868" s="1">
        <v>-3.7496890000000002E-6</v>
      </c>
      <c r="I7868">
        <v>-63.171120000000002</v>
      </c>
      <c r="J7868">
        <v>-249.84229999999999</v>
      </c>
      <c r="K7868">
        <v>1.120322</v>
      </c>
      <c r="L7868">
        <v>-62.450159999999997</v>
      </c>
      <c r="M7868">
        <v>0.9997355</v>
      </c>
      <c r="N7868">
        <v>-7.8666369999999992E-3</v>
      </c>
      <c r="O7868">
        <v>-2.1618769999999999E-2</v>
      </c>
      <c r="P7868">
        <v>0.99502389999999996</v>
      </c>
      <c r="Q7868">
        <v>-9.9485920000000005E-2</v>
      </c>
      <c r="R7868">
        <v>5.5196119999999897E-3</v>
      </c>
      <c r="S7868">
        <v>3.0041959999999999</v>
      </c>
      <c r="T7868">
        <v>-0.1121219</v>
      </c>
      <c r="U7868">
        <v>-7.2479249999999995E-2</v>
      </c>
      <c r="V7868">
        <v>-2.6988669999999999E-2</v>
      </c>
      <c r="W7868">
        <v>-9.1670450000000001E-2</v>
      </c>
      <c r="X7868">
        <v>0.99542359999999996</v>
      </c>
      <c r="Y7868">
        <v>2.5074590000000001E-3</v>
      </c>
      <c r="Z7868">
        <v>5.7969710000000004E-4</v>
      </c>
      <c r="AA7868">
        <v>0.99999669999999896</v>
      </c>
      <c r="AB7868">
        <v>29</v>
      </c>
      <c r="AC7868">
        <v>29.8643</v>
      </c>
      <c r="AD7868">
        <v>-1.120325749689</v>
      </c>
      <c r="AE7868">
        <v>-0.72095999999999705</v>
      </c>
      <c r="AF7868">
        <v>7.5036649131233493E-2</v>
      </c>
      <c r="AG7868">
        <v>-1.120325749689</v>
      </c>
      <c r="AH7868">
        <v>29.8309502654669</v>
      </c>
      <c r="AI7868">
        <v>92.150772289199907</v>
      </c>
      <c r="AJ7868">
        <v>89.855878736738106</v>
      </c>
      <c r="AK7868">
        <v>29.852074534693301</v>
      </c>
      <c r="AL7868">
        <v>95.259714141692598</v>
      </c>
      <c r="AM7868">
        <v>91.5530655974311</v>
      </c>
      <c r="AN7868">
        <v>1.0000000015742601</v>
      </c>
    </row>
    <row r="7869" spans="1:40" x14ac:dyDescent="0.25">
      <c r="A7869" t="str">
        <f>"20190303154334102"</f>
        <v>20190303154334102</v>
      </c>
      <c r="B7869" t="str">
        <f>"1551599014097953"</f>
        <v>1551599014097953</v>
      </c>
      <c r="C7869" t="s">
        <v>40</v>
      </c>
      <c r="D7869">
        <v>5.334066</v>
      </c>
      <c r="E7869">
        <v>0.51171999999999995</v>
      </c>
      <c r="F7869" t="s">
        <v>70</v>
      </c>
      <c r="G7869">
        <v>-219.5257</v>
      </c>
      <c r="H7869" s="1">
        <v>-3.5975159999999999E-6</v>
      </c>
      <c r="I7869">
        <v>-63.180889999999998</v>
      </c>
      <c r="J7869">
        <v>-249.70859999999999</v>
      </c>
      <c r="K7869">
        <v>1.1203270000000001</v>
      </c>
      <c r="L7869">
        <v>-62.452939999999998</v>
      </c>
      <c r="M7869">
        <v>0.99973769999999995</v>
      </c>
      <c r="N7869">
        <v>-7.8958359999999998E-3</v>
      </c>
      <c r="O7869">
        <v>-2.1498469999999999E-2</v>
      </c>
      <c r="P7869">
        <v>0.9950135</v>
      </c>
      <c r="Q7869">
        <v>-9.9572629999999995E-2</v>
      </c>
      <c r="R7869">
        <v>5.7870369999999897E-3</v>
      </c>
      <c r="S7869">
        <v>3.0043030000000002</v>
      </c>
      <c r="T7869">
        <v>-0.1110216</v>
      </c>
      <c r="U7869">
        <v>-7.2418209999999997E-2</v>
      </c>
      <c r="V7869">
        <v>-2.7135670000000001E-2</v>
      </c>
      <c r="W7869">
        <v>-9.1728290000000004E-2</v>
      </c>
      <c r="X7869">
        <v>0.99541429999999997</v>
      </c>
      <c r="Y7869">
        <v>2.606269E-3</v>
      </c>
      <c r="Z7869">
        <v>5.6584569999999995E-4</v>
      </c>
      <c r="AA7869">
        <v>0.99999640000000001</v>
      </c>
      <c r="AB7869">
        <v>29</v>
      </c>
      <c r="AC7869">
        <v>30.182899999999901</v>
      </c>
      <c r="AD7869">
        <v>-1.1203305975160001</v>
      </c>
      <c r="AE7869">
        <v>-0.72794999999999899</v>
      </c>
      <c r="AF7869">
        <v>7.8766889404721596E-2</v>
      </c>
      <c r="AG7869">
        <v>-1.1203305975160001</v>
      </c>
      <c r="AH7869">
        <v>30.150058928405802</v>
      </c>
      <c r="AI7869">
        <v>92.12803819506</v>
      </c>
      <c r="AJ7869">
        <v>89.850315381746796</v>
      </c>
      <c r="AK7869">
        <v>30.170969461668601</v>
      </c>
      <c r="AL7869">
        <v>95.263042021337597</v>
      </c>
      <c r="AM7869">
        <v>91.561535131521396</v>
      </c>
      <c r="AN7869">
        <v>1.00000002620858</v>
      </c>
    </row>
    <row r="7870" spans="1:40" x14ac:dyDescent="0.25">
      <c r="A7870" t="str">
        <f>"20190303154334114"</f>
        <v>20190303154334114</v>
      </c>
      <c r="B7870" t="str">
        <f>"1551599014107713"</f>
        <v>1551599014107713</v>
      </c>
      <c r="C7870" t="s">
        <v>40</v>
      </c>
      <c r="D7870">
        <v>5.3620219999999996</v>
      </c>
      <c r="E7870">
        <v>0.51174889999999995</v>
      </c>
      <c r="F7870" t="s">
        <v>70</v>
      </c>
      <c r="G7870">
        <v>-219.3272</v>
      </c>
      <c r="H7870" s="1">
        <v>-3.5289129999999999E-6</v>
      </c>
      <c r="I7870">
        <v>-63.17503</v>
      </c>
      <c r="J7870">
        <v>-249.54480000000001</v>
      </c>
      <c r="K7870">
        <v>1.1203289999999999</v>
      </c>
      <c r="L7870">
        <v>-62.456330000000001</v>
      </c>
      <c r="M7870">
        <v>0.99974050000000003</v>
      </c>
      <c r="N7870">
        <v>-7.9360590000000005E-3</v>
      </c>
      <c r="O7870">
        <v>-2.1351390000000001E-2</v>
      </c>
      <c r="P7870">
        <v>0.99503200000000003</v>
      </c>
      <c r="Q7870">
        <v>-9.9380040000000003E-2</v>
      </c>
      <c r="R7870">
        <v>5.9397790000000001E-3</v>
      </c>
      <c r="S7870">
        <v>3.0043489999999999</v>
      </c>
      <c r="T7870">
        <v>-0.1107868</v>
      </c>
      <c r="U7870">
        <v>-7.1411130000000003E-2</v>
      </c>
      <c r="V7870">
        <v>-2.714242E-2</v>
      </c>
      <c r="W7870">
        <v>-9.149554E-2</v>
      </c>
      <c r="X7870">
        <v>0.99543550000000003</v>
      </c>
      <c r="Y7870">
        <v>2.418024E-3</v>
      </c>
      <c r="Z7870">
        <v>5.6330799999999999E-4</v>
      </c>
      <c r="AA7870">
        <v>0.99999689999999997</v>
      </c>
      <c r="AB7870">
        <v>29</v>
      </c>
      <c r="AC7870">
        <v>30.217600000000001</v>
      </c>
      <c r="AD7870">
        <v>-1.1203325289129999</v>
      </c>
      <c r="AE7870">
        <v>-0.718700000000005</v>
      </c>
      <c r="AF7870">
        <v>7.3227445632905799E-2</v>
      </c>
      <c r="AG7870">
        <v>-1.1203325289129999</v>
      </c>
      <c r="AH7870">
        <v>30.184588630511801</v>
      </c>
      <c r="AI7870">
        <v>92.125610716020802</v>
      </c>
      <c r="AJ7870">
        <v>89.861001407053095</v>
      </c>
      <c r="AK7870">
        <v>30.205461394048601</v>
      </c>
      <c r="AL7870">
        <v>95.249650305173503</v>
      </c>
      <c r="AM7870">
        <v>91.561890122982405</v>
      </c>
      <c r="AN7870">
        <v>0.99999998973179904</v>
      </c>
    </row>
    <row r="7871" spans="1:40" x14ac:dyDescent="0.25">
      <c r="A7871" t="str">
        <f>"20190303154334127"</f>
        <v>20190303154334127</v>
      </c>
      <c r="B7871" t="str">
        <f>"1551599014118450"</f>
        <v>1551599014118450</v>
      </c>
      <c r="C7871" t="s">
        <v>40</v>
      </c>
      <c r="D7871">
        <v>5.3270119999999999</v>
      </c>
      <c r="E7871">
        <v>0.51175950000000003</v>
      </c>
      <c r="F7871" t="s">
        <v>70</v>
      </c>
      <c r="G7871">
        <v>-218.8519</v>
      </c>
      <c r="H7871" s="1">
        <v>-3.3685750000000002E-6</v>
      </c>
      <c r="I7871">
        <v>-63.182980000000001</v>
      </c>
      <c r="J7871">
        <v>-249.39400000000001</v>
      </c>
      <c r="K7871">
        <v>1.1203369999999999</v>
      </c>
      <c r="L7871">
        <v>-62.459409999999998</v>
      </c>
      <c r="M7871">
        <v>0.9997431</v>
      </c>
      <c r="N7871">
        <v>-7.991237E-3</v>
      </c>
      <c r="O7871">
        <v>-2.1215930000000001E-2</v>
      </c>
      <c r="P7871">
        <v>0.99501620000000002</v>
      </c>
      <c r="Q7871">
        <v>-9.9522780000000005E-2</v>
      </c>
      <c r="R7871">
        <v>6.1719039999999998E-3</v>
      </c>
      <c r="S7871">
        <v>3.0044559999999998</v>
      </c>
      <c r="T7871">
        <v>-0.10966629999999999</v>
      </c>
      <c r="U7871">
        <v>-7.1136469999999993E-2</v>
      </c>
      <c r="V7871">
        <v>-2.7239030000000001E-2</v>
      </c>
      <c r="W7871">
        <v>-9.1583559999999994E-2</v>
      </c>
      <c r="X7871">
        <v>0.99542470000000005</v>
      </c>
      <c r="Y7871">
        <v>2.460982E-3</v>
      </c>
      <c r="Z7871">
        <v>5.4972089999999897E-4</v>
      </c>
      <c r="AA7871">
        <v>0.99999680000000002</v>
      </c>
      <c r="AB7871">
        <v>29</v>
      </c>
      <c r="AC7871">
        <v>30.542100000000001</v>
      </c>
      <c r="AD7871">
        <v>-1.120340368575</v>
      </c>
      <c r="AE7871">
        <v>-0.72357000000000904</v>
      </c>
      <c r="AF7871">
        <v>7.5306185955299296E-2</v>
      </c>
      <c r="AG7871">
        <v>-1.120340368575</v>
      </c>
      <c r="AH7871">
        <v>30.509547433923199</v>
      </c>
      <c r="AI7871">
        <v>92.103005646516294</v>
      </c>
      <c r="AJ7871">
        <v>89.858578109902496</v>
      </c>
      <c r="AK7871">
        <v>30.5302033760981</v>
      </c>
      <c r="AL7871">
        <v>95.2547150931739</v>
      </c>
      <c r="AM7871">
        <v>91.567463701985304</v>
      </c>
      <c r="AN7871">
        <v>0.99999992329384901</v>
      </c>
    </row>
    <row r="7872" spans="1:40" x14ac:dyDescent="0.25">
      <c r="A7872" t="str">
        <f>"20190303154334138"</f>
        <v>20190303154334138</v>
      </c>
      <c r="B7872" t="str">
        <f>"1551599014128210"</f>
        <v>1551599014128210</v>
      </c>
      <c r="C7872" t="s">
        <v>40</v>
      </c>
      <c r="D7872">
        <v>5.3302719999999999</v>
      </c>
      <c r="E7872">
        <v>0.51177470000000003</v>
      </c>
      <c r="F7872" t="s">
        <v>70</v>
      </c>
      <c r="G7872">
        <v>-218.81110000000001</v>
      </c>
      <c r="H7872" s="1">
        <v>-3.3537519999999999E-6</v>
      </c>
      <c r="I7872">
        <v>-63.177570000000003</v>
      </c>
      <c r="J7872">
        <v>-249.2398</v>
      </c>
      <c r="K7872">
        <v>1.1203459999999901</v>
      </c>
      <c r="L7872">
        <v>-62.46255</v>
      </c>
      <c r="M7872">
        <v>0.99974540000000001</v>
      </c>
      <c r="N7872">
        <v>-8.0558130000000002E-3</v>
      </c>
      <c r="O7872">
        <v>-2.1077530000000001E-2</v>
      </c>
      <c r="P7872">
        <v>0.9950194</v>
      </c>
      <c r="Q7872">
        <v>-9.9482249999999994E-2</v>
      </c>
      <c r="R7872">
        <v>6.3018140000000002E-3</v>
      </c>
      <c r="S7872">
        <v>3.0044400000000002</v>
      </c>
      <c r="T7872">
        <v>-0.1100614</v>
      </c>
      <c r="U7872">
        <v>-7.0556640000000004E-2</v>
      </c>
      <c r="V7872">
        <v>-2.7231700000000001E-2</v>
      </c>
      <c r="W7872">
        <v>-9.1478749999999998E-2</v>
      </c>
      <c r="X7872">
        <v>0.99543459999999995</v>
      </c>
      <c r="Y7872">
        <v>2.406657E-3</v>
      </c>
      <c r="Z7872">
        <v>5.4816420000000003E-4</v>
      </c>
      <c r="AA7872">
        <v>0.99999700000000002</v>
      </c>
      <c r="AB7872">
        <v>29</v>
      </c>
      <c r="AC7872">
        <v>30.4286999999999</v>
      </c>
      <c r="AD7872">
        <v>-1.12034935375199</v>
      </c>
      <c r="AE7872">
        <v>-0.71501999999999499</v>
      </c>
      <c r="AF7872">
        <v>7.3379082464755399E-2</v>
      </c>
      <c r="AG7872">
        <v>-1.12034935375199</v>
      </c>
      <c r="AH7872">
        <v>30.395828334023999</v>
      </c>
      <c r="AI7872">
        <v>92.110883653860498</v>
      </c>
      <c r="AJ7872">
        <v>89.861681559848293</v>
      </c>
      <c r="AK7872">
        <v>30.416557123968701</v>
      </c>
      <c r="AL7872">
        <v>95.248684282409002</v>
      </c>
      <c r="AM7872">
        <v>91.567026532070699</v>
      </c>
      <c r="AN7872">
        <v>0.99999998503180598</v>
      </c>
    </row>
    <row r="7873" spans="1:40" x14ac:dyDescent="0.25">
      <c r="A7873" t="str">
        <f>"20190303154334160"</f>
        <v>20190303154334160</v>
      </c>
      <c r="B7873" t="str">
        <f>"1551599014147729"</f>
        <v>1551599014147729</v>
      </c>
      <c r="C7873" t="s">
        <v>40</v>
      </c>
      <c r="D7873">
        <v>5.3430549999999997</v>
      </c>
      <c r="E7873">
        <v>0.51177729999999999</v>
      </c>
      <c r="F7873" t="s">
        <v>70</v>
      </c>
      <c r="G7873">
        <v>-218.5164</v>
      </c>
      <c r="H7873" s="1">
        <v>-3.2542679999999999E-6</v>
      </c>
      <c r="I7873">
        <v>-63.182119999999998</v>
      </c>
      <c r="J7873">
        <v>-248.96459999999999</v>
      </c>
      <c r="K7873">
        <v>1.1203809999999901</v>
      </c>
      <c r="L7873">
        <v>-62.46808</v>
      </c>
      <c r="M7873">
        <v>0.9997492</v>
      </c>
      <c r="N7873">
        <v>-8.2234760000000004E-3</v>
      </c>
      <c r="O7873">
        <v>-2.0830669999999999E-2</v>
      </c>
      <c r="P7873">
        <v>0.9950135</v>
      </c>
      <c r="Q7873">
        <v>-9.9486069999999996E-2</v>
      </c>
      <c r="R7873">
        <v>7.1124480000000004E-3</v>
      </c>
      <c r="S7873">
        <v>3.0045009999999999</v>
      </c>
      <c r="T7873">
        <v>-0.10956100000000001</v>
      </c>
      <c r="U7873">
        <v>-7.0373539999999998E-2</v>
      </c>
      <c r="V7873">
        <v>-2.7796009999999999E-2</v>
      </c>
      <c r="W7873">
        <v>-9.1316129999999995E-2</v>
      </c>
      <c r="X7873">
        <v>0.99543389999999998</v>
      </c>
      <c r="Y7873">
        <v>2.59172E-3</v>
      </c>
      <c r="Z7873">
        <v>5.3000919999999997E-4</v>
      </c>
      <c r="AA7873">
        <v>0.99999649999999995</v>
      </c>
      <c r="AB7873">
        <v>29</v>
      </c>
      <c r="AC7873">
        <v>30.4481999999999</v>
      </c>
      <c r="AD7873">
        <v>-1.12038425426799</v>
      </c>
      <c r="AE7873">
        <v>-0.71403999999999002</v>
      </c>
      <c r="AF7873">
        <v>7.9499622688106106E-2</v>
      </c>
      <c r="AG7873">
        <v>-1.12038425426799</v>
      </c>
      <c r="AH7873">
        <v>30.415308336628499</v>
      </c>
      <c r="AI7873">
        <v>92.109597521890294</v>
      </c>
      <c r="AJ7873">
        <v>89.850240463474606</v>
      </c>
      <c r="AK7873">
        <v>30.4360405157997</v>
      </c>
      <c r="AL7873">
        <v>95.2393278565591</v>
      </c>
      <c r="AM7873">
        <v>91.599483729362007</v>
      </c>
      <c r="AN7873">
        <v>0.99999995151965204</v>
      </c>
    </row>
    <row r="7874" spans="1:40" x14ac:dyDescent="0.25">
      <c r="A7874" t="str">
        <f>"20190303154334170"</f>
        <v>20190303154334170</v>
      </c>
      <c r="B7874" t="str">
        <f>"1551599014158465"</f>
        <v>1551599014158465</v>
      </c>
      <c r="C7874" t="s">
        <v>40</v>
      </c>
      <c r="D7874">
        <v>5.3343020000000001</v>
      </c>
      <c r="E7874">
        <v>0.51180490000000001</v>
      </c>
      <c r="F7874" t="s">
        <v>70</v>
      </c>
      <c r="G7874">
        <v>-218.0573</v>
      </c>
      <c r="H7874" s="1">
        <v>-3.0953269999999999E-6</v>
      </c>
      <c r="I7874">
        <v>-63.166809999999998</v>
      </c>
      <c r="J7874">
        <v>-248.82470000000001</v>
      </c>
      <c r="K7874">
        <v>1.120401</v>
      </c>
      <c r="L7874">
        <v>-62.470889999999997</v>
      </c>
      <c r="M7874">
        <v>0.99975099999999995</v>
      </c>
      <c r="N7874">
        <v>-8.3324490000000005E-3</v>
      </c>
      <c r="O7874">
        <v>-2.0705319999999999E-2</v>
      </c>
      <c r="P7874">
        <v>0.99501439999999997</v>
      </c>
      <c r="Q7874">
        <v>-9.9436090000000005E-2</v>
      </c>
      <c r="R7874">
        <v>7.7058319999999897E-3</v>
      </c>
      <c r="S7874">
        <v>3.0046390000000001</v>
      </c>
      <c r="T7874">
        <v>-0.10891770000000001</v>
      </c>
      <c r="U7874">
        <v>-6.7932129999999993E-2</v>
      </c>
      <c r="V7874">
        <v>-2.8264910000000001E-2</v>
      </c>
      <c r="W7874">
        <v>-9.1157970000000005E-2</v>
      </c>
      <c r="X7874">
        <v>0.99543519999999996</v>
      </c>
      <c r="Y7874">
        <v>1.9042340000000001E-3</v>
      </c>
      <c r="Z7874">
        <v>5.3521969999999999E-4</v>
      </c>
      <c r="AA7874">
        <v>0.99999800000000005</v>
      </c>
      <c r="AB7874">
        <v>29</v>
      </c>
      <c r="AC7874">
        <v>30.767399999999999</v>
      </c>
      <c r="AD7874">
        <v>-1.120404095327</v>
      </c>
      <c r="AE7874">
        <v>-0.69591999999999299</v>
      </c>
      <c r="AF7874">
        <v>5.8622187605209097E-2</v>
      </c>
      <c r="AG7874">
        <v>-1.120404095327</v>
      </c>
      <c r="AH7874">
        <v>30.734478077490401</v>
      </c>
      <c r="AI7874">
        <v>92.087749645239697</v>
      </c>
      <c r="AJ7874">
        <v>89.890715571810105</v>
      </c>
      <c r="AK7874">
        <v>30.754948944738</v>
      </c>
      <c r="AL7874">
        <v>95.230227962654595</v>
      </c>
      <c r="AM7874">
        <v>91.626449448795697</v>
      </c>
      <c r="AN7874">
        <v>0.99999995901543304</v>
      </c>
    </row>
    <row r="7875" spans="1:40" x14ac:dyDescent="0.25">
      <c r="A7875" t="str">
        <f>"20190303154334180"</f>
        <v>20190303154334180</v>
      </c>
      <c r="B7875" t="str">
        <f>"1551599014177986"</f>
        <v>1551599014177986</v>
      </c>
      <c r="C7875" t="s">
        <v>40</v>
      </c>
      <c r="D7875">
        <v>5.3539000000000003</v>
      </c>
      <c r="E7875">
        <v>0.51181069999999995</v>
      </c>
      <c r="F7875" t="s">
        <v>70</v>
      </c>
      <c r="G7875">
        <v>-217.71279999999999</v>
      </c>
      <c r="H7875" s="1">
        <v>-2.976324E-6</v>
      </c>
      <c r="I7875">
        <v>-63.156840000000003</v>
      </c>
      <c r="J7875">
        <v>-248.68860000000001</v>
      </c>
      <c r="K7875">
        <v>1.1204289999999999</v>
      </c>
      <c r="L7875">
        <v>-62.473599999999998</v>
      </c>
      <c r="M7875">
        <v>0.99975239999999999</v>
      </c>
      <c r="N7875">
        <v>-8.4506440000000002E-3</v>
      </c>
      <c r="O7875">
        <v>-2.0582989999999999E-2</v>
      </c>
      <c r="P7875">
        <v>0.99501680000000003</v>
      </c>
      <c r="Q7875">
        <v>-9.9387790000000004E-2</v>
      </c>
      <c r="R7875">
        <v>7.998135E-3</v>
      </c>
      <c r="S7875">
        <v>3.004715</v>
      </c>
      <c r="T7875">
        <v>-0.10820589999999999</v>
      </c>
      <c r="U7875">
        <v>-6.6253660000000006E-2</v>
      </c>
      <c r="V7875">
        <v>-2.8435269999999999E-2</v>
      </c>
      <c r="W7875">
        <v>-9.0992180000000006E-2</v>
      </c>
      <c r="X7875">
        <v>0.99544549999999998</v>
      </c>
      <c r="Y7875">
        <v>1.4677819999999999E-3</v>
      </c>
      <c r="Z7875">
        <v>5.3430419999999897E-4</v>
      </c>
      <c r="AA7875">
        <v>0.99999879999999997</v>
      </c>
      <c r="AB7875">
        <v>29</v>
      </c>
      <c r="AC7875">
        <v>30.9758</v>
      </c>
      <c r="AD7875">
        <v>-1.120431976324</v>
      </c>
      <c r="AE7875">
        <v>-0.68324000000000495</v>
      </c>
      <c r="AF7875">
        <v>4.5438453476017202E-2</v>
      </c>
      <c r="AG7875">
        <v>-1.120431976324</v>
      </c>
      <c r="AH7875">
        <v>30.942836306517201</v>
      </c>
      <c r="AI7875">
        <v>92.073756878608705</v>
      </c>
      <c r="AJ7875">
        <v>89.915863248131004</v>
      </c>
      <c r="AK7875">
        <v>30.963148275951198</v>
      </c>
      <c r="AL7875">
        <v>95.220689339162902</v>
      </c>
      <c r="AM7875">
        <v>91.636230250351204</v>
      </c>
      <c r="AN7875">
        <v>0.99999994243568602</v>
      </c>
    </row>
    <row r="7876" spans="1:40" x14ac:dyDescent="0.25">
      <c r="A7876" t="str">
        <f>"20190303154334191"</f>
        <v>20190303154334191</v>
      </c>
      <c r="B7876" t="str">
        <f>"1551599014187745"</f>
        <v>1551599014187745</v>
      </c>
      <c r="C7876" t="s">
        <v>40</v>
      </c>
      <c r="D7876">
        <v>5.3465749999999996</v>
      </c>
      <c r="E7876">
        <v>0.511799</v>
      </c>
      <c r="F7876" t="s">
        <v>70</v>
      </c>
      <c r="G7876">
        <v>-217.4622</v>
      </c>
      <c r="H7876" s="1">
        <v>-2.8903410000000002E-6</v>
      </c>
      <c r="I7876">
        <v>-63.152869999999901</v>
      </c>
      <c r="J7876">
        <v>-248.54069999999999</v>
      </c>
      <c r="K7876">
        <v>1.1204559999999999</v>
      </c>
      <c r="L7876">
        <v>-62.476500000000001</v>
      </c>
      <c r="M7876">
        <v>0.99975409999999998</v>
      </c>
      <c r="N7876">
        <v>-8.593402E-3</v>
      </c>
      <c r="O7876">
        <v>-2.0450380000000001E-2</v>
      </c>
      <c r="P7876">
        <v>0.99498690000000001</v>
      </c>
      <c r="Q7876">
        <v>-9.9650069999999993E-2</v>
      </c>
      <c r="R7876">
        <v>8.4593949999999998E-3</v>
      </c>
      <c r="S7876">
        <v>3.0047609999999998</v>
      </c>
      <c r="T7876">
        <v>-0.1078136</v>
      </c>
      <c r="U7876">
        <v>-6.536865E-2</v>
      </c>
      <c r="V7876">
        <v>-2.876389E-2</v>
      </c>
      <c r="W7876">
        <v>-9.111284E-2</v>
      </c>
      <c r="X7876">
        <v>0.99542509999999995</v>
      </c>
      <c r="Y7876">
        <v>1.305599E-3</v>
      </c>
      <c r="Z7876">
        <v>5.2865449999999999E-4</v>
      </c>
      <c r="AA7876">
        <v>0.99999899999999997</v>
      </c>
      <c r="AB7876">
        <v>29</v>
      </c>
      <c r="AC7876">
        <v>31.078499999999899</v>
      </c>
      <c r="AD7876">
        <v>-1.120458890341</v>
      </c>
      <c r="AE7876">
        <v>-0.67636999999999103</v>
      </c>
      <c r="AF7876">
        <v>4.0585312464028099E-2</v>
      </c>
      <c r="AG7876">
        <v>-1.120458890341</v>
      </c>
      <c r="AH7876">
        <v>31.045499187359301</v>
      </c>
      <c r="AI7876">
        <v>92.066955296893497</v>
      </c>
      <c r="AJ7876">
        <v>89.925098134976096</v>
      </c>
      <c r="AK7876">
        <v>31.065738283273799</v>
      </c>
      <c r="AL7876">
        <v>95.227631076938906</v>
      </c>
      <c r="AM7876">
        <v>91.655163237112404</v>
      </c>
      <c r="AN7876">
        <v>1.0000000203454</v>
      </c>
    </row>
    <row r="7877" spans="1:40" x14ac:dyDescent="0.25">
      <c r="A7877" t="str">
        <f>"20190303154334204"</f>
        <v>20190303154334204</v>
      </c>
      <c r="B7877" t="str">
        <f>"1551599014197505"</f>
        <v>1551599014197505</v>
      </c>
      <c r="C7877" t="s">
        <v>40</v>
      </c>
      <c r="D7877">
        <v>5.3143320000000003</v>
      </c>
      <c r="E7877">
        <v>0.51180559999999997</v>
      </c>
      <c r="F7877" t="s">
        <v>70</v>
      </c>
      <c r="G7877">
        <v>-217.505</v>
      </c>
      <c r="H7877" s="1">
        <v>-2.9019990000000001E-6</v>
      </c>
      <c r="I7877">
        <v>-63.136490000000002</v>
      </c>
      <c r="J7877">
        <v>-248.3888</v>
      </c>
      <c r="K7877">
        <v>1.1204889999999901</v>
      </c>
      <c r="L7877">
        <v>-62.479489999999998</v>
      </c>
      <c r="M7877">
        <v>0.99975519999999996</v>
      </c>
      <c r="N7877">
        <v>-8.7672159999999996E-3</v>
      </c>
      <c r="O7877">
        <v>-2.031517E-2</v>
      </c>
      <c r="P7877">
        <v>0.9949462</v>
      </c>
      <c r="Q7877">
        <v>-0.10001160000000001</v>
      </c>
      <c r="R7877">
        <v>8.9331689999999995E-3</v>
      </c>
      <c r="S7877">
        <v>3.0047760000000001</v>
      </c>
      <c r="T7877">
        <v>-0.1084793</v>
      </c>
      <c r="U7877">
        <v>-6.3903810000000005E-2</v>
      </c>
      <c r="V7877">
        <v>-2.910134E-2</v>
      </c>
      <c r="W7877">
        <v>-9.1302099999999997E-2</v>
      </c>
      <c r="X7877">
        <v>0.99539789999999995</v>
      </c>
      <c r="Y7877">
        <v>9.5366669999999995E-4</v>
      </c>
      <c r="Z7877">
        <v>5.3356919999999997E-4</v>
      </c>
      <c r="AA7877">
        <v>0.99999939999999998</v>
      </c>
      <c r="AB7877">
        <v>29</v>
      </c>
      <c r="AC7877">
        <v>30.883800000000001</v>
      </c>
      <c r="AD7877">
        <v>-1.1204919019989901</v>
      </c>
      <c r="AE7877">
        <v>-0.65699999999999603</v>
      </c>
      <c r="AF7877">
        <v>2.93919785535144E-2</v>
      </c>
      <c r="AG7877">
        <v>-1.1204919019989901</v>
      </c>
      <c r="AH7877">
        <v>30.850183634616801</v>
      </c>
      <c r="AI7877">
        <v>92.080091997911694</v>
      </c>
      <c r="AJ7877">
        <v>89.9454124541666</v>
      </c>
      <c r="AK7877">
        <v>30.8705392936441</v>
      </c>
      <c r="AL7877">
        <v>95.238520525474897</v>
      </c>
      <c r="AM7877">
        <v>91.674615895180906</v>
      </c>
      <c r="AN7877">
        <v>0.99999997038930699</v>
      </c>
    </row>
    <row r="7878" spans="1:40" x14ac:dyDescent="0.25">
      <c r="A7878" t="str">
        <f>"20190303154334214"</f>
        <v>20190303154334214</v>
      </c>
      <c r="B7878" t="str">
        <f>"1551599014208241"</f>
        <v>1551599014208241</v>
      </c>
      <c r="C7878" t="s">
        <v>40</v>
      </c>
      <c r="D7878">
        <v>5.315334</v>
      </c>
      <c r="E7878">
        <v>0.5117699</v>
      </c>
      <c r="F7878" t="s">
        <v>70</v>
      </c>
      <c r="G7878">
        <v>-217.63290000000001</v>
      </c>
      <c r="H7878" s="1">
        <v>-2.9425409999999999E-6</v>
      </c>
      <c r="I7878">
        <v>-63.119779999999999</v>
      </c>
      <c r="J7878">
        <v>-248.25110000000001</v>
      </c>
      <c r="K7878">
        <v>1.1205240000000001</v>
      </c>
      <c r="L7878">
        <v>-62.482149999999997</v>
      </c>
      <c r="M7878">
        <v>0.99975630000000004</v>
      </c>
      <c r="N7878">
        <v>-8.935732E-3</v>
      </c>
      <c r="O7878">
        <v>-2.019342E-2</v>
      </c>
      <c r="P7878">
        <v>0.99487210000000004</v>
      </c>
      <c r="Q7878">
        <v>-0.1007126</v>
      </c>
      <c r="R7878">
        <v>9.3329480000000006E-3</v>
      </c>
      <c r="S7878">
        <v>3.004807</v>
      </c>
      <c r="T7878">
        <v>-0.1094705</v>
      </c>
      <c r="U7878">
        <v>-6.2561039999999998E-2</v>
      </c>
      <c r="V7878">
        <v>-2.9378029999999999E-2</v>
      </c>
      <c r="W7878">
        <v>-9.183624E-2</v>
      </c>
      <c r="X7878">
        <v>0.99534060000000002</v>
      </c>
      <c r="Y7878">
        <v>6.2882379999999998E-4</v>
      </c>
      <c r="Z7878">
        <v>5.4062160000000001E-4</v>
      </c>
      <c r="AA7878">
        <v>0.99999959999999999</v>
      </c>
      <c r="AB7878">
        <v>29</v>
      </c>
      <c r="AC7878">
        <v>30.618200000000002</v>
      </c>
      <c r="AD7878">
        <v>-1.120526942541</v>
      </c>
      <c r="AE7878">
        <v>-0.63763000000000802</v>
      </c>
      <c r="AF7878">
        <v>1.9163545698636899E-2</v>
      </c>
      <c r="AG7878">
        <v>-1.120526942541</v>
      </c>
      <c r="AH7878">
        <v>30.583888707423899</v>
      </c>
      <c r="AI7878">
        <v>92.098253406203199</v>
      </c>
      <c r="AJ7878">
        <v>89.964099066804494</v>
      </c>
      <c r="AK7878">
        <v>30.6044146544013</v>
      </c>
      <c r="AL7878">
        <v>95.269253790201205</v>
      </c>
      <c r="AM7878">
        <v>91.690625892935302</v>
      </c>
      <c r="AN7878">
        <v>0.99999993681618704</v>
      </c>
    </row>
    <row r="7879" spans="1:40" x14ac:dyDescent="0.25">
      <c r="A7879" t="str">
        <f>"20190303154334225"</f>
        <v>20190303154334225</v>
      </c>
      <c r="B7879" t="str">
        <f>"1551599014218001"</f>
        <v>1551599014218001</v>
      </c>
      <c r="C7879" t="s">
        <v>40</v>
      </c>
      <c r="D7879">
        <v>5.3431680000000004</v>
      </c>
      <c r="E7879">
        <v>0.51174679999999995</v>
      </c>
      <c r="F7879" t="s">
        <v>70</v>
      </c>
      <c r="G7879">
        <v>-218.10740000000001</v>
      </c>
      <c r="H7879" s="1">
        <v>-3.099696E-6</v>
      </c>
      <c r="I7879">
        <v>-63.095309999999998</v>
      </c>
      <c r="J7879">
        <v>-248.10169999999999</v>
      </c>
      <c r="K7879">
        <v>1.120563</v>
      </c>
      <c r="L7879">
        <v>-62.485050000000001</v>
      </c>
      <c r="M7879">
        <v>0.99975689999999995</v>
      </c>
      <c r="N7879">
        <v>-9.1582580000000007E-3</v>
      </c>
      <c r="O7879">
        <v>-2.006405E-2</v>
      </c>
      <c r="P7879">
        <v>0.99479459999999997</v>
      </c>
      <c r="Q7879">
        <v>-0.101466</v>
      </c>
      <c r="R7879">
        <v>9.4134949999999992E-3</v>
      </c>
      <c r="S7879">
        <v>3.0047299999999999</v>
      </c>
      <c r="T7879">
        <v>-0.1116946</v>
      </c>
      <c r="U7879">
        <v>-6.1126710000000001E-2</v>
      </c>
      <c r="V7879">
        <v>-2.932769E-2</v>
      </c>
      <c r="W7879">
        <v>-9.2368800000000001E-2</v>
      </c>
      <c r="X7879">
        <v>0.99529279999999998</v>
      </c>
      <c r="Y7879">
        <v>2.820764E-4</v>
      </c>
      <c r="Z7879">
        <v>5.5518869999999999E-4</v>
      </c>
      <c r="AA7879">
        <v>0.99999979999999999</v>
      </c>
      <c r="AB7879">
        <v>29</v>
      </c>
      <c r="AC7879">
        <v>29.9942999999999</v>
      </c>
      <c r="AD7879">
        <v>-1.1205660996960001</v>
      </c>
      <c r="AE7879">
        <v>-0.61025999999999603</v>
      </c>
      <c r="AF7879">
        <v>8.2932876282685204E-3</v>
      </c>
      <c r="AG7879">
        <v>-1.1205660996960001</v>
      </c>
      <c r="AH7879">
        <v>29.9587097511119</v>
      </c>
      <c r="AI7879">
        <v>92.142074551031499</v>
      </c>
      <c r="AJ7879">
        <v>89.984139157820906</v>
      </c>
      <c r="AK7879">
        <v>29.979660223454498</v>
      </c>
      <c r="AL7879">
        <v>95.299897502327198</v>
      </c>
      <c r="AM7879">
        <v>91.687811647636096</v>
      </c>
      <c r="AN7879">
        <v>0.99999993317300495</v>
      </c>
    </row>
    <row r="7880" spans="1:40" x14ac:dyDescent="0.25">
      <c r="A7880" t="str">
        <f>"20190303154334236"</f>
        <v>20190303154334236</v>
      </c>
      <c r="B7880" t="str">
        <f>"1551599014227761"</f>
        <v>1551599014227761</v>
      </c>
      <c r="C7880" t="s">
        <v>40</v>
      </c>
      <c r="D7880">
        <v>5.3196839999999996</v>
      </c>
      <c r="E7880">
        <v>0.51172489999999904</v>
      </c>
      <c r="F7880" t="s">
        <v>70</v>
      </c>
      <c r="G7880">
        <v>-218.56360000000001</v>
      </c>
      <c r="H7880" s="1">
        <v>-3.252685E-6</v>
      </c>
      <c r="I7880">
        <v>-63.082610000000003</v>
      </c>
      <c r="J7880">
        <v>-247.9641</v>
      </c>
      <c r="K7880">
        <v>1.1206</v>
      </c>
      <c r="L7880">
        <v>-62.487670000000001</v>
      </c>
      <c r="M7880">
        <v>0.99975709999999995</v>
      </c>
      <c r="N7880">
        <v>-9.3707270000000006E-3</v>
      </c>
      <c r="O7880">
        <v>-1.994491E-2</v>
      </c>
      <c r="P7880">
        <v>0.99474189999999996</v>
      </c>
      <c r="Q7880">
        <v>-0.10193969999999999</v>
      </c>
      <c r="R7880">
        <v>9.845108E-3</v>
      </c>
      <c r="S7880">
        <v>3.0046539999999999</v>
      </c>
      <c r="T7880">
        <v>-0.1139855</v>
      </c>
      <c r="U7880">
        <v>-6.0791020000000001E-2</v>
      </c>
      <c r="V7880">
        <v>-2.9639720000000001E-2</v>
      </c>
      <c r="W7880">
        <v>-9.2631790000000006E-2</v>
      </c>
      <c r="X7880">
        <v>0.99525920000000001</v>
      </c>
      <c r="Y7880">
        <v>2.9028309999999999E-4</v>
      </c>
      <c r="Z7880">
        <v>5.6249570000000001E-4</v>
      </c>
      <c r="AA7880">
        <v>0.99999979999999999</v>
      </c>
      <c r="AB7880">
        <v>29</v>
      </c>
      <c r="AC7880">
        <v>29.400499999999901</v>
      </c>
      <c r="AD7880">
        <v>-1.1206032526850001</v>
      </c>
      <c r="AE7880">
        <v>-0.59494000000000102</v>
      </c>
      <c r="AF7880">
        <v>8.3933436893172102E-3</v>
      </c>
      <c r="AG7880">
        <v>-1.1206032526850001</v>
      </c>
      <c r="AH7880">
        <v>29.363876450753001</v>
      </c>
      <c r="AI7880">
        <v>92.185497955482305</v>
      </c>
      <c r="AJ7880">
        <v>89.983622627035899</v>
      </c>
      <c r="AK7880">
        <v>29.385252462982798</v>
      </c>
      <c r="AL7880">
        <v>95.315030147192203</v>
      </c>
      <c r="AM7880">
        <v>91.705816006503596</v>
      </c>
      <c r="AN7880">
        <v>1.00000001835246</v>
      </c>
    </row>
    <row r="7881" spans="1:40" x14ac:dyDescent="0.25">
      <c r="A7881" t="str">
        <f>"20190303154334248"</f>
        <v>20190303154334248</v>
      </c>
      <c r="B7881" t="str">
        <f>"1551599014238497"</f>
        <v>1551599014238497</v>
      </c>
      <c r="C7881" t="s">
        <v>40</v>
      </c>
      <c r="D7881">
        <v>5.3559419999999998</v>
      </c>
      <c r="E7881">
        <v>0.51173539999999995</v>
      </c>
      <c r="F7881" t="s">
        <v>70</v>
      </c>
      <c r="G7881">
        <v>-218.78700000000001</v>
      </c>
      <c r="H7881" s="1">
        <v>-3.3255039999999999E-6</v>
      </c>
      <c r="I7881">
        <v>-63.064610000000002</v>
      </c>
      <c r="J7881">
        <v>-247.8117</v>
      </c>
      <c r="K7881">
        <v>1.1206400000000001</v>
      </c>
      <c r="L7881">
        <v>-62.490540000000003</v>
      </c>
      <c r="M7881">
        <v>0.99975729999999996</v>
      </c>
      <c r="N7881">
        <v>-9.6434069999999997E-3</v>
      </c>
      <c r="O7881">
        <v>-1.9811550000000001E-2</v>
      </c>
      <c r="P7881">
        <v>0.99468319999999999</v>
      </c>
      <c r="Q7881">
        <v>-0.1024838</v>
      </c>
      <c r="R7881">
        <v>1.0125779999999999E-2</v>
      </c>
      <c r="S7881">
        <v>3.0046080000000002</v>
      </c>
      <c r="T7881">
        <v>-0.11539779999999999</v>
      </c>
      <c r="U7881">
        <v>-5.941772E-2</v>
      </c>
      <c r="V7881">
        <v>-2.9787029999999999E-2</v>
      </c>
      <c r="W7881">
        <v>-9.2904970000000003E-2</v>
      </c>
      <c r="X7881">
        <v>0.99522929999999998</v>
      </c>
      <c r="Y7881" s="1">
        <v>-3.2598409999999997E-5</v>
      </c>
      <c r="Z7881">
        <v>5.7025239999999996E-4</v>
      </c>
      <c r="AA7881">
        <v>0.99999979999999999</v>
      </c>
      <c r="AB7881">
        <v>29</v>
      </c>
      <c r="AC7881">
        <v>29.024699999999999</v>
      </c>
      <c r="AD7881">
        <v>-1.12064332550399</v>
      </c>
      <c r="AE7881">
        <v>-0.57406999999999098</v>
      </c>
      <c r="AF7881">
        <v>-1.09204553569375E-3</v>
      </c>
      <c r="AG7881">
        <v>-1.12064332550399</v>
      </c>
      <c r="AH7881">
        <v>28.987181397513801</v>
      </c>
      <c r="AI7881">
        <v>92.213950100426203</v>
      </c>
      <c r="AJ7881">
        <v>90.002158526534302</v>
      </c>
      <c r="AK7881">
        <v>29.008835344217601</v>
      </c>
      <c r="AL7881">
        <v>95.330750200999304</v>
      </c>
      <c r="AM7881">
        <v>91.714340372050799</v>
      </c>
      <c r="AN7881">
        <v>0.99999998009270497</v>
      </c>
    </row>
    <row r="7882" spans="1:40" x14ac:dyDescent="0.25">
      <c r="A7882" t="str">
        <f>"20190303154334258"</f>
        <v>20190303154334258</v>
      </c>
      <c r="B7882" t="str">
        <f>"1551599014248258"</f>
        <v>1551599014248258</v>
      </c>
      <c r="C7882" t="s">
        <v>40</v>
      </c>
      <c r="D7882">
        <v>5.4595500000000001</v>
      </c>
      <c r="E7882">
        <v>0.51156840000000003</v>
      </c>
      <c r="F7882" t="s">
        <v>70</v>
      </c>
      <c r="G7882">
        <v>-218.9699</v>
      </c>
      <c r="H7882" s="1">
        <v>-3.3859379999999998E-6</v>
      </c>
      <c r="I7882">
        <v>-63.054389999999998</v>
      </c>
      <c r="J7882">
        <v>-247.67070000000001</v>
      </c>
      <c r="K7882">
        <v>1.120684</v>
      </c>
      <c r="L7882">
        <v>-62.493229999999997</v>
      </c>
      <c r="M7882">
        <v>0.99975720000000001</v>
      </c>
      <c r="N7882">
        <v>-9.9013130000000001E-3</v>
      </c>
      <c r="O7882">
        <v>-1.968723E-2</v>
      </c>
      <c r="P7882">
        <v>0.99464719999999995</v>
      </c>
      <c r="Q7882">
        <v>-0.1028261</v>
      </c>
      <c r="R7882">
        <v>1.0196139999999999E-2</v>
      </c>
      <c r="S7882">
        <v>3.004623</v>
      </c>
      <c r="T7882">
        <v>-0.1167443</v>
      </c>
      <c r="U7882">
        <v>-5.8746340000000001E-2</v>
      </c>
      <c r="V7882">
        <v>-2.9733160000000002E-2</v>
      </c>
      <c r="W7882">
        <v>-9.2990669999999997E-2</v>
      </c>
      <c r="X7882">
        <v>0.99522290000000002</v>
      </c>
      <c r="Y7882">
        <v>-1.3160750000000001E-4</v>
      </c>
      <c r="Z7882">
        <v>5.7283759999999997E-4</v>
      </c>
      <c r="AA7882">
        <v>0.99999979999999999</v>
      </c>
      <c r="AB7882">
        <v>29</v>
      </c>
      <c r="AC7882">
        <v>28.700800000000001</v>
      </c>
      <c r="AD7882">
        <v>-1.120687385938</v>
      </c>
      <c r="AE7882">
        <v>-0.56116000000000099</v>
      </c>
      <c r="AF7882">
        <v>-4.0095860822949502E-3</v>
      </c>
      <c r="AG7882">
        <v>-1.120687385938</v>
      </c>
      <c r="AH7882">
        <v>28.6626002934612</v>
      </c>
      <c r="AI7882">
        <v>92.239083868296404</v>
      </c>
      <c r="AJ7882">
        <v>90.008015056424</v>
      </c>
      <c r="AK7882">
        <v>28.6845012485227</v>
      </c>
      <c r="AL7882">
        <v>95.335681835814</v>
      </c>
      <c r="AM7882">
        <v>91.711252821563704</v>
      </c>
      <c r="AN7882">
        <v>0.99999997309752198</v>
      </c>
    </row>
    <row r="7883" spans="1:40" x14ac:dyDescent="0.25">
      <c r="A7883" t="str">
        <f>"20190303154334269"</f>
        <v>20190303154334269</v>
      </c>
      <c r="B7883" t="str">
        <f>"1551599014258017"</f>
        <v>1551599014258017</v>
      </c>
      <c r="C7883" t="s">
        <v>40</v>
      </c>
      <c r="D7883">
        <v>5.3547750000000001</v>
      </c>
      <c r="E7883">
        <v>0.51158400000000004</v>
      </c>
      <c r="F7883" t="s">
        <v>70</v>
      </c>
      <c r="G7883">
        <v>-219.56790000000001</v>
      </c>
      <c r="H7883" s="1">
        <v>-3.5848879999999999E-6</v>
      </c>
      <c r="I7883">
        <v>-63.028689999999997</v>
      </c>
      <c r="J7883">
        <v>-247.52930000000001</v>
      </c>
      <c r="K7883">
        <v>1.1207260000000001</v>
      </c>
      <c r="L7883">
        <v>-62.49588</v>
      </c>
      <c r="M7883">
        <v>0.99975689999999995</v>
      </c>
      <c r="N7883">
        <v>-1.0172560000000001E-2</v>
      </c>
      <c r="O7883">
        <v>-1.9560500000000001E-2</v>
      </c>
      <c r="P7883">
        <v>0.99466909999999997</v>
      </c>
      <c r="Q7883">
        <v>-0.10259210000000001</v>
      </c>
      <c r="R7883">
        <v>1.040087E-2</v>
      </c>
      <c r="S7883">
        <v>3.0043489999999999</v>
      </c>
      <c r="T7883">
        <v>-0.119808</v>
      </c>
      <c r="U7883">
        <v>-5.725098E-2</v>
      </c>
      <c r="V7883">
        <v>-2.9813349999999999E-2</v>
      </c>
      <c r="W7883">
        <v>-9.2486380000000007E-2</v>
      </c>
      <c r="X7883">
        <v>0.99526749999999997</v>
      </c>
      <c r="Y7883">
        <v>-4.9991599999999999E-4</v>
      </c>
      <c r="Z7883">
        <v>5.9316299999999996E-4</v>
      </c>
      <c r="AA7883">
        <v>0.99999970000000005</v>
      </c>
      <c r="AB7883">
        <v>29</v>
      </c>
      <c r="AC7883">
        <v>27.961400000000001</v>
      </c>
      <c r="AD7883">
        <v>-1.1207295848879999</v>
      </c>
      <c r="AE7883">
        <v>-0.53280999999999701</v>
      </c>
      <c r="AF7883">
        <v>-1.42363663576302E-2</v>
      </c>
      <c r="AG7883">
        <v>-1.1207295848879999</v>
      </c>
      <c r="AH7883">
        <v>27.921632161314001</v>
      </c>
      <c r="AI7883">
        <v>92.298526655342101</v>
      </c>
      <c r="AJ7883">
        <v>90.029213322218993</v>
      </c>
      <c r="AK7883">
        <v>27.944118880871802</v>
      </c>
      <c r="AL7883">
        <v>95.306663045293703</v>
      </c>
      <c r="AM7883">
        <v>91.715788450514495</v>
      </c>
      <c r="AN7883">
        <v>0.99999998143998803</v>
      </c>
    </row>
    <row r="7884" spans="1:40" x14ac:dyDescent="0.25">
      <c r="A7884" t="str">
        <f>"20190303154334282"</f>
        <v>20190303154334282</v>
      </c>
      <c r="B7884" t="str">
        <f>"1551599014277538"</f>
        <v>1551599014277538</v>
      </c>
      <c r="C7884" t="s">
        <v>40</v>
      </c>
      <c r="D7884">
        <v>5.3561899999999998</v>
      </c>
      <c r="E7884">
        <v>0.5115942</v>
      </c>
      <c r="F7884" t="s">
        <v>70</v>
      </c>
      <c r="G7884">
        <v>-219.16220000000001</v>
      </c>
      <c r="H7884" s="1">
        <v>-3.4473480000000001E-6</v>
      </c>
      <c r="I7884">
        <v>-63.031759999999998</v>
      </c>
      <c r="J7884">
        <v>-247.3783</v>
      </c>
      <c r="K7884">
        <v>1.12077</v>
      </c>
      <c r="L7884">
        <v>-62.498690000000003</v>
      </c>
      <c r="M7884">
        <v>0.9997566</v>
      </c>
      <c r="N7884">
        <v>-1.046192E-2</v>
      </c>
      <c r="O7884">
        <v>-1.9424730000000001E-2</v>
      </c>
      <c r="P7884">
        <v>0.99469909999999995</v>
      </c>
      <c r="Q7884">
        <v>-0.1022745</v>
      </c>
      <c r="R7884">
        <v>1.067182E-2</v>
      </c>
      <c r="S7884">
        <v>3.0044400000000002</v>
      </c>
      <c r="T7884">
        <v>-0.1186996</v>
      </c>
      <c r="U7884">
        <v>-5.6762699999999902E-2</v>
      </c>
      <c r="V7884">
        <v>-2.995076E-2</v>
      </c>
      <c r="W7884">
        <v>-9.1880340000000005E-2</v>
      </c>
      <c r="X7884">
        <v>0.99531950000000002</v>
      </c>
      <c r="Y7884">
        <v>-5.2762129999999895E-4</v>
      </c>
      <c r="Z7884">
        <v>5.7700540000000004E-4</v>
      </c>
      <c r="AA7884">
        <v>0.99999970000000005</v>
      </c>
      <c r="AB7884">
        <v>29</v>
      </c>
      <c r="AC7884">
        <v>28.216099999999901</v>
      </c>
      <c r="AD7884">
        <v>-1.120773447348</v>
      </c>
      <c r="AE7884">
        <v>-0.53306999999999505</v>
      </c>
      <c r="AF7884">
        <v>-1.51268442575854E-2</v>
      </c>
      <c r="AG7884">
        <v>-1.120773447348</v>
      </c>
      <c r="AH7884">
        <v>28.176690700247399</v>
      </c>
      <c r="AI7884">
        <v>92.277831169830193</v>
      </c>
      <c r="AJ7884">
        <v>90.030759618269798</v>
      </c>
      <c r="AK7884">
        <v>28.1989762360108</v>
      </c>
      <c r="AL7884">
        <v>95.271791055334305</v>
      </c>
      <c r="AM7884">
        <v>91.723601776173595</v>
      </c>
      <c r="AN7884">
        <v>0.99999997599167101</v>
      </c>
    </row>
    <row r="7885" spans="1:40" x14ac:dyDescent="0.25">
      <c r="A7885" t="str">
        <f>"20190303154334293"</f>
        <v>20190303154334293</v>
      </c>
      <c r="B7885" t="str">
        <f>"1551599014288274"</f>
        <v>1551599014288274</v>
      </c>
      <c r="C7885" t="s">
        <v>40</v>
      </c>
      <c r="D7885">
        <v>5.3363639999999997</v>
      </c>
      <c r="E7885">
        <v>0.51160720000000004</v>
      </c>
      <c r="F7885" t="s">
        <v>70</v>
      </c>
      <c r="G7885">
        <v>-218.68279999999999</v>
      </c>
      <c r="H7885" s="1">
        <v>-3.284636E-6</v>
      </c>
      <c r="I7885">
        <v>-63.034050000000001</v>
      </c>
      <c r="J7885">
        <v>-247.23570000000001</v>
      </c>
      <c r="K7885">
        <v>1.120808</v>
      </c>
      <c r="L7885">
        <v>-62.501339999999999</v>
      </c>
      <c r="M7885">
        <v>0.99975630000000004</v>
      </c>
      <c r="N7885">
        <v>-1.073491E-2</v>
      </c>
      <c r="O7885">
        <v>-1.9295940000000001E-2</v>
      </c>
      <c r="P7885">
        <v>0.99472309999999997</v>
      </c>
      <c r="Q7885">
        <v>-0.10206030000000001</v>
      </c>
      <c r="R7885">
        <v>1.048807E-2</v>
      </c>
      <c r="S7885">
        <v>3.0045320000000002</v>
      </c>
      <c r="T7885">
        <v>-0.1173496</v>
      </c>
      <c r="U7885">
        <v>-5.6060789999999999E-2</v>
      </c>
      <c r="V7885">
        <v>-2.9639800000000001E-2</v>
      </c>
      <c r="W7885">
        <v>-9.1393749999999996E-2</v>
      </c>
      <c r="X7885">
        <v>0.99537359999999997</v>
      </c>
      <c r="Y7885">
        <v>-6.3332069999999996E-4</v>
      </c>
      <c r="Z7885">
        <v>5.6190389999999997E-4</v>
      </c>
      <c r="AA7885">
        <v>0.99999959999999999</v>
      </c>
      <c r="AB7885">
        <v>29</v>
      </c>
      <c r="AC7885">
        <v>28.552900000000001</v>
      </c>
      <c r="AD7885">
        <v>-1.1208112846359899</v>
      </c>
      <c r="AE7885">
        <v>-0.53271000000000102</v>
      </c>
      <c r="AF7885">
        <v>-1.8347661936527201E-2</v>
      </c>
      <c r="AG7885">
        <v>-1.1208112846359899</v>
      </c>
      <c r="AH7885">
        <v>28.513942184696099</v>
      </c>
      <c r="AI7885">
        <v>92.250993544128804</v>
      </c>
      <c r="AJ7885">
        <v>90.036867699352101</v>
      </c>
      <c r="AK7885">
        <v>28.535967715931001</v>
      </c>
      <c r="AL7885">
        <v>95.243793735941395</v>
      </c>
      <c r="AM7885">
        <v>91.705624670833501</v>
      </c>
      <c r="AN7885">
        <v>0.99999996943003</v>
      </c>
    </row>
    <row r="7886" spans="1:40" x14ac:dyDescent="0.25">
      <c r="A7886" t="str">
        <f>"20190303154334305"</f>
        <v>20190303154334305</v>
      </c>
      <c r="B7886" t="str">
        <f>"1551599014298033"</f>
        <v>1551599014298033</v>
      </c>
      <c r="C7886" t="s">
        <v>40</v>
      </c>
      <c r="D7886">
        <v>5.3477540000000001</v>
      </c>
      <c r="E7886">
        <v>0.51163999999999998</v>
      </c>
      <c r="F7886" t="s">
        <v>70</v>
      </c>
      <c r="G7886">
        <v>-218.2861</v>
      </c>
      <c r="H7886" s="1">
        <v>-3.1522519999999998E-6</v>
      </c>
      <c r="I7886">
        <v>-63.048789999999997</v>
      </c>
      <c r="J7886">
        <v>-247.08330000000001</v>
      </c>
      <c r="K7886">
        <v>1.120846</v>
      </c>
      <c r="L7886">
        <v>-62.504150000000003</v>
      </c>
      <c r="M7886">
        <v>0.99975579999999997</v>
      </c>
      <c r="N7886">
        <v>-1.1017040000000001E-2</v>
      </c>
      <c r="O7886">
        <v>-1.915876E-2</v>
      </c>
      <c r="P7886">
        <v>0.99474839999999998</v>
      </c>
      <c r="Q7886">
        <v>-0.1017912</v>
      </c>
      <c r="R7886">
        <v>1.0698289999999999E-2</v>
      </c>
      <c r="S7886">
        <v>3.004578</v>
      </c>
      <c r="T7886">
        <v>-0.11632530000000001</v>
      </c>
      <c r="U7886">
        <v>-5.6823730000000003E-2</v>
      </c>
      <c r="V7886">
        <v>-2.9714399999999998E-2</v>
      </c>
      <c r="W7886">
        <v>-9.0843499999999994E-2</v>
      </c>
      <c r="X7886">
        <v>0.99542180000000002</v>
      </c>
      <c r="Y7886">
        <v>-2.4338990000000001E-4</v>
      </c>
      <c r="Z7886">
        <v>5.3636709999999998E-4</v>
      </c>
      <c r="AA7886">
        <v>0.99999979999999999</v>
      </c>
      <c r="AB7886">
        <v>29</v>
      </c>
      <c r="AC7886">
        <v>28.7972</v>
      </c>
      <c r="AD7886">
        <v>-1.1208491522519901</v>
      </c>
      <c r="AE7886">
        <v>-0.54464000000000101</v>
      </c>
      <c r="AF7886">
        <v>-7.2011765134093403E-3</v>
      </c>
      <c r="AG7886">
        <v>-1.1208491522519901</v>
      </c>
      <c r="AH7886">
        <v>28.7587969006481</v>
      </c>
      <c r="AI7886">
        <v>92.231923587919297</v>
      </c>
      <c r="AJ7886">
        <v>90.014346810631494</v>
      </c>
      <c r="AK7886">
        <v>28.780631574928599</v>
      </c>
      <c r="AL7886">
        <v>95.212134750583104</v>
      </c>
      <c r="AM7886">
        <v>91.709832240719606</v>
      </c>
      <c r="AN7886">
        <v>1.00000002348742</v>
      </c>
    </row>
    <row r="7887" spans="1:40" x14ac:dyDescent="0.25">
      <c r="A7887" t="str">
        <f>"20190303154334317"</f>
        <v>20190303154334317</v>
      </c>
      <c r="B7887" t="str">
        <f>"1551599014307793"</f>
        <v>1551599014307793</v>
      </c>
      <c r="C7887" t="s">
        <v>40</v>
      </c>
      <c r="D7887">
        <v>5.3535959999999996</v>
      </c>
      <c r="E7887">
        <v>0.51162940000000001</v>
      </c>
      <c r="F7887" t="s">
        <v>70</v>
      </c>
      <c r="G7887">
        <v>-217.81950000000001</v>
      </c>
      <c r="H7887" s="1">
        <v>-2.9944929999999999E-6</v>
      </c>
      <c r="I7887">
        <v>-63.054549999999999</v>
      </c>
      <c r="J7887">
        <v>-246.92169999999999</v>
      </c>
      <c r="K7887">
        <v>1.120879</v>
      </c>
      <c r="L7887">
        <v>-62.507109999999997</v>
      </c>
      <c r="M7887">
        <v>0.99975530000000001</v>
      </c>
      <c r="N7887">
        <v>-1.1310600000000001E-2</v>
      </c>
      <c r="O7887">
        <v>-1.9013700000000001E-2</v>
      </c>
      <c r="P7887">
        <v>0.99475800000000003</v>
      </c>
      <c r="Q7887">
        <v>-0.1017117</v>
      </c>
      <c r="R7887">
        <v>1.0555989999999999E-2</v>
      </c>
      <c r="S7887">
        <v>3.0046539999999999</v>
      </c>
      <c r="T7887">
        <v>-0.1150829</v>
      </c>
      <c r="U7887">
        <v>-5.6518550000000001E-2</v>
      </c>
      <c r="V7887">
        <v>-2.942871E-2</v>
      </c>
      <c r="W7887">
        <v>-9.0471300000000004E-2</v>
      </c>
      <c r="X7887">
        <v>0.99546409999999996</v>
      </c>
      <c r="Y7887">
        <v>-2.008294E-4</v>
      </c>
      <c r="Z7887">
        <v>5.1782990000000001E-4</v>
      </c>
      <c r="AA7887">
        <v>0.99999979999999999</v>
      </c>
      <c r="AB7887">
        <v>29</v>
      </c>
      <c r="AC7887">
        <v>29.1021999999999</v>
      </c>
      <c r="AD7887">
        <v>-1.120881994493</v>
      </c>
      <c r="AE7887">
        <v>-0.54744000000000104</v>
      </c>
      <c r="AF7887">
        <v>-6.0259085313497602E-3</v>
      </c>
      <c r="AG7887">
        <v>-1.120881994493</v>
      </c>
      <c r="AH7887">
        <v>29.064248217283499</v>
      </c>
      <c r="AI7887">
        <v>92.208555159877804</v>
      </c>
      <c r="AJ7887">
        <v>90.011879169178897</v>
      </c>
      <c r="AK7887">
        <v>29.085854589353598</v>
      </c>
      <c r="AL7887">
        <v>95.190721519222606</v>
      </c>
      <c r="AM7887">
        <v>91.693330709485295</v>
      </c>
      <c r="AN7887">
        <v>0.99999993974238</v>
      </c>
    </row>
    <row r="7888" spans="1:40" x14ac:dyDescent="0.25">
      <c r="A7888" t="str">
        <f>"20190303154334328"</f>
        <v>20190303154334328</v>
      </c>
      <c r="B7888" t="str">
        <f>"1551599014317554"</f>
        <v>1551599014317554</v>
      </c>
      <c r="C7888" t="s">
        <v>40</v>
      </c>
      <c r="D7888">
        <v>5.3325239999999896</v>
      </c>
      <c r="E7888">
        <v>0.51163549999999902</v>
      </c>
      <c r="F7888" t="s">
        <v>70</v>
      </c>
      <c r="G7888">
        <v>-217.5839</v>
      </c>
      <c r="H7888" s="1">
        <v>-2.915775E-6</v>
      </c>
      <c r="I7888">
        <v>-63.062779999999997</v>
      </c>
      <c r="J7888">
        <v>-246.77379999999999</v>
      </c>
      <c r="K7888">
        <v>1.1209070000000001</v>
      </c>
      <c r="L7888">
        <v>-62.509770000000003</v>
      </c>
      <c r="M7888">
        <v>0.99975499999999995</v>
      </c>
      <c r="N7888">
        <v>-1.1563210000000001E-2</v>
      </c>
      <c r="O7888">
        <v>-1.88813E-2</v>
      </c>
      <c r="P7888">
        <v>0.99473140000000004</v>
      </c>
      <c r="Q7888">
        <v>-0.10197630000000001</v>
      </c>
      <c r="R7888">
        <v>1.05077E-2</v>
      </c>
      <c r="S7888">
        <v>3.0046539999999999</v>
      </c>
      <c r="T7888">
        <v>-0.114796</v>
      </c>
      <c r="U7888">
        <v>-5.6915279999999999E-2</v>
      </c>
      <c r="V7888">
        <v>-2.9248300000000001E-2</v>
      </c>
      <c r="W7888">
        <v>-9.0484709999999996E-2</v>
      </c>
      <c r="X7888">
        <v>0.99546829999999997</v>
      </c>
      <c r="Y7888" s="1">
        <v>6.3062790000000001E-5</v>
      </c>
      <c r="Z7888">
        <v>5.0113930000000005E-4</v>
      </c>
      <c r="AA7888">
        <v>0.99999990000000005</v>
      </c>
      <c r="AB7888">
        <v>29</v>
      </c>
      <c r="AC7888">
        <v>29.189899999999898</v>
      </c>
      <c r="AD7888">
        <v>-1.12090991577499</v>
      </c>
      <c r="AE7888">
        <v>-0.553010000000007</v>
      </c>
      <c r="AF7888">
        <v>1.72882078171887E-3</v>
      </c>
      <c r="AG7888">
        <v>-1.12090991577499</v>
      </c>
      <c r="AH7888">
        <v>29.152165380437498</v>
      </c>
      <c r="AI7888">
        <v>92.201955999412206</v>
      </c>
      <c r="AJ7888">
        <v>89.996602168898306</v>
      </c>
      <c r="AK7888">
        <v>29.1737071418166</v>
      </c>
      <c r="AL7888">
        <v>95.191492492632705</v>
      </c>
      <c r="AM7888">
        <v>91.682948793071603</v>
      </c>
      <c r="AN7888">
        <v>1.0000000410507801</v>
      </c>
    </row>
    <row r="7889" spans="1:40" x14ac:dyDescent="0.25">
      <c r="A7889" t="str">
        <f>"20190303154334341"</f>
        <v>20190303154334341</v>
      </c>
      <c r="B7889" t="str">
        <f>"1551599014338050"</f>
        <v>1551599014338050</v>
      </c>
      <c r="C7889" t="s">
        <v>40</v>
      </c>
      <c r="D7889">
        <v>5.3534629999999996</v>
      </c>
      <c r="E7889">
        <v>0.51162180000000002</v>
      </c>
      <c r="F7889" t="s">
        <v>70</v>
      </c>
      <c r="G7889">
        <v>-217.5307</v>
      </c>
      <c r="H7889" s="1">
        <v>-2.8981770000000001E-6</v>
      </c>
      <c r="I7889">
        <v>-63.065719999999999</v>
      </c>
      <c r="J7889">
        <v>-246.6105</v>
      </c>
      <c r="K7889">
        <v>1.120935</v>
      </c>
      <c r="L7889">
        <v>-62.512729999999998</v>
      </c>
      <c r="M7889">
        <v>0.99975460000000005</v>
      </c>
      <c r="N7889">
        <v>-1.1831960000000001E-2</v>
      </c>
      <c r="O7889">
        <v>-1.8734710000000002E-2</v>
      </c>
      <c r="P7889">
        <v>0.99469430000000003</v>
      </c>
      <c r="Q7889">
        <v>-0.1023371</v>
      </c>
      <c r="R7889">
        <v>1.0520409999999999E-2</v>
      </c>
      <c r="S7889">
        <v>3.0046689999999998</v>
      </c>
      <c r="T7889">
        <v>-0.1151713</v>
      </c>
      <c r="U7889">
        <v>-5.7128909999999998E-2</v>
      </c>
      <c r="V7889">
        <v>-2.9114660000000001E-2</v>
      </c>
      <c r="W7889">
        <v>-9.05783E-2</v>
      </c>
      <c r="X7889">
        <v>0.99546369999999895</v>
      </c>
      <c r="Y7889">
        <v>2.802719E-4</v>
      </c>
      <c r="Z7889">
        <v>4.8907669999999999E-4</v>
      </c>
      <c r="AA7889">
        <v>0.99999979999999999</v>
      </c>
      <c r="AB7889">
        <v>29</v>
      </c>
      <c r="AC7889">
        <v>29.079799999999999</v>
      </c>
      <c r="AD7889">
        <v>-1.120937898177</v>
      </c>
      <c r="AE7889">
        <v>-0.55298999999999399</v>
      </c>
      <c r="AF7889">
        <v>8.0412951522264003E-3</v>
      </c>
      <c r="AG7889">
        <v>-1.120937898177</v>
      </c>
      <c r="AH7889">
        <v>29.0419194556743</v>
      </c>
      <c r="AI7889">
        <v>92.210361604251105</v>
      </c>
      <c r="AJ7889">
        <v>89.9841356125592</v>
      </c>
      <c r="AK7889">
        <v>29.063545071168999</v>
      </c>
      <c r="AL7889">
        <v>95.196876946908702</v>
      </c>
      <c r="AM7889">
        <v>91.675271268973404</v>
      </c>
      <c r="AN7889">
        <v>1.00000003493774</v>
      </c>
    </row>
    <row r="7890" spans="1:40" x14ac:dyDescent="0.25">
      <c r="A7890" t="str">
        <f>"20190303154334354"</f>
        <v>20190303154334354</v>
      </c>
      <c r="B7890" t="str">
        <f>"1551599014347809"</f>
        <v>1551599014347809</v>
      </c>
      <c r="C7890" t="s">
        <v>40</v>
      </c>
      <c r="D7890">
        <v>5.3881809999999897</v>
      </c>
      <c r="E7890">
        <v>0.51163380000000003</v>
      </c>
      <c r="F7890" t="s">
        <v>70</v>
      </c>
      <c r="G7890">
        <v>-217.5942</v>
      </c>
      <c r="H7890" s="1">
        <v>-2.919349E-6</v>
      </c>
      <c r="I7890">
        <v>-63.063180000000003</v>
      </c>
      <c r="J7890">
        <v>-246.43860000000001</v>
      </c>
      <c r="K7890">
        <v>1.1209549999999999</v>
      </c>
      <c r="L7890">
        <v>-62.515779999999999</v>
      </c>
      <c r="M7890">
        <v>0.99975429999999998</v>
      </c>
      <c r="N7890">
        <v>-1.210164E-2</v>
      </c>
      <c r="O7890">
        <v>-1.857992E-2</v>
      </c>
      <c r="P7890">
        <v>0.99464050000000004</v>
      </c>
      <c r="Q7890">
        <v>-0.1028655</v>
      </c>
      <c r="R7890">
        <v>1.0461659999999999E-2</v>
      </c>
      <c r="S7890">
        <v>3.0046689999999998</v>
      </c>
      <c r="T7890">
        <v>-0.1160746</v>
      </c>
      <c r="U7890">
        <v>-5.7006840000000003E-2</v>
      </c>
      <c r="V7890">
        <v>-2.8900370000000002E-2</v>
      </c>
      <c r="W7890">
        <v>-9.0838779999999994E-2</v>
      </c>
      <c r="X7890">
        <v>0.9954461</v>
      </c>
      <c r="Y7890">
        <v>3.9426879999999997E-4</v>
      </c>
      <c r="Z7890">
        <v>4.8257680000000002E-4</v>
      </c>
      <c r="AA7890">
        <v>0.99999979999999999</v>
      </c>
      <c r="AB7890">
        <v>29</v>
      </c>
      <c r="AC7890">
        <v>28.8444</v>
      </c>
      <c r="AD7890">
        <v>-1.120957919349</v>
      </c>
      <c r="AE7890">
        <v>-0.547399999999996</v>
      </c>
      <c r="AF7890">
        <v>1.13225938581376E-2</v>
      </c>
      <c r="AG7890">
        <v>-1.120957919349</v>
      </c>
      <c r="AH7890">
        <v>28.806102067237202</v>
      </c>
      <c r="AI7890">
        <v>92.2284779474044</v>
      </c>
      <c r="AJ7890">
        <v>89.977479188045294</v>
      </c>
      <c r="AK7890">
        <v>28.827906465197401</v>
      </c>
      <c r="AL7890">
        <v>95.211863697709106</v>
      </c>
      <c r="AM7890">
        <v>91.662977255664799</v>
      </c>
      <c r="AN7890">
        <v>0.99999992667161397</v>
      </c>
    </row>
    <row r="7891" spans="1:40" x14ac:dyDescent="0.25">
      <c r="A7891" t="str">
        <f>"20190303154334369"</f>
        <v>20190303154334369</v>
      </c>
      <c r="B7891" t="str">
        <f>"1551599014357570"</f>
        <v>1551599014357570</v>
      </c>
      <c r="C7891" t="s">
        <v>40</v>
      </c>
      <c r="D7891">
        <v>5.3545970000000001</v>
      </c>
      <c r="E7891">
        <v>0.51165150000000004</v>
      </c>
      <c r="F7891" t="s">
        <v>70</v>
      </c>
      <c r="G7891">
        <v>-217.74449999999999</v>
      </c>
      <c r="H7891" s="1">
        <v>-2.9704150000000002E-6</v>
      </c>
      <c r="I7891">
        <v>-63.062750000000001</v>
      </c>
      <c r="J7891">
        <v>-246.26599999999999</v>
      </c>
      <c r="K7891">
        <v>1.120976</v>
      </c>
      <c r="L7891">
        <v>-62.518830000000001</v>
      </c>
      <c r="M7891">
        <v>0.99975420000000004</v>
      </c>
      <c r="N7891">
        <v>-1.2349189999999999E-2</v>
      </c>
      <c r="O7891">
        <v>-1.842061E-2</v>
      </c>
      <c r="P7891">
        <v>0.99456339999999999</v>
      </c>
      <c r="Q7891">
        <v>-0.1036203</v>
      </c>
      <c r="R7891">
        <v>1.034233E-2</v>
      </c>
      <c r="S7891">
        <v>3.0046390000000001</v>
      </c>
      <c r="T7891">
        <v>-0.1173787</v>
      </c>
      <c r="U7891">
        <v>-5.7281489999999997E-2</v>
      </c>
      <c r="V7891">
        <v>-2.861992E-2</v>
      </c>
      <c r="W7891">
        <v>-9.134813E-2</v>
      </c>
      <c r="X7891">
        <v>0.99540759999999995</v>
      </c>
      <c r="Y7891">
        <v>6.4490789999999999E-4</v>
      </c>
      <c r="Z7891">
        <v>4.7521130000000001E-4</v>
      </c>
      <c r="AA7891">
        <v>0.99999970000000005</v>
      </c>
      <c r="AB7891">
        <v>29</v>
      </c>
      <c r="AC7891">
        <v>28.5215</v>
      </c>
      <c r="AD7891">
        <v>-1.1209789704149999</v>
      </c>
      <c r="AE7891">
        <v>-0.54391999999999996</v>
      </c>
      <c r="AF7891">
        <v>1.8375901826439799E-2</v>
      </c>
      <c r="AG7891">
        <v>-1.1209789704149999</v>
      </c>
      <c r="AH7891">
        <v>28.482698169629501</v>
      </c>
      <c r="AI7891">
        <v>92.2537970134114</v>
      </c>
      <c r="AJ7891">
        <v>89.963035051417705</v>
      </c>
      <c r="AK7891">
        <v>28.504754455144699</v>
      </c>
      <c r="AL7891">
        <v>95.241169101434394</v>
      </c>
      <c r="AM7891">
        <v>91.646912269044705</v>
      </c>
      <c r="AN7891">
        <v>0.99999993540652898</v>
      </c>
    </row>
    <row r="7892" spans="1:40" x14ac:dyDescent="0.25">
      <c r="A7892" t="str">
        <f>"20190303154334382"</f>
        <v>20190303154334382</v>
      </c>
      <c r="B7892" t="str">
        <f>"1551599014378065"</f>
        <v>1551599014378065</v>
      </c>
      <c r="C7892" t="s">
        <v>40</v>
      </c>
      <c r="D7892">
        <v>5.3654699999999904</v>
      </c>
      <c r="E7892">
        <v>0.51163979999999998</v>
      </c>
      <c r="F7892" t="s">
        <v>70</v>
      </c>
      <c r="G7892">
        <v>-218.07079999999999</v>
      </c>
      <c r="H7892" s="1">
        <v>-3.0812100000000001E-6</v>
      </c>
      <c r="I7892">
        <v>-63.061459999999997</v>
      </c>
      <c r="J7892">
        <v>-246.08709999999999</v>
      </c>
      <c r="K7892">
        <v>1.120994</v>
      </c>
      <c r="L7892">
        <v>-62.521940000000001</v>
      </c>
      <c r="M7892">
        <v>0.99975429999999998</v>
      </c>
      <c r="N7892">
        <v>-1.2591990000000001E-2</v>
      </c>
      <c r="O7892">
        <v>-1.8252109999999998E-2</v>
      </c>
      <c r="P7892">
        <v>0.99452609999999997</v>
      </c>
      <c r="Q7892">
        <v>-0.1039786</v>
      </c>
      <c r="R7892">
        <v>1.030082E-2</v>
      </c>
      <c r="S7892">
        <v>3.004562</v>
      </c>
      <c r="T7892">
        <v>-0.1194547</v>
      </c>
      <c r="U7892">
        <v>-5.7830810000000003E-2</v>
      </c>
      <c r="V7892">
        <v>-2.840935E-2</v>
      </c>
      <c r="W7892">
        <v>-9.1465340000000006E-2</v>
      </c>
      <c r="X7892">
        <v>0.99540289999999998</v>
      </c>
      <c r="Y7892">
        <v>9.9640899999999997E-4</v>
      </c>
      <c r="Z7892">
        <v>4.6939669999999998E-4</v>
      </c>
      <c r="AA7892">
        <v>0.99999939999999998</v>
      </c>
      <c r="AB7892">
        <v>29</v>
      </c>
      <c r="AC7892">
        <v>28.016300000000001</v>
      </c>
      <c r="AD7892">
        <v>-1.1209970812100001</v>
      </c>
      <c r="AE7892">
        <v>-0.539519999999996</v>
      </c>
      <c r="AF7892">
        <v>2.7988275834501999E-2</v>
      </c>
      <c r="AG7892">
        <v>-1.1209970812100001</v>
      </c>
      <c r="AH7892">
        <v>27.9767066635692</v>
      </c>
      <c r="AI7892">
        <v>92.294552751470903</v>
      </c>
      <c r="AJ7892">
        <v>89.942680546160403</v>
      </c>
      <c r="AK7892">
        <v>27.999170229474</v>
      </c>
      <c r="AL7892">
        <v>95.247912809037899</v>
      </c>
      <c r="AM7892">
        <v>91.634809487704402</v>
      </c>
      <c r="AN7892">
        <v>0.99999996645857303</v>
      </c>
    </row>
    <row r="7893" spans="1:40" x14ac:dyDescent="0.25">
      <c r="A7893" t="str">
        <f>"20190303154334392"</f>
        <v>20190303154334392</v>
      </c>
      <c r="B7893" t="str">
        <f>"1551599014387825"</f>
        <v>1551599014387825</v>
      </c>
      <c r="C7893" t="s">
        <v>40</v>
      </c>
      <c r="D7893">
        <v>5.3822590000000003</v>
      </c>
      <c r="E7893">
        <v>0.51161959999999995</v>
      </c>
      <c r="F7893" t="s">
        <v>70</v>
      </c>
      <c r="G7893">
        <v>-218.1514</v>
      </c>
      <c r="H7893" s="1">
        <v>-3.1084550000000002E-6</v>
      </c>
      <c r="I7893">
        <v>-63.06044</v>
      </c>
      <c r="J7893">
        <v>-245.9444</v>
      </c>
      <c r="K7893">
        <v>1.121008</v>
      </c>
      <c r="L7893">
        <v>-62.524410000000003</v>
      </c>
      <c r="M7893">
        <v>0.99975429999999998</v>
      </c>
      <c r="N7893">
        <v>-1.277466E-2</v>
      </c>
      <c r="O7893">
        <v>-1.8115240000000001E-2</v>
      </c>
      <c r="P7893">
        <v>0.99450340000000004</v>
      </c>
      <c r="Q7893">
        <v>-0.10419200000000001</v>
      </c>
      <c r="R7893">
        <v>1.0337789999999999E-2</v>
      </c>
      <c r="S7893">
        <v>3.0045009999999999</v>
      </c>
      <c r="T7893">
        <v>-0.1205637</v>
      </c>
      <c r="U7893">
        <v>-5.7922359999999999E-2</v>
      </c>
      <c r="V7893">
        <v>-2.830912E-2</v>
      </c>
      <c r="W7893">
        <v>-9.1497289999999995E-2</v>
      </c>
      <c r="X7893">
        <v>0.99540289999999998</v>
      </c>
      <c r="Y7893">
        <v>1.163968E-3</v>
      </c>
      <c r="Z7893">
        <v>4.6435969999999999E-4</v>
      </c>
      <c r="AA7893">
        <v>0.99999919999999998</v>
      </c>
      <c r="AB7893">
        <v>29</v>
      </c>
      <c r="AC7893">
        <v>27.792999999999999</v>
      </c>
      <c r="AD7893">
        <v>-1.1210111084550001</v>
      </c>
      <c r="AE7893">
        <v>-0.536030000000003</v>
      </c>
      <c r="AF7893">
        <v>3.2371433597805997E-2</v>
      </c>
      <c r="AG7893">
        <v>-1.1210111084550001</v>
      </c>
      <c r="AH7893">
        <v>27.753016324979502</v>
      </c>
      <c r="AI7893">
        <v>92.313055420934006</v>
      </c>
      <c r="AJ7893">
        <v>89.933169582034296</v>
      </c>
      <c r="AK7893">
        <v>27.7756661297182</v>
      </c>
      <c r="AL7893">
        <v>95.249750694494196</v>
      </c>
      <c r="AM7893">
        <v>91.629044888859397</v>
      </c>
      <c r="AN7893">
        <v>1.00000004684046</v>
      </c>
    </row>
    <row r="7894" spans="1:40" x14ac:dyDescent="0.25">
      <c r="A7894" t="str">
        <f>"20190303154334404"</f>
        <v>20190303154334404</v>
      </c>
      <c r="B7894" t="str">
        <f>"1551599014397586"</f>
        <v>1551599014397586</v>
      </c>
      <c r="C7894" t="s">
        <v>40</v>
      </c>
      <c r="D7894">
        <v>5.3948609999999997</v>
      </c>
      <c r="E7894">
        <v>0.51160720000000004</v>
      </c>
      <c r="F7894" t="s">
        <v>70</v>
      </c>
      <c r="G7894">
        <v>-218.14400000000001</v>
      </c>
      <c r="H7894" s="1">
        <v>-3.1056879999999999E-6</v>
      </c>
      <c r="I7894">
        <v>-63.058889999999998</v>
      </c>
      <c r="J7894">
        <v>-245.80170000000001</v>
      </c>
      <c r="K7894">
        <v>1.121019</v>
      </c>
      <c r="L7894">
        <v>-62.526859999999999</v>
      </c>
      <c r="M7894">
        <v>0.9997549</v>
      </c>
      <c r="N7894">
        <v>-1.294199E-2</v>
      </c>
      <c r="O7894">
        <v>-1.7973630000000001E-2</v>
      </c>
      <c r="P7894">
        <v>0.99450530000000004</v>
      </c>
      <c r="Q7894">
        <v>-0.10416540000000001</v>
      </c>
      <c r="R7894">
        <v>1.0448560000000001E-2</v>
      </c>
      <c r="S7894">
        <v>3.0045009999999999</v>
      </c>
      <c r="T7894">
        <v>-0.1211522</v>
      </c>
      <c r="U7894">
        <v>-5.776978E-2</v>
      </c>
      <c r="V7894">
        <v>-2.8278299999999999E-2</v>
      </c>
      <c r="W7894">
        <v>-9.1304250000000003E-2</v>
      </c>
      <c r="X7894">
        <v>0.99542149999999996</v>
      </c>
      <c r="Y7894">
        <v>1.2546580000000001E-3</v>
      </c>
      <c r="Z7894">
        <v>4.5837260000000001E-4</v>
      </c>
      <c r="AA7894">
        <v>0.99999910000000003</v>
      </c>
      <c r="AB7894">
        <v>29</v>
      </c>
      <c r="AC7894">
        <v>27.657699999999998</v>
      </c>
      <c r="AD7894">
        <v>-1.1210221056880001</v>
      </c>
      <c r="AE7894">
        <v>-0.532030000000006</v>
      </c>
      <c r="AF7894">
        <v>3.4736194865254803E-2</v>
      </c>
      <c r="AG7894">
        <v>-1.1210221056880001</v>
      </c>
      <c r="AH7894">
        <v>27.617440419107702</v>
      </c>
      <c r="AI7894">
        <v>92.324420464697099</v>
      </c>
      <c r="AJ7894">
        <v>89.927935526159402</v>
      </c>
      <c r="AK7894">
        <v>27.640204638671499</v>
      </c>
      <c r="AL7894">
        <v>95.238643833563899</v>
      </c>
      <c r="AM7894">
        <v>91.627241919642003</v>
      </c>
      <c r="AN7894">
        <v>1.0000000454906</v>
      </c>
    </row>
    <row r="7895" spans="1:40" x14ac:dyDescent="0.25">
      <c r="A7895" t="str">
        <f>"20190303154334415"</f>
        <v>20190303154334415</v>
      </c>
      <c r="B7895" t="str">
        <f>"1551599014408322"</f>
        <v>1551599014408322</v>
      </c>
      <c r="C7895" t="s">
        <v>40</v>
      </c>
      <c r="D7895">
        <v>5.3839949999999996</v>
      </c>
      <c r="E7895">
        <v>0.51157589999999997</v>
      </c>
      <c r="F7895" t="s">
        <v>70</v>
      </c>
      <c r="G7895">
        <v>-218.00829999999999</v>
      </c>
      <c r="H7895" s="1">
        <v>-3.0591570000000002E-6</v>
      </c>
      <c r="I7895">
        <v>-63.056959999999997</v>
      </c>
      <c r="J7895">
        <v>-245.6611</v>
      </c>
      <c r="K7895">
        <v>1.1210279999999999</v>
      </c>
      <c r="L7895">
        <v>-62.529269999999997</v>
      </c>
      <c r="M7895">
        <v>0.99975519999999996</v>
      </c>
      <c r="N7895">
        <v>-1.3102870000000001E-2</v>
      </c>
      <c r="O7895">
        <v>-1.7832819999999999E-2</v>
      </c>
      <c r="P7895">
        <v>0.99447090000000005</v>
      </c>
      <c r="Q7895">
        <v>-0.1044636</v>
      </c>
      <c r="R7895">
        <v>1.07387E-2</v>
      </c>
      <c r="S7895">
        <v>3.0045169999999999</v>
      </c>
      <c r="T7895">
        <v>-0.1211845</v>
      </c>
      <c r="U7895">
        <v>-5.7312009999999997E-2</v>
      </c>
      <c r="V7895">
        <v>-2.84265E-2</v>
      </c>
      <c r="W7895">
        <v>-9.1443049999999998E-2</v>
      </c>
      <c r="X7895">
        <v>0.99540450000000003</v>
      </c>
      <c r="Y7895">
        <v>1.2429419999999999E-3</v>
      </c>
      <c r="Z7895">
        <v>4.5204650000000001E-4</v>
      </c>
      <c r="AA7895">
        <v>0.99999910000000003</v>
      </c>
      <c r="AB7895">
        <v>29</v>
      </c>
      <c r="AC7895">
        <v>27.652799999999999</v>
      </c>
      <c r="AD7895">
        <v>-1.1210310591570001</v>
      </c>
      <c r="AE7895">
        <v>-0.52768999999999899</v>
      </c>
      <c r="AF7895">
        <v>3.4379889029180703E-2</v>
      </c>
      <c r="AG7895">
        <v>-1.1210310591570001</v>
      </c>
      <c r="AH7895">
        <v>27.612449756669601</v>
      </c>
      <c r="AI7895">
        <v>92.324858703218794</v>
      </c>
      <c r="AJ7895">
        <v>89.928661834029199</v>
      </c>
      <c r="AK7895">
        <v>27.635218004875</v>
      </c>
      <c r="AL7895">
        <v>95.246630093144205</v>
      </c>
      <c r="AM7895">
        <v>91.635793216536499</v>
      </c>
      <c r="AN7895">
        <v>1.0000000079578999</v>
      </c>
    </row>
    <row r="7896" spans="1:40" x14ac:dyDescent="0.25">
      <c r="A7896" t="str">
        <f>"20190303154334426"</f>
        <v>20190303154334426</v>
      </c>
      <c r="B7896" t="str">
        <f>"1551599014418087"</f>
        <v>1551599014418087</v>
      </c>
      <c r="C7896" t="s">
        <v>40</v>
      </c>
      <c r="D7896">
        <v>5.3660370000000004</v>
      </c>
      <c r="E7896">
        <v>0.51153570000000004</v>
      </c>
      <c r="F7896" t="s">
        <v>70</v>
      </c>
      <c r="G7896">
        <v>-218.1097</v>
      </c>
      <c r="H7896" s="1">
        <v>-3.0916260000000001E-6</v>
      </c>
      <c r="I7896">
        <v>-63.045529999999999</v>
      </c>
      <c r="J7896">
        <v>-245.5179</v>
      </c>
      <c r="K7896">
        <v>1.1210359999999999</v>
      </c>
      <c r="L7896">
        <v>-62.531649999999999</v>
      </c>
      <c r="M7896">
        <v>0.99975590000000003</v>
      </c>
      <c r="N7896">
        <v>-1.324854E-2</v>
      </c>
      <c r="O7896">
        <v>-1.768335E-2</v>
      </c>
      <c r="P7896">
        <v>0.99443029999999999</v>
      </c>
      <c r="Q7896">
        <v>-0.1048191</v>
      </c>
      <c r="R7896">
        <v>1.1018709999999999E-2</v>
      </c>
      <c r="S7896">
        <v>3.0044559999999998</v>
      </c>
      <c r="T7896">
        <v>-0.1222475</v>
      </c>
      <c r="U7896">
        <v>-5.6304930000000003E-2</v>
      </c>
      <c r="V7896">
        <v>-2.8556459999999999E-2</v>
      </c>
      <c r="W7896">
        <v>-9.1654449999999998E-2</v>
      </c>
      <c r="X7896">
        <v>0.99538139999999997</v>
      </c>
      <c r="Y7896">
        <v>1.057952E-3</v>
      </c>
      <c r="Z7896">
        <v>4.5634709999999999E-4</v>
      </c>
      <c r="AA7896">
        <v>0.99999930000000004</v>
      </c>
      <c r="AB7896">
        <v>29</v>
      </c>
      <c r="AC7896">
        <v>27.408199999999901</v>
      </c>
      <c r="AD7896">
        <v>-1.121039091626</v>
      </c>
      <c r="AE7896">
        <v>-0.513880000000007</v>
      </c>
      <c r="AF7896">
        <v>2.90397554449137E-2</v>
      </c>
      <c r="AG7896">
        <v>-1.121039091626</v>
      </c>
      <c r="AH7896">
        <v>27.367233881916199</v>
      </c>
      <c r="AI7896">
        <v>92.345684021360199</v>
      </c>
      <c r="AJ7896">
        <v>89.939202668132793</v>
      </c>
      <c r="AK7896">
        <v>27.390200114271799</v>
      </c>
      <c r="AL7896">
        <v>95.258793169892598</v>
      </c>
      <c r="AM7896">
        <v>91.643305743926206</v>
      </c>
      <c r="AN7896">
        <v>1.00000007053924</v>
      </c>
    </row>
    <row r="7897" spans="1:40" x14ac:dyDescent="0.25">
      <c r="A7897" t="str">
        <f>"20190303154334438"</f>
        <v>20190303154334438</v>
      </c>
      <c r="B7897" t="str">
        <f>"1551599014427848"</f>
        <v>1551599014427848</v>
      </c>
      <c r="C7897" t="s">
        <v>40</v>
      </c>
      <c r="D7897">
        <v>5.4016260000000003</v>
      </c>
      <c r="E7897">
        <v>0.51153570000000004</v>
      </c>
      <c r="F7897" t="s">
        <v>70</v>
      </c>
      <c r="G7897">
        <v>-218.24760000000001</v>
      </c>
      <c r="H7897" s="1">
        <v>-3.1362839999999999E-6</v>
      </c>
      <c r="I7897">
        <v>-63.032679999999999</v>
      </c>
      <c r="J7897">
        <v>-245.3715</v>
      </c>
      <c r="K7897">
        <v>1.1210439999999999</v>
      </c>
      <c r="L7897">
        <v>-62.534089999999999</v>
      </c>
      <c r="M7897">
        <v>0.99975670000000005</v>
      </c>
      <c r="N7897">
        <v>-1.339335E-2</v>
      </c>
      <c r="O7897">
        <v>-1.7528990000000001E-2</v>
      </c>
      <c r="P7897">
        <v>0.99439339999999998</v>
      </c>
      <c r="Q7897">
        <v>-0.10514800000000001</v>
      </c>
      <c r="R7897">
        <v>1.1219649999999999E-2</v>
      </c>
      <c r="S7897">
        <v>3.0043950000000001</v>
      </c>
      <c r="T7897">
        <v>-0.12350609999999999</v>
      </c>
      <c r="U7897">
        <v>-5.52063E-2</v>
      </c>
      <c r="V7897">
        <v>-2.8602019999999999E-2</v>
      </c>
      <c r="W7897">
        <v>-9.1839950000000004E-2</v>
      </c>
      <c r="X7897">
        <v>0.99536290000000005</v>
      </c>
      <c r="Y7897">
        <v>8.4742970000000004E-4</v>
      </c>
      <c r="Z7897">
        <v>4.6236589999999999E-4</v>
      </c>
      <c r="AA7897">
        <v>0.99999950000000004</v>
      </c>
      <c r="AB7897">
        <v>29</v>
      </c>
      <c r="AC7897">
        <v>27.1238999999999</v>
      </c>
      <c r="AD7897">
        <v>-1.121047136284</v>
      </c>
      <c r="AE7897">
        <v>-0.49859000000000703</v>
      </c>
      <c r="AF7897">
        <v>2.2976948006325802E-2</v>
      </c>
      <c r="AG7897">
        <v>-1.121047136284</v>
      </c>
      <c r="AH7897">
        <v>27.082225637601201</v>
      </c>
      <c r="AI7897">
        <v>92.370359019391501</v>
      </c>
      <c r="AJ7897">
        <v>89.951389451937899</v>
      </c>
      <c r="AK7897">
        <v>27.105427871698499</v>
      </c>
      <c r="AL7897">
        <v>95.269467045597494</v>
      </c>
      <c r="AM7897">
        <v>91.645956666479904</v>
      </c>
      <c r="AN7897">
        <v>0.99999997733024604</v>
      </c>
    </row>
    <row r="7898" spans="1:40" x14ac:dyDescent="0.25">
      <c r="A7898" t="str">
        <f>"20190303154334449"</f>
        <v>20190303154334449</v>
      </c>
      <c r="B7898" t="str">
        <f>"1551599014437608"</f>
        <v>1551599014437608</v>
      </c>
      <c r="C7898" t="s">
        <v>40</v>
      </c>
      <c r="D7898">
        <v>5.4193759999999997</v>
      </c>
      <c r="E7898">
        <v>0.50066169999999999</v>
      </c>
      <c r="F7898" t="s">
        <v>70</v>
      </c>
      <c r="G7898">
        <v>-218.33160000000001</v>
      </c>
      <c r="H7898" s="1">
        <v>-3.1637759999999999E-6</v>
      </c>
      <c r="I7898">
        <v>-63.026499999999999</v>
      </c>
      <c r="J7898">
        <v>-245.23179999999999</v>
      </c>
      <c r="K7898">
        <v>1.1210549999999999</v>
      </c>
      <c r="L7898">
        <v>-62.536380000000001</v>
      </c>
      <c r="M7898">
        <v>0.99975769999999997</v>
      </c>
      <c r="N7898">
        <v>-1.351896E-2</v>
      </c>
      <c r="O7898">
        <v>-1.7376300000000001E-2</v>
      </c>
      <c r="P7898">
        <v>0.9943668</v>
      </c>
      <c r="Q7898">
        <v>-0.1053548</v>
      </c>
      <c r="R7898">
        <v>1.1640380000000001E-2</v>
      </c>
      <c r="S7898">
        <v>3.0043639999999998</v>
      </c>
      <c r="T7898">
        <v>-0.124558</v>
      </c>
      <c r="U7898">
        <v>-5.4718019999999999E-2</v>
      </c>
      <c r="V7898">
        <v>-2.886996E-2</v>
      </c>
      <c r="W7898">
        <v>-9.1922480000000001E-2</v>
      </c>
      <c r="X7898">
        <v>0.9953476</v>
      </c>
      <c r="Y7898">
        <v>8.378878E-4</v>
      </c>
      <c r="Z7898">
        <v>4.6210100000000003E-4</v>
      </c>
      <c r="AA7898">
        <v>0.99999950000000004</v>
      </c>
      <c r="AB7898">
        <v>28</v>
      </c>
      <c r="AC7898">
        <v>26.900199999999899</v>
      </c>
      <c r="AD7898">
        <v>-1.121058163776</v>
      </c>
      <c r="AE7898">
        <v>-0.490119999999997</v>
      </c>
      <c r="AF7898">
        <v>2.25382291357956E-2</v>
      </c>
      <c r="AG7898">
        <v>-1.121058163776</v>
      </c>
      <c r="AH7898">
        <v>26.858024085715499</v>
      </c>
      <c r="AI7898">
        <v>92.390146611604806</v>
      </c>
      <c r="AJ7898">
        <v>89.951919579044997</v>
      </c>
      <c r="AK7898">
        <v>26.881419924684302</v>
      </c>
      <c r="AL7898">
        <v>95.274215470350299</v>
      </c>
      <c r="AM7898">
        <v>91.661392696408001</v>
      </c>
      <c r="AN7898">
        <v>1.0000000308727499</v>
      </c>
    </row>
    <row r="7899" spans="1:40" x14ac:dyDescent="0.25">
      <c r="A7899" t="str">
        <f>"20190303154334460"</f>
        <v>20190303154334460</v>
      </c>
      <c r="B7899" t="str">
        <f>"1551599014448344"</f>
        <v>1551599014448344</v>
      </c>
      <c r="C7899" t="s">
        <v>40</v>
      </c>
      <c r="D7899">
        <v>5.4526599999999998</v>
      </c>
      <c r="E7899">
        <v>0.50066169999999999</v>
      </c>
      <c r="F7899" t="s">
        <v>70</v>
      </c>
      <c r="G7899">
        <v>-218.9529</v>
      </c>
      <c r="H7899" s="1">
        <v>-3.2368469999999999E-6</v>
      </c>
      <c r="I7899">
        <v>-62.246560000000002</v>
      </c>
      <c r="J7899">
        <v>-245.09829999999999</v>
      </c>
      <c r="K7899">
        <v>1.121062</v>
      </c>
      <c r="L7899">
        <v>-62.538510000000002</v>
      </c>
      <c r="M7899">
        <v>0.9997587</v>
      </c>
      <c r="N7899">
        <v>-1.3633340000000001E-2</v>
      </c>
      <c r="O7899">
        <v>-1.7228199999999999E-2</v>
      </c>
      <c r="P7899">
        <v>0.99434080000000002</v>
      </c>
      <c r="Q7899">
        <v>-0.10556649999999999</v>
      </c>
      <c r="R7899">
        <v>1.192584E-2</v>
      </c>
      <c r="S7899">
        <v>3.0030359999999998</v>
      </c>
      <c r="T7899">
        <v>-0.12810969999999999</v>
      </c>
      <c r="U7899">
        <v>3.311157E-2</v>
      </c>
      <c r="V7899">
        <v>-2.9006379999999998E-2</v>
      </c>
      <c r="W7899">
        <v>-9.2021069999999996E-2</v>
      </c>
      <c r="X7899">
        <v>0.99533450000000001</v>
      </c>
      <c r="Y7899">
        <v>-2.8211360000000001E-2</v>
      </c>
      <c r="Z7899">
        <v>1.2936720000000001E-3</v>
      </c>
      <c r="AA7899">
        <v>0.99960110000000002</v>
      </c>
      <c r="AB7899">
        <v>28</v>
      </c>
      <c r="AC7899">
        <v>26.145399999999899</v>
      </c>
      <c r="AD7899">
        <v>-1.121065236847</v>
      </c>
      <c r="AE7899">
        <v>0.29194999999999899</v>
      </c>
      <c r="AF7899">
        <v>-0.74102445071655898</v>
      </c>
      <c r="AG7899">
        <v>-1.121065236847</v>
      </c>
      <c r="AH7899">
        <v>26.088530014402298</v>
      </c>
      <c r="AI7899">
        <v>92.459585351055495</v>
      </c>
      <c r="AJ7899">
        <v>91.627004694662205</v>
      </c>
      <c r="AK7899">
        <v>26.123118167902401</v>
      </c>
      <c r="AL7899">
        <v>95.279888430361595</v>
      </c>
      <c r="AM7899">
        <v>91.669260846110106</v>
      </c>
      <c r="AN7899">
        <v>1.00000000714744</v>
      </c>
    </row>
    <row r="7900" spans="1:40" x14ac:dyDescent="0.25">
      <c r="A7900" t="str">
        <f>"20190303154334470"</f>
        <v>20190303154334470</v>
      </c>
      <c r="B7900" t="str">
        <f>"1551599014467863"</f>
        <v>1551599014467863</v>
      </c>
      <c r="C7900" t="s">
        <v>40</v>
      </c>
      <c r="D7900">
        <v>5.423603</v>
      </c>
      <c r="E7900">
        <v>0.49063990000000002</v>
      </c>
      <c r="F7900" t="s">
        <v>70</v>
      </c>
      <c r="G7900">
        <v>-218.95089999999999</v>
      </c>
      <c r="H7900" s="1">
        <v>-3.2355900000000001E-6</v>
      </c>
      <c r="I7900">
        <v>-62.243229999999997</v>
      </c>
      <c r="J7900">
        <v>-244.9539</v>
      </c>
      <c r="K7900">
        <v>1.12107</v>
      </c>
      <c r="L7900">
        <v>-62.540860000000002</v>
      </c>
      <c r="M7900">
        <v>0.99975999999999998</v>
      </c>
      <c r="N7900">
        <v>-1.374791E-2</v>
      </c>
      <c r="O7900">
        <v>-1.706413E-2</v>
      </c>
      <c r="P7900">
        <v>0.99432290000000001</v>
      </c>
      <c r="Q7900">
        <v>-0.105683</v>
      </c>
      <c r="R7900">
        <v>1.2380739999999999E-2</v>
      </c>
      <c r="S7900">
        <v>3.0030060000000001</v>
      </c>
      <c r="T7900">
        <v>-0.12875319999999901</v>
      </c>
      <c r="U7900">
        <v>3.3905030000000003E-2</v>
      </c>
      <c r="V7900">
        <v>-2.9296829999999999E-2</v>
      </c>
      <c r="W7900">
        <v>-9.2024369999999994E-2</v>
      </c>
      <c r="X7900">
        <v>0.99532569999999998</v>
      </c>
      <c r="Y7900">
        <v>-2.8311059999999999E-2</v>
      </c>
      <c r="Z7900">
        <v>1.2980820000000001E-3</v>
      </c>
      <c r="AA7900">
        <v>0.99959830000000005</v>
      </c>
      <c r="AB7900">
        <v>28</v>
      </c>
      <c r="AC7900">
        <v>26.003</v>
      </c>
      <c r="AD7900">
        <v>-1.1210732355899999</v>
      </c>
      <c r="AE7900">
        <v>0.29762999999999001</v>
      </c>
      <c r="AF7900">
        <v>-0.73997186926297698</v>
      </c>
      <c r="AG7900">
        <v>-1.1210732355899999</v>
      </c>
      <c r="AH7900">
        <v>25.945913240231999</v>
      </c>
      <c r="AI7900">
        <v>92.473097707548405</v>
      </c>
      <c r="AJ7900">
        <v>91.633620496548303</v>
      </c>
      <c r="AK7900">
        <v>25.980661605057399</v>
      </c>
      <c r="AL7900">
        <v>95.280078249351902</v>
      </c>
      <c r="AM7900">
        <v>91.685980978076998</v>
      </c>
      <c r="AN7900">
        <v>1.0000000190012099</v>
      </c>
    </row>
    <row r="7901" spans="1:40" x14ac:dyDescent="0.25">
      <c r="A7901" t="str">
        <f>"20190303154334483"</f>
        <v>20190303154334483</v>
      </c>
      <c r="B7901" t="str">
        <f>"1551599014477627"</f>
        <v>1551599014477627</v>
      </c>
      <c r="C7901" t="s">
        <v>40</v>
      </c>
      <c r="D7901">
        <v>5.4972779999999997</v>
      </c>
      <c r="E7901">
        <v>0.49007519999999999</v>
      </c>
      <c r="F7901" t="s">
        <v>67</v>
      </c>
      <c r="G7901">
        <v>-230.37209999999999</v>
      </c>
      <c r="H7901" s="1">
        <v>4.2631660000000002E-7</v>
      </c>
      <c r="I7901">
        <v>-61.988140000000001</v>
      </c>
      <c r="J7901">
        <v>-244.803</v>
      </c>
      <c r="K7901">
        <v>1.121086</v>
      </c>
      <c r="L7901">
        <v>-62.543239999999997</v>
      </c>
      <c r="M7901">
        <v>0.99976129999999996</v>
      </c>
      <c r="N7901">
        <v>-1.385861E-2</v>
      </c>
      <c r="O7901">
        <v>-1.688895E-2</v>
      </c>
      <c r="P7901">
        <v>0.99434820000000002</v>
      </c>
      <c r="Q7901">
        <v>-0.1054186</v>
      </c>
      <c r="R7901">
        <v>1.260148E-2</v>
      </c>
      <c r="S7901">
        <v>2.9912869999999998</v>
      </c>
      <c r="T7901">
        <v>-0.2299747</v>
      </c>
      <c r="U7901">
        <v>0.1133728</v>
      </c>
      <c r="V7901">
        <v>-2.9342940000000001E-2</v>
      </c>
      <c r="W7901">
        <v>-9.1649709999999995E-2</v>
      </c>
      <c r="X7901">
        <v>0.99535890000000005</v>
      </c>
      <c r="Y7901">
        <v>-5.4523639999999998E-2</v>
      </c>
      <c r="Z7901">
        <v>3.5331529999999998E-3</v>
      </c>
      <c r="AA7901">
        <v>0.99850620000000001</v>
      </c>
      <c r="AB7901">
        <v>28</v>
      </c>
      <c r="AC7901">
        <v>14.430899999999999</v>
      </c>
      <c r="AD7901">
        <v>-1.12108557368339</v>
      </c>
      <c r="AE7901">
        <v>0.55510000000000204</v>
      </c>
      <c r="AF7901">
        <v>-0.79398222291710696</v>
      </c>
      <c r="AG7901">
        <v>-1.12108557368339</v>
      </c>
      <c r="AH7901">
        <v>14.3330903212655</v>
      </c>
      <c r="AI7901">
        <v>94.465556878051899</v>
      </c>
      <c r="AJ7901">
        <v>93.170661915939107</v>
      </c>
      <c r="AK7901">
        <v>14.398774905921099</v>
      </c>
      <c r="AL7901">
        <v>95.258520766436902</v>
      </c>
      <c r="AM7901">
        <v>91.688576700841907</v>
      </c>
      <c r="AN7901">
        <v>1.00000000864006</v>
      </c>
    </row>
    <row r="7902" spans="1:40" x14ac:dyDescent="0.25">
      <c r="A7902" t="str">
        <f>"20190303154334493"</f>
        <v>20190303154334493</v>
      </c>
      <c r="B7902" t="str">
        <f>"1551599014488359"</f>
        <v>1551599014488359</v>
      </c>
      <c r="C7902" t="s">
        <v>40</v>
      </c>
      <c r="D7902">
        <v>5.4591450000000004</v>
      </c>
      <c r="E7902">
        <v>0.48991810000000002</v>
      </c>
      <c r="F7902" t="s">
        <v>66</v>
      </c>
      <c r="G7902">
        <v>-229.75290000000001</v>
      </c>
      <c r="H7902" s="1">
        <v>-3.536587E-6</v>
      </c>
      <c r="I7902">
        <v>-61.9467</v>
      </c>
      <c r="J7902">
        <v>-244.6677</v>
      </c>
      <c r="K7902">
        <v>1.1210910000000001</v>
      </c>
      <c r="L7902">
        <v>-62.545380000000002</v>
      </c>
      <c r="M7902">
        <v>0.9997627</v>
      </c>
      <c r="N7902">
        <v>-1.395302E-2</v>
      </c>
      <c r="O7902">
        <v>-1.6729770000000001E-2</v>
      </c>
      <c r="P7902">
        <v>0.99433660000000001</v>
      </c>
      <c r="Q7902">
        <v>-0.1054389</v>
      </c>
      <c r="R7902">
        <v>1.3319080000000001E-2</v>
      </c>
      <c r="S7902">
        <v>2.9919129999999998</v>
      </c>
      <c r="T7902">
        <v>-0.22286880000000001</v>
      </c>
      <c r="U7902">
        <v>0.1185913</v>
      </c>
      <c r="V7902">
        <v>-2.9901290000000001E-2</v>
      </c>
      <c r="W7902">
        <v>-9.1576950000000004E-2</v>
      </c>
      <c r="X7902">
        <v>0.99534900000000004</v>
      </c>
      <c r="Y7902">
        <v>-5.6103930000000003E-2</v>
      </c>
      <c r="Z7902">
        <v>3.4891000000000002E-3</v>
      </c>
      <c r="AA7902">
        <v>0.99841880000000005</v>
      </c>
      <c r="AB7902">
        <v>28</v>
      </c>
      <c r="AC7902">
        <v>14.9147999999999</v>
      </c>
      <c r="AD7902">
        <v>-1.121094536587</v>
      </c>
      <c r="AE7902">
        <v>0.59868000000000099</v>
      </c>
      <c r="AF7902">
        <v>-0.84338419178774404</v>
      </c>
      <c r="AG7902">
        <v>-1.121094536587</v>
      </c>
      <c r="AH7902">
        <v>14.819102015981899</v>
      </c>
      <c r="AI7902">
        <v>94.319335825818399</v>
      </c>
      <c r="AJ7902">
        <v>93.257301570834699</v>
      </c>
      <c r="AK7902">
        <v>14.885359734148199</v>
      </c>
      <c r="AL7902">
        <v>95.254334216213806</v>
      </c>
      <c r="AM7902">
        <v>91.720705628273294</v>
      </c>
      <c r="AN7902">
        <v>1.00000002835798</v>
      </c>
    </row>
    <row r="7903" spans="1:40" x14ac:dyDescent="0.25">
      <c r="A7903" t="str">
        <f>"20190303154334504"</f>
        <v>20190303154334504</v>
      </c>
      <c r="B7903" t="str">
        <f>"1551599014498120"</f>
        <v>1551599014498120</v>
      </c>
      <c r="C7903" t="s">
        <v>40</v>
      </c>
      <c r="D7903">
        <v>5.4208980000000002</v>
      </c>
      <c r="E7903">
        <v>0.49062670000000003</v>
      </c>
      <c r="F7903" t="s">
        <v>66</v>
      </c>
      <c r="G7903">
        <v>-229.3098</v>
      </c>
      <c r="H7903" s="1">
        <v>-3.382062E-6</v>
      </c>
      <c r="I7903">
        <v>-61.918700000000001</v>
      </c>
      <c r="J7903">
        <v>-244.5258</v>
      </c>
      <c r="K7903">
        <v>1.1210990000000001</v>
      </c>
      <c r="L7903">
        <v>-62.547580000000004</v>
      </c>
      <c r="M7903">
        <v>0.9997644</v>
      </c>
      <c r="N7903">
        <v>-1.4042000000000001E-2</v>
      </c>
      <c r="O7903">
        <v>-1.655827E-2</v>
      </c>
      <c r="P7903">
        <v>0.99432180000000003</v>
      </c>
      <c r="Q7903">
        <v>-0.10555349999999999</v>
      </c>
      <c r="R7903">
        <v>1.3530169999999999E-2</v>
      </c>
      <c r="S7903">
        <v>2.9922939999999998</v>
      </c>
      <c r="T7903">
        <v>-0.2184316</v>
      </c>
      <c r="U7903">
        <v>0.1221008</v>
      </c>
      <c r="V7903">
        <v>-2.9940620000000001E-2</v>
      </c>
      <c r="W7903">
        <v>-9.1603450000000003E-2</v>
      </c>
      <c r="X7903">
        <v>0.99534540000000005</v>
      </c>
      <c r="Y7903">
        <v>-5.7102E-2</v>
      </c>
      <c r="Z7903">
        <v>3.45678E-3</v>
      </c>
      <c r="AA7903">
        <v>0.99836239999999998</v>
      </c>
      <c r="AB7903">
        <v>28</v>
      </c>
      <c r="AC7903">
        <v>15.215999999999999</v>
      </c>
      <c r="AD7903">
        <v>-1.1211023820620001</v>
      </c>
      <c r="AE7903">
        <v>0.62888000000000199</v>
      </c>
      <c r="AF7903">
        <v>-0.87602173747178602</v>
      </c>
      <c r="AG7903">
        <v>-1.1211023820620001</v>
      </c>
      <c r="AH7903">
        <v>15.1215501362875</v>
      </c>
      <c r="AI7903">
        <v>94.233044745856802</v>
      </c>
      <c r="AJ7903">
        <v>93.315553643297406</v>
      </c>
      <c r="AK7903">
        <v>15.188336418444401</v>
      </c>
      <c r="AL7903">
        <v>95.255858854162895</v>
      </c>
      <c r="AM7903">
        <v>91.722973784960203</v>
      </c>
      <c r="AN7903">
        <v>1.00000004903952</v>
      </c>
    </row>
    <row r="7904" spans="1:40" x14ac:dyDescent="0.25">
      <c r="A7904" t="str">
        <f>"20190303154334517"</f>
        <v>20190303154334517</v>
      </c>
      <c r="B7904" t="str">
        <f>"1551599014507880"</f>
        <v>1551599014507880</v>
      </c>
      <c r="C7904" t="s">
        <v>40</v>
      </c>
      <c r="D7904">
        <v>5.4747839999999997</v>
      </c>
      <c r="E7904">
        <v>0.49058790000000002</v>
      </c>
      <c r="F7904" t="s">
        <v>66</v>
      </c>
      <c r="G7904">
        <v>-228.2602</v>
      </c>
      <c r="H7904" s="1">
        <v>-3.001102E-6</v>
      </c>
      <c r="I7904">
        <v>-61.910350000000001</v>
      </c>
      <c r="J7904">
        <v>-244.37790000000001</v>
      </c>
      <c r="K7904">
        <v>1.1211100000000001</v>
      </c>
      <c r="L7904">
        <v>-62.549869999999999</v>
      </c>
      <c r="M7904">
        <v>0.99976600000000004</v>
      </c>
      <c r="N7904">
        <v>-1.4131640000000001E-2</v>
      </c>
      <c r="O7904">
        <v>-1.6377369999999999E-2</v>
      </c>
      <c r="P7904">
        <v>0.99431740000000002</v>
      </c>
      <c r="Q7904">
        <v>-0.10554189999999899</v>
      </c>
      <c r="R7904">
        <v>1.392755E-2</v>
      </c>
      <c r="S7904">
        <v>2.9936370000000001</v>
      </c>
      <c r="T7904">
        <v>-0.2063353</v>
      </c>
      <c r="U7904">
        <v>0.1172791</v>
      </c>
      <c r="V7904">
        <v>-3.0156849999999999E-2</v>
      </c>
      <c r="W7904">
        <v>-9.1503200000000007E-2</v>
      </c>
      <c r="X7904">
        <v>0.99534800000000001</v>
      </c>
      <c r="Y7904">
        <v>-5.5324709999999999E-2</v>
      </c>
      <c r="Z7904">
        <v>3.191227E-3</v>
      </c>
      <c r="AA7904">
        <v>0.99846330000000005</v>
      </c>
      <c r="AB7904">
        <v>28</v>
      </c>
      <c r="AC7904">
        <v>16.117699999999999</v>
      </c>
      <c r="AD7904">
        <v>-1.1211130011020001</v>
      </c>
      <c r="AE7904">
        <v>0.63951999999999698</v>
      </c>
      <c r="AF7904">
        <v>-0.89908291891626702</v>
      </c>
      <c r="AG7904">
        <v>-1.1211130011020001</v>
      </c>
      <c r="AH7904">
        <v>16.027638587714801</v>
      </c>
      <c r="AI7904">
        <v>93.9949895622063</v>
      </c>
      <c r="AJ7904">
        <v>93.210686645288604</v>
      </c>
      <c r="AK7904">
        <v>16.091937209507499</v>
      </c>
      <c r="AL7904">
        <v>95.250091216431301</v>
      </c>
      <c r="AM7904">
        <v>91.735404922994306</v>
      </c>
      <c r="AN7904">
        <v>0.99999995615808002</v>
      </c>
    </row>
    <row r="7905" spans="1:40" x14ac:dyDescent="0.25">
      <c r="A7905" t="str">
        <f>"20190303154334529"</f>
        <v>20190303154334529</v>
      </c>
      <c r="B7905" t="str">
        <f>"1551599014518085"</f>
        <v>1551599014518085</v>
      </c>
      <c r="C7905" t="s">
        <v>40</v>
      </c>
      <c r="D7905">
        <v>5.4746009999999998</v>
      </c>
      <c r="E7905">
        <v>0.49061830000000001</v>
      </c>
      <c r="F7905" t="s">
        <v>66</v>
      </c>
      <c r="G7905">
        <v>-227.9811</v>
      </c>
      <c r="H7905" s="1">
        <v>-2.8788899999999998E-6</v>
      </c>
      <c r="I7905">
        <v>-61.899169999999998</v>
      </c>
      <c r="J7905">
        <v>-244.21510000000001</v>
      </c>
      <c r="K7905">
        <v>1.121119</v>
      </c>
      <c r="L7905">
        <v>-62.552309999999999</v>
      </c>
      <c r="M7905">
        <v>0.99976830000000005</v>
      </c>
      <c r="N7905">
        <v>-1.421889E-2</v>
      </c>
      <c r="O7905">
        <v>-1.6172240000000001E-2</v>
      </c>
      <c r="P7905">
        <v>0.99431170000000002</v>
      </c>
      <c r="Q7905">
        <v>-0.10555249999999999</v>
      </c>
      <c r="R7905">
        <v>1.425676E-2</v>
      </c>
      <c r="S7905">
        <v>2.9937740000000002</v>
      </c>
      <c r="T7905">
        <v>-0.20469589999999999</v>
      </c>
      <c r="U7905">
        <v>0.1188049</v>
      </c>
      <c r="V7905">
        <v>-3.0281410000000002E-2</v>
      </c>
      <c r="W7905">
        <v>-9.1427419999999995E-2</v>
      </c>
      <c r="X7905">
        <v>0.99535130000000005</v>
      </c>
      <c r="Y7905">
        <v>-5.5628339999999998E-2</v>
      </c>
      <c r="Z7905">
        <v>3.169458E-3</v>
      </c>
      <c r="AA7905">
        <v>0.99844650000000001</v>
      </c>
      <c r="AB7905">
        <v>28</v>
      </c>
      <c r="AC7905">
        <v>16.234000000000002</v>
      </c>
      <c r="AD7905">
        <v>-1.1211218788899999</v>
      </c>
      <c r="AE7905">
        <v>0.65314000000000005</v>
      </c>
      <c r="AF7905">
        <v>-0.91128205164458798</v>
      </c>
      <c r="AG7905">
        <v>-1.1211218788899999</v>
      </c>
      <c r="AH7905">
        <v>16.144439469020501</v>
      </c>
      <c r="AI7905">
        <v>93.966133150271204</v>
      </c>
      <c r="AJ7905">
        <v>93.230664638087006</v>
      </c>
      <c r="AK7905">
        <v>16.208956629402199</v>
      </c>
      <c r="AL7905">
        <v>95.245730447320796</v>
      </c>
      <c r="AM7905">
        <v>91.742562663914796</v>
      </c>
      <c r="AN7905">
        <v>1.0000000736655601</v>
      </c>
    </row>
    <row r="7906" spans="1:40" x14ac:dyDescent="0.25">
      <c r="A7906" t="str">
        <f>"20190303154334542"</f>
        <v>20190303154334542</v>
      </c>
      <c r="B7906" t="str">
        <f>"1551599014537605"</f>
        <v>1551599014537605</v>
      </c>
      <c r="C7906" t="s">
        <v>40</v>
      </c>
      <c r="D7906">
        <v>5.4959980000000002</v>
      </c>
      <c r="E7906">
        <v>0.49091869999999999</v>
      </c>
      <c r="F7906" t="s">
        <v>66</v>
      </c>
      <c r="G7906">
        <v>-227.75630000000001</v>
      </c>
      <c r="H7906" s="1">
        <v>-2.7815299999999999E-6</v>
      </c>
      <c r="I7906">
        <v>-61.894970000000001</v>
      </c>
      <c r="J7906">
        <v>-244.06180000000001</v>
      </c>
      <c r="K7906">
        <v>1.1211279999999999</v>
      </c>
      <c r="L7906">
        <v>-62.554569999999998</v>
      </c>
      <c r="M7906">
        <v>0.99977020000000005</v>
      </c>
      <c r="N7906">
        <v>-1.429594E-2</v>
      </c>
      <c r="O7906">
        <v>-1.5975400000000001E-2</v>
      </c>
      <c r="P7906">
        <v>0.99430209999999997</v>
      </c>
      <c r="Q7906">
        <v>-0.10559549999999999</v>
      </c>
      <c r="R7906">
        <v>1.4589599999999999E-2</v>
      </c>
      <c r="S7906">
        <v>2.9938199999999999</v>
      </c>
      <c r="T7906">
        <v>-0.2039291</v>
      </c>
      <c r="U7906">
        <v>0.1195679</v>
      </c>
      <c r="V7906">
        <v>-3.0417240000000002E-2</v>
      </c>
      <c r="W7906">
        <v>-9.1394359999999994E-2</v>
      </c>
      <c r="X7906">
        <v>0.99535010000000002</v>
      </c>
      <c r="Y7906">
        <v>-5.5686560000000003E-2</v>
      </c>
      <c r="Z7906">
        <v>3.1508930000000001E-3</v>
      </c>
      <c r="AA7906">
        <v>0.99844330000000003</v>
      </c>
      <c r="AB7906">
        <v>28</v>
      </c>
      <c r="AC7906">
        <v>16.305499999999899</v>
      </c>
      <c r="AD7906">
        <v>-1.12113078153</v>
      </c>
      <c r="AE7906">
        <v>0.65960000000000396</v>
      </c>
      <c r="AF7906">
        <v>-0.91570724928209601</v>
      </c>
      <c r="AG7906">
        <v>-1.12113078153</v>
      </c>
      <c r="AH7906">
        <v>16.2163405460539</v>
      </c>
      <c r="AI7906">
        <v>93.948629845695095</v>
      </c>
      <c r="AJ7906">
        <v>93.231956152468499</v>
      </c>
      <c r="AK7906">
        <v>16.280821683848501</v>
      </c>
      <c r="AL7906">
        <v>95.243828780043501</v>
      </c>
      <c r="AM7906">
        <v>91.750376343533901</v>
      </c>
      <c r="AN7906">
        <v>0.99999997954951803</v>
      </c>
    </row>
    <row r="7907" spans="1:40" x14ac:dyDescent="0.25">
      <c r="A7907" t="str">
        <f>"20190303154334554"</f>
        <v>20190303154334554</v>
      </c>
      <c r="B7907" t="str">
        <f>"1551599014548341"</f>
        <v>1551599014548341</v>
      </c>
      <c r="C7907" t="s">
        <v>40</v>
      </c>
      <c r="D7907">
        <v>5.4909379999999999</v>
      </c>
      <c r="E7907">
        <v>0.49069430000000003</v>
      </c>
      <c r="F7907" t="s">
        <v>66</v>
      </c>
      <c r="G7907">
        <v>-227.08359999999999</v>
      </c>
      <c r="H7907" s="1">
        <v>-2.4904829999999999E-6</v>
      </c>
      <c r="I7907">
        <v>-61.88391</v>
      </c>
      <c r="J7907">
        <v>-243.9059</v>
      </c>
      <c r="K7907">
        <v>1.121135</v>
      </c>
      <c r="L7907">
        <v>-62.556849999999997</v>
      </c>
      <c r="M7907">
        <v>0.99977240000000001</v>
      </c>
      <c r="N7907">
        <v>-1.436903E-2</v>
      </c>
      <c r="O7907">
        <v>-1.5772330000000001E-2</v>
      </c>
      <c r="P7907">
        <v>0.99431029999999998</v>
      </c>
      <c r="Q7907">
        <v>-0.1055068</v>
      </c>
      <c r="R7907">
        <v>1.468189E-2</v>
      </c>
      <c r="S7907">
        <v>2.9944760000000001</v>
      </c>
      <c r="T7907">
        <v>-0.1977363</v>
      </c>
      <c r="U7907">
        <v>0.11828610000000001</v>
      </c>
      <c r="V7907">
        <v>-3.0306630000000001E-2</v>
      </c>
      <c r="W7907">
        <v>-9.123299E-2</v>
      </c>
      <c r="X7907">
        <v>0.99536829999999998</v>
      </c>
      <c r="Y7907">
        <v>-5.5060530000000003E-2</v>
      </c>
      <c r="Z7907">
        <v>3.025186E-3</v>
      </c>
      <c r="AA7907">
        <v>0.99847839999999999</v>
      </c>
      <c r="AB7907">
        <v>28</v>
      </c>
      <c r="AC7907">
        <v>16.822299999999998</v>
      </c>
      <c r="AD7907">
        <v>-1.121137490483</v>
      </c>
      <c r="AE7907">
        <v>0.67293999999999699</v>
      </c>
      <c r="AF7907">
        <v>-0.93406832398950601</v>
      </c>
      <c r="AG7907">
        <v>-1.121137490483</v>
      </c>
      <c r="AH7907">
        <v>16.735377711768098</v>
      </c>
      <c r="AI7907">
        <v>93.826697719980601</v>
      </c>
      <c r="AJ7907">
        <v>93.194591959243994</v>
      </c>
      <c r="AK7907">
        <v>16.798877940564701</v>
      </c>
      <c r="AL7907">
        <v>95.234544055427406</v>
      </c>
      <c r="AM7907">
        <v>91.743983300888999</v>
      </c>
      <c r="AN7907">
        <v>1.0000000014655901</v>
      </c>
    </row>
    <row r="7908" spans="1:40" x14ac:dyDescent="0.25">
      <c r="A7908" t="str">
        <f>"20190303154334566"</f>
        <v>20190303154334566</v>
      </c>
      <c r="B7908" t="str">
        <f>"1551599014558102"</f>
        <v>1551599014558102</v>
      </c>
      <c r="C7908" t="s">
        <v>40</v>
      </c>
      <c r="D7908">
        <v>5.4896039999999999</v>
      </c>
      <c r="E7908">
        <v>0.49053760000000002</v>
      </c>
      <c r="F7908" t="s">
        <v>66</v>
      </c>
      <c r="G7908">
        <v>-226.91560000000001</v>
      </c>
      <c r="H7908" s="1">
        <v>-2.4162249999999999E-6</v>
      </c>
      <c r="I7908">
        <v>-61.874099999999999</v>
      </c>
      <c r="J7908">
        <v>-243.75909999999999</v>
      </c>
      <c r="K7908">
        <v>1.121143</v>
      </c>
      <c r="L7908">
        <v>-62.558959999999999</v>
      </c>
      <c r="M7908">
        <v>0.99977470000000002</v>
      </c>
      <c r="N7908">
        <v>-1.4430200000000001E-2</v>
      </c>
      <c r="O7908">
        <v>-1.5574660000000001E-2</v>
      </c>
      <c r="P7908">
        <v>0.99432310000000002</v>
      </c>
      <c r="Q7908">
        <v>-0.1053347</v>
      </c>
      <c r="R7908">
        <v>1.5049E-2</v>
      </c>
      <c r="S7908">
        <v>2.994415</v>
      </c>
      <c r="T7908">
        <v>-0.1975925</v>
      </c>
      <c r="U7908">
        <v>0.1203308</v>
      </c>
      <c r="V7908">
        <v>-3.0476719999999999E-2</v>
      </c>
      <c r="W7908">
        <v>-9.1000269999999994E-2</v>
      </c>
      <c r="X7908">
        <v>0.99538439999999995</v>
      </c>
      <c r="Y7908">
        <v>-5.5543790000000003E-2</v>
      </c>
      <c r="Z7908">
        <v>3.0331030000000001E-3</v>
      </c>
      <c r="AA7908">
        <v>0.99845170000000005</v>
      </c>
      <c r="AB7908">
        <v>28</v>
      </c>
      <c r="AC7908">
        <v>16.843499999999899</v>
      </c>
      <c r="AD7908">
        <v>-1.1211454162250001</v>
      </c>
      <c r="AE7908">
        <v>0.68486000000000002</v>
      </c>
      <c r="AF7908">
        <v>-0.942965011126768</v>
      </c>
      <c r="AG7908">
        <v>-1.1211454162250001</v>
      </c>
      <c r="AH7908">
        <v>16.756670020900302</v>
      </c>
      <c r="AI7908">
        <v>93.821778651650604</v>
      </c>
      <c r="AJ7908">
        <v>93.220866209979306</v>
      </c>
      <c r="AK7908">
        <v>16.8205867984999</v>
      </c>
      <c r="AL7908">
        <v>95.221154535263594</v>
      </c>
      <c r="AM7908">
        <v>91.753736620006293</v>
      </c>
      <c r="AN7908">
        <v>0.99999999168269504</v>
      </c>
    </row>
    <row r="7909" spans="1:40" x14ac:dyDescent="0.25">
      <c r="A7909" t="str">
        <f>"20190303154334579"</f>
        <v>20190303154334579</v>
      </c>
      <c r="B7909" t="str">
        <f>"1551599014567861"</f>
        <v>1551599014567861</v>
      </c>
      <c r="C7909" t="s">
        <v>40</v>
      </c>
      <c r="D7909">
        <v>5.5063500000000003</v>
      </c>
      <c r="E7909">
        <v>0.4905062</v>
      </c>
      <c r="F7909" t="s">
        <v>66</v>
      </c>
      <c r="G7909">
        <v>-226.78700000000001</v>
      </c>
      <c r="H7909" s="1">
        <v>-2.3586569999999998E-6</v>
      </c>
      <c r="I7909">
        <v>-61.863259999999997</v>
      </c>
      <c r="J7909">
        <v>-243.59479999999999</v>
      </c>
      <c r="K7909">
        <v>1.1211530000000001</v>
      </c>
      <c r="L7909">
        <v>-62.561279999999996</v>
      </c>
      <c r="M7909">
        <v>0.99977709999999997</v>
      </c>
      <c r="N7909">
        <v>-1.4495249999999999E-2</v>
      </c>
      <c r="O7909">
        <v>-1.5349949999999999E-2</v>
      </c>
      <c r="P7909">
        <v>0.99432189999999998</v>
      </c>
      <c r="Q7909">
        <v>-0.10531409999999999</v>
      </c>
      <c r="R7909">
        <v>1.525702E-2</v>
      </c>
      <c r="S7909">
        <v>2.994354</v>
      </c>
      <c r="T7909">
        <v>-0.1978018</v>
      </c>
      <c r="U7909">
        <v>0.1227417</v>
      </c>
      <c r="V7909">
        <v>-3.045987E-2</v>
      </c>
      <c r="W7909">
        <v>-9.0915300000000004E-2</v>
      </c>
      <c r="X7909">
        <v>0.99539270000000002</v>
      </c>
      <c r="Y7909">
        <v>-5.6121129999999998E-2</v>
      </c>
      <c r="Z7909">
        <v>3.0486089999999999E-3</v>
      </c>
      <c r="AA7909">
        <v>0.99841930000000001</v>
      </c>
      <c r="AB7909">
        <v>28</v>
      </c>
      <c r="AC7909">
        <v>16.807799999999901</v>
      </c>
      <c r="AD7909">
        <v>-1.121155358657</v>
      </c>
      <c r="AE7909">
        <v>0.69802000000000597</v>
      </c>
      <c r="AF7909">
        <v>-0.95173629794029302</v>
      </c>
      <c r="AG7909">
        <v>-1.121155358657</v>
      </c>
      <c r="AH7909">
        <v>16.7208326177619</v>
      </c>
      <c r="AI7909">
        <v>93.829840310565402</v>
      </c>
      <c r="AJ7909">
        <v>93.257714454753099</v>
      </c>
      <c r="AK7909">
        <v>16.785381578929702</v>
      </c>
      <c r="AL7909">
        <v>95.216265745210904</v>
      </c>
      <c r="AM7909">
        <v>91.752753011113796</v>
      </c>
      <c r="AN7909">
        <v>1.00000001133389</v>
      </c>
    </row>
    <row r="7910" spans="1:40" x14ac:dyDescent="0.25">
      <c r="A7910" t="str">
        <f>"20190303154334594"</f>
        <v>20190303154334594</v>
      </c>
      <c r="B7910" t="str">
        <f>"1551599014588356"</f>
        <v>1551599014588356</v>
      </c>
      <c r="C7910" t="s">
        <v>40</v>
      </c>
      <c r="D7910">
        <v>5.4690450000000004</v>
      </c>
      <c r="E7910">
        <v>0.49074129999999999</v>
      </c>
      <c r="F7910" t="s">
        <v>66</v>
      </c>
      <c r="G7910">
        <v>-226.6601</v>
      </c>
      <c r="H7910" s="1">
        <v>-2.3039530000000001E-6</v>
      </c>
      <c r="I7910">
        <v>-61.862079999999999</v>
      </c>
      <c r="J7910">
        <v>-243.3981</v>
      </c>
      <c r="K7910">
        <v>1.1211719999999901</v>
      </c>
      <c r="L7910">
        <v>-62.563999999999901</v>
      </c>
      <c r="M7910">
        <v>0.99978040000000001</v>
      </c>
      <c r="N7910">
        <v>-1.456529E-2</v>
      </c>
      <c r="O7910">
        <v>-1.5072550000000001E-2</v>
      </c>
      <c r="P7910">
        <v>0.99433590000000005</v>
      </c>
      <c r="Q7910">
        <v>-0.10520880000000001</v>
      </c>
      <c r="R7910">
        <v>1.5083559999999999E-2</v>
      </c>
      <c r="S7910">
        <v>2.9942319999999998</v>
      </c>
      <c r="T7910">
        <v>-0.19823270000000001</v>
      </c>
      <c r="U7910">
        <v>0.12362670000000001</v>
      </c>
      <c r="V7910">
        <v>-3.0008969999999999E-2</v>
      </c>
      <c r="W7910">
        <v>-9.0740169999999995E-2</v>
      </c>
      <c r="X7910">
        <v>0.99542240000000004</v>
      </c>
      <c r="Y7910">
        <v>-5.6139920000000003E-2</v>
      </c>
      <c r="Z7910">
        <v>3.0422890000000001E-3</v>
      </c>
      <c r="AA7910">
        <v>0.99841829999999998</v>
      </c>
      <c r="AB7910">
        <v>28</v>
      </c>
      <c r="AC7910">
        <v>16.738</v>
      </c>
      <c r="AD7910">
        <v>-1.12117430395299</v>
      </c>
      <c r="AE7910">
        <v>0.701919999999987</v>
      </c>
      <c r="AF7910">
        <v>-0.94989679260550597</v>
      </c>
      <c r="AG7910">
        <v>-1.12117430395299</v>
      </c>
      <c r="AH7910">
        <v>16.650938663174198</v>
      </c>
      <c r="AI7910">
        <v>93.845905116492006</v>
      </c>
      <c r="AJ7910">
        <v>93.265050239947598</v>
      </c>
      <c r="AK7910">
        <v>16.7156541631261</v>
      </c>
      <c r="AL7910">
        <v>95.206189761526005</v>
      </c>
      <c r="AM7910">
        <v>91.726771197651999</v>
      </c>
      <c r="AN7910">
        <v>1.0000000355769201</v>
      </c>
    </row>
    <row r="7911" spans="1:40" x14ac:dyDescent="0.25">
      <c r="A7911" t="str">
        <f>"20190303154334605"</f>
        <v>20190303154334605</v>
      </c>
      <c r="B7911" t="str">
        <f>"1551599014598116"</f>
        <v>1551599014598116</v>
      </c>
      <c r="C7911" t="s">
        <v>40</v>
      </c>
      <c r="D7911">
        <v>5.538049</v>
      </c>
      <c r="E7911">
        <v>0.49074269999999998</v>
      </c>
      <c r="F7911" t="s">
        <v>66</v>
      </c>
      <c r="G7911">
        <v>-226.1918</v>
      </c>
      <c r="H7911" s="1">
        <v>-2.1042059999999999E-6</v>
      </c>
      <c r="I7911">
        <v>-61.867330000000003</v>
      </c>
      <c r="J7911">
        <v>-243.26130000000001</v>
      </c>
      <c r="K7911">
        <v>1.121183</v>
      </c>
      <c r="L7911">
        <v>-62.565890000000003</v>
      </c>
      <c r="M7911">
        <v>0.99978270000000002</v>
      </c>
      <c r="N7911">
        <v>-1.460827E-2</v>
      </c>
      <c r="O7911">
        <v>-1.487175E-2</v>
      </c>
      <c r="P7911">
        <v>0.99434239999999996</v>
      </c>
      <c r="Q7911">
        <v>-0.1052203</v>
      </c>
      <c r="R7911">
        <v>1.457051E-2</v>
      </c>
      <c r="S7911">
        <v>2.9945680000000001</v>
      </c>
      <c r="T7911">
        <v>-0.19512769999999999</v>
      </c>
      <c r="U7911">
        <v>0.1212463</v>
      </c>
      <c r="V7911">
        <v>-2.9295160000000001E-2</v>
      </c>
      <c r="W7911">
        <v>-9.0708620000000004E-2</v>
      </c>
      <c r="X7911">
        <v>0.99544650000000001</v>
      </c>
      <c r="Y7911">
        <v>-5.5150299999999999E-2</v>
      </c>
      <c r="Z7911">
        <v>2.9484009999999998E-3</v>
      </c>
      <c r="AA7911">
        <v>0.99847370000000002</v>
      </c>
      <c r="AB7911">
        <v>28</v>
      </c>
      <c r="AC7911">
        <v>17.069500000000001</v>
      </c>
      <c r="AD7911">
        <v>-1.1211851042059999</v>
      </c>
      <c r="AE7911">
        <v>0.69855999999999996</v>
      </c>
      <c r="AF7911">
        <v>-0.94827881023073102</v>
      </c>
      <c r="AG7911">
        <v>-1.1211851042059999</v>
      </c>
      <c r="AH7911">
        <v>16.984069642277699</v>
      </c>
      <c r="AI7911">
        <v>93.770983164660706</v>
      </c>
      <c r="AJ7911">
        <v>93.1957017411968</v>
      </c>
      <c r="AK7911">
        <v>17.0474311951556</v>
      </c>
      <c r="AL7911">
        <v>95.204374794074198</v>
      </c>
      <c r="AM7911">
        <v>91.685680459540606</v>
      </c>
      <c r="AN7911">
        <v>0.99999999725198996</v>
      </c>
    </row>
    <row r="7912" spans="1:40" x14ac:dyDescent="0.25">
      <c r="A7912" t="str">
        <f>"20190303154334616"</f>
        <v>20190303154334616</v>
      </c>
      <c r="B7912" t="str">
        <f>"1551599014607877"</f>
        <v>1551599014607877</v>
      </c>
      <c r="C7912" t="s">
        <v>40</v>
      </c>
      <c r="D7912">
        <v>5.5228479999999998</v>
      </c>
      <c r="E7912">
        <v>0.49063980000000001</v>
      </c>
      <c r="F7912" t="s">
        <v>66</v>
      </c>
      <c r="G7912">
        <v>-226.0993</v>
      </c>
      <c r="H7912" s="1">
        <v>-2.0673710000000001E-6</v>
      </c>
      <c r="I7912">
        <v>-61.880119999999998</v>
      </c>
      <c r="J7912">
        <v>-243.12309999999999</v>
      </c>
      <c r="K7912">
        <v>1.121194</v>
      </c>
      <c r="L7912">
        <v>-62.567720000000001</v>
      </c>
      <c r="M7912">
        <v>0.99978500000000003</v>
      </c>
      <c r="N7912">
        <v>-1.46506E-2</v>
      </c>
      <c r="O7912">
        <v>-1.4666780000000001E-2</v>
      </c>
      <c r="P7912">
        <v>0.9943282</v>
      </c>
      <c r="Q7912">
        <v>-0.10540679999999999</v>
      </c>
      <c r="R7912">
        <v>1.4172290000000001E-2</v>
      </c>
      <c r="S7912">
        <v>2.9946139999999999</v>
      </c>
      <c r="T7912">
        <v>-0.19563620000000001</v>
      </c>
      <c r="U7912">
        <v>0.1196594</v>
      </c>
      <c r="V7912">
        <v>-2.8691479999999998E-2</v>
      </c>
      <c r="W7912">
        <v>-9.0853119999999996E-2</v>
      </c>
      <c r="X7912">
        <v>0.99545090000000003</v>
      </c>
      <c r="Y7912">
        <v>-5.4418029999999999E-2</v>
      </c>
      <c r="Z7912">
        <v>2.916475E-3</v>
      </c>
      <c r="AA7912">
        <v>0.99851400000000001</v>
      </c>
      <c r="AB7912">
        <v>28</v>
      </c>
      <c r="AC7912">
        <v>17.023799999999898</v>
      </c>
      <c r="AD7912">
        <v>-1.121196067371</v>
      </c>
      <c r="AE7912">
        <v>0.68759999999999599</v>
      </c>
      <c r="AF7912">
        <v>-0.93319593492405895</v>
      </c>
      <c r="AG7912">
        <v>-1.121196067371</v>
      </c>
      <c r="AH7912">
        <v>16.938529512077299</v>
      </c>
      <c r="AI7912">
        <v>93.781283482964795</v>
      </c>
      <c r="AJ7912">
        <v>93.153413664493698</v>
      </c>
      <c r="AK7912">
        <v>17.0012269353115</v>
      </c>
      <c r="AL7912">
        <v>95.2126883873579</v>
      </c>
      <c r="AM7912">
        <v>91.650956083901093</v>
      </c>
      <c r="AN7912">
        <v>0.99999999237456705</v>
      </c>
    </row>
    <row r="7913" spans="1:40" x14ac:dyDescent="0.25">
      <c r="A7913" t="str">
        <f>"20190303154334627"</f>
        <v>20190303154334627</v>
      </c>
      <c r="B7913" t="str">
        <f>"1551599014617637"</f>
        <v>1551599014617637</v>
      </c>
      <c r="C7913" t="s">
        <v>40</v>
      </c>
      <c r="D7913">
        <v>5.564292</v>
      </c>
      <c r="E7913">
        <v>0.49048389999999997</v>
      </c>
      <c r="F7913" t="s">
        <v>66</v>
      </c>
      <c r="G7913">
        <v>-226.06309999999999</v>
      </c>
      <c r="H7913" s="1">
        <v>-2.0537400000000002E-6</v>
      </c>
      <c r="I7913">
        <v>-61.888629999999999</v>
      </c>
      <c r="J7913">
        <v>-242.9787</v>
      </c>
      <c r="K7913">
        <v>1.1212059999999999</v>
      </c>
      <c r="L7913">
        <v>-62.569580000000002</v>
      </c>
      <c r="M7913">
        <v>0.99978789999999995</v>
      </c>
      <c r="N7913">
        <v>-1.468941E-2</v>
      </c>
      <c r="O7913">
        <v>-1.4442679999999999E-2</v>
      </c>
      <c r="P7913">
        <v>0.99433159999999998</v>
      </c>
      <c r="Q7913">
        <v>-0.1053996</v>
      </c>
      <c r="R7913">
        <v>1.399737E-2</v>
      </c>
      <c r="S7913">
        <v>2.9945529999999998</v>
      </c>
      <c r="T7913">
        <v>-0.19680449999999999</v>
      </c>
      <c r="U7913">
        <v>0.11920169999999999</v>
      </c>
      <c r="V7913">
        <v>-2.8291920000000002E-2</v>
      </c>
      <c r="W7913">
        <v>-9.0807410000000005E-2</v>
      </c>
      <c r="X7913">
        <v>0.99546650000000003</v>
      </c>
      <c r="Y7913">
        <v>-5.4042050000000001E-2</v>
      </c>
      <c r="Z7913">
        <v>2.9067920000000001E-3</v>
      </c>
      <c r="AA7913">
        <v>0.99853440000000004</v>
      </c>
      <c r="AB7913">
        <v>28</v>
      </c>
      <c r="AC7913">
        <v>16.915600000000001</v>
      </c>
      <c r="AD7913">
        <v>-1.12120805374</v>
      </c>
      <c r="AE7913">
        <v>0.68094999999999495</v>
      </c>
      <c r="AF7913">
        <v>-0.92117139746868704</v>
      </c>
      <c r="AG7913">
        <v>-1.12120805374</v>
      </c>
      <c r="AH7913">
        <v>16.830177964162999</v>
      </c>
      <c r="AI7913">
        <v>93.805671130095007</v>
      </c>
      <c r="AJ7913">
        <v>93.132861917293098</v>
      </c>
      <c r="AK7913">
        <v>16.892618344965999</v>
      </c>
      <c r="AL7913">
        <v>95.210058562163496</v>
      </c>
      <c r="AM7913">
        <v>91.627951689859799</v>
      </c>
      <c r="AN7913">
        <v>0.99999998553522196</v>
      </c>
    </row>
    <row r="7914" spans="1:40" x14ac:dyDescent="0.25">
      <c r="A7914" t="str">
        <f>"20190303154334639"</f>
        <v>20190303154334639</v>
      </c>
      <c r="B7914" t="str">
        <f>"1551599014628373"</f>
        <v>1551599014628373</v>
      </c>
      <c r="C7914" t="s">
        <v>40</v>
      </c>
      <c r="D7914">
        <v>5.5802069999999997</v>
      </c>
      <c r="E7914">
        <v>0.49025780000000002</v>
      </c>
      <c r="F7914" t="s">
        <v>66</v>
      </c>
      <c r="G7914">
        <v>-225.98140000000001</v>
      </c>
      <c r="H7914" s="1">
        <v>-2.0187420000000001E-6</v>
      </c>
      <c r="I7914">
        <v>-61.888809999999999</v>
      </c>
      <c r="J7914">
        <v>-242.8451</v>
      </c>
      <c r="K7914">
        <v>1.121219</v>
      </c>
      <c r="L7914">
        <v>-62.571319999999901</v>
      </c>
      <c r="M7914">
        <v>0.99979030000000002</v>
      </c>
      <c r="N7914">
        <v>-1.472391E-2</v>
      </c>
      <c r="O7914">
        <v>-1.4231789999999999E-2</v>
      </c>
      <c r="P7914">
        <v>0.9943147</v>
      </c>
      <c r="Q7914">
        <v>-0.10561</v>
      </c>
      <c r="R7914">
        <v>1.359082E-2</v>
      </c>
      <c r="S7914">
        <v>2.9944760000000001</v>
      </c>
      <c r="T7914">
        <v>-0.19752739999999999</v>
      </c>
      <c r="U7914">
        <v>0.1199341</v>
      </c>
      <c r="V7914">
        <v>-2.7673440000000001E-2</v>
      </c>
      <c r="W7914">
        <v>-9.0983610000000006E-2</v>
      </c>
      <c r="X7914">
        <v>0.99546780000000001</v>
      </c>
      <c r="Y7914">
        <v>-5.40753E-2</v>
      </c>
      <c r="Z7914">
        <v>2.907817E-3</v>
      </c>
      <c r="AA7914">
        <v>0.99853270000000005</v>
      </c>
      <c r="AB7914">
        <v>28</v>
      </c>
      <c r="AC7914">
        <v>16.863699999999898</v>
      </c>
      <c r="AD7914">
        <v>-1.121221018742</v>
      </c>
      <c r="AE7914">
        <v>0.68250999999999296</v>
      </c>
      <c r="AF7914">
        <v>-0.91841426033775198</v>
      </c>
      <c r="AG7914">
        <v>-1.121221018742</v>
      </c>
      <c r="AH7914">
        <v>16.778229547327602</v>
      </c>
      <c r="AI7914">
        <v>93.817462331374799</v>
      </c>
      <c r="AJ7914">
        <v>93.133155305452306</v>
      </c>
      <c r="AK7914">
        <v>16.8407128135741</v>
      </c>
      <c r="AL7914">
        <v>95.220196026851099</v>
      </c>
      <c r="AM7914">
        <v>91.592380043087999</v>
      </c>
      <c r="AN7914">
        <v>0.99999998870345197</v>
      </c>
    </row>
    <row r="7915" spans="1:40" x14ac:dyDescent="0.25">
      <c r="A7915" t="str">
        <f>"20190303154334649"</f>
        <v>20190303154334649</v>
      </c>
      <c r="B7915" t="str">
        <f>"1551599014638134"</f>
        <v>1551599014638134</v>
      </c>
      <c r="C7915" t="s">
        <v>40</v>
      </c>
      <c r="D7915">
        <v>5.5534629999999998</v>
      </c>
      <c r="E7915">
        <v>0.49029119999999998</v>
      </c>
      <c r="F7915" t="s">
        <v>66</v>
      </c>
      <c r="G7915">
        <v>-225.88759999999999</v>
      </c>
      <c r="H7915" s="1">
        <v>-1.9785479999999998E-6</v>
      </c>
      <c r="I7915">
        <v>-61.889029999999998</v>
      </c>
      <c r="J7915">
        <v>-242.703</v>
      </c>
      <c r="K7915">
        <v>1.121232</v>
      </c>
      <c r="L7915">
        <v>-62.573090000000001</v>
      </c>
      <c r="M7915">
        <v>0.99979320000000005</v>
      </c>
      <c r="N7915">
        <v>-1.4756999999999999E-2</v>
      </c>
      <c r="O7915">
        <v>-1.400013E-2</v>
      </c>
      <c r="P7915">
        <v>0.9942993</v>
      </c>
      <c r="Q7915">
        <v>-0.1057829</v>
      </c>
      <c r="R7915">
        <v>1.338522E-2</v>
      </c>
      <c r="S7915">
        <v>2.9944760000000001</v>
      </c>
      <c r="T7915">
        <v>-0.1979938</v>
      </c>
      <c r="U7915">
        <v>0.12048339999999901</v>
      </c>
      <c r="V7915">
        <v>-2.7234959999999999E-2</v>
      </c>
      <c r="W7915">
        <v>-9.1123819999999994E-2</v>
      </c>
      <c r="X7915">
        <v>0.99546710000000005</v>
      </c>
      <c r="Y7915">
        <v>-5.4026480000000002E-2</v>
      </c>
      <c r="Z7915">
        <v>2.900789E-3</v>
      </c>
      <c r="AA7915">
        <v>0.99853530000000001</v>
      </c>
      <c r="AB7915">
        <v>28</v>
      </c>
      <c r="AC7915">
        <v>16.8154</v>
      </c>
      <c r="AD7915">
        <v>-1.1212339785480001</v>
      </c>
      <c r="AE7915">
        <v>0.68405999999999501</v>
      </c>
      <c r="AF7915">
        <v>-0.91537323490188305</v>
      </c>
      <c r="AG7915">
        <v>-1.1212339785480001</v>
      </c>
      <c r="AH7915">
        <v>16.729913866766001</v>
      </c>
      <c r="AI7915">
        <v>93.8285034062215</v>
      </c>
      <c r="AJ7915">
        <v>93.131802129538002</v>
      </c>
      <c r="AK7915">
        <v>16.7924117321853</v>
      </c>
      <c r="AL7915">
        <v>95.228262812273201</v>
      </c>
      <c r="AM7915">
        <v>91.567162891756695</v>
      </c>
      <c r="AN7915">
        <v>1.0000000203999999</v>
      </c>
    </row>
    <row r="7916" spans="1:40" x14ac:dyDescent="0.25">
      <c r="A7916" t="str">
        <f>"20190303154334661"</f>
        <v>20190303154334661</v>
      </c>
      <c r="B7916" t="str">
        <f>"1551599014657653"</f>
        <v>1551599014657653</v>
      </c>
      <c r="C7916" t="s">
        <v>40</v>
      </c>
      <c r="D7916">
        <v>5.5360120000000004</v>
      </c>
      <c r="E7916">
        <v>0.49032209999999898</v>
      </c>
      <c r="F7916" t="s">
        <v>66</v>
      </c>
      <c r="G7916">
        <v>-225.83009999999999</v>
      </c>
      <c r="H7916" s="1">
        <v>-1.956168E-6</v>
      </c>
      <c r="I7916">
        <v>-61.899349999999998</v>
      </c>
      <c r="J7916">
        <v>-242.5659</v>
      </c>
      <c r="K7916">
        <v>1.121243</v>
      </c>
      <c r="L7916">
        <v>-62.574800000000003</v>
      </c>
      <c r="M7916">
        <v>0.99979589999999996</v>
      </c>
      <c r="N7916">
        <v>-1.47867E-2</v>
      </c>
      <c r="O7916">
        <v>-1.3770839999999999E-2</v>
      </c>
      <c r="P7916">
        <v>0.99431740000000002</v>
      </c>
      <c r="Q7916">
        <v>-0.1056129</v>
      </c>
      <c r="R7916">
        <v>1.3367489999999999E-2</v>
      </c>
      <c r="S7916">
        <v>2.994415</v>
      </c>
      <c r="T7916">
        <v>-0.19898440000000001</v>
      </c>
      <c r="U7916">
        <v>0.1195679</v>
      </c>
      <c r="V7916">
        <v>-2.6988149999999999E-2</v>
      </c>
      <c r="W7916">
        <v>-9.0924400000000002E-2</v>
      </c>
      <c r="X7916">
        <v>0.99549200000000004</v>
      </c>
      <c r="Y7916">
        <v>-5.3493640000000002E-2</v>
      </c>
      <c r="Z7916">
        <v>2.8813160000000001E-3</v>
      </c>
      <c r="AA7916">
        <v>0.99856400000000001</v>
      </c>
      <c r="AB7916">
        <v>28</v>
      </c>
      <c r="AC7916">
        <v>16.735800000000001</v>
      </c>
      <c r="AD7916">
        <v>-1.121244956168</v>
      </c>
      <c r="AE7916">
        <v>0.67545000000000499</v>
      </c>
      <c r="AF7916">
        <v>-0.90183577683175598</v>
      </c>
      <c r="AG7916">
        <v>-1.121244956168</v>
      </c>
      <c r="AH7916">
        <v>16.6502957054022</v>
      </c>
      <c r="AI7916">
        <v>93.846907996860097</v>
      </c>
      <c r="AJ7916">
        <v>93.100301916151196</v>
      </c>
      <c r="AK7916">
        <v>16.7123560606349</v>
      </c>
      <c r="AL7916">
        <v>95.216789550743997</v>
      </c>
      <c r="AM7916">
        <v>91.552929032205995</v>
      </c>
      <c r="AN7916">
        <v>0.99999996440989003</v>
      </c>
    </row>
    <row r="7917" spans="1:40" x14ac:dyDescent="0.25">
      <c r="A7917" t="str">
        <f>"20190303154334672"</f>
        <v>20190303154334672</v>
      </c>
      <c r="B7917" t="str">
        <f>"1551599014668389"</f>
        <v>1551599014668389</v>
      </c>
      <c r="C7917" t="s">
        <v>40</v>
      </c>
      <c r="D7917">
        <v>5.5067139999999997</v>
      </c>
      <c r="E7917">
        <v>0.49046919999999999</v>
      </c>
      <c r="F7917" t="s">
        <v>66</v>
      </c>
      <c r="G7917">
        <v>-225.7124</v>
      </c>
      <c r="H7917" s="1">
        <v>-1.906596E-6</v>
      </c>
      <c r="I7917">
        <v>-61.903550000000003</v>
      </c>
      <c r="J7917">
        <v>-242.4316</v>
      </c>
      <c r="K7917">
        <v>1.1212549999999999</v>
      </c>
      <c r="L7917">
        <v>-62.576419999999999</v>
      </c>
      <c r="M7917">
        <v>0.99979870000000004</v>
      </c>
      <c r="N7917">
        <v>-1.4813730000000001E-2</v>
      </c>
      <c r="O7917">
        <v>-1.354093E-2</v>
      </c>
      <c r="P7917">
        <v>0.99432310000000002</v>
      </c>
      <c r="Q7917">
        <v>-0.105555</v>
      </c>
      <c r="R7917">
        <v>1.342519E-2</v>
      </c>
      <c r="S7917">
        <v>2.9944000000000002</v>
      </c>
      <c r="T7917">
        <v>-0.19921330000000001</v>
      </c>
      <c r="U7917">
        <v>0.1192627</v>
      </c>
      <c r="V7917">
        <v>-2.681557E-2</v>
      </c>
      <c r="W7917">
        <v>-9.083977E-2</v>
      </c>
      <c r="X7917">
        <v>0.99550439999999996</v>
      </c>
      <c r="Y7917">
        <v>-5.3163429999999998E-2</v>
      </c>
      <c r="Z7917">
        <v>2.8594839999999998E-3</v>
      </c>
      <c r="AA7917">
        <v>0.99858170000000002</v>
      </c>
      <c r="AB7917">
        <v>28</v>
      </c>
      <c r="AC7917">
        <v>16.719200000000001</v>
      </c>
      <c r="AD7917">
        <v>-1.1212569065960001</v>
      </c>
      <c r="AE7917">
        <v>0.67286999999999597</v>
      </c>
      <c r="AF7917">
        <v>-0.89520687268460397</v>
      </c>
      <c r="AG7917">
        <v>-1.1212569065960001</v>
      </c>
      <c r="AH7917">
        <v>16.633863300121199</v>
      </c>
      <c r="AI7917">
        <v>93.850809110447003</v>
      </c>
      <c r="AJ7917">
        <v>93.080591683122705</v>
      </c>
      <c r="AK7917">
        <v>16.695628789674501</v>
      </c>
      <c r="AL7917">
        <v>95.211920405986106</v>
      </c>
      <c r="AM7917">
        <v>91.542984187297506</v>
      </c>
      <c r="AN7917">
        <v>0.99999997451371803</v>
      </c>
    </row>
    <row r="7918" spans="1:40" x14ac:dyDescent="0.25">
      <c r="A7918" t="str">
        <f>"20190303154334684"</f>
        <v>20190303154334684</v>
      </c>
      <c r="B7918" t="str">
        <f>"1551599014678148"</f>
        <v>1551599014678148</v>
      </c>
      <c r="C7918" t="s">
        <v>40</v>
      </c>
      <c r="D7918">
        <v>5.5152559999999999</v>
      </c>
      <c r="E7918">
        <v>0.4904191</v>
      </c>
      <c r="F7918" t="s">
        <v>66</v>
      </c>
      <c r="G7918">
        <v>-225.36410000000001</v>
      </c>
      <c r="H7918" s="1">
        <v>-1.7569629999999999E-6</v>
      </c>
      <c r="I7918">
        <v>-61.902439999999999</v>
      </c>
      <c r="J7918">
        <v>-242.28309999999999</v>
      </c>
      <c r="K7918">
        <v>1.12127</v>
      </c>
      <c r="L7918">
        <v>-62.578130000000002</v>
      </c>
      <c r="M7918">
        <v>0.99980190000000002</v>
      </c>
      <c r="N7918">
        <v>-1.484071E-2</v>
      </c>
      <c r="O7918">
        <v>-1.327823E-2</v>
      </c>
      <c r="P7918">
        <v>0.99434060000000002</v>
      </c>
      <c r="Q7918">
        <v>-0.1053904</v>
      </c>
      <c r="R7918">
        <v>1.341935E-2</v>
      </c>
      <c r="S7918">
        <v>2.994659</v>
      </c>
      <c r="T7918">
        <v>-0.1967362</v>
      </c>
      <c r="U7918">
        <v>0.1182556</v>
      </c>
      <c r="V7918">
        <v>-2.6546409999999999E-2</v>
      </c>
      <c r="W7918">
        <v>-9.0648419999999993E-2</v>
      </c>
      <c r="X7918">
        <v>0.99552909999999994</v>
      </c>
      <c r="Y7918">
        <v>-5.2568030000000002E-2</v>
      </c>
      <c r="Z7918">
        <v>2.7892419999999999E-3</v>
      </c>
      <c r="AA7918">
        <v>0.99861350000000004</v>
      </c>
      <c r="AB7918">
        <v>28</v>
      </c>
      <c r="AC7918">
        <v>16.918999999999901</v>
      </c>
      <c r="AD7918">
        <v>-1.121271756963</v>
      </c>
      <c r="AE7918">
        <v>0.67568999999999502</v>
      </c>
      <c r="AF7918">
        <v>-0.89637877341906802</v>
      </c>
      <c r="AG7918">
        <v>-1.121271756963</v>
      </c>
      <c r="AH7918">
        <v>16.8347131167423</v>
      </c>
      <c r="AI7918">
        <v>93.805168239065196</v>
      </c>
      <c r="AJ7918">
        <v>93.047884839524997</v>
      </c>
      <c r="AK7918">
        <v>16.895807497169699</v>
      </c>
      <c r="AL7918">
        <v>95.200911208873706</v>
      </c>
      <c r="AM7918">
        <v>91.527466051283398</v>
      </c>
      <c r="AN7918">
        <v>1.0000000184395901</v>
      </c>
    </row>
    <row r="7919" spans="1:40" x14ac:dyDescent="0.25">
      <c r="A7919" t="str">
        <f>"20190303154334694"</f>
        <v>20190303154334694</v>
      </c>
      <c r="B7919" t="str">
        <f>"1551599014687909"</f>
        <v>1551599014687909</v>
      </c>
      <c r="C7919" t="s">
        <v>40</v>
      </c>
      <c r="D7919">
        <v>5.5568929999999996</v>
      </c>
      <c r="E7919">
        <v>0.4903555</v>
      </c>
      <c r="F7919" t="s">
        <v>66</v>
      </c>
      <c r="G7919">
        <v>-225.2192</v>
      </c>
      <c r="H7919" s="1">
        <v>-1.6946869999999999E-6</v>
      </c>
      <c r="I7919">
        <v>-61.902019999999901</v>
      </c>
      <c r="J7919">
        <v>-242.14959999999999</v>
      </c>
      <c r="K7919">
        <v>1.1212839999999999</v>
      </c>
      <c r="L7919">
        <v>-62.579650000000001</v>
      </c>
      <c r="M7919">
        <v>0.99980449999999998</v>
      </c>
      <c r="N7919">
        <v>-1.486381E-2</v>
      </c>
      <c r="O7919">
        <v>-1.3038650000000001E-2</v>
      </c>
      <c r="P7919">
        <v>0.99432279999999995</v>
      </c>
      <c r="Q7919">
        <v>-0.105535</v>
      </c>
      <c r="R7919">
        <v>1.3585369999999999E-2</v>
      </c>
      <c r="S7919">
        <v>2.994583</v>
      </c>
      <c r="T7919">
        <v>-0.19677449999999999</v>
      </c>
      <c r="U7919">
        <v>0.1186523</v>
      </c>
      <c r="V7919">
        <v>-2.6472059999999999E-2</v>
      </c>
      <c r="W7919">
        <v>-9.0770649999999994E-2</v>
      </c>
      <c r="X7919">
        <v>0.99551990000000001</v>
      </c>
      <c r="Y7919">
        <v>-5.246232E-2</v>
      </c>
      <c r="Z7919">
        <v>2.7736900000000001E-3</v>
      </c>
      <c r="AA7919">
        <v>0.99861909999999998</v>
      </c>
      <c r="AB7919">
        <v>28</v>
      </c>
      <c r="AC7919">
        <v>16.930399999999899</v>
      </c>
      <c r="AD7919">
        <v>-1.121285694687</v>
      </c>
      <c r="AE7919">
        <v>0.67763000000000695</v>
      </c>
      <c r="AF7919">
        <v>-0.89442937709855397</v>
      </c>
      <c r="AG7919">
        <v>-1.121285694687</v>
      </c>
      <c r="AH7919">
        <v>16.846349203851801</v>
      </c>
      <c r="AI7919">
        <v>93.802625434777497</v>
      </c>
      <c r="AJ7919">
        <v>93.039172198775802</v>
      </c>
      <c r="AK7919">
        <v>16.907299223052899</v>
      </c>
      <c r="AL7919">
        <v>95.207943684325102</v>
      </c>
      <c r="AM7919">
        <v>91.523204080547302</v>
      </c>
      <c r="AN7919">
        <v>0.99999997607903701</v>
      </c>
    </row>
    <row r="7920" spans="1:40" x14ac:dyDescent="0.25">
      <c r="A7920" t="str">
        <f>"20190303154334706"</f>
        <v>20190303154334706</v>
      </c>
      <c r="B7920" t="str">
        <f>"1551599014697668"</f>
        <v>1551599014697668</v>
      </c>
      <c r="C7920" t="s">
        <v>40</v>
      </c>
      <c r="D7920">
        <v>5.5672240000000004</v>
      </c>
      <c r="E7920">
        <v>0.49032409999999998</v>
      </c>
      <c r="F7920" t="s">
        <v>66</v>
      </c>
      <c r="G7920">
        <v>-225.18459999999999</v>
      </c>
      <c r="H7920" s="1">
        <v>-1.679769E-6</v>
      </c>
      <c r="I7920">
        <v>-61.901730000000001</v>
      </c>
      <c r="J7920">
        <v>-242.0061</v>
      </c>
      <c r="K7920">
        <v>1.121297</v>
      </c>
      <c r="L7920">
        <v>-62.581240000000001</v>
      </c>
      <c r="M7920">
        <v>0.99980769999999997</v>
      </c>
      <c r="N7920">
        <v>-1.488545E-2</v>
      </c>
      <c r="O7920">
        <v>-1.277116E-2</v>
      </c>
      <c r="P7920">
        <v>0.99431230000000004</v>
      </c>
      <c r="Q7920">
        <v>-0.1056493</v>
      </c>
      <c r="R7920">
        <v>1.348094E-2</v>
      </c>
      <c r="S7920">
        <v>2.994507</v>
      </c>
      <c r="T7920">
        <v>-0.19791829999999999</v>
      </c>
      <c r="U7920">
        <v>0.1196594</v>
      </c>
      <c r="V7920">
        <v>-2.6099669999999998E-2</v>
      </c>
      <c r="W7920">
        <v>-9.0863689999999997E-2</v>
      </c>
      <c r="X7920">
        <v>0.9955212</v>
      </c>
      <c r="Y7920">
        <v>-5.2529909999999999E-2</v>
      </c>
      <c r="Z7920">
        <v>2.7780389999999999E-3</v>
      </c>
      <c r="AA7920">
        <v>0.99861549999999999</v>
      </c>
      <c r="AB7920">
        <v>28</v>
      </c>
      <c r="AC7920">
        <v>16.8215</v>
      </c>
      <c r="AD7920">
        <v>-1.1212986797690001</v>
      </c>
      <c r="AE7920">
        <v>0.67950999999999295</v>
      </c>
      <c r="AF7920">
        <v>-0.89035867634489796</v>
      </c>
      <c r="AG7920">
        <v>-1.1212986797690001</v>
      </c>
      <c r="AH7920">
        <v>16.737200197345398</v>
      </c>
      <c r="AI7920">
        <v>93.827373544852193</v>
      </c>
      <c r="AJ7920">
        <v>93.045058598729796</v>
      </c>
      <c r="AK7920">
        <v>16.7983308619581</v>
      </c>
      <c r="AL7920">
        <v>95.213296838416994</v>
      </c>
      <c r="AM7920">
        <v>91.501784657801906</v>
      </c>
      <c r="AN7920">
        <v>0.99999993129197995</v>
      </c>
    </row>
    <row r="7921" spans="1:40" x14ac:dyDescent="0.25">
      <c r="A7921" t="str">
        <f>"20190303154334716"</f>
        <v>20190303154334716</v>
      </c>
      <c r="B7921" t="str">
        <f>"1551599014708405"</f>
        <v>1551599014708405</v>
      </c>
      <c r="C7921" t="s">
        <v>40</v>
      </c>
      <c r="D7921">
        <v>5.5463750000000003</v>
      </c>
      <c r="E7921">
        <v>0.49031000000000002</v>
      </c>
      <c r="F7921" t="s">
        <v>66</v>
      </c>
      <c r="G7921">
        <v>-225.10249999999999</v>
      </c>
      <c r="H7921" s="1">
        <v>-1.6456439999999999E-6</v>
      </c>
      <c r="I7921">
        <v>-61.906619999999997</v>
      </c>
      <c r="J7921">
        <v>-241.8776</v>
      </c>
      <c r="K7921">
        <v>1.1213040000000001</v>
      </c>
      <c r="L7921">
        <v>-62.582639999999998</v>
      </c>
      <c r="M7921">
        <v>0.99981050000000005</v>
      </c>
      <c r="N7921">
        <v>-1.490431E-2</v>
      </c>
      <c r="O7921">
        <v>-1.252989E-2</v>
      </c>
      <c r="P7921">
        <v>0.99426780000000003</v>
      </c>
      <c r="Q7921">
        <v>-0.106057399999999</v>
      </c>
      <c r="R7921">
        <v>1.354727E-2</v>
      </c>
      <c r="S7921">
        <v>2.9944459999999999</v>
      </c>
      <c r="T7921">
        <v>-0.19863610000000001</v>
      </c>
      <c r="U7921">
        <v>0.1195068</v>
      </c>
      <c r="V7921">
        <v>-2.592357E-2</v>
      </c>
      <c r="W7921">
        <v>-9.1253829999999994E-2</v>
      </c>
      <c r="X7921">
        <v>0.99549019999999999</v>
      </c>
      <c r="Y7921">
        <v>-5.2238930000000003E-2</v>
      </c>
      <c r="Z7921">
        <v>2.7634780000000002E-3</v>
      </c>
      <c r="AA7921">
        <v>0.99863080000000004</v>
      </c>
      <c r="AB7921">
        <v>28</v>
      </c>
      <c r="AC7921">
        <v>16.775099999999998</v>
      </c>
      <c r="AD7921">
        <v>-1.121305645644</v>
      </c>
      <c r="AE7921">
        <v>0.67602000000000795</v>
      </c>
      <c r="AF7921">
        <v>-0.88224488760166497</v>
      </c>
      <c r="AG7921">
        <v>-1.121305645644</v>
      </c>
      <c r="AH7921">
        <v>16.690856803675299</v>
      </c>
      <c r="AI7921">
        <v>93.838061060626899</v>
      </c>
      <c r="AJ7921">
        <v>93.025723041707096</v>
      </c>
      <c r="AK7921">
        <v>16.751727768604798</v>
      </c>
      <c r="AL7921">
        <v>95.235743026758797</v>
      </c>
      <c r="AM7921">
        <v>91.491702822084306</v>
      </c>
      <c r="AN7921">
        <v>1.00000001563362</v>
      </c>
    </row>
    <row r="7922" spans="1:40" x14ac:dyDescent="0.25">
      <c r="A7922" t="str">
        <f>"20190303154334728"</f>
        <v>20190303154334728</v>
      </c>
      <c r="B7922" t="str">
        <f>"1551599014718672"</f>
        <v>1551599014718672</v>
      </c>
      <c r="C7922" t="s">
        <v>40</v>
      </c>
      <c r="D7922">
        <v>5.5894810000000001</v>
      </c>
      <c r="E7922">
        <v>0.49021409999999999</v>
      </c>
      <c r="F7922" t="s">
        <v>66</v>
      </c>
      <c r="G7922">
        <v>-225.084</v>
      </c>
      <c r="H7922" s="1">
        <v>-1.6385460000000001E-6</v>
      </c>
      <c r="I7922">
        <v>-61.910339999999998</v>
      </c>
      <c r="J7922">
        <v>-241.72730000000001</v>
      </c>
      <c r="K7922">
        <v>1.1213150000000001</v>
      </c>
      <c r="L7922">
        <v>-62.584200000000003</v>
      </c>
      <c r="M7922">
        <v>0.99981370000000003</v>
      </c>
      <c r="N7922">
        <v>-1.4923530000000001E-2</v>
      </c>
      <c r="O7922">
        <v>-1.2239770000000001E-2</v>
      </c>
      <c r="P7922">
        <v>0.99427129999999997</v>
      </c>
      <c r="Q7922">
        <v>-0.1059755</v>
      </c>
      <c r="R7922">
        <v>1.392418E-2</v>
      </c>
      <c r="S7922">
        <v>2.9943390000000001</v>
      </c>
      <c r="T7922">
        <v>-0.199932</v>
      </c>
      <c r="U7922">
        <v>0.11987299999999999</v>
      </c>
      <c r="V7922">
        <v>-2.6010209999999999E-2</v>
      </c>
      <c r="W7922">
        <v>-9.1153269999999995E-2</v>
      </c>
      <c r="X7922">
        <v>0.99549710000000002</v>
      </c>
      <c r="Y7922">
        <v>-5.2071369999999999E-2</v>
      </c>
      <c r="Z7922">
        <v>2.7586429999999999E-3</v>
      </c>
      <c r="AA7922">
        <v>0.99863959999999996</v>
      </c>
      <c r="AB7922">
        <v>28</v>
      </c>
      <c r="AC7922">
        <v>16.6433</v>
      </c>
      <c r="AD7922">
        <v>-1.1213166385460001</v>
      </c>
      <c r="AE7922">
        <v>0.67385999999999702</v>
      </c>
      <c r="AF7922">
        <v>-0.87358350190734302</v>
      </c>
      <c r="AG7922">
        <v>-1.1213166385460001</v>
      </c>
      <c r="AH7922">
        <v>16.558763944088302</v>
      </c>
      <c r="AI7922">
        <v>93.868643913832202</v>
      </c>
      <c r="AJ7922">
        <v>93.019928833084705</v>
      </c>
      <c r="AK7922">
        <v>16.619661924802301</v>
      </c>
      <c r="AL7922">
        <v>95.229957526366604</v>
      </c>
      <c r="AM7922">
        <v>91.4966756572516</v>
      </c>
      <c r="AN7922">
        <v>0.99999996288217197</v>
      </c>
    </row>
    <row r="7923" spans="1:40" x14ac:dyDescent="0.25">
      <c r="A7923" t="str">
        <f>"20190303154334739"</f>
        <v>20190303154334739</v>
      </c>
      <c r="B7923" t="str">
        <f>"1551599014728432"</f>
        <v>1551599014728432</v>
      </c>
      <c r="C7923" t="s">
        <v>40</v>
      </c>
      <c r="D7923">
        <v>5.5727449999999896</v>
      </c>
      <c r="E7923">
        <v>0.4901662</v>
      </c>
      <c r="F7923" t="s">
        <v>66</v>
      </c>
      <c r="G7923">
        <v>-224.9633</v>
      </c>
      <c r="H7923" s="1">
        <v>-1.5850240000000001E-6</v>
      </c>
      <c r="I7923">
        <v>-61.902470000000001</v>
      </c>
      <c r="J7923">
        <v>-241.59710000000001</v>
      </c>
      <c r="K7923">
        <v>1.121326</v>
      </c>
      <c r="L7923">
        <v>-62.585540000000002</v>
      </c>
      <c r="M7923">
        <v>0.9998165</v>
      </c>
      <c r="N7923">
        <v>-1.4939340000000001E-2</v>
      </c>
      <c r="O7923">
        <v>-1.198636E-2</v>
      </c>
      <c r="P7923">
        <v>0.99423830000000002</v>
      </c>
      <c r="Q7923">
        <v>-0.1062482</v>
      </c>
      <c r="R7923">
        <v>1.4202879999999999E-2</v>
      </c>
      <c r="S7923">
        <v>2.9942470000000001</v>
      </c>
      <c r="T7923">
        <v>-0.2002804</v>
      </c>
      <c r="U7923">
        <v>0.1217651</v>
      </c>
      <c r="V7923">
        <v>-2.6035699999999998E-2</v>
      </c>
      <c r="W7923">
        <v>-9.1410989999999998E-2</v>
      </c>
      <c r="X7923">
        <v>0.99547280000000005</v>
      </c>
      <c r="Y7923">
        <v>-5.2448269999999998E-2</v>
      </c>
      <c r="Z7923">
        <v>2.7656170000000002E-3</v>
      </c>
      <c r="AA7923">
        <v>0.99861979999999995</v>
      </c>
      <c r="AB7923">
        <v>28</v>
      </c>
      <c r="AC7923">
        <v>16.633800000000001</v>
      </c>
      <c r="AD7923">
        <v>-1.1213275850239901</v>
      </c>
      <c r="AE7923">
        <v>0.68307000000000695</v>
      </c>
      <c r="AF7923">
        <v>-0.87843659933141105</v>
      </c>
      <c r="AG7923">
        <v>-1.1213275850239901</v>
      </c>
      <c r="AH7923">
        <v>16.549335200371299</v>
      </c>
      <c r="AI7923">
        <v>93.870813151804299</v>
      </c>
      <c r="AJ7923">
        <v>93.038401263829101</v>
      </c>
      <c r="AK7923">
        <v>16.610524434412898</v>
      </c>
      <c r="AL7923">
        <v>95.244785710923793</v>
      </c>
      <c r="AM7923">
        <v>91.498178284685807</v>
      </c>
      <c r="AN7923">
        <v>0.99999996115355405</v>
      </c>
    </row>
    <row r="7924" spans="1:40" x14ac:dyDescent="0.25">
      <c r="A7924" t="str">
        <f>"20190303154334750"</f>
        <v>20190303154334750</v>
      </c>
      <c r="B7924" t="str">
        <f>"1551599014747952"</f>
        <v>1551599014747952</v>
      </c>
      <c r="C7924" t="s">
        <v>40</v>
      </c>
      <c r="D7924">
        <v>5.6089919999999998</v>
      </c>
      <c r="E7924">
        <v>0.48998629999999999</v>
      </c>
      <c r="F7924" t="s">
        <v>66</v>
      </c>
      <c r="G7924">
        <v>-224.90180000000001</v>
      </c>
      <c r="H7924" s="1">
        <v>-1.5579679999999999E-6</v>
      </c>
      <c r="I7924">
        <v>-61.899430000000002</v>
      </c>
      <c r="J7924">
        <v>-241.4496</v>
      </c>
      <c r="K7924">
        <v>1.1213280000000001</v>
      </c>
      <c r="L7924">
        <v>-62.587009999999999</v>
      </c>
      <c r="M7924">
        <v>0.99981980000000004</v>
      </c>
      <c r="N7924">
        <v>-1.4955390000000001E-2</v>
      </c>
      <c r="O7924">
        <v>-1.1695530000000001E-2</v>
      </c>
      <c r="P7924">
        <v>0.99425699999999995</v>
      </c>
      <c r="Q7924">
        <v>-0.1060136</v>
      </c>
      <c r="R7924">
        <v>1.4637900000000001E-2</v>
      </c>
      <c r="S7924">
        <v>2.9941249999999999</v>
      </c>
      <c r="T7924">
        <v>-0.20109920000000001</v>
      </c>
      <c r="U7924">
        <v>0.1230469</v>
      </c>
      <c r="V7924">
        <v>-2.618061E-2</v>
      </c>
      <c r="W7924">
        <v>-9.1160630000000006E-2</v>
      </c>
      <c r="X7924">
        <v>0.99549200000000004</v>
      </c>
      <c r="Y7924">
        <v>-5.2584980000000003E-2</v>
      </c>
      <c r="Z7924">
        <v>2.7667960000000002E-3</v>
      </c>
      <c r="AA7924">
        <v>0.99861259999999996</v>
      </c>
      <c r="AB7924">
        <v>28</v>
      </c>
      <c r="AC7924">
        <v>16.547799999999899</v>
      </c>
      <c r="AD7924">
        <v>-1.121329557968</v>
      </c>
      <c r="AE7924">
        <v>0.68757999999999697</v>
      </c>
      <c r="AF7924">
        <v>-0.87706947821222003</v>
      </c>
      <c r="AG7924">
        <v>-1.121329557968</v>
      </c>
      <c r="AH7924">
        <v>16.463159671602401</v>
      </c>
      <c r="AI7924">
        <v>93.890979393777897</v>
      </c>
      <c r="AJ7924">
        <v>93.049531152517503</v>
      </c>
      <c r="AK7924">
        <v>16.524595523638698</v>
      </c>
      <c r="AL7924">
        <v>95.230380773692005</v>
      </c>
      <c r="AM7924">
        <v>91.506483999443105</v>
      </c>
      <c r="AN7924">
        <v>1.0000000034329799</v>
      </c>
    </row>
    <row r="7925" spans="1:40" x14ac:dyDescent="0.25">
      <c r="A7925" t="str">
        <f>"20190303154334763"</f>
        <v>20190303154334763</v>
      </c>
      <c r="B7925" t="str">
        <f>"1551599014758688"</f>
        <v>1551599014758688</v>
      </c>
      <c r="C7925" t="s">
        <v>40</v>
      </c>
      <c r="D7925">
        <v>5.5667260000000001</v>
      </c>
      <c r="E7925">
        <v>0.48991380000000001</v>
      </c>
      <c r="F7925" t="s">
        <v>66</v>
      </c>
      <c r="G7925">
        <v>-224.709</v>
      </c>
      <c r="H7925" s="1">
        <v>-1.4716149999999901E-6</v>
      </c>
      <c r="I7925">
        <v>-61.883159999999997</v>
      </c>
      <c r="J7925">
        <v>-241.30369999999999</v>
      </c>
      <c r="K7925">
        <v>1.1213329999999999</v>
      </c>
      <c r="L7925">
        <v>-62.588380000000001</v>
      </c>
      <c r="M7925">
        <v>0.99982300000000002</v>
      </c>
      <c r="N7925">
        <v>-1.496977E-2</v>
      </c>
      <c r="O7925">
        <v>-1.140531E-2</v>
      </c>
      <c r="P7925">
        <v>0.99429710000000004</v>
      </c>
      <c r="Q7925">
        <v>-0.10558679999999999</v>
      </c>
      <c r="R7925">
        <v>1.5002659999999999E-2</v>
      </c>
      <c r="S7925">
        <v>2.99411</v>
      </c>
      <c r="T7925">
        <v>-0.20055290000000001</v>
      </c>
      <c r="U7925">
        <v>0.125885</v>
      </c>
      <c r="V7925">
        <v>-2.6256669999999999E-2</v>
      </c>
      <c r="W7925">
        <v>-9.0719129999999995E-2</v>
      </c>
      <c r="X7925">
        <v>0.99553029999999998</v>
      </c>
      <c r="Y7925">
        <v>-5.3239689999999999E-2</v>
      </c>
      <c r="Z7925">
        <v>2.7718059999999999E-3</v>
      </c>
      <c r="AA7925">
        <v>0.99857790000000002</v>
      </c>
      <c r="AB7925">
        <v>28</v>
      </c>
      <c r="AC7925">
        <v>16.5946999999999</v>
      </c>
      <c r="AD7925">
        <v>-1.121334471615</v>
      </c>
      <c r="AE7925">
        <v>0.70522000000001095</v>
      </c>
      <c r="AF7925">
        <v>-0.89040479076947399</v>
      </c>
      <c r="AG7925">
        <v>-1.121334471615</v>
      </c>
      <c r="AH7925">
        <v>16.510326746782201</v>
      </c>
      <c r="AI7925">
        <v>93.879778986672406</v>
      </c>
      <c r="AJ7925">
        <v>93.0869808736267</v>
      </c>
      <c r="AK7925">
        <v>16.572299206029498</v>
      </c>
      <c r="AL7925">
        <v>95.204979578045993</v>
      </c>
      <c r="AM7925">
        <v>91.510800517650097</v>
      </c>
      <c r="AN7925">
        <v>0.999999975742767</v>
      </c>
    </row>
    <row r="7926" spans="1:40" x14ac:dyDescent="0.25">
      <c r="A7926" t="str">
        <f>"20190303154334775"</f>
        <v>20190303154334775</v>
      </c>
      <c r="B7926" t="str">
        <f>"1551599014768450"</f>
        <v>1551599014768450</v>
      </c>
      <c r="C7926" t="s">
        <v>40</v>
      </c>
      <c r="D7926">
        <v>5.566433</v>
      </c>
      <c r="E7926">
        <v>0.48981540000000001</v>
      </c>
      <c r="F7926" t="s">
        <v>66</v>
      </c>
      <c r="G7926">
        <v>-224.50290000000001</v>
      </c>
      <c r="H7926" s="1">
        <v>-1.3808129999999999E-6</v>
      </c>
      <c r="I7926">
        <v>-61.872399999999999</v>
      </c>
      <c r="J7926">
        <v>-241.15819999999999</v>
      </c>
      <c r="K7926">
        <v>1.12134</v>
      </c>
      <c r="L7926">
        <v>-62.589750000000002</v>
      </c>
      <c r="M7926">
        <v>0.99982610000000005</v>
      </c>
      <c r="N7926">
        <v>-1.498322E-2</v>
      </c>
      <c r="O7926">
        <v>-1.111438E-2</v>
      </c>
      <c r="P7926">
        <v>0.99427520000000003</v>
      </c>
      <c r="Q7926">
        <v>-0.1057044</v>
      </c>
      <c r="R7926">
        <v>1.561384E-2</v>
      </c>
      <c r="S7926">
        <v>2.994049</v>
      </c>
      <c r="T7926">
        <v>-0.1998317</v>
      </c>
      <c r="U7926">
        <v>0.12759400000000001</v>
      </c>
      <c r="V7926">
        <v>-2.657779E-2</v>
      </c>
      <c r="W7926">
        <v>-9.0824130000000003E-2</v>
      </c>
      <c r="X7926">
        <v>0.99551219999999996</v>
      </c>
      <c r="Y7926">
        <v>-5.351964E-2</v>
      </c>
      <c r="Z7926">
        <v>2.7593029999999998E-3</v>
      </c>
      <c r="AA7926">
        <v>0.99856299999999998</v>
      </c>
      <c r="AB7926">
        <v>28</v>
      </c>
      <c r="AC7926">
        <v>16.655299999999901</v>
      </c>
      <c r="AD7926">
        <v>-1.1213413808129999</v>
      </c>
      <c r="AE7926">
        <v>0.71735000000000304</v>
      </c>
      <c r="AF7926">
        <v>-0.898375119251555</v>
      </c>
      <c r="AG7926">
        <v>-1.1213413808129999</v>
      </c>
      <c r="AH7926">
        <v>16.571321103471401</v>
      </c>
      <c r="AI7926">
        <v>93.865507044604996</v>
      </c>
      <c r="AJ7926">
        <v>93.103118001374696</v>
      </c>
      <c r="AK7926">
        <v>16.633495347087202</v>
      </c>
      <c r="AL7926">
        <v>95.211020599028501</v>
      </c>
      <c r="AM7926">
        <v>91.529296731436105</v>
      </c>
      <c r="AN7926">
        <v>0.99999997093019</v>
      </c>
    </row>
    <row r="7927" spans="1:40" x14ac:dyDescent="0.25">
      <c r="A7927" t="str">
        <f>"20190303154334786"</f>
        <v>20190303154334786</v>
      </c>
      <c r="B7927" t="str">
        <f>"1551599014778208"</f>
        <v>1551599014778208</v>
      </c>
      <c r="C7927" t="s">
        <v>40</v>
      </c>
      <c r="D7927">
        <v>5.5676600000000001</v>
      </c>
      <c r="E7927">
        <v>0.48975400000000002</v>
      </c>
      <c r="F7927" t="s">
        <v>66</v>
      </c>
      <c r="G7927">
        <v>-224.46440000000001</v>
      </c>
      <c r="H7927" s="1">
        <v>-1.362296E-6</v>
      </c>
      <c r="I7927">
        <v>-61.8634699999999</v>
      </c>
      <c r="J7927">
        <v>-241.01320000000001</v>
      </c>
      <c r="K7927">
        <v>1.121348</v>
      </c>
      <c r="L7927">
        <v>-62.591030000000003</v>
      </c>
      <c r="M7927">
        <v>0.99982910000000003</v>
      </c>
      <c r="N7927">
        <v>-1.499464E-2</v>
      </c>
      <c r="O7927">
        <v>-1.082204E-2</v>
      </c>
      <c r="P7927">
        <v>0.99426780000000003</v>
      </c>
      <c r="Q7927">
        <v>-0.1056969</v>
      </c>
      <c r="R7927">
        <v>1.6126950000000001E-2</v>
      </c>
      <c r="S7927">
        <v>2.9938349999999998</v>
      </c>
      <c r="T7927">
        <v>-0.20109840000000001</v>
      </c>
      <c r="U7927">
        <v>0.130249</v>
      </c>
      <c r="V7927">
        <v>-2.6800000000000001E-2</v>
      </c>
      <c r="W7927">
        <v>-9.0805659999999996E-2</v>
      </c>
      <c r="X7927">
        <v>0.99550799999999995</v>
      </c>
      <c r="Y7927">
        <v>-5.4111439999999997E-2</v>
      </c>
      <c r="Z7927">
        <v>2.7846590000000001E-3</v>
      </c>
      <c r="AA7927">
        <v>0.99853099999999995</v>
      </c>
      <c r="AB7927">
        <v>28</v>
      </c>
      <c r="AC7927">
        <v>16.5488</v>
      </c>
      <c r="AD7927">
        <v>-1.121349362296</v>
      </c>
      <c r="AE7927">
        <v>0.72756000000001098</v>
      </c>
      <c r="AF7927">
        <v>-0.90249352978889796</v>
      </c>
      <c r="AG7927">
        <v>-1.121349362296</v>
      </c>
      <c r="AH7927">
        <v>16.4645061683098</v>
      </c>
      <c r="AI7927">
        <v>93.890408829857705</v>
      </c>
      <c r="AJ7927">
        <v>93.137499180513103</v>
      </c>
      <c r="AK7927">
        <v>16.5273071711621</v>
      </c>
      <c r="AL7927">
        <v>95.209957578487305</v>
      </c>
      <c r="AM7927">
        <v>91.542083138884095</v>
      </c>
      <c r="AN7927">
        <v>1.0000000429760101</v>
      </c>
    </row>
    <row r="7928" spans="1:40" x14ac:dyDescent="0.25">
      <c r="A7928" t="str">
        <f>"20190303154334797"</f>
        <v>20190303154334797</v>
      </c>
      <c r="B7928" t="str">
        <f>"1551599014787968"</f>
        <v>1551599014787968</v>
      </c>
      <c r="C7928" t="s">
        <v>40</v>
      </c>
      <c r="D7928">
        <v>5.5967129999999896</v>
      </c>
      <c r="E7928">
        <v>0.4896953</v>
      </c>
      <c r="F7928" t="s">
        <v>66</v>
      </c>
      <c r="G7928">
        <v>-224.33090000000001</v>
      </c>
      <c r="H7928" s="1">
        <v>-1.3029249999999999E-6</v>
      </c>
      <c r="I7928">
        <v>-61.853850000000001</v>
      </c>
      <c r="J7928">
        <v>-240.87979999999999</v>
      </c>
      <c r="K7928">
        <v>1.121353</v>
      </c>
      <c r="L7928">
        <v>-62.592190000000002</v>
      </c>
      <c r="M7928">
        <v>0.99983169999999999</v>
      </c>
      <c r="N7928">
        <v>-1.5004719999999999E-2</v>
      </c>
      <c r="O7928">
        <v>-1.0552580000000001E-2</v>
      </c>
      <c r="P7928">
        <v>0.99426559999999997</v>
      </c>
      <c r="Q7928">
        <v>-0.1056337</v>
      </c>
      <c r="R7928">
        <v>1.665968E-2</v>
      </c>
      <c r="S7928">
        <v>2.9937589999999998</v>
      </c>
      <c r="T7928">
        <v>-0.20123450000000001</v>
      </c>
      <c r="U7928">
        <v>0.13229369999999999</v>
      </c>
      <c r="V7928">
        <v>-2.706505E-2</v>
      </c>
      <c r="W7928">
        <v>-9.0732720000000003E-2</v>
      </c>
      <c r="X7928">
        <v>0.99550740000000004</v>
      </c>
      <c r="Y7928">
        <v>-5.4523099999999998E-2</v>
      </c>
      <c r="Z7928">
        <v>2.7894349999999998E-3</v>
      </c>
      <c r="AA7928">
        <v>0.99850859999999997</v>
      </c>
      <c r="AB7928">
        <v>28</v>
      </c>
      <c r="AC7928">
        <v>16.5488999999999</v>
      </c>
      <c r="AD7928">
        <v>-1.1213543029249999</v>
      </c>
      <c r="AE7928">
        <v>0.73834</v>
      </c>
      <c r="AF7928">
        <v>-0.90878779828568501</v>
      </c>
      <c r="AG7928">
        <v>-1.1213543029249999</v>
      </c>
      <c r="AH7928">
        <v>16.4647396517238</v>
      </c>
      <c r="AI7928">
        <v>93.890289775556496</v>
      </c>
      <c r="AJ7928">
        <v>93.1592921824288</v>
      </c>
      <c r="AK7928">
        <v>16.527884998814798</v>
      </c>
      <c r="AL7928">
        <v>95.2057615164982</v>
      </c>
      <c r="AM7928">
        <v>91.557327690603401</v>
      </c>
      <c r="AN7928">
        <v>0.99999996343242903</v>
      </c>
    </row>
    <row r="7929" spans="1:40" x14ac:dyDescent="0.25">
      <c r="A7929" t="str">
        <f>"20190303154334806"</f>
        <v>20190303154334806</v>
      </c>
      <c r="B7929" t="str">
        <f>"1551599014797728"</f>
        <v>1551599014797728</v>
      </c>
      <c r="C7929" t="s">
        <v>40</v>
      </c>
      <c r="D7929">
        <v>5.5803659999999997</v>
      </c>
      <c r="E7929">
        <v>0.48964980000000002</v>
      </c>
      <c r="F7929" t="s">
        <v>66</v>
      </c>
      <c r="G7929">
        <v>-224.2004</v>
      </c>
      <c r="H7929" s="1">
        <v>-1.244764E-6</v>
      </c>
      <c r="I7929">
        <v>-61.844070000000002</v>
      </c>
      <c r="J7929">
        <v>-240.7628</v>
      </c>
      <c r="K7929">
        <v>1.1213569999999999</v>
      </c>
      <c r="L7929">
        <v>-62.593200000000003</v>
      </c>
      <c r="M7929">
        <v>0.99983420000000001</v>
      </c>
      <c r="N7929">
        <v>-1.5012319999999999E-2</v>
      </c>
      <c r="O7929">
        <v>-1.0315899999999999E-2</v>
      </c>
      <c r="P7929">
        <v>0.99425660000000005</v>
      </c>
      <c r="Q7929">
        <v>-0.105670899999999</v>
      </c>
      <c r="R7929">
        <v>1.6973740000000001E-2</v>
      </c>
      <c r="S7929">
        <v>2.9936829999999999</v>
      </c>
      <c r="T7929">
        <v>-0.2012661</v>
      </c>
      <c r="U7929">
        <v>0.13427729999999999</v>
      </c>
      <c r="V7929">
        <v>-2.7143299999999999E-2</v>
      </c>
      <c r="W7929">
        <v>-9.0762529999999994E-2</v>
      </c>
      <c r="X7929">
        <v>0.99550260000000002</v>
      </c>
      <c r="Y7929">
        <v>-5.4947250000000003E-2</v>
      </c>
      <c r="Z7929">
        <v>2.7950819999999999E-3</v>
      </c>
      <c r="AA7929">
        <v>0.99848530000000002</v>
      </c>
      <c r="AB7929">
        <v>28</v>
      </c>
      <c r="AC7929">
        <v>16.562399999999901</v>
      </c>
      <c r="AD7929">
        <v>-1.121358244764</v>
      </c>
      <c r="AE7929">
        <v>0.74913000000000796</v>
      </c>
      <c r="AF7929">
        <v>-0.91577610552216704</v>
      </c>
      <c r="AG7929">
        <v>-1.121358244764</v>
      </c>
      <c r="AH7929">
        <v>16.478407305611899</v>
      </c>
      <c r="AI7929">
        <v>93.887005631982206</v>
      </c>
      <c r="AJ7929">
        <v>93.1809013269541</v>
      </c>
      <c r="AK7929">
        <v>16.5418861535857</v>
      </c>
      <c r="AL7929">
        <v>95.207476331338299</v>
      </c>
      <c r="AM7929">
        <v>91.561835509273806</v>
      </c>
      <c r="AN7929">
        <v>1.0000000110968199</v>
      </c>
    </row>
    <row r="7930" spans="1:40" x14ac:dyDescent="0.25">
      <c r="A7930" t="str">
        <f>"20190303154334819"</f>
        <v>20190303154334819</v>
      </c>
      <c r="B7930" t="str">
        <f>"1551599014808464"</f>
        <v>1551599014808464</v>
      </c>
      <c r="C7930" t="s">
        <v>40</v>
      </c>
      <c r="D7930">
        <v>5.5730769999999996</v>
      </c>
      <c r="E7930">
        <v>0.48961789999999999</v>
      </c>
      <c r="F7930" t="s">
        <v>66</v>
      </c>
      <c r="G7930">
        <v>-224.1223</v>
      </c>
      <c r="H7930" s="1">
        <v>-1.2103019999999999E-6</v>
      </c>
      <c r="I7930">
        <v>-61.839840000000002</v>
      </c>
      <c r="J7930">
        <v>-240.61269999999999</v>
      </c>
      <c r="K7930">
        <v>1.1213630000000001</v>
      </c>
      <c r="L7930">
        <v>-62.5944199999999</v>
      </c>
      <c r="M7930">
        <v>0.99983699999999998</v>
      </c>
      <c r="N7930">
        <v>-1.5021619999999999E-2</v>
      </c>
      <c r="O7930">
        <v>-1.0012119999999999E-2</v>
      </c>
      <c r="P7930">
        <v>0.99424100000000004</v>
      </c>
      <c r="Q7930">
        <v>-0.10572289999999999</v>
      </c>
      <c r="R7930">
        <v>1.7533449999999999E-2</v>
      </c>
      <c r="S7930">
        <v>2.993576</v>
      </c>
      <c r="T7930">
        <v>-0.20172970000000001</v>
      </c>
      <c r="U7930">
        <v>0.1355286</v>
      </c>
      <c r="V7930">
        <v>-2.740095E-2</v>
      </c>
      <c r="W7930">
        <v>-9.0805720000000006E-2</v>
      </c>
      <c r="X7930">
        <v>0.99549160000000003</v>
      </c>
      <c r="Y7930">
        <v>-5.5061329999999999E-2</v>
      </c>
      <c r="Z7930">
        <v>2.7899610000000001E-3</v>
      </c>
      <c r="AA7930">
        <v>0.99847909999999995</v>
      </c>
      <c r="AB7930">
        <v>28</v>
      </c>
      <c r="AC7930">
        <v>16.490399999999902</v>
      </c>
      <c r="AD7930">
        <v>-1.1213642103019901</v>
      </c>
      <c r="AE7930">
        <v>0.75457999999999004</v>
      </c>
      <c r="AF7930">
        <v>-0.91544039159094004</v>
      </c>
      <c r="AG7930">
        <v>-1.1213642103019901</v>
      </c>
      <c r="AH7930">
        <v>16.406310910348498</v>
      </c>
      <c r="AI7930">
        <v>93.904006463574405</v>
      </c>
      <c r="AJ7930">
        <v>93.193681909795501</v>
      </c>
      <c r="AK7930">
        <v>16.470049377270399</v>
      </c>
      <c r="AL7930">
        <v>95.209961211874599</v>
      </c>
      <c r="AM7930">
        <v>91.576670750593493</v>
      </c>
      <c r="AN7930">
        <v>1.00000000825809</v>
      </c>
    </row>
    <row r="7931" spans="1:40" x14ac:dyDescent="0.25">
      <c r="A7931" t="str">
        <f>"20190303154334831"</f>
        <v>20190303154334831</v>
      </c>
      <c r="B7931" t="str">
        <f>"1551599014828490"</f>
        <v>1551599014828490</v>
      </c>
      <c r="C7931" t="s">
        <v>40</v>
      </c>
      <c r="D7931">
        <v>5.5716279999999996</v>
      </c>
      <c r="E7931">
        <v>0.48957600000000001</v>
      </c>
      <c r="F7931" t="s">
        <v>66</v>
      </c>
      <c r="G7931">
        <v>-224.00210000000001</v>
      </c>
      <c r="H7931" s="1">
        <v>-1.156988E-6</v>
      </c>
      <c r="I7931">
        <v>-61.832050000000002</v>
      </c>
      <c r="J7931">
        <v>-240.46180000000001</v>
      </c>
      <c r="K7931">
        <v>1.1213679999999999</v>
      </c>
      <c r="L7931">
        <v>-62.595610000000001</v>
      </c>
      <c r="M7931">
        <v>0.99983999999999995</v>
      </c>
      <c r="N7931">
        <v>-1.5029890000000001E-2</v>
      </c>
      <c r="O7931">
        <v>-9.7069129999999993E-3</v>
      </c>
      <c r="P7931">
        <v>0.99420050000000004</v>
      </c>
      <c r="Q7931">
        <v>-0.1060634</v>
      </c>
      <c r="R7931">
        <v>1.7775059999999999E-2</v>
      </c>
      <c r="S7931">
        <v>2.9934539999999998</v>
      </c>
      <c r="T7931">
        <v>-0.2020845</v>
      </c>
      <c r="U7931">
        <v>0.13739009999999999</v>
      </c>
      <c r="V7931">
        <v>-2.733841E-2</v>
      </c>
      <c r="W7931">
        <v>-9.1138380000000005E-2</v>
      </c>
      <c r="X7931">
        <v>0.99546290000000004</v>
      </c>
      <c r="Y7931">
        <v>-5.5377000000000003E-2</v>
      </c>
      <c r="Z7931">
        <v>2.791642E-3</v>
      </c>
      <c r="AA7931">
        <v>0.99846159999999995</v>
      </c>
      <c r="AB7931">
        <v>27</v>
      </c>
      <c r="AC7931">
        <v>16.459699999999899</v>
      </c>
      <c r="AD7931">
        <v>-1.121369156988</v>
      </c>
      <c r="AE7931">
        <v>0.76355999999999802</v>
      </c>
      <c r="AF7931">
        <v>-0.91905833127296099</v>
      </c>
      <c r="AG7931">
        <v>-1.121369156988</v>
      </c>
      <c r="AH7931">
        <v>16.375668130687401</v>
      </c>
      <c r="AI7931">
        <v>93.911235569269607</v>
      </c>
      <c r="AJ7931">
        <v>93.212264631322896</v>
      </c>
      <c r="AK7931">
        <v>16.439727605071099</v>
      </c>
      <c r="AL7931">
        <v>95.229100688611396</v>
      </c>
      <c r="AM7931">
        <v>91.573119293546597</v>
      </c>
      <c r="AN7931">
        <v>0.99999998912338095</v>
      </c>
    </row>
    <row r="7932" spans="1:40" x14ac:dyDescent="0.25">
      <c r="A7932" t="str">
        <f>"20190303154334841"</f>
        <v>20190303154334841</v>
      </c>
      <c r="B7932" t="str">
        <f>"1551599014828490"</f>
        <v>1551599014828490</v>
      </c>
      <c r="C7932" t="s">
        <v>40</v>
      </c>
      <c r="D7932">
        <v>5.5716279999999996</v>
      </c>
      <c r="E7932">
        <v>0.48957600000000001</v>
      </c>
      <c r="F7932" t="s">
        <v>66</v>
      </c>
      <c r="G7932">
        <v>-223.87360000000001</v>
      </c>
      <c r="H7932" s="1">
        <v>-1.101019E-6</v>
      </c>
      <c r="I7932">
        <v>-61.828169999999901</v>
      </c>
      <c r="J7932">
        <v>-240.35400000000001</v>
      </c>
      <c r="K7932">
        <v>1.12137</v>
      </c>
      <c r="L7932">
        <v>-62.596409999999999</v>
      </c>
      <c r="M7932">
        <v>0.99984200000000001</v>
      </c>
      <c r="N7932">
        <v>-1.503527E-2</v>
      </c>
      <c r="O7932">
        <v>-9.4890579999999999E-3</v>
      </c>
      <c r="P7932">
        <v>0.99422010000000005</v>
      </c>
      <c r="Q7932">
        <v>-0.1058838</v>
      </c>
      <c r="R7932">
        <v>1.7751840000000001E-2</v>
      </c>
      <c r="S7932">
        <v>2.9934229999999999</v>
      </c>
      <c r="T7932">
        <v>-0.20235649999999999</v>
      </c>
      <c r="U7932">
        <v>0.1384888</v>
      </c>
      <c r="V7932">
        <v>-2.7099160000000001E-2</v>
      </c>
      <c r="W7932">
        <v>-9.0952790000000006E-2</v>
      </c>
      <c r="X7932">
        <v>0.99548639999999999</v>
      </c>
      <c r="Y7932">
        <v>-5.5525039999999998E-2</v>
      </c>
      <c r="Z7932">
        <v>2.789812E-3</v>
      </c>
      <c r="AA7932">
        <v>0.99845340000000005</v>
      </c>
      <c r="AB7932">
        <v>27</v>
      </c>
      <c r="AC7932">
        <v>16.480399999999999</v>
      </c>
      <c r="AD7932">
        <v>-1.1213711010189999</v>
      </c>
      <c r="AE7932">
        <v>0.76824000000000503</v>
      </c>
      <c r="AF7932">
        <v>-0.920354716119691</v>
      </c>
      <c r="AG7932">
        <v>-1.1213711010189999</v>
      </c>
      <c r="AH7932">
        <v>16.3966185155926</v>
      </c>
      <c r="AI7932">
        <v>93.906258712185107</v>
      </c>
      <c r="AJ7932">
        <v>93.2126846511118</v>
      </c>
      <c r="AK7932">
        <v>16.4606690233283</v>
      </c>
      <c r="AL7932">
        <v>95.2184228982116</v>
      </c>
      <c r="AM7932">
        <v>91.559322294900497</v>
      </c>
      <c r="AN7932">
        <v>0.99999997353322401</v>
      </c>
    </row>
    <row r="7933" spans="1:40" x14ac:dyDescent="0.25">
      <c r="A7933" t="str">
        <f>"20190303154334850"</f>
        <v>20190303154334850</v>
      </c>
      <c r="B7933" t="str">
        <f>"1551599014848011"</f>
        <v>1551599014848011</v>
      </c>
      <c r="C7933" t="s">
        <v>40</v>
      </c>
      <c r="D7933">
        <v>5.5968530000000003</v>
      </c>
      <c r="E7933">
        <v>0.48957990000000001</v>
      </c>
      <c r="F7933" t="s">
        <v>66</v>
      </c>
      <c r="G7933">
        <v>-223.7251</v>
      </c>
      <c r="H7933" s="1">
        <v>-1.0371030000000001E-6</v>
      </c>
      <c r="I7933">
        <v>-61.827260000000003</v>
      </c>
      <c r="J7933">
        <v>-240.22460000000001</v>
      </c>
      <c r="K7933">
        <v>1.1213740000000001</v>
      </c>
      <c r="L7933">
        <v>-62.597380000000001</v>
      </c>
      <c r="M7933">
        <v>0.99984430000000002</v>
      </c>
      <c r="N7933">
        <v>-1.504115E-2</v>
      </c>
      <c r="O7933">
        <v>-9.2280580000000008E-3</v>
      </c>
      <c r="P7933">
        <v>0.99419749999999996</v>
      </c>
      <c r="Q7933">
        <v>-0.1060275</v>
      </c>
      <c r="R7933">
        <v>1.8151299999999999E-2</v>
      </c>
      <c r="S7933">
        <v>2.9934539999999998</v>
      </c>
      <c r="T7933">
        <v>-0.20186399999999999</v>
      </c>
      <c r="U7933">
        <v>0.13845829999999901</v>
      </c>
      <c r="V7933">
        <v>-2.7238849999999998E-2</v>
      </c>
      <c r="W7933">
        <v>-9.1090959999999999E-2</v>
      </c>
      <c r="X7933">
        <v>0.99546999999999997</v>
      </c>
      <c r="Y7933">
        <v>-5.5255640000000002E-2</v>
      </c>
      <c r="Z7933">
        <v>2.7590359999999999E-3</v>
      </c>
      <c r="AA7933">
        <v>0.99846840000000003</v>
      </c>
      <c r="AB7933">
        <v>27</v>
      </c>
      <c r="AC7933">
        <v>16.499500000000001</v>
      </c>
      <c r="AD7933">
        <v>-1.12137503710299</v>
      </c>
      <c r="AE7933">
        <v>0.77012000000000502</v>
      </c>
      <c r="AF7933">
        <v>-0.91813102157931803</v>
      </c>
      <c r="AG7933">
        <v>-1.12137503710299</v>
      </c>
      <c r="AH7933">
        <v>16.416026859151</v>
      </c>
      <c r="AI7933">
        <v>93.901712191357205</v>
      </c>
      <c r="AJ7933">
        <v>93.201157345283207</v>
      </c>
      <c r="AK7933">
        <v>16.479878166630701</v>
      </c>
      <c r="AL7933">
        <v>95.226372215249597</v>
      </c>
      <c r="AM7933">
        <v>91.567382055919495</v>
      </c>
      <c r="AN7933">
        <v>1.0000000194215199</v>
      </c>
    </row>
    <row r="7934" spans="1:40" x14ac:dyDescent="0.25">
      <c r="A7934" t="str">
        <f>"20190303154334863"</f>
        <v>20190303154334863</v>
      </c>
      <c r="B7934" t="str">
        <f>"1551599014857774"</f>
        <v>1551599014857774</v>
      </c>
      <c r="C7934" t="s">
        <v>40</v>
      </c>
      <c r="D7934">
        <v>5.5386839999999999</v>
      </c>
      <c r="E7934">
        <v>0.48962440000000002</v>
      </c>
      <c r="F7934" t="s">
        <v>66</v>
      </c>
      <c r="G7934">
        <v>-223.6765</v>
      </c>
      <c r="H7934" s="1">
        <v>-1.015844E-6</v>
      </c>
      <c r="I7934">
        <v>-61.825360000000003</v>
      </c>
      <c r="J7934">
        <v>-240.0804</v>
      </c>
      <c r="K7934">
        <v>1.121375</v>
      </c>
      <c r="L7934">
        <v>-62.598390000000002</v>
      </c>
      <c r="M7934">
        <v>0.99984680000000004</v>
      </c>
      <c r="N7934">
        <v>-1.504694E-2</v>
      </c>
      <c r="O7934">
        <v>-8.9378549999999998E-3</v>
      </c>
      <c r="P7934">
        <v>0.99421709999999996</v>
      </c>
      <c r="Q7934">
        <v>-0.1058269</v>
      </c>
      <c r="R7934">
        <v>1.825835E-2</v>
      </c>
      <c r="S7934">
        <v>2.9933169999999998</v>
      </c>
      <c r="T7934">
        <v>-0.20284160000000001</v>
      </c>
      <c r="U7934">
        <v>0.13964840000000001</v>
      </c>
      <c r="V7934">
        <v>-2.705803E-2</v>
      </c>
      <c r="W7934">
        <v>-9.0883950000000005E-2</v>
      </c>
      <c r="X7934">
        <v>0.99549379999999998</v>
      </c>
      <c r="Y7934">
        <v>-5.5362679999999997E-2</v>
      </c>
      <c r="Z7934">
        <v>2.7603889999999998E-3</v>
      </c>
      <c r="AA7934">
        <v>0.99846250000000003</v>
      </c>
      <c r="AB7934">
        <v>27</v>
      </c>
      <c r="AC7934">
        <v>16.403899999999901</v>
      </c>
      <c r="AD7934">
        <v>-1.121376015844</v>
      </c>
      <c r="AE7934">
        <v>0.77303000000000499</v>
      </c>
      <c r="AF7934">
        <v>-0.91536326418349401</v>
      </c>
      <c r="AG7934">
        <v>-1.121376015844</v>
      </c>
      <c r="AH7934">
        <v>16.320236938802399</v>
      </c>
      <c r="AI7934">
        <v>93.924510281794497</v>
      </c>
      <c r="AJ7934">
        <v>93.2102205259866</v>
      </c>
      <c r="AK7934">
        <v>16.384306754116199</v>
      </c>
      <c r="AL7934">
        <v>95.214462284072496</v>
      </c>
      <c r="AM7934">
        <v>91.556945216962106</v>
      </c>
      <c r="AN7934">
        <v>0.99999996759676102</v>
      </c>
    </row>
    <row r="7935" spans="1:40" x14ac:dyDescent="0.25">
      <c r="A7935" t="str">
        <f>"20190303154334873"</f>
        <v>20190303154334873</v>
      </c>
      <c r="B7935" t="str">
        <f>"1551599014868506"</f>
        <v>1551599014868506</v>
      </c>
      <c r="C7935" t="s">
        <v>40</v>
      </c>
      <c r="D7935">
        <v>5.5559000000000003</v>
      </c>
      <c r="E7935">
        <v>0.48962440000000002</v>
      </c>
      <c r="F7935" t="s">
        <v>66</v>
      </c>
      <c r="G7935">
        <v>-223.44669999999999</v>
      </c>
      <c r="H7935" s="1">
        <v>-9.1655289999999997E-7</v>
      </c>
      <c r="I7935">
        <v>-61.822229999999998</v>
      </c>
      <c r="J7935">
        <v>-239.9435</v>
      </c>
      <c r="K7935">
        <v>1.1213770000000001</v>
      </c>
      <c r="L7935">
        <v>-62.599330000000002</v>
      </c>
      <c r="M7935">
        <v>0.99984930000000005</v>
      </c>
      <c r="N7935">
        <v>-1.505194E-2</v>
      </c>
      <c r="O7935">
        <v>-8.6625469999999996E-3</v>
      </c>
      <c r="P7935">
        <v>0.99426099999999995</v>
      </c>
      <c r="Q7935">
        <v>-0.1053689</v>
      </c>
      <c r="R7935">
        <v>1.851498E-2</v>
      </c>
      <c r="S7935">
        <v>2.9934080000000001</v>
      </c>
      <c r="T7935">
        <v>-0.20180380000000001</v>
      </c>
      <c r="U7935">
        <v>0.139679</v>
      </c>
      <c r="V7935">
        <v>-2.7041619999999999E-2</v>
      </c>
      <c r="W7935">
        <v>-9.0420219999999996E-2</v>
      </c>
      <c r="X7935">
        <v>0.99553650000000005</v>
      </c>
      <c r="Y7935">
        <v>-5.5099200000000001E-2</v>
      </c>
      <c r="Z7935">
        <v>2.7225090000000001E-3</v>
      </c>
      <c r="AA7935">
        <v>0.99847719999999995</v>
      </c>
      <c r="AB7935">
        <v>27</v>
      </c>
      <c r="AC7935">
        <v>16.4968</v>
      </c>
      <c r="AD7935">
        <v>-1.1213779165528901</v>
      </c>
      <c r="AE7935">
        <v>0.77709999999999702</v>
      </c>
      <c r="AF7935">
        <v>-0.91576922160280405</v>
      </c>
      <c r="AG7935">
        <v>-1.1213779165528901</v>
      </c>
      <c r="AH7935">
        <v>16.413773817220601</v>
      </c>
      <c r="AI7935">
        <v>93.902285604491198</v>
      </c>
      <c r="AJ7935">
        <v>93.193377121905598</v>
      </c>
      <c r="AK7935">
        <v>16.477502620902399</v>
      </c>
      <c r="AL7935">
        <v>95.187782523121598</v>
      </c>
      <c r="AM7935">
        <v>91.555934727687003</v>
      </c>
      <c r="AN7935">
        <v>0.99999999411466101</v>
      </c>
    </row>
    <row r="7936" spans="1:40" x14ac:dyDescent="0.25">
      <c r="A7936" t="str">
        <f>"20190303154334885"</f>
        <v>20190303154334885</v>
      </c>
      <c r="B7936" t="str">
        <f>"1551599014878266"</f>
        <v>1551599014878266</v>
      </c>
      <c r="C7936" t="s">
        <v>40</v>
      </c>
      <c r="D7936">
        <v>5.5174659999999998</v>
      </c>
      <c r="E7936">
        <v>0.50306640000000002</v>
      </c>
      <c r="F7936" t="s">
        <v>66</v>
      </c>
      <c r="G7936">
        <v>-223.19579999999999</v>
      </c>
      <c r="H7936" s="1">
        <v>-8.0698210000000004E-7</v>
      </c>
      <c r="I7936">
        <v>-61.813429999999997</v>
      </c>
      <c r="J7936">
        <v>-239.81020000000001</v>
      </c>
      <c r="K7936">
        <v>1.1213820000000001</v>
      </c>
      <c r="L7936">
        <v>-62.600189999999998</v>
      </c>
      <c r="M7936">
        <v>0.99985159999999995</v>
      </c>
      <c r="N7936">
        <v>-1.505603E-2</v>
      </c>
      <c r="O7936">
        <v>-8.3953369999999992E-3</v>
      </c>
      <c r="P7936">
        <v>0.99426289999999995</v>
      </c>
      <c r="Q7936">
        <v>-0.10534259999999999</v>
      </c>
      <c r="R7936">
        <v>1.856841E-2</v>
      </c>
      <c r="S7936">
        <v>2.9934690000000002</v>
      </c>
      <c r="T7936">
        <v>-0.20043520000000001</v>
      </c>
      <c r="U7936">
        <v>0.1404724</v>
      </c>
      <c r="V7936">
        <v>-2.6829499999999999E-2</v>
      </c>
      <c r="W7936">
        <v>-9.0389479999999994E-2</v>
      </c>
      <c r="X7936">
        <v>0.99554500000000001</v>
      </c>
      <c r="Y7936">
        <v>-5.5097930000000003E-2</v>
      </c>
      <c r="Z7936">
        <v>2.6921269999999999E-3</v>
      </c>
      <c r="AA7936">
        <v>0.99847730000000001</v>
      </c>
      <c r="AB7936">
        <v>27</v>
      </c>
      <c r="AC7936">
        <v>16.6144</v>
      </c>
      <c r="AD7936">
        <v>-1.1213828069820999</v>
      </c>
      <c r="AE7936">
        <v>0.78676000000000101</v>
      </c>
      <c r="AF7936">
        <v>-0.92204055800051699</v>
      </c>
      <c r="AG7936">
        <v>-1.1213828069820999</v>
      </c>
      <c r="AH7936">
        <v>16.5320647529098</v>
      </c>
      <c r="AI7936">
        <v>93.874470262843502</v>
      </c>
      <c r="AJ7936">
        <v>93.192242374661504</v>
      </c>
      <c r="AK7936">
        <v>16.595686884995001</v>
      </c>
      <c r="AL7936">
        <v>95.186014167664894</v>
      </c>
      <c r="AM7936">
        <v>91.543722412479397</v>
      </c>
      <c r="AN7936">
        <v>0.99999996359495902</v>
      </c>
    </row>
    <row r="7937" spans="1:40" x14ac:dyDescent="0.25">
      <c r="A7937" t="str">
        <f>"20190303154334896"</f>
        <v>20190303154334896</v>
      </c>
      <c r="B7937" t="str">
        <f>"1551599014888026"</f>
        <v>1551599014888026</v>
      </c>
      <c r="C7937" t="s">
        <v>40</v>
      </c>
      <c r="D7937">
        <v>5.5349959999999996</v>
      </c>
      <c r="E7937">
        <v>0.50459739999999997</v>
      </c>
      <c r="F7937" t="s">
        <v>70</v>
      </c>
      <c r="G7937">
        <v>-211.9187</v>
      </c>
      <c r="H7937" s="1">
        <v>-2.955537E-7</v>
      </c>
      <c r="I7937">
        <v>-62.275680000000001</v>
      </c>
      <c r="J7937">
        <v>-239.6748</v>
      </c>
      <c r="K7937">
        <v>1.1213839999999999</v>
      </c>
      <c r="L7937">
        <v>-62.601010000000002</v>
      </c>
      <c r="M7937">
        <v>0.99985369999999996</v>
      </c>
      <c r="N7937">
        <v>-1.506001E-2</v>
      </c>
      <c r="O7937">
        <v>-8.1238349999999994E-3</v>
      </c>
      <c r="P7937">
        <v>0.99429270000000003</v>
      </c>
      <c r="Q7937">
        <v>-0.10501969999999999</v>
      </c>
      <c r="R7937">
        <v>1.8804680000000001E-2</v>
      </c>
      <c r="S7937">
        <v>3.00386</v>
      </c>
      <c r="T7937">
        <v>-0.1207705</v>
      </c>
      <c r="U7937">
        <v>3.4942630000000002E-2</v>
      </c>
      <c r="V7937">
        <v>-2.6797060000000001E-2</v>
      </c>
      <c r="W7937">
        <v>-9.0062069999999994E-2</v>
      </c>
      <c r="X7937">
        <v>0.9955756</v>
      </c>
      <c r="Y7937">
        <v>-1.973113E-2</v>
      </c>
      <c r="Z7937">
        <v>7.4930479999999995E-4</v>
      </c>
      <c r="AA7937">
        <v>0.99980500000000005</v>
      </c>
      <c r="AB7937">
        <v>27</v>
      </c>
      <c r="AC7937">
        <v>27.7561</v>
      </c>
      <c r="AD7937">
        <v>-1.1213842955536999</v>
      </c>
      <c r="AE7937">
        <v>0.32532999999999301</v>
      </c>
      <c r="AF7937">
        <v>-0.54993327215320897</v>
      </c>
      <c r="AG7937">
        <v>-1.1213842955536999</v>
      </c>
      <c r="AH7937">
        <v>27.707321023058402</v>
      </c>
      <c r="AI7937">
        <v>92.317182140792895</v>
      </c>
      <c r="AJ7937">
        <v>91.137053954759196</v>
      </c>
      <c r="AK7937">
        <v>27.735456866923101</v>
      </c>
      <c r="AL7937">
        <v>95.1671778526662</v>
      </c>
      <c r="AM7937">
        <v>91.541809405660004</v>
      </c>
      <c r="AN7937">
        <v>1.0000000170963399</v>
      </c>
    </row>
    <row r="7938" spans="1:40" x14ac:dyDescent="0.25">
      <c r="A7938" t="str">
        <f>"20190303154334906"</f>
        <v>20190303154334906</v>
      </c>
      <c r="B7938" t="str">
        <f>"1551599014897786"</f>
        <v>1551599014897786</v>
      </c>
      <c r="C7938" t="s">
        <v>40</v>
      </c>
      <c r="D7938">
        <v>5.5237160000000003</v>
      </c>
      <c r="E7938">
        <v>0.50507800000000003</v>
      </c>
      <c r="F7938" t="s">
        <v>70</v>
      </c>
      <c r="G7938">
        <v>-211.49520000000001</v>
      </c>
      <c r="H7938" s="1">
        <v>-1.4163059999999901E-7</v>
      </c>
      <c r="I7938">
        <v>-62.379969999999901</v>
      </c>
      <c r="J7938">
        <v>-239.5401</v>
      </c>
      <c r="K7938">
        <v>1.121386</v>
      </c>
      <c r="L7938">
        <v>-62.601840000000003</v>
      </c>
      <c r="M7938">
        <v>0.99985579999999996</v>
      </c>
      <c r="N7938">
        <v>-1.506306E-2</v>
      </c>
      <c r="O7938">
        <v>-7.8541150000000001E-3</v>
      </c>
      <c r="P7938">
        <v>0.99427549999999998</v>
      </c>
      <c r="Q7938">
        <v>-0.1051068</v>
      </c>
      <c r="R7938">
        <v>1.9208349999999999E-2</v>
      </c>
      <c r="S7938">
        <v>3.0041660000000001</v>
      </c>
      <c r="T7938">
        <v>-0.1195483</v>
      </c>
      <c r="U7938">
        <v>2.3559569999999998E-2</v>
      </c>
      <c r="V7938">
        <v>-2.6932149999999998E-2</v>
      </c>
      <c r="W7938">
        <v>-9.014643E-2</v>
      </c>
      <c r="X7938">
        <v>0.99556429999999996</v>
      </c>
      <c r="Y7938">
        <v>-1.5677079999999999E-2</v>
      </c>
      <c r="Z7938">
        <v>6.2408229999999997E-4</v>
      </c>
      <c r="AA7938">
        <v>0.99987689999999996</v>
      </c>
      <c r="AB7938">
        <v>27</v>
      </c>
      <c r="AC7938">
        <v>28.044899999999899</v>
      </c>
      <c r="AD7938">
        <v>-1.1213861416305999</v>
      </c>
      <c r="AE7938">
        <v>0.221870000000009</v>
      </c>
      <c r="AF7938">
        <v>-0.44145023540428002</v>
      </c>
      <c r="AG7938">
        <v>-1.1213861416305999</v>
      </c>
      <c r="AH7938">
        <v>27.997531474295499</v>
      </c>
      <c r="AI7938">
        <v>92.293359174927701</v>
      </c>
      <c r="AJ7938">
        <v>90.903334624802099</v>
      </c>
      <c r="AK7938">
        <v>28.023457207188901</v>
      </c>
      <c r="AL7938">
        <v>95.172031167450498</v>
      </c>
      <c r="AM7938">
        <v>91.549595812843506</v>
      </c>
      <c r="AN7938">
        <v>0.99999999748992796</v>
      </c>
    </row>
    <row r="7939" spans="1:40" x14ac:dyDescent="0.25">
      <c r="A7939" t="str">
        <f>"20190303154334917"</f>
        <v>20190303154334917</v>
      </c>
      <c r="B7939" t="str">
        <f>"1551599014908523"</f>
        <v>1551599014908523</v>
      </c>
      <c r="C7939" t="s">
        <v>40</v>
      </c>
      <c r="D7939">
        <v>5.4890699999999999</v>
      </c>
      <c r="E7939">
        <v>0.50517369999999995</v>
      </c>
      <c r="F7939" t="s">
        <v>70</v>
      </c>
      <c r="G7939">
        <v>-212.04740000000001</v>
      </c>
      <c r="H7939" s="1">
        <v>-3.8636020000000001E-7</v>
      </c>
      <c r="I7939">
        <v>-62.40934</v>
      </c>
      <c r="J7939">
        <v>-239.4034</v>
      </c>
      <c r="K7939">
        <v>1.121389</v>
      </c>
      <c r="L7939">
        <v>-62.602600000000002</v>
      </c>
      <c r="M7939">
        <v>0.99985780000000002</v>
      </c>
      <c r="N7939">
        <v>-1.506598E-2</v>
      </c>
      <c r="O7939">
        <v>-7.5804619999999996E-3</v>
      </c>
      <c r="P7939">
        <v>0.99427290000000002</v>
      </c>
      <c r="Q7939">
        <v>-0.10508099999999999</v>
      </c>
      <c r="R7939">
        <v>1.9475550000000001E-2</v>
      </c>
      <c r="S7939">
        <v>3.0039220000000002</v>
      </c>
      <c r="T7939">
        <v>-0.1225255</v>
      </c>
      <c r="U7939">
        <v>2.1026610000000001E-2</v>
      </c>
      <c r="V7939">
        <v>-2.6927469999999998E-2</v>
      </c>
      <c r="W7939">
        <v>-9.0117610000000001E-2</v>
      </c>
      <c r="X7939">
        <v>0.99556699999999998</v>
      </c>
      <c r="Y7939">
        <v>-1.456139E-2</v>
      </c>
      <c r="Z7939">
        <v>6.0148340000000002E-4</v>
      </c>
      <c r="AA7939">
        <v>0.99989380000000005</v>
      </c>
      <c r="AB7939">
        <v>27</v>
      </c>
      <c r="AC7939">
        <v>27.355999999999899</v>
      </c>
      <c r="AD7939">
        <v>-1.12138938636019</v>
      </c>
      <c r="AE7939">
        <v>0.19326000000000201</v>
      </c>
      <c r="AF7939">
        <v>-0.39997701627169802</v>
      </c>
      <c r="AG7939">
        <v>-1.12138938636019</v>
      </c>
      <c r="AH7939">
        <v>27.3078633422972</v>
      </c>
      <c r="AI7939">
        <v>92.351261239999801</v>
      </c>
      <c r="AJ7939">
        <v>90.839148637851096</v>
      </c>
      <c r="AK7939">
        <v>27.3338050057245</v>
      </c>
      <c r="AL7939">
        <v>95.1703733392944</v>
      </c>
      <c r="AM7939">
        <v>91.549322471056797</v>
      </c>
      <c r="AN7939">
        <v>0.99999996188085505</v>
      </c>
    </row>
    <row r="7940" spans="1:40" x14ac:dyDescent="0.25">
      <c r="A7940" t="str">
        <f>"20190303154334929"</f>
        <v>20190303154334929</v>
      </c>
      <c r="B7940" t="str">
        <f>"1551599014917813"</f>
        <v>1551599014917813</v>
      </c>
      <c r="C7940" t="s">
        <v>40</v>
      </c>
      <c r="D7940">
        <v>5.5286850000000003</v>
      </c>
      <c r="E7940">
        <v>0.50550340000000005</v>
      </c>
      <c r="F7940" t="s">
        <v>70</v>
      </c>
      <c r="G7940">
        <v>-212.50049999999999</v>
      </c>
      <c r="H7940" s="1">
        <v>-5.8189799999999898E-7</v>
      </c>
      <c r="I7940">
        <v>-62.413670000000003</v>
      </c>
      <c r="J7940">
        <v>-239.26769999999999</v>
      </c>
      <c r="K7940">
        <v>1.121389</v>
      </c>
      <c r="L7940">
        <v>-62.603360000000002</v>
      </c>
      <c r="M7940">
        <v>0.99985990000000002</v>
      </c>
      <c r="N7940">
        <v>-1.506827E-2</v>
      </c>
      <c r="O7940">
        <v>-7.3089499999999998E-3</v>
      </c>
      <c r="P7940">
        <v>0.99423110000000003</v>
      </c>
      <c r="Q7940">
        <v>-0.1053447</v>
      </c>
      <c r="R7940">
        <v>2.0182510000000001E-2</v>
      </c>
      <c r="S7940">
        <v>3.003647</v>
      </c>
      <c r="T7940">
        <v>-0.12520049999999999</v>
      </c>
      <c r="U7940">
        <v>2.1087649999999999E-2</v>
      </c>
      <c r="V7940">
        <v>-2.7364039999999999E-2</v>
      </c>
      <c r="W7940">
        <v>-9.0379870000000001E-2</v>
      </c>
      <c r="X7940">
        <v>0.99553139999999996</v>
      </c>
      <c r="Y7940">
        <v>-1.4310410000000001E-2</v>
      </c>
      <c r="Z7940">
        <v>6.0041779999999996E-4</v>
      </c>
      <c r="AA7940">
        <v>0.99989740000000005</v>
      </c>
      <c r="AB7940">
        <v>27</v>
      </c>
      <c r="AC7940">
        <v>26.767199999999999</v>
      </c>
      <c r="AD7940">
        <v>-1.121389581898</v>
      </c>
      <c r="AE7940">
        <v>0.189689999999998</v>
      </c>
      <c r="AF7940">
        <v>-0.38467213158407598</v>
      </c>
      <c r="AG7940">
        <v>-1.121389581898</v>
      </c>
      <c r="AH7940">
        <v>26.7182069341996</v>
      </c>
      <c r="AI7940">
        <v>92.403101244794797</v>
      </c>
      <c r="AJ7940">
        <v>90.824852020324201</v>
      </c>
      <c r="AK7940">
        <v>26.744496050999299</v>
      </c>
      <c r="AL7940">
        <v>95.1854608950364</v>
      </c>
      <c r="AM7940">
        <v>91.574485075366994</v>
      </c>
      <c r="AN7940">
        <v>1.00000003998614</v>
      </c>
    </row>
    <row r="7941" spans="1:40" x14ac:dyDescent="0.25">
      <c r="A7941" t="str">
        <f>"20190303154334940"</f>
        <v>20190303154334940</v>
      </c>
      <c r="B7941" t="str">
        <f>"1551599014928549"</f>
        <v>1551599014928549</v>
      </c>
      <c r="C7941" t="s">
        <v>40</v>
      </c>
      <c r="D7941">
        <v>5.4982540000000002</v>
      </c>
      <c r="E7941">
        <v>0.50554779999999999</v>
      </c>
      <c r="F7941" t="s">
        <v>70</v>
      </c>
      <c r="G7941">
        <v>-212.6395</v>
      </c>
      <c r="H7941" s="1">
        <v>-6.4307519999999996E-7</v>
      </c>
      <c r="I7941">
        <v>-62.419609999999999</v>
      </c>
      <c r="J7941">
        <v>-239.13900000000001</v>
      </c>
      <c r="K7941">
        <v>1.121389</v>
      </c>
      <c r="L7941">
        <v>-62.603999999999999</v>
      </c>
      <c r="M7941">
        <v>0.99986169999999996</v>
      </c>
      <c r="N7941">
        <v>-1.5070170000000001E-2</v>
      </c>
      <c r="O7941">
        <v>-7.0514999999999996E-3</v>
      </c>
      <c r="P7941">
        <v>0.99418309999999999</v>
      </c>
      <c r="Q7941">
        <v>-0.10574160000000001</v>
      </c>
      <c r="R7941">
        <v>2.0472509999999999E-2</v>
      </c>
      <c r="S7941">
        <v>3.0035859999999999</v>
      </c>
      <c r="T7941">
        <v>-0.1264895</v>
      </c>
      <c r="U7941">
        <v>2.0721440000000001E-2</v>
      </c>
      <c r="V7941">
        <v>-2.7397700000000001E-2</v>
      </c>
      <c r="W7941">
        <v>-9.0775529999999993E-2</v>
      </c>
      <c r="X7941">
        <v>0.9954944</v>
      </c>
      <c r="Y7941">
        <v>-1.393135E-2</v>
      </c>
      <c r="Z7941">
        <v>5.8883679999999997E-4</v>
      </c>
      <c r="AA7941">
        <v>0.99990279999999998</v>
      </c>
      <c r="AB7941">
        <v>27</v>
      </c>
      <c r="AC7941">
        <v>26.499500000000001</v>
      </c>
      <c r="AD7941">
        <v>-1.1213896430751999</v>
      </c>
      <c r="AE7941">
        <v>0.18439</v>
      </c>
      <c r="AF7941">
        <v>-0.37060420632399599</v>
      </c>
      <c r="AG7941">
        <v>-1.1213896430751999</v>
      </c>
      <c r="AH7941">
        <v>26.450176980270498</v>
      </c>
      <c r="AI7941">
        <v>92.427437245304304</v>
      </c>
      <c r="AJ7941">
        <v>90.802741982340507</v>
      </c>
      <c r="AK7941">
        <v>26.4765315798156</v>
      </c>
      <c r="AL7941">
        <v>95.208224501450104</v>
      </c>
      <c r="AM7941">
        <v>91.576479405691202</v>
      </c>
      <c r="AN7941">
        <v>0.999999965621714</v>
      </c>
    </row>
    <row r="7942" spans="1:40" x14ac:dyDescent="0.25">
      <c r="A7942" t="str">
        <f>"20190303154334951"</f>
        <v>20190303154334951</v>
      </c>
      <c r="B7942" t="str">
        <f>"1551599014948069"</f>
        <v>1551599014948069</v>
      </c>
      <c r="C7942" t="s">
        <v>40</v>
      </c>
      <c r="D7942">
        <v>5.4794700000000001</v>
      </c>
      <c r="E7942">
        <v>0.50560249999999995</v>
      </c>
      <c r="F7942" t="s">
        <v>70</v>
      </c>
      <c r="G7942">
        <v>-213.51580000000001</v>
      </c>
      <c r="H7942" s="1">
        <v>-1.01997E-6</v>
      </c>
      <c r="I7942">
        <v>-62.42324</v>
      </c>
      <c r="J7942">
        <v>-238.99449999999999</v>
      </c>
      <c r="K7942">
        <v>1.1213820000000001</v>
      </c>
      <c r="L7942">
        <v>-62.60474</v>
      </c>
      <c r="M7942">
        <v>0.99986359999999996</v>
      </c>
      <c r="N7942">
        <v>-1.5071879999999999E-2</v>
      </c>
      <c r="O7942">
        <v>-6.7622250000000002E-3</v>
      </c>
      <c r="P7942">
        <v>0.99413419999999997</v>
      </c>
      <c r="Q7942">
        <v>-0.1061178</v>
      </c>
      <c r="R7942">
        <v>2.0898980000000001E-2</v>
      </c>
      <c r="S7942">
        <v>3.0031279999999998</v>
      </c>
      <c r="T7942">
        <v>-0.13143050000000001</v>
      </c>
      <c r="U7942">
        <v>2.1179199999999999E-2</v>
      </c>
      <c r="V7942">
        <v>-2.753632E-2</v>
      </c>
      <c r="W7942">
        <v>-9.1150670000000003E-2</v>
      </c>
      <c r="X7942">
        <v>0.99545629999999996</v>
      </c>
      <c r="Y7942">
        <v>-1.379433E-2</v>
      </c>
      <c r="Z7942">
        <v>5.9963900000000001E-4</v>
      </c>
      <c r="AA7942">
        <v>0.99990469999999998</v>
      </c>
      <c r="AB7942">
        <v>27</v>
      </c>
      <c r="AC7942">
        <v>25.4786999999999</v>
      </c>
      <c r="AD7942">
        <v>-1.1213830199699999</v>
      </c>
      <c r="AE7942">
        <v>0.181499999999999</v>
      </c>
      <c r="AF7942">
        <v>-0.35312411033269098</v>
      </c>
      <c r="AG7942">
        <v>-1.1213830199699999</v>
      </c>
      <c r="AH7942">
        <v>25.4276363054496</v>
      </c>
      <c r="AI7942">
        <v>92.524919177750803</v>
      </c>
      <c r="AJ7942">
        <v>90.795639059435302</v>
      </c>
      <c r="AK7942">
        <v>25.4548008162899</v>
      </c>
      <c r="AL7942">
        <v>95.229807900478804</v>
      </c>
      <c r="AM7942">
        <v>91.5845122367447</v>
      </c>
      <c r="AN7942">
        <v>0.99999996938514002</v>
      </c>
    </row>
    <row r="7943" spans="1:40" x14ac:dyDescent="0.25">
      <c r="A7943" t="str">
        <f>"20190303154334964"</f>
        <v>20190303154334964</v>
      </c>
      <c r="B7943" t="str">
        <f>"1551599014957829"</f>
        <v>1551599014957829</v>
      </c>
      <c r="C7943" t="s">
        <v>40</v>
      </c>
      <c r="D7943">
        <v>5.5057679999999998</v>
      </c>
      <c r="E7943">
        <v>0.50566480000000003</v>
      </c>
      <c r="F7943" t="s">
        <v>70</v>
      </c>
      <c r="G7943">
        <v>-214.28450000000001</v>
      </c>
      <c r="H7943" s="1">
        <v>-1.3499589999999999E-6</v>
      </c>
      <c r="I7943">
        <v>-62.424109999999999</v>
      </c>
      <c r="J7943">
        <v>-238.85130000000001</v>
      </c>
      <c r="K7943">
        <v>1.121381</v>
      </c>
      <c r="L7943">
        <v>-62.605350000000001</v>
      </c>
      <c r="M7943">
        <v>0.99986540000000002</v>
      </c>
      <c r="N7943">
        <v>-1.507314E-2</v>
      </c>
      <c r="O7943">
        <v>-6.4758059999999997E-3</v>
      </c>
      <c r="P7943">
        <v>0.99409369999999997</v>
      </c>
      <c r="Q7943">
        <v>-0.1063953</v>
      </c>
      <c r="R7943">
        <v>2.139595E-2</v>
      </c>
      <c r="S7943">
        <v>3.0027309999999998</v>
      </c>
      <c r="T7943">
        <v>-0.1362689</v>
      </c>
      <c r="U7943">
        <v>2.1942139999999999E-2</v>
      </c>
      <c r="V7943">
        <v>-2.774826E-2</v>
      </c>
      <c r="W7943">
        <v>-9.1427540000000002E-2</v>
      </c>
      <c r="X7943">
        <v>0.995425</v>
      </c>
      <c r="Y7943">
        <v>-1.3761570000000001E-2</v>
      </c>
      <c r="Z7943">
        <v>6.1203629999999896E-4</v>
      </c>
      <c r="AA7943">
        <v>0.99990509999999999</v>
      </c>
      <c r="AB7943">
        <v>27</v>
      </c>
      <c r="AC7943">
        <v>24.566800000000001</v>
      </c>
      <c r="AD7943">
        <v>-1.1213823499590001</v>
      </c>
      <c r="AE7943">
        <v>0.18124000000000201</v>
      </c>
      <c r="AF7943">
        <v>-0.33963648762527199</v>
      </c>
      <c r="AG7943">
        <v>-1.1213823499590001</v>
      </c>
      <c r="AH7943">
        <v>24.514036766218901</v>
      </c>
      <c r="AI7943">
        <v>92.618889898090202</v>
      </c>
      <c r="AJ7943">
        <v>90.7937694027476</v>
      </c>
      <c r="AK7943">
        <v>24.542022123167801</v>
      </c>
      <c r="AL7943">
        <v>95.245738024285998</v>
      </c>
      <c r="AM7943">
        <v>91.596751712866407</v>
      </c>
      <c r="AN7943">
        <v>0.99999994581423801</v>
      </c>
    </row>
    <row r="7944" spans="1:40" x14ac:dyDescent="0.25">
      <c r="A7944" t="str">
        <f>"20190303154334978"</f>
        <v>20190303154334978</v>
      </c>
      <c r="B7944" t="str">
        <f>"1551599014968566"</f>
        <v>1551599014968566</v>
      </c>
      <c r="C7944" t="s">
        <v>40</v>
      </c>
      <c r="D7944">
        <v>5.5197750000000001</v>
      </c>
      <c r="E7944">
        <v>0.5058165</v>
      </c>
      <c r="F7944" t="s">
        <v>70</v>
      </c>
      <c r="G7944">
        <v>-214.48480000000001</v>
      </c>
      <c r="H7944" s="1">
        <v>-1.434624E-6</v>
      </c>
      <c r="I7944">
        <v>-62.4193</v>
      </c>
      <c r="J7944">
        <v>-238.68020000000001</v>
      </c>
      <c r="K7944">
        <v>1.121383</v>
      </c>
      <c r="L7944">
        <v>-62.606140000000003</v>
      </c>
      <c r="M7944">
        <v>0.99986770000000003</v>
      </c>
      <c r="N7944">
        <v>-1.5074300000000001E-2</v>
      </c>
      <c r="O7944">
        <v>-6.1337220000000003E-3</v>
      </c>
      <c r="P7944">
        <v>0.99405589999999999</v>
      </c>
      <c r="Q7944">
        <v>-0.10664369999999999</v>
      </c>
      <c r="R7944">
        <v>2.1920970000000001E-2</v>
      </c>
      <c r="S7944">
        <v>3.0025629999999999</v>
      </c>
      <c r="T7944">
        <v>-0.13818229999999901</v>
      </c>
      <c r="U7944">
        <v>2.29187E-2</v>
      </c>
      <c r="V7944">
        <v>-2.793321E-2</v>
      </c>
      <c r="W7944">
        <v>-9.1675350000000003E-2</v>
      </c>
      <c r="X7944">
        <v>0.99539710000000003</v>
      </c>
      <c r="Y7944">
        <v>-1.374467E-2</v>
      </c>
      <c r="Z7944">
        <v>6.0947559999999896E-4</v>
      </c>
      <c r="AA7944">
        <v>0.9999053</v>
      </c>
      <c r="AB7944">
        <v>27</v>
      </c>
      <c r="AC7944">
        <v>24.195399999999999</v>
      </c>
      <c r="AD7944">
        <v>-1.1213844346240001</v>
      </c>
      <c r="AE7944">
        <v>0.186840000000003</v>
      </c>
      <c r="AF7944">
        <v>-0.334542616094262</v>
      </c>
      <c r="AG7944">
        <v>-1.1213844346240001</v>
      </c>
      <c r="AH7944">
        <v>24.141943695080801</v>
      </c>
      <c r="AI7944">
        <v>92.659201462702498</v>
      </c>
      <c r="AJ7944">
        <v>90.793915081858103</v>
      </c>
      <c r="AK7944">
        <v>24.1702889347367</v>
      </c>
      <c r="AL7944">
        <v>95.259996031888505</v>
      </c>
      <c r="AM7944">
        <v>91.607433979621803</v>
      </c>
      <c r="AN7944">
        <v>1.0000000103534601</v>
      </c>
    </row>
    <row r="7945" spans="1:40" x14ac:dyDescent="0.25">
      <c r="A7945" t="str">
        <f>"20190303154334990"</f>
        <v>20190303154334990</v>
      </c>
      <c r="B7945" t="str">
        <f>"1551599014978324"</f>
        <v>1551599014978324</v>
      </c>
      <c r="C7945" t="s">
        <v>40</v>
      </c>
      <c r="D7945">
        <v>5.5154189999999996</v>
      </c>
      <c r="E7945">
        <v>0.50599659999999902</v>
      </c>
      <c r="F7945" t="s">
        <v>70</v>
      </c>
      <c r="G7945">
        <v>-214.52109999999999</v>
      </c>
      <c r="H7945" s="1">
        <v>-1.4502539999999999E-6</v>
      </c>
      <c r="I7945">
        <v>-62.419460000000001</v>
      </c>
      <c r="J7945">
        <v>-238.53190000000001</v>
      </c>
      <c r="K7945">
        <v>1.1213869999999999</v>
      </c>
      <c r="L7945">
        <v>-62.60669</v>
      </c>
      <c r="M7945">
        <v>0.99986949999999997</v>
      </c>
      <c r="N7945">
        <v>-1.507475E-2</v>
      </c>
      <c r="O7945">
        <v>-5.8368059999999999E-3</v>
      </c>
      <c r="P7945">
        <v>0.99405259999999995</v>
      </c>
      <c r="Q7945">
        <v>-0.1065736</v>
      </c>
      <c r="R7945">
        <v>2.2404739999999999E-2</v>
      </c>
      <c r="S7945">
        <v>3.002472</v>
      </c>
      <c r="T7945">
        <v>-0.1393645</v>
      </c>
      <c r="U7945">
        <v>2.319336E-2</v>
      </c>
      <c r="V7945">
        <v>-2.812183E-2</v>
      </c>
      <c r="W7945">
        <v>-9.1604829999999998E-2</v>
      </c>
      <c r="X7945">
        <v>0.99539829999999996</v>
      </c>
      <c r="Y7945">
        <v>-1.3539509999999999E-2</v>
      </c>
      <c r="Z7945">
        <v>5.9900269999999998E-4</v>
      </c>
      <c r="AA7945">
        <v>0.99990809999999997</v>
      </c>
      <c r="AB7945">
        <v>27</v>
      </c>
      <c r="AC7945">
        <v>24.0108</v>
      </c>
      <c r="AD7945">
        <v>-1.1213884502539999</v>
      </c>
      <c r="AE7945">
        <v>0.18722999999999901</v>
      </c>
      <c r="AF7945">
        <v>-0.32667658555471601</v>
      </c>
      <c r="AG7945">
        <v>-1.1213884502539999</v>
      </c>
      <c r="AH7945">
        <v>23.957045610117401</v>
      </c>
      <c r="AI7945">
        <v>92.679712836645606</v>
      </c>
      <c r="AJ7945">
        <v>90.781232793454905</v>
      </c>
      <c r="AK7945">
        <v>23.985501120742899</v>
      </c>
      <c r="AL7945">
        <v>95.255938362212405</v>
      </c>
      <c r="AM7945">
        <v>91.618280532856602</v>
      </c>
      <c r="AN7945">
        <v>1.00000002892238</v>
      </c>
    </row>
    <row r="7946" spans="1:40" x14ac:dyDescent="0.25">
      <c r="A7946" t="str">
        <f>"20190303154335001"</f>
        <v>20190303154335001</v>
      </c>
      <c r="B7946" t="str">
        <f>"1551599014997846"</f>
        <v>1551599014997846</v>
      </c>
      <c r="C7946" t="s">
        <v>40</v>
      </c>
      <c r="D7946">
        <v>5.5553949999999999</v>
      </c>
      <c r="E7946">
        <v>0.5062451</v>
      </c>
      <c r="F7946" t="s">
        <v>70</v>
      </c>
      <c r="G7946">
        <v>-214.32650000000001</v>
      </c>
      <c r="H7946" s="1">
        <v>-1.3666720000000001E-6</v>
      </c>
      <c r="I7946">
        <v>-62.419159999999998</v>
      </c>
      <c r="J7946">
        <v>-238.40119999999999</v>
      </c>
      <c r="K7946">
        <v>1.1213869999999999</v>
      </c>
      <c r="L7946">
        <v>-62.60718</v>
      </c>
      <c r="M7946">
        <v>0.99987090000000001</v>
      </c>
      <c r="N7946">
        <v>-1.507493E-2</v>
      </c>
      <c r="O7946">
        <v>-5.57517E-3</v>
      </c>
      <c r="P7946">
        <v>0.99407319999999999</v>
      </c>
      <c r="Q7946">
        <v>-0.1063607</v>
      </c>
      <c r="R7946">
        <v>2.2497039999999999E-2</v>
      </c>
      <c r="S7946">
        <v>3.0025019999999998</v>
      </c>
      <c r="T7946">
        <v>-0.13909959999999999</v>
      </c>
      <c r="U7946">
        <v>2.325439E-2</v>
      </c>
      <c r="V7946">
        <v>-2.7954349999999999E-2</v>
      </c>
      <c r="W7946">
        <v>-9.1391200000000006E-2</v>
      </c>
      <c r="X7946">
        <v>0.99542260000000005</v>
      </c>
      <c r="Y7946">
        <v>-1.329866E-2</v>
      </c>
      <c r="Z7946">
        <v>5.8232189999999999E-4</v>
      </c>
      <c r="AA7946">
        <v>0.99991140000000001</v>
      </c>
      <c r="AB7946">
        <v>27</v>
      </c>
      <c r="AC7946">
        <v>24.074699999999901</v>
      </c>
      <c r="AD7946">
        <v>-1.1213883666719999</v>
      </c>
      <c r="AE7946">
        <v>0.18802000000000799</v>
      </c>
      <c r="AF7946">
        <v>-0.32155524501716198</v>
      </c>
      <c r="AG7946">
        <v>-1.1213883666719999</v>
      </c>
      <c r="AH7946">
        <v>24.021162983508901</v>
      </c>
      <c r="AI7946">
        <v>92.672579321311602</v>
      </c>
      <c r="AJ7946">
        <v>90.766934476732203</v>
      </c>
      <c r="AK7946">
        <v>24.0494736059816</v>
      </c>
      <c r="AL7946">
        <v>95.243646989143997</v>
      </c>
      <c r="AM7946">
        <v>91.608608667591099</v>
      </c>
      <c r="AN7946">
        <v>0.99999997485606096</v>
      </c>
    </row>
    <row r="7947" spans="1:40" x14ac:dyDescent="0.25">
      <c r="A7947" t="str">
        <f>"20190303154335010"</f>
        <v>20190303154335010</v>
      </c>
      <c r="B7947" t="str">
        <f>"1551599015008581"</f>
        <v>1551599015008581</v>
      </c>
      <c r="C7947" t="s">
        <v>40</v>
      </c>
      <c r="D7947">
        <v>5.5296880000000002</v>
      </c>
      <c r="E7947">
        <v>0.50628019999999996</v>
      </c>
      <c r="F7947" t="s">
        <v>70</v>
      </c>
      <c r="G7947">
        <v>-213.92609999999999</v>
      </c>
      <c r="H7947" s="1">
        <v>-1.1980860000000001E-6</v>
      </c>
      <c r="I7947">
        <v>-62.431010000000001</v>
      </c>
      <c r="J7947">
        <v>-238.27629999999999</v>
      </c>
      <c r="K7947">
        <v>1.121389</v>
      </c>
      <c r="L7947">
        <v>-62.607599999999998</v>
      </c>
      <c r="M7947">
        <v>0.99987230000000005</v>
      </c>
      <c r="N7947">
        <v>-1.50749E-2</v>
      </c>
      <c r="O7947">
        <v>-5.3249760000000004E-3</v>
      </c>
      <c r="P7947">
        <v>0.99405310000000002</v>
      </c>
      <c r="Q7947">
        <v>-0.1064676</v>
      </c>
      <c r="R7947">
        <v>2.2874169999999999E-2</v>
      </c>
      <c r="S7947">
        <v>3.0026700000000002</v>
      </c>
      <c r="T7947">
        <v>-0.137574799999999</v>
      </c>
      <c r="U7947">
        <v>2.1606449999999999E-2</v>
      </c>
      <c r="V7947">
        <v>-2.8083179999999999E-2</v>
      </c>
      <c r="W7947">
        <v>-9.1498410000000002E-2</v>
      </c>
      <c r="X7947">
        <v>0.99540910000000005</v>
      </c>
      <c r="Y7947">
        <v>-1.250095E-2</v>
      </c>
      <c r="Z7947">
        <v>5.4412220000000003E-4</v>
      </c>
      <c r="AA7947">
        <v>0.99992170000000002</v>
      </c>
      <c r="AB7947">
        <v>27</v>
      </c>
      <c r="AC7947">
        <v>24.350200000000001</v>
      </c>
      <c r="AD7947">
        <v>-1.1213901980859999</v>
      </c>
      <c r="AE7947">
        <v>0.176589999999997</v>
      </c>
      <c r="AF7947">
        <v>-0.30561831334190598</v>
      </c>
      <c r="AG7947">
        <v>-1.1213901980859999</v>
      </c>
      <c r="AH7947">
        <v>24.2973860231663</v>
      </c>
      <c r="AI7947">
        <v>92.642271590367699</v>
      </c>
      <c r="AJ7947">
        <v>90.720641969570394</v>
      </c>
      <c r="AK7947">
        <v>24.3251698059555</v>
      </c>
      <c r="AL7947">
        <v>95.249815644863304</v>
      </c>
      <c r="AM7947">
        <v>91.616040060711001</v>
      </c>
      <c r="AN7947">
        <v>0.99999995019712395</v>
      </c>
    </row>
    <row r="7948" spans="1:40" x14ac:dyDescent="0.25">
      <c r="A7948" t="str">
        <f>"20190303154335021"</f>
        <v>20190303154335021</v>
      </c>
      <c r="B7948" t="str">
        <f>"1551599015017873"</f>
        <v>1551599015017873</v>
      </c>
      <c r="C7948" t="s">
        <v>40</v>
      </c>
      <c r="D7948">
        <v>5.5442749999999998</v>
      </c>
      <c r="E7948">
        <v>0.50617609999999902</v>
      </c>
      <c r="F7948" t="s">
        <v>70</v>
      </c>
      <c r="G7948">
        <v>-213.95359999999999</v>
      </c>
      <c r="H7948" s="1">
        <v>-1.2083130000000001E-6</v>
      </c>
      <c r="I7948">
        <v>-62.425109999999997</v>
      </c>
      <c r="J7948">
        <v>-238.15860000000001</v>
      </c>
      <c r="K7948">
        <v>1.1213949999999999</v>
      </c>
      <c r="L7948">
        <v>-62.607970000000002</v>
      </c>
      <c r="M7948">
        <v>0.99987349999999997</v>
      </c>
      <c r="N7948">
        <v>-1.507469E-2</v>
      </c>
      <c r="O7948">
        <v>-5.0895609999999899E-3</v>
      </c>
      <c r="P7948">
        <v>0.99407590000000001</v>
      </c>
      <c r="Q7948">
        <v>-0.10618420000000001</v>
      </c>
      <c r="R7948">
        <v>2.3202609999999999E-2</v>
      </c>
      <c r="S7948">
        <v>3.0026090000000001</v>
      </c>
      <c r="T7948">
        <v>-0.13843459999999999</v>
      </c>
      <c r="U7948">
        <v>2.2521969999999999E-2</v>
      </c>
      <c r="V7948">
        <v>-2.817743E-2</v>
      </c>
      <c r="W7948">
        <v>-9.1214879999999998E-2</v>
      </c>
      <c r="X7948">
        <v>0.99543250000000005</v>
      </c>
      <c r="Y7948">
        <v>-1.2570319999999999E-2</v>
      </c>
      <c r="Z7948">
        <v>5.4226459999999997E-4</v>
      </c>
      <c r="AA7948">
        <v>0.99992080000000005</v>
      </c>
      <c r="AB7948">
        <v>27</v>
      </c>
      <c r="AC7948">
        <v>24.204999999999998</v>
      </c>
      <c r="AD7948">
        <v>-1.121396208313</v>
      </c>
      <c r="AE7948">
        <v>0.182859999999998</v>
      </c>
      <c r="AF7948">
        <v>-0.30540895645299598</v>
      </c>
      <c r="AG7948">
        <v>-1.121396208313</v>
      </c>
      <c r="AH7948">
        <v>24.151919242572099</v>
      </c>
      <c r="AI7948">
        <v>92.658175190035493</v>
      </c>
      <c r="AJ7948">
        <v>90.724485347973896</v>
      </c>
      <c r="AK7948">
        <v>24.1798678074639</v>
      </c>
      <c r="AL7948">
        <v>95.233502134068004</v>
      </c>
      <c r="AM7948">
        <v>91.621422668641998</v>
      </c>
      <c r="AN7948">
        <v>0.99999999197553402</v>
      </c>
    </row>
    <row r="7949" spans="1:40" x14ac:dyDescent="0.25">
      <c r="A7949" t="str">
        <f>"20190303154335032"</f>
        <v>20190303154335032</v>
      </c>
      <c r="B7949" t="str">
        <f>"1551599015028609"</f>
        <v>1551599015028609</v>
      </c>
      <c r="C7949" t="s">
        <v>40</v>
      </c>
      <c r="D7949">
        <v>5.5223509999999996</v>
      </c>
      <c r="E7949">
        <v>0.50620920000000003</v>
      </c>
      <c r="F7949" t="s">
        <v>70</v>
      </c>
      <c r="G7949">
        <v>-213.9032</v>
      </c>
      <c r="H7949" s="1">
        <v>-1.1827060000000001E-6</v>
      </c>
      <c r="I7949">
        <v>-62.41019</v>
      </c>
      <c r="J7949">
        <v>-238.02330000000001</v>
      </c>
      <c r="K7949">
        <v>1.1213979999999999</v>
      </c>
      <c r="L7949">
        <v>-62.608400000000003</v>
      </c>
      <c r="M7949">
        <v>0.99987479999999995</v>
      </c>
      <c r="N7949">
        <v>-1.5074280000000001E-2</v>
      </c>
      <c r="O7949">
        <v>-4.8185049999999998E-3</v>
      </c>
      <c r="P7949">
        <v>0.9940679</v>
      </c>
      <c r="Q7949">
        <v>-0.10621750000000001</v>
      </c>
      <c r="R7949">
        <v>2.3391889999999999E-2</v>
      </c>
      <c r="S7949">
        <v>3.0024869999999999</v>
      </c>
      <c r="T7949">
        <v>-0.138813299999999</v>
      </c>
      <c r="U7949">
        <v>2.44751E-2</v>
      </c>
      <c r="V7949">
        <v>-2.8098069999999999E-2</v>
      </c>
      <c r="W7949">
        <v>-9.1248499999999996E-2</v>
      </c>
      <c r="X7949">
        <v>0.99543170000000003</v>
      </c>
      <c r="Y7949">
        <v>-1.294945E-2</v>
      </c>
      <c r="Z7949">
        <v>5.4689620000000002E-4</v>
      </c>
      <c r="AA7949">
        <v>0.99991600000000003</v>
      </c>
      <c r="AB7949">
        <v>27</v>
      </c>
      <c r="AC7949">
        <v>24.120100000000001</v>
      </c>
      <c r="AD7949">
        <v>-1.1213991827059999</v>
      </c>
      <c r="AE7949">
        <v>0.19821000000000299</v>
      </c>
      <c r="AF7949">
        <v>-0.31376555468441403</v>
      </c>
      <c r="AG7949">
        <v>-1.1213991827059999</v>
      </c>
      <c r="AH7949">
        <v>24.066846922178399</v>
      </c>
      <c r="AI7949">
        <v>92.667551512357704</v>
      </c>
      <c r="AJ7949">
        <v>90.746937214515995</v>
      </c>
      <c r="AK7949">
        <v>24.095001675157601</v>
      </c>
      <c r="AL7949">
        <v>95.235436286302402</v>
      </c>
      <c r="AM7949">
        <v>91.616859757503306</v>
      </c>
      <c r="AN7949">
        <v>1.0000000298274301</v>
      </c>
    </row>
    <row r="7950" spans="1:40" x14ac:dyDescent="0.25">
      <c r="A7950" t="str">
        <f>"20190303154335053"</f>
        <v>20190303154335053</v>
      </c>
      <c r="B7950" t="str">
        <f>"1551599015048128"</f>
        <v>1551599015048128</v>
      </c>
      <c r="C7950" t="s">
        <v>40</v>
      </c>
      <c r="D7950">
        <v>5.5337959999999997</v>
      </c>
      <c r="E7950">
        <v>0.50622429999999996</v>
      </c>
      <c r="F7950" t="s">
        <v>70</v>
      </c>
      <c r="G7950">
        <v>-213.90860000000001</v>
      </c>
      <c r="H7950" s="1">
        <v>-1.184837E-6</v>
      </c>
      <c r="I7950">
        <v>-62.409550000000003</v>
      </c>
      <c r="J7950">
        <v>-237.786</v>
      </c>
      <c r="K7950">
        <v>1.121407</v>
      </c>
      <c r="L7950">
        <v>-62.608980000000003</v>
      </c>
      <c r="M7950">
        <v>0.99987700000000002</v>
      </c>
      <c r="N7950">
        <v>-1.5073080000000001E-2</v>
      </c>
      <c r="O7950">
        <v>-4.3433789999999996E-3</v>
      </c>
      <c r="P7950">
        <v>0.99411859999999996</v>
      </c>
      <c r="Q7950">
        <v>-0.1056566</v>
      </c>
      <c r="R7950">
        <v>2.3772359999999999E-2</v>
      </c>
      <c r="S7950">
        <v>3.00238</v>
      </c>
      <c r="T7950">
        <v>-0.13961850000000001</v>
      </c>
      <c r="U7950">
        <v>2.4749759999999999E-2</v>
      </c>
      <c r="V7950">
        <v>-2.8006949999999999E-2</v>
      </c>
      <c r="W7950">
        <v>-9.0687749999999998E-2</v>
      </c>
      <c r="X7950">
        <v>0.99548550000000002</v>
      </c>
      <c r="Y7950">
        <v>-1.2566620000000001E-2</v>
      </c>
      <c r="Z7950">
        <v>5.2323089999999897E-4</v>
      </c>
      <c r="AA7950">
        <v>0.9999209</v>
      </c>
      <c r="AB7950">
        <v>27</v>
      </c>
      <c r="AC7950">
        <v>23.877399999999898</v>
      </c>
      <c r="AD7950">
        <v>-1.1214081848370001</v>
      </c>
      <c r="AE7950">
        <v>0.199429999999999</v>
      </c>
      <c r="AF7950">
        <v>-0.30248134811617799</v>
      </c>
      <c r="AG7950">
        <v>-1.1214081848370001</v>
      </c>
      <c r="AH7950">
        <v>23.823763179028401</v>
      </c>
      <c r="AI7950">
        <v>92.694763121400896</v>
      </c>
      <c r="AJ7950">
        <v>90.727423846372304</v>
      </c>
      <c r="AK7950">
        <v>23.852059518905399</v>
      </c>
      <c r="AL7950">
        <v>95.203173968967207</v>
      </c>
      <c r="AM7950">
        <v>91.611532116080795</v>
      </c>
      <c r="AN7950">
        <v>1.0000000189792999</v>
      </c>
    </row>
    <row r="7951" spans="1:40" x14ac:dyDescent="0.25">
      <c r="A7951" t="str">
        <f>"20190303154335063"</f>
        <v>20190303154335063</v>
      </c>
      <c r="B7951" t="str">
        <f>"1551599015058245"</f>
        <v>1551599015058245</v>
      </c>
      <c r="C7951" t="s">
        <v>40</v>
      </c>
      <c r="D7951">
        <v>5.583691</v>
      </c>
      <c r="E7951">
        <v>0.50611679999999903</v>
      </c>
      <c r="F7951" t="s">
        <v>70</v>
      </c>
      <c r="G7951">
        <v>-213.64789999999999</v>
      </c>
      <c r="H7951" s="1">
        <v>-1.0710880000000001E-6</v>
      </c>
      <c r="I7951">
        <v>-62.402329999999999</v>
      </c>
      <c r="J7951">
        <v>-237.6524</v>
      </c>
      <c r="K7951">
        <v>1.1214120000000001</v>
      </c>
      <c r="L7951">
        <v>-62.609279999999998</v>
      </c>
      <c r="M7951">
        <v>0.99987820000000005</v>
      </c>
      <c r="N7951">
        <v>-1.507213E-2</v>
      </c>
      <c r="O7951">
        <v>-4.0756569999999999E-3</v>
      </c>
      <c r="P7951">
        <v>0.99410019999999999</v>
      </c>
      <c r="Q7951">
        <v>-0.1057871</v>
      </c>
      <c r="R7951">
        <v>2.396744E-2</v>
      </c>
      <c r="S7951">
        <v>3.0023040000000001</v>
      </c>
      <c r="T7951">
        <v>-0.13948070000000001</v>
      </c>
      <c r="U7951">
        <v>2.5695800000000001E-2</v>
      </c>
      <c r="V7951">
        <v>-2.7935890000000001E-2</v>
      </c>
      <c r="W7951">
        <v>-9.0819189999999994E-2</v>
      </c>
      <c r="X7951">
        <v>0.99547549999999996</v>
      </c>
      <c r="Y7951">
        <v>-1.261425E-2</v>
      </c>
      <c r="Z7951">
        <v>5.1582189999999995E-4</v>
      </c>
      <c r="AA7951">
        <v>0.99992029999999998</v>
      </c>
      <c r="AB7951">
        <v>27</v>
      </c>
      <c r="AC7951">
        <v>24.0045</v>
      </c>
      <c r="AD7951">
        <v>-1.1214130710879999</v>
      </c>
      <c r="AE7951">
        <v>0.206949999999999</v>
      </c>
      <c r="AF7951">
        <v>-0.30412979286143199</v>
      </c>
      <c r="AG7951">
        <v>-1.1214130710879999</v>
      </c>
      <c r="AH7951">
        <v>23.9511884533932</v>
      </c>
      <c r="AI7951">
        <v>92.680459008394095</v>
      </c>
      <c r="AJ7951">
        <v>90.727496973453697</v>
      </c>
      <c r="AK7951">
        <v>23.979355507120399</v>
      </c>
      <c r="AL7951">
        <v>95.210736204392106</v>
      </c>
      <c r="AM7951">
        <v>91.607461579652295</v>
      </c>
      <c r="AN7951">
        <v>1.0000000051612901</v>
      </c>
    </row>
    <row r="7952" spans="1:40" x14ac:dyDescent="0.25">
      <c r="A7952" t="str">
        <f>"20190303154335075"</f>
        <v>20190303154335075</v>
      </c>
      <c r="B7952" t="str">
        <f>"1551599015068025"</f>
        <v>1551599015068025</v>
      </c>
      <c r="C7952" t="s">
        <v>40</v>
      </c>
      <c r="D7952">
        <v>5.5562360000000002</v>
      </c>
      <c r="E7952">
        <v>0.50617429999999997</v>
      </c>
      <c r="F7952" t="s">
        <v>70</v>
      </c>
      <c r="G7952">
        <v>-213.48560000000001</v>
      </c>
      <c r="H7952" s="1">
        <v>-9.9821640000000002E-7</v>
      </c>
      <c r="I7952">
        <v>-62.39011</v>
      </c>
      <c r="J7952">
        <v>-237.5094</v>
      </c>
      <c r="K7952">
        <v>1.1214150000000001</v>
      </c>
      <c r="L7952">
        <v>-62.609560000000002</v>
      </c>
      <c r="M7952">
        <v>0.99987919999999997</v>
      </c>
      <c r="N7952">
        <v>-1.5070989999999999E-2</v>
      </c>
      <c r="O7952">
        <v>-3.788862E-3</v>
      </c>
      <c r="P7952">
        <v>0.99414720000000001</v>
      </c>
      <c r="Q7952">
        <v>-0.10528700000000001</v>
      </c>
      <c r="R7952">
        <v>2.4208299999999999E-2</v>
      </c>
      <c r="S7952">
        <v>3.002335</v>
      </c>
      <c r="T7952">
        <v>-0.13931729999999901</v>
      </c>
      <c r="U7952">
        <v>2.7221680000000002E-2</v>
      </c>
      <c r="V7952">
        <v>-2.789254E-2</v>
      </c>
      <c r="W7952">
        <v>-9.0319360000000001E-2</v>
      </c>
      <c r="X7952">
        <v>0.99552220000000002</v>
      </c>
      <c r="Y7952">
        <v>-1.283538E-2</v>
      </c>
      <c r="Z7952">
        <v>5.1306460000000002E-4</v>
      </c>
      <c r="AA7952">
        <v>0.99991750000000001</v>
      </c>
      <c r="AB7952">
        <v>27</v>
      </c>
      <c r="AC7952">
        <v>24.023799999999898</v>
      </c>
      <c r="AD7952">
        <v>-1.12141599821639</v>
      </c>
      <c r="AE7952">
        <v>0.21944999999999401</v>
      </c>
      <c r="AF7952">
        <v>-0.30980662950023102</v>
      </c>
      <c r="AG7952">
        <v>-1.12141599821639</v>
      </c>
      <c r="AH7952">
        <v>23.970569309830701</v>
      </c>
      <c r="AI7952">
        <v>92.6782941610563</v>
      </c>
      <c r="AJ7952">
        <v>90.7404756992388</v>
      </c>
      <c r="AK7952">
        <v>23.998786365692201</v>
      </c>
      <c r="AL7952">
        <v>95.181979816339606</v>
      </c>
      <c r="AM7952">
        <v>91.604893229257101</v>
      </c>
      <c r="AN7952">
        <v>1.0000000156356501</v>
      </c>
    </row>
    <row r="7953" spans="1:40" x14ac:dyDescent="0.25">
      <c r="A7953" t="str">
        <f>"20190303154335086"</f>
        <v>20190303154335086</v>
      </c>
      <c r="B7953" t="str">
        <f>"1551599015078252"</f>
        <v>1551599015078252</v>
      </c>
      <c r="C7953" t="s">
        <v>40</v>
      </c>
      <c r="D7953">
        <v>5.543933</v>
      </c>
      <c r="E7953">
        <v>0.50610889999999997</v>
      </c>
      <c r="F7953" t="s">
        <v>70</v>
      </c>
      <c r="G7953">
        <v>-213.27610000000001</v>
      </c>
      <c r="H7953" s="1">
        <v>-9.0759230000000002E-7</v>
      </c>
      <c r="I7953">
        <v>-62.387320000000003</v>
      </c>
      <c r="J7953">
        <v>-237.38</v>
      </c>
      <c r="K7953">
        <v>1.121416</v>
      </c>
      <c r="L7953">
        <v>-62.609769999999997</v>
      </c>
      <c r="M7953">
        <v>0.99988030000000006</v>
      </c>
      <c r="N7953">
        <v>-1.50697E-2</v>
      </c>
      <c r="O7953">
        <v>-3.529599E-3</v>
      </c>
      <c r="P7953">
        <v>0.99417489999999997</v>
      </c>
      <c r="Q7953">
        <v>-0.105003</v>
      </c>
      <c r="R7953">
        <v>2.4307639999999998E-2</v>
      </c>
      <c r="S7953">
        <v>3.0022890000000002</v>
      </c>
      <c r="T7953">
        <v>-0.13893320000000001</v>
      </c>
      <c r="U7953">
        <v>2.752686E-2</v>
      </c>
      <c r="V7953">
        <v>-2.7734709999999999E-2</v>
      </c>
      <c r="W7953">
        <v>-9.0036000000000005E-2</v>
      </c>
      <c r="X7953">
        <v>0.9955522</v>
      </c>
      <c r="Y7953">
        <v>-1.267833E-2</v>
      </c>
      <c r="Z7953">
        <v>4.9886280000000004E-4</v>
      </c>
      <c r="AA7953">
        <v>0.99991949999999996</v>
      </c>
      <c r="AB7953">
        <v>27</v>
      </c>
      <c r="AC7953">
        <v>24.1038999999999</v>
      </c>
      <c r="AD7953">
        <v>-1.1214169075922999</v>
      </c>
      <c r="AE7953">
        <v>0.22245000000000201</v>
      </c>
      <c r="AF7953">
        <v>-0.30687120101506798</v>
      </c>
      <c r="AG7953">
        <v>-1.1214169075922999</v>
      </c>
      <c r="AH7953">
        <v>24.050910573780701</v>
      </c>
      <c r="AI7953">
        <v>92.669368187255998</v>
      </c>
      <c r="AJ7953">
        <v>90.7310106028348</v>
      </c>
      <c r="AK7953">
        <v>24.078995935101599</v>
      </c>
      <c r="AL7953">
        <v>95.165678462141898</v>
      </c>
      <c r="AM7953">
        <v>91.595768582957504</v>
      </c>
      <c r="AN7953">
        <v>0.99999993917981</v>
      </c>
    </row>
    <row r="7954" spans="1:40" x14ac:dyDescent="0.25">
      <c r="A7954" t="str">
        <f>"20190303154335097"</f>
        <v>20190303154335097</v>
      </c>
      <c r="B7954" t="str">
        <f>"1551599015088607"</f>
        <v>1551599015088607</v>
      </c>
      <c r="C7954" t="s">
        <v>40</v>
      </c>
      <c r="D7954">
        <v>5.5231870000000001</v>
      </c>
      <c r="E7954">
        <v>0.50605849999999997</v>
      </c>
      <c r="F7954" t="s">
        <v>70</v>
      </c>
      <c r="G7954">
        <v>-213.18799999999999</v>
      </c>
      <c r="H7954" s="1">
        <v>-8.6819639999999997E-7</v>
      </c>
      <c r="I7954">
        <v>-62.381259999999997</v>
      </c>
      <c r="J7954">
        <v>-237.2542</v>
      </c>
      <c r="K7954">
        <v>1.1214189999999999</v>
      </c>
      <c r="L7954">
        <v>-62.609920000000002</v>
      </c>
      <c r="M7954">
        <v>0.99988120000000003</v>
      </c>
      <c r="N7954">
        <v>-1.5068410000000001E-2</v>
      </c>
      <c r="O7954">
        <v>-3.2773699999999999E-3</v>
      </c>
      <c r="P7954">
        <v>0.99415750000000003</v>
      </c>
      <c r="Q7954">
        <v>-0.1050905</v>
      </c>
      <c r="R7954">
        <v>2.4635529999999999E-2</v>
      </c>
      <c r="S7954">
        <v>3.0021819999999999</v>
      </c>
      <c r="T7954">
        <v>-0.1391655</v>
      </c>
      <c r="U7954">
        <v>2.835083E-2</v>
      </c>
      <c r="V7954">
        <v>-2.781138E-2</v>
      </c>
      <c r="W7954">
        <v>-9.0125010000000005E-2</v>
      </c>
      <c r="X7954">
        <v>0.99554200000000004</v>
      </c>
      <c r="Y7954">
        <v>-1.270086E-2</v>
      </c>
      <c r="Z7954">
        <v>4.9244350000000002E-4</v>
      </c>
      <c r="AA7954">
        <v>0.99991920000000001</v>
      </c>
      <c r="AB7954">
        <v>27</v>
      </c>
      <c r="AC7954">
        <v>24.066199999999998</v>
      </c>
      <c r="AD7954">
        <v>-1.1214198681964</v>
      </c>
      <c r="AE7954">
        <v>0.228659999999997</v>
      </c>
      <c r="AF7954">
        <v>-0.30687530048156503</v>
      </c>
      <c r="AG7954">
        <v>-1.1214198681964</v>
      </c>
      <c r="AH7954">
        <v>24.013185914292901</v>
      </c>
      <c r="AI7954">
        <v>92.673562037655799</v>
      </c>
      <c r="AJ7954">
        <v>90.7321686736678</v>
      </c>
      <c r="AK7954">
        <v>24.041315536493201</v>
      </c>
      <c r="AL7954">
        <v>95.170799215227106</v>
      </c>
      <c r="AM7954">
        <v>91.600194031283806</v>
      </c>
      <c r="AN7954">
        <v>0.99999993202449999</v>
      </c>
    </row>
    <row r="7955" spans="1:40" x14ac:dyDescent="0.25">
      <c r="A7955" t="str">
        <f>"20190303154335108"</f>
        <v>20190303154335108</v>
      </c>
      <c r="B7955" t="str">
        <f>"1551599015098404"</f>
        <v>1551599015098404</v>
      </c>
      <c r="C7955" t="s">
        <v>40</v>
      </c>
      <c r="D7955">
        <v>5.4604860000000004</v>
      </c>
      <c r="E7955">
        <v>0.50600559999999895</v>
      </c>
      <c r="F7955" t="s">
        <v>70</v>
      </c>
      <c r="G7955">
        <v>-213.25139999999999</v>
      </c>
      <c r="H7955" s="1">
        <v>-8.9295709999999999E-7</v>
      </c>
      <c r="I7955">
        <v>-62.372199999999999</v>
      </c>
      <c r="J7955">
        <v>-237.11680000000001</v>
      </c>
      <c r="K7955">
        <v>1.121421</v>
      </c>
      <c r="L7955">
        <v>-62.610080000000004</v>
      </c>
      <c r="M7955">
        <v>0.9998821</v>
      </c>
      <c r="N7955">
        <v>-1.506677E-2</v>
      </c>
      <c r="O7955">
        <v>-3.001774E-3</v>
      </c>
      <c r="P7955">
        <v>0.99419579999999996</v>
      </c>
      <c r="Q7955">
        <v>-0.1046492</v>
      </c>
      <c r="R7955">
        <v>2.497363E-2</v>
      </c>
      <c r="S7955">
        <v>3.0020600000000002</v>
      </c>
      <c r="T7955">
        <v>-0.1402571</v>
      </c>
      <c r="U7955">
        <v>2.972412E-2</v>
      </c>
      <c r="V7955">
        <v>-2.7876580000000001E-2</v>
      </c>
      <c r="W7955">
        <v>-8.9684710000000001E-2</v>
      </c>
      <c r="X7955">
        <v>0.99558000000000002</v>
      </c>
      <c r="Y7955">
        <v>-1.2882589999999999E-2</v>
      </c>
      <c r="Z7955">
        <v>4.9284779999999998E-4</v>
      </c>
      <c r="AA7955">
        <v>0.9999169</v>
      </c>
      <c r="AB7955">
        <v>27</v>
      </c>
      <c r="AC7955">
        <v>23.865400000000001</v>
      </c>
      <c r="AD7955">
        <v>-1.1214218929571</v>
      </c>
      <c r="AE7955">
        <v>0.237880000000004</v>
      </c>
      <c r="AF7955">
        <v>-0.308843727910529</v>
      </c>
      <c r="AG7955">
        <v>-1.1214218929571</v>
      </c>
      <c r="AH7955">
        <v>23.8120064355994</v>
      </c>
      <c r="AI7955">
        <v>92.696115110992494</v>
      </c>
      <c r="AJ7955">
        <v>90.743089416918394</v>
      </c>
      <c r="AK7955">
        <v>23.840398947989499</v>
      </c>
      <c r="AL7955">
        <v>95.145468986505193</v>
      </c>
      <c r="AM7955">
        <v>91.603882322877595</v>
      </c>
      <c r="AN7955">
        <v>0.99999999366014003</v>
      </c>
    </row>
    <row r="7956" spans="1:40" x14ac:dyDescent="0.25">
      <c r="A7956" t="str">
        <f>"20190303154335119"</f>
        <v>20190303154335119</v>
      </c>
      <c r="B7956" t="str">
        <f>"1551599015108164"</f>
        <v>1551599015108164</v>
      </c>
      <c r="C7956" t="s">
        <v>40</v>
      </c>
      <c r="D7956">
        <v>5.5242420000000001</v>
      </c>
      <c r="E7956">
        <v>0.50607279999999999</v>
      </c>
      <c r="F7956" t="s">
        <v>70</v>
      </c>
      <c r="G7956">
        <v>-213.05029999999999</v>
      </c>
      <c r="H7956" s="1">
        <v>-8.035279E-7</v>
      </c>
      <c r="I7956">
        <v>-62.360230000000001</v>
      </c>
      <c r="J7956">
        <v>-236.9836</v>
      </c>
      <c r="K7956">
        <v>1.1214189999999999</v>
      </c>
      <c r="L7956">
        <v>-62.610199999999999</v>
      </c>
      <c r="M7956">
        <v>0.99988279999999996</v>
      </c>
      <c r="N7956">
        <v>-1.506511E-2</v>
      </c>
      <c r="O7956">
        <v>-2.7344040000000002E-3</v>
      </c>
      <c r="P7956">
        <v>0.99421470000000001</v>
      </c>
      <c r="Q7956">
        <v>-0.1043309</v>
      </c>
      <c r="R7956">
        <v>2.5540119999999999E-2</v>
      </c>
      <c r="S7956">
        <v>3.0019990000000001</v>
      </c>
      <c r="T7956">
        <v>-0.13988339999999999</v>
      </c>
      <c r="U7956">
        <v>3.1158450000000001E-2</v>
      </c>
      <c r="V7956">
        <v>-2.817741E-2</v>
      </c>
      <c r="W7956">
        <v>-8.9367890000000005E-2</v>
      </c>
      <c r="X7956">
        <v>0.99560000000000004</v>
      </c>
      <c r="Y7956">
        <v>-1.309304E-2</v>
      </c>
      <c r="Z7956">
        <v>4.8973810000000001E-4</v>
      </c>
      <c r="AA7956">
        <v>0.99991419999999998</v>
      </c>
      <c r="AB7956">
        <v>27</v>
      </c>
      <c r="AC7956">
        <v>23.933299999999999</v>
      </c>
      <c r="AD7956">
        <v>-1.1214198035278999</v>
      </c>
      <c r="AE7956">
        <v>0.249969999999997</v>
      </c>
      <c r="AF7956">
        <v>-0.31472889417418198</v>
      </c>
      <c r="AG7956">
        <v>-1.1214198035278999</v>
      </c>
      <c r="AH7956">
        <v>23.880104120557299</v>
      </c>
      <c r="AI7956">
        <v>92.688425679585905</v>
      </c>
      <c r="AJ7956">
        <v>90.755088556260503</v>
      </c>
      <c r="AK7956">
        <v>23.908492412973899</v>
      </c>
      <c r="AL7956">
        <v>95.127243457358603</v>
      </c>
      <c r="AM7956">
        <v>91.621148875597001</v>
      </c>
      <c r="AN7956">
        <v>0.99999997309867905</v>
      </c>
    </row>
    <row r="7957" spans="1:40" x14ac:dyDescent="0.25">
      <c r="A7957" t="str">
        <f>"20190303154335129"</f>
        <v>20190303154335129</v>
      </c>
      <c r="B7957" t="str">
        <f>"1551599015117923"</f>
        <v>1551599015117923</v>
      </c>
      <c r="C7957" t="s">
        <v>40</v>
      </c>
      <c r="D7957">
        <v>5.5324869999999997</v>
      </c>
      <c r="E7957">
        <v>0.50608869999999995</v>
      </c>
      <c r="F7957" t="s">
        <v>70</v>
      </c>
      <c r="G7957">
        <v>-212.8974</v>
      </c>
      <c r="H7957" s="1">
        <v>-7.3550299999999997E-7</v>
      </c>
      <c r="I7957">
        <v>-62.351089999999999</v>
      </c>
      <c r="J7957">
        <v>-236.8553</v>
      </c>
      <c r="K7957">
        <v>1.1214200000000001</v>
      </c>
      <c r="L7957">
        <v>-62.610289999999999</v>
      </c>
      <c r="M7957">
        <v>0.99988350000000004</v>
      </c>
      <c r="N7957">
        <v>-1.5063389999999999E-2</v>
      </c>
      <c r="O7957">
        <v>-2.4771649999999999E-3</v>
      </c>
      <c r="P7957">
        <v>0.99423930000000005</v>
      </c>
      <c r="Q7957">
        <v>-0.10399319999999999</v>
      </c>
      <c r="R7957">
        <v>2.594991E-2</v>
      </c>
      <c r="S7957">
        <v>3.0019840000000002</v>
      </c>
      <c r="T7957">
        <v>-0.13976839999999999</v>
      </c>
      <c r="U7957">
        <v>3.22876E-2</v>
      </c>
      <c r="V7957">
        <v>-2.833161E-2</v>
      </c>
      <c r="W7957">
        <v>-8.9031600000000002E-2</v>
      </c>
      <c r="X7957">
        <v>0.99562580000000001</v>
      </c>
      <c r="Y7957">
        <v>-1.32119E-2</v>
      </c>
      <c r="Z7957">
        <v>4.8494279999999998E-4</v>
      </c>
      <c r="AA7957">
        <v>0.99991260000000004</v>
      </c>
      <c r="AB7957">
        <v>27</v>
      </c>
      <c r="AC7957">
        <v>23.957899999999899</v>
      </c>
      <c r="AD7957">
        <v>-1.1214207355029999</v>
      </c>
      <c r="AE7957">
        <v>0.25919999999999899</v>
      </c>
      <c r="AF7957">
        <v>-0.31785726913305001</v>
      </c>
      <c r="AG7957">
        <v>-1.1214207355029999</v>
      </c>
      <c r="AH7957">
        <v>23.904815328338699</v>
      </c>
      <c r="AI7957">
        <v>92.685648702121298</v>
      </c>
      <c r="AJ7957">
        <v>90.761804956783706</v>
      </c>
      <c r="AK7957">
        <v>23.933215696841401</v>
      </c>
      <c r="AL7957">
        <v>95.107898105693394</v>
      </c>
      <c r="AM7957">
        <v>91.629973572922694</v>
      </c>
      <c r="AN7957">
        <v>1.0000000197746901</v>
      </c>
    </row>
    <row r="7958" spans="1:40" x14ac:dyDescent="0.25">
      <c r="A7958" t="str">
        <f>"20190303154335141"</f>
        <v>20190303154335141</v>
      </c>
      <c r="B7958" t="str">
        <f>"1551599015138420"</f>
        <v>1551599015138420</v>
      </c>
      <c r="C7958" t="s">
        <v>40</v>
      </c>
      <c r="D7958">
        <v>5.5022140000000004</v>
      </c>
      <c r="E7958">
        <v>0.5061021</v>
      </c>
      <c r="F7958" t="s">
        <v>70</v>
      </c>
      <c r="G7958">
        <v>-212.66630000000001</v>
      </c>
      <c r="H7958" s="1">
        <v>-6.3360600000000002E-7</v>
      </c>
      <c r="I7958">
        <v>-62.340719999999997</v>
      </c>
      <c r="J7958">
        <v>-236.7242</v>
      </c>
      <c r="K7958">
        <v>1.1214230000000001</v>
      </c>
      <c r="L7958">
        <v>-62.610320000000002</v>
      </c>
      <c r="M7958">
        <v>0.99988410000000005</v>
      </c>
      <c r="N7958">
        <v>-1.506155E-2</v>
      </c>
      <c r="O7958">
        <v>-2.2140850000000002E-3</v>
      </c>
      <c r="P7958">
        <v>0.99427299999999996</v>
      </c>
      <c r="Q7958">
        <v>-0.1035441</v>
      </c>
      <c r="R7958">
        <v>2.6456739999999999E-2</v>
      </c>
      <c r="S7958">
        <v>3.0019529999999999</v>
      </c>
      <c r="T7958">
        <v>-0.13917270000000001</v>
      </c>
      <c r="U7958">
        <v>3.3447270000000001E-2</v>
      </c>
      <c r="V7958">
        <v>-2.8577729999999999E-2</v>
      </c>
      <c r="W7958">
        <v>-8.8584040000000003E-2</v>
      </c>
      <c r="X7958">
        <v>0.99565870000000001</v>
      </c>
      <c r="Y7958">
        <v>-1.333525E-2</v>
      </c>
      <c r="Z7958">
        <v>4.7869759999999998E-4</v>
      </c>
      <c r="AA7958">
        <v>0.99991099999999999</v>
      </c>
      <c r="AB7958">
        <v>27</v>
      </c>
      <c r="AC7958">
        <v>24.057899999999901</v>
      </c>
      <c r="AD7958">
        <v>-1.1214236336059999</v>
      </c>
      <c r="AE7958">
        <v>0.26959999999999601</v>
      </c>
      <c r="AF7958">
        <v>-0.32217168467601198</v>
      </c>
      <c r="AG7958">
        <v>-1.1214236336059999</v>
      </c>
      <c r="AH7958">
        <v>24.005091811865999</v>
      </c>
      <c r="AI7958">
        <v>92.674448735072403</v>
      </c>
      <c r="AJ7958">
        <v>90.768918935053094</v>
      </c>
      <c r="AK7958">
        <v>24.0334312668111</v>
      </c>
      <c r="AL7958">
        <v>95.082153016066002</v>
      </c>
      <c r="AM7958">
        <v>91.644071307363404</v>
      </c>
      <c r="AN7958">
        <v>1.0000000328401799</v>
      </c>
    </row>
    <row r="7959" spans="1:40" x14ac:dyDescent="0.25">
      <c r="A7959" t="str">
        <f>"20190303154335152"</f>
        <v>20190303154335152</v>
      </c>
      <c r="B7959" t="str">
        <f>"1551599015148180"</f>
        <v>1551599015148180</v>
      </c>
      <c r="C7959" t="s">
        <v>40</v>
      </c>
      <c r="D7959">
        <v>5.5017849999999999</v>
      </c>
      <c r="E7959">
        <v>0.50614499999999996</v>
      </c>
      <c r="F7959" t="s">
        <v>70</v>
      </c>
      <c r="G7959">
        <v>-212.47739999999999</v>
      </c>
      <c r="H7959" s="1">
        <v>-5.4936949999999999E-7</v>
      </c>
      <c r="I7959">
        <v>-62.328769999999999</v>
      </c>
      <c r="J7959">
        <v>-236.5856</v>
      </c>
      <c r="K7959">
        <v>1.121427</v>
      </c>
      <c r="L7959">
        <v>-62.610320000000002</v>
      </c>
      <c r="M7959">
        <v>0.99988480000000002</v>
      </c>
      <c r="N7959">
        <v>-1.50595E-2</v>
      </c>
      <c r="O7959">
        <v>-1.935984E-3</v>
      </c>
      <c r="P7959">
        <v>0.99425459999999999</v>
      </c>
      <c r="Q7959">
        <v>-0.1035845</v>
      </c>
      <c r="R7959">
        <v>2.6979779999999998E-2</v>
      </c>
      <c r="S7959">
        <v>3.0018919999999998</v>
      </c>
      <c r="T7959">
        <v>-0.138838299999999</v>
      </c>
      <c r="U7959">
        <v>3.4851069999999998E-2</v>
      </c>
      <c r="V7959">
        <v>-2.8824490000000001E-2</v>
      </c>
      <c r="W7959">
        <v>-8.8626739999999996E-2</v>
      </c>
      <c r="X7959">
        <v>0.99564770000000002</v>
      </c>
      <c r="Y7959">
        <v>-1.352486E-2</v>
      </c>
      <c r="Z7959">
        <v>4.748509E-4</v>
      </c>
      <c r="AA7959">
        <v>0.99990840000000003</v>
      </c>
      <c r="AB7959">
        <v>27</v>
      </c>
      <c r="AC7959">
        <v>24.1082</v>
      </c>
      <c r="AD7959">
        <v>-1.1214275493694901</v>
      </c>
      <c r="AE7959">
        <v>0.28154999999999503</v>
      </c>
      <c r="AF7959">
        <v>-0.32751926896022798</v>
      </c>
      <c r="AG7959">
        <v>-1.1214275493694901</v>
      </c>
      <c r="AH7959">
        <v>24.055565846220102</v>
      </c>
      <c r="AI7959">
        <v>92.668847569715993</v>
      </c>
      <c r="AJ7959">
        <v>90.780040367486293</v>
      </c>
      <c r="AK7959">
        <v>24.083918219464501</v>
      </c>
      <c r="AL7959">
        <v>95.084609647157805</v>
      </c>
      <c r="AM7959">
        <v>91.658277780765403</v>
      </c>
      <c r="AN7959">
        <v>0.99999994639103695</v>
      </c>
    </row>
    <row r="7960" spans="1:40" x14ac:dyDescent="0.25">
      <c r="A7960" t="str">
        <f>"20190303154335164"</f>
        <v>20190303154335164</v>
      </c>
      <c r="B7960" t="str">
        <f>"1551599015157940"</f>
        <v>1551599015157940</v>
      </c>
      <c r="C7960" t="s">
        <v>40</v>
      </c>
      <c r="D7960">
        <v>5.508731</v>
      </c>
      <c r="E7960">
        <v>0.50620750000000003</v>
      </c>
      <c r="F7960" t="s">
        <v>70</v>
      </c>
      <c r="G7960">
        <v>-212.54079999999999</v>
      </c>
      <c r="H7960" s="1">
        <v>-5.7459309999999898E-7</v>
      </c>
      <c r="I7960">
        <v>-62.321319999999901</v>
      </c>
      <c r="J7960">
        <v>-236.44399999999999</v>
      </c>
      <c r="K7960">
        <v>1.1214280000000001</v>
      </c>
      <c r="L7960">
        <v>-62.610259999999997</v>
      </c>
      <c r="M7960">
        <v>0.99988529999999998</v>
      </c>
      <c r="N7960">
        <v>-1.5057269999999999E-2</v>
      </c>
      <c r="O7960">
        <v>-1.651685E-3</v>
      </c>
      <c r="P7960">
        <v>0.99424979999999996</v>
      </c>
      <c r="Q7960">
        <v>-0.1035121</v>
      </c>
      <c r="R7960">
        <v>2.7437400000000001E-2</v>
      </c>
      <c r="S7960">
        <v>3.00177</v>
      </c>
      <c r="T7960">
        <v>-0.1399996</v>
      </c>
      <c r="U7960">
        <v>3.6071779999999998E-2</v>
      </c>
      <c r="V7960">
        <v>-2.8999870000000001E-2</v>
      </c>
      <c r="W7960">
        <v>-8.8556599999999999E-2</v>
      </c>
      <c r="X7960">
        <v>0.99564889999999995</v>
      </c>
      <c r="Y7960">
        <v>-1.364726E-2</v>
      </c>
      <c r="Z7960">
        <v>4.7301899999999998E-4</v>
      </c>
      <c r="AA7960">
        <v>0.99990679999999998</v>
      </c>
      <c r="AB7960">
        <v>27</v>
      </c>
      <c r="AC7960">
        <v>23.903199999999998</v>
      </c>
      <c r="AD7960">
        <v>-1.1214285745931001</v>
      </c>
      <c r="AE7960">
        <v>0.28894000000000297</v>
      </c>
      <c r="AF7960">
        <v>-0.32770344939386098</v>
      </c>
      <c r="AG7960">
        <v>-1.1214285745931001</v>
      </c>
      <c r="AH7960">
        <v>23.850202128406401</v>
      </c>
      <c r="AI7960">
        <v>92.6917920641514</v>
      </c>
      <c r="AJ7960">
        <v>90.787198491762197</v>
      </c>
      <c r="AK7960">
        <v>23.878800915550599</v>
      </c>
      <c r="AL7960">
        <v>95.080574794342198</v>
      </c>
      <c r="AM7960">
        <v>91.668359727136703</v>
      </c>
      <c r="AN7960">
        <v>0.99999999796739303</v>
      </c>
    </row>
    <row r="7961" spans="1:40" x14ac:dyDescent="0.25">
      <c r="A7961" t="str">
        <f>"20190303154335176"</f>
        <v>20190303154335176</v>
      </c>
      <c r="B7961" t="str">
        <f>"1551599015168678"</f>
        <v>1551599015168678</v>
      </c>
      <c r="C7961" t="s">
        <v>40</v>
      </c>
      <c r="D7961">
        <v>5.5194809999999999</v>
      </c>
      <c r="E7961">
        <v>0.50625209999999998</v>
      </c>
      <c r="F7961" t="s">
        <v>70</v>
      </c>
      <c r="G7961">
        <v>-212.5051</v>
      </c>
      <c r="H7961" s="1">
        <v>-5.578024E-7</v>
      </c>
      <c r="I7961">
        <v>-62.315719999999999</v>
      </c>
      <c r="J7961">
        <v>-236.3074</v>
      </c>
      <c r="K7961">
        <v>1.1214280000000001</v>
      </c>
      <c r="L7961">
        <v>-62.610230000000001</v>
      </c>
      <c r="M7961">
        <v>0.99988580000000005</v>
      </c>
      <c r="N7961">
        <v>-1.505508E-2</v>
      </c>
      <c r="O7961">
        <v>-1.377517E-3</v>
      </c>
      <c r="P7961">
        <v>0.99422960000000005</v>
      </c>
      <c r="Q7961">
        <v>-0.1036106</v>
      </c>
      <c r="R7961">
        <v>2.7795759999999999E-2</v>
      </c>
      <c r="S7961">
        <v>3.001709</v>
      </c>
      <c r="T7961">
        <v>-0.14061679999999999</v>
      </c>
      <c r="U7961">
        <v>3.6926269999999997E-2</v>
      </c>
      <c r="V7961">
        <v>-2.9085529999999998E-2</v>
      </c>
      <c r="W7961">
        <v>-8.8657540000000007E-2</v>
      </c>
      <c r="X7961">
        <v>0.99563740000000001</v>
      </c>
      <c r="Y7961">
        <v>-1.3657880000000001E-2</v>
      </c>
      <c r="Z7961">
        <v>4.663744E-4</v>
      </c>
      <c r="AA7961">
        <v>0.99990659999999998</v>
      </c>
      <c r="AB7961">
        <v>27</v>
      </c>
      <c r="AC7961">
        <v>23.802299999999999</v>
      </c>
      <c r="AD7961">
        <v>-1.1214285578023999</v>
      </c>
      <c r="AE7961">
        <v>0.29451000000000199</v>
      </c>
      <c r="AF7961">
        <v>-0.32657669726439098</v>
      </c>
      <c r="AG7961">
        <v>-1.1214285578023999</v>
      </c>
      <c r="AH7961">
        <v>23.749162380800001</v>
      </c>
      <c r="AI7961">
        <v>92.703226772730005</v>
      </c>
      <c r="AJ7961">
        <v>90.787829350628201</v>
      </c>
      <c r="AK7961">
        <v>23.7778671907103</v>
      </c>
      <c r="AL7961">
        <v>95.086381160713003</v>
      </c>
      <c r="AM7961">
        <v>91.673304257344796</v>
      </c>
      <c r="AN7961">
        <v>0.99999997986649602</v>
      </c>
    </row>
    <row r="7962" spans="1:40" x14ac:dyDescent="0.25">
      <c r="A7962" t="str">
        <f>"20190303154335187"</f>
        <v>20190303154335187</v>
      </c>
      <c r="B7962" t="str">
        <f>"1551599015178435"</f>
        <v>1551599015178435</v>
      </c>
      <c r="C7962" t="s">
        <v>40</v>
      </c>
      <c r="D7962">
        <v>5.4942760000000002</v>
      </c>
      <c r="E7962">
        <v>0.50630929999999996</v>
      </c>
      <c r="F7962" t="s">
        <v>70</v>
      </c>
      <c r="G7962">
        <v>-212.56530000000001</v>
      </c>
      <c r="H7962" s="1">
        <v>-5.8290709999999999E-7</v>
      </c>
      <c r="I7962">
        <v>-62.313029999999998</v>
      </c>
      <c r="J7962">
        <v>-236.1722</v>
      </c>
      <c r="K7962">
        <v>1.1214280000000001</v>
      </c>
      <c r="L7962">
        <v>-62.610109999999999</v>
      </c>
      <c r="M7962">
        <v>0.99988619999999995</v>
      </c>
      <c r="N7962">
        <v>-1.505276E-2</v>
      </c>
      <c r="O7962">
        <v>-1.10717E-3</v>
      </c>
      <c r="P7962">
        <v>0.99421789999999999</v>
      </c>
      <c r="Q7962">
        <v>-0.1037414</v>
      </c>
      <c r="R7962">
        <v>2.773051E-2</v>
      </c>
      <c r="S7962">
        <v>3.0016020000000001</v>
      </c>
      <c r="T7962">
        <v>-0.14177699999999999</v>
      </c>
      <c r="U7962">
        <v>3.7567139999999999E-2</v>
      </c>
      <c r="V7962">
        <v>-2.8751909999999999E-2</v>
      </c>
      <c r="W7962">
        <v>-8.8790259999999996E-2</v>
      </c>
      <c r="X7962">
        <v>0.9956353</v>
      </c>
      <c r="Y7962">
        <v>-1.360135E-2</v>
      </c>
      <c r="Z7962">
        <v>4.5908869999999999E-4</v>
      </c>
      <c r="AA7962">
        <v>0.9999074</v>
      </c>
      <c r="AB7962">
        <v>27</v>
      </c>
      <c r="AC7962">
        <v>23.6069</v>
      </c>
      <c r="AD7962">
        <v>-1.1214285829071</v>
      </c>
      <c r="AE7962">
        <v>0.29707999999999302</v>
      </c>
      <c r="AF7962">
        <v>-0.32249198985208599</v>
      </c>
      <c r="AG7962">
        <v>-1.1214285829071</v>
      </c>
      <c r="AH7962">
        <v>23.553413042687001</v>
      </c>
      <c r="AI7962">
        <v>92.725661465860398</v>
      </c>
      <c r="AJ7962">
        <v>90.784441532586399</v>
      </c>
      <c r="AK7962">
        <v>23.582299911363599</v>
      </c>
      <c r="AL7962">
        <v>95.094015377218597</v>
      </c>
      <c r="AM7962">
        <v>91.654125153081694</v>
      </c>
      <c r="AN7962">
        <v>1.0000000166028</v>
      </c>
    </row>
    <row r="7963" spans="1:40" x14ac:dyDescent="0.25">
      <c r="A7963" t="str">
        <f>"20190303154335200"</f>
        <v>20190303154335200</v>
      </c>
      <c r="B7963" t="str">
        <f>"1551599015188195"</f>
        <v>1551599015188195</v>
      </c>
      <c r="C7963" t="s">
        <v>40</v>
      </c>
      <c r="D7963">
        <v>5.468388</v>
      </c>
      <c r="E7963">
        <v>0.50636080000000006</v>
      </c>
      <c r="F7963" t="s">
        <v>70</v>
      </c>
      <c r="G7963">
        <v>-212.61840000000001</v>
      </c>
      <c r="H7963" s="1">
        <v>-6.0759989999999997E-7</v>
      </c>
      <c r="I7963">
        <v>-62.320279999999997</v>
      </c>
      <c r="J7963">
        <v>-236.02080000000001</v>
      </c>
      <c r="K7963">
        <v>1.121427</v>
      </c>
      <c r="L7963">
        <v>-62.609949999999998</v>
      </c>
      <c r="M7963">
        <v>0.99988639999999995</v>
      </c>
      <c r="N7963">
        <v>-1.505012E-2</v>
      </c>
      <c r="O7963">
        <v>-8.0488019999999996E-4</v>
      </c>
      <c r="P7963">
        <v>0.99418300000000004</v>
      </c>
      <c r="Q7963">
        <v>-0.103983199999999</v>
      </c>
      <c r="R7963">
        <v>2.8065090000000001E-2</v>
      </c>
      <c r="S7963">
        <v>3.0015109999999998</v>
      </c>
      <c r="T7963">
        <v>-0.1429058</v>
      </c>
      <c r="U7963">
        <v>3.6926269999999997E-2</v>
      </c>
      <c r="V7963">
        <v>-2.8785459999999999E-2</v>
      </c>
      <c r="W7963">
        <v>-8.9035009999999998E-2</v>
      </c>
      <c r="X7963">
        <v>0.99561239999999995</v>
      </c>
      <c r="Y7963">
        <v>-1.30866E-2</v>
      </c>
      <c r="Z7963">
        <v>4.3609630000000001E-4</v>
      </c>
      <c r="AA7963">
        <v>0.99991430000000003</v>
      </c>
      <c r="AB7963">
        <v>27</v>
      </c>
      <c r="AC7963">
        <v>23.4024</v>
      </c>
      <c r="AD7963">
        <v>-1.1214276075998999</v>
      </c>
      <c r="AE7963">
        <v>0.28966999999999299</v>
      </c>
      <c r="AF7963">
        <v>-0.30780148347755099</v>
      </c>
      <c r="AG7963">
        <v>-1.1214276075998999</v>
      </c>
      <c r="AH7963">
        <v>23.348553028645</v>
      </c>
      <c r="AI7963">
        <v>92.749556245603301</v>
      </c>
      <c r="AJ7963">
        <v>90.755280397298705</v>
      </c>
      <c r="AK7963">
        <v>23.3774949505666</v>
      </c>
      <c r="AL7963">
        <v>95.108094654610497</v>
      </c>
      <c r="AM7963">
        <v>91.656092312353906</v>
      </c>
      <c r="AN7963">
        <v>0.99999994337343401</v>
      </c>
    </row>
    <row r="7964" spans="1:40" x14ac:dyDescent="0.25">
      <c r="A7964" t="str">
        <f>"20190303154335210"</f>
        <v>20190303154335210</v>
      </c>
      <c r="B7964" t="str">
        <f>"1551599015207716"</f>
        <v>1551599015207716</v>
      </c>
      <c r="C7964" t="s">
        <v>40</v>
      </c>
      <c r="D7964">
        <v>5.4890850000000002</v>
      </c>
      <c r="E7964">
        <v>0.50645150000000005</v>
      </c>
      <c r="F7964" t="s">
        <v>70</v>
      </c>
      <c r="G7964">
        <v>-212.76599999999999</v>
      </c>
      <c r="H7964" s="1">
        <v>-6.7067719999999998E-7</v>
      </c>
      <c r="I7964">
        <v>-62.319299999999998</v>
      </c>
      <c r="J7964">
        <v>-235.89240000000001</v>
      </c>
      <c r="K7964">
        <v>1.1214249999999999</v>
      </c>
      <c r="L7964">
        <v>-62.609769999999997</v>
      </c>
      <c r="M7964">
        <v>0.99988670000000002</v>
      </c>
      <c r="N7964">
        <v>-1.5047799999999899E-2</v>
      </c>
      <c r="O7964">
        <v>-5.4979900000000001E-4</v>
      </c>
      <c r="P7964">
        <v>0.99417420000000001</v>
      </c>
      <c r="Q7964">
        <v>-0.10408630000000001</v>
      </c>
      <c r="R7964">
        <v>2.7996119999999999E-2</v>
      </c>
      <c r="S7964">
        <v>3.0013580000000002</v>
      </c>
      <c r="T7964">
        <v>-0.14473629999999901</v>
      </c>
      <c r="U7964">
        <v>3.7506100000000001E-2</v>
      </c>
      <c r="V7964">
        <v>-2.8463309999999999E-2</v>
      </c>
      <c r="W7964">
        <v>-8.9140010000000006E-2</v>
      </c>
      <c r="X7964">
        <v>0.99561230000000001</v>
      </c>
      <c r="Y7964">
        <v>-1.302506E-2</v>
      </c>
      <c r="Z7964">
        <v>4.30173E-4</v>
      </c>
      <c r="AA7964">
        <v>0.99991509999999995</v>
      </c>
      <c r="AB7964">
        <v>27</v>
      </c>
      <c r="AC7964">
        <v>23.1264</v>
      </c>
      <c r="AD7964">
        <v>-1.1214256706771999</v>
      </c>
      <c r="AE7964">
        <v>0.29046999999999901</v>
      </c>
      <c r="AF7964">
        <v>-0.30247514126445801</v>
      </c>
      <c r="AG7964">
        <v>-1.1214256706771999</v>
      </c>
      <c r="AH7964">
        <v>23.071994055039301</v>
      </c>
      <c r="AI7964">
        <v>92.782460951171203</v>
      </c>
      <c r="AJ7964">
        <v>90.751107865895804</v>
      </c>
      <c r="AK7964">
        <v>23.101212011963899</v>
      </c>
      <c r="AL7964">
        <v>95.1141345576698</v>
      </c>
      <c r="AM7964">
        <v>91.6375686107354</v>
      </c>
      <c r="AN7964">
        <v>0.99999997665512297</v>
      </c>
    </row>
    <row r="7965" spans="1:40" x14ac:dyDescent="0.25">
      <c r="A7965" t="str">
        <f>"20190303154335220"</f>
        <v>20190303154335220</v>
      </c>
      <c r="B7965" t="str">
        <f>"1551599015217984"</f>
        <v>1551599015217984</v>
      </c>
      <c r="C7965" t="s">
        <v>40</v>
      </c>
      <c r="D7965">
        <v>5.4836720000000003</v>
      </c>
      <c r="E7965">
        <v>0.50649290000000002</v>
      </c>
      <c r="F7965" t="s">
        <v>70</v>
      </c>
      <c r="G7965">
        <v>-212.93960000000001</v>
      </c>
      <c r="H7965" s="1">
        <v>-7.481437E-7</v>
      </c>
      <c r="I7965">
        <v>-62.330579999999998</v>
      </c>
      <c r="J7965">
        <v>-235.7833</v>
      </c>
      <c r="K7965">
        <v>1.121413</v>
      </c>
      <c r="L7965">
        <v>-62.6096199999999</v>
      </c>
      <c r="M7965">
        <v>0.99988679999999996</v>
      </c>
      <c r="N7965">
        <v>-1.504579E-2</v>
      </c>
      <c r="O7965">
        <v>-3.3370029999999997E-4</v>
      </c>
      <c r="P7965">
        <v>0.99413700000000005</v>
      </c>
      <c r="Q7965">
        <v>-0.10445790000000001</v>
      </c>
      <c r="R7965">
        <v>2.7937719999999999E-2</v>
      </c>
      <c r="S7965">
        <v>3.001236</v>
      </c>
      <c r="T7965">
        <v>-0.14663389999999901</v>
      </c>
      <c r="U7965">
        <v>3.649902E-2</v>
      </c>
      <c r="V7965">
        <v>-2.8190340000000001E-2</v>
      </c>
      <c r="W7965">
        <v>-8.9513739999999994E-2</v>
      </c>
      <c r="X7965">
        <v>0.99558659999999999</v>
      </c>
      <c r="Y7965">
        <v>-1.247449E-2</v>
      </c>
      <c r="Z7965">
        <v>4.097463E-4</v>
      </c>
      <c r="AA7965">
        <v>0.99992210000000004</v>
      </c>
      <c r="AB7965">
        <v>27</v>
      </c>
      <c r="AC7965">
        <v>22.843699999999899</v>
      </c>
      <c r="AD7965">
        <v>-1.1214137481436901</v>
      </c>
      <c r="AE7965">
        <v>0.27903999999998702</v>
      </c>
      <c r="AF7965">
        <v>-0.28597472917343603</v>
      </c>
      <c r="AG7965">
        <v>-1.1214137481436901</v>
      </c>
      <c r="AH7965">
        <v>22.788695338798998</v>
      </c>
      <c r="AI7965">
        <v>92.816986208767801</v>
      </c>
      <c r="AJ7965">
        <v>90.718965468346596</v>
      </c>
      <c r="AK7965">
        <v>22.818062704464001</v>
      </c>
      <c r="AL7965">
        <v>95.135633321584393</v>
      </c>
      <c r="AM7965">
        <v>91.621914206318095</v>
      </c>
      <c r="AN7965">
        <v>1.0000000415088299</v>
      </c>
    </row>
    <row r="7966" spans="1:40" x14ac:dyDescent="0.25">
      <c r="A7966" t="str">
        <f>"20190303154335230"</f>
        <v>20190303154335230</v>
      </c>
      <c r="B7966" t="str">
        <f>"1551599015217984"</f>
        <v>1551599015217984</v>
      </c>
      <c r="C7966" t="s">
        <v>40</v>
      </c>
      <c r="D7966">
        <v>5.4836720000000003</v>
      </c>
      <c r="E7966">
        <v>0.50649290000000002</v>
      </c>
      <c r="F7966" t="s">
        <v>70</v>
      </c>
      <c r="G7966">
        <v>-213.0804</v>
      </c>
      <c r="H7966" s="1">
        <v>-8.1052359999999996E-7</v>
      </c>
      <c r="I7966">
        <v>-62.338070000000002</v>
      </c>
      <c r="J7966">
        <v>-235.65860000000001</v>
      </c>
      <c r="K7966">
        <v>1.12141</v>
      </c>
      <c r="L7966">
        <v>-62.609380000000002</v>
      </c>
      <c r="M7966">
        <v>0.99988690000000002</v>
      </c>
      <c r="N7966">
        <v>-1.504343E-2</v>
      </c>
      <c r="O7966" s="1">
        <v>-8.7689649999999998E-5</v>
      </c>
      <c r="P7966">
        <v>0.99414440000000004</v>
      </c>
      <c r="Q7966">
        <v>-0.10444340000000001</v>
      </c>
      <c r="R7966">
        <v>2.7723459999999998E-2</v>
      </c>
      <c r="S7966">
        <v>3.0011139999999998</v>
      </c>
      <c r="T7966">
        <v>-0.14824010000000001</v>
      </c>
      <c r="U7966">
        <v>3.5888669999999998E-2</v>
      </c>
      <c r="V7966">
        <v>-2.7731769999999999E-2</v>
      </c>
      <c r="W7966">
        <v>-8.9500780000000002E-2</v>
      </c>
      <c r="X7966">
        <v>0.99560059999999995</v>
      </c>
      <c r="Y7966">
        <v>-1.202611E-2</v>
      </c>
      <c r="Z7966">
        <v>3.9037060000000001E-4</v>
      </c>
      <c r="AA7966">
        <v>0.99992760000000003</v>
      </c>
      <c r="AB7966">
        <v>26</v>
      </c>
      <c r="AC7966">
        <v>22.578199999999999</v>
      </c>
      <c r="AD7966">
        <v>-1.1214108105236</v>
      </c>
      <c r="AE7966">
        <v>0.27131000000000599</v>
      </c>
      <c r="AF7966">
        <v>-0.27261767498935002</v>
      </c>
      <c r="AG7966">
        <v>-1.1214108105236</v>
      </c>
      <c r="AH7966">
        <v>22.522623171388702</v>
      </c>
      <c r="AI7966">
        <v>92.850218410893405</v>
      </c>
      <c r="AJ7966">
        <v>90.693484028027797</v>
      </c>
      <c r="AK7966">
        <v>22.552171450285002</v>
      </c>
      <c r="AL7966">
        <v>95.134888001355094</v>
      </c>
      <c r="AM7966">
        <v>91.595521983816198</v>
      </c>
      <c r="AN7966">
        <v>0.99999999770415005</v>
      </c>
    </row>
    <row r="7967" spans="1:40" x14ac:dyDescent="0.25">
      <c r="A7967" t="str">
        <f>"20190303154335242"</f>
        <v>20190303154335242</v>
      </c>
      <c r="B7967" t="str">
        <f>"1551599015238478"</f>
        <v>1551599015238478</v>
      </c>
      <c r="C7967" t="s">
        <v>40</v>
      </c>
      <c r="D7967">
        <v>5.5035489999999996</v>
      </c>
      <c r="E7967">
        <v>0.50662600000000002</v>
      </c>
      <c r="F7967" t="s">
        <v>70</v>
      </c>
      <c r="G7967">
        <v>-212.94749999999999</v>
      </c>
      <c r="H7967" s="1">
        <v>-7.5458599999999998E-7</v>
      </c>
      <c r="I7967">
        <v>-62.342120000000001</v>
      </c>
      <c r="J7967">
        <v>-235.53020000000001</v>
      </c>
      <c r="K7967">
        <v>1.121408</v>
      </c>
      <c r="L7967">
        <v>-62.609099999999998</v>
      </c>
      <c r="M7967">
        <v>0.99988690000000002</v>
      </c>
      <c r="N7967">
        <v>-1.5040960000000001E-2</v>
      </c>
      <c r="O7967">
        <v>1.636141E-4</v>
      </c>
      <c r="P7967">
        <v>0.99416139999999997</v>
      </c>
      <c r="Q7967">
        <v>-0.10433339999999899</v>
      </c>
      <c r="R7967">
        <v>2.7526189999999999E-2</v>
      </c>
      <c r="S7967">
        <v>3.0011290000000002</v>
      </c>
      <c r="T7967">
        <v>-0.14818700000000001</v>
      </c>
      <c r="U7967">
        <v>3.5308840000000001E-2</v>
      </c>
      <c r="V7967">
        <v>-2.7285299999999998E-2</v>
      </c>
      <c r="W7967">
        <v>-8.9392219999999994E-2</v>
      </c>
      <c r="X7967">
        <v>0.99562269999999997</v>
      </c>
      <c r="Y7967">
        <v>-1.1582429999999999E-2</v>
      </c>
      <c r="Z7967">
        <v>3.6733849999999999E-4</v>
      </c>
      <c r="AA7967">
        <v>0.99993279999999995</v>
      </c>
      <c r="AB7967">
        <v>26</v>
      </c>
      <c r="AC7967">
        <v>22.582699999999999</v>
      </c>
      <c r="AD7967">
        <v>-1.1214087545860001</v>
      </c>
      <c r="AE7967">
        <v>0.26698000000000299</v>
      </c>
      <c r="AF7967">
        <v>-0.26263718284723903</v>
      </c>
      <c r="AG7967">
        <v>-1.1214087545860001</v>
      </c>
      <c r="AH7967">
        <v>22.527201233058999</v>
      </c>
      <c r="AI7967">
        <v>92.849649974672005</v>
      </c>
      <c r="AJ7967">
        <v>90.667962265821302</v>
      </c>
      <c r="AK7967">
        <v>22.556624997534801</v>
      </c>
      <c r="AL7967">
        <v>95.128642882571398</v>
      </c>
      <c r="AM7967">
        <v>91.569812871471996</v>
      </c>
      <c r="AN7967">
        <v>1.00000000867395</v>
      </c>
    </row>
    <row r="7968" spans="1:40" x14ac:dyDescent="0.25">
      <c r="A7968" t="str">
        <f>"20190303154335253"</f>
        <v>20190303154335253</v>
      </c>
      <c r="B7968" t="str">
        <f>"1551599015248239"</f>
        <v>1551599015248239</v>
      </c>
      <c r="C7968" t="s">
        <v>40</v>
      </c>
      <c r="D7968">
        <v>5.4992789999999996</v>
      </c>
      <c r="E7968">
        <v>0.5066794</v>
      </c>
      <c r="F7968" t="s">
        <v>70</v>
      </c>
      <c r="G7968">
        <v>-212.9109</v>
      </c>
      <c r="H7968" s="1">
        <v>-7.4243779999999998E-7</v>
      </c>
      <c r="I7968">
        <v>-62.355339999999998</v>
      </c>
      <c r="J7968">
        <v>-235.39599999999999</v>
      </c>
      <c r="K7968">
        <v>1.121407</v>
      </c>
      <c r="L7968">
        <v>-62.608829999999998</v>
      </c>
      <c r="M7968">
        <v>0.99988690000000002</v>
      </c>
      <c r="N7968">
        <v>-1.5038340000000001E-2</v>
      </c>
      <c r="O7968">
        <v>4.2432430000000001E-4</v>
      </c>
      <c r="P7968">
        <v>0.99416749999999998</v>
      </c>
      <c r="Q7968">
        <v>-0.1042136</v>
      </c>
      <c r="R7968">
        <v>2.7764919999999998E-2</v>
      </c>
      <c r="S7968">
        <v>3.0010829999999999</v>
      </c>
      <c r="T7968">
        <v>-0.14878620000000001</v>
      </c>
      <c r="U7968">
        <v>3.3660889999999999E-2</v>
      </c>
      <c r="V7968">
        <v>-2.726613E-2</v>
      </c>
      <c r="W7968">
        <v>-8.9274560000000003E-2</v>
      </c>
      <c r="X7968">
        <v>0.99563380000000001</v>
      </c>
      <c r="Y7968">
        <v>-1.0774199999999999E-2</v>
      </c>
      <c r="Z7968">
        <v>3.3334670000000001E-4</v>
      </c>
      <c r="AA7968">
        <v>0.99994190000000005</v>
      </c>
      <c r="AB7968">
        <v>26</v>
      </c>
      <c r="AC7968">
        <v>22.4850999999999</v>
      </c>
      <c r="AD7968">
        <v>-1.1214077424377999</v>
      </c>
      <c r="AE7968">
        <v>0.25348999999999899</v>
      </c>
      <c r="AF7968">
        <v>-0.24334272213654701</v>
      </c>
      <c r="AG7968">
        <v>-1.1214077424377999</v>
      </c>
      <c r="AH7968">
        <v>22.429422743418701</v>
      </c>
      <c r="AI7968">
        <v>92.862075531157402</v>
      </c>
      <c r="AJ7968">
        <v>90.6215926334919</v>
      </c>
      <c r="AK7968">
        <v>22.458757214240599</v>
      </c>
      <c r="AL7968">
        <v>95.121874308775205</v>
      </c>
      <c r="AM7968">
        <v>91.568693029425802</v>
      </c>
      <c r="AN7968">
        <v>1.0000000263054001</v>
      </c>
    </row>
    <row r="7969" spans="1:40" x14ac:dyDescent="0.25">
      <c r="A7969" t="str">
        <f>"20190303154335264"</f>
        <v>20190303154335264</v>
      </c>
      <c r="B7969" t="str">
        <f>"1551599015257998"</f>
        <v>1551599015257998</v>
      </c>
      <c r="C7969" t="s">
        <v>40</v>
      </c>
      <c r="D7969">
        <v>5.4911029999999998</v>
      </c>
      <c r="E7969">
        <v>0.50665899999999997</v>
      </c>
      <c r="F7969" t="s">
        <v>70</v>
      </c>
      <c r="G7969">
        <v>-212.78210000000001</v>
      </c>
      <c r="H7969" s="1">
        <v>-6.8659869999999996E-7</v>
      </c>
      <c r="I7969">
        <v>-62.353279999999998</v>
      </c>
      <c r="J7969">
        <v>-235.2621</v>
      </c>
      <c r="K7969">
        <v>1.1214040000000001</v>
      </c>
      <c r="L7969">
        <v>-62.608490000000003</v>
      </c>
      <c r="M7969">
        <v>0.99988679999999996</v>
      </c>
      <c r="N7969">
        <v>-1.5035659999999999E-2</v>
      </c>
      <c r="O7969">
        <v>6.8043149999999996E-4</v>
      </c>
      <c r="P7969">
        <v>0.99415819999999999</v>
      </c>
      <c r="Q7969">
        <v>-0.1042532</v>
      </c>
      <c r="R7969">
        <v>2.7944239999999999E-2</v>
      </c>
      <c r="S7969">
        <v>3.0010379999999999</v>
      </c>
      <c r="T7969">
        <v>-0.1488187</v>
      </c>
      <c r="U7969">
        <v>3.3905030000000003E-2</v>
      </c>
      <c r="V7969">
        <v>-2.7191489999999999E-2</v>
      </c>
      <c r="W7969">
        <v>-8.9316519999999996E-2</v>
      </c>
      <c r="X7969">
        <v>0.99563210000000002</v>
      </c>
      <c r="Y7969">
        <v>-1.060001E-2</v>
      </c>
      <c r="Z7969">
        <v>3.1891899999999997E-4</v>
      </c>
      <c r="AA7969">
        <v>0.99994380000000005</v>
      </c>
      <c r="AB7969">
        <v>26</v>
      </c>
      <c r="AC7969">
        <v>22.479999999999901</v>
      </c>
      <c r="AD7969">
        <v>-1.1214046865987</v>
      </c>
      <c r="AE7969">
        <v>0.25520999999999799</v>
      </c>
      <c r="AF7969">
        <v>-0.239316657434758</v>
      </c>
      <c r="AG7969">
        <v>-1.1214046865987</v>
      </c>
      <c r="AH7969">
        <v>22.424373315511101</v>
      </c>
      <c r="AI7969">
        <v>92.862716587403597</v>
      </c>
      <c r="AJ7969">
        <v>90.611446915834193</v>
      </c>
      <c r="AK7969">
        <v>22.453670958822201</v>
      </c>
      <c r="AL7969">
        <v>95.124287969669794</v>
      </c>
      <c r="AM7969">
        <v>91.564403598248504</v>
      </c>
      <c r="AN7969">
        <v>1.0000000482118601</v>
      </c>
    </row>
    <row r="7970" spans="1:40" x14ac:dyDescent="0.25">
      <c r="A7970" t="str">
        <f>"20190303154335275"</f>
        <v>20190303154335275</v>
      </c>
      <c r="B7970" t="str">
        <f>"1551599015267758"</f>
        <v>1551599015267758</v>
      </c>
      <c r="C7970" t="s">
        <v>40</v>
      </c>
      <c r="D7970">
        <v>5.5621280000000004</v>
      </c>
      <c r="E7970">
        <v>0.50665899999999997</v>
      </c>
      <c r="F7970" t="s">
        <v>70</v>
      </c>
      <c r="G7970">
        <v>-212.79859999999999</v>
      </c>
      <c r="H7970" s="1">
        <v>-6.925715E-7</v>
      </c>
      <c r="I7970">
        <v>-62.349159999999998</v>
      </c>
      <c r="J7970">
        <v>-235.1336</v>
      </c>
      <c r="K7970">
        <v>1.121399</v>
      </c>
      <c r="L7970">
        <v>-62.6081199999999</v>
      </c>
      <c r="M7970">
        <v>0.99988650000000001</v>
      </c>
      <c r="N7970">
        <v>-1.5033060000000001E-2</v>
      </c>
      <c r="O7970">
        <v>9.2533220000000002E-4</v>
      </c>
      <c r="P7970">
        <v>0.99423669999999997</v>
      </c>
      <c r="Q7970">
        <v>-0.1034872</v>
      </c>
      <c r="R7970">
        <v>2.7996E-2</v>
      </c>
      <c r="S7970">
        <v>3.0009610000000002</v>
      </c>
      <c r="T7970">
        <v>-0.14981079999999999</v>
      </c>
      <c r="U7970">
        <v>3.463745E-2</v>
      </c>
      <c r="V7970">
        <v>-2.7001069999999999E-2</v>
      </c>
      <c r="W7970">
        <v>-8.8551450000000004E-2</v>
      </c>
      <c r="X7970">
        <v>0.99570550000000002</v>
      </c>
      <c r="Y7970">
        <v>-1.059936E-2</v>
      </c>
      <c r="Z7970">
        <v>3.1187530000000003E-4</v>
      </c>
      <c r="AA7970">
        <v>0.99994380000000005</v>
      </c>
      <c r="AB7970">
        <v>26</v>
      </c>
      <c r="AC7970">
        <v>22.335000000000001</v>
      </c>
      <c r="AD7970">
        <v>-1.1213996925715</v>
      </c>
      <c r="AE7970">
        <v>0.25895999999999397</v>
      </c>
      <c r="AF7970">
        <v>-0.23769115138028801</v>
      </c>
      <c r="AG7970">
        <v>-1.1213996925715</v>
      </c>
      <c r="AH7970">
        <v>22.2790751772528</v>
      </c>
      <c r="AI7970">
        <v>92.881342388528296</v>
      </c>
      <c r="AJ7970">
        <v>90.611254417858106</v>
      </c>
      <c r="AK7970">
        <v>22.308546010612702</v>
      </c>
      <c r="AL7970">
        <v>95.080278903961599</v>
      </c>
      <c r="AM7970">
        <v>91.553339123063196</v>
      </c>
      <c r="AN7970">
        <v>0.99999992990424602</v>
      </c>
    </row>
    <row r="7971" spans="1:40" x14ac:dyDescent="0.25">
      <c r="A7971" t="str">
        <f>"20190303154335287"</f>
        <v>20190303154335287</v>
      </c>
      <c r="B7971" t="str">
        <f>"1551599015278495"</f>
        <v>1551599015278495</v>
      </c>
      <c r="C7971" t="s">
        <v>40</v>
      </c>
      <c r="D7971">
        <v>5.5750609999999998</v>
      </c>
      <c r="E7971">
        <v>0.48546899999999998</v>
      </c>
      <c r="F7971" t="s">
        <v>70</v>
      </c>
      <c r="G7971">
        <v>-212.3158</v>
      </c>
      <c r="H7971" s="1">
        <v>-4.839377E-7</v>
      </c>
      <c r="I7971">
        <v>-62.343319999999999</v>
      </c>
      <c r="J7971">
        <v>-234.99639999999999</v>
      </c>
      <c r="K7971">
        <v>1.121399</v>
      </c>
      <c r="L7971">
        <v>-62.607729999999997</v>
      </c>
      <c r="M7971">
        <v>0.99988639999999995</v>
      </c>
      <c r="N7971">
        <v>-1.5030200000000001E-2</v>
      </c>
      <c r="O7971">
        <v>1.1801610000000001E-3</v>
      </c>
      <c r="P7971">
        <v>0.99424860000000004</v>
      </c>
      <c r="Q7971">
        <v>-0.1033458</v>
      </c>
      <c r="R7971">
        <v>2.8100759999999999E-2</v>
      </c>
      <c r="S7971">
        <v>3.0010680000000001</v>
      </c>
      <c r="T7971">
        <v>-0.14749000000000001</v>
      </c>
      <c r="U7971">
        <v>3.482056E-2</v>
      </c>
      <c r="V7971">
        <v>-2.6854220000000002E-2</v>
      </c>
      <c r="W7971">
        <v>-8.8412180000000007E-2</v>
      </c>
      <c r="X7971">
        <v>0.99572190000000005</v>
      </c>
      <c r="Y7971">
        <v>-1.0406E-2</v>
      </c>
      <c r="Z7971">
        <v>2.9358189999999999E-4</v>
      </c>
      <c r="AA7971">
        <v>0.9999458</v>
      </c>
      <c r="AB7971">
        <v>26</v>
      </c>
      <c r="AC7971">
        <v>22.680599999999998</v>
      </c>
      <c r="AD7971">
        <v>-1.1213994839376999</v>
      </c>
      <c r="AE7971">
        <v>0.26441000000000497</v>
      </c>
      <c r="AF7971">
        <v>-0.23706058918718001</v>
      </c>
      <c r="AG7971">
        <v>-1.1213994839376999</v>
      </c>
      <c r="AH7971">
        <v>22.625592789359199</v>
      </c>
      <c r="AI7971">
        <v>92.837291648872494</v>
      </c>
      <c r="AJ7971">
        <v>90.600296946118306</v>
      </c>
      <c r="AK7971">
        <v>22.654606233510702</v>
      </c>
      <c r="AL7971">
        <v>95.072267632273295</v>
      </c>
      <c r="AM7971">
        <v>91.544869691432595</v>
      </c>
      <c r="AN7971">
        <v>0.99999998242188504</v>
      </c>
    </row>
    <row r="7972" spans="1:40" x14ac:dyDescent="0.25">
      <c r="A7972" t="str">
        <f>"20190303154335298"</f>
        <v>20190303154335298</v>
      </c>
      <c r="B7972" t="str">
        <f>"1551599015288255"</f>
        <v>1551599015288255</v>
      </c>
      <c r="C7972" t="s">
        <v>40</v>
      </c>
      <c r="D7972">
        <v>5.572362</v>
      </c>
      <c r="E7972">
        <v>0.48430479999999998</v>
      </c>
      <c r="F7972" t="s">
        <v>66</v>
      </c>
      <c r="G7972">
        <v>-222.03890000000001</v>
      </c>
      <c r="H7972" s="1">
        <v>-2.9286409999999999E-7</v>
      </c>
      <c r="I7972">
        <v>-61.733359999999998</v>
      </c>
      <c r="J7972">
        <v>-234.86340000000001</v>
      </c>
      <c r="K7972">
        <v>1.1213949999999999</v>
      </c>
      <c r="L7972">
        <v>-62.607300000000002</v>
      </c>
      <c r="M7972">
        <v>0.9998861</v>
      </c>
      <c r="N7972">
        <v>-1.50274E-2</v>
      </c>
      <c r="O7972">
        <v>1.424855E-3</v>
      </c>
      <c r="P7972">
        <v>0.99425200000000002</v>
      </c>
      <c r="Q7972">
        <v>-0.1031508</v>
      </c>
      <c r="R7972">
        <v>2.8687239999999999E-2</v>
      </c>
      <c r="S7972">
        <v>2.9848180000000002</v>
      </c>
      <c r="T7972">
        <v>-0.25832050000000001</v>
      </c>
      <c r="U7972">
        <v>0.20141600000000001</v>
      </c>
      <c r="V7972">
        <v>-2.719891E-2</v>
      </c>
      <c r="W7972">
        <v>-8.8219720000000001E-2</v>
      </c>
      <c r="X7972">
        <v>0.99572959999999999</v>
      </c>
      <c r="Y7972">
        <v>-6.5621929999999995E-2</v>
      </c>
      <c r="Z7972">
        <v>3.224261E-3</v>
      </c>
      <c r="AA7972">
        <v>0.99783929999999998</v>
      </c>
      <c r="AB7972">
        <v>26</v>
      </c>
      <c r="AC7972">
        <v>12.8245</v>
      </c>
      <c r="AD7972">
        <v>-1.1213952928641</v>
      </c>
      <c r="AE7972">
        <v>0.87394000000000405</v>
      </c>
      <c r="AF7972">
        <v>-0.84920098544686196</v>
      </c>
      <c r="AG7972">
        <v>-1.1213952928641</v>
      </c>
      <c r="AH7972">
        <v>12.7288568859477</v>
      </c>
      <c r="AI7972">
        <v>95.023573333837305</v>
      </c>
      <c r="AJ7972">
        <v>93.816810798182104</v>
      </c>
      <c r="AK7972">
        <v>12.8063448079255</v>
      </c>
      <c r="AL7972">
        <v>95.061197302005894</v>
      </c>
      <c r="AM7972">
        <v>91.564677130572605</v>
      </c>
      <c r="AN7972">
        <v>0.99999996800911195</v>
      </c>
    </row>
    <row r="7973" spans="1:40" x14ac:dyDescent="0.25">
      <c r="A7973" t="str">
        <f>"20190303154335310"</f>
        <v>20190303154335310</v>
      </c>
      <c r="B7973" t="str">
        <f>"1551599015298015"</f>
        <v>1551599015298015</v>
      </c>
      <c r="C7973" t="s">
        <v>40</v>
      </c>
      <c r="D7973">
        <v>5.5830229999999998</v>
      </c>
      <c r="E7973">
        <v>0.4828906</v>
      </c>
      <c r="F7973" t="s">
        <v>66</v>
      </c>
      <c r="G7973">
        <v>-220.90629999999999</v>
      </c>
      <c r="H7973" s="1">
        <v>2.199626E-7</v>
      </c>
      <c r="I7973">
        <v>-61.612319999999997</v>
      </c>
      <c r="J7973">
        <v>-234.71430000000001</v>
      </c>
      <c r="K7973">
        <v>1.121389</v>
      </c>
      <c r="L7973">
        <v>-62.606780000000001</v>
      </c>
      <c r="M7973">
        <v>0.99988589999999999</v>
      </c>
      <c r="N7973">
        <v>-1.502423E-2</v>
      </c>
      <c r="O7973">
        <v>1.6919280000000001E-3</v>
      </c>
      <c r="P7973">
        <v>0.99426400000000004</v>
      </c>
      <c r="Q7973">
        <v>-0.10294780000000001</v>
      </c>
      <c r="R7973">
        <v>2.900198E-2</v>
      </c>
      <c r="S7973">
        <v>2.9863430000000002</v>
      </c>
      <c r="T7973">
        <v>-0.2399387</v>
      </c>
      <c r="U7973">
        <v>0.21289060000000001</v>
      </c>
      <c r="V7973">
        <v>-2.724973E-2</v>
      </c>
      <c r="W7973">
        <v>-8.8019040000000007E-2</v>
      </c>
      <c r="X7973">
        <v>0.99574600000000002</v>
      </c>
      <c r="Y7973">
        <v>-6.9159750000000006E-2</v>
      </c>
      <c r="Z7973">
        <v>3.181386E-3</v>
      </c>
      <c r="AA7973">
        <v>0.9976005</v>
      </c>
      <c r="AB7973">
        <v>26</v>
      </c>
      <c r="AC7973">
        <v>13.808</v>
      </c>
      <c r="AD7973">
        <v>-1.1213887800373901</v>
      </c>
      <c r="AE7973">
        <v>0.99446000000001</v>
      </c>
      <c r="AF7973">
        <v>-0.964763493565027</v>
      </c>
      <c r="AG7973">
        <v>-1.1213887800373901</v>
      </c>
      <c r="AH7973">
        <v>13.7196413678678</v>
      </c>
      <c r="AI7973">
        <v>94.661281556084205</v>
      </c>
      <c r="AJ7973">
        <v>94.022410768811696</v>
      </c>
      <c r="AK7973">
        <v>13.7991608678724</v>
      </c>
      <c r="AL7973">
        <v>95.049654130234401</v>
      </c>
      <c r="AM7973">
        <v>91.567573399915304</v>
      </c>
      <c r="AN7973">
        <v>0.99999999785179705</v>
      </c>
    </row>
    <row r="7974" spans="1:40" x14ac:dyDescent="0.25">
      <c r="A7974" t="str">
        <f>"20190303154335321"</f>
        <v>20190303154335321</v>
      </c>
      <c r="B7974" t="str">
        <f>"1551599015318042"</f>
        <v>1551599015318042</v>
      </c>
      <c r="C7974" t="s">
        <v>40</v>
      </c>
      <c r="D7974">
        <v>5.5967370000000001</v>
      </c>
      <c r="E7974">
        <v>0.48150359999999998</v>
      </c>
      <c r="F7974" t="s">
        <v>66</v>
      </c>
      <c r="G7974">
        <v>-221.14109999999999</v>
      </c>
      <c r="H7974" s="1">
        <v>1.2549860000000001E-7</v>
      </c>
      <c r="I7974">
        <v>-61.584000000000003</v>
      </c>
      <c r="J7974">
        <v>-234.59479999999999</v>
      </c>
      <c r="K7974">
        <v>1.121389</v>
      </c>
      <c r="L7974">
        <v>-62.606349999999999</v>
      </c>
      <c r="M7974">
        <v>0.99988549999999998</v>
      </c>
      <c r="N7974">
        <v>-1.5021670000000001E-2</v>
      </c>
      <c r="O7974">
        <v>1.900964E-3</v>
      </c>
      <c r="P7974">
        <v>0.9942744</v>
      </c>
      <c r="Q7974">
        <v>-0.102739</v>
      </c>
      <c r="R7974">
        <v>2.9382419999999999E-2</v>
      </c>
      <c r="S7974">
        <v>2.9851990000000002</v>
      </c>
      <c r="T7974">
        <v>-0.24663199999999999</v>
      </c>
      <c r="U7974">
        <v>0.22494510000000001</v>
      </c>
      <c r="V7974">
        <v>-2.7424009999999999E-2</v>
      </c>
      <c r="W7974">
        <v>-8.7812249999999994E-2</v>
      </c>
      <c r="X7974">
        <v>0.99575950000000002</v>
      </c>
      <c r="Y7974">
        <v>-7.295633E-2</v>
      </c>
      <c r="Z7974">
        <v>3.4261809999999999E-3</v>
      </c>
      <c r="AA7974">
        <v>0.99732920000000003</v>
      </c>
      <c r="AB7974">
        <v>26</v>
      </c>
      <c r="AC7974">
        <v>13.4536999999999</v>
      </c>
      <c r="AD7974">
        <v>-1.12138887450139</v>
      </c>
      <c r="AE7974">
        <v>1.0223500000000001</v>
      </c>
      <c r="AF7974">
        <v>-0.98993219604312899</v>
      </c>
      <c r="AG7974">
        <v>-1.12138887450139</v>
      </c>
      <c r="AH7974">
        <v>13.3633106957779</v>
      </c>
      <c r="AI7974">
        <v>94.783719099688994</v>
      </c>
      <c r="AJ7974">
        <v>94.236639261177004</v>
      </c>
      <c r="AK7974">
        <v>13.446767325737101</v>
      </c>
      <c r="AL7974">
        <v>95.037759744851201</v>
      </c>
      <c r="AM7974">
        <v>91.577572638191995</v>
      </c>
      <c r="AN7974">
        <v>1.0000000247073899</v>
      </c>
    </row>
    <row r="7975" spans="1:40" x14ac:dyDescent="0.25">
      <c r="A7975" t="str">
        <f>"20190303154335334"</f>
        <v>20190303154335334</v>
      </c>
      <c r="B7975" t="str">
        <f>"1551599015327803"</f>
        <v>1551599015327803</v>
      </c>
      <c r="C7975" t="s">
        <v>40</v>
      </c>
      <c r="D7975">
        <v>5.5605079999999996</v>
      </c>
      <c r="E7975">
        <v>0.48088059999999999</v>
      </c>
      <c r="F7975" t="s">
        <v>66</v>
      </c>
      <c r="G7975">
        <v>-221.3477</v>
      </c>
      <c r="H7975" s="1">
        <v>4.3535409999999997E-8</v>
      </c>
      <c r="I7975">
        <v>-61.554139999999997</v>
      </c>
      <c r="J7975">
        <v>-234.4402</v>
      </c>
      <c r="K7975">
        <v>1.121383</v>
      </c>
      <c r="L7975">
        <v>-62.6057699999999</v>
      </c>
      <c r="M7975">
        <v>0.99988489999999997</v>
      </c>
      <c r="N7975">
        <v>-1.501834E-2</v>
      </c>
      <c r="O7975">
        <v>2.1664000000000002E-3</v>
      </c>
      <c r="P7975">
        <v>0.9942858</v>
      </c>
      <c r="Q7975">
        <v>-0.10256759999999999</v>
      </c>
      <c r="R7975">
        <v>2.9593270000000001E-2</v>
      </c>
      <c r="S7975">
        <v>2.9841609999999998</v>
      </c>
      <c r="T7975">
        <v>-0.25261410000000001</v>
      </c>
      <c r="U7975">
        <v>0.23702999999999999</v>
      </c>
      <c r="V7975">
        <v>-2.7373140000000001E-2</v>
      </c>
      <c r="W7975">
        <v>-8.7643180000000001E-2</v>
      </c>
      <c r="X7975">
        <v>0.99577579999999999</v>
      </c>
      <c r="Y7975">
        <v>-7.6703759999999996E-2</v>
      </c>
      <c r="Z7975">
        <v>3.6634789999999999E-3</v>
      </c>
      <c r="AA7975">
        <v>0.99704720000000002</v>
      </c>
      <c r="AB7975">
        <v>26</v>
      </c>
      <c r="AC7975">
        <v>13.092499999999999</v>
      </c>
      <c r="AD7975">
        <v>-1.1213829564645901</v>
      </c>
      <c r="AE7975">
        <v>1.0516299999999801</v>
      </c>
      <c r="AF7975">
        <v>-1.0158561350228299</v>
      </c>
      <c r="AG7975">
        <v>-1.1213829564645901</v>
      </c>
      <c r="AH7975">
        <v>12.999990453111799</v>
      </c>
      <c r="AI7975">
        <v>94.915236250311395</v>
      </c>
      <c r="AJ7975">
        <v>94.468174845133703</v>
      </c>
      <c r="AK7975">
        <v>13.0877505784267</v>
      </c>
      <c r="AL7975">
        <v>95.028035228962494</v>
      </c>
      <c r="AM7975">
        <v>91.574622041436101</v>
      </c>
      <c r="AN7975">
        <v>1.0000000298298</v>
      </c>
    </row>
    <row r="7976" spans="1:40" x14ac:dyDescent="0.25">
      <c r="A7976" t="str">
        <f>"20190303154335348"</f>
        <v>20190303154335348</v>
      </c>
      <c r="B7976" t="str">
        <f>"1551599015338539"</f>
        <v>1551599015338539</v>
      </c>
      <c r="C7976" t="s">
        <v>40</v>
      </c>
      <c r="D7976">
        <v>5.5672980000000001</v>
      </c>
      <c r="E7976">
        <v>0.48054089999999999</v>
      </c>
      <c r="F7976" t="s">
        <v>66</v>
      </c>
      <c r="G7976">
        <v>-221.28389999999999</v>
      </c>
      <c r="H7976" s="1">
        <v>7.4941679999999895E-8</v>
      </c>
      <c r="I7976">
        <v>-61.536009999999997</v>
      </c>
      <c r="J7976">
        <v>-234.29169999999999</v>
      </c>
      <c r="K7976">
        <v>1.121375</v>
      </c>
      <c r="L7976">
        <v>-62.605159999999998</v>
      </c>
      <c r="M7976">
        <v>0.99988449999999995</v>
      </c>
      <c r="N7976">
        <v>-1.501508E-2</v>
      </c>
      <c r="O7976">
        <v>2.4090520000000001E-3</v>
      </c>
      <c r="P7976">
        <v>0.99431060000000004</v>
      </c>
      <c r="Q7976">
        <v>-0.1023133</v>
      </c>
      <c r="R7976">
        <v>2.9646530000000001E-2</v>
      </c>
      <c r="S7976">
        <v>2.9837799999999999</v>
      </c>
      <c r="T7976">
        <v>-0.2543224</v>
      </c>
      <c r="U7976">
        <v>0.24261469999999999</v>
      </c>
      <c r="V7976">
        <v>-2.7187610000000001E-2</v>
      </c>
      <c r="W7976">
        <v>-8.7390850000000006E-2</v>
      </c>
      <c r="X7976">
        <v>0.99580310000000005</v>
      </c>
      <c r="Y7976">
        <v>-7.8315750000000003E-2</v>
      </c>
      <c r="Z7976">
        <v>3.747766E-3</v>
      </c>
      <c r="AA7976">
        <v>0.99692150000000002</v>
      </c>
      <c r="AB7976">
        <v>26</v>
      </c>
      <c r="AC7976">
        <v>13.0078</v>
      </c>
      <c r="AD7976">
        <v>-1.12137492505832</v>
      </c>
      <c r="AE7976">
        <v>1.06915</v>
      </c>
      <c r="AF7976">
        <v>-1.0302020228441999</v>
      </c>
      <c r="AG7976">
        <v>-1.12137492505832</v>
      </c>
      <c r="AH7976">
        <v>12.915000551498499</v>
      </c>
      <c r="AI7976">
        <v>94.946759056041898</v>
      </c>
      <c r="AJ7976">
        <v>94.560705251925597</v>
      </c>
      <c r="AK7976">
        <v>13.0044622024761</v>
      </c>
      <c r="AL7976">
        <v>95.013521894946294</v>
      </c>
      <c r="AM7976">
        <v>91.563912012986407</v>
      </c>
      <c r="AN7976">
        <v>1.0000000703854099</v>
      </c>
    </row>
    <row r="7977" spans="1:40" x14ac:dyDescent="0.25">
      <c r="A7977" t="str">
        <f>"20190303154335360"</f>
        <v>20190303154335360</v>
      </c>
      <c r="B7977" t="str">
        <f>"1551599015348298"</f>
        <v>1551599015348298</v>
      </c>
      <c r="C7977" t="s">
        <v>40</v>
      </c>
      <c r="D7977">
        <v>5.5790240000000004</v>
      </c>
      <c r="E7977">
        <v>0.48018909999999998</v>
      </c>
      <c r="F7977" t="s">
        <v>66</v>
      </c>
      <c r="G7977">
        <v>-221.24610000000001</v>
      </c>
      <c r="H7977" s="1">
        <v>9.1986289999999901E-8</v>
      </c>
      <c r="I7977">
        <v>-61.53228</v>
      </c>
      <c r="J7977">
        <v>-234.14670000000001</v>
      </c>
      <c r="K7977">
        <v>1.121367</v>
      </c>
      <c r="L7977">
        <v>-62.604550000000003</v>
      </c>
      <c r="M7977">
        <v>0.99988390000000005</v>
      </c>
      <c r="N7977">
        <v>-1.501188E-2</v>
      </c>
      <c r="O7977">
        <v>2.6401929999999999E-3</v>
      </c>
      <c r="P7977">
        <v>0.99430160000000001</v>
      </c>
      <c r="Q7977">
        <v>-0.10238650000000001</v>
      </c>
      <c r="R7977">
        <v>2.969244E-2</v>
      </c>
      <c r="S7977">
        <v>2.983444</v>
      </c>
      <c r="T7977">
        <v>-0.25645040000000002</v>
      </c>
      <c r="U7977">
        <v>0.2453613</v>
      </c>
      <c r="V7977">
        <v>-2.7006039999999999E-2</v>
      </c>
      <c r="W7977">
        <v>-8.7466429999999998E-2</v>
      </c>
      <c r="X7977">
        <v>0.9958013</v>
      </c>
      <c r="Y7977">
        <v>-7.8998600000000002E-2</v>
      </c>
      <c r="Z7977">
        <v>3.7919820000000002E-3</v>
      </c>
      <c r="AA7977">
        <v>0.99686750000000002</v>
      </c>
      <c r="AB7977">
        <v>26</v>
      </c>
      <c r="AC7977">
        <v>12.900599999999899</v>
      </c>
      <c r="AD7977">
        <v>-1.1213669080137001</v>
      </c>
      <c r="AE7977">
        <v>1.0722699999999901</v>
      </c>
      <c r="AF7977">
        <v>-1.03046983483765</v>
      </c>
      <c r="AG7977">
        <v>-1.1213669080137001</v>
      </c>
      <c r="AH7977">
        <v>12.807282097007</v>
      </c>
      <c r="AI7977">
        <v>94.987847026351801</v>
      </c>
      <c r="AJ7977">
        <v>94.6000906057984</v>
      </c>
      <c r="AK7977">
        <v>12.897511641212599</v>
      </c>
      <c r="AL7977">
        <v>95.017869481488304</v>
      </c>
      <c r="AM7977">
        <v>91.553475509495101</v>
      </c>
      <c r="AN7977">
        <v>0.99999996582755701</v>
      </c>
    </row>
    <row r="7978" spans="1:40" x14ac:dyDescent="0.25">
      <c r="A7978" t="str">
        <f>"20190303154335373"</f>
        <v>20190303154335373</v>
      </c>
      <c r="B7978" t="str">
        <f>"1551599015367818"</f>
        <v>1551599015367818</v>
      </c>
      <c r="C7978" t="s">
        <v>40</v>
      </c>
      <c r="D7978">
        <v>5.6086650000000002</v>
      </c>
      <c r="E7978">
        <v>0.47966180000000003</v>
      </c>
      <c r="F7978" t="s">
        <v>66</v>
      </c>
      <c r="G7978">
        <v>-221.2123</v>
      </c>
      <c r="H7978" s="1">
        <v>1.073898E-7</v>
      </c>
      <c r="I7978">
        <v>-61.52814</v>
      </c>
      <c r="J7978">
        <v>-233.98859999999999</v>
      </c>
      <c r="K7978">
        <v>1.121356</v>
      </c>
      <c r="L7978">
        <v>-62.603879999999997</v>
      </c>
      <c r="M7978">
        <v>0.99988330000000003</v>
      </c>
      <c r="N7978">
        <v>-1.500835E-2</v>
      </c>
      <c r="O7978">
        <v>2.881074E-3</v>
      </c>
      <c r="P7978">
        <v>0.99432209999999999</v>
      </c>
      <c r="Q7978">
        <v>-0.1021483</v>
      </c>
      <c r="R7978">
        <v>2.982512E-2</v>
      </c>
      <c r="S7978">
        <v>2.9831539999999999</v>
      </c>
      <c r="T7978">
        <v>-0.258629</v>
      </c>
      <c r="U7978">
        <v>0.2482605</v>
      </c>
      <c r="V7978">
        <v>-2.6902140000000001E-2</v>
      </c>
      <c r="W7978">
        <v>-8.723032E-2</v>
      </c>
      <c r="X7978">
        <v>0.99582490000000001</v>
      </c>
      <c r="Y7978">
        <v>-7.9720769999999996E-2</v>
      </c>
      <c r="Z7978">
        <v>3.8382059999999998E-3</v>
      </c>
      <c r="AA7978">
        <v>0.99680979999999997</v>
      </c>
      <c r="AB7978">
        <v>26</v>
      </c>
      <c r="AC7978">
        <v>12.7762999999999</v>
      </c>
      <c r="AD7978">
        <v>-1.1213558926101901</v>
      </c>
      <c r="AE7978">
        <v>1.0757399999999999</v>
      </c>
      <c r="AF7978">
        <v>-1.0310354608019201</v>
      </c>
      <c r="AG7978">
        <v>-1.1213558926101901</v>
      </c>
      <c r="AH7978">
        <v>12.682338478024301</v>
      </c>
      <c r="AI7978">
        <v>95.036348338176694</v>
      </c>
      <c r="AJ7978">
        <v>94.647750916866002</v>
      </c>
      <c r="AK7978">
        <v>12.773495309839699</v>
      </c>
      <c r="AL7978">
        <v>95.004289083840106</v>
      </c>
      <c r="AM7978">
        <v>91.547465098045805</v>
      </c>
      <c r="AN7978">
        <v>1.00000004266194</v>
      </c>
    </row>
    <row r="7979" spans="1:40" x14ac:dyDescent="0.25">
      <c r="A7979" t="str">
        <f>"20190303154335389"</f>
        <v>20190303154335389</v>
      </c>
      <c r="B7979" t="str">
        <f>"1551599015378554"</f>
        <v>1551599015378554</v>
      </c>
      <c r="C7979" t="s">
        <v>40</v>
      </c>
      <c r="D7979">
        <v>5.6168380000000004</v>
      </c>
      <c r="E7979">
        <v>0.47938140000000001</v>
      </c>
      <c r="F7979" t="s">
        <v>66</v>
      </c>
      <c r="G7979">
        <v>-221.20740000000001</v>
      </c>
      <c r="H7979" s="1">
        <v>1.111958E-7</v>
      </c>
      <c r="I7979">
        <v>-61.520560000000003</v>
      </c>
      <c r="J7979">
        <v>-233.81379999999999</v>
      </c>
      <c r="K7979">
        <v>1.1213439999999999</v>
      </c>
      <c r="L7979">
        <v>-62.603090000000002</v>
      </c>
      <c r="M7979">
        <v>0.99988259999999995</v>
      </c>
      <c r="N7979">
        <v>-1.5004409999999999E-2</v>
      </c>
      <c r="O7979">
        <v>3.1317509999999999E-3</v>
      </c>
      <c r="P7979">
        <v>0.99434049999999996</v>
      </c>
      <c r="Q7979">
        <v>-0.1019804</v>
      </c>
      <c r="R7979">
        <v>2.9784290000000001E-2</v>
      </c>
      <c r="S7979">
        <v>2.9826809999999999</v>
      </c>
      <c r="T7979">
        <v>-0.26168350000000001</v>
      </c>
      <c r="U7979">
        <v>0.25280760000000002</v>
      </c>
      <c r="V7979">
        <v>-2.6615239999999998E-2</v>
      </c>
      <c r="W7979">
        <v>-8.7064879999999997E-2</v>
      </c>
      <c r="X7979">
        <v>0.99584700000000004</v>
      </c>
      <c r="Y7979">
        <v>-8.0980399999999994E-2</v>
      </c>
      <c r="Z7979">
        <v>3.9223679999999999E-3</v>
      </c>
      <c r="AA7979">
        <v>0.99670800000000004</v>
      </c>
      <c r="AB7979">
        <v>26</v>
      </c>
      <c r="AC7979">
        <v>12.606399999999899</v>
      </c>
      <c r="AD7979">
        <v>-1.1213438888042</v>
      </c>
      <c r="AE7979">
        <v>1.08253</v>
      </c>
      <c r="AF7979">
        <v>-1.0349116863357899</v>
      </c>
      <c r="AG7979">
        <v>-1.1213438888042</v>
      </c>
      <c r="AH7979">
        <v>12.511460608663601</v>
      </c>
      <c r="AI7979">
        <v>95.104130573210796</v>
      </c>
      <c r="AJ7979">
        <v>94.728575601666194</v>
      </c>
      <c r="AK7979">
        <v>12.6041699797176</v>
      </c>
      <c r="AL7979">
        <v>94.994774303597893</v>
      </c>
      <c r="AM7979">
        <v>91.530935971188498</v>
      </c>
      <c r="AN7979">
        <v>0.99999995586933499</v>
      </c>
    </row>
    <row r="7980" spans="1:40" x14ac:dyDescent="0.25">
      <c r="A7980" t="str">
        <f>"20190303154335401"</f>
        <v>20190303154335401</v>
      </c>
      <c r="B7980" t="str">
        <f>"1551599015398074"</f>
        <v>1551599015398074</v>
      </c>
      <c r="C7980" t="s">
        <v>40</v>
      </c>
      <c r="D7980">
        <v>5.5477299999999996</v>
      </c>
      <c r="E7980">
        <v>0.47940630000000001</v>
      </c>
      <c r="F7980" t="s">
        <v>66</v>
      </c>
      <c r="G7980">
        <v>-221.0847</v>
      </c>
      <c r="H7980" s="1">
        <v>1.6499379999999999E-7</v>
      </c>
      <c r="I7980">
        <v>-61.515259999999998</v>
      </c>
      <c r="J7980">
        <v>-233.66569999999999</v>
      </c>
      <c r="K7980">
        <v>1.1213329999999999</v>
      </c>
      <c r="L7980">
        <v>-62.602420000000002</v>
      </c>
      <c r="M7980">
        <v>0.99988189999999999</v>
      </c>
      <c r="N7980">
        <v>-1.500104E-2</v>
      </c>
      <c r="O7980">
        <v>3.3343560000000001E-3</v>
      </c>
      <c r="P7980">
        <v>0.99433159999999998</v>
      </c>
      <c r="Q7980">
        <v>-0.10194789999999999</v>
      </c>
      <c r="R7980">
        <v>3.0190350000000001E-2</v>
      </c>
      <c r="S7980">
        <v>2.9824980000000001</v>
      </c>
      <c r="T7980">
        <v>-0.26273619999999998</v>
      </c>
      <c r="U7980">
        <v>0.25488280000000002</v>
      </c>
      <c r="V7980">
        <v>-2.6822820000000001E-2</v>
      </c>
      <c r="W7980">
        <v>-8.7035000000000001E-2</v>
      </c>
      <c r="X7980">
        <v>0.99584410000000001</v>
      </c>
      <c r="Y7980">
        <v>-8.1467810000000002E-2</v>
      </c>
      <c r="Z7980">
        <v>3.945746E-3</v>
      </c>
      <c r="AA7980">
        <v>0.9966682</v>
      </c>
      <c r="AB7980">
        <v>26</v>
      </c>
      <c r="AC7980">
        <v>12.5809999999999</v>
      </c>
      <c r="AD7980">
        <v>-1.1213328350062</v>
      </c>
      <c r="AE7980">
        <v>1.0871599999999899</v>
      </c>
      <c r="AF7980">
        <v>-1.03702266128752</v>
      </c>
      <c r="AG7980">
        <v>-1.1213328350062</v>
      </c>
      <c r="AH7980">
        <v>12.4861011317136</v>
      </c>
      <c r="AI7980">
        <v>95.114250917026098</v>
      </c>
      <c r="AJ7980">
        <v>94.747756275520203</v>
      </c>
      <c r="AK7980">
        <v>12.579170274635301</v>
      </c>
      <c r="AL7980">
        <v>94.993055495045795</v>
      </c>
      <c r="AM7980">
        <v>91.542874928094406</v>
      </c>
      <c r="AN7980">
        <v>1.0000000132012801</v>
      </c>
    </row>
    <row r="7981" spans="1:40" x14ac:dyDescent="0.25">
      <c r="A7981" t="str">
        <f>"20190303154335414"</f>
        <v>20190303154335414</v>
      </c>
      <c r="B7981" t="str">
        <f>"1551599015407835"</f>
        <v>1551599015407835</v>
      </c>
      <c r="C7981" t="s">
        <v>40</v>
      </c>
      <c r="D7981">
        <v>5.533658</v>
      </c>
      <c r="E7981">
        <v>0.479599</v>
      </c>
      <c r="F7981" t="s">
        <v>66</v>
      </c>
      <c r="G7981">
        <v>-220.84360000000001</v>
      </c>
      <c r="H7981" s="1">
        <v>2.713169E-7</v>
      </c>
      <c r="I7981">
        <v>-61.502220000000001</v>
      </c>
      <c r="J7981">
        <v>-233.5111</v>
      </c>
      <c r="K7981">
        <v>1.12131</v>
      </c>
      <c r="L7981">
        <v>-62.601649999999999</v>
      </c>
      <c r="M7981">
        <v>0.99988140000000003</v>
      </c>
      <c r="N7981">
        <v>-1.49975E-2</v>
      </c>
      <c r="O7981">
        <v>3.5349130000000002E-3</v>
      </c>
      <c r="P7981">
        <v>0.99432920000000002</v>
      </c>
      <c r="Q7981">
        <v>-0.1018959</v>
      </c>
      <c r="R7981">
        <v>3.0439999999999998E-2</v>
      </c>
      <c r="S7981">
        <v>2.9825900000000001</v>
      </c>
      <c r="T7981">
        <v>-0.26083620000000002</v>
      </c>
      <c r="U7981">
        <v>0.25592039999999999</v>
      </c>
      <c r="V7981">
        <v>-2.6876130000000002E-2</v>
      </c>
      <c r="W7981">
        <v>-8.6985419999999994E-2</v>
      </c>
      <c r="X7981">
        <v>0.99584700000000004</v>
      </c>
      <c r="Y7981">
        <v>-8.1614149999999996E-2</v>
      </c>
      <c r="Z7981">
        <v>3.9147899999999996E-3</v>
      </c>
      <c r="AA7981">
        <v>0.99665630000000005</v>
      </c>
      <c r="AB7981">
        <v>26</v>
      </c>
      <c r="AC7981">
        <v>12.667499999999899</v>
      </c>
      <c r="AD7981">
        <v>-1.1213097286831</v>
      </c>
      <c r="AE7981">
        <v>1.0994299999999999</v>
      </c>
      <c r="AF7981">
        <v>-1.0465009852066101</v>
      </c>
      <c r="AG7981">
        <v>-1.1213097286831</v>
      </c>
      <c r="AH7981">
        <v>12.573523800510801</v>
      </c>
      <c r="AI7981">
        <v>95.078700898262397</v>
      </c>
      <c r="AJ7981">
        <v>94.757791773209206</v>
      </c>
      <c r="AK7981">
        <v>12.666728092987899</v>
      </c>
      <c r="AL7981">
        <v>94.990203928971098</v>
      </c>
      <c r="AM7981">
        <v>91.545935385285702</v>
      </c>
      <c r="AN7981">
        <v>1.0000000185326701</v>
      </c>
    </row>
    <row r="7982" spans="1:40" x14ac:dyDescent="0.25">
      <c r="A7982" t="str">
        <f>"20190303154335426"</f>
        <v>20190303154335426</v>
      </c>
      <c r="B7982" t="str">
        <f>"1551599015418570"</f>
        <v>1551599015418570</v>
      </c>
      <c r="C7982" t="s">
        <v>40</v>
      </c>
      <c r="D7982">
        <v>5.5847819999999997</v>
      </c>
      <c r="E7982">
        <v>0.47944350000000002</v>
      </c>
      <c r="F7982" t="s">
        <v>66</v>
      </c>
      <c r="G7982">
        <v>-220.55860000000001</v>
      </c>
      <c r="H7982" s="1">
        <v>3.9551529999999998E-7</v>
      </c>
      <c r="I7982">
        <v>-61.493540000000003</v>
      </c>
      <c r="J7982">
        <v>-233.38419999999999</v>
      </c>
      <c r="K7982">
        <v>1.121297</v>
      </c>
      <c r="L7982">
        <v>-62.601010000000002</v>
      </c>
      <c r="M7982">
        <v>0.99988089999999996</v>
      </c>
      <c r="N7982">
        <v>-1.4994550000000001E-2</v>
      </c>
      <c r="O7982">
        <v>3.685795E-3</v>
      </c>
      <c r="P7982">
        <v>0.99434350000000005</v>
      </c>
      <c r="Q7982">
        <v>-0.1017113</v>
      </c>
      <c r="R7982">
        <v>3.0594840000000002E-2</v>
      </c>
      <c r="S7982">
        <v>2.982834</v>
      </c>
      <c r="T7982">
        <v>-0.25822709999999999</v>
      </c>
      <c r="U7982">
        <v>0.25518800000000003</v>
      </c>
      <c r="V7982">
        <v>-2.6884149999999999E-2</v>
      </c>
      <c r="W7982">
        <v>-8.6802649999999995E-2</v>
      </c>
      <c r="X7982">
        <v>0.99586269999999999</v>
      </c>
      <c r="Y7982">
        <v>-8.122248E-2</v>
      </c>
      <c r="Z7982">
        <v>3.8514410000000002E-3</v>
      </c>
      <c r="AA7982">
        <v>0.99668849999999998</v>
      </c>
      <c r="AB7982">
        <v>26</v>
      </c>
      <c r="AC7982">
        <v>12.8255999999999</v>
      </c>
      <c r="AD7982">
        <v>-1.1212966044846999</v>
      </c>
      <c r="AE7982">
        <v>1.10746999999999</v>
      </c>
      <c r="AF7982">
        <v>-1.05220177302996</v>
      </c>
      <c r="AG7982">
        <v>-1.1212966044846999</v>
      </c>
      <c r="AH7982">
        <v>12.7329923634063</v>
      </c>
      <c r="AI7982">
        <v>95.015607489845607</v>
      </c>
      <c r="AJ7982">
        <v>94.723952723965695</v>
      </c>
      <c r="AK7982">
        <v>12.825503076798199</v>
      </c>
      <c r="AL7982">
        <v>94.979692374993107</v>
      </c>
      <c r="AM7982">
        <v>91.546372110354696</v>
      </c>
      <c r="AN7982">
        <v>0.99999998740976703</v>
      </c>
    </row>
    <row r="7983" spans="1:40" x14ac:dyDescent="0.25">
      <c r="A7983" t="str">
        <f>"20190303154335437"</f>
        <v>20190303154335437</v>
      </c>
      <c r="B7983" t="str">
        <f>"1551599015428330"</f>
        <v>1551599015428330</v>
      </c>
      <c r="C7983" t="s">
        <v>40</v>
      </c>
      <c r="D7983">
        <v>5.5594549999999998</v>
      </c>
      <c r="E7983">
        <v>0.47948370000000001</v>
      </c>
      <c r="F7983" t="s">
        <v>66</v>
      </c>
      <c r="G7983">
        <v>-220.4726</v>
      </c>
      <c r="H7983" s="1">
        <v>4.3339640000000002E-7</v>
      </c>
      <c r="I7983">
        <v>-61.489069999999998</v>
      </c>
      <c r="J7983">
        <v>-233.25890000000001</v>
      </c>
      <c r="K7983">
        <v>1.121283</v>
      </c>
      <c r="L7983">
        <v>-62.6004</v>
      </c>
      <c r="M7983">
        <v>0.9998804</v>
      </c>
      <c r="N7983">
        <v>-1.4991640000000001E-2</v>
      </c>
      <c r="O7983">
        <v>3.8322669999999999E-3</v>
      </c>
      <c r="P7983">
        <v>0.99431080000000005</v>
      </c>
      <c r="Q7983">
        <v>-0.1018964</v>
      </c>
      <c r="R7983">
        <v>3.104053E-2</v>
      </c>
      <c r="S7983">
        <v>2.982666</v>
      </c>
      <c r="T7983">
        <v>-0.25902779999999997</v>
      </c>
      <c r="U7983">
        <v>0.2568665</v>
      </c>
      <c r="V7983">
        <v>-2.7186189999999999E-2</v>
      </c>
      <c r="W7983">
        <v>-8.6990380000000006E-2</v>
      </c>
      <c r="X7983">
        <v>0.99583809999999995</v>
      </c>
      <c r="Y7983">
        <v>-8.1634600000000002E-2</v>
      </c>
      <c r="Z7983">
        <v>3.8717220000000002E-3</v>
      </c>
      <c r="AA7983">
        <v>0.99665479999999995</v>
      </c>
      <c r="AB7983">
        <v>26</v>
      </c>
      <c r="AC7983">
        <v>12.786300000000001</v>
      </c>
      <c r="AD7983">
        <v>-1.1212825666035999</v>
      </c>
      <c r="AE7983">
        <v>1.1113299999999999</v>
      </c>
      <c r="AF7983">
        <v>-1.0542690184932999</v>
      </c>
      <c r="AG7983">
        <v>-1.1212825666035999</v>
      </c>
      <c r="AH7983">
        <v>12.693580593392401</v>
      </c>
      <c r="AI7983">
        <v>95.030865042798396</v>
      </c>
      <c r="AJ7983">
        <v>94.747820489763299</v>
      </c>
      <c r="AK7983">
        <v>12.7865455084034</v>
      </c>
      <c r="AL7983">
        <v>94.990489448824107</v>
      </c>
      <c r="AM7983">
        <v>91.563775435412694</v>
      </c>
      <c r="AN7983">
        <v>0.99999996827543403</v>
      </c>
    </row>
    <row r="7984" spans="1:40" x14ac:dyDescent="0.25">
      <c r="A7984" t="str">
        <f>"20190303154335446"</f>
        <v>20190303154335446</v>
      </c>
      <c r="B7984" t="str">
        <f>"1551599015438092"</f>
        <v>1551599015438092</v>
      </c>
      <c r="C7984" t="s">
        <v>40</v>
      </c>
      <c r="D7984">
        <v>5.5386119999999996</v>
      </c>
      <c r="E7984">
        <v>0.4795663</v>
      </c>
      <c r="F7984" t="s">
        <v>66</v>
      </c>
      <c r="G7984">
        <v>-220.31979999999999</v>
      </c>
      <c r="H7984" s="1">
        <v>5.0061390000000005E-7</v>
      </c>
      <c r="I7984">
        <v>-61.481560000000002</v>
      </c>
      <c r="J7984">
        <v>-233.13409999999999</v>
      </c>
      <c r="K7984">
        <v>1.1212709999999999</v>
      </c>
      <c r="L7984">
        <v>-62.599760000000003</v>
      </c>
      <c r="M7984">
        <v>0.99987990000000004</v>
      </c>
      <c r="N7984">
        <v>-1.4988720000000001E-2</v>
      </c>
      <c r="O7984">
        <v>3.9629979999999997E-3</v>
      </c>
      <c r="P7984">
        <v>0.99428899999999998</v>
      </c>
      <c r="Q7984">
        <v>-0.1020817</v>
      </c>
      <c r="R7984">
        <v>3.1127370000000001E-2</v>
      </c>
      <c r="S7984">
        <v>2.982605</v>
      </c>
      <c r="T7984">
        <v>-0.25846770000000002</v>
      </c>
      <c r="U7984">
        <v>0.25790410000000002</v>
      </c>
      <c r="V7984">
        <v>-2.714633E-2</v>
      </c>
      <c r="W7984">
        <v>-8.7177920000000006E-2</v>
      </c>
      <c r="X7984">
        <v>0.99582280000000001</v>
      </c>
      <c r="Y7984">
        <v>-8.1850969999999995E-2</v>
      </c>
      <c r="Z7984">
        <v>3.866352E-3</v>
      </c>
      <c r="AA7984">
        <v>0.99663710000000005</v>
      </c>
      <c r="AB7984">
        <v>26</v>
      </c>
      <c r="AC7984">
        <v>12.814299999999999</v>
      </c>
      <c r="AD7984">
        <v>-1.1212704993861</v>
      </c>
      <c r="AE7984">
        <v>1.1182000000000001</v>
      </c>
      <c r="AF7984">
        <v>-1.0593528176954301</v>
      </c>
      <c r="AG7984">
        <v>-1.1212704993861</v>
      </c>
      <c r="AH7984">
        <v>12.7219615151448</v>
      </c>
      <c r="AI7984">
        <v>95.019557144331301</v>
      </c>
      <c r="AJ7984">
        <v>94.760015969726396</v>
      </c>
      <c r="AK7984">
        <v>12.8151387319053</v>
      </c>
      <c r="AL7984">
        <v>95.001275613275595</v>
      </c>
      <c r="AM7984">
        <v>91.561507765384803</v>
      </c>
      <c r="AN7984">
        <v>0.99999998098391696</v>
      </c>
    </row>
    <row r="7985" spans="1:40" x14ac:dyDescent="0.25">
      <c r="A7985" t="str">
        <f>"20190303154335457"</f>
        <v>20190303154335457</v>
      </c>
      <c r="B7985" t="str">
        <f>"1551599015447850"</f>
        <v>1551599015447850</v>
      </c>
      <c r="C7985" t="s">
        <v>40</v>
      </c>
      <c r="D7985">
        <v>5.5754390000000003</v>
      </c>
      <c r="E7985">
        <v>0.47961009999999998</v>
      </c>
      <c r="F7985" t="s">
        <v>66</v>
      </c>
      <c r="G7985">
        <v>-220.20419999999999</v>
      </c>
      <c r="H7985" s="1">
        <v>5.4976670000000003E-7</v>
      </c>
      <c r="I7985">
        <v>-61.483580000000003</v>
      </c>
      <c r="J7985">
        <v>-233.0198</v>
      </c>
      <c r="K7985">
        <v>1.1212580000000001</v>
      </c>
      <c r="L7985">
        <v>-62.599209999999999</v>
      </c>
      <c r="M7985">
        <v>0.99987950000000003</v>
      </c>
      <c r="N7985">
        <v>-1.4986060000000001E-2</v>
      </c>
      <c r="O7985">
        <v>4.0812319999999997E-3</v>
      </c>
      <c r="P7985">
        <v>0.99422299999999997</v>
      </c>
      <c r="Q7985">
        <v>-0.1025935</v>
      </c>
      <c r="R7985">
        <v>3.155119E-2</v>
      </c>
      <c r="S7985">
        <v>2.982605</v>
      </c>
      <c r="T7985">
        <v>-0.25864989999999999</v>
      </c>
      <c r="U7985">
        <v>0.25747680000000001</v>
      </c>
      <c r="V7985">
        <v>-2.7455159999999999E-2</v>
      </c>
      <c r="W7985">
        <v>-8.7692569999999997E-2</v>
      </c>
      <c r="X7985">
        <v>0.99576909999999996</v>
      </c>
      <c r="Y7985">
        <v>-8.1592419999999999E-2</v>
      </c>
      <c r="Z7985">
        <v>3.846931E-3</v>
      </c>
      <c r="AA7985">
        <v>0.99665840000000006</v>
      </c>
      <c r="AB7985">
        <v>26</v>
      </c>
      <c r="AC7985">
        <v>12.8156</v>
      </c>
      <c r="AD7985">
        <v>-1.1212574502332999</v>
      </c>
      <c r="AE7985">
        <v>1.1156299999999899</v>
      </c>
      <c r="AF7985">
        <v>-1.0552941125830899</v>
      </c>
      <c r="AG7985">
        <v>-1.1212574502332999</v>
      </c>
      <c r="AH7985">
        <v>12.723384690384201</v>
      </c>
      <c r="AI7985">
        <v>95.019075743796606</v>
      </c>
      <c r="AJ7985">
        <v>94.741334227583195</v>
      </c>
      <c r="AK7985">
        <v>12.816215584690401</v>
      </c>
      <c r="AL7985">
        <v>95.030876475439698</v>
      </c>
      <c r="AM7985">
        <v>91.579348423631302</v>
      </c>
      <c r="AN7985">
        <v>0.99999993657931796</v>
      </c>
    </row>
    <row r="7986" spans="1:40" x14ac:dyDescent="0.25">
      <c r="A7986" t="str">
        <f>"20190303154335467"</f>
        <v>20190303154335467</v>
      </c>
      <c r="B7986" t="str">
        <f>"1551599015458586"</f>
        <v>1551599015458586</v>
      </c>
      <c r="C7986" t="s">
        <v>40</v>
      </c>
      <c r="D7986">
        <v>5.5991200000000001</v>
      </c>
      <c r="E7986">
        <v>0.47966249999999999</v>
      </c>
      <c r="F7986" t="s">
        <v>66</v>
      </c>
      <c r="G7986">
        <v>-220.1328</v>
      </c>
      <c r="H7986" s="1">
        <v>5.8067479999999997E-7</v>
      </c>
      <c r="I7986">
        <v>-61.482439999999997</v>
      </c>
      <c r="J7986">
        <v>-232.89619999999999</v>
      </c>
      <c r="K7986">
        <v>1.121243</v>
      </c>
      <c r="L7986">
        <v>-62.598570000000002</v>
      </c>
      <c r="M7986">
        <v>0.99987910000000002</v>
      </c>
      <c r="N7986">
        <v>-1.498318E-2</v>
      </c>
      <c r="O7986">
        <v>4.1964180000000004E-3</v>
      </c>
      <c r="P7986">
        <v>0.99420010000000003</v>
      </c>
      <c r="Q7986">
        <v>-0.1027763</v>
      </c>
      <c r="R7986">
        <v>3.1674149999999998E-2</v>
      </c>
      <c r="S7986">
        <v>2.9824519999999999</v>
      </c>
      <c r="T7986">
        <v>-0.259492</v>
      </c>
      <c r="U7986">
        <v>0.2584534</v>
      </c>
      <c r="V7986">
        <v>-2.7465630000000001E-2</v>
      </c>
      <c r="W7986">
        <v>-8.7877709999999998E-2</v>
      </c>
      <c r="X7986">
        <v>0.99575259999999999</v>
      </c>
      <c r="Y7986">
        <v>-8.1803169999999994E-2</v>
      </c>
      <c r="Z7986">
        <v>3.8596780000000001E-3</v>
      </c>
      <c r="AA7986">
        <v>0.996641</v>
      </c>
      <c r="AB7986">
        <v>26</v>
      </c>
      <c r="AC7986">
        <v>12.763399999999899</v>
      </c>
      <c r="AD7986">
        <v>-1.1212424193252</v>
      </c>
      <c r="AE7986">
        <v>1.1161299999999901</v>
      </c>
      <c r="AF7986">
        <v>-1.05447762513256</v>
      </c>
      <c r="AG7986">
        <v>-1.1212424193252</v>
      </c>
      <c r="AH7986">
        <v>12.6709284096085</v>
      </c>
      <c r="AI7986">
        <v>95.039564786049496</v>
      </c>
      <c r="AJ7986">
        <v>94.757206197010504</v>
      </c>
      <c r="AK7986">
        <v>12.764072014299501</v>
      </c>
      <c r="AL7986">
        <v>95.041524771374</v>
      </c>
      <c r="AM7986">
        <v>91.579976568596905</v>
      </c>
      <c r="AN7986">
        <v>1.00000004657644</v>
      </c>
    </row>
    <row r="7987" spans="1:40" x14ac:dyDescent="0.25">
      <c r="A7987" t="str">
        <f>"20190303154335478"</f>
        <v>20190303154335478</v>
      </c>
      <c r="B7987" t="str">
        <f>"1551599015468347"</f>
        <v>1551599015468347</v>
      </c>
      <c r="C7987" t="s">
        <v>40</v>
      </c>
      <c r="D7987">
        <v>5.6286259999999997</v>
      </c>
      <c r="E7987">
        <v>0.47951640000000001</v>
      </c>
      <c r="F7987" t="s">
        <v>70</v>
      </c>
      <c r="G7987">
        <v>-219.9812</v>
      </c>
      <c r="H7987" s="1">
        <v>-3.4507310000000001E-6</v>
      </c>
      <c r="I7987">
        <v>-61.4794699999999</v>
      </c>
      <c r="J7987">
        <v>-232.7816</v>
      </c>
      <c r="K7987">
        <v>1.1212299999999999</v>
      </c>
      <c r="L7987">
        <v>-62.597990000000003</v>
      </c>
      <c r="M7987">
        <v>0.99987859999999995</v>
      </c>
      <c r="N7987">
        <v>-1.4980510000000001E-2</v>
      </c>
      <c r="O7987">
        <v>4.301193E-3</v>
      </c>
      <c r="P7987">
        <v>0.99415419999999999</v>
      </c>
      <c r="Q7987">
        <v>-0.10319200000000001</v>
      </c>
      <c r="R7987">
        <v>3.1770399999999997E-2</v>
      </c>
      <c r="S7987">
        <v>2.9824830000000002</v>
      </c>
      <c r="T7987">
        <v>-0.25893189999999999</v>
      </c>
      <c r="U7987">
        <v>0.25842290000000001</v>
      </c>
      <c r="V7987">
        <v>-2.7460809999999999E-2</v>
      </c>
      <c r="W7987">
        <v>-8.8295849999999995E-2</v>
      </c>
      <c r="X7987">
        <v>0.99571569999999998</v>
      </c>
      <c r="Y7987">
        <v>-8.1689890000000001E-2</v>
      </c>
      <c r="Z7987">
        <v>3.83943E-3</v>
      </c>
      <c r="AA7987">
        <v>0.99665040000000005</v>
      </c>
      <c r="AB7987">
        <v>26</v>
      </c>
      <c r="AC7987">
        <v>12.8003999999999</v>
      </c>
      <c r="AD7987">
        <v>-1.121233450731</v>
      </c>
      <c r="AE7987">
        <v>1.11852000000001</v>
      </c>
      <c r="AF7987">
        <v>-1.05541006258091</v>
      </c>
      <c r="AG7987">
        <v>-1.121233450731</v>
      </c>
      <c r="AH7987">
        <v>12.7083255025389</v>
      </c>
      <c r="AI7987">
        <v>95.024841581108504</v>
      </c>
      <c r="AJ7987">
        <v>94.747446165408604</v>
      </c>
      <c r="AK7987">
        <v>12.8012730589468</v>
      </c>
      <c r="AL7987">
        <v>95.065576134311499</v>
      </c>
      <c r="AM7987">
        <v>91.579757947813704</v>
      </c>
      <c r="AN7987">
        <v>1.0000000042197801</v>
      </c>
    </row>
    <row r="7988" spans="1:40" x14ac:dyDescent="0.25">
      <c r="A7988" t="str">
        <f>"20190303154335487"</f>
        <v>20190303154335487</v>
      </c>
      <c r="B7988" t="str">
        <f>"1551599015478107"</f>
        <v>1551599015478107</v>
      </c>
      <c r="C7988" t="s">
        <v>40</v>
      </c>
      <c r="D7988">
        <v>5.5376669999999999</v>
      </c>
      <c r="E7988">
        <v>0.47951640000000001</v>
      </c>
      <c r="F7988" t="s">
        <v>66</v>
      </c>
      <c r="G7988">
        <v>-220.0754</v>
      </c>
      <c r="H7988" s="1">
        <v>6.0340999999999997E-7</v>
      </c>
      <c r="I7988">
        <v>-61.490769999999998</v>
      </c>
      <c r="J7988">
        <v>-232.65539999999999</v>
      </c>
      <c r="K7988">
        <v>1.121219</v>
      </c>
      <c r="L7988">
        <v>-62.597290000000001</v>
      </c>
      <c r="M7988">
        <v>0.99987820000000005</v>
      </c>
      <c r="N7988">
        <v>-1.4977529999999999E-2</v>
      </c>
      <c r="O7988">
        <v>4.4054910000000001E-3</v>
      </c>
      <c r="P7988">
        <v>0.99408070000000004</v>
      </c>
      <c r="Q7988">
        <v>-0.1038086</v>
      </c>
      <c r="R7988">
        <v>3.2058209999999997E-2</v>
      </c>
      <c r="S7988">
        <v>2.982056</v>
      </c>
      <c r="T7988">
        <v>-0.26314490000000001</v>
      </c>
      <c r="U7988">
        <v>0.25985720000000001</v>
      </c>
      <c r="V7988">
        <v>-2.76473E-2</v>
      </c>
      <c r="W7988">
        <v>-8.8915640000000004E-2</v>
      </c>
      <c r="X7988">
        <v>0.99565539999999997</v>
      </c>
      <c r="Y7988">
        <v>-8.2062120000000002E-2</v>
      </c>
      <c r="Z7988">
        <v>3.9025150000000001E-3</v>
      </c>
      <c r="AA7988">
        <v>0.99661960000000005</v>
      </c>
      <c r="AB7988">
        <v>26</v>
      </c>
      <c r="AC7988">
        <v>12.579999999999901</v>
      </c>
      <c r="AD7988">
        <v>-1.12121839659</v>
      </c>
      <c r="AE7988">
        <v>1.1065199999999999</v>
      </c>
      <c r="AF7988">
        <v>-1.0428614613514899</v>
      </c>
      <c r="AG7988">
        <v>-1.12121839659</v>
      </c>
      <c r="AH7988">
        <v>12.4863278927526</v>
      </c>
      <c r="AI7988">
        <v>95.113443270395905</v>
      </c>
      <c r="AJ7988">
        <v>94.774278270407805</v>
      </c>
      <c r="AK7988">
        <v>12.579867843731799</v>
      </c>
      <c r="AL7988">
        <v>95.101227631418894</v>
      </c>
      <c r="AM7988">
        <v>91.590577076532199</v>
      </c>
      <c r="AN7988">
        <v>1.00000001989152</v>
      </c>
    </row>
    <row r="7989" spans="1:40" x14ac:dyDescent="0.25">
      <c r="A7989" t="str">
        <f>"20190303154335498"</f>
        <v>20190303154335498</v>
      </c>
      <c r="B7989" t="str">
        <f>"1551599015487867"</f>
        <v>1551599015487867</v>
      </c>
      <c r="C7989" t="s">
        <v>40</v>
      </c>
      <c r="D7989">
        <v>5.5510590000000004</v>
      </c>
      <c r="E7989">
        <v>0.49340919999999999</v>
      </c>
      <c r="F7989" t="s">
        <v>70</v>
      </c>
      <c r="G7989">
        <v>-220.03960000000001</v>
      </c>
      <c r="H7989" s="1">
        <v>-3.4731849999999998E-6</v>
      </c>
      <c r="I7989">
        <v>-61.494169999999997</v>
      </c>
      <c r="J7989">
        <v>-232.53229999999999</v>
      </c>
      <c r="K7989">
        <v>1.121208</v>
      </c>
      <c r="L7989">
        <v>-62.596649999999997</v>
      </c>
      <c r="M7989">
        <v>0.99987789999999999</v>
      </c>
      <c r="N7989">
        <v>-1.4974609999999999E-2</v>
      </c>
      <c r="O7989">
        <v>4.5035420000000001E-3</v>
      </c>
      <c r="P7989">
        <v>0.9940599</v>
      </c>
      <c r="Q7989">
        <v>-0.1039529</v>
      </c>
      <c r="R7989">
        <v>3.2237700000000001E-2</v>
      </c>
      <c r="S7989">
        <v>2.9817809999999998</v>
      </c>
      <c r="T7989">
        <v>-0.26500309999999999</v>
      </c>
      <c r="U7989">
        <v>0.26071169999999999</v>
      </c>
      <c r="V7989">
        <v>-2.773192E-2</v>
      </c>
      <c r="W7989">
        <v>-8.9062429999999998E-2</v>
      </c>
      <c r="X7989">
        <v>0.99563990000000002</v>
      </c>
      <c r="Y7989">
        <v>-8.2250459999999997E-2</v>
      </c>
      <c r="Z7989">
        <v>3.9278469999999999E-3</v>
      </c>
      <c r="AA7989">
        <v>0.99660400000000005</v>
      </c>
      <c r="AB7989">
        <v>26</v>
      </c>
      <c r="AC7989">
        <v>12.4926999999999</v>
      </c>
      <c r="AD7989">
        <v>-1.121211473185</v>
      </c>
      <c r="AE7989">
        <v>1.1024799999999999</v>
      </c>
      <c r="AF7989">
        <v>-1.03790545676343</v>
      </c>
      <c r="AG7989">
        <v>-1.121211473185</v>
      </c>
      <c r="AH7989">
        <v>12.398441939500399</v>
      </c>
      <c r="AI7989">
        <v>95.149382140965997</v>
      </c>
      <c r="AJ7989">
        <v>94.785219902738405</v>
      </c>
      <c r="AK7989">
        <v>12.492226600247999</v>
      </c>
      <c r="AL7989">
        <v>95.109671716215999</v>
      </c>
      <c r="AM7989">
        <v>91.595467663072299</v>
      </c>
      <c r="AN7989">
        <v>0.99999999314819998</v>
      </c>
    </row>
    <row r="7990" spans="1:40" x14ac:dyDescent="0.25">
      <c r="A7990" t="str">
        <f>"20190303154335590"</f>
        <v>20190303154335590</v>
      </c>
      <c r="B7990" t="str">
        <f>"1551599015578634"</f>
        <v>1551599015578634</v>
      </c>
      <c r="C7990" t="s">
        <v>40</v>
      </c>
      <c r="D7990">
        <v>4.616581</v>
      </c>
      <c r="E7990">
        <v>0.49340919999999999</v>
      </c>
      <c r="F7990" t="s">
        <v>70</v>
      </c>
      <c r="G7990">
        <v>-213.32400000000001</v>
      </c>
      <c r="H7990" s="1">
        <v>-7.2303679999999998E-7</v>
      </c>
      <c r="I7990">
        <v>-61.616500000000002</v>
      </c>
      <c r="J7990">
        <v>-231.4821</v>
      </c>
      <c r="K7990">
        <v>1.1211580000000001</v>
      </c>
      <c r="L7990">
        <v>-62.590879999999999</v>
      </c>
      <c r="M7990">
        <v>0.99987510000000002</v>
      </c>
      <c r="N7990">
        <v>-1.494934E-2</v>
      </c>
      <c r="O7990">
        <v>5.145826E-3</v>
      </c>
      <c r="P7990">
        <v>0.99412750000000005</v>
      </c>
      <c r="Q7990">
        <v>-0.1035341</v>
      </c>
      <c r="R7990">
        <v>3.1488299999999997E-2</v>
      </c>
      <c r="S7990">
        <v>2.9946899999999999</v>
      </c>
      <c r="T7990">
        <v>-0.17480279999999901</v>
      </c>
      <c r="U7990">
        <v>0.15280150000000001</v>
      </c>
      <c r="V7990">
        <v>-2.6355090000000001E-2</v>
      </c>
      <c r="W7990">
        <v>-8.8663820000000004E-2</v>
      </c>
      <c r="X7990">
        <v>0.99571290000000001</v>
      </c>
      <c r="Y7990">
        <v>-4.5724720000000003E-2</v>
      </c>
      <c r="Z7990">
        <v>1.45181E-3</v>
      </c>
      <c r="AA7990">
        <v>0.99895299999999998</v>
      </c>
      <c r="AB7990">
        <v>26</v>
      </c>
      <c r="AC7990">
        <v>18.158099999999902</v>
      </c>
      <c r="AD7990">
        <v>-1.1211587230368001</v>
      </c>
      <c r="AE7990">
        <v>0.97438000000000302</v>
      </c>
      <c r="AF7990">
        <v>-0.87758218983237202</v>
      </c>
      <c r="AG7990">
        <v>-1.1211587230368001</v>
      </c>
      <c r="AH7990">
        <v>18.0940910380966</v>
      </c>
      <c r="AI7990">
        <v>93.5415156962639</v>
      </c>
      <c r="AJ7990">
        <v>92.776728840812098</v>
      </c>
      <c r="AK7990">
        <v>18.150021429108001</v>
      </c>
      <c r="AL7990">
        <v>95.086742188553401</v>
      </c>
      <c r="AM7990">
        <v>91.516182965857695</v>
      </c>
      <c r="AN7990">
        <v>1.00000002148615</v>
      </c>
    </row>
    <row r="7991" spans="1:40" x14ac:dyDescent="0.25">
      <c r="A7991" t="str">
        <f>"20190303154335603"</f>
        <v>20190303154335603</v>
      </c>
      <c r="B7991" t="str">
        <f>"1551599015598154"</f>
        <v>1551599015598154</v>
      </c>
      <c r="C7991" t="s">
        <v>40</v>
      </c>
      <c r="D7991">
        <v>5.341399</v>
      </c>
      <c r="E7991">
        <v>0.51058570000000003</v>
      </c>
      <c r="F7991" t="s">
        <v>70</v>
      </c>
      <c r="G7991">
        <v>-212.11760000000001</v>
      </c>
      <c r="H7991" s="1">
        <v>-2.063259E-7</v>
      </c>
      <c r="I7991">
        <v>-61.619610000000002</v>
      </c>
      <c r="J7991">
        <v>-231.35130000000001</v>
      </c>
      <c r="K7991">
        <v>1.1211580000000001</v>
      </c>
      <c r="L7991">
        <v>-62.590119999999999</v>
      </c>
      <c r="M7991">
        <v>0.99987479999999995</v>
      </c>
      <c r="N7991">
        <v>-1.494616E-2</v>
      </c>
      <c r="O7991">
        <v>5.2151419999999999E-3</v>
      </c>
      <c r="P7991">
        <v>0.99409650000000005</v>
      </c>
      <c r="Q7991">
        <v>-0.10391599999999999</v>
      </c>
      <c r="R7991">
        <v>3.1206569999999999E-2</v>
      </c>
      <c r="S7991">
        <v>2.994904</v>
      </c>
      <c r="T7991">
        <v>-0.17339740000000001</v>
      </c>
      <c r="U7991">
        <v>0.15020749999999999</v>
      </c>
      <c r="V7991">
        <v>-2.6004739999999998E-2</v>
      </c>
      <c r="W7991">
        <v>-8.9049149999999994E-2</v>
      </c>
      <c r="X7991">
        <v>0.99568769999999995</v>
      </c>
      <c r="Y7991">
        <v>-4.4792140000000001E-2</v>
      </c>
      <c r="Z7991">
        <v>1.4064609999999999E-3</v>
      </c>
      <c r="AA7991">
        <v>0.99899539999999998</v>
      </c>
      <c r="AB7991">
        <v>26</v>
      </c>
      <c r="AC7991">
        <v>19.233699999999999</v>
      </c>
      <c r="AD7991">
        <v>-1.1211582063259</v>
      </c>
      <c r="AE7991">
        <v>0.97051000000000398</v>
      </c>
      <c r="AF7991">
        <v>-0.86723983328916998</v>
      </c>
      <c r="AG7991">
        <v>-1.1211582063259</v>
      </c>
      <c r="AH7991">
        <v>19.173516429827401</v>
      </c>
      <c r="AI7991">
        <v>93.343110392313704</v>
      </c>
      <c r="AJ7991">
        <v>92.589787760895504</v>
      </c>
      <c r="AK7991">
        <v>19.225837639409001</v>
      </c>
      <c r="AL7991">
        <v>95.108907774339102</v>
      </c>
      <c r="AM7991">
        <v>91.496074734993897</v>
      </c>
      <c r="AN7991">
        <v>0.99999999677473905</v>
      </c>
    </row>
    <row r="7992" spans="1:40" x14ac:dyDescent="0.25">
      <c r="A7992" t="str">
        <f>"20190303154335655"</f>
        <v>20190303154335655</v>
      </c>
      <c r="B7992" t="str">
        <f>"1551599015647930"</f>
        <v>1551599015647930</v>
      </c>
      <c r="C7992" t="s">
        <v>40</v>
      </c>
      <c r="D7992">
        <v>5.6978019999999896</v>
      </c>
      <c r="E7992">
        <v>0.51058570000000003</v>
      </c>
      <c r="F7992" t="s">
        <v>42</v>
      </c>
      <c r="G7992">
        <v>-230.55359999999999</v>
      </c>
      <c r="H7992">
        <v>0.85648359999999901</v>
      </c>
      <c r="I7992">
        <v>-62.591929999999998</v>
      </c>
      <c r="J7992">
        <v>-230.73679999999999</v>
      </c>
      <c r="K7992">
        <v>1.121156</v>
      </c>
      <c r="L7992">
        <v>-62.586489999999998</v>
      </c>
      <c r="M7992">
        <v>0.99987329999999996</v>
      </c>
      <c r="N7992">
        <v>-1.493099E-2</v>
      </c>
      <c r="O7992">
        <v>5.539558E-3</v>
      </c>
      <c r="P7992">
        <v>0.99404939999999997</v>
      </c>
      <c r="Q7992">
        <v>-0.1046089</v>
      </c>
      <c r="R7992">
        <v>3.0384919999999999E-2</v>
      </c>
      <c r="S7992">
        <v>2.9168090000000002</v>
      </c>
      <c r="T7992">
        <v>-0.96785330000000003</v>
      </c>
      <c r="U7992">
        <v>-5.7678219999999997E-3</v>
      </c>
      <c r="V7992">
        <v>-2.4860340000000002E-2</v>
      </c>
      <c r="W7992">
        <v>-8.9757569999999995E-2</v>
      </c>
      <c r="X7992">
        <v>0.99565329999999996</v>
      </c>
      <c r="Y7992">
        <v>6.8613850000000002E-3</v>
      </c>
      <c r="Z7992">
        <v>-2.8707590000000001E-3</v>
      </c>
      <c r="AA7992">
        <v>0.99997230000000004</v>
      </c>
      <c r="AB7992">
        <v>25</v>
      </c>
      <c r="AC7992">
        <v>0.183199999999999</v>
      </c>
      <c r="AD7992">
        <v>-0.26467239999999997</v>
      </c>
      <c r="AE7992">
        <v>-5.4400000000001097E-3</v>
      </c>
      <c r="AF7992">
        <v>2.0920900072917401E-3</v>
      </c>
      <c r="AG7992">
        <v>-0.26467239999999997</v>
      </c>
      <c r="AH7992">
        <v>5.9366271568778502E-2</v>
      </c>
      <c r="AI7992">
        <v>167.350149496255</v>
      </c>
      <c r="AJ7992">
        <v>87.981710138603802</v>
      </c>
      <c r="AK7992">
        <v>0.27125672408686302</v>
      </c>
      <c r="AL7992">
        <v>95.149660553579096</v>
      </c>
      <c r="AM7992">
        <v>91.430313805015004</v>
      </c>
      <c r="AN7992">
        <v>0.99999997583905498</v>
      </c>
    </row>
    <row r="7993" spans="1:40" x14ac:dyDescent="0.25">
      <c r="A7993" t="str">
        <f>"20190303154335666"</f>
        <v>20190303154335666</v>
      </c>
      <c r="B7993" t="str">
        <f>"1551599015658667"</f>
        <v>1551599015658667</v>
      </c>
      <c r="C7993" t="s">
        <v>40</v>
      </c>
      <c r="D7993">
        <v>5.8169709999999997</v>
      </c>
      <c r="E7993">
        <v>0.51833009999999902</v>
      </c>
      <c r="F7993" t="s">
        <v>42</v>
      </c>
      <c r="G7993">
        <v>-229.88059999999999</v>
      </c>
      <c r="H7993">
        <v>0.83635569999999904</v>
      </c>
      <c r="I7993">
        <v>-62.588819999999998</v>
      </c>
      <c r="J7993">
        <v>-230.61580000000001</v>
      </c>
      <c r="K7993">
        <v>1.1211580000000001</v>
      </c>
      <c r="L7993">
        <v>-62.585749999999997</v>
      </c>
      <c r="M7993">
        <v>0.99987289999999995</v>
      </c>
      <c r="N7993">
        <v>-1.492807E-2</v>
      </c>
      <c r="O7993">
        <v>5.6053300000000004E-3</v>
      </c>
      <c r="P7993">
        <v>0.99404990000000004</v>
      </c>
      <c r="Q7993">
        <v>-0.10457900000000001</v>
      </c>
      <c r="R7993">
        <v>3.0466259999999998E-2</v>
      </c>
      <c r="S7993">
        <v>2.9161380000000001</v>
      </c>
      <c r="T7993">
        <v>-0.96995129999999996</v>
      </c>
      <c r="U7993">
        <v>-7.9040529999999994E-3</v>
      </c>
      <c r="V7993">
        <v>-2.487607E-2</v>
      </c>
      <c r="W7993">
        <v>-8.9730550000000006E-2</v>
      </c>
      <c r="X7993">
        <v>0.99565539999999997</v>
      </c>
      <c r="Y7993">
        <v>7.6115009999999997E-3</v>
      </c>
      <c r="Z7993">
        <v>-3.0249529999999999E-3</v>
      </c>
      <c r="AA7993">
        <v>0.99996640000000003</v>
      </c>
      <c r="AB7993">
        <v>25</v>
      </c>
      <c r="AC7993">
        <v>0.73520000000001995</v>
      </c>
      <c r="AD7993">
        <v>-0.28480230000000001</v>
      </c>
      <c r="AE7993">
        <v>-3.0700000000010099E-3</v>
      </c>
      <c r="AF7993">
        <v>6.2531015410127698E-3</v>
      </c>
      <c r="AG7993">
        <v>-0.28480230000000001</v>
      </c>
      <c r="AH7993">
        <v>0.63924531768850801</v>
      </c>
      <c r="AI7993">
        <v>114.01333756899901</v>
      </c>
      <c r="AJ7993">
        <v>89.439550215902401</v>
      </c>
      <c r="AK7993">
        <v>0.69984714584747298</v>
      </c>
      <c r="AL7993">
        <v>95.148105854247405</v>
      </c>
      <c r="AM7993">
        <v>91.431215420483994</v>
      </c>
      <c r="AN7993">
        <v>1.0000000330055501</v>
      </c>
    </row>
    <row r="7994" spans="1:40" x14ac:dyDescent="0.25">
      <c r="A7994" t="str">
        <f>"20190303154335678"</f>
        <v>20190303154335678</v>
      </c>
      <c r="B7994" t="str">
        <f>"1551599015668426"</f>
        <v>1551599015668426</v>
      </c>
      <c r="C7994" t="s">
        <v>40</v>
      </c>
      <c r="D7994">
        <v>5.6116060000000001</v>
      </c>
      <c r="E7994">
        <v>0.51552559999999903</v>
      </c>
      <c r="F7994" t="s">
        <v>71</v>
      </c>
      <c r="G7994">
        <v>-157.3501</v>
      </c>
      <c r="H7994">
        <v>2.2508759999999999</v>
      </c>
      <c r="I7994">
        <v>-63.717640000000003</v>
      </c>
      <c r="J7994">
        <v>-230.488</v>
      </c>
      <c r="K7994">
        <v>1.1211599999999999</v>
      </c>
      <c r="L7994">
        <v>-62.584960000000002</v>
      </c>
      <c r="M7994">
        <v>0.9998726</v>
      </c>
      <c r="N7994">
        <v>-1.4925010000000001E-2</v>
      </c>
      <c r="O7994">
        <v>5.6749180000000001E-3</v>
      </c>
      <c r="P7994">
        <v>0.99407040000000002</v>
      </c>
      <c r="Q7994">
        <v>-0.1043316</v>
      </c>
      <c r="R7994">
        <v>3.064215E-2</v>
      </c>
      <c r="S7994">
        <v>3.024292</v>
      </c>
      <c r="T7994">
        <v>4.6632170000000001E-2</v>
      </c>
      <c r="U7994">
        <v>-4.6722409999999999E-2</v>
      </c>
      <c r="V7994">
        <v>-2.498249E-2</v>
      </c>
      <c r="W7994">
        <v>-8.9485930000000005E-2</v>
      </c>
      <c r="X7994">
        <v>0.99567470000000002</v>
      </c>
      <c r="Y7994">
        <v>2.111913E-2</v>
      </c>
      <c r="Z7994">
        <v>1.773609E-4</v>
      </c>
      <c r="AA7994">
        <v>0.99977700000000003</v>
      </c>
      <c r="AB7994">
        <v>25</v>
      </c>
      <c r="AC7994">
        <v>73.137900000000002</v>
      </c>
      <c r="AD7994">
        <v>1.1297159999999999</v>
      </c>
      <c r="AE7994">
        <v>-1.1326799999999999</v>
      </c>
      <c r="AF7994">
        <v>1.54739043628572</v>
      </c>
      <c r="AG7994">
        <v>1.1297159999999999</v>
      </c>
      <c r="AH7994">
        <v>73.112853587789502</v>
      </c>
      <c r="AI7994">
        <v>89.114952891196694</v>
      </c>
      <c r="AJ7994">
        <v>88.787549620467502</v>
      </c>
      <c r="AK7994">
        <v>73.137952084758993</v>
      </c>
      <c r="AL7994">
        <v>95.134033810253598</v>
      </c>
      <c r="AM7994">
        <v>91.437307757595704</v>
      </c>
      <c r="AN7994">
        <v>0.99999998234732701</v>
      </c>
    </row>
    <row r="7995" spans="1:40" x14ac:dyDescent="0.25">
      <c r="A7995" t="str">
        <f>"20190303154335688"</f>
        <v>20190303154335688</v>
      </c>
      <c r="B7995" t="str">
        <f>"1551599015678187"</f>
        <v>1551599015678187</v>
      </c>
      <c r="C7995" t="s">
        <v>40</v>
      </c>
      <c r="D7995">
        <v>5.5849140000000004</v>
      </c>
      <c r="E7995">
        <v>0.51309830000000001</v>
      </c>
      <c r="F7995" t="s">
        <v>71</v>
      </c>
      <c r="G7995">
        <v>-157.3501</v>
      </c>
      <c r="H7995">
        <v>1.630736</v>
      </c>
      <c r="I7995">
        <v>-63.177529999999997</v>
      </c>
      <c r="J7995">
        <v>-230.3639</v>
      </c>
      <c r="K7995">
        <v>1.1211629999999999</v>
      </c>
      <c r="L7995">
        <v>-62.584200000000003</v>
      </c>
      <c r="M7995">
        <v>0.99987210000000004</v>
      </c>
      <c r="N7995">
        <v>-1.4922090000000001E-2</v>
      </c>
      <c r="O7995">
        <v>5.7438469999999998E-3</v>
      </c>
      <c r="P7995">
        <v>0.99408050000000003</v>
      </c>
      <c r="Q7995">
        <v>-0.1042179</v>
      </c>
      <c r="R7995">
        <v>3.0701840000000001E-2</v>
      </c>
      <c r="S7995">
        <v>3.0208439999999999</v>
      </c>
      <c r="T7995">
        <v>2.10464E-2</v>
      </c>
      <c r="U7995">
        <v>-2.44751E-2</v>
      </c>
      <c r="V7995">
        <v>-2.4973240000000001E-2</v>
      </c>
      <c r="W7995">
        <v>-8.9374980000000007E-2</v>
      </c>
      <c r="X7995">
        <v>0.99568489999999998</v>
      </c>
      <c r="Y7995">
        <v>1.384498E-2</v>
      </c>
      <c r="Z7995" s="1">
        <v>7.0650850000000001E-5</v>
      </c>
      <c r="AA7995">
        <v>0.99990420000000002</v>
      </c>
      <c r="AB7995">
        <v>25</v>
      </c>
      <c r="AC7995">
        <v>73.013800000000003</v>
      </c>
      <c r="AD7995">
        <v>0.50957299999999905</v>
      </c>
      <c r="AE7995">
        <v>-0.59333000000000102</v>
      </c>
      <c r="AF7995">
        <v>1.0126977078450199</v>
      </c>
      <c r="AG7995">
        <v>0.50957299999999905</v>
      </c>
      <c r="AH7995">
        <v>73.005631172774997</v>
      </c>
      <c r="AI7995">
        <v>89.600125370650403</v>
      </c>
      <c r="AJ7995">
        <v>89.205272490724596</v>
      </c>
      <c r="AK7995">
        <v>73.014432848753003</v>
      </c>
      <c r="AL7995">
        <v>95.127651255735003</v>
      </c>
      <c r="AM7995">
        <v>91.436761091644897</v>
      </c>
      <c r="AN7995">
        <v>0.999999984927053</v>
      </c>
    </row>
    <row r="7996" spans="1:40" x14ac:dyDescent="0.25">
      <c r="A7996" t="str">
        <f>"20190303154335700"</f>
        <v>20190303154335700</v>
      </c>
      <c r="B7996" t="str">
        <f>"1551599015687946"</f>
        <v>1551599015687946</v>
      </c>
      <c r="C7996" t="s">
        <v>40</v>
      </c>
      <c r="D7996">
        <v>5.4837369999999996</v>
      </c>
      <c r="E7996">
        <v>0.51216049999999902</v>
      </c>
      <c r="F7996" t="s">
        <v>71</v>
      </c>
      <c r="G7996">
        <v>-157.3501</v>
      </c>
      <c r="H7996">
        <v>1.001903</v>
      </c>
      <c r="I7996">
        <v>-62.717849999999999</v>
      </c>
      <c r="J7996">
        <v>-230.2381</v>
      </c>
      <c r="K7996">
        <v>1.121165</v>
      </c>
      <c r="L7996">
        <v>-62.583370000000002</v>
      </c>
      <c r="M7996">
        <v>0.99987179999999998</v>
      </c>
      <c r="N7996">
        <v>-1.4919150000000001E-2</v>
      </c>
      <c r="O7996">
        <v>5.8139680000000001E-3</v>
      </c>
      <c r="P7996">
        <v>0.99411510000000003</v>
      </c>
      <c r="Q7996">
        <v>-0.1038307</v>
      </c>
      <c r="R7996">
        <v>3.0894310000000001E-2</v>
      </c>
      <c r="S7996">
        <v>3.0175169999999998</v>
      </c>
      <c r="T7996">
        <v>-4.9296619999999996E-3</v>
      </c>
      <c r="U7996">
        <v>-5.5236819999999898E-3</v>
      </c>
      <c r="V7996">
        <v>-2.5096130000000001E-2</v>
      </c>
      <c r="W7996">
        <v>-8.8990310000000003E-2</v>
      </c>
      <c r="X7996">
        <v>0.9957163</v>
      </c>
      <c r="Y7996">
        <v>7.6444950000000003E-3</v>
      </c>
      <c r="Z7996" s="1">
        <v>1.397421E-5</v>
      </c>
      <c r="AA7996">
        <v>0.99997080000000005</v>
      </c>
      <c r="AB7996">
        <v>25</v>
      </c>
      <c r="AC7996">
        <v>72.888000000000005</v>
      </c>
      <c r="AD7996">
        <v>-0.11926199999999899</v>
      </c>
      <c r="AE7996">
        <v>-0.13448000000000301</v>
      </c>
      <c r="AF7996">
        <v>0.55829190085922298</v>
      </c>
      <c r="AG7996">
        <v>-0.11926199999999899</v>
      </c>
      <c r="AH7996">
        <v>72.885790743386906</v>
      </c>
      <c r="AI7996">
        <v>90.093749448770097</v>
      </c>
      <c r="AJ7996">
        <v>89.561133332749804</v>
      </c>
      <c r="AK7996">
        <v>72.888026489677898</v>
      </c>
      <c r="AL7996">
        <v>95.105522931143696</v>
      </c>
      <c r="AM7996">
        <v>91.443782704943203</v>
      </c>
      <c r="AN7996">
        <v>1.0000000205502799</v>
      </c>
    </row>
    <row r="7997" spans="1:40" x14ac:dyDescent="0.25">
      <c r="A7997" t="str">
        <f>"20190303154335710"</f>
        <v>20190303154335710</v>
      </c>
      <c r="B7997" t="str">
        <f>"1551599015708443"</f>
        <v>1551599015708443</v>
      </c>
      <c r="C7997" t="s">
        <v>40</v>
      </c>
      <c r="D7997">
        <v>5.5830039999999999</v>
      </c>
      <c r="E7997">
        <v>0.50894659999999903</v>
      </c>
      <c r="F7997" t="s">
        <v>71</v>
      </c>
      <c r="G7997">
        <v>-157.3501</v>
      </c>
      <c r="H7997">
        <v>0.67430970000000001</v>
      </c>
      <c r="I7997">
        <v>-62.530259999999998</v>
      </c>
      <c r="J7997">
        <v>-230.11580000000001</v>
      </c>
      <c r="K7997">
        <v>1.1211660000000001</v>
      </c>
      <c r="L7997">
        <v>-62.582610000000003</v>
      </c>
      <c r="M7997">
        <v>0.99987159999999997</v>
      </c>
      <c r="N7997">
        <v>-1.491632E-2</v>
      </c>
      <c r="O7997">
        <v>5.8827749999999998E-3</v>
      </c>
      <c r="P7997">
        <v>0.99413079999999998</v>
      </c>
      <c r="Q7997">
        <v>-0.103615899999999</v>
      </c>
      <c r="R7997">
        <v>3.1111710000000001E-2</v>
      </c>
      <c r="S7997">
        <v>3.0157620000000001</v>
      </c>
      <c r="T7997">
        <v>-1.8489599999999998E-2</v>
      </c>
      <c r="U7997">
        <v>2.1972659999999998E-3</v>
      </c>
      <c r="V7997">
        <v>-2.5245219999999999E-2</v>
      </c>
      <c r="W7997">
        <v>-8.8778090000000004E-2</v>
      </c>
      <c r="X7997">
        <v>0.99573149999999999</v>
      </c>
      <c r="Y7997">
        <v>5.1542879999999999E-3</v>
      </c>
      <c r="Z7997" s="1">
        <v>-2.5560289999999999E-6</v>
      </c>
      <c r="AA7997">
        <v>0.99998670000000001</v>
      </c>
      <c r="AB7997">
        <v>25</v>
      </c>
      <c r="AC7997">
        <v>72.765699999999995</v>
      </c>
      <c r="AD7997">
        <v>-0.44685629999999898</v>
      </c>
      <c r="AE7997">
        <v>5.2349999999997003E-2</v>
      </c>
      <c r="AF7997">
        <v>0.37574853738034902</v>
      </c>
      <c r="AG7997">
        <v>-0.44685629999999898</v>
      </c>
      <c r="AH7997">
        <v>72.762004587102396</v>
      </c>
      <c r="AI7997">
        <v>90.351863818812205</v>
      </c>
      <c r="AJ7997">
        <v>89.704122857789798</v>
      </c>
      <c r="AK7997">
        <v>72.764346894957498</v>
      </c>
      <c r="AL7997">
        <v>95.093315176733597</v>
      </c>
      <c r="AM7997">
        <v>91.452334042819302</v>
      </c>
      <c r="AN7997">
        <v>1.0000000452445701</v>
      </c>
    </row>
    <row r="7998" spans="1:40" x14ac:dyDescent="0.25">
      <c r="A7998" t="str">
        <f>"20190303154335722"</f>
        <v>20190303154335722</v>
      </c>
      <c r="B7998" t="str">
        <f>"1551599015718202"</f>
        <v>1551599015718202</v>
      </c>
      <c r="C7998" t="s">
        <v>40</v>
      </c>
      <c r="D7998">
        <v>5.5866939999999996</v>
      </c>
      <c r="E7998">
        <v>0.50703719999999997</v>
      </c>
      <c r="F7998" t="s">
        <v>43</v>
      </c>
      <c r="G7998">
        <v>-167.87639999999999</v>
      </c>
      <c r="H7998">
        <v>-0.05</v>
      </c>
      <c r="I7998">
        <v>-62.012949999999996</v>
      </c>
      <c r="J7998">
        <v>-229.9897</v>
      </c>
      <c r="K7998">
        <v>1.1211690000000001</v>
      </c>
      <c r="L7998">
        <v>-62.581789999999998</v>
      </c>
      <c r="M7998">
        <v>0.99987119999999996</v>
      </c>
      <c r="N7998">
        <v>-1.491338E-2</v>
      </c>
      <c r="O7998">
        <v>5.9540869999999899E-3</v>
      </c>
      <c r="P7998">
        <v>0.99413669999999998</v>
      </c>
      <c r="Q7998">
        <v>-0.1035532</v>
      </c>
      <c r="R7998">
        <v>3.1136489999999999E-2</v>
      </c>
      <c r="S7998">
        <v>3.0109409999999999</v>
      </c>
      <c r="T7998">
        <v>-5.6657310000000002E-2</v>
      </c>
      <c r="U7998">
        <v>2.7557370000000001E-2</v>
      </c>
      <c r="V7998">
        <v>-2.519882E-2</v>
      </c>
      <c r="W7998">
        <v>-8.8718169999999999E-2</v>
      </c>
      <c r="X7998">
        <v>0.99573800000000001</v>
      </c>
      <c r="Y7998">
        <v>-3.1963999999999998E-3</v>
      </c>
      <c r="Z7998" s="1">
        <v>3.068304E-5</v>
      </c>
      <c r="AA7998">
        <v>0.99999490000000002</v>
      </c>
      <c r="AB7998">
        <v>25</v>
      </c>
      <c r="AC7998">
        <v>62.113300000000002</v>
      </c>
      <c r="AD7998">
        <v>-1.1711689999999999</v>
      </c>
      <c r="AE7998">
        <v>0.56884000000000801</v>
      </c>
      <c r="AF7998">
        <v>-0.19889013593809601</v>
      </c>
      <c r="AG7998">
        <v>-1.1711689999999999</v>
      </c>
      <c r="AH7998">
        <v>62.093512117075299</v>
      </c>
      <c r="AI7998">
        <v>91.080543502359902</v>
      </c>
      <c r="AJ7998">
        <v>90.183522014073702</v>
      </c>
      <c r="AK7998">
        <v>62.104874536111097</v>
      </c>
      <c r="AL7998">
        <v>95.089868493898294</v>
      </c>
      <c r="AM7998">
        <v>91.449656374937604</v>
      </c>
      <c r="AN7998">
        <v>1.00000002943077</v>
      </c>
    </row>
    <row r="7999" spans="1:40" x14ac:dyDescent="0.25">
      <c r="A7999" t="str">
        <f>"20190303154335733"</f>
        <v>20190303154335733</v>
      </c>
      <c r="B7999" t="str">
        <f>"1551599015727962"</f>
        <v>1551599015727962</v>
      </c>
      <c r="C7999" t="s">
        <v>40</v>
      </c>
      <c r="D7999">
        <v>5.4741179999999998</v>
      </c>
      <c r="E7999">
        <v>0.50571250000000001</v>
      </c>
      <c r="F7999" t="s">
        <v>58</v>
      </c>
      <c r="G7999">
        <v>-183.53290000000001</v>
      </c>
      <c r="H7999" s="1">
        <v>-1.003152E-5</v>
      </c>
      <c r="I7999">
        <v>-61.925879999999999</v>
      </c>
      <c r="J7999">
        <v>-229.86070000000001</v>
      </c>
      <c r="K7999">
        <v>1.1211690000000001</v>
      </c>
      <c r="L7999">
        <v>-62.580959999999997</v>
      </c>
      <c r="M7999">
        <v>0.99987079999999995</v>
      </c>
      <c r="N7999">
        <v>-1.4910349999999999E-2</v>
      </c>
      <c r="O7999">
        <v>6.0271869999999998E-3</v>
      </c>
      <c r="P7999">
        <v>0.99417659999999997</v>
      </c>
      <c r="Q7999">
        <v>-0.1030726</v>
      </c>
      <c r="R7999">
        <v>3.1449110000000002E-2</v>
      </c>
      <c r="S7999">
        <v>3.008804</v>
      </c>
      <c r="T7999">
        <v>-7.2613839999999999E-2</v>
      </c>
      <c r="U7999">
        <v>4.2480469999999999E-2</v>
      </c>
      <c r="V7999">
        <v>-2.5438260000000001E-2</v>
      </c>
      <c r="W7999">
        <v>-8.824005E-2</v>
      </c>
      <c r="X7999">
        <v>0.99577439999999995</v>
      </c>
      <c r="Y7999">
        <v>-8.0862509999999992E-3</v>
      </c>
      <c r="Z7999">
        <v>1.02298E-4</v>
      </c>
      <c r="AA7999">
        <v>0.9999673</v>
      </c>
      <c r="AB7999">
        <v>25</v>
      </c>
      <c r="AC7999">
        <v>46.327800000000003</v>
      </c>
      <c r="AD7999">
        <v>-1.1211790315200001</v>
      </c>
      <c r="AE7999">
        <v>0.655079999999991</v>
      </c>
      <c r="AF7999">
        <v>-0.37559084245850199</v>
      </c>
      <c r="AG7999">
        <v>-1.1211790315200001</v>
      </c>
      <c r="AH7999">
        <v>46.303792888540997</v>
      </c>
      <c r="AI7999">
        <v>91.387017362952506</v>
      </c>
      <c r="AJ7999">
        <v>90.464741586036595</v>
      </c>
      <c r="AK7999">
        <v>46.318887581272499</v>
      </c>
      <c r="AL7999">
        <v>95.062366352784906</v>
      </c>
      <c r="AM7999">
        <v>91.463371623223097</v>
      </c>
      <c r="AN7999">
        <v>1.0000000335955901</v>
      </c>
    </row>
    <row r="8000" spans="1:40" x14ac:dyDescent="0.25">
      <c r="A8000" t="str">
        <f>"20190303154335745"</f>
        <v>20190303154335745</v>
      </c>
      <c r="B8000" t="str">
        <f>"1551599015737724"</f>
        <v>1551599015737724</v>
      </c>
      <c r="C8000" t="s">
        <v>40</v>
      </c>
      <c r="D8000">
        <v>5.5179499999999999</v>
      </c>
      <c r="E8000">
        <v>0.504621599999999</v>
      </c>
      <c r="F8000" t="s">
        <v>58</v>
      </c>
      <c r="G8000">
        <v>-190.47540000000001</v>
      </c>
      <c r="H8000" s="1">
        <v>-9.7022970000000004E-6</v>
      </c>
      <c r="I8000">
        <v>-61.878269999999901</v>
      </c>
      <c r="J8000">
        <v>-229.73249999999999</v>
      </c>
      <c r="K8000">
        <v>1.1211709999999999</v>
      </c>
      <c r="L8000">
        <v>-62.580109999999998</v>
      </c>
      <c r="M8000">
        <v>0.99987029999999999</v>
      </c>
      <c r="N8000">
        <v>-1.490732E-2</v>
      </c>
      <c r="O8000">
        <v>6.1001680000000004E-3</v>
      </c>
      <c r="P8000">
        <v>0.99420019999999998</v>
      </c>
      <c r="Q8000">
        <v>-0.1028461</v>
      </c>
      <c r="R8000">
        <v>3.1446349999999998E-2</v>
      </c>
      <c r="S8000">
        <v>3.0070039999999998</v>
      </c>
      <c r="T8000">
        <v>-8.5600019999999999E-2</v>
      </c>
      <c r="U8000">
        <v>5.36499E-2</v>
      </c>
      <c r="V8000">
        <v>-2.536327E-2</v>
      </c>
      <c r="W8000">
        <v>-8.8016250000000004E-2</v>
      </c>
      <c r="X8000">
        <v>0.99579609999999996</v>
      </c>
      <c r="Y8000">
        <v>-1.173192E-2</v>
      </c>
      <c r="Z8000">
        <v>1.7175029999999999E-4</v>
      </c>
      <c r="AA8000">
        <v>0.99993120000000002</v>
      </c>
      <c r="AB8000">
        <v>25</v>
      </c>
      <c r="AC8000">
        <v>39.257099999999902</v>
      </c>
      <c r="AD8000">
        <v>-1.121180702297</v>
      </c>
      <c r="AE8000">
        <v>0.70184000000000402</v>
      </c>
      <c r="AF8000">
        <v>-0.46194874908288203</v>
      </c>
      <c r="AG8000">
        <v>-1.121180702297</v>
      </c>
      <c r="AH8000">
        <v>39.228663786808902</v>
      </c>
      <c r="AI8000">
        <v>91.636991514119003</v>
      </c>
      <c r="AJ8000">
        <v>90.674672237090903</v>
      </c>
      <c r="AK8000">
        <v>39.2474012555287</v>
      </c>
      <c r="AL8000">
        <v>95.049493569151707</v>
      </c>
      <c r="AM8000">
        <v>91.459027804187997</v>
      </c>
      <c r="AN8000">
        <v>1.0000000142521801</v>
      </c>
    </row>
    <row r="8001" spans="1:40" x14ac:dyDescent="0.25">
      <c r="A8001" t="str">
        <f>"20190303154335757"</f>
        <v>20190303154335757</v>
      </c>
      <c r="B8001" t="str">
        <f>"1551599015748459"</f>
        <v>1551599015748459</v>
      </c>
      <c r="C8001" t="s">
        <v>40</v>
      </c>
      <c r="D8001">
        <v>5.5041520000000004</v>
      </c>
      <c r="E8001">
        <v>0.50379870000000004</v>
      </c>
      <c r="F8001" t="s">
        <v>58</v>
      </c>
      <c r="G8001">
        <v>-194.8904</v>
      </c>
      <c r="H8001" s="1">
        <v>-7.873882E-6</v>
      </c>
      <c r="I8001">
        <v>-61.860529999999997</v>
      </c>
      <c r="J8001">
        <v>-229.59729999999999</v>
      </c>
      <c r="K8001">
        <v>1.1211739999999999</v>
      </c>
      <c r="L8001">
        <v>-62.579160000000002</v>
      </c>
      <c r="M8001">
        <v>0.99986989999999998</v>
      </c>
      <c r="N8001">
        <v>-1.490412E-2</v>
      </c>
      <c r="O8001">
        <v>6.1773219999999998E-3</v>
      </c>
      <c r="P8001">
        <v>0.99420310000000001</v>
      </c>
      <c r="Q8001">
        <v>-0.1027346</v>
      </c>
      <c r="R8001">
        <v>3.1715550000000002E-2</v>
      </c>
      <c r="S8001">
        <v>3.0055540000000001</v>
      </c>
      <c r="T8001">
        <v>-9.6715449999999994E-2</v>
      </c>
      <c r="U8001">
        <v>6.2072750000000003E-2</v>
      </c>
      <c r="V8001">
        <v>-2.5555350000000001E-2</v>
      </c>
      <c r="W8001">
        <v>-8.7907959999999993E-2</v>
      </c>
      <c r="X8001">
        <v>0.99580069999999998</v>
      </c>
      <c r="Y8001">
        <v>-1.4461160000000001E-2</v>
      </c>
      <c r="Z8001">
        <v>2.337602E-4</v>
      </c>
      <c r="AA8001">
        <v>0.99989539999999999</v>
      </c>
      <c r="AB8001">
        <v>25</v>
      </c>
      <c r="AC8001">
        <v>34.706899999999898</v>
      </c>
      <c r="AD8001">
        <v>-1.1211818738820001</v>
      </c>
      <c r="AE8001">
        <v>0.71862999999999</v>
      </c>
      <c r="AF8001">
        <v>-0.50367139447758502</v>
      </c>
      <c r="AG8001">
        <v>-1.1211818738820001</v>
      </c>
      <c r="AH8001">
        <v>34.6745076752267</v>
      </c>
      <c r="AI8001">
        <v>91.851788278253593</v>
      </c>
      <c r="AJ8001">
        <v>90.832202609344094</v>
      </c>
      <c r="AK8001">
        <v>34.696285337011098</v>
      </c>
      <c r="AL8001">
        <v>95.043265141377205</v>
      </c>
      <c r="AM8001">
        <v>91.470065630986994</v>
      </c>
      <c r="AN8001">
        <v>0.99999995973273603</v>
      </c>
    </row>
    <row r="8002" spans="1:40" x14ac:dyDescent="0.25">
      <c r="A8002" t="str">
        <f>"20190303154335767"</f>
        <v>20190303154335767</v>
      </c>
      <c r="B8002" t="str">
        <f>"1551599015758219"</f>
        <v>1551599015758219</v>
      </c>
      <c r="C8002" t="s">
        <v>40</v>
      </c>
      <c r="D8002">
        <v>5.5197159999999998</v>
      </c>
      <c r="E8002">
        <v>0.50320140000000002</v>
      </c>
      <c r="F8002" t="s">
        <v>58</v>
      </c>
      <c r="G8002">
        <v>-197.4271</v>
      </c>
      <c r="H8002" s="1">
        <v>-6.8394250000000002E-6</v>
      </c>
      <c r="I8002">
        <v>-61.838709999999999</v>
      </c>
      <c r="J8002">
        <v>-229.48490000000001</v>
      </c>
      <c r="K8002">
        <v>1.1211739999999999</v>
      </c>
      <c r="L8002">
        <v>-62.578429999999997</v>
      </c>
      <c r="M8002">
        <v>0.99986949999999997</v>
      </c>
      <c r="N8002">
        <v>-1.490144E-2</v>
      </c>
      <c r="O8002">
        <v>6.2415359999999998E-3</v>
      </c>
      <c r="P8002">
        <v>0.99422390000000005</v>
      </c>
      <c r="Q8002">
        <v>-0.1024544</v>
      </c>
      <c r="R8002">
        <v>3.1971680000000002E-2</v>
      </c>
      <c r="S8002">
        <v>3.0044710000000001</v>
      </c>
      <c r="T8002">
        <v>-0.1047106</v>
      </c>
      <c r="U8002">
        <v>6.9152829999999998E-2</v>
      </c>
      <c r="V8002">
        <v>-2.5747329999999999E-2</v>
      </c>
      <c r="W8002">
        <v>-8.7630089999999994E-2</v>
      </c>
      <c r="X8002">
        <v>0.99582029999999999</v>
      </c>
      <c r="Y8002">
        <v>-1.675625E-2</v>
      </c>
      <c r="Z8002">
        <v>2.9234619999999998E-4</v>
      </c>
      <c r="AA8002">
        <v>0.99985959999999996</v>
      </c>
      <c r="AB8002">
        <v>25</v>
      </c>
      <c r="AC8002">
        <v>32.0578</v>
      </c>
      <c r="AD8002">
        <v>-1.12118083942499</v>
      </c>
      <c r="AE8002">
        <v>0.73972000000000504</v>
      </c>
      <c r="AF8002">
        <v>-0.53893460560942097</v>
      </c>
      <c r="AG8002">
        <v>-1.12118083942499</v>
      </c>
      <c r="AH8002">
        <v>32.022644891006898</v>
      </c>
      <c r="AI8002">
        <v>92.004944191457199</v>
      </c>
      <c r="AJ8002">
        <v>90.964185299348699</v>
      </c>
      <c r="AK8002">
        <v>32.046798323691299</v>
      </c>
      <c r="AL8002">
        <v>95.027282411336003</v>
      </c>
      <c r="AM8002">
        <v>91.481075197030293</v>
      </c>
      <c r="AN8002">
        <v>1.0000000137838101</v>
      </c>
    </row>
    <row r="8003" spans="1:40" x14ac:dyDescent="0.25">
      <c r="A8003" t="str">
        <f>"20190303154335777"</f>
        <v>20190303154335777</v>
      </c>
      <c r="B8003" t="str">
        <f>"1551599015767978"</f>
        <v>1551599015767978</v>
      </c>
      <c r="C8003" t="s">
        <v>40</v>
      </c>
      <c r="D8003">
        <v>5.5097550000000002</v>
      </c>
      <c r="E8003">
        <v>0.50275479999999995</v>
      </c>
      <c r="F8003" t="s">
        <v>58</v>
      </c>
      <c r="G8003">
        <v>-198.8793</v>
      </c>
      <c r="H8003" s="1">
        <v>-6.2468769999999999E-6</v>
      </c>
      <c r="I8003">
        <v>-61.820010000000003</v>
      </c>
      <c r="J8003">
        <v>-229.3597</v>
      </c>
      <c r="K8003">
        <v>1.121173</v>
      </c>
      <c r="L8003">
        <v>-62.577579999999998</v>
      </c>
      <c r="M8003">
        <v>0.99986920000000001</v>
      </c>
      <c r="N8003">
        <v>-1.4898450000000001E-2</v>
      </c>
      <c r="O8003">
        <v>6.3130240000000004E-3</v>
      </c>
      <c r="P8003">
        <v>0.99422920000000004</v>
      </c>
      <c r="Q8003">
        <v>-0.1022588</v>
      </c>
      <c r="R8003">
        <v>3.2428369999999998E-2</v>
      </c>
      <c r="S8003">
        <v>3.0036930000000002</v>
      </c>
      <c r="T8003">
        <v>-0.1100346</v>
      </c>
      <c r="U8003">
        <v>7.4432369999999998E-2</v>
      </c>
      <c r="V8003">
        <v>-2.6132880000000001E-2</v>
      </c>
      <c r="W8003">
        <v>-8.7437500000000001E-2</v>
      </c>
      <c r="X8003">
        <v>0.99582720000000002</v>
      </c>
      <c r="Y8003">
        <v>-1.8444499999999999E-2</v>
      </c>
      <c r="Z8003">
        <v>3.380468E-4</v>
      </c>
      <c r="AA8003">
        <v>0.99982979999999999</v>
      </c>
      <c r="AB8003">
        <v>25</v>
      </c>
      <c r="AC8003">
        <v>30.480399999999999</v>
      </c>
      <c r="AD8003">
        <v>-1.1211792468770001</v>
      </c>
      <c r="AE8003">
        <v>0.75757000000000796</v>
      </c>
      <c r="AF8003">
        <v>-0.56434695778785005</v>
      </c>
      <c r="AG8003">
        <v>-1.1211792468770001</v>
      </c>
      <c r="AH8003">
        <v>30.4434100144314</v>
      </c>
      <c r="AI8003">
        <v>92.108791355045</v>
      </c>
      <c r="AJ8003">
        <v>91.062003098890997</v>
      </c>
      <c r="AK8003">
        <v>30.469275404892201</v>
      </c>
      <c r="AL8003">
        <v>95.016205226653497</v>
      </c>
      <c r="AM8003">
        <v>91.503232850085297</v>
      </c>
      <c r="AN8003">
        <v>1.0000000280415899</v>
      </c>
    </row>
    <row r="8004" spans="1:40" x14ac:dyDescent="0.25">
      <c r="A8004" t="str">
        <f>"20190303154335789"</f>
        <v>20190303154335789</v>
      </c>
      <c r="B8004" t="str">
        <f>"1551599015777739"</f>
        <v>1551599015777739</v>
      </c>
      <c r="C8004" t="s">
        <v>40</v>
      </c>
      <c r="D8004">
        <v>5.5675780000000001</v>
      </c>
      <c r="E8004">
        <v>0.50218759999999996</v>
      </c>
      <c r="F8004" t="s">
        <v>58</v>
      </c>
      <c r="G8004">
        <v>-199.86490000000001</v>
      </c>
      <c r="H8004" s="1">
        <v>-5.8442529999999999E-6</v>
      </c>
      <c r="I8004">
        <v>-61.799779999999998</v>
      </c>
      <c r="J8004">
        <v>-229.2277</v>
      </c>
      <c r="K8004">
        <v>1.1211739999999999</v>
      </c>
      <c r="L8004">
        <v>-62.576659999999997</v>
      </c>
      <c r="M8004">
        <v>0.9998686</v>
      </c>
      <c r="N8004">
        <v>-1.48953E-2</v>
      </c>
      <c r="O8004">
        <v>6.3886239999999999E-3</v>
      </c>
      <c r="P8004">
        <v>0.99423980000000001</v>
      </c>
      <c r="Q8004">
        <v>-0.1020904</v>
      </c>
      <c r="R8004">
        <v>3.2632359999999999E-2</v>
      </c>
      <c r="S8004">
        <v>3.003098</v>
      </c>
      <c r="T8004">
        <v>-0.11415599999999999</v>
      </c>
      <c r="U8004">
        <v>7.9193120000000006E-2</v>
      </c>
      <c r="V8004">
        <v>-2.6261469999999999E-2</v>
      </c>
      <c r="W8004">
        <v>-8.7272020000000006E-2</v>
      </c>
      <c r="X8004">
        <v>0.99583829999999995</v>
      </c>
      <c r="Y8004">
        <v>-1.9955319999999999E-2</v>
      </c>
      <c r="Z8004">
        <v>3.8022229999999999E-4</v>
      </c>
      <c r="AA8004">
        <v>0.99980080000000005</v>
      </c>
      <c r="AB8004">
        <v>25</v>
      </c>
      <c r="AC8004">
        <v>29.3628</v>
      </c>
      <c r="AD8004">
        <v>-1.1211798442530001</v>
      </c>
      <c r="AE8004">
        <v>0.77687999999999102</v>
      </c>
      <c r="AF8004">
        <v>-0.588398150155508</v>
      </c>
      <c r="AG8004">
        <v>-1.1211798442530001</v>
      </c>
      <c r="AH8004">
        <v>29.324439454011699</v>
      </c>
      <c r="AI8004">
        <v>92.189119085888507</v>
      </c>
      <c r="AJ8004">
        <v>91.149491961352794</v>
      </c>
      <c r="AK8004">
        <v>29.351763250582799</v>
      </c>
      <c r="AL8004">
        <v>95.006687703506401</v>
      </c>
      <c r="AM8004">
        <v>91.510609440095394</v>
      </c>
      <c r="AN8004">
        <v>0.99999999501416503</v>
      </c>
    </row>
    <row r="8005" spans="1:40" x14ac:dyDescent="0.25">
      <c r="A8005" t="str">
        <f>"20190303154335801"</f>
        <v>20190303154335801</v>
      </c>
      <c r="B8005" t="str">
        <f>"1551599015798234"</f>
        <v>1551599015798234</v>
      </c>
      <c r="C8005" t="s">
        <v>40</v>
      </c>
      <c r="D8005">
        <v>5.6114100000000002</v>
      </c>
      <c r="E8005">
        <v>0.50090040000000002</v>
      </c>
      <c r="F8005" t="s">
        <v>58</v>
      </c>
      <c r="G8005">
        <v>-200.71129999999999</v>
      </c>
      <c r="H8005" s="1">
        <v>-5.4210939999999999E-6</v>
      </c>
      <c r="I8005">
        <v>-61.775820000000003</v>
      </c>
      <c r="J8005">
        <v>-229.1061</v>
      </c>
      <c r="K8005">
        <v>1.1211739999999999</v>
      </c>
      <c r="L8005">
        <v>-62.575809999999997</v>
      </c>
      <c r="M8005">
        <v>0.99986830000000004</v>
      </c>
      <c r="N8005">
        <v>-1.489239E-2</v>
      </c>
      <c r="O8005">
        <v>6.4580820000000004E-3</v>
      </c>
      <c r="P8005">
        <v>0.99421409999999999</v>
      </c>
      <c r="Q8005">
        <v>-0.1022689</v>
      </c>
      <c r="R8005">
        <v>3.2857619999999997E-2</v>
      </c>
      <c r="S8005">
        <v>3.002472</v>
      </c>
      <c r="T8005">
        <v>-0.1180481</v>
      </c>
      <c r="U8005">
        <v>8.4320069999999997E-2</v>
      </c>
      <c r="V8005">
        <v>-2.6418219999999999E-2</v>
      </c>
      <c r="W8005">
        <v>-8.7453779999999995E-2</v>
      </c>
      <c r="X8005">
        <v>0.99581819999999999</v>
      </c>
      <c r="Y8005">
        <v>-2.159457E-2</v>
      </c>
      <c r="Z8005">
        <v>4.275778E-4</v>
      </c>
      <c r="AA8005">
        <v>0.99976670000000001</v>
      </c>
      <c r="AB8005">
        <v>25</v>
      </c>
      <c r="AC8005">
        <v>28.3948</v>
      </c>
      <c r="AD8005">
        <v>-1.12117942109399</v>
      </c>
      <c r="AE8005">
        <v>0.79999000000000098</v>
      </c>
      <c r="AF8005">
        <v>-0.615617992703412</v>
      </c>
      <c r="AG8005">
        <v>-1.12117942109399</v>
      </c>
      <c r="AH8005">
        <v>28.355201315564202</v>
      </c>
      <c r="AI8005">
        <v>92.263792467207196</v>
      </c>
      <c r="AJ8005">
        <v>91.243749670704005</v>
      </c>
      <c r="AK8005">
        <v>28.3840354856987</v>
      </c>
      <c r="AL8005">
        <v>95.017141796706099</v>
      </c>
      <c r="AM8005">
        <v>91.519652439679007</v>
      </c>
      <c r="AN8005">
        <v>0.99999998671774804</v>
      </c>
    </row>
    <row r="8006" spans="1:40" x14ac:dyDescent="0.25">
      <c r="A8006" t="str">
        <f>"20190303154335812"</f>
        <v>20190303154335812</v>
      </c>
      <c r="B8006" t="str">
        <f>"1551599015807994"</f>
        <v>1551599015807994</v>
      </c>
      <c r="C8006" t="s">
        <v>40</v>
      </c>
      <c r="D8006">
        <v>5.623075</v>
      </c>
      <c r="E8006">
        <v>0.50032849999999995</v>
      </c>
      <c r="F8006" t="s">
        <v>58</v>
      </c>
      <c r="G8006">
        <v>-203.35839999999999</v>
      </c>
      <c r="H8006" s="1">
        <v>-4.0713899999999998E-6</v>
      </c>
      <c r="I8006">
        <v>-61.760170000000002</v>
      </c>
      <c r="J8006">
        <v>-228.9718</v>
      </c>
      <c r="K8006">
        <v>1.121173</v>
      </c>
      <c r="L8006">
        <v>-62.574860000000001</v>
      </c>
      <c r="M8006">
        <v>0.99986779999999997</v>
      </c>
      <c r="N8006">
        <v>-1.488918E-2</v>
      </c>
      <c r="O8006">
        <v>6.5348719999999997E-3</v>
      </c>
      <c r="P8006">
        <v>0.99421320000000002</v>
      </c>
      <c r="Q8006">
        <v>-0.1022734</v>
      </c>
      <c r="R8006">
        <v>3.2868769999999999E-2</v>
      </c>
      <c r="S8006">
        <v>3.0008699999999999</v>
      </c>
      <c r="T8006">
        <v>-0.13067210000000001</v>
      </c>
      <c r="U8006">
        <v>9.5062259999999996E-2</v>
      </c>
      <c r="V8006">
        <v>-2.6353149999999999E-2</v>
      </c>
      <c r="W8006">
        <v>-8.7461440000000001E-2</v>
      </c>
      <c r="X8006">
        <v>0.99581929999999996</v>
      </c>
      <c r="Y8006">
        <v>-2.5100129999999998E-2</v>
      </c>
      <c r="Z8006">
        <v>5.4603819999999995E-4</v>
      </c>
      <c r="AA8006">
        <v>0.99968480000000004</v>
      </c>
      <c r="AB8006">
        <v>25</v>
      </c>
      <c r="AC8006">
        <v>25.613399999999999</v>
      </c>
      <c r="AD8006">
        <v>-1.12117707139</v>
      </c>
      <c r="AE8006">
        <v>0.81469000000000502</v>
      </c>
      <c r="AF8006">
        <v>-0.64603714596362505</v>
      </c>
      <c r="AG8006">
        <v>-1.12117707139</v>
      </c>
      <c r="AH8006">
        <v>25.569234235521801</v>
      </c>
      <c r="AI8006">
        <v>92.509935774723999</v>
      </c>
      <c r="AJ8006">
        <v>91.447338154679102</v>
      </c>
      <c r="AK8006">
        <v>25.6019558122101</v>
      </c>
      <c r="AL8006">
        <v>95.017582127034402</v>
      </c>
      <c r="AM8006">
        <v>91.515909499983593</v>
      </c>
      <c r="AN8006">
        <v>1.0000000351271401</v>
      </c>
    </row>
    <row r="8007" spans="1:40" x14ac:dyDescent="0.25">
      <c r="A8007" t="str">
        <f>"20190303154335825"</f>
        <v>20190303154335825</v>
      </c>
      <c r="B8007" t="str">
        <f>"1551599015817754"</f>
        <v>1551599015817754</v>
      </c>
      <c r="C8007" t="s">
        <v>40</v>
      </c>
      <c r="D8007">
        <v>5.615837</v>
      </c>
      <c r="E8007">
        <v>0.49985780000000002</v>
      </c>
      <c r="F8007" t="s">
        <v>58</v>
      </c>
      <c r="G8007">
        <v>-204.63900000000001</v>
      </c>
      <c r="H8007" s="1">
        <v>-3.4798410000000002E-6</v>
      </c>
      <c r="I8007">
        <v>-61.767169999999901</v>
      </c>
      <c r="J8007">
        <v>-228.8322</v>
      </c>
      <c r="K8007">
        <v>1.121173</v>
      </c>
      <c r="L8007">
        <v>-62.57385</v>
      </c>
      <c r="M8007">
        <v>0.99986739999999996</v>
      </c>
      <c r="N8007">
        <v>-1.4885829999999999E-2</v>
      </c>
      <c r="O8007">
        <v>6.6145229999999998E-3</v>
      </c>
      <c r="P8007">
        <v>0.99418740000000005</v>
      </c>
      <c r="Q8007">
        <v>-0.1024978</v>
      </c>
      <c r="R8007">
        <v>3.2949520000000003E-2</v>
      </c>
      <c r="S8007">
        <v>2.9999539999999998</v>
      </c>
      <c r="T8007">
        <v>-0.1382284</v>
      </c>
      <c r="U8007">
        <v>9.9578860000000005E-2</v>
      </c>
      <c r="V8007">
        <v>-2.6354039999999999E-2</v>
      </c>
      <c r="W8007">
        <v>-8.768956E-2</v>
      </c>
      <c r="X8007">
        <v>0.9957992</v>
      </c>
      <c r="Y8007">
        <v>-2.6528840000000001E-2</v>
      </c>
      <c r="Z8007">
        <v>6.0223429999999999E-4</v>
      </c>
      <c r="AA8007">
        <v>0.99964790000000003</v>
      </c>
      <c r="AB8007">
        <v>25</v>
      </c>
      <c r="AC8007">
        <v>24.193199999999901</v>
      </c>
      <c r="AD8007">
        <v>-1.121176479841</v>
      </c>
      <c r="AE8007">
        <v>0.80668000000000695</v>
      </c>
      <c r="AF8007">
        <v>-0.64523395999222799</v>
      </c>
      <c r="AG8007">
        <v>-1.121176479841</v>
      </c>
      <c r="AH8007">
        <v>24.146207269731999</v>
      </c>
      <c r="AI8007">
        <v>92.657547800072805</v>
      </c>
      <c r="AJ8007">
        <v>91.530691202072504</v>
      </c>
      <c r="AK8007">
        <v>24.1808330930705</v>
      </c>
      <c r="AL8007">
        <v>95.030702924732594</v>
      </c>
      <c r="AM8007">
        <v>91.5159912565436</v>
      </c>
      <c r="AN8007">
        <v>1.0000000205389701</v>
      </c>
    </row>
    <row r="8008" spans="1:40" x14ac:dyDescent="0.25">
      <c r="A8008" t="str">
        <f>"20190303154335837"</f>
        <v>20190303154335837</v>
      </c>
      <c r="B8008" t="str">
        <f>"1551599015828490"</f>
        <v>1551599015828490</v>
      </c>
      <c r="C8008" t="s">
        <v>40</v>
      </c>
      <c r="D8008">
        <v>5.6120900000000002</v>
      </c>
      <c r="E8008">
        <v>0.49928400000000001</v>
      </c>
      <c r="F8008" t="s">
        <v>58</v>
      </c>
      <c r="G8008">
        <v>-205.65629999999999</v>
      </c>
      <c r="H8008" s="1">
        <v>-2.9262219999999998E-6</v>
      </c>
      <c r="I8008">
        <v>-61.774410000000003</v>
      </c>
      <c r="J8008">
        <v>-228.6985</v>
      </c>
      <c r="K8008">
        <v>1.1211739999999999</v>
      </c>
      <c r="L8008">
        <v>-62.57291</v>
      </c>
      <c r="M8008">
        <v>0.9998669</v>
      </c>
      <c r="N8008">
        <v>-1.4882599999999999E-2</v>
      </c>
      <c r="O8008">
        <v>6.691013E-3</v>
      </c>
      <c r="P8008">
        <v>0.99416550000000004</v>
      </c>
      <c r="Q8008">
        <v>-0.1026878</v>
      </c>
      <c r="R8008">
        <v>3.3017369999999997E-2</v>
      </c>
      <c r="S8008">
        <v>2.9991460000000001</v>
      </c>
      <c r="T8008">
        <v>-0.14508869999999999</v>
      </c>
      <c r="U8008">
        <v>0.10345459999999999</v>
      </c>
      <c r="V8008">
        <v>-2.6346000000000001E-2</v>
      </c>
      <c r="W8008">
        <v>-8.7883039999999996E-2</v>
      </c>
      <c r="X8008">
        <v>0.99578230000000001</v>
      </c>
      <c r="Y8008">
        <v>-2.7746980000000001E-2</v>
      </c>
      <c r="Z8008">
        <v>6.5339230000000003E-4</v>
      </c>
      <c r="AA8008">
        <v>0.99961480000000003</v>
      </c>
      <c r="AB8008">
        <v>25</v>
      </c>
      <c r="AC8008">
        <v>23.042200000000001</v>
      </c>
      <c r="AD8008">
        <v>-1.1211769262219999</v>
      </c>
      <c r="AE8008">
        <v>0.79850000000000398</v>
      </c>
      <c r="AF8008">
        <v>-0.64276942290229</v>
      </c>
      <c r="AG8008">
        <v>-1.1211769262219999</v>
      </c>
      <c r="AH8008">
        <v>22.992656321984398</v>
      </c>
      <c r="AI8008">
        <v>92.790579536996702</v>
      </c>
      <c r="AJ8008">
        <v>91.601310668759695</v>
      </c>
      <c r="AK8008">
        <v>23.028947760846499</v>
      </c>
      <c r="AL8008">
        <v>95.041831757785999</v>
      </c>
      <c r="AM8008">
        <v>91.515554687791607</v>
      </c>
      <c r="AN8008">
        <v>0.99999996471446495</v>
      </c>
    </row>
    <row r="8009" spans="1:40" x14ac:dyDescent="0.25">
      <c r="A8009" t="str">
        <f>"20190303154335848"</f>
        <v>20190303154335848</v>
      </c>
      <c r="B8009" t="str">
        <f>"1551599015838251"</f>
        <v>1551599015838251</v>
      </c>
      <c r="C8009" t="s">
        <v>40</v>
      </c>
      <c r="D8009">
        <v>5.6350020000000001</v>
      </c>
      <c r="E8009">
        <v>0.49883060000000001</v>
      </c>
      <c r="F8009" t="s">
        <v>58</v>
      </c>
      <c r="G8009">
        <v>-206.39859999999999</v>
      </c>
      <c r="H8009" s="1">
        <v>-2.4536760000000001E-6</v>
      </c>
      <c r="I8009">
        <v>-61.76923</v>
      </c>
      <c r="J8009">
        <v>-228.57640000000001</v>
      </c>
      <c r="K8009">
        <v>1.1211789999999999</v>
      </c>
      <c r="L8009">
        <v>-62.572020000000002</v>
      </c>
      <c r="M8009">
        <v>0.99986640000000004</v>
      </c>
      <c r="N8009">
        <v>-1.487959E-2</v>
      </c>
      <c r="O8009">
        <v>6.760884E-3</v>
      </c>
      <c r="P8009">
        <v>0.99415549999999997</v>
      </c>
      <c r="Q8009">
        <v>-0.1028138</v>
      </c>
      <c r="R8009">
        <v>3.2929189999999997E-2</v>
      </c>
      <c r="S8009">
        <v>2.998459</v>
      </c>
      <c r="T8009">
        <v>-0.15075350000000001</v>
      </c>
      <c r="U8009">
        <v>0.1080627</v>
      </c>
      <c r="V8009">
        <v>-2.6189E-2</v>
      </c>
      <c r="W8009">
        <v>-8.8012080000000006E-2</v>
      </c>
      <c r="X8009">
        <v>0.99577510000000002</v>
      </c>
      <c r="Y8009">
        <v>-2.9214420000000001E-2</v>
      </c>
      <c r="Z8009">
        <v>7.1226600000000003E-4</v>
      </c>
      <c r="AA8009">
        <v>0.99957289999999999</v>
      </c>
      <c r="AB8009">
        <v>25</v>
      </c>
      <c r="AC8009">
        <v>22.177800000000001</v>
      </c>
      <c r="AD8009">
        <v>-1.1211814536759901</v>
      </c>
      <c r="AE8009">
        <v>0.80278999999998701</v>
      </c>
      <c r="AF8009">
        <v>-0.651151518779993</v>
      </c>
      <c r="AG8009">
        <v>-1.1211814536759901</v>
      </c>
      <c r="AH8009">
        <v>22.126246481893102</v>
      </c>
      <c r="AI8009">
        <v>92.899558251938501</v>
      </c>
      <c r="AJ8009">
        <v>91.685666345070004</v>
      </c>
      <c r="AK8009">
        <v>22.164201531522899</v>
      </c>
      <c r="AL8009">
        <v>95.049253686527507</v>
      </c>
      <c r="AM8009">
        <v>91.506538319188195</v>
      </c>
      <c r="AN8009">
        <v>1.00000001986346</v>
      </c>
    </row>
    <row r="8010" spans="1:40" x14ac:dyDescent="0.25">
      <c r="A8010" t="str">
        <f>"20190303154335858"</f>
        <v>20190303154335858</v>
      </c>
      <c r="B8010" t="str">
        <f>"1551599015848011"</f>
        <v>1551599015848011</v>
      </c>
      <c r="C8010" t="s">
        <v>40</v>
      </c>
      <c r="D8010">
        <v>5.6012890000000004</v>
      </c>
      <c r="E8010">
        <v>0.49837559999999897</v>
      </c>
      <c r="F8010" t="s">
        <v>58</v>
      </c>
      <c r="G8010">
        <v>-207.0472</v>
      </c>
      <c r="H8010" s="1">
        <v>-2.0419069999999999E-6</v>
      </c>
      <c r="I8010">
        <v>-61.772930000000002</v>
      </c>
      <c r="J8010">
        <v>-228.4659</v>
      </c>
      <c r="K8010">
        <v>1.1211789999999999</v>
      </c>
      <c r="L8010">
        <v>-62.571170000000002</v>
      </c>
      <c r="M8010">
        <v>0.99986609999999998</v>
      </c>
      <c r="N8010">
        <v>-1.487687E-2</v>
      </c>
      <c r="O8010">
        <v>6.8242569999999898E-3</v>
      </c>
      <c r="P8010">
        <v>0.99415030000000004</v>
      </c>
      <c r="Q8010">
        <v>-0.10281800000000001</v>
      </c>
      <c r="R8010">
        <v>3.3074350000000002E-2</v>
      </c>
      <c r="S8010">
        <v>2.9978030000000002</v>
      </c>
      <c r="T8010">
        <v>-0.1561167</v>
      </c>
      <c r="U8010">
        <v>0.11126709999999999</v>
      </c>
      <c r="V8010">
        <v>-2.627113E-2</v>
      </c>
      <c r="W8010">
        <v>-8.8019029999999998E-2</v>
      </c>
      <c r="X8010">
        <v>0.99577230000000005</v>
      </c>
      <c r="Y8010">
        <v>-3.0221600000000001E-2</v>
      </c>
      <c r="Z8010">
        <v>7.5764750000000003E-4</v>
      </c>
      <c r="AA8010">
        <v>0.99954299999999996</v>
      </c>
      <c r="AB8010">
        <v>25</v>
      </c>
      <c r="AC8010">
        <v>21.418700000000001</v>
      </c>
      <c r="AD8010">
        <v>-1.1211810419069901</v>
      </c>
      <c r="AE8010">
        <v>0.79823999999999196</v>
      </c>
      <c r="AF8010">
        <v>-0.65025922617034904</v>
      </c>
      <c r="AG8010">
        <v>-1.1211810419069901</v>
      </c>
      <c r="AH8010">
        <v>21.365187742990699</v>
      </c>
      <c r="AI8010">
        <v>93.002567607050807</v>
      </c>
      <c r="AJ8010">
        <v>91.743285016844297</v>
      </c>
      <c r="AK8010">
        <v>21.4044652183415</v>
      </c>
      <c r="AL8010">
        <v>95.049653555911704</v>
      </c>
      <c r="AM8010">
        <v>91.511264957844702</v>
      </c>
      <c r="AN8010">
        <v>0.999999997680453</v>
      </c>
    </row>
    <row r="8011" spans="1:40" x14ac:dyDescent="0.25">
      <c r="A8011" t="str">
        <f>"20190303154335867"</f>
        <v>20190303154335867</v>
      </c>
      <c r="B8011" t="str">
        <f>"1551599015857770"</f>
        <v>1551599015857770</v>
      </c>
      <c r="C8011" t="s">
        <v>40</v>
      </c>
      <c r="D8011">
        <v>5.6341570000000001</v>
      </c>
      <c r="E8011">
        <v>0.49803649999999999</v>
      </c>
      <c r="F8011" t="s">
        <v>58</v>
      </c>
      <c r="G8011">
        <v>-207.52080000000001</v>
      </c>
      <c r="H8011" s="1">
        <v>-1.7398799999999999E-6</v>
      </c>
      <c r="I8011">
        <v>-61.765680000000003</v>
      </c>
      <c r="J8011">
        <v>-228.35480000000001</v>
      </c>
      <c r="K8011">
        <v>1.1211770000000001</v>
      </c>
      <c r="L8011">
        <v>-62.570340000000002</v>
      </c>
      <c r="M8011">
        <v>0.99986580000000003</v>
      </c>
      <c r="N8011">
        <v>-1.4874119999999999E-2</v>
      </c>
      <c r="O8011">
        <v>6.8876299999999996E-3</v>
      </c>
      <c r="P8011">
        <v>0.99415810000000004</v>
      </c>
      <c r="Q8011">
        <v>-0.10284550000000001</v>
      </c>
      <c r="R8011">
        <v>3.2756180000000003E-2</v>
      </c>
      <c r="S8011">
        <v>2.9972379999999998</v>
      </c>
      <c r="T8011">
        <v>-0.16044069999999999</v>
      </c>
      <c r="U8011">
        <v>0.1152649</v>
      </c>
      <c r="V8011">
        <v>-2.5889780000000001E-2</v>
      </c>
      <c r="W8011">
        <v>-8.8049080000000002E-2</v>
      </c>
      <c r="X8011">
        <v>0.99577959999999999</v>
      </c>
      <c r="Y8011">
        <v>-3.1491980000000003E-2</v>
      </c>
      <c r="Z8011">
        <v>8.1057190000000004E-4</v>
      </c>
      <c r="AA8011">
        <v>0.99950369999999999</v>
      </c>
      <c r="AB8011">
        <v>25</v>
      </c>
      <c r="AC8011">
        <v>20.834</v>
      </c>
      <c r="AD8011">
        <v>-1.1211787398799999</v>
      </c>
      <c r="AE8011">
        <v>0.80465999999999804</v>
      </c>
      <c r="AF8011">
        <v>-0.659221882307644</v>
      </c>
      <c r="AG8011">
        <v>-1.1211787398799999</v>
      </c>
      <c r="AH8011">
        <v>20.7789614720276</v>
      </c>
      <c r="AI8011">
        <v>93.086986170617493</v>
      </c>
      <c r="AJ8011">
        <v>91.817124846120905</v>
      </c>
      <c r="AK8011">
        <v>20.819626680439701</v>
      </c>
      <c r="AL8011">
        <v>95.051382162833704</v>
      </c>
      <c r="AM8011">
        <v>91.489326574675502</v>
      </c>
      <c r="AN8011">
        <v>0.99999996648672596</v>
      </c>
    </row>
    <row r="8012" spans="1:40" x14ac:dyDescent="0.25">
      <c r="A8012" t="str">
        <f>"20190303154335879"</f>
        <v>20190303154335879</v>
      </c>
      <c r="B8012" t="str">
        <f>"1551599015868507"</f>
        <v>1551599015868507</v>
      </c>
      <c r="C8012" t="s">
        <v>40</v>
      </c>
      <c r="D8012">
        <v>5.6108089999999997</v>
      </c>
      <c r="E8012">
        <v>0.49768639999999997</v>
      </c>
      <c r="F8012" t="s">
        <v>58</v>
      </c>
      <c r="G8012">
        <v>-207.93219999999999</v>
      </c>
      <c r="H8012" s="1">
        <v>-1.4794909999999999E-6</v>
      </c>
      <c r="I8012">
        <v>-61.774019999999901</v>
      </c>
      <c r="J8012">
        <v>-228.23079999999999</v>
      </c>
      <c r="K8012">
        <v>1.121175</v>
      </c>
      <c r="L8012">
        <v>-62.569429999999997</v>
      </c>
      <c r="M8012">
        <v>0.99986529999999996</v>
      </c>
      <c r="N8012">
        <v>-1.487108E-2</v>
      </c>
      <c r="O8012">
        <v>6.9586939999999996E-3</v>
      </c>
      <c r="P8012">
        <v>0.99419749999999996</v>
      </c>
      <c r="Q8012">
        <v>-0.102437899999999</v>
      </c>
      <c r="R8012">
        <v>3.28349E-2</v>
      </c>
      <c r="S8012">
        <v>2.9967800000000002</v>
      </c>
      <c r="T8012">
        <v>-0.16452</v>
      </c>
      <c r="U8012">
        <v>0.11685180000000001</v>
      </c>
      <c r="V8012">
        <v>-2.589783E-2</v>
      </c>
      <c r="W8012">
        <v>-8.7643840000000001E-2</v>
      </c>
      <c r="X8012">
        <v>0.99581520000000001</v>
      </c>
      <c r="Y8012">
        <v>-3.1952189999999998E-2</v>
      </c>
      <c r="Z8012">
        <v>8.3581029999999998E-4</v>
      </c>
      <c r="AA8012">
        <v>0.99948910000000002</v>
      </c>
      <c r="AB8012">
        <v>25</v>
      </c>
      <c r="AC8012">
        <v>20.2986</v>
      </c>
      <c r="AD8012">
        <v>-1.121176479491</v>
      </c>
      <c r="AE8012">
        <v>0.79541000000001105</v>
      </c>
      <c r="AF8012">
        <v>-0.65213688495456301</v>
      </c>
      <c r="AG8012">
        <v>-1.121176479491</v>
      </c>
      <c r="AH8012">
        <v>20.2419841901498</v>
      </c>
      <c r="AI8012">
        <v>93.168656669072007</v>
      </c>
      <c r="AJ8012">
        <v>91.845262374329806</v>
      </c>
      <c r="AK8012">
        <v>20.283496818082401</v>
      </c>
      <c r="AL8012">
        <v>95.028073207444194</v>
      </c>
      <c r="AM8012">
        <v>91.4897362121594</v>
      </c>
      <c r="AN8012">
        <v>1.0000000264198401</v>
      </c>
    </row>
    <row r="8013" spans="1:40" x14ac:dyDescent="0.25">
      <c r="A8013" t="str">
        <f>"20190303154335889"</f>
        <v>20190303154335889</v>
      </c>
      <c r="B8013" t="str">
        <f>"1551599015878267"</f>
        <v>1551599015878267</v>
      </c>
      <c r="C8013" t="s">
        <v>40</v>
      </c>
      <c r="D8013">
        <v>5.6551980000000004</v>
      </c>
      <c r="E8013">
        <v>0.49743850000000001</v>
      </c>
      <c r="F8013" t="s">
        <v>58</v>
      </c>
      <c r="G8013">
        <v>-208.13409999999999</v>
      </c>
      <c r="H8013" s="1">
        <v>-1.350092E-6</v>
      </c>
      <c r="I8013">
        <v>-61.766039999999997</v>
      </c>
      <c r="J8013">
        <v>-228.10980000000001</v>
      </c>
      <c r="K8013">
        <v>1.121175</v>
      </c>
      <c r="L8013">
        <v>-62.568480000000001</v>
      </c>
      <c r="M8013">
        <v>0.9998648</v>
      </c>
      <c r="N8013">
        <v>-1.486815E-2</v>
      </c>
      <c r="O8013">
        <v>7.0279089999999997E-3</v>
      </c>
      <c r="P8013">
        <v>0.99422189999999999</v>
      </c>
      <c r="Q8013">
        <v>-0.1022306</v>
      </c>
      <c r="R8013">
        <v>3.2736649999999999E-2</v>
      </c>
      <c r="S8013">
        <v>2.9963380000000002</v>
      </c>
      <c r="T8013">
        <v>-0.16716249999999999</v>
      </c>
      <c r="U8013">
        <v>0.1197815</v>
      </c>
      <c r="V8013">
        <v>-2.5730200000000002E-2</v>
      </c>
      <c r="W8013">
        <v>-8.743911E-2</v>
      </c>
      <c r="X8013">
        <v>0.99583750000000004</v>
      </c>
      <c r="Y8013">
        <v>-3.2861210000000002E-2</v>
      </c>
      <c r="Z8013">
        <v>8.7301119999999999E-4</v>
      </c>
      <c r="AA8013">
        <v>0.9994596</v>
      </c>
      <c r="AB8013">
        <v>25</v>
      </c>
      <c r="AC8013">
        <v>19.9757</v>
      </c>
      <c r="AD8013">
        <v>-1.121176350092</v>
      </c>
      <c r="AE8013">
        <v>0.80244000000000404</v>
      </c>
      <c r="AF8013">
        <v>-0.65994163593599697</v>
      </c>
      <c r="AG8013">
        <v>-1.121176350092</v>
      </c>
      <c r="AH8013">
        <v>19.918200618674302</v>
      </c>
      <c r="AI8013">
        <v>93.219961365087798</v>
      </c>
      <c r="AJ8013">
        <v>91.897663552264007</v>
      </c>
      <c r="AK8013">
        <v>19.960643157388699</v>
      </c>
      <c r="AL8013">
        <v>95.016298050131795</v>
      </c>
      <c r="AM8013">
        <v>91.480064706234202</v>
      </c>
      <c r="AN8013">
        <v>0.99999998377793997</v>
      </c>
    </row>
    <row r="8014" spans="1:40" x14ac:dyDescent="0.25">
      <c r="A8014" t="str">
        <f>"20190303154335900"</f>
        <v>20190303154335900</v>
      </c>
      <c r="B8014" t="str">
        <f>"1551599015897787"</f>
        <v>1551599015897787</v>
      </c>
      <c r="C8014" t="s">
        <v>40</v>
      </c>
      <c r="D8014">
        <v>5.6576610000000001</v>
      </c>
      <c r="E8014">
        <v>0.49701139999999999</v>
      </c>
      <c r="F8014" t="s">
        <v>58</v>
      </c>
      <c r="G8014">
        <v>-208.38159999999999</v>
      </c>
      <c r="H8014" s="1">
        <v>-1.1932329999999999E-6</v>
      </c>
      <c r="I8014">
        <v>-61.769469999999998</v>
      </c>
      <c r="J8014">
        <v>-227.9924</v>
      </c>
      <c r="K8014">
        <v>1.121176</v>
      </c>
      <c r="L8014">
        <v>-62.567599999999999</v>
      </c>
      <c r="M8014">
        <v>0.99986430000000004</v>
      </c>
      <c r="N8014">
        <v>-1.486533E-2</v>
      </c>
      <c r="O8014">
        <v>7.0949790000000004E-3</v>
      </c>
      <c r="P8014">
        <v>0.99421760000000003</v>
      </c>
      <c r="Q8014">
        <v>-0.102183</v>
      </c>
      <c r="R8014">
        <v>3.301312E-2</v>
      </c>
      <c r="S8014">
        <v>2.9959410000000002</v>
      </c>
      <c r="T8014">
        <v>-0.17026269999999999</v>
      </c>
      <c r="U8014">
        <v>0.121337899999999</v>
      </c>
      <c r="V8014">
        <v>-2.5940189999999998E-2</v>
      </c>
      <c r="W8014">
        <v>-8.7394399999999997E-2</v>
      </c>
      <c r="X8014">
        <v>0.99583600000000005</v>
      </c>
      <c r="Y8014">
        <v>-3.33151E-2</v>
      </c>
      <c r="Z8014">
        <v>8.9616899999999896E-4</v>
      </c>
      <c r="AA8014">
        <v>0.99944449999999996</v>
      </c>
      <c r="AB8014">
        <v>25</v>
      </c>
      <c r="AC8014">
        <v>19.610800000000001</v>
      </c>
      <c r="AD8014">
        <v>-1.1211771932329999</v>
      </c>
      <c r="AE8014">
        <v>0.79813000000000001</v>
      </c>
      <c r="AF8014">
        <v>-0.65681302265220898</v>
      </c>
      <c r="AG8014">
        <v>-1.1211771932329999</v>
      </c>
      <c r="AH8014">
        <v>19.552167671190599</v>
      </c>
      <c r="AI8014">
        <v>93.280063579840601</v>
      </c>
      <c r="AJ8014">
        <v>91.924004972681203</v>
      </c>
      <c r="AK8014">
        <v>19.595297963738702</v>
      </c>
      <c r="AL8014">
        <v>95.013726396013496</v>
      </c>
      <c r="AM8014">
        <v>91.492140657910596</v>
      </c>
      <c r="AN8014">
        <v>1.0000000067522901</v>
      </c>
    </row>
    <row r="8015" spans="1:40" x14ac:dyDescent="0.25">
      <c r="A8015" t="str">
        <f>"20190303154335911"</f>
        <v>20190303154335911</v>
      </c>
      <c r="B8015" t="str">
        <f>"1551599015908523"</f>
        <v>1551599015908523</v>
      </c>
      <c r="C8015" t="s">
        <v>40</v>
      </c>
      <c r="D8015">
        <v>5.594087</v>
      </c>
      <c r="E8015">
        <v>0.49675999999999998</v>
      </c>
      <c r="F8015" t="s">
        <v>58</v>
      </c>
      <c r="G8015">
        <v>-208.91229999999999</v>
      </c>
      <c r="H8015" s="1">
        <v>-8.5581409999999898E-7</v>
      </c>
      <c r="I8015">
        <v>-61.768790000000003</v>
      </c>
      <c r="J8015">
        <v>-227.8664</v>
      </c>
      <c r="K8015">
        <v>1.1211789999999999</v>
      </c>
      <c r="L8015">
        <v>-62.566650000000003</v>
      </c>
      <c r="M8015">
        <v>0.99986390000000003</v>
      </c>
      <c r="N8015">
        <v>-1.486232E-2</v>
      </c>
      <c r="O8015">
        <v>7.1670559999999998E-3</v>
      </c>
      <c r="P8015">
        <v>0.99424950000000001</v>
      </c>
      <c r="Q8015">
        <v>-0.1019053</v>
      </c>
      <c r="R8015">
        <v>3.2917540000000002E-2</v>
      </c>
      <c r="S8015">
        <v>2.995193</v>
      </c>
      <c r="T8015">
        <v>-0.17600209999999999</v>
      </c>
      <c r="U8015">
        <v>0.1253967</v>
      </c>
      <c r="V8015">
        <v>-2.5773190000000001E-2</v>
      </c>
      <c r="W8015">
        <v>-8.7119119999999994E-2</v>
      </c>
      <c r="X8015">
        <v>0.99586450000000004</v>
      </c>
      <c r="Y8015">
        <v>-3.459889E-2</v>
      </c>
      <c r="Z8015">
        <v>9.5856870000000005E-4</v>
      </c>
      <c r="AA8015">
        <v>0.99940079999999998</v>
      </c>
      <c r="AB8015">
        <v>25</v>
      </c>
      <c r="AC8015">
        <v>18.9541</v>
      </c>
      <c r="AD8015">
        <v>-1.1211798558141</v>
      </c>
      <c r="AE8015">
        <v>0.79786000000000001</v>
      </c>
      <c r="AF8015">
        <v>-0.65967528394326302</v>
      </c>
      <c r="AG8015">
        <v>-1.1211798558141</v>
      </c>
      <c r="AH8015">
        <v>18.893341106284399</v>
      </c>
      <c r="AI8015">
        <v>93.394033991224504</v>
      </c>
      <c r="AJ8015">
        <v>91.999713085332203</v>
      </c>
      <c r="AK8015">
        <v>18.938071546695099</v>
      </c>
      <c r="AL8015">
        <v>94.997893406820495</v>
      </c>
      <c r="AM8015">
        <v>91.482496317823802</v>
      </c>
      <c r="AN8015">
        <v>1.00000005037629</v>
      </c>
    </row>
    <row r="8016" spans="1:40" x14ac:dyDescent="0.25">
      <c r="A8016" t="str">
        <f>"20190303154335923"</f>
        <v>20190303154335923</v>
      </c>
      <c r="B8016" t="str">
        <f>"1551599015918282"</f>
        <v>1551599015918282</v>
      </c>
      <c r="C8016" t="s">
        <v>40</v>
      </c>
      <c r="D8016">
        <v>5.6575139999999999</v>
      </c>
      <c r="E8016">
        <v>0.49652580000000002</v>
      </c>
      <c r="F8016" t="s">
        <v>58</v>
      </c>
      <c r="G8016">
        <v>-209.04910000000001</v>
      </c>
      <c r="H8016" s="1">
        <v>-7.6882180000000004E-7</v>
      </c>
      <c r="I8016">
        <v>-61.768599999999999</v>
      </c>
      <c r="J8016">
        <v>-227.7414</v>
      </c>
      <c r="K8016">
        <v>1.1211799999999901</v>
      </c>
      <c r="L8016">
        <v>-62.565669999999997</v>
      </c>
      <c r="M8016">
        <v>0.99986350000000002</v>
      </c>
      <c r="N8016">
        <v>-1.4859300000000001E-2</v>
      </c>
      <c r="O8016">
        <v>7.2381210000000001E-3</v>
      </c>
      <c r="P8016">
        <v>0.99422969999999999</v>
      </c>
      <c r="Q8016">
        <v>-0.10210760000000001</v>
      </c>
      <c r="R8016">
        <v>3.2889630000000003E-2</v>
      </c>
      <c r="S8016">
        <v>2.9948579999999998</v>
      </c>
      <c r="T8016">
        <v>-0.178441299999999</v>
      </c>
      <c r="U8016">
        <v>0.12701419999999999</v>
      </c>
      <c r="V8016">
        <v>-2.5674430000000002E-2</v>
      </c>
      <c r="W8016">
        <v>-8.7324650000000004E-2</v>
      </c>
      <c r="X8016">
        <v>0.99584899999999998</v>
      </c>
      <c r="Y8016">
        <v>-3.5068740000000001E-2</v>
      </c>
      <c r="Z8016">
        <v>9.8109059999999999E-4</v>
      </c>
      <c r="AA8016">
        <v>0.99938439999999995</v>
      </c>
      <c r="AB8016">
        <v>25</v>
      </c>
      <c r="AC8016">
        <v>18.6922999999999</v>
      </c>
      <c r="AD8016">
        <v>-1.1211807688217901</v>
      </c>
      <c r="AE8016">
        <v>0.79706999999999795</v>
      </c>
      <c r="AF8016">
        <v>-0.65936914998010399</v>
      </c>
      <c r="AG8016">
        <v>-1.1211807688217901</v>
      </c>
      <c r="AH8016">
        <v>18.630674111203099</v>
      </c>
      <c r="AI8016">
        <v>93.441716425175997</v>
      </c>
      <c r="AJ8016">
        <v>92.026942636606705</v>
      </c>
      <c r="AK8016">
        <v>18.676022912552199</v>
      </c>
      <c r="AL8016">
        <v>95.009714707771707</v>
      </c>
      <c r="AM8016">
        <v>91.476841053172294</v>
      </c>
      <c r="AN8016">
        <v>1.0000000008272201</v>
      </c>
    </row>
    <row r="8017" spans="1:40" x14ac:dyDescent="0.25">
      <c r="A8017" t="str">
        <f>"20190303154335933"</f>
        <v>20190303154335933</v>
      </c>
      <c r="B8017" t="str">
        <f>"1551599015928043"</f>
        <v>1551599015928043</v>
      </c>
      <c r="C8017" t="s">
        <v>40</v>
      </c>
      <c r="D8017">
        <v>5.6353359999999997</v>
      </c>
      <c r="E8017">
        <v>0.49630879999999999</v>
      </c>
      <c r="F8017" t="s">
        <v>58</v>
      </c>
      <c r="G8017">
        <v>-209.34280000000001</v>
      </c>
      <c r="H8017" s="1">
        <v>-6.034415E-7</v>
      </c>
      <c r="I8017">
        <v>-61.774769999999997</v>
      </c>
      <c r="J8017">
        <v>-227.6173</v>
      </c>
      <c r="K8017">
        <v>1.1211799999999901</v>
      </c>
      <c r="L8017">
        <v>-62.564700000000002</v>
      </c>
      <c r="M8017">
        <v>0.99986299999999995</v>
      </c>
      <c r="N8017">
        <v>-1.4856279999999999E-2</v>
      </c>
      <c r="O8017">
        <v>7.3088290000000002E-3</v>
      </c>
      <c r="P8017">
        <v>0.99424840000000003</v>
      </c>
      <c r="Q8017">
        <v>-0.1019668</v>
      </c>
      <c r="R8017">
        <v>3.2762520000000003E-2</v>
      </c>
      <c r="S8017">
        <v>2.9944310000000001</v>
      </c>
      <c r="T8017">
        <v>-0.18247559999999999</v>
      </c>
      <c r="U8017">
        <v>0.12872310000000001</v>
      </c>
      <c r="V8017">
        <v>-2.5477199999999998E-2</v>
      </c>
      <c r="W8017">
        <v>-8.7186570000000005E-2</v>
      </c>
      <c r="X8017">
        <v>0.99586620000000003</v>
      </c>
      <c r="Y8017">
        <v>-3.5569580000000003E-2</v>
      </c>
      <c r="Z8017">
        <v>1.010646E-3</v>
      </c>
      <c r="AA8017">
        <v>0.99936670000000005</v>
      </c>
      <c r="AB8017">
        <v>25</v>
      </c>
      <c r="AC8017">
        <v>18.2744999999999</v>
      </c>
      <c r="AD8017">
        <v>-1.1211806034414999</v>
      </c>
      <c r="AE8017">
        <v>0.78993000000000502</v>
      </c>
      <c r="AF8017">
        <v>-0.653872323782687</v>
      </c>
      <c r="AG8017">
        <v>-1.1211806034414999</v>
      </c>
      <c r="AH8017">
        <v>18.211364488631698</v>
      </c>
      <c r="AI8017">
        <v>93.520698851780494</v>
      </c>
      <c r="AJ8017">
        <v>92.056300509050502</v>
      </c>
      <c r="AK8017">
        <v>18.257557106555598</v>
      </c>
      <c r="AL8017">
        <v>95.001772835159699</v>
      </c>
      <c r="AM8017">
        <v>91.465475682485206</v>
      </c>
      <c r="AN8017">
        <v>1.0000000370053199</v>
      </c>
    </row>
    <row r="8018" spans="1:40" x14ac:dyDescent="0.25">
      <c r="A8018" t="str">
        <f>"20190303154335946"</f>
        <v>20190303154335946</v>
      </c>
      <c r="B8018" t="str">
        <f>"1551599015937803"</f>
        <v>1551599015937803</v>
      </c>
      <c r="C8018" t="s">
        <v>40</v>
      </c>
      <c r="D8018">
        <v>5.2107229999999998</v>
      </c>
      <c r="E8018">
        <v>0.49613259999999998</v>
      </c>
      <c r="F8018" t="s">
        <v>58</v>
      </c>
      <c r="G8018">
        <v>-209.45740000000001</v>
      </c>
      <c r="H8018" s="1">
        <v>-5.6004649999999899E-7</v>
      </c>
      <c r="I8018">
        <v>-61.77619</v>
      </c>
      <c r="J8018">
        <v>-227.48859999999999</v>
      </c>
      <c r="K8018">
        <v>1.1211819999999999</v>
      </c>
      <c r="L8018">
        <v>-62.563659999999999</v>
      </c>
      <c r="M8018">
        <v>0.99986260000000005</v>
      </c>
      <c r="N8018">
        <v>-1.4853160000000001E-2</v>
      </c>
      <c r="O8018">
        <v>7.3820989999999996E-3</v>
      </c>
      <c r="P8018">
        <v>0.99422710000000003</v>
      </c>
      <c r="Q8018">
        <v>-0.102213</v>
      </c>
      <c r="R8018">
        <v>3.2641679999999999E-2</v>
      </c>
      <c r="S8018">
        <v>2.99411</v>
      </c>
      <c r="T8018">
        <v>-0.18485460000000001</v>
      </c>
      <c r="U8018">
        <v>0.13000490000000001</v>
      </c>
      <c r="V8018">
        <v>-2.5283369999999999E-2</v>
      </c>
      <c r="W8018">
        <v>-8.7436079999999999E-2</v>
      </c>
      <c r="X8018">
        <v>0.99584930000000005</v>
      </c>
      <c r="Y8018">
        <v>-3.5925539999999999E-2</v>
      </c>
      <c r="Z8018">
        <v>1.0291250000000001E-3</v>
      </c>
      <c r="AA8018">
        <v>0.99935390000000002</v>
      </c>
      <c r="AB8018">
        <v>25</v>
      </c>
      <c r="AC8018">
        <v>18.031199999999899</v>
      </c>
      <c r="AD8018">
        <v>-1.1211825600465</v>
      </c>
      <c r="AE8018">
        <v>0.787469999999999</v>
      </c>
      <c r="AF8018">
        <v>-0.65181042867812999</v>
      </c>
      <c r="AG8018">
        <v>-1.1211825600465</v>
      </c>
      <c r="AH8018">
        <v>17.967186850700401</v>
      </c>
      <c r="AI8018">
        <v>93.568381376157106</v>
      </c>
      <c r="AJ8018">
        <v>92.077655027467799</v>
      </c>
      <c r="AK8018">
        <v>18.0139310117439</v>
      </c>
      <c r="AL8018">
        <v>95.0161233297775</v>
      </c>
      <c r="AM8018">
        <v>91.454355851104594</v>
      </c>
      <c r="AN8018">
        <v>1.0000000725974001</v>
      </c>
    </row>
    <row r="8019" spans="1:40" x14ac:dyDescent="0.25">
      <c r="A8019" t="str">
        <f>"20190303154335957"</f>
        <v>20190303154335957</v>
      </c>
      <c r="B8019" t="str">
        <f>"1551599015948538"</f>
        <v>1551599015948538</v>
      </c>
      <c r="C8019" t="s">
        <v>40</v>
      </c>
      <c r="D8019">
        <v>5.6861470000000001</v>
      </c>
      <c r="E8019">
        <v>0.49593720000000002</v>
      </c>
      <c r="F8019" t="s">
        <v>58</v>
      </c>
      <c r="G8019">
        <v>-209.6387</v>
      </c>
      <c r="H8019" s="1">
        <v>-4.9251949999999995E-7</v>
      </c>
      <c r="I8019">
        <v>-61.782699999999998</v>
      </c>
      <c r="J8019">
        <v>-227.36789999999999</v>
      </c>
      <c r="K8019">
        <v>1.121181</v>
      </c>
      <c r="L8019">
        <v>-62.562710000000003</v>
      </c>
      <c r="M8019">
        <v>0.99986200000000003</v>
      </c>
      <c r="N8019">
        <v>-1.4850230000000001E-2</v>
      </c>
      <c r="O8019">
        <v>7.4509579999999997E-3</v>
      </c>
      <c r="P8019">
        <v>0.99422250000000001</v>
      </c>
      <c r="Q8019">
        <v>-0.10227509999999999</v>
      </c>
      <c r="R8019">
        <v>3.2586589999999999E-2</v>
      </c>
      <c r="S8019">
        <v>2.9937589999999998</v>
      </c>
      <c r="T8019">
        <v>-0.18804299999999999</v>
      </c>
      <c r="U8019">
        <v>0.1309814</v>
      </c>
      <c r="V8019">
        <v>-2.516024E-2</v>
      </c>
      <c r="W8019">
        <v>-8.750107E-2</v>
      </c>
      <c r="X8019">
        <v>0.99584660000000003</v>
      </c>
      <c r="Y8019">
        <v>-3.6184300000000003E-2</v>
      </c>
      <c r="Z8019">
        <v>1.047103E-3</v>
      </c>
      <c r="AA8019">
        <v>0.99934460000000003</v>
      </c>
      <c r="AB8019">
        <v>25</v>
      </c>
      <c r="AC8019">
        <v>17.729199999999899</v>
      </c>
      <c r="AD8019">
        <v>-1.1211814925195001</v>
      </c>
      <c r="AE8019">
        <v>0.78000999999999698</v>
      </c>
      <c r="AF8019">
        <v>-0.64529855950293802</v>
      </c>
      <c r="AG8019">
        <v>-1.1211814925195001</v>
      </c>
      <c r="AH8019">
        <v>17.6640146868614</v>
      </c>
      <c r="AI8019">
        <v>93.629427245424495</v>
      </c>
      <c r="AJ8019">
        <v>92.092188560700606</v>
      </c>
      <c r="AK8019">
        <v>17.7113204766816</v>
      </c>
      <c r="AL8019">
        <v>95.0198618612785</v>
      </c>
      <c r="AM8019">
        <v>91.447280080819596</v>
      </c>
      <c r="AN8019">
        <v>0.99999996282977999</v>
      </c>
    </row>
    <row r="8020" spans="1:40" x14ac:dyDescent="0.25">
      <c r="A8020" t="str">
        <f>"20190303154335969"</f>
        <v>20190303154335969</v>
      </c>
      <c r="B8020" t="str">
        <f>"1551599015958298"</f>
        <v>1551599015958298</v>
      </c>
      <c r="C8020" t="s">
        <v>40</v>
      </c>
      <c r="D8020">
        <v>5.710432</v>
      </c>
      <c r="E8020">
        <v>0.49575599999999997</v>
      </c>
      <c r="F8020" t="s">
        <v>58</v>
      </c>
      <c r="G8020">
        <v>-209.79990000000001</v>
      </c>
      <c r="H8020" s="1">
        <v>-4.3184209999999998E-7</v>
      </c>
      <c r="I8020">
        <v>-61.78595</v>
      </c>
      <c r="J8020">
        <v>-227.23660000000001</v>
      </c>
      <c r="K8020">
        <v>1.121183</v>
      </c>
      <c r="L8020">
        <v>-62.56165</v>
      </c>
      <c r="M8020">
        <v>0.99986149999999996</v>
      </c>
      <c r="N8020">
        <v>-1.4847020000000001E-2</v>
      </c>
      <c r="O8020">
        <v>7.5258969999999897E-3</v>
      </c>
      <c r="P8020">
        <v>0.99420310000000001</v>
      </c>
      <c r="Q8020">
        <v>-0.1025177</v>
      </c>
      <c r="R8020">
        <v>3.2410500000000002E-2</v>
      </c>
      <c r="S8020">
        <v>2.9934539999999998</v>
      </c>
      <c r="T8020">
        <v>-0.1910403</v>
      </c>
      <c r="U8020">
        <v>0.13235469999999999</v>
      </c>
      <c r="V8020">
        <v>-2.490945E-2</v>
      </c>
      <c r="W8020">
        <v>-8.7747140000000001E-2</v>
      </c>
      <c r="X8020">
        <v>0.99583129999999997</v>
      </c>
      <c r="Y8020">
        <v>-3.6568349999999999E-2</v>
      </c>
      <c r="Z8020">
        <v>1.0691380000000001E-3</v>
      </c>
      <c r="AA8020">
        <v>0.99933059999999996</v>
      </c>
      <c r="AB8020">
        <v>25</v>
      </c>
      <c r="AC8020">
        <v>17.436699999999998</v>
      </c>
      <c r="AD8020">
        <v>-1.1211834318420999</v>
      </c>
      <c r="AE8020">
        <v>0.77569999999999995</v>
      </c>
      <c r="AF8020">
        <v>-0.641788515078068</v>
      </c>
      <c r="AG8020">
        <v>-1.1211834318420999</v>
      </c>
      <c r="AH8020">
        <v>17.370368339393298</v>
      </c>
      <c r="AI8020">
        <v>93.690564860431806</v>
      </c>
      <c r="AJ8020">
        <v>92.115962873809494</v>
      </c>
      <c r="AK8020">
        <v>17.418342086206799</v>
      </c>
      <c r="AL8020">
        <v>95.034014836673805</v>
      </c>
      <c r="AM8020">
        <v>91.4328820609215</v>
      </c>
      <c r="AN8020">
        <v>1.0000000096685799</v>
      </c>
    </row>
    <row r="8021" spans="1:40" x14ac:dyDescent="0.25">
      <c r="A8021" t="str">
        <f>"20190303154335979"</f>
        <v>20190303154335979</v>
      </c>
      <c r="B8021" t="str">
        <f>"1551599015968059"</f>
        <v>1551599015968059</v>
      </c>
      <c r="C8021" t="s">
        <v>40</v>
      </c>
      <c r="D8021">
        <v>5.6992099999999999</v>
      </c>
      <c r="E8021">
        <v>0.4955792</v>
      </c>
      <c r="F8021" t="s">
        <v>58</v>
      </c>
      <c r="G8021">
        <v>-209.94560000000001</v>
      </c>
      <c r="H8021" s="1">
        <v>-3.7785050000000003E-7</v>
      </c>
      <c r="I8021">
        <v>-61.792290000000001</v>
      </c>
      <c r="J8021">
        <v>-227.11930000000001</v>
      </c>
      <c r="K8021">
        <v>1.121175</v>
      </c>
      <c r="L8021">
        <v>-62.560699999999997</v>
      </c>
      <c r="M8021">
        <v>0.99986109999999995</v>
      </c>
      <c r="N8021">
        <v>-1.484415E-2</v>
      </c>
      <c r="O8021">
        <v>7.5927290000000003E-3</v>
      </c>
      <c r="P8021">
        <v>0.99420889999999995</v>
      </c>
      <c r="Q8021">
        <v>-0.102537</v>
      </c>
      <c r="R8021">
        <v>3.2170869999999997E-2</v>
      </c>
      <c r="S8021">
        <v>2.993134</v>
      </c>
      <c r="T8021">
        <v>-0.1940808</v>
      </c>
      <c r="U8021">
        <v>0.13317870000000001</v>
      </c>
      <c r="V8021">
        <v>-2.4603119999999999E-2</v>
      </c>
      <c r="W8021">
        <v>-8.7769100000000003E-2</v>
      </c>
      <c r="X8021">
        <v>0.99583699999999997</v>
      </c>
      <c r="Y8021">
        <v>-3.6778089999999999E-2</v>
      </c>
      <c r="Z8021">
        <v>1.0850440000000001E-3</v>
      </c>
      <c r="AA8021">
        <v>0.99932290000000001</v>
      </c>
      <c r="AB8021">
        <v>25</v>
      </c>
      <c r="AC8021">
        <v>17.173699999999901</v>
      </c>
      <c r="AD8021">
        <v>-1.1211753778505</v>
      </c>
      <c r="AE8021">
        <v>0.76840999999999504</v>
      </c>
      <c r="AF8021">
        <v>-0.63527606735029996</v>
      </c>
      <c r="AG8021">
        <v>-1.1211753778505</v>
      </c>
      <c r="AH8021">
        <v>17.1062775475948</v>
      </c>
      <c r="AI8021">
        <v>93.747326501561204</v>
      </c>
      <c r="AJ8021">
        <v>92.126816781828794</v>
      </c>
      <c r="AK8021">
        <v>17.1547469070515</v>
      </c>
      <c r="AL8021">
        <v>95.035277825102597</v>
      </c>
      <c r="AM8021">
        <v>91.415259960318195</v>
      </c>
      <c r="AN8021">
        <v>1.0000000294987701</v>
      </c>
    </row>
    <row r="8022" spans="1:40" x14ac:dyDescent="0.25">
      <c r="A8022" t="str">
        <f>"20190303154335991"</f>
        <v>20190303154335991</v>
      </c>
      <c r="B8022" t="str">
        <f>"1551599015988554"</f>
        <v>1551599015988554</v>
      </c>
      <c r="C8022" t="s">
        <v>40</v>
      </c>
      <c r="D8022">
        <v>5.6816509999999996</v>
      </c>
      <c r="E8022">
        <v>0.4952628</v>
      </c>
      <c r="F8022" t="s">
        <v>70</v>
      </c>
      <c r="G8022">
        <v>-210.048</v>
      </c>
      <c r="H8022" s="1">
        <v>6.3416899999999999E-7</v>
      </c>
      <c r="I8022">
        <v>-61.797510000000003</v>
      </c>
      <c r="J8022">
        <v>-226.9881</v>
      </c>
      <c r="K8022">
        <v>1.121176</v>
      </c>
      <c r="L8022">
        <v>-62.559600000000003</v>
      </c>
      <c r="M8022">
        <v>0.99986059999999999</v>
      </c>
      <c r="N8022">
        <v>-1.484094E-2</v>
      </c>
      <c r="O8022">
        <v>7.6676690000000002E-3</v>
      </c>
      <c r="P8022">
        <v>0.99419550000000001</v>
      </c>
      <c r="Q8022">
        <v>-0.1026948</v>
      </c>
      <c r="R8022">
        <v>3.20825E-2</v>
      </c>
      <c r="S8022">
        <v>2.992874</v>
      </c>
      <c r="T8022">
        <v>-0.19655980000000001</v>
      </c>
      <c r="U8022">
        <v>0.13378909999999999</v>
      </c>
      <c r="V8022">
        <v>-2.4440369999999999E-2</v>
      </c>
      <c r="W8022">
        <v>-8.7930209999999995E-2</v>
      </c>
      <c r="X8022">
        <v>0.99582680000000001</v>
      </c>
      <c r="Y8022">
        <v>-3.6908290000000003E-2</v>
      </c>
      <c r="Z8022">
        <v>1.095368E-3</v>
      </c>
      <c r="AA8022">
        <v>0.99931809999999999</v>
      </c>
      <c r="AB8022">
        <v>25</v>
      </c>
      <c r="AC8022">
        <v>16.940100000000001</v>
      </c>
      <c r="AD8022">
        <v>-1.121175365831</v>
      </c>
      <c r="AE8022">
        <v>0.76209000000000704</v>
      </c>
      <c r="AF8022">
        <v>-0.62941071192354503</v>
      </c>
      <c r="AG8022">
        <v>-1.121175365831</v>
      </c>
      <c r="AH8022">
        <v>16.871690282525599</v>
      </c>
      <c r="AI8022">
        <v>93.799254704643801</v>
      </c>
      <c r="AJ8022">
        <v>92.136470091998902</v>
      </c>
      <c r="AK8022">
        <v>16.920612430840102</v>
      </c>
      <c r="AL8022">
        <v>95.044544549910896</v>
      </c>
      <c r="AM8022">
        <v>91.4059161593255</v>
      </c>
      <c r="AN8022">
        <v>1.0000000345573099</v>
      </c>
    </row>
    <row r="8023" spans="1:40" x14ac:dyDescent="0.25">
      <c r="A8023" t="str">
        <f>"20190303154336004"</f>
        <v>20190303154336004</v>
      </c>
      <c r="B8023" t="str">
        <f>"1551599015998314"</f>
        <v>1551599015998314</v>
      </c>
      <c r="C8023" t="s">
        <v>40</v>
      </c>
      <c r="D8023">
        <v>5.7338630000000004</v>
      </c>
      <c r="E8023">
        <v>0.49511820000000001</v>
      </c>
      <c r="F8023" t="s">
        <v>70</v>
      </c>
      <c r="G8023">
        <v>-210.30070000000001</v>
      </c>
      <c r="H8023" s="1">
        <v>5.2480849999999996E-7</v>
      </c>
      <c r="I8023">
        <v>-61.801189999999998</v>
      </c>
      <c r="J8023">
        <v>-226.8569</v>
      </c>
      <c r="K8023">
        <v>1.121176</v>
      </c>
      <c r="L8023">
        <v>-62.558529999999998</v>
      </c>
      <c r="M8023">
        <v>0.99985990000000002</v>
      </c>
      <c r="N8023">
        <v>-1.483774E-2</v>
      </c>
      <c r="O8023">
        <v>7.7427269999999996E-3</v>
      </c>
      <c r="P8023">
        <v>0.99422630000000001</v>
      </c>
      <c r="Q8023">
        <v>-0.1024605</v>
      </c>
      <c r="R8023">
        <v>3.1875029999999999E-2</v>
      </c>
      <c r="S8023">
        <v>2.9923709999999999</v>
      </c>
      <c r="T8023">
        <v>-0.20104839999999999</v>
      </c>
      <c r="U8023">
        <v>0.13598629999999901</v>
      </c>
      <c r="V8023">
        <v>-2.4158329999999999E-2</v>
      </c>
      <c r="W8023">
        <v>-8.7698689999999996E-2</v>
      </c>
      <c r="X8023">
        <v>0.99585409999999996</v>
      </c>
      <c r="Y8023">
        <v>-3.756785E-2</v>
      </c>
      <c r="Z8023">
        <v>1.134625E-3</v>
      </c>
      <c r="AA8023">
        <v>0.9992934</v>
      </c>
      <c r="AB8023">
        <v>25</v>
      </c>
      <c r="AC8023">
        <v>16.556199999999901</v>
      </c>
      <c r="AD8023">
        <v>-1.1211754751915</v>
      </c>
      <c r="AE8023">
        <v>0.75733999999999901</v>
      </c>
      <c r="AF8023">
        <v>-0.62624712047339004</v>
      </c>
      <c r="AG8023">
        <v>-1.1211754751915</v>
      </c>
      <c r="AH8023">
        <v>16.4861220759947</v>
      </c>
      <c r="AI8023">
        <v>93.8877413644569</v>
      </c>
      <c r="AJ8023">
        <v>92.175409914766604</v>
      </c>
      <c r="AK8023">
        <v>16.536064858565101</v>
      </c>
      <c r="AL8023">
        <v>95.0312279762109</v>
      </c>
      <c r="AM8023">
        <v>91.3896603120739</v>
      </c>
      <c r="AN8023">
        <v>1.0000000368114501</v>
      </c>
    </row>
    <row r="8024" spans="1:40" x14ac:dyDescent="0.25">
      <c r="A8024" t="str">
        <f>"20190303154336017"</f>
        <v>20190303154336017</v>
      </c>
      <c r="B8024" t="str">
        <f>"1551599016008075"</f>
        <v>1551599016008075</v>
      </c>
      <c r="C8024" t="s">
        <v>40</v>
      </c>
      <c r="D8024">
        <v>5.6967809999999997</v>
      </c>
      <c r="E8024">
        <v>0.49499579999999999</v>
      </c>
      <c r="F8024" t="s">
        <v>70</v>
      </c>
      <c r="G8024">
        <v>-210.25210000000001</v>
      </c>
      <c r="H8024" s="1">
        <v>5.457098E-7</v>
      </c>
      <c r="I8024">
        <v>-61.800960000000003</v>
      </c>
      <c r="J8024">
        <v>-226.71010000000001</v>
      </c>
      <c r="K8024">
        <v>1.121183</v>
      </c>
      <c r="L8024">
        <v>-62.557310000000001</v>
      </c>
      <c r="M8024">
        <v>0.99985950000000001</v>
      </c>
      <c r="N8024">
        <v>-1.4834160000000001E-2</v>
      </c>
      <c r="O8024">
        <v>7.8263689999999997E-3</v>
      </c>
      <c r="P8024">
        <v>0.9942396</v>
      </c>
      <c r="Q8024">
        <v>-0.1023135</v>
      </c>
      <c r="R8024">
        <v>3.1934659999999997E-2</v>
      </c>
      <c r="S8024">
        <v>2.9922179999999998</v>
      </c>
      <c r="T8024">
        <v>-0.20203840000000001</v>
      </c>
      <c r="U8024">
        <v>0.13650509999999999</v>
      </c>
      <c r="V8024">
        <v>-2.4134409999999999E-2</v>
      </c>
      <c r="W8024">
        <v>-8.7554950000000006E-2</v>
      </c>
      <c r="X8024">
        <v>0.99586730000000001</v>
      </c>
      <c r="Y8024">
        <v>-3.7658539999999997E-2</v>
      </c>
      <c r="Z8024">
        <v>1.1375389999999999E-3</v>
      </c>
      <c r="AA8024">
        <v>0.99929000000000001</v>
      </c>
      <c r="AB8024">
        <v>25</v>
      </c>
      <c r="AC8024">
        <v>16.457999999999998</v>
      </c>
      <c r="AD8024">
        <v>-1.1211824542902</v>
      </c>
      <c r="AE8024">
        <v>0.75635000000000396</v>
      </c>
      <c r="AF8024">
        <v>-0.62461366067166901</v>
      </c>
      <c r="AG8024">
        <v>-1.1211824542902</v>
      </c>
      <c r="AH8024">
        <v>16.387524040657102</v>
      </c>
      <c r="AI8024">
        <v>93.911065353202403</v>
      </c>
      <c r="AJ8024">
        <v>92.1827831442329</v>
      </c>
      <c r="AK8024">
        <v>16.437704721280902</v>
      </c>
      <c r="AL8024">
        <v>95.022960618664399</v>
      </c>
      <c r="AM8024">
        <v>91.388266505768797</v>
      </c>
      <c r="AN8024">
        <v>1.0000000091124199</v>
      </c>
    </row>
    <row r="8025" spans="1:40" x14ac:dyDescent="0.25">
      <c r="A8025" t="str">
        <f>"20190303154336029"</f>
        <v>20190303154336029</v>
      </c>
      <c r="B8025" t="str">
        <f>"1551599016017835"</f>
        <v>1551599016017835</v>
      </c>
      <c r="C8025" t="s">
        <v>40</v>
      </c>
      <c r="D8025">
        <v>5.7073830000000001</v>
      </c>
      <c r="E8025">
        <v>0.49486400000000003</v>
      </c>
      <c r="F8025" t="s">
        <v>70</v>
      </c>
      <c r="G8025">
        <v>-210.22800000000001</v>
      </c>
      <c r="H8025" s="1">
        <v>5.5648090000000005E-7</v>
      </c>
      <c r="I8025">
        <v>-61.799239999999998</v>
      </c>
      <c r="J8025">
        <v>-226.57210000000001</v>
      </c>
      <c r="K8025">
        <v>1.121184</v>
      </c>
      <c r="L8025">
        <v>-62.5561199999999</v>
      </c>
      <c r="M8025">
        <v>0.99985889999999999</v>
      </c>
      <c r="N8025">
        <v>-1.48308E-2</v>
      </c>
      <c r="O8025">
        <v>7.9051829999999997E-3</v>
      </c>
      <c r="P8025">
        <v>0.99426820000000005</v>
      </c>
      <c r="Q8025">
        <v>-0.1020108</v>
      </c>
      <c r="R8025">
        <v>3.2015179999999997E-2</v>
      </c>
      <c r="S8025">
        <v>2.992035</v>
      </c>
      <c r="T8025">
        <v>-0.2035313</v>
      </c>
      <c r="U8025">
        <v>0.137603799999999</v>
      </c>
      <c r="V8025">
        <v>-2.4136950000000001E-2</v>
      </c>
      <c r="W8025">
        <v>-8.7255200000000005E-2</v>
      </c>
      <c r="X8025">
        <v>0.99589349999999999</v>
      </c>
      <c r="Y8025">
        <v>-3.7946809999999997E-2</v>
      </c>
      <c r="Z8025">
        <v>1.1507080000000001E-3</v>
      </c>
      <c r="AA8025">
        <v>0.99927909999999998</v>
      </c>
      <c r="AB8025">
        <v>25</v>
      </c>
      <c r="AC8025">
        <v>16.344100000000001</v>
      </c>
      <c r="AD8025">
        <v>-1.1211834435190999</v>
      </c>
      <c r="AE8025">
        <v>0.75687999999998801</v>
      </c>
      <c r="AF8025">
        <v>-0.62470561459516005</v>
      </c>
      <c r="AG8025">
        <v>-1.1211834435190999</v>
      </c>
      <c r="AH8025">
        <v>16.2731591412204</v>
      </c>
      <c r="AI8025">
        <v>93.938427878724895</v>
      </c>
      <c r="AJ8025">
        <v>92.198431647072695</v>
      </c>
      <c r="AK8025">
        <v>16.3236949816643</v>
      </c>
      <c r="AL8025">
        <v>95.005720459690195</v>
      </c>
      <c r="AM8025">
        <v>91.388376043088002</v>
      </c>
      <c r="AN8025">
        <v>0.99999996281229497</v>
      </c>
    </row>
    <row r="8026" spans="1:40" x14ac:dyDescent="0.25">
      <c r="A8026" t="str">
        <f>"20190303154336041"</f>
        <v>20190303154336041</v>
      </c>
      <c r="B8026" t="str">
        <f>"1551599016038331"</f>
        <v>1551599016038331</v>
      </c>
      <c r="C8026" t="s">
        <v>40</v>
      </c>
      <c r="D8026">
        <v>5.7061919999999997</v>
      </c>
      <c r="E8026">
        <v>0.49468400000000001</v>
      </c>
      <c r="F8026" t="s">
        <v>70</v>
      </c>
      <c r="G8026">
        <v>-210.1497</v>
      </c>
      <c r="H8026" s="1">
        <v>5.91551E-7</v>
      </c>
      <c r="I8026">
        <v>-61.793719999999901</v>
      </c>
      <c r="J8026">
        <v>-226.44720000000001</v>
      </c>
      <c r="K8026">
        <v>1.1211850000000001</v>
      </c>
      <c r="L8026">
        <v>-62.555050000000001</v>
      </c>
      <c r="M8026">
        <v>0.99985829999999998</v>
      </c>
      <c r="N8026">
        <v>-1.4827740000000001E-2</v>
      </c>
      <c r="O8026">
        <v>7.9765440000000003E-3</v>
      </c>
      <c r="P8026">
        <v>0.99428309999999998</v>
      </c>
      <c r="Q8026">
        <v>-0.10179439999999999</v>
      </c>
      <c r="R8026">
        <v>3.2234659999999998E-2</v>
      </c>
      <c r="S8026">
        <v>2.9918670000000001</v>
      </c>
      <c r="T8026">
        <v>-0.20425950000000001</v>
      </c>
      <c r="U8026">
        <v>0.1388855</v>
      </c>
      <c r="V8026">
        <v>-2.42851E-2</v>
      </c>
      <c r="W8026">
        <v>-8.7041540000000001E-2</v>
      </c>
      <c r="X8026">
        <v>0.99590860000000003</v>
      </c>
      <c r="Y8026">
        <v>-3.8303749999999998E-2</v>
      </c>
      <c r="Z8026">
        <v>1.1643560000000001E-3</v>
      </c>
      <c r="AA8026">
        <v>0.99926550000000003</v>
      </c>
      <c r="AB8026">
        <v>25</v>
      </c>
      <c r="AC8026">
        <v>16.297499999999999</v>
      </c>
      <c r="AD8026">
        <v>-1.1211844084489999</v>
      </c>
      <c r="AE8026">
        <v>0.76133000000000794</v>
      </c>
      <c r="AF8026">
        <v>-0.62832653508818803</v>
      </c>
      <c r="AG8026">
        <v>-1.1211844084489999</v>
      </c>
      <c r="AH8026">
        <v>16.2264267169822</v>
      </c>
      <c r="AI8026">
        <v>93.949687584054999</v>
      </c>
      <c r="AJ8026">
        <v>92.217523431027701</v>
      </c>
      <c r="AK8026">
        <v>16.277247086471299</v>
      </c>
      <c r="AL8026">
        <v>94.993431864889999</v>
      </c>
      <c r="AM8026">
        <v>91.396873208173403</v>
      </c>
      <c r="AN8026">
        <v>0.99999996766077004</v>
      </c>
    </row>
    <row r="8027" spans="1:40" x14ac:dyDescent="0.25">
      <c r="A8027" t="str">
        <f>"20190303154336051"</f>
        <v>20190303154336051</v>
      </c>
      <c r="B8027" t="str">
        <f>"1551599016048091"</f>
        <v>1551599016048091</v>
      </c>
      <c r="C8027" t="s">
        <v>40</v>
      </c>
      <c r="D8027">
        <v>5.7173499999999997</v>
      </c>
      <c r="E8027">
        <v>0.49461040000000001</v>
      </c>
      <c r="F8027" t="s">
        <v>70</v>
      </c>
      <c r="G8027">
        <v>-210.2276</v>
      </c>
      <c r="H8027" s="1">
        <v>5.5888419999999897E-7</v>
      </c>
      <c r="I8027">
        <v>-61.790900000000001</v>
      </c>
      <c r="J8027">
        <v>-226.3314</v>
      </c>
      <c r="K8027">
        <v>1.1211869999999999</v>
      </c>
      <c r="L8027">
        <v>-62.554049999999997</v>
      </c>
      <c r="M8027">
        <v>0.99985780000000002</v>
      </c>
      <c r="N8027">
        <v>-1.482491E-2</v>
      </c>
      <c r="O8027">
        <v>8.0427180000000008E-3</v>
      </c>
      <c r="P8027">
        <v>0.99432050000000005</v>
      </c>
      <c r="Q8027">
        <v>-0.1013617</v>
      </c>
      <c r="R8027">
        <v>3.2443800000000002E-2</v>
      </c>
      <c r="S8027">
        <v>2.9915470000000002</v>
      </c>
      <c r="T8027">
        <v>-0.2067919</v>
      </c>
      <c r="U8027">
        <v>0.14093020000000001</v>
      </c>
      <c r="V8027">
        <v>-2.4428479999999999E-2</v>
      </c>
      <c r="W8027">
        <v>-8.6611129999999995E-2</v>
      </c>
      <c r="X8027">
        <v>0.99594269999999996</v>
      </c>
      <c r="Y8027">
        <v>-3.8920259999999998E-2</v>
      </c>
      <c r="Z8027">
        <v>1.1960439999999901E-3</v>
      </c>
      <c r="AA8027">
        <v>0.99924159999999995</v>
      </c>
      <c r="AB8027">
        <v>25</v>
      </c>
      <c r="AC8027">
        <v>16.1038</v>
      </c>
      <c r="AD8027">
        <v>-1.1211864411157999</v>
      </c>
      <c r="AE8027">
        <v>0.763149999999996</v>
      </c>
      <c r="AF8027">
        <v>-0.63054318358182704</v>
      </c>
      <c r="AG8027">
        <v>-1.1211864411157999</v>
      </c>
      <c r="AH8027">
        <v>16.031880479277199</v>
      </c>
      <c r="AI8027">
        <v>93.997375227303905</v>
      </c>
      <c r="AJ8027">
        <v>92.252315445931401</v>
      </c>
      <c r="AK8027">
        <v>16.0834024834279</v>
      </c>
      <c r="AL8027">
        <v>94.968677291871103</v>
      </c>
      <c r="AM8027">
        <v>91.405069004858603</v>
      </c>
      <c r="AN8027">
        <v>1.00000005007913</v>
      </c>
    </row>
    <row r="8028" spans="1:40" x14ac:dyDescent="0.25">
      <c r="A8028" t="str">
        <f>"20190303154336062"</f>
        <v>20190303154336062</v>
      </c>
      <c r="B8028" t="str">
        <f>"1551599016057851"</f>
        <v>1551599016057851</v>
      </c>
      <c r="C8028" t="s">
        <v>40</v>
      </c>
      <c r="D8028">
        <v>5.6963759999999999</v>
      </c>
      <c r="E8028">
        <v>0.49449660000000001</v>
      </c>
      <c r="F8028" t="s">
        <v>70</v>
      </c>
      <c r="G8028">
        <v>-210.1266</v>
      </c>
      <c r="H8028" s="1">
        <v>6.0413219999999998E-7</v>
      </c>
      <c r="I8028">
        <v>-61.783769999999997</v>
      </c>
      <c r="J8028">
        <v>-226.21510000000001</v>
      </c>
      <c r="K8028">
        <v>1.121189</v>
      </c>
      <c r="L8028">
        <v>-62.553069999999998</v>
      </c>
      <c r="M8028">
        <v>0.9998572</v>
      </c>
      <c r="N8028">
        <v>-1.482206E-2</v>
      </c>
      <c r="O8028">
        <v>8.109191E-3</v>
      </c>
      <c r="P8028">
        <v>0.99431890000000001</v>
      </c>
      <c r="Q8028">
        <v>-0.1011981</v>
      </c>
      <c r="R8028">
        <v>3.299701E-2</v>
      </c>
      <c r="S8028">
        <v>2.9913940000000001</v>
      </c>
      <c r="T8028">
        <v>-0.20697019999999999</v>
      </c>
      <c r="U8028">
        <v>0.14218140000000001</v>
      </c>
      <c r="V8028">
        <v>-2.49156E-2</v>
      </c>
      <c r="W8028">
        <v>-8.6450460000000007E-2</v>
      </c>
      <c r="X8028">
        <v>0.99594459999999996</v>
      </c>
      <c r="Y8028">
        <v>-3.9272170000000002E-2</v>
      </c>
      <c r="Z8028">
        <v>1.207837E-3</v>
      </c>
      <c r="AA8028">
        <v>0.9992278</v>
      </c>
      <c r="AB8028">
        <v>25</v>
      </c>
      <c r="AC8028">
        <v>16.0885</v>
      </c>
      <c r="AD8028">
        <v>-1.1211883958677999</v>
      </c>
      <c r="AE8028">
        <v>0.76930000000000098</v>
      </c>
      <c r="AF8028">
        <v>-0.63571531113701896</v>
      </c>
      <c r="AG8028">
        <v>-1.1211883958677999</v>
      </c>
      <c r="AH8028">
        <v>16.016602315066599</v>
      </c>
      <c r="AI8028">
        <v>94.001126171701301</v>
      </c>
      <c r="AJ8028">
        <v>92.272934956235702</v>
      </c>
      <c r="AK8028">
        <v>16.0683772390008</v>
      </c>
      <c r="AL8028">
        <v>94.959436882471607</v>
      </c>
      <c r="AM8028">
        <v>91.433072704896702</v>
      </c>
      <c r="AN8028">
        <v>1.0000000577133601</v>
      </c>
    </row>
    <row r="8029" spans="1:40" x14ac:dyDescent="0.25">
      <c r="A8029" t="str">
        <f>"20190303154336073"</f>
        <v>20190303154336073</v>
      </c>
      <c r="B8029" t="str">
        <f>"1551599016068587"</f>
        <v>1551599016068587</v>
      </c>
      <c r="C8029" t="s">
        <v>40</v>
      </c>
      <c r="D8029">
        <v>5.7044160000000002</v>
      </c>
      <c r="E8029">
        <v>0.49440859999999898</v>
      </c>
      <c r="F8029" t="s">
        <v>70</v>
      </c>
      <c r="G8029">
        <v>-210.08529999999999</v>
      </c>
      <c r="H8029" s="1">
        <v>6.2474159999999995E-7</v>
      </c>
      <c r="I8029">
        <v>-61.772820000000003</v>
      </c>
      <c r="J8029">
        <v>-226.0873</v>
      </c>
      <c r="K8029">
        <v>1.1211869999999999</v>
      </c>
      <c r="L8029">
        <v>-62.551940000000002</v>
      </c>
      <c r="M8029">
        <v>0.99985679999999999</v>
      </c>
      <c r="N8029">
        <v>-1.4818929999999999E-2</v>
      </c>
      <c r="O8029">
        <v>8.1821040000000008E-3</v>
      </c>
      <c r="P8029">
        <v>0.99433329999999998</v>
      </c>
      <c r="Q8029">
        <v>-0.10094060000000001</v>
      </c>
      <c r="R8029">
        <v>3.3359279999999998E-2</v>
      </c>
      <c r="S8029">
        <v>2.991196</v>
      </c>
      <c r="T8029">
        <v>-0.20791899999999999</v>
      </c>
      <c r="U8029">
        <v>0.1446838</v>
      </c>
      <c r="V8029">
        <v>-2.5205379999999999E-2</v>
      </c>
      <c r="W8029">
        <v>-8.6195869999999994E-2</v>
      </c>
      <c r="X8029">
        <v>0.99595929999999999</v>
      </c>
      <c r="Y8029">
        <v>-4.0033539999999999E-2</v>
      </c>
      <c r="Z8029">
        <v>1.239523E-3</v>
      </c>
      <c r="AA8029">
        <v>0.99919749999999996</v>
      </c>
      <c r="AB8029">
        <v>24</v>
      </c>
      <c r="AC8029">
        <v>16.001999999999999</v>
      </c>
      <c r="AD8029">
        <v>-1.1211863752583999</v>
      </c>
      <c r="AE8029">
        <v>0.77912000000000503</v>
      </c>
      <c r="AF8029">
        <v>-0.64499064517987903</v>
      </c>
      <c r="AG8029">
        <v>-1.1211863752583999</v>
      </c>
      <c r="AH8029">
        <v>15.929822689354101</v>
      </c>
      <c r="AI8029">
        <v>94.022716044789703</v>
      </c>
      <c r="AJ8029">
        <v>92.318611295749307</v>
      </c>
      <c r="AK8029">
        <v>15.982250240022401</v>
      </c>
      <c r="AL8029">
        <v>94.944795665760196</v>
      </c>
      <c r="AM8029">
        <v>91.449711545558699</v>
      </c>
      <c r="AN8029">
        <v>0.99999998322124495</v>
      </c>
    </row>
    <row r="8030" spans="1:40" x14ac:dyDescent="0.25">
      <c r="A8030" t="str">
        <f>"20190303154336085"</f>
        <v>20190303154336085</v>
      </c>
      <c r="B8030" t="str">
        <f>"1551599016078346"</f>
        <v>1551599016078346</v>
      </c>
      <c r="C8030" t="s">
        <v>40</v>
      </c>
      <c r="D8030">
        <v>5.7020410000000004</v>
      </c>
      <c r="E8030">
        <v>0.49431459999999999</v>
      </c>
      <c r="F8030" t="s">
        <v>43</v>
      </c>
      <c r="G8030">
        <v>-209.30449999999999</v>
      </c>
      <c r="H8030">
        <v>-0.05</v>
      </c>
      <c r="I8030">
        <v>-61.730150000000002</v>
      </c>
      <c r="J8030">
        <v>-225.9639</v>
      </c>
      <c r="K8030">
        <v>1.121184</v>
      </c>
      <c r="L8030">
        <v>-62.550840000000001</v>
      </c>
      <c r="M8030">
        <v>0.99985630000000003</v>
      </c>
      <c r="N8030">
        <v>-1.481592E-2</v>
      </c>
      <c r="O8030">
        <v>8.2526309999999999E-3</v>
      </c>
      <c r="P8030">
        <v>0.99429820000000002</v>
      </c>
      <c r="Q8030">
        <v>-0.1010245</v>
      </c>
      <c r="R8030">
        <v>3.4138740000000001E-2</v>
      </c>
      <c r="S8030">
        <v>2.9909970000000001</v>
      </c>
      <c r="T8030">
        <v>-0.2087263</v>
      </c>
      <c r="U8030">
        <v>0.1464539</v>
      </c>
      <c r="V8030">
        <v>-2.591516E-2</v>
      </c>
      <c r="W8030">
        <v>-8.6283250000000006E-2</v>
      </c>
      <c r="X8030">
        <v>0.99593350000000003</v>
      </c>
      <c r="Y8030">
        <v>-4.0554020000000003E-2</v>
      </c>
      <c r="Z8030">
        <v>1.260789E-3</v>
      </c>
      <c r="AA8030">
        <v>0.99917659999999997</v>
      </c>
      <c r="AB8030">
        <v>24</v>
      </c>
      <c r="AC8030">
        <v>16.659400000000002</v>
      </c>
      <c r="AD8030">
        <v>-1.171184</v>
      </c>
      <c r="AE8030">
        <v>0.82068999999999803</v>
      </c>
      <c r="AF8030">
        <v>-0.67981137320902796</v>
      </c>
      <c r="AG8030">
        <v>-1.171184</v>
      </c>
      <c r="AH8030">
        <v>16.5838418038188</v>
      </c>
      <c r="AI8030">
        <v>94.036256765158399</v>
      </c>
      <c r="AJ8030">
        <v>92.347376917462896</v>
      </c>
      <c r="AK8030">
        <v>16.6390391681457</v>
      </c>
      <c r="AL8030">
        <v>94.949820980412298</v>
      </c>
      <c r="AM8030">
        <v>91.490555652477795</v>
      </c>
      <c r="AN8030">
        <v>0.99999996558531801</v>
      </c>
    </row>
    <row r="8031" spans="1:40" x14ac:dyDescent="0.25">
      <c r="A8031" t="str">
        <f>"20190303154336094"</f>
        <v>20190303154336094</v>
      </c>
      <c r="B8031" t="str">
        <f>"1551599016088107"</f>
        <v>1551599016088107</v>
      </c>
      <c r="C8031" t="s">
        <v>40</v>
      </c>
      <c r="D8031">
        <v>5.6963650000000001</v>
      </c>
      <c r="E8031">
        <v>0.49422700000000003</v>
      </c>
      <c r="F8031" t="s">
        <v>43</v>
      </c>
      <c r="G8031">
        <v>-209.33019999999999</v>
      </c>
      <c r="H8031">
        <v>-0.05</v>
      </c>
      <c r="I8031">
        <v>-61.718800000000002</v>
      </c>
      <c r="J8031">
        <v>-225.85059999999999</v>
      </c>
      <c r="K8031">
        <v>1.121183</v>
      </c>
      <c r="L8031">
        <v>-62.549840000000003</v>
      </c>
      <c r="M8031">
        <v>0.99985590000000002</v>
      </c>
      <c r="N8031">
        <v>-1.4813150000000001E-2</v>
      </c>
      <c r="O8031">
        <v>8.3172560000000003E-3</v>
      </c>
      <c r="P8031">
        <v>0.99426630000000005</v>
      </c>
      <c r="Q8031">
        <v>-0.1011367</v>
      </c>
      <c r="R8031">
        <v>3.4724810000000002E-2</v>
      </c>
      <c r="S8031">
        <v>2.9906769999999998</v>
      </c>
      <c r="T8031">
        <v>-0.2105747</v>
      </c>
      <c r="U8031">
        <v>0.14959720000000001</v>
      </c>
      <c r="V8031">
        <v>-2.6436810000000002E-2</v>
      </c>
      <c r="W8031">
        <v>-8.6398669999999997E-2</v>
      </c>
      <c r="X8031">
        <v>0.99590979999999996</v>
      </c>
      <c r="Y8031">
        <v>-4.1537749999999998E-2</v>
      </c>
      <c r="Z8031">
        <v>1.3064730000000001E-3</v>
      </c>
      <c r="AA8031">
        <v>0.99913609999999997</v>
      </c>
      <c r="AB8031">
        <v>24</v>
      </c>
      <c r="AC8031">
        <v>16.520399999999899</v>
      </c>
      <c r="AD8031">
        <v>-1.1711830000000001</v>
      </c>
      <c r="AE8031">
        <v>0.831040000000001</v>
      </c>
      <c r="AF8031">
        <v>-0.69013206791811299</v>
      </c>
      <c r="AG8031">
        <v>-1.1711830000000001</v>
      </c>
      <c r="AH8031">
        <v>16.444303398537699</v>
      </c>
      <c r="AI8031">
        <v>94.070224527376695</v>
      </c>
      <c r="AJ8031">
        <v>92.4031704737464</v>
      </c>
      <c r="AK8031">
        <v>16.5003959393045</v>
      </c>
      <c r="AL8031">
        <v>94.956458764017597</v>
      </c>
      <c r="AM8031">
        <v>91.520581483801095</v>
      </c>
      <c r="AN8031">
        <v>0.99999998241839205</v>
      </c>
    </row>
    <row r="8032" spans="1:40" x14ac:dyDescent="0.25">
      <c r="A8032" t="str">
        <f>"20190303154336105"</f>
        <v>20190303154336105</v>
      </c>
      <c r="B8032" t="str">
        <f>"1551599016097867"</f>
        <v>1551599016097867</v>
      </c>
      <c r="C8032" t="s">
        <v>40</v>
      </c>
      <c r="D8032">
        <v>5.7062249999999999</v>
      </c>
      <c r="E8032">
        <v>0.49414859999999999</v>
      </c>
      <c r="F8032" t="s">
        <v>70</v>
      </c>
      <c r="G8032">
        <v>-210.0865</v>
      </c>
      <c r="H8032" s="1">
        <v>6.3070460000000001E-7</v>
      </c>
      <c r="I8032">
        <v>-61.748440000000002</v>
      </c>
      <c r="J8032">
        <v>-225.74080000000001</v>
      </c>
      <c r="K8032">
        <v>1.1211819999999999</v>
      </c>
      <c r="L8032">
        <v>-62.548830000000002</v>
      </c>
      <c r="M8032">
        <v>0.9998553</v>
      </c>
      <c r="N8032">
        <v>-1.481041E-2</v>
      </c>
      <c r="O8032">
        <v>8.3800330000000003E-3</v>
      </c>
      <c r="P8032">
        <v>0.99424210000000002</v>
      </c>
      <c r="Q8032">
        <v>-0.1012205</v>
      </c>
      <c r="R8032">
        <v>3.5175039999999998E-2</v>
      </c>
      <c r="S8032">
        <v>2.9903409999999999</v>
      </c>
      <c r="T8032">
        <v>-0.2126808</v>
      </c>
      <c r="U8032">
        <v>0.15200810000000001</v>
      </c>
      <c r="V8032">
        <v>-2.6824589999999999E-2</v>
      </c>
      <c r="W8032">
        <v>-8.6485519999999996E-2</v>
      </c>
      <c r="X8032">
        <v>0.99589190000000005</v>
      </c>
      <c r="Y8032">
        <v>-4.227997E-2</v>
      </c>
      <c r="Z8032">
        <v>1.3435400000000001E-3</v>
      </c>
      <c r="AA8032">
        <v>0.99910489999999996</v>
      </c>
      <c r="AB8032">
        <v>24</v>
      </c>
      <c r="AC8032">
        <v>15.654299999999999</v>
      </c>
      <c r="AD8032">
        <v>-1.12118136929539</v>
      </c>
      <c r="AE8032">
        <v>0.80039000000000005</v>
      </c>
      <c r="AF8032">
        <v>-0.665757787836044</v>
      </c>
      <c r="AG8032">
        <v>-1.12118136929539</v>
      </c>
      <c r="AH8032">
        <v>15.5807434727085</v>
      </c>
      <c r="AI8032">
        <v>94.112137618248298</v>
      </c>
      <c r="AJ8032">
        <v>92.446733149414399</v>
      </c>
      <c r="AK8032">
        <v>15.635211807240401</v>
      </c>
      <c r="AL8032">
        <v>94.9614535604248</v>
      </c>
      <c r="AM8032">
        <v>91.542902668288207</v>
      </c>
      <c r="AN8032">
        <v>0.99999999014197405</v>
      </c>
    </row>
    <row r="8033" spans="1:40" x14ac:dyDescent="0.25">
      <c r="A8033" t="str">
        <f>"20190303154336116"</f>
        <v>20190303154336116</v>
      </c>
      <c r="B8033" t="str">
        <f>"1551599016108603"</f>
        <v>1551599016108603</v>
      </c>
      <c r="C8033" t="s">
        <v>40</v>
      </c>
      <c r="D8033">
        <v>5.6500199999999996</v>
      </c>
      <c r="E8033">
        <v>0.4940447</v>
      </c>
      <c r="F8033" t="s">
        <v>70</v>
      </c>
      <c r="G8033">
        <v>-210.09700000000001</v>
      </c>
      <c r="H8033" s="1">
        <v>6.2756609999999999E-7</v>
      </c>
      <c r="I8033">
        <v>-61.743429999999996</v>
      </c>
      <c r="J8033">
        <v>-225.62979999999999</v>
      </c>
      <c r="K8033">
        <v>1.121181</v>
      </c>
      <c r="L8033">
        <v>-62.547849999999997</v>
      </c>
      <c r="M8033">
        <v>0.99985469999999999</v>
      </c>
      <c r="N8033">
        <v>-1.480765E-2</v>
      </c>
      <c r="O8033">
        <v>8.4437039999999998E-3</v>
      </c>
      <c r="P8033">
        <v>0.99421409999999999</v>
      </c>
      <c r="Q8033">
        <v>-0.1013271</v>
      </c>
      <c r="R8033">
        <v>3.565741E-2</v>
      </c>
      <c r="S8033">
        <v>2.9901119999999999</v>
      </c>
      <c r="T8033">
        <v>-0.2142993</v>
      </c>
      <c r="U8033">
        <v>0.1539307</v>
      </c>
      <c r="V8033">
        <v>-2.724412E-2</v>
      </c>
      <c r="W8033">
        <v>-8.6595229999999995E-2</v>
      </c>
      <c r="X8033">
        <v>0.99587099999999995</v>
      </c>
      <c r="Y8033">
        <v>-4.2857720000000002E-2</v>
      </c>
      <c r="Z8033">
        <v>1.371735E-3</v>
      </c>
      <c r="AA8033">
        <v>0.99908019999999997</v>
      </c>
      <c r="AB8033">
        <v>24</v>
      </c>
      <c r="AC8033">
        <v>15.5327999999999</v>
      </c>
      <c r="AD8033">
        <v>-1.1211803724339</v>
      </c>
      <c r="AE8033">
        <v>0.80441999999999303</v>
      </c>
      <c r="AF8033">
        <v>-0.66974243470807104</v>
      </c>
      <c r="AG8033">
        <v>-1.1211803724339</v>
      </c>
      <c r="AH8033">
        <v>15.4587121840561</v>
      </c>
      <c r="AI8033">
        <v>94.144376995315</v>
      </c>
      <c r="AJ8033">
        <v>92.480765033192199</v>
      </c>
      <c r="AK8033">
        <v>15.513780414388499</v>
      </c>
      <c r="AL8033">
        <v>94.967763041587204</v>
      </c>
      <c r="AM8033">
        <v>91.567054218395697</v>
      </c>
      <c r="AN8033">
        <v>1.00000001228716</v>
      </c>
    </row>
    <row r="8034" spans="1:40" x14ac:dyDescent="0.25">
      <c r="A8034" t="str">
        <f>"20190303154336126"</f>
        <v>20190303154336126</v>
      </c>
      <c r="B8034" t="str">
        <f>"1551599016118363"</f>
        <v>1551599016118363</v>
      </c>
      <c r="C8034" t="s">
        <v>40</v>
      </c>
      <c r="D8034">
        <v>5.7172140000000002</v>
      </c>
      <c r="E8034">
        <v>0.49399179999999998</v>
      </c>
      <c r="F8034" t="s">
        <v>70</v>
      </c>
      <c r="G8034">
        <v>-210.12090000000001</v>
      </c>
      <c r="H8034" s="1">
        <v>6.1883929999999995E-7</v>
      </c>
      <c r="I8034">
        <v>-61.737609999999997</v>
      </c>
      <c r="J8034">
        <v>-225.52109999999999</v>
      </c>
      <c r="K8034">
        <v>1.121181</v>
      </c>
      <c r="L8034">
        <v>-62.546840000000003</v>
      </c>
      <c r="M8034">
        <v>0.99985429999999997</v>
      </c>
      <c r="N8034">
        <v>-1.4804980000000001E-2</v>
      </c>
      <c r="O8034">
        <v>8.5058269999999901E-3</v>
      </c>
      <c r="P8034">
        <v>0.99417900000000003</v>
      </c>
      <c r="Q8034">
        <v>-0.101548</v>
      </c>
      <c r="R8034">
        <v>3.6005199999999897E-2</v>
      </c>
      <c r="S8034">
        <v>2.9898380000000002</v>
      </c>
      <c r="T8034">
        <v>-0.21614410000000001</v>
      </c>
      <c r="U8034">
        <v>0.15618899999999999</v>
      </c>
      <c r="V8034">
        <v>-2.75304E-2</v>
      </c>
      <c r="W8034">
        <v>-8.6819300000000002E-2</v>
      </c>
      <c r="X8034">
        <v>0.99584360000000005</v>
      </c>
      <c r="Y8034">
        <v>-4.3549079999999997E-2</v>
      </c>
      <c r="Z8034">
        <v>1.4062160000000001E-3</v>
      </c>
      <c r="AA8034">
        <v>0.99905029999999995</v>
      </c>
      <c r="AB8034">
        <v>24</v>
      </c>
      <c r="AC8034">
        <v>15.4001999999999</v>
      </c>
      <c r="AD8034">
        <v>-1.1211803811607</v>
      </c>
      <c r="AE8034">
        <v>0.809230000000006</v>
      </c>
      <c r="AF8034">
        <v>-0.67462906228348196</v>
      </c>
      <c r="AG8034">
        <v>-1.1211803811607</v>
      </c>
      <c r="AH8034">
        <v>15.3255209185446</v>
      </c>
      <c r="AI8034">
        <v>94.180141648800003</v>
      </c>
      <c r="AJ8034">
        <v>92.520531616391693</v>
      </c>
      <c r="AK8034">
        <v>15.3812795710736</v>
      </c>
      <c r="AL8034">
        <v>94.980649928330294</v>
      </c>
      <c r="AM8034">
        <v>91.583555961230104</v>
      </c>
      <c r="AN8034">
        <v>0.99999999471880496</v>
      </c>
    </row>
    <row r="8035" spans="1:40" x14ac:dyDescent="0.25">
      <c r="A8035" t="str">
        <f>"20190303154336135"</f>
        <v>20190303154336135</v>
      </c>
      <c r="B8035" t="str">
        <f>"1551599016128123"</f>
        <v>1551599016128123</v>
      </c>
      <c r="C8035" t="s">
        <v>40</v>
      </c>
      <c r="D8035">
        <v>5.7108919999999896</v>
      </c>
      <c r="E8035">
        <v>0.4939327</v>
      </c>
      <c r="F8035" t="s">
        <v>70</v>
      </c>
      <c r="G8035">
        <v>-210.17699999999999</v>
      </c>
      <c r="H8035" s="1">
        <v>5.9470769999999998E-7</v>
      </c>
      <c r="I8035">
        <v>-61.737929999999999</v>
      </c>
      <c r="J8035">
        <v>-225.41159999999999</v>
      </c>
      <c r="K8035">
        <v>1.1211799999999901</v>
      </c>
      <c r="L8035">
        <v>-62.545870000000001</v>
      </c>
      <c r="M8035">
        <v>0.99985369999999996</v>
      </c>
      <c r="N8035">
        <v>-1.4802289999999999E-2</v>
      </c>
      <c r="O8035">
        <v>8.5683069999999903E-3</v>
      </c>
      <c r="P8035">
        <v>0.99416079999999996</v>
      </c>
      <c r="Q8035">
        <v>-0.1016465</v>
      </c>
      <c r="R8035">
        <v>3.6222310000000001E-2</v>
      </c>
      <c r="S8035">
        <v>2.9895779999999998</v>
      </c>
      <c r="T8035">
        <v>-0.2184458</v>
      </c>
      <c r="U8035">
        <v>0.15759279999999901</v>
      </c>
      <c r="V8035">
        <v>-2.768543E-2</v>
      </c>
      <c r="W8035">
        <v>-8.6920670000000005E-2</v>
      </c>
      <c r="X8035">
        <v>0.99583049999999995</v>
      </c>
      <c r="Y8035">
        <v>-4.3955500000000002E-2</v>
      </c>
      <c r="Z8035">
        <v>1.4305839999999999E-3</v>
      </c>
      <c r="AA8035">
        <v>0.99903240000000004</v>
      </c>
      <c r="AB8035">
        <v>24</v>
      </c>
      <c r="AC8035">
        <v>15.234599999999901</v>
      </c>
      <c r="AD8035">
        <v>-1.1211794052923001</v>
      </c>
      <c r="AE8035">
        <v>0.807939999999987</v>
      </c>
      <c r="AF8035">
        <v>-0.67372257189806495</v>
      </c>
      <c r="AG8035">
        <v>-1.1211794052923001</v>
      </c>
      <c r="AH8035">
        <v>15.159090919087699</v>
      </c>
      <c r="AI8035">
        <v>94.225787228307297</v>
      </c>
      <c r="AJ8035">
        <v>92.544748542926399</v>
      </c>
      <c r="AK8035">
        <v>15.215419246800399</v>
      </c>
      <c r="AL8035">
        <v>94.986479838393706</v>
      </c>
      <c r="AM8035">
        <v>91.592489687268198</v>
      </c>
      <c r="AN8035">
        <v>1.00000003531889</v>
      </c>
    </row>
    <row r="8036" spans="1:40" x14ac:dyDescent="0.25">
      <c r="A8036" t="str">
        <f>"20190303154336158"</f>
        <v>20190303154336158</v>
      </c>
      <c r="B8036" t="str">
        <f>"1551599016147643"</f>
        <v>1551599016147643</v>
      </c>
      <c r="C8036" t="s">
        <v>40</v>
      </c>
      <c r="D8036">
        <v>5.4298279999999997</v>
      </c>
      <c r="E8036">
        <v>0.49391360000000001</v>
      </c>
      <c r="F8036" t="s">
        <v>70</v>
      </c>
      <c r="G8036">
        <v>-210.18790000000001</v>
      </c>
      <c r="H8036" s="1">
        <v>5.9003090000000003E-7</v>
      </c>
      <c r="I8036">
        <v>-61.737810000000003</v>
      </c>
      <c r="J8036">
        <v>-225.16970000000001</v>
      </c>
      <c r="K8036">
        <v>1.121181</v>
      </c>
      <c r="L8036">
        <v>-62.543610000000001</v>
      </c>
      <c r="M8036">
        <v>0.99985270000000004</v>
      </c>
      <c r="N8036">
        <v>-1.479634E-2</v>
      </c>
      <c r="O8036">
        <v>8.7066239999999996E-3</v>
      </c>
      <c r="P8036">
        <v>0.99410149999999997</v>
      </c>
      <c r="Q8036">
        <v>-0.1021344</v>
      </c>
      <c r="R8036">
        <v>3.6482390000000003E-2</v>
      </c>
      <c r="S8036">
        <v>2.9893489999999998</v>
      </c>
      <c r="T8036">
        <v>-0.22015760000000001</v>
      </c>
      <c r="U8036">
        <v>0.15866089999999999</v>
      </c>
      <c r="V8036">
        <v>-2.7808630000000001E-2</v>
      </c>
      <c r="W8036">
        <v>-8.7415229999999997E-2</v>
      </c>
      <c r="X8036">
        <v>0.99578370000000005</v>
      </c>
      <c r="Y8036">
        <v>-4.4175069999999997E-2</v>
      </c>
      <c r="Z8036">
        <v>1.439694E-3</v>
      </c>
      <c r="AA8036">
        <v>0.99902279999999999</v>
      </c>
      <c r="AB8036">
        <v>24</v>
      </c>
      <c r="AC8036">
        <v>14.9817999999999</v>
      </c>
      <c r="AD8036">
        <v>-1.1211804099691001</v>
      </c>
      <c r="AE8036">
        <v>0.80580000000000496</v>
      </c>
      <c r="AF8036">
        <v>-0.67156406760504495</v>
      </c>
      <c r="AG8036">
        <v>-1.1211804099691001</v>
      </c>
      <c r="AH8036">
        <v>14.9050145585664</v>
      </c>
      <c r="AI8036">
        <v>94.297440595568105</v>
      </c>
      <c r="AJ8036">
        <v>92.579788217298102</v>
      </c>
      <c r="AK8036">
        <v>14.9622024715505</v>
      </c>
      <c r="AL8036">
        <v>95.014924688458706</v>
      </c>
      <c r="AM8036">
        <v>91.599647721400501</v>
      </c>
      <c r="AN8036">
        <v>0.99999995976205902</v>
      </c>
    </row>
    <row r="8037" spans="1:40" x14ac:dyDescent="0.25">
      <c r="A8037" t="str">
        <f>"20190303154336169"</f>
        <v>20190303154336169</v>
      </c>
      <c r="B8037" t="str">
        <f>"1551599016158379"</f>
        <v>1551599016158379</v>
      </c>
      <c r="C8037" t="s">
        <v>40</v>
      </c>
      <c r="D8037">
        <v>5.6618589999999998</v>
      </c>
      <c r="E8037">
        <v>0.49385699999999999</v>
      </c>
      <c r="F8037" t="s">
        <v>70</v>
      </c>
      <c r="G8037">
        <v>-210.17619999999999</v>
      </c>
      <c r="H8037" s="1">
        <v>5.9383519999999898E-7</v>
      </c>
      <c r="I8037">
        <v>-61.742460000000001</v>
      </c>
      <c r="J8037">
        <v>-225.0489</v>
      </c>
      <c r="K8037">
        <v>1.1211770000000001</v>
      </c>
      <c r="L8037">
        <v>-62.542479999999998</v>
      </c>
      <c r="M8037">
        <v>0.99985219999999997</v>
      </c>
      <c r="N8037">
        <v>-1.479338E-2</v>
      </c>
      <c r="O8037">
        <v>8.7754849999999995E-3</v>
      </c>
      <c r="P8037">
        <v>0.99410739999999997</v>
      </c>
      <c r="Q8037">
        <v>-0.1021208</v>
      </c>
      <c r="R8037">
        <v>3.6360940000000001E-2</v>
      </c>
      <c r="S8037">
        <v>2.9889830000000002</v>
      </c>
      <c r="T8037">
        <v>-0.2235086</v>
      </c>
      <c r="U8037">
        <v>0.15969849999999999</v>
      </c>
      <c r="V8037">
        <v>-2.761825E-2</v>
      </c>
      <c r="W8037">
        <v>-8.7404529999999994E-2</v>
      </c>
      <c r="X8037">
        <v>0.99578999999999995</v>
      </c>
      <c r="Y8037">
        <v>-4.4454300000000002E-2</v>
      </c>
      <c r="Z8037">
        <v>1.4630239999999901E-3</v>
      </c>
      <c r="AA8037">
        <v>0.99901030000000002</v>
      </c>
      <c r="AB8037">
        <v>24</v>
      </c>
      <c r="AC8037">
        <v>14.8727</v>
      </c>
      <c r="AD8037">
        <v>-1.1211764061648</v>
      </c>
      <c r="AE8037">
        <v>0.80002000000000995</v>
      </c>
      <c r="AF8037">
        <v>-0.66568766025520498</v>
      </c>
      <c r="AG8037">
        <v>-1.1211764061648</v>
      </c>
      <c r="AH8037">
        <v>14.7953111751862</v>
      </c>
      <c r="AI8037">
        <v>94.329181130176593</v>
      </c>
      <c r="AJ8037">
        <v>92.576180167519496</v>
      </c>
      <c r="AK8037">
        <v>14.852656643353299</v>
      </c>
      <c r="AL8037">
        <v>95.014308955909698</v>
      </c>
      <c r="AM8037">
        <v>91.588691996935196</v>
      </c>
      <c r="AN8037">
        <v>1.0000000218487901</v>
      </c>
    </row>
    <row r="8038" spans="1:40" x14ac:dyDescent="0.25">
      <c r="A8038" t="str">
        <f>"20190303154336180"</f>
        <v>20190303154336180</v>
      </c>
      <c r="B8038" t="str">
        <f>"1551599016177899"</f>
        <v>1551599016177899</v>
      </c>
      <c r="C8038" t="s">
        <v>40</v>
      </c>
      <c r="D8038">
        <v>5.6551109999999998</v>
      </c>
      <c r="E8038">
        <v>0.49379190000000001</v>
      </c>
      <c r="F8038" t="s">
        <v>70</v>
      </c>
      <c r="G8038">
        <v>-210.1327</v>
      </c>
      <c r="H8038" s="1">
        <v>6.1180109999999998E-7</v>
      </c>
      <c r="I8038">
        <v>-61.745130000000003</v>
      </c>
      <c r="J8038">
        <v>-224.9282</v>
      </c>
      <c r="K8038">
        <v>1.121181</v>
      </c>
      <c r="L8038">
        <v>-62.541379999999997</v>
      </c>
      <c r="M8038">
        <v>0.99985159999999995</v>
      </c>
      <c r="N8038">
        <v>-1.479041E-2</v>
      </c>
      <c r="O8038">
        <v>8.8444649999999993E-3</v>
      </c>
      <c r="P8038">
        <v>0.99408790000000002</v>
      </c>
      <c r="Q8038">
        <v>-0.1023288</v>
      </c>
      <c r="R8038">
        <v>3.6310960000000003E-2</v>
      </c>
      <c r="S8038">
        <v>2.9888759999999999</v>
      </c>
      <c r="T8038">
        <v>-0.22465789999999999</v>
      </c>
      <c r="U8038">
        <v>0.1597595</v>
      </c>
      <c r="V8038">
        <v>-2.749998E-2</v>
      </c>
      <c r="W8038">
        <v>-8.7615589999999993E-2</v>
      </c>
      <c r="X8038">
        <v>0.99577470000000001</v>
      </c>
      <c r="Y8038">
        <v>-4.4406699999999903E-2</v>
      </c>
      <c r="Z8038">
        <v>1.4618249999999999E-3</v>
      </c>
      <c r="AA8038">
        <v>0.99901249999999997</v>
      </c>
      <c r="AB8038">
        <v>24</v>
      </c>
      <c r="AC8038">
        <v>14.795500000000001</v>
      </c>
      <c r="AD8038">
        <v>-1.1211803881989</v>
      </c>
      <c r="AE8038">
        <v>0.79625000000000001</v>
      </c>
      <c r="AF8038">
        <v>-0.66155831914941099</v>
      </c>
      <c r="AG8038">
        <v>-1.1211803881989</v>
      </c>
      <c r="AH8038">
        <v>14.717693876735799</v>
      </c>
      <c r="AI8038">
        <v>94.351948446211694</v>
      </c>
      <c r="AJ8038">
        <v>92.573704974004997</v>
      </c>
      <c r="AK8038">
        <v>14.775155428009001</v>
      </c>
      <c r="AL8038">
        <v>95.026448500170602</v>
      </c>
      <c r="AM8038">
        <v>91.581916477512607</v>
      </c>
      <c r="AN8038">
        <v>0.99999999683556895</v>
      </c>
    </row>
    <row r="8039" spans="1:40" x14ac:dyDescent="0.25">
      <c r="A8039" t="str">
        <f>"20190303154336190"</f>
        <v>20190303154336190</v>
      </c>
      <c r="B8039" t="str">
        <f>"1551599016187659"</f>
        <v>1551599016187659</v>
      </c>
      <c r="C8039" t="s">
        <v>40</v>
      </c>
      <c r="D8039">
        <v>5.6455780000000004</v>
      </c>
      <c r="E8039">
        <v>0.49376130000000001</v>
      </c>
      <c r="F8039" t="s">
        <v>70</v>
      </c>
      <c r="G8039">
        <v>-210.13239999999999</v>
      </c>
      <c r="H8039" s="1">
        <v>6.1090090000000003E-7</v>
      </c>
      <c r="I8039">
        <v>-61.748910000000002</v>
      </c>
      <c r="J8039">
        <v>-224.81389999999999</v>
      </c>
      <c r="K8039">
        <v>1.1211789999999999</v>
      </c>
      <c r="L8039">
        <v>-62.540280000000003</v>
      </c>
      <c r="M8039">
        <v>0.99985100000000005</v>
      </c>
      <c r="N8039">
        <v>-1.478761E-2</v>
      </c>
      <c r="O8039">
        <v>8.9099290000000005E-3</v>
      </c>
      <c r="P8039">
        <v>0.99410200000000004</v>
      </c>
      <c r="Q8039">
        <v>-0.1023806</v>
      </c>
      <c r="R8039">
        <v>3.5772320000000003E-2</v>
      </c>
      <c r="S8039">
        <v>2.988693</v>
      </c>
      <c r="T8039">
        <v>-0.2264737</v>
      </c>
      <c r="U8039">
        <v>0.1600647</v>
      </c>
      <c r="V8039">
        <v>-2.6896349999999999E-2</v>
      </c>
      <c r="W8039">
        <v>-8.7669919999999998E-2</v>
      </c>
      <c r="X8039">
        <v>0.99578639999999996</v>
      </c>
      <c r="Y8039">
        <v>-4.4444369999999997E-2</v>
      </c>
      <c r="Z8039">
        <v>1.4675999999999999E-3</v>
      </c>
      <c r="AA8039">
        <v>0.99901079999999998</v>
      </c>
      <c r="AB8039">
        <v>24</v>
      </c>
      <c r="AC8039">
        <v>14.6815</v>
      </c>
      <c r="AD8039">
        <v>-1.1211783890991001</v>
      </c>
      <c r="AE8039">
        <v>0.79137000000000701</v>
      </c>
      <c r="AF8039">
        <v>-0.65669448993592305</v>
      </c>
      <c r="AG8039">
        <v>-1.1211783890991001</v>
      </c>
      <c r="AH8039">
        <v>14.603052398046801</v>
      </c>
      <c r="AI8039">
        <v>94.385969012487394</v>
      </c>
      <c r="AJ8039">
        <v>92.574837725627205</v>
      </c>
      <c r="AK8039">
        <v>14.660744454951599</v>
      </c>
      <c r="AL8039">
        <v>95.029573431661007</v>
      </c>
      <c r="AM8039">
        <v>91.547191995069994</v>
      </c>
      <c r="AN8039">
        <v>0.99999999147054397</v>
      </c>
    </row>
    <row r="8040" spans="1:40" x14ac:dyDescent="0.25">
      <c r="A8040" t="str">
        <f>"20190303154336204"</f>
        <v>20190303154336204</v>
      </c>
      <c r="B8040" t="str">
        <f>"1551599016198395"</f>
        <v>1551599016198395</v>
      </c>
      <c r="C8040" t="s">
        <v>40</v>
      </c>
      <c r="D8040">
        <v>5.6127089999999997</v>
      </c>
      <c r="E8040">
        <v>0.49369609999999903</v>
      </c>
      <c r="F8040" t="s">
        <v>70</v>
      </c>
      <c r="G8040">
        <v>-210.10249999999999</v>
      </c>
      <c r="H8040" s="1">
        <v>6.2107629999999997E-7</v>
      </c>
      <c r="I8040">
        <v>-61.758920000000003</v>
      </c>
      <c r="J8040">
        <v>-224.67910000000001</v>
      </c>
      <c r="K8040">
        <v>1.1211770000000001</v>
      </c>
      <c r="L8040">
        <v>-62.5389699999999</v>
      </c>
      <c r="M8040">
        <v>0.99985029999999997</v>
      </c>
      <c r="N8040">
        <v>-1.47842999999999E-2</v>
      </c>
      <c r="O8040">
        <v>8.9869570000000003E-3</v>
      </c>
      <c r="P8040">
        <v>0.99410770000000004</v>
      </c>
      <c r="Q8040">
        <v>-0.10241359999999999</v>
      </c>
      <c r="R8040">
        <v>3.5517460000000001E-2</v>
      </c>
      <c r="S8040">
        <v>2.988632</v>
      </c>
      <c r="T8040">
        <v>-0.2277681</v>
      </c>
      <c r="U8040">
        <v>0.1587219</v>
      </c>
      <c r="V8040">
        <v>-2.6564830000000001E-2</v>
      </c>
      <c r="W8040">
        <v>-8.7706119999999999E-2</v>
      </c>
      <c r="X8040">
        <v>0.99579209999999996</v>
      </c>
      <c r="Y8040">
        <v>-4.3921490000000001E-2</v>
      </c>
      <c r="Z8040">
        <v>1.444791E-3</v>
      </c>
      <c r="AA8040">
        <v>0.99903390000000003</v>
      </c>
      <c r="AB8040">
        <v>24</v>
      </c>
      <c r="AC8040">
        <v>14.576599999999999</v>
      </c>
      <c r="AD8040">
        <v>-1.1211763789236999</v>
      </c>
      <c r="AE8040">
        <v>0.78004999999999503</v>
      </c>
      <c r="AF8040">
        <v>-0.64519873365212599</v>
      </c>
      <c r="AG8040">
        <v>-1.1211763789236999</v>
      </c>
      <c r="AH8040">
        <v>14.4974985448205</v>
      </c>
      <c r="AI8040">
        <v>94.417860125481795</v>
      </c>
      <c r="AJ8040">
        <v>92.548218044776107</v>
      </c>
      <c r="AK8040">
        <v>14.5550947072025</v>
      </c>
      <c r="AL8040">
        <v>95.0316556168913</v>
      </c>
      <c r="AM8040">
        <v>91.528121915992202</v>
      </c>
      <c r="AN8040">
        <v>0.99999998005039603</v>
      </c>
    </row>
    <row r="8041" spans="1:40" x14ac:dyDescent="0.25">
      <c r="A8041" t="str">
        <f>"20190303154336216"</f>
        <v>20190303154336216</v>
      </c>
      <c r="B8041" t="str">
        <f>"1551599016207588"</f>
        <v>1551599016207588</v>
      </c>
      <c r="C8041" t="s">
        <v>40</v>
      </c>
      <c r="D8041">
        <v>5.6346319999999999</v>
      </c>
      <c r="E8041">
        <v>0.49364449999999999</v>
      </c>
      <c r="F8041" t="s">
        <v>70</v>
      </c>
      <c r="G8041">
        <v>-210.0565</v>
      </c>
      <c r="H8041" s="1">
        <v>6.3955130000000004E-7</v>
      </c>
      <c r="I8041">
        <v>-61.763640000000002</v>
      </c>
      <c r="J8041">
        <v>-224.54519999999999</v>
      </c>
      <c r="K8041">
        <v>1.1211789999999999</v>
      </c>
      <c r="L8041">
        <v>-62.537719999999901</v>
      </c>
      <c r="M8041">
        <v>0.99984960000000001</v>
      </c>
      <c r="N8041">
        <v>-1.4781010000000001E-2</v>
      </c>
      <c r="O8041">
        <v>9.0636880000000003E-3</v>
      </c>
      <c r="P8041">
        <v>0.99405710000000003</v>
      </c>
      <c r="Q8041">
        <v>-0.10298939999999999</v>
      </c>
      <c r="R8041">
        <v>3.5262719999999997E-2</v>
      </c>
      <c r="S8041">
        <v>2.9885100000000002</v>
      </c>
      <c r="T8041">
        <v>-0.22914119999999999</v>
      </c>
      <c r="U8041">
        <v>0.15844730000000001</v>
      </c>
      <c r="V8041">
        <v>-2.6233949999999999E-2</v>
      </c>
      <c r="W8041">
        <v>-8.8285810000000006E-2</v>
      </c>
      <c r="X8041">
        <v>0.99574969999999996</v>
      </c>
      <c r="Y8041">
        <v>-4.3754719999999997E-2</v>
      </c>
      <c r="Z8041">
        <v>1.438314E-3</v>
      </c>
      <c r="AA8041">
        <v>0.99904130000000002</v>
      </c>
      <c r="AB8041">
        <v>24</v>
      </c>
      <c r="AC8041">
        <v>14.4886999999999</v>
      </c>
      <c r="AD8041">
        <v>-1.1211783604487</v>
      </c>
      <c r="AE8041">
        <v>0.77407999999999</v>
      </c>
      <c r="AF8041">
        <v>-0.63889787443823498</v>
      </c>
      <c r="AG8041">
        <v>-1.1211783604487</v>
      </c>
      <c r="AH8041">
        <v>14.409083764475101</v>
      </c>
      <c r="AI8041">
        <v>94.444900062377201</v>
      </c>
      <c r="AJ8041">
        <v>92.538828353263597</v>
      </c>
      <c r="AK8041">
        <v>14.4667524462666</v>
      </c>
      <c r="AL8041">
        <v>95.064998474518205</v>
      </c>
      <c r="AM8041">
        <v>91.509161378363203</v>
      </c>
      <c r="AN8041">
        <v>1.00000003471502</v>
      </c>
    </row>
    <row r="8042" spans="1:40" x14ac:dyDescent="0.25">
      <c r="A8042" t="str">
        <f>"20190303154336229"</f>
        <v>20190303154336229</v>
      </c>
      <c r="B8042" t="str">
        <f>"1551599016217498"</f>
        <v>1551599016217498</v>
      </c>
      <c r="C8042" t="s">
        <v>40</v>
      </c>
      <c r="D8042">
        <v>5.6050440000000004</v>
      </c>
      <c r="E8042">
        <v>0.49359609999999898</v>
      </c>
      <c r="F8042" t="s">
        <v>70</v>
      </c>
      <c r="G8042">
        <v>-210.09280000000001</v>
      </c>
      <c r="H8042" s="1">
        <v>6.2154959999999898E-7</v>
      </c>
      <c r="I8042">
        <v>-61.772829999999999</v>
      </c>
      <c r="J8042">
        <v>-224.40889999999999</v>
      </c>
      <c r="K8042">
        <v>1.121178</v>
      </c>
      <c r="L8042">
        <v>-62.536380000000001</v>
      </c>
      <c r="M8042">
        <v>0.99984910000000005</v>
      </c>
      <c r="N8042">
        <v>-1.4777719999999999E-2</v>
      </c>
      <c r="O8042">
        <v>9.1414319999999997E-3</v>
      </c>
      <c r="P8042">
        <v>0.99402539999999995</v>
      </c>
      <c r="Q8042">
        <v>-0.1033615</v>
      </c>
      <c r="R8042">
        <v>3.5078640000000001E-2</v>
      </c>
      <c r="S8042">
        <v>2.9882970000000002</v>
      </c>
      <c r="T8042">
        <v>-0.2318228</v>
      </c>
      <c r="U8042">
        <v>0.15814210000000001</v>
      </c>
      <c r="V8042">
        <v>-2.5973349999999999E-2</v>
      </c>
      <c r="W8042">
        <v>-8.8661470000000006E-2</v>
      </c>
      <c r="X8042">
        <v>0.99572309999999997</v>
      </c>
      <c r="Y8042">
        <v>-4.3577049999999999E-2</v>
      </c>
      <c r="Z8042">
        <v>1.436669E-3</v>
      </c>
      <c r="AA8042">
        <v>0.99904899999999996</v>
      </c>
      <c r="AB8042">
        <v>24</v>
      </c>
      <c r="AC8042">
        <v>14.316099999999899</v>
      </c>
      <c r="AD8042">
        <v>-1.1211773784504</v>
      </c>
      <c r="AE8042">
        <v>0.76354999999999495</v>
      </c>
      <c r="AF8042">
        <v>-0.628788499983848</v>
      </c>
      <c r="AG8042">
        <v>-1.1211773784504</v>
      </c>
      <c r="AH8042">
        <v>14.235418954133999</v>
      </c>
      <c r="AI8042">
        <v>94.498933852204701</v>
      </c>
      <c r="AJ8042">
        <v>92.529151030561806</v>
      </c>
      <c r="AK8042">
        <v>14.293339934786999</v>
      </c>
      <c r="AL8042">
        <v>95.086607214918402</v>
      </c>
      <c r="AM8042">
        <v>91.494216560667297</v>
      </c>
      <c r="AN8042">
        <v>0.99999998152319602</v>
      </c>
    </row>
    <row r="8043" spans="1:40" x14ac:dyDescent="0.25">
      <c r="A8043" t="str">
        <f>"20190303154336240"</f>
        <v>20190303154336240</v>
      </c>
      <c r="B8043" t="str">
        <f>"1551599016237815"</f>
        <v>1551599016237815</v>
      </c>
      <c r="C8043" t="s">
        <v>40</v>
      </c>
      <c r="D8043">
        <v>5.5958379999999996</v>
      </c>
      <c r="E8043">
        <v>0.49349579999999998</v>
      </c>
      <c r="F8043" t="s">
        <v>70</v>
      </c>
      <c r="G8043">
        <v>-210.09780000000001</v>
      </c>
      <c r="H8043" s="1">
        <v>6.1748509999999997E-7</v>
      </c>
      <c r="I8043">
        <v>-61.779949999999999</v>
      </c>
      <c r="J8043">
        <v>-224.2817</v>
      </c>
      <c r="K8043">
        <v>1.1211789999999999</v>
      </c>
      <c r="L8043">
        <v>-62.535159999999998</v>
      </c>
      <c r="M8043">
        <v>0.99984839999999997</v>
      </c>
      <c r="N8043">
        <v>-1.477463E-2</v>
      </c>
      <c r="O8043">
        <v>9.2141080000000004E-3</v>
      </c>
      <c r="P8043">
        <v>0.99400679999999997</v>
      </c>
      <c r="Q8043">
        <v>-0.10357420000000001</v>
      </c>
      <c r="R8043">
        <v>3.4976130000000001E-2</v>
      </c>
      <c r="S8043">
        <v>2.9881129999999998</v>
      </c>
      <c r="T8043">
        <v>-0.23409869999999999</v>
      </c>
      <c r="U8043">
        <v>0.1579285</v>
      </c>
      <c r="V8043">
        <v>-2.5798129999999999E-2</v>
      </c>
      <c r="W8043">
        <v>-8.8877479999999995E-2</v>
      </c>
      <c r="X8043">
        <v>0.99570840000000005</v>
      </c>
      <c r="Y8043">
        <v>-4.3434720000000003E-2</v>
      </c>
      <c r="Z8043">
        <v>1.434999E-3</v>
      </c>
      <c r="AA8043">
        <v>0.99905529999999998</v>
      </c>
      <c r="AB8043">
        <v>24</v>
      </c>
      <c r="AC8043">
        <v>14.1838999999999</v>
      </c>
      <c r="AD8043">
        <v>-1.1211783825149</v>
      </c>
      <c r="AE8043">
        <v>0.75520999999999805</v>
      </c>
      <c r="AF8043">
        <v>-0.62060495104097402</v>
      </c>
      <c r="AG8043">
        <v>-1.1211783825149</v>
      </c>
      <c r="AH8043">
        <v>14.1023909861128</v>
      </c>
      <c r="AI8043">
        <v>94.541232258944703</v>
      </c>
      <c r="AJ8043">
        <v>92.519793766916607</v>
      </c>
      <c r="AK8043">
        <v>14.160495153626201</v>
      </c>
      <c r="AL8043">
        <v>95.099032717850605</v>
      </c>
      <c r="AM8043">
        <v>91.484162783065102</v>
      </c>
      <c r="AN8043">
        <v>0.99999998389660305</v>
      </c>
    </row>
    <row r="8044" spans="1:40" x14ac:dyDescent="0.25">
      <c r="A8044" t="str">
        <f>"20190303154336250"</f>
        <v>20190303154336250</v>
      </c>
      <c r="B8044" t="str">
        <f>"1551599016237815"</f>
        <v>1551599016237815</v>
      </c>
      <c r="C8044" t="s">
        <v>40</v>
      </c>
      <c r="D8044">
        <v>5.5958379999999996</v>
      </c>
      <c r="E8044">
        <v>0.49349579999999998</v>
      </c>
      <c r="F8044" t="s">
        <v>70</v>
      </c>
      <c r="G8044">
        <v>-210.11279999999999</v>
      </c>
      <c r="H8044" s="1">
        <v>6.0996250000000001E-7</v>
      </c>
      <c r="I8044">
        <v>-61.784019999999998</v>
      </c>
      <c r="J8044">
        <v>-224.1748</v>
      </c>
      <c r="K8044">
        <v>1.121181</v>
      </c>
      <c r="L8044">
        <v>-62.534089999999999</v>
      </c>
      <c r="M8044">
        <v>0.99984790000000001</v>
      </c>
      <c r="N8044">
        <v>-1.477201E-2</v>
      </c>
      <c r="O8044">
        <v>9.2753369999999998E-3</v>
      </c>
      <c r="P8044">
        <v>0.99403200000000003</v>
      </c>
      <c r="Q8044">
        <v>-0.10338269999999999</v>
      </c>
      <c r="R8044">
        <v>3.4821520000000002E-2</v>
      </c>
      <c r="S8044">
        <v>2.9878849999999999</v>
      </c>
      <c r="T8044">
        <v>-0.2364299</v>
      </c>
      <c r="U8044">
        <v>0.1583862</v>
      </c>
      <c r="V8044">
        <v>-2.5582540000000001E-2</v>
      </c>
      <c r="W8044">
        <v>-8.8688210000000003E-2</v>
      </c>
      <c r="X8044">
        <v>0.99573089999999997</v>
      </c>
      <c r="Y8044">
        <v>-4.3527530000000002E-2</v>
      </c>
      <c r="Z8044">
        <v>1.4451209999999999E-3</v>
      </c>
      <c r="AA8044">
        <v>0.99905120000000003</v>
      </c>
      <c r="AB8044">
        <v>24</v>
      </c>
      <c r="AC8044">
        <v>14.061999999999999</v>
      </c>
      <c r="AD8044">
        <v>-1.1211803900374999</v>
      </c>
      <c r="AE8044">
        <v>0.75007000000000001</v>
      </c>
      <c r="AF8044">
        <v>-0.61569082624638904</v>
      </c>
      <c r="AG8044">
        <v>-1.1211803900374999</v>
      </c>
      <c r="AH8044">
        <v>13.9797348962559</v>
      </c>
      <c r="AI8044">
        <v>94.580908733533903</v>
      </c>
      <c r="AJ8044">
        <v>92.521772005659102</v>
      </c>
      <c r="AK8044">
        <v>14.038130517633901</v>
      </c>
      <c r="AL8044">
        <v>95.088145039191105</v>
      </c>
      <c r="AM8044">
        <v>91.471732156779694</v>
      </c>
      <c r="AN8044">
        <v>1.0000000450803299</v>
      </c>
    </row>
    <row r="8045" spans="1:40" x14ac:dyDescent="0.25">
      <c r="A8045" t="str">
        <f>"20190303154336260"</f>
        <v>20190303154336260</v>
      </c>
      <c r="B8045" t="str">
        <f>"1551599016247575"</f>
        <v>1551599016247575</v>
      </c>
      <c r="C8045" t="s">
        <v>40</v>
      </c>
      <c r="D8045">
        <v>5.5792120000000001</v>
      </c>
      <c r="E8045">
        <v>0.49345169999999999</v>
      </c>
      <c r="F8045" t="s">
        <v>43</v>
      </c>
      <c r="G8045">
        <v>-209.3348</v>
      </c>
      <c r="H8045">
        <v>-0.05</v>
      </c>
      <c r="I8045">
        <v>-61.749859999999998</v>
      </c>
      <c r="J8045">
        <v>-224.0763</v>
      </c>
      <c r="K8045">
        <v>1.1211819999999999</v>
      </c>
      <c r="L8045">
        <v>-62.533110000000001</v>
      </c>
      <c r="M8045">
        <v>0.99984740000000005</v>
      </c>
      <c r="N8045">
        <v>-1.4769600000000001E-2</v>
      </c>
      <c r="O8045">
        <v>9.3317369999999997E-3</v>
      </c>
      <c r="P8045">
        <v>0.99403859999999999</v>
      </c>
      <c r="Q8045">
        <v>-0.1032985</v>
      </c>
      <c r="R8045">
        <v>3.4879340000000002E-2</v>
      </c>
      <c r="S8045">
        <v>2.9879760000000002</v>
      </c>
      <c r="T8045">
        <v>-0.23581240000000001</v>
      </c>
      <c r="U8045">
        <v>0.15789790000000001</v>
      </c>
      <c r="V8045">
        <v>-2.558415E-2</v>
      </c>
      <c r="W8045">
        <v>-8.8606340000000006E-2</v>
      </c>
      <c r="X8045">
        <v>0.99573809999999996</v>
      </c>
      <c r="Y8045">
        <v>-4.3308340000000001E-2</v>
      </c>
      <c r="Z8045">
        <v>1.4285879999999999E-3</v>
      </c>
      <c r="AA8045">
        <v>0.99906079999999997</v>
      </c>
      <c r="AB8045">
        <v>24</v>
      </c>
      <c r="AC8045">
        <v>14.7415</v>
      </c>
      <c r="AD8045">
        <v>-1.1711819999999999</v>
      </c>
      <c r="AE8045">
        <v>0.783250000000002</v>
      </c>
      <c r="AF8045">
        <v>-0.64159872802223505</v>
      </c>
      <c r="AG8045">
        <v>-1.1711819999999999</v>
      </c>
      <c r="AH8045">
        <v>14.6559204535679</v>
      </c>
      <c r="AI8045">
        <v>94.564550514688406</v>
      </c>
      <c r="AJ8045">
        <v>92.506662252026501</v>
      </c>
      <c r="AK8045">
        <v>14.716634144607699</v>
      </c>
      <c r="AL8045">
        <v>95.083435933552096</v>
      </c>
      <c r="AM8045">
        <v>91.471814099551906</v>
      </c>
      <c r="AN8045">
        <v>0.99999999800551398</v>
      </c>
    </row>
    <row r="8046" spans="1:40" x14ac:dyDescent="0.25">
      <c r="A8046" t="str">
        <f>"20190303154336270"</f>
        <v>20190303154336270</v>
      </c>
      <c r="B8046" t="str">
        <f>"1551599016258311"</f>
        <v>1551599016258311</v>
      </c>
      <c r="C8046" t="s">
        <v>40</v>
      </c>
      <c r="D8046">
        <v>5.5958259999999997</v>
      </c>
      <c r="E8046">
        <v>0.49342170000000002</v>
      </c>
      <c r="F8046" t="s">
        <v>58</v>
      </c>
      <c r="G8046">
        <v>-209.90260000000001</v>
      </c>
      <c r="H8046" s="1">
        <v>-3.9160710000000001E-7</v>
      </c>
      <c r="I8046">
        <v>-61.782200000000003</v>
      </c>
      <c r="J8046">
        <v>-223.96420000000001</v>
      </c>
      <c r="K8046">
        <v>1.121183</v>
      </c>
      <c r="L8046">
        <v>-62.531979999999997</v>
      </c>
      <c r="M8046">
        <v>0.99984689999999998</v>
      </c>
      <c r="N8046">
        <v>-1.476684E-2</v>
      </c>
      <c r="O8046">
        <v>9.3960060000000001E-3</v>
      </c>
      <c r="P8046">
        <v>0.99402860000000004</v>
      </c>
      <c r="Q8046">
        <v>-0.1033675</v>
      </c>
      <c r="R8046">
        <v>3.4967829999999998E-2</v>
      </c>
      <c r="S8046">
        <v>2.987854</v>
      </c>
      <c r="T8046">
        <v>-0.23634830000000001</v>
      </c>
      <c r="U8046">
        <v>0.15829470000000001</v>
      </c>
      <c r="V8046">
        <v>-2.5608680000000002E-2</v>
      </c>
      <c r="W8046">
        <v>-8.8678140000000003E-2</v>
      </c>
      <c r="X8046">
        <v>0.99573109999999998</v>
      </c>
      <c r="Y8046">
        <v>-4.3377869999999999E-2</v>
      </c>
      <c r="Z8046">
        <v>1.429874E-3</v>
      </c>
      <c r="AA8046">
        <v>0.99905770000000005</v>
      </c>
      <c r="AB8046">
        <v>24</v>
      </c>
      <c r="AC8046">
        <v>14.0616</v>
      </c>
      <c r="AD8046">
        <v>-1.1211833916070999</v>
      </c>
      <c r="AE8046">
        <v>0.749780000000001</v>
      </c>
      <c r="AF8046">
        <v>-0.613718986312633</v>
      </c>
      <c r="AG8046">
        <v>-1.1211833916070999</v>
      </c>
      <c r="AH8046">
        <v>13.979403268706999</v>
      </c>
      <c r="AI8046">
        <v>94.581057182383702</v>
      </c>
      <c r="AJ8046">
        <v>92.513765593173602</v>
      </c>
      <c r="AK8046">
        <v>14.037714163670399</v>
      </c>
      <c r="AL8046">
        <v>95.087565915030197</v>
      </c>
      <c r="AM8046">
        <v>91.473235000748204</v>
      </c>
      <c r="AN8046">
        <v>1.0000000202562001</v>
      </c>
    </row>
    <row r="8047" spans="1:40" x14ac:dyDescent="0.25">
      <c r="A8047" t="str">
        <f>"20190303154336280"</f>
        <v>20190303154336280</v>
      </c>
      <c r="B8047" t="str">
        <f>"1551599016277832"</f>
        <v>1551599016277832</v>
      </c>
      <c r="C8047" t="s">
        <v>40</v>
      </c>
      <c r="D8047">
        <v>5.5648600000000004</v>
      </c>
      <c r="E8047">
        <v>0.49333549999999998</v>
      </c>
      <c r="F8047" t="s">
        <v>58</v>
      </c>
      <c r="G8047">
        <v>-209.8349</v>
      </c>
      <c r="H8047" s="1">
        <v>-4.1719959999999998E-7</v>
      </c>
      <c r="I8047">
        <v>-61.781239999999997</v>
      </c>
      <c r="J8047">
        <v>-223.85339999999999</v>
      </c>
      <c r="K8047">
        <v>1.121183</v>
      </c>
      <c r="L8047">
        <v>-62.530880000000003</v>
      </c>
      <c r="M8047">
        <v>0.99984629999999997</v>
      </c>
      <c r="N8047">
        <v>-1.476412E-2</v>
      </c>
      <c r="O8047">
        <v>9.4596190000000007E-3</v>
      </c>
      <c r="P8047">
        <v>0.99400500000000003</v>
      </c>
      <c r="Q8047">
        <v>-0.1036497</v>
      </c>
      <c r="R8047">
        <v>3.4796180000000003E-2</v>
      </c>
      <c r="S8047">
        <v>2.987778</v>
      </c>
      <c r="T8047">
        <v>-0.23708570000000001</v>
      </c>
      <c r="U8047">
        <v>0.15875239999999999</v>
      </c>
      <c r="V8047">
        <v>-2.5374420000000002E-2</v>
      </c>
      <c r="W8047">
        <v>-8.8963360000000005E-2</v>
      </c>
      <c r="X8047">
        <v>0.99571160000000003</v>
      </c>
      <c r="Y8047">
        <v>-4.3467319999999997E-2</v>
      </c>
      <c r="Z8047">
        <v>1.4329360000000001E-3</v>
      </c>
      <c r="AA8047">
        <v>0.99905379999999999</v>
      </c>
      <c r="AB8047">
        <v>24</v>
      </c>
      <c r="AC8047">
        <v>14.0184999999999</v>
      </c>
      <c r="AD8047">
        <v>-1.1211834171996</v>
      </c>
      <c r="AE8047">
        <v>0.74963999999999897</v>
      </c>
      <c r="AF8047">
        <v>-0.61307192956221002</v>
      </c>
      <c r="AG8047">
        <v>-1.1211834171996</v>
      </c>
      <c r="AH8047">
        <v>13.936075185892101</v>
      </c>
      <c r="AI8047">
        <v>94.595221085807296</v>
      </c>
      <c r="AJ8047">
        <v>92.518915848252405</v>
      </c>
      <c r="AK8047">
        <v>13.994538257215201</v>
      </c>
      <c r="AL8047">
        <v>95.103972942827795</v>
      </c>
      <c r="AM8047">
        <v>91.459792752657407</v>
      </c>
      <c r="AN8047">
        <v>0.99999996549369197</v>
      </c>
    </row>
    <row r="8048" spans="1:40" x14ac:dyDescent="0.25">
      <c r="A8048" t="str">
        <f>"20190303154336292"</f>
        <v>20190303154336292</v>
      </c>
      <c r="B8048" t="str">
        <f>"1551599016288568"</f>
        <v>1551599016288568</v>
      </c>
      <c r="C8048" t="s">
        <v>40</v>
      </c>
      <c r="D8048">
        <v>5.5509700000000004</v>
      </c>
      <c r="E8048">
        <v>0.49330370000000001</v>
      </c>
      <c r="F8048" t="s">
        <v>58</v>
      </c>
      <c r="G8048">
        <v>-209.84649999999999</v>
      </c>
      <c r="H8048" s="1">
        <v>-4.1396399999999999E-7</v>
      </c>
      <c r="I8048">
        <v>-61.785739999999997</v>
      </c>
      <c r="J8048">
        <v>-223.72790000000001</v>
      </c>
      <c r="K8048">
        <v>1.1211819999999999</v>
      </c>
      <c r="L8048">
        <v>-62.529629999999997</v>
      </c>
      <c r="M8048">
        <v>0.9998456</v>
      </c>
      <c r="N8048">
        <v>-1.476104E-2</v>
      </c>
      <c r="O8048">
        <v>9.5314609999999998E-3</v>
      </c>
      <c r="P8048">
        <v>0.9940194</v>
      </c>
      <c r="Q8048">
        <v>-0.1034674</v>
      </c>
      <c r="R8048">
        <v>3.492924E-2</v>
      </c>
      <c r="S8048">
        <v>2.9875949999999998</v>
      </c>
      <c r="T8048">
        <v>-0.2391422</v>
      </c>
      <c r="U8048">
        <v>0.15893550000000001</v>
      </c>
      <c r="V8048">
        <v>-2.5435599999999999E-2</v>
      </c>
      <c r="W8048">
        <v>-8.8783879999999996E-2</v>
      </c>
      <c r="X8048">
        <v>0.99572609999999995</v>
      </c>
      <c r="Y8048">
        <v>-4.3457839999999998E-2</v>
      </c>
      <c r="Z8048">
        <v>1.43618E-3</v>
      </c>
      <c r="AA8048">
        <v>0.99905429999999995</v>
      </c>
      <c r="AB8048">
        <v>24</v>
      </c>
      <c r="AC8048">
        <v>13.881399999999999</v>
      </c>
      <c r="AD8048">
        <v>-1.1211824139640001</v>
      </c>
      <c r="AE8048">
        <v>0.74389000000000005</v>
      </c>
      <c r="AF8048">
        <v>-0.60757951523113995</v>
      </c>
      <c r="AG8048">
        <v>-1.1211824139640001</v>
      </c>
      <c r="AH8048">
        <v>13.7981051351796</v>
      </c>
      <c r="AI8048">
        <v>94.640957279044002</v>
      </c>
      <c r="AJ8048">
        <v>92.521307693511204</v>
      </c>
      <c r="AK8048">
        <v>13.856908320191099</v>
      </c>
      <c r="AL8048">
        <v>95.093648431534405</v>
      </c>
      <c r="AM8048">
        <v>91.463289615466294</v>
      </c>
      <c r="AN8048">
        <v>1.00000000665821</v>
      </c>
    </row>
    <row r="8049" spans="1:40" x14ac:dyDescent="0.25">
      <c r="A8049" t="str">
        <f>"20190303154336304"</f>
        <v>20190303154336304</v>
      </c>
      <c r="B8049" t="str">
        <f>"1551599016298327"</f>
        <v>1551599016298327</v>
      </c>
      <c r="C8049" t="s">
        <v>40</v>
      </c>
      <c r="D8049">
        <v>5.5752509999999997</v>
      </c>
      <c r="E8049">
        <v>0.49327100000000002</v>
      </c>
      <c r="F8049" t="s">
        <v>58</v>
      </c>
      <c r="G8049">
        <v>-209.72790000000001</v>
      </c>
      <c r="H8049" s="1">
        <v>-4.5823230000000003E-7</v>
      </c>
      <c r="I8049">
        <v>-61.781840000000003</v>
      </c>
      <c r="J8049">
        <v>-223.60759999999999</v>
      </c>
      <c r="K8049">
        <v>1.1211819999999999</v>
      </c>
      <c r="L8049">
        <v>-62.528379999999999</v>
      </c>
      <c r="M8049">
        <v>0.99984510000000004</v>
      </c>
      <c r="N8049">
        <v>-1.475807E-2</v>
      </c>
      <c r="O8049">
        <v>9.60044E-3</v>
      </c>
      <c r="P8049">
        <v>0.99398600000000004</v>
      </c>
      <c r="Q8049">
        <v>-0.10373640000000001</v>
      </c>
      <c r="R8049">
        <v>3.5077780000000003E-2</v>
      </c>
      <c r="S8049">
        <v>2.987549</v>
      </c>
      <c r="T8049">
        <v>-0.23925630000000001</v>
      </c>
      <c r="U8049">
        <v>0.15957639999999901</v>
      </c>
      <c r="V8049">
        <v>-2.5515690000000001E-2</v>
      </c>
      <c r="W8049">
        <v>-8.9056220000000005E-2</v>
      </c>
      <c r="X8049">
        <v>0.99569969999999997</v>
      </c>
      <c r="Y8049">
        <v>-4.3602920000000003E-2</v>
      </c>
      <c r="Z8049">
        <v>1.438936E-3</v>
      </c>
      <c r="AA8049">
        <v>0.99904789999999999</v>
      </c>
      <c r="AB8049">
        <v>24</v>
      </c>
      <c r="AC8049">
        <v>13.8796999999999</v>
      </c>
      <c r="AD8049">
        <v>-1.1211824582323</v>
      </c>
      <c r="AE8049">
        <v>0.74654000000000298</v>
      </c>
      <c r="AF8049">
        <v>-0.60927569561863104</v>
      </c>
      <c r="AG8049">
        <v>-1.1211824582323</v>
      </c>
      <c r="AH8049">
        <v>13.796463397803</v>
      </c>
      <c r="AI8049">
        <v>94.641481237502106</v>
      </c>
      <c r="AJ8049">
        <v>92.528637783636896</v>
      </c>
      <c r="AK8049">
        <v>13.855348038387101</v>
      </c>
      <c r="AL8049">
        <v>95.109314574345007</v>
      </c>
      <c r="AM8049">
        <v>91.467934018824593</v>
      </c>
      <c r="AN8049">
        <v>0.99999997666847695</v>
      </c>
    </row>
    <row r="8050" spans="1:40" x14ac:dyDescent="0.25">
      <c r="A8050" t="str">
        <f>"20190303154336314"</f>
        <v>20190303154336314</v>
      </c>
      <c r="B8050" t="str">
        <f>"1551599016308087"</f>
        <v>1551599016308087</v>
      </c>
      <c r="C8050" t="s">
        <v>40</v>
      </c>
      <c r="D8050">
        <v>5.5636429999999999</v>
      </c>
      <c r="E8050">
        <v>0.49322500000000002</v>
      </c>
      <c r="F8050" t="s">
        <v>58</v>
      </c>
      <c r="G8050">
        <v>-209.68899999999999</v>
      </c>
      <c r="H8050" s="1">
        <v>-4.730225E-7</v>
      </c>
      <c r="I8050">
        <v>-61.78163</v>
      </c>
      <c r="J8050">
        <v>-223.47970000000001</v>
      </c>
      <c r="K8050">
        <v>1.121184</v>
      </c>
      <c r="L8050">
        <v>-62.527099999999997</v>
      </c>
      <c r="M8050">
        <v>0.99984439999999997</v>
      </c>
      <c r="N8050">
        <v>-1.4754929999999999E-2</v>
      </c>
      <c r="O8050">
        <v>9.6737699999999999E-3</v>
      </c>
      <c r="P8050">
        <v>0.99397440000000004</v>
      </c>
      <c r="Q8050">
        <v>-0.1038096</v>
      </c>
      <c r="R8050">
        <v>3.5193790000000003E-2</v>
      </c>
      <c r="S8050">
        <v>2.9873810000000001</v>
      </c>
      <c r="T8050">
        <v>-0.2406431</v>
      </c>
      <c r="U8050">
        <v>0.16027829999999901</v>
      </c>
      <c r="V8050">
        <v>-2.5558730000000002E-2</v>
      </c>
      <c r="W8050">
        <v>-8.9132699999999995E-2</v>
      </c>
      <c r="X8050">
        <v>0.99569180000000002</v>
      </c>
      <c r="Y8050">
        <v>-4.376476E-2</v>
      </c>
      <c r="Z8050">
        <v>1.4474139999999999E-3</v>
      </c>
      <c r="AA8050">
        <v>0.99904079999999995</v>
      </c>
      <c r="AB8050">
        <v>24</v>
      </c>
      <c r="AC8050">
        <v>13.7906999999999</v>
      </c>
      <c r="AD8050">
        <v>-1.1211844730225</v>
      </c>
      <c r="AE8050">
        <v>0.74546999999998997</v>
      </c>
      <c r="AF8050">
        <v>-0.60800551041378603</v>
      </c>
      <c r="AG8050">
        <v>-1.1211844730225</v>
      </c>
      <c r="AH8050">
        <v>13.706932154229699</v>
      </c>
      <c r="AI8050">
        <v>94.671632943364699</v>
      </c>
      <c r="AJ8050">
        <v>92.539833747111999</v>
      </c>
      <c r="AK8050">
        <v>13.7661437739077</v>
      </c>
      <c r="AL8050">
        <v>95.113713810250204</v>
      </c>
      <c r="AM8050">
        <v>91.470420712867295</v>
      </c>
      <c r="AN8050">
        <v>1.0000000237378699</v>
      </c>
    </row>
    <row r="8051" spans="1:40" x14ac:dyDescent="0.25">
      <c r="A8051" t="str">
        <f>"20190303154336328"</f>
        <v>20190303154336328</v>
      </c>
      <c r="B8051" t="str">
        <f>"1551599016317847"</f>
        <v>1551599016317847</v>
      </c>
      <c r="C8051" t="s">
        <v>40</v>
      </c>
      <c r="D8051">
        <v>5.5924129999999996</v>
      </c>
      <c r="E8051">
        <v>0.49318000000000001</v>
      </c>
      <c r="F8051" t="s">
        <v>58</v>
      </c>
      <c r="G8051">
        <v>-209.608</v>
      </c>
      <c r="H8051" s="1">
        <v>-5.0347049999999996E-7</v>
      </c>
      <c r="I8051">
        <v>-61.779719999999998</v>
      </c>
      <c r="J8051">
        <v>-223.35419999999999</v>
      </c>
      <c r="K8051">
        <v>1.1211819999999999</v>
      </c>
      <c r="L8051">
        <v>-62.525790000000001</v>
      </c>
      <c r="M8051">
        <v>0.99984379999999995</v>
      </c>
      <c r="N8051">
        <v>-1.475186E-2</v>
      </c>
      <c r="O8051">
        <v>9.7456090000000006E-3</v>
      </c>
      <c r="P8051">
        <v>0.99397639999999998</v>
      </c>
      <c r="Q8051">
        <v>-0.1037676</v>
      </c>
      <c r="R8051">
        <v>3.5259249999999999E-2</v>
      </c>
      <c r="S8051">
        <v>2.9872890000000001</v>
      </c>
      <c r="T8051">
        <v>-0.24144840000000001</v>
      </c>
      <c r="U8051">
        <v>0.1609497</v>
      </c>
      <c r="V8051">
        <v>-2.5553119999999999E-2</v>
      </c>
      <c r="W8051">
        <v>-8.9093740000000005E-2</v>
      </c>
      <c r="X8051">
        <v>0.99569540000000001</v>
      </c>
      <c r="Y8051">
        <v>-4.3917209999999998E-2</v>
      </c>
      <c r="Z8051">
        <v>1.4531570000000001E-3</v>
      </c>
      <c r="AA8051">
        <v>0.99903410000000004</v>
      </c>
      <c r="AB8051">
        <v>24</v>
      </c>
      <c r="AC8051">
        <v>13.7461999999999</v>
      </c>
      <c r="AD8051">
        <v>-1.1211825034705001</v>
      </c>
      <c r="AE8051">
        <v>0.74607000000000301</v>
      </c>
      <c r="AF8051">
        <v>-0.60802189894121395</v>
      </c>
      <c r="AG8051">
        <v>-1.1211825034705001</v>
      </c>
      <c r="AH8051">
        <v>13.662197424775901</v>
      </c>
      <c r="AI8051">
        <v>94.686822943789707</v>
      </c>
      <c r="AJ8051">
        <v>92.548207685500898</v>
      </c>
      <c r="AK8051">
        <v>13.7216026509017</v>
      </c>
      <c r="AL8051">
        <v>95.111472807741805</v>
      </c>
      <c r="AM8051">
        <v>91.470092792393999</v>
      </c>
      <c r="AN8051">
        <v>0.99999999301503995</v>
      </c>
    </row>
    <row r="8052" spans="1:40" x14ac:dyDescent="0.25">
      <c r="A8052" t="str">
        <f>"20190303154336341"</f>
        <v>20190303154336341</v>
      </c>
      <c r="B8052" t="str">
        <f>"1551599016338343"</f>
        <v>1551599016338343</v>
      </c>
      <c r="C8052" t="s">
        <v>40</v>
      </c>
      <c r="D8052">
        <v>5.5533799999999998</v>
      </c>
      <c r="E8052">
        <v>0.49306680000000003</v>
      </c>
      <c r="F8052" t="s">
        <v>58</v>
      </c>
      <c r="G8052">
        <v>-209.5121</v>
      </c>
      <c r="H8052" s="1">
        <v>-5.3944829999999995E-7</v>
      </c>
      <c r="I8052">
        <v>-61.777290000000001</v>
      </c>
      <c r="J8052">
        <v>-223.20740000000001</v>
      </c>
      <c r="K8052">
        <v>1.121183</v>
      </c>
      <c r="L8052">
        <v>-62.524259999999998</v>
      </c>
      <c r="M8052">
        <v>0.99984309999999998</v>
      </c>
      <c r="N8052">
        <v>-1.4748259999999999E-2</v>
      </c>
      <c r="O8052">
        <v>9.8296700000000004E-3</v>
      </c>
      <c r="P8052">
        <v>0.99396050000000002</v>
      </c>
      <c r="Q8052">
        <v>-0.1039132</v>
      </c>
      <c r="R8052">
        <v>3.5284719999999999E-2</v>
      </c>
      <c r="S8052">
        <v>2.9871979999999998</v>
      </c>
      <c r="T8052">
        <v>-0.24195710000000001</v>
      </c>
      <c r="U8052">
        <v>0.16152949999999999</v>
      </c>
      <c r="V8052">
        <v>-2.5494849999999999E-2</v>
      </c>
      <c r="W8052">
        <v>-8.9242959999999996E-2</v>
      </c>
      <c r="X8052">
        <v>0.9956836</v>
      </c>
      <c r="Y8052">
        <v>-4.4027429999999999E-2</v>
      </c>
      <c r="Z8052">
        <v>1.4548530000000001E-3</v>
      </c>
      <c r="AA8052">
        <v>0.99902930000000001</v>
      </c>
      <c r="AB8052">
        <v>24</v>
      </c>
      <c r="AC8052">
        <v>13.6953</v>
      </c>
      <c r="AD8052">
        <v>-1.1211835394483001</v>
      </c>
      <c r="AE8052">
        <v>0.74696999999999703</v>
      </c>
      <c r="AF8052">
        <v>-0.60823465248503905</v>
      </c>
      <c r="AG8052">
        <v>-1.1211835394483001</v>
      </c>
      <c r="AH8052">
        <v>13.611029675886</v>
      </c>
      <c r="AI8052">
        <v>94.704329315000294</v>
      </c>
      <c r="AJ8052">
        <v>92.558668232094305</v>
      </c>
      <c r="AK8052">
        <v>13.6706668001039</v>
      </c>
      <c r="AL8052">
        <v>95.120056321605304</v>
      </c>
      <c r="AM8052">
        <v>91.466759310649394</v>
      </c>
      <c r="AN8052">
        <v>1.00000006229752</v>
      </c>
    </row>
    <row r="8053" spans="1:40" x14ac:dyDescent="0.25">
      <c r="A8053" t="str">
        <f>"20190303154336352"</f>
        <v>20190303154336352</v>
      </c>
      <c r="B8053" t="str">
        <f>"1551599016348104"</f>
        <v>1551599016348104</v>
      </c>
      <c r="C8053" t="s">
        <v>40</v>
      </c>
      <c r="D8053">
        <v>5.5509250000000003</v>
      </c>
      <c r="E8053">
        <v>0.49300480000000002</v>
      </c>
      <c r="F8053" t="s">
        <v>58</v>
      </c>
      <c r="G8053">
        <v>-209.45740000000001</v>
      </c>
      <c r="H8053" s="1">
        <v>-5.6010819999999898E-7</v>
      </c>
      <c r="I8053">
        <v>-61.776330000000002</v>
      </c>
      <c r="J8053">
        <v>-223.08449999999999</v>
      </c>
      <c r="K8053">
        <v>1.1211819999999999</v>
      </c>
      <c r="L8053">
        <v>-62.522979999999997</v>
      </c>
      <c r="M8053">
        <v>0.99984240000000002</v>
      </c>
      <c r="N8053">
        <v>-1.474526E-2</v>
      </c>
      <c r="O8053">
        <v>9.9001379999999993E-3</v>
      </c>
      <c r="P8053">
        <v>0.99395160000000005</v>
      </c>
      <c r="Q8053">
        <v>-0.1040201</v>
      </c>
      <c r="R8053">
        <v>3.5218899999999997E-2</v>
      </c>
      <c r="S8053">
        <v>2.9869840000000001</v>
      </c>
      <c r="T8053">
        <v>-0.24356030000000001</v>
      </c>
      <c r="U8053">
        <v>0.1624756</v>
      </c>
      <c r="V8053">
        <v>-2.5359759999999999E-2</v>
      </c>
      <c r="W8053">
        <v>-8.9353000000000002E-2</v>
      </c>
      <c r="X8053">
        <v>0.99567709999999998</v>
      </c>
      <c r="Y8053">
        <v>-4.4273809999999997E-2</v>
      </c>
      <c r="Z8053">
        <v>1.468476E-3</v>
      </c>
      <c r="AA8053">
        <v>0.99901839999999997</v>
      </c>
      <c r="AB8053">
        <v>24</v>
      </c>
      <c r="AC8053">
        <v>13.627099999999899</v>
      </c>
      <c r="AD8053">
        <v>-1.1211825601081999</v>
      </c>
      <c r="AE8053">
        <v>0.74665000000000203</v>
      </c>
      <c r="AF8053">
        <v>-0.60758792547114504</v>
      </c>
      <c r="AG8053">
        <v>-1.1211825601081999</v>
      </c>
      <c r="AH8053">
        <v>13.5424259836864</v>
      </c>
      <c r="AI8053">
        <v>94.7280112210303</v>
      </c>
      <c r="AJ8053">
        <v>92.568881972448096</v>
      </c>
      <c r="AK8053">
        <v>13.6023349077978</v>
      </c>
      <c r="AL8053">
        <v>95.1263868519098</v>
      </c>
      <c r="AM8053">
        <v>91.459000256557701</v>
      </c>
      <c r="AN8053">
        <v>0.999999981750333</v>
      </c>
    </row>
    <row r="8054" spans="1:40" x14ac:dyDescent="0.25">
      <c r="A8054" t="str">
        <f>"20190303154336363"</f>
        <v>20190303154336363</v>
      </c>
      <c r="B8054" t="str">
        <f>"1551599016357863"</f>
        <v>1551599016357863</v>
      </c>
      <c r="C8054" t="s">
        <v>40</v>
      </c>
      <c r="D8054">
        <v>5.5299809999999896</v>
      </c>
      <c r="E8054">
        <v>0.4929424</v>
      </c>
      <c r="F8054" t="s">
        <v>58</v>
      </c>
      <c r="G8054">
        <v>-209.38630000000001</v>
      </c>
      <c r="H8054" s="1">
        <v>-5.8726910000000001E-7</v>
      </c>
      <c r="I8054">
        <v>-61.776449999999997</v>
      </c>
      <c r="J8054">
        <v>-222.9659</v>
      </c>
      <c r="K8054">
        <v>1.121181</v>
      </c>
      <c r="L8054">
        <v>-62.521729999999998</v>
      </c>
      <c r="M8054">
        <v>0.99984170000000006</v>
      </c>
      <c r="N8054">
        <v>-1.4742359999999999E-2</v>
      </c>
      <c r="O8054">
        <v>9.9682209999999993E-3</v>
      </c>
      <c r="P8054">
        <v>0.99395849999999997</v>
      </c>
      <c r="Q8054">
        <v>-0.1039286</v>
      </c>
      <c r="R8054">
        <v>3.5295119999999999E-2</v>
      </c>
      <c r="S8054">
        <v>2.986923</v>
      </c>
      <c r="T8054">
        <v>-0.244476</v>
      </c>
      <c r="U8054">
        <v>0.1627808</v>
      </c>
      <c r="V8054">
        <v>-2.5367560000000001E-2</v>
      </c>
      <c r="W8054">
        <v>-8.9264250000000003E-2</v>
      </c>
      <c r="X8054">
        <v>0.99568489999999998</v>
      </c>
      <c r="Y8054">
        <v>-4.430767E-2</v>
      </c>
      <c r="Z8054">
        <v>1.469211E-3</v>
      </c>
      <c r="AA8054">
        <v>0.99901689999999999</v>
      </c>
      <c r="AB8054">
        <v>24</v>
      </c>
      <c r="AC8054">
        <v>13.579599999999999</v>
      </c>
      <c r="AD8054">
        <v>-1.1211815872691</v>
      </c>
      <c r="AE8054">
        <v>0.74528000000000805</v>
      </c>
      <c r="AF8054">
        <v>-0.60574697485443696</v>
      </c>
      <c r="AG8054">
        <v>-1.1211815872691</v>
      </c>
      <c r="AH8054">
        <v>13.494641611769101</v>
      </c>
      <c r="AI8054">
        <v>94.744667908747402</v>
      </c>
      <c r="AJ8054">
        <v>92.570165529820201</v>
      </c>
      <c r="AK8054">
        <v>13.554679257705301</v>
      </c>
      <c r="AL8054">
        <v>95.121281255032301</v>
      </c>
      <c r="AM8054">
        <v>91.459437384795294</v>
      </c>
      <c r="AN8054">
        <v>1.00000001975821</v>
      </c>
    </row>
    <row r="8055" spans="1:40" x14ac:dyDescent="0.25">
      <c r="A8055" t="str">
        <f>"20190303154336376"</f>
        <v>20190303154336376</v>
      </c>
      <c r="B8055" t="str">
        <f>"1551599016367623"</f>
        <v>1551599016367623</v>
      </c>
      <c r="C8055" t="s">
        <v>40</v>
      </c>
      <c r="D8055">
        <v>5.4509679999999996</v>
      </c>
      <c r="E8055">
        <v>0.4929424</v>
      </c>
      <c r="F8055" t="s">
        <v>58</v>
      </c>
      <c r="G8055">
        <v>-209.2801</v>
      </c>
      <c r="H8055" s="1">
        <v>-6.2678379999999997E-7</v>
      </c>
      <c r="I8055">
        <v>-61.772509999999997</v>
      </c>
      <c r="J8055">
        <v>-222.84270000000001</v>
      </c>
      <c r="K8055">
        <v>1.121181</v>
      </c>
      <c r="L8055">
        <v>-62.520420000000001</v>
      </c>
      <c r="M8055">
        <v>0.99984119999999999</v>
      </c>
      <c r="N8055">
        <v>-1.473934E-2</v>
      </c>
      <c r="O8055">
        <v>1.003887E-2</v>
      </c>
      <c r="P8055">
        <v>0.99395699999999998</v>
      </c>
      <c r="Q8055">
        <v>-0.1039605</v>
      </c>
      <c r="R8055">
        <v>3.5245159999999998E-2</v>
      </c>
      <c r="S8055">
        <v>2.986847</v>
      </c>
      <c r="T8055">
        <v>-0.24469279999999999</v>
      </c>
      <c r="U8055">
        <v>0.1635132</v>
      </c>
      <c r="V8055">
        <v>-2.5247840000000001E-2</v>
      </c>
      <c r="W8055">
        <v>-8.9299130000000004E-2</v>
      </c>
      <c r="X8055">
        <v>0.99568480000000004</v>
      </c>
      <c r="Y8055">
        <v>-4.4481960000000001E-2</v>
      </c>
      <c r="Z8055">
        <v>1.4736910000000001E-3</v>
      </c>
      <c r="AA8055">
        <v>0.99900909999999998</v>
      </c>
      <c r="AB8055">
        <v>24</v>
      </c>
      <c r="AC8055">
        <v>13.5626</v>
      </c>
      <c r="AD8055">
        <v>-1.1211816267838</v>
      </c>
      <c r="AE8055">
        <v>0.74790999999999697</v>
      </c>
      <c r="AF8055">
        <v>-0.60756493924656896</v>
      </c>
      <c r="AG8055">
        <v>-1.1211816267838</v>
      </c>
      <c r="AH8055">
        <v>13.4776006173445</v>
      </c>
      <c r="AI8055">
        <v>94.750599079180603</v>
      </c>
      <c r="AJ8055">
        <v>92.581123741934803</v>
      </c>
      <c r="AK8055">
        <v>13.5377953078145</v>
      </c>
      <c r="AL8055">
        <v>95.123287823263993</v>
      </c>
      <c r="AM8055">
        <v>91.452552800242401</v>
      </c>
      <c r="AN8055">
        <v>1.0000000044972299</v>
      </c>
    </row>
    <row r="8056" spans="1:40" x14ac:dyDescent="0.25">
      <c r="A8056" t="str">
        <f>"20190303154336387"</f>
        <v>20190303154336387</v>
      </c>
      <c r="B8056" t="str">
        <f>"1551599016378362"</f>
        <v>1551599016378362</v>
      </c>
      <c r="C8056" t="s">
        <v>40</v>
      </c>
      <c r="D8056">
        <v>5.5192360000000003</v>
      </c>
      <c r="E8056">
        <v>0.49286489999999999</v>
      </c>
      <c r="F8056" t="s">
        <v>58</v>
      </c>
      <c r="G8056">
        <v>-209.16460000000001</v>
      </c>
      <c r="H8056" s="1">
        <v>-6.9593119999999997E-7</v>
      </c>
      <c r="I8056">
        <v>-61.772179999999999</v>
      </c>
      <c r="J8056">
        <v>-222.7235</v>
      </c>
      <c r="K8056">
        <v>1.121176</v>
      </c>
      <c r="L8056">
        <v>-62.519129999999997</v>
      </c>
      <c r="M8056">
        <v>0.99984030000000002</v>
      </c>
      <c r="N8056">
        <v>-1.473642E-2</v>
      </c>
      <c r="O8056">
        <v>1.010731E-2</v>
      </c>
      <c r="P8056">
        <v>0.99389640000000001</v>
      </c>
      <c r="Q8056">
        <v>-0.1044081</v>
      </c>
      <c r="R8056">
        <v>3.562191E-2</v>
      </c>
      <c r="S8056">
        <v>2.986847</v>
      </c>
      <c r="T8056">
        <v>-0.2448293</v>
      </c>
      <c r="U8056">
        <v>0.16339110000000001</v>
      </c>
      <c r="V8056">
        <v>-2.5556829999999999E-2</v>
      </c>
      <c r="W8056">
        <v>-8.9750449999999996E-2</v>
      </c>
      <c r="X8056">
        <v>0.99563630000000003</v>
      </c>
      <c r="Y8056">
        <v>-4.4373299999999997E-2</v>
      </c>
      <c r="Z8056">
        <v>1.4643169999999999E-3</v>
      </c>
      <c r="AA8056">
        <v>0.99901399999999996</v>
      </c>
      <c r="AB8056">
        <v>24</v>
      </c>
      <c r="AC8056">
        <v>13.5588999999999</v>
      </c>
      <c r="AD8056">
        <v>-1.1211766959312</v>
      </c>
      <c r="AE8056">
        <v>0.746949999999998</v>
      </c>
      <c r="AF8056">
        <v>-0.60572382198813801</v>
      </c>
      <c r="AG8056">
        <v>-1.1211766959312</v>
      </c>
      <c r="AH8056">
        <v>13.473908237285601</v>
      </c>
      <c r="AI8056">
        <v>94.751900578942099</v>
      </c>
      <c r="AJ8056">
        <v>92.574016876908004</v>
      </c>
      <c r="AK8056">
        <v>13.534036416339999</v>
      </c>
      <c r="AL8056">
        <v>95.149250993096999</v>
      </c>
      <c r="AM8056">
        <v>91.470393375800001</v>
      </c>
      <c r="AN8056">
        <v>0.99999996835627003</v>
      </c>
    </row>
    <row r="8057" spans="1:40" x14ac:dyDescent="0.25">
      <c r="A8057" t="str">
        <f>"20190303154336398"</f>
        <v>20190303154336398</v>
      </c>
      <c r="B8057" t="str">
        <f>"1551599016388120"</f>
        <v>1551599016388120</v>
      </c>
      <c r="C8057" t="s">
        <v>40</v>
      </c>
      <c r="D8057">
        <v>5.3843509999999997</v>
      </c>
      <c r="E8057">
        <v>0.49275550000000001</v>
      </c>
      <c r="F8057" t="s">
        <v>58</v>
      </c>
      <c r="G8057">
        <v>-209.15129999999999</v>
      </c>
      <c r="H8057" s="1">
        <v>-7.0381760000000004E-7</v>
      </c>
      <c r="I8057">
        <v>-61.768450000000001</v>
      </c>
      <c r="J8057">
        <v>-222.60429999999999</v>
      </c>
      <c r="K8057">
        <v>1.121176</v>
      </c>
      <c r="L8057">
        <v>-62.517819999999901</v>
      </c>
      <c r="M8057">
        <v>0.9998397</v>
      </c>
      <c r="N8057">
        <v>-1.473348E-2</v>
      </c>
      <c r="O8057">
        <v>1.0175450000000001E-2</v>
      </c>
      <c r="P8057">
        <v>0.99388180000000004</v>
      </c>
      <c r="Q8057">
        <v>-0.1043882</v>
      </c>
      <c r="R8057">
        <v>3.6089110000000001E-2</v>
      </c>
      <c r="S8057">
        <v>2.9866030000000001</v>
      </c>
      <c r="T8057">
        <v>-0.2467183</v>
      </c>
      <c r="U8057">
        <v>0.1651917</v>
      </c>
      <c r="V8057">
        <v>-2.5957089999999999E-2</v>
      </c>
      <c r="W8057">
        <v>-8.9733649999999998E-2</v>
      </c>
      <c r="X8057">
        <v>0.9956275</v>
      </c>
      <c r="Y8057">
        <v>-4.4906069999999999E-2</v>
      </c>
      <c r="Z8057">
        <v>1.4931670000000001E-3</v>
      </c>
      <c r="AA8057">
        <v>0.99899009999999999</v>
      </c>
      <c r="AB8057">
        <v>24</v>
      </c>
      <c r="AC8057">
        <v>13.452999999999999</v>
      </c>
      <c r="AD8057">
        <v>-1.1211767038175999</v>
      </c>
      <c r="AE8057">
        <v>0.74936999999999099</v>
      </c>
      <c r="AF8057">
        <v>-0.60821466003164504</v>
      </c>
      <c r="AG8057">
        <v>-1.1211767038175999</v>
      </c>
      <c r="AH8057">
        <v>13.3673721255449</v>
      </c>
      <c r="AI8057">
        <v>94.789479921662107</v>
      </c>
      <c r="AJ8057">
        <v>92.605157880176407</v>
      </c>
      <c r="AK8057">
        <v>13.428089954146699</v>
      </c>
      <c r="AL8057">
        <v>95.148284316512502</v>
      </c>
      <c r="AM8057">
        <v>91.493424885221998</v>
      </c>
      <c r="AN8057">
        <v>1.0000000086099201</v>
      </c>
    </row>
    <row r="8058" spans="1:40" x14ac:dyDescent="0.25">
      <c r="A8058" t="str">
        <f>"20190303154336409"</f>
        <v>20190303154336409</v>
      </c>
      <c r="B8058" t="str">
        <f>"1551599016397879"</f>
        <v>1551599016397879</v>
      </c>
      <c r="C8058" t="s">
        <v>40</v>
      </c>
      <c r="D8058">
        <v>5.5300750000000001</v>
      </c>
      <c r="E8058">
        <v>0.49268479999999998</v>
      </c>
      <c r="F8058" t="s">
        <v>58</v>
      </c>
      <c r="G8058">
        <v>-209.08160000000001</v>
      </c>
      <c r="H8058" s="1">
        <v>-7.4687059999999997E-7</v>
      </c>
      <c r="I8058">
        <v>-61.759459999999997</v>
      </c>
      <c r="J8058">
        <v>-222.4821</v>
      </c>
      <c r="K8058">
        <v>1.121176</v>
      </c>
      <c r="L8058">
        <v>-62.516509999999997</v>
      </c>
      <c r="M8058">
        <v>0.99983900000000003</v>
      </c>
      <c r="N8058">
        <v>-1.4730470000000001E-2</v>
      </c>
      <c r="O8058">
        <v>1.0245560000000001E-2</v>
      </c>
      <c r="P8058">
        <v>0.99386010000000002</v>
      </c>
      <c r="Q8058">
        <v>-0.1044884</v>
      </c>
      <c r="R8058">
        <v>3.6391319999999998E-2</v>
      </c>
      <c r="S8058">
        <v>2.986389</v>
      </c>
      <c r="T8058">
        <v>-0.24760370000000001</v>
      </c>
      <c r="U8058">
        <v>0.1674805</v>
      </c>
      <c r="V8058">
        <v>-2.6189469999999999E-2</v>
      </c>
      <c r="W8058">
        <v>-8.9837150000000005E-2</v>
      </c>
      <c r="X8058">
        <v>0.9956121</v>
      </c>
      <c r="Y8058">
        <v>-4.5599599999999997E-2</v>
      </c>
      <c r="Z8058">
        <v>1.5257809999999999E-3</v>
      </c>
      <c r="AA8058">
        <v>0.99895860000000003</v>
      </c>
      <c r="AB8058">
        <v>24</v>
      </c>
      <c r="AC8058">
        <v>13.4004999999999</v>
      </c>
      <c r="AD8058">
        <v>-1.1211767468706</v>
      </c>
      <c r="AE8058">
        <v>0.757049999999999</v>
      </c>
      <c r="AF8058">
        <v>-0.61540551627294704</v>
      </c>
      <c r="AG8058">
        <v>-1.1211767468706</v>
      </c>
      <c r="AH8058">
        <v>13.3146459958291</v>
      </c>
      <c r="AI8058">
        <v>94.808199996322003</v>
      </c>
      <c r="AJ8058">
        <v>92.646338633315395</v>
      </c>
      <c r="AK8058">
        <v>13.375932088696899</v>
      </c>
      <c r="AL8058">
        <v>95.154238378712904</v>
      </c>
      <c r="AM8058">
        <v>91.506811882500998</v>
      </c>
      <c r="AN8058">
        <v>1.0000000277626999</v>
      </c>
    </row>
    <row r="8059" spans="1:40" x14ac:dyDescent="0.25">
      <c r="A8059" t="str">
        <f>"20190303154336422"</f>
        <v>20190303154336422</v>
      </c>
      <c r="B8059" t="str">
        <f>"1551599016418375"</f>
        <v>1551599016418375</v>
      </c>
      <c r="C8059" t="s">
        <v>40</v>
      </c>
      <c r="D8059">
        <v>5.5211790000000001</v>
      </c>
      <c r="E8059">
        <v>0.4925561</v>
      </c>
      <c r="F8059" t="s">
        <v>58</v>
      </c>
      <c r="G8059">
        <v>-209.02019999999999</v>
      </c>
      <c r="H8059" s="1">
        <v>-7.8523309999999896E-7</v>
      </c>
      <c r="I8059">
        <v>-61.754769999999901</v>
      </c>
      <c r="J8059">
        <v>-222.35380000000001</v>
      </c>
      <c r="K8059">
        <v>1.121178</v>
      </c>
      <c r="L8059">
        <v>-62.51511</v>
      </c>
      <c r="M8059">
        <v>0.99983840000000002</v>
      </c>
      <c r="N8059">
        <v>-1.472732E-2</v>
      </c>
      <c r="O8059">
        <v>1.0318890000000001E-2</v>
      </c>
      <c r="P8059">
        <v>0.99382179999999998</v>
      </c>
      <c r="Q8059">
        <v>-0.1047681</v>
      </c>
      <c r="R8059">
        <v>3.6636660000000001E-2</v>
      </c>
      <c r="S8059">
        <v>2.9862060000000001</v>
      </c>
      <c r="T8059">
        <v>-0.24870790000000001</v>
      </c>
      <c r="U8059">
        <v>0.16897579999999901</v>
      </c>
      <c r="V8059">
        <v>-2.6362070000000001E-2</v>
      </c>
      <c r="W8059">
        <v>-9.0120400000000003E-2</v>
      </c>
      <c r="X8059">
        <v>0.99558190000000002</v>
      </c>
      <c r="Y8059">
        <v>-4.6025580000000003E-2</v>
      </c>
      <c r="Z8059">
        <v>1.546174E-3</v>
      </c>
      <c r="AA8059">
        <v>0.99893900000000002</v>
      </c>
      <c r="AB8059">
        <v>24</v>
      </c>
      <c r="AC8059">
        <v>13.333600000000001</v>
      </c>
      <c r="AD8059">
        <v>-1.1211787852331001</v>
      </c>
      <c r="AE8059">
        <v>0.76034000000000601</v>
      </c>
      <c r="AF8059">
        <v>-0.61833880660910701</v>
      </c>
      <c r="AG8059">
        <v>-1.1211787852331001</v>
      </c>
      <c r="AH8059">
        <v>13.2473736757917</v>
      </c>
      <c r="AI8059">
        <v>94.832408540320998</v>
      </c>
      <c r="AJ8059">
        <v>92.672417149950704</v>
      </c>
      <c r="AK8059">
        <v>13.3091056819861</v>
      </c>
      <c r="AL8059">
        <v>95.170533741149598</v>
      </c>
      <c r="AM8059">
        <v>91.516783792015801</v>
      </c>
      <c r="AN8059">
        <v>0.99999998241922705</v>
      </c>
    </row>
    <row r="8060" spans="1:40" x14ac:dyDescent="0.25">
      <c r="A8060" t="str">
        <f>"20190303154336434"</f>
        <v>20190303154336434</v>
      </c>
      <c r="B8060" t="str">
        <f>"1551599016428135"</f>
        <v>1551599016428135</v>
      </c>
      <c r="C8060" t="s">
        <v>40</v>
      </c>
      <c r="D8060">
        <v>5.4971459999999999</v>
      </c>
      <c r="E8060">
        <v>0.4924926</v>
      </c>
      <c r="F8060" t="s">
        <v>58</v>
      </c>
      <c r="G8060">
        <v>-209.00450000000001</v>
      </c>
      <c r="H8060" s="1">
        <v>-7.9484779999999996E-7</v>
      </c>
      <c r="I8060">
        <v>-61.75188</v>
      </c>
      <c r="J8060">
        <v>-222.215</v>
      </c>
      <c r="K8060">
        <v>1.121178</v>
      </c>
      <c r="L8060">
        <v>-62.513579999999997</v>
      </c>
      <c r="M8060">
        <v>0.99983770000000005</v>
      </c>
      <c r="N8060">
        <v>-1.47239E-2</v>
      </c>
      <c r="O8060">
        <v>1.039818E-2</v>
      </c>
      <c r="P8060">
        <v>0.99380619999999997</v>
      </c>
      <c r="Q8060">
        <v>-0.10476389999999999</v>
      </c>
      <c r="R8060">
        <v>3.7068749999999998E-2</v>
      </c>
      <c r="S8060">
        <v>2.985916</v>
      </c>
      <c r="T8060">
        <v>-0.25078010000000001</v>
      </c>
      <c r="U8060">
        <v>0.17071529999999999</v>
      </c>
      <c r="V8060">
        <v>-2.671575E-2</v>
      </c>
      <c r="W8060">
        <v>-9.0119809999999995E-2</v>
      </c>
      <c r="X8060">
        <v>0.99557260000000003</v>
      </c>
      <c r="Y8060">
        <v>-4.6527609999999997E-2</v>
      </c>
      <c r="Z8060">
        <v>1.5741710000000001E-3</v>
      </c>
      <c r="AA8060">
        <v>0.99891580000000002</v>
      </c>
      <c r="AB8060">
        <v>24</v>
      </c>
      <c r="AC8060">
        <v>13.2104999999999</v>
      </c>
      <c r="AD8060">
        <v>-1.1211787948478</v>
      </c>
      <c r="AE8060">
        <v>0.76169999999999705</v>
      </c>
      <c r="AF8060">
        <v>-0.61982897366790701</v>
      </c>
      <c r="AG8060">
        <v>-1.1211787948478</v>
      </c>
      <c r="AH8060">
        <v>13.1234919833323</v>
      </c>
      <c r="AI8060">
        <v>94.877679921247093</v>
      </c>
      <c r="AJ8060">
        <v>92.704098314523193</v>
      </c>
      <c r="AK8060">
        <v>13.1858739446121</v>
      </c>
      <c r="AL8060">
        <v>95.170499413607502</v>
      </c>
      <c r="AM8060">
        <v>91.537137989300106</v>
      </c>
      <c r="AN8060">
        <v>1.0000000566616201</v>
      </c>
    </row>
    <row r="8061" spans="1:40" x14ac:dyDescent="0.25">
      <c r="A8061" t="str">
        <f>"20190303154336448"</f>
        <v>20190303154336448</v>
      </c>
      <c r="B8061" t="str">
        <f>"1551599016437895"</f>
        <v>1551599016437895</v>
      </c>
      <c r="C8061" t="s">
        <v>40</v>
      </c>
      <c r="D8061">
        <v>5.5159180000000001</v>
      </c>
      <c r="E8061">
        <v>0.49243219999999999</v>
      </c>
      <c r="F8061" t="s">
        <v>58</v>
      </c>
      <c r="G8061">
        <v>-208.88800000000001</v>
      </c>
      <c r="H8061" s="1">
        <v>-8.6774640000000004E-7</v>
      </c>
      <c r="I8061">
        <v>-61.743830000000003</v>
      </c>
      <c r="J8061">
        <v>-222.0702</v>
      </c>
      <c r="K8061">
        <v>1.1211789999999999</v>
      </c>
      <c r="L8061">
        <v>-62.511960000000002</v>
      </c>
      <c r="M8061">
        <v>0.99983670000000002</v>
      </c>
      <c r="N8061">
        <v>-1.472041E-2</v>
      </c>
      <c r="O8061">
        <v>1.048086E-2</v>
      </c>
      <c r="P8061">
        <v>0.99385409999999996</v>
      </c>
      <c r="Q8061">
        <v>-0.1041035</v>
      </c>
      <c r="R8061">
        <v>3.7638919999999999E-2</v>
      </c>
      <c r="S8061">
        <v>2.9857640000000001</v>
      </c>
      <c r="T8061">
        <v>-0.25118889999999999</v>
      </c>
      <c r="U8061">
        <v>0.17245479999999899</v>
      </c>
      <c r="V8061">
        <v>-2.7203000000000001E-2</v>
      </c>
      <c r="W8061">
        <v>-8.9462239999999998E-2</v>
      </c>
      <c r="X8061">
        <v>0.99561860000000002</v>
      </c>
      <c r="Y8061">
        <v>-4.7025610000000002E-2</v>
      </c>
      <c r="Z8061">
        <v>1.594694E-3</v>
      </c>
      <c r="AA8061">
        <v>0.99889240000000001</v>
      </c>
      <c r="AB8061">
        <v>24</v>
      </c>
      <c r="AC8061">
        <v>13.1821999999999</v>
      </c>
      <c r="AD8061">
        <v>-1.1211798677464</v>
      </c>
      <c r="AE8061">
        <v>0.76812999999999199</v>
      </c>
      <c r="AF8061">
        <v>-0.62540321537743104</v>
      </c>
      <c r="AG8061">
        <v>-1.1211798677464</v>
      </c>
      <c r="AH8061">
        <v>13.0951186164981</v>
      </c>
      <c r="AI8061">
        <v>94.888080242433901</v>
      </c>
      <c r="AJ8061">
        <v>92.734282866053405</v>
      </c>
      <c r="AK8061">
        <v>13.1578989606167</v>
      </c>
      <c r="AL8061">
        <v>95.1326711936035</v>
      </c>
      <c r="AM8061">
        <v>91.565086682748003</v>
      </c>
      <c r="AN8061">
        <v>0.99999994613038701</v>
      </c>
    </row>
    <row r="8062" spans="1:40" x14ac:dyDescent="0.25">
      <c r="A8062" t="str">
        <f>"20190303154336460"</f>
        <v>20190303154336460</v>
      </c>
      <c r="B8062" t="str">
        <f>"1551599016447655"</f>
        <v>1551599016447655</v>
      </c>
      <c r="C8062" t="s">
        <v>40</v>
      </c>
      <c r="D8062">
        <v>5.4803350000000002</v>
      </c>
      <c r="E8062">
        <v>0.4923496</v>
      </c>
      <c r="F8062" t="s">
        <v>58</v>
      </c>
      <c r="G8062">
        <v>-208.66489999999999</v>
      </c>
      <c r="H8062" s="1">
        <v>-1.0073319999999999E-6</v>
      </c>
      <c r="I8062">
        <v>-61.727829999999997</v>
      </c>
      <c r="J8062">
        <v>-221.95320000000001</v>
      </c>
      <c r="K8062">
        <v>1.1211799999999901</v>
      </c>
      <c r="L8062">
        <v>-62.510649999999998</v>
      </c>
      <c r="M8062">
        <v>0.99983599999999995</v>
      </c>
      <c r="N8062">
        <v>-1.4717569999999999E-2</v>
      </c>
      <c r="O8062">
        <v>1.054745E-2</v>
      </c>
      <c r="P8062">
        <v>0.99392239999999998</v>
      </c>
      <c r="Q8062">
        <v>-0.10327310000000001</v>
      </c>
      <c r="R8062">
        <v>3.8120080000000001E-2</v>
      </c>
      <c r="S8062">
        <v>2.985779</v>
      </c>
      <c r="T8062">
        <v>-0.24972269999999999</v>
      </c>
      <c r="U8062">
        <v>0.1746521</v>
      </c>
      <c r="V8062">
        <v>-2.7617610000000001E-2</v>
      </c>
      <c r="W8062">
        <v>-8.8633660000000003E-2</v>
      </c>
      <c r="X8062">
        <v>0.99568129999999999</v>
      </c>
      <c r="Y8062">
        <v>-4.7690589999999998E-2</v>
      </c>
      <c r="Z8062">
        <v>1.6162769999999999E-3</v>
      </c>
      <c r="AA8062">
        <v>0.99886079999999999</v>
      </c>
      <c r="AB8062">
        <v>24</v>
      </c>
      <c r="AC8062">
        <v>13.2883</v>
      </c>
      <c r="AD8062">
        <v>-1.1211810073320001</v>
      </c>
      <c r="AE8062">
        <v>0.78281999999999297</v>
      </c>
      <c r="AF8062">
        <v>-0.63807688240203198</v>
      </c>
      <c r="AG8062">
        <v>-1.1211810073320001</v>
      </c>
      <c r="AH8062">
        <v>13.2021585698637</v>
      </c>
      <c r="AI8062">
        <v>94.848510981999297</v>
      </c>
      <c r="AJ8062">
        <v>92.767023720891402</v>
      </c>
      <c r="AK8062">
        <v>13.2650359917674</v>
      </c>
      <c r="AL8062">
        <v>95.085007658525996</v>
      </c>
      <c r="AM8062">
        <v>91.588828547854902</v>
      </c>
      <c r="AN8062">
        <v>0.99999995461839697</v>
      </c>
    </row>
    <row r="8063" spans="1:40" x14ac:dyDescent="0.25">
      <c r="A8063" t="str">
        <f>"20190303154336470"</f>
        <v>20190303154336470</v>
      </c>
      <c r="B8063" t="str">
        <f>"1551599016458391"</f>
        <v>1551599016458391</v>
      </c>
      <c r="C8063" t="s">
        <v>40</v>
      </c>
      <c r="D8063">
        <v>5.4878169999999997</v>
      </c>
      <c r="E8063">
        <v>0.4922938</v>
      </c>
      <c r="F8063" t="s">
        <v>58</v>
      </c>
      <c r="G8063">
        <v>-208.44909999999999</v>
      </c>
      <c r="H8063" s="1">
        <v>-1.1421470000000001E-6</v>
      </c>
      <c r="I8063">
        <v>-61.710949999999997</v>
      </c>
      <c r="J8063">
        <v>-221.84190000000001</v>
      </c>
      <c r="K8063">
        <v>1.121183</v>
      </c>
      <c r="L8063">
        <v>-62.509399999999999</v>
      </c>
      <c r="M8063">
        <v>0.99983540000000004</v>
      </c>
      <c r="N8063">
        <v>-1.471486E-2</v>
      </c>
      <c r="O8063">
        <v>1.061088E-2</v>
      </c>
      <c r="P8063">
        <v>0.99399510000000002</v>
      </c>
      <c r="Q8063">
        <v>-0.1022684</v>
      </c>
      <c r="R8063">
        <v>3.8921560000000001E-2</v>
      </c>
      <c r="S8063">
        <v>2.9858090000000002</v>
      </c>
      <c r="T8063">
        <v>-0.24789749999999999</v>
      </c>
      <c r="U8063">
        <v>0.1768188</v>
      </c>
      <c r="V8063">
        <v>-2.8355559999999998E-2</v>
      </c>
      <c r="W8063">
        <v>-8.7630659999999999E-2</v>
      </c>
      <c r="X8063">
        <v>0.99574940000000001</v>
      </c>
      <c r="Y8063">
        <v>-4.8348670000000003E-2</v>
      </c>
      <c r="Z8063">
        <v>1.635851E-3</v>
      </c>
      <c r="AA8063">
        <v>0.99882919999999997</v>
      </c>
      <c r="AB8063">
        <v>24</v>
      </c>
      <c r="AC8063">
        <v>13.392799999999999</v>
      </c>
      <c r="AD8063">
        <v>-1.1211841421469999</v>
      </c>
      <c r="AE8063">
        <v>0.79845000000000199</v>
      </c>
      <c r="AF8063">
        <v>-0.65172893578667501</v>
      </c>
      <c r="AG8063">
        <v>-1.1211841421469999</v>
      </c>
      <c r="AH8063">
        <v>13.3075861264069</v>
      </c>
      <c r="AI8063">
        <v>94.810144231146495</v>
      </c>
      <c r="AJ8063">
        <v>92.803777172905498</v>
      </c>
      <c r="AK8063">
        <v>13.3706264998346</v>
      </c>
      <c r="AL8063">
        <v>95.027315169872494</v>
      </c>
      <c r="AM8063">
        <v>91.631148333277494</v>
      </c>
      <c r="AN8063">
        <v>1.0000000189776499</v>
      </c>
    </row>
    <row r="8064" spans="1:40" x14ac:dyDescent="0.25">
      <c r="A8064" t="str">
        <f>"20190303154336481"</f>
        <v>20190303154336481</v>
      </c>
      <c r="B8064" t="str">
        <f>"1551599016477911"</f>
        <v>1551599016477911</v>
      </c>
      <c r="C8064" t="s">
        <v>40</v>
      </c>
      <c r="D8064">
        <v>5.5092739999999996</v>
      </c>
      <c r="E8064">
        <v>0.49220140000000001</v>
      </c>
      <c r="F8064" t="s">
        <v>58</v>
      </c>
      <c r="G8064">
        <v>-208.19239999999999</v>
      </c>
      <c r="H8064" s="1">
        <v>-1.302169E-6</v>
      </c>
      <c r="I8064">
        <v>-61.687980000000003</v>
      </c>
      <c r="J8064">
        <v>-221.7209</v>
      </c>
      <c r="K8064">
        <v>1.121186</v>
      </c>
      <c r="L8064">
        <v>-62.508029999999998</v>
      </c>
      <c r="M8064">
        <v>0.99983469999999997</v>
      </c>
      <c r="N8064">
        <v>-1.471192E-2</v>
      </c>
      <c r="O8064">
        <v>1.0679799999999901E-2</v>
      </c>
      <c r="P8064">
        <v>0.99409610000000004</v>
      </c>
      <c r="Q8064">
        <v>-0.10082820000000001</v>
      </c>
      <c r="R8064">
        <v>4.0084139999999997E-2</v>
      </c>
      <c r="S8064">
        <v>2.9858549999999999</v>
      </c>
      <c r="T8064">
        <v>-0.24526020000000001</v>
      </c>
      <c r="U8064">
        <v>0.1796875</v>
      </c>
      <c r="V8064">
        <v>-2.944894E-2</v>
      </c>
      <c r="W8064">
        <v>-8.6191970000000007E-2</v>
      </c>
      <c r="X8064">
        <v>0.99584320000000004</v>
      </c>
      <c r="Y8064">
        <v>-4.9234979999999998E-2</v>
      </c>
      <c r="Z8064">
        <v>1.662001E-3</v>
      </c>
      <c r="AA8064">
        <v>0.9987859</v>
      </c>
      <c r="AB8064">
        <v>24</v>
      </c>
      <c r="AC8064">
        <v>13.528499999999999</v>
      </c>
      <c r="AD8064">
        <v>-1.121187302169</v>
      </c>
      <c r="AE8064">
        <v>0.82005000000000094</v>
      </c>
      <c r="AF8064">
        <v>-0.67091464797342804</v>
      </c>
      <c r="AG8064">
        <v>-1.121187302169</v>
      </c>
      <c r="AH8064">
        <v>13.444482869661901</v>
      </c>
      <c r="AI8064">
        <v>94.761188247220005</v>
      </c>
      <c r="AJ8064">
        <v>92.856838494657495</v>
      </c>
      <c r="AK8064">
        <v>13.507823920382</v>
      </c>
      <c r="AL8064">
        <v>94.944571356921003</v>
      </c>
      <c r="AM8064">
        <v>91.693849378921101</v>
      </c>
      <c r="AN8064">
        <v>0.99999998737292195</v>
      </c>
    </row>
    <row r="8065" spans="1:40" x14ac:dyDescent="0.25">
      <c r="A8065" t="str">
        <f>"20190303154336492"</f>
        <v>20190303154336492</v>
      </c>
      <c r="B8065" t="str">
        <f>"1551599016487673"</f>
        <v>1551599016487673</v>
      </c>
      <c r="C8065" t="s">
        <v>40</v>
      </c>
      <c r="D8065">
        <v>5.498132</v>
      </c>
      <c r="E8065">
        <v>0.49214409999999997</v>
      </c>
      <c r="F8065" t="s">
        <v>58</v>
      </c>
      <c r="G8065">
        <v>-207.87029999999999</v>
      </c>
      <c r="H8065" s="1">
        <v>-1.50226E-6</v>
      </c>
      <c r="I8065">
        <v>-61.65484</v>
      </c>
      <c r="J8065">
        <v>-221.6054</v>
      </c>
      <c r="K8065">
        <v>1.1211880000000001</v>
      </c>
      <c r="L8065">
        <v>-62.506709999999998</v>
      </c>
      <c r="M8065">
        <v>0.99983420000000001</v>
      </c>
      <c r="N8065">
        <v>-1.4709109999999999E-2</v>
      </c>
      <c r="O8065">
        <v>1.0745370000000001E-2</v>
      </c>
      <c r="P8065">
        <v>0.99412409999999996</v>
      </c>
      <c r="Q8065">
        <v>-0.10000390000000001</v>
      </c>
      <c r="R8065">
        <v>4.1432749999999997E-2</v>
      </c>
      <c r="S8065">
        <v>2.9859010000000001</v>
      </c>
      <c r="T8065">
        <v>-0.24170410000000001</v>
      </c>
      <c r="U8065">
        <v>0.18392939999999999</v>
      </c>
      <c r="V8065">
        <v>-3.0732260000000001E-2</v>
      </c>
      <c r="W8065">
        <v>-8.5370199999999993E-2</v>
      </c>
      <c r="X8065">
        <v>0.99587519999999996</v>
      </c>
      <c r="Y8065">
        <v>-5.0581510000000003E-2</v>
      </c>
      <c r="Z8065">
        <v>1.705292E-3</v>
      </c>
      <c r="AA8065">
        <v>0.99871849999999995</v>
      </c>
      <c r="AB8065">
        <v>24</v>
      </c>
      <c r="AC8065">
        <v>13.735099999999999</v>
      </c>
      <c r="AD8065">
        <v>-1.12118950225999</v>
      </c>
      <c r="AE8065">
        <v>0.85186999999999802</v>
      </c>
      <c r="AF8065">
        <v>-0.69957247378258502</v>
      </c>
      <c r="AG8065">
        <v>-1.12118950225999</v>
      </c>
      <c r="AH8065">
        <v>13.6528361139788</v>
      </c>
      <c r="AI8065">
        <v>94.688549398070194</v>
      </c>
      <c r="AJ8065">
        <v>92.933275218831994</v>
      </c>
      <c r="AK8065">
        <v>13.7166468752832</v>
      </c>
      <c r="AL8065">
        <v>94.897313253124196</v>
      </c>
      <c r="AM8065">
        <v>91.767560994976805</v>
      </c>
      <c r="AN8065">
        <v>0.99999997841389299</v>
      </c>
    </row>
    <row r="8066" spans="1:40" x14ac:dyDescent="0.25">
      <c r="A8066" t="str">
        <f>"20190303154336504"</f>
        <v>20190303154336504</v>
      </c>
      <c r="B8066" t="str">
        <f>"1551599016498407"</f>
        <v>1551599016498407</v>
      </c>
      <c r="C8066" t="s">
        <v>40</v>
      </c>
      <c r="D8066">
        <v>5.4707420000000004</v>
      </c>
      <c r="E8066">
        <v>0.49211100000000002</v>
      </c>
      <c r="F8066" t="s">
        <v>58</v>
      </c>
      <c r="G8066">
        <v>-207.6431</v>
      </c>
      <c r="H8066" s="1">
        <v>-1.6425960000000001E-6</v>
      </c>
      <c r="I8066">
        <v>-61.625480000000003</v>
      </c>
      <c r="J8066">
        <v>-221.48480000000001</v>
      </c>
      <c r="K8066">
        <v>1.1211850000000001</v>
      </c>
      <c r="L8066">
        <v>-62.505310000000001</v>
      </c>
      <c r="M8066">
        <v>0.99983350000000004</v>
      </c>
      <c r="N8066">
        <v>-1.4706179999999999E-2</v>
      </c>
      <c r="O8066">
        <v>1.0813990000000001E-2</v>
      </c>
      <c r="P8066">
        <v>0.99407869999999998</v>
      </c>
      <c r="Q8066">
        <v>-9.9866150000000001E-2</v>
      </c>
      <c r="R8066">
        <v>4.283112E-2</v>
      </c>
      <c r="S8066">
        <v>2.9857480000000001</v>
      </c>
      <c r="T8066">
        <v>-0.239759</v>
      </c>
      <c r="U8066">
        <v>0.188446</v>
      </c>
      <c r="V8066">
        <v>-3.2062239999999999E-2</v>
      </c>
      <c r="W8066">
        <v>-8.5235989999999998E-2</v>
      </c>
      <c r="X8066">
        <v>0.99584479999999997</v>
      </c>
      <c r="Y8066">
        <v>-5.2018109999999999E-2</v>
      </c>
      <c r="Z8066">
        <v>1.7594119999999999E-3</v>
      </c>
      <c r="AA8066">
        <v>0.99864459999999999</v>
      </c>
      <c r="AB8066">
        <v>24</v>
      </c>
      <c r="AC8066">
        <v>13.841699999999999</v>
      </c>
      <c r="AD8066">
        <v>-1.121186642596</v>
      </c>
      <c r="AE8066">
        <v>0.87982999999999101</v>
      </c>
      <c r="AF8066">
        <v>-0.72533849549824203</v>
      </c>
      <c r="AG8066">
        <v>-1.121186642596</v>
      </c>
      <c r="AH8066">
        <v>13.760485288016501</v>
      </c>
      <c r="AI8066">
        <v>94.651667079416896</v>
      </c>
      <c r="AJ8066">
        <v>93.017365082743595</v>
      </c>
      <c r="AK8066">
        <v>13.825126790822001</v>
      </c>
      <c r="AL8066">
        <v>94.889595283622199</v>
      </c>
      <c r="AM8066">
        <v>91.844059117153805</v>
      </c>
      <c r="AN8066">
        <v>1.00000001345606</v>
      </c>
    </row>
    <row r="8067" spans="1:40" x14ac:dyDescent="0.25">
      <c r="A8067" t="str">
        <f>"20190303154336515"</f>
        <v>20190303154336515</v>
      </c>
      <c r="B8067" t="str">
        <f>"1551599016508167"</f>
        <v>1551599016508167</v>
      </c>
      <c r="C8067" t="s">
        <v>40</v>
      </c>
      <c r="D8067">
        <v>5.4545130000000004</v>
      </c>
      <c r="E8067">
        <v>0.49207580000000001</v>
      </c>
      <c r="F8067" t="s">
        <v>58</v>
      </c>
      <c r="G8067">
        <v>-207.5275</v>
      </c>
      <c r="H8067" s="1">
        <v>-1.7129379999999999E-6</v>
      </c>
      <c r="I8067">
        <v>-61.602910000000001</v>
      </c>
      <c r="J8067">
        <v>-221.3664</v>
      </c>
      <c r="K8067">
        <v>1.1211819999999999</v>
      </c>
      <c r="L8067">
        <v>-62.50394</v>
      </c>
      <c r="M8067">
        <v>0.99983270000000002</v>
      </c>
      <c r="N8067">
        <v>-1.4703310000000001E-2</v>
      </c>
      <c r="O8067">
        <v>1.088124E-2</v>
      </c>
      <c r="P8067">
        <v>0.99395080000000002</v>
      </c>
      <c r="Q8067">
        <v>-0.1004776</v>
      </c>
      <c r="R8067">
        <v>4.4343830000000001E-2</v>
      </c>
      <c r="S8067">
        <v>2.985474</v>
      </c>
      <c r="T8067">
        <v>-0.2398216</v>
      </c>
      <c r="U8067">
        <v>0.19302369999999999</v>
      </c>
      <c r="V8067">
        <v>-3.3509690000000002E-2</v>
      </c>
      <c r="W8067">
        <v>-8.5851979999999994E-2</v>
      </c>
      <c r="X8067">
        <v>0.99574419999999997</v>
      </c>
      <c r="Y8067">
        <v>-5.3476179999999998E-2</v>
      </c>
      <c r="Z8067">
        <v>1.824448E-3</v>
      </c>
      <c r="AA8067">
        <v>0.99856750000000005</v>
      </c>
      <c r="AB8067">
        <v>23</v>
      </c>
      <c r="AC8067">
        <v>13.838899999999899</v>
      </c>
      <c r="AD8067">
        <v>-1.121183712938</v>
      </c>
      <c r="AE8067">
        <v>0.90103000000000499</v>
      </c>
      <c r="AF8067">
        <v>-0.74550335062744899</v>
      </c>
      <c r="AG8067">
        <v>-1.121183712938</v>
      </c>
      <c r="AH8067">
        <v>13.7579636026279</v>
      </c>
      <c r="AI8067">
        <v>94.652139619065906</v>
      </c>
      <c r="AJ8067">
        <v>93.101655449994595</v>
      </c>
      <c r="AK8067">
        <v>13.823689473334801</v>
      </c>
      <c r="AL8067">
        <v>94.925018890949303</v>
      </c>
      <c r="AM8067">
        <v>91.927442312811493</v>
      </c>
      <c r="AN8067">
        <v>0.99999998681372804</v>
      </c>
    </row>
    <row r="8068" spans="1:40" x14ac:dyDescent="0.25">
      <c r="A8068" t="str">
        <f>"20190303154336527"</f>
        <v>20190303154336527</v>
      </c>
      <c r="B8068" t="str">
        <f>"1551599016517927"</f>
        <v>1551599016517927</v>
      </c>
      <c r="C8068" t="s">
        <v>40</v>
      </c>
      <c r="D8068">
        <v>5.4588340000000004</v>
      </c>
      <c r="E8068">
        <v>0.49206299999999997</v>
      </c>
      <c r="F8068" t="s">
        <v>58</v>
      </c>
      <c r="G8068">
        <v>-207.5427</v>
      </c>
      <c r="H8068" s="1">
        <v>-1.7010920000000001E-6</v>
      </c>
      <c r="I8068">
        <v>-61.587409999999998</v>
      </c>
      <c r="J8068">
        <v>-221.24770000000001</v>
      </c>
      <c r="K8068">
        <v>1.1211739999999999</v>
      </c>
      <c r="L8068">
        <v>-62.502589999999998</v>
      </c>
      <c r="M8068">
        <v>0.99983219999999995</v>
      </c>
      <c r="N8068">
        <v>-1.4700339999999999E-2</v>
      </c>
      <c r="O8068">
        <v>1.0948309999999999E-2</v>
      </c>
      <c r="P8068">
        <v>0.99374620000000002</v>
      </c>
      <c r="Q8068">
        <v>-0.1020131</v>
      </c>
      <c r="R8068">
        <v>4.5408370000000003E-2</v>
      </c>
      <c r="S8068">
        <v>2.9849700000000001</v>
      </c>
      <c r="T8068">
        <v>-0.24209919999999999</v>
      </c>
      <c r="U8068">
        <v>0.19790650000000001</v>
      </c>
      <c r="V8068">
        <v>-3.4508770000000001E-2</v>
      </c>
      <c r="W8068">
        <v>-8.7393360000000003E-2</v>
      </c>
      <c r="X8068">
        <v>0.99557600000000002</v>
      </c>
      <c r="Y8068">
        <v>-5.5037519999999999E-2</v>
      </c>
      <c r="Z8068">
        <v>1.90675E-3</v>
      </c>
      <c r="AA8068">
        <v>0.99848250000000005</v>
      </c>
      <c r="AB8068">
        <v>23</v>
      </c>
      <c r="AC8068">
        <v>13.705</v>
      </c>
      <c r="AD8068">
        <v>-1.1211757010919901</v>
      </c>
      <c r="AE8068">
        <v>0.91518000000000599</v>
      </c>
      <c r="AF8068">
        <v>-0.75999864176301002</v>
      </c>
      <c r="AG8068">
        <v>-1.1211757010919901</v>
      </c>
      <c r="AH8068">
        <v>13.6234289498324</v>
      </c>
      <c r="AI8068">
        <v>94.697432599266406</v>
      </c>
      <c r="AJ8068">
        <v>93.193001348934203</v>
      </c>
      <c r="AK8068">
        <v>13.6905971104014</v>
      </c>
      <c r="AL8068">
        <v>95.013666547239197</v>
      </c>
      <c r="AM8068">
        <v>91.985198117533102</v>
      </c>
      <c r="AN8068">
        <v>1.0000000131775</v>
      </c>
    </row>
    <row r="8069" spans="1:40" x14ac:dyDescent="0.25">
      <c r="A8069" t="str">
        <f>"20190303154336537"</f>
        <v>20190303154336537</v>
      </c>
      <c r="B8069" t="str">
        <f>"1551599016527688"</f>
        <v>1551599016527688</v>
      </c>
      <c r="C8069" t="s">
        <v>40</v>
      </c>
      <c r="D8069">
        <v>5.4189290000000003</v>
      </c>
      <c r="E8069">
        <v>0.49205320000000002</v>
      </c>
      <c r="F8069" t="s">
        <v>58</v>
      </c>
      <c r="G8069">
        <v>-207.70670000000001</v>
      </c>
      <c r="H8069" s="1">
        <v>-1.5971109999999901E-6</v>
      </c>
      <c r="I8069">
        <v>-61.589390000000002</v>
      </c>
      <c r="J8069">
        <v>-221.1396</v>
      </c>
      <c r="K8069">
        <v>1.121167</v>
      </c>
      <c r="L8069">
        <v>-62.501309999999997</v>
      </c>
      <c r="M8069">
        <v>0.99983140000000004</v>
      </c>
      <c r="N8069">
        <v>-1.469764E-2</v>
      </c>
      <c r="O8069">
        <v>1.1009659999999999E-2</v>
      </c>
      <c r="P8069">
        <v>0.99348429999999999</v>
      </c>
      <c r="Q8069">
        <v>-0.1040807</v>
      </c>
      <c r="R8069">
        <v>4.643953E-2</v>
      </c>
      <c r="S8069">
        <v>2.9843289999999998</v>
      </c>
      <c r="T8069">
        <v>-0.24709829999999999</v>
      </c>
      <c r="U8069">
        <v>0.20126340000000001</v>
      </c>
      <c r="V8069">
        <v>-3.5482039999999999E-2</v>
      </c>
      <c r="W8069">
        <v>-8.9467179999999993E-2</v>
      </c>
      <c r="X8069">
        <v>0.99535759999999995</v>
      </c>
      <c r="Y8069">
        <v>-5.6097399999999999E-2</v>
      </c>
      <c r="Z8069">
        <v>1.9819059999999999E-3</v>
      </c>
      <c r="AA8069">
        <v>0.99842330000000001</v>
      </c>
      <c r="AB8069">
        <v>23</v>
      </c>
      <c r="AC8069">
        <v>13.432899999999901</v>
      </c>
      <c r="AD8069">
        <v>-1.1211685971109999</v>
      </c>
      <c r="AE8069">
        <v>0.91191999999999496</v>
      </c>
      <c r="AF8069">
        <v>-0.75869602550331905</v>
      </c>
      <c r="AG8069">
        <v>-1.1211685971109999</v>
      </c>
      <c r="AH8069">
        <v>13.349556281019</v>
      </c>
      <c r="AI8069">
        <v>94.793047585761201</v>
      </c>
      <c r="AJ8069">
        <v>93.2527948532545</v>
      </c>
      <c r="AK8069">
        <v>13.4180211500189</v>
      </c>
      <c r="AL8069">
        <v>95.132954831158898</v>
      </c>
      <c r="AM8069">
        <v>92.0415885368555</v>
      </c>
      <c r="AN8069">
        <v>1.00000005166873</v>
      </c>
    </row>
    <row r="8070" spans="1:40" x14ac:dyDescent="0.25">
      <c r="A8070" t="str">
        <f>"20190303154336548"</f>
        <v>20190303154336548</v>
      </c>
      <c r="B8070" t="str">
        <f>"1551599016538424"</f>
        <v>1551599016538424</v>
      </c>
      <c r="C8070" t="s">
        <v>40</v>
      </c>
      <c r="D8070">
        <v>5.4514370000000003</v>
      </c>
      <c r="E8070">
        <v>0.4920409</v>
      </c>
      <c r="F8070" t="s">
        <v>58</v>
      </c>
      <c r="G8070">
        <v>-207.96870000000001</v>
      </c>
      <c r="H8070" s="1">
        <v>-1.4318340000000001E-6</v>
      </c>
      <c r="I8070">
        <v>-61.5982699999999</v>
      </c>
      <c r="J8070">
        <v>-221.01900000000001</v>
      </c>
      <c r="K8070">
        <v>1.1211610000000001</v>
      </c>
      <c r="L8070">
        <v>-62.49991</v>
      </c>
      <c r="M8070">
        <v>0.99983069999999996</v>
      </c>
      <c r="N8070">
        <v>-1.469466E-2</v>
      </c>
      <c r="O8070">
        <v>1.10781E-2</v>
      </c>
      <c r="P8070">
        <v>0.99330810000000003</v>
      </c>
      <c r="Q8070">
        <v>-0.10551530000000001</v>
      </c>
      <c r="R8070">
        <v>4.6966380000000002E-2</v>
      </c>
      <c r="S8070">
        <v>2.9835210000000001</v>
      </c>
      <c r="T8070">
        <v>-0.25397170000000002</v>
      </c>
      <c r="U8070">
        <v>0.2045593</v>
      </c>
      <c r="V8070">
        <v>-3.5942450000000001E-2</v>
      </c>
      <c r="W8070">
        <v>-9.0907130000000003E-2</v>
      </c>
      <c r="X8070">
        <v>0.9952105</v>
      </c>
      <c r="Y8070">
        <v>-5.7130830000000001E-2</v>
      </c>
      <c r="Z8070">
        <v>2.067831E-3</v>
      </c>
      <c r="AA8070">
        <v>0.99836460000000005</v>
      </c>
      <c r="AB8070">
        <v>23</v>
      </c>
      <c r="AC8070">
        <v>13.050299999999901</v>
      </c>
      <c r="AD8070">
        <v>-1.1211624318340001</v>
      </c>
      <c r="AE8070">
        <v>0.90164000000000699</v>
      </c>
      <c r="AF8070">
        <v>-0.75147647171180298</v>
      </c>
      <c r="AG8070">
        <v>-1.1211624318340001</v>
      </c>
      <c r="AH8070">
        <v>12.9642581383766</v>
      </c>
      <c r="AI8070">
        <v>94.934458691446295</v>
      </c>
      <c r="AJ8070">
        <v>93.317452027080805</v>
      </c>
      <c r="AK8070">
        <v>13.034328182325099</v>
      </c>
      <c r="AL8070">
        <v>95.215795999121895</v>
      </c>
      <c r="AM8070">
        <v>92.068362458954994</v>
      </c>
      <c r="AN8070">
        <v>0.99999995265354302</v>
      </c>
    </row>
    <row r="8071" spans="1:40" x14ac:dyDescent="0.25">
      <c r="A8071" t="str">
        <f>"20190303154336559"</f>
        <v>20190303154336559</v>
      </c>
      <c r="B8071" t="str">
        <f>"1551599016548184"</f>
        <v>1551599016548184</v>
      </c>
      <c r="C8071" t="s">
        <v>40</v>
      </c>
      <c r="D8071">
        <v>5.6051589999999996</v>
      </c>
      <c r="E8071">
        <v>0.49201289999999998</v>
      </c>
      <c r="F8071" t="s">
        <v>58</v>
      </c>
      <c r="G8071">
        <v>-208.07990000000001</v>
      </c>
      <c r="H8071" s="1">
        <v>-1.3621240000000001E-6</v>
      </c>
      <c r="I8071">
        <v>-61.605339999999998</v>
      </c>
      <c r="J8071">
        <v>-220.90600000000001</v>
      </c>
      <c r="K8071">
        <v>1.1211549999999999</v>
      </c>
      <c r="L8071">
        <v>-62.498570000000001</v>
      </c>
      <c r="M8071">
        <v>0.99983</v>
      </c>
      <c r="N8071">
        <v>-1.4691910000000001E-2</v>
      </c>
      <c r="O8071">
        <v>1.1141949999999999E-2</v>
      </c>
      <c r="P8071">
        <v>0.99318669999999998</v>
      </c>
      <c r="Q8071">
        <v>-0.106508199999999</v>
      </c>
      <c r="R8071">
        <v>4.7287790000000003E-2</v>
      </c>
      <c r="S8071">
        <v>2.9830169999999998</v>
      </c>
      <c r="T8071">
        <v>-0.25847689999999901</v>
      </c>
      <c r="U8071">
        <v>0.2062378</v>
      </c>
      <c r="V8071">
        <v>-3.6201560000000001E-2</v>
      </c>
      <c r="W8071">
        <v>-9.1904420000000001E-2</v>
      </c>
      <c r="X8071">
        <v>0.99510960000000004</v>
      </c>
      <c r="Y8071">
        <v>-5.7628810000000003E-2</v>
      </c>
      <c r="Z8071">
        <v>2.1148059999999999E-3</v>
      </c>
      <c r="AA8071">
        <v>0.9983358</v>
      </c>
      <c r="AB8071">
        <v>23</v>
      </c>
      <c r="AC8071">
        <v>12.826099999999901</v>
      </c>
      <c r="AD8071">
        <v>-1.1211563621239999</v>
      </c>
      <c r="AE8071">
        <v>0.89322999999998798</v>
      </c>
      <c r="AF8071">
        <v>-0.74458949703308897</v>
      </c>
      <c r="AG8071">
        <v>-1.1211563621239999</v>
      </c>
      <c r="AH8071">
        <v>12.738394358936601</v>
      </c>
      <c r="AI8071">
        <v>95.021339614286205</v>
      </c>
      <c r="AJ8071">
        <v>93.345268368725797</v>
      </c>
      <c r="AK8071">
        <v>12.809297246578801</v>
      </c>
      <c r="AL8071">
        <v>95.273176231497999</v>
      </c>
      <c r="AM8071">
        <v>92.083471290933204</v>
      </c>
      <c r="AN8071">
        <v>1.0000000456870599</v>
      </c>
    </row>
    <row r="8072" spans="1:40" x14ac:dyDescent="0.25">
      <c r="A8072" t="str">
        <f>"20190303154336571"</f>
        <v>20190303154336571</v>
      </c>
      <c r="B8072" t="str">
        <f>"1551599016567704"</f>
        <v>1551599016567704</v>
      </c>
      <c r="C8072" t="s">
        <v>40</v>
      </c>
      <c r="D8072">
        <v>5.4692889999999998</v>
      </c>
      <c r="E8072">
        <v>0.49193759999999997</v>
      </c>
      <c r="F8072" t="s">
        <v>58</v>
      </c>
      <c r="G8072">
        <v>-208.1414</v>
      </c>
      <c r="H8072" s="1">
        <v>-1.3238229999999999E-6</v>
      </c>
      <c r="I8072">
        <v>-61.610840000000003</v>
      </c>
      <c r="J8072">
        <v>-220.7852</v>
      </c>
      <c r="K8072">
        <v>1.121154</v>
      </c>
      <c r="L8072">
        <v>-62.497129999999999</v>
      </c>
      <c r="M8072">
        <v>0.99982939999999998</v>
      </c>
      <c r="N8072">
        <v>-1.4689020000000001E-2</v>
      </c>
      <c r="O8072">
        <v>1.1209729999999999E-2</v>
      </c>
      <c r="P8072">
        <v>0.99310030000000005</v>
      </c>
      <c r="Q8072">
        <v>-0.1073962</v>
      </c>
      <c r="R8072">
        <v>4.7098569999999999E-2</v>
      </c>
      <c r="S8072">
        <v>2.9825900000000001</v>
      </c>
      <c r="T8072">
        <v>-0.26197100000000001</v>
      </c>
      <c r="U8072">
        <v>0.207428</v>
      </c>
      <c r="V8072">
        <v>-3.594613E-2</v>
      </c>
      <c r="W8072">
        <v>-9.2796359999999994E-2</v>
      </c>
      <c r="X8072">
        <v>0.99503609999999998</v>
      </c>
      <c r="Y8072">
        <v>-5.7960699999999997E-2</v>
      </c>
      <c r="Z8072">
        <v>2.147506E-3</v>
      </c>
      <c r="AA8072">
        <v>0.99831650000000005</v>
      </c>
      <c r="AB8072">
        <v>23</v>
      </c>
      <c r="AC8072">
        <v>12.643800000000001</v>
      </c>
      <c r="AD8072">
        <v>-1.1211553238230001</v>
      </c>
      <c r="AE8072">
        <v>0.88629000000000202</v>
      </c>
      <c r="AF8072">
        <v>-0.73870555989605602</v>
      </c>
      <c r="AG8072">
        <v>-1.1211553238230001</v>
      </c>
      <c r="AH8072">
        <v>12.5547092549846</v>
      </c>
      <c r="AI8072">
        <v>95.094302692001904</v>
      </c>
      <c r="AJ8072">
        <v>93.367339557793997</v>
      </c>
      <c r="AK8072">
        <v>12.6262979388875</v>
      </c>
      <c r="AL8072">
        <v>95.324499856293798</v>
      </c>
      <c r="AM8072">
        <v>92.068936290102201</v>
      </c>
      <c r="AN8072">
        <v>1.00000006449721</v>
      </c>
    </row>
    <row r="8073" spans="1:40" x14ac:dyDescent="0.25">
      <c r="A8073" t="str">
        <f>"20190303154336583"</f>
        <v>20190303154336583</v>
      </c>
      <c r="B8073" t="str">
        <f>"1551599016578439"</f>
        <v>1551599016578439</v>
      </c>
      <c r="C8073" t="s">
        <v>40</v>
      </c>
      <c r="D8073">
        <v>5.4188130000000001</v>
      </c>
      <c r="E8073">
        <v>0.49190459999999903</v>
      </c>
      <c r="F8073" t="s">
        <v>58</v>
      </c>
      <c r="G8073">
        <v>-208.20050000000001</v>
      </c>
      <c r="H8073" s="1">
        <v>-1.2877110000000001E-6</v>
      </c>
      <c r="I8073">
        <v>-61.621429999999997</v>
      </c>
      <c r="J8073">
        <v>-220.66820000000001</v>
      </c>
      <c r="K8073">
        <v>1.1211439999999999</v>
      </c>
      <c r="L8073">
        <v>-62.495759999999997</v>
      </c>
      <c r="M8073">
        <v>0.99982870000000001</v>
      </c>
      <c r="N8073">
        <v>-1.468627E-2</v>
      </c>
      <c r="O8073">
        <v>1.127422E-2</v>
      </c>
      <c r="P8073">
        <v>0.99310770000000004</v>
      </c>
      <c r="Q8073">
        <v>-0.1073954</v>
      </c>
      <c r="R8073">
        <v>4.6945180000000003E-2</v>
      </c>
      <c r="S8073">
        <v>2.9822690000000001</v>
      </c>
      <c r="T8073">
        <v>-0.26568709999999901</v>
      </c>
      <c r="U8073">
        <v>0.2075195</v>
      </c>
      <c r="V8073">
        <v>-3.5728820000000001E-2</v>
      </c>
      <c r="W8073">
        <v>-9.2798050000000007E-2</v>
      </c>
      <c r="X8073">
        <v>0.99504369999999998</v>
      </c>
      <c r="Y8073">
        <v>-5.7928680000000003E-2</v>
      </c>
      <c r="Z8073">
        <v>2.1631269999999999E-3</v>
      </c>
      <c r="AA8073">
        <v>0.99831840000000005</v>
      </c>
      <c r="AB8073">
        <v>23</v>
      </c>
      <c r="AC8073">
        <v>12.467700000000001</v>
      </c>
      <c r="AD8073">
        <v>-1.121145287711</v>
      </c>
      <c r="AE8073">
        <v>0.87432999999999295</v>
      </c>
      <c r="AF8073">
        <v>-0.727838942530177</v>
      </c>
      <c r="AG8073">
        <v>-1.121145287711</v>
      </c>
      <c r="AH8073">
        <v>12.3771698857801</v>
      </c>
      <c r="AI8073">
        <v>95.166947345354203</v>
      </c>
      <c r="AJ8073">
        <v>93.365400209072703</v>
      </c>
      <c r="AK8073">
        <v>12.4491385510758</v>
      </c>
      <c r="AL8073">
        <v>95.324597472699693</v>
      </c>
      <c r="AM8073">
        <v>92.056423747974193</v>
      </c>
      <c r="AN8073">
        <v>0.99999999578604204</v>
      </c>
    </row>
    <row r="8074" spans="1:40" x14ac:dyDescent="0.25">
      <c r="A8074" t="str">
        <f>"20190303154336593"</f>
        <v>20190303154336593</v>
      </c>
      <c r="B8074" t="str">
        <f>"1551599016588199"</f>
        <v>1551599016588199</v>
      </c>
      <c r="C8074" t="s">
        <v>40</v>
      </c>
      <c r="D8074">
        <v>5.4048550000000004</v>
      </c>
      <c r="E8074">
        <v>0.49188680000000001</v>
      </c>
      <c r="F8074" t="s">
        <v>58</v>
      </c>
      <c r="G8074">
        <v>-208.10149999999999</v>
      </c>
      <c r="H8074" s="1">
        <v>-1.350752E-6</v>
      </c>
      <c r="I8074">
        <v>-61.622210000000003</v>
      </c>
      <c r="J8074">
        <v>-220.55119999999999</v>
      </c>
      <c r="K8074">
        <v>1.1211420000000001</v>
      </c>
      <c r="L8074">
        <v>-62.494349999999997</v>
      </c>
      <c r="M8074">
        <v>0.99982800000000005</v>
      </c>
      <c r="N8074">
        <v>-1.468354E-2</v>
      </c>
      <c r="O8074">
        <v>1.133847E-2</v>
      </c>
      <c r="P8074">
        <v>0.99312480000000003</v>
      </c>
      <c r="Q8074">
        <v>-0.10735989999999999</v>
      </c>
      <c r="R8074">
        <v>4.6662830000000002E-2</v>
      </c>
      <c r="S8074">
        <v>2.9822690000000001</v>
      </c>
      <c r="T8074">
        <v>-0.26606570000000002</v>
      </c>
      <c r="U8074">
        <v>0.20730589999999999</v>
      </c>
      <c r="V8074">
        <v>-3.538256E-2</v>
      </c>
      <c r="W8074">
        <v>-9.2764890000000003E-2</v>
      </c>
      <c r="X8074">
        <v>0.99505920000000003</v>
      </c>
      <c r="Y8074">
        <v>-5.7793570000000002E-2</v>
      </c>
      <c r="Z8074">
        <v>2.153477E-3</v>
      </c>
      <c r="AA8074">
        <v>0.99832619999999905</v>
      </c>
      <c r="AB8074">
        <v>23</v>
      </c>
      <c r="AC8074">
        <v>12.4497</v>
      </c>
      <c r="AD8074">
        <v>-1.1211433507519999</v>
      </c>
      <c r="AE8074">
        <v>0.87214000000000103</v>
      </c>
      <c r="AF8074">
        <v>-0.72505689302252996</v>
      </c>
      <c r="AG8074">
        <v>-1.1211433507519999</v>
      </c>
      <c r="AH8074">
        <v>12.3590506583825</v>
      </c>
      <c r="AI8074">
        <v>95.174514304546804</v>
      </c>
      <c r="AJ8074">
        <v>93.357469754567006</v>
      </c>
      <c r="AK8074">
        <v>12.43096147076</v>
      </c>
      <c r="AL8074">
        <v>95.322689126155893</v>
      </c>
      <c r="AM8074">
        <v>92.036479421720799</v>
      </c>
      <c r="AN8074">
        <v>1.0000000309367501</v>
      </c>
    </row>
    <row r="8075" spans="1:40" x14ac:dyDescent="0.25">
      <c r="A8075" t="str">
        <f>"20190303154336605"</f>
        <v>20190303154336605</v>
      </c>
      <c r="B8075" t="str">
        <f>"1551599016597960"</f>
        <v>1551599016597960</v>
      </c>
      <c r="C8075" t="s">
        <v>40</v>
      </c>
      <c r="D8075">
        <v>5.3993529999999996</v>
      </c>
      <c r="E8075">
        <v>0.49186629999999998</v>
      </c>
      <c r="F8075" t="s">
        <v>58</v>
      </c>
      <c r="G8075">
        <v>-207.99610000000001</v>
      </c>
      <c r="H8075" s="1">
        <v>-1.4180710000000001E-6</v>
      </c>
      <c r="I8075">
        <v>-61.62444</v>
      </c>
      <c r="J8075">
        <v>-220.43430000000001</v>
      </c>
      <c r="K8075">
        <v>1.1211409999999999</v>
      </c>
      <c r="L8075">
        <v>-62.492919999999998</v>
      </c>
      <c r="M8075">
        <v>0.99982740000000003</v>
      </c>
      <c r="N8075">
        <v>-1.4680769999999999E-2</v>
      </c>
      <c r="O8075">
        <v>1.1400800000000001E-2</v>
      </c>
      <c r="P8075">
        <v>0.99316939999999998</v>
      </c>
      <c r="Q8075">
        <v>-0.10689319999999999</v>
      </c>
      <c r="R8075">
        <v>4.6782520000000001E-2</v>
      </c>
      <c r="S8075">
        <v>2.9822690000000001</v>
      </c>
      <c r="T8075">
        <v>-0.26631059999999901</v>
      </c>
      <c r="U8075">
        <v>0.2066345</v>
      </c>
      <c r="V8075">
        <v>-3.5440079999999999E-2</v>
      </c>
      <c r="W8075">
        <v>-9.2300080000000007E-2</v>
      </c>
      <c r="X8075">
        <v>0.99510030000000005</v>
      </c>
      <c r="Y8075">
        <v>-5.7508770000000001E-2</v>
      </c>
      <c r="Z8075">
        <v>2.1354E-3</v>
      </c>
      <c r="AA8075">
        <v>0.99834270000000003</v>
      </c>
      <c r="AB8075">
        <v>23</v>
      </c>
      <c r="AC8075">
        <v>12.438199999999901</v>
      </c>
      <c r="AD8075">
        <v>-1.1211424180709999</v>
      </c>
      <c r="AE8075">
        <v>0.86847999999999803</v>
      </c>
      <c r="AF8075">
        <v>-0.72077519440754101</v>
      </c>
      <c r="AG8075">
        <v>-1.1211424180709999</v>
      </c>
      <c r="AH8075">
        <v>12.347461375280201</v>
      </c>
      <c r="AI8075">
        <v>95.179428031138997</v>
      </c>
      <c r="AJ8075">
        <v>93.340813401753095</v>
      </c>
      <c r="AK8075">
        <v>12.4191899742498</v>
      </c>
      <c r="AL8075">
        <v>95.295943124858994</v>
      </c>
      <c r="AM8075">
        <v>92.039703072906605</v>
      </c>
      <c r="AN8075">
        <v>0.99999995554925003</v>
      </c>
    </row>
    <row r="8076" spans="1:40" x14ac:dyDescent="0.25">
      <c r="A8076" t="str">
        <f>"20190303154336619"</f>
        <v>20190303154336619</v>
      </c>
      <c r="B8076" t="str">
        <f>"1551599016607719"</f>
        <v>1551599016607719</v>
      </c>
      <c r="C8076" t="s">
        <v>40</v>
      </c>
      <c r="D8076">
        <v>5.3831600000000002</v>
      </c>
      <c r="E8076">
        <v>0.49183519999999997</v>
      </c>
      <c r="F8076" t="s">
        <v>58</v>
      </c>
      <c r="G8076">
        <v>-207.82849999999999</v>
      </c>
      <c r="H8076" s="1">
        <v>-1.5235999999999999E-6</v>
      </c>
      <c r="I8076">
        <v>-61.617440000000002</v>
      </c>
      <c r="J8076">
        <v>-220.29429999999999</v>
      </c>
      <c r="K8076">
        <v>1.1211409999999999</v>
      </c>
      <c r="L8076">
        <v>-62.491269999999901</v>
      </c>
      <c r="M8076">
        <v>0.99982660000000001</v>
      </c>
      <c r="N8076">
        <v>-1.467747E-2</v>
      </c>
      <c r="O8076">
        <v>1.1474699999999999E-2</v>
      </c>
      <c r="P8076">
        <v>0.99320810000000004</v>
      </c>
      <c r="Q8076">
        <v>-0.1064194</v>
      </c>
      <c r="R8076">
        <v>4.7043170000000002E-2</v>
      </c>
      <c r="S8076">
        <v>2.9823149999999998</v>
      </c>
      <c r="T8076">
        <v>-0.26524330000000002</v>
      </c>
      <c r="U8076">
        <v>0.2071228</v>
      </c>
      <c r="V8076">
        <v>-3.5627640000000002E-2</v>
      </c>
      <c r="W8076">
        <v>-9.1828919999999994E-2</v>
      </c>
      <c r="X8076">
        <v>0.99513720000000006</v>
      </c>
      <c r="Y8076">
        <v>-5.7598099999999999E-2</v>
      </c>
      <c r="Z8076">
        <v>2.1282150000000001E-3</v>
      </c>
      <c r="AA8076">
        <v>0.99833760000000005</v>
      </c>
      <c r="AB8076">
        <v>23</v>
      </c>
      <c r="AC8076">
        <v>12.4658</v>
      </c>
      <c r="AD8076">
        <v>-1.1211425236000001</v>
      </c>
      <c r="AE8076">
        <v>0.87382999999999</v>
      </c>
      <c r="AF8076">
        <v>-0.72488104552025001</v>
      </c>
      <c r="AG8076">
        <v>-1.1211425236000001</v>
      </c>
      <c r="AH8076">
        <v>12.375395142204599</v>
      </c>
      <c r="AI8076">
        <v>95.167740964803102</v>
      </c>
      <c r="AJ8076">
        <v>93.352234230242104</v>
      </c>
      <c r="AK8076">
        <v>12.447201212083</v>
      </c>
      <c r="AL8076">
        <v>95.2688324667118</v>
      </c>
      <c r="AM8076">
        <v>92.050412661916397</v>
      </c>
      <c r="AN8076">
        <v>0.99999996305208705</v>
      </c>
    </row>
    <row r="8077" spans="1:40" x14ac:dyDescent="0.25">
      <c r="A8077" t="str">
        <f>"20190303154336634"</f>
        <v>20190303154336634</v>
      </c>
      <c r="B8077" t="str">
        <f>"1551599016628366"</f>
        <v>1551599016628366</v>
      </c>
      <c r="C8077" t="s">
        <v>40</v>
      </c>
      <c r="D8077">
        <v>5.3865509999999999</v>
      </c>
      <c r="E8077">
        <v>0.4918034</v>
      </c>
      <c r="F8077" t="s">
        <v>58</v>
      </c>
      <c r="G8077">
        <v>-207.6422</v>
      </c>
      <c r="H8077" s="1">
        <v>-1.6407809999999999E-6</v>
      </c>
      <c r="I8077">
        <v>-61.608310000000003</v>
      </c>
      <c r="J8077">
        <v>-220.13890000000001</v>
      </c>
      <c r="K8077">
        <v>1.1211420000000001</v>
      </c>
      <c r="L8077">
        <v>-62.489379999999997</v>
      </c>
      <c r="M8077">
        <v>0.99982559999999998</v>
      </c>
      <c r="N8077">
        <v>-1.4673820000000001E-2</v>
      </c>
      <c r="O8077">
        <v>1.155544E-2</v>
      </c>
      <c r="P8077">
        <v>0.99321420000000005</v>
      </c>
      <c r="Q8077">
        <v>-0.1059832</v>
      </c>
      <c r="R8077">
        <v>4.788866E-2</v>
      </c>
      <c r="S8077">
        <v>2.9823460000000002</v>
      </c>
      <c r="T8077">
        <v>-0.26427450000000002</v>
      </c>
      <c r="U8077">
        <v>0.20812990000000001</v>
      </c>
      <c r="V8077">
        <v>-3.6393540000000002E-2</v>
      </c>
      <c r="W8077">
        <v>-9.1395900000000002E-2</v>
      </c>
      <c r="X8077">
        <v>0.99514939999999996</v>
      </c>
      <c r="Y8077">
        <v>-5.7852849999999997E-2</v>
      </c>
      <c r="Z8077">
        <v>2.1296240000000001E-3</v>
      </c>
      <c r="AA8077">
        <v>0.99832279999999995</v>
      </c>
      <c r="AB8077">
        <v>23</v>
      </c>
      <c r="AC8077">
        <v>12.496700000000001</v>
      </c>
      <c r="AD8077">
        <v>-1.121143640781</v>
      </c>
      <c r="AE8077">
        <v>0.88107000000000801</v>
      </c>
      <c r="AF8077">
        <v>-0.73073826727164404</v>
      </c>
      <c r="AG8077">
        <v>-1.121143640781</v>
      </c>
      <c r="AH8077">
        <v>12.4066825719249</v>
      </c>
      <c r="AI8077">
        <v>95.154686904162006</v>
      </c>
      <c r="AJ8077">
        <v>93.370756397476697</v>
      </c>
      <c r="AK8077">
        <v>12.478650324415</v>
      </c>
      <c r="AL8077">
        <v>95.243917203621507</v>
      </c>
      <c r="AM8077">
        <v>92.094426611101397</v>
      </c>
      <c r="AN8077">
        <v>1.0000000143054499</v>
      </c>
    </row>
    <row r="8078" spans="1:40" x14ac:dyDescent="0.25">
      <c r="A8078" t="str">
        <f>"20190303154336645"</f>
        <v>20190303154336645</v>
      </c>
      <c r="B8078" t="str">
        <f>"1551599016638181"</f>
        <v>1551599016638181</v>
      </c>
      <c r="C8078" t="s">
        <v>40</v>
      </c>
      <c r="D8078">
        <v>5.4143589999999904</v>
      </c>
      <c r="E8078">
        <v>0.49180089999999999</v>
      </c>
      <c r="F8078" t="s">
        <v>58</v>
      </c>
      <c r="G8078">
        <v>-207.44800000000001</v>
      </c>
      <c r="H8078" s="1">
        <v>-1.761898E-6</v>
      </c>
      <c r="I8078">
        <v>-61.591859999999997</v>
      </c>
      <c r="J8078">
        <v>-220.0136</v>
      </c>
      <c r="K8078">
        <v>1.1211409999999999</v>
      </c>
      <c r="L8078">
        <v>-62.487850000000002</v>
      </c>
      <c r="M8078">
        <v>0.99982479999999996</v>
      </c>
      <c r="N8078">
        <v>-1.4670880000000001E-2</v>
      </c>
      <c r="O8078">
        <v>1.161914E-2</v>
      </c>
      <c r="P8078">
        <v>0.99321559999999998</v>
      </c>
      <c r="Q8078">
        <v>-0.10568279999999999</v>
      </c>
      <c r="R8078">
        <v>4.8518720000000001E-2</v>
      </c>
      <c r="S8078">
        <v>2.982224</v>
      </c>
      <c r="T8078">
        <v>-0.26345649999999998</v>
      </c>
      <c r="U8078">
        <v>0.21090700000000001</v>
      </c>
      <c r="V8078">
        <v>-3.6960659999999999E-2</v>
      </c>
      <c r="W8078">
        <v>-9.1098209999999999E-2</v>
      </c>
      <c r="X8078">
        <v>0.99515580000000003</v>
      </c>
      <c r="Y8078">
        <v>-5.8714710000000003E-2</v>
      </c>
      <c r="Z8078">
        <v>2.164408E-3</v>
      </c>
      <c r="AA8078">
        <v>0.99827250000000001</v>
      </c>
      <c r="AB8078">
        <v>23</v>
      </c>
      <c r="AC8078">
        <v>12.5656</v>
      </c>
      <c r="AD8078">
        <v>-1.1211427618980001</v>
      </c>
      <c r="AE8078">
        <v>0.89599000000000395</v>
      </c>
      <c r="AF8078">
        <v>-0.74401930551404205</v>
      </c>
      <c r="AG8078">
        <v>-1.1211427618980001</v>
      </c>
      <c r="AH8078">
        <v>12.4763443965106</v>
      </c>
      <c r="AI8078">
        <v>95.125833896383497</v>
      </c>
      <c r="AJ8078">
        <v>93.412757679115003</v>
      </c>
      <c r="AK8078">
        <v>12.548692972571899</v>
      </c>
      <c r="AL8078">
        <v>95.226789339550294</v>
      </c>
      <c r="AM8078">
        <v>92.127020614793693</v>
      </c>
      <c r="AN8078">
        <v>1.00000002026323</v>
      </c>
    </row>
    <row r="8079" spans="1:40" x14ac:dyDescent="0.25">
      <c r="A8079" t="str">
        <f>"20190303154336657"</f>
        <v>20190303154336657</v>
      </c>
      <c r="B8079" t="str">
        <f>"1551599016647941"</f>
        <v>1551599016647941</v>
      </c>
      <c r="C8079" t="s">
        <v>40</v>
      </c>
      <c r="D8079">
        <v>5.3706579999999997</v>
      </c>
      <c r="E8079">
        <v>0.49179729999999999</v>
      </c>
      <c r="F8079" t="s">
        <v>58</v>
      </c>
      <c r="G8079">
        <v>-207.28540000000001</v>
      </c>
      <c r="H8079" s="1">
        <v>-1.8635729999999999E-6</v>
      </c>
      <c r="I8079">
        <v>-61.579469999999901</v>
      </c>
      <c r="J8079">
        <v>-219.8929</v>
      </c>
      <c r="K8079">
        <v>1.1211409999999999</v>
      </c>
      <c r="L8079">
        <v>-62.48639</v>
      </c>
      <c r="M8079">
        <v>0.9998243</v>
      </c>
      <c r="N8079">
        <v>-1.466804E-2</v>
      </c>
      <c r="O8079">
        <v>1.1679800000000001E-2</v>
      </c>
      <c r="P8079">
        <v>0.99316760000000004</v>
      </c>
      <c r="Q8079">
        <v>-0.1057525</v>
      </c>
      <c r="R8079">
        <v>4.934272E-2</v>
      </c>
      <c r="S8079">
        <v>2.9821620000000002</v>
      </c>
      <c r="T8079">
        <v>-0.26267800000000002</v>
      </c>
      <c r="U8079">
        <v>0.21282960000000001</v>
      </c>
      <c r="V8079">
        <v>-3.7725330000000001E-2</v>
      </c>
      <c r="W8079">
        <v>-9.1171230000000006E-2</v>
      </c>
      <c r="X8079">
        <v>0.99512040000000002</v>
      </c>
      <c r="Y8079">
        <v>-5.929471E-2</v>
      </c>
      <c r="Z8079">
        <v>2.1849870000000002E-3</v>
      </c>
      <c r="AA8079">
        <v>0.99823810000000002</v>
      </c>
      <c r="AB8079">
        <v>23</v>
      </c>
      <c r="AC8079">
        <v>12.6074999999999</v>
      </c>
      <c r="AD8079">
        <v>-1.1211428635730001</v>
      </c>
      <c r="AE8079">
        <v>0.90692000000000605</v>
      </c>
      <c r="AF8079">
        <v>-0.753659992857455</v>
      </c>
      <c r="AG8079">
        <v>-1.1211428635730001</v>
      </c>
      <c r="AH8079">
        <v>12.518745640162001</v>
      </c>
      <c r="AI8079">
        <v>95.108392717677404</v>
      </c>
      <c r="AJ8079">
        <v>93.445191949505499</v>
      </c>
      <c r="AK8079">
        <v>12.591423950786901</v>
      </c>
      <c r="AL8079">
        <v>95.230990655638806</v>
      </c>
      <c r="AM8079">
        <v>92.1710614954291</v>
      </c>
      <c r="AN8079">
        <v>1.0000000020997399</v>
      </c>
    </row>
    <row r="8080" spans="1:40" x14ac:dyDescent="0.25">
      <c r="A8080" t="str">
        <f>"20190303154336671"</f>
        <v>20190303154336671</v>
      </c>
      <c r="B8080" t="str">
        <f>"1551599016668437"</f>
        <v>1551599016668437</v>
      </c>
      <c r="C8080" t="s">
        <v>40</v>
      </c>
      <c r="D8080">
        <v>5.3899879999999998</v>
      </c>
      <c r="E8080">
        <v>0.4918129</v>
      </c>
      <c r="F8080" t="s">
        <v>58</v>
      </c>
      <c r="G8080">
        <v>-207.18289999999999</v>
      </c>
      <c r="H8080" s="1">
        <v>-1.927193E-6</v>
      </c>
      <c r="I8080">
        <v>-61.568570000000001</v>
      </c>
      <c r="J8080">
        <v>-219.74969999999999</v>
      </c>
      <c r="K8080">
        <v>1.121135</v>
      </c>
      <c r="L8080">
        <v>-62.484589999999997</v>
      </c>
      <c r="M8080">
        <v>0.99982329999999997</v>
      </c>
      <c r="N8080">
        <v>-1.4664719999999999E-2</v>
      </c>
      <c r="O8080">
        <v>1.1751320000000001E-2</v>
      </c>
      <c r="P8080">
        <v>0.99302639999999998</v>
      </c>
      <c r="Q8080">
        <v>-0.1064924</v>
      </c>
      <c r="R8080">
        <v>5.0573779999999999E-2</v>
      </c>
      <c r="S8080">
        <v>2.9819179999999998</v>
      </c>
      <c r="T8080">
        <v>-0.26303290000000001</v>
      </c>
      <c r="U8080">
        <v>0.215332</v>
      </c>
      <c r="V8080">
        <v>-3.8887070000000003E-2</v>
      </c>
      <c r="W8080">
        <v>-9.1916230000000002E-2</v>
      </c>
      <c r="X8080">
        <v>0.99500719999999998</v>
      </c>
      <c r="Y8080">
        <v>-6.00587E-2</v>
      </c>
      <c r="Z8080">
        <v>2.2210340000000002E-3</v>
      </c>
      <c r="AA8080">
        <v>0.99819239999999998</v>
      </c>
      <c r="AB8080">
        <v>23</v>
      </c>
      <c r="AC8080">
        <v>12.566800000000001</v>
      </c>
      <c r="AD8080">
        <v>-1.1211369271930001</v>
      </c>
      <c r="AE8080">
        <v>0.91602000000001005</v>
      </c>
      <c r="AF8080">
        <v>-0.762229695834995</v>
      </c>
      <c r="AG8080">
        <v>-1.1211369271930001</v>
      </c>
      <c r="AH8080">
        <v>12.477908753927</v>
      </c>
      <c r="AI8080">
        <v>95.124723029156797</v>
      </c>
      <c r="AJ8080">
        <v>93.4956453681027</v>
      </c>
      <c r="AK8080">
        <v>12.5513405256194</v>
      </c>
      <c r="AL8080">
        <v>95.273855680404097</v>
      </c>
      <c r="AM8080">
        <v>92.238106047222502</v>
      </c>
      <c r="AN8080">
        <v>1.00000006280121</v>
      </c>
    </row>
    <row r="8081" spans="1:40" x14ac:dyDescent="0.25">
      <c r="A8081" t="str">
        <f>"20190303154336683"</f>
        <v>20190303154336683</v>
      </c>
      <c r="B8081" t="str">
        <f>"1551599016678197"</f>
        <v>1551599016678197</v>
      </c>
      <c r="C8081" t="s">
        <v>40</v>
      </c>
      <c r="D8081">
        <v>5.3822039999999998</v>
      </c>
      <c r="E8081">
        <v>0.49182090000000001</v>
      </c>
      <c r="F8081" t="s">
        <v>58</v>
      </c>
      <c r="G8081">
        <v>-207.15549999999999</v>
      </c>
      <c r="H8081" s="1">
        <v>-1.943367E-6</v>
      </c>
      <c r="I8081">
        <v>-61.55979</v>
      </c>
      <c r="J8081">
        <v>-219.6319</v>
      </c>
      <c r="K8081">
        <v>1.1211329999999999</v>
      </c>
      <c r="L8081">
        <v>-62.4831199999999</v>
      </c>
      <c r="M8081">
        <v>0.99982289999999996</v>
      </c>
      <c r="N8081">
        <v>-1.466195E-2</v>
      </c>
      <c r="O8081">
        <v>1.180896E-2</v>
      </c>
      <c r="P8081">
        <v>0.99290310000000004</v>
      </c>
      <c r="Q8081">
        <v>-0.1073152</v>
      </c>
      <c r="R8081">
        <v>5.125623E-2</v>
      </c>
      <c r="S8081">
        <v>2.9814759999999998</v>
      </c>
      <c r="T8081">
        <v>-0.26541239999999999</v>
      </c>
      <c r="U8081">
        <v>0.21893309999999999</v>
      </c>
      <c r="V8081">
        <v>-3.9513619999999999E-2</v>
      </c>
      <c r="W8081">
        <v>-9.2743370000000006E-2</v>
      </c>
      <c r="X8081">
        <v>0.9949057</v>
      </c>
      <c r="Y8081">
        <v>-6.1202039999999999E-2</v>
      </c>
      <c r="Z8081">
        <v>2.2904589999999999E-3</v>
      </c>
      <c r="AA8081">
        <v>0.99812279999999998</v>
      </c>
      <c r="AB8081">
        <v>23</v>
      </c>
      <c r="AC8081">
        <v>12.4764</v>
      </c>
      <c r="AD8081">
        <v>-1.1211349433669999</v>
      </c>
      <c r="AE8081">
        <v>0.92332999999999199</v>
      </c>
      <c r="AF8081">
        <v>-0.76973479973487202</v>
      </c>
      <c r="AG8081">
        <v>-1.1211349433669999</v>
      </c>
      <c r="AH8081">
        <v>12.386955987840301</v>
      </c>
      <c r="AI8081">
        <v>95.161808010737701</v>
      </c>
      <c r="AJ8081">
        <v>93.555830796861798</v>
      </c>
      <c r="AK8081">
        <v>12.461384909706201</v>
      </c>
      <c r="AL8081">
        <v>95.321450919026802</v>
      </c>
      <c r="AM8081">
        <v>92.274360701207996</v>
      </c>
      <c r="AN8081">
        <v>1.0000000053684699</v>
      </c>
    </row>
    <row r="8082" spans="1:40" x14ac:dyDescent="0.25">
      <c r="A8082" t="str">
        <f>"20190303154336693"</f>
        <v>20190303154336693</v>
      </c>
      <c r="B8082" t="str">
        <f>"1551599016687958"</f>
        <v>1551599016687958</v>
      </c>
      <c r="C8082" t="s">
        <v>40</v>
      </c>
      <c r="D8082">
        <v>5.3519360000000002</v>
      </c>
      <c r="E8082">
        <v>0.49180600000000002</v>
      </c>
      <c r="F8082" t="s">
        <v>58</v>
      </c>
      <c r="G8082">
        <v>-207.16370000000001</v>
      </c>
      <c r="H8082" s="1">
        <v>-1.9381050000000001E-6</v>
      </c>
      <c r="I8082">
        <v>-61.559139999999999</v>
      </c>
      <c r="J8082">
        <v>-219.51249999999999</v>
      </c>
      <c r="K8082">
        <v>1.121132</v>
      </c>
      <c r="L8082">
        <v>-62.481659999999998</v>
      </c>
      <c r="M8082">
        <v>0.99982210000000005</v>
      </c>
      <c r="N8082">
        <v>-1.465911E-2</v>
      </c>
      <c r="O8082">
        <v>1.1867320000000001E-2</v>
      </c>
      <c r="P8082">
        <v>0.99282559999999997</v>
      </c>
      <c r="Q8082">
        <v>-0.10763449999999999</v>
      </c>
      <c r="R8082">
        <v>5.2078140000000002E-2</v>
      </c>
      <c r="S8082">
        <v>2.9810639999999999</v>
      </c>
      <c r="T8082">
        <v>-0.26805570000000001</v>
      </c>
      <c r="U8082">
        <v>0.22091669999999999</v>
      </c>
      <c r="V8082">
        <v>-4.0278559999999998E-2</v>
      </c>
      <c r="W8082">
        <v>-9.3066469999999998E-2</v>
      </c>
      <c r="X8082">
        <v>0.99484490000000003</v>
      </c>
      <c r="Y8082">
        <v>-6.1807290000000001E-2</v>
      </c>
      <c r="Z8082">
        <v>2.334287E-3</v>
      </c>
      <c r="AA8082">
        <v>0.99808540000000001</v>
      </c>
      <c r="AB8082">
        <v>23</v>
      </c>
      <c r="AC8082">
        <v>12.348799999999899</v>
      </c>
      <c r="AD8082">
        <v>-1.1211339381050001</v>
      </c>
      <c r="AE8082">
        <v>0.92251999999999801</v>
      </c>
      <c r="AF8082">
        <v>-0.76958392448226598</v>
      </c>
      <c r="AG8082">
        <v>-1.1211339381050001</v>
      </c>
      <c r="AH8082">
        <v>12.258398637731201</v>
      </c>
      <c r="AI8082">
        <v>95.215433371040007</v>
      </c>
      <c r="AJ8082">
        <v>93.592322209962802</v>
      </c>
      <c r="AK8082">
        <v>12.333593875489999</v>
      </c>
      <c r="AL8082">
        <v>95.340043345797397</v>
      </c>
      <c r="AM8082">
        <v>92.318483754961804</v>
      </c>
      <c r="AN8082">
        <v>1.0000000526449699</v>
      </c>
    </row>
    <row r="8083" spans="1:40" x14ac:dyDescent="0.25">
      <c r="A8083" t="str">
        <f>"20190303154336705"</f>
        <v>20190303154336705</v>
      </c>
      <c r="B8083" t="str">
        <f>"1551599016697718"</f>
        <v>1551599016697718</v>
      </c>
      <c r="C8083" t="s">
        <v>40</v>
      </c>
      <c r="D8083">
        <v>5.3784989999999997</v>
      </c>
      <c r="E8083">
        <v>0.491817</v>
      </c>
      <c r="F8083" t="s">
        <v>58</v>
      </c>
      <c r="G8083">
        <v>-207.10570000000001</v>
      </c>
      <c r="H8083" s="1">
        <v>-1.973883E-6</v>
      </c>
      <c r="I8083">
        <v>-61.55133</v>
      </c>
      <c r="J8083">
        <v>-219.40280000000001</v>
      </c>
      <c r="K8083">
        <v>1.121132</v>
      </c>
      <c r="L8083">
        <v>-62.480289999999997</v>
      </c>
      <c r="M8083">
        <v>0.99982170000000004</v>
      </c>
      <c r="N8083">
        <v>-1.4656499999999999E-2</v>
      </c>
      <c r="O8083">
        <v>1.192009E-2</v>
      </c>
      <c r="P8083">
        <v>0.99278160000000004</v>
      </c>
      <c r="Q8083">
        <v>-0.1078831</v>
      </c>
      <c r="R8083">
        <v>5.2403819999999997E-2</v>
      </c>
      <c r="S8083">
        <v>2.980728</v>
      </c>
      <c r="T8083">
        <v>-0.26935029999999999</v>
      </c>
      <c r="U8083">
        <v>0.22351070000000001</v>
      </c>
      <c r="V8083">
        <v>-4.0552270000000001E-2</v>
      </c>
      <c r="W8083">
        <v>-9.3318239999999997E-2</v>
      </c>
      <c r="X8083">
        <v>0.99481019999999998</v>
      </c>
      <c r="Y8083">
        <v>-6.2620759999999998E-2</v>
      </c>
      <c r="Z8083">
        <v>2.3811689999999998E-3</v>
      </c>
      <c r="AA8083">
        <v>0.99803450000000005</v>
      </c>
      <c r="AB8083">
        <v>23</v>
      </c>
      <c r="AC8083">
        <v>12.2971</v>
      </c>
      <c r="AD8083">
        <v>-1.121133973883</v>
      </c>
      <c r="AE8083">
        <v>0.92895999999999601</v>
      </c>
      <c r="AF8083">
        <v>-0.775883119460691</v>
      </c>
      <c r="AG8083">
        <v>-1.121133973883</v>
      </c>
      <c r="AH8083">
        <v>12.206415661683</v>
      </c>
      <c r="AI8083">
        <v>95.237264299354607</v>
      </c>
      <c r="AJ8083">
        <v>93.637030184859995</v>
      </c>
      <c r="AK8083">
        <v>12.282325484542399</v>
      </c>
      <c r="AL8083">
        <v>95.354531730408794</v>
      </c>
      <c r="AM8083">
        <v>92.334302802874205</v>
      </c>
      <c r="AN8083">
        <v>1.00000005727144</v>
      </c>
    </row>
    <row r="8084" spans="1:40" x14ac:dyDescent="0.25">
      <c r="A8084" t="str">
        <f>"20190303154336716"</f>
        <v>20190303154336716</v>
      </c>
      <c r="B8084" t="str">
        <f>"1551599016708453"</f>
        <v>1551599016708453</v>
      </c>
      <c r="C8084" t="s">
        <v>40</v>
      </c>
      <c r="D8084">
        <v>5.3656220000000001</v>
      </c>
      <c r="E8084">
        <v>0.49183209999999999</v>
      </c>
      <c r="F8084" t="s">
        <v>58</v>
      </c>
      <c r="G8084">
        <v>-207.03700000000001</v>
      </c>
      <c r="H8084" s="1">
        <v>-2.0172899999999999E-6</v>
      </c>
      <c r="I8084">
        <v>-61.54945</v>
      </c>
      <c r="J8084">
        <v>-219.2903</v>
      </c>
      <c r="K8084">
        <v>1.1211249999999999</v>
      </c>
      <c r="L8084">
        <v>-62.478879999999997</v>
      </c>
      <c r="M8084">
        <v>0.99982090000000001</v>
      </c>
      <c r="N8084">
        <v>-1.465381E-2</v>
      </c>
      <c r="O8084">
        <v>1.19744E-2</v>
      </c>
      <c r="P8084">
        <v>0.99278040000000001</v>
      </c>
      <c r="Q8084">
        <v>-0.10762819999999999</v>
      </c>
      <c r="R8084">
        <v>5.2944289999999998E-2</v>
      </c>
      <c r="S8084">
        <v>2.9806059999999999</v>
      </c>
      <c r="T8084">
        <v>-0.27023320000000001</v>
      </c>
      <c r="U8084">
        <v>0.22436519999999999</v>
      </c>
      <c r="V8084">
        <v>-4.103851E-2</v>
      </c>
      <c r="W8084">
        <v>-9.3065899999999993E-2</v>
      </c>
      <c r="X8084">
        <v>0.99481390000000003</v>
      </c>
      <c r="Y8084">
        <v>-6.2851619999999997E-2</v>
      </c>
      <c r="Z8084">
        <v>2.3948289999999998E-3</v>
      </c>
      <c r="AA8084">
        <v>0.99802000000000002</v>
      </c>
      <c r="AB8084">
        <v>23</v>
      </c>
      <c r="AC8084">
        <v>12.2532999999999</v>
      </c>
      <c r="AD8084">
        <v>-1.1211270172900001</v>
      </c>
      <c r="AE8084">
        <v>0.92943000000000298</v>
      </c>
      <c r="AF8084">
        <v>-0.77616120748058204</v>
      </c>
      <c r="AG8084">
        <v>-1.1211270172900001</v>
      </c>
      <c r="AH8084">
        <v>12.1623174178279</v>
      </c>
      <c r="AI8084">
        <v>95.256031029761004</v>
      </c>
      <c r="AJ8084">
        <v>93.651486514637895</v>
      </c>
      <c r="AK8084">
        <v>12.238517760778601</v>
      </c>
      <c r="AL8084">
        <v>95.340010514349004</v>
      </c>
      <c r="AM8084">
        <v>92.362251849757001</v>
      </c>
      <c r="AN8084">
        <v>1.0000000583395099</v>
      </c>
    </row>
    <row r="8085" spans="1:40" x14ac:dyDescent="0.25">
      <c r="A8085" t="str">
        <f>"20190303154336727"</f>
        <v>20190303154336727</v>
      </c>
      <c r="B8085" t="str">
        <f>"1551599016718214"</f>
        <v>1551599016718214</v>
      </c>
      <c r="C8085" t="s">
        <v>40</v>
      </c>
      <c r="D8085">
        <v>5.3542480000000001</v>
      </c>
      <c r="E8085">
        <v>0.49184879999999997</v>
      </c>
      <c r="F8085" t="s">
        <v>58</v>
      </c>
      <c r="G8085">
        <v>-206.8973</v>
      </c>
      <c r="H8085" s="1">
        <v>-2.1046659999999998E-6</v>
      </c>
      <c r="I8085">
        <v>-61.53951</v>
      </c>
      <c r="J8085">
        <v>-219.1687</v>
      </c>
      <c r="K8085">
        <v>1.121127</v>
      </c>
      <c r="L8085">
        <v>-62.477359999999997</v>
      </c>
      <c r="M8085">
        <v>0.99982040000000005</v>
      </c>
      <c r="N8085">
        <v>-1.4650899999999901E-2</v>
      </c>
      <c r="O8085">
        <v>1.2032589999999999E-2</v>
      </c>
      <c r="P8085">
        <v>0.99274549999999995</v>
      </c>
      <c r="Q8085">
        <v>-0.1075985</v>
      </c>
      <c r="R8085">
        <v>5.365868E-2</v>
      </c>
      <c r="S8085">
        <v>2.9805450000000002</v>
      </c>
      <c r="T8085">
        <v>-0.26963320000000002</v>
      </c>
      <c r="U8085">
        <v>0.2259216</v>
      </c>
      <c r="V8085">
        <v>-4.1695599999999999E-2</v>
      </c>
      <c r="W8085">
        <v>-9.3039590000000005E-2</v>
      </c>
      <c r="X8085">
        <v>0.99478900000000003</v>
      </c>
      <c r="Y8085">
        <v>-6.3312309999999997E-2</v>
      </c>
      <c r="Z8085">
        <v>2.4105799999999998E-3</v>
      </c>
      <c r="AA8085">
        <v>0.99799079999999996</v>
      </c>
      <c r="AB8085">
        <v>23</v>
      </c>
      <c r="AC8085">
        <v>12.2714</v>
      </c>
      <c r="AD8085">
        <v>-1.1211291046659999</v>
      </c>
      <c r="AE8085">
        <v>0.93784999999999696</v>
      </c>
      <c r="AF8085">
        <v>-0.78360686148605296</v>
      </c>
      <c r="AG8085">
        <v>-1.1211291046659999</v>
      </c>
      <c r="AH8085">
        <v>12.180717086934401</v>
      </c>
      <c r="AI8085">
        <v>95.247974117463698</v>
      </c>
      <c r="AJ8085">
        <v>93.680865581147103</v>
      </c>
      <c r="AK8085">
        <v>12.2572769787842</v>
      </c>
      <c r="AL8085">
        <v>95.338496690954599</v>
      </c>
      <c r="AM8085">
        <v>92.400091277171697</v>
      </c>
      <c r="AN8085">
        <v>1.00000002144386</v>
      </c>
    </row>
    <row r="8086" spans="1:40" x14ac:dyDescent="0.25">
      <c r="A8086" t="str">
        <f>"20190303154336738"</f>
        <v>20190303154336738</v>
      </c>
      <c r="B8086" t="str">
        <f>"1551599016727976"</f>
        <v>1551599016727976</v>
      </c>
      <c r="C8086" t="s">
        <v>40</v>
      </c>
      <c r="D8086">
        <v>5.3774189999999997</v>
      </c>
      <c r="E8086">
        <v>0.491867</v>
      </c>
      <c r="F8086" t="s">
        <v>58</v>
      </c>
      <c r="G8086">
        <v>-206.77600000000001</v>
      </c>
      <c r="H8086" s="1">
        <v>-2.1803959999999998E-6</v>
      </c>
      <c r="I8086">
        <v>-61.52984</v>
      </c>
      <c r="J8086">
        <v>-219.05760000000001</v>
      </c>
      <c r="K8086">
        <v>1.121127</v>
      </c>
      <c r="L8086">
        <v>-62.475949999999997</v>
      </c>
      <c r="M8086">
        <v>0.99981980000000004</v>
      </c>
      <c r="N8086">
        <v>-1.464824E-2</v>
      </c>
      <c r="O8086">
        <v>1.2085719999999999E-2</v>
      </c>
      <c r="P8086">
        <v>0.99277709999999997</v>
      </c>
      <c r="Q8086">
        <v>-0.10695730000000001</v>
      </c>
      <c r="R8086">
        <v>5.4352890000000001E-2</v>
      </c>
      <c r="S8086">
        <v>2.9803769999999998</v>
      </c>
      <c r="T8086">
        <v>-0.26962720000000001</v>
      </c>
      <c r="U8086">
        <v>0.22787479999999999</v>
      </c>
      <c r="V8086">
        <v>-4.2337079999999999E-2</v>
      </c>
      <c r="W8086">
        <v>-9.2400590000000005E-2</v>
      </c>
      <c r="X8086">
        <v>0.99482139999999997</v>
      </c>
      <c r="Y8086">
        <v>-6.391107E-2</v>
      </c>
      <c r="Z8086">
        <v>2.4378690000000001E-3</v>
      </c>
      <c r="AA8086">
        <v>0.99795259999999997</v>
      </c>
      <c r="AB8086">
        <v>23</v>
      </c>
      <c r="AC8086">
        <v>12.281599999999999</v>
      </c>
      <c r="AD8086">
        <v>-1.121129180396</v>
      </c>
      <c r="AE8086">
        <v>0.94610999999999701</v>
      </c>
      <c r="AF8086">
        <v>-0.79104014891303098</v>
      </c>
      <c r="AG8086">
        <v>-1.121129180396</v>
      </c>
      <c r="AH8086">
        <v>12.191148923038201</v>
      </c>
      <c r="AI8086">
        <v>95.243322790268095</v>
      </c>
      <c r="AJ8086">
        <v>93.712514303458505</v>
      </c>
      <c r="AK8086">
        <v>12.2681207697032</v>
      </c>
      <c r="AL8086">
        <v>95.301726628225495</v>
      </c>
      <c r="AM8086">
        <v>92.436892835858103</v>
      </c>
      <c r="AN8086">
        <v>0.99999995763661598</v>
      </c>
    </row>
    <row r="8087" spans="1:40" x14ac:dyDescent="0.25">
      <c r="A8087" t="str">
        <f>"20190303154336749"</f>
        <v>20190303154336749</v>
      </c>
      <c r="B8087" t="str">
        <f>"1551599016737738"</f>
        <v>1551599016737738</v>
      </c>
      <c r="C8087" t="s">
        <v>40</v>
      </c>
      <c r="D8087">
        <v>5.320093</v>
      </c>
      <c r="E8087">
        <v>0.49188789999999999</v>
      </c>
      <c r="F8087" t="s">
        <v>58</v>
      </c>
      <c r="G8087">
        <v>-206.5795</v>
      </c>
      <c r="H8087" s="1">
        <v>-2.3030830000000002E-6</v>
      </c>
      <c r="I8087">
        <v>-61.513730000000002</v>
      </c>
      <c r="J8087">
        <v>-218.94489999999999</v>
      </c>
      <c r="K8087">
        <v>1.121132</v>
      </c>
      <c r="L8087">
        <v>-62.474519999999998</v>
      </c>
      <c r="M8087">
        <v>0.99981900000000001</v>
      </c>
      <c r="N8087">
        <v>-1.464554E-2</v>
      </c>
      <c r="O8087">
        <v>1.214003E-2</v>
      </c>
      <c r="P8087">
        <v>0.99278189999999999</v>
      </c>
      <c r="Q8087">
        <v>-0.106404</v>
      </c>
      <c r="R8087">
        <v>5.5339670000000001E-2</v>
      </c>
      <c r="S8087">
        <v>2.9804080000000002</v>
      </c>
      <c r="T8087">
        <v>-0.26778279999999999</v>
      </c>
      <c r="U8087">
        <v>0.2298279</v>
      </c>
      <c r="V8087">
        <v>-4.3269500000000002E-2</v>
      </c>
      <c r="W8087">
        <v>-9.1849890000000003E-2</v>
      </c>
      <c r="X8087">
        <v>0.9948323</v>
      </c>
      <c r="Y8087">
        <v>-6.4506880000000003E-2</v>
      </c>
      <c r="Z8087">
        <v>2.452465E-3</v>
      </c>
      <c r="AA8087">
        <v>0.99791430000000003</v>
      </c>
      <c r="AB8087">
        <v>23</v>
      </c>
      <c r="AC8087">
        <v>12.3653999999999</v>
      </c>
      <c r="AD8087">
        <v>-1.1211343030830001</v>
      </c>
      <c r="AE8087">
        <v>0.96078999999999504</v>
      </c>
      <c r="AF8087">
        <v>-0.80401697649655701</v>
      </c>
      <c r="AG8087">
        <v>-1.1211343030830001</v>
      </c>
      <c r="AH8087">
        <v>12.2758456671083</v>
      </c>
      <c r="AI8087">
        <v>95.207165039361598</v>
      </c>
      <c r="AJ8087">
        <v>93.747283787167405</v>
      </c>
      <c r="AK8087">
        <v>12.3531280357125</v>
      </c>
      <c r="AL8087">
        <v>95.270038976748694</v>
      </c>
      <c r="AM8087">
        <v>92.490468178368204</v>
      </c>
      <c r="AN8087">
        <v>0.99999997852327505</v>
      </c>
    </row>
    <row r="8088" spans="1:40" x14ac:dyDescent="0.25">
      <c r="A8088" t="str">
        <f>"20190303154336761"</f>
        <v>20190303154336761</v>
      </c>
      <c r="B8088" t="str">
        <f>"1551599016758233"</f>
        <v>1551599016758233</v>
      </c>
      <c r="C8088" t="s">
        <v>40</v>
      </c>
      <c r="D8088">
        <v>5.3647780000000003</v>
      </c>
      <c r="E8088">
        <v>0.45996100000000001</v>
      </c>
      <c r="F8088" t="s">
        <v>58</v>
      </c>
      <c r="G8088">
        <v>-206.37989999999999</v>
      </c>
      <c r="H8088" s="1">
        <v>-2.4271079999999998E-6</v>
      </c>
      <c r="I8088">
        <v>-61.493479999999998</v>
      </c>
      <c r="J8088">
        <v>-218.8279</v>
      </c>
      <c r="K8088">
        <v>1.121132</v>
      </c>
      <c r="L8088">
        <v>-62.473019999999998</v>
      </c>
      <c r="M8088">
        <v>0.9998184</v>
      </c>
      <c r="N8088">
        <v>-1.464272E-2</v>
      </c>
      <c r="O8088">
        <v>1.2196500000000001E-2</v>
      </c>
      <c r="P8088">
        <v>0.99275769999999997</v>
      </c>
      <c r="Q8088">
        <v>-0.1061733</v>
      </c>
      <c r="R8088">
        <v>5.6207489999999999E-2</v>
      </c>
      <c r="S8088">
        <v>2.9803470000000001</v>
      </c>
      <c r="T8088">
        <v>-0.26592739999999998</v>
      </c>
      <c r="U8088">
        <v>0.2326965</v>
      </c>
      <c r="V8088">
        <v>-4.4081589999999997E-2</v>
      </c>
      <c r="W8088">
        <v>-9.1622259999999997E-2</v>
      </c>
      <c r="X8088">
        <v>0.99481770000000003</v>
      </c>
      <c r="Y8088">
        <v>-6.540617E-2</v>
      </c>
      <c r="Z8088">
        <v>2.482279E-3</v>
      </c>
      <c r="AA8088">
        <v>0.99785570000000001</v>
      </c>
      <c r="AB8088">
        <v>23</v>
      </c>
      <c r="AC8088">
        <v>12.448</v>
      </c>
      <c r="AD8088">
        <v>-1.1211344271079999</v>
      </c>
      <c r="AE8088">
        <v>0.97953999999999197</v>
      </c>
      <c r="AF8088">
        <v>-0.82100994769587399</v>
      </c>
      <c r="AG8088">
        <v>-1.1211344271079999</v>
      </c>
      <c r="AH8088">
        <v>12.359382542873201</v>
      </c>
      <c r="AI8088">
        <v>95.171847057343498</v>
      </c>
      <c r="AJ8088">
        <v>93.800464613913903</v>
      </c>
      <c r="AK8088">
        <v>12.4372559907297</v>
      </c>
      <c r="AL8088">
        <v>95.256941183182803</v>
      </c>
      <c r="AM8088">
        <v>92.537186416602907</v>
      </c>
      <c r="AN8088">
        <v>1.0000000406688601</v>
      </c>
    </row>
    <row r="8089" spans="1:40" x14ac:dyDescent="0.25">
      <c r="A8089" t="str">
        <f>"20190303154336771"</f>
        <v>20190303154336771</v>
      </c>
      <c r="B8089" t="str">
        <f>"1551599016767993"</f>
        <v>1551599016767993</v>
      </c>
      <c r="C8089" t="s">
        <v>40</v>
      </c>
      <c r="D8089">
        <v>5.3083619999999998</v>
      </c>
      <c r="E8089">
        <v>0.45996100000000001</v>
      </c>
      <c r="F8089" t="s">
        <v>58</v>
      </c>
      <c r="G8089">
        <v>-207.44300000000001</v>
      </c>
      <c r="H8089" s="1">
        <v>-1.6263819999999999E-6</v>
      </c>
      <c r="I8089">
        <v>-60.595460000000003</v>
      </c>
      <c r="J8089">
        <v>-218.72069999999999</v>
      </c>
      <c r="K8089">
        <v>1.1211310000000001</v>
      </c>
      <c r="L8089">
        <v>-62.471620000000001</v>
      </c>
      <c r="M8089">
        <v>0.99981779999999998</v>
      </c>
      <c r="N8089">
        <v>-1.464012E-2</v>
      </c>
      <c r="O8089">
        <v>1.2248490000000001E-2</v>
      </c>
      <c r="P8089">
        <v>0.99270139999999996</v>
      </c>
      <c r="Q8089">
        <v>-0.1061551</v>
      </c>
      <c r="R8089">
        <v>5.7231009999999999E-2</v>
      </c>
      <c r="S8089">
        <v>2.9629970000000001</v>
      </c>
      <c r="T8089">
        <v>-0.29178189999999998</v>
      </c>
      <c r="U8089">
        <v>0.48864750000000001</v>
      </c>
      <c r="V8089">
        <v>-4.5054089999999998E-2</v>
      </c>
      <c r="W8089">
        <v>-9.160741E-2</v>
      </c>
      <c r="X8089">
        <v>0.99477550000000003</v>
      </c>
      <c r="Y8089">
        <v>-0.1498487</v>
      </c>
      <c r="Z8089">
        <v>7.4015490000000003E-3</v>
      </c>
      <c r="AA8089">
        <v>0.98868129999999999</v>
      </c>
      <c r="AB8089">
        <v>23</v>
      </c>
      <c r="AC8089">
        <v>11.277699999999999</v>
      </c>
      <c r="AD8089">
        <v>-1.1211326263819901</v>
      </c>
      <c r="AE8089">
        <v>1.8761599999999901</v>
      </c>
      <c r="AF8089">
        <v>-1.7213165938435799</v>
      </c>
      <c r="AG8089">
        <v>-1.1211326263819901</v>
      </c>
      <c r="AH8089">
        <v>11.1922066048863</v>
      </c>
      <c r="AI8089">
        <v>95.654242580395604</v>
      </c>
      <c r="AJ8089">
        <v>98.743355013571005</v>
      </c>
      <c r="AK8089">
        <v>11.3791633202376</v>
      </c>
      <c r="AL8089">
        <v>95.256086740580798</v>
      </c>
      <c r="AM8089">
        <v>92.593194483238506</v>
      </c>
      <c r="AN8089">
        <v>1.0000000419964401</v>
      </c>
    </row>
    <row r="8090" spans="1:40" x14ac:dyDescent="0.25">
      <c r="A8090" t="str">
        <f>"20190303154336784"</f>
        <v>20190303154336784</v>
      </c>
      <c r="B8090" t="str">
        <f>"1551599016777753"</f>
        <v>1551599016777753</v>
      </c>
      <c r="C8090" t="s">
        <v>40</v>
      </c>
      <c r="D8090">
        <v>5.2411830000000004</v>
      </c>
      <c r="E8090">
        <v>0.39142739999999998</v>
      </c>
      <c r="F8090" t="s">
        <v>58</v>
      </c>
      <c r="G8090">
        <v>-207.34549999999999</v>
      </c>
      <c r="H8090" s="1">
        <v>-1.686712E-6</v>
      </c>
      <c r="I8090">
        <v>-60.583640000000003</v>
      </c>
      <c r="J8090">
        <v>-218.59469999999999</v>
      </c>
      <c r="K8090">
        <v>1.121135</v>
      </c>
      <c r="L8090">
        <v>-62.470030000000001</v>
      </c>
      <c r="M8090">
        <v>0.99981719999999996</v>
      </c>
      <c r="N8090">
        <v>-1.463704E-2</v>
      </c>
      <c r="O8090">
        <v>1.2309779999999999E-2</v>
      </c>
      <c r="P8090">
        <v>0.99261809999999995</v>
      </c>
      <c r="Q8090">
        <v>-0.10631889999999899</v>
      </c>
      <c r="R8090">
        <v>5.836181E-2</v>
      </c>
      <c r="S8090">
        <v>2.9625240000000002</v>
      </c>
      <c r="T8090">
        <v>-0.29198400000000002</v>
      </c>
      <c r="U8090">
        <v>0.4916992</v>
      </c>
      <c r="V8090">
        <v>-4.6124890000000002E-2</v>
      </c>
      <c r="W8090">
        <v>-9.1775380000000004E-2</v>
      </c>
      <c r="X8090">
        <v>0.99471089999999995</v>
      </c>
      <c r="Y8090">
        <v>-0.15079870000000001</v>
      </c>
      <c r="Z8090">
        <v>7.4543430000000004E-3</v>
      </c>
      <c r="AA8090">
        <v>0.98853639999999998</v>
      </c>
      <c r="AB8090">
        <v>23</v>
      </c>
      <c r="AC8090">
        <v>11.2492</v>
      </c>
      <c r="AD8090">
        <v>-1.1211366867120001</v>
      </c>
      <c r="AE8090">
        <v>1.88638999999999</v>
      </c>
      <c r="AF8090">
        <v>-1.7310332281059899</v>
      </c>
      <c r="AG8090">
        <v>-1.1211366867120001</v>
      </c>
      <c r="AH8090">
        <v>11.1637164053069</v>
      </c>
      <c r="AI8090">
        <v>95.667526327549595</v>
      </c>
      <c r="AJ8090">
        <v>98.814026710231701</v>
      </c>
      <c r="AK8090">
        <v>11.352620291598599</v>
      </c>
      <c r="AL8090">
        <v>95.265751645660899</v>
      </c>
      <c r="AM8090">
        <v>92.654911915149498</v>
      </c>
      <c r="AN8090">
        <v>1.0000000002152301</v>
      </c>
    </row>
    <row r="8091" spans="1:40" x14ac:dyDescent="0.25">
      <c r="A8091" t="str">
        <f>"20190303154336794"</f>
        <v>20190303154336794</v>
      </c>
      <c r="B8091" t="str">
        <f>"1551599016788489"</f>
        <v>1551599016788489</v>
      </c>
      <c r="C8091" t="s">
        <v>40</v>
      </c>
      <c r="D8091">
        <v>4.8680949999999896</v>
      </c>
      <c r="E8091">
        <v>0.38106699999999999</v>
      </c>
      <c r="F8091" t="s">
        <v>70</v>
      </c>
      <c r="G8091">
        <v>-210.29679999999999</v>
      </c>
      <c r="H8091" s="1">
        <v>6.9704870000000001E-7</v>
      </c>
      <c r="I8091">
        <v>-59.522370000000002</v>
      </c>
      <c r="J8091">
        <v>-218.48500000000001</v>
      </c>
      <c r="K8091">
        <v>1.1211310000000001</v>
      </c>
      <c r="L8091">
        <v>-62.468600000000002</v>
      </c>
      <c r="M8091">
        <v>0.99981660000000006</v>
      </c>
      <c r="N8091">
        <v>-1.4634350000000001E-2</v>
      </c>
      <c r="O8091">
        <v>1.236344E-2</v>
      </c>
      <c r="P8091">
        <v>0.99249909999999997</v>
      </c>
      <c r="Q8091">
        <v>-0.1067413</v>
      </c>
      <c r="R8091">
        <v>5.9601609999999999E-2</v>
      </c>
      <c r="S8091">
        <v>2.919098</v>
      </c>
      <c r="T8091">
        <v>-0.39439990000000003</v>
      </c>
      <c r="U8091">
        <v>1.036926</v>
      </c>
      <c r="V8091">
        <v>-4.7313050000000002E-2</v>
      </c>
      <c r="W8091">
        <v>-9.2202019999999996E-2</v>
      </c>
      <c r="X8091">
        <v>0.99461560000000004</v>
      </c>
      <c r="Y8091">
        <v>-0.32024059999999999</v>
      </c>
      <c r="Z8091">
        <v>2.1889840000000001E-2</v>
      </c>
      <c r="AA8091">
        <v>0.94708329999999996</v>
      </c>
      <c r="AB8091">
        <v>23</v>
      </c>
      <c r="AC8091">
        <v>8.1882000000000197</v>
      </c>
      <c r="AD8091">
        <v>-1.12113030295129</v>
      </c>
      <c r="AE8091">
        <v>2.9462299999999999</v>
      </c>
      <c r="AF8091">
        <v>-2.7983125565842202</v>
      </c>
      <c r="AG8091">
        <v>-1.12113030295129</v>
      </c>
      <c r="AH8091">
        <v>8.0897282180751393</v>
      </c>
      <c r="AI8091">
        <v>97.461703938666105</v>
      </c>
      <c r="AJ8091">
        <v>109.080980934088</v>
      </c>
      <c r="AK8091">
        <v>8.6331447898696592</v>
      </c>
      <c r="AL8091">
        <v>95.290300592298394</v>
      </c>
      <c r="AM8091">
        <v>92.723460333110793</v>
      </c>
      <c r="AN8091">
        <v>0.99999996447786998</v>
      </c>
    </row>
    <row r="8092" spans="1:40" x14ac:dyDescent="0.25">
      <c r="A8092" t="str">
        <f>"20190303154336807"</f>
        <v>20190303154336807</v>
      </c>
      <c r="B8092" t="str">
        <f>"1551599016798250"</f>
        <v>1551599016798250</v>
      </c>
      <c r="C8092" t="s">
        <v>40</v>
      </c>
      <c r="D8092">
        <v>5.1183180000000004</v>
      </c>
      <c r="E8092">
        <v>0.38106699999999999</v>
      </c>
      <c r="F8092" t="s">
        <v>58</v>
      </c>
      <c r="G8092">
        <v>-209.63579999999999</v>
      </c>
      <c r="H8092" s="1">
        <v>-5.5624739999999996E-7</v>
      </c>
      <c r="I8092">
        <v>-59.05639</v>
      </c>
      <c r="J8092">
        <v>-218.37139999999999</v>
      </c>
      <c r="K8092">
        <v>1.12113</v>
      </c>
      <c r="L8092">
        <v>-62.467100000000002</v>
      </c>
      <c r="M8092">
        <v>0.99981580000000003</v>
      </c>
      <c r="N8092">
        <v>-1.463157E-2</v>
      </c>
      <c r="O8092">
        <v>1.241925E-2</v>
      </c>
      <c r="P8092">
        <v>0.99239180000000005</v>
      </c>
      <c r="Q8092">
        <v>-0.10708280000000001</v>
      </c>
      <c r="R8092">
        <v>6.075937E-2</v>
      </c>
      <c r="S8092">
        <v>2.9154360000000001</v>
      </c>
      <c r="T8092">
        <v>-0.369365</v>
      </c>
      <c r="U8092">
        <v>1.1241760000000001</v>
      </c>
      <c r="V8092">
        <v>-4.8416029999999999E-2</v>
      </c>
      <c r="W8092">
        <v>-9.2547679999999993E-2</v>
      </c>
      <c r="X8092">
        <v>0.99453040000000004</v>
      </c>
      <c r="Y8092">
        <v>-0.34551130000000002</v>
      </c>
      <c r="Z8092">
        <v>2.234065E-2</v>
      </c>
      <c r="AA8092">
        <v>0.9381486</v>
      </c>
      <c r="AB8092">
        <v>23</v>
      </c>
      <c r="AC8092">
        <v>8.7355999999999998</v>
      </c>
      <c r="AD8092">
        <v>-1.1211305562474001</v>
      </c>
      <c r="AE8092">
        <v>3.4107099999999999</v>
      </c>
      <c r="AF8092">
        <v>-3.25541766202574</v>
      </c>
      <c r="AG8092">
        <v>-1.1211305562474001</v>
      </c>
      <c r="AH8092">
        <v>8.6536075480860006</v>
      </c>
      <c r="AI8092">
        <v>96.913924200100695</v>
      </c>
      <c r="AJ8092">
        <v>110.61589662768</v>
      </c>
      <c r="AK8092">
        <v>9.3134097662817297</v>
      </c>
      <c r="AL8092">
        <v>95.310190568411997</v>
      </c>
      <c r="AM8092">
        <v>92.787090102628895</v>
      </c>
      <c r="AN8092">
        <v>0.99999995077924997</v>
      </c>
    </row>
    <row r="8093" spans="1:40" x14ac:dyDescent="0.25">
      <c r="A8093" t="str">
        <f>"20190303154336820"</f>
        <v>20190303154336820</v>
      </c>
      <c r="B8093" t="str">
        <f>"1551599016808009"</f>
        <v>1551599016808009</v>
      </c>
      <c r="C8093" t="s">
        <v>40</v>
      </c>
      <c r="D8093">
        <v>5.2657210000000001</v>
      </c>
      <c r="E8093">
        <v>0.32938659999999997</v>
      </c>
      <c r="F8093" t="s">
        <v>58</v>
      </c>
      <c r="G8093">
        <v>-209.5463</v>
      </c>
      <c r="H8093" s="1">
        <v>-6.1420109999999995E-7</v>
      </c>
      <c r="I8093">
        <v>-59.052289999999999</v>
      </c>
      <c r="J8093">
        <v>-218.23159999999999</v>
      </c>
      <c r="K8093">
        <v>1.1211260000000001</v>
      </c>
      <c r="L8093">
        <v>-62.465299999999999</v>
      </c>
      <c r="M8093">
        <v>0.99981500000000001</v>
      </c>
      <c r="N8093">
        <v>-1.462813E-2</v>
      </c>
      <c r="O8093">
        <v>1.2487760000000001E-2</v>
      </c>
      <c r="P8093">
        <v>0.99227920000000003</v>
      </c>
      <c r="Q8093">
        <v>-0.1073515</v>
      </c>
      <c r="R8093">
        <v>6.2113429999999997E-2</v>
      </c>
      <c r="S8093">
        <v>2.9140169999999999</v>
      </c>
      <c r="T8093">
        <v>-0.37019469999999999</v>
      </c>
      <c r="U8093">
        <v>1.1275630000000001</v>
      </c>
      <c r="V8093">
        <v>-4.9703200000000003E-2</v>
      </c>
      <c r="W8093">
        <v>-9.2821340000000002E-2</v>
      </c>
      <c r="X8093">
        <v>0.99444140000000003</v>
      </c>
      <c r="Y8093">
        <v>-0.34652939999999999</v>
      </c>
      <c r="Z8093">
        <v>2.245159E-2</v>
      </c>
      <c r="AA8093">
        <v>0.9377704</v>
      </c>
      <c r="AB8093">
        <v>23</v>
      </c>
      <c r="AC8093">
        <v>8.6852999999999803</v>
      </c>
      <c r="AD8093">
        <v>-1.1211266142011</v>
      </c>
      <c r="AE8093">
        <v>3.4130099999999999</v>
      </c>
      <c r="AF8093">
        <v>-3.2572582023579502</v>
      </c>
      <c r="AG8093">
        <v>-1.1211266142011</v>
      </c>
      <c r="AH8093">
        <v>8.6030744334240499</v>
      </c>
      <c r="AI8093">
        <v>96.948603639235699</v>
      </c>
      <c r="AJ8093">
        <v>110.73744757908899</v>
      </c>
      <c r="AK8093">
        <v>9.2671217532161894</v>
      </c>
      <c r="AL8093">
        <v>95.325937901013603</v>
      </c>
      <c r="AM8093">
        <v>92.861320721592904</v>
      </c>
      <c r="AN8093">
        <v>0.99999995364179595</v>
      </c>
    </row>
    <row r="8094" spans="1:40" x14ac:dyDescent="0.25">
      <c r="A8094" t="str">
        <f>"20190303154336833"</f>
        <v>20190303154336833</v>
      </c>
      <c r="B8094" t="str">
        <f>"1551599016828506"</f>
        <v>1551599016828506</v>
      </c>
      <c r="C8094" t="s">
        <v>40</v>
      </c>
      <c r="D8094">
        <v>5.1962799999999998</v>
      </c>
      <c r="E8094">
        <v>0.32744190000000001</v>
      </c>
      <c r="F8094" t="s">
        <v>42</v>
      </c>
      <c r="G8094">
        <v>-217.3546</v>
      </c>
      <c r="H8094">
        <v>0.98170500000000005</v>
      </c>
      <c r="I8094">
        <v>-61.996040000000001</v>
      </c>
      <c r="J8094">
        <v>-218.09200000000001</v>
      </c>
      <c r="K8094">
        <v>1.1211230000000001</v>
      </c>
      <c r="L8094">
        <v>-62.463470000000001</v>
      </c>
      <c r="M8094">
        <v>0.99981419999999999</v>
      </c>
      <c r="N8094">
        <v>-1.4624669999999999E-2</v>
      </c>
      <c r="O8094">
        <v>1.2556680000000001E-2</v>
      </c>
      <c r="P8094">
        <v>0.99218919999999999</v>
      </c>
      <c r="Q8094">
        <v>-0.1072319</v>
      </c>
      <c r="R8094">
        <v>6.3730869999999995E-2</v>
      </c>
      <c r="S8094">
        <v>2.877472</v>
      </c>
      <c r="T8094">
        <v>-0.45743440000000002</v>
      </c>
      <c r="U8094">
        <v>1.539612</v>
      </c>
      <c r="V8094">
        <v>-5.125333E-2</v>
      </c>
      <c r="W8094">
        <v>-9.2706410000000003E-2</v>
      </c>
      <c r="X8094">
        <v>0.99437350000000002</v>
      </c>
      <c r="Y8094">
        <v>-0.45581179999999899</v>
      </c>
      <c r="Z8094">
        <v>3.5650380000000002E-2</v>
      </c>
      <c r="AA8094">
        <v>0.88936199999999999</v>
      </c>
      <c r="AB8094">
        <v>23</v>
      </c>
      <c r="AC8094">
        <v>0.73740000000000705</v>
      </c>
      <c r="AD8094">
        <v>-0.13941799999999899</v>
      </c>
      <c r="AE8094">
        <v>0.46742999999999302</v>
      </c>
      <c r="AF8094">
        <v>-0.44674095156844001</v>
      </c>
      <c r="AG8094">
        <v>-0.13941799999999899</v>
      </c>
      <c r="AH8094">
        <v>0.72473118958706895</v>
      </c>
      <c r="AI8094">
        <v>99.300167572378399</v>
      </c>
      <c r="AJ8094">
        <v>121.65063402331199</v>
      </c>
      <c r="AK8094">
        <v>0.86269934142351401</v>
      </c>
      <c r="AL8094">
        <v>95.319324026710305</v>
      </c>
      <c r="AM8094">
        <v>92.950604639483601</v>
      </c>
      <c r="AN8094">
        <v>1.0000000198967101</v>
      </c>
    </row>
    <row r="8095" spans="1:40" x14ac:dyDescent="0.25">
      <c r="A8095" t="str">
        <f>"20190303154336846"</f>
        <v>20190303154336846</v>
      </c>
      <c r="B8095" t="str">
        <f>"1551599016838265"</f>
        <v>1551599016838265</v>
      </c>
      <c r="C8095" t="s">
        <v>40</v>
      </c>
      <c r="D8095">
        <v>5.1855440000000002</v>
      </c>
      <c r="E8095">
        <v>0.32687739999999998</v>
      </c>
      <c r="F8095" t="s">
        <v>42</v>
      </c>
      <c r="G8095">
        <v>-217.267</v>
      </c>
      <c r="H8095">
        <v>0.98732580000000003</v>
      </c>
      <c r="I8095">
        <v>-62.015689999999999</v>
      </c>
      <c r="J8095">
        <v>-217.9692</v>
      </c>
      <c r="K8095">
        <v>1.121122</v>
      </c>
      <c r="L8095">
        <v>-62.461849999999998</v>
      </c>
      <c r="M8095">
        <v>0.99981359999999997</v>
      </c>
      <c r="N8095">
        <v>-1.462168E-2</v>
      </c>
      <c r="O8095">
        <v>1.2617140000000001E-2</v>
      </c>
      <c r="P8095">
        <v>0.99203560000000002</v>
      </c>
      <c r="Q8095">
        <v>-0.107464</v>
      </c>
      <c r="R8095">
        <v>6.570645E-2</v>
      </c>
      <c r="S8095">
        <v>2.8730929999999999</v>
      </c>
      <c r="T8095">
        <v>-0.46595550000000002</v>
      </c>
      <c r="U8095">
        <v>1.559418</v>
      </c>
      <c r="V8095">
        <v>-5.3170950000000002E-2</v>
      </c>
      <c r="W8095">
        <v>-9.2943529999999996E-2</v>
      </c>
      <c r="X8095">
        <v>0.99425070000000004</v>
      </c>
      <c r="Y8095">
        <v>-0.46084049999999999</v>
      </c>
      <c r="Z8095">
        <v>3.6648210000000001E-2</v>
      </c>
      <c r="AA8095">
        <v>0.88672600000000001</v>
      </c>
      <c r="AB8095">
        <v>23</v>
      </c>
      <c r="AC8095">
        <v>0.70220000000000404</v>
      </c>
      <c r="AD8095">
        <v>-0.133796199999999</v>
      </c>
      <c r="AE8095">
        <v>0.446159999999998</v>
      </c>
      <c r="AF8095">
        <v>-0.426239624746451</v>
      </c>
      <c r="AG8095">
        <v>-0.133796199999999</v>
      </c>
      <c r="AH8095">
        <v>0.68992979171337199</v>
      </c>
      <c r="AI8095">
        <v>99.368355595845401</v>
      </c>
      <c r="AJ8095">
        <v>121.707832383233</v>
      </c>
      <c r="AK8095">
        <v>0.82193963180521601</v>
      </c>
      <c r="AL8095">
        <v>95.332968742219705</v>
      </c>
      <c r="AM8095">
        <v>93.061171351404496</v>
      </c>
      <c r="AN8095">
        <v>1.0000000520716199</v>
      </c>
    </row>
    <row r="8096" spans="1:40" x14ac:dyDescent="0.25">
      <c r="A8096" t="str">
        <f>"20190303154336856"</f>
        <v>20190303154336856</v>
      </c>
      <c r="B8096" t="str">
        <f>"1551599016848024"</f>
        <v>1551599016848024</v>
      </c>
      <c r="C8096" t="s">
        <v>40</v>
      </c>
      <c r="D8096">
        <v>5.1613389999999999</v>
      </c>
      <c r="E8096">
        <v>0.32687460000000002</v>
      </c>
      <c r="F8096" t="s">
        <v>42</v>
      </c>
      <c r="G8096">
        <v>-217.14750000000001</v>
      </c>
      <c r="H8096">
        <v>0.9870717</v>
      </c>
      <c r="I8096">
        <v>-62.01249</v>
      </c>
      <c r="J8096">
        <v>-217.85489999999999</v>
      </c>
      <c r="K8096">
        <v>1.121119</v>
      </c>
      <c r="L8096">
        <v>-62.460329999999999</v>
      </c>
      <c r="M8096">
        <v>0.99981279999999995</v>
      </c>
      <c r="N8096">
        <v>-1.4618900000000001E-2</v>
      </c>
      <c r="O8096">
        <v>1.26736E-2</v>
      </c>
      <c r="P8096">
        <v>0.99188259999999995</v>
      </c>
      <c r="Q8096">
        <v>-0.1078264</v>
      </c>
      <c r="R8096">
        <v>6.7397109999999996E-2</v>
      </c>
      <c r="S8096">
        <v>2.869415</v>
      </c>
      <c r="T8096">
        <v>-0.46811560000000002</v>
      </c>
      <c r="U8096">
        <v>1.5695190000000001</v>
      </c>
      <c r="V8096">
        <v>-5.4807469999999997E-2</v>
      </c>
      <c r="W8096">
        <v>-9.331072E-2</v>
      </c>
      <c r="X8096">
        <v>0.99412739999999999</v>
      </c>
      <c r="Y8096">
        <v>-0.46359410000000001</v>
      </c>
      <c r="Z8096">
        <v>3.7034959999999999E-2</v>
      </c>
      <c r="AA8096">
        <v>0.88527330000000004</v>
      </c>
      <c r="AB8096">
        <v>23</v>
      </c>
      <c r="AC8096">
        <v>0.70739999999997805</v>
      </c>
      <c r="AD8096">
        <v>-0.13404730000000001</v>
      </c>
      <c r="AE8096">
        <v>0.44784000000000601</v>
      </c>
      <c r="AF8096">
        <v>-0.42786982337204899</v>
      </c>
      <c r="AG8096">
        <v>-0.13404730000000001</v>
      </c>
      <c r="AH8096">
        <v>0.695198921174774</v>
      </c>
      <c r="AI8096">
        <v>99.325302976727997</v>
      </c>
      <c r="AJ8096">
        <v>121.610796078215</v>
      </c>
      <c r="AK8096">
        <v>0.82725014620263904</v>
      </c>
      <c r="AL8096">
        <v>95.354099187026804</v>
      </c>
      <c r="AM8096">
        <v>93.155592504947194</v>
      </c>
      <c r="AN8096">
        <v>1.00000001833273</v>
      </c>
    </row>
    <row r="8097" spans="1:40" x14ac:dyDescent="0.25">
      <c r="A8097" t="str">
        <f>"20190303154336867"</f>
        <v>20190303154336867</v>
      </c>
      <c r="B8097" t="str">
        <f>"1551599016857785"</f>
        <v>1551599016857785</v>
      </c>
      <c r="C8097" t="s">
        <v>40</v>
      </c>
      <c r="D8097">
        <v>5.2101199999999999</v>
      </c>
      <c r="E8097">
        <v>0.32726420000000001</v>
      </c>
      <c r="F8097" t="s">
        <v>42</v>
      </c>
      <c r="G8097">
        <v>-216.95529999999999</v>
      </c>
      <c r="H8097">
        <v>0.97381519999999999</v>
      </c>
      <c r="I8097">
        <v>-61.966140000000003</v>
      </c>
      <c r="J8097">
        <v>-217.73920000000001</v>
      </c>
      <c r="K8097">
        <v>1.121116</v>
      </c>
      <c r="L8097">
        <v>-62.458799999999997</v>
      </c>
      <c r="M8097">
        <v>0.99981209999999998</v>
      </c>
      <c r="N8097">
        <v>-1.461605E-2</v>
      </c>
      <c r="O8097">
        <v>1.2730780000000001E-2</v>
      </c>
      <c r="P8097">
        <v>0.99175230000000003</v>
      </c>
      <c r="Q8097">
        <v>-0.1080454</v>
      </c>
      <c r="R8097">
        <v>6.8947190000000005E-2</v>
      </c>
      <c r="S8097">
        <v>2.8665310000000002</v>
      </c>
      <c r="T8097">
        <v>-0.46936149999999999</v>
      </c>
      <c r="U8097">
        <v>1.5744629999999999</v>
      </c>
      <c r="V8097">
        <v>-5.6301799999999999E-2</v>
      </c>
      <c r="W8097">
        <v>-9.3534339999999994E-2</v>
      </c>
      <c r="X8097">
        <v>0.99402279999999998</v>
      </c>
      <c r="Y8097">
        <v>-0.46504590000000001</v>
      </c>
      <c r="Z8097">
        <v>3.7253630000000003E-2</v>
      </c>
      <c r="AA8097">
        <v>0.88450239999999902</v>
      </c>
      <c r="AB8097">
        <v>23</v>
      </c>
      <c r="AC8097">
        <v>0.78390000000001603</v>
      </c>
      <c r="AD8097">
        <v>-0.14730079999999901</v>
      </c>
      <c r="AE8097">
        <v>0.49265999999999299</v>
      </c>
      <c r="AF8097">
        <v>-0.470724501338389</v>
      </c>
      <c r="AG8097">
        <v>-0.14730079999999901</v>
      </c>
      <c r="AH8097">
        <v>0.770603779367101</v>
      </c>
      <c r="AI8097">
        <v>99.264689630493294</v>
      </c>
      <c r="AJ8097">
        <v>121.41873575418801</v>
      </c>
      <c r="AK8097">
        <v>0.91493675552781994</v>
      </c>
      <c r="AL8097">
        <v>95.366968338270297</v>
      </c>
      <c r="AM8097">
        <v>93.241789313156204</v>
      </c>
      <c r="AN8097">
        <v>0.99999994618115595</v>
      </c>
    </row>
    <row r="8098" spans="1:40" x14ac:dyDescent="0.25">
      <c r="A8098" t="str">
        <f>"20190303154336878"</f>
        <v>20190303154336878</v>
      </c>
      <c r="B8098" t="str">
        <f>"1551599016868523"</f>
        <v>1551599016868523</v>
      </c>
      <c r="C8098" t="s">
        <v>40</v>
      </c>
      <c r="D8098">
        <v>5.212993</v>
      </c>
      <c r="E8098">
        <v>0.32772390000000001</v>
      </c>
      <c r="F8098" t="s">
        <v>42</v>
      </c>
      <c r="G8098">
        <v>-216.94280000000001</v>
      </c>
      <c r="H8098">
        <v>0.99051120000000004</v>
      </c>
      <c r="I8098">
        <v>-62.020539999999997</v>
      </c>
      <c r="J8098">
        <v>-217.63800000000001</v>
      </c>
      <c r="K8098">
        <v>1.121113</v>
      </c>
      <c r="L8098">
        <v>-62.457430000000002</v>
      </c>
      <c r="M8098">
        <v>0.99981160000000002</v>
      </c>
      <c r="N8098">
        <v>-1.4613549999999999E-2</v>
      </c>
      <c r="O8098">
        <v>1.2780680000000001E-2</v>
      </c>
      <c r="P8098">
        <v>0.99158900000000005</v>
      </c>
      <c r="Q8098">
        <v>-0.1085945</v>
      </c>
      <c r="R8098">
        <v>7.0419090000000004E-2</v>
      </c>
      <c r="S8098">
        <v>2.8642270000000001</v>
      </c>
      <c r="T8098">
        <v>-0.46966390000000002</v>
      </c>
      <c r="U8098">
        <v>1.575806</v>
      </c>
      <c r="V8098">
        <v>-5.7726359999999997E-2</v>
      </c>
      <c r="W8098">
        <v>-9.4088060000000001E-2</v>
      </c>
      <c r="X8098">
        <v>0.99388889999999996</v>
      </c>
      <c r="Y8098">
        <v>-0.46560269999999998</v>
      </c>
      <c r="Z8098">
        <v>3.733467E-2</v>
      </c>
      <c r="AA8098">
        <v>0.88420599999999905</v>
      </c>
      <c r="AB8098">
        <v>23</v>
      </c>
      <c r="AC8098">
        <v>0.69519999999999904</v>
      </c>
      <c r="AD8098">
        <v>-0.13060179999999999</v>
      </c>
      <c r="AE8098">
        <v>0.436889999999998</v>
      </c>
      <c r="AF8098">
        <v>-0.417407705698566</v>
      </c>
      <c r="AG8098">
        <v>-0.13060179999999999</v>
      </c>
      <c r="AH8098">
        <v>0.68343643005121602</v>
      </c>
      <c r="AI8098">
        <v>99.262530530711103</v>
      </c>
      <c r="AJ8098">
        <v>121.414432114992</v>
      </c>
      <c r="AK8098">
        <v>0.81140087309598796</v>
      </c>
      <c r="AL8098">
        <v>95.398834286871505</v>
      </c>
      <c r="AM8098">
        <v>93.324078894230297</v>
      </c>
      <c r="AN8098">
        <v>1.0000000206083099</v>
      </c>
    </row>
    <row r="8099" spans="1:40" x14ac:dyDescent="0.25">
      <c r="A8099" t="str">
        <f>"20190303154336888"</f>
        <v>20190303154336888</v>
      </c>
      <c r="B8099" t="str">
        <f>"1551599016878282"</f>
        <v>1551599016878282</v>
      </c>
      <c r="C8099" t="s">
        <v>40</v>
      </c>
      <c r="D8099">
        <v>5.2468459999999997</v>
      </c>
      <c r="E8099">
        <v>0.32812859999999899</v>
      </c>
      <c r="F8099" t="s">
        <v>42</v>
      </c>
      <c r="G8099">
        <v>-216.75200000000001</v>
      </c>
      <c r="H8099">
        <v>0.97520430000000002</v>
      </c>
      <c r="I8099">
        <v>-61.969630000000002</v>
      </c>
      <c r="J8099">
        <v>-217.5384</v>
      </c>
      <c r="K8099">
        <v>1.1211070000000001</v>
      </c>
      <c r="L8099">
        <v>-62.456090000000003</v>
      </c>
      <c r="M8099">
        <v>0.99981109999999895</v>
      </c>
      <c r="N8099">
        <v>-1.461104E-2</v>
      </c>
      <c r="O8099">
        <v>1.282963E-2</v>
      </c>
      <c r="P8099">
        <v>0.99141469999999998</v>
      </c>
      <c r="Q8099">
        <v>-0.10921649999999999</v>
      </c>
      <c r="R8099">
        <v>7.1897089999999997E-2</v>
      </c>
      <c r="S8099">
        <v>2.8618929999999998</v>
      </c>
      <c r="T8099">
        <v>-0.4713657</v>
      </c>
      <c r="U8099">
        <v>1.5763849999999999</v>
      </c>
      <c r="V8099">
        <v>-5.9157800000000003E-2</v>
      </c>
      <c r="W8099">
        <v>-9.4714909999999999E-2</v>
      </c>
      <c r="X8099">
        <v>0.99374510000000005</v>
      </c>
      <c r="Y8099">
        <v>-0.46595609999999998</v>
      </c>
      <c r="Z8099">
        <v>3.7499980000000002E-2</v>
      </c>
      <c r="AA8099">
        <v>0.88401280000000004</v>
      </c>
      <c r="AB8099">
        <v>23</v>
      </c>
      <c r="AC8099">
        <v>0.786399999999986</v>
      </c>
      <c r="AD8099">
        <v>-0.1459027</v>
      </c>
      <c r="AE8099">
        <v>0.486460000000001</v>
      </c>
      <c r="AF8099">
        <v>-0.46475911396057101</v>
      </c>
      <c r="AG8099">
        <v>-0.1459027</v>
      </c>
      <c r="AH8099">
        <v>0.77332450809519604</v>
      </c>
      <c r="AI8099">
        <v>99.185901288144805</v>
      </c>
      <c r="AJ8099">
        <v>121.00538192765499</v>
      </c>
      <c r="AK8099">
        <v>0.91395810992483795</v>
      </c>
      <c r="AL8099">
        <v>95.434911688922696</v>
      </c>
      <c r="AM8099">
        <v>93.406806049821895</v>
      </c>
      <c r="AN8099">
        <v>0.99999994162557704</v>
      </c>
    </row>
    <row r="8100" spans="1:40" x14ac:dyDescent="0.25">
      <c r="A8100" t="str">
        <f>"20190303154336897"</f>
        <v>20190303154336897</v>
      </c>
      <c r="B8100" t="str">
        <f>"1551599016888041"</f>
        <v>1551599016888041</v>
      </c>
      <c r="C8100" t="s">
        <v>40</v>
      </c>
      <c r="D8100">
        <v>5.2521190000000004</v>
      </c>
      <c r="E8100">
        <v>0.32868730000000002</v>
      </c>
      <c r="F8100" t="s">
        <v>42</v>
      </c>
      <c r="G8100">
        <v>-216.74119999999999</v>
      </c>
      <c r="H8100">
        <v>0.98947660000000004</v>
      </c>
      <c r="I8100">
        <v>-62.016480000000001</v>
      </c>
      <c r="J8100">
        <v>-217.4408</v>
      </c>
      <c r="K8100">
        <v>1.121103</v>
      </c>
      <c r="L8100">
        <v>-62.454770000000003</v>
      </c>
      <c r="M8100">
        <v>0.99981039999999999</v>
      </c>
      <c r="N8100">
        <v>-1.4608589999999999E-2</v>
      </c>
      <c r="O8100">
        <v>1.2877690000000001E-2</v>
      </c>
      <c r="P8100">
        <v>0.99122869999999996</v>
      </c>
      <c r="Q8100">
        <v>-0.11001039999999999</v>
      </c>
      <c r="R8100">
        <v>7.3238429999999993E-2</v>
      </c>
      <c r="S8100">
        <v>2.8595579999999998</v>
      </c>
      <c r="T8100">
        <v>-0.47220499999999999</v>
      </c>
      <c r="U8100">
        <v>1.5776059999999901</v>
      </c>
      <c r="V8100">
        <v>-6.0453369999999999E-2</v>
      </c>
      <c r="W8100">
        <v>-9.551374E-2</v>
      </c>
      <c r="X8100">
        <v>0.99359070000000005</v>
      </c>
      <c r="Y8100">
        <v>-0.46647899999999998</v>
      </c>
      <c r="Z8100">
        <v>3.7617480000000002E-2</v>
      </c>
      <c r="AA8100">
        <v>0.88373199999999996</v>
      </c>
      <c r="AB8100">
        <v>23</v>
      </c>
      <c r="AC8100">
        <v>0.699600000000003</v>
      </c>
      <c r="AD8100">
        <v>-0.1316264</v>
      </c>
      <c r="AE8100">
        <v>0.43828999999999402</v>
      </c>
      <c r="AF8100">
        <v>-0.41860209549412403</v>
      </c>
      <c r="AG8100">
        <v>-0.1316264</v>
      </c>
      <c r="AH8100">
        <v>0.68770447988094696</v>
      </c>
      <c r="AI8100">
        <v>99.285329440017804</v>
      </c>
      <c r="AJ8100">
        <v>121.32865448503701</v>
      </c>
      <c r="AK8100">
        <v>0.81577611829309904</v>
      </c>
      <c r="AL8100">
        <v>95.480889507644903</v>
      </c>
      <c r="AM8100">
        <v>93.481774029477407</v>
      </c>
      <c r="AN8100">
        <v>0.99999998179981697</v>
      </c>
    </row>
    <row r="8101" spans="1:40" x14ac:dyDescent="0.25">
      <c r="A8101" t="str">
        <f>"20190303154336907"</f>
        <v>20190303154336907</v>
      </c>
      <c r="B8101" t="str">
        <f>"1551599016897801"</f>
        <v>1551599016897801</v>
      </c>
      <c r="C8101" t="s">
        <v>40</v>
      </c>
      <c r="D8101">
        <v>5.2671349999999997</v>
      </c>
      <c r="E8101">
        <v>0.32921509999999998</v>
      </c>
      <c r="F8101" t="s">
        <v>42</v>
      </c>
      <c r="G8101">
        <v>-216.5513</v>
      </c>
      <c r="H8101">
        <v>0.97354510000000005</v>
      </c>
      <c r="I8101">
        <v>-61.963920000000002</v>
      </c>
      <c r="J8101">
        <v>-217.33770000000001</v>
      </c>
      <c r="K8101">
        <v>1.1211</v>
      </c>
      <c r="L8101">
        <v>-62.4533699999999</v>
      </c>
      <c r="M8101">
        <v>0.99980990000000003</v>
      </c>
      <c r="N8101">
        <v>-1.4606050000000001E-2</v>
      </c>
      <c r="O8101">
        <v>1.29286E-2</v>
      </c>
      <c r="P8101">
        <v>0.99100679999999997</v>
      </c>
      <c r="Q8101">
        <v>-0.1108142</v>
      </c>
      <c r="R8101">
        <v>7.5006050000000005E-2</v>
      </c>
      <c r="S8101">
        <v>2.857437</v>
      </c>
      <c r="T8101">
        <v>-0.4740161</v>
      </c>
      <c r="U8101">
        <v>1.5769959999999901</v>
      </c>
      <c r="V8101">
        <v>-6.217346E-2</v>
      </c>
      <c r="W8101">
        <v>-9.6323069999999997E-2</v>
      </c>
      <c r="X8101">
        <v>0.99340640000000002</v>
      </c>
      <c r="Y8101">
        <v>-0.46652179999999999</v>
      </c>
      <c r="Z8101">
        <v>3.7765180000000002E-2</v>
      </c>
      <c r="AA8101">
        <v>0.88370309999999896</v>
      </c>
      <c r="AB8101">
        <v>23</v>
      </c>
      <c r="AC8101">
        <v>0.78640000000001398</v>
      </c>
      <c r="AD8101">
        <v>-0.14755489999999999</v>
      </c>
      <c r="AE8101">
        <v>0.489449999999997</v>
      </c>
      <c r="AF8101">
        <v>-0.467380596979598</v>
      </c>
      <c r="AG8101">
        <v>-0.14755489999999999</v>
      </c>
      <c r="AH8101">
        <v>0.773045855700081</v>
      </c>
      <c r="AI8101">
        <v>99.276857555624701</v>
      </c>
      <c r="AJ8101">
        <v>121.156998965182</v>
      </c>
      <c r="AK8101">
        <v>0.91532342150853196</v>
      </c>
      <c r="AL8101">
        <v>95.527475543593596</v>
      </c>
      <c r="AM8101">
        <v>93.581249911968698</v>
      </c>
      <c r="AN8101">
        <v>0.999999974251778</v>
      </c>
    </row>
    <row r="8102" spans="1:40" x14ac:dyDescent="0.25">
      <c r="A8102" t="str">
        <f>"20190303154336917"</f>
        <v>20190303154336917</v>
      </c>
      <c r="B8102" t="str">
        <f>"1551599016908538"</f>
        <v>1551599016908538</v>
      </c>
      <c r="C8102" t="s">
        <v>40</v>
      </c>
      <c r="D8102">
        <v>5.2260350000000004</v>
      </c>
      <c r="E8102">
        <v>0.32965549999999999</v>
      </c>
      <c r="F8102" t="s">
        <v>42</v>
      </c>
      <c r="G8102">
        <v>-216.54</v>
      </c>
      <c r="H8102">
        <v>0.98823490000000003</v>
      </c>
      <c r="I8102">
        <v>-62.012509999999999</v>
      </c>
      <c r="J8102">
        <v>-217.24520000000001</v>
      </c>
      <c r="K8102">
        <v>1.121095</v>
      </c>
      <c r="L8102">
        <v>-62.452120000000001</v>
      </c>
      <c r="M8102">
        <v>0.99980919999999895</v>
      </c>
      <c r="N8102">
        <v>-1.460377E-2</v>
      </c>
      <c r="O8102">
        <v>1.2974390000000001E-2</v>
      </c>
      <c r="P8102">
        <v>0.99083200000000005</v>
      </c>
      <c r="Q8102">
        <v>-0.11120090000000001</v>
      </c>
      <c r="R8102">
        <v>7.6724130000000001E-2</v>
      </c>
      <c r="S8102">
        <v>2.8546299999999998</v>
      </c>
      <c r="T8102">
        <v>-0.4755182</v>
      </c>
      <c r="U8102">
        <v>1.578003</v>
      </c>
      <c r="V8102">
        <v>-6.3848290000000002E-2</v>
      </c>
      <c r="W8102">
        <v>-9.6714380000000003E-2</v>
      </c>
      <c r="X8102">
        <v>0.99326219999999998</v>
      </c>
      <c r="Y8102">
        <v>-0.46704289999999998</v>
      </c>
      <c r="Z8102">
        <v>3.7935919999999998E-2</v>
      </c>
      <c r="AA8102">
        <v>0.88342049999999905</v>
      </c>
      <c r="AB8102">
        <v>23</v>
      </c>
      <c r="AC8102">
        <v>0.70520000000001903</v>
      </c>
      <c r="AD8102">
        <v>-0.13286010000000001</v>
      </c>
      <c r="AE8102">
        <v>0.43960999999999401</v>
      </c>
      <c r="AF8102">
        <v>-0.41969448131866199</v>
      </c>
      <c r="AG8102">
        <v>-0.13286010000000001</v>
      </c>
      <c r="AH8102">
        <v>0.693127574749967</v>
      </c>
      <c r="AI8102">
        <v>99.311712174256897</v>
      </c>
      <c r="AJ8102">
        <v>121.195252149545</v>
      </c>
      <c r="AK8102">
        <v>0.82110967519578204</v>
      </c>
      <c r="AL8102">
        <v>95.550000776306803</v>
      </c>
      <c r="AM8102">
        <v>93.677992848606706</v>
      </c>
      <c r="AN8102">
        <v>1.0000000366917701</v>
      </c>
    </row>
    <row r="8103" spans="1:40" x14ac:dyDescent="0.25">
      <c r="A8103" t="str">
        <f>"20190303154336928"</f>
        <v>20190303154336928</v>
      </c>
      <c r="B8103" t="str">
        <f>"1551599016918297"</f>
        <v>1551599016918297</v>
      </c>
      <c r="C8103" t="s">
        <v>40</v>
      </c>
      <c r="D8103">
        <v>5.1561899999999996</v>
      </c>
      <c r="E8103">
        <v>0.32941540000000002</v>
      </c>
      <c r="F8103" t="s">
        <v>42</v>
      </c>
      <c r="G8103">
        <v>-216.3511</v>
      </c>
      <c r="H8103">
        <v>0.97203240000000002</v>
      </c>
      <c r="I8103">
        <v>-61.957050000000002</v>
      </c>
      <c r="J8103">
        <v>-217.12979999999999</v>
      </c>
      <c r="K8103">
        <v>1.1210960000000001</v>
      </c>
      <c r="L8103">
        <v>-62.450530000000001</v>
      </c>
      <c r="M8103">
        <v>0.99980849999999999</v>
      </c>
      <c r="N8103">
        <v>-1.460089E-2</v>
      </c>
      <c r="O8103">
        <v>1.303169E-2</v>
      </c>
      <c r="P8103">
        <v>0.99068400000000001</v>
      </c>
      <c r="Q8103">
        <v>-0.11123420000000001</v>
      </c>
      <c r="R8103">
        <v>7.8563759999999996E-2</v>
      </c>
      <c r="S8103">
        <v>2.8520810000000001</v>
      </c>
      <c r="T8103">
        <v>-0.47551470000000001</v>
      </c>
      <c r="U8103">
        <v>1.5794979999999901</v>
      </c>
      <c r="V8103">
        <v>-6.5632549999999998E-2</v>
      </c>
      <c r="W8103">
        <v>-9.6752580000000005E-2</v>
      </c>
      <c r="X8103">
        <v>0.99314210000000003</v>
      </c>
      <c r="Y8103">
        <v>-0.46766799999999997</v>
      </c>
      <c r="Z8103">
        <v>3.8003210000000003E-2</v>
      </c>
      <c r="AA8103">
        <v>0.88308690000000001</v>
      </c>
      <c r="AB8103">
        <v>23</v>
      </c>
      <c r="AC8103">
        <v>0.77869999999998596</v>
      </c>
      <c r="AD8103">
        <v>-0.14906359999999899</v>
      </c>
      <c r="AE8103">
        <v>0.49348000000000503</v>
      </c>
      <c r="AF8103">
        <v>-0.47097588459255002</v>
      </c>
      <c r="AG8103">
        <v>-0.14906359999999899</v>
      </c>
      <c r="AH8103">
        <v>0.76506336537959196</v>
      </c>
      <c r="AI8103">
        <v>99.420657788928693</v>
      </c>
      <c r="AJ8103">
        <v>121.616608554026</v>
      </c>
      <c r="AK8103">
        <v>0.91069215092623002</v>
      </c>
      <c r="AL8103">
        <v>95.552200203254898</v>
      </c>
      <c r="AM8103">
        <v>93.780937305381997</v>
      </c>
      <c r="AN8103">
        <v>0.99999996207428299</v>
      </c>
    </row>
    <row r="8104" spans="1:40" x14ac:dyDescent="0.25">
      <c r="A8104" t="str">
        <f>"20190303154336940"</f>
        <v>20190303154336940</v>
      </c>
      <c r="B8104" t="str">
        <f>"1551599016938324"</f>
        <v>1551599016938324</v>
      </c>
      <c r="C8104" t="s">
        <v>40</v>
      </c>
      <c r="D8104">
        <v>5.2455319999999999</v>
      </c>
      <c r="E8104">
        <v>0.33005770000000001</v>
      </c>
      <c r="F8104" t="s">
        <v>42</v>
      </c>
      <c r="G8104">
        <v>-216.3389</v>
      </c>
      <c r="H8104">
        <v>0.9889751</v>
      </c>
      <c r="I8104">
        <v>-62.010119999999901</v>
      </c>
      <c r="J8104">
        <v>-217.0154</v>
      </c>
      <c r="K8104">
        <v>1.121095</v>
      </c>
      <c r="L8104">
        <v>-62.449010000000001</v>
      </c>
      <c r="M8104">
        <v>0.99980780000000002</v>
      </c>
      <c r="N8104">
        <v>-1.459804E-2</v>
      </c>
      <c r="O8104">
        <v>1.308863E-2</v>
      </c>
      <c r="P8104">
        <v>0.99054629999999999</v>
      </c>
      <c r="Q8104">
        <v>-0.1109494</v>
      </c>
      <c r="R8104">
        <v>8.0676280000000003E-2</v>
      </c>
      <c r="S8104">
        <v>2.8489529999999998</v>
      </c>
      <c r="T8104">
        <v>-0.4759119</v>
      </c>
      <c r="U8104">
        <v>1.5866389999999999</v>
      </c>
      <c r="V8104">
        <v>-6.7690020000000004E-2</v>
      </c>
      <c r="W8104">
        <v>-9.6472459999999996E-2</v>
      </c>
      <c r="X8104">
        <v>0.99303129999999995</v>
      </c>
      <c r="Y8104">
        <v>-0.4696844</v>
      </c>
      <c r="Z8104">
        <v>3.8210139999999997E-2</v>
      </c>
      <c r="AA8104">
        <v>0.88200710000000004</v>
      </c>
      <c r="AB8104">
        <v>23</v>
      </c>
      <c r="AC8104">
        <v>0.67650000000000399</v>
      </c>
      <c r="AD8104">
        <v>-0.13211990000000001</v>
      </c>
      <c r="AE8104">
        <v>0.43889</v>
      </c>
      <c r="AF8104">
        <v>-0.41875613682026702</v>
      </c>
      <c r="AG8104">
        <v>-0.13211990000000001</v>
      </c>
      <c r="AH8104">
        <v>0.66435357923058502</v>
      </c>
      <c r="AI8104">
        <v>99.549881896079199</v>
      </c>
      <c r="AJ8104">
        <v>122.22409975367199</v>
      </c>
      <c r="AK8104">
        <v>0.796352967180467</v>
      </c>
      <c r="AL8104">
        <v>95.536074762896504</v>
      </c>
      <c r="AM8104">
        <v>93.899536968999996</v>
      </c>
      <c r="AN8104">
        <v>1.0000000185628699</v>
      </c>
    </row>
    <row r="8105" spans="1:40" x14ac:dyDescent="0.25">
      <c r="A8105" t="str">
        <f>"20190303154336950"</f>
        <v>20190303154336950</v>
      </c>
      <c r="B8105" t="str">
        <f>"1551599016948084"</f>
        <v>1551599016948084</v>
      </c>
      <c r="C8105" t="s">
        <v>40</v>
      </c>
      <c r="D8105">
        <v>5.2136380000000004</v>
      </c>
      <c r="E8105">
        <v>0.33021780000000001</v>
      </c>
      <c r="F8105" t="s">
        <v>42</v>
      </c>
      <c r="G8105">
        <v>-216.14789999999999</v>
      </c>
      <c r="H8105">
        <v>0.97656549999999998</v>
      </c>
      <c r="I8105">
        <v>-61.965139999999998</v>
      </c>
      <c r="J8105">
        <v>-216.90979999999999</v>
      </c>
      <c r="K8105">
        <v>1.1210979999999999</v>
      </c>
      <c r="L8105">
        <v>-62.447539999999996</v>
      </c>
      <c r="M8105">
        <v>0.99980720000000001</v>
      </c>
      <c r="N8105">
        <v>-1.459542E-2</v>
      </c>
      <c r="O8105">
        <v>1.314188E-2</v>
      </c>
      <c r="P8105">
        <v>0.99032410000000004</v>
      </c>
      <c r="Q8105">
        <v>-0.1115028</v>
      </c>
      <c r="R8105">
        <v>8.2615549999999996E-2</v>
      </c>
      <c r="S8105">
        <v>2.8462369999999999</v>
      </c>
      <c r="T8105">
        <v>-0.4742017</v>
      </c>
      <c r="U8105">
        <v>1.5875549999999901</v>
      </c>
      <c r="V8105">
        <v>-6.9579189999999999E-2</v>
      </c>
      <c r="W8105">
        <v>-9.7031549999999994E-2</v>
      </c>
      <c r="X8105">
        <v>0.99284620000000001</v>
      </c>
      <c r="Y8105">
        <v>-0.47023480000000001</v>
      </c>
      <c r="Z8105">
        <v>3.8152970000000001E-2</v>
      </c>
      <c r="AA8105">
        <v>0.88171630000000001</v>
      </c>
      <c r="AB8105">
        <v>23</v>
      </c>
      <c r="AC8105">
        <v>0.76189999999999702</v>
      </c>
      <c r="AD8105">
        <v>-0.14453249999999901</v>
      </c>
      <c r="AE8105">
        <v>0.482399999999998</v>
      </c>
      <c r="AF8105">
        <v>-0.46051469448700399</v>
      </c>
      <c r="AG8105">
        <v>-0.14453249999999901</v>
      </c>
      <c r="AH8105">
        <v>0.74893572961325505</v>
      </c>
      <c r="AI8105">
        <v>99.335492988939095</v>
      </c>
      <c r="AJ8105">
        <v>121.587031567436</v>
      </c>
      <c r="AK8105">
        <v>0.89099279148938504</v>
      </c>
      <c r="AL8105">
        <v>95.568259462172307</v>
      </c>
      <c r="AM8105">
        <v>94.008764565905295</v>
      </c>
      <c r="AN8105">
        <v>0.99999998111544897</v>
      </c>
    </row>
    <row r="8106" spans="1:40" x14ac:dyDescent="0.25">
      <c r="A8106" t="str">
        <f>"20190303154336961"</f>
        <v>20190303154336961</v>
      </c>
      <c r="B8106" t="str">
        <f>"1551599016957844"</f>
        <v>1551599016957844</v>
      </c>
      <c r="C8106" t="s">
        <v>40</v>
      </c>
      <c r="D8106">
        <v>5.2236710000000004</v>
      </c>
      <c r="E8106">
        <v>0.3302969</v>
      </c>
      <c r="F8106" t="s">
        <v>42</v>
      </c>
      <c r="G8106">
        <v>-216.13560000000001</v>
      </c>
      <c r="H8106">
        <v>0.99171889999999996</v>
      </c>
      <c r="I8106">
        <v>-62.014020000000002</v>
      </c>
      <c r="J8106">
        <v>-216.79750000000001</v>
      </c>
      <c r="K8106">
        <v>1.1211009999999999</v>
      </c>
      <c r="L8106">
        <v>-62.445979999999999</v>
      </c>
      <c r="M8106">
        <v>0.99980650000000004</v>
      </c>
      <c r="N8106">
        <v>-1.4592610000000001E-2</v>
      </c>
      <c r="O8106">
        <v>1.320021E-2</v>
      </c>
      <c r="P8106">
        <v>0.99011309999999997</v>
      </c>
      <c r="Q8106">
        <v>-0.1120502</v>
      </c>
      <c r="R8106">
        <v>8.4384399999999998E-2</v>
      </c>
      <c r="S8106">
        <v>2.8430019999999998</v>
      </c>
      <c r="T8106">
        <v>-0.47509790000000002</v>
      </c>
      <c r="U8106">
        <v>1.5919490000000001</v>
      </c>
      <c r="V8106">
        <v>-7.1292330000000001E-2</v>
      </c>
      <c r="W8106">
        <v>-9.7584749999999998E-2</v>
      </c>
      <c r="X8106">
        <v>0.99267050000000001</v>
      </c>
      <c r="Y8106">
        <v>-0.47160750000000001</v>
      </c>
      <c r="Z8106">
        <v>3.8348590000000002E-2</v>
      </c>
      <c r="AA8106">
        <v>0.88097429999999999</v>
      </c>
      <c r="AB8106">
        <v>23</v>
      </c>
      <c r="AC8106">
        <v>0.66190000000000204</v>
      </c>
      <c r="AD8106">
        <v>-0.1293821</v>
      </c>
      <c r="AE8106">
        <v>0.43196000000001</v>
      </c>
      <c r="AF8106">
        <v>-0.41214033856673299</v>
      </c>
      <c r="AG8106">
        <v>-0.1293821</v>
      </c>
      <c r="AH8106">
        <v>0.65012391925042401</v>
      </c>
      <c r="AI8106">
        <v>99.541230863754706</v>
      </c>
      <c r="AJ8106">
        <v>122.37229428915199</v>
      </c>
      <c r="AK8106">
        <v>0.78055140564593395</v>
      </c>
      <c r="AL8106">
        <v>95.600106234768603</v>
      </c>
      <c r="AM8106">
        <v>94.107856862166699</v>
      </c>
      <c r="AN8106">
        <v>1.0000000506598099</v>
      </c>
    </row>
    <row r="8107" spans="1:40" x14ac:dyDescent="0.25">
      <c r="A8107" t="str">
        <f>"20190303154336974"</f>
        <v>20190303154336974</v>
      </c>
      <c r="B8107" t="str">
        <f>"1551599016967604"</f>
        <v>1551599016967604</v>
      </c>
      <c r="C8107" t="s">
        <v>40</v>
      </c>
      <c r="D8107">
        <v>5.2656269999999896</v>
      </c>
      <c r="E8107">
        <v>0.3304801</v>
      </c>
      <c r="F8107" t="s">
        <v>42</v>
      </c>
      <c r="G8107">
        <v>-215.94640000000001</v>
      </c>
      <c r="H8107">
        <v>0.97842240000000003</v>
      </c>
      <c r="I8107">
        <v>-61.967579999999998</v>
      </c>
      <c r="J8107">
        <v>-216.6729</v>
      </c>
      <c r="K8107">
        <v>1.121105</v>
      </c>
      <c r="L8107">
        <v>-62.444240000000001</v>
      </c>
      <c r="M8107">
        <v>0.99980559999999996</v>
      </c>
      <c r="N8107">
        <v>-1.458947E-2</v>
      </c>
      <c r="O8107">
        <v>1.326623E-2</v>
      </c>
      <c r="P8107">
        <v>0.98987409999999998</v>
      </c>
      <c r="Q8107">
        <v>-0.11301609999999999</v>
      </c>
      <c r="R8107">
        <v>8.5889660000000007E-2</v>
      </c>
      <c r="S8107">
        <v>2.8400270000000001</v>
      </c>
      <c r="T8107">
        <v>-0.4761242</v>
      </c>
      <c r="U8107">
        <v>1.5965579999999999</v>
      </c>
      <c r="V8107">
        <v>-7.2735090000000002E-2</v>
      </c>
      <c r="W8107">
        <v>-9.8557190000000003E-2</v>
      </c>
      <c r="X8107">
        <v>0.99246970000000001</v>
      </c>
      <c r="Y8107">
        <v>-0.47298689999999999</v>
      </c>
      <c r="Z8107">
        <v>3.8550220000000003E-2</v>
      </c>
      <c r="AA8107">
        <v>0.8802257</v>
      </c>
      <c r="AB8107">
        <v>22</v>
      </c>
      <c r="AC8107">
        <v>0.72649999999998705</v>
      </c>
      <c r="AD8107">
        <v>-0.14268259999999999</v>
      </c>
      <c r="AE8107">
        <v>0.47665999999999498</v>
      </c>
      <c r="AF8107">
        <v>-0.45471789983074601</v>
      </c>
      <c r="AG8107">
        <v>-0.14268259999999999</v>
      </c>
      <c r="AH8107">
        <v>0.71352054218538896</v>
      </c>
      <c r="AI8107">
        <v>99.572085518232001</v>
      </c>
      <c r="AJ8107">
        <v>122.508862839372</v>
      </c>
      <c r="AK8107">
        <v>0.85804327215460197</v>
      </c>
      <c r="AL8107">
        <v>95.656093064859405</v>
      </c>
      <c r="AM8107">
        <v>94.191540155964702</v>
      </c>
      <c r="AN8107">
        <v>1.0000000092180401</v>
      </c>
    </row>
    <row r="8108" spans="1:40" x14ac:dyDescent="0.25">
      <c r="A8108" t="str">
        <f>"20190303154336985"</f>
        <v>20190303154336985</v>
      </c>
      <c r="B8108" t="str">
        <f>"1551599016978340"</f>
        <v>1551599016978340</v>
      </c>
      <c r="C8108" t="s">
        <v>40</v>
      </c>
      <c r="D8108">
        <v>5.280894</v>
      </c>
      <c r="E8108">
        <v>0.33076420000000001</v>
      </c>
      <c r="F8108" t="s">
        <v>42</v>
      </c>
      <c r="G8108">
        <v>-215.8922</v>
      </c>
      <c r="H8108">
        <v>0.98960729999999997</v>
      </c>
      <c r="I8108">
        <v>-62.004219999999997</v>
      </c>
      <c r="J8108">
        <v>-216.56219999999999</v>
      </c>
      <c r="K8108">
        <v>1.121113</v>
      </c>
      <c r="L8108">
        <v>-62.442689999999999</v>
      </c>
      <c r="M8108">
        <v>0.99980480000000005</v>
      </c>
      <c r="N8108">
        <v>-1.4586719999999999E-2</v>
      </c>
      <c r="O8108">
        <v>1.3328939999999999E-2</v>
      </c>
      <c r="P8108">
        <v>0.98967130000000003</v>
      </c>
      <c r="Q8108">
        <v>-0.11370379999999999</v>
      </c>
      <c r="R8108">
        <v>8.7305750000000001E-2</v>
      </c>
      <c r="S8108">
        <v>2.8373569999999999</v>
      </c>
      <c r="T8108">
        <v>-0.47795720000000003</v>
      </c>
      <c r="U8108">
        <v>1.5994569999999999</v>
      </c>
      <c r="V8108">
        <v>-7.4090959999999997E-2</v>
      </c>
      <c r="W8108">
        <v>-9.9250900000000003E-2</v>
      </c>
      <c r="X8108">
        <v>0.99230030000000002</v>
      </c>
      <c r="Y8108">
        <v>-0.47391280000000002</v>
      </c>
      <c r="Z8108">
        <v>3.8773460000000003E-2</v>
      </c>
      <c r="AA8108">
        <v>0.87971769999999905</v>
      </c>
      <c r="AB8108">
        <v>22</v>
      </c>
      <c r="AC8108">
        <v>0.66999999999998705</v>
      </c>
      <c r="AD8108">
        <v>-0.131505699999999</v>
      </c>
      <c r="AE8108">
        <v>0.43847000000000202</v>
      </c>
      <c r="AF8108">
        <v>-0.41821917297866801</v>
      </c>
      <c r="AG8108">
        <v>-0.131505699999999</v>
      </c>
      <c r="AH8108">
        <v>0.65803636936986099</v>
      </c>
      <c r="AI8108">
        <v>99.573616117146898</v>
      </c>
      <c r="AJ8108">
        <v>122.43825696816</v>
      </c>
      <c r="AK8108">
        <v>0.79070404652620796</v>
      </c>
      <c r="AL8108">
        <v>95.696035335407899</v>
      </c>
      <c r="AM8108">
        <v>94.270115401668093</v>
      </c>
      <c r="AN8108">
        <v>1.0000000484422999</v>
      </c>
    </row>
    <row r="8109" spans="1:40" x14ac:dyDescent="0.25">
      <c r="A8109" t="str">
        <f>"20190303154336995"</f>
        <v>20190303154336995</v>
      </c>
      <c r="B8109" t="str">
        <f>"1551599016988100"</f>
        <v>1551599016988100</v>
      </c>
      <c r="C8109" t="s">
        <v>40</v>
      </c>
      <c r="D8109">
        <v>5.2692079999999999</v>
      </c>
      <c r="E8109">
        <v>0.33106459999999999</v>
      </c>
      <c r="F8109" t="s">
        <v>42</v>
      </c>
      <c r="G8109">
        <v>-215.74289999999999</v>
      </c>
      <c r="H8109">
        <v>0.98289470000000001</v>
      </c>
      <c r="I8109">
        <v>-61.980060000000002</v>
      </c>
      <c r="J8109">
        <v>-216.4572</v>
      </c>
      <c r="K8109">
        <v>1.12112099999999</v>
      </c>
      <c r="L8109">
        <v>-62.441220000000001</v>
      </c>
      <c r="M8109">
        <v>0.99980409999999997</v>
      </c>
      <c r="N8109">
        <v>-1.4584110000000001E-2</v>
      </c>
      <c r="O8109">
        <v>1.338897E-2</v>
      </c>
      <c r="P8109">
        <v>0.98945530000000004</v>
      </c>
      <c r="Q8109">
        <v>-0.1144954</v>
      </c>
      <c r="R8109">
        <v>8.8709079999999996E-2</v>
      </c>
      <c r="S8109">
        <v>2.8350520000000001</v>
      </c>
      <c r="T8109">
        <v>-0.47833589999999998</v>
      </c>
      <c r="U8109">
        <v>1.60141</v>
      </c>
      <c r="V8109">
        <v>-7.5436660000000003E-2</v>
      </c>
      <c r="W8109">
        <v>-0.1000484</v>
      </c>
      <c r="X8109">
        <v>0.99211879999999997</v>
      </c>
      <c r="Y8109">
        <v>-0.47460429999999998</v>
      </c>
      <c r="Z8109">
        <v>3.8870809999999999E-2</v>
      </c>
      <c r="AA8109">
        <v>0.87934059999999903</v>
      </c>
      <c r="AB8109">
        <v>22</v>
      </c>
      <c r="AC8109">
        <v>0.71430000000000804</v>
      </c>
      <c r="AD8109">
        <v>-0.138226299999999</v>
      </c>
      <c r="AE8109">
        <v>0.46115999999999902</v>
      </c>
      <c r="AF8109">
        <v>-0.43992637092152498</v>
      </c>
      <c r="AG8109">
        <v>-0.138226299999999</v>
      </c>
      <c r="AH8109">
        <v>0.701860466532367</v>
      </c>
      <c r="AI8109">
        <v>99.473764101180294</v>
      </c>
      <c r="AJ8109">
        <v>122.079499354638</v>
      </c>
      <c r="AK8109">
        <v>0.83979154337544104</v>
      </c>
      <c r="AL8109">
        <v>95.741957324455797</v>
      </c>
      <c r="AM8109">
        <v>94.348170266627903</v>
      </c>
      <c r="AN8109">
        <v>1.0000000426639699</v>
      </c>
    </row>
    <row r="8110" spans="1:40" x14ac:dyDescent="0.25">
      <c r="A8110" t="str">
        <f>"20190303154337006"</f>
        <v>20190303154337006</v>
      </c>
      <c r="B8110" t="str">
        <f>"1551599016997860"</f>
        <v>1551599016997860</v>
      </c>
      <c r="C8110" t="s">
        <v>40</v>
      </c>
      <c r="D8110">
        <v>5.2781209999999996</v>
      </c>
      <c r="E8110">
        <v>0.33134160000000001</v>
      </c>
      <c r="F8110" t="s">
        <v>42</v>
      </c>
      <c r="G8110">
        <v>-215.55430000000001</v>
      </c>
      <c r="H8110">
        <v>0.96820499999999998</v>
      </c>
      <c r="I8110">
        <v>-61.930239999999998</v>
      </c>
      <c r="J8110">
        <v>-216.34540000000001</v>
      </c>
      <c r="K8110">
        <v>1.1211310000000001</v>
      </c>
      <c r="L8110">
        <v>-62.439639999999997</v>
      </c>
      <c r="M8110">
        <v>0.9998032</v>
      </c>
      <c r="N8110">
        <v>-1.458133E-2</v>
      </c>
      <c r="O8110">
        <v>1.3460359999999999E-2</v>
      </c>
      <c r="P8110">
        <v>0.98931829999999998</v>
      </c>
      <c r="Q8110">
        <v>-0.1146611</v>
      </c>
      <c r="R8110">
        <v>9.001323E-2</v>
      </c>
      <c r="S8110">
        <v>2.832748</v>
      </c>
      <c r="T8110">
        <v>-0.47973280000000001</v>
      </c>
      <c r="U8110">
        <v>1.6030879999999901</v>
      </c>
      <c r="V8110">
        <v>-7.6670479999999999E-2</v>
      </c>
      <c r="W8110">
        <v>-0.1002198</v>
      </c>
      <c r="X8110">
        <v>0.99200690000000002</v>
      </c>
      <c r="Y8110">
        <v>-0.47520010000000001</v>
      </c>
      <c r="Z8110">
        <v>3.9032919999999999E-2</v>
      </c>
      <c r="AA8110">
        <v>0.87901149999999995</v>
      </c>
      <c r="AB8110">
        <v>22</v>
      </c>
      <c r="AC8110">
        <v>0.79110000000000003</v>
      </c>
      <c r="AD8110">
        <v>-0.15292599999999901</v>
      </c>
      <c r="AE8110">
        <v>0.50939999999999896</v>
      </c>
      <c r="AF8110">
        <v>-0.48586973248472398</v>
      </c>
      <c r="AG8110">
        <v>-0.15292599999999901</v>
      </c>
      <c r="AH8110">
        <v>0.77735162684139503</v>
      </c>
      <c r="AI8110">
        <v>99.470964448596007</v>
      </c>
      <c r="AJ8110">
        <v>122.006706430107</v>
      </c>
      <c r="AK8110">
        <v>0.92937145973703195</v>
      </c>
      <c r="AL8110">
        <v>95.751827500035205</v>
      </c>
      <c r="AM8110">
        <v>94.419504729276397</v>
      </c>
      <c r="AN8110">
        <v>1.0000000302315299</v>
      </c>
    </row>
    <row r="8111" spans="1:40" x14ac:dyDescent="0.25">
      <c r="A8111" t="str">
        <f>"20190303154337019"</f>
        <v>20190303154337019</v>
      </c>
      <c r="B8111" t="str">
        <f>"1551599017007620"</f>
        <v>1551599017007620</v>
      </c>
      <c r="C8111" t="s">
        <v>40</v>
      </c>
      <c r="D8111">
        <v>5.2052350000000001</v>
      </c>
      <c r="E8111">
        <v>0.33164759999999999</v>
      </c>
      <c r="F8111" t="s">
        <v>42</v>
      </c>
      <c r="G8111">
        <v>-215.54179999999999</v>
      </c>
      <c r="H8111">
        <v>0.98516879999999996</v>
      </c>
      <c r="I8111">
        <v>-61.984110000000001</v>
      </c>
      <c r="J8111">
        <v>-216.22980000000001</v>
      </c>
      <c r="K8111">
        <v>1.1211370000000001</v>
      </c>
      <c r="L8111">
        <v>-62.437959999999997</v>
      </c>
      <c r="M8111">
        <v>0.99980210000000003</v>
      </c>
      <c r="N8111">
        <v>-1.457847E-2</v>
      </c>
      <c r="O8111">
        <v>1.353654E-2</v>
      </c>
      <c r="P8111">
        <v>0.98923130000000004</v>
      </c>
      <c r="Q8111">
        <v>-0.1145476</v>
      </c>
      <c r="R8111">
        <v>9.1106530000000005E-2</v>
      </c>
      <c r="S8111">
        <v>2.8308870000000002</v>
      </c>
      <c r="T8111">
        <v>-0.4789755</v>
      </c>
      <c r="U8111">
        <v>1.6047670000000001</v>
      </c>
      <c r="V8111">
        <v>-7.7688309999999997E-2</v>
      </c>
      <c r="W8111">
        <v>-0.1001113</v>
      </c>
      <c r="X8111">
        <v>0.99193869999999895</v>
      </c>
      <c r="Y8111">
        <v>-0.47578169999999997</v>
      </c>
      <c r="Z8111">
        <v>3.9032329999999997E-2</v>
      </c>
      <c r="AA8111">
        <v>0.8786969</v>
      </c>
      <c r="AB8111">
        <v>22</v>
      </c>
      <c r="AC8111">
        <v>0.68800000000001604</v>
      </c>
      <c r="AD8111">
        <v>-0.13596820000000001</v>
      </c>
      <c r="AE8111">
        <v>0.45384999999999498</v>
      </c>
      <c r="AF8111">
        <v>-0.43271813889680599</v>
      </c>
      <c r="AG8111">
        <v>-0.13596820000000001</v>
      </c>
      <c r="AH8111">
        <v>0.675692630566746</v>
      </c>
      <c r="AI8111">
        <v>99.6178154536222</v>
      </c>
      <c r="AJ8111">
        <v>122.63577416213199</v>
      </c>
      <c r="AK8111">
        <v>0.81381378099892498</v>
      </c>
      <c r="AL8111">
        <v>95.7455792837834</v>
      </c>
      <c r="AM8111">
        <v>94.4782449044598</v>
      </c>
      <c r="AN8111">
        <v>1.0000000652280101</v>
      </c>
    </row>
    <row r="8112" spans="1:40" x14ac:dyDescent="0.25">
      <c r="A8112" t="str">
        <f>"20190303154337030"</f>
        <v>20190303154337030</v>
      </c>
      <c r="B8112" t="str">
        <f>"1551599017018356"</f>
        <v>1551599017018356</v>
      </c>
      <c r="C8112" t="s">
        <v>40</v>
      </c>
      <c r="D8112">
        <v>5.2893809999999997</v>
      </c>
      <c r="E8112">
        <v>0.33193869999999998</v>
      </c>
      <c r="F8112" t="s">
        <v>42</v>
      </c>
      <c r="G8112">
        <v>-215.35220000000001</v>
      </c>
      <c r="H8112">
        <v>0.97253780000000001</v>
      </c>
      <c r="I8112">
        <v>-61.94003</v>
      </c>
      <c r="J8112">
        <v>-216.1155</v>
      </c>
      <c r="K8112">
        <v>1.1211469999999999</v>
      </c>
      <c r="L8112">
        <v>-62.436340000000001</v>
      </c>
      <c r="M8112">
        <v>0.99980100000000005</v>
      </c>
      <c r="N8112">
        <v>-1.4575640000000001E-2</v>
      </c>
      <c r="O8112">
        <v>1.3618389999999999E-2</v>
      </c>
      <c r="P8112">
        <v>0.98920509999999995</v>
      </c>
      <c r="Q8112">
        <v>-0.1136998</v>
      </c>
      <c r="R8112">
        <v>9.2441720000000005E-2</v>
      </c>
      <c r="S8112">
        <v>2.8293460000000001</v>
      </c>
      <c r="T8112">
        <v>-0.47910180000000002</v>
      </c>
      <c r="U8112">
        <v>1.605316</v>
      </c>
      <c r="V8112">
        <v>-7.894081E-2</v>
      </c>
      <c r="W8112">
        <v>-9.9267969999999997E-2</v>
      </c>
      <c r="X8112">
        <v>0.99192449999999999</v>
      </c>
      <c r="Y8112">
        <v>-0.47603509999999999</v>
      </c>
      <c r="Z8112">
        <v>3.9066169999999997E-2</v>
      </c>
      <c r="AA8112">
        <v>0.87855810000000001</v>
      </c>
      <c r="AB8112">
        <v>22</v>
      </c>
      <c r="AC8112">
        <v>0.76329999999998599</v>
      </c>
      <c r="AD8112">
        <v>-0.148609199999999</v>
      </c>
      <c r="AE8112">
        <v>0.49630999999999398</v>
      </c>
      <c r="AF8112">
        <v>-0.47325948136740698</v>
      </c>
      <c r="AG8112">
        <v>-0.148609199999999</v>
      </c>
      <c r="AH8112">
        <v>0.75000735171371102</v>
      </c>
      <c r="AI8112">
        <v>99.512760226505407</v>
      </c>
      <c r="AJ8112">
        <v>122.25219018883899</v>
      </c>
      <c r="AK8112">
        <v>0.89920534843460598</v>
      </c>
      <c r="AL8112">
        <v>95.697018519277805</v>
      </c>
      <c r="AM8112">
        <v>94.550207768624603</v>
      </c>
      <c r="AN8112">
        <v>0.99999999752581303</v>
      </c>
    </row>
    <row r="8113" spans="1:40" x14ac:dyDescent="0.25">
      <c r="A8113" t="str">
        <f>"20190303154337041"</f>
        <v>20190303154337041</v>
      </c>
      <c r="B8113" t="str">
        <f>"1551599017037876"</f>
        <v>1551599017037876</v>
      </c>
      <c r="C8113" t="s">
        <v>40</v>
      </c>
      <c r="D8113">
        <v>5.2696170000000002</v>
      </c>
      <c r="E8113">
        <v>0.3323662</v>
      </c>
      <c r="F8113" t="s">
        <v>42</v>
      </c>
      <c r="G8113">
        <v>-215.33940000000001</v>
      </c>
      <c r="H8113">
        <v>0.99025580000000002</v>
      </c>
      <c r="I8113">
        <v>-61.995310000000003</v>
      </c>
      <c r="J8113">
        <v>-216.00190000000001</v>
      </c>
      <c r="K8113">
        <v>1.1211599999999999</v>
      </c>
      <c r="L8113">
        <v>-62.434690000000003</v>
      </c>
      <c r="M8113">
        <v>0.99979989999999996</v>
      </c>
      <c r="N8113">
        <v>-1.457284E-2</v>
      </c>
      <c r="O8113">
        <v>1.370509E-2</v>
      </c>
      <c r="P8113">
        <v>0.989174</v>
      </c>
      <c r="Q8113">
        <v>-0.1127701</v>
      </c>
      <c r="R8113">
        <v>9.3903940000000005E-2</v>
      </c>
      <c r="S8113">
        <v>2.8277739999999998</v>
      </c>
      <c r="T8113">
        <v>-0.47691060000000002</v>
      </c>
      <c r="U8113">
        <v>1.6068420000000001</v>
      </c>
      <c r="V8113">
        <v>-8.0316029999999997E-2</v>
      </c>
      <c r="W8113">
        <v>-9.8343029999999998E-2</v>
      </c>
      <c r="X8113">
        <v>0.99190619999999996</v>
      </c>
      <c r="Y8113">
        <v>-0.4765662</v>
      </c>
      <c r="Z8113">
        <v>3.8952639999999997E-2</v>
      </c>
      <c r="AA8113">
        <v>0.87827520000000003</v>
      </c>
      <c r="AB8113">
        <v>22</v>
      </c>
      <c r="AC8113">
        <v>0.66249999999999398</v>
      </c>
      <c r="AD8113">
        <v>-0.130904199999999</v>
      </c>
      <c r="AE8113">
        <v>0.43938000000000699</v>
      </c>
      <c r="AF8113">
        <v>-0.418899489497227</v>
      </c>
      <c r="AG8113">
        <v>-0.130904199999999</v>
      </c>
      <c r="AH8113">
        <v>0.650813056497347</v>
      </c>
      <c r="AI8113">
        <v>99.599743973968501</v>
      </c>
      <c r="AJ8113">
        <v>122.767586416092</v>
      </c>
      <c r="AK8113">
        <v>0.78496517526964005</v>
      </c>
      <c r="AL8113">
        <v>95.643762961936105</v>
      </c>
      <c r="AM8113">
        <v>94.629219941199494</v>
      </c>
      <c r="AN8113">
        <v>0.99999996291148996</v>
      </c>
    </row>
    <row r="8114" spans="1:40" x14ac:dyDescent="0.25">
      <c r="A8114" t="str">
        <f>"20190303154337054"</f>
        <v>20190303154337054</v>
      </c>
      <c r="B8114" t="str">
        <f>"1551599017048612"</f>
        <v>1551599017048612</v>
      </c>
      <c r="C8114" t="s">
        <v>40</v>
      </c>
      <c r="D8114">
        <v>5.2594370000000001</v>
      </c>
      <c r="E8114">
        <v>0.33252280000000001</v>
      </c>
      <c r="F8114" t="s">
        <v>42</v>
      </c>
      <c r="G8114">
        <v>-215.15039999999999</v>
      </c>
      <c r="H8114">
        <v>0.97827679999999995</v>
      </c>
      <c r="I8114">
        <v>-61.950470000000003</v>
      </c>
      <c r="J8114">
        <v>-215.87549999999999</v>
      </c>
      <c r="K8114">
        <v>1.121176</v>
      </c>
      <c r="L8114">
        <v>-62.4328</v>
      </c>
      <c r="M8114">
        <v>0.99979850000000003</v>
      </c>
      <c r="N8114">
        <v>-1.4569729999999999E-2</v>
      </c>
      <c r="O8114">
        <v>1.3808030000000001E-2</v>
      </c>
      <c r="P8114">
        <v>0.98919860000000004</v>
      </c>
      <c r="Q8114">
        <v>-0.1115747</v>
      </c>
      <c r="R8114">
        <v>9.5063850000000005E-2</v>
      </c>
      <c r="S8114">
        <v>2.8261569999999998</v>
      </c>
      <c r="T8114">
        <v>-0.47426770000000001</v>
      </c>
      <c r="U8114">
        <v>1.607605</v>
      </c>
      <c r="V8114">
        <v>-8.1371750000000007E-2</v>
      </c>
      <c r="W8114">
        <v>-9.7152240000000001E-2</v>
      </c>
      <c r="X8114">
        <v>0.99193750000000003</v>
      </c>
      <c r="Y8114">
        <v>-0.47692109999999899</v>
      </c>
      <c r="Z8114">
        <v>3.8790860000000003E-2</v>
      </c>
      <c r="AA8114">
        <v>0.87808969999999897</v>
      </c>
      <c r="AB8114">
        <v>22</v>
      </c>
      <c r="AC8114">
        <v>0.72509999999999697</v>
      </c>
      <c r="AD8114">
        <v>-0.142899199999999</v>
      </c>
      <c r="AE8114">
        <v>0.48233000000000398</v>
      </c>
      <c r="AF8114">
        <v>-0.45988829072084297</v>
      </c>
      <c r="AG8114">
        <v>-0.142899199999999</v>
      </c>
      <c r="AH8114">
        <v>0.71250739426049303</v>
      </c>
      <c r="AI8114">
        <v>99.564839023580603</v>
      </c>
      <c r="AJ8114">
        <v>122.840242741458</v>
      </c>
      <c r="AK8114">
        <v>0.85999081865951099</v>
      </c>
      <c r="AL8114">
        <v>95.575207424371598</v>
      </c>
      <c r="AM8114">
        <v>94.689652068256706</v>
      </c>
      <c r="AN8114">
        <v>0.99999996167066396</v>
      </c>
    </row>
    <row r="8115" spans="1:40" x14ac:dyDescent="0.25">
      <c r="A8115" t="str">
        <f>"20190303154337066"</f>
        <v>20190303154337066</v>
      </c>
      <c r="B8115" t="str">
        <f>"1551599017058372"</f>
        <v>1551599017058372</v>
      </c>
      <c r="C8115" t="s">
        <v>40</v>
      </c>
      <c r="D8115">
        <v>5.2740070000000001</v>
      </c>
      <c r="E8115">
        <v>0.33281699999999997</v>
      </c>
      <c r="F8115" t="s">
        <v>42</v>
      </c>
      <c r="G8115">
        <v>-215.10749999999999</v>
      </c>
      <c r="H8115">
        <v>0.99310960000000004</v>
      </c>
      <c r="I8115">
        <v>-61.995310000000003</v>
      </c>
      <c r="J8115">
        <v>-215.7638</v>
      </c>
      <c r="K8115">
        <v>1.1211899999999999</v>
      </c>
      <c r="L8115">
        <v>-62.431150000000002</v>
      </c>
      <c r="M8115">
        <v>0.99979720000000005</v>
      </c>
      <c r="N8115">
        <v>-1.456701E-2</v>
      </c>
      <c r="O8115">
        <v>1.391206E-2</v>
      </c>
      <c r="P8115">
        <v>0.98917469999999996</v>
      </c>
      <c r="Q8115">
        <v>-0.11077819999999999</v>
      </c>
      <c r="R8115">
        <v>9.6237959999999997E-2</v>
      </c>
      <c r="S8115">
        <v>2.8249360000000001</v>
      </c>
      <c r="T8115">
        <v>-0.47107080000000001</v>
      </c>
      <c r="U8115">
        <v>1.6095889999999999</v>
      </c>
      <c r="V8115">
        <v>-8.2440429999999995E-2</v>
      </c>
      <c r="W8115">
        <v>-9.6360769999999998E-2</v>
      </c>
      <c r="X8115">
        <v>0.99192650000000004</v>
      </c>
      <c r="Y8115">
        <v>-0.4775201</v>
      </c>
      <c r="Z8115">
        <v>3.8601770000000001E-2</v>
      </c>
      <c r="AA8115">
        <v>0.87777249999999996</v>
      </c>
      <c r="AB8115">
        <v>22</v>
      </c>
      <c r="AC8115">
        <v>0.65630000000001498</v>
      </c>
      <c r="AD8115">
        <v>-0.12808039999999901</v>
      </c>
      <c r="AE8115">
        <v>0.435840000000006</v>
      </c>
      <c r="AF8115">
        <v>-0.41568003391507102</v>
      </c>
      <c r="AG8115">
        <v>-0.12808039999999901</v>
      </c>
      <c r="AH8115">
        <v>0.64524682612603201</v>
      </c>
      <c r="AI8115">
        <v>99.473605756868096</v>
      </c>
      <c r="AJ8115">
        <v>122.790389187489</v>
      </c>
      <c r="AK8115">
        <v>0.77816318731067802</v>
      </c>
      <c r="AL8115">
        <v>95.529645535781896</v>
      </c>
      <c r="AM8115">
        <v>94.751015025669801</v>
      </c>
      <c r="AN8115">
        <v>1.0000000019479101</v>
      </c>
    </row>
    <row r="8116" spans="1:40" x14ac:dyDescent="0.25">
      <c r="A8116" t="str">
        <f>"20190303154337075"</f>
        <v>20190303154337075</v>
      </c>
      <c r="B8116" t="str">
        <f>"1551599017068133"</f>
        <v>1551599017068133</v>
      </c>
      <c r="C8116" t="s">
        <v>40</v>
      </c>
      <c r="D8116">
        <v>5.2808739999999998</v>
      </c>
      <c r="E8116">
        <v>0.33304289999999998</v>
      </c>
      <c r="F8116" t="s">
        <v>42</v>
      </c>
      <c r="G8116">
        <v>-214.9478</v>
      </c>
      <c r="H8116">
        <v>0.98563849999999997</v>
      </c>
      <c r="I8116">
        <v>-61.965719999999997</v>
      </c>
      <c r="J8116">
        <v>-215.6583</v>
      </c>
      <c r="K8116">
        <v>1.1212029999999999</v>
      </c>
      <c r="L8116">
        <v>-62.429569999999998</v>
      </c>
      <c r="M8116">
        <v>0.99979589999999996</v>
      </c>
      <c r="N8116">
        <v>-1.456445E-2</v>
      </c>
      <c r="O8116">
        <v>1.401286E-2</v>
      </c>
      <c r="P8116">
        <v>0.98912789999999995</v>
      </c>
      <c r="Q8116">
        <v>-0.1104459</v>
      </c>
      <c r="R8116">
        <v>9.7096950000000001E-2</v>
      </c>
      <c r="S8116">
        <v>2.8236080000000001</v>
      </c>
      <c r="T8116">
        <v>-0.46905150000000001</v>
      </c>
      <c r="U8116">
        <v>1.6106259999999999</v>
      </c>
      <c r="V8116">
        <v>-8.3197930000000003E-2</v>
      </c>
      <c r="W8116">
        <v>-9.6033740000000006E-2</v>
      </c>
      <c r="X8116">
        <v>0.99189499999999997</v>
      </c>
      <c r="Y8116">
        <v>-0.47788999999999998</v>
      </c>
      <c r="Z8116">
        <v>3.8482669999999997E-2</v>
      </c>
      <c r="AA8116">
        <v>0.87757640000000003</v>
      </c>
      <c r="AB8116">
        <v>22</v>
      </c>
      <c r="AC8116">
        <v>0.71049999999999602</v>
      </c>
      <c r="AD8116">
        <v>-0.1355645</v>
      </c>
      <c r="AE8116">
        <v>0.46384999999999998</v>
      </c>
      <c r="AF8116">
        <v>-0.442550793800839</v>
      </c>
      <c r="AG8116">
        <v>-0.1355645</v>
      </c>
      <c r="AH8116">
        <v>0.69908604947302699</v>
      </c>
      <c r="AI8116">
        <v>99.305014789856301</v>
      </c>
      <c r="AJ8116">
        <v>122.335526234348</v>
      </c>
      <c r="AK8116">
        <v>0.83842128033692398</v>
      </c>
      <c r="AL8116">
        <v>95.510820622160793</v>
      </c>
      <c r="AM8116">
        <v>94.794618472398298</v>
      </c>
      <c r="AN8116">
        <v>1.00000003289983</v>
      </c>
    </row>
    <row r="8117" spans="1:40" x14ac:dyDescent="0.25">
      <c r="A8117" t="str">
        <f>"20190303154337085"</f>
        <v>20190303154337085</v>
      </c>
      <c r="B8117" t="str">
        <f>"1551599017077893"</f>
        <v>1551599017077893</v>
      </c>
      <c r="C8117" t="s">
        <v>40</v>
      </c>
      <c r="D8117">
        <v>5.2591929999999998</v>
      </c>
      <c r="E8117">
        <v>0.33330870000000001</v>
      </c>
      <c r="F8117" t="s">
        <v>42</v>
      </c>
      <c r="G8117">
        <v>-214.7604</v>
      </c>
      <c r="H8117">
        <v>0.97206680000000001</v>
      </c>
      <c r="I8117">
        <v>-61.917349999999999</v>
      </c>
      <c r="J8117">
        <v>-215.55879999999999</v>
      </c>
      <c r="K8117">
        <v>1.121216</v>
      </c>
      <c r="L8117">
        <v>-62.42801</v>
      </c>
      <c r="M8117">
        <v>0.99979439999999997</v>
      </c>
      <c r="N8117">
        <v>-1.456203E-2</v>
      </c>
      <c r="O8117">
        <v>1.4124050000000001E-2</v>
      </c>
      <c r="P8117">
        <v>0.98905509999999996</v>
      </c>
      <c r="Q8117">
        <v>-0.1100493</v>
      </c>
      <c r="R8117">
        <v>9.8282339999999996E-2</v>
      </c>
      <c r="S8117">
        <v>2.8224490000000002</v>
      </c>
      <c r="T8117">
        <v>-0.46888639999999998</v>
      </c>
      <c r="U8117">
        <v>1.6111150000000001</v>
      </c>
      <c r="V8117">
        <v>-8.427142E-2</v>
      </c>
      <c r="W8117">
        <v>-9.5642939999999996E-2</v>
      </c>
      <c r="X8117">
        <v>0.99184209999999995</v>
      </c>
      <c r="Y8117">
        <v>-0.47806199999999999</v>
      </c>
      <c r="Z8117">
        <v>3.8480140000000003E-2</v>
      </c>
      <c r="AA8117">
        <v>0.87748280000000001</v>
      </c>
      <c r="AB8117">
        <v>22</v>
      </c>
      <c r="AC8117">
        <v>0.79839999999998601</v>
      </c>
      <c r="AD8117">
        <v>-0.14914919999999901</v>
      </c>
      <c r="AE8117">
        <v>0.510660000000001</v>
      </c>
      <c r="AF8117">
        <v>-0.48726350615105701</v>
      </c>
      <c r="AG8117">
        <v>-0.14914919999999901</v>
      </c>
      <c r="AH8117">
        <v>0.78606576054853705</v>
      </c>
      <c r="AI8117">
        <v>99.161248099773502</v>
      </c>
      <c r="AJ8117">
        <v>121.793791473124</v>
      </c>
      <c r="AK8117">
        <v>0.93678737619270402</v>
      </c>
      <c r="AL8117">
        <v>95.488326080293504</v>
      </c>
      <c r="AM8117">
        <v>94.8564464793578</v>
      </c>
      <c r="AN8117">
        <v>0.99999999776653403</v>
      </c>
    </row>
    <row r="8118" spans="1:40" x14ac:dyDescent="0.25">
      <c r="A8118" t="str">
        <f>"20190303154337096"</f>
        <v>20190303154337096</v>
      </c>
      <c r="B8118" t="str">
        <f>"1551599017088628"</f>
        <v>1551599017088628</v>
      </c>
      <c r="C8118" t="s">
        <v>40</v>
      </c>
      <c r="D8118">
        <v>5.264462</v>
      </c>
      <c r="E8118">
        <v>0.3334625</v>
      </c>
      <c r="F8118" t="s">
        <v>42</v>
      </c>
      <c r="G8118">
        <v>-214.7492</v>
      </c>
      <c r="H8118">
        <v>0.98679890000000003</v>
      </c>
      <c r="I8118">
        <v>-61.965600000000002</v>
      </c>
      <c r="J8118">
        <v>-215.45660000000001</v>
      </c>
      <c r="K8118">
        <v>1.121227</v>
      </c>
      <c r="L8118">
        <v>-62.426419999999901</v>
      </c>
      <c r="M8118">
        <v>0.99979260000000003</v>
      </c>
      <c r="N8118">
        <v>-1.4559559999999999E-2</v>
      </c>
      <c r="O8118">
        <v>1.423961E-2</v>
      </c>
      <c r="P8118">
        <v>0.98897219999999997</v>
      </c>
      <c r="Q8118">
        <v>-0.1097484</v>
      </c>
      <c r="R8118">
        <v>9.9445749999999999E-2</v>
      </c>
      <c r="S8118">
        <v>2.8208769999999999</v>
      </c>
      <c r="T8118">
        <v>-0.4684335</v>
      </c>
      <c r="U8118">
        <v>1.612274</v>
      </c>
      <c r="V8118">
        <v>-8.5319010000000001E-2</v>
      </c>
      <c r="W8118">
        <v>-9.5348189999999999E-2</v>
      </c>
      <c r="X8118">
        <v>0.99178089999999997</v>
      </c>
      <c r="Y8118">
        <v>-0.47844599999999998</v>
      </c>
      <c r="Z8118">
        <v>3.84766E-2</v>
      </c>
      <c r="AA8118">
        <v>0.87727359999999899</v>
      </c>
      <c r="AB8118">
        <v>22</v>
      </c>
      <c r="AC8118">
        <v>0.70740000000000602</v>
      </c>
      <c r="AD8118">
        <v>-0.13442809999999999</v>
      </c>
      <c r="AE8118">
        <v>0.46081999999999101</v>
      </c>
      <c r="AF8118">
        <v>-0.43955502446204697</v>
      </c>
      <c r="AG8118">
        <v>-0.13442809999999999</v>
      </c>
      <c r="AH8118">
        <v>0.69623904768641698</v>
      </c>
      <c r="AI8118">
        <v>99.272495633816007</v>
      </c>
      <c r="AJ8118">
        <v>122.265354202189</v>
      </c>
      <c r="AK8118">
        <v>0.834283132469266</v>
      </c>
      <c r="AL8118">
        <v>95.471360699955994</v>
      </c>
      <c r="AM8118">
        <v>94.916825439141505</v>
      </c>
      <c r="AN8118">
        <v>0.99999998220423203</v>
      </c>
    </row>
    <row r="8119" spans="1:40" x14ac:dyDescent="0.25">
      <c r="A8119" t="str">
        <f>"20190303154337107"</f>
        <v>20190303154337107</v>
      </c>
      <c r="B8119" t="str">
        <f>"1551599017098388"</f>
        <v>1551599017098388</v>
      </c>
      <c r="C8119" t="s">
        <v>40</v>
      </c>
      <c r="D8119">
        <v>5.2350019999999997</v>
      </c>
      <c r="E8119">
        <v>0.33355859999999998</v>
      </c>
      <c r="F8119" t="s">
        <v>42</v>
      </c>
      <c r="G8119">
        <v>-214.56290000000001</v>
      </c>
      <c r="H8119">
        <v>0.97239690000000001</v>
      </c>
      <c r="I8119">
        <v>-61.914659999999998</v>
      </c>
      <c r="J8119">
        <v>-215.34889999999999</v>
      </c>
      <c r="K8119">
        <v>1.121237</v>
      </c>
      <c r="L8119">
        <v>-62.424709999999997</v>
      </c>
      <c r="M8119">
        <v>0.99979070000000003</v>
      </c>
      <c r="N8119">
        <v>-1.455705E-2</v>
      </c>
      <c r="O8119">
        <v>1.437807E-2</v>
      </c>
      <c r="P8119">
        <v>0.98887259999999999</v>
      </c>
      <c r="Q8119">
        <v>-0.1095396</v>
      </c>
      <c r="R8119">
        <v>0.1006584</v>
      </c>
      <c r="S8119">
        <v>2.8190460000000002</v>
      </c>
      <c r="T8119">
        <v>-0.4694198</v>
      </c>
      <c r="U8119">
        <v>1.6141049999999999</v>
      </c>
      <c r="V8119">
        <v>-8.6392269999999993E-2</v>
      </c>
      <c r="W8119">
        <v>-9.5146090000000003E-2</v>
      </c>
      <c r="X8119">
        <v>0.99170740000000002</v>
      </c>
      <c r="Y8119">
        <v>-0.4789696</v>
      </c>
      <c r="Z8119">
        <v>3.8587839999999998E-2</v>
      </c>
      <c r="AA8119">
        <v>0.87698290000000001</v>
      </c>
      <c r="AB8119">
        <v>22</v>
      </c>
      <c r="AC8119">
        <v>0.78599999999997205</v>
      </c>
      <c r="AD8119">
        <v>-0.148840099999999</v>
      </c>
      <c r="AE8119">
        <v>0.510049999999999</v>
      </c>
      <c r="AF8119">
        <v>-0.48642096780813299</v>
      </c>
      <c r="AG8119">
        <v>-0.148840099999999</v>
      </c>
      <c r="AH8119">
        <v>0.77372940920003996</v>
      </c>
      <c r="AI8119">
        <v>99.249855676472393</v>
      </c>
      <c r="AJ8119">
        <v>122.156369759212</v>
      </c>
      <c r="AK8119">
        <v>0.92596756528101698</v>
      </c>
      <c r="AL8119">
        <v>95.459728322739196</v>
      </c>
      <c r="AM8119">
        <v>94.978734239291697</v>
      </c>
      <c r="AN8119">
        <v>0.99999998498639997</v>
      </c>
    </row>
    <row r="8120" spans="1:40" x14ac:dyDescent="0.25">
      <c r="A8120" t="str">
        <f>"20190303154337117"</f>
        <v>20190303154337117</v>
      </c>
      <c r="B8120" t="str">
        <f>"1551599017108148"</f>
        <v>1551599017108148</v>
      </c>
      <c r="C8120" t="s">
        <v>40</v>
      </c>
      <c r="D8120">
        <v>5.2383360000000003</v>
      </c>
      <c r="E8120">
        <v>0.33355859999999998</v>
      </c>
      <c r="F8120" t="s">
        <v>42</v>
      </c>
      <c r="G8120">
        <v>-214.55080000000001</v>
      </c>
      <c r="H8120">
        <v>0.98753040000000003</v>
      </c>
      <c r="I8120">
        <v>-61.966639999999998</v>
      </c>
      <c r="J8120">
        <v>-215.2405</v>
      </c>
      <c r="K8120">
        <v>1.1212489999999999</v>
      </c>
      <c r="L8120">
        <v>-62.423000000000002</v>
      </c>
      <c r="M8120">
        <v>0.99978869999999997</v>
      </c>
      <c r="N8120">
        <v>-1.455451E-2</v>
      </c>
      <c r="O8120">
        <v>1.452209E-2</v>
      </c>
      <c r="P8120">
        <v>0.98875349999999995</v>
      </c>
      <c r="Q8120">
        <v>-0.10933850000000001</v>
      </c>
      <c r="R8120">
        <v>0.1020385</v>
      </c>
      <c r="S8120">
        <v>2.8169400000000002</v>
      </c>
      <c r="T8120">
        <v>-0.47188170000000002</v>
      </c>
      <c r="U8120">
        <v>1.616608</v>
      </c>
      <c r="V8120">
        <v>-8.7628059999999994E-2</v>
      </c>
      <c r="W8120">
        <v>-9.4952190000000006E-2</v>
      </c>
      <c r="X8120">
        <v>0.99161759999999999</v>
      </c>
      <c r="Y8120">
        <v>-0.47964849999999998</v>
      </c>
      <c r="Z8120">
        <v>3.8820800000000003E-2</v>
      </c>
      <c r="AA8120">
        <v>0.87660159999999998</v>
      </c>
      <c r="AB8120">
        <v>22</v>
      </c>
      <c r="AC8120">
        <v>0.68969999999998699</v>
      </c>
      <c r="AD8120">
        <v>-0.13371859999999899</v>
      </c>
      <c r="AE8120">
        <v>0.45635999999999599</v>
      </c>
      <c r="AF8120">
        <v>-0.43492459459863902</v>
      </c>
      <c r="AG8120">
        <v>-0.13371859999999899</v>
      </c>
      <c r="AH8120">
        <v>0.67851665272771</v>
      </c>
      <c r="AI8120">
        <v>99.420452062804799</v>
      </c>
      <c r="AJ8120">
        <v>122.659597346886</v>
      </c>
      <c r="AK8120">
        <v>0.81696077935331002</v>
      </c>
      <c r="AL8120">
        <v>95.448567898339505</v>
      </c>
      <c r="AM8120">
        <v>95.050041361251601</v>
      </c>
      <c r="AN8120">
        <v>1.0000000299574501</v>
      </c>
    </row>
    <row r="8121" spans="1:40" x14ac:dyDescent="0.25">
      <c r="A8121" t="str">
        <f>"20190303154337129"</f>
        <v>20190303154337129</v>
      </c>
      <c r="B8121" t="str">
        <f>"1551599017117909"</f>
        <v>1551599017117909</v>
      </c>
      <c r="C8121" t="s">
        <v>40</v>
      </c>
      <c r="D8121">
        <v>5.428458</v>
      </c>
      <c r="E8121">
        <v>0.34564260000000002</v>
      </c>
      <c r="F8121" t="s">
        <v>42</v>
      </c>
      <c r="G8121">
        <v>-214.36410000000001</v>
      </c>
      <c r="H8121">
        <v>0.97362689999999996</v>
      </c>
      <c r="I8121">
        <v>-61.918640000000003</v>
      </c>
      <c r="J8121">
        <v>-215.1259</v>
      </c>
      <c r="K8121">
        <v>1.1212629999999999</v>
      </c>
      <c r="L8121">
        <v>-62.421140000000001</v>
      </c>
      <c r="M8121">
        <v>0.99978619999999996</v>
      </c>
      <c r="N8121">
        <v>-1.455184E-2</v>
      </c>
      <c r="O8121">
        <v>1.469021E-2</v>
      </c>
      <c r="P8121">
        <v>0.98857159999999999</v>
      </c>
      <c r="Q8121">
        <v>-0.1091934</v>
      </c>
      <c r="R8121">
        <v>0.10393860000000001</v>
      </c>
      <c r="S8121">
        <v>2.8144840000000002</v>
      </c>
      <c r="T8121">
        <v>-0.47411809999999899</v>
      </c>
      <c r="U8121">
        <v>1.620209</v>
      </c>
      <c r="V8121">
        <v>-8.9361090000000004E-2</v>
      </c>
      <c r="W8121">
        <v>-9.4815830000000004E-2</v>
      </c>
      <c r="X8121">
        <v>0.99147589999999997</v>
      </c>
      <c r="Y8121">
        <v>-0.48061179999999898</v>
      </c>
      <c r="Z8121">
        <v>3.905956E-2</v>
      </c>
      <c r="AA8121">
        <v>0.87606319999999904</v>
      </c>
      <c r="AB8121">
        <v>22</v>
      </c>
      <c r="AC8121">
        <v>0.76179999999999304</v>
      </c>
      <c r="AD8121">
        <v>-0.14763609999999899</v>
      </c>
      <c r="AE8121">
        <v>0.50249999999999695</v>
      </c>
      <c r="AF8121">
        <v>-0.47872485920277702</v>
      </c>
      <c r="AG8121">
        <v>-0.14763609999999899</v>
      </c>
      <c r="AH8121">
        <v>0.74948558714334801</v>
      </c>
      <c r="AI8121">
        <v>99.425622336979004</v>
      </c>
      <c r="AJ8121">
        <v>122.56791379913101</v>
      </c>
      <c r="AK8121">
        <v>0.90150016870632799</v>
      </c>
      <c r="AL8121">
        <v>95.440720056482505</v>
      </c>
      <c r="AM8121">
        <v>95.150116798081299</v>
      </c>
      <c r="AN8121">
        <v>0.99999995315269197</v>
      </c>
    </row>
    <row r="8122" spans="1:40" x14ac:dyDescent="0.25">
      <c r="A8122" t="str">
        <f>"20190303154337140"</f>
        <v>20190303154337140</v>
      </c>
      <c r="B8122" t="str">
        <f>"1551599017128646"</f>
        <v>1551599017128646</v>
      </c>
      <c r="C8122" t="s">
        <v>40</v>
      </c>
      <c r="D8122">
        <v>5.4830899999999998</v>
      </c>
      <c r="E8122">
        <v>0.34564260000000002</v>
      </c>
      <c r="F8122" t="s">
        <v>42</v>
      </c>
      <c r="G8122">
        <v>-214.31549999999999</v>
      </c>
      <c r="H8122">
        <v>1.0054540000000001</v>
      </c>
      <c r="I8122">
        <v>-61.982100000000003</v>
      </c>
      <c r="J8122">
        <v>-215.02600000000001</v>
      </c>
      <c r="K8122">
        <v>1.121273</v>
      </c>
      <c r="L8122">
        <v>-62.419490000000003</v>
      </c>
      <c r="M8122">
        <v>0.99978400000000001</v>
      </c>
      <c r="N8122">
        <v>-1.454951E-2</v>
      </c>
      <c r="O8122">
        <v>1.484626E-2</v>
      </c>
      <c r="P8122">
        <v>0.98838579999999998</v>
      </c>
      <c r="Q8122">
        <v>-0.10911179999999999</v>
      </c>
      <c r="R8122">
        <v>0.1057743</v>
      </c>
      <c r="S8122">
        <v>2.828827</v>
      </c>
      <c r="T8122">
        <v>-0.40429389999999998</v>
      </c>
      <c r="U8122">
        <v>1.5330809999999999</v>
      </c>
      <c r="V8122">
        <v>-9.1041360000000002E-2</v>
      </c>
      <c r="W8122">
        <v>-9.4742510000000002E-2</v>
      </c>
      <c r="X8122">
        <v>0.99133009999999999</v>
      </c>
      <c r="Y8122">
        <v>-0.45940569999999997</v>
      </c>
      <c r="Z8122">
        <v>3.238866E-2</v>
      </c>
      <c r="AA8122">
        <v>0.88763590000000003</v>
      </c>
      <c r="AB8122">
        <v>22</v>
      </c>
      <c r="AC8122">
        <v>0.71049999999999602</v>
      </c>
      <c r="AD8122">
        <v>-0.11581899999999901</v>
      </c>
      <c r="AE8122">
        <v>0.43739</v>
      </c>
      <c r="AF8122">
        <v>-0.41872371301806199</v>
      </c>
      <c r="AG8122">
        <v>-0.11581899999999901</v>
      </c>
      <c r="AH8122">
        <v>0.70336237630279597</v>
      </c>
      <c r="AI8122">
        <v>98.053342002048097</v>
      </c>
      <c r="AJ8122">
        <v>120.766065601072</v>
      </c>
      <c r="AK8122">
        <v>0.82671773962033002</v>
      </c>
      <c r="AL8122">
        <v>95.436499769578703</v>
      </c>
      <c r="AM8122">
        <v>95.247187080035403</v>
      </c>
      <c r="AN8122">
        <v>1.0000000197988701</v>
      </c>
    </row>
    <row r="8123" spans="1:40" x14ac:dyDescent="0.25">
      <c r="A8123" t="str">
        <f>"20190303154337152"</f>
        <v>20190303154337152</v>
      </c>
      <c r="B8123" t="str">
        <f>"1551599017148165"</f>
        <v>1551599017148165</v>
      </c>
      <c r="C8123" t="s">
        <v>40</v>
      </c>
      <c r="D8123">
        <v>5.2757389999999997</v>
      </c>
      <c r="E8123">
        <v>0.42500830000000001</v>
      </c>
      <c r="F8123" t="s">
        <v>42</v>
      </c>
      <c r="G8123">
        <v>-214.15960000000001</v>
      </c>
      <c r="H8123">
        <v>0.99658610000000003</v>
      </c>
      <c r="I8123">
        <v>-61.947940000000003</v>
      </c>
      <c r="J8123">
        <v>-214.91200000000001</v>
      </c>
      <c r="K8123">
        <v>1.1212869999999999</v>
      </c>
      <c r="L8123">
        <v>-62.4176</v>
      </c>
      <c r="M8123">
        <v>0.99978129999999998</v>
      </c>
      <c r="N8123">
        <v>-1.454687E-2</v>
      </c>
      <c r="O8123">
        <v>1.503843E-2</v>
      </c>
      <c r="P8123">
        <v>0.98814199999999996</v>
      </c>
      <c r="Q8123">
        <v>-0.1093504</v>
      </c>
      <c r="R8123">
        <v>0.1077869</v>
      </c>
      <c r="S8123">
        <v>2.825745</v>
      </c>
      <c r="T8123">
        <v>-0.40669359999999999</v>
      </c>
      <c r="U8123">
        <v>1.5382389999999999</v>
      </c>
      <c r="V8123">
        <v>-9.2863619999999994E-2</v>
      </c>
      <c r="W8123">
        <v>-9.4991190000000003E-2</v>
      </c>
      <c r="X8123">
        <v>0.9911373</v>
      </c>
      <c r="Y8123">
        <v>-0.46083180000000001</v>
      </c>
      <c r="Z8123">
        <v>3.2657489999999997E-2</v>
      </c>
      <c r="AA8123">
        <v>0.88688639999999996</v>
      </c>
      <c r="AB8123">
        <v>22</v>
      </c>
      <c r="AC8123">
        <v>0.75239999999999396</v>
      </c>
      <c r="AD8123">
        <v>-0.1247009</v>
      </c>
      <c r="AE8123">
        <v>0.46965999999999702</v>
      </c>
      <c r="AF8123">
        <v>-0.44940739680652197</v>
      </c>
      <c r="AG8123">
        <v>-0.1247009</v>
      </c>
      <c r="AH8123">
        <v>0.74465902508515602</v>
      </c>
      <c r="AI8123">
        <v>98.159108587576497</v>
      </c>
      <c r="AJ8123">
        <v>121.111301330429</v>
      </c>
      <c r="AK8123">
        <v>0.87865487331830106</v>
      </c>
      <c r="AL8123">
        <v>95.450812400272298</v>
      </c>
      <c r="AM8123">
        <v>95.352644521164805</v>
      </c>
      <c r="AN8123">
        <v>1.0000000627742001</v>
      </c>
    </row>
    <row r="8124" spans="1:40" x14ac:dyDescent="0.25">
      <c r="A8124" t="str">
        <f>"20190303154337163"</f>
        <v>20190303154337163</v>
      </c>
      <c r="B8124" t="str">
        <f>"1551599017157924"</f>
        <v>1551599017157924</v>
      </c>
      <c r="C8124" t="s">
        <v>40</v>
      </c>
      <c r="D8124">
        <v>5.3133339999999896</v>
      </c>
      <c r="E8124">
        <v>0.43036099999999999</v>
      </c>
      <c r="F8124" t="s">
        <v>58</v>
      </c>
      <c r="G8124">
        <v>-203.76669999999999</v>
      </c>
      <c r="H8124" s="1">
        <v>-4.116014E-6</v>
      </c>
      <c r="I8124">
        <v>-58.883780000000002</v>
      </c>
      <c r="J8124">
        <v>-214.7962</v>
      </c>
      <c r="K8124">
        <v>1.121305</v>
      </c>
      <c r="L8124">
        <v>-62.415590000000002</v>
      </c>
      <c r="M8124">
        <v>0.9997779</v>
      </c>
      <c r="N8124">
        <v>-1.454421E-2</v>
      </c>
      <c r="O8124">
        <v>1.5256270000000001E-2</v>
      </c>
      <c r="P8124">
        <v>0.98782829999999999</v>
      </c>
      <c r="Q8124">
        <v>-0.11013539999999999</v>
      </c>
      <c r="R8124">
        <v>0.1098446</v>
      </c>
      <c r="S8124">
        <v>2.9032589999999998</v>
      </c>
      <c r="T8124">
        <v>-0.2920874</v>
      </c>
      <c r="U8124">
        <v>0.92053220000000002</v>
      </c>
      <c r="V8124">
        <v>-9.4704579999999997E-2</v>
      </c>
      <c r="W8124">
        <v>-9.5788139999999994E-2</v>
      </c>
      <c r="X8124">
        <v>0.9908863</v>
      </c>
      <c r="Y8124">
        <v>-0.28619440000000002</v>
      </c>
      <c r="Z8124">
        <v>1.4878209999999999E-2</v>
      </c>
      <c r="AA8124">
        <v>0.95805600000000002</v>
      </c>
      <c r="AB8124">
        <v>22</v>
      </c>
      <c r="AC8124">
        <v>11.029500000000001</v>
      </c>
      <c r="AD8124">
        <v>-1.1213091160140001</v>
      </c>
      <c r="AE8124">
        <v>3.5318099999999899</v>
      </c>
      <c r="AF8124">
        <v>-3.33187754006945</v>
      </c>
      <c r="AG8124">
        <v>-1.1213091160140001</v>
      </c>
      <c r="AH8124">
        <v>10.9791802742992</v>
      </c>
      <c r="AI8124">
        <v>95.581755433693303</v>
      </c>
      <c r="AJ8124">
        <v>106.881592729038</v>
      </c>
      <c r="AK8124">
        <v>11.5282757414644</v>
      </c>
      <c r="AL8124">
        <v>95.496683829756094</v>
      </c>
      <c r="AM8124">
        <v>95.459496764065307</v>
      </c>
      <c r="AN8124">
        <v>0.99999999238266302</v>
      </c>
    </row>
    <row r="8125" spans="1:40" x14ac:dyDescent="0.25">
      <c r="A8125" t="str">
        <f>"20190303154337186"</f>
        <v>20190303154337186</v>
      </c>
      <c r="B8125" t="str">
        <f>"1551599017178424"</f>
        <v>1551599017178424</v>
      </c>
      <c r="C8125" t="s">
        <v>40</v>
      </c>
      <c r="D8125">
        <v>5.2376019999999999</v>
      </c>
      <c r="E8125">
        <v>0.43603589999999998</v>
      </c>
      <c r="F8125" t="s">
        <v>58</v>
      </c>
      <c r="G8125">
        <v>-203.6524</v>
      </c>
      <c r="H8125" s="1">
        <v>-4.142961E-6</v>
      </c>
      <c r="I8125">
        <v>-59.0248699999999</v>
      </c>
      <c r="J8125">
        <v>-214.5763</v>
      </c>
      <c r="K8125">
        <v>1.1213360000000001</v>
      </c>
      <c r="L8125">
        <v>-62.411709999999999</v>
      </c>
      <c r="M8125">
        <v>0.99977059999999995</v>
      </c>
      <c r="N8125">
        <v>-1.453921E-2</v>
      </c>
      <c r="O8125">
        <v>1.5729509999999999E-2</v>
      </c>
      <c r="P8125">
        <v>0.98717120000000003</v>
      </c>
      <c r="Q8125">
        <v>-0.1121513</v>
      </c>
      <c r="R8125">
        <v>0.113645</v>
      </c>
      <c r="S8125">
        <v>2.906021</v>
      </c>
      <c r="T8125">
        <v>-0.29241030000000001</v>
      </c>
      <c r="U8125">
        <v>0.88421629999999996</v>
      </c>
      <c r="V8125">
        <v>-9.803444E-2</v>
      </c>
      <c r="W8125">
        <v>-9.7830029999999998E-2</v>
      </c>
      <c r="X8125">
        <v>0.99036279999999999</v>
      </c>
      <c r="Y8125">
        <v>-0.2745956</v>
      </c>
      <c r="Z8125">
        <v>1.420366E-2</v>
      </c>
      <c r="AA8125">
        <v>0.9614549</v>
      </c>
      <c r="AB8125">
        <v>22</v>
      </c>
      <c r="AC8125">
        <v>10.9239</v>
      </c>
      <c r="AD8125">
        <v>-1.1213401429609999</v>
      </c>
      <c r="AE8125">
        <v>3.3868399999999999</v>
      </c>
      <c r="AF8125">
        <v>-3.1839676347103598</v>
      </c>
      <c r="AG8125">
        <v>-1.1213401429609999</v>
      </c>
      <c r="AH8125">
        <v>10.871321083753701</v>
      </c>
      <c r="AI8125">
        <v>95.653205425939802</v>
      </c>
      <c r="AJ8125">
        <v>106.324131603628</v>
      </c>
      <c r="AK8125">
        <v>11.3833508125318</v>
      </c>
      <c r="AL8125">
        <v>95.614227758778298</v>
      </c>
      <c r="AM8125">
        <v>95.653201493966407</v>
      </c>
      <c r="AN8125">
        <v>0.99999997090987602</v>
      </c>
    </row>
    <row r="8126" spans="1:40" x14ac:dyDescent="0.25">
      <c r="A8126" t="str">
        <f>"20190303154337196"</f>
        <v>20190303154337196</v>
      </c>
      <c r="B8126" t="str">
        <f>"1551599017188180"</f>
        <v>1551599017188180</v>
      </c>
      <c r="C8126" t="s">
        <v>40</v>
      </c>
      <c r="D8126">
        <v>5.2740039999999997</v>
      </c>
      <c r="E8126">
        <v>0.43779839999999998</v>
      </c>
      <c r="F8126" t="s">
        <v>58</v>
      </c>
      <c r="G8126">
        <v>-203.74700000000001</v>
      </c>
      <c r="H8126" s="1">
        <v>-4.0461930000000003E-6</v>
      </c>
      <c r="I8126">
        <v>-59.243879999999997</v>
      </c>
      <c r="J8126">
        <v>-214.46850000000001</v>
      </c>
      <c r="K8126">
        <v>1.1213550000000001</v>
      </c>
      <c r="L8126">
        <v>-62.409730000000003</v>
      </c>
      <c r="M8126">
        <v>0.99976659999999995</v>
      </c>
      <c r="N8126">
        <v>-1.4536790000000001E-2</v>
      </c>
      <c r="O8126">
        <v>1.5988659999999998E-2</v>
      </c>
      <c r="P8126">
        <v>0.98680089999999998</v>
      </c>
      <c r="Q8126">
        <v>-0.11324679999999999</v>
      </c>
      <c r="R8126">
        <v>0.11575630000000001</v>
      </c>
      <c r="S8126">
        <v>2.9068909999999999</v>
      </c>
      <c r="T8126">
        <v>-0.30100120000000002</v>
      </c>
      <c r="U8126">
        <v>0.85034179999999904</v>
      </c>
      <c r="V8126">
        <v>-9.9887660000000003E-2</v>
      </c>
      <c r="W8126">
        <v>-9.8940299999999995E-2</v>
      </c>
      <c r="X8126">
        <v>0.99006729999999998</v>
      </c>
      <c r="Y8126">
        <v>-0.26394079999999998</v>
      </c>
      <c r="Z8126">
        <v>1.392527E-2</v>
      </c>
      <c r="AA8126">
        <v>0.96443829999999997</v>
      </c>
      <c r="AB8126">
        <v>22</v>
      </c>
      <c r="AC8126">
        <v>10.721499999999899</v>
      </c>
      <c r="AD8126">
        <v>-1.1213590461930001</v>
      </c>
      <c r="AE8126">
        <v>3.1658499999999901</v>
      </c>
      <c r="AF8126">
        <v>-2.9641799443991199</v>
      </c>
      <c r="AG8126">
        <v>-1.1213590461930001</v>
      </c>
      <c r="AH8126">
        <v>10.663459423384101</v>
      </c>
      <c r="AI8126">
        <v>95.785319849979402</v>
      </c>
      <c r="AJ8126">
        <v>105.534625005138</v>
      </c>
      <c r="AK8126">
        <v>11.1244404680602</v>
      </c>
      <c r="AL8126">
        <v>95.678151555617106</v>
      </c>
      <c r="AM8126">
        <v>95.761063865799201</v>
      </c>
      <c r="AN8126">
        <v>0.99999999305682696</v>
      </c>
    </row>
    <row r="8127" spans="1:40" x14ac:dyDescent="0.25">
      <c r="A8127" t="str">
        <f>"20190303154337207"</f>
        <v>20190303154337207</v>
      </c>
      <c r="B8127" t="str">
        <f>"1551599017197940"</f>
        <v>1551599017197940</v>
      </c>
      <c r="C8127" t="s">
        <v>40</v>
      </c>
      <c r="D8127">
        <v>5.2814050000000003</v>
      </c>
      <c r="E8127">
        <v>0.43910379999999899</v>
      </c>
      <c r="F8127" t="s">
        <v>58</v>
      </c>
      <c r="G8127">
        <v>-203.6567</v>
      </c>
      <c r="H8127" s="1">
        <v>-4.0852149999999996E-6</v>
      </c>
      <c r="I8127">
        <v>-59.275379999999998</v>
      </c>
      <c r="J8127">
        <v>-214.3597</v>
      </c>
      <c r="K8127">
        <v>1.1213850000000001</v>
      </c>
      <c r="L8127">
        <v>-62.407679999999999</v>
      </c>
      <c r="M8127">
        <v>0.99976160000000003</v>
      </c>
      <c r="N8127">
        <v>-1.453455E-2</v>
      </c>
      <c r="O8127">
        <v>1.6290880000000001E-2</v>
      </c>
      <c r="P8127">
        <v>0.98643270000000005</v>
      </c>
      <c r="Q8127">
        <v>-0.11419319999999999</v>
      </c>
      <c r="R8127">
        <v>0.1179428</v>
      </c>
      <c r="S8127">
        <v>2.9066770000000002</v>
      </c>
      <c r="T8127">
        <v>-0.30147049999999997</v>
      </c>
      <c r="U8127">
        <v>0.84265140000000005</v>
      </c>
      <c r="V8127">
        <v>-0.10177219999999999</v>
      </c>
      <c r="W8127">
        <v>-9.9902930000000001E-2</v>
      </c>
      <c r="X8127">
        <v>0.98977870000000001</v>
      </c>
      <c r="Y8127">
        <v>-0.2613259</v>
      </c>
      <c r="Z8127">
        <v>1.376934E-2</v>
      </c>
      <c r="AA8127">
        <v>0.96515240000000002</v>
      </c>
      <c r="AB8127">
        <v>22</v>
      </c>
      <c r="AC8127">
        <v>10.702999999999999</v>
      </c>
      <c r="AD8127">
        <v>-1.1213890852149999</v>
      </c>
      <c r="AE8127">
        <v>3.1322999999999999</v>
      </c>
      <c r="AF8127">
        <v>-2.9278992666836001</v>
      </c>
      <c r="AG8127">
        <v>-1.1213890852149999</v>
      </c>
      <c r="AH8127">
        <v>10.644976709477</v>
      </c>
      <c r="AI8127">
        <v>95.799777942248696</v>
      </c>
      <c r="AJ8127">
        <v>105.37890669389</v>
      </c>
      <c r="AK8127">
        <v>11.097100375395</v>
      </c>
      <c r="AL8127">
        <v>95.733580637567599</v>
      </c>
      <c r="AM8127">
        <v>95.870703093968004</v>
      </c>
      <c r="AN8127">
        <v>1.00000002554455</v>
      </c>
    </row>
    <row r="8128" spans="1:40" x14ac:dyDescent="0.25">
      <c r="A8128" t="str">
        <f>"20190303154337219"</f>
        <v>20190303154337219</v>
      </c>
      <c r="B8128" t="str">
        <f>"1551599017208676"</f>
        <v>1551599017208676</v>
      </c>
      <c r="C8128" t="s">
        <v>40</v>
      </c>
      <c r="D8128">
        <v>5.3064960000000001</v>
      </c>
      <c r="E8128">
        <v>0.44018269999999998</v>
      </c>
      <c r="F8128" t="s">
        <v>58</v>
      </c>
      <c r="G8128">
        <v>-203.62790000000001</v>
      </c>
      <c r="H8128" s="1">
        <v>-4.0923169999999996E-6</v>
      </c>
      <c r="I8128">
        <v>-59.309559999999998</v>
      </c>
      <c r="J8128">
        <v>-214.24889999999999</v>
      </c>
      <c r="K8128">
        <v>1.1214230000000001</v>
      </c>
      <c r="L8128">
        <v>-62.405520000000003</v>
      </c>
      <c r="M8128">
        <v>0.99975630000000004</v>
      </c>
      <c r="N8128">
        <v>-1.453231E-2</v>
      </c>
      <c r="O8128">
        <v>1.661704E-2</v>
      </c>
      <c r="P8128">
        <v>0.9861084</v>
      </c>
      <c r="Q8128">
        <v>-0.1145198</v>
      </c>
      <c r="R8128">
        <v>0.1203149</v>
      </c>
      <c r="S8128">
        <v>2.9058069999999998</v>
      </c>
      <c r="T8128">
        <v>-0.30363379999999901</v>
      </c>
      <c r="U8128">
        <v>0.83886719999999904</v>
      </c>
      <c r="V8128">
        <v>-0.1038181</v>
      </c>
      <c r="W8128">
        <v>-0.1002463</v>
      </c>
      <c r="X8128">
        <v>0.98953150000000001</v>
      </c>
      <c r="Y8128">
        <v>-0.25991740000000002</v>
      </c>
      <c r="Z8128">
        <v>1.374594E-2</v>
      </c>
      <c r="AA8128">
        <v>0.96553299999999997</v>
      </c>
      <c r="AB8128">
        <v>22</v>
      </c>
      <c r="AC8128">
        <v>10.620999999999899</v>
      </c>
      <c r="AD8128">
        <v>-1.121427092317</v>
      </c>
      <c r="AE8128">
        <v>3.0959599999999901</v>
      </c>
      <c r="AF8128">
        <v>-2.8893354660472599</v>
      </c>
      <c r="AG8128">
        <v>-1.121427092317</v>
      </c>
      <c r="AH8128">
        <v>10.562452112429201</v>
      </c>
      <c r="AI8128">
        <v>95.847200515180504</v>
      </c>
      <c r="AJ8128">
        <v>105.29886724014</v>
      </c>
      <c r="AK8128">
        <v>11.007781465222701</v>
      </c>
      <c r="AL8128">
        <v>95.753353385882804</v>
      </c>
      <c r="AM8128">
        <v>95.989356206604995</v>
      </c>
      <c r="AN8128">
        <v>1.0000000540217699</v>
      </c>
    </row>
    <row r="8129" spans="1:40" x14ac:dyDescent="0.25">
      <c r="A8129" t="str">
        <f>"20190303154337231"</f>
        <v>20190303154337231</v>
      </c>
      <c r="B8129" t="str">
        <f>"1551599017228196"</f>
        <v>1551599017228196</v>
      </c>
      <c r="C8129" t="s">
        <v>40</v>
      </c>
      <c r="D8129">
        <v>5.3202199999999999</v>
      </c>
      <c r="E8129">
        <v>0.44184469999999998</v>
      </c>
      <c r="F8129" t="s">
        <v>58</v>
      </c>
      <c r="G8129">
        <v>-203.54499999999999</v>
      </c>
      <c r="H8129" s="1">
        <v>-4.1322510000000004E-6</v>
      </c>
      <c r="I8129">
        <v>-59.320039999999999</v>
      </c>
      <c r="J8129">
        <v>-214.13300000000001</v>
      </c>
      <c r="K8129">
        <v>1.121467</v>
      </c>
      <c r="L8129">
        <v>-62.403199999999998</v>
      </c>
      <c r="M8129">
        <v>0.99975009999999997</v>
      </c>
      <c r="N8129">
        <v>-1.4530059999999999E-2</v>
      </c>
      <c r="O8129">
        <v>1.6998340000000001E-2</v>
      </c>
      <c r="P8129">
        <v>0.98581030000000003</v>
      </c>
      <c r="Q8129">
        <v>-0.1144964</v>
      </c>
      <c r="R8129">
        <v>0.1227559</v>
      </c>
      <c r="S8129">
        <v>2.9047390000000002</v>
      </c>
      <c r="T8129">
        <v>-0.30432320000000002</v>
      </c>
      <c r="U8129">
        <v>0.83731080000000002</v>
      </c>
      <c r="V8129">
        <v>-0.1058761</v>
      </c>
      <c r="W8129">
        <v>-0.1002415</v>
      </c>
      <c r="X8129">
        <v>0.98931380000000002</v>
      </c>
      <c r="Y8129">
        <v>-0.25916489999999998</v>
      </c>
      <c r="Z8129">
        <v>1.36989E-2</v>
      </c>
      <c r="AA8129">
        <v>0.96573589999999998</v>
      </c>
      <c r="AB8129">
        <v>22</v>
      </c>
      <c r="AC8129">
        <v>10.5879999999999</v>
      </c>
      <c r="AD8129">
        <v>-1.121471132251</v>
      </c>
      <c r="AE8129">
        <v>3.0831599999999901</v>
      </c>
      <c r="AF8129">
        <v>-2.87300466705973</v>
      </c>
      <c r="AG8129">
        <v>-1.121471132251</v>
      </c>
      <c r="AH8129">
        <v>10.5299837884547</v>
      </c>
      <c r="AI8129">
        <v>95.866380667549706</v>
      </c>
      <c r="AJ8129">
        <v>105.26114988139101</v>
      </c>
      <c r="AK8129">
        <v>10.972347602156001</v>
      </c>
      <c r="AL8129">
        <v>95.7530775692708</v>
      </c>
      <c r="AM8129">
        <v>96.108529117990003</v>
      </c>
      <c r="AN8129">
        <v>0.99999995087194804</v>
      </c>
    </row>
    <row r="8130" spans="1:40" x14ac:dyDescent="0.25">
      <c r="A8130" t="str">
        <f>"20190303154337242"</f>
        <v>20190303154337242</v>
      </c>
      <c r="B8130" t="str">
        <f>"1551599017237957"</f>
        <v>1551599017237957</v>
      </c>
      <c r="C8130" t="s">
        <v>40</v>
      </c>
      <c r="D8130">
        <v>5.3373410000000003</v>
      </c>
      <c r="E8130">
        <v>0.44232529999999998</v>
      </c>
      <c r="F8130" t="s">
        <v>58</v>
      </c>
      <c r="G8130">
        <v>-203.44319999999999</v>
      </c>
      <c r="H8130" s="1">
        <v>-4.1789510000000003E-6</v>
      </c>
      <c r="I8130">
        <v>-59.343319999999999</v>
      </c>
      <c r="J8130">
        <v>-214.02529999999999</v>
      </c>
      <c r="K8130">
        <v>1.121516</v>
      </c>
      <c r="L8130">
        <v>-62.400939999999999</v>
      </c>
      <c r="M8130">
        <v>0.99974320000000005</v>
      </c>
      <c r="N8130">
        <v>-1.4528080000000001E-2</v>
      </c>
      <c r="O8130">
        <v>1.7395879999999999E-2</v>
      </c>
      <c r="P8130">
        <v>0.98552580000000001</v>
      </c>
      <c r="Q8130">
        <v>-0.1143792</v>
      </c>
      <c r="R8130">
        <v>0.12512619999999999</v>
      </c>
      <c r="S8130">
        <v>2.9042819999999998</v>
      </c>
      <c r="T8130">
        <v>-0.30468889999999998</v>
      </c>
      <c r="U8130">
        <v>0.83132929999999905</v>
      </c>
      <c r="V8130">
        <v>-0.107847</v>
      </c>
      <c r="W8130">
        <v>-0.1001435</v>
      </c>
      <c r="X8130">
        <v>0.98911090000000002</v>
      </c>
      <c r="Y8130">
        <v>-0.25699319999999998</v>
      </c>
      <c r="Z8130">
        <v>1.355431E-2</v>
      </c>
      <c r="AA8130">
        <v>0.96631809999999996</v>
      </c>
      <c r="AB8130">
        <v>22</v>
      </c>
      <c r="AC8130">
        <v>10.582099999999899</v>
      </c>
      <c r="AD8130">
        <v>-1.1215201789510001</v>
      </c>
      <c r="AE8130">
        <v>3.05762</v>
      </c>
      <c r="AF8130">
        <v>-2.84357398803213</v>
      </c>
      <c r="AG8130">
        <v>-1.1215201789510001</v>
      </c>
      <c r="AH8130">
        <v>10.524587265172901</v>
      </c>
      <c r="AI8130">
        <v>95.873539223597902</v>
      </c>
      <c r="AJ8130">
        <v>105.11939519904701</v>
      </c>
      <c r="AK8130">
        <v>10.959500793350299</v>
      </c>
      <c r="AL8130">
        <v>95.747433704669007</v>
      </c>
      <c r="AM8130">
        <v>96.2226228927736</v>
      </c>
      <c r="AN8130">
        <v>1.0000000342500199</v>
      </c>
    </row>
    <row r="8131" spans="1:40" x14ac:dyDescent="0.25">
      <c r="A8131" t="str">
        <f>"20190303154337254"</f>
        <v>20190303154337254</v>
      </c>
      <c r="B8131" t="str">
        <f>"1551599017248693"</f>
        <v>1551599017248693</v>
      </c>
      <c r="C8131" t="s">
        <v>40</v>
      </c>
      <c r="D8131">
        <v>5.3215690000000002</v>
      </c>
      <c r="E8131">
        <v>0.44290869999999999</v>
      </c>
      <c r="F8131" t="s">
        <v>58</v>
      </c>
      <c r="G8131">
        <v>-203.42429999999999</v>
      </c>
      <c r="H8131" s="1">
        <v>-4.1862870000000003E-6</v>
      </c>
      <c r="I8131">
        <v>-59.3536</v>
      </c>
      <c r="J8131">
        <v>-213.9023</v>
      </c>
      <c r="K8131">
        <v>1.121577</v>
      </c>
      <c r="L8131">
        <v>-62.398319999999998</v>
      </c>
      <c r="M8131">
        <v>0.99973460000000003</v>
      </c>
      <c r="N8131">
        <v>-1.452588E-2</v>
      </c>
      <c r="O8131">
        <v>1.7881870000000001E-2</v>
      </c>
      <c r="P8131">
        <v>0.98527439999999999</v>
      </c>
      <c r="Q8131">
        <v>-0.1140999</v>
      </c>
      <c r="R8131">
        <v>0.12734110000000001</v>
      </c>
      <c r="S8131">
        <v>2.9024960000000002</v>
      </c>
      <c r="T8131">
        <v>-0.30706830000000002</v>
      </c>
      <c r="U8131">
        <v>0.83435059999999905</v>
      </c>
      <c r="V8131">
        <v>-0.10957210000000001</v>
      </c>
      <c r="W8131">
        <v>-9.9886080000000002E-2</v>
      </c>
      <c r="X8131">
        <v>0.98894729999999997</v>
      </c>
      <c r="Y8131">
        <v>-0.2575868</v>
      </c>
      <c r="Z8131">
        <v>1.363985E-2</v>
      </c>
      <c r="AA8131">
        <v>0.96615890000000004</v>
      </c>
      <c r="AB8131">
        <v>22</v>
      </c>
      <c r="AC8131">
        <v>10.478</v>
      </c>
      <c r="AD8131">
        <v>-1.121581186287</v>
      </c>
      <c r="AE8131">
        <v>3.0447199999999901</v>
      </c>
      <c r="AF8131">
        <v>-2.8269779516076801</v>
      </c>
      <c r="AG8131">
        <v>-1.121581186287</v>
      </c>
      <c r="AH8131">
        <v>10.420673191665101</v>
      </c>
      <c r="AI8131">
        <v>95.930378016460907</v>
      </c>
      <c r="AJ8131">
        <v>105.178204209252</v>
      </c>
      <c r="AK8131">
        <v>10.8554216161233</v>
      </c>
      <c r="AL8131">
        <v>95.7326103930302</v>
      </c>
      <c r="AM8131">
        <v>96.322396544593204</v>
      </c>
      <c r="AN8131">
        <v>1.0000000181267299</v>
      </c>
    </row>
    <row r="8132" spans="1:40" x14ac:dyDescent="0.25">
      <c r="A8132" t="str">
        <f>"20190303154337265"</f>
        <v>20190303154337265</v>
      </c>
      <c r="B8132" t="str">
        <f>"1551599017258452"</f>
        <v>1551599017258452</v>
      </c>
      <c r="C8132" t="s">
        <v>40</v>
      </c>
      <c r="D8132">
        <v>5.3615879999999896</v>
      </c>
      <c r="E8132">
        <v>0.44332830000000001</v>
      </c>
      <c r="F8132" t="s">
        <v>58</v>
      </c>
      <c r="G8132">
        <v>-203.29259999999999</v>
      </c>
      <c r="H8132" s="1">
        <v>-4.2563100000000001E-6</v>
      </c>
      <c r="I8132">
        <v>-59.340440000000001</v>
      </c>
      <c r="J8132">
        <v>-213.8047</v>
      </c>
      <c r="K8132">
        <v>1.1216390000000001</v>
      </c>
      <c r="L8132">
        <v>-62.396059999999999</v>
      </c>
      <c r="M8132">
        <v>0.99972629999999996</v>
      </c>
      <c r="N8132">
        <v>-1.4524540000000001E-2</v>
      </c>
      <c r="O8132">
        <v>1.834446E-2</v>
      </c>
      <c r="P8132">
        <v>0.98498300000000005</v>
      </c>
      <c r="Q8132">
        <v>-0.11403629999999999</v>
      </c>
      <c r="R8132">
        <v>0.12963139999999901</v>
      </c>
      <c r="S8132">
        <v>2.90123</v>
      </c>
      <c r="T8132">
        <v>-0.30669809999999997</v>
      </c>
      <c r="U8132">
        <v>0.83618159999999897</v>
      </c>
      <c r="V8132">
        <v>-0.11139640000000001</v>
      </c>
      <c r="W8132">
        <v>-9.9844470000000005E-2</v>
      </c>
      <c r="X8132">
        <v>0.98874770000000001</v>
      </c>
      <c r="Y8132">
        <v>-0.25781769999999998</v>
      </c>
      <c r="Z8132">
        <v>1.3602349999999999E-2</v>
      </c>
      <c r="AA8132">
        <v>0.96609780000000001</v>
      </c>
      <c r="AB8132">
        <v>22</v>
      </c>
      <c r="AC8132">
        <v>10.5121</v>
      </c>
      <c r="AD8132">
        <v>-1.1216432563100001</v>
      </c>
      <c r="AE8132">
        <v>3.05561999999999</v>
      </c>
      <c r="AF8132">
        <v>-2.8325110683635701</v>
      </c>
      <c r="AG8132">
        <v>-1.1216432563100001</v>
      </c>
      <c r="AH8132">
        <v>10.456617439736901</v>
      </c>
      <c r="AI8132">
        <v>95.911059695978096</v>
      </c>
      <c r="AJ8132">
        <v>105.156674144927</v>
      </c>
      <c r="AK8132">
        <v>10.8913750659794</v>
      </c>
      <c r="AL8132">
        <v>95.7302141821405</v>
      </c>
      <c r="AM8132">
        <v>96.428073019569197</v>
      </c>
      <c r="AN8132">
        <v>1.0000000451889099</v>
      </c>
    </row>
    <row r="8133" spans="1:40" x14ac:dyDescent="0.25">
      <c r="A8133" t="str">
        <f>"20190303154337275"</f>
        <v>20190303154337275</v>
      </c>
      <c r="B8133" t="str">
        <f>"1551599017268213"</f>
        <v>1551599017268213</v>
      </c>
      <c r="C8133" t="s">
        <v>40</v>
      </c>
      <c r="D8133">
        <v>5.3396429999999997</v>
      </c>
      <c r="E8133">
        <v>0.44378719999999999</v>
      </c>
      <c r="F8133" t="s">
        <v>58</v>
      </c>
      <c r="G8133">
        <v>-203.2687</v>
      </c>
      <c r="H8133" s="1">
        <v>-4.2673599999999997E-6</v>
      </c>
      <c r="I8133">
        <v>-59.34563</v>
      </c>
      <c r="J8133">
        <v>-213.70400000000001</v>
      </c>
      <c r="K8133">
        <v>1.1216999999999999</v>
      </c>
      <c r="L8133">
        <v>-62.393709999999999</v>
      </c>
      <c r="M8133">
        <v>0.99971730000000003</v>
      </c>
      <c r="N8133">
        <v>-1.452312E-2</v>
      </c>
      <c r="O8133">
        <v>1.882824E-2</v>
      </c>
      <c r="P8133">
        <v>0.98475480000000004</v>
      </c>
      <c r="Q8133">
        <v>-0.113895</v>
      </c>
      <c r="R8133">
        <v>0.13147609999999901</v>
      </c>
      <c r="S8133">
        <v>2.899521</v>
      </c>
      <c r="T8133">
        <v>-0.30867620000000001</v>
      </c>
      <c r="U8133">
        <v>0.83947749999999999</v>
      </c>
      <c r="V8133">
        <v>-0.1127536</v>
      </c>
      <c r="W8133">
        <v>-9.9724789999999994E-2</v>
      </c>
      <c r="X8133">
        <v>0.98860590000000004</v>
      </c>
      <c r="Y8133">
        <v>-0.25849490000000003</v>
      </c>
      <c r="Z8133">
        <v>1.3677379999999999E-2</v>
      </c>
      <c r="AA8133">
        <v>0.96591579999999999</v>
      </c>
      <c r="AB8133">
        <v>22</v>
      </c>
      <c r="AC8133">
        <v>10.4353</v>
      </c>
      <c r="AD8133">
        <v>-1.12170426736</v>
      </c>
      <c r="AE8133">
        <v>3.0480799999999899</v>
      </c>
      <c r="AF8133">
        <v>-2.8210078426370599</v>
      </c>
      <c r="AG8133">
        <v>-1.12170426736</v>
      </c>
      <c r="AH8133">
        <v>10.3803359299447</v>
      </c>
      <c r="AI8133">
        <v>95.953190410110906</v>
      </c>
      <c r="AJ8133">
        <v>105.203767655116</v>
      </c>
      <c r="AK8133">
        <v>10.8151597181981</v>
      </c>
      <c r="AL8133">
        <v>95.723322791330901</v>
      </c>
      <c r="AM8133">
        <v>96.506647278266399</v>
      </c>
      <c r="AN8133">
        <v>1.0000000167841501</v>
      </c>
    </row>
    <row r="8134" spans="1:40" x14ac:dyDescent="0.25">
      <c r="A8134" t="str">
        <f>"20190303154337286"</f>
        <v>20190303154337286</v>
      </c>
      <c r="B8134" t="str">
        <f>"1551599017277973"</f>
        <v>1551599017277973</v>
      </c>
      <c r="C8134" t="s">
        <v>40</v>
      </c>
      <c r="D8134">
        <v>5.3961829999999997</v>
      </c>
      <c r="E8134">
        <v>0.44409369999999998</v>
      </c>
      <c r="F8134" t="s">
        <v>58</v>
      </c>
      <c r="G8134">
        <v>-203.24209999999999</v>
      </c>
      <c r="H8134" s="1">
        <v>-4.2782970000000003E-6</v>
      </c>
      <c r="I8134">
        <v>-59.357520000000001</v>
      </c>
      <c r="J8134">
        <v>-213.5977</v>
      </c>
      <c r="K8134">
        <v>1.12178</v>
      </c>
      <c r="L8134">
        <v>-62.39105</v>
      </c>
      <c r="M8134">
        <v>0.99970550000000002</v>
      </c>
      <c r="N8134">
        <v>-1.4522159999999999E-2</v>
      </c>
      <c r="O8134">
        <v>1.9445009999999999E-2</v>
      </c>
      <c r="P8134">
        <v>0.98450510000000002</v>
      </c>
      <c r="Q8134">
        <v>-0.1136567</v>
      </c>
      <c r="R8134">
        <v>0.1335364</v>
      </c>
      <c r="S8134">
        <v>2.898209</v>
      </c>
      <c r="T8134">
        <v>-0.31073779999999901</v>
      </c>
      <c r="U8134">
        <v>0.84109500000000004</v>
      </c>
      <c r="V8134">
        <v>-0.114190899999999</v>
      </c>
      <c r="W8134">
        <v>-9.9512989999999996E-2</v>
      </c>
      <c r="X8134">
        <v>0.98846230000000002</v>
      </c>
      <c r="Y8134">
        <v>-0.25849670000000002</v>
      </c>
      <c r="Z8134">
        <v>1.3702260000000001E-2</v>
      </c>
      <c r="AA8134">
        <v>0.96591499999999997</v>
      </c>
      <c r="AB8134">
        <v>22</v>
      </c>
      <c r="AC8134">
        <v>10.355600000000001</v>
      </c>
      <c r="AD8134">
        <v>-1.121784278297</v>
      </c>
      <c r="AE8134">
        <v>3.0335299999999998</v>
      </c>
      <c r="AF8134">
        <v>-2.8012961477790301</v>
      </c>
      <c r="AG8134">
        <v>-1.121784278297</v>
      </c>
      <c r="AH8134">
        <v>10.301306465825901</v>
      </c>
      <c r="AI8134">
        <v>95.998696650190297</v>
      </c>
      <c r="AJ8134">
        <v>105.212912708632</v>
      </c>
      <c r="AK8134">
        <v>10.7341778901536</v>
      </c>
      <c r="AL8134">
        <v>95.711126644586002</v>
      </c>
      <c r="AM8134">
        <v>96.589813240232999</v>
      </c>
      <c r="AN8134">
        <v>1.0000000576714101</v>
      </c>
    </row>
    <row r="8135" spans="1:40" x14ac:dyDescent="0.25">
      <c r="A8135" t="str">
        <f>"20190303154337298"</f>
        <v>20190303154337298</v>
      </c>
      <c r="B8135" t="str">
        <f>"1551599017288708"</f>
        <v>1551599017288708</v>
      </c>
      <c r="C8135" t="s">
        <v>40</v>
      </c>
      <c r="D8135">
        <v>5.3638870000000001</v>
      </c>
      <c r="E8135">
        <v>0.44437520000000003</v>
      </c>
      <c r="F8135" t="s">
        <v>58</v>
      </c>
      <c r="G8135">
        <v>-203.1883</v>
      </c>
      <c r="H8135" s="1">
        <v>-4.3060550000000004E-6</v>
      </c>
      <c r="I8135">
        <v>-59.355960000000003</v>
      </c>
      <c r="J8135">
        <v>-213.48849999999999</v>
      </c>
      <c r="K8135">
        <v>1.1218629999999901</v>
      </c>
      <c r="L8135">
        <v>-62.388280000000002</v>
      </c>
      <c r="M8135">
        <v>0.99969260000000004</v>
      </c>
      <c r="N8135">
        <v>-1.4521249999999999E-2</v>
      </c>
      <c r="O8135">
        <v>2.0101999999999998E-2</v>
      </c>
      <c r="P8135">
        <v>0.98424710000000004</v>
      </c>
      <c r="Q8135">
        <v>-0.1133497</v>
      </c>
      <c r="R8135">
        <v>0.13568229999999901</v>
      </c>
      <c r="S8135">
        <v>2.8966219999999998</v>
      </c>
      <c r="T8135">
        <v>-0.3121582</v>
      </c>
      <c r="U8135">
        <v>0.84457399999999905</v>
      </c>
      <c r="V8135">
        <v>-0.115674</v>
      </c>
      <c r="W8135">
        <v>-9.9234340000000004E-2</v>
      </c>
      <c r="X8135">
        <v>0.98831780000000002</v>
      </c>
      <c r="Y8135">
        <v>-0.25905899999999998</v>
      </c>
      <c r="Z8135">
        <v>1.373299E-2</v>
      </c>
      <c r="AA8135">
        <v>0.96576390000000001</v>
      </c>
      <c r="AB8135">
        <v>22</v>
      </c>
      <c r="AC8135">
        <v>10.300199999999901</v>
      </c>
      <c r="AD8135">
        <v>-1.12186730605499</v>
      </c>
      <c r="AE8135">
        <v>3.0323199999999999</v>
      </c>
      <c r="AF8135">
        <v>-2.79412781987604</v>
      </c>
      <c r="AG8135">
        <v>-1.12186730605499</v>
      </c>
      <c r="AH8135">
        <v>10.247213723782901</v>
      </c>
      <c r="AI8135">
        <v>96.029456018634903</v>
      </c>
      <c r="AJ8135">
        <v>105.252168721074</v>
      </c>
      <c r="AK8135">
        <v>10.6804084953285</v>
      </c>
      <c r="AL8135">
        <v>95.695082080245101</v>
      </c>
      <c r="AM8135">
        <v>96.675600795625598</v>
      </c>
      <c r="AN8135">
        <v>1.00000000115403</v>
      </c>
    </row>
    <row r="8136" spans="1:40" x14ac:dyDescent="0.25">
      <c r="A8136" t="str">
        <f>"20190303154337309"</f>
        <v>20190303154337309</v>
      </c>
      <c r="B8136" t="str">
        <f>"1551599017298469"</f>
        <v>1551599017298469</v>
      </c>
      <c r="C8136" t="s">
        <v>40</v>
      </c>
      <c r="D8136">
        <v>5.3536780000000004</v>
      </c>
      <c r="E8136">
        <v>0.44485330000000001</v>
      </c>
      <c r="F8136" t="s">
        <v>58</v>
      </c>
      <c r="G8136">
        <v>-203.11019999999999</v>
      </c>
      <c r="H8136" s="1">
        <v>-4.3479600000000003E-6</v>
      </c>
      <c r="I8136">
        <v>-59.346369999999901</v>
      </c>
      <c r="J8136">
        <v>-213.37819999999999</v>
      </c>
      <c r="K8136">
        <v>1.1219589999999999</v>
      </c>
      <c r="L8136">
        <v>-62.385219999999997</v>
      </c>
      <c r="M8136">
        <v>0.99967680000000003</v>
      </c>
      <c r="N8136">
        <v>-1.4521070000000001E-2</v>
      </c>
      <c r="O8136">
        <v>2.0866160000000002E-2</v>
      </c>
      <c r="P8136">
        <v>0.98404740000000002</v>
      </c>
      <c r="Q8136">
        <v>-0.1126331</v>
      </c>
      <c r="R8136">
        <v>0.137712</v>
      </c>
      <c r="S8136">
        <v>2.8950200000000001</v>
      </c>
      <c r="T8136">
        <v>-0.31294499999999997</v>
      </c>
      <c r="U8136">
        <v>0.84854130000000005</v>
      </c>
      <c r="V8136">
        <v>-0.1169331</v>
      </c>
      <c r="W8136">
        <v>-9.8547239999999994E-2</v>
      </c>
      <c r="X8136">
        <v>0.98823839999999996</v>
      </c>
      <c r="Y8136">
        <v>-0.2596753</v>
      </c>
      <c r="Z8136">
        <v>1.373358E-2</v>
      </c>
      <c r="AA8136">
        <v>0.96559830000000002</v>
      </c>
      <c r="AB8136">
        <v>22</v>
      </c>
      <c r="AC8136">
        <v>10.267999999999899</v>
      </c>
      <c r="AD8136">
        <v>-1.12196334796</v>
      </c>
      <c r="AE8136">
        <v>3.0388500000000001</v>
      </c>
      <c r="AF8136">
        <v>-2.7932477889499001</v>
      </c>
      <c r="AG8136">
        <v>-1.12196334796</v>
      </c>
      <c r="AH8136">
        <v>10.217017919672699</v>
      </c>
      <c r="AI8136">
        <v>96.046560051497593</v>
      </c>
      <c r="AJ8136">
        <v>105.290545495101</v>
      </c>
      <c r="AK8136">
        <v>10.651220124265199</v>
      </c>
      <c r="AL8136">
        <v>95.655520111550302</v>
      </c>
      <c r="AM8136">
        <v>96.748134742530496</v>
      </c>
      <c r="AN8136">
        <v>1.00000002181089</v>
      </c>
    </row>
    <row r="8137" spans="1:40" x14ac:dyDescent="0.25">
      <c r="A8137" t="str">
        <f>"20190303154337320"</f>
        <v>20190303154337320</v>
      </c>
      <c r="B8137" t="str">
        <f>"1551599017308229"</f>
        <v>1551599017308229</v>
      </c>
      <c r="C8137" t="s">
        <v>40</v>
      </c>
      <c r="D8137">
        <v>5.3476910000000002</v>
      </c>
      <c r="E8137">
        <v>0.44525429999999999</v>
      </c>
      <c r="F8137" t="s">
        <v>58</v>
      </c>
      <c r="G8137">
        <v>-202.93680000000001</v>
      </c>
      <c r="H8137" s="1">
        <v>-4.443111E-6</v>
      </c>
      <c r="I8137">
        <v>-59.315779999999997</v>
      </c>
      <c r="J8137">
        <v>-213.2698</v>
      </c>
      <c r="K8137">
        <v>1.122055</v>
      </c>
      <c r="L8137">
        <v>-62.38214</v>
      </c>
      <c r="M8137">
        <v>0.99965999999999999</v>
      </c>
      <c r="N8137">
        <v>-1.452114E-2</v>
      </c>
      <c r="O8137">
        <v>2.166204E-2</v>
      </c>
      <c r="P8137">
        <v>0.98384079999999996</v>
      </c>
      <c r="Q8137">
        <v>-0.1118963</v>
      </c>
      <c r="R8137">
        <v>0.13977329999999999</v>
      </c>
      <c r="S8137">
        <v>2.8939819999999998</v>
      </c>
      <c r="T8137">
        <v>-0.31096770000000001</v>
      </c>
      <c r="U8137">
        <v>0.85073849999999995</v>
      </c>
      <c r="V8137">
        <v>-0.1181929</v>
      </c>
      <c r="W8137">
        <v>-9.7839850000000006E-2</v>
      </c>
      <c r="X8137">
        <v>0.9881588</v>
      </c>
      <c r="Y8137">
        <v>-0.25969530000000002</v>
      </c>
      <c r="Z8137">
        <v>1.3593259999999999E-2</v>
      </c>
      <c r="AA8137">
        <v>0.96559490000000003</v>
      </c>
      <c r="AB8137">
        <v>22</v>
      </c>
      <c r="AC8137">
        <v>10.332999999999901</v>
      </c>
      <c r="AD8137">
        <v>-1.122059443111</v>
      </c>
      <c r="AE8137">
        <v>3.0663599999999902</v>
      </c>
      <c r="AF8137">
        <v>-2.8113155589005498</v>
      </c>
      <c r="AG8137">
        <v>-1.122059443111</v>
      </c>
      <c r="AH8137">
        <v>10.285537055398301</v>
      </c>
      <c r="AI8137">
        <v>96.007183883836504</v>
      </c>
      <c r="AJ8137">
        <v>105.28709974197299</v>
      </c>
      <c r="AK8137">
        <v>10.721696931156099</v>
      </c>
      <c r="AL8137">
        <v>95.614792918253897</v>
      </c>
      <c r="AM8137">
        <v>96.820699999477597</v>
      </c>
      <c r="AN8137">
        <v>1.0000000059379299</v>
      </c>
    </row>
    <row r="8138" spans="1:40" x14ac:dyDescent="0.25">
      <c r="A8138" t="str">
        <f>"20190303154337332"</f>
        <v>20190303154337332</v>
      </c>
      <c r="B8138" t="str">
        <f>"1551599017328724"</f>
        <v>1551599017328724</v>
      </c>
      <c r="C8138" t="s">
        <v>40</v>
      </c>
      <c r="D8138">
        <v>5.3228970000000002</v>
      </c>
      <c r="E8138">
        <v>0.44600230000000002</v>
      </c>
      <c r="F8138" t="s">
        <v>58</v>
      </c>
      <c r="G8138">
        <v>-202.77510000000001</v>
      </c>
      <c r="H8138" s="1">
        <v>-4.5321850000000002E-6</v>
      </c>
      <c r="I8138">
        <v>-59.285519999999998</v>
      </c>
      <c r="J8138">
        <v>-213.15289999999999</v>
      </c>
      <c r="K8138">
        <v>1.122153</v>
      </c>
      <c r="L8138">
        <v>-62.378599999999999</v>
      </c>
      <c r="M8138">
        <v>0.99963939999999996</v>
      </c>
      <c r="N8138">
        <v>-1.452166E-2</v>
      </c>
      <c r="O8138">
        <v>2.2591920000000001E-2</v>
      </c>
      <c r="P8138">
        <v>0.98361399999999999</v>
      </c>
      <c r="Q8138">
        <v>-0.11126809999999999</v>
      </c>
      <c r="R8138">
        <v>0.1418565</v>
      </c>
      <c r="S8138">
        <v>2.8928379999999998</v>
      </c>
      <c r="T8138">
        <v>-0.30929299999999998</v>
      </c>
      <c r="U8138">
        <v>0.85357669999999997</v>
      </c>
      <c r="V8138">
        <v>-0.1193415</v>
      </c>
      <c r="W8138">
        <v>-9.7242869999999995E-2</v>
      </c>
      <c r="X8138">
        <v>0.98807970000000001</v>
      </c>
      <c r="Y8138">
        <v>-0.25978970000000001</v>
      </c>
      <c r="Z8138">
        <v>1.345739E-2</v>
      </c>
      <c r="AA8138">
        <v>0.96557150000000003</v>
      </c>
      <c r="AB8138">
        <v>22</v>
      </c>
      <c r="AC8138">
        <v>10.377799999999899</v>
      </c>
      <c r="AD8138">
        <v>-1.1221575321849999</v>
      </c>
      <c r="AE8138">
        <v>3.0930800000000001</v>
      </c>
      <c r="AF8138">
        <v>-2.8274492277890002</v>
      </c>
      <c r="AG8138">
        <v>-1.1221575321849999</v>
      </c>
      <c r="AH8138">
        <v>10.3340662699198</v>
      </c>
      <c r="AI8138">
        <v>95.979278269709496</v>
      </c>
      <c r="AJ8138">
        <v>105.30190137337</v>
      </c>
      <c r="AK8138">
        <v>10.772494248495001</v>
      </c>
      <c r="AL8138">
        <v>95.580424454247705</v>
      </c>
      <c r="AM8138">
        <v>96.886896154158904</v>
      </c>
      <c r="AN8138">
        <v>1.0000000314700801</v>
      </c>
    </row>
    <row r="8139" spans="1:40" x14ac:dyDescent="0.25">
      <c r="A8139" t="str">
        <f>"20190303154337344"</f>
        <v>20190303154337344</v>
      </c>
      <c r="B8139" t="str">
        <f>"1551599017338485"</f>
        <v>1551599017338485</v>
      </c>
      <c r="C8139" t="s">
        <v>40</v>
      </c>
      <c r="D8139">
        <v>5.368112</v>
      </c>
      <c r="E8139">
        <v>0.44629000000000002</v>
      </c>
      <c r="F8139" t="s">
        <v>58</v>
      </c>
      <c r="G8139">
        <v>-202.643</v>
      </c>
      <c r="H8139" s="1">
        <v>-4.6016359999999901E-6</v>
      </c>
      <c r="I8139">
        <v>-59.275860000000002</v>
      </c>
      <c r="J8139">
        <v>-213.04660000000001</v>
      </c>
      <c r="K8139">
        <v>1.122239</v>
      </c>
      <c r="L8139">
        <v>-62.37518</v>
      </c>
      <c r="M8139">
        <v>0.99961800000000001</v>
      </c>
      <c r="N8139">
        <v>-1.45224E-2</v>
      </c>
      <c r="O8139">
        <v>2.3516530000000001E-2</v>
      </c>
      <c r="P8139">
        <v>0.98337410000000003</v>
      </c>
      <c r="Q8139">
        <v>-0.11111790000000001</v>
      </c>
      <c r="R8139">
        <v>0.1436269</v>
      </c>
      <c r="S8139">
        <v>2.891937</v>
      </c>
      <c r="T8139">
        <v>-0.30877599999999999</v>
      </c>
      <c r="U8139">
        <v>0.85375979999999996</v>
      </c>
      <c r="V8139">
        <v>-0.1201858</v>
      </c>
      <c r="W8139">
        <v>-9.7119960000000005E-2</v>
      </c>
      <c r="X8139">
        <v>0.98798940000000002</v>
      </c>
      <c r="Y8139">
        <v>-0.25904650000000001</v>
      </c>
      <c r="Z8139">
        <v>1.331477E-2</v>
      </c>
      <c r="AA8139">
        <v>0.96577310000000005</v>
      </c>
      <c r="AB8139">
        <v>22</v>
      </c>
      <c r="AC8139">
        <v>10.403600000000001</v>
      </c>
      <c r="AD8139">
        <v>-1.122243601636</v>
      </c>
      <c r="AE8139">
        <v>3.0993200000000098</v>
      </c>
      <c r="AF8139">
        <v>-2.8236028724828302</v>
      </c>
      <c r="AG8139">
        <v>-1.122243601636</v>
      </c>
      <c r="AH8139">
        <v>10.3628613696453</v>
      </c>
      <c r="AI8139">
        <v>95.964939938239198</v>
      </c>
      <c r="AJ8139">
        <v>105.241572845169</v>
      </c>
      <c r="AK8139">
        <v>10.799123096316301</v>
      </c>
      <c r="AL8139">
        <v>95.573349004953101</v>
      </c>
      <c r="AM8139">
        <v>96.935773401622598</v>
      </c>
      <c r="AN8139">
        <v>0.99999998383220001</v>
      </c>
    </row>
    <row r="8140" spans="1:40" x14ac:dyDescent="0.25">
      <c r="A8140" t="str">
        <f>"20190303154337354"</f>
        <v>20190303154337354</v>
      </c>
      <c r="B8140" t="str">
        <f>"1551599017348244"</f>
        <v>1551599017348244</v>
      </c>
      <c r="C8140" t="s">
        <v>40</v>
      </c>
      <c r="D8140">
        <v>5.3674339999999896</v>
      </c>
      <c r="E8140">
        <v>0.44658320000000001</v>
      </c>
      <c r="F8140" t="s">
        <v>58</v>
      </c>
      <c r="G8140">
        <v>-202.55590000000001</v>
      </c>
      <c r="H8140" s="1">
        <v>-4.6481079999999998E-6</v>
      </c>
      <c r="I8140">
        <v>-59.266460000000002</v>
      </c>
      <c r="J8140">
        <v>-212.9391</v>
      </c>
      <c r="K8140">
        <v>1.1223259999999999</v>
      </c>
      <c r="L8140">
        <v>-62.371609999999997</v>
      </c>
      <c r="M8140">
        <v>0.99959469999999995</v>
      </c>
      <c r="N8140">
        <v>-1.452315E-2</v>
      </c>
      <c r="O8140">
        <v>2.4485630000000001E-2</v>
      </c>
      <c r="P8140">
        <v>0.98310039999999999</v>
      </c>
      <c r="Q8140">
        <v>-0.1112255</v>
      </c>
      <c r="R8140">
        <v>0.14540520000000001</v>
      </c>
      <c r="S8140">
        <v>2.8906860000000001</v>
      </c>
      <c r="T8140">
        <v>-0.30923089999999998</v>
      </c>
      <c r="U8140">
        <v>0.85659789999999902</v>
      </c>
      <c r="V8140">
        <v>-0.1209935</v>
      </c>
      <c r="W8140">
        <v>-9.7255240000000007E-2</v>
      </c>
      <c r="X8140">
        <v>0.98787749999999996</v>
      </c>
      <c r="Y8140">
        <v>-0.25909470000000001</v>
      </c>
      <c r="Z8140">
        <v>1.3250049999999999E-2</v>
      </c>
      <c r="AA8140">
        <v>0.96576099999999998</v>
      </c>
      <c r="AB8140">
        <v>22</v>
      </c>
      <c r="AC8140">
        <v>10.383199999999899</v>
      </c>
      <c r="AD8140">
        <v>-1.122330648108</v>
      </c>
      <c r="AE8140">
        <v>3.1051500000000001</v>
      </c>
      <c r="AF8140">
        <v>-2.8197127237464601</v>
      </c>
      <c r="AG8140">
        <v>-1.122330648108</v>
      </c>
      <c r="AH8140">
        <v>10.345178664869501</v>
      </c>
      <c r="AI8140">
        <v>95.975387054114094</v>
      </c>
      <c r="AJ8140">
        <v>105.246356737246</v>
      </c>
      <c r="AK8140">
        <v>10.7811468562585</v>
      </c>
      <c r="AL8140">
        <v>95.581136856090595</v>
      </c>
      <c r="AM8140">
        <v>96.982709274048901</v>
      </c>
      <c r="AN8140">
        <v>0.99999998187797801</v>
      </c>
    </row>
    <row r="8141" spans="1:40" x14ac:dyDescent="0.25">
      <c r="A8141" t="str">
        <f>"20190303154337366"</f>
        <v>20190303154337366</v>
      </c>
      <c r="B8141" t="str">
        <f>"1551599017358004"</f>
        <v>1551599017358004</v>
      </c>
      <c r="C8141" t="s">
        <v>40</v>
      </c>
      <c r="D8141">
        <v>5.3636759999999999</v>
      </c>
      <c r="E8141">
        <v>0.44687300000000002</v>
      </c>
      <c r="F8141" t="s">
        <v>58</v>
      </c>
      <c r="G8141">
        <v>-202.4983</v>
      </c>
      <c r="H8141" s="1">
        <v>-4.6776080000000001E-6</v>
      </c>
      <c r="I8141">
        <v>-59.265839999999997</v>
      </c>
      <c r="J8141">
        <v>-212.83090000000001</v>
      </c>
      <c r="K8141">
        <v>1.122406</v>
      </c>
      <c r="L8141">
        <v>-62.367769999999901</v>
      </c>
      <c r="M8141">
        <v>0.9995676</v>
      </c>
      <c r="N8141">
        <v>-1.452411E-2</v>
      </c>
      <c r="O8141">
        <v>2.5570209999999999E-2</v>
      </c>
      <c r="P8141">
        <v>0.98276629999999998</v>
      </c>
      <c r="Q8141">
        <v>-0.1114219</v>
      </c>
      <c r="R8141">
        <v>0.1474984</v>
      </c>
      <c r="S8141">
        <v>2.889313</v>
      </c>
      <c r="T8141">
        <v>-0.31058439999999998</v>
      </c>
      <c r="U8141">
        <v>0.85946659999999997</v>
      </c>
      <c r="V8141">
        <v>-0.122005</v>
      </c>
      <c r="W8141">
        <v>-9.7478999999999996E-2</v>
      </c>
      <c r="X8141">
        <v>0.98773100000000003</v>
      </c>
      <c r="Y8141">
        <v>-0.25904559999999999</v>
      </c>
      <c r="Z8141">
        <v>1.320065E-2</v>
      </c>
      <c r="AA8141">
        <v>0.96577489999999999</v>
      </c>
      <c r="AB8141">
        <v>22</v>
      </c>
      <c r="AC8141">
        <v>10.332599999999999</v>
      </c>
      <c r="AD8141">
        <v>-1.1224106776080001</v>
      </c>
      <c r="AE8141">
        <v>3.1019299999999799</v>
      </c>
      <c r="AF8141">
        <v>-2.8063040878141301</v>
      </c>
      <c r="AG8141">
        <v>-1.1224106776080001</v>
      </c>
      <c r="AH8141">
        <v>10.297085323466501</v>
      </c>
      <c r="AI8141">
        <v>96.003561247588493</v>
      </c>
      <c r="AJ8141">
        <v>105.24480199211</v>
      </c>
      <c r="AK8141">
        <v>10.731501037657299</v>
      </c>
      <c r="AL8141">
        <v>95.594018735147799</v>
      </c>
      <c r="AM8141">
        <v>97.041534699340801</v>
      </c>
      <c r="AN8141">
        <v>0.999999951913498</v>
      </c>
    </row>
    <row r="8142" spans="1:40" x14ac:dyDescent="0.25">
      <c r="A8142" t="str">
        <f>"20190303154337378"</f>
        <v>20190303154337378</v>
      </c>
      <c r="B8142" t="str">
        <f>"1551599017368740"</f>
        <v>1551599017368740</v>
      </c>
      <c r="C8142" t="s">
        <v>40</v>
      </c>
      <c r="D8142">
        <v>5.384614</v>
      </c>
      <c r="E8142">
        <v>0.44714540000000003</v>
      </c>
      <c r="F8142" t="s">
        <v>58</v>
      </c>
      <c r="G8142">
        <v>-202.47620000000001</v>
      </c>
      <c r="H8142" s="1">
        <v>-4.6874199999999999E-6</v>
      </c>
      <c r="I8142">
        <v>-59.272399999999998</v>
      </c>
      <c r="J8142">
        <v>-212.71539999999999</v>
      </c>
      <c r="K8142">
        <v>1.1224829999999999</v>
      </c>
      <c r="L8142">
        <v>-62.363529999999997</v>
      </c>
      <c r="M8142">
        <v>0.99953630000000004</v>
      </c>
      <c r="N8142">
        <v>-1.4525059999999999E-2</v>
      </c>
      <c r="O8142">
        <v>2.6765069999999998E-2</v>
      </c>
      <c r="P8142">
        <v>0.98240890000000003</v>
      </c>
      <c r="Q8142">
        <v>-0.1116423</v>
      </c>
      <c r="R8142">
        <v>0.149696</v>
      </c>
      <c r="S8142">
        <v>2.8875890000000002</v>
      </c>
      <c r="T8142">
        <v>-0.31300149999999999</v>
      </c>
      <c r="U8142">
        <v>0.86318969999999995</v>
      </c>
      <c r="V8142">
        <v>-0.1230126</v>
      </c>
      <c r="W8142">
        <v>-9.7728129999999996E-2</v>
      </c>
      <c r="X8142">
        <v>0.98758140000000005</v>
      </c>
      <c r="Y8142">
        <v>-0.25917459999999998</v>
      </c>
      <c r="Z8142">
        <v>1.318857E-2</v>
      </c>
      <c r="AA8142">
        <v>0.96574040000000005</v>
      </c>
      <c r="AB8142">
        <v>22</v>
      </c>
      <c r="AC8142">
        <v>10.239199999999901</v>
      </c>
      <c r="AD8142">
        <v>-1.1224876874199901</v>
      </c>
      <c r="AE8142">
        <v>3.0911300000000002</v>
      </c>
      <c r="AF8142">
        <v>-2.78526325504455</v>
      </c>
      <c r="AG8142">
        <v>-1.1224876874199901</v>
      </c>
      <c r="AH8142">
        <v>10.205865098427299</v>
      </c>
      <c r="AI8142">
        <v>96.056665381819599</v>
      </c>
      <c r="AJ8142">
        <v>105.26476163620799</v>
      </c>
      <c r="AK8142">
        <v>10.6384844980668</v>
      </c>
      <c r="AL8142">
        <v>95.608361299957394</v>
      </c>
      <c r="AM8142">
        <v>97.100161908008502</v>
      </c>
      <c r="AN8142">
        <v>0.99999995438900702</v>
      </c>
    </row>
    <row r="8143" spans="1:40" x14ac:dyDescent="0.25">
      <c r="A8143" t="str">
        <f>"20190303154337389"</f>
        <v>20190303154337389</v>
      </c>
      <c r="B8143" t="str">
        <f>"1551599017378501"</f>
        <v>1551599017378501</v>
      </c>
      <c r="C8143" t="s">
        <v>40</v>
      </c>
      <c r="D8143">
        <v>5.3971619999999998</v>
      </c>
      <c r="E8143">
        <v>0.44740920000000001</v>
      </c>
      <c r="F8143" t="s">
        <v>58</v>
      </c>
      <c r="G8143">
        <v>-202.4434</v>
      </c>
      <c r="H8143" s="1">
        <v>-4.7034310000000004E-6</v>
      </c>
      <c r="I8143">
        <v>-59.275570000000002</v>
      </c>
      <c r="J8143">
        <v>-212.6046</v>
      </c>
      <c r="K8143">
        <v>1.122557</v>
      </c>
      <c r="L8143">
        <v>-62.359219999999901</v>
      </c>
      <c r="M8143">
        <v>0.99950220000000001</v>
      </c>
      <c r="N8143">
        <v>-1.452619E-2</v>
      </c>
      <c r="O8143">
        <v>2.8010119999999999E-2</v>
      </c>
      <c r="P8143">
        <v>0.98203149999999995</v>
      </c>
      <c r="Q8143">
        <v>-0.11216039999999999</v>
      </c>
      <c r="R8143">
        <v>0.15177099999999999</v>
      </c>
      <c r="S8143">
        <v>2.8856959999999998</v>
      </c>
      <c r="T8143">
        <v>-0.31533840000000002</v>
      </c>
      <c r="U8143">
        <v>0.86749270000000001</v>
      </c>
      <c r="V8143">
        <v>-0.1238503</v>
      </c>
      <c r="W8143">
        <v>-9.8272380000000006E-2</v>
      </c>
      <c r="X8143">
        <v>0.98742269999999999</v>
      </c>
      <c r="Y8143">
        <v>-0.25944909999999999</v>
      </c>
      <c r="Z8143">
        <v>1.3176459999999999E-2</v>
      </c>
      <c r="AA8143">
        <v>0.96566689999999999</v>
      </c>
      <c r="AB8143">
        <v>22</v>
      </c>
      <c r="AC8143">
        <v>10.161199999999999</v>
      </c>
      <c r="AD8143">
        <v>-1.122561703431</v>
      </c>
      <c r="AE8143">
        <v>3.0836499999999898</v>
      </c>
      <c r="AF8143">
        <v>-2.7668720382759102</v>
      </c>
      <c r="AG8143">
        <v>-1.122561703431</v>
      </c>
      <c r="AH8143">
        <v>10.130382025445501</v>
      </c>
      <c r="AI8143">
        <v>96.101519210616004</v>
      </c>
      <c r="AJ8143">
        <v>105.276387268736</v>
      </c>
      <c r="AK8143">
        <v>10.561267236258701</v>
      </c>
      <c r="AL8143">
        <v>95.639695254572999</v>
      </c>
      <c r="AM8143">
        <v>97.149151577321007</v>
      </c>
      <c r="AN8143">
        <v>0.99999997297812104</v>
      </c>
    </row>
    <row r="8144" spans="1:40" x14ac:dyDescent="0.25">
      <c r="A8144" t="str">
        <f>"20190303154337399"</f>
        <v>20190303154337399</v>
      </c>
      <c r="B8144" t="str">
        <f>"1551599017388260"</f>
        <v>1551599017388260</v>
      </c>
      <c r="C8144" t="s">
        <v>40</v>
      </c>
      <c r="D8144">
        <v>5.416982</v>
      </c>
      <c r="E8144">
        <v>0.4476559</v>
      </c>
      <c r="F8144" t="s">
        <v>58</v>
      </c>
      <c r="G8144">
        <v>-202.44309999999999</v>
      </c>
      <c r="H8144" s="1">
        <v>-4.7006079999999997E-6</v>
      </c>
      <c r="I8144">
        <v>-59.288870000000003</v>
      </c>
      <c r="J8144">
        <v>-212.50919999999999</v>
      </c>
      <c r="K8144">
        <v>1.1226160000000001</v>
      </c>
      <c r="L8144">
        <v>-62.355350000000001</v>
      </c>
      <c r="M8144">
        <v>0.99947050000000004</v>
      </c>
      <c r="N8144">
        <v>-1.4527200000000001E-2</v>
      </c>
      <c r="O8144">
        <v>2.9117770000000001E-2</v>
      </c>
      <c r="P8144">
        <v>0.98170970000000002</v>
      </c>
      <c r="Q8144">
        <v>-0.1123079</v>
      </c>
      <c r="R8144">
        <v>0.1537316</v>
      </c>
      <c r="S8144">
        <v>2.8838349999999999</v>
      </c>
      <c r="T8144">
        <v>-0.31858399999999998</v>
      </c>
      <c r="U8144">
        <v>0.87136840000000004</v>
      </c>
      <c r="V8144">
        <v>-0.12471160000000001</v>
      </c>
      <c r="W8144">
        <v>-9.8441979999999998E-2</v>
      </c>
      <c r="X8144">
        <v>0.98729739999999999</v>
      </c>
      <c r="Y8144">
        <v>-0.2597141</v>
      </c>
      <c r="Z8144">
        <v>1.3205669999999999E-2</v>
      </c>
      <c r="AA8144">
        <v>0.96559519999999999</v>
      </c>
      <c r="AB8144">
        <v>22</v>
      </c>
      <c r="AC8144">
        <v>10.0661</v>
      </c>
      <c r="AD8144">
        <v>-1.122620700608</v>
      </c>
      <c r="AE8144">
        <v>3.0664799999999999</v>
      </c>
      <c r="AF8144">
        <v>-2.7408510255253602</v>
      </c>
      <c r="AG8144">
        <v>-1.122620700608</v>
      </c>
      <c r="AH8144">
        <v>10.036893837920699</v>
      </c>
      <c r="AI8144">
        <v>96.158313378587906</v>
      </c>
      <c r="AJ8144">
        <v>105.273800465593</v>
      </c>
      <c r="AK8144">
        <v>10.464787599146399</v>
      </c>
      <c r="AL8144">
        <v>95.649459919112601</v>
      </c>
      <c r="AM8144">
        <v>97.199253600840393</v>
      </c>
      <c r="AN8144">
        <v>0.99999998132381995</v>
      </c>
    </row>
    <row r="8145" spans="1:40" x14ac:dyDescent="0.25">
      <c r="A8145" t="str">
        <f>"20190303154337410"</f>
        <v>20190303154337410</v>
      </c>
      <c r="B8145" t="str">
        <f>"1551599017398021"</f>
        <v>1551599017398021</v>
      </c>
      <c r="C8145" t="s">
        <v>40</v>
      </c>
      <c r="D8145">
        <v>5.3859430000000001</v>
      </c>
      <c r="E8145">
        <v>0.4479166</v>
      </c>
      <c r="F8145" t="s">
        <v>58</v>
      </c>
      <c r="G8145">
        <v>-202.4008</v>
      </c>
      <c r="H8145" s="1">
        <v>-4.7228269999999996E-6</v>
      </c>
      <c r="I8145">
        <v>-59.285969999999899</v>
      </c>
      <c r="J8145">
        <v>-212.4041</v>
      </c>
      <c r="K8145">
        <v>1.1226769999999999</v>
      </c>
      <c r="L8145">
        <v>-62.35089</v>
      </c>
      <c r="M8145">
        <v>0.99943230000000005</v>
      </c>
      <c r="N8145">
        <v>-1.452849E-2</v>
      </c>
      <c r="O8145">
        <v>3.0397980000000002E-2</v>
      </c>
      <c r="P8145">
        <v>0.98136440000000003</v>
      </c>
      <c r="Q8145">
        <v>-0.1124962</v>
      </c>
      <c r="R8145">
        <v>0.15578429999999999</v>
      </c>
      <c r="S8145">
        <v>2.8822480000000001</v>
      </c>
      <c r="T8145">
        <v>-0.32009739999999998</v>
      </c>
      <c r="U8145">
        <v>0.87518309999999999</v>
      </c>
      <c r="V8145">
        <v>-0.12549569999999999</v>
      </c>
      <c r="W8145">
        <v>-9.8652409999999996E-2</v>
      </c>
      <c r="X8145">
        <v>0.98717710000000003</v>
      </c>
      <c r="Y8145">
        <v>-0.25978630000000003</v>
      </c>
      <c r="Z8145">
        <v>1.3145570000000001E-2</v>
      </c>
      <c r="AA8145">
        <v>0.96557660000000001</v>
      </c>
      <c r="AB8145">
        <v>22</v>
      </c>
      <c r="AC8145">
        <v>10.0032999999999</v>
      </c>
      <c r="AD8145">
        <v>-1.1226817228270001</v>
      </c>
      <c r="AE8145">
        <v>3.0649199999999999</v>
      </c>
      <c r="AF8145">
        <v>-2.72797880945576</v>
      </c>
      <c r="AG8145">
        <v>-1.1226817228270001</v>
      </c>
      <c r="AH8145">
        <v>9.9769699868508006</v>
      </c>
      <c r="AI8145">
        <v>96.194801926006406</v>
      </c>
      <c r="AJ8145">
        <v>105.292459118764</v>
      </c>
      <c r="AK8145">
        <v>10.403951785457799</v>
      </c>
      <c r="AL8145">
        <v>95.6615752677627</v>
      </c>
      <c r="AM8145">
        <v>97.244911560315302</v>
      </c>
      <c r="AN8145">
        <v>1.0000000477408499</v>
      </c>
    </row>
    <row r="8146" spans="1:40" x14ac:dyDescent="0.25">
      <c r="A8146" t="str">
        <f>"20190303154337421"</f>
        <v>20190303154337421</v>
      </c>
      <c r="B8146" t="str">
        <f>"1551599017418517"</f>
        <v>1551599017418517</v>
      </c>
      <c r="C8146" t="s">
        <v>40</v>
      </c>
      <c r="D8146">
        <v>5.4017619999999997</v>
      </c>
      <c r="E8146">
        <v>0.44836540000000003</v>
      </c>
      <c r="F8146" t="s">
        <v>58</v>
      </c>
      <c r="G8146">
        <v>-202.3595</v>
      </c>
      <c r="H8146" s="1">
        <v>-4.743916E-6</v>
      </c>
      <c r="I8146">
        <v>-59.285649999999997</v>
      </c>
      <c r="J8146">
        <v>-212.3082</v>
      </c>
      <c r="K8146">
        <v>1.1227210000000001</v>
      </c>
      <c r="L8146">
        <v>-62.346679999999999</v>
      </c>
      <c r="M8146">
        <v>0.99939480000000003</v>
      </c>
      <c r="N8146">
        <v>-1.4529729999999999E-2</v>
      </c>
      <c r="O8146">
        <v>3.1606250000000002E-2</v>
      </c>
      <c r="P8146">
        <v>0.98105249999999999</v>
      </c>
      <c r="Q8146">
        <v>-0.1128581</v>
      </c>
      <c r="R8146">
        <v>0.15747820000000001</v>
      </c>
      <c r="S8146">
        <v>2.8805239999999999</v>
      </c>
      <c r="T8146">
        <v>-0.32195430000000003</v>
      </c>
      <c r="U8146">
        <v>0.87902829999999998</v>
      </c>
      <c r="V8146">
        <v>-0.1259931</v>
      </c>
      <c r="W8146">
        <v>-9.9032800000000004E-2</v>
      </c>
      <c r="X8146">
        <v>0.98707560000000005</v>
      </c>
      <c r="Y8146">
        <v>-0.25994640000000002</v>
      </c>
      <c r="Z8146">
        <v>1.310822E-2</v>
      </c>
      <c r="AA8146">
        <v>0.96553409999999995</v>
      </c>
      <c r="AB8146">
        <v>22</v>
      </c>
      <c r="AC8146">
        <v>9.9487000000000005</v>
      </c>
      <c r="AD8146">
        <v>-1.1227257439160001</v>
      </c>
      <c r="AE8146">
        <v>3.0610300000000001</v>
      </c>
      <c r="AF8146">
        <v>-2.7134574866953498</v>
      </c>
      <c r="AG8146">
        <v>-1.1227257439160001</v>
      </c>
      <c r="AH8146">
        <v>9.9250179204952804</v>
      </c>
      <c r="AI8146">
        <v>96.227266579196495</v>
      </c>
      <c r="AJ8146">
        <v>105.290760730805</v>
      </c>
      <c r="AK8146">
        <v>10.3503306879687</v>
      </c>
      <c r="AL8146">
        <v>95.683477541969495</v>
      </c>
      <c r="AM8146">
        <v>97.274059638828703</v>
      </c>
      <c r="AN8146">
        <v>0.99999999841940501</v>
      </c>
    </row>
    <row r="8147" spans="1:40" x14ac:dyDescent="0.25">
      <c r="A8147" t="str">
        <f>"20190303154337432"</f>
        <v>20190303154337432</v>
      </c>
      <c r="B8147" t="str">
        <f>"1551599017428276"</f>
        <v>1551599017428276</v>
      </c>
      <c r="C8147" t="s">
        <v>40</v>
      </c>
      <c r="D8147">
        <v>5.5126330000000001</v>
      </c>
      <c r="E8147">
        <v>0.44836540000000003</v>
      </c>
      <c r="F8147" t="s">
        <v>58</v>
      </c>
      <c r="G8147">
        <v>-202.37209999999999</v>
      </c>
      <c r="H8147" s="1">
        <v>-4.7324819999999999E-6</v>
      </c>
      <c r="I8147">
        <v>-59.308410000000002</v>
      </c>
      <c r="J8147">
        <v>-212.1935</v>
      </c>
      <c r="K8147">
        <v>1.122779</v>
      </c>
      <c r="L8147">
        <v>-62.341459999999998</v>
      </c>
      <c r="M8147">
        <v>0.99934639999999997</v>
      </c>
      <c r="N8147">
        <v>-1.4531280000000001E-2</v>
      </c>
      <c r="O8147">
        <v>3.3100739999999997E-2</v>
      </c>
      <c r="P8147">
        <v>0.98066509999999996</v>
      </c>
      <c r="Q8147">
        <v>-0.1134896</v>
      </c>
      <c r="R8147">
        <v>0.1594245</v>
      </c>
      <c r="S8147">
        <v>2.8792110000000002</v>
      </c>
      <c r="T8147">
        <v>-0.32533289999999998</v>
      </c>
      <c r="U8147">
        <v>0.88040160000000001</v>
      </c>
      <c r="V8147">
        <v>-0.12645970000000001</v>
      </c>
      <c r="W8147">
        <v>-9.9684690000000006E-2</v>
      </c>
      <c r="X8147">
        <v>0.98695029999999995</v>
      </c>
      <c r="Y8147">
        <v>-0.2590287</v>
      </c>
      <c r="Z8147">
        <v>1.3024259999999999E-2</v>
      </c>
      <c r="AA8147">
        <v>0.96578180000000002</v>
      </c>
      <c r="AB8147">
        <v>21</v>
      </c>
      <c r="AC8147">
        <v>9.8214000000000095</v>
      </c>
      <c r="AD8147">
        <v>-1.122783732482</v>
      </c>
      <c r="AE8147">
        <v>3.0330499999999998</v>
      </c>
      <c r="AF8147">
        <v>-2.6743494418792499</v>
      </c>
      <c r="AG8147">
        <v>-1.122783732482</v>
      </c>
      <c r="AH8147">
        <v>9.7995037851552205</v>
      </c>
      <c r="AI8147">
        <v>96.3074890301381</v>
      </c>
      <c r="AJ8147">
        <v>105.264682629796</v>
      </c>
      <c r="AK8147">
        <v>10.2197388754545</v>
      </c>
      <c r="AL8147">
        <v>95.721013856003793</v>
      </c>
      <c r="AM8147">
        <v>97.301624984447599</v>
      </c>
      <c r="AN8147">
        <v>0.999999993907288</v>
      </c>
    </row>
    <row r="8148" spans="1:40" x14ac:dyDescent="0.25">
      <c r="A8148" t="str">
        <f>"20190303154337444"</f>
        <v>20190303154337444</v>
      </c>
      <c r="B8148" t="str">
        <f>"1551599017438037"</f>
        <v>1551599017438037</v>
      </c>
      <c r="C8148" t="s">
        <v>40</v>
      </c>
      <c r="D8148">
        <v>5.6050269999999998</v>
      </c>
      <c r="E8148">
        <v>0.47191660000000002</v>
      </c>
      <c r="F8148" t="s">
        <v>58</v>
      </c>
      <c r="G8148">
        <v>-202.32570000000001</v>
      </c>
      <c r="H8148" s="1">
        <v>-4.7574289999999997E-6</v>
      </c>
      <c r="I8148">
        <v>-59.302529999999997</v>
      </c>
      <c r="J8148">
        <v>-212.0822</v>
      </c>
      <c r="K8148">
        <v>1.122825</v>
      </c>
      <c r="L8148">
        <v>-62.336060000000003</v>
      </c>
      <c r="M8148">
        <v>0.99929539999999994</v>
      </c>
      <c r="N8148">
        <v>-1.4532750000000001E-2</v>
      </c>
      <c r="O8148">
        <v>3.460858E-2</v>
      </c>
      <c r="P8148">
        <v>0.98028780000000004</v>
      </c>
      <c r="Q8148">
        <v>-0.11403580000000001</v>
      </c>
      <c r="R8148">
        <v>0.16134389999999901</v>
      </c>
      <c r="S8148">
        <v>2.8772280000000001</v>
      </c>
      <c r="T8148">
        <v>-0.32737670000000002</v>
      </c>
      <c r="U8148">
        <v>0.88607789999999997</v>
      </c>
      <c r="V8148">
        <v>-0.12688969999999999</v>
      </c>
      <c r="W8148">
        <v>-0.1002488</v>
      </c>
      <c r="X8148">
        <v>0.98683799999999999</v>
      </c>
      <c r="Y8148">
        <v>-0.2594842</v>
      </c>
      <c r="Z8148">
        <v>1.2978770000000001E-2</v>
      </c>
      <c r="AA8148">
        <v>0.96566019999999997</v>
      </c>
      <c r="AB8148">
        <v>21</v>
      </c>
      <c r="AC8148">
        <v>9.7564999999999795</v>
      </c>
      <c r="AD8148">
        <v>-1.122829757429</v>
      </c>
      <c r="AE8148">
        <v>3.0335299999999901</v>
      </c>
      <c r="AF8148">
        <v>-2.6618704818730601</v>
      </c>
      <c r="AG8148">
        <v>-1.122829757429</v>
      </c>
      <c r="AH8148">
        <v>9.7380440832167796</v>
      </c>
      <c r="AI8148">
        <v>96.346526175379097</v>
      </c>
      <c r="AJ8148">
        <v>105.28819229552801</v>
      </c>
      <c r="AK8148">
        <v>10.157549098729801</v>
      </c>
      <c r="AL8148">
        <v>95.753497500441597</v>
      </c>
      <c r="AM8148">
        <v>97.327008007196298</v>
      </c>
      <c r="AN8148">
        <v>1.0000000280557599</v>
      </c>
    </row>
    <row r="8149" spans="1:40" x14ac:dyDescent="0.25">
      <c r="A8149" t="str">
        <f>"20190303154337457"</f>
        <v>20190303154337457</v>
      </c>
      <c r="B8149" t="str">
        <f>"1551599017448772"</f>
        <v>1551599017448772</v>
      </c>
      <c r="C8149" t="s">
        <v>40</v>
      </c>
      <c r="D8149">
        <v>5.5475320000000004</v>
      </c>
      <c r="E8149">
        <v>0.4826355</v>
      </c>
      <c r="F8149" t="s">
        <v>58</v>
      </c>
      <c r="G8149">
        <v>-202.2047</v>
      </c>
      <c r="H8149" s="1">
        <v>-4.6786699999999901E-6</v>
      </c>
      <c r="I8149">
        <v>-59.9358</v>
      </c>
      <c r="J8149">
        <v>-211.96430000000001</v>
      </c>
      <c r="K8149">
        <v>1.1228720000000001</v>
      </c>
      <c r="L8149">
        <v>-62.33023</v>
      </c>
      <c r="M8149">
        <v>0.99923759999999995</v>
      </c>
      <c r="N8149">
        <v>-1.4534170000000001E-2</v>
      </c>
      <c r="O8149">
        <v>3.6233059999999997E-2</v>
      </c>
      <c r="P8149">
        <v>0.97983160000000002</v>
      </c>
      <c r="Q8149">
        <v>-0.1148275</v>
      </c>
      <c r="R8149">
        <v>0.16353709999999999</v>
      </c>
      <c r="S8149">
        <v>2.9056850000000001</v>
      </c>
      <c r="T8149">
        <v>-0.33030330000000002</v>
      </c>
      <c r="U8149">
        <v>0.70608519999999997</v>
      </c>
      <c r="V8149">
        <v>-0.1274796</v>
      </c>
      <c r="W8149">
        <v>-0.10105980000000001</v>
      </c>
      <c r="X8149">
        <v>0.98667919999999998</v>
      </c>
      <c r="Y8149">
        <v>-0.19955500000000001</v>
      </c>
      <c r="Z8149">
        <v>9.0973700000000005E-3</v>
      </c>
      <c r="AA8149">
        <v>0.97984439999999995</v>
      </c>
      <c r="AB8149">
        <v>21</v>
      </c>
      <c r="AC8149">
        <v>9.7596000000000007</v>
      </c>
      <c r="AD8149">
        <v>-1.12287667867</v>
      </c>
      <c r="AE8149">
        <v>2.3944299999999998</v>
      </c>
      <c r="AF8149">
        <v>-2.0140528435564899</v>
      </c>
      <c r="AG8149">
        <v>-1.12287667867</v>
      </c>
      <c r="AH8149">
        <v>9.7186124652144308</v>
      </c>
      <c r="AI8149">
        <v>96.454707712565096</v>
      </c>
      <c r="AJ8149">
        <v>101.70805508869699</v>
      </c>
      <c r="AK8149">
        <v>9.9884277612224892</v>
      </c>
      <c r="AL8149">
        <v>95.800201801244995</v>
      </c>
      <c r="AM8149">
        <v>97.361869643487495</v>
      </c>
      <c r="AN8149">
        <v>0.99999998765241904</v>
      </c>
    </row>
    <row r="8150" spans="1:40" x14ac:dyDescent="0.25">
      <c r="A8150" t="str">
        <f>"20190303154337468"</f>
        <v>20190303154337468</v>
      </c>
      <c r="B8150" t="str">
        <f>"1551599017458533"</f>
        <v>1551599017458533</v>
      </c>
      <c r="C8150" t="s">
        <v>40</v>
      </c>
      <c r="D8150">
        <v>5.5149109999999997</v>
      </c>
      <c r="E8150">
        <v>0.48968200000000001</v>
      </c>
      <c r="F8150" t="s">
        <v>58</v>
      </c>
      <c r="G8150">
        <v>-200.9708</v>
      </c>
      <c r="H8150" s="1">
        <v>-5.3024950000000001E-6</v>
      </c>
      <c r="I8150">
        <v>-59.957749999999997</v>
      </c>
      <c r="J8150">
        <v>-211.84630000000001</v>
      </c>
      <c r="K8150">
        <v>1.1229100000000001</v>
      </c>
      <c r="L8150">
        <v>-62.324039999999997</v>
      </c>
      <c r="M8150">
        <v>0.99917500000000004</v>
      </c>
      <c r="N8150">
        <v>-1.4535319999999999E-2</v>
      </c>
      <c r="O8150">
        <v>3.7925199999999902E-2</v>
      </c>
      <c r="P8150">
        <v>0.97937589999999997</v>
      </c>
      <c r="Q8150">
        <v>-0.11575100000000001</v>
      </c>
      <c r="R8150">
        <v>0.16560459999999999</v>
      </c>
      <c r="S8150">
        <v>2.9215550000000001</v>
      </c>
      <c r="T8150">
        <v>-0.29840729999999999</v>
      </c>
      <c r="U8150">
        <v>0.63049319999999998</v>
      </c>
      <c r="V8150">
        <v>-0.1278803</v>
      </c>
      <c r="W8150">
        <v>-0.1019994</v>
      </c>
      <c r="X8150">
        <v>0.98653069999999998</v>
      </c>
      <c r="Y8150">
        <v>-0.17287669999999999</v>
      </c>
      <c r="Z8150">
        <v>6.7098510000000002E-3</v>
      </c>
      <c r="AA8150">
        <v>0.98492060000000003</v>
      </c>
      <c r="AB8150">
        <v>21</v>
      </c>
      <c r="AC8150">
        <v>10.875500000000001</v>
      </c>
      <c r="AD8150">
        <v>-1.122915302495</v>
      </c>
      <c r="AE8150">
        <v>2.3662899999999998</v>
      </c>
      <c r="AF8150">
        <v>-1.93241806467441</v>
      </c>
      <c r="AG8150">
        <v>-1.122915302495</v>
      </c>
      <c r="AH8150">
        <v>10.8470134574761</v>
      </c>
      <c r="AI8150">
        <v>95.819393312046302</v>
      </c>
      <c r="AJ8150">
        <v>100.101385835089</v>
      </c>
      <c r="AK8150">
        <v>11.0748760399349</v>
      </c>
      <c r="AL8150">
        <v>95.854316274968099</v>
      </c>
      <c r="AM8150">
        <v>97.385854132107596</v>
      </c>
      <c r="AN8150">
        <v>1.0000000353854599</v>
      </c>
    </row>
    <row r="8151" spans="1:40" x14ac:dyDescent="0.25">
      <c r="A8151" t="str">
        <f>"20190303154337479"</f>
        <v>20190303154337479</v>
      </c>
      <c r="B8151" t="str">
        <f>"1551599017468293"</f>
        <v>1551599017468293</v>
      </c>
      <c r="C8151" t="s">
        <v>40</v>
      </c>
      <c r="D8151">
        <v>5.5123959999999999</v>
      </c>
      <c r="E8151">
        <v>0.4931934</v>
      </c>
      <c r="F8151" t="s">
        <v>58</v>
      </c>
      <c r="G8151">
        <v>-200.34289999999999</v>
      </c>
      <c r="H8151" s="1">
        <v>-5.6044629999999999E-6</v>
      </c>
      <c r="I8151">
        <v>-60.038809999999998</v>
      </c>
      <c r="J8151">
        <v>-211.751</v>
      </c>
      <c r="K8151">
        <v>1.1229420000000001</v>
      </c>
      <c r="L8151">
        <v>-62.318939999999998</v>
      </c>
      <c r="M8151">
        <v>0.99912140000000005</v>
      </c>
      <c r="N8151">
        <v>-1.453607E-2</v>
      </c>
      <c r="O8151">
        <v>3.9306729999999998E-2</v>
      </c>
      <c r="P8151">
        <v>0.9789582</v>
      </c>
      <c r="Q8151">
        <v>-0.11659219999999999</v>
      </c>
      <c r="R8151">
        <v>0.16747329999999999</v>
      </c>
      <c r="S8151">
        <v>2.9309080000000001</v>
      </c>
      <c r="T8151">
        <v>-0.28610409999999997</v>
      </c>
      <c r="U8151">
        <v>0.58224489999999995</v>
      </c>
      <c r="V8151">
        <v>-0.12839020000000001</v>
      </c>
      <c r="W8151">
        <v>-0.10285420000000001</v>
      </c>
      <c r="X8151">
        <v>0.98637569999999997</v>
      </c>
      <c r="Y8151">
        <v>-0.155451799999999</v>
      </c>
      <c r="Z8151">
        <v>5.419101E-3</v>
      </c>
      <c r="AA8151">
        <v>0.98782859999999995</v>
      </c>
      <c r="AB8151">
        <v>21</v>
      </c>
      <c r="AC8151">
        <v>11.4080999999999</v>
      </c>
      <c r="AD8151">
        <v>-1.122947604463</v>
      </c>
      <c r="AE8151">
        <v>2.2801300000000002</v>
      </c>
      <c r="AF8151">
        <v>-1.8130129850677501</v>
      </c>
      <c r="AG8151">
        <v>-1.122947604463</v>
      </c>
      <c r="AH8151">
        <v>11.3828605274166</v>
      </c>
      <c r="AI8151">
        <v>95.564450105006202</v>
      </c>
      <c r="AJ8151">
        <v>99.049808427850294</v>
      </c>
      <c r="AK8151">
        <v>11.580912796192401</v>
      </c>
      <c r="AL8151">
        <v>95.903551715605104</v>
      </c>
      <c r="AM8151">
        <v>97.416129055078599</v>
      </c>
      <c r="AN8151">
        <v>1.00000002573208</v>
      </c>
    </row>
    <row r="8152" spans="1:40" x14ac:dyDescent="0.25">
      <c r="A8152" t="str">
        <f>"20190303154337489"</f>
        <v>20190303154337489</v>
      </c>
      <c r="B8152" t="str">
        <f>"1551599017478053"</f>
        <v>1551599017478053</v>
      </c>
      <c r="C8152" t="s">
        <v>40</v>
      </c>
      <c r="D8152">
        <v>5.5108600000000001</v>
      </c>
      <c r="E8152">
        <v>0.49593900000000002</v>
      </c>
      <c r="F8152" t="s">
        <v>58</v>
      </c>
      <c r="G8152">
        <v>-200.08690000000001</v>
      </c>
      <c r="H8152" s="1">
        <v>-5.7210809999999998E-6</v>
      </c>
      <c r="I8152">
        <v>-60.090820000000001</v>
      </c>
      <c r="J8152">
        <v>-211.6516</v>
      </c>
      <c r="K8152">
        <v>1.1229640000000001</v>
      </c>
      <c r="L8152">
        <v>-62.313389999999998</v>
      </c>
      <c r="M8152">
        <v>0.99906249999999996</v>
      </c>
      <c r="N8152">
        <v>-1.453669E-2</v>
      </c>
      <c r="O8152">
        <v>4.077969E-2</v>
      </c>
      <c r="P8152">
        <v>0.97850420000000005</v>
      </c>
      <c r="Q8152">
        <v>-0.117731</v>
      </c>
      <c r="R8152">
        <v>0.16931979999999999</v>
      </c>
      <c r="S8152">
        <v>2.9349210000000001</v>
      </c>
      <c r="T8152">
        <v>-0.28255609999999998</v>
      </c>
      <c r="U8152">
        <v>0.56063839999999998</v>
      </c>
      <c r="V8152">
        <v>-0.12878999999999999</v>
      </c>
      <c r="W8152">
        <v>-0.10400520000000001</v>
      </c>
      <c r="X8152">
        <v>0.98620280000000005</v>
      </c>
      <c r="Y8152">
        <v>-0.1467899</v>
      </c>
      <c r="Z8152">
        <v>4.7758009999999997E-3</v>
      </c>
      <c r="AA8152">
        <v>0.98915620000000004</v>
      </c>
      <c r="AB8152">
        <v>21</v>
      </c>
      <c r="AC8152">
        <v>11.564699999999901</v>
      </c>
      <c r="AD8152">
        <v>-1.1229697210809999</v>
      </c>
      <c r="AE8152">
        <v>2.2225700000000099</v>
      </c>
      <c r="AF8152">
        <v>-1.73330486760637</v>
      </c>
      <c r="AG8152">
        <v>-1.1229697210809999</v>
      </c>
      <c r="AH8152">
        <v>11.5407809310495</v>
      </c>
      <c r="AI8152">
        <v>95.496378921303801</v>
      </c>
      <c r="AJ8152">
        <v>98.541387586819596</v>
      </c>
      <c r="AK8152">
        <v>11.7241217691138</v>
      </c>
      <c r="AL8152">
        <v>95.969855187037496</v>
      </c>
      <c r="AM8152">
        <v>97.440253796409607</v>
      </c>
      <c r="AN8152">
        <v>0.99999995422743904</v>
      </c>
    </row>
    <row r="8153" spans="1:40" x14ac:dyDescent="0.25">
      <c r="A8153" t="str">
        <f>"20190303154337500"</f>
        <v>20190303154337500</v>
      </c>
      <c r="B8153" t="str">
        <f>"1551599017488789"</f>
        <v>1551599017488789</v>
      </c>
      <c r="C8153" t="s">
        <v>40</v>
      </c>
      <c r="D8153">
        <v>5.5354080000000003</v>
      </c>
      <c r="E8153">
        <v>0.49814429999999998</v>
      </c>
      <c r="F8153" t="s">
        <v>58</v>
      </c>
      <c r="G8153">
        <v>-199.82320000000001</v>
      </c>
      <c r="H8153" s="1">
        <v>-7.3647929999999901E-6</v>
      </c>
      <c r="I8153">
        <v>-60.118659999999998</v>
      </c>
      <c r="J8153">
        <v>-211.553</v>
      </c>
      <c r="K8153">
        <v>1.1229819999999999</v>
      </c>
      <c r="L8153">
        <v>-62.307740000000003</v>
      </c>
      <c r="M8153">
        <v>0.99900100000000003</v>
      </c>
      <c r="N8153">
        <v>-1.4537080000000001E-2</v>
      </c>
      <c r="O8153">
        <v>4.2258860000000002E-2</v>
      </c>
      <c r="P8153">
        <v>0.97809420000000002</v>
      </c>
      <c r="Q8153">
        <v>-0.1185879</v>
      </c>
      <c r="R8153">
        <v>0.1710815</v>
      </c>
      <c r="S8153">
        <v>2.9380039999999998</v>
      </c>
      <c r="T8153">
        <v>-0.27892840000000002</v>
      </c>
      <c r="U8153">
        <v>0.5451355</v>
      </c>
      <c r="V8153">
        <v>-0.12909979999999999</v>
      </c>
      <c r="W8153">
        <v>-0.1048722</v>
      </c>
      <c r="X8153">
        <v>0.98607049999999996</v>
      </c>
      <c r="Y8153">
        <v>-0.1401425</v>
      </c>
      <c r="Z8153">
        <v>4.2557480000000002E-3</v>
      </c>
      <c r="AA8153">
        <v>0.99012219999999995</v>
      </c>
      <c r="AB8153">
        <v>21</v>
      </c>
      <c r="AC8153">
        <v>11.7297999999999</v>
      </c>
      <c r="AD8153">
        <v>-1.1229893647929901</v>
      </c>
      <c r="AE8153">
        <v>2.1890800000000001</v>
      </c>
      <c r="AF8153">
        <v>-1.67653417550253</v>
      </c>
      <c r="AG8153">
        <v>-1.1229893647929901</v>
      </c>
      <c r="AH8153">
        <v>11.708134811980401</v>
      </c>
      <c r="AI8153">
        <v>95.423793255990105</v>
      </c>
      <c r="AJ8153">
        <v>98.149013638805997</v>
      </c>
      <c r="AK8153">
        <v>11.8807530371847</v>
      </c>
      <c r="AL8153">
        <v>96.019803605536694</v>
      </c>
      <c r="AM8153">
        <v>97.458939198440405</v>
      </c>
      <c r="AN8153">
        <v>0.99999998383156397</v>
      </c>
    </row>
    <row r="8154" spans="1:40" x14ac:dyDescent="0.25">
      <c r="A8154" t="str">
        <f>"20190303154337510"</f>
        <v>20190303154337510</v>
      </c>
      <c r="B8154" t="str">
        <f>"1551599017498550"</f>
        <v>1551599017498550</v>
      </c>
      <c r="C8154" t="s">
        <v>40</v>
      </c>
      <c r="D8154">
        <v>5.525703</v>
      </c>
      <c r="E8154">
        <v>0.4997122</v>
      </c>
      <c r="F8154" t="s">
        <v>58</v>
      </c>
      <c r="G8154">
        <v>-199.6053</v>
      </c>
      <c r="H8154" s="1">
        <v>-7.3326860000000002E-6</v>
      </c>
      <c r="I8154">
        <v>-60.140300000000003</v>
      </c>
      <c r="J8154">
        <v>-211.45609999999999</v>
      </c>
      <c r="K8154">
        <v>1.123</v>
      </c>
      <c r="L8154">
        <v>-62.302</v>
      </c>
      <c r="M8154">
        <v>0.99893750000000003</v>
      </c>
      <c r="N8154">
        <v>-1.453723E-2</v>
      </c>
      <c r="O8154">
        <v>4.3732430000000003E-2</v>
      </c>
      <c r="P8154">
        <v>0.97767720000000002</v>
      </c>
      <c r="Q8154">
        <v>-0.1193834</v>
      </c>
      <c r="R8154">
        <v>0.17290169999999999</v>
      </c>
      <c r="S8154">
        <v>2.9403839999999999</v>
      </c>
      <c r="T8154">
        <v>-0.27637240000000002</v>
      </c>
      <c r="U8154">
        <v>0.53341669999999997</v>
      </c>
      <c r="V8154">
        <v>-0.12947609999999901</v>
      </c>
      <c r="W8154">
        <v>-0.1056769</v>
      </c>
      <c r="X8154">
        <v>0.98593529999999996</v>
      </c>
      <c r="Y8154">
        <v>-0.13475909999999999</v>
      </c>
      <c r="Z8154">
        <v>3.8250649999999999E-3</v>
      </c>
      <c r="AA8154">
        <v>0.99087099999999995</v>
      </c>
      <c r="AB8154">
        <v>21</v>
      </c>
      <c r="AC8154">
        <v>11.8507999999999</v>
      </c>
      <c r="AD8154">
        <v>-1.1230073326859999</v>
      </c>
      <c r="AE8154">
        <v>2.16169999999999</v>
      </c>
      <c r="AF8154">
        <v>-1.6271711111193401</v>
      </c>
      <c r="AG8154">
        <v>-1.1230073326859999</v>
      </c>
      <c r="AH8154">
        <v>11.8311848331949</v>
      </c>
      <c r="AI8154">
        <v>95.371960146314805</v>
      </c>
      <c r="AJ8154">
        <v>97.830897803253805</v>
      </c>
      <c r="AK8154">
        <v>11.9952392994616</v>
      </c>
      <c r="AL8154">
        <v>96.0661668020294</v>
      </c>
      <c r="AM8154">
        <v>97.481448803593807</v>
      </c>
      <c r="AN8154">
        <v>1.00000004172545</v>
      </c>
    </row>
    <row r="8155" spans="1:40" x14ac:dyDescent="0.25">
      <c r="A8155" t="str">
        <f>"20190303154337520"</f>
        <v>20190303154337520</v>
      </c>
      <c r="B8155" t="str">
        <f>"1551599017508309"</f>
        <v>1551599017508309</v>
      </c>
      <c r="C8155" t="s">
        <v>40</v>
      </c>
      <c r="D8155">
        <v>5.5214290000000004</v>
      </c>
      <c r="E8155">
        <v>0.50088120000000003</v>
      </c>
      <c r="F8155" t="s">
        <v>58</v>
      </c>
      <c r="G8155">
        <v>-199.43610000000001</v>
      </c>
      <c r="H8155" s="1">
        <v>-7.3105569999999998E-6</v>
      </c>
      <c r="I8155">
        <v>-60.149120000000003</v>
      </c>
      <c r="J8155">
        <v>-211.36179999999999</v>
      </c>
      <c r="K8155">
        <v>1.1230059999999999</v>
      </c>
      <c r="L8155">
        <v>-62.296230000000001</v>
      </c>
      <c r="M8155">
        <v>0.99888129999999997</v>
      </c>
      <c r="N8155">
        <v>-1.446968E-2</v>
      </c>
      <c r="O8155">
        <v>4.5019179999999999E-2</v>
      </c>
      <c r="P8155">
        <v>0.97729840000000001</v>
      </c>
      <c r="Q8155">
        <v>-0.1200435</v>
      </c>
      <c r="R8155">
        <v>0.17457819999999999</v>
      </c>
      <c r="S8155">
        <v>2.9417420000000001</v>
      </c>
      <c r="T8155">
        <v>-0.27483960000000002</v>
      </c>
      <c r="U8155">
        <v>0.52688599999999997</v>
      </c>
      <c r="V8155">
        <v>-0.12988939999999999</v>
      </c>
      <c r="W8155">
        <v>-0.1064158</v>
      </c>
      <c r="X8155">
        <v>0.98580140000000005</v>
      </c>
      <c r="Y8155">
        <v>-0.13129779999999999</v>
      </c>
      <c r="Z8155">
        <v>3.519075E-3</v>
      </c>
      <c r="AA8155">
        <v>0.99133669999999996</v>
      </c>
      <c r="AB8155">
        <v>21</v>
      </c>
      <c r="AC8155">
        <v>11.9256999999999</v>
      </c>
      <c r="AD8155">
        <v>-1.1230133105569999</v>
      </c>
      <c r="AE8155">
        <v>2.1471100000000001</v>
      </c>
      <c r="AF8155">
        <v>-1.59429758710363</v>
      </c>
      <c r="AG8155">
        <v>-1.1230133105569999</v>
      </c>
      <c r="AH8155">
        <v>11.907998477107901</v>
      </c>
      <c r="AI8155">
        <v>95.340116961246295</v>
      </c>
      <c r="AJ8155">
        <v>97.625674548458207</v>
      </c>
      <c r="AK8155">
        <v>12.0666222043593</v>
      </c>
      <c r="AL8155">
        <v>96.108743050756601</v>
      </c>
      <c r="AM8155">
        <v>97.506066267826199</v>
      </c>
      <c r="AN8155">
        <v>0.99999998948197999</v>
      </c>
    </row>
    <row r="8156" spans="1:40" x14ac:dyDescent="0.25">
      <c r="A8156" t="str">
        <f>"20190303154337531"</f>
        <v>20190303154337531</v>
      </c>
      <c r="B8156" t="str">
        <f>"1551599017528804"</f>
        <v>1551599017528804</v>
      </c>
      <c r="C8156" t="s">
        <v>40</v>
      </c>
      <c r="D8156">
        <v>5.542929</v>
      </c>
      <c r="E8156">
        <v>0.50265379999999904</v>
      </c>
      <c r="F8156" t="s">
        <v>58</v>
      </c>
      <c r="G8156">
        <v>-199.3058</v>
      </c>
      <c r="H8156" s="1">
        <v>-7.2942170000000002E-6</v>
      </c>
      <c r="I8156">
        <v>-60.153930000000003</v>
      </c>
      <c r="J8156">
        <v>-211.25409999999999</v>
      </c>
      <c r="K8156">
        <v>1.1230009999999999</v>
      </c>
      <c r="L8156">
        <v>-62.289459999999998</v>
      </c>
      <c r="M8156">
        <v>0.99882490000000002</v>
      </c>
      <c r="N8156">
        <v>-1.4310389999999999E-2</v>
      </c>
      <c r="O8156">
        <v>4.63043E-2</v>
      </c>
      <c r="P8156">
        <v>0.97699429999999998</v>
      </c>
      <c r="Q8156">
        <v>-0.12033149999999999</v>
      </c>
      <c r="R8156">
        <v>0.1760755</v>
      </c>
      <c r="S8156">
        <v>2.942596</v>
      </c>
      <c r="T8156">
        <v>-0.27410319999999999</v>
      </c>
      <c r="U8156">
        <v>0.52288820000000003</v>
      </c>
      <c r="V8156">
        <v>-0.1301204</v>
      </c>
      <c r="W8156">
        <v>-0.1068762</v>
      </c>
      <c r="X8156">
        <v>0.98572119999999996</v>
      </c>
      <c r="Y8156">
        <v>-0.1286873</v>
      </c>
      <c r="Z8156">
        <v>3.256704E-3</v>
      </c>
      <c r="AA8156">
        <v>0.9916798</v>
      </c>
      <c r="AB8156">
        <v>21</v>
      </c>
      <c r="AC8156">
        <v>11.9482999999999</v>
      </c>
      <c r="AD8156">
        <v>-1.1230082942170001</v>
      </c>
      <c r="AE8156">
        <v>2.1355299999999899</v>
      </c>
      <c r="AF8156">
        <v>-1.5665145193646</v>
      </c>
      <c r="AG8156">
        <v>-1.1230082942170001</v>
      </c>
      <c r="AH8156">
        <v>11.9322303253402</v>
      </c>
      <c r="AI8156">
        <v>95.331106631426096</v>
      </c>
      <c r="AJ8156">
        <v>97.479262326743793</v>
      </c>
      <c r="AK8156">
        <v>12.0869034870486</v>
      </c>
      <c r="AL8156">
        <v>96.135272879982793</v>
      </c>
      <c r="AM8156">
        <v>97.519867493990503</v>
      </c>
      <c r="AN8156">
        <v>1.0000000623760099</v>
      </c>
    </row>
    <row r="8157" spans="1:40" x14ac:dyDescent="0.25">
      <c r="A8157" t="str">
        <f>"20190303154337543"</f>
        <v>20190303154337543</v>
      </c>
      <c r="B8157" t="str">
        <f>"1551599017538568"</f>
        <v>1551599017538568</v>
      </c>
      <c r="C8157" t="s">
        <v>40</v>
      </c>
      <c r="D8157">
        <v>5.5362030000000004</v>
      </c>
      <c r="E8157">
        <v>0.50334809999999996</v>
      </c>
      <c r="F8157" t="s">
        <v>58</v>
      </c>
      <c r="G8157">
        <v>-199.0532</v>
      </c>
      <c r="H8157" s="1">
        <v>-7.263415E-6</v>
      </c>
      <c r="I8157">
        <v>-60.160739999999997</v>
      </c>
      <c r="J8157">
        <v>-211.15289999999999</v>
      </c>
      <c r="K8157">
        <v>1.122943</v>
      </c>
      <c r="L8157">
        <v>-62.282870000000003</v>
      </c>
      <c r="M8157">
        <v>0.99876129999999996</v>
      </c>
      <c r="N8157">
        <v>-1.4277359999999999E-2</v>
      </c>
      <c r="O8157">
        <v>4.766563E-2</v>
      </c>
      <c r="P8157">
        <v>0.97665999999999997</v>
      </c>
      <c r="Q8157">
        <v>-0.12050810000000001</v>
      </c>
      <c r="R8157">
        <v>0.17780119999999999</v>
      </c>
      <c r="S8157">
        <v>2.9446720000000002</v>
      </c>
      <c r="T8157">
        <v>-0.27103650000000001</v>
      </c>
      <c r="U8157">
        <v>0.51376339999999998</v>
      </c>
      <c r="V8157">
        <v>-0.13052449999999999</v>
      </c>
      <c r="W8157">
        <v>-0.1070793</v>
      </c>
      <c r="X8157">
        <v>0.98564569999999996</v>
      </c>
      <c r="Y8157">
        <v>-0.1242684</v>
      </c>
      <c r="Z8157">
        <v>2.8958370000000001E-3</v>
      </c>
      <c r="AA8157">
        <v>0.99224440000000003</v>
      </c>
      <c r="AB8157">
        <v>21</v>
      </c>
      <c r="AC8157">
        <v>12.099699999999901</v>
      </c>
      <c r="AD8157">
        <v>-1.1229502634149999</v>
      </c>
      <c r="AE8157">
        <v>2.1221299999999901</v>
      </c>
      <c r="AF8157">
        <v>-1.5301325202926399</v>
      </c>
      <c r="AG8157">
        <v>-1.1229502634149999</v>
      </c>
      <c r="AH8157">
        <v>12.0861118417955</v>
      </c>
      <c r="AI8157">
        <v>95.2664524603817</v>
      </c>
      <c r="AJ8157">
        <v>97.215404919152306</v>
      </c>
      <c r="AK8157">
        <v>12.2342315768564</v>
      </c>
      <c r="AL8157">
        <v>96.146976992711501</v>
      </c>
      <c r="AM8157">
        <v>97.543523723317804</v>
      </c>
      <c r="AN8157">
        <v>1.0000000337586099</v>
      </c>
    </row>
    <row r="8158" spans="1:40" x14ac:dyDescent="0.25">
      <c r="A8158" t="str">
        <f>"20190303154337553"</f>
        <v>20190303154337553</v>
      </c>
      <c r="B8158" t="str">
        <f>"1551599017548324"</f>
        <v>1551599017548324</v>
      </c>
      <c r="C8158" t="s">
        <v>40</v>
      </c>
      <c r="D8158">
        <v>5.5319089999999997</v>
      </c>
      <c r="E8158">
        <v>0.50386759999999997</v>
      </c>
      <c r="F8158" t="s">
        <v>58</v>
      </c>
      <c r="G8158">
        <v>-198.90450000000001</v>
      </c>
      <c r="H8158" s="1">
        <v>-7.2515809999999998E-6</v>
      </c>
      <c r="I8158">
        <v>-60.146799999999999</v>
      </c>
      <c r="J8158">
        <v>-211.0463</v>
      </c>
      <c r="K8158">
        <v>1.122857</v>
      </c>
      <c r="L8158">
        <v>-62.275790000000001</v>
      </c>
      <c r="M8158">
        <v>0.9986872</v>
      </c>
      <c r="N8158">
        <v>-1.4310929999999999E-2</v>
      </c>
      <c r="O8158">
        <v>4.9185909999999999E-2</v>
      </c>
      <c r="P8158">
        <v>0.97634140000000003</v>
      </c>
      <c r="Q8158">
        <v>-0.1204708</v>
      </c>
      <c r="R8158">
        <v>0.179567899999999</v>
      </c>
      <c r="S8158">
        <v>2.9449160000000001</v>
      </c>
      <c r="T8158">
        <v>-0.26999489999999998</v>
      </c>
      <c r="U8158">
        <v>0.51358029999999999</v>
      </c>
      <c r="V8158">
        <v>-0.1308252</v>
      </c>
      <c r="W8158">
        <v>-0.10698870000000001</v>
      </c>
      <c r="X8158">
        <v>0.98561560000000004</v>
      </c>
      <c r="Y8158">
        <v>-0.1226986</v>
      </c>
      <c r="Z8158">
        <v>2.6957109999999999E-3</v>
      </c>
      <c r="AA8158">
        <v>0.99244030000000005</v>
      </c>
      <c r="AB8158">
        <v>21</v>
      </c>
      <c r="AC8158">
        <v>12.1417999999999</v>
      </c>
      <c r="AD8158">
        <v>-1.1228642515809999</v>
      </c>
      <c r="AE8158">
        <v>2.1289899999999999</v>
      </c>
      <c r="AF8158">
        <v>-1.5165626577296401</v>
      </c>
      <c r="AG8158">
        <v>-1.1228642515809999</v>
      </c>
      <c r="AH8158">
        <v>12.131172069789701</v>
      </c>
      <c r="AI8158">
        <v>95.247627140608003</v>
      </c>
      <c r="AJ8158">
        <v>97.125789000134802</v>
      </c>
      <c r="AK8158">
        <v>12.2770567404873</v>
      </c>
      <c r="AL8158">
        <v>96.141756439288201</v>
      </c>
      <c r="AM8158">
        <v>97.560929768037397</v>
      </c>
      <c r="AN8158">
        <v>0.99999996292304405</v>
      </c>
    </row>
    <row r="8159" spans="1:40" x14ac:dyDescent="0.25">
      <c r="A8159" t="str">
        <f>"20190303154337565"</f>
        <v>20190303154337565</v>
      </c>
      <c r="B8159" t="str">
        <f>"1551599017558085"</f>
        <v>1551599017558085</v>
      </c>
      <c r="C8159" t="s">
        <v>40</v>
      </c>
      <c r="D8159">
        <v>5.5456370000000001</v>
      </c>
      <c r="E8159">
        <v>0.50455709999999998</v>
      </c>
      <c r="F8159" t="s">
        <v>58</v>
      </c>
      <c r="G8159">
        <v>-198.73830000000001</v>
      </c>
      <c r="H8159" s="1">
        <v>-7.241008E-6</v>
      </c>
      <c r="I8159">
        <v>-60.123649999999998</v>
      </c>
      <c r="J8159">
        <v>-210.93780000000001</v>
      </c>
      <c r="K8159">
        <v>1.122736</v>
      </c>
      <c r="L8159">
        <v>-62.2684</v>
      </c>
      <c r="M8159">
        <v>0.99859149999999997</v>
      </c>
      <c r="N8159">
        <v>-1.445949E-2</v>
      </c>
      <c r="O8159">
        <v>5.1049709999999998E-2</v>
      </c>
      <c r="P8159">
        <v>0.97595359999999998</v>
      </c>
      <c r="Q8159">
        <v>-0.1207618</v>
      </c>
      <c r="R8159">
        <v>0.18146999999999999</v>
      </c>
      <c r="S8159">
        <v>2.944839</v>
      </c>
      <c r="T8159">
        <v>-0.26865879999999998</v>
      </c>
      <c r="U8159">
        <v>0.51492309999999997</v>
      </c>
      <c r="V8159">
        <v>-0.13094030000000001</v>
      </c>
      <c r="W8159">
        <v>-0.1070941</v>
      </c>
      <c r="X8159">
        <v>0.98558889999999999</v>
      </c>
      <c r="Y8159">
        <v>-0.1213038</v>
      </c>
      <c r="Z8159">
        <v>2.4923979999999998E-3</v>
      </c>
      <c r="AA8159">
        <v>0.9926123</v>
      </c>
      <c r="AB8159">
        <v>21</v>
      </c>
      <c r="AC8159">
        <v>12.1995</v>
      </c>
      <c r="AD8159">
        <v>-1.1227432410079901</v>
      </c>
      <c r="AE8159">
        <v>2.1447500000000002</v>
      </c>
      <c r="AF8159">
        <v>-1.5067277179136001</v>
      </c>
      <c r="AG8159">
        <v>-1.1227432410079901</v>
      </c>
      <c r="AH8159">
        <v>12.192914031445699</v>
      </c>
      <c r="AI8159">
        <v>95.221557049934603</v>
      </c>
      <c r="AJ8159">
        <v>97.044558069055697</v>
      </c>
      <c r="AK8159">
        <v>12.336852652900699</v>
      </c>
      <c r="AL8159">
        <v>96.147830119243807</v>
      </c>
      <c r="AM8159">
        <v>97.567707444867196</v>
      </c>
      <c r="AN8159">
        <v>0.999999994111055</v>
      </c>
    </row>
    <row r="8160" spans="1:40" x14ac:dyDescent="0.25">
      <c r="A8160" t="str">
        <f>"20190303154337576"</f>
        <v>20190303154337576</v>
      </c>
      <c r="B8160" t="str">
        <f>"1551599017567844"</f>
        <v>1551599017567844</v>
      </c>
      <c r="C8160" t="s">
        <v>40</v>
      </c>
      <c r="D8160">
        <v>5.5601890000000003</v>
      </c>
      <c r="E8160">
        <v>0.50499229999999995</v>
      </c>
      <c r="F8160" t="s">
        <v>58</v>
      </c>
      <c r="G8160">
        <v>-198.59649999999999</v>
      </c>
      <c r="H8160" s="1">
        <v>-7.2303459999999899E-6</v>
      </c>
      <c r="I8160">
        <v>-60.108600000000003</v>
      </c>
      <c r="J8160">
        <v>-210.83940000000001</v>
      </c>
      <c r="K8160">
        <v>1.1226259999999999</v>
      </c>
      <c r="L8160">
        <v>-62.261629999999997</v>
      </c>
      <c r="M8160">
        <v>0.99849829999999995</v>
      </c>
      <c r="N8160">
        <v>-1.4613009999999999E-2</v>
      </c>
      <c r="O8160">
        <v>5.2799359999999997E-2</v>
      </c>
      <c r="P8160">
        <v>0.97559390000000001</v>
      </c>
      <c r="Q8160">
        <v>-0.1208721</v>
      </c>
      <c r="R8160">
        <v>0.1833215</v>
      </c>
      <c r="S8160">
        <v>2.944931</v>
      </c>
      <c r="T8160">
        <v>-0.26791369999999998</v>
      </c>
      <c r="U8160">
        <v>0.51538090000000003</v>
      </c>
      <c r="V8160">
        <v>-0.13111519999999999</v>
      </c>
      <c r="W8160">
        <v>-0.1070155</v>
      </c>
      <c r="X8160">
        <v>0.98557419999999996</v>
      </c>
      <c r="Y8160">
        <v>-0.1197217</v>
      </c>
      <c r="Z8160">
        <v>2.292461E-3</v>
      </c>
      <c r="AA8160">
        <v>0.99280480000000004</v>
      </c>
      <c r="AB8160">
        <v>21</v>
      </c>
      <c r="AC8160">
        <v>12.242900000000001</v>
      </c>
      <c r="AD8160">
        <v>-1.122633230346</v>
      </c>
      <c r="AE8160">
        <v>2.1530300000000002</v>
      </c>
      <c r="AF8160">
        <v>-1.49137619891504</v>
      </c>
      <c r="AG8160">
        <v>-1.122633230346</v>
      </c>
      <c r="AH8160">
        <v>12.239682603471</v>
      </c>
      <c r="AI8160">
        <v>95.202287626697498</v>
      </c>
      <c r="AJ8160">
        <v>96.947108583998698</v>
      </c>
      <c r="AK8160">
        <v>12.381209091614499</v>
      </c>
      <c r="AL8160">
        <v>96.143300553028197</v>
      </c>
      <c r="AM8160">
        <v>97.577810131016093</v>
      </c>
      <c r="AN8160">
        <v>1.0000000083084599</v>
      </c>
    </row>
    <row r="8161" spans="1:40" x14ac:dyDescent="0.25">
      <c r="A8161" t="str">
        <f>"20190303154337590"</f>
        <v>20190303154337590</v>
      </c>
      <c r="B8161" t="str">
        <f>"1551599017578581"</f>
        <v>1551599017578581</v>
      </c>
      <c r="C8161" t="s">
        <v>40</v>
      </c>
      <c r="D8161">
        <v>5.5327599999999997</v>
      </c>
      <c r="E8161">
        <v>0.50531150000000002</v>
      </c>
      <c r="F8161" t="s">
        <v>58</v>
      </c>
      <c r="G8161">
        <v>-198.46369999999999</v>
      </c>
      <c r="H8161" s="1">
        <v>-7.2233830000000003E-6</v>
      </c>
      <c r="I8161">
        <v>-60.0858699999999</v>
      </c>
      <c r="J8161">
        <v>-210.70820000000001</v>
      </c>
      <c r="K8161">
        <v>1.122533</v>
      </c>
      <c r="L8161">
        <v>-62.25235</v>
      </c>
      <c r="M8161">
        <v>0.99835560000000001</v>
      </c>
      <c r="N8161">
        <v>-1.480396E-2</v>
      </c>
      <c r="O8161">
        <v>5.5379039999999997E-2</v>
      </c>
      <c r="P8161">
        <v>0.97505459999999999</v>
      </c>
      <c r="Q8161">
        <v>-0.1210379</v>
      </c>
      <c r="R8161">
        <v>0.186061</v>
      </c>
      <c r="S8161">
        <v>2.9446720000000002</v>
      </c>
      <c r="T8161">
        <v>-0.2671192</v>
      </c>
      <c r="U8161">
        <v>0.51770020000000005</v>
      </c>
      <c r="V8161">
        <v>-0.1313627</v>
      </c>
      <c r="W8161">
        <v>-0.10696410000000001</v>
      </c>
      <c r="X8161">
        <v>0.98554679999999995</v>
      </c>
      <c r="Y8161">
        <v>-0.11794549999999999</v>
      </c>
      <c r="Z8161">
        <v>2.0261010000000002E-3</v>
      </c>
      <c r="AA8161">
        <v>0.99301799999999996</v>
      </c>
      <c r="AB8161">
        <v>21</v>
      </c>
      <c r="AC8161">
        <v>12.2445</v>
      </c>
      <c r="AD8161">
        <v>-1.122540223383</v>
      </c>
      <c r="AE8161">
        <v>2.16648</v>
      </c>
      <c r="AF8161">
        <v>-1.47298739239931</v>
      </c>
      <c r="AG8161">
        <v>-1.122540223383</v>
      </c>
      <c r="AH8161">
        <v>12.245897565828701</v>
      </c>
      <c r="AI8161">
        <v>95.200198135459004</v>
      </c>
      <c r="AJ8161">
        <v>96.858822414536405</v>
      </c>
      <c r="AK8161">
        <v>12.385144149506299</v>
      </c>
      <c r="AL8161">
        <v>96.140338683995097</v>
      </c>
      <c r="AM8161">
        <v>97.592156325248595</v>
      </c>
      <c r="AN8161">
        <v>0.99999998631516895</v>
      </c>
    </row>
    <row r="8162" spans="1:40" x14ac:dyDescent="0.25">
      <c r="A8162" t="str">
        <f>"20190303154337601"</f>
        <v>20190303154337601</v>
      </c>
      <c r="B8162" t="str">
        <f>"1551599017588341"</f>
        <v>1551599017588341</v>
      </c>
      <c r="C8162" t="s">
        <v>40</v>
      </c>
      <c r="D8162">
        <v>5.5512600000000001</v>
      </c>
      <c r="E8162">
        <v>0.50574279999999905</v>
      </c>
      <c r="F8162" t="s">
        <v>58</v>
      </c>
      <c r="G8162">
        <v>-198.34950000000001</v>
      </c>
      <c r="H8162" s="1">
        <v>-7.221421E-6</v>
      </c>
      <c r="I8162">
        <v>-60.05489</v>
      </c>
      <c r="J8162">
        <v>-210.6131</v>
      </c>
      <c r="K8162">
        <v>1.1224989999999999</v>
      </c>
      <c r="L8162">
        <v>-62.245480000000001</v>
      </c>
      <c r="M8162">
        <v>0.998251</v>
      </c>
      <c r="N8162">
        <v>-1.4903390000000001E-2</v>
      </c>
      <c r="O8162">
        <v>5.7212579999999999E-2</v>
      </c>
      <c r="P8162">
        <v>0.97466750000000002</v>
      </c>
      <c r="Q8162">
        <v>-0.1212442</v>
      </c>
      <c r="R8162">
        <v>0.18794459999999999</v>
      </c>
      <c r="S8162">
        <v>2.9436800000000001</v>
      </c>
      <c r="T8162">
        <v>-0.26737499999999997</v>
      </c>
      <c r="U8162">
        <v>0.52340699999999996</v>
      </c>
      <c r="V8162">
        <v>-0.13146369999999999</v>
      </c>
      <c r="W8162">
        <v>-0.10706549999999999</v>
      </c>
      <c r="X8162">
        <v>0.98552229999999996</v>
      </c>
      <c r="Y8162">
        <v>-0.1180485</v>
      </c>
      <c r="Z8162">
        <v>1.9062180000000001E-3</v>
      </c>
      <c r="AA8162">
        <v>0.99300600000000006</v>
      </c>
      <c r="AB8162">
        <v>21</v>
      </c>
      <c r="AC8162">
        <v>12.263599999999901</v>
      </c>
      <c r="AD8162">
        <v>-1.122506221421</v>
      </c>
      <c r="AE8162">
        <v>2.1905899999999998</v>
      </c>
      <c r="AF8162">
        <v>-1.4733291703081</v>
      </c>
      <c r="AG8162">
        <v>-1.122506221421</v>
      </c>
      <c r="AH8162">
        <v>12.269237610440101</v>
      </c>
      <c r="AI8162">
        <v>95.190326304708407</v>
      </c>
      <c r="AJ8162">
        <v>96.847472044086501</v>
      </c>
      <c r="AK8162">
        <v>12.408259773338401</v>
      </c>
      <c r="AL8162">
        <v>96.146182165006906</v>
      </c>
      <c r="AM8162">
        <v>97.598112167701899</v>
      </c>
      <c r="AN8162">
        <v>0.99999996475261399</v>
      </c>
    </row>
    <row r="8163" spans="1:40" x14ac:dyDescent="0.25">
      <c r="A8163" t="str">
        <f>"20190303154337610"</f>
        <v>20190303154337610</v>
      </c>
      <c r="B8163" t="str">
        <f>"1551599017598101"</f>
        <v>1551599017598101</v>
      </c>
      <c r="C8163" t="s">
        <v>40</v>
      </c>
      <c r="D8163">
        <v>5.5711459999999997</v>
      </c>
      <c r="E8163">
        <v>0.50605959999999905</v>
      </c>
      <c r="F8163" t="s">
        <v>58</v>
      </c>
      <c r="G8163">
        <v>-198.21960000000001</v>
      </c>
      <c r="H8163" s="1">
        <v>-7.2150170000000002E-6</v>
      </c>
      <c r="I8163">
        <v>-60.031489999999998</v>
      </c>
      <c r="J8163">
        <v>-210.51939999999999</v>
      </c>
      <c r="K8163">
        <v>1.122512</v>
      </c>
      <c r="L8163">
        <v>-62.23856</v>
      </c>
      <c r="M8163">
        <v>0.99814749999999997</v>
      </c>
      <c r="N8163">
        <v>-1.4955680000000001E-2</v>
      </c>
      <c r="O8163">
        <v>5.8974169999999999E-2</v>
      </c>
      <c r="P8163">
        <v>0.97432989999999997</v>
      </c>
      <c r="Q8163">
        <v>-0.1215142</v>
      </c>
      <c r="R8163">
        <v>0.18951409999999999</v>
      </c>
      <c r="S8163">
        <v>2.9434200000000001</v>
      </c>
      <c r="T8163">
        <v>-0.26659270000000002</v>
      </c>
      <c r="U8163">
        <v>0.52581789999999995</v>
      </c>
      <c r="V8163">
        <v>-0.13130629999999999</v>
      </c>
      <c r="W8163">
        <v>-0.10729229999999999</v>
      </c>
      <c r="X8163">
        <v>0.98551860000000002</v>
      </c>
      <c r="Y8163">
        <v>-0.11711000000000001</v>
      </c>
      <c r="Z8163">
        <v>1.731493E-3</v>
      </c>
      <c r="AA8163">
        <v>0.99311749999999999</v>
      </c>
      <c r="AB8163">
        <v>21</v>
      </c>
      <c r="AC8163">
        <v>12.2997999999999</v>
      </c>
      <c r="AD8163">
        <v>-1.122519215017</v>
      </c>
      <c r="AE8163">
        <v>2.2070699999999901</v>
      </c>
      <c r="AF8163">
        <v>-1.4659471830063799</v>
      </c>
      <c r="AG8163">
        <v>-1.122519215017</v>
      </c>
      <c r="AH8163">
        <v>12.3092370122354</v>
      </c>
      <c r="AI8163">
        <v>95.174211942379003</v>
      </c>
      <c r="AJ8163">
        <v>96.791553139023193</v>
      </c>
      <c r="AK8163">
        <v>12.4469420483439</v>
      </c>
      <c r="AL8163">
        <v>96.159252247408205</v>
      </c>
      <c r="AM8163">
        <v>97.589149286213996</v>
      </c>
      <c r="AN8163">
        <v>0.99999994650246804</v>
      </c>
    </row>
    <row r="8164" spans="1:40" x14ac:dyDescent="0.25">
      <c r="A8164" t="str">
        <f>"20190303154337621"</f>
        <v>20190303154337621</v>
      </c>
      <c r="B8164" t="str">
        <f>"1551599017618596"</f>
        <v>1551599017618596</v>
      </c>
      <c r="C8164" t="s">
        <v>40</v>
      </c>
      <c r="D8164">
        <v>5.5994970000000004</v>
      </c>
      <c r="E8164">
        <v>0.50671769999999905</v>
      </c>
      <c r="F8164" t="s">
        <v>58</v>
      </c>
      <c r="G8164">
        <v>-198.13759999999999</v>
      </c>
      <c r="H8164" s="1">
        <v>-7.2110220000000003E-6</v>
      </c>
      <c r="I8164">
        <v>-60.016599999999997</v>
      </c>
      <c r="J8164">
        <v>-210.42349999999999</v>
      </c>
      <c r="K8164">
        <v>1.122547</v>
      </c>
      <c r="L8164">
        <v>-62.231259999999999</v>
      </c>
      <c r="M8164">
        <v>0.99804570000000004</v>
      </c>
      <c r="N8164">
        <v>-1.4974589999999999E-2</v>
      </c>
      <c r="O8164">
        <v>6.0667980000000003E-2</v>
      </c>
      <c r="P8164">
        <v>0.97392369999999995</v>
      </c>
      <c r="Q8164">
        <v>-0.1220178</v>
      </c>
      <c r="R8164">
        <v>0.19127050000000001</v>
      </c>
      <c r="S8164">
        <v>2.9430239999999999</v>
      </c>
      <c r="T8164">
        <v>-0.26681159999999998</v>
      </c>
      <c r="U8164">
        <v>0.52813719999999997</v>
      </c>
      <c r="V8164">
        <v>-0.13139679999999901</v>
      </c>
      <c r="W8164">
        <v>-0.107798</v>
      </c>
      <c r="X8164">
        <v>0.98545139999999998</v>
      </c>
      <c r="Y8164">
        <v>-0.11621430000000001</v>
      </c>
      <c r="Z8164">
        <v>1.5605479999999999E-3</v>
      </c>
      <c r="AA8164">
        <v>0.99322299999999997</v>
      </c>
      <c r="AB8164">
        <v>21</v>
      </c>
      <c r="AC8164">
        <v>12.2858999999999</v>
      </c>
      <c r="AD8164">
        <v>-1.1225542110219999</v>
      </c>
      <c r="AE8164">
        <v>2.2146599999999999</v>
      </c>
      <c r="AF8164">
        <v>-1.45338388068935</v>
      </c>
      <c r="AG8164">
        <v>-1.1225542110219999</v>
      </c>
      <c r="AH8164">
        <v>12.298199771254501</v>
      </c>
      <c r="AI8164">
        <v>95.179542175061798</v>
      </c>
      <c r="AJ8164">
        <v>96.739873556636994</v>
      </c>
      <c r="AK8164">
        <v>12.4345554916537</v>
      </c>
      <c r="AL8164">
        <v>96.188395451347603</v>
      </c>
      <c r="AM8164">
        <v>97.594830742066605</v>
      </c>
      <c r="AN8164">
        <v>0.99999999480809898</v>
      </c>
    </row>
    <row r="8165" spans="1:40" x14ac:dyDescent="0.25">
      <c r="A8165" t="str">
        <f>"20190303154337632"</f>
        <v>20190303154337632</v>
      </c>
      <c r="B8165" t="str">
        <f>"1551599017628356"</f>
        <v>1551599017628356</v>
      </c>
      <c r="C8165" t="s">
        <v>40</v>
      </c>
      <c r="D8165">
        <v>5.5643669999999998</v>
      </c>
      <c r="E8165">
        <v>0.50703909999999996</v>
      </c>
      <c r="F8165" t="s">
        <v>58</v>
      </c>
      <c r="G8165">
        <v>-198.03049999999999</v>
      </c>
      <c r="H8165" s="1">
        <v>-7.2025229999999996E-6</v>
      </c>
      <c r="I8165">
        <v>-60.006500000000003</v>
      </c>
      <c r="J8165">
        <v>-210.3115</v>
      </c>
      <c r="K8165">
        <v>1.122619</v>
      </c>
      <c r="L8165">
        <v>-62.222499999999997</v>
      </c>
      <c r="M8165">
        <v>0.99793200000000004</v>
      </c>
      <c r="N8165">
        <v>-1.495528E-2</v>
      </c>
      <c r="O8165">
        <v>6.2516660000000002E-2</v>
      </c>
      <c r="P8165">
        <v>0.97354079999999998</v>
      </c>
      <c r="Q8165">
        <v>-0.122422</v>
      </c>
      <c r="R8165">
        <v>0.1929544</v>
      </c>
      <c r="S8165">
        <v>2.9431609999999999</v>
      </c>
      <c r="T8165">
        <v>-0.26659100000000002</v>
      </c>
      <c r="U8165">
        <v>0.52835080000000001</v>
      </c>
      <c r="V8165">
        <v>-0.13124829999999901</v>
      </c>
      <c r="W8165">
        <v>-0.1082558</v>
      </c>
      <c r="X8165">
        <v>0.98542099999999999</v>
      </c>
      <c r="Y8165">
        <v>-0.1144501</v>
      </c>
      <c r="Z8165">
        <v>1.328407E-3</v>
      </c>
      <c r="AA8165">
        <v>0.99342810000000004</v>
      </c>
      <c r="AB8165">
        <v>21</v>
      </c>
      <c r="AC8165">
        <v>12.281000000000001</v>
      </c>
      <c r="AD8165">
        <v>-1.122626202523</v>
      </c>
      <c r="AE8165">
        <v>2.21599999999999</v>
      </c>
      <c r="AF8165">
        <v>-1.4322210966167099</v>
      </c>
      <c r="AG8165">
        <v>-1.122626202523</v>
      </c>
      <c r="AH8165">
        <v>12.2960176790064</v>
      </c>
      <c r="AI8165">
        <v>95.181800729131496</v>
      </c>
      <c r="AJ8165">
        <v>96.643785680909602</v>
      </c>
      <c r="AK8165">
        <v>12.429947611419101</v>
      </c>
      <c r="AL8165">
        <v>96.214779886523601</v>
      </c>
      <c r="AM8165">
        <v>97.586578669594701</v>
      </c>
      <c r="AN8165">
        <v>0.99999999086376501</v>
      </c>
    </row>
    <row r="8166" spans="1:40" x14ac:dyDescent="0.25">
      <c r="A8166" t="str">
        <f>"20190303154337644"</f>
        <v>20190303154337644</v>
      </c>
      <c r="B8166" t="str">
        <f>"1551599017638116"</f>
        <v>1551599017638116</v>
      </c>
      <c r="C8166" t="s">
        <v>40</v>
      </c>
      <c r="D8166">
        <v>5.6183889999999996</v>
      </c>
      <c r="E8166">
        <v>0.50733300000000003</v>
      </c>
      <c r="F8166" t="s">
        <v>58</v>
      </c>
      <c r="G8166">
        <v>-197.94479999999999</v>
      </c>
      <c r="H8166" s="1">
        <v>-7.1982860000000002E-6</v>
      </c>
      <c r="I8166">
        <v>-59.99109</v>
      </c>
      <c r="J8166">
        <v>-210.20760000000001</v>
      </c>
      <c r="K8166">
        <v>1.1226849999999999</v>
      </c>
      <c r="L8166">
        <v>-62.21405</v>
      </c>
      <c r="M8166">
        <v>0.99783160000000004</v>
      </c>
      <c r="N8166">
        <v>-1.492306E-2</v>
      </c>
      <c r="O8166">
        <v>6.4104110000000006E-2</v>
      </c>
      <c r="P8166">
        <v>0.97317750000000003</v>
      </c>
      <c r="Q8166">
        <v>-0.1229518</v>
      </c>
      <c r="R8166">
        <v>0.19444420000000001</v>
      </c>
      <c r="S8166">
        <v>2.9427189999999999</v>
      </c>
      <c r="T8166">
        <v>-0.26713369999999997</v>
      </c>
      <c r="U8166">
        <v>0.53097530000000004</v>
      </c>
      <c r="V8166">
        <v>-0.13116559999999999</v>
      </c>
      <c r="W8166">
        <v>-0.10884870000000001</v>
      </c>
      <c r="X8166">
        <v>0.98536670000000004</v>
      </c>
      <c r="Y8166">
        <v>-0.11376070000000001</v>
      </c>
      <c r="Z8166">
        <v>1.16895E-3</v>
      </c>
      <c r="AA8166">
        <v>0.99350749999999999</v>
      </c>
      <c r="AB8166">
        <v>21</v>
      </c>
      <c r="AC8166">
        <v>12.2628</v>
      </c>
      <c r="AD8166">
        <v>-1.1226921982860001</v>
      </c>
      <c r="AE8166">
        <v>2.22296</v>
      </c>
      <c r="AF8166">
        <v>-1.4206743016902701</v>
      </c>
      <c r="AG8166">
        <v>-1.1226921982860001</v>
      </c>
      <c r="AH8166">
        <v>12.280430833906401</v>
      </c>
      <c r="AI8166">
        <v>95.189113547312203</v>
      </c>
      <c r="AJ8166">
        <v>96.598987007258401</v>
      </c>
      <c r="AK8166">
        <v>12.413208074866599</v>
      </c>
      <c r="AL8166">
        <v>96.248952471292</v>
      </c>
      <c r="AM8166">
        <v>97.582266915356598</v>
      </c>
      <c r="AN8166">
        <v>0.99999999379197002</v>
      </c>
    </row>
    <row r="8167" spans="1:40" x14ac:dyDescent="0.25">
      <c r="A8167" t="str">
        <f>"20190303154337657"</f>
        <v>20190303154337657</v>
      </c>
      <c r="B8167" t="str">
        <f>"1551599017647876"</f>
        <v>1551599017647876</v>
      </c>
      <c r="C8167" t="s">
        <v>40</v>
      </c>
      <c r="D8167">
        <v>5.5207879999999996</v>
      </c>
      <c r="E8167">
        <v>0.50749730000000004</v>
      </c>
      <c r="F8167" t="s">
        <v>58</v>
      </c>
      <c r="G8167">
        <v>-197.88679999999999</v>
      </c>
      <c r="H8167" s="1">
        <v>-7.1950789999999898E-6</v>
      </c>
      <c r="I8167">
        <v>-59.981659999999998</v>
      </c>
      <c r="J8167">
        <v>-210.09049999999999</v>
      </c>
      <c r="K8167">
        <v>1.122757</v>
      </c>
      <c r="L8167">
        <v>-62.204349999999998</v>
      </c>
      <c r="M8167">
        <v>0.99771929999999998</v>
      </c>
      <c r="N8167">
        <v>-1.4882080000000001E-2</v>
      </c>
      <c r="O8167">
        <v>6.5839880000000003E-2</v>
      </c>
      <c r="P8167">
        <v>0.97281839999999997</v>
      </c>
      <c r="Q8167">
        <v>-0.1228276</v>
      </c>
      <c r="R8167">
        <v>0.1963107</v>
      </c>
      <c r="S8167">
        <v>2.9422760000000001</v>
      </c>
      <c r="T8167">
        <v>-0.26810659999999997</v>
      </c>
      <c r="U8167">
        <v>0.53311160000000002</v>
      </c>
      <c r="V8167">
        <v>-0.13131379999999901</v>
      </c>
      <c r="W8167">
        <v>-0.10879850000000001</v>
      </c>
      <c r="X8167">
        <v>0.98535249999999996</v>
      </c>
      <c r="Y8167">
        <v>-0.1127649</v>
      </c>
      <c r="Z8167">
        <v>9.790802999999999E-4</v>
      </c>
      <c r="AA8167">
        <v>0.99362119999999998</v>
      </c>
      <c r="AB8167">
        <v>21</v>
      </c>
      <c r="AC8167">
        <v>12.2036999999999</v>
      </c>
      <c r="AD8167">
        <v>-1.1227641950789999</v>
      </c>
      <c r="AE8167">
        <v>2.2226900000000001</v>
      </c>
      <c r="AF8167">
        <v>-1.40279454933006</v>
      </c>
      <c r="AG8167">
        <v>-1.1227641950789999</v>
      </c>
      <c r="AH8167">
        <v>12.223430812493801</v>
      </c>
      <c r="AI8167">
        <v>95.2140551324146</v>
      </c>
      <c r="AJ8167">
        <v>96.546780111137295</v>
      </c>
      <c r="AK8167">
        <v>12.3547842074722</v>
      </c>
      <c r="AL8167">
        <v>96.246059072679401</v>
      </c>
      <c r="AM8167">
        <v>97.590842164669795</v>
      </c>
      <c r="AN8167">
        <v>0.99999998846446903</v>
      </c>
    </row>
    <row r="8168" spans="1:40" x14ac:dyDescent="0.25">
      <c r="A8168" t="str">
        <f>"20190303154337669"</f>
        <v>20190303154337669</v>
      </c>
      <c r="B8168" t="str">
        <f>"1551599017657899"</f>
        <v>1551599017657899</v>
      </c>
      <c r="C8168" t="s">
        <v>40</v>
      </c>
      <c r="D8168">
        <v>5.745406</v>
      </c>
      <c r="E8168">
        <v>0.50749730000000004</v>
      </c>
      <c r="F8168" t="s">
        <v>58</v>
      </c>
      <c r="G8168">
        <v>-197.71600000000001</v>
      </c>
      <c r="H8168" s="1">
        <v>-7.1893949999999998E-6</v>
      </c>
      <c r="I8168">
        <v>-59.943100000000001</v>
      </c>
      <c r="J8168">
        <v>-209.96960000000001</v>
      </c>
      <c r="K8168">
        <v>1.122789</v>
      </c>
      <c r="L8168">
        <v>-62.193910000000002</v>
      </c>
      <c r="M8168">
        <v>0.99760090000000001</v>
      </c>
      <c r="N8168">
        <v>-1.4852239999999999E-2</v>
      </c>
      <c r="O8168">
        <v>6.7616889999999999E-2</v>
      </c>
      <c r="P8168">
        <v>0.97238769999999997</v>
      </c>
      <c r="Q8168">
        <v>-0.1228703</v>
      </c>
      <c r="R8168">
        <v>0.19840659999999999</v>
      </c>
      <c r="S8168">
        <v>2.9416500000000001</v>
      </c>
      <c r="T8168">
        <v>-0.26690079999999999</v>
      </c>
      <c r="U8168">
        <v>0.53753660000000003</v>
      </c>
      <c r="V8168">
        <v>-0.1316687</v>
      </c>
      <c r="W8168">
        <v>-0.10888829999999999</v>
      </c>
      <c r="X8168">
        <v>0.98529520000000004</v>
      </c>
      <c r="Y8168">
        <v>-0.1124879</v>
      </c>
      <c r="Z8168">
        <v>8.3210109999999995E-4</v>
      </c>
      <c r="AA8168">
        <v>0.9936528</v>
      </c>
      <c r="AB8168">
        <v>21</v>
      </c>
      <c r="AC8168">
        <v>12.2536</v>
      </c>
      <c r="AD8168">
        <v>-1.122796189395</v>
      </c>
      <c r="AE8168">
        <v>2.2508099999999902</v>
      </c>
      <c r="AF8168">
        <v>-1.40559964263299</v>
      </c>
      <c r="AG8168">
        <v>-1.122796189395</v>
      </c>
      <c r="AH8168">
        <v>12.278037054218</v>
      </c>
      <c r="AI8168">
        <v>95.191304527622606</v>
      </c>
      <c r="AJ8168">
        <v>96.530835622786896</v>
      </c>
      <c r="AK8168">
        <v>12.4091327474179</v>
      </c>
      <c r="AL8168">
        <v>96.251235101509394</v>
      </c>
      <c r="AM8168">
        <v>97.611555085052004</v>
      </c>
      <c r="AN8168">
        <v>0.99999996978980898</v>
      </c>
    </row>
    <row r="8169" spans="1:40" x14ac:dyDescent="0.25">
      <c r="A8169" t="str">
        <f>"20190303154337689"</f>
        <v>20190303154337689</v>
      </c>
      <c r="B8169" t="str">
        <f>"1551599017677900"</f>
        <v>1551599017677900</v>
      </c>
      <c r="C8169" t="s">
        <v>40</v>
      </c>
      <c r="D8169">
        <v>5.5119899999999999</v>
      </c>
      <c r="E8169">
        <v>0.50438359999999904</v>
      </c>
      <c r="F8169" t="s">
        <v>58</v>
      </c>
      <c r="G8169">
        <v>-197.6044</v>
      </c>
      <c r="H8169" s="1">
        <v>-7.1895969999999999E-6</v>
      </c>
      <c r="I8169">
        <v>-59.906790000000001</v>
      </c>
      <c r="J8169">
        <v>-209.7801</v>
      </c>
      <c r="K8169">
        <v>1.1227780000000001</v>
      </c>
      <c r="L8169">
        <v>-62.17709</v>
      </c>
      <c r="M8169">
        <v>0.99739940000000005</v>
      </c>
      <c r="N8169">
        <v>-1.4819509999999999E-2</v>
      </c>
      <c r="O8169">
        <v>7.0532570000000003E-2</v>
      </c>
      <c r="P8169">
        <v>0.97157340000000003</v>
      </c>
      <c r="Q8169">
        <v>-0.1228964</v>
      </c>
      <c r="R8169">
        <v>0.20234099999999999</v>
      </c>
      <c r="S8169">
        <v>2.9404750000000002</v>
      </c>
      <c r="T8169">
        <v>-0.26700449999999998</v>
      </c>
      <c r="U8169">
        <v>0.54388429999999999</v>
      </c>
      <c r="V8169">
        <v>-0.1327759</v>
      </c>
      <c r="W8169">
        <v>-0.10895349999999999</v>
      </c>
      <c r="X8169">
        <v>0.9851394</v>
      </c>
      <c r="Y8169">
        <v>-0.1117402</v>
      </c>
      <c r="Z8169">
        <v>5.7064019999999896E-4</v>
      </c>
      <c r="AA8169">
        <v>0.99373730000000005</v>
      </c>
      <c r="AB8169">
        <v>21</v>
      </c>
      <c r="AC8169">
        <v>12.175700000000001</v>
      </c>
      <c r="AD8169">
        <v>-1.122785189597</v>
      </c>
      <c r="AE8169">
        <v>2.2703000000000002</v>
      </c>
      <c r="AF8169">
        <v>-1.39430847075969</v>
      </c>
      <c r="AG8169">
        <v>-1.122785189597</v>
      </c>
      <c r="AH8169">
        <v>12.2052155221619</v>
      </c>
      <c r="AI8169">
        <v>95.2221983566033</v>
      </c>
      <c r="AJ8169">
        <v>96.517145139503597</v>
      </c>
      <c r="AK8169">
        <v>12.3358027155119</v>
      </c>
      <c r="AL8169">
        <v>96.2549931369539</v>
      </c>
      <c r="AM8169">
        <v>97.676000072691394</v>
      </c>
      <c r="AN8169">
        <v>0.999999971107709</v>
      </c>
    </row>
    <row r="8170" spans="1:40" x14ac:dyDescent="0.25">
      <c r="A8170" t="str">
        <f>"20190303154337700"</f>
        <v>20190303154337700</v>
      </c>
      <c r="B8170" t="str">
        <f>"1551599017687969"</f>
        <v>1551599017687969</v>
      </c>
      <c r="C8170" t="s">
        <v>40</v>
      </c>
      <c r="D8170">
        <v>5.4393729999999998</v>
      </c>
      <c r="E8170">
        <v>0.50438359999999904</v>
      </c>
      <c r="F8170" t="s">
        <v>58</v>
      </c>
      <c r="G8170">
        <v>-197.64689999999999</v>
      </c>
      <c r="H8170" s="1">
        <v>-7.2394700000000003E-6</v>
      </c>
      <c r="I8170">
        <v>-59.778320000000001</v>
      </c>
      <c r="J8170">
        <v>-209.69309999999999</v>
      </c>
      <c r="K8170">
        <v>1.1227510000000001</v>
      </c>
      <c r="L8170">
        <v>-62.169220000000003</v>
      </c>
      <c r="M8170">
        <v>0.9972993</v>
      </c>
      <c r="N8170">
        <v>-1.4807529999999999E-2</v>
      </c>
      <c r="O8170">
        <v>7.1936940000000005E-2</v>
      </c>
      <c r="P8170">
        <v>0.97118749999999998</v>
      </c>
      <c r="Q8170">
        <v>-0.1224433</v>
      </c>
      <c r="R8170">
        <v>0.20445659999999999</v>
      </c>
      <c r="S8170">
        <v>2.932693</v>
      </c>
      <c r="T8170">
        <v>-0.27138699999999999</v>
      </c>
      <c r="U8170">
        <v>0.57980350000000003</v>
      </c>
      <c r="V8170">
        <v>-0.1335374</v>
      </c>
      <c r="W8170">
        <v>-0.1085082</v>
      </c>
      <c r="X8170">
        <v>0.98508569999999995</v>
      </c>
      <c r="Y8170">
        <v>-0.1224901</v>
      </c>
      <c r="Z8170">
        <v>1.011505E-3</v>
      </c>
      <c r="AA8170">
        <v>0.9924693</v>
      </c>
      <c r="AB8170">
        <v>21</v>
      </c>
      <c r="AC8170">
        <v>12.046200000000001</v>
      </c>
      <c r="AD8170">
        <v>-1.12275823947</v>
      </c>
      <c r="AE8170">
        <v>2.3908999999999998</v>
      </c>
      <c r="AF8170">
        <v>-1.50546015501641</v>
      </c>
      <c r="AG8170">
        <v>-1.12275823947</v>
      </c>
      <c r="AH8170">
        <v>12.0859841748987</v>
      </c>
      <c r="AI8170">
        <v>95.266933054366703</v>
      </c>
      <c r="AJ8170">
        <v>97.100332601181705</v>
      </c>
      <c r="AK8170">
        <v>12.231026523499199</v>
      </c>
      <c r="AL8170">
        <v>96.229326654771995</v>
      </c>
      <c r="AM8170">
        <v>97.719910079603594</v>
      </c>
      <c r="AN8170">
        <v>1.0000000515052401</v>
      </c>
    </row>
    <row r="8171" spans="1:40" x14ac:dyDescent="0.25">
      <c r="A8171" t="str">
        <f>"20190303154337709"</f>
        <v>20190303154337709</v>
      </c>
      <c r="B8171" t="str">
        <f>"1551599017698201"</f>
        <v>1551599017698201</v>
      </c>
      <c r="C8171" t="s">
        <v>40</v>
      </c>
      <c r="D8171">
        <v>5.3541610000000004</v>
      </c>
      <c r="E8171">
        <v>0.38011719999999999</v>
      </c>
      <c r="F8171" t="s">
        <v>58</v>
      </c>
      <c r="G8171">
        <v>-197.505</v>
      </c>
      <c r="H8171" s="1">
        <v>-7.2397630000000002E-6</v>
      </c>
      <c r="I8171">
        <v>-59.731999999999999</v>
      </c>
      <c r="J8171">
        <v>-209.59370000000001</v>
      </c>
      <c r="K8171">
        <v>1.1227129999999901</v>
      </c>
      <c r="L8171">
        <v>-62.1601</v>
      </c>
      <c r="M8171">
        <v>0.99717769999999994</v>
      </c>
      <c r="N8171">
        <v>-1.4794409999999999E-2</v>
      </c>
      <c r="O8171">
        <v>7.3607240000000004E-2</v>
      </c>
      <c r="P8171">
        <v>0.97074380000000005</v>
      </c>
      <c r="Q8171">
        <v>-0.1219329</v>
      </c>
      <c r="R8171">
        <v>0.20685519999999999</v>
      </c>
      <c r="S8171">
        <v>2.931549</v>
      </c>
      <c r="T8171">
        <v>-0.27005180000000001</v>
      </c>
      <c r="U8171">
        <v>0.58621219999999996</v>
      </c>
      <c r="V8171">
        <v>-0.1343297</v>
      </c>
      <c r="W8171">
        <v>-0.1079999</v>
      </c>
      <c r="X8171">
        <v>0.98503379999999996</v>
      </c>
      <c r="Y8171">
        <v>-0.12299400000000001</v>
      </c>
      <c r="Z8171">
        <v>9.1450129999999996E-4</v>
      </c>
      <c r="AA8171">
        <v>0.99240700000000004</v>
      </c>
      <c r="AB8171">
        <v>21</v>
      </c>
      <c r="AC8171">
        <v>12.088699999999999</v>
      </c>
      <c r="AD8171">
        <v>-1.1227202397629901</v>
      </c>
      <c r="AE8171">
        <v>2.4281000000000001</v>
      </c>
      <c r="AF8171">
        <v>-1.5190046767951899</v>
      </c>
      <c r="AG8171">
        <v>-1.1227202397629901</v>
      </c>
      <c r="AH8171">
        <v>12.1340417847602</v>
      </c>
      <c r="AI8171">
        <v>95.245613568492999</v>
      </c>
      <c r="AJ8171">
        <v>97.135474403588006</v>
      </c>
      <c r="AK8171">
        <v>12.2801810238777</v>
      </c>
      <c r="AL8171">
        <v>96.200031263898296</v>
      </c>
      <c r="AM8171">
        <v>97.765560557881003</v>
      </c>
      <c r="AN8171">
        <v>1.00000001692226</v>
      </c>
    </row>
    <row r="8172" spans="1:40" x14ac:dyDescent="0.25">
      <c r="A8172" t="str">
        <f>"20190303154337721"</f>
        <v>20190303154337721</v>
      </c>
      <c r="B8172" t="str">
        <f>"1551599017718697"</f>
        <v>1551599017718697</v>
      </c>
      <c r="C8172" t="s">
        <v>40</v>
      </c>
      <c r="D8172">
        <v>5.4246319999999999</v>
      </c>
      <c r="E8172">
        <v>0.37180190000000002</v>
      </c>
      <c r="F8172" t="s">
        <v>58</v>
      </c>
      <c r="G8172">
        <v>-201.0718</v>
      </c>
      <c r="H8172" s="1">
        <v>-5.788972E-6</v>
      </c>
      <c r="I8172">
        <v>-57.269739999999999</v>
      </c>
      <c r="J8172">
        <v>-209.49119999999999</v>
      </c>
      <c r="K8172">
        <v>1.1226739999999999</v>
      </c>
      <c r="L8172">
        <v>-62.150509999999997</v>
      </c>
      <c r="M8172">
        <v>0.99704689999999996</v>
      </c>
      <c r="N8172">
        <v>-1.477907E-2</v>
      </c>
      <c r="O8172">
        <v>7.536052E-2</v>
      </c>
      <c r="P8172">
        <v>0.97030919999999998</v>
      </c>
      <c r="Q8172">
        <v>-0.1218963</v>
      </c>
      <c r="R8172">
        <v>0.20890529999999999</v>
      </c>
      <c r="S8172">
        <v>2.7136840000000002</v>
      </c>
      <c r="T8172">
        <v>-0.3575178</v>
      </c>
      <c r="U8172">
        <v>1.5572809999999999</v>
      </c>
      <c r="V8172">
        <v>-0.134689</v>
      </c>
      <c r="W8172">
        <v>-0.1079659</v>
      </c>
      <c r="X8172">
        <v>0.98498850000000004</v>
      </c>
      <c r="Y8172">
        <v>-0.42817709999999998</v>
      </c>
      <c r="Z8172">
        <v>2.141061E-2</v>
      </c>
      <c r="AA8172">
        <v>0.90344120000000006</v>
      </c>
      <c r="AB8172">
        <v>21</v>
      </c>
      <c r="AC8172">
        <v>8.4193999999999907</v>
      </c>
      <c r="AD8172">
        <v>-1.1226797889719999</v>
      </c>
      <c r="AE8172">
        <v>4.8807699999999903</v>
      </c>
      <c r="AF8172">
        <v>-4.1767426120043902</v>
      </c>
      <c r="AG8172">
        <v>-1.1226797889719999</v>
      </c>
      <c r="AH8172">
        <v>8.6482169895053396</v>
      </c>
      <c r="AI8172">
        <v>96.667449789778203</v>
      </c>
      <c r="AJ8172">
        <v>115.77868285141</v>
      </c>
      <c r="AK8172">
        <v>9.6693973883106192</v>
      </c>
      <c r="AL8172">
        <v>96.198071520767101</v>
      </c>
      <c r="AM8172">
        <v>97.786430837097299</v>
      </c>
      <c r="AN8172">
        <v>1.00000005370802</v>
      </c>
    </row>
    <row r="8173" spans="1:40" x14ac:dyDescent="0.25">
      <c r="A8173" t="str">
        <f>"20190303154337735"</f>
        <v>20190303154337735</v>
      </c>
      <c r="B8173" t="str">
        <f>"1551599017728458"</f>
        <v>1551599017728458</v>
      </c>
      <c r="C8173" t="s">
        <v>40</v>
      </c>
      <c r="D8173">
        <v>5.3983080000000001</v>
      </c>
      <c r="E8173">
        <v>0.36714069999999999</v>
      </c>
      <c r="F8173" t="s">
        <v>42</v>
      </c>
      <c r="G8173">
        <v>-208.67019999999999</v>
      </c>
      <c r="H8173">
        <v>1.010713</v>
      </c>
      <c r="I8173">
        <v>-61.655149999999999</v>
      </c>
      <c r="J8173">
        <v>-209.36189999999999</v>
      </c>
      <c r="K8173">
        <v>1.122628</v>
      </c>
      <c r="L8173">
        <v>-62.138309999999997</v>
      </c>
      <c r="M8173">
        <v>0.99687490000000001</v>
      </c>
      <c r="N8173">
        <v>-1.475773E-2</v>
      </c>
      <c r="O8173">
        <v>7.7607040000000002E-2</v>
      </c>
      <c r="P8173">
        <v>0.96966339999999995</v>
      </c>
      <c r="Q8173">
        <v>-0.1219693</v>
      </c>
      <c r="R8173">
        <v>0.2118408</v>
      </c>
      <c r="S8173">
        <v>2.6952820000000002</v>
      </c>
      <c r="T8173">
        <v>-0.36762420000000001</v>
      </c>
      <c r="U8173">
        <v>1.6271059999999999</v>
      </c>
      <c r="V8173">
        <v>-0.13546369999999999</v>
      </c>
      <c r="W8173">
        <v>-0.10804709999999999</v>
      </c>
      <c r="X8173">
        <v>0.98487329999999995</v>
      </c>
      <c r="Y8173">
        <v>-0.44580959999999997</v>
      </c>
      <c r="Z8173">
        <v>2.2892200000000001E-2</v>
      </c>
      <c r="AA8173">
        <v>0.89483509999999999</v>
      </c>
      <c r="AB8173">
        <v>21</v>
      </c>
      <c r="AC8173">
        <v>0.69169999999999698</v>
      </c>
      <c r="AD8173">
        <v>-0.111915</v>
      </c>
      <c r="AE8173">
        <v>0.48315999999999798</v>
      </c>
      <c r="AF8173">
        <v>-0.42061558390696502</v>
      </c>
      <c r="AG8173">
        <v>-0.111915</v>
      </c>
      <c r="AH8173">
        <v>0.71454250169182199</v>
      </c>
      <c r="AI8173">
        <v>97.687080494583498</v>
      </c>
      <c r="AJ8173">
        <v>120.483202771424</v>
      </c>
      <c r="AK8173">
        <v>0.83666804849617904</v>
      </c>
      <c r="AL8173">
        <v>96.202751626717799</v>
      </c>
      <c r="AM8173">
        <v>97.831567107587702</v>
      </c>
      <c r="AN8173">
        <v>1.00000000344449</v>
      </c>
    </row>
    <row r="8174" spans="1:40" x14ac:dyDescent="0.25">
      <c r="A8174" t="str">
        <f>"20190303154337746"</f>
        <v>20190303154337746</v>
      </c>
      <c r="B8174" t="str">
        <f>"1551599017738218"</f>
        <v>1551599017738218</v>
      </c>
      <c r="C8174" t="s">
        <v>40</v>
      </c>
      <c r="D8174">
        <v>5.3346179999999999</v>
      </c>
      <c r="E8174">
        <v>0.36433389999999999</v>
      </c>
      <c r="F8174" t="s">
        <v>58</v>
      </c>
      <c r="G8174">
        <v>-201.32499999999999</v>
      </c>
      <c r="H8174" s="1">
        <v>-5.7149780000000002E-6</v>
      </c>
      <c r="I8174">
        <v>-57.130020000000002</v>
      </c>
      <c r="J8174">
        <v>-209.2704</v>
      </c>
      <c r="K8174">
        <v>1.1226240000000001</v>
      </c>
      <c r="L8174">
        <v>-62.129460000000002</v>
      </c>
      <c r="M8174">
        <v>0.99675049999999998</v>
      </c>
      <c r="N8174">
        <v>-1.4740959999999999E-2</v>
      </c>
      <c r="O8174">
        <v>7.9191449999999997E-2</v>
      </c>
      <c r="P8174">
        <v>0.96920870000000003</v>
      </c>
      <c r="Q8174">
        <v>-0.1219268</v>
      </c>
      <c r="R8174">
        <v>0.2139363</v>
      </c>
      <c r="S8174">
        <v>2.6816710000000001</v>
      </c>
      <c r="T8174">
        <v>-0.37458910000000001</v>
      </c>
      <c r="U8174">
        <v>1.6711119999999999</v>
      </c>
      <c r="V8174">
        <v>-0.1360305</v>
      </c>
      <c r="W8174">
        <v>-0.10802</v>
      </c>
      <c r="X8174">
        <v>0.98479810000000001</v>
      </c>
      <c r="Y8174">
        <v>-0.4568373</v>
      </c>
      <c r="Z8174">
        <v>2.3863680000000002E-2</v>
      </c>
      <c r="AA8174">
        <v>0.88923009999999902</v>
      </c>
      <c r="AB8174">
        <v>21</v>
      </c>
      <c r="AC8174">
        <v>7.9454000000000002</v>
      </c>
      <c r="AD8174">
        <v>-1.122629714978</v>
      </c>
      <c r="AE8174">
        <v>4.9994399999999999</v>
      </c>
      <c r="AF8174">
        <v>-4.2930623960592902</v>
      </c>
      <c r="AG8174">
        <v>-1.122629714978</v>
      </c>
      <c r="AH8174">
        <v>8.1991378236385994</v>
      </c>
      <c r="AI8174">
        <v>96.916129545828994</v>
      </c>
      <c r="AJ8174">
        <v>117.636520562131</v>
      </c>
      <c r="AK8174">
        <v>9.3229042290710602</v>
      </c>
      <c r="AL8174">
        <v>96.201190055675198</v>
      </c>
      <c r="AM8174">
        <v>97.8645193739126</v>
      </c>
      <c r="AN8174">
        <v>0.99999995754692905</v>
      </c>
    </row>
    <row r="8175" spans="1:40" x14ac:dyDescent="0.25">
      <c r="A8175" t="str">
        <f>"20190303154337755"</f>
        <v>20190303154337755</v>
      </c>
      <c r="B8175" t="str">
        <f>"1551599017747977"</f>
        <v>1551599017747977</v>
      </c>
      <c r="C8175" t="s">
        <v>40</v>
      </c>
      <c r="D8175">
        <v>5.2708469999999998</v>
      </c>
      <c r="E8175">
        <v>0.36304599999999998</v>
      </c>
      <c r="F8175" t="s">
        <v>42</v>
      </c>
      <c r="G8175">
        <v>-208.48910000000001</v>
      </c>
      <c r="H8175">
        <v>1.011665</v>
      </c>
      <c r="I8175">
        <v>-61.632829999999998</v>
      </c>
      <c r="J8175">
        <v>-209.1756</v>
      </c>
      <c r="K8175">
        <v>1.122619</v>
      </c>
      <c r="L8175">
        <v>-62.12021</v>
      </c>
      <c r="M8175">
        <v>0.99661889999999997</v>
      </c>
      <c r="N8175">
        <v>-1.472366E-2</v>
      </c>
      <c r="O8175">
        <v>8.0833520000000006E-2</v>
      </c>
      <c r="P8175">
        <v>0.96868469999999995</v>
      </c>
      <c r="Q8175">
        <v>-0.121863899999999</v>
      </c>
      <c r="R8175">
        <v>0.21633179999999999</v>
      </c>
      <c r="S8175">
        <v>2.6726529999999999</v>
      </c>
      <c r="T8175">
        <v>-0.37953049999999999</v>
      </c>
      <c r="U8175">
        <v>1.698456</v>
      </c>
      <c r="V8175">
        <v>-0.13684389999999999</v>
      </c>
      <c r="W8175">
        <v>-0.1079745</v>
      </c>
      <c r="X8175">
        <v>0.98469039999999997</v>
      </c>
      <c r="Y8175">
        <v>-0.46310370000000001</v>
      </c>
      <c r="Z8175">
        <v>2.4391630000000001E-2</v>
      </c>
      <c r="AA8175">
        <v>0.88596839999999999</v>
      </c>
      <c r="AB8175">
        <v>21</v>
      </c>
      <c r="AC8175">
        <v>0.686499999999995</v>
      </c>
      <c r="AD8175">
        <v>-0.110954</v>
      </c>
      <c r="AE8175">
        <v>0.48737999999999398</v>
      </c>
      <c r="AF8175">
        <v>-0.42294090964632802</v>
      </c>
      <c r="AG8175">
        <v>-0.110954</v>
      </c>
      <c r="AH8175">
        <v>0.71130009366893698</v>
      </c>
      <c r="AI8175">
        <v>97.636474343966896</v>
      </c>
      <c r="AJ8175">
        <v>120.735828033614</v>
      </c>
      <c r="AK8175">
        <v>0.83494767885293397</v>
      </c>
      <c r="AL8175">
        <v>96.198567715565602</v>
      </c>
      <c r="AM8175">
        <v>97.911806231511306</v>
      </c>
      <c r="AN8175">
        <v>0.99999996473480901</v>
      </c>
    </row>
    <row r="8176" spans="1:40" x14ac:dyDescent="0.25">
      <c r="A8176" t="str">
        <f>"20190303154337766"</f>
        <v>20190303154337766</v>
      </c>
      <c r="B8176" t="str">
        <f>"1551599017758807"</f>
        <v>1551599017758807</v>
      </c>
      <c r="C8176" t="s">
        <v>40</v>
      </c>
      <c r="D8176">
        <v>5.2320039999999999</v>
      </c>
      <c r="E8176">
        <v>0.36203459999999898</v>
      </c>
      <c r="F8176" t="s">
        <v>42</v>
      </c>
      <c r="G8176">
        <v>-208.32050000000001</v>
      </c>
      <c r="H8176">
        <v>0.99939359999999999</v>
      </c>
      <c r="I8176">
        <v>-61.570340000000002</v>
      </c>
      <c r="J8176">
        <v>-209.07820000000001</v>
      </c>
      <c r="K8176">
        <v>1.1226419999999999</v>
      </c>
      <c r="L8176">
        <v>-62.110439999999997</v>
      </c>
      <c r="M8176">
        <v>0.99648349999999997</v>
      </c>
      <c r="N8176">
        <v>-1.4707390000000001E-2</v>
      </c>
      <c r="O8176">
        <v>8.2488480000000003E-2</v>
      </c>
      <c r="P8176">
        <v>0.96816999999999998</v>
      </c>
      <c r="Q8176">
        <v>-0.1217539</v>
      </c>
      <c r="R8176">
        <v>0.2186843</v>
      </c>
      <c r="S8176">
        <v>2.6657259999999998</v>
      </c>
      <c r="T8176">
        <v>-0.38416909999999999</v>
      </c>
      <c r="U8176">
        <v>1.7147520000000001</v>
      </c>
      <c r="V8176">
        <v>-0.13759549999999901</v>
      </c>
      <c r="W8176">
        <v>-0.107889</v>
      </c>
      <c r="X8176">
        <v>0.98459509999999995</v>
      </c>
      <c r="Y8176">
        <v>-0.46642299999999998</v>
      </c>
      <c r="Z8176">
        <v>2.4695020000000002E-2</v>
      </c>
      <c r="AA8176">
        <v>0.88421700000000003</v>
      </c>
      <c r="AB8176">
        <v>21</v>
      </c>
      <c r="AC8176">
        <v>0.75769999999999904</v>
      </c>
      <c r="AD8176">
        <v>-0.12324839999999899</v>
      </c>
      <c r="AE8176">
        <v>0.54010000000000202</v>
      </c>
      <c r="AF8176">
        <v>-0.46754786348753602</v>
      </c>
      <c r="AG8176">
        <v>-0.12324839999999899</v>
      </c>
      <c r="AH8176">
        <v>0.78588622689829501</v>
      </c>
      <c r="AI8176">
        <v>97.675998777183807</v>
      </c>
      <c r="AJ8176">
        <v>120.749714119904</v>
      </c>
      <c r="AK8176">
        <v>0.922717906178675</v>
      </c>
      <c r="AL8176">
        <v>96.193639707422307</v>
      </c>
      <c r="AM8176">
        <v>97.955466272973396</v>
      </c>
      <c r="AN8176">
        <v>1.0000000344426201</v>
      </c>
    </row>
    <row r="8177" spans="1:40" x14ac:dyDescent="0.25">
      <c r="A8177" t="str">
        <f>"20190303154337777"</f>
        <v>20190303154337777</v>
      </c>
      <c r="B8177" t="str">
        <f>"1551599017768778"</f>
        <v>1551599017768778</v>
      </c>
      <c r="C8177" t="s">
        <v>40</v>
      </c>
      <c r="D8177">
        <v>5.1872920000000002</v>
      </c>
      <c r="E8177">
        <v>0.36158000000000001</v>
      </c>
      <c r="F8177" t="s">
        <v>42</v>
      </c>
      <c r="G8177">
        <v>-208.3083</v>
      </c>
      <c r="H8177">
        <v>1.0098990000000001</v>
      </c>
      <c r="I8177">
        <v>-61.610169999999997</v>
      </c>
      <c r="J8177">
        <v>-208.9786</v>
      </c>
      <c r="K8177">
        <v>1.122663</v>
      </c>
      <c r="L8177">
        <v>-62.1004</v>
      </c>
      <c r="M8177">
        <v>0.99633959999999999</v>
      </c>
      <c r="N8177">
        <v>-1.4676150000000001E-2</v>
      </c>
      <c r="O8177">
        <v>8.4213369999999996E-2</v>
      </c>
      <c r="P8177">
        <v>0.96760049999999997</v>
      </c>
      <c r="Q8177">
        <v>-0.1219117</v>
      </c>
      <c r="R8177">
        <v>0.22110360000000001</v>
      </c>
      <c r="S8177">
        <v>2.6591800000000001</v>
      </c>
      <c r="T8177">
        <v>-0.38945170000000001</v>
      </c>
      <c r="U8177">
        <v>1.7286680000000001</v>
      </c>
      <c r="V8177">
        <v>-0.13834879999999999</v>
      </c>
      <c r="W8177">
        <v>-0.1080864</v>
      </c>
      <c r="X8177">
        <v>0.98446789999999995</v>
      </c>
      <c r="Y8177">
        <v>-0.46904580000000001</v>
      </c>
      <c r="Z8177">
        <v>2.496789E-2</v>
      </c>
      <c r="AA8177">
        <v>0.88282079999999996</v>
      </c>
      <c r="AB8177">
        <v>21</v>
      </c>
      <c r="AC8177">
        <v>0.67029999999999701</v>
      </c>
      <c r="AD8177">
        <v>-0.112764</v>
      </c>
      <c r="AE8177">
        <v>0.490230000000004</v>
      </c>
      <c r="AF8177">
        <v>-0.42421204892311598</v>
      </c>
      <c r="AG8177">
        <v>-0.112764</v>
      </c>
      <c r="AH8177">
        <v>0.69636679721897199</v>
      </c>
      <c r="AI8177">
        <v>97.873624787791897</v>
      </c>
      <c r="AJ8177">
        <v>121.348896633257</v>
      </c>
      <c r="AK8177">
        <v>0.82316359152756402</v>
      </c>
      <c r="AL8177">
        <v>96.205016305310295</v>
      </c>
      <c r="AM8177">
        <v>97.999478333970103</v>
      </c>
      <c r="AN8177">
        <v>1.0000000532283999</v>
      </c>
    </row>
    <row r="8178" spans="1:40" x14ac:dyDescent="0.25">
      <c r="A8178" t="str">
        <f>"20190303154337788"</f>
        <v>20190303154337788</v>
      </c>
      <c r="B8178" t="str">
        <f>"1551599017777891"</f>
        <v>1551599017777891</v>
      </c>
      <c r="C8178" t="s">
        <v>40</v>
      </c>
      <c r="D8178">
        <v>5.2396459999999996</v>
      </c>
      <c r="E8178">
        <v>0.36105340000000002</v>
      </c>
      <c r="F8178" t="s">
        <v>42</v>
      </c>
      <c r="G8178">
        <v>-208.13890000000001</v>
      </c>
      <c r="H8178">
        <v>0.99856109999999998</v>
      </c>
      <c r="I8178">
        <v>-61.550269999999998</v>
      </c>
      <c r="J8178">
        <v>-208.87559999999999</v>
      </c>
      <c r="K8178">
        <v>1.1226579999999999</v>
      </c>
      <c r="L8178">
        <v>-62.089750000000002</v>
      </c>
      <c r="M8178">
        <v>0.99617310000000003</v>
      </c>
      <c r="N8178">
        <v>-1.456766E-2</v>
      </c>
      <c r="O8178">
        <v>8.617967E-2</v>
      </c>
      <c r="P8178">
        <v>0.96693070000000003</v>
      </c>
      <c r="Q8178">
        <v>-0.1218993</v>
      </c>
      <c r="R8178">
        <v>0.2240212</v>
      </c>
      <c r="S8178">
        <v>2.6537320000000002</v>
      </c>
      <c r="T8178">
        <v>-0.39221549999999999</v>
      </c>
      <c r="U8178">
        <v>1.738739</v>
      </c>
      <c r="V8178">
        <v>-0.13937149999999901</v>
      </c>
      <c r="W8178">
        <v>-0.10818949999999999</v>
      </c>
      <c r="X8178">
        <v>0.98431219999999997</v>
      </c>
      <c r="Y8178">
        <v>-0.47043879999999999</v>
      </c>
      <c r="Z8178">
        <v>2.496311E-2</v>
      </c>
      <c r="AA8178">
        <v>0.88207950000000002</v>
      </c>
      <c r="AB8178">
        <v>21</v>
      </c>
      <c r="AC8178">
        <v>0.73669999999998403</v>
      </c>
      <c r="AD8178">
        <v>-0.1240969</v>
      </c>
      <c r="AE8178">
        <v>0.53948000000000396</v>
      </c>
      <c r="AF8178">
        <v>-0.46538138507322202</v>
      </c>
      <c r="AG8178">
        <v>-0.1240969</v>
      </c>
      <c r="AH8178">
        <v>0.76630179617605698</v>
      </c>
      <c r="AI8178">
        <v>97.880598979448493</v>
      </c>
      <c r="AJ8178">
        <v>121.270654196354</v>
      </c>
      <c r="AK8178">
        <v>0.90509575017504795</v>
      </c>
      <c r="AL8178">
        <v>96.210959019461399</v>
      </c>
      <c r="AM8178">
        <v>98.059095974387205</v>
      </c>
      <c r="AN8178">
        <v>0.99999994499566802</v>
      </c>
    </row>
    <row r="8179" spans="1:40" x14ac:dyDescent="0.25">
      <c r="A8179" t="str">
        <f>"20190303154337800"</f>
        <v>20190303154337800</v>
      </c>
      <c r="B8179" t="str">
        <f>"1551599017788628"</f>
        <v>1551599017788628</v>
      </c>
      <c r="C8179" t="s">
        <v>40</v>
      </c>
      <c r="D8179">
        <v>5.2251719999999997</v>
      </c>
      <c r="E8179">
        <v>0.36077890000000001</v>
      </c>
      <c r="F8179" t="s">
        <v>42</v>
      </c>
      <c r="G8179">
        <v>-208.12540000000001</v>
      </c>
      <c r="H8179">
        <v>1.0111669999999999</v>
      </c>
      <c r="I8179">
        <v>-61.593739999999997</v>
      </c>
      <c r="J8179">
        <v>-208.7724</v>
      </c>
      <c r="K8179">
        <v>1.122673</v>
      </c>
      <c r="L8179">
        <v>-62.078949999999999</v>
      </c>
      <c r="M8179">
        <v>0.99601530000000005</v>
      </c>
      <c r="N8179">
        <v>-1.446249E-2</v>
      </c>
      <c r="O8179">
        <v>8.8002739999999996E-2</v>
      </c>
      <c r="P8179">
        <v>0.96629989999999999</v>
      </c>
      <c r="Q8179">
        <v>-0.12155390000000001</v>
      </c>
      <c r="R8179">
        <v>0.22691220000000001</v>
      </c>
      <c r="S8179">
        <v>2.6474000000000002</v>
      </c>
      <c r="T8179">
        <v>-0.39349230000000002</v>
      </c>
      <c r="U8179">
        <v>1.750702</v>
      </c>
      <c r="V8179">
        <v>-0.14049990000000001</v>
      </c>
      <c r="W8179">
        <v>-0.1079668</v>
      </c>
      <c r="X8179">
        <v>0.9841763</v>
      </c>
      <c r="Y8179">
        <v>-0.4725452</v>
      </c>
      <c r="Z8179">
        <v>2.4954830000000001E-2</v>
      </c>
      <c r="AA8179">
        <v>0.88095309999999905</v>
      </c>
      <c r="AB8179">
        <v>21</v>
      </c>
      <c r="AC8179">
        <v>0.64699999999999103</v>
      </c>
      <c r="AD8179">
        <v>-0.11150599999999999</v>
      </c>
      <c r="AE8179">
        <v>0.48520999999999498</v>
      </c>
      <c r="AF8179">
        <v>-0.41842883522327001</v>
      </c>
      <c r="AG8179">
        <v>-0.11150599999999999</v>
      </c>
      <c r="AH8179">
        <v>0.67437335941017695</v>
      </c>
      <c r="AI8179">
        <v>97.997690524786407</v>
      </c>
      <c r="AJ8179">
        <v>121.81838483827801</v>
      </c>
      <c r="AK8179">
        <v>0.80143353190671396</v>
      </c>
      <c r="AL8179">
        <v>96.198123595916599</v>
      </c>
      <c r="AM8179">
        <v>98.124584472169204</v>
      </c>
      <c r="AN8179">
        <v>1.0000000206419699</v>
      </c>
    </row>
    <row r="8180" spans="1:40" x14ac:dyDescent="0.25">
      <c r="A8180" t="str">
        <f>"20190303154337811"</f>
        <v>20190303154337811</v>
      </c>
      <c r="B8180" t="str">
        <f>"1551599017808148"</f>
        <v>1551599017808148</v>
      </c>
      <c r="C8180" t="s">
        <v>40</v>
      </c>
      <c r="D8180">
        <v>5.2403209999999998</v>
      </c>
      <c r="E8180">
        <v>0.3602591</v>
      </c>
      <c r="F8180" t="s">
        <v>42</v>
      </c>
      <c r="G8180">
        <v>-207.95570000000001</v>
      </c>
      <c r="H8180">
        <v>1.0013479999999999</v>
      </c>
      <c r="I8180">
        <v>-61.534689999999998</v>
      </c>
      <c r="J8180">
        <v>-208.672</v>
      </c>
      <c r="K8180">
        <v>1.1227240000000001</v>
      </c>
      <c r="L8180">
        <v>-62.068210000000001</v>
      </c>
      <c r="M8180">
        <v>0.99587859999999995</v>
      </c>
      <c r="N8180">
        <v>-1.436518E-2</v>
      </c>
      <c r="O8180">
        <v>8.9552149999999997E-2</v>
      </c>
      <c r="P8180">
        <v>0.96573450000000005</v>
      </c>
      <c r="Q8180">
        <v>-0.1211334</v>
      </c>
      <c r="R8180">
        <v>0.22952890000000001</v>
      </c>
      <c r="S8180">
        <v>2.6418149999999998</v>
      </c>
      <c r="T8180">
        <v>-0.39245219999999997</v>
      </c>
      <c r="U8180">
        <v>1.7606809999999999</v>
      </c>
      <c r="V8180">
        <v>-0.14160799999999901</v>
      </c>
      <c r="W8180">
        <v>-0.1076771</v>
      </c>
      <c r="X8180">
        <v>0.98404919999999996</v>
      </c>
      <c r="Y8180">
        <v>-0.47435260000000001</v>
      </c>
      <c r="Z8180">
        <v>2.4839799999999999E-2</v>
      </c>
      <c r="AA8180">
        <v>0.8799844</v>
      </c>
      <c r="AB8180">
        <v>21</v>
      </c>
      <c r="AC8180">
        <v>0.71629999999998895</v>
      </c>
      <c r="AD8180">
        <v>-0.121376</v>
      </c>
      <c r="AE8180">
        <v>0.533519999999995</v>
      </c>
      <c r="AF8180">
        <v>-0.45875110002283798</v>
      </c>
      <c r="AG8180">
        <v>-0.121376</v>
      </c>
      <c r="AH8180">
        <v>0.74740149776397902</v>
      </c>
      <c r="AI8180">
        <v>97.879969522291603</v>
      </c>
      <c r="AJ8180">
        <v>121.54138305565699</v>
      </c>
      <c r="AK8180">
        <v>0.88532124339586604</v>
      </c>
      <c r="AL8180">
        <v>96.181427767600397</v>
      </c>
      <c r="AM8180">
        <v>98.188839462979502</v>
      </c>
      <c r="AN8180">
        <v>1.00000000577452</v>
      </c>
    </row>
    <row r="8181" spans="1:40" x14ac:dyDescent="0.25">
      <c r="A8181" t="str">
        <f>"20190303154337824"</f>
        <v>20190303154337824</v>
      </c>
      <c r="B8181" t="str">
        <f>"1551599017817908"</f>
        <v>1551599017817908</v>
      </c>
      <c r="C8181" t="s">
        <v>40</v>
      </c>
      <c r="D8181">
        <v>5.1649070000000004</v>
      </c>
      <c r="E8181">
        <v>0.36027550000000003</v>
      </c>
      <c r="F8181" t="s">
        <v>42</v>
      </c>
      <c r="G8181">
        <v>-207.94130000000001</v>
      </c>
      <c r="H8181">
        <v>1.0140819999999999</v>
      </c>
      <c r="I8181">
        <v>-61.577179999999998</v>
      </c>
      <c r="J8181">
        <v>-208.55350000000001</v>
      </c>
      <c r="K8181">
        <v>1.122779</v>
      </c>
      <c r="L8181">
        <v>-62.055269999999901</v>
      </c>
      <c r="M8181">
        <v>0.99571589999999999</v>
      </c>
      <c r="N8181">
        <v>-1.435089E-2</v>
      </c>
      <c r="O8181">
        <v>9.1344770000000006E-2</v>
      </c>
      <c r="P8181">
        <v>0.9650841</v>
      </c>
      <c r="Q8181">
        <v>-0.1205982</v>
      </c>
      <c r="R8181">
        <v>0.23252680000000001</v>
      </c>
      <c r="S8181">
        <v>2.6361539999999999</v>
      </c>
      <c r="T8181">
        <v>-0.39200629999999997</v>
      </c>
      <c r="U8181">
        <v>1.771881</v>
      </c>
      <c r="V8181">
        <v>-0.14286399999999999</v>
      </c>
      <c r="W8181">
        <v>-0.1071935</v>
      </c>
      <c r="X8181">
        <v>0.98392049999999998</v>
      </c>
      <c r="Y8181">
        <v>-0.4762228</v>
      </c>
      <c r="Z8181">
        <v>2.4757210000000002E-2</v>
      </c>
      <c r="AA8181">
        <v>0.87897599999999998</v>
      </c>
      <c r="AB8181">
        <v>21</v>
      </c>
      <c r="AC8181">
        <v>0.61220000000000097</v>
      </c>
      <c r="AD8181">
        <v>-0.108697</v>
      </c>
      <c r="AE8181">
        <v>0.47808999999998703</v>
      </c>
      <c r="AF8181">
        <v>-0.41209414983190101</v>
      </c>
      <c r="AG8181">
        <v>-0.108697</v>
      </c>
      <c r="AH8181">
        <v>0.64076799639719295</v>
      </c>
      <c r="AI8181">
        <v>98.119949033397205</v>
      </c>
      <c r="AJ8181">
        <v>122.746098941912</v>
      </c>
      <c r="AK8181">
        <v>0.76955847818184098</v>
      </c>
      <c r="AL8181">
        <v>96.153557889075003</v>
      </c>
      <c r="AM8181">
        <v>98.261538434755707</v>
      </c>
      <c r="AN8181">
        <v>1.00000005962924</v>
      </c>
    </row>
    <row r="8182" spans="1:40" x14ac:dyDescent="0.25">
      <c r="A8182" t="str">
        <f>"20190303154337837"</f>
        <v>20190303154337837</v>
      </c>
      <c r="B8182" t="str">
        <f>"1551599017828643"</f>
        <v>1551599017828643</v>
      </c>
      <c r="C8182" t="s">
        <v>40</v>
      </c>
      <c r="D8182">
        <v>5.230486</v>
      </c>
      <c r="E8182">
        <v>0.36012660000000002</v>
      </c>
      <c r="F8182" t="s">
        <v>42</v>
      </c>
      <c r="G8182">
        <v>-207.7713</v>
      </c>
      <c r="H8182">
        <v>1.006605</v>
      </c>
      <c r="I8182">
        <v>-61.526179999999997</v>
      </c>
      <c r="J8182">
        <v>-208.43440000000001</v>
      </c>
      <c r="K8182">
        <v>1.122825</v>
      </c>
      <c r="L8182">
        <v>-62.041989999999998</v>
      </c>
      <c r="M8182">
        <v>0.99554730000000002</v>
      </c>
      <c r="N8182">
        <v>-1.439821E-2</v>
      </c>
      <c r="O8182">
        <v>9.3157199999999996E-2</v>
      </c>
      <c r="P8182">
        <v>0.96437260000000002</v>
      </c>
      <c r="Q8182">
        <v>-0.119908</v>
      </c>
      <c r="R8182">
        <v>0.23581250000000001</v>
      </c>
      <c r="S8182">
        <v>2.63089</v>
      </c>
      <c r="T8182">
        <v>-0.39073780000000002</v>
      </c>
      <c r="U8182">
        <v>1.779755</v>
      </c>
      <c r="V8182">
        <v>-0.14439869999999999</v>
      </c>
      <c r="W8182">
        <v>-0.1064918</v>
      </c>
      <c r="X8182">
        <v>0.9837726</v>
      </c>
      <c r="Y8182">
        <v>-0.4772631</v>
      </c>
      <c r="Z8182">
        <v>2.459341E-2</v>
      </c>
      <c r="AA8182">
        <v>0.87841619999999998</v>
      </c>
      <c r="AB8182">
        <v>21</v>
      </c>
      <c r="AC8182">
        <v>0.66310000000001401</v>
      </c>
      <c r="AD8182">
        <v>-0.11622</v>
      </c>
      <c r="AE8182">
        <v>0.51581000000000099</v>
      </c>
      <c r="AF8182">
        <v>-0.443303463752522</v>
      </c>
      <c r="AG8182">
        <v>-0.11622</v>
      </c>
      <c r="AH8182">
        <v>0.69497166177497804</v>
      </c>
      <c r="AI8182">
        <v>98.0251748492324</v>
      </c>
      <c r="AJ8182">
        <v>122.53269231425401</v>
      </c>
      <c r="AK8182">
        <v>0.83247261819549201</v>
      </c>
      <c r="AL8182">
        <v>96.113122299839304</v>
      </c>
      <c r="AM8182">
        <v>98.350280060858196</v>
      </c>
      <c r="AN8182">
        <v>1.0000000082698399</v>
      </c>
    </row>
    <row r="8183" spans="1:40" x14ac:dyDescent="0.25">
      <c r="A8183" t="str">
        <f>"20190303154337851"</f>
        <v>20190303154337851</v>
      </c>
      <c r="B8183" t="str">
        <f>"1551599017848163"</f>
        <v>1551599017848163</v>
      </c>
      <c r="C8183" t="s">
        <v>40</v>
      </c>
      <c r="D8183">
        <v>5.231433</v>
      </c>
      <c r="E8183">
        <v>0.36006899999999997</v>
      </c>
      <c r="F8183" t="s">
        <v>42</v>
      </c>
      <c r="G8183">
        <v>-207.60159999999999</v>
      </c>
      <c r="H8183">
        <v>0.99977640000000001</v>
      </c>
      <c r="I8183">
        <v>-61.474330000000002</v>
      </c>
      <c r="J8183">
        <v>-208.3064</v>
      </c>
      <c r="K8183">
        <v>1.122798</v>
      </c>
      <c r="L8183">
        <v>-62.027340000000002</v>
      </c>
      <c r="M8183">
        <v>0.99533939999999999</v>
      </c>
      <c r="N8183">
        <v>-1.448968E-2</v>
      </c>
      <c r="O8183">
        <v>9.534012E-2</v>
      </c>
      <c r="P8183">
        <v>0.96360610000000002</v>
      </c>
      <c r="Q8183">
        <v>-0.1196948</v>
      </c>
      <c r="R8183">
        <v>0.2390323</v>
      </c>
      <c r="S8183">
        <v>2.6248629999999999</v>
      </c>
      <c r="T8183">
        <v>-0.38789829999999997</v>
      </c>
      <c r="U8183">
        <v>1.7900389999999999</v>
      </c>
      <c r="V8183">
        <v>-0.1455234</v>
      </c>
      <c r="W8183">
        <v>-0.10619679999999999</v>
      </c>
      <c r="X8183">
        <v>0.98363880000000004</v>
      </c>
      <c r="Y8183">
        <v>-0.4786685</v>
      </c>
      <c r="Z8183">
        <v>2.4352889999999999E-2</v>
      </c>
      <c r="AA8183">
        <v>0.87765789999999999</v>
      </c>
      <c r="AB8183">
        <v>21</v>
      </c>
      <c r="AC8183">
        <v>0.70480000000000498</v>
      </c>
      <c r="AD8183">
        <v>-0.123021599999999</v>
      </c>
      <c r="AE8183">
        <v>0.55301</v>
      </c>
      <c r="AF8183">
        <v>-0.474342704163003</v>
      </c>
      <c r="AG8183">
        <v>-0.123021599999999</v>
      </c>
      <c r="AH8183">
        <v>0.74035709271773398</v>
      </c>
      <c r="AI8183">
        <v>97.964669731376205</v>
      </c>
      <c r="AJ8183">
        <v>122.647462674731</v>
      </c>
      <c r="AK8183">
        <v>0.88784229444011398</v>
      </c>
      <c r="AL8183">
        <v>96.096123368532901</v>
      </c>
      <c r="AM8183">
        <v>98.415519720818395</v>
      </c>
      <c r="AN8183">
        <v>1.0000000545716099</v>
      </c>
    </row>
    <row r="8184" spans="1:40" x14ac:dyDescent="0.25">
      <c r="A8184" t="str">
        <f>"20190303154337863"</f>
        <v>20190303154337863</v>
      </c>
      <c r="B8184" t="str">
        <f>"1551599017857924"</f>
        <v>1551599017857924</v>
      </c>
      <c r="C8184" t="s">
        <v>40</v>
      </c>
      <c r="D8184">
        <v>5.1721360000000001</v>
      </c>
      <c r="E8184">
        <v>0.36027569999999998</v>
      </c>
      <c r="F8184" t="s">
        <v>42</v>
      </c>
      <c r="G8184">
        <v>-207.58260000000001</v>
      </c>
      <c r="H8184">
        <v>1.0157959999999999</v>
      </c>
      <c r="I8184">
        <v>-61.530349999999999</v>
      </c>
      <c r="J8184">
        <v>-208.20150000000001</v>
      </c>
      <c r="K8184">
        <v>1.1227560000000001</v>
      </c>
      <c r="L8184">
        <v>-62.015079999999998</v>
      </c>
      <c r="M8184">
        <v>0.99514979999999997</v>
      </c>
      <c r="N8184">
        <v>-1.451678E-2</v>
      </c>
      <c r="O8184">
        <v>9.7295090000000001E-2</v>
      </c>
      <c r="P8184">
        <v>0.96288830000000003</v>
      </c>
      <c r="Q8184">
        <v>-0.11924170000000001</v>
      </c>
      <c r="R8184">
        <v>0.24213170000000001</v>
      </c>
      <c r="S8184">
        <v>2.6189119999999999</v>
      </c>
      <c r="T8184">
        <v>-0.38722469999999998</v>
      </c>
      <c r="U8184">
        <v>1.799194</v>
      </c>
      <c r="V8184">
        <v>-0.14675360000000001</v>
      </c>
      <c r="W8184">
        <v>-0.1057218</v>
      </c>
      <c r="X8184">
        <v>0.98350720000000003</v>
      </c>
      <c r="Y8184">
        <v>-0.47996879999999997</v>
      </c>
      <c r="Z8184">
        <v>2.4218610000000002E-2</v>
      </c>
      <c r="AA8184">
        <v>0.87695119999999904</v>
      </c>
      <c r="AB8184">
        <v>21</v>
      </c>
      <c r="AC8184">
        <v>0.61889999999999601</v>
      </c>
      <c r="AD8184">
        <v>-0.106959999999999</v>
      </c>
      <c r="AE8184">
        <v>0.48473000000000599</v>
      </c>
      <c r="AF8184">
        <v>-0.41453362088294199</v>
      </c>
      <c r="AG8184">
        <v>-0.106959999999999</v>
      </c>
      <c r="AH8184">
        <v>0.65107711287478798</v>
      </c>
      <c r="AI8184">
        <v>97.889666642459204</v>
      </c>
      <c r="AJ8184">
        <v>122.484458085382</v>
      </c>
      <c r="AK8184">
        <v>0.77921753788765102</v>
      </c>
      <c r="AL8184">
        <v>96.068753731374699</v>
      </c>
      <c r="AM8184">
        <v>98.486748758481198</v>
      </c>
      <c r="AN8184">
        <v>1.0000000652800101</v>
      </c>
    </row>
    <row r="8185" spans="1:40" x14ac:dyDescent="0.25">
      <c r="A8185" t="str">
        <f>"20190303154337877"</f>
        <v>20190303154337877</v>
      </c>
      <c r="B8185" t="str">
        <f>"1551599017868660"</f>
        <v>1551599017868660</v>
      </c>
      <c r="C8185" t="s">
        <v>40</v>
      </c>
      <c r="D8185">
        <v>5.2011900000000004</v>
      </c>
      <c r="E8185">
        <v>0.36034690000000003</v>
      </c>
      <c r="F8185" t="s">
        <v>42</v>
      </c>
      <c r="G8185">
        <v>-207.41640000000001</v>
      </c>
      <c r="H8185">
        <v>1.007161</v>
      </c>
      <c r="I8185">
        <v>-61.472580000000001</v>
      </c>
      <c r="J8185">
        <v>-208.07560000000001</v>
      </c>
      <c r="K8185">
        <v>1.122692</v>
      </c>
      <c r="L8185">
        <v>-62.00018</v>
      </c>
      <c r="M8185">
        <v>0.99490489999999998</v>
      </c>
      <c r="N8185">
        <v>-1.450707E-2</v>
      </c>
      <c r="O8185">
        <v>9.9770079999999997E-2</v>
      </c>
      <c r="P8185">
        <v>0.96200410000000003</v>
      </c>
      <c r="Q8185">
        <v>-0.1190147</v>
      </c>
      <c r="R8185">
        <v>0.24573149999999999</v>
      </c>
      <c r="S8185">
        <v>2.6137700000000001</v>
      </c>
      <c r="T8185">
        <v>-0.38483729999999999</v>
      </c>
      <c r="U8185">
        <v>1.8062130000000001</v>
      </c>
      <c r="V8185">
        <v>-0.14798649999999999</v>
      </c>
      <c r="W8185">
        <v>-0.1055069</v>
      </c>
      <c r="X8185">
        <v>0.98334540000000004</v>
      </c>
      <c r="Y8185">
        <v>-0.48023890000000002</v>
      </c>
      <c r="Z8185">
        <v>2.3849860000000001E-2</v>
      </c>
      <c r="AA8185">
        <v>0.87681339999999997</v>
      </c>
      <c r="AB8185">
        <v>20</v>
      </c>
      <c r="AC8185">
        <v>0.65919999999999801</v>
      </c>
      <c r="AD8185">
        <v>-0.11553099999999999</v>
      </c>
      <c r="AE8185">
        <v>0.52759999999999896</v>
      </c>
      <c r="AF8185">
        <v>-0.45075241943321898</v>
      </c>
      <c r="AG8185">
        <v>-0.11553099999999999</v>
      </c>
      <c r="AH8185">
        <v>0.69553234141819897</v>
      </c>
      <c r="AI8185">
        <v>97.935447460689304</v>
      </c>
      <c r="AJ8185">
        <v>122.945990937809</v>
      </c>
      <c r="AK8185">
        <v>0.83683355187551101</v>
      </c>
      <c r="AL8185">
        <v>96.056372361881401</v>
      </c>
      <c r="AM8185">
        <v>98.558383204486404</v>
      </c>
      <c r="AN8185">
        <v>0.99999994291550798</v>
      </c>
    </row>
    <row r="8186" spans="1:40" x14ac:dyDescent="0.25">
      <c r="A8186" t="str">
        <f>"20190303154337889"</f>
        <v>20190303154337889</v>
      </c>
      <c r="B8186" t="str">
        <f>"1551599017878420"</f>
        <v>1551599017878420</v>
      </c>
      <c r="C8186" t="s">
        <v>40</v>
      </c>
      <c r="D8186">
        <v>4.683853</v>
      </c>
      <c r="E8186">
        <v>0.35889179999999998</v>
      </c>
      <c r="F8186" t="s">
        <v>42</v>
      </c>
      <c r="G8186">
        <v>-207.2466</v>
      </c>
      <c r="H8186">
        <v>1.0009520000000001</v>
      </c>
      <c r="I8186">
        <v>-61.423050000000003</v>
      </c>
      <c r="J8186">
        <v>-207.9623</v>
      </c>
      <c r="K8186">
        <v>1.122655</v>
      </c>
      <c r="L8186">
        <v>-61.98639</v>
      </c>
      <c r="M8186">
        <v>0.99466969999999999</v>
      </c>
      <c r="N8186">
        <v>-1.4427799999999999E-2</v>
      </c>
      <c r="O8186">
        <v>0.10209840000000001</v>
      </c>
      <c r="P8186">
        <v>0.96119739999999998</v>
      </c>
      <c r="Q8186">
        <v>-0.118464</v>
      </c>
      <c r="R8186">
        <v>0.2491303</v>
      </c>
      <c r="S8186">
        <v>2.6073909999999998</v>
      </c>
      <c r="T8186">
        <v>-0.38291190000000003</v>
      </c>
      <c r="U8186">
        <v>1.8154300000000001</v>
      </c>
      <c r="V8186">
        <v>-0.14915139999999999</v>
      </c>
      <c r="W8186">
        <v>-0.10504579999999999</v>
      </c>
      <c r="X8186">
        <v>0.98321879999999995</v>
      </c>
      <c r="Y8186">
        <v>-0.4813173</v>
      </c>
      <c r="Z8186">
        <v>2.3561809999999999E-2</v>
      </c>
      <c r="AA8186">
        <v>0.876229699999999</v>
      </c>
      <c r="AB8186">
        <v>20</v>
      </c>
      <c r="AC8186">
        <v>0.715699999999998</v>
      </c>
      <c r="AD8186">
        <v>-0.12170299999999901</v>
      </c>
      <c r="AE8186">
        <v>0.56333999999999596</v>
      </c>
      <c r="AF8186">
        <v>-0.478768000530088</v>
      </c>
      <c r="AG8186">
        <v>-0.12170299999999901</v>
      </c>
      <c r="AH8186">
        <v>0.75598365753183105</v>
      </c>
      <c r="AI8186">
        <v>97.745050574484694</v>
      </c>
      <c r="AJ8186">
        <v>122.346272421162</v>
      </c>
      <c r="AK8186">
        <v>0.903073479289357</v>
      </c>
      <c r="AL8186">
        <v>96.029805393712394</v>
      </c>
      <c r="AM8186">
        <v>98.625836524021096</v>
      </c>
      <c r="AN8186">
        <v>0.99999998444651905</v>
      </c>
    </row>
    <row r="8187" spans="1:40" x14ac:dyDescent="0.25">
      <c r="A8187" t="str">
        <f>"20190303154337900"</f>
        <v>20190303154337900</v>
      </c>
      <c r="B8187" t="str">
        <f>"1551599017888180"</f>
        <v>1551599017888180</v>
      </c>
      <c r="C8187" t="s">
        <v>40</v>
      </c>
      <c r="D8187">
        <v>5.1998290000000003</v>
      </c>
      <c r="E8187">
        <v>0.35906250000000001</v>
      </c>
      <c r="F8187" t="s">
        <v>42</v>
      </c>
      <c r="G8187">
        <v>-207.2312</v>
      </c>
      <c r="H8187">
        <v>1.015549</v>
      </c>
      <c r="I8187">
        <v>-61.469880000000003</v>
      </c>
      <c r="J8187">
        <v>-207.8672</v>
      </c>
      <c r="K8187">
        <v>1.1226400000000001</v>
      </c>
      <c r="L8187">
        <v>-61.974640000000001</v>
      </c>
      <c r="M8187">
        <v>0.99447010000000002</v>
      </c>
      <c r="N8187">
        <v>-1.435997E-2</v>
      </c>
      <c r="O8187">
        <v>0.1040336</v>
      </c>
      <c r="P8187">
        <v>0.9605245</v>
      </c>
      <c r="Q8187">
        <v>-0.1185129</v>
      </c>
      <c r="R8187">
        <v>0.25168889999999999</v>
      </c>
      <c r="S8187">
        <v>2.5983429999999998</v>
      </c>
      <c r="T8187">
        <v>-0.38067580000000001</v>
      </c>
      <c r="U8187">
        <v>1.8359380000000001</v>
      </c>
      <c r="V8187">
        <v>-0.14984979999999901</v>
      </c>
      <c r="W8187">
        <v>-0.1051743</v>
      </c>
      <c r="X8187">
        <v>0.9830989</v>
      </c>
      <c r="Y8187">
        <v>-0.48568129999999998</v>
      </c>
      <c r="Z8187">
        <v>2.3549460000000001E-2</v>
      </c>
      <c r="AA8187">
        <v>0.87381869999999995</v>
      </c>
      <c r="AB8187">
        <v>20</v>
      </c>
      <c r="AC8187">
        <v>0.63599999999999501</v>
      </c>
      <c r="AD8187">
        <v>-0.10709099999999901</v>
      </c>
      <c r="AE8187">
        <v>0.50475999999999699</v>
      </c>
      <c r="AF8187">
        <v>-0.42839613768323997</v>
      </c>
      <c r="AG8187">
        <v>-0.10709099999999901</v>
      </c>
      <c r="AH8187">
        <v>0.67335232700992997</v>
      </c>
      <c r="AI8187">
        <v>97.642657476056399</v>
      </c>
      <c r="AJ8187">
        <v>122.465087135388</v>
      </c>
      <c r="AK8187">
        <v>0.80522983635270595</v>
      </c>
      <c r="AL8187">
        <v>96.0372086876814</v>
      </c>
      <c r="AM8187">
        <v>98.666656007377298</v>
      </c>
      <c r="AN8187">
        <v>1.00000002156086</v>
      </c>
    </row>
    <row r="8188" spans="1:40" x14ac:dyDescent="0.25">
      <c r="A8188" t="str">
        <f>"20190303154337910"</f>
        <v>20190303154337910</v>
      </c>
      <c r="B8188" t="str">
        <f>"1551599017908675"</f>
        <v>1551599017908675</v>
      </c>
      <c r="C8188" t="s">
        <v>40</v>
      </c>
      <c r="D8188">
        <v>5.1565640000000004</v>
      </c>
      <c r="E8188">
        <v>0.35963220000000001</v>
      </c>
      <c r="F8188" t="s">
        <v>42</v>
      </c>
      <c r="G8188">
        <v>-207.06610000000001</v>
      </c>
      <c r="H8188">
        <v>1.0050380000000001</v>
      </c>
      <c r="I8188">
        <v>-61.40598</v>
      </c>
      <c r="J8188">
        <v>-207.76910000000001</v>
      </c>
      <c r="K8188">
        <v>1.1226499999999999</v>
      </c>
      <c r="L8188">
        <v>-61.96228</v>
      </c>
      <c r="M8188">
        <v>0.99426329999999996</v>
      </c>
      <c r="N8188">
        <v>-1.428808E-2</v>
      </c>
      <c r="O8188">
        <v>0.1060022</v>
      </c>
      <c r="P8188">
        <v>0.95979210000000004</v>
      </c>
      <c r="Q8188">
        <v>-0.1185567</v>
      </c>
      <c r="R8188">
        <v>0.2544476</v>
      </c>
      <c r="S8188">
        <v>2.5937350000000001</v>
      </c>
      <c r="T8188">
        <v>-0.38078879999999998</v>
      </c>
      <c r="U8188">
        <v>1.841583</v>
      </c>
      <c r="V8188">
        <v>-0.15071660000000001</v>
      </c>
      <c r="W8188">
        <v>-0.10530929999999999</v>
      </c>
      <c r="X8188">
        <v>0.98295189999999999</v>
      </c>
      <c r="Y8188">
        <v>-0.48595820000000001</v>
      </c>
      <c r="Z8188">
        <v>2.3339889999999999E-2</v>
      </c>
      <c r="AA8188">
        <v>0.87367030000000001</v>
      </c>
      <c r="AB8188">
        <v>20</v>
      </c>
      <c r="AC8188">
        <v>0.70300000000000296</v>
      </c>
      <c r="AD8188">
        <v>-0.11761199999999999</v>
      </c>
      <c r="AE8188">
        <v>0.55630000000000002</v>
      </c>
      <c r="AF8188">
        <v>-0.47053923139008802</v>
      </c>
      <c r="AG8188">
        <v>-0.11761199999999999</v>
      </c>
      <c r="AH8188">
        <v>0.74518759590463601</v>
      </c>
      <c r="AI8188">
        <v>97.601265115647493</v>
      </c>
      <c r="AJ8188">
        <v>122.26984168593199</v>
      </c>
      <c r="AK8188">
        <v>0.88912558388076202</v>
      </c>
      <c r="AL8188">
        <v>96.044987004120998</v>
      </c>
      <c r="AM8188">
        <v>98.717303691664995</v>
      </c>
      <c r="AN8188">
        <v>0.99999998994782902</v>
      </c>
    </row>
    <row r="8189" spans="1:40" x14ac:dyDescent="0.25">
      <c r="A8189" t="str">
        <f>"20190303154337922"</f>
        <v>20190303154337922</v>
      </c>
      <c r="B8189" t="str">
        <f>"1551599017918435"</f>
        <v>1551599017918435</v>
      </c>
      <c r="C8189" t="s">
        <v>40</v>
      </c>
      <c r="D8189">
        <v>5.1726549999999998</v>
      </c>
      <c r="E8189">
        <v>0.35988690000000001</v>
      </c>
      <c r="F8189" t="s">
        <v>42</v>
      </c>
      <c r="G8189">
        <v>-207.05109999999999</v>
      </c>
      <c r="H8189">
        <v>1.01736</v>
      </c>
      <c r="I8189">
        <v>-61.4510199999999</v>
      </c>
      <c r="J8189">
        <v>-207.66650000000001</v>
      </c>
      <c r="K8189">
        <v>1.122681</v>
      </c>
      <c r="L8189">
        <v>-61.949100000000001</v>
      </c>
      <c r="M8189">
        <v>0.99404689999999996</v>
      </c>
      <c r="N8189">
        <v>-1.423745E-2</v>
      </c>
      <c r="O8189">
        <v>0.1080198</v>
      </c>
      <c r="P8189">
        <v>0.95904029999999996</v>
      </c>
      <c r="Q8189">
        <v>-0.1184788</v>
      </c>
      <c r="R8189">
        <v>0.2573027</v>
      </c>
      <c r="S8189">
        <v>2.589737</v>
      </c>
      <c r="T8189">
        <v>-0.3798242</v>
      </c>
      <c r="U8189">
        <v>1.8446659999999999</v>
      </c>
      <c r="V8189">
        <v>-0.1516325</v>
      </c>
      <c r="W8189">
        <v>-0.1053056</v>
      </c>
      <c r="X8189">
        <v>0.98281149999999995</v>
      </c>
      <c r="Y8189">
        <v>-0.48554249999999999</v>
      </c>
      <c r="Z8189">
        <v>2.3030999999999999E-2</v>
      </c>
      <c r="AA8189">
        <v>0.87390970000000001</v>
      </c>
      <c r="AB8189">
        <v>20</v>
      </c>
      <c r="AC8189">
        <v>0.61540000000002204</v>
      </c>
      <c r="AD8189">
        <v>-0.105321</v>
      </c>
      <c r="AE8189">
        <v>0.49808000000000802</v>
      </c>
      <c r="AF8189">
        <v>-0.421228406302813</v>
      </c>
      <c r="AG8189">
        <v>-0.105321</v>
      </c>
      <c r="AH8189">
        <v>0.65403193240511304</v>
      </c>
      <c r="AI8189">
        <v>97.710078164916496</v>
      </c>
      <c r="AJ8189">
        <v>122.783506918504</v>
      </c>
      <c r="AK8189">
        <v>0.78503735702383803</v>
      </c>
      <c r="AL8189">
        <v>96.044773372124695</v>
      </c>
      <c r="AM8189">
        <v>98.770690721868107</v>
      </c>
      <c r="AN8189">
        <v>1.0000000644899201</v>
      </c>
    </row>
    <row r="8190" spans="1:40" x14ac:dyDescent="0.25">
      <c r="A8190" t="str">
        <f>"20190303154337934"</f>
        <v>20190303154337934</v>
      </c>
      <c r="B8190" t="str">
        <f>"1551599017928195"</f>
        <v>1551599017928195</v>
      </c>
      <c r="C8190" t="s">
        <v>40</v>
      </c>
      <c r="D8190">
        <v>5.1543780000000003</v>
      </c>
      <c r="E8190">
        <v>0.36017389999999999</v>
      </c>
      <c r="F8190" t="s">
        <v>42</v>
      </c>
      <c r="G8190">
        <v>-206.8854</v>
      </c>
      <c r="H8190">
        <v>1.0081580000000001</v>
      </c>
      <c r="I8190">
        <v>-61.389940000000003</v>
      </c>
      <c r="J8190">
        <v>-207.5633</v>
      </c>
      <c r="K8190">
        <v>1.122725</v>
      </c>
      <c r="L8190">
        <v>-61.935639999999999</v>
      </c>
      <c r="M8190">
        <v>0.99382789999999999</v>
      </c>
      <c r="N8190">
        <v>-1.4203500000000001E-2</v>
      </c>
      <c r="O8190">
        <v>0.110019699999999</v>
      </c>
      <c r="P8190">
        <v>0.95824620000000005</v>
      </c>
      <c r="Q8190">
        <v>-0.1183718</v>
      </c>
      <c r="R8190">
        <v>0.26029279999999999</v>
      </c>
      <c r="S8190">
        <v>2.5848689999999999</v>
      </c>
      <c r="T8190">
        <v>-0.3789959</v>
      </c>
      <c r="U8190">
        <v>1.850403</v>
      </c>
      <c r="V8190">
        <v>-0.15270349999999999</v>
      </c>
      <c r="W8190">
        <v>-0.1052601</v>
      </c>
      <c r="X8190">
        <v>0.98265049999999998</v>
      </c>
      <c r="Y8190">
        <v>-0.4858674</v>
      </c>
      <c r="Z8190">
        <v>2.279254E-2</v>
      </c>
      <c r="AA8190">
        <v>0.87373529999999999</v>
      </c>
      <c r="AB8190">
        <v>20</v>
      </c>
      <c r="AC8190">
        <v>0.67789999999999395</v>
      </c>
      <c r="AD8190">
        <v>-0.114567</v>
      </c>
      <c r="AE8190">
        <v>0.54569999999999597</v>
      </c>
      <c r="AF8190">
        <v>-0.459827342586688</v>
      </c>
      <c r="AG8190">
        <v>-0.114567</v>
      </c>
      <c r="AH8190">
        <v>0.72132623243989802</v>
      </c>
      <c r="AI8190">
        <v>97.628221396233997</v>
      </c>
      <c r="AJ8190">
        <v>122.516486621797</v>
      </c>
      <c r="AK8190">
        <v>0.86306333260385604</v>
      </c>
      <c r="AL8190">
        <v>96.042152075969099</v>
      </c>
      <c r="AM8190">
        <v>98.833090174620096</v>
      </c>
      <c r="AN8190">
        <v>1.0000000263572499</v>
      </c>
    </row>
    <row r="8191" spans="1:40" x14ac:dyDescent="0.25">
      <c r="A8191" t="str">
        <f>"20190303154337945"</f>
        <v>20190303154337945</v>
      </c>
      <c r="B8191" t="str">
        <f>"1551599017937955"</f>
        <v>1551599017937955</v>
      </c>
      <c r="C8191" t="s">
        <v>40</v>
      </c>
      <c r="D8191">
        <v>5.1647109999999996</v>
      </c>
      <c r="E8191">
        <v>0.36037229999999998</v>
      </c>
      <c r="F8191" t="s">
        <v>42</v>
      </c>
      <c r="G8191">
        <v>-206.86689999999999</v>
      </c>
      <c r="H8191">
        <v>1.020723</v>
      </c>
      <c r="I8191">
        <v>-61.434570000000001</v>
      </c>
      <c r="J8191">
        <v>-207.45949999999999</v>
      </c>
      <c r="K8191">
        <v>1.1227819999999999</v>
      </c>
      <c r="L8191">
        <v>-61.921689999999998</v>
      </c>
      <c r="M8191">
        <v>0.99360320000000002</v>
      </c>
      <c r="N8191">
        <v>-1.4202319999999999E-2</v>
      </c>
      <c r="O8191">
        <v>0.1120321</v>
      </c>
      <c r="P8191">
        <v>0.95745709999999995</v>
      </c>
      <c r="Q8191">
        <v>-0.118424</v>
      </c>
      <c r="R8191">
        <v>0.26315759999999899</v>
      </c>
      <c r="S8191">
        <v>2.5798030000000001</v>
      </c>
      <c r="T8191">
        <v>-0.377888</v>
      </c>
      <c r="U8191">
        <v>1.8562620000000001</v>
      </c>
      <c r="V8191">
        <v>-0.15363829999999901</v>
      </c>
      <c r="W8191">
        <v>-0.1053399</v>
      </c>
      <c r="X8191">
        <v>0.98249620000000004</v>
      </c>
      <c r="Y8191">
        <v>-0.48624270000000003</v>
      </c>
      <c r="Z8191">
        <v>2.2557170000000001E-2</v>
      </c>
      <c r="AA8191">
        <v>0.87353259999999899</v>
      </c>
      <c r="AB8191">
        <v>20</v>
      </c>
      <c r="AC8191">
        <v>0.59260000000000401</v>
      </c>
      <c r="AD8191">
        <v>-0.102058999999999</v>
      </c>
      <c r="AE8191">
        <v>0.48712000000001099</v>
      </c>
      <c r="AF8191">
        <v>-0.41039171435263799</v>
      </c>
      <c r="AG8191">
        <v>-0.102058999999999</v>
      </c>
      <c r="AH8191">
        <v>0.63225592305348499</v>
      </c>
      <c r="AI8191">
        <v>97.710847867019694</v>
      </c>
      <c r="AJ8191">
        <v>122.987244857145</v>
      </c>
      <c r="AK8191">
        <v>0.76064771801834297</v>
      </c>
      <c r="AL8191">
        <v>96.046749985804695</v>
      </c>
      <c r="AM8191">
        <v>98.887676302787895</v>
      </c>
      <c r="AN8191">
        <v>1.00000000238667</v>
      </c>
    </row>
    <row r="8192" spans="1:40" x14ac:dyDescent="0.25">
      <c r="A8192" t="str">
        <f>"20190303154337956"</f>
        <v>20190303154337956</v>
      </c>
      <c r="B8192" t="str">
        <f>"1551599017948691"</f>
        <v>1551599017948691</v>
      </c>
      <c r="C8192" t="s">
        <v>40</v>
      </c>
      <c r="D8192">
        <v>5.119211</v>
      </c>
      <c r="E8192">
        <v>0.3606239</v>
      </c>
      <c r="F8192" t="s">
        <v>42</v>
      </c>
      <c r="G8192">
        <v>-206.70439999999999</v>
      </c>
      <c r="H8192">
        <v>1.0121519999999999</v>
      </c>
      <c r="I8192">
        <v>-61.375570000000003</v>
      </c>
      <c r="J8192">
        <v>-207.36699999999999</v>
      </c>
      <c r="K8192">
        <v>1.122838</v>
      </c>
      <c r="L8192">
        <v>-61.909179999999999</v>
      </c>
      <c r="M8192">
        <v>0.99339900000000003</v>
      </c>
      <c r="N8192">
        <v>-1.4206470000000001E-2</v>
      </c>
      <c r="O8192">
        <v>0.1138285</v>
      </c>
      <c r="P8192">
        <v>0.95672760000000001</v>
      </c>
      <c r="Q8192">
        <v>-0.1182781</v>
      </c>
      <c r="R8192">
        <v>0.26586209999999999</v>
      </c>
      <c r="S8192">
        <v>2.5747070000000001</v>
      </c>
      <c r="T8192">
        <v>-0.37725140000000001</v>
      </c>
      <c r="U8192">
        <v>1.8626100000000001</v>
      </c>
      <c r="V8192">
        <v>-0.15462409999999999</v>
      </c>
      <c r="W8192">
        <v>-0.1052144</v>
      </c>
      <c r="X8192">
        <v>0.98235499999999998</v>
      </c>
      <c r="Y8192">
        <v>-0.48691099999999998</v>
      </c>
      <c r="Z8192">
        <v>2.239153E-2</v>
      </c>
      <c r="AA8192">
        <v>0.87316450000000001</v>
      </c>
      <c r="AB8192">
        <v>20</v>
      </c>
      <c r="AC8192">
        <v>0.66260000000002595</v>
      </c>
      <c r="AD8192">
        <v>-0.11068600000000001</v>
      </c>
      <c r="AE8192">
        <v>0.53361000000001002</v>
      </c>
      <c r="AF8192">
        <v>-0.447141923087921</v>
      </c>
      <c r="AG8192">
        <v>-0.11068600000000001</v>
      </c>
      <c r="AH8192">
        <v>0.70707008070496502</v>
      </c>
      <c r="AI8192">
        <v>97.536803975386903</v>
      </c>
      <c r="AJ8192">
        <v>122.308728205169</v>
      </c>
      <c r="AK8192">
        <v>0.84388114625632604</v>
      </c>
      <c r="AL8192">
        <v>96.039519112053995</v>
      </c>
      <c r="AM8192">
        <v>98.945048671203693</v>
      </c>
      <c r="AN8192">
        <v>1.0000000141465799</v>
      </c>
    </row>
    <row r="8193" spans="1:40" x14ac:dyDescent="0.25">
      <c r="A8193" t="str">
        <f>"20190303154337968"</f>
        <v>20190303154337968</v>
      </c>
      <c r="B8193" t="str">
        <f>"1551599017958451"</f>
        <v>1551599017958451</v>
      </c>
      <c r="C8193" t="s">
        <v>40</v>
      </c>
      <c r="D8193">
        <v>5.1189730000000004</v>
      </c>
      <c r="E8193">
        <v>0.36091859999999998</v>
      </c>
      <c r="F8193" t="s">
        <v>42</v>
      </c>
      <c r="G8193">
        <v>-206.54150000000001</v>
      </c>
      <c r="H8193">
        <v>1.0020979999999999</v>
      </c>
      <c r="I8193">
        <v>-61.309469999999997</v>
      </c>
      <c r="J8193">
        <v>-207.2533</v>
      </c>
      <c r="K8193">
        <v>1.122908</v>
      </c>
      <c r="L8193">
        <v>-61.893340000000002</v>
      </c>
      <c r="M8193">
        <v>0.99313119999999999</v>
      </c>
      <c r="N8193">
        <v>-1.422556E-2</v>
      </c>
      <c r="O8193">
        <v>0.1161392</v>
      </c>
      <c r="P8193">
        <v>0.95579590000000003</v>
      </c>
      <c r="Q8193">
        <v>-0.11840539999999899</v>
      </c>
      <c r="R8193">
        <v>0.2691364</v>
      </c>
      <c r="S8193">
        <v>2.5701450000000001</v>
      </c>
      <c r="T8193">
        <v>-0.37595580000000001</v>
      </c>
      <c r="U8193">
        <v>1.86792</v>
      </c>
      <c r="V8193">
        <v>-0.155690299999999</v>
      </c>
      <c r="W8193">
        <v>-0.10534839999999999</v>
      </c>
      <c r="X8193">
        <v>0.98217220000000005</v>
      </c>
      <c r="Y8193">
        <v>-0.48682950000000003</v>
      </c>
      <c r="Z8193">
        <v>2.2087539999999999E-2</v>
      </c>
      <c r="AA8193">
        <v>0.87321769999999999</v>
      </c>
      <c r="AB8193">
        <v>20</v>
      </c>
      <c r="AC8193">
        <v>0.711799999999982</v>
      </c>
      <c r="AD8193">
        <v>-0.12081</v>
      </c>
      <c r="AE8193">
        <v>0.583870000000004</v>
      </c>
      <c r="AF8193">
        <v>-0.488824318584132</v>
      </c>
      <c r="AG8193">
        <v>-0.12081</v>
      </c>
      <c r="AH8193">
        <v>0.76168308714182897</v>
      </c>
      <c r="AI8193">
        <v>97.603167679217407</v>
      </c>
      <c r="AJ8193">
        <v>122.691074951552</v>
      </c>
      <c r="AK8193">
        <v>0.91307469342718495</v>
      </c>
      <c r="AL8193">
        <v>96.047239783872897</v>
      </c>
      <c r="AM8193">
        <v>99.007369791820693</v>
      </c>
      <c r="AN8193">
        <v>0.99999999267474404</v>
      </c>
    </row>
    <row r="8194" spans="1:40" x14ac:dyDescent="0.25">
      <c r="A8194" t="str">
        <f>"20190303154337978"</f>
        <v>20190303154337978</v>
      </c>
      <c r="B8194" t="str">
        <f>"1551599017968212"</f>
        <v>1551599017968212</v>
      </c>
      <c r="C8194" t="s">
        <v>40</v>
      </c>
      <c r="D8194">
        <v>5.1334090000000003</v>
      </c>
      <c r="E8194">
        <v>0.36119099999999998</v>
      </c>
      <c r="F8194" t="s">
        <v>42</v>
      </c>
      <c r="G8194">
        <v>-206.524</v>
      </c>
      <c r="H8194">
        <v>1.015774</v>
      </c>
      <c r="I8194">
        <v>-61.36045</v>
      </c>
      <c r="J8194">
        <v>-207.1602</v>
      </c>
      <c r="K8194">
        <v>1.122962</v>
      </c>
      <c r="L8194">
        <v>-61.880189999999999</v>
      </c>
      <c r="M8194">
        <v>0.99290319999999999</v>
      </c>
      <c r="N8194">
        <v>-1.423994E-2</v>
      </c>
      <c r="O8194">
        <v>0.11807040000000001</v>
      </c>
      <c r="P8194">
        <v>0.95501460000000005</v>
      </c>
      <c r="Q8194">
        <v>-0.1181936</v>
      </c>
      <c r="R8194">
        <v>0.27198810000000001</v>
      </c>
      <c r="S8194">
        <v>2.5642550000000002</v>
      </c>
      <c r="T8194">
        <v>-0.37672670000000003</v>
      </c>
      <c r="U8194">
        <v>1.8744810000000001</v>
      </c>
      <c r="V8194">
        <v>-0.1566997</v>
      </c>
      <c r="W8194">
        <v>-0.1051431</v>
      </c>
      <c r="X8194">
        <v>0.98203370000000001</v>
      </c>
      <c r="Y8194">
        <v>-0.48753340000000001</v>
      </c>
      <c r="Z8194">
        <v>2.197963E-2</v>
      </c>
      <c r="AA8194">
        <v>0.87282769999999998</v>
      </c>
      <c r="AB8194">
        <v>20</v>
      </c>
      <c r="AC8194">
        <v>0.63620000000000199</v>
      </c>
      <c r="AD8194">
        <v>-0.10718800000000001</v>
      </c>
      <c r="AE8194">
        <v>0.51973999999999798</v>
      </c>
      <c r="AF8194">
        <v>-0.43359815314952499</v>
      </c>
      <c r="AG8194">
        <v>-0.10718800000000001</v>
      </c>
      <c r="AH8194">
        <v>0.68151886128302797</v>
      </c>
      <c r="AI8194">
        <v>97.558869963760003</v>
      </c>
      <c r="AJ8194">
        <v>122.465467310541</v>
      </c>
      <c r="AK8194">
        <v>0.81484021994695</v>
      </c>
      <c r="AL8194">
        <v>96.035411055378802</v>
      </c>
      <c r="AM8194">
        <v>99.066058653879296</v>
      </c>
      <c r="AN8194">
        <v>1.0000000276966901</v>
      </c>
    </row>
    <row r="8195" spans="1:40" x14ac:dyDescent="0.25">
      <c r="A8195" t="str">
        <f>"20190303154337989"</f>
        <v>20190303154337989</v>
      </c>
      <c r="B8195" t="str">
        <f>"1551599017977971"</f>
        <v>1551599017977971</v>
      </c>
      <c r="C8195" t="s">
        <v>40</v>
      </c>
      <c r="D8195">
        <v>5.1401560000000002</v>
      </c>
      <c r="E8195">
        <v>0.36138789999999998</v>
      </c>
      <c r="F8195" t="s">
        <v>42</v>
      </c>
      <c r="G8195">
        <v>-206.36170000000001</v>
      </c>
      <c r="H8195">
        <v>1.005625</v>
      </c>
      <c r="I8195">
        <v>-61.293669999999999</v>
      </c>
      <c r="J8195">
        <v>-207.0659</v>
      </c>
      <c r="K8195">
        <v>1.123014</v>
      </c>
      <c r="L8195">
        <v>-61.866639999999997</v>
      </c>
      <c r="M8195">
        <v>0.99265890000000001</v>
      </c>
      <c r="N8195">
        <v>-1.425216E-2</v>
      </c>
      <c r="O8195">
        <v>0.1201059</v>
      </c>
      <c r="P8195">
        <v>0.95420249999999995</v>
      </c>
      <c r="Q8195">
        <v>-0.1176768</v>
      </c>
      <c r="R8195">
        <v>0.27504519999999999</v>
      </c>
      <c r="S8195">
        <v>2.559326</v>
      </c>
      <c r="T8195">
        <v>-0.3761158</v>
      </c>
      <c r="U8195">
        <v>1.8800049999999999</v>
      </c>
      <c r="V8195">
        <v>-0.1578174</v>
      </c>
      <c r="W8195">
        <v>-0.1046334</v>
      </c>
      <c r="X8195">
        <v>0.98190909999999998</v>
      </c>
      <c r="Y8195">
        <v>-0.4877861</v>
      </c>
      <c r="Z8195">
        <v>2.176148E-2</v>
      </c>
      <c r="AA8195">
        <v>0.87269189999999996</v>
      </c>
      <c r="AB8195">
        <v>20</v>
      </c>
      <c r="AC8195">
        <v>0.70419999999998595</v>
      </c>
      <c r="AD8195">
        <v>-0.11738899999999899</v>
      </c>
      <c r="AE8195">
        <v>0.57297000000000498</v>
      </c>
      <c r="AF8195">
        <v>-0.476271246725047</v>
      </c>
      <c r="AG8195">
        <v>-0.11738899999999899</v>
      </c>
      <c r="AH8195">
        <v>0.75529710083588797</v>
      </c>
      <c r="AI8195">
        <v>97.489511444896095</v>
      </c>
      <c r="AJ8195">
        <v>122.234493941822</v>
      </c>
      <c r="AK8195">
        <v>0.90060434615269802</v>
      </c>
      <c r="AL8195">
        <v>96.006045701717397</v>
      </c>
      <c r="AM8195">
        <v>99.130778315192202</v>
      </c>
      <c r="AN8195">
        <v>0.99999998040056404</v>
      </c>
    </row>
    <row r="8196" spans="1:40" x14ac:dyDescent="0.25">
      <c r="A8196" t="str">
        <f>"20190303154338004"</f>
        <v>20190303154338004</v>
      </c>
      <c r="B8196" t="str">
        <f>"1551599017998468"</f>
        <v>1551599017998468</v>
      </c>
      <c r="C8196" t="s">
        <v>40</v>
      </c>
      <c r="D8196">
        <v>5.123005</v>
      </c>
      <c r="E8196">
        <v>0.36182920000000002</v>
      </c>
      <c r="F8196" t="s">
        <v>42</v>
      </c>
      <c r="G8196">
        <v>-206.34710000000001</v>
      </c>
      <c r="H8196">
        <v>1.017509</v>
      </c>
      <c r="I8196">
        <v>-61.335659999999997</v>
      </c>
      <c r="J8196">
        <v>-206.94329999999999</v>
      </c>
      <c r="K8196">
        <v>1.1230850000000001</v>
      </c>
      <c r="L8196">
        <v>-61.848660000000002</v>
      </c>
      <c r="M8196">
        <v>0.99232529999999997</v>
      </c>
      <c r="N8196">
        <v>-1.4264890000000001E-2</v>
      </c>
      <c r="O8196">
        <v>0.1228286</v>
      </c>
      <c r="P8196">
        <v>0.95316789999999996</v>
      </c>
      <c r="Q8196">
        <v>-0.1171161</v>
      </c>
      <c r="R8196">
        <v>0.27884550000000002</v>
      </c>
      <c r="S8196">
        <v>2.5539550000000002</v>
      </c>
      <c r="T8196">
        <v>-0.37489719999999999</v>
      </c>
      <c r="U8196">
        <v>1.8866879999999999</v>
      </c>
      <c r="V8196">
        <v>-0.15901999999999999</v>
      </c>
      <c r="W8196">
        <v>-0.10408389999999999</v>
      </c>
      <c r="X8196">
        <v>0.98177349999999997</v>
      </c>
      <c r="Y8196">
        <v>-0.48777969999999998</v>
      </c>
      <c r="Z8196">
        <v>2.1421450000000002E-2</v>
      </c>
      <c r="AA8196">
        <v>0.87270389999999998</v>
      </c>
      <c r="AB8196">
        <v>20</v>
      </c>
      <c r="AC8196">
        <v>0.59619999999998097</v>
      </c>
      <c r="AD8196">
        <v>-0.105576</v>
      </c>
      <c r="AE8196">
        <v>0.51299999999999801</v>
      </c>
      <c r="AF8196">
        <v>-0.42816226702697702</v>
      </c>
      <c r="AG8196">
        <v>-0.105576</v>
      </c>
      <c r="AH8196">
        <v>0.64311450957626504</v>
      </c>
      <c r="AI8196">
        <v>97.781234256410997</v>
      </c>
      <c r="AJ8196">
        <v>123.654233490039</v>
      </c>
      <c r="AK8196">
        <v>0.77978554174157499</v>
      </c>
      <c r="AL8196">
        <v>95.974388625349803</v>
      </c>
      <c r="AM8196">
        <v>99.200420292618404</v>
      </c>
      <c r="AN8196">
        <v>1.00000001197072</v>
      </c>
    </row>
    <row r="8197" spans="1:40" x14ac:dyDescent="0.25">
      <c r="A8197" t="str">
        <f>"20190303154338013"</f>
        <v>20190303154338013</v>
      </c>
      <c r="B8197" t="str">
        <f>"1551599018008227"</f>
        <v>1551599018008227</v>
      </c>
      <c r="C8197" t="s">
        <v>40</v>
      </c>
      <c r="D8197">
        <v>5.117413</v>
      </c>
      <c r="E8197">
        <v>0.36203039999999997</v>
      </c>
      <c r="F8197" t="s">
        <v>42</v>
      </c>
      <c r="G8197">
        <v>-206.1808</v>
      </c>
      <c r="H8197">
        <v>1.0116080000000001</v>
      </c>
      <c r="I8197">
        <v>-61.282069999999997</v>
      </c>
      <c r="J8197">
        <v>-206.85730000000001</v>
      </c>
      <c r="K8197">
        <v>1.123138</v>
      </c>
      <c r="L8197">
        <v>-61.835880000000003</v>
      </c>
      <c r="M8197">
        <v>0.99208149999999995</v>
      </c>
      <c r="N8197">
        <v>-1.4272139999999999E-2</v>
      </c>
      <c r="O8197">
        <v>0.124782</v>
      </c>
      <c r="P8197">
        <v>0.95238109999999998</v>
      </c>
      <c r="Q8197">
        <v>-0.1163993</v>
      </c>
      <c r="R8197">
        <v>0.28181850000000003</v>
      </c>
      <c r="S8197">
        <v>2.5476839999999998</v>
      </c>
      <c r="T8197">
        <v>-0.37246099999999999</v>
      </c>
      <c r="U8197">
        <v>1.893494</v>
      </c>
      <c r="V8197">
        <v>-0.16013559999999999</v>
      </c>
      <c r="W8197">
        <v>-0.10337880000000001</v>
      </c>
      <c r="X8197">
        <v>0.9816667</v>
      </c>
      <c r="Y8197">
        <v>-0.48862860000000002</v>
      </c>
      <c r="Z8197">
        <v>2.1184350000000001E-2</v>
      </c>
      <c r="AA8197">
        <v>0.87223470000000003</v>
      </c>
      <c r="AB8197">
        <v>20</v>
      </c>
      <c r="AC8197">
        <v>0.67650000000000399</v>
      </c>
      <c r="AD8197">
        <v>-0.111529999999999</v>
      </c>
      <c r="AE8197">
        <v>0.55381000000000502</v>
      </c>
      <c r="AF8197">
        <v>-0.45760999761739801</v>
      </c>
      <c r="AG8197">
        <v>-0.111529999999999</v>
      </c>
      <c r="AH8197">
        <v>0.72846917823812496</v>
      </c>
      <c r="AI8197">
        <v>97.386880358483694</v>
      </c>
      <c r="AJ8197">
        <v>122.136229560497</v>
      </c>
      <c r="AK8197">
        <v>0.867475183773187</v>
      </c>
      <c r="AL8197">
        <v>95.933770032762695</v>
      </c>
      <c r="AM8197">
        <v>99.264840708772198</v>
      </c>
      <c r="AN8197">
        <v>1.0000000482828399</v>
      </c>
    </row>
    <row r="8198" spans="1:40" x14ac:dyDescent="0.25">
      <c r="A8198" t="str">
        <f>"20190303154338022"</f>
        <v>20190303154338022</v>
      </c>
      <c r="B8198" t="str">
        <f>"1551599018017987"</f>
        <v>1551599018017987</v>
      </c>
      <c r="C8198" t="s">
        <v>40</v>
      </c>
      <c r="D8198">
        <v>5.1482739999999998</v>
      </c>
      <c r="E8198">
        <v>0.36224509999999899</v>
      </c>
      <c r="F8198" t="s">
        <v>42</v>
      </c>
      <c r="G8198">
        <v>-206.16640000000001</v>
      </c>
      <c r="H8198">
        <v>1.0227379999999999</v>
      </c>
      <c r="I8198">
        <v>-61.319800000000001</v>
      </c>
      <c r="J8198">
        <v>-206.76920000000001</v>
      </c>
      <c r="K8198">
        <v>1.1231979999999999</v>
      </c>
      <c r="L8198">
        <v>-61.822479999999999</v>
      </c>
      <c r="M8198">
        <v>0.99182079999999995</v>
      </c>
      <c r="N8198">
        <v>-1.4280279999999999E-2</v>
      </c>
      <c r="O8198">
        <v>0.12683699999999901</v>
      </c>
      <c r="P8198">
        <v>0.95159919999999998</v>
      </c>
      <c r="Q8198">
        <v>-0.1155007</v>
      </c>
      <c r="R8198">
        <v>0.28481329999999999</v>
      </c>
      <c r="S8198">
        <v>2.5426639999999998</v>
      </c>
      <c r="T8198">
        <v>-0.36952649999999998</v>
      </c>
      <c r="U8198">
        <v>1.899902</v>
      </c>
      <c r="V8198">
        <v>-0.16117129999999999</v>
      </c>
      <c r="W8198">
        <v>-0.102492899999999</v>
      </c>
      <c r="X8198">
        <v>0.98158999999999996</v>
      </c>
      <c r="Y8198">
        <v>-0.48910799999999999</v>
      </c>
      <c r="Z8198">
        <v>2.0885020000000001E-2</v>
      </c>
      <c r="AA8198">
        <v>0.8719732</v>
      </c>
      <c r="AB8198">
        <v>20</v>
      </c>
      <c r="AC8198">
        <v>0.602800000000002</v>
      </c>
      <c r="AD8198">
        <v>-0.10045999999999999</v>
      </c>
      <c r="AE8198">
        <v>0.50268000000000501</v>
      </c>
      <c r="AF8198">
        <v>-0.41534991087269202</v>
      </c>
      <c r="AG8198">
        <v>-0.10045999999999999</v>
      </c>
      <c r="AH8198">
        <v>0.65103028060983603</v>
      </c>
      <c r="AI8198">
        <v>97.411923463369803</v>
      </c>
      <c r="AJ8198">
        <v>122.537412199958</v>
      </c>
      <c r="AK8198">
        <v>0.77874783231343603</v>
      </c>
      <c r="AL8198">
        <v>95.882741183045198</v>
      </c>
      <c r="AM8198">
        <v>99.324429165677401</v>
      </c>
      <c r="AN8198">
        <v>0.99999995529704799</v>
      </c>
    </row>
    <row r="8199" spans="1:40" x14ac:dyDescent="0.25">
      <c r="A8199" t="str">
        <f>"20190303154338035"</f>
        <v>20190303154338035</v>
      </c>
      <c r="B8199" t="str">
        <f>"1551599018028723"</f>
        <v>1551599018028723</v>
      </c>
      <c r="C8199" t="s">
        <v>40</v>
      </c>
      <c r="D8199">
        <v>5.1662910000000002</v>
      </c>
      <c r="E8199">
        <v>0.3624175</v>
      </c>
      <c r="F8199" t="s">
        <v>42</v>
      </c>
      <c r="G8199">
        <v>-206.00720000000001</v>
      </c>
      <c r="H8199">
        <v>1.0132829999999999</v>
      </c>
      <c r="I8199">
        <v>-61.250059999999998</v>
      </c>
      <c r="J8199">
        <v>-206.66079999999999</v>
      </c>
      <c r="K8199">
        <v>1.123275</v>
      </c>
      <c r="L8199">
        <v>-61.80585</v>
      </c>
      <c r="M8199">
        <v>0.99149149999999997</v>
      </c>
      <c r="N8199">
        <v>-1.429038E-2</v>
      </c>
      <c r="O8199">
        <v>0.1293851</v>
      </c>
      <c r="P8199">
        <v>0.95072719999999999</v>
      </c>
      <c r="Q8199">
        <v>-0.1145308</v>
      </c>
      <c r="R8199">
        <v>0.28809869999999999</v>
      </c>
      <c r="S8199">
        <v>2.537598</v>
      </c>
      <c r="T8199">
        <v>-0.36604710000000001</v>
      </c>
      <c r="U8199">
        <v>1.906342</v>
      </c>
      <c r="V8199">
        <v>-0.162018</v>
      </c>
      <c r="W8199">
        <v>-0.1015363</v>
      </c>
      <c r="X8199">
        <v>0.98155009999999998</v>
      </c>
      <c r="Y8199">
        <v>-0.48918129999999999</v>
      </c>
      <c r="Z8199">
        <v>2.048355E-2</v>
      </c>
      <c r="AA8199">
        <v>0.87194159999999898</v>
      </c>
      <c r="AB8199">
        <v>20</v>
      </c>
      <c r="AC8199">
        <v>0.65359999999998297</v>
      </c>
      <c r="AD8199">
        <v>-0.10999200000000001</v>
      </c>
      <c r="AE8199">
        <v>0.55579000000000101</v>
      </c>
      <c r="AF8199">
        <v>-0.45899861213993398</v>
      </c>
      <c r="AG8199">
        <v>-0.10999200000000001</v>
      </c>
      <c r="AH8199">
        <v>0.708380545907629</v>
      </c>
      <c r="AI8199">
        <v>97.424313455247201</v>
      </c>
      <c r="AJ8199">
        <v>122.941415642789</v>
      </c>
      <c r="AK8199">
        <v>0.85122321621932795</v>
      </c>
      <c r="AL8199">
        <v>95.827644179807606</v>
      </c>
      <c r="AM8199">
        <v>99.372921520926099</v>
      </c>
      <c r="AN8199">
        <v>1.0000000256758399</v>
      </c>
    </row>
    <row r="8200" spans="1:40" x14ac:dyDescent="0.25">
      <c r="A8200" t="str">
        <f>"20190303154338047"</f>
        <v>20190303154338047</v>
      </c>
      <c r="B8200" t="str">
        <f>"1551599018038484"</f>
        <v>1551599018038484</v>
      </c>
      <c r="C8200" t="s">
        <v>40</v>
      </c>
      <c r="D8200">
        <v>5.1511839999999998</v>
      </c>
      <c r="E8200">
        <v>0.36259540000000001</v>
      </c>
      <c r="F8200" t="s">
        <v>42</v>
      </c>
      <c r="G8200">
        <v>-205.9786</v>
      </c>
      <c r="H8200">
        <v>1.025566</v>
      </c>
      <c r="I8200">
        <v>-61.290129999999998</v>
      </c>
      <c r="J8200">
        <v>-206.5607</v>
      </c>
      <c r="K8200">
        <v>1.1233679999999999</v>
      </c>
      <c r="L8200">
        <v>-61.78998</v>
      </c>
      <c r="M8200">
        <v>0.99117200000000005</v>
      </c>
      <c r="N8200">
        <v>-1.430346E-2</v>
      </c>
      <c r="O8200">
        <v>0.1318087</v>
      </c>
      <c r="P8200">
        <v>0.94986550000000003</v>
      </c>
      <c r="Q8200">
        <v>-0.1138739</v>
      </c>
      <c r="R8200">
        <v>0.29118430000000001</v>
      </c>
      <c r="S8200">
        <v>2.5318450000000001</v>
      </c>
      <c r="T8200">
        <v>-0.36260779999999998</v>
      </c>
      <c r="U8200">
        <v>1.9138790000000001</v>
      </c>
      <c r="V8200">
        <v>-0.1627855</v>
      </c>
      <c r="W8200">
        <v>-0.10089330000000001</v>
      </c>
      <c r="X8200">
        <v>0.98148939999999996</v>
      </c>
      <c r="Y8200">
        <v>-0.48971189999999998</v>
      </c>
      <c r="Z8200">
        <v>2.013825E-2</v>
      </c>
      <c r="AA8200">
        <v>0.87165170000000003</v>
      </c>
      <c r="AB8200">
        <v>20</v>
      </c>
      <c r="AC8200">
        <v>0.58209999999999695</v>
      </c>
      <c r="AD8200">
        <v>-9.7801999999999903E-2</v>
      </c>
      <c r="AE8200">
        <v>0.49985000000000201</v>
      </c>
      <c r="AF8200">
        <v>-0.41205903906291902</v>
      </c>
      <c r="AG8200">
        <v>-9.7801999999999903E-2</v>
      </c>
      <c r="AH8200">
        <v>0.63263233817866404</v>
      </c>
      <c r="AI8200">
        <v>97.380995849711098</v>
      </c>
      <c r="AJ8200">
        <v>123.077825900793</v>
      </c>
      <c r="AK8200">
        <v>0.76130254050992097</v>
      </c>
      <c r="AL8200">
        <v>95.790612915989698</v>
      </c>
      <c r="AM8200">
        <v>99.417100780312495</v>
      </c>
      <c r="AN8200">
        <v>1.00000000965375</v>
      </c>
    </row>
    <row r="8201" spans="1:40" x14ac:dyDescent="0.25">
      <c r="A8201" t="str">
        <f>"20190303154338058"</f>
        <v>20190303154338058</v>
      </c>
      <c r="B8201" t="str">
        <f>"1551599018048244"</f>
        <v>1551599018048244</v>
      </c>
      <c r="C8201" t="s">
        <v>40</v>
      </c>
      <c r="D8201">
        <v>5.1310029999999998</v>
      </c>
      <c r="E8201">
        <v>0.36277239999999999</v>
      </c>
      <c r="F8201" t="s">
        <v>42</v>
      </c>
      <c r="G8201">
        <v>-205.82839999999999</v>
      </c>
      <c r="H8201">
        <v>1.0189010000000001</v>
      </c>
      <c r="I8201">
        <v>-61.23339</v>
      </c>
      <c r="J8201">
        <v>-206.46270000000001</v>
      </c>
      <c r="K8201">
        <v>1.123453</v>
      </c>
      <c r="L8201">
        <v>-61.774290000000001</v>
      </c>
      <c r="M8201">
        <v>0.99085100000000004</v>
      </c>
      <c r="N8201">
        <v>-1.431661E-2</v>
      </c>
      <c r="O8201">
        <v>0.13419879999999901</v>
      </c>
      <c r="P8201">
        <v>0.94893079999999996</v>
      </c>
      <c r="Q8201">
        <v>-0.113218899999999</v>
      </c>
      <c r="R8201">
        <v>0.29446879999999998</v>
      </c>
      <c r="S8201">
        <v>2.526367</v>
      </c>
      <c r="T8201">
        <v>-0.36042360000000001</v>
      </c>
      <c r="U8201">
        <v>1.920685</v>
      </c>
      <c r="V8201">
        <v>-0.16379289999999999</v>
      </c>
      <c r="W8201">
        <v>-0.10025489999999999</v>
      </c>
      <c r="X8201">
        <v>0.98138720000000002</v>
      </c>
      <c r="Y8201">
        <v>-0.49004809999999999</v>
      </c>
      <c r="Z8201">
        <v>1.9836019999999999E-2</v>
      </c>
      <c r="AA8201">
        <v>0.87146970000000001</v>
      </c>
      <c r="AB8201">
        <v>20</v>
      </c>
      <c r="AC8201">
        <v>0.63430000000002396</v>
      </c>
      <c r="AD8201">
        <v>-0.10455199999999901</v>
      </c>
      <c r="AE8201">
        <v>0.54090000000000005</v>
      </c>
      <c r="AF8201">
        <v>-0.443892661481534</v>
      </c>
      <c r="AG8201">
        <v>-0.10455199999999901</v>
      </c>
      <c r="AH8201">
        <v>0.69029819795872105</v>
      </c>
      <c r="AI8201">
        <v>97.259994294013495</v>
      </c>
      <c r="AJ8201">
        <v>122.742833206073</v>
      </c>
      <c r="AK8201">
        <v>0.82733513023817495</v>
      </c>
      <c r="AL8201">
        <v>95.753848949657893</v>
      </c>
      <c r="AM8201">
        <v>99.475293980947697</v>
      </c>
      <c r="AN8201">
        <v>0.99999999769412995</v>
      </c>
    </row>
    <row r="8202" spans="1:40" x14ac:dyDescent="0.25">
      <c r="A8202" t="str">
        <f>"20190303154338071"</f>
        <v>20190303154338071</v>
      </c>
      <c r="B8202" t="str">
        <f>"1551599018068739"</f>
        <v>1551599018068739</v>
      </c>
      <c r="C8202" t="s">
        <v>40</v>
      </c>
      <c r="D8202">
        <v>5.1233069999999996</v>
      </c>
      <c r="E8202">
        <v>0.36306369999999999</v>
      </c>
      <c r="F8202" t="s">
        <v>42</v>
      </c>
      <c r="G8202">
        <v>-205.66820000000001</v>
      </c>
      <c r="H8202">
        <v>1.0105580000000001</v>
      </c>
      <c r="I8202">
        <v>-61.166550000000001</v>
      </c>
      <c r="J8202">
        <v>-206.3416</v>
      </c>
      <c r="K8202">
        <v>1.123561</v>
      </c>
      <c r="L8202">
        <v>-61.754390000000001</v>
      </c>
      <c r="M8202">
        <v>0.9904366</v>
      </c>
      <c r="N8202">
        <v>-1.43351E-2</v>
      </c>
      <c r="O8202">
        <v>0.13722290000000001</v>
      </c>
      <c r="P8202">
        <v>0.9477795</v>
      </c>
      <c r="Q8202">
        <v>-0.1121848</v>
      </c>
      <c r="R8202">
        <v>0.2985447</v>
      </c>
      <c r="S8202">
        <v>2.520416</v>
      </c>
      <c r="T8202">
        <v>-0.35816419999999999</v>
      </c>
      <c r="U8202">
        <v>1.92807</v>
      </c>
      <c r="V8202">
        <v>-0.1649851</v>
      </c>
      <c r="W8202">
        <v>-9.9241819999999994E-2</v>
      </c>
      <c r="X8202">
        <v>0.98129049999999995</v>
      </c>
      <c r="Y8202">
        <v>-0.49003859999999999</v>
      </c>
      <c r="Z8202">
        <v>1.9443990000000001E-2</v>
      </c>
      <c r="AA8202">
        <v>0.87148389999999998</v>
      </c>
      <c r="AB8202">
        <v>20</v>
      </c>
      <c r="AC8202">
        <v>0.67339999999998601</v>
      </c>
      <c r="AD8202">
        <v>-0.11300299999999899</v>
      </c>
      <c r="AE8202">
        <v>0.58783999999999903</v>
      </c>
      <c r="AF8202">
        <v>-0.48215697370764099</v>
      </c>
      <c r="AG8202">
        <v>-0.11300299999999899</v>
      </c>
      <c r="AH8202">
        <v>0.73594033169025996</v>
      </c>
      <c r="AI8202">
        <v>97.3189281083895</v>
      </c>
      <c r="AJ8202">
        <v>123.231121144792</v>
      </c>
      <c r="AK8202">
        <v>0.88704746046211103</v>
      </c>
      <c r="AL8202">
        <v>95.695512592604999</v>
      </c>
      <c r="AM8202">
        <v>99.543920952741402</v>
      </c>
      <c r="AN8202">
        <v>1.00000003372458</v>
      </c>
    </row>
    <row r="8203" spans="1:40" x14ac:dyDescent="0.25">
      <c r="A8203" t="str">
        <f>"20190303154338083"</f>
        <v>20190303154338083</v>
      </c>
      <c r="B8203" t="str">
        <f>"1551599018078500"</f>
        <v>1551599018078500</v>
      </c>
      <c r="C8203" t="s">
        <v>40</v>
      </c>
      <c r="D8203">
        <v>5.1409649999999996</v>
      </c>
      <c r="E8203">
        <v>0.363126</v>
      </c>
      <c r="F8203" t="s">
        <v>42</v>
      </c>
      <c r="G8203">
        <v>-205.64850000000001</v>
      </c>
      <c r="H8203">
        <v>1.025609</v>
      </c>
      <c r="I8203">
        <v>-61.220300000000002</v>
      </c>
      <c r="J8203">
        <v>-206.24289999999999</v>
      </c>
      <c r="K8203">
        <v>1.123656</v>
      </c>
      <c r="L8203">
        <v>-61.7378199999999</v>
      </c>
      <c r="M8203">
        <v>0.99008410000000002</v>
      </c>
      <c r="N8203">
        <v>-1.4350160000000001E-2</v>
      </c>
      <c r="O8203">
        <v>0.13974129999999901</v>
      </c>
      <c r="P8203">
        <v>0.94664720000000002</v>
      </c>
      <c r="Q8203">
        <v>-0.11152529999999999</v>
      </c>
      <c r="R8203">
        <v>0.30235980000000001</v>
      </c>
      <c r="S8203">
        <v>2.5132140000000001</v>
      </c>
      <c r="T8203">
        <v>-0.35518359999999999</v>
      </c>
      <c r="U8203">
        <v>1.9366760000000001</v>
      </c>
      <c r="V8203">
        <v>-0.16641800000000001</v>
      </c>
      <c r="W8203">
        <v>-9.8604369999999997E-2</v>
      </c>
      <c r="X8203">
        <v>0.98111269999999995</v>
      </c>
      <c r="Y8203">
        <v>-0.49094700000000002</v>
      </c>
      <c r="Z8203">
        <v>1.9150710000000001E-2</v>
      </c>
      <c r="AA8203">
        <v>0.87097899999999995</v>
      </c>
      <c r="AB8203">
        <v>20</v>
      </c>
      <c r="AC8203">
        <v>0.59439999999997895</v>
      </c>
      <c r="AD8203">
        <v>-9.8046999999999995E-2</v>
      </c>
      <c r="AE8203">
        <v>0.51751999999998999</v>
      </c>
      <c r="AF8203">
        <v>-0.42282630356599799</v>
      </c>
      <c r="AG8203">
        <v>-9.8046999999999995E-2</v>
      </c>
      <c r="AH8203">
        <v>0.650820334497068</v>
      </c>
      <c r="AI8203">
        <v>97.200094899184506</v>
      </c>
      <c r="AJ8203">
        <v>123.0110601282</v>
      </c>
      <c r="AK8203">
        <v>0.78228025987567995</v>
      </c>
      <c r="AL8203">
        <v>95.658809840175394</v>
      </c>
      <c r="AM8203">
        <v>99.626977588680603</v>
      </c>
      <c r="AN8203">
        <v>0.99999995130419195</v>
      </c>
    </row>
    <row r="8204" spans="1:40" x14ac:dyDescent="0.25">
      <c r="A8204" t="str">
        <f>"20190303154338094"</f>
        <v>20190303154338094</v>
      </c>
      <c r="B8204" t="str">
        <f>"1551599018088259"</f>
        <v>1551599018088259</v>
      </c>
      <c r="C8204" t="s">
        <v>40</v>
      </c>
      <c r="D8204">
        <v>5.1725099999999999</v>
      </c>
      <c r="E8204">
        <v>0.3632031</v>
      </c>
      <c r="F8204" t="s">
        <v>42</v>
      </c>
      <c r="G8204">
        <v>-205.48910000000001</v>
      </c>
      <c r="H8204">
        <v>1.017495</v>
      </c>
      <c r="I8204">
        <v>-61.152479999999997</v>
      </c>
      <c r="J8204">
        <v>-206.14099999999999</v>
      </c>
      <c r="K8204">
        <v>1.123748</v>
      </c>
      <c r="L8204">
        <v>-61.720489999999998</v>
      </c>
      <c r="M8204">
        <v>0.98970939999999996</v>
      </c>
      <c r="N8204">
        <v>-1.436552E-2</v>
      </c>
      <c r="O8204">
        <v>0.14236989999999999</v>
      </c>
      <c r="P8204">
        <v>0.94543840000000001</v>
      </c>
      <c r="Q8204">
        <v>-0.1111312</v>
      </c>
      <c r="R8204">
        <v>0.30626160000000002</v>
      </c>
      <c r="S8204">
        <v>2.5058289999999999</v>
      </c>
      <c r="T8204">
        <v>-0.35292839999999998</v>
      </c>
      <c r="U8204">
        <v>1.9463200000000001</v>
      </c>
      <c r="V8204">
        <v>-0.167838299999999</v>
      </c>
      <c r="W8204">
        <v>-9.8233360000000006E-2</v>
      </c>
      <c r="X8204">
        <v>0.980908</v>
      </c>
      <c r="Y8204">
        <v>-0.49200329999999898</v>
      </c>
      <c r="Z8204">
        <v>1.888592E-2</v>
      </c>
      <c r="AA8204">
        <v>0.87038839999999995</v>
      </c>
      <c r="AB8204">
        <v>20</v>
      </c>
      <c r="AC8204">
        <v>0.65189999999998305</v>
      </c>
      <c r="AD8204">
        <v>-0.106252999999999</v>
      </c>
      <c r="AE8204">
        <v>0.56801000000000101</v>
      </c>
      <c r="AF8204">
        <v>-0.46241924813915303</v>
      </c>
      <c r="AG8204">
        <v>-0.106252999999999</v>
      </c>
      <c r="AH8204">
        <v>0.71533164455071296</v>
      </c>
      <c r="AI8204">
        <v>97.110469658280095</v>
      </c>
      <c r="AJ8204">
        <v>122.88025840738401</v>
      </c>
      <c r="AK8204">
        <v>0.85838256200496499</v>
      </c>
      <c r="AL8204">
        <v>95.637448571799297</v>
      </c>
      <c r="AM8204">
        <v>99.709569658244604</v>
      </c>
      <c r="AN8204">
        <v>0.99999999621388902</v>
      </c>
    </row>
    <row r="8205" spans="1:40" x14ac:dyDescent="0.25">
      <c r="A8205" t="str">
        <f>"20190303154338103"</f>
        <v>20190303154338103</v>
      </c>
      <c r="B8205" t="str">
        <f>"1551599018098020"</f>
        <v>1551599018098020</v>
      </c>
      <c r="C8205" t="s">
        <v>40</v>
      </c>
      <c r="D8205">
        <v>5.1380889999999999</v>
      </c>
      <c r="E8205">
        <v>0.36333389999999999</v>
      </c>
      <c r="F8205" t="s">
        <v>42</v>
      </c>
      <c r="G8205">
        <v>-205.4716</v>
      </c>
      <c r="H8205">
        <v>1.029579</v>
      </c>
      <c r="I8205">
        <v>-61.196510000000004</v>
      </c>
      <c r="J8205">
        <v>-206.0607</v>
      </c>
      <c r="K8205">
        <v>1.1238170000000001</v>
      </c>
      <c r="L8205">
        <v>-61.706449999999997</v>
      </c>
      <c r="M8205">
        <v>0.98939869999999996</v>
      </c>
      <c r="N8205">
        <v>-1.4377030000000001E-2</v>
      </c>
      <c r="O8205">
        <v>0.144513</v>
      </c>
      <c r="P8205">
        <v>0.94445179999999995</v>
      </c>
      <c r="Q8205">
        <v>-0.11069619999999999</v>
      </c>
      <c r="R8205">
        <v>0.30944700000000003</v>
      </c>
      <c r="S8205">
        <v>2.498154</v>
      </c>
      <c r="T8205">
        <v>-0.3514813</v>
      </c>
      <c r="U8205">
        <v>1.9561459999999999</v>
      </c>
      <c r="V8205">
        <v>-0.16900319999999999</v>
      </c>
      <c r="W8205">
        <v>-9.7816910000000007E-2</v>
      </c>
      <c r="X8205">
        <v>0.9807496</v>
      </c>
      <c r="Y8205">
        <v>-0.49355549999999998</v>
      </c>
      <c r="Z8205">
        <v>1.873878E-2</v>
      </c>
      <c r="AA8205">
        <v>0.86951239999999996</v>
      </c>
      <c r="AB8205">
        <v>20</v>
      </c>
      <c r="AC8205">
        <v>0.58910000000000196</v>
      </c>
      <c r="AD8205">
        <v>-9.4238000000000002E-2</v>
      </c>
      <c r="AE8205">
        <v>0.50993999999999995</v>
      </c>
      <c r="AF8205">
        <v>-0.41339712019401598</v>
      </c>
      <c r="AG8205">
        <v>-9.4238000000000002E-2</v>
      </c>
      <c r="AH8205">
        <v>0.64714844787642101</v>
      </c>
      <c r="AI8205">
        <v>96.996288515461103</v>
      </c>
      <c r="AJ8205">
        <v>122.570358027323</v>
      </c>
      <c r="AK8205">
        <v>0.77367893419529399</v>
      </c>
      <c r="AL8205">
        <v>95.613472230701404</v>
      </c>
      <c r="AM8205">
        <v>99.777212473500498</v>
      </c>
      <c r="AN8205">
        <v>1.00000000369617</v>
      </c>
    </row>
    <row r="8206" spans="1:40" x14ac:dyDescent="0.25">
      <c r="A8206" t="str">
        <f>"20190303154338113"</f>
        <v>20190303154338113</v>
      </c>
      <c r="B8206" t="str">
        <f>"1551599018108756"</f>
        <v>1551599018108756</v>
      </c>
      <c r="C8206" t="s">
        <v>40</v>
      </c>
      <c r="D8206">
        <v>5.1839510000000004</v>
      </c>
      <c r="E8206">
        <v>0.36336790000000002</v>
      </c>
      <c r="F8206" t="s">
        <v>42</v>
      </c>
      <c r="G8206">
        <v>-205.3168</v>
      </c>
      <c r="H8206">
        <v>1.0193449999999999</v>
      </c>
      <c r="I8206">
        <v>-61.120489999999997</v>
      </c>
      <c r="J8206">
        <v>-205.9777</v>
      </c>
      <c r="K8206">
        <v>1.1238779999999999</v>
      </c>
      <c r="L8206">
        <v>-61.691830000000003</v>
      </c>
      <c r="M8206">
        <v>0.98907140000000004</v>
      </c>
      <c r="N8206">
        <v>-1.438862E-2</v>
      </c>
      <c r="O8206">
        <v>0.14673329999999901</v>
      </c>
      <c r="P8206">
        <v>0.94329180000000001</v>
      </c>
      <c r="Q8206">
        <v>-0.11033469999999999</v>
      </c>
      <c r="R8206">
        <v>0.31309209999999998</v>
      </c>
      <c r="S8206">
        <v>2.4920960000000001</v>
      </c>
      <c r="T8206">
        <v>-0.35003329999999999</v>
      </c>
      <c r="U8206">
        <v>1.9634400000000001</v>
      </c>
      <c r="V8206">
        <v>-0.17057159999999999</v>
      </c>
      <c r="W8206">
        <v>-9.7478750000000003E-2</v>
      </c>
      <c r="X8206">
        <v>0.98051169999999999</v>
      </c>
      <c r="Y8206">
        <v>-0.49422569999999999</v>
      </c>
      <c r="Z8206">
        <v>1.8519089999999998E-2</v>
      </c>
      <c r="AA8206">
        <v>0.86913629999999997</v>
      </c>
      <c r="AB8206">
        <v>20</v>
      </c>
      <c r="AC8206">
        <v>0.66089999999999705</v>
      </c>
      <c r="AD8206">
        <v>-0.104533</v>
      </c>
      <c r="AE8206">
        <v>0.57133999999999896</v>
      </c>
      <c r="AF8206">
        <v>-0.46156024747354002</v>
      </c>
      <c r="AG8206">
        <v>-0.104533</v>
      </c>
      <c r="AH8206">
        <v>0.72717713387740202</v>
      </c>
      <c r="AI8206">
        <v>96.920007506821904</v>
      </c>
      <c r="AJ8206">
        <v>122.404471227196</v>
      </c>
      <c r="AK8206">
        <v>0.867612582994846</v>
      </c>
      <c r="AL8206">
        <v>95.594004153433403</v>
      </c>
      <c r="AM8206">
        <v>99.868519571424997</v>
      </c>
      <c r="AN8206">
        <v>0.99999998563250603</v>
      </c>
    </row>
    <row r="8207" spans="1:40" x14ac:dyDescent="0.25">
      <c r="A8207" t="str">
        <f>"20190303154338123"</f>
        <v>20190303154338123</v>
      </c>
      <c r="B8207" t="str">
        <f>"1551599018118515"</f>
        <v>1551599018118515</v>
      </c>
      <c r="C8207" t="s">
        <v>40</v>
      </c>
      <c r="D8207">
        <v>5.1655759999999997</v>
      </c>
      <c r="E8207">
        <v>0.36343130000000001</v>
      </c>
      <c r="F8207" t="s">
        <v>42</v>
      </c>
      <c r="G8207">
        <v>-205.30330000000001</v>
      </c>
      <c r="H8207">
        <v>1.02918</v>
      </c>
      <c r="I8207">
        <v>-61.156379999999999</v>
      </c>
      <c r="J8207">
        <v>-205.89060000000001</v>
      </c>
      <c r="K8207">
        <v>1.123947</v>
      </c>
      <c r="L8207">
        <v>-61.676119999999997</v>
      </c>
      <c r="M8207">
        <v>0.98871109999999895</v>
      </c>
      <c r="N8207">
        <v>-1.4400710000000001E-2</v>
      </c>
      <c r="O8207">
        <v>0.1491411</v>
      </c>
      <c r="P8207">
        <v>0.94215179999999998</v>
      </c>
      <c r="Q8207">
        <v>-0.11009969999999999</v>
      </c>
      <c r="R8207">
        <v>0.31658770000000003</v>
      </c>
      <c r="S8207">
        <v>2.4847410000000001</v>
      </c>
      <c r="T8207">
        <v>-0.34888730000000001</v>
      </c>
      <c r="U8207">
        <v>1.9729000000000001</v>
      </c>
      <c r="V8207">
        <v>-0.17180429999999999</v>
      </c>
      <c r="W8207">
        <v>-9.7264420000000004E-2</v>
      </c>
      <c r="X8207">
        <v>0.98031780000000002</v>
      </c>
      <c r="Y8207">
        <v>-0.4954093</v>
      </c>
      <c r="Z8207">
        <v>1.8330519999999999E-2</v>
      </c>
      <c r="AA8207">
        <v>0.86846630000000002</v>
      </c>
      <c r="AB8207">
        <v>20</v>
      </c>
      <c r="AC8207">
        <v>0.58729999999999905</v>
      </c>
      <c r="AD8207">
        <v>-9.4767000000000004E-2</v>
      </c>
      <c r="AE8207">
        <v>0.51973999999999099</v>
      </c>
      <c r="AF8207">
        <v>-0.42019083175011601</v>
      </c>
      <c r="AG8207">
        <v>-9.4767000000000004E-2</v>
      </c>
      <c r="AH8207">
        <v>0.64877957435075595</v>
      </c>
      <c r="AI8207">
        <v>96.989688944316896</v>
      </c>
      <c r="AJ8207">
        <v>122.929655850882</v>
      </c>
      <c r="AK8207">
        <v>0.77875288472698601</v>
      </c>
      <c r="AL8207">
        <v>95.581665028519794</v>
      </c>
      <c r="AM8207">
        <v>99.940347676669404</v>
      </c>
      <c r="AN8207">
        <v>1.00000003694663</v>
      </c>
    </row>
    <row r="8208" spans="1:40" x14ac:dyDescent="0.25">
      <c r="A8208" t="str">
        <f>"20190303154338134"</f>
        <v>20190303154338134</v>
      </c>
      <c r="B8208" t="str">
        <f>"1551599018128275"</f>
        <v>1551599018128275</v>
      </c>
      <c r="C8208" t="s">
        <v>40</v>
      </c>
      <c r="D8208">
        <v>5.1725989999999999</v>
      </c>
      <c r="E8208">
        <v>0.36357790000000001</v>
      </c>
      <c r="F8208" t="s">
        <v>42</v>
      </c>
      <c r="G8208">
        <v>-205.1474</v>
      </c>
      <c r="H8208">
        <v>1.019614</v>
      </c>
      <c r="I8208">
        <v>-61.081879999999998</v>
      </c>
      <c r="J8208">
        <v>-205.7919</v>
      </c>
      <c r="K8208">
        <v>1.1240220000000001</v>
      </c>
      <c r="L8208">
        <v>-61.658169999999998</v>
      </c>
      <c r="M8208">
        <v>0.98829210000000001</v>
      </c>
      <c r="N8208">
        <v>-1.4414110000000001E-2</v>
      </c>
      <c r="O8208">
        <v>0.15189179999999999</v>
      </c>
      <c r="P8208">
        <v>0.94090879999999999</v>
      </c>
      <c r="Q8208">
        <v>-0.1101815</v>
      </c>
      <c r="R8208">
        <v>0.32023600000000002</v>
      </c>
      <c r="S8208">
        <v>2.4776609999999999</v>
      </c>
      <c r="T8208">
        <v>-0.34784949999999998</v>
      </c>
      <c r="U8208">
        <v>1.981598</v>
      </c>
      <c r="V8208">
        <v>-0.17286070000000001</v>
      </c>
      <c r="W8208">
        <v>-9.7367079999999995E-2</v>
      </c>
      <c r="X8208">
        <v>0.98012189999999999</v>
      </c>
      <c r="Y8208">
        <v>-0.49608380000000002</v>
      </c>
      <c r="Z8208">
        <v>1.8075500000000001E-2</v>
      </c>
      <c r="AA8208">
        <v>0.86808649999999998</v>
      </c>
      <c r="AB8208">
        <v>20</v>
      </c>
      <c r="AC8208">
        <v>0.64449999999999297</v>
      </c>
      <c r="AD8208">
        <v>-0.104407999999999</v>
      </c>
      <c r="AE8208">
        <v>0.57628999999999297</v>
      </c>
      <c r="AF8208">
        <v>-0.46491742958364801</v>
      </c>
      <c r="AG8208">
        <v>-0.104407999999999</v>
      </c>
      <c r="AH8208">
        <v>0.71414841246721805</v>
      </c>
      <c r="AI8208">
        <v>96.985253904043802</v>
      </c>
      <c r="AJ8208">
        <v>123.06451128756299</v>
      </c>
      <c r="AK8208">
        <v>0.85852035609187205</v>
      </c>
      <c r="AL8208">
        <v>95.587574967030207</v>
      </c>
      <c r="AM8208">
        <v>100.002197750311</v>
      </c>
      <c r="AN8208">
        <v>1.00000005436591</v>
      </c>
    </row>
    <row r="8209" spans="1:40" x14ac:dyDescent="0.25">
      <c r="A8209" t="str">
        <f>"20190303154338147"</f>
        <v>20190303154338147</v>
      </c>
      <c r="B8209" t="str">
        <f>"1551599018138617"</f>
        <v>1551599018138617</v>
      </c>
      <c r="C8209" t="s">
        <v>40</v>
      </c>
      <c r="D8209">
        <v>5.1972559999999897</v>
      </c>
      <c r="E8209">
        <v>0.36367090000000002</v>
      </c>
      <c r="F8209" t="s">
        <v>42</v>
      </c>
      <c r="G8209">
        <v>-205.13040000000001</v>
      </c>
      <c r="H8209">
        <v>1.0310090000000001</v>
      </c>
      <c r="I8209">
        <v>-61.125509999999998</v>
      </c>
      <c r="J8209">
        <v>-205.68879999999999</v>
      </c>
      <c r="K8209">
        <v>1.124101</v>
      </c>
      <c r="L8209">
        <v>-61.638820000000003</v>
      </c>
      <c r="M8209">
        <v>0.98782939999999997</v>
      </c>
      <c r="N8209">
        <v>-1.4428730000000001E-2</v>
      </c>
      <c r="O8209">
        <v>0.15487089999999901</v>
      </c>
      <c r="P8209">
        <v>0.93954550000000003</v>
      </c>
      <c r="Q8209">
        <v>-0.11012379999999999</v>
      </c>
      <c r="R8209">
        <v>0.32423269999999998</v>
      </c>
      <c r="S8209">
        <v>2.470383</v>
      </c>
      <c r="T8209">
        <v>-0.34742580000000001</v>
      </c>
      <c r="U8209">
        <v>1.9900819999999999</v>
      </c>
      <c r="V8209">
        <v>-0.17405580000000001</v>
      </c>
      <c r="W8209">
        <v>-9.7331829999999994E-2</v>
      </c>
      <c r="X8209">
        <v>0.97991379999999995</v>
      </c>
      <c r="Y8209">
        <v>-0.49653930000000002</v>
      </c>
      <c r="Z8209">
        <v>1.7804730000000001E-2</v>
      </c>
      <c r="AA8209">
        <v>0.86783159999999904</v>
      </c>
      <c r="AB8209">
        <v>20</v>
      </c>
      <c r="AC8209">
        <v>0.55839999999997703</v>
      </c>
      <c r="AD8209">
        <v>-9.3091999999999897E-2</v>
      </c>
      <c r="AE8209">
        <v>0.51330999999999705</v>
      </c>
      <c r="AF8209">
        <v>-0.41438439503305302</v>
      </c>
      <c r="AG8209">
        <v>-9.3091999999999897E-2</v>
      </c>
      <c r="AH8209">
        <v>0.62179977467670999</v>
      </c>
      <c r="AI8209">
        <v>97.101499352137495</v>
      </c>
      <c r="AJ8209">
        <v>123.680574878684</v>
      </c>
      <c r="AK8209">
        <v>0.75300432077041701</v>
      </c>
      <c r="AL8209">
        <v>95.585546063079903</v>
      </c>
      <c r="AM8209">
        <v>100.07203370551299</v>
      </c>
      <c r="AN8209">
        <v>0.99999998103761401</v>
      </c>
    </row>
    <row r="8210" spans="1:40" x14ac:dyDescent="0.25">
      <c r="A8210" t="str">
        <f>"20190303154338157"</f>
        <v>20190303154338157</v>
      </c>
      <c r="B8210" t="str">
        <f>"1551599018148377"</f>
        <v>1551599018148377</v>
      </c>
      <c r="C8210" t="s">
        <v>40</v>
      </c>
      <c r="D8210">
        <v>5.2346810000000001</v>
      </c>
      <c r="E8210">
        <v>0.36379349999999999</v>
      </c>
      <c r="F8210" t="s">
        <v>42</v>
      </c>
      <c r="G8210">
        <v>-204.97290000000001</v>
      </c>
      <c r="H8210">
        <v>1.0233509999999999</v>
      </c>
      <c r="I8210">
        <v>-61.05735</v>
      </c>
      <c r="J8210">
        <v>-205.59970000000001</v>
      </c>
      <c r="K8210">
        <v>1.1241650000000001</v>
      </c>
      <c r="L8210">
        <v>-61.621980000000001</v>
      </c>
      <c r="M8210">
        <v>0.98741889999999999</v>
      </c>
      <c r="N8210">
        <v>-1.4441280000000001E-2</v>
      </c>
      <c r="O8210">
        <v>0.1574661</v>
      </c>
      <c r="P8210">
        <v>0.9383222</v>
      </c>
      <c r="Q8210">
        <v>-0.11017059999999999</v>
      </c>
      <c r="R8210">
        <v>0.32774049999999999</v>
      </c>
      <c r="S8210">
        <v>2.46225</v>
      </c>
      <c r="T8210">
        <v>-0.3465203</v>
      </c>
      <c r="U8210">
        <v>1.9999389999999999</v>
      </c>
      <c r="V8210">
        <v>-0.17512829999999999</v>
      </c>
      <c r="W8210">
        <v>-9.7399100000000002E-2</v>
      </c>
      <c r="X8210">
        <v>0.97971600000000003</v>
      </c>
      <c r="Y8210">
        <v>-0.49776860000000001</v>
      </c>
      <c r="Z8210">
        <v>1.7613440000000001E-2</v>
      </c>
      <c r="AA8210">
        <v>0.86713099999999999</v>
      </c>
      <c r="AB8210">
        <v>20</v>
      </c>
      <c r="AC8210">
        <v>0.62680000000000202</v>
      </c>
      <c r="AD8210">
        <v>-0.100813999999999</v>
      </c>
      <c r="AE8210">
        <v>0.56463000000000796</v>
      </c>
      <c r="AF8210">
        <v>-0.452413541432929</v>
      </c>
      <c r="AG8210">
        <v>-0.100813999999999</v>
      </c>
      <c r="AH8210">
        <v>0.69793095791138804</v>
      </c>
      <c r="AI8210">
        <v>96.911054165671899</v>
      </c>
      <c r="AJ8210">
        <v>122.952156524241</v>
      </c>
      <c r="AK8210">
        <v>0.83782402512639398</v>
      </c>
      <c r="AL8210">
        <v>95.589418793391303</v>
      </c>
      <c r="AM8210">
        <v>100.134816932787</v>
      </c>
      <c r="AN8210">
        <v>0.99999997339884905</v>
      </c>
    </row>
    <row r="8211" spans="1:40" x14ac:dyDescent="0.25">
      <c r="A8211" t="str">
        <f>"20190303154338168"</f>
        <v>20190303154338168</v>
      </c>
      <c r="B8211" t="str">
        <f>"1551599018158137"</f>
        <v>1551599018158137</v>
      </c>
      <c r="C8211" t="s">
        <v>40</v>
      </c>
      <c r="D8211">
        <v>5.1848229999999997</v>
      </c>
      <c r="E8211">
        <v>0.3639483</v>
      </c>
      <c r="F8211" t="s">
        <v>42</v>
      </c>
      <c r="G8211">
        <v>-204.81829999999999</v>
      </c>
      <c r="H8211">
        <v>1.0140910000000001</v>
      </c>
      <c r="I8211">
        <v>-60.982930000000003</v>
      </c>
      <c r="J8211">
        <v>-205.4924</v>
      </c>
      <c r="K8211">
        <v>1.124244</v>
      </c>
      <c r="L8211">
        <v>-61.601069999999901</v>
      </c>
      <c r="M8211">
        <v>0.98689899999999997</v>
      </c>
      <c r="N8211">
        <v>-1.445724E-2</v>
      </c>
      <c r="O8211">
        <v>0.16069020000000001</v>
      </c>
      <c r="P8211">
        <v>0.93685079999999998</v>
      </c>
      <c r="Q8211">
        <v>-0.1103104</v>
      </c>
      <c r="R8211">
        <v>0.33187660000000002</v>
      </c>
      <c r="S8211">
        <v>2.455139</v>
      </c>
      <c r="T8211">
        <v>-0.34588370000000002</v>
      </c>
      <c r="U8211">
        <v>2.0082089999999999</v>
      </c>
      <c r="V8211">
        <v>-0.17623529999999901</v>
      </c>
      <c r="W8211">
        <v>-9.7561880000000004E-2</v>
      </c>
      <c r="X8211">
        <v>0.97950130000000002</v>
      </c>
      <c r="Y8211">
        <v>-0.49793910000000002</v>
      </c>
      <c r="Z8211">
        <v>1.7291480000000001E-2</v>
      </c>
      <c r="AA8211">
        <v>0.86703960000000002</v>
      </c>
      <c r="AB8211">
        <v>20</v>
      </c>
      <c r="AC8211">
        <v>0.67410000000000903</v>
      </c>
      <c r="AD8211">
        <v>-0.110152999999999</v>
      </c>
      <c r="AE8211">
        <v>0.61813999999998903</v>
      </c>
      <c r="AF8211">
        <v>-0.49459869302398002</v>
      </c>
      <c r="AG8211">
        <v>-0.110152999999999</v>
      </c>
      <c r="AH8211">
        <v>0.75374439242542601</v>
      </c>
      <c r="AI8211">
        <v>96.966118640809995</v>
      </c>
      <c r="AJ8211">
        <v>123.272440390409</v>
      </c>
      <c r="AK8211">
        <v>0.90823574013732999</v>
      </c>
      <c r="AL8211">
        <v>95.598789887698302</v>
      </c>
      <c r="AM8211">
        <v>100.199727972616</v>
      </c>
      <c r="AN8211">
        <v>0.99999999904845704</v>
      </c>
    </row>
    <row r="8212" spans="1:40" x14ac:dyDescent="0.25">
      <c r="A8212" t="str">
        <f>"20190303154338180"</f>
        <v>20190303154338180</v>
      </c>
      <c r="B8212" t="str">
        <f>"1551599018178633"</f>
        <v>1551599018178633</v>
      </c>
      <c r="C8212" t="s">
        <v>40</v>
      </c>
      <c r="D8212">
        <v>5.1370680000000002</v>
      </c>
      <c r="E8212">
        <v>0.36406729999999998</v>
      </c>
      <c r="F8212" t="s">
        <v>42</v>
      </c>
      <c r="G8212">
        <v>-204.7998</v>
      </c>
      <c r="H8212">
        <v>1.026438</v>
      </c>
      <c r="I8212">
        <v>-61.029949999999999</v>
      </c>
      <c r="J8212">
        <v>-205.39670000000001</v>
      </c>
      <c r="K8212">
        <v>1.124315</v>
      </c>
      <c r="L8212">
        <v>-61.582180000000001</v>
      </c>
      <c r="M8212">
        <v>0.98641959999999995</v>
      </c>
      <c r="N8212">
        <v>-1.4471370000000001E-2</v>
      </c>
      <c r="O8212">
        <v>0.16360659999999999</v>
      </c>
      <c r="P8212">
        <v>0.93542369999999997</v>
      </c>
      <c r="Q8212">
        <v>-0.1103606</v>
      </c>
      <c r="R8212">
        <v>0.33586179999999999</v>
      </c>
      <c r="S8212">
        <v>2.4466860000000001</v>
      </c>
      <c r="T8212">
        <v>-0.34553279999999997</v>
      </c>
      <c r="U8212">
        <v>2.0178829999999999</v>
      </c>
      <c r="V8212">
        <v>-0.1774954</v>
      </c>
      <c r="W8212">
        <v>-9.7635680000000002E-2</v>
      </c>
      <c r="X8212">
        <v>0.97926639999999998</v>
      </c>
      <c r="Y8212">
        <v>-0.49889670000000003</v>
      </c>
      <c r="Z8212">
        <v>1.7068819999999998E-2</v>
      </c>
      <c r="AA8212">
        <v>0.86649330000000002</v>
      </c>
      <c r="AB8212">
        <v>20</v>
      </c>
      <c r="AC8212">
        <v>0.59690000000000498</v>
      </c>
      <c r="AD8212">
        <v>-9.7877000000000006E-2</v>
      </c>
      <c r="AE8212">
        <v>0.55223000000000799</v>
      </c>
      <c r="AF8212">
        <v>-0.440735291600798</v>
      </c>
      <c r="AG8212">
        <v>-9.7877000000000006E-2</v>
      </c>
      <c r="AH8212">
        <v>0.66951373540705905</v>
      </c>
      <c r="AI8212">
        <v>96.961828152024196</v>
      </c>
      <c r="AJ8212">
        <v>123.356575608917</v>
      </c>
      <c r="AK8212">
        <v>0.80751231959032899</v>
      </c>
      <c r="AL8212">
        <v>95.603038524082606</v>
      </c>
      <c r="AM8212">
        <v>100.273521261721</v>
      </c>
      <c r="AN8212">
        <v>1.00000001259959</v>
      </c>
    </row>
    <row r="8213" spans="1:40" x14ac:dyDescent="0.25">
      <c r="A8213" t="str">
        <f>"20190303154338191"</f>
        <v>20190303154338191</v>
      </c>
      <c r="B8213" t="str">
        <f>"1551599018188393"</f>
        <v>1551599018188393</v>
      </c>
      <c r="C8213" t="s">
        <v>40</v>
      </c>
      <c r="D8213">
        <v>5.247598</v>
      </c>
      <c r="E8213">
        <v>0.3641334</v>
      </c>
      <c r="F8213" t="s">
        <v>42</v>
      </c>
      <c r="G8213">
        <v>-204.64500000000001</v>
      </c>
      <c r="H8213">
        <v>1.017417</v>
      </c>
      <c r="I8213">
        <v>-60.957230000000003</v>
      </c>
      <c r="J8213">
        <v>-205.30680000000001</v>
      </c>
      <c r="K8213">
        <v>1.124376</v>
      </c>
      <c r="L8213">
        <v>-61.564120000000003</v>
      </c>
      <c r="M8213">
        <v>0.98595310000000003</v>
      </c>
      <c r="N8213">
        <v>-1.448461E-2</v>
      </c>
      <c r="O8213">
        <v>0.16639319999999999</v>
      </c>
      <c r="P8213">
        <v>0.9340638</v>
      </c>
      <c r="Q8213">
        <v>-0.1104209</v>
      </c>
      <c r="R8213">
        <v>0.33960580000000001</v>
      </c>
      <c r="S8213">
        <v>2.4383089999999998</v>
      </c>
      <c r="T8213">
        <v>-0.34675060000000002</v>
      </c>
      <c r="U8213">
        <v>2.0272830000000002</v>
      </c>
      <c r="V8213">
        <v>-0.1786374</v>
      </c>
      <c r="W8213">
        <v>-9.7717860000000004E-2</v>
      </c>
      <c r="X8213">
        <v>0.97905050000000005</v>
      </c>
      <c r="Y8213">
        <v>-0.49987490000000001</v>
      </c>
      <c r="Z8213">
        <v>1.690883E-2</v>
      </c>
      <c r="AA8213">
        <v>0.86593249999999999</v>
      </c>
      <c r="AB8213">
        <v>20</v>
      </c>
      <c r="AC8213">
        <v>0.66179999999999894</v>
      </c>
      <c r="AD8213">
        <v>-0.106959</v>
      </c>
      <c r="AE8213">
        <v>0.60688999999999205</v>
      </c>
      <c r="AF8213">
        <v>-0.481465931014118</v>
      </c>
      <c r="AG8213">
        <v>-0.106959</v>
      </c>
      <c r="AH8213">
        <v>0.74302269554964795</v>
      </c>
      <c r="AI8213">
        <v>96.888304370184997</v>
      </c>
      <c r="AJ8213">
        <v>122.942543641472</v>
      </c>
      <c r="AK8213">
        <v>0.8918141042337</v>
      </c>
      <c r="AL8213">
        <v>95.607769835244</v>
      </c>
      <c r="AM8213">
        <v>100.34043043052</v>
      </c>
      <c r="AN8213">
        <v>0.99999999119599403</v>
      </c>
    </row>
    <row r="8214" spans="1:40" x14ac:dyDescent="0.25">
      <c r="A8214" t="str">
        <f>"20190303154338202"</f>
        <v>20190303154338202</v>
      </c>
      <c r="B8214" t="str">
        <f>"1551599018198153"</f>
        <v>1551599018198153</v>
      </c>
      <c r="C8214" t="s">
        <v>40</v>
      </c>
      <c r="D8214">
        <v>5.2471730000000001</v>
      </c>
      <c r="E8214">
        <v>0.36419679999999999</v>
      </c>
      <c r="F8214" t="s">
        <v>42</v>
      </c>
      <c r="G8214">
        <v>-204.6293</v>
      </c>
      <c r="H8214">
        <v>1.0277229999999999</v>
      </c>
      <c r="I8214">
        <v>-60.996400000000001</v>
      </c>
      <c r="J8214">
        <v>-205.21520000000001</v>
      </c>
      <c r="K8214">
        <v>1.1244379999999901</v>
      </c>
      <c r="L8214">
        <v>-61.545290000000001</v>
      </c>
      <c r="M8214">
        <v>0.98546020000000001</v>
      </c>
      <c r="N8214">
        <v>-1.4497879999999999E-2</v>
      </c>
      <c r="O8214">
        <v>0.16928660000000001</v>
      </c>
      <c r="P8214">
        <v>0.93280770000000002</v>
      </c>
      <c r="Q8214">
        <v>-0.1102573</v>
      </c>
      <c r="R8214">
        <v>0.3430935</v>
      </c>
      <c r="S8214">
        <v>2.4303129999999999</v>
      </c>
      <c r="T8214">
        <v>-0.34671210000000002</v>
      </c>
      <c r="U8214">
        <v>2.036591</v>
      </c>
      <c r="V8214">
        <v>-0.17940610000000001</v>
      </c>
      <c r="W8214">
        <v>-9.7572500000000006E-2</v>
      </c>
      <c r="X8214">
        <v>0.97892449999999998</v>
      </c>
      <c r="Y8214">
        <v>-0.500691</v>
      </c>
      <c r="Z8214">
        <v>1.668536E-2</v>
      </c>
      <c r="AA8214">
        <v>0.86546529999999999</v>
      </c>
      <c r="AB8214">
        <v>20</v>
      </c>
      <c r="AC8214">
        <v>0.58590000000000897</v>
      </c>
      <c r="AD8214">
        <v>-9.6714999999999801E-2</v>
      </c>
      <c r="AE8214">
        <v>0.54888999999999999</v>
      </c>
      <c r="AF8214">
        <v>-0.435451434185879</v>
      </c>
      <c r="AG8214">
        <v>-9.6714999999999801E-2</v>
      </c>
      <c r="AH8214">
        <v>0.66078210751790001</v>
      </c>
      <c r="AI8214">
        <v>96.9677716131431</v>
      </c>
      <c r="AJ8214">
        <v>123.384641859003</v>
      </c>
      <c r="AK8214">
        <v>0.79724822757741998</v>
      </c>
      <c r="AL8214">
        <v>95.599400948641204</v>
      </c>
      <c r="AM8214">
        <v>100.385268154581</v>
      </c>
      <c r="AN8214">
        <v>1.0000000590868501</v>
      </c>
    </row>
    <row r="8215" spans="1:40" x14ac:dyDescent="0.25">
      <c r="A8215" t="str">
        <f>"20190303154338212"</f>
        <v>20190303154338212</v>
      </c>
      <c r="B8215" t="str">
        <f>"1551599018207913"</f>
        <v>1551599018207913</v>
      </c>
      <c r="C8215" t="s">
        <v>40</v>
      </c>
      <c r="D8215">
        <v>5.2690769999999896</v>
      </c>
      <c r="E8215">
        <v>0.36432199999999998</v>
      </c>
      <c r="F8215" t="s">
        <v>42</v>
      </c>
      <c r="G8215">
        <v>-204.4759</v>
      </c>
      <c r="H8215">
        <v>1.0187409999999999</v>
      </c>
      <c r="I8215">
        <v>-60.921410000000002</v>
      </c>
      <c r="J8215">
        <v>-205.11689999999999</v>
      </c>
      <c r="K8215">
        <v>1.1244940000000001</v>
      </c>
      <c r="L8215">
        <v>-61.524839999999998</v>
      </c>
      <c r="M8215">
        <v>0.98491459999999997</v>
      </c>
      <c r="N8215">
        <v>-1.45118E-2</v>
      </c>
      <c r="O8215">
        <v>0.1724318</v>
      </c>
      <c r="P8215">
        <v>0.93138240000000005</v>
      </c>
      <c r="Q8215">
        <v>-0.11021209999999999</v>
      </c>
      <c r="R8215">
        <v>0.3469583</v>
      </c>
      <c r="S8215">
        <v>2.4229280000000002</v>
      </c>
      <c r="T8215">
        <v>-0.34644709999999901</v>
      </c>
      <c r="U8215">
        <v>2.045166</v>
      </c>
      <c r="V8215">
        <v>-0.1803246</v>
      </c>
      <c r="W8215">
        <v>-9.7548579999999996E-2</v>
      </c>
      <c r="X8215">
        <v>0.97875800000000002</v>
      </c>
      <c r="Y8215">
        <v>-0.50103249999999999</v>
      </c>
      <c r="Z8215">
        <v>1.639417E-2</v>
      </c>
      <c r="AA8215">
        <v>0.86527319999999996</v>
      </c>
      <c r="AB8215">
        <v>20</v>
      </c>
      <c r="AC8215">
        <v>0.64099999999999102</v>
      </c>
      <c r="AD8215">
        <v>-0.105753</v>
      </c>
      <c r="AE8215">
        <v>0.60343000000001001</v>
      </c>
      <c r="AF8215">
        <v>-0.47696634074302902</v>
      </c>
      <c r="AG8215">
        <v>-0.105753</v>
      </c>
      <c r="AH8215">
        <v>0.72499619760352296</v>
      </c>
      <c r="AI8215">
        <v>96.947815060397502</v>
      </c>
      <c r="AJ8215">
        <v>123.340440285806</v>
      </c>
      <c r="AK8215">
        <v>0.87424257145849504</v>
      </c>
      <c r="AL8215">
        <v>95.598024450680697</v>
      </c>
      <c r="AM8215">
        <v>100.439008202012</v>
      </c>
      <c r="AN8215">
        <v>0.99999995469458702</v>
      </c>
    </row>
    <row r="8216" spans="1:40" x14ac:dyDescent="0.25">
      <c r="A8216" t="str">
        <f>"20190303154338224"</f>
        <v>20190303154338224</v>
      </c>
      <c r="B8216" t="str">
        <f>"1551599018218649"</f>
        <v>1551599018218649</v>
      </c>
      <c r="C8216" t="s">
        <v>40</v>
      </c>
      <c r="D8216">
        <v>5.2257619999999996</v>
      </c>
      <c r="E8216">
        <v>0.36428339999999998</v>
      </c>
      <c r="F8216" t="s">
        <v>42</v>
      </c>
      <c r="G8216">
        <v>-204.45830000000001</v>
      </c>
      <c r="H8216">
        <v>1.0301959999999999</v>
      </c>
      <c r="I8216">
        <v>-60.964660000000002</v>
      </c>
      <c r="J8216">
        <v>-205.02340000000001</v>
      </c>
      <c r="K8216">
        <v>1.1245579999999999</v>
      </c>
      <c r="L8216">
        <v>-61.504820000000002</v>
      </c>
      <c r="M8216">
        <v>0.9843712</v>
      </c>
      <c r="N8216">
        <v>-1.4524820000000001E-2</v>
      </c>
      <c r="O8216">
        <v>0.17550579999999999</v>
      </c>
      <c r="P8216">
        <v>0.93008380000000002</v>
      </c>
      <c r="Q8216">
        <v>-0.1102852</v>
      </c>
      <c r="R8216">
        <v>0.35040169999999998</v>
      </c>
      <c r="S8216">
        <v>2.414825</v>
      </c>
      <c r="T8216">
        <v>-0.345775</v>
      </c>
      <c r="U8216">
        <v>2.0543819999999999</v>
      </c>
      <c r="V8216">
        <v>-0.18087639999999999</v>
      </c>
      <c r="W8216">
        <v>-9.7639519999999994E-2</v>
      </c>
      <c r="X8216">
        <v>0.97864720000000005</v>
      </c>
      <c r="Y8216">
        <v>-0.50169710000000001</v>
      </c>
      <c r="Z8216">
        <v>1.6123180000000001E-2</v>
      </c>
      <c r="AA8216">
        <v>0.86489309999999997</v>
      </c>
      <c r="AB8216">
        <v>20</v>
      </c>
      <c r="AC8216">
        <v>0.56510000000000005</v>
      </c>
      <c r="AD8216">
        <v>-9.4362000000000001E-2</v>
      </c>
      <c r="AE8216">
        <v>0.54015999999999997</v>
      </c>
      <c r="AF8216">
        <v>-0.42637280916152098</v>
      </c>
      <c r="AG8216">
        <v>-9.4362000000000001E-2</v>
      </c>
      <c r="AH8216">
        <v>0.64178694150151205</v>
      </c>
      <c r="AI8216">
        <v>96.982079322678999</v>
      </c>
      <c r="AJ8216">
        <v>123.598178110148</v>
      </c>
      <c r="AK8216">
        <v>0.77626570046483001</v>
      </c>
      <c r="AL8216">
        <v>95.603259413988994</v>
      </c>
      <c r="AM8216">
        <v>100.471405773447</v>
      </c>
      <c r="AN8216">
        <v>1.0000000450053099</v>
      </c>
    </row>
    <row r="8217" spans="1:40" x14ac:dyDescent="0.25">
      <c r="A8217" t="str">
        <f>"20190303154338236"</f>
        <v>20190303154338236</v>
      </c>
      <c r="B8217" t="str">
        <f>"1551599018228409"</f>
        <v>1551599018228409</v>
      </c>
      <c r="C8217" t="s">
        <v>40</v>
      </c>
      <c r="D8217">
        <v>5.325437</v>
      </c>
      <c r="E8217">
        <v>0.36428339999999998</v>
      </c>
      <c r="F8217" t="s">
        <v>42</v>
      </c>
      <c r="G8217">
        <v>-204.30549999999999</v>
      </c>
      <c r="H8217">
        <v>1.0213810000000001</v>
      </c>
      <c r="I8217">
        <v>-60.889530000000001</v>
      </c>
      <c r="J8217">
        <v>-204.92400000000001</v>
      </c>
      <c r="K8217">
        <v>1.124628</v>
      </c>
      <c r="L8217">
        <v>-61.483460000000001</v>
      </c>
      <c r="M8217">
        <v>0.98377910000000002</v>
      </c>
      <c r="N8217">
        <v>-1.4538250000000001E-2</v>
      </c>
      <c r="O8217">
        <v>0.17879410000000001</v>
      </c>
      <c r="P8217">
        <v>0.92864329999999995</v>
      </c>
      <c r="Q8217">
        <v>-0.1100307</v>
      </c>
      <c r="R8217">
        <v>0.35428090000000001</v>
      </c>
      <c r="S8217">
        <v>2.4071500000000001</v>
      </c>
      <c r="T8217">
        <v>-0.34599210000000002</v>
      </c>
      <c r="U8217">
        <v>2.0633240000000002</v>
      </c>
      <c r="V8217">
        <v>-0.18167340000000001</v>
      </c>
      <c r="W8217">
        <v>-9.7406580000000006E-2</v>
      </c>
      <c r="X8217">
        <v>0.97852269999999997</v>
      </c>
      <c r="Y8217">
        <v>-0.50203199999999903</v>
      </c>
      <c r="Z8217">
        <v>1.5830449999999999E-2</v>
      </c>
      <c r="AA8217">
        <v>0.86470409999999998</v>
      </c>
      <c r="AB8217">
        <v>20</v>
      </c>
      <c r="AC8217">
        <v>0.61850000000001104</v>
      </c>
      <c r="AD8217">
        <v>-0.10324700000000001</v>
      </c>
      <c r="AE8217">
        <v>0.59392999999999296</v>
      </c>
      <c r="AF8217">
        <v>-0.46699162536953698</v>
      </c>
      <c r="AG8217">
        <v>-0.10324700000000001</v>
      </c>
      <c r="AH8217">
        <v>0.70452030211679795</v>
      </c>
      <c r="AI8217">
        <v>96.964244972612093</v>
      </c>
      <c r="AJ8217">
        <v>123.538427032054</v>
      </c>
      <c r="AK8217">
        <v>0.85152215312875201</v>
      </c>
      <c r="AL8217">
        <v>95.589849431044399</v>
      </c>
      <c r="AM8217">
        <v>100.51782719710199</v>
      </c>
      <c r="AN8217">
        <v>0.99999997025507203</v>
      </c>
    </row>
    <row r="8218" spans="1:40" x14ac:dyDescent="0.25">
      <c r="A8218" t="str">
        <f>"20190303154338247"</f>
        <v>20190303154338247</v>
      </c>
      <c r="B8218" t="str">
        <f>"1551599018238169"</f>
        <v>1551599018238169</v>
      </c>
      <c r="C8218" t="s">
        <v>40</v>
      </c>
      <c r="D8218">
        <v>5.3271410000000001</v>
      </c>
      <c r="E8218">
        <v>0.33095790000000003</v>
      </c>
      <c r="F8218" t="s">
        <v>42</v>
      </c>
      <c r="G8218">
        <v>-204.15260000000001</v>
      </c>
      <c r="H8218">
        <v>1.0138689999999999</v>
      </c>
      <c r="I8218">
        <v>-60.816670000000002</v>
      </c>
      <c r="J8218">
        <v>-204.82650000000001</v>
      </c>
      <c r="K8218">
        <v>1.1247020000000001</v>
      </c>
      <c r="L8218">
        <v>-61.461730000000003</v>
      </c>
      <c r="M8218">
        <v>0.98316650000000005</v>
      </c>
      <c r="N8218">
        <v>-1.455189E-2</v>
      </c>
      <c r="O8218">
        <v>0.1821323</v>
      </c>
      <c r="P8218">
        <v>0.92727950000000003</v>
      </c>
      <c r="Q8218">
        <v>-0.10979029999999999</v>
      </c>
      <c r="R8218">
        <v>0.35790929999999999</v>
      </c>
      <c r="S8218">
        <v>2.3986049999999999</v>
      </c>
      <c r="T8218">
        <v>-0.34439530000000002</v>
      </c>
      <c r="U8218">
        <v>2.0736690000000002</v>
      </c>
      <c r="V8218">
        <v>-0.18215980000000001</v>
      </c>
      <c r="W8218">
        <v>-9.7184800000000002E-2</v>
      </c>
      <c r="X8218">
        <v>0.97845439999999995</v>
      </c>
      <c r="Y8218">
        <v>-0.50278590000000001</v>
      </c>
      <c r="Z8218">
        <v>1.551552E-2</v>
      </c>
      <c r="AA8218">
        <v>0.86427169999999898</v>
      </c>
      <c r="AB8218">
        <v>20</v>
      </c>
      <c r="AC8218">
        <v>0.67390000000000305</v>
      </c>
      <c r="AD8218">
        <v>-0.110832999999999</v>
      </c>
      <c r="AE8218">
        <v>0.64506000000000696</v>
      </c>
      <c r="AF8218">
        <v>-0.50439668181174402</v>
      </c>
      <c r="AG8218">
        <v>-0.110832999999999</v>
      </c>
      <c r="AH8218">
        <v>0.76926605057388597</v>
      </c>
      <c r="AI8218">
        <v>96.870214700258103</v>
      </c>
      <c r="AJ8218">
        <v>123.252279341125</v>
      </c>
      <c r="AK8218">
        <v>0.92653668199226902</v>
      </c>
      <c r="AL8218">
        <v>95.577081375977798</v>
      </c>
      <c r="AM8218">
        <v>100.54607567727</v>
      </c>
      <c r="AN8218">
        <v>1.0000000454832101</v>
      </c>
    </row>
    <row r="8219" spans="1:40" x14ac:dyDescent="0.25">
      <c r="A8219" t="str">
        <f>"20190303154338259"</f>
        <v>20190303154338259</v>
      </c>
      <c r="B8219" t="str">
        <f>"1551599018247929"</f>
        <v>1551599018247929</v>
      </c>
      <c r="C8219" t="s">
        <v>40</v>
      </c>
      <c r="D8219">
        <v>5.2932300000000003</v>
      </c>
      <c r="E8219">
        <v>0.32595800000000003</v>
      </c>
      <c r="F8219" t="s">
        <v>42</v>
      </c>
      <c r="G8219">
        <v>-204.1644</v>
      </c>
      <c r="H8219">
        <v>1.0012369999999999</v>
      </c>
      <c r="I8219">
        <v>-60.788760000000003</v>
      </c>
      <c r="J8219">
        <v>-204.73009999999999</v>
      </c>
      <c r="K8219">
        <v>1.1247720000000001</v>
      </c>
      <c r="L8219">
        <v>-61.440089999999998</v>
      </c>
      <c r="M8219">
        <v>0.98254350000000001</v>
      </c>
      <c r="N8219">
        <v>-1.456522E-2</v>
      </c>
      <c r="O8219">
        <v>0.18546170000000001</v>
      </c>
      <c r="P8219">
        <v>0.92583950000000004</v>
      </c>
      <c r="Q8219">
        <v>-0.1093431</v>
      </c>
      <c r="R8219">
        <v>0.36175299999999999</v>
      </c>
      <c r="S8219">
        <v>2.2872309999999998</v>
      </c>
      <c r="T8219">
        <v>-0.42653200000000002</v>
      </c>
      <c r="U8219">
        <v>2.3253170000000001</v>
      </c>
      <c r="V8219">
        <v>-0.18288360000000001</v>
      </c>
      <c r="W8219">
        <v>-9.6758640000000007E-2</v>
      </c>
      <c r="X8219">
        <v>0.9783615</v>
      </c>
      <c r="Y8219">
        <v>-0.56649430000000001</v>
      </c>
      <c r="Z8219">
        <v>2.2770760000000001E-2</v>
      </c>
      <c r="AA8219">
        <v>0.82375100000000001</v>
      </c>
      <c r="AB8219">
        <v>20</v>
      </c>
      <c r="AC8219">
        <v>0.56569999999999199</v>
      </c>
      <c r="AD8219">
        <v>-0.12353499999999901</v>
      </c>
      <c r="AE8219">
        <v>0.65133000000000796</v>
      </c>
      <c r="AF8219">
        <v>-0.524349301778814</v>
      </c>
      <c r="AG8219">
        <v>-0.12353499999999901</v>
      </c>
      <c r="AH8219">
        <v>0.66309654829160503</v>
      </c>
      <c r="AI8219">
        <v>98.313924156081995</v>
      </c>
      <c r="AJ8219">
        <v>128.335488139544</v>
      </c>
      <c r="AK8219">
        <v>0.85434192151454802</v>
      </c>
      <c r="AL8219">
        <v>95.552549202552299</v>
      </c>
      <c r="AM8219">
        <v>100.588016848724</v>
      </c>
      <c r="AN8219">
        <v>0.99999993512292695</v>
      </c>
    </row>
    <row r="8220" spans="1:40" x14ac:dyDescent="0.25">
      <c r="A8220" t="str">
        <f>"20190303154338277"</f>
        <v>20190303154338277</v>
      </c>
      <c r="B8220" t="str">
        <f>"1551599018268425"</f>
        <v>1551599018268425</v>
      </c>
      <c r="C8220" t="s">
        <v>40</v>
      </c>
      <c r="D8220">
        <v>5.3391400000000004</v>
      </c>
      <c r="E8220">
        <v>0.32072250000000002</v>
      </c>
      <c r="F8220" t="s">
        <v>42</v>
      </c>
      <c r="G8220">
        <v>-204.02080000000001</v>
      </c>
      <c r="H8220">
        <v>0.98399400000000004</v>
      </c>
      <c r="I8220">
        <v>-60.6965</v>
      </c>
      <c r="J8220">
        <v>-204.5812</v>
      </c>
      <c r="K8220">
        <v>1.124879</v>
      </c>
      <c r="L8220">
        <v>-61.405729999999998</v>
      </c>
      <c r="M8220">
        <v>0.98153420000000002</v>
      </c>
      <c r="N8220">
        <v>-1.458635E-2</v>
      </c>
      <c r="O8220">
        <v>0.1907296</v>
      </c>
      <c r="P8220">
        <v>0.92371959999999997</v>
      </c>
      <c r="Q8220">
        <v>-0.1081741</v>
      </c>
      <c r="R8220">
        <v>0.36747849999999999</v>
      </c>
      <c r="S8220">
        <v>2.2609859999999999</v>
      </c>
      <c r="T8220">
        <v>-0.44877020000000001</v>
      </c>
      <c r="U8220">
        <v>2.3706969999999998</v>
      </c>
      <c r="V8220">
        <v>-0.1836554</v>
      </c>
      <c r="W8220">
        <v>-9.5616069999999997E-2</v>
      </c>
      <c r="X8220">
        <v>0.97832929999999996</v>
      </c>
      <c r="Y8220">
        <v>-0.57435209999999903</v>
      </c>
      <c r="Z8220">
        <v>2.3609720000000001E-2</v>
      </c>
      <c r="AA8220">
        <v>0.81826790000000005</v>
      </c>
      <c r="AB8220">
        <v>20</v>
      </c>
      <c r="AC8220">
        <v>0.56039999999998702</v>
      </c>
      <c r="AD8220">
        <v>-0.14088500000000001</v>
      </c>
      <c r="AE8220">
        <v>0.70923000000000502</v>
      </c>
      <c r="AF8220">
        <v>-0.575334839933487</v>
      </c>
      <c r="AG8220">
        <v>-0.14088500000000001</v>
      </c>
      <c r="AH8220">
        <v>0.66914054687833402</v>
      </c>
      <c r="AI8220">
        <v>99.070604265106695</v>
      </c>
      <c r="AJ8220">
        <v>130.689327042522</v>
      </c>
      <c r="AK8220">
        <v>0.89364860697196202</v>
      </c>
      <c r="AL8220">
        <v>95.486779557705205</v>
      </c>
      <c r="AM8220">
        <v>100.63202545478499</v>
      </c>
      <c r="AN8220">
        <v>0.99999997901494697</v>
      </c>
    </row>
    <row r="8221" spans="1:40" x14ac:dyDescent="0.25">
      <c r="A8221" t="str">
        <f>"20190303154338290"</f>
        <v>20190303154338290</v>
      </c>
      <c r="B8221" t="str">
        <f>"1551599018287945"</f>
        <v>1551599018287945</v>
      </c>
      <c r="C8221" t="s">
        <v>40</v>
      </c>
      <c r="D8221">
        <v>5.3462839999999998</v>
      </c>
      <c r="E8221">
        <v>0.31817030000000002</v>
      </c>
      <c r="F8221" t="s">
        <v>58</v>
      </c>
      <c r="G8221">
        <v>-199.20359999999999</v>
      </c>
      <c r="H8221" s="1">
        <v>-8.8940600000000007E-6</v>
      </c>
      <c r="I8221">
        <v>-55.563299999999998</v>
      </c>
      <c r="J8221">
        <v>-204.45849999999999</v>
      </c>
      <c r="K8221">
        <v>1.1249800000000001</v>
      </c>
      <c r="L8221">
        <v>-61.376559999999998</v>
      </c>
      <c r="M8221">
        <v>0.98065579999999997</v>
      </c>
      <c r="N8221">
        <v>-1.460418E-2</v>
      </c>
      <c r="O8221">
        <v>0.1951948</v>
      </c>
      <c r="P8221">
        <v>0.92147100000000004</v>
      </c>
      <c r="Q8221">
        <v>-0.1047438</v>
      </c>
      <c r="R8221">
        <v>0.37405890000000003</v>
      </c>
      <c r="S8221">
        <v>2.2295229999999999</v>
      </c>
      <c r="T8221">
        <v>-0.46637260000000003</v>
      </c>
      <c r="U8221">
        <v>2.4222410000000001</v>
      </c>
      <c r="V8221">
        <v>-0.18611620000000001</v>
      </c>
      <c r="W8221">
        <v>-9.2225089999999996E-2</v>
      </c>
      <c r="X8221">
        <v>0.9781898</v>
      </c>
      <c r="Y8221">
        <v>-0.58470639999999996</v>
      </c>
      <c r="Z8221">
        <v>2.463483E-2</v>
      </c>
      <c r="AA8221">
        <v>0.8108708</v>
      </c>
      <c r="AB8221">
        <v>20</v>
      </c>
      <c r="AC8221">
        <v>5.2548999999999904</v>
      </c>
      <c r="AD8221">
        <v>-1.1249888940599999</v>
      </c>
      <c r="AE8221">
        <v>5.8132599999999996</v>
      </c>
      <c r="AF8221">
        <v>-4.5811600520588298</v>
      </c>
      <c r="AG8221">
        <v>-1.1249888940599999</v>
      </c>
      <c r="AH8221">
        <v>6.1616469447013396</v>
      </c>
      <c r="AI8221">
        <v>98.335639683777998</v>
      </c>
      <c r="AJ8221">
        <v>126.630656184931</v>
      </c>
      <c r="AK8221">
        <v>7.7600593106937898</v>
      </c>
      <c r="AL8221">
        <v>95.291627894839493</v>
      </c>
      <c r="AM8221">
        <v>100.772672610117</v>
      </c>
      <c r="AN8221">
        <v>0.99999999597599398</v>
      </c>
    </row>
    <row r="8222" spans="1:40" x14ac:dyDescent="0.25">
      <c r="A8222" t="str">
        <f>"20190303154338302"</f>
        <v>20190303154338302</v>
      </c>
      <c r="B8222" t="str">
        <f>"1551599018298682"</f>
        <v>1551599018298682</v>
      </c>
      <c r="C8222" t="s">
        <v>40</v>
      </c>
      <c r="D8222">
        <v>5.3433970000000004</v>
      </c>
      <c r="E8222">
        <v>0.31754640000000001</v>
      </c>
      <c r="F8222" t="s">
        <v>42</v>
      </c>
      <c r="G8222">
        <v>-203.84119999999999</v>
      </c>
      <c r="H8222">
        <v>0.99521970000000004</v>
      </c>
      <c r="I8222">
        <v>-60.689210000000003</v>
      </c>
      <c r="J8222">
        <v>-204.36080000000001</v>
      </c>
      <c r="K8222">
        <v>1.125054</v>
      </c>
      <c r="L8222">
        <v>-61.35284</v>
      </c>
      <c r="M8222">
        <v>0.97992999999999997</v>
      </c>
      <c r="N8222">
        <v>-1.461807E-2</v>
      </c>
      <c r="O8222">
        <v>0.19880510000000001</v>
      </c>
      <c r="P8222">
        <v>0.91966530000000002</v>
      </c>
      <c r="Q8222">
        <v>-0.1029925</v>
      </c>
      <c r="R8222">
        <v>0.3789573</v>
      </c>
      <c r="S8222">
        <v>2.2056429999999998</v>
      </c>
      <c r="T8222">
        <v>-0.46372429999999898</v>
      </c>
      <c r="U8222">
        <v>2.4568789999999998</v>
      </c>
      <c r="V8222">
        <v>-0.18768180000000001</v>
      </c>
      <c r="W8222">
        <v>-9.0501280000000003E-2</v>
      </c>
      <c r="X8222">
        <v>0.97805169999999997</v>
      </c>
      <c r="Y8222">
        <v>-0.59177829999999998</v>
      </c>
      <c r="Z8222">
        <v>2.4740979999999999E-2</v>
      </c>
      <c r="AA8222">
        <v>0.80572100000000002</v>
      </c>
      <c r="AB8222">
        <v>20</v>
      </c>
      <c r="AC8222">
        <v>0.51960000000002504</v>
      </c>
      <c r="AD8222">
        <v>-0.12983429999999899</v>
      </c>
      <c r="AE8222">
        <v>0.66363000000000405</v>
      </c>
      <c r="AF8222">
        <v>-0.53438965383520998</v>
      </c>
      <c r="AG8222">
        <v>-0.12983429999999899</v>
      </c>
      <c r="AH8222">
        <v>0.62631132542796197</v>
      </c>
      <c r="AI8222">
        <v>98.961633195664902</v>
      </c>
      <c r="AJ8222">
        <v>130.471913537913</v>
      </c>
      <c r="AK8222">
        <v>0.83348372746079202</v>
      </c>
      <c r="AL8222">
        <v>95.192445832709396</v>
      </c>
      <c r="AM8222">
        <v>100.862642210264</v>
      </c>
      <c r="AN8222">
        <v>1.0000000338028801</v>
      </c>
    </row>
    <row r="8223" spans="1:40" x14ac:dyDescent="0.25">
      <c r="A8223" t="str">
        <f>"20190303154338315"</f>
        <v>20190303154338315</v>
      </c>
      <c r="B8223" t="str">
        <f>"1551599018308441"</f>
        <v>1551599018308441</v>
      </c>
      <c r="C8223" t="s">
        <v>40</v>
      </c>
      <c r="D8223">
        <v>5.4132629999999997</v>
      </c>
      <c r="E8223">
        <v>0.31706030000000002</v>
      </c>
      <c r="F8223" t="s">
        <v>42</v>
      </c>
      <c r="G8223">
        <v>-203.69640000000001</v>
      </c>
      <c r="H8223">
        <v>0.98500849999999995</v>
      </c>
      <c r="I8223">
        <v>-60.602980000000002</v>
      </c>
      <c r="J8223">
        <v>-204.2603</v>
      </c>
      <c r="K8223">
        <v>1.125127</v>
      </c>
      <c r="L8223">
        <v>-61.328130000000002</v>
      </c>
      <c r="M8223">
        <v>0.97916009999999998</v>
      </c>
      <c r="N8223">
        <v>-1.463207E-2</v>
      </c>
      <c r="O8223">
        <v>0.20256289999999999</v>
      </c>
      <c r="P8223">
        <v>0.91773910000000003</v>
      </c>
      <c r="Q8223">
        <v>-0.1009737</v>
      </c>
      <c r="R8223">
        <v>0.3841348</v>
      </c>
      <c r="S8223">
        <v>2.1912690000000001</v>
      </c>
      <c r="T8223">
        <v>-0.46185179999999998</v>
      </c>
      <c r="U8223">
        <v>2.4730530000000002</v>
      </c>
      <c r="V8223">
        <v>-0.18940190000000001</v>
      </c>
      <c r="W8223">
        <v>-8.8511880000000001E-2</v>
      </c>
      <c r="X8223">
        <v>0.9779021</v>
      </c>
      <c r="Y8223">
        <v>-0.59397060000000002</v>
      </c>
      <c r="Z8223">
        <v>2.438657E-2</v>
      </c>
      <c r="AA8223">
        <v>0.80411709999999903</v>
      </c>
      <c r="AB8223">
        <v>20</v>
      </c>
      <c r="AC8223">
        <v>0.56389999999998897</v>
      </c>
      <c r="AD8223">
        <v>-0.14011850000000001</v>
      </c>
      <c r="AE8223">
        <v>0.72514999999999896</v>
      </c>
      <c r="AF8223">
        <v>-0.58232747601971602</v>
      </c>
      <c r="AG8223">
        <v>-0.14011850000000001</v>
      </c>
      <c r="AH8223">
        <v>0.68321530576172196</v>
      </c>
      <c r="AI8223">
        <v>98.8713670327963</v>
      </c>
      <c r="AJ8223">
        <v>130.442075713463</v>
      </c>
      <c r="AK8223">
        <v>0.90858221278914897</v>
      </c>
      <c r="AL8223">
        <v>95.078002543150802</v>
      </c>
      <c r="AM8223">
        <v>100.961433891882</v>
      </c>
      <c r="AN8223">
        <v>0.99999997490457604</v>
      </c>
    </row>
    <row r="8224" spans="1:40" x14ac:dyDescent="0.25">
      <c r="A8224" t="str">
        <f>"20190303154338326"</f>
        <v>20190303154338326</v>
      </c>
      <c r="B8224" t="str">
        <f>"1551599018318202"</f>
        <v>1551599018318202</v>
      </c>
      <c r="C8224" t="s">
        <v>40</v>
      </c>
      <c r="D8224">
        <v>5.4402470000000003</v>
      </c>
      <c r="E8224">
        <v>0.31692429999999999</v>
      </c>
      <c r="F8224" t="s">
        <v>42</v>
      </c>
      <c r="G8224">
        <v>-203.67269999999999</v>
      </c>
      <c r="H8224">
        <v>1.001387</v>
      </c>
      <c r="I8224">
        <v>-60.656230000000001</v>
      </c>
      <c r="J8224">
        <v>-204.17140000000001</v>
      </c>
      <c r="K8224">
        <v>1.1251979999999999</v>
      </c>
      <c r="L8224">
        <v>-61.305599999999998</v>
      </c>
      <c r="M8224">
        <v>0.97844640000000005</v>
      </c>
      <c r="N8224">
        <v>-1.464445E-2</v>
      </c>
      <c r="O8224">
        <v>0.20598130000000001</v>
      </c>
      <c r="P8224">
        <v>0.91582989999999997</v>
      </c>
      <c r="Q8224">
        <v>-9.8655779999999998E-2</v>
      </c>
      <c r="R8224">
        <v>0.38925939999999998</v>
      </c>
      <c r="S8224">
        <v>2.1766200000000002</v>
      </c>
      <c r="T8224">
        <v>-0.45839049999999998</v>
      </c>
      <c r="U8224">
        <v>2.4890750000000001</v>
      </c>
      <c r="V8224">
        <v>-0.1914111</v>
      </c>
      <c r="W8224">
        <v>-8.6225940000000001E-2</v>
      </c>
      <c r="X8224">
        <v>0.97771509999999995</v>
      </c>
      <c r="Y8224">
        <v>-0.596472</v>
      </c>
      <c r="Z8224">
        <v>2.4056939999999999E-2</v>
      </c>
      <c r="AA8224">
        <v>0.80227329999999997</v>
      </c>
      <c r="AB8224">
        <v>20</v>
      </c>
      <c r="AC8224">
        <v>0.49870000000001302</v>
      </c>
      <c r="AD8224">
        <v>-0.12381099999999901</v>
      </c>
      <c r="AE8224">
        <v>0.64936999999999001</v>
      </c>
      <c r="AF8224">
        <v>-0.52079922154138303</v>
      </c>
      <c r="AG8224">
        <v>-0.12381099999999901</v>
      </c>
      <c r="AH8224">
        <v>0.60787607648288</v>
      </c>
      <c r="AI8224">
        <v>98.792476925788193</v>
      </c>
      <c r="AJ8224">
        <v>130.588392036653</v>
      </c>
      <c r="AK8224">
        <v>0.80998414628888304</v>
      </c>
      <c r="AL8224">
        <v>94.946525057089403</v>
      </c>
      <c r="AM8224">
        <v>101.076919780528</v>
      </c>
      <c r="AN8224">
        <v>0.99999996935005098</v>
      </c>
    </row>
    <row r="8225" spans="1:40" x14ac:dyDescent="0.25">
      <c r="A8225" t="str">
        <f>"20190303154338336"</f>
        <v>20190303154338336</v>
      </c>
      <c r="B8225" t="str">
        <f>"1551599018327961"</f>
        <v>1551599018327961</v>
      </c>
      <c r="C8225" t="s">
        <v>40</v>
      </c>
      <c r="D8225">
        <v>5.412871</v>
      </c>
      <c r="E8225">
        <v>0.31684440000000003</v>
      </c>
      <c r="F8225" t="s">
        <v>42</v>
      </c>
      <c r="G8225">
        <v>-203.5308</v>
      </c>
      <c r="H8225">
        <v>0.99070469999999999</v>
      </c>
      <c r="I8225">
        <v>-60.564819999999997</v>
      </c>
      <c r="J8225">
        <v>-204.0788</v>
      </c>
      <c r="K8225">
        <v>1.12527</v>
      </c>
      <c r="L8225">
        <v>-61.282040000000002</v>
      </c>
      <c r="M8225">
        <v>0.97768710000000003</v>
      </c>
      <c r="N8225">
        <v>-1.465703E-2</v>
      </c>
      <c r="O8225">
        <v>0.20955470000000001</v>
      </c>
      <c r="P8225">
        <v>0.91386650000000003</v>
      </c>
      <c r="Q8225">
        <v>-9.6500310000000006E-2</v>
      </c>
      <c r="R8225">
        <v>0.39438050000000002</v>
      </c>
      <c r="S8225">
        <v>2.1633300000000002</v>
      </c>
      <c r="T8225">
        <v>-0.4542196</v>
      </c>
      <c r="U8225">
        <v>2.502075</v>
      </c>
      <c r="V8225">
        <v>-0.1932721</v>
      </c>
      <c r="W8225">
        <v>-8.4102330000000003E-2</v>
      </c>
      <c r="X8225">
        <v>0.97753400000000001</v>
      </c>
      <c r="Y8225">
        <v>-0.59812580000000004</v>
      </c>
      <c r="Z8225">
        <v>2.360547E-2</v>
      </c>
      <c r="AA8225">
        <v>0.80105459999999995</v>
      </c>
      <c r="AB8225">
        <v>20</v>
      </c>
      <c r="AC8225">
        <v>0.54800000000000104</v>
      </c>
      <c r="AD8225">
        <v>-0.1345653</v>
      </c>
      <c r="AE8225">
        <v>0.71722000000000397</v>
      </c>
      <c r="AF8225">
        <v>-0.573692770892687</v>
      </c>
      <c r="AG8225">
        <v>-0.1345653</v>
      </c>
      <c r="AH8225">
        <v>0.67122431471201904</v>
      </c>
      <c r="AI8225">
        <v>98.665083428380996</v>
      </c>
      <c r="AJ8225">
        <v>130.52038048977701</v>
      </c>
      <c r="AK8225">
        <v>0.89318155825075096</v>
      </c>
      <c r="AL8225">
        <v>94.824407263214496</v>
      </c>
      <c r="AM8225">
        <v>101.18393352583399</v>
      </c>
      <c r="AN8225">
        <v>1.0000000138529099</v>
      </c>
    </row>
    <row r="8226" spans="1:40" x14ac:dyDescent="0.25">
      <c r="A8226" t="str">
        <f>"20190303154338353"</f>
        <v>20190303154338353</v>
      </c>
      <c r="B8226" t="str">
        <f>"1551599018348262"</f>
        <v>1551599018348262</v>
      </c>
      <c r="C8226" t="s">
        <v>40</v>
      </c>
      <c r="D8226">
        <v>5.4683210000000004</v>
      </c>
      <c r="E8226">
        <v>0.31708059999999899</v>
      </c>
      <c r="F8226" t="s">
        <v>58</v>
      </c>
      <c r="G8226">
        <v>-198.6951</v>
      </c>
      <c r="H8226" s="1">
        <v>-9.0401410000000006E-6</v>
      </c>
      <c r="I8226">
        <v>-54.984200000000001</v>
      </c>
      <c r="J8226">
        <v>-203.94329999999999</v>
      </c>
      <c r="K8226">
        <v>1.1253799999999901</v>
      </c>
      <c r="L8226">
        <v>-61.246490000000001</v>
      </c>
      <c r="M8226">
        <v>0.976518</v>
      </c>
      <c r="N8226">
        <v>-1.4676099999999999E-2</v>
      </c>
      <c r="O8226">
        <v>0.2149354</v>
      </c>
      <c r="P8226">
        <v>0.91150240000000005</v>
      </c>
      <c r="Q8226">
        <v>-9.3660149999999998E-2</v>
      </c>
      <c r="R8226">
        <v>0.40048899999999998</v>
      </c>
      <c r="S8226">
        <v>2.1499480000000002</v>
      </c>
      <c r="T8226">
        <v>-0.44938040000000001</v>
      </c>
      <c r="U8226">
        <v>2.5150450000000002</v>
      </c>
      <c r="V8226">
        <v>-0.19438030000000001</v>
      </c>
      <c r="W8226">
        <v>-8.1290420000000002E-2</v>
      </c>
      <c r="X8226">
        <v>0.97755210000000003</v>
      </c>
      <c r="Y8226">
        <v>-0.59834690000000001</v>
      </c>
      <c r="Z8226">
        <v>2.2757289999999999E-2</v>
      </c>
      <c r="AA8226">
        <v>0.80091389999999996</v>
      </c>
      <c r="AB8226">
        <v>20</v>
      </c>
      <c r="AC8226">
        <v>5.24819999999999</v>
      </c>
      <c r="AD8226">
        <v>-1.1253890401409901</v>
      </c>
      <c r="AE8226">
        <v>6.2622900000000001</v>
      </c>
      <c r="AF8226">
        <v>-4.8948911795262902</v>
      </c>
      <c r="AG8226">
        <v>-1.1253890401409901</v>
      </c>
      <c r="AH8226">
        <v>6.35115878756935</v>
      </c>
      <c r="AI8226">
        <v>97.989174150265896</v>
      </c>
      <c r="AJ8226">
        <v>127.621741797917</v>
      </c>
      <c r="AK8226">
        <v>8.0971401183376592</v>
      </c>
      <c r="AL8226">
        <v>94.662743102077798</v>
      </c>
      <c r="AM8226">
        <v>101.246227942594</v>
      </c>
      <c r="AN8226">
        <v>0.99999997081313696</v>
      </c>
    </row>
    <row r="8227" spans="1:40" x14ac:dyDescent="0.25">
      <c r="A8227" t="str">
        <f>"20190303154338365"</f>
        <v>20190303154338365</v>
      </c>
      <c r="B8227" t="str">
        <f>"1551599018358022"</f>
        <v>1551599018358022</v>
      </c>
      <c r="C8227" t="s">
        <v>40</v>
      </c>
      <c r="D8227">
        <v>5.4950700000000001</v>
      </c>
      <c r="E8227">
        <v>0.31719249999999999</v>
      </c>
      <c r="F8227" t="s">
        <v>42</v>
      </c>
      <c r="G8227">
        <v>-203.35480000000001</v>
      </c>
      <c r="H8227">
        <v>1.002737</v>
      </c>
      <c r="I8227">
        <v>-60.549770000000002</v>
      </c>
      <c r="J8227">
        <v>-203.84139999999999</v>
      </c>
      <c r="K8227">
        <v>1.125459</v>
      </c>
      <c r="L8227">
        <v>-61.219059999999999</v>
      </c>
      <c r="M8227">
        <v>0.97559910000000005</v>
      </c>
      <c r="N8227">
        <v>-1.4690949999999999E-2</v>
      </c>
      <c r="O8227">
        <v>0.21906780000000001</v>
      </c>
      <c r="P8227">
        <v>0.9098387</v>
      </c>
      <c r="Q8227">
        <v>-9.0766849999999996E-2</v>
      </c>
      <c r="R8227">
        <v>0.40491339999999998</v>
      </c>
      <c r="S8227">
        <v>2.134979</v>
      </c>
      <c r="T8227">
        <v>-0.44493880000000002</v>
      </c>
      <c r="U8227">
        <v>2.5275880000000002</v>
      </c>
      <c r="V8227">
        <v>-0.19494500000000001</v>
      </c>
      <c r="W8227">
        <v>-7.8413570000000002E-2</v>
      </c>
      <c r="X8227">
        <v>0.97767470000000001</v>
      </c>
      <c r="Y8227">
        <v>-0.59977230000000004</v>
      </c>
      <c r="Z8227">
        <v>2.2224540000000001E-2</v>
      </c>
      <c r="AA8227">
        <v>0.79986210000000002</v>
      </c>
      <c r="AB8227">
        <v>20</v>
      </c>
      <c r="AC8227">
        <v>0.48659999999998099</v>
      </c>
      <c r="AD8227">
        <v>-0.122722</v>
      </c>
      <c r="AE8227">
        <v>0.66929000000000305</v>
      </c>
      <c r="AF8227">
        <v>-0.534659366273881</v>
      </c>
      <c r="AG8227">
        <v>-0.122722</v>
      </c>
      <c r="AH8227">
        <v>0.60803952891081203</v>
      </c>
      <c r="AI8227">
        <v>98.618695621972606</v>
      </c>
      <c r="AJ8227">
        <v>131.32570871142701</v>
      </c>
      <c r="AK8227">
        <v>0.81892209394207305</v>
      </c>
      <c r="AL8227">
        <v>94.497383371635394</v>
      </c>
      <c r="AM8227">
        <v>101.27668542450699</v>
      </c>
      <c r="AN8227">
        <v>1.00000003000261</v>
      </c>
    </row>
    <row r="8228" spans="1:40" x14ac:dyDescent="0.25">
      <c r="A8228" t="str">
        <f>"20190303154338377"</f>
        <v>20190303154338377</v>
      </c>
      <c r="B8228" t="str">
        <f>"1551599018367783"</f>
        <v>1551599018367783</v>
      </c>
      <c r="C8228" t="s">
        <v>40</v>
      </c>
      <c r="D8228">
        <v>5.4527210000000004</v>
      </c>
      <c r="E8228">
        <v>0.31725999999999999</v>
      </c>
      <c r="F8228" t="s">
        <v>42</v>
      </c>
      <c r="G8228">
        <v>-203.21080000000001</v>
      </c>
      <c r="H8228">
        <v>0.99481240000000004</v>
      </c>
      <c r="I8228">
        <v>-60.466030000000003</v>
      </c>
      <c r="J8228">
        <v>-203.7433</v>
      </c>
      <c r="K8228">
        <v>1.125534</v>
      </c>
      <c r="L8228">
        <v>-61.192410000000002</v>
      </c>
      <c r="M8228">
        <v>0.97468900000000003</v>
      </c>
      <c r="N8228">
        <v>-1.470517E-2</v>
      </c>
      <c r="O8228">
        <v>0.22308140000000001</v>
      </c>
      <c r="P8228">
        <v>0.90837939999999995</v>
      </c>
      <c r="Q8228">
        <v>-8.8518990000000006E-2</v>
      </c>
      <c r="R8228">
        <v>0.40867019999999998</v>
      </c>
      <c r="S8228">
        <v>2.1243289999999999</v>
      </c>
      <c r="T8228">
        <v>-0.4401487</v>
      </c>
      <c r="U8228">
        <v>2.537048</v>
      </c>
      <c r="V8228">
        <v>-0.1949244</v>
      </c>
      <c r="W8228">
        <v>-7.6174980000000003E-2</v>
      </c>
      <c r="X8228">
        <v>0.97785569999999999</v>
      </c>
      <c r="Y8228">
        <v>-0.6000316</v>
      </c>
      <c r="Z8228">
        <v>2.1585750000000001E-2</v>
      </c>
      <c r="AA8228">
        <v>0.79968509999999904</v>
      </c>
      <c r="AB8228">
        <v>19</v>
      </c>
      <c r="AC8228">
        <v>0.53249999999999797</v>
      </c>
      <c r="AD8228">
        <v>-0.13072159999999999</v>
      </c>
      <c r="AE8228">
        <v>0.72637999999999103</v>
      </c>
      <c r="AF8228">
        <v>-0.57711019487939996</v>
      </c>
      <c r="AG8228">
        <v>-0.13072159999999999</v>
      </c>
      <c r="AH8228">
        <v>0.667084754549642</v>
      </c>
      <c r="AI8228">
        <v>98.429744006112301</v>
      </c>
      <c r="AJ8228">
        <v>130.86382803666299</v>
      </c>
      <c r="AK8228">
        <v>0.89170980901460095</v>
      </c>
      <c r="AL8228">
        <v>94.368737027633401</v>
      </c>
      <c r="AM8228">
        <v>101.273490707066</v>
      </c>
      <c r="AN8228">
        <v>0.99999995965792399</v>
      </c>
    </row>
    <row r="8229" spans="1:40" x14ac:dyDescent="0.25">
      <c r="A8229" t="str">
        <f>"20190303154338391"</f>
        <v>20190303154338391</v>
      </c>
      <c r="B8229" t="str">
        <f>"1551599018388278"</f>
        <v>1551599018388278</v>
      </c>
      <c r="C8229" t="s">
        <v>40</v>
      </c>
      <c r="D8229">
        <v>5.4692059999999998</v>
      </c>
      <c r="E8229">
        <v>0.31769589999999998</v>
      </c>
      <c r="F8229" t="s">
        <v>58</v>
      </c>
      <c r="G8229">
        <v>-198.28720000000001</v>
      </c>
      <c r="H8229" s="1">
        <v>-9.1199140000000005E-6</v>
      </c>
      <c r="I8229">
        <v>-54.626190000000001</v>
      </c>
      <c r="J8229">
        <v>-203.62139999999999</v>
      </c>
      <c r="K8229">
        <v>1.125632</v>
      </c>
      <c r="L8229">
        <v>-61.158259999999999</v>
      </c>
      <c r="M8229">
        <v>0.97350570000000003</v>
      </c>
      <c r="N8229">
        <v>-1.472352E-2</v>
      </c>
      <c r="O8229">
        <v>0.22818840000000001</v>
      </c>
      <c r="P8229">
        <v>0.90673119999999996</v>
      </c>
      <c r="Q8229">
        <v>-8.5584289999999993E-2</v>
      </c>
      <c r="R8229">
        <v>0.4129331</v>
      </c>
      <c r="S8229">
        <v>2.1149749999999998</v>
      </c>
      <c r="T8229">
        <v>-0.43629859999999998</v>
      </c>
      <c r="U8229">
        <v>2.5452880000000002</v>
      </c>
      <c r="V8229">
        <v>-0.19434660000000001</v>
      </c>
      <c r="W8229">
        <v>-7.3243359999999993E-2</v>
      </c>
      <c r="X8229">
        <v>0.97819469999999997</v>
      </c>
      <c r="Y8229">
        <v>-0.59896590000000005</v>
      </c>
      <c r="Z8229">
        <v>2.071686E-2</v>
      </c>
      <c r="AA8229">
        <v>0.80050650000000001</v>
      </c>
      <c r="AB8229">
        <v>19</v>
      </c>
      <c r="AC8229">
        <v>5.3341999999999796</v>
      </c>
      <c r="AD8229">
        <v>-1.125641119914</v>
      </c>
      <c r="AE8229">
        <v>6.5320699999999903</v>
      </c>
      <c r="AF8229">
        <v>-5.0523518214960896</v>
      </c>
      <c r="AG8229">
        <v>-1.125641119914</v>
      </c>
      <c r="AH8229">
        <v>6.5671439875968503</v>
      </c>
      <c r="AI8229">
        <v>97.736422116720803</v>
      </c>
      <c r="AJ8229">
        <v>127.572442965481</v>
      </c>
      <c r="AK8229">
        <v>8.3618602603036596</v>
      </c>
      <c r="AL8229">
        <v>94.200296477326901</v>
      </c>
      <c r="AM8229">
        <v>101.23712920265299</v>
      </c>
      <c r="AN8229">
        <v>1.00000003091186</v>
      </c>
    </row>
    <row r="8230" spans="1:40" x14ac:dyDescent="0.25">
      <c r="A8230" t="str">
        <f>"20190303154338402"</f>
        <v>20190303154338402</v>
      </c>
      <c r="B8230" t="str">
        <f>"1551599018398038"</f>
        <v>1551599018398038</v>
      </c>
      <c r="C8230" t="s">
        <v>40</v>
      </c>
      <c r="D8230">
        <v>5.4859910000000003</v>
      </c>
      <c r="E8230">
        <v>0.31772640000000002</v>
      </c>
      <c r="F8230" t="s">
        <v>42</v>
      </c>
      <c r="G8230">
        <v>-203.036</v>
      </c>
      <c r="H8230">
        <v>1.0049969999999999</v>
      </c>
      <c r="I8230">
        <v>-60.448880000000003</v>
      </c>
      <c r="J8230">
        <v>-203.52879999999999</v>
      </c>
      <c r="K8230">
        <v>1.1256900000000001</v>
      </c>
      <c r="L8230">
        <v>-61.131839999999997</v>
      </c>
      <c r="M8230">
        <v>0.97257340000000003</v>
      </c>
      <c r="N8230">
        <v>-1.473732E-2</v>
      </c>
      <c r="O8230">
        <v>0.2321288</v>
      </c>
      <c r="P8230">
        <v>0.90502289999999996</v>
      </c>
      <c r="Q8230">
        <v>-8.4254499999999996E-2</v>
      </c>
      <c r="R8230">
        <v>0.416935</v>
      </c>
      <c r="S8230">
        <v>2.105591</v>
      </c>
      <c r="T8230">
        <v>-0.43389620000000001</v>
      </c>
      <c r="U8230">
        <v>2.551666</v>
      </c>
      <c r="V8230">
        <v>-0.19468289999999999</v>
      </c>
      <c r="W8230">
        <v>-7.1926450000000003E-2</v>
      </c>
      <c r="X8230">
        <v>0.97822549999999997</v>
      </c>
      <c r="Y8230">
        <v>-0.59852839999999996</v>
      </c>
      <c r="Z8230">
        <v>2.0113700000000002E-2</v>
      </c>
      <c r="AA8230">
        <v>0.80084909999999998</v>
      </c>
      <c r="AB8230">
        <v>19</v>
      </c>
      <c r="AC8230">
        <v>0.492800000000016</v>
      </c>
      <c r="AD8230">
        <v>-0.120692999999999</v>
      </c>
      <c r="AE8230">
        <v>0.68296000000000101</v>
      </c>
      <c r="AF8230">
        <v>-0.53882929773949795</v>
      </c>
      <c r="AG8230">
        <v>-0.120692999999999</v>
      </c>
      <c r="AH8230">
        <v>0.62505129039374097</v>
      </c>
      <c r="AI8230">
        <v>98.320601291361001</v>
      </c>
      <c r="AJ8230">
        <v>130.76318337732499</v>
      </c>
      <c r="AK8230">
        <v>0.83402213877949405</v>
      </c>
      <c r="AL8230">
        <v>94.1246437147324</v>
      </c>
      <c r="AM8230">
        <v>101.255732672742</v>
      </c>
      <c r="AN8230">
        <v>0.99999998730613104</v>
      </c>
    </row>
    <row r="8231" spans="1:40" x14ac:dyDescent="0.25">
      <c r="A8231" t="str">
        <f>"20190303154338414"</f>
        <v>20190303154338414</v>
      </c>
      <c r="B8231" t="str">
        <f>"1551599018407799"</f>
        <v>1551599018407799</v>
      </c>
      <c r="C8231" t="s">
        <v>40</v>
      </c>
      <c r="D8231">
        <v>5.5269459999999997</v>
      </c>
      <c r="E8231">
        <v>0.317976599999999</v>
      </c>
      <c r="F8231" t="s">
        <v>42</v>
      </c>
      <c r="G8231">
        <v>-202.8963</v>
      </c>
      <c r="H8231">
        <v>0.99509910000000001</v>
      </c>
      <c r="I8231">
        <v>-60.358899999999998</v>
      </c>
      <c r="J8231">
        <v>-203.4341</v>
      </c>
      <c r="K8231">
        <v>1.1257429999999999</v>
      </c>
      <c r="L8231">
        <v>-61.104489999999998</v>
      </c>
      <c r="M8231">
        <v>0.97159439999999997</v>
      </c>
      <c r="N8231">
        <v>-1.4751190000000001E-2</v>
      </c>
      <c r="O8231">
        <v>0.2361925</v>
      </c>
      <c r="P8231">
        <v>0.90304879999999998</v>
      </c>
      <c r="Q8231">
        <v>-8.369683E-2</v>
      </c>
      <c r="R8231">
        <v>0.42130489999999998</v>
      </c>
      <c r="S8231">
        <v>2.094986</v>
      </c>
      <c r="T8231">
        <v>-0.4325658</v>
      </c>
      <c r="U8231">
        <v>2.560486</v>
      </c>
      <c r="V8231">
        <v>-0.19530710000000001</v>
      </c>
      <c r="W8231">
        <v>-7.1386530000000004E-2</v>
      </c>
      <c r="X8231">
        <v>0.97814069999999997</v>
      </c>
      <c r="Y8231">
        <v>-0.59857050000000001</v>
      </c>
      <c r="Z8231">
        <v>1.95713E-2</v>
      </c>
      <c r="AA8231">
        <v>0.80083099999999996</v>
      </c>
      <c r="AB8231">
        <v>19</v>
      </c>
      <c r="AC8231">
        <v>0.53780000000000405</v>
      </c>
      <c r="AD8231">
        <v>-0.13064389999999901</v>
      </c>
      <c r="AE8231">
        <v>0.74559000000000697</v>
      </c>
      <c r="AF8231">
        <v>-0.58562475350494803</v>
      </c>
      <c r="AG8231">
        <v>-0.13064389999999901</v>
      </c>
      <c r="AH8231">
        <v>0.68487093437273905</v>
      </c>
      <c r="AI8231">
        <v>98.249298815801694</v>
      </c>
      <c r="AJ8231">
        <v>130.533347210253</v>
      </c>
      <c r="AK8231">
        <v>0.91053411647973403</v>
      </c>
      <c r="AL8231">
        <v>94.093628532438998</v>
      </c>
      <c r="AM8231">
        <v>101.29184930639499</v>
      </c>
      <c r="AN8231">
        <v>1.00000006448616</v>
      </c>
    </row>
    <row r="8232" spans="1:40" x14ac:dyDescent="0.25">
      <c r="A8232" t="str">
        <f>"20190303154338426"</f>
        <v>20190303154338426</v>
      </c>
      <c r="B8232" t="str">
        <f>"1551599018418534"</f>
        <v>1551599018418534</v>
      </c>
      <c r="C8232" t="s">
        <v>40</v>
      </c>
      <c r="D8232">
        <v>5.4971489999999896</v>
      </c>
      <c r="E8232">
        <v>0.31808900000000001</v>
      </c>
      <c r="F8232" t="s">
        <v>42</v>
      </c>
      <c r="G8232">
        <v>-202.87119999999999</v>
      </c>
      <c r="H8232">
        <v>1.008721</v>
      </c>
      <c r="I8232">
        <v>-60.410690000000002</v>
      </c>
      <c r="J8232">
        <v>-203.34710000000001</v>
      </c>
      <c r="K8232">
        <v>1.1257889999999999</v>
      </c>
      <c r="L8232">
        <v>-61.07864</v>
      </c>
      <c r="M8232">
        <v>0.97065959999999996</v>
      </c>
      <c r="N8232">
        <v>-1.476358E-2</v>
      </c>
      <c r="O8232">
        <v>0.24000450000000001</v>
      </c>
      <c r="P8232">
        <v>0.90093590000000001</v>
      </c>
      <c r="Q8232">
        <v>-8.3011970000000004E-2</v>
      </c>
      <c r="R8232">
        <v>0.42593839999999999</v>
      </c>
      <c r="S8232">
        <v>2.0835720000000002</v>
      </c>
      <c r="T8232">
        <v>-0.43320829999999999</v>
      </c>
      <c r="U8232">
        <v>2.5686339999999999</v>
      </c>
      <c r="V8232">
        <v>-0.19647580000000001</v>
      </c>
      <c r="W8232">
        <v>-7.0724789999999996E-2</v>
      </c>
      <c r="X8232">
        <v>0.97795460000000001</v>
      </c>
      <c r="Y8232">
        <v>-0.59882880000000005</v>
      </c>
      <c r="Z8232">
        <v>1.9136130000000001E-2</v>
      </c>
      <c r="AA8232">
        <v>0.80064849999999999</v>
      </c>
      <c r="AB8232">
        <v>19</v>
      </c>
      <c r="AC8232">
        <v>0.47590000000002403</v>
      </c>
      <c r="AD8232">
        <v>-0.11706799999999901</v>
      </c>
      <c r="AE8232">
        <v>0.66794999999999705</v>
      </c>
      <c r="AF8232">
        <v>-0.52352534545241003</v>
      </c>
      <c r="AG8232">
        <v>-0.11706799999999901</v>
      </c>
      <c r="AH8232">
        <v>0.60988925884142997</v>
      </c>
      <c r="AI8232">
        <v>98.286798323077093</v>
      </c>
      <c r="AJ8232">
        <v>130.64259703458001</v>
      </c>
      <c r="AK8232">
        <v>0.81224910711259901</v>
      </c>
      <c r="AL8232">
        <v>94.055617939511393</v>
      </c>
      <c r="AM8232">
        <v>101.35977262004999</v>
      </c>
      <c r="AN8232">
        <v>0.99999996778367095</v>
      </c>
    </row>
    <row r="8233" spans="1:40" x14ac:dyDescent="0.25">
      <c r="A8233" t="str">
        <f>"20190303154338437"</f>
        <v>20190303154338437</v>
      </c>
      <c r="B8233" t="str">
        <f>"1551599018428294"</f>
        <v>1551599018428294</v>
      </c>
      <c r="C8233" t="s">
        <v>40</v>
      </c>
      <c r="D8233">
        <v>5.5399059999999896</v>
      </c>
      <c r="E8233">
        <v>0.31824950000000002</v>
      </c>
      <c r="F8233" t="s">
        <v>42</v>
      </c>
      <c r="G8233">
        <v>-202.73439999999999</v>
      </c>
      <c r="H8233">
        <v>0.99772320000000003</v>
      </c>
      <c r="I8233">
        <v>-60.315930000000002</v>
      </c>
      <c r="J8233">
        <v>-203.2561</v>
      </c>
      <c r="K8233">
        <v>1.1258360000000001</v>
      </c>
      <c r="L8233">
        <v>-61.051450000000003</v>
      </c>
      <c r="M8233">
        <v>0.96966079999999999</v>
      </c>
      <c r="N8233">
        <v>-1.477617E-2</v>
      </c>
      <c r="O8233">
        <v>0.24400740000000001</v>
      </c>
      <c r="P8233">
        <v>0.89858369999999999</v>
      </c>
      <c r="Q8233">
        <v>-8.3223690000000003E-2</v>
      </c>
      <c r="R8233">
        <v>0.4308379</v>
      </c>
      <c r="S8233">
        <v>2.0710299999999999</v>
      </c>
      <c r="T8233">
        <v>-0.4328747</v>
      </c>
      <c r="U8233">
        <v>2.5783999999999998</v>
      </c>
      <c r="V8233">
        <v>-0.19775880000000001</v>
      </c>
      <c r="W8233">
        <v>-7.0963010000000007E-2</v>
      </c>
      <c r="X8233">
        <v>0.97767870000000001</v>
      </c>
      <c r="Y8233">
        <v>-0.5994003</v>
      </c>
      <c r="Z8233">
        <v>1.867978E-2</v>
      </c>
      <c r="AA8233">
        <v>0.80023140000000004</v>
      </c>
      <c r="AB8233">
        <v>19</v>
      </c>
      <c r="AC8233">
        <v>0.52170000000000905</v>
      </c>
      <c r="AD8233">
        <v>-0.1281128</v>
      </c>
      <c r="AE8233">
        <v>0.73552000000000095</v>
      </c>
      <c r="AF8233">
        <v>-0.57437695497089802</v>
      </c>
      <c r="AG8233">
        <v>-0.1281128</v>
      </c>
      <c r="AH8233">
        <v>0.67185835135819805</v>
      </c>
      <c r="AI8233">
        <v>98.246920059859605</v>
      </c>
      <c r="AJ8233">
        <v>130.52739111170601</v>
      </c>
      <c r="AK8233">
        <v>0.89314915899598601</v>
      </c>
      <c r="AL8233">
        <v>94.069301328114307</v>
      </c>
      <c r="AM8233">
        <v>101.43514672766</v>
      </c>
      <c r="AN8233">
        <v>0.99999996609969399</v>
      </c>
    </row>
    <row r="8234" spans="1:40" x14ac:dyDescent="0.25">
      <c r="A8234" t="str">
        <f>"20190303154338448"</f>
        <v>20190303154338448</v>
      </c>
      <c r="B8234" t="str">
        <f>"1551599018438059"</f>
        <v>1551599018438059</v>
      </c>
      <c r="C8234" t="s">
        <v>40</v>
      </c>
      <c r="D8234">
        <v>5.5494729999999999</v>
      </c>
      <c r="E8234">
        <v>0.31860129999999998</v>
      </c>
      <c r="F8234" t="s">
        <v>58</v>
      </c>
      <c r="G8234">
        <v>-197.92590000000001</v>
      </c>
      <c r="H8234" s="1">
        <v>-9.1780879999999999E-6</v>
      </c>
      <c r="I8234">
        <v>-54.344700000000003</v>
      </c>
      <c r="J8234">
        <v>-203.15889999999999</v>
      </c>
      <c r="K8234">
        <v>1.125882</v>
      </c>
      <c r="L8234">
        <v>-61.02158</v>
      </c>
      <c r="M8234">
        <v>0.96855020000000003</v>
      </c>
      <c r="N8234">
        <v>-1.4789439999999999E-2</v>
      </c>
      <c r="O8234">
        <v>0.24837819999999999</v>
      </c>
      <c r="P8234">
        <v>0.89585949999999903</v>
      </c>
      <c r="Q8234">
        <v>-8.3733180000000004E-2</v>
      </c>
      <c r="R8234">
        <v>0.4363765</v>
      </c>
      <c r="S8234">
        <v>2.0572360000000001</v>
      </c>
      <c r="T8234">
        <v>-0.43452980000000002</v>
      </c>
      <c r="U8234">
        <v>2.5885310000000001</v>
      </c>
      <c r="V8234">
        <v>-0.19938159999999999</v>
      </c>
      <c r="W8234">
        <v>-7.1503269999999994E-2</v>
      </c>
      <c r="X8234">
        <v>0.97730969999999995</v>
      </c>
      <c r="Y8234">
        <v>-0.59992880000000004</v>
      </c>
      <c r="Z8234">
        <v>1.8218040000000001E-2</v>
      </c>
      <c r="AA8234">
        <v>0.7998459</v>
      </c>
      <c r="AB8234">
        <v>19</v>
      </c>
      <c r="AC8234">
        <v>5.2329999999999703</v>
      </c>
      <c r="AD8234">
        <v>-1.1258911780879901</v>
      </c>
      <c r="AE8234">
        <v>6.6768799999999997</v>
      </c>
      <c r="AF8234">
        <v>-5.0782446979818499</v>
      </c>
      <c r="AG8234">
        <v>-1.1258911780879901</v>
      </c>
      <c r="AH8234">
        <v>6.6110991019593204</v>
      </c>
      <c r="AI8234">
        <v>97.691688596958699</v>
      </c>
      <c r="AJ8234">
        <v>127.529280674563</v>
      </c>
      <c r="AK8234">
        <v>8.4120646391599099</v>
      </c>
      <c r="AL8234">
        <v>94.100334663686198</v>
      </c>
      <c r="AM8234">
        <v>101.530716931462</v>
      </c>
      <c r="AN8234">
        <v>0.99999999487667102</v>
      </c>
    </row>
    <row r="8235" spans="1:40" x14ac:dyDescent="0.25">
      <c r="A8235" t="str">
        <f>"20190303154338460"</f>
        <v>20190303154338460</v>
      </c>
      <c r="B8235" t="str">
        <f>"1551599018447819"</f>
        <v>1551599018447819</v>
      </c>
      <c r="C8235" t="s">
        <v>40</v>
      </c>
      <c r="D8235">
        <v>5.5376289999999999</v>
      </c>
      <c r="E8235">
        <v>0.31882260000000001</v>
      </c>
      <c r="F8235" t="s">
        <v>42</v>
      </c>
      <c r="G8235">
        <v>-202.57169999999999</v>
      </c>
      <c r="H8235">
        <v>1.0003379999999999</v>
      </c>
      <c r="I8235">
        <v>-60.274659999999997</v>
      </c>
      <c r="J8235">
        <v>-203.06720000000001</v>
      </c>
      <c r="K8235">
        <v>1.1259159999999999</v>
      </c>
      <c r="L8235">
        <v>-60.993099999999998</v>
      </c>
      <c r="M8235">
        <v>0.96747740000000004</v>
      </c>
      <c r="N8235">
        <v>-1.48016E-2</v>
      </c>
      <c r="O8235">
        <v>0.25252390000000002</v>
      </c>
      <c r="P8235">
        <v>0.89328249999999998</v>
      </c>
      <c r="Q8235">
        <v>-8.4404590000000002E-2</v>
      </c>
      <c r="R8235">
        <v>0.4415</v>
      </c>
      <c r="S8235">
        <v>2.0422060000000002</v>
      </c>
      <c r="T8235">
        <v>-0.43672909999999998</v>
      </c>
      <c r="U8235">
        <v>2.5984799999999999</v>
      </c>
      <c r="V8235">
        <v>-0.2007931</v>
      </c>
      <c r="W8235">
        <v>-7.2201779999999993E-2</v>
      </c>
      <c r="X8235">
        <v>0.97696930000000004</v>
      </c>
      <c r="Y8235">
        <v>-0.60083209999999998</v>
      </c>
      <c r="Z8235">
        <v>1.783005E-2</v>
      </c>
      <c r="AA8235">
        <v>0.79917629999999995</v>
      </c>
      <c r="AB8235">
        <v>19</v>
      </c>
      <c r="AC8235">
        <v>0.49550000000002098</v>
      </c>
      <c r="AD8235">
        <v>-0.125577999999999</v>
      </c>
      <c r="AE8235">
        <v>0.71844000000000097</v>
      </c>
      <c r="AF8235">
        <v>-0.55844914044006</v>
      </c>
      <c r="AG8235">
        <v>-0.125577999999999</v>
      </c>
      <c r="AH8235">
        <v>0.647475341300356</v>
      </c>
      <c r="AI8235">
        <v>98.355203439859494</v>
      </c>
      <c r="AJ8235">
        <v>130.77785395451599</v>
      </c>
      <c r="AK8235">
        <v>0.86421038765699598</v>
      </c>
      <c r="AL8235">
        <v>94.140460075009202</v>
      </c>
      <c r="AM8235">
        <v>101.614073922565</v>
      </c>
      <c r="AN8235">
        <v>0.99999998959263403</v>
      </c>
    </row>
    <row r="8236" spans="1:40" x14ac:dyDescent="0.25">
      <c r="A8236" t="str">
        <f>"20190303154338471"</f>
        <v>20190303154338471</v>
      </c>
      <c r="B8236" t="str">
        <f>"1551599018468316"</f>
        <v>1551599018468316</v>
      </c>
      <c r="C8236" t="s">
        <v>40</v>
      </c>
      <c r="D8236">
        <v>5.5786280000000001</v>
      </c>
      <c r="E8236">
        <v>0.31946160000000001</v>
      </c>
      <c r="F8236" t="s">
        <v>58</v>
      </c>
      <c r="G8236">
        <v>-197.87649999999999</v>
      </c>
      <c r="H8236" s="1">
        <v>-9.1826450000000006E-6</v>
      </c>
      <c r="I8236">
        <v>-54.315860000000001</v>
      </c>
      <c r="J8236">
        <v>-202.9734</v>
      </c>
      <c r="K8236">
        <v>1.1259440000000001</v>
      </c>
      <c r="L8236">
        <v>-60.963349999999998</v>
      </c>
      <c r="M8236">
        <v>0.96634419999999999</v>
      </c>
      <c r="N8236">
        <v>-1.481379E-2</v>
      </c>
      <c r="O8236">
        <v>0.25682549999999998</v>
      </c>
      <c r="P8236">
        <v>0.89045929999999995</v>
      </c>
      <c r="Q8236">
        <v>-8.5440520000000006E-2</v>
      </c>
      <c r="R8236">
        <v>0.44696989999999998</v>
      </c>
      <c r="S8236">
        <v>2.027679</v>
      </c>
      <c r="T8236">
        <v>-0.43982169999999998</v>
      </c>
      <c r="U8236">
        <v>2.6083370000000001</v>
      </c>
      <c r="V8236">
        <v>-0.20244390000000001</v>
      </c>
      <c r="W8236">
        <v>-7.3267360000000004E-2</v>
      </c>
      <c r="X8236">
        <v>0.97654920000000001</v>
      </c>
      <c r="Y8236">
        <v>-0.60148780000000002</v>
      </c>
      <c r="Z8236">
        <v>1.7407499999999999E-2</v>
      </c>
      <c r="AA8236">
        <v>0.79869230000000002</v>
      </c>
      <c r="AB8236">
        <v>19</v>
      </c>
      <c r="AC8236">
        <v>5.0968999999999998</v>
      </c>
      <c r="AD8236">
        <v>-1.125953182645</v>
      </c>
      <c r="AE8236">
        <v>6.6474899999999897</v>
      </c>
      <c r="AF8236">
        <v>-5.0245290373027096</v>
      </c>
      <c r="AG8236">
        <v>-1.125953182645</v>
      </c>
      <c r="AH8236">
        <v>6.5156103518733204</v>
      </c>
      <c r="AI8236">
        <v>97.792241711354905</v>
      </c>
      <c r="AJ8236">
        <v>127.637701917147</v>
      </c>
      <c r="AK8236">
        <v>8.3046276782072095</v>
      </c>
      <c r="AL8236">
        <v>94.201675455461697</v>
      </c>
      <c r="AM8236">
        <v>101.711829780687</v>
      </c>
      <c r="AN8236">
        <v>0.99999998935460899</v>
      </c>
    </row>
    <row r="8237" spans="1:40" x14ac:dyDescent="0.25">
      <c r="A8237" t="str">
        <f>"20190303154338483"</f>
        <v>20190303154338483</v>
      </c>
      <c r="B8237" t="str">
        <f>"1551599018478075"</f>
        <v>1551599018478075</v>
      </c>
      <c r="C8237" t="s">
        <v>40</v>
      </c>
      <c r="D8237">
        <v>5.5484859999999996</v>
      </c>
      <c r="E8237">
        <v>0.31971280000000002</v>
      </c>
      <c r="F8237" t="s">
        <v>42</v>
      </c>
      <c r="G8237">
        <v>-202.4101</v>
      </c>
      <c r="H8237">
        <v>1.0014110000000001</v>
      </c>
      <c r="I8237">
        <v>-60.231610000000003</v>
      </c>
      <c r="J8237">
        <v>-202.8749</v>
      </c>
      <c r="K8237">
        <v>1.125966</v>
      </c>
      <c r="L8237">
        <v>-60.931550000000001</v>
      </c>
      <c r="M8237">
        <v>0.96511990000000003</v>
      </c>
      <c r="N8237">
        <v>-1.482608E-2</v>
      </c>
      <c r="O8237">
        <v>0.26138820000000001</v>
      </c>
      <c r="P8237">
        <v>0.88728859999999998</v>
      </c>
      <c r="Q8237">
        <v>-8.6581179999999994E-2</v>
      </c>
      <c r="R8237">
        <v>0.45301520000000001</v>
      </c>
      <c r="S8237">
        <v>2.0132140000000001</v>
      </c>
      <c r="T8237">
        <v>-0.44516480000000003</v>
      </c>
      <c r="U8237">
        <v>2.6159970000000001</v>
      </c>
      <c r="V8237">
        <v>-0.2044791</v>
      </c>
      <c r="W8237">
        <v>-7.4442099999999997E-2</v>
      </c>
      <c r="X8237">
        <v>0.97603620000000002</v>
      </c>
      <c r="Y8237">
        <v>-0.60156209999999999</v>
      </c>
      <c r="Z8237">
        <v>1.692863E-2</v>
      </c>
      <c r="AA8237">
        <v>0.79864659999999998</v>
      </c>
      <c r="AB8237">
        <v>19</v>
      </c>
      <c r="AC8237">
        <v>0.46479999999999599</v>
      </c>
      <c r="AD8237">
        <v>-0.124554999999999</v>
      </c>
      <c r="AE8237">
        <v>0.699940000000005</v>
      </c>
      <c r="AF8237">
        <v>-0.542178851952133</v>
      </c>
      <c r="AG8237">
        <v>-0.124554999999999</v>
      </c>
      <c r="AH8237">
        <v>0.61803144639335905</v>
      </c>
      <c r="AI8237">
        <v>98.614811959360793</v>
      </c>
      <c r="AJ8237">
        <v>131.25942189433201</v>
      </c>
      <c r="AK8237">
        <v>0.831525540353512</v>
      </c>
      <c r="AL8237">
        <v>94.269167394971703</v>
      </c>
      <c r="AM8237">
        <v>101.832311272379</v>
      </c>
      <c r="AN8237">
        <v>0.99999999614982904</v>
      </c>
    </row>
    <row r="8238" spans="1:40" x14ac:dyDescent="0.25">
      <c r="A8238" t="str">
        <f>"20190303154338497"</f>
        <v>20190303154338497</v>
      </c>
      <c r="B8238" t="str">
        <f>"1551599018487835"</f>
        <v>1551599018487835</v>
      </c>
      <c r="C8238" t="s">
        <v>40</v>
      </c>
      <c r="D8238">
        <v>5.5620159999999998</v>
      </c>
      <c r="E8238">
        <v>0.31997209999999998</v>
      </c>
      <c r="F8238" t="s">
        <v>42</v>
      </c>
      <c r="G8238">
        <v>-202.2739</v>
      </c>
      <c r="H8238">
        <v>0.99051100000000003</v>
      </c>
      <c r="I8238">
        <v>-60.140180000000001</v>
      </c>
      <c r="J8238">
        <v>-202.76050000000001</v>
      </c>
      <c r="K8238">
        <v>1.1259920000000001</v>
      </c>
      <c r="L8238">
        <v>-60.8940699999999</v>
      </c>
      <c r="M8238">
        <v>0.96365579999999995</v>
      </c>
      <c r="N8238">
        <v>-1.4838769999999999E-2</v>
      </c>
      <c r="O8238">
        <v>0.26673479999999999</v>
      </c>
      <c r="P8238">
        <v>0.88363709999999995</v>
      </c>
      <c r="Q8238">
        <v>-8.7676669999999998E-2</v>
      </c>
      <c r="R8238">
        <v>0.4598893</v>
      </c>
      <c r="S8238">
        <v>1.99556</v>
      </c>
      <c r="T8238">
        <v>-0.44975890000000002</v>
      </c>
      <c r="U8238">
        <v>2.627777</v>
      </c>
      <c r="V8238">
        <v>-0.20665159999999999</v>
      </c>
      <c r="W8238">
        <v>-7.5574440000000007E-2</v>
      </c>
      <c r="X8238">
        <v>0.97549149999999996</v>
      </c>
      <c r="Y8238">
        <v>-0.6022208</v>
      </c>
      <c r="Z8238">
        <v>1.6369450000000001E-2</v>
      </c>
      <c r="AA8238">
        <v>0.79816169999999997</v>
      </c>
      <c r="AB8238">
        <v>19</v>
      </c>
      <c r="AC8238">
        <v>0.48660000000000903</v>
      </c>
      <c r="AD8238">
        <v>-0.13548099999999999</v>
      </c>
      <c r="AE8238">
        <v>0.75388999999998396</v>
      </c>
      <c r="AF8238">
        <v>-0.58346140326228002</v>
      </c>
      <c r="AG8238">
        <v>-0.13548099999999999</v>
      </c>
      <c r="AH8238">
        <v>0.65514161950146899</v>
      </c>
      <c r="AI8238">
        <v>98.778908326136303</v>
      </c>
      <c r="AJ8238">
        <v>131.687883020903</v>
      </c>
      <c r="AK8238">
        <v>0.88768961470820196</v>
      </c>
      <c r="AL8238">
        <v>94.334228868659906</v>
      </c>
      <c r="AM8238">
        <v>101.960908714639</v>
      </c>
      <c r="AN8238">
        <v>1.0000000231680599</v>
      </c>
    </row>
    <row r="8239" spans="1:40" x14ac:dyDescent="0.25">
      <c r="A8239" t="str">
        <f>"20190303154338508"</f>
        <v>20190303154338508</v>
      </c>
      <c r="B8239" t="str">
        <f>"1551599018498571"</f>
        <v>1551599018498571</v>
      </c>
      <c r="C8239" t="s">
        <v>40</v>
      </c>
      <c r="D8239">
        <v>5.5868039999999999</v>
      </c>
      <c r="E8239">
        <v>0.32030619999999999</v>
      </c>
      <c r="F8239" t="s">
        <v>58</v>
      </c>
      <c r="G8239">
        <v>-197.85290000000001</v>
      </c>
      <c r="H8239" s="1">
        <v>-9.1738240000000008E-6</v>
      </c>
      <c r="I8239">
        <v>-54.333440000000003</v>
      </c>
      <c r="J8239">
        <v>-202.68170000000001</v>
      </c>
      <c r="K8239">
        <v>1.126007</v>
      </c>
      <c r="L8239">
        <v>-60.867609999999999</v>
      </c>
      <c r="M8239">
        <v>0.96261370000000002</v>
      </c>
      <c r="N8239">
        <v>-1.484362E-2</v>
      </c>
      <c r="O8239">
        <v>0.27047139999999997</v>
      </c>
      <c r="P8239">
        <v>0.8807178</v>
      </c>
      <c r="Q8239">
        <v>-8.8373709999999994E-2</v>
      </c>
      <c r="R8239">
        <v>0.46532380000000001</v>
      </c>
      <c r="S8239">
        <v>1.9755860000000001</v>
      </c>
      <c r="T8239">
        <v>-0.45327279999999998</v>
      </c>
      <c r="U8239">
        <v>2.6409910000000001</v>
      </c>
      <c r="V8239">
        <v>-0.20887990000000001</v>
      </c>
      <c r="W8239">
        <v>-7.6310169999999997E-2</v>
      </c>
      <c r="X8239">
        <v>0.97495940000000003</v>
      </c>
      <c r="Y8239">
        <v>-0.60484450000000001</v>
      </c>
      <c r="Z8239">
        <v>1.6193039999999999E-2</v>
      </c>
      <c r="AA8239">
        <v>0.79617890000000002</v>
      </c>
      <c r="AB8239">
        <v>19</v>
      </c>
      <c r="AC8239">
        <v>4.8288000000000002</v>
      </c>
      <c r="AD8239">
        <v>-1.126016173824</v>
      </c>
      <c r="AE8239">
        <v>6.5341699999999898</v>
      </c>
      <c r="AF8239">
        <v>-4.8904464854979501</v>
      </c>
      <c r="AG8239">
        <v>-1.126016173824</v>
      </c>
      <c r="AH8239">
        <v>6.2953655204312202</v>
      </c>
      <c r="AI8239">
        <v>98.039930938730805</v>
      </c>
      <c r="AJ8239">
        <v>127.841233143967</v>
      </c>
      <c r="AK8239">
        <v>8.0508388561109996</v>
      </c>
      <c r="AL8239">
        <v>94.376505528308698</v>
      </c>
      <c r="AM8239">
        <v>102.092511170731</v>
      </c>
      <c r="AN8239">
        <v>0.99999994315889695</v>
      </c>
    </row>
    <row r="8240" spans="1:40" x14ac:dyDescent="0.25">
      <c r="A8240" t="str">
        <f>"20190303154338520"</f>
        <v>20190303154338520</v>
      </c>
      <c r="B8240" t="str">
        <f>"1551599018508332"</f>
        <v>1551599018508332</v>
      </c>
      <c r="C8240" t="s">
        <v>40</v>
      </c>
      <c r="D8240">
        <v>5.5719289999999999</v>
      </c>
      <c r="E8240">
        <v>0.3205981</v>
      </c>
      <c r="F8240" t="s">
        <v>42</v>
      </c>
      <c r="G8240">
        <v>-202.11250000000001</v>
      </c>
      <c r="H8240">
        <v>0.99361820000000001</v>
      </c>
      <c r="I8240">
        <v>-60.097650000000002</v>
      </c>
      <c r="J8240">
        <v>-202.59190000000001</v>
      </c>
      <c r="K8240">
        <v>1.12602</v>
      </c>
      <c r="L8240">
        <v>-60.837159999999997</v>
      </c>
      <c r="M8240">
        <v>0.96140130000000001</v>
      </c>
      <c r="N8240">
        <v>-1.484415E-2</v>
      </c>
      <c r="O8240">
        <v>0.27474910000000002</v>
      </c>
      <c r="P8240">
        <v>0.87750099999999998</v>
      </c>
      <c r="Q8240">
        <v>-8.8960890000000001E-2</v>
      </c>
      <c r="R8240">
        <v>0.47125149999999999</v>
      </c>
      <c r="S8240">
        <v>1.9599299999999999</v>
      </c>
      <c r="T8240">
        <v>-0.45582080000000003</v>
      </c>
      <c r="U8240">
        <v>2.6509399999999999</v>
      </c>
      <c r="V8240">
        <v>-0.2111201</v>
      </c>
      <c r="W8240">
        <v>-7.6941689999999993E-2</v>
      </c>
      <c r="X8240">
        <v>0.97442720000000005</v>
      </c>
      <c r="Y8240">
        <v>-0.60575279999999998</v>
      </c>
      <c r="Z8240">
        <v>1.574207E-2</v>
      </c>
      <c r="AA8240">
        <v>0.79549720000000002</v>
      </c>
      <c r="AB8240">
        <v>19</v>
      </c>
      <c r="AC8240">
        <v>0.47939999999999799</v>
      </c>
      <c r="AD8240">
        <v>-0.13240179999999999</v>
      </c>
      <c r="AE8240">
        <v>0.739509999999995</v>
      </c>
      <c r="AF8240">
        <v>-0.56652838059651101</v>
      </c>
      <c r="AG8240">
        <v>-0.13240179999999999</v>
      </c>
      <c r="AH8240">
        <v>0.64948961707417996</v>
      </c>
      <c r="AI8240">
        <v>98.733756472073296</v>
      </c>
      <c r="AJ8240">
        <v>131.097118213437</v>
      </c>
      <c r="AK8240">
        <v>0.87196410783455403</v>
      </c>
      <c r="AL8240">
        <v>94.412795211146801</v>
      </c>
      <c r="AM8240">
        <v>102.22479730488</v>
      </c>
      <c r="AN8240">
        <v>1.0000000441919501</v>
      </c>
    </row>
    <row r="8241" spans="1:40" x14ac:dyDescent="0.25">
      <c r="A8241" t="str">
        <f>"20190303154338540"</f>
        <v>20190303154338540</v>
      </c>
      <c r="B8241" t="str">
        <f>"1551599018527851"</f>
        <v>1551599018527851</v>
      </c>
      <c r="C8241" t="s">
        <v>40</v>
      </c>
      <c r="D8241">
        <v>5.1103489999999896</v>
      </c>
      <c r="E8241">
        <v>0.3205981</v>
      </c>
      <c r="F8241" t="s">
        <v>58</v>
      </c>
      <c r="G8241">
        <v>-197.81559999999999</v>
      </c>
      <c r="H8241" s="1">
        <v>-9.1836650000000008E-6</v>
      </c>
      <c r="I8241">
        <v>-54.293460000000003</v>
      </c>
      <c r="J8241">
        <v>-202.4297</v>
      </c>
      <c r="K8241">
        <v>1.126034</v>
      </c>
      <c r="L8241">
        <v>-60.780850000000001</v>
      </c>
      <c r="M8241">
        <v>0.95913029999999999</v>
      </c>
      <c r="N8241">
        <v>-1.4814529999999999E-2</v>
      </c>
      <c r="O8241">
        <v>0.28257690000000002</v>
      </c>
      <c r="P8241">
        <v>0.8713533</v>
      </c>
      <c r="Q8241">
        <v>-9.010812E-2</v>
      </c>
      <c r="R8241">
        <v>0.48231109999999999</v>
      </c>
      <c r="S8241">
        <v>1.9428859999999999</v>
      </c>
      <c r="T8241">
        <v>-0.45804420000000001</v>
      </c>
      <c r="U8241">
        <v>2.661835</v>
      </c>
      <c r="V8241">
        <v>-0.21550530000000001</v>
      </c>
      <c r="W8241">
        <v>-7.8204010000000004E-2</v>
      </c>
      <c r="X8241">
        <v>0.97336610000000001</v>
      </c>
      <c r="Y8241">
        <v>-0.60419199999999995</v>
      </c>
      <c r="Z8241">
        <v>1.4512590000000001E-2</v>
      </c>
      <c r="AA8241">
        <v>0.79670669999999899</v>
      </c>
      <c r="AB8241">
        <v>19</v>
      </c>
      <c r="AC8241">
        <v>4.6140999999999996</v>
      </c>
      <c r="AD8241">
        <v>-1.126043183665</v>
      </c>
      <c r="AE8241">
        <v>6.4873900000000004</v>
      </c>
      <c r="AF8241">
        <v>-4.8224701242539396</v>
      </c>
      <c r="AG8241">
        <v>-1.126043183665</v>
      </c>
      <c r="AH8241">
        <v>6.1366202444938498</v>
      </c>
      <c r="AI8241">
        <v>98.209778065251896</v>
      </c>
      <c r="AJ8241">
        <v>128.162075066395</v>
      </c>
      <c r="AK8241">
        <v>7.885575399166</v>
      </c>
      <c r="AL8241">
        <v>94.485339694412104</v>
      </c>
      <c r="AM8241">
        <v>102.48402174875901</v>
      </c>
      <c r="AN8241">
        <v>0.99999998306868898</v>
      </c>
    </row>
    <row r="8242" spans="1:40" x14ac:dyDescent="0.25">
      <c r="A8242" t="str">
        <f>"20190303154338549"</f>
        <v>20190303154338549</v>
      </c>
      <c r="B8242" t="str">
        <f>"1551599018537920"</f>
        <v>1551599018537920</v>
      </c>
      <c r="C8242" t="s">
        <v>40</v>
      </c>
      <c r="D8242">
        <v>5.1611140000000004</v>
      </c>
      <c r="E8242">
        <v>0.30178899999999997</v>
      </c>
      <c r="F8242" t="s">
        <v>58</v>
      </c>
      <c r="G8242">
        <v>-197.7687</v>
      </c>
      <c r="H8242" s="1">
        <v>-9.2039259999999995E-6</v>
      </c>
      <c r="I8242">
        <v>-54.220709999999997</v>
      </c>
      <c r="J8242">
        <v>-202.35079999999999</v>
      </c>
      <c r="K8242">
        <v>1.126037</v>
      </c>
      <c r="L8242">
        <v>-60.752809999999997</v>
      </c>
      <c r="M8242">
        <v>0.95798559999999999</v>
      </c>
      <c r="N8242">
        <v>-1.477669E-2</v>
      </c>
      <c r="O8242">
        <v>0.28643580000000002</v>
      </c>
      <c r="P8242">
        <v>0.86828179999999999</v>
      </c>
      <c r="Q8242">
        <v>-9.087605E-2</v>
      </c>
      <c r="R8242">
        <v>0.48767660000000002</v>
      </c>
      <c r="S8242">
        <v>1.908463</v>
      </c>
      <c r="T8242">
        <v>-0.46106140000000001</v>
      </c>
      <c r="U8242">
        <v>2.6860659999999998</v>
      </c>
      <c r="V8242">
        <v>-0.21759680000000001</v>
      </c>
      <c r="W8242">
        <v>-7.9051979999999994E-2</v>
      </c>
      <c r="X8242">
        <v>0.97283209999999998</v>
      </c>
      <c r="Y8242">
        <v>-0.61103809999999903</v>
      </c>
      <c r="Z8242">
        <v>1.4696559999999999E-2</v>
      </c>
      <c r="AA8242">
        <v>0.79146479999999997</v>
      </c>
      <c r="AB8242">
        <v>19</v>
      </c>
      <c r="AC8242">
        <v>4.5820999999999898</v>
      </c>
      <c r="AD8242">
        <v>-1.126046203926</v>
      </c>
      <c r="AE8242">
        <v>6.5320999999999998</v>
      </c>
      <c r="AF8242">
        <v>-4.8491405051680596</v>
      </c>
      <c r="AG8242">
        <v>-1.126046203926</v>
      </c>
      <c r="AH8242">
        <v>6.1390264897575699</v>
      </c>
      <c r="AI8242">
        <v>98.190757349334802</v>
      </c>
      <c r="AJ8242">
        <v>128.30476777839201</v>
      </c>
      <c r="AK8242">
        <v>7.9037832671564896</v>
      </c>
      <c r="AL8242">
        <v>94.534075885114603</v>
      </c>
      <c r="AM8242">
        <v>102.608024568874</v>
      </c>
      <c r="AN8242">
        <v>0.99999993885128302</v>
      </c>
    </row>
    <row r="8243" spans="1:40" x14ac:dyDescent="0.25">
      <c r="A8243" t="str">
        <f>"20190303154338559"</f>
        <v>20190303154338559</v>
      </c>
      <c r="B8243" t="str">
        <f>"1551599018548403"</f>
        <v>1551599018548403</v>
      </c>
      <c r="C8243" t="s">
        <v>40</v>
      </c>
      <c r="D8243">
        <v>5.1730589999999896</v>
      </c>
      <c r="E8243">
        <v>0.30330980000000002</v>
      </c>
      <c r="F8243" t="s">
        <v>58</v>
      </c>
      <c r="G8243">
        <v>-197.73410000000001</v>
      </c>
      <c r="H8243" s="1">
        <v>-9.4280670000000001E-6</v>
      </c>
      <c r="I8243">
        <v>-53.571060000000003</v>
      </c>
      <c r="J8243">
        <v>-202.27350000000001</v>
      </c>
      <c r="K8243">
        <v>1.1260399999999999</v>
      </c>
      <c r="L8243">
        <v>-60.72504</v>
      </c>
      <c r="M8243">
        <v>0.95684170000000002</v>
      </c>
      <c r="N8243">
        <v>-1.472597E-2</v>
      </c>
      <c r="O8243">
        <v>0.29023649999999901</v>
      </c>
      <c r="P8243">
        <v>0.86527119999999902</v>
      </c>
      <c r="Q8243">
        <v>-9.1607519999999998E-2</v>
      </c>
      <c r="R8243">
        <v>0.492863</v>
      </c>
      <c r="S8243">
        <v>1.819183</v>
      </c>
      <c r="T8243">
        <v>-0.44371709999999898</v>
      </c>
      <c r="U8243">
        <v>2.8299560000000001</v>
      </c>
      <c r="V8243">
        <v>-0.2195618</v>
      </c>
      <c r="W8243">
        <v>-7.9874959999999995E-2</v>
      </c>
      <c r="X8243">
        <v>0.9723233</v>
      </c>
      <c r="Y8243">
        <v>-0.64409069999999902</v>
      </c>
      <c r="Z8243">
        <v>1.718884E-2</v>
      </c>
      <c r="AA8243">
        <v>0.76475599999999999</v>
      </c>
      <c r="AB8243">
        <v>19</v>
      </c>
      <c r="AC8243">
        <v>4.5393999999999997</v>
      </c>
      <c r="AD8243">
        <v>-1.1260494280669999</v>
      </c>
      <c r="AE8243">
        <v>7.1539799999999998</v>
      </c>
      <c r="AF8243">
        <v>-5.4323710516434902</v>
      </c>
      <c r="AG8243">
        <v>-1.1260494280669999</v>
      </c>
      <c r="AH8243">
        <v>6.3090883268298796</v>
      </c>
      <c r="AI8243">
        <v>97.702616170387998</v>
      </c>
      <c r="AJ8243">
        <v>130.729733886356</v>
      </c>
      <c r="AK8243">
        <v>8.40138310475872</v>
      </c>
      <c r="AL8243">
        <v>94.581378487518407</v>
      </c>
      <c r="AM8243">
        <v>102.72463186453101</v>
      </c>
      <c r="AN8243">
        <v>0.99999999648856497</v>
      </c>
    </row>
    <row r="8244" spans="1:40" x14ac:dyDescent="0.25">
      <c r="A8244" t="str">
        <f>"20190303154338569"</f>
        <v>20190303154338569</v>
      </c>
      <c r="B8244" t="str">
        <f>"1551599018558770"</f>
        <v>1551599018558770</v>
      </c>
      <c r="C8244" t="s">
        <v>40</v>
      </c>
      <c r="D8244">
        <v>5.1713319999999996</v>
      </c>
      <c r="E8244">
        <v>0.30431140000000001</v>
      </c>
      <c r="F8244" t="s">
        <v>58</v>
      </c>
      <c r="G8244">
        <v>-197.685</v>
      </c>
      <c r="H8244" s="1">
        <v>-9.4327349999999994E-6</v>
      </c>
      <c r="I8244">
        <v>-53.542020000000001</v>
      </c>
      <c r="J8244">
        <v>-202.19040000000001</v>
      </c>
      <c r="K8244">
        <v>1.1260429999999999</v>
      </c>
      <c r="L8244">
        <v>-60.69473</v>
      </c>
      <c r="M8244">
        <v>0.95558430000000005</v>
      </c>
      <c r="N8244">
        <v>-1.464938E-2</v>
      </c>
      <c r="O8244">
        <v>0.29435349999999999</v>
      </c>
      <c r="P8244">
        <v>0.86224369999999995</v>
      </c>
      <c r="Q8244">
        <v>-9.230302E-2</v>
      </c>
      <c r="R8244">
        <v>0.49801210000000001</v>
      </c>
      <c r="S8244">
        <v>1.8079829999999999</v>
      </c>
      <c r="T8244">
        <v>-0.4436967</v>
      </c>
      <c r="U8244">
        <v>2.8303219999999998</v>
      </c>
      <c r="V8244">
        <v>-0.22117719999999999</v>
      </c>
      <c r="W8244">
        <v>-8.0684320000000004E-2</v>
      </c>
      <c r="X8244">
        <v>0.97189029999999998</v>
      </c>
      <c r="Y8244">
        <v>-0.6430283</v>
      </c>
      <c r="Z8244">
        <v>1.6492529999999998E-2</v>
      </c>
      <c r="AA8244">
        <v>0.76566480000000003</v>
      </c>
      <c r="AB8244">
        <v>19</v>
      </c>
      <c r="AC8244">
        <v>4.5053999999999998</v>
      </c>
      <c r="AD8244">
        <v>-1.1260524327349899</v>
      </c>
      <c r="AE8244">
        <v>7.1527100000000097</v>
      </c>
      <c r="AF8244">
        <v>-5.4133728550251403</v>
      </c>
      <c r="AG8244">
        <v>-1.1260524327349899</v>
      </c>
      <c r="AH8244">
        <v>6.2996215603831001</v>
      </c>
      <c r="AI8244">
        <v>97.720562525660299</v>
      </c>
      <c r="AJ8244">
        <v>130.67303302560501</v>
      </c>
      <c r="AK8244">
        <v>8.3819944853736992</v>
      </c>
      <c r="AL8244">
        <v>94.627901384641106</v>
      </c>
      <c r="AM8244">
        <v>102.82069210646</v>
      </c>
      <c r="AN8244">
        <v>1.0000000342638899</v>
      </c>
    </row>
    <row r="8245" spans="1:40" x14ac:dyDescent="0.25">
      <c r="A8245" t="str">
        <f>"20190303154338582"</f>
        <v>20190303154338582</v>
      </c>
      <c r="B8245" t="str">
        <f>"1551599018578290"</f>
        <v>1551599018578290</v>
      </c>
      <c r="C8245" t="s">
        <v>40</v>
      </c>
      <c r="D8245">
        <v>5.1299659999999996</v>
      </c>
      <c r="E8245">
        <v>0.30489579999999999</v>
      </c>
      <c r="F8245" t="s">
        <v>58</v>
      </c>
      <c r="G8245">
        <v>-197.64500000000001</v>
      </c>
      <c r="H8245" s="1">
        <v>-9.4371309999999996E-6</v>
      </c>
      <c r="I8245">
        <v>-53.516669999999998</v>
      </c>
      <c r="J8245">
        <v>-202.0986</v>
      </c>
      <c r="K8245">
        <v>1.126047</v>
      </c>
      <c r="L8245">
        <v>-60.660739999999997</v>
      </c>
      <c r="M8245">
        <v>0.9541615</v>
      </c>
      <c r="N8245">
        <v>-1.454892E-2</v>
      </c>
      <c r="O8245">
        <v>0.29893839999999999</v>
      </c>
      <c r="P8245">
        <v>0.85894530000000002</v>
      </c>
      <c r="Q8245">
        <v>-9.2607949999999994E-2</v>
      </c>
      <c r="R8245">
        <v>0.50362370000000001</v>
      </c>
      <c r="S8245">
        <v>1.7947390000000001</v>
      </c>
      <c r="T8245">
        <v>-0.44461260000000002</v>
      </c>
      <c r="U8245">
        <v>2.8341980000000002</v>
      </c>
      <c r="V8245">
        <v>-0.2228446</v>
      </c>
      <c r="W8245">
        <v>-8.1128690000000003E-2</v>
      </c>
      <c r="X8245">
        <v>0.97147229999999996</v>
      </c>
      <c r="Y8245">
        <v>-0.64240580000000003</v>
      </c>
      <c r="Z8245">
        <v>1.5769999999999999E-2</v>
      </c>
      <c r="AA8245">
        <v>0.76620239999999995</v>
      </c>
      <c r="AB8245">
        <v>19</v>
      </c>
      <c r="AC8245">
        <v>4.45359999999999</v>
      </c>
      <c r="AD8245">
        <v>-1.126056437131</v>
      </c>
      <c r="AE8245">
        <v>7.1440700000000001</v>
      </c>
      <c r="AF8245">
        <v>-5.3894012687914996</v>
      </c>
      <c r="AG8245">
        <v>-1.126056437131</v>
      </c>
      <c r="AH8245">
        <v>6.27352435677951</v>
      </c>
      <c r="AI8245">
        <v>97.753249517533504</v>
      </c>
      <c r="AJ8245">
        <v>130.664911001131</v>
      </c>
      <c r="AK8245">
        <v>8.3469010411506304</v>
      </c>
      <c r="AL8245">
        <v>94.653445788459095</v>
      </c>
      <c r="AM8245">
        <v>102.91948548046599</v>
      </c>
      <c r="AN8245">
        <v>1.00000000487878</v>
      </c>
    </row>
    <row r="8246" spans="1:40" x14ac:dyDescent="0.25">
      <c r="A8246" t="str">
        <f>"20190303154338592"</f>
        <v>20190303154338592</v>
      </c>
      <c r="B8246" t="str">
        <f>"1551599018588050"</f>
        <v>1551599018588050</v>
      </c>
      <c r="C8246" t="s">
        <v>40</v>
      </c>
      <c r="D8246">
        <v>5.6074149999999996</v>
      </c>
      <c r="E8246">
        <v>0.30489579999999999</v>
      </c>
      <c r="F8246" t="s">
        <v>58</v>
      </c>
      <c r="G8246">
        <v>-197.6054</v>
      </c>
      <c r="H8246" s="1">
        <v>-9.4449720000000003E-6</v>
      </c>
      <c r="I8246">
        <v>-53.481659999999998</v>
      </c>
      <c r="J8246">
        <v>-202.012</v>
      </c>
      <c r="K8246">
        <v>1.1260490000000001</v>
      </c>
      <c r="L8246">
        <v>-60.628230000000002</v>
      </c>
      <c r="M8246">
        <v>0.95279009999999997</v>
      </c>
      <c r="N8246">
        <v>-1.4440649999999999E-2</v>
      </c>
      <c r="O8246">
        <v>0.30328640000000001</v>
      </c>
      <c r="P8246">
        <v>0.85581240000000003</v>
      </c>
      <c r="Q8246">
        <v>-9.2643980000000001E-2</v>
      </c>
      <c r="R8246">
        <v>0.50892280000000001</v>
      </c>
      <c r="S8246">
        <v>1.7784880000000001</v>
      </c>
      <c r="T8246">
        <v>-0.445714</v>
      </c>
      <c r="U8246">
        <v>2.8416139999999999</v>
      </c>
      <c r="V8246">
        <v>-0.22441040000000001</v>
      </c>
      <c r="W8246">
        <v>-8.130946E-2</v>
      </c>
      <c r="X8246">
        <v>0.97109670000000003</v>
      </c>
      <c r="Y8246">
        <v>-0.64297139999999997</v>
      </c>
      <c r="Z8246">
        <v>1.5191100000000001E-2</v>
      </c>
      <c r="AA8246">
        <v>0.76573959999999996</v>
      </c>
      <c r="AB8246">
        <v>19</v>
      </c>
      <c r="AC8246">
        <v>4.4065999999999903</v>
      </c>
      <c r="AD8246">
        <v>-1.1260584449719999</v>
      </c>
      <c r="AE8246">
        <v>7.1465699999999996</v>
      </c>
      <c r="AF8246">
        <v>-5.3765753831158403</v>
      </c>
      <c r="AG8246">
        <v>-1.1260584449719999</v>
      </c>
      <c r="AH8246">
        <v>6.2541850167720998</v>
      </c>
      <c r="AI8246">
        <v>97.774645539041799</v>
      </c>
      <c r="AJ8246">
        <v>130.68487183405301</v>
      </c>
      <c r="AK8246">
        <v>8.3240855771572093</v>
      </c>
      <c r="AL8246">
        <v>94.6638373681579</v>
      </c>
      <c r="AM8246">
        <v>103.012046184996</v>
      </c>
      <c r="AN8246">
        <v>1.0000000283322701</v>
      </c>
    </row>
    <row r="8247" spans="1:40" x14ac:dyDescent="0.25">
      <c r="A8247" t="str">
        <f>"20190303154338604"</f>
        <v>20190303154338604</v>
      </c>
      <c r="B8247" t="str">
        <f>"1551599018597810"</f>
        <v>1551599018597810</v>
      </c>
      <c r="C8247" t="s">
        <v>40</v>
      </c>
      <c r="D8247">
        <v>5.4841980000000001</v>
      </c>
      <c r="E8247">
        <v>0.30716890000000002</v>
      </c>
      <c r="F8247" t="s">
        <v>58</v>
      </c>
      <c r="G8247">
        <v>-197.56059999999999</v>
      </c>
      <c r="H8247" s="1">
        <v>-9.4626979999999996E-6</v>
      </c>
      <c r="I8247">
        <v>-53.416780000000003</v>
      </c>
      <c r="J8247">
        <v>-201.91919999999999</v>
      </c>
      <c r="K8247">
        <v>1.1260509999999999</v>
      </c>
      <c r="L8247">
        <v>-60.592709999999997</v>
      </c>
      <c r="M8247">
        <v>0.9512815</v>
      </c>
      <c r="N8247">
        <v>-1.4316010000000001E-2</v>
      </c>
      <c r="O8247">
        <v>0.30799110000000002</v>
      </c>
      <c r="P8247">
        <v>0.85236119999999904</v>
      </c>
      <c r="Q8247">
        <v>-9.2599349999999997E-2</v>
      </c>
      <c r="R8247">
        <v>0.51468999999999998</v>
      </c>
      <c r="S8247">
        <v>1.7608490000000001</v>
      </c>
      <c r="T8247">
        <v>-0.44543430000000001</v>
      </c>
      <c r="U8247">
        <v>2.8526310000000001</v>
      </c>
      <c r="V8247">
        <v>-0.22615869999999999</v>
      </c>
      <c r="W8247">
        <v>-8.1428130000000001E-2</v>
      </c>
      <c r="X8247">
        <v>0.97068109999999996</v>
      </c>
      <c r="Y8247">
        <v>-0.64397599999999999</v>
      </c>
      <c r="Z8247">
        <v>1.457285E-2</v>
      </c>
      <c r="AA8247">
        <v>0.76490689999999995</v>
      </c>
      <c r="AB8247">
        <v>19</v>
      </c>
      <c r="AC8247">
        <v>4.3585999999999903</v>
      </c>
      <c r="AD8247">
        <v>-1.126060462698</v>
      </c>
      <c r="AE8247">
        <v>7.1759299999999904</v>
      </c>
      <c r="AF8247">
        <v>-5.3875689851655002</v>
      </c>
      <c r="AG8247">
        <v>-1.126060462698</v>
      </c>
      <c r="AH8247">
        <v>6.2446988793696496</v>
      </c>
      <c r="AI8247">
        <v>97.774672249644794</v>
      </c>
      <c r="AJ8247">
        <v>130.78574593494699</v>
      </c>
      <c r="AK8247">
        <v>8.3240720701811206</v>
      </c>
      <c r="AL8247">
        <v>94.670659187471102</v>
      </c>
      <c r="AM8247">
        <v>103.115348838003</v>
      </c>
      <c r="AN8247">
        <v>1.00000004791909</v>
      </c>
    </row>
    <row r="8248" spans="1:40" x14ac:dyDescent="0.25">
      <c r="A8248" t="str">
        <f>"20190303154338615"</f>
        <v>20190303154338615</v>
      </c>
      <c r="B8248" t="str">
        <f>"1551599018608546"</f>
        <v>1551599018608546</v>
      </c>
      <c r="C8248" t="s">
        <v>40</v>
      </c>
      <c r="D8248">
        <v>5.4882759999999999</v>
      </c>
      <c r="E8248">
        <v>0.308699</v>
      </c>
      <c r="F8248" t="s">
        <v>58</v>
      </c>
      <c r="G8248">
        <v>-197.47810000000001</v>
      </c>
      <c r="H8248" s="1">
        <v>-9.4709889999999995E-6</v>
      </c>
      <c r="I8248">
        <v>-53.36674</v>
      </c>
      <c r="J8248">
        <v>-201.83430000000001</v>
      </c>
      <c r="K8248">
        <v>1.12606299999999</v>
      </c>
      <c r="L8248">
        <v>-60.56006</v>
      </c>
      <c r="M8248">
        <v>0.949878</v>
      </c>
      <c r="N8248">
        <v>-1.4199430000000001E-2</v>
      </c>
      <c r="O8248">
        <v>0.31229839999999998</v>
      </c>
      <c r="P8248">
        <v>0.84913309999999997</v>
      </c>
      <c r="Q8248">
        <v>-9.2262899999999995E-2</v>
      </c>
      <c r="R8248">
        <v>0.52005829999999997</v>
      </c>
      <c r="S8248">
        <v>1.7510220000000001</v>
      </c>
      <c r="T8248">
        <v>-0.44398359999999898</v>
      </c>
      <c r="U8248">
        <v>2.8490600000000001</v>
      </c>
      <c r="V8248">
        <v>-0.22787009999999999</v>
      </c>
      <c r="W8248">
        <v>-8.1244510000000006E-2</v>
      </c>
      <c r="X8248">
        <v>0.97029609999999999</v>
      </c>
      <c r="Y8248">
        <v>-0.64206370000000001</v>
      </c>
      <c r="Z8248">
        <v>1.371025E-2</v>
      </c>
      <c r="AA8248">
        <v>0.76652869999999995</v>
      </c>
      <c r="AB8248">
        <v>19</v>
      </c>
      <c r="AC8248">
        <v>4.3562000000000003</v>
      </c>
      <c r="AD8248">
        <v>-1.12607247098899</v>
      </c>
      <c r="AE8248">
        <v>7.1933199999999999</v>
      </c>
      <c r="AF8248">
        <v>-5.3764912437511896</v>
      </c>
      <c r="AG8248">
        <v>-1.12607247098899</v>
      </c>
      <c r="AH8248">
        <v>6.2724962133382904</v>
      </c>
      <c r="AI8248">
        <v>97.761875979452498</v>
      </c>
      <c r="AJ8248">
        <v>130.60164175039699</v>
      </c>
      <c r="AK8248">
        <v>8.3377998327134009</v>
      </c>
      <c r="AL8248">
        <v>94.660103846334295</v>
      </c>
      <c r="AM8248">
        <v>103.216185893952</v>
      </c>
      <c r="AN8248">
        <v>0.99999998727717898</v>
      </c>
    </row>
    <row r="8249" spans="1:40" x14ac:dyDescent="0.25">
      <c r="A8249" t="str">
        <f>"20190303154338627"</f>
        <v>20190303154338627</v>
      </c>
      <c r="B8249" t="str">
        <f>"1551599018618306"</f>
        <v>1551599018618306</v>
      </c>
      <c r="C8249" t="s">
        <v>40</v>
      </c>
      <c r="D8249">
        <v>5.5227879999999896</v>
      </c>
      <c r="E8249">
        <v>0.31128070000000002</v>
      </c>
      <c r="F8249" t="s">
        <v>42</v>
      </c>
      <c r="G8249">
        <v>-201.3596</v>
      </c>
      <c r="H8249">
        <v>1.0054080000000001</v>
      </c>
      <c r="I8249">
        <v>-59.782730000000001</v>
      </c>
      <c r="J8249">
        <v>-201.7484</v>
      </c>
      <c r="K8249">
        <v>1.1260669999999999</v>
      </c>
      <c r="L8249">
        <v>-60.526090000000003</v>
      </c>
      <c r="M8249">
        <v>0.94841620000000004</v>
      </c>
      <c r="N8249">
        <v>-1.4082010000000001E-2</v>
      </c>
      <c r="O8249">
        <v>0.31671510000000003</v>
      </c>
      <c r="P8249">
        <v>0.84579819999999994</v>
      </c>
      <c r="Q8249">
        <v>-9.1781299999999996E-2</v>
      </c>
      <c r="R8249">
        <v>0.52554899999999904</v>
      </c>
      <c r="S8249">
        <v>1.739655</v>
      </c>
      <c r="T8249">
        <v>-0.4422394</v>
      </c>
      <c r="U8249">
        <v>2.849701</v>
      </c>
      <c r="V8249">
        <v>-0.22962299999999999</v>
      </c>
      <c r="W8249">
        <v>-8.0915319999999999E-2</v>
      </c>
      <c r="X8249">
        <v>0.9699103</v>
      </c>
      <c r="Y8249">
        <v>-0.64086969999999899</v>
      </c>
      <c r="Z8249">
        <v>1.290118E-2</v>
      </c>
      <c r="AA8249">
        <v>0.76754129999999998</v>
      </c>
      <c r="AB8249">
        <v>19</v>
      </c>
      <c r="AC8249">
        <v>0.38880000000000298</v>
      </c>
      <c r="AD8249">
        <v>-0.120658999999999</v>
      </c>
      <c r="AE8249">
        <v>0.74335999999999502</v>
      </c>
      <c r="AF8249">
        <v>-0.57013895651240998</v>
      </c>
      <c r="AG8249">
        <v>-0.120658999999999</v>
      </c>
      <c r="AH8249">
        <v>0.59199083357346505</v>
      </c>
      <c r="AI8249">
        <v>98.351697386618497</v>
      </c>
      <c r="AJ8249">
        <v>133.922777115337</v>
      </c>
      <c r="AK8249">
        <v>0.83070462322600902</v>
      </c>
      <c r="AL8249">
        <v>94.641180282745495</v>
      </c>
      <c r="AM8249">
        <v>103.319351660339</v>
      </c>
      <c r="AN8249">
        <v>1.00000000059289</v>
      </c>
    </row>
    <row r="8250" spans="1:40" x14ac:dyDescent="0.25">
      <c r="A8250" t="str">
        <f>"20190303154338641"</f>
        <v>20190303154338641</v>
      </c>
      <c r="B8250" t="str">
        <f>"1551599018637826"</f>
        <v>1551599018637826</v>
      </c>
      <c r="C8250" t="s">
        <v>40</v>
      </c>
      <c r="D8250">
        <v>5.711595</v>
      </c>
      <c r="E8250">
        <v>0.31495450000000003</v>
      </c>
      <c r="F8250" t="s">
        <v>58</v>
      </c>
      <c r="G8250">
        <v>-197.35830000000001</v>
      </c>
      <c r="H8250" s="1">
        <v>-9.474342E-6</v>
      </c>
      <c r="I8250">
        <v>-53.318809999999999</v>
      </c>
      <c r="J8250">
        <v>-201.6343</v>
      </c>
      <c r="K8250">
        <v>1.1260749999999999</v>
      </c>
      <c r="L8250">
        <v>-60.480530000000002</v>
      </c>
      <c r="M8250">
        <v>0.94643089999999996</v>
      </c>
      <c r="N8250">
        <v>-1.3928299999999999E-2</v>
      </c>
      <c r="O8250">
        <v>0.3226058</v>
      </c>
      <c r="P8250">
        <v>0.84166739999999995</v>
      </c>
      <c r="Q8250">
        <v>-9.0874220000000006E-2</v>
      </c>
      <c r="R8250">
        <v>0.53229499999999996</v>
      </c>
      <c r="S8250">
        <v>1.7319639999999901</v>
      </c>
      <c r="T8250">
        <v>-0.44425419999999999</v>
      </c>
      <c r="U8250">
        <v>2.8433839999999999</v>
      </c>
      <c r="V8250">
        <v>-0.2313173</v>
      </c>
      <c r="W8250">
        <v>-8.019809E-2</v>
      </c>
      <c r="X8250">
        <v>0.96956719999999996</v>
      </c>
      <c r="Y8250">
        <v>-0.63690389999999997</v>
      </c>
      <c r="Z8250">
        <v>1.1611990000000001E-2</v>
      </c>
      <c r="AA8250">
        <v>0.77085579999999998</v>
      </c>
      <c r="AB8250">
        <v>19</v>
      </c>
      <c r="AC8250">
        <v>4.2759999999999803</v>
      </c>
      <c r="AD8250">
        <v>-1.126084474342</v>
      </c>
      <c r="AE8250">
        <v>7.1617199999999999</v>
      </c>
      <c r="AF8250">
        <v>-5.3024911423416503</v>
      </c>
      <c r="AG8250">
        <v>-1.126084474342</v>
      </c>
      <c r="AH8250">
        <v>6.2441614862776396</v>
      </c>
      <c r="AI8250">
        <v>97.827077591381794</v>
      </c>
      <c r="AJ8250">
        <v>130.33764475717399</v>
      </c>
      <c r="AK8250">
        <v>8.2688591247329093</v>
      </c>
      <c r="AL8250">
        <v>94.599952082948306</v>
      </c>
      <c r="AM8250">
        <v>103.41866542355601</v>
      </c>
      <c r="AN8250">
        <v>0.99999999111738802</v>
      </c>
    </row>
    <row r="8251" spans="1:40" x14ac:dyDescent="0.25">
      <c r="A8251" t="str">
        <f>"20190303154338650"</f>
        <v>20190303154338650</v>
      </c>
      <c r="B8251" t="str">
        <f>"1551599018648562"</f>
        <v>1551599018648562</v>
      </c>
      <c r="C8251" t="s">
        <v>40</v>
      </c>
      <c r="D8251">
        <v>5.7351590000000003</v>
      </c>
      <c r="E8251">
        <v>0.31674089999999999</v>
      </c>
      <c r="F8251" t="s">
        <v>58</v>
      </c>
      <c r="G8251">
        <v>-197.25989999999999</v>
      </c>
      <c r="H8251" s="1">
        <v>-9.4697709999999994E-6</v>
      </c>
      <c r="I8251">
        <v>-53.300269999999998</v>
      </c>
      <c r="J8251">
        <v>-201.55779999999999</v>
      </c>
      <c r="K8251">
        <v>1.1260889999999999</v>
      </c>
      <c r="L8251">
        <v>-60.449460000000002</v>
      </c>
      <c r="M8251">
        <v>0.94506749999999995</v>
      </c>
      <c r="N8251">
        <v>-1.382802E-2</v>
      </c>
      <c r="O8251">
        <v>0.32658290000000001</v>
      </c>
      <c r="P8251">
        <v>0.83870020000000001</v>
      </c>
      <c r="Q8251">
        <v>-9.0120779999999998E-2</v>
      </c>
      <c r="R8251">
        <v>0.53708509999999998</v>
      </c>
      <c r="S8251">
        <v>1.725357</v>
      </c>
      <c r="T8251">
        <v>-0.44414940000000003</v>
      </c>
      <c r="U8251">
        <v>2.8320310000000002</v>
      </c>
      <c r="V8251">
        <v>-0.23274429999999999</v>
      </c>
      <c r="W8251">
        <v>-7.9573389999999994E-2</v>
      </c>
      <c r="X8251">
        <v>0.9692771</v>
      </c>
      <c r="Y8251">
        <v>-0.63365139999999998</v>
      </c>
      <c r="Z8251">
        <v>1.067417E-2</v>
      </c>
      <c r="AA8251">
        <v>0.77354509999999999</v>
      </c>
      <c r="AB8251">
        <v>19</v>
      </c>
      <c r="AC8251">
        <v>4.2978999999999896</v>
      </c>
      <c r="AD8251">
        <v>-1.1260984697709999</v>
      </c>
      <c r="AE8251">
        <v>7.1491899999999902</v>
      </c>
      <c r="AF8251">
        <v>-5.2575428757138596</v>
      </c>
      <c r="AG8251">
        <v>-1.1260984697709999</v>
      </c>
      <c r="AH8251">
        <v>6.2827217713558596</v>
      </c>
      <c r="AI8251">
        <v>97.826690762659695</v>
      </c>
      <c r="AJ8251">
        <v>129.92345808912299</v>
      </c>
      <c r="AK8251">
        <v>8.2693680357001398</v>
      </c>
      <c r="AL8251">
        <v>94.564044768467696</v>
      </c>
      <c r="AM8251">
        <v>103.502317007616</v>
      </c>
      <c r="AN8251">
        <v>0.99999996508149502</v>
      </c>
    </row>
    <row r="8252" spans="1:40" x14ac:dyDescent="0.25">
      <c r="A8252" t="str">
        <f>"20190303154338663"</f>
        <v>20190303154338663</v>
      </c>
      <c r="B8252" t="str">
        <f>"1551599018658322"</f>
        <v>1551599018658322</v>
      </c>
      <c r="C8252" t="s">
        <v>40</v>
      </c>
      <c r="D8252">
        <v>5.6945169999999896</v>
      </c>
      <c r="E8252">
        <v>0.31837199999999999</v>
      </c>
      <c r="F8252" t="s">
        <v>42</v>
      </c>
      <c r="G8252">
        <v>-201.0669</v>
      </c>
      <c r="H8252">
        <v>0.99983880000000003</v>
      </c>
      <c r="I8252">
        <v>-59.640540000000001</v>
      </c>
      <c r="J8252">
        <v>-201.4692</v>
      </c>
      <c r="K8252">
        <v>1.126101</v>
      </c>
      <c r="L8252">
        <v>-60.412990000000001</v>
      </c>
      <c r="M8252">
        <v>0.94345330000000005</v>
      </c>
      <c r="N8252">
        <v>-1.371586E-2</v>
      </c>
      <c r="O8252">
        <v>0.33122180000000001</v>
      </c>
      <c r="P8252">
        <v>0.83532119999999999</v>
      </c>
      <c r="Q8252">
        <v>-8.9474449999999997E-2</v>
      </c>
      <c r="R8252">
        <v>0.54243219999999903</v>
      </c>
      <c r="S8252">
        <v>1.717255</v>
      </c>
      <c r="T8252">
        <v>-0.44165989999999999</v>
      </c>
      <c r="U8252">
        <v>2.829987</v>
      </c>
      <c r="V8252">
        <v>-0.23415259999999999</v>
      </c>
      <c r="W8252">
        <v>-7.9069E-2</v>
      </c>
      <c r="X8252">
        <v>0.96897920000000004</v>
      </c>
      <c r="Y8252">
        <v>-0.63131300000000001</v>
      </c>
      <c r="Z8252">
        <v>9.7196920000000003E-3</v>
      </c>
      <c r="AA8252">
        <v>0.77546729999999997</v>
      </c>
      <c r="AB8252">
        <v>19</v>
      </c>
      <c r="AC8252">
        <v>0.40229999999999599</v>
      </c>
      <c r="AD8252">
        <v>-0.12626219999999999</v>
      </c>
      <c r="AE8252">
        <v>0.77244999999999897</v>
      </c>
      <c r="AF8252">
        <v>-0.58331621522285704</v>
      </c>
      <c r="AG8252">
        <v>-0.12626219999999999</v>
      </c>
      <c r="AH8252">
        <v>0.62238246747509296</v>
      </c>
      <c r="AI8252">
        <v>98.4198092998992</v>
      </c>
      <c r="AJ8252">
        <v>133.14418925812899</v>
      </c>
      <c r="AK8252">
        <v>0.86229918584627196</v>
      </c>
      <c r="AL8252">
        <v>94.535053759701398</v>
      </c>
      <c r="AM8252">
        <v>103.585020603754</v>
      </c>
      <c r="AN8252">
        <v>1.00000001844019</v>
      </c>
    </row>
    <row r="8253" spans="1:40" x14ac:dyDescent="0.25">
      <c r="A8253" t="str">
        <f>"20190303154338674"</f>
        <v>20190303154338674</v>
      </c>
      <c r="B8253" t="str">
        <f>"1551599018668083"</f>
        <v>1551599018668083</v>
      </c>
      <c r="C8253" t="s">
        <v>40</v>
      </c>
      <c r="D8253">
        <v>5.7237130000000001</v>
      </c>
      <c r="E8253">
        <v>0.31837199999999999</v>
      </c>
      <c r="F8253" t="s">
        <v>58</v>
      </c>
      <c r="G8253">
        <v>-197.09989999999999</v>
      </c>
      <c r="H8253" s="1">
        <v>-9.4996240000000003E-6</v>
      </c>
      <c r="I8253">
        <v>-53.166649999999997</v>
      </c>
      <c r="J8253">
        <v>-201.37459999999999</v>
      </c>
      <c r="K8253">
        <v>1.1261129999999999</v>
      </c>
      <c r="L8253">
        <v>-60.373570000000001</v>
      </c>
      <c r="M8253">
        <v>0.94169360000000002</v>
      </c>
      <c r="N8253">
        <v>-1.359894E-2</v>
      </c>
      <c r="O8253">
        <v>0.33619660000000001</v>
      </c>
      <c r="P8253">
        <v>0.83205229999999997</v>
      </c>
      <c r="Q8253">
        <v>-8.8852899999999999E-2</v>
      </c>
      <c r="R8253">
        <v>0.54753459999999998</v>
      </c>
      <c r="S8253">
        <v>1.7064820000000001</v>
      </c>
      <c r="T8253">
        <v>-0.43981490000000001</v>
      </c>
      <c r="U8253">
        <v>2.830139</v>
      </c>
      <c r="V8253">
        <v>-0.2349484</v>
      </c>
      <c r="W8253">
        <v>-7.8585360000000007E-2</v>
      </c>
      <c r="X8253">
        <v>0.96882590000000002</v>
      </c>
      <c r="Y8253">
        <v>-0.62948219999999899</v>
      </c>
      <c r="Z8253">
        <v>8.7727869999999902E-3</v>
      </c>
      <c r="AA8253">
        <v>0.77696540000000003</v>
      </c>
      <c r="AB8253">
        <v>19</v>
      </c>
      <c r="AC8253">
        <v>4.2746999999999904</v>
      </c>
      <c r="AD8253">
        <v>-1.126122499624</v>
      </c>
      <c r="AE8253">
        <v>7.2069199999999896</v>
      </c>
      <c r="AF8253">
        <v>-5.2551495664085</v>
      </c>
      <c r="AG8253">
        <v>-1.126122499624</v>
      </c>
      <c r="AH8253">
        <v>6.3345837611437403</v>
      </c>
      <c r="AI8253">
        <v>97.790871654207606</v>
      </c>
      <c r="AJ8253">
        <v>129.67898735626599</v>
      </c>
      <c r="AK8253">
        <v>8.3073281069444196</v>
      </c>
      <c r="AL8253">
        <v>94.507256739580399</v>
      </c>
      <c r="AM8253">
        <v>103.63154794152599</v>
      </c>
      <c r="AN8253">
        <v>1.00000001698984</v>
      </c>
    </row>
    <row r="8254" spans="1:40" x14ac:dyDescent="0.25">
      <c r="A8254" t="str">
        <f>"20190303154338687"</f>
        <v>20190303154338687</v>
      </c>
      <c r="B8254" t="str">
        <f>"1551599018677842"</f>
        <v>1551599018677842</v>
      </c>
      <c r="C8254" t="s">
        <v>40</v>
      </c>
      <c r="D8254">
        <v>5.7046590000000004</v>
      </c>
      <c r="E8254">
        <v>0.34004970000000001</v>
      </c>
      <c r="F8254" t="s">
        <v>42</v>
      </c>
      <c r="G8254">
        <v>-200.90809999999999</v>
      </c>
      <c r="H8254">
        <v>1.005172</v>
      </c>
      <c r="I8254">
        <v>-59.589170000000003</v>
      </c>
      <c r="J8254">
        <v>-201.28120000000001</v>
      </c>
      <c r="K8254">
        <v>1.1261270000000001</v>
      </c>
      <c r="L8254">
        <v>-60.333770000000001</v>
      </c>
      <c r="M8254">
        <v>0.93990980000000002</v>
      </c>
      <c r="N8254">
        <v>-1.3491919999999999E-2</v>
      </c>
      <c r="O8254">
        <v>0.34115640000000003</v>
      </c>
      <c r="P8254">
        <v>0.82826939999999905</v>
      </c>
      <c r="Q8254">
        <v>-8.8423230000000005E-2</v>
      </c>
      <c r="R8254">
        <v>0.55330939999999995</v>
      </c>
      <c r="S8254">
        <v>1.689484</v>
      </c>
      <c r="T8254">
        <v>-0.43799500000000002</v>
      </c>
      <c r="U8254">
        <v>2.8406069999999999</v>
      </c>
      <c r="V8254">
        <v>-0.23656150000000001</v>
      </c>
      <c r="W8254">
        <v>-7.8299270000000004E-2</v>
      </c>
      <c r="X8254">
        <v>0.9684564</v>
      </c>
      <c r="Y8254">
        <v>-0.63014169999999903</v>
      </c>
      <c r="Z8254">
        <v>8.0870839999999996E-3</v>
      </c>
      <c r="AA8254">
        <v>0.77643809999999902</v>
      </c>
      <c r="AB8254">
        <v>19</v>
      </c>
      <c r="AC8254">
        <v>0.37310000000002203</v>
      </c>
      <c r="AD8254">
        <v>-0.12095499999999999</v>
      </c>
      <c r="AE8254">
        <v>0.74459999999999804</v>
      </c>
      <c r="AF8254">
        <v>-0.56079516125045203</v>
      </c>
      <c r="AG8254">
        <v>-0.12095499999999999</v>
      </c>
      <c r="AH8254">
        <v>0.59226827022242301</v>
      </c>
      <c r="AI8254">
        <v>98.435152277373007</v>
      </c>
      <c r="AJ8254">
        <v>133.43648785282099</v>
      </c>
      <c r="AK8254">
        <v>0.82456232561231102</v>
      </c>
      <c r="AL8254">
        <v>94.490814587188197</v>
      </c>
      <c r="AM8254">
        <v>103.72664980550501</v>
      </c>
      <c r="AN8254">
        <v>0.99999995883286996</v>
      </c>
    </row>
    <row r="8255" spans="1:40" x14ac:dyDescent="0.25">
      <c r="A8255" t="str">
        <f>"20190303154338700"</f>
        <v>20190303154338700</v>
      </c>
      <c r="B8255" t="str">
        <f>"1551599018698338"</f>
        <v>1551599018698338</v>
      </c>
      <c r="C8255" t="s">
        <v>40</v>
      </c>
      <c r="D8255">
        <v>5.6937119999999997</v>
      </c>
      <c r="E8255">
        <v>0.33164680000000002</v>
      </c>
      <c r="F8255" t="s">
        <v>42</v>
      </c>
      <c r="G8255">
        <v>-200.75540000000001</v>
      </c>
      <c r="H8255">
        <v>0.99445229999999996</v>
      </c>
      <c r="I8255">
        <v>-59.5274</v>
      </c>
      <c r="J8255">
        <v>-201.1756</v>
      </c>
      <c r="K8255">
        <v>1.126152</v>
      </c>
      <c r="L8255">
        <v>-60.288269999999997</v>
      </c>
      <c r="M8255">
        <v>0.93784869999999998</v>
      </c>
      <c r="N8255">
        <v>-1.337578E-2</v>
      </c>
      <c r="O8255">
        <v>0.3467866</v>
      </c>
      <c r="P8255">
        <v>0.82423189999999902</v>
      </c>
      <c r="Q8255">
        <v>-8.7849590000000005E-2</v>
      </c>
      <c r="R8255">
        <v>0.55939629999999996</v>
      </c>
      <c r="S8255">
        <v>1.7657320000000001</v>
      </c>
      <c r="T8255">
        <v>-0.44218560000000001</v>
      </c>
      <c r="U8255">
        <v>2.7080989999999998</v>
      </c>
      <c r="V8255">
        <v>-0.2378654</v>
      </c>
      <c r="W8255">
        <v>-7.7876689999999998E-2</v>
      </c>
      <c r="X8255">
        <v>0.96817109999999995</v>
      </c>
      <c r="Y8255">
        <v>-0.59309509999999999</v>
      </c>
      <c r="Z8255">
        <v>3.5014260000000002E-3</v>
      </c>
      <c r="AA8255">
        <v>0.80512479999999997</v>
      </c>
      <c r="AB8255">
        <v>19</v>
      </c>
      <c r="AC8255">
        <v>0.42019999999999402</v>
      </c>
      <c r="AD8255">
        <v>-0.131699699999999</v>
      </c>
      <c r="AE8255">
        <v>0.76086999999999705</v>
      </c>
      <c r="AF8255">
        <v>-0.55516631685793905</v>
      </c>
      <c r="AG8255">
        <v>-0.131699699999999</v>
      </c>
      <c r="AH8255">
        <v>0.643234802732356</v>
      </c>
      <c r="AI8255">
        <v>98.810659572229696</v>
      </c>
      <c r="AJ8255">
        <v>130.79698468605801</v>
      </c>
      <c r="AK8255">
        <v>0.859828739808011</v>
      </c>
      <c r="AL8255">
        <v>94.466528178656603</v>
      </c>
      <c r="AM8255">
        <v>103.80333580326</v>
      </c>
      <c r="AN8255">
        <v>1.0000000031188601</v>
      </c>
    </row>
    <row r="8256" spans="1:40" x14ac:dyDescent="0.25">
      <c r="A8256" t="str">
        <f>"20190303154338710"</f>
        <v>20190303154338710</v>
      </c>
      <c r="B8256" t="str">
        <f>"1551599018708098"</f>
        <v>1551599018708098</v>
      </c>
      <c r="C8256" t="s">
        <v>40</v>
      </c>
      <c r="D8256">
        <v>5.7011260000000004</v>
      </c>
      <c r="E8256">
        <v>0.32966319999999999</v>
      </c>
      <c r="F8256" t="s">
        <v>58</v>
      </c>
      <c r="G8256">
        <v>-196.88239999999999</v>
      </c>
      <c r="H8256" s="1">
        <v>-9.4258179999999997E-6</v>
      </c>
      <c r="I8256">
        <v>-53.30988</v>
      </c>
      <c r="J8256">
        <v>-201.09649999999999</v>
      </c>
      <c r="K8256">
        <v>1.126177</v>
      </c>
      <c r="L8256">
        <v>-60.253660000000004</v>
      </c>
      <c r="M8256">
        <v>0.93627020000000005</v>
      </c>
      <c r="N8256">
        <v>-1.3294790000000001E-2</v>
      </c>
      <c r="O8256">
        <v>0.35102909999999998</v>
      </c>
      <c r="P8256">
        <v>0.82086949999999903</v>
      </c>
      <c r="Q8256">
        <v>-8.6973019999999998E-2</v>
      </c>
      <c r="R8256">
        <v>0.56445469999999998</v>
      </c>
      <c r="S8256">
        <v>1.707886</v>
      </c>
      <c r="T8256">
        <v>-0.44800630000000002</v>
      </c>
      <c r="U8256">
        <v>2.7761230000000001</v>
      </c>
      <c r="V8256">
        <v>-0.23940690000000001</v>
      </c>
      <c r="W8256">
        <v>-7.7117859999999996E-2</v>
      </c>
      <c r="X8256">
        <v>0.96785180000000004</v>
      </c>
      <c r="Y8256">
        <v>-0.61026969999999903</v>
      </c>
      <c r="Z8256">
        <v>4.5021210000000004E-3</v>
      </c>
      <c r="AA8256">
        <v>0.79218100000000002</v>
      </c>
      <c r="AB8256">
        <v>19</v>
      </c>
      <c r="AC8256">
        <v>4.2141000000000002</v>
      </c>
      <c r="AD8256">
        <v>-1.1261864258180001</v>
      </c>
      <c r="AE8256">
        <v>6.9437799999999896</v>
      </c>
      <c r="AF8256">
        <v>-4.9276963932051103</v>
      </c>
      <c r="AG8256">
        <v>-1.1261864258180001</v>
      </c>
      <c r="AH8256">
        <v>6.2631661517741204</v>
      </c>
      <c r="AI8256">
        <v>98.043545198099594</v>
      </c>
      <c r="AJ8256">
        <v>128.194749078455</v>
      </c>
      <c r="AK8256">
        <v>8.0484618315571606</v>
      </c>
      <c r="AL8256">
        <v>94.422919428508393</v>
      </c>
      <c r="AM8256">
        <v>103.893740721087</v>
      </c>
      <c r="AN8256">
        <v>0.99999996743091402</v>
      </c>
    </row>
    <row r="8257" spans="1:40" x14ac:dyDescent="0.25">
      <c r="A8257" t="str">
        <f>"20190303154338720"</f>
        <v>20190303154338720</v>
      </c>
      <c r="B8257" t="str">
        <f>"1551599018717858"</f>
        <v>1551599018717858</v>
      </c>
      <c r="C8257" t="s">
        <v>40</v>
      </c>
      <c r="D8257">
        <v>5.6300660000000002</v>
      </c>
      <c r="E8257">
        <v>0.32748870000000002</v>
      </c>
      <c r="F8257" t="s">
        <v>42</v>
      </c>
      <c r="G8257">
        <v>-200.6129</v>
      </c>
      <c r="H8257">
        <v>0.99587170000000003</v>
      </c>
      <c r="I8257">
        <v>-59.448729999999998</v>
      </c>
      <c r="J8257">
        <v>-201.0213</v>
      </c>
      <c r="K8257">
        <v>1.126206</v>
      </c>
      <c r="L8257">
        <v>-60.220280000000002</v>
      </c>
      <c r="M8257">
        <v>0.93473980000000001</v>
      </c>
      <c r="N8257">
        <v>-1.322196E-2</v>
      </c>
      <c r="O8257">
        <v>0.35508699999999999</v>
      </c>
      <c r="P8257">
        <v>0.81743120000000002</v>
      </c>
      <c r="Q8257">
        <v>-8.5907410000000003E-2</v>
      </c>
      <c r="R8257">
        <v>0.56958430000000004</v>
      </c>
      <c r="S8257">
        <v>1.6817930000000001</v>
      </c>
      <c r="T8257">
        <v>-0.4531405</v>
      </c>
      <c r="U8257">
        <v>2.7992859999999999</v>
      </c>
      <c r="V8257">
        <v>-0.2412347</v>
      </c>
      <c r="W8257">
        <v>-7.6166600000000001E-2</v>
      </c>
      <c r="X8257">
        <v>0.96747329999999998</v>
      </c>
      <c r="Y8257">
        <v>-0.61508469999999904</v>
      </c>
      <c r="Z8257">
        <v>4.307076E-3</v>
      </c>
      <c r="AA8257">
        <v>0.78844930000000002</v>
      </c>
      <c r="AB8257">
        <v>19</v>
      </c>
      <c r="AC8257">
        <v>0.40839999999999999</v>
      </c>
      <c r="AD8257">
        <v>-0.13033429999999999</v>
      </c>
      <c r="AE8257">
        <v>0.77154999999999696</v>
      </c>
      <c r="AF8257">
        <v>-0.56366697159874402</v>
      </c>
      <c r="AG8257">
        <v>-0.13033429999999999</v>
      </c>
      <c r="AH8257">
        <v>0.64147372833182303</v>
      </c>
      <c r="AI8257">
        <v>98.677938990988906</v>
      </c>
      <c r="AJ8257">
        <v>131.30597478803799</v>
      </c>
      <c r="AK8257">
        <v>0.86382638809411205</v>
      </c>
      <c r="AL8257">
        <v>94.3682550559774</v>
      </c>
      <c r="AM8257">
        <v>104.000920768581</v>
      </c>
      <c r="AN8257">
        <v>1.0000000588262601</v>
      </c>
    </row>
    <row r="8258" spans="1:40" x14ac:dyDescent="0.25">
      <c r="A8258" t="str">
        <f>"20190303154338730"</f>
        <v>20190303154338730</v>
      </c>
      <c r="B8258" t="str">
        <f>"1551599018728594"</f>
        <v>1551599018728594</v>
      </c>
      <c r="C8258" t="s">
        <v>40</v>
      </c>
      <c r="D8258">
        <v>5.6708509999999999</v>
      </c>
      <c r="E8258">
        <v>0.32624989999999998</v>
      </c>
      <c r="F8258" t="s">
        <v>58</v>
      </c>
      <c r="G8258">
        <v>-196.9196</v>
      </c>
      <c r="H8258" s="1">
        <v>-9.4619350000000007E-6</v>
      </c>
      <c r="I8258">
        <v>-53.220750000000002</v>
      </c>
      <c r="J8258">
        <v>-200.9366</v>
      </c>
      <c r="K8258">
        <v>1.126233</v>
      </c>
      <c r="L8258">
        <v>-60.182189999999999</v>
      </c>
      <c r="M8258">
        <v>0.93298329999999996</v>
      </c>
      <c r="N8258">
        <v>-1.3144980000000001E-2</v>
      </c>
      <c r="O8258">
        <v>0.35967959999999999</v>
      </c>
      <c r="P8258">
        <v>0.81354269999999995</v>
      </c>
      <c r="Q8258">
        <v>-8.4941600000000006E-2</v>
      </c>
      <c r="R8258">
        <v>0.575268</v>
      </c>
      <c r="S8258">
        <v>1.654709</v>
      </c>
      <c r="T8258">
        <v>-0.45433499999999999</v>
      </c>
      <c r="U8258">
        <v>2.8237299999999999</v>
      </c>
      <c r="V8258">
        <v>-0.24318690000000001</v>
      </c>
      <c r="W8258">
        <v>-7.5324520000000006E-2</v>
      </c>
      <c r="X8258">
        <v>0.96705030000000003</v>
      </c>
      <c r="Y8258">
        <v>-0.61980590000000002</v>
      </c>
      <c r="Z8258">
        <v>4.0612259999999898E-3</v>
      </c>
      <c r="AA8258">
        <v>0.78474460000000001</v>
      </c>
      <c r="AB8258">
        <v>19</v>
      </c>
      <c r="AC8258">
        <v>4.0169999999999897</v>
      </c>
      <c r="AD8258">
        <v>-1.126242461935</v>
      </c>
      <c r="AE8258">
        <v>6.9614399999999996</v>
      </c>
      <c r="AF8258">
        <v>-4.9532503001470403</v>
      </c>
      <c r="AG8258">
        <v>-1.126242461935</v>
      </c>
      <c r="AH8258">
        <v>6.1318196915752496</v>
      </c>
      <c r="AI8258">
        <v>98.131314548100306</v>
      </c>
      <c r="AJ8258">
        <v>128.93108737423299</v>
      </c>
      <c r="AK8258">
        <v>7.9625575884236</v>
      </c>
      <c r="AL8258">
        <v>94.319868817816698</v>
      </c>
      <c r="AM8258">
        <v>104.115640262326</v>
      </c>
      <c r="AN8258">
        <v>0.99999996718746398</v>
      </c>
    </row>
    <row r="8259" spans="1:40" x14ac:dyDescent="0.25">
      <c r="A8259" t="str">
        <f>"20190303154338741"</f>
        <v>20190303154338741</v>
      </c>
      <c r="B8259" t="str">
        <f>"1551599018738354"</f>
        <v>1551599018738354</v>
      </c>
      <c r="C8259" t="s">
        <v>40</v>
      </c>
      <c r="D8259">
        <v>5.6615270000000004</v>
      </c>
      <c r="E8259">
        <v>0.32548139999999998</v>
      </c>
      <c r="F8259" t="s">
        <v>42</v>
      </c>
      <c r="G8259">
        <v>-200.47069999999999</v>
      </c>
      <c r="H8259">
        <v>0.99615260000000005</v>
      </c>
      <c r="I8259">
        <v>-59.369459999999997</v>
      </c>
      <c r="J8259">
        <v>-200.86359999999999</v>
      </c>
      <c r="K8259">
        <v>1.126261</v>
      </c>
      <c r="L8259">
        <v>-60.148960000000002</v>
      </c>
      <c r="M8259">
        <v>0.93144119999999997</v>
      </c>
      <c r="N8259">
        <v>-1.308234E-2</v>
      </c>
      <c r="O8259">
        <v>0.3636567</v>
      </c>
      <c r="P8259">
        <v>0.80970209999999998</v>
      </c>
      <c r="Q8259">
        <v>-8.432191E-2</v>
      </c>
      <c r="R8259">
        <v>0.58075149999999998</v>
      </c>
      <c r="S8259">
        <v>1.629456</v>
      </c>
      <c r="T8259">
        <v>-0.45506269999999999</v>
      </c>
      <c r="U8259">
        <v>2.8433839999999999</v>
      </c>
      <c r="V8259">
        <v>-0.24556990000000001</v>
      </c>
      <c r="W8259">
        <v>-7.482018E-2</v>
      </c>
      <c r="X8259">
        <v>0.96648710000000004</v>
      </c>
      <c r="Y8259">
        <v>-0.62403009999999903</v>
      </c>
      <c r="Z8259">
        <v>3.8643330000000002E-3</v>
      </c>
      <c r="AA8259">
        <v>0.78139080000000005</v>
      </c>
      <c r="AB8259">
        <v>19</v>
      </c>
      <c r="AC8259">
        <v>0.39289999999999697</v>
      </c>
      <c r="AD8259">
        <v>-0.13010839999999901</v>
      </c>
      <c r="AE8259">
        <v>0.77949999999999797</v>
      </c>
      <c r="AF8259">
        <v>-0.57055234435787205</v>
      </c>
      <c r="AG8259">
        <v>-0.13010839999999901</v>
      </c>
      <c r="AH8259">
        <v>0.63537390065430699</v>
      </c>
      <c r="AI8259">
        <v>98.663003782553403</v>
      </c>
      <c r="AJ8259">
        <v>131.92316938400501</v>
      </c>
      <c r="AK8259">
        <v>0.86380447268782601</v>
      </c>
      <c r="AL8259">
        <v>94.290890456161605</v>
      </c>
      <c r="AM8259">
        <v>104.25631767946599</v>
      </c>
      <c r="AN8259">
        <v>0.99999997479382596</v>
      </c>
    </row>
    <row r="8260" spans="1:40" x14ac:dyDescent="0.25">
      <c r="A8260" t="str">
        <f>"20190303154338752"</f>
        <v>20190303154338752</v>
      </c>
      <c r="B8260" t="str">
        <f>"1551599018748115"</f>
        <v>1551599018748115</v>
      </c>
      <c r="C8260" t="s">
        <v>40</v>
      </c>
      <c r="D8260">
        <v>5.6460379999999999</v>
      </c>
      <c r="E8260">
        <v>0.3249185</v>
      </c>
      <c r="F8260" t="s">
        <v>58</v>
      </c>
      <c r="G8260">
        <v>-196.89109999999999</v>
      </c>
      <c r="H8260" s="1">
        <v>-9.5100009999999998E-6</v>
      </c>
      <c r="I8260">
        <v>-53.080739999999999</v>
      </c>
      <c r="J8260">
        <v>-200.78049999999999</v>
      </c>
      <c r="K8260">
        <v>1.1262909999999999</v>
      </c>
      <c r="L8260">
        <v>-60.11063</v>
      </c>
      <c r="M8260">
        <v>0.92965180000000003</v>
      </c>
      <c r="N8260">
        <v>-1.3014080000000001E-2</v>
      </c>
      <c r="O8260">
        <v>0.36820950000000002</v>
      </c>
      <c r="P8260">
        <v>0.80540409999999996</v>
      </c>
      <c r="Q8260">
        <v>-8.3896180000000001E-2</v>
      </c>
      <c r="R8260">
        <v>0.58675859999999902</v>
      </c>
      <c r="S8260">
        <v>1.6069180000000001</v>
      </c>
      <c r="T8260">
        <v>-0.4555922</v>
      </c>
      <c r="U8260">
        <v>2.8591920000000002</v>
      </c>
      <c r="V8260">
        <v>-0.24800900000000001</v>
      </c>
      <c r="W8260">
        <v>-7.4519660000000001E-2</v>
      </c>
      <c r="X8260">
        <v>0.96588739999999995</v>
      </c>
      <c r="Y8260">
        <v>-0.62674229999999997</v>
      </c>
      <c r="Z8260">
        <v>3.4242159999999999E-3</v>
      </c>
      <c r="AA8260">
        <v>0.77921909999999905</v>
      </c>
      <c r="AB8260">
        <v>19</v>
      </c>
      <c r="AC8260">
        <v>3.88939999999999</v>
      </c>
      <c r="AD8260">
        <v>-1.126300510001</v>
      </c>
      <c r="AE8260">
        <v>7.02989</v>
      </c>
      <c r="AF8260">
        <v>-5.0052976272358496</v>
      </c>
      <c r="AG8260">
        <v>-1.126300510001</v>
      </c>
      <c r="AH8260">
        <v>6.0851915636961698</v>
      </c>
      <c r="AI8260">
        <v>98.135044716102897</v>
      </c>
      <c r="AJ8260">
        <v>129.43857477578999</v>
      </c>
      <c r="AK8260">
        <v>7.9593412756911297</v>
      </c>
      <c r="AL8260">
        <v>94.273623374103593</v>
      </c>
      <c r="AM8260">
        <v>104.40062699428201</v>
      </c>
      <c r="AN8260">
        <v>1.00000005664313</v>
      </c>
    </row>
    <row r="8261" spans="1:40" x14ac:dyDescent="0.25">
      <c r="A8261" t="str">
        <f>"20190303154338761"</f>
        <v>20190303154338761</v>
      </c>
      <c r="B8261" t="str">
        <f>"1551599018757875"</f>
        <v>1551599018757875</v>
      </c>
      <c r="C8261" t="s">
        <v>40</v>
      </c>
      <c r="D8261">
        <v>5.6233300000000002</v>
      </c>
      <c r="E8261">
        <v>0.32441579999999998</v>
      </c>
      <c r="F8261" t="s">
        <v>42</v>
      </c>
      <c r="G8261">
        <v>-200.32859999999999</v>
      </c>
      <c r="H8261">
        <v>0.99612219999999996</v>
      </c>
      <c r="I8261">
        <v>-59.289949999999997</v>
      </c>
      <c r="J8261">
        <v>-200.708</v>
      </c>
      <c r="K8261">
        <v>1.126314</v>
      </c>
      <c r="L8261">
        <v>-60.076720000000002</v>
      </c>
      <c r="M8261">
        <v>0.92806</v>
      </c>
      <c r="N8261">
        <v>-1.295661E-2</v>
      </c>
      <c r="O8261">
        <v>0.37220540000000002</v>
      </c>
      <c r="P8261">
        <v>0.80153079999999999</v>
      </c>
      <c r="Q8261">
        <v>-8.3926529999999999E-2</v>
      </c>
      <c r="R8261">
        <v>0.59203430000000001</v>
      </c>
      <c r="S8261">
        <v>1.5829470000000001</v>
      </c>
      <c r="T8261">
        <v>-0.45601219999999998</v>
      </c>
      <c r="U8261">
        <v>2.8748469999999999</v>
      </c>
      <c r="V8261">
        <v>-0.25018790000000002</v>
      </c>
      <c r="W8261">
        <v>-7.4659130000000004E-2</v>
      </c>
      <c r="X8261">
        <v>0.96531449999999996</v>
      </c>
      <c r="Y8261">
        <v>-0.63016099999999997</v>
      </c>
      <c r="Z8261">
        <v>3.1434219999999999E-3</v>
      </c>
      <c r="AA8261">
        <v>0.77645810000000004</v>
      </c>
      <c r="AB8261">
        <v>19</v>
      </c>
      <c r="AC8261">
        <v>0.37940000000000401</v>
      </c>
      <c r="AD8261">
        <v>-0.1301918</v>
      </c>
      <c r="AE8261">
        <v>0.78676999999999697</v>
      </c>
      <c r="AF8261">
        <v>-0.57620338234989399</v>
      </c>
      <c r="AG8261">
        <v>-0.1301918</v>
      </c>
      <c r="AH8261">
        <v>0.63098207297299702</v>
      </c>
      <c r="AI8261">
        <v>98.663099802704707</v>
      </c>
      <c r="AJ8261">
        <v>132.401860491115</v>
      </c>
      <c r="AK8261">
        <v>0.86434866751328998</v>
      </c>
      <c r="AL8261">
        <v>94.281636863812196</v>
      </c>
      <c r="AM8261">
        <v>104.530071196855</v>
      </c>
      <c r="AN8261">
        <v>1.0000000274545</v>
      </c>
    </row>
    <row r="8262" spans="1:40" x14ac:dyDescent="0.25">
      <c r="A8262" t="str">
        <f>"20190303154338771"</f>
        <v>20190303154338771</v>
      </c>
      <c r="B8262" t="str">
        <f>"1551599018768610"</f>
        <v>1551599018768610</v>
      </c>
      <c r="C8262" t="s">
        <v>40</v>
      </c>
      <c r="D8262">
        <v>5.6591649999999998</v>
      </c>
      <c r="E8262">
        <v>0.32449149999999999</v>
      </c>
      <c r="F8262" t="s">
        <v>58</v>
      </c>
      <c r="G8262">
        <v>-196.86349999999999</v>
      </c>
      <c r="H8262" s="1">
        <v>-9.54903E-6</v>
      </c>
      <c r="I8262">
        <v>-52.965809999999998</v>
      </c>
      <c r="J8262">
        <v>-200.626</v>
      </c>
      <c r="K8262">
        <v>1.126342</v>
      </c>
      <c r="L8262">
        <v>-60.037959999999998</v>
      </c>
      <c r="M8262">
        <v>0.92622709999999997</v>
      </c>
      <c r="N8262">
        <v>-1.289293E-2</v>
      </c>
      <c r="O8262">
        <v>0.37674540000000001</v>
      </c>
      <c r="P8262">
        <v>0.79717179999999999</v>
      </c>
      <c r="Q8262">
        <v>-8.4473450000000005E-2</v>
      </c>
      <c r="R8262">
        <v>0.59781399999999996</v>
      </c>
      <c r="S8262">
        <v>1.5615540000000001</v>
      </c>
      <c r="T8262">
        <v>-0.45748909999999998</v>
      </c>
      <c r="U8262">
        <v>2.888306</v>
      </c>
      <c r="V8262">
        <v>-0.25244559999999999</v>
      </c>
      <c r="W8262">
        <v>-7.5326030000000002E-2</v>
      </c>
      <c r="X8262">
        <v>0.9646747</v>
      </c>
      <c r="Y8262">
        <v>-0.63232359999999999</v>
      </c>
      <c r="Z8262">
        <v>2.6325839999999999E-3</v>
      </c>
      <c r="AA8262">
        <v>0.7746999</v>
      </c>
      <c r="AB8262">
        <v>19</v>
      </c>
      <c r="AC8262">
        <v>3.7624999999999802</v>
      </c>
      <c r="AD8262">
        <v>-1.12635154903</v>
      </c>
      <c r="AE8262">
        <v>7.0721499999999997</v>
      </c>
      <c r="AF8262">
        <v>-5.0338210782164197</v>
      </c>
      <c r="AG8262">
        <v>-1.12635154903</v>
      </c>
      <c r="AH8262">
        <v>6.0306160819698196</v>
      </c>
      <c r="AI8262">
        <v>98.159750632616294</v>
      </c>
      <c r="AJ8262">
        <v>129.852121015264</v>
      </c>
      <c r="AK8262">
        <v>7.9357641590215602</v>
      </c>
      <c r="AL8262">
        <v>94.319955290519601</v>
      </c>
      <c r="AM8262">
        <v>104.664870652435</v>
      </c>
      <c r="AN8262">
        <v>1.0000000342875</v>
      </c>
    </row>
    <row r="8263" spans="1:40" x14ac:dyDescent="0.25">
      <c r="A8263" t="str">
        <f>"20190303154338783"</f>
        <v>20190303154338783</v>
      </c>
      <c r="B8263" t="str">
        <f>"1551599018778373"</f>
        <v>1551599018778373</v>
      </c>
      <c r="C8263" t="s">
        <v>40</v>
      </c>
      <c r="D8263">
        <v>5.625184</v>
      </c>
      <c r="E8263">
        <v>0.32433289999999998</v>
      </c>
      <c r="F8263" t="s">
        <v>42</v>
      </c>
      <c r="G8263">
        <v>-200.18620000000001</v>
      </c>
      <c r="H8263">
        <v>0.99502040000000003</v>
      </c>
      <c r="I8263">
        <v>-59.21069</v>
      </c>
      <c r="J8263">
        <v>-200.54140000000001</v>
      </c>
      <c r="K8263">
        <v>1.1263700000000001</v>
      </c>
      <c r="L8263">
        <v>-59.997309999999999</v>
      </c>
      <c r="M8263">
        <v>0.92429450000000002</v>
      </c>
      <c r="N8263">
        <v>-1.282963E-2</v>
      </c>
      <c r="O8263">
        <v>0.38146449999999998</v>
      </c>
      <c r="P8263">
        <v>0.79264299999999999</v>
      </c>
      <c r="Q8263">
        <v>-8.5077680000000003E-2</v>
      </c>
      <c r="R8263">
        <v>0.6037209</v>
      </c>
      <c r="S8263">
        <v>1.540543</v>
      </c>
      <c r="T8263">
        <v>-0.46014250000000001</v>
      </c>
      <c r="U8263">
        <v>2.8989560000000001</v>
      </c>
      <c r="V8263">
        <v>-0.25469950000000002</v>
      </c>
      <c r="W8263">
        <v>-7.6050800000000002E-2</v>
      </c>
      <c r="X8263">
        <v>0.96402509999999997</v>
      </c>
      <c r="Y8263">
        <v>-0.63391919999999902</v>
      </c>
      <c r="Z8263">
        <v>2.0096150000000002E-3</v>
      </c>
      <c r="AA8263">
        <v>0.77339669999999905</v>
      </c>
      <c r="AB8263">
        <v>19</v>
      </c>
      <c r="AC8263">
        <v>0.35519999999999602</v>
      </c>
      <c r="AD8263">
        <v>-0.13134960000000001</v>
      </c>
      <c r="AE8263">
        <v>0.78661999999999899</v>
      </c>
      <c r="AF8263">
        <v>-0.57822926335689695</v>
      </c>
      <c r="AG8263">
        <v>-0.13134960000000001</v>
      </c>
      <c r="AH8263">
        <v>0.61420378573128098</v>
      </c>
      <c r="AI8263">
        <v>98.850367916584602</v>
      </c>
      <c r="AJ8263">
        <v>133.27196730110899</v>
      </c>
      <c r="AK8263">
        <v>0.85372600336938198</v>
      </c>
      <c r="AL8263">
        <v>94.361601264874096</v>
      </c>
      <c r="AM8263">
        <v>104.799615654184</v>
      </c>
      <c r="AN8263">
        <v>0.99999997645544902</v>
      </c>
    </row>
    <row r="8264" spans="1:40" x14ac:dyDescent="0.25">
      <c r="A8264" t="str">
        <f>"20190303154338793"</f>
        <v>20190303154338793</v>
      </c>
      <c r="B8264" t="str">
        <f>"1551599018788130"</f>
        <v>1551599018788130</v>
      </c>
      <c r="C8264" t="s">
        <v>40</v>
      </c>
      <c r="D8264">
        <v>5.9818709999999999</v>
      </c>
      <c r="E8264">
        <v>0.32527089999999997</v>
      </c>
      <c r="F8264" t="s">
        <v>58</v>
      </c>
      <c r="G8264">
        <v>-196.84540000000001</v>
      </c>
      <c r="H8264" s="1">
        <v>-9.5681749999999992E-6</v>
      </c>
      <c r="I8264">
        <v>-52.908180000000002</v>
      </c>
      <c r="J8264">
        <v>-200.45580000000001</v>
      </c>
      <c r="K8264">
        <v>1.126396</v>
      </c>
      <c r="L8264">
        <v>-59.955840000000002</v>
      </c>
      <c r="M8264">
        <v>0.92230389999999995</v>
      </c>
      <c r="N8264">
        <v>-1.2766359999999999E-2</v>
      </c>
      <c r="O8264">
        <v>0.38625470000000001</v>
      </c>
      <c r="P8264">
        <v>0.78787689999999999</v>
      </c>
      <c r="Q8264">
        <v>-8.6008660000000001E-2</v>
      </c>
      <c r="R8264">
        <v>0.60979719999999904</v>
      </c>
      <c r="S8264">
        <v>1.5178069999999999</v>
      </c>
      <c r="T8264">
        <v>-0.46256449999999999</v>
      </c>
      <c r="U8264">
        <v>2.9112550000000001</v>
      </c>
      <c r="V8264">
        <v>-0.25712620000000003</v>
      </c>
      <c r="W8264">
        <v>-7.7106019999999997E-2</v>
      </c>
      <c r="X8264">
        <v>0.96329679999999995</v>
      </c>
      <c r="Y8264">
        <v>-0.63598390000000005</v>
      </c>
      <c r="Z8264">
        <v>1.420628E-3</v>
      </c>
      <c r="AA8264">
        <v>0.77170099999999997</v>
      </c>
      <c r="AB8264">
        <v>19</v>
      </c>
      <c r="AC8264">
        <v>3.6103999999999998</v>
      </c>
      <c r="AD8264">
        <v>-1.126405568175</v>
      </c>
      <c r="AE8264">
        <v>7.0476599999999996</v>
      </c>
      <c r="AF8264">
        <v>-5.0046988318133199</v>
      </c>
      <c r="AG8264">
        <v>-1.126405568175</v>
      </c>
      <c r="AH8264">
        <v>5.9325292487879997</v>
      </c>
      <c r="AI8264">
        <v>98.257461154058404</v>
      </c>
      <c r="AJ8264">
        <v>130.15107573739701</v>
      </c>
      <c r="AK8264">
        <v>7.8428759513901802</v>
      </c>
      <c r="AL8264">
        <v>94.422238995965003</v>
      </c>
      <c r="AM8264">
        <v>104.945135183582</v>
      </c>
      <c r="AN8264">
        <v>0.99999997296845899</v>
      </c>
    </row>
    <row r="8265" spans="1:40" x14ac:dyDescent="0.25">
      <c r="A8265" t="str">
        <f>"20190303154338806"</f>
        <v>20190303154338806</v>
      </c>
      <c r="B8265" t="str">
        <f>"1551599018797890"</f>
        <v>1551599018797890</v>
      </c>
      <c r="C8265" t="s">
        <v>40</v>
      </c>
      <c r="D8265">
        <v>5.6513299999999997</v>
      </c>
      <c r="E8265">
        <v>0.32548449999999901</v>
      </c>
      <c r="F8265" t="s">
        <v>42</v>
      </c>
      <c r="G8265">
        <v>-200.0369</v>
      </c>
      <c r="H8265">
        <v>0.99712460000000003</v>
      </c>
      <c r="I8265">
        <v>-59.141080000000002</v>
      </c>
      <c r="J8265">
        <v>-200.37020000000001</v>
      </c>
      <c r="K8265">
        <v>1.1264190000000001</v>
      </c>
      <c r="L8265">
        <v>-59.913420000000002</v>
      </c>
      <c r="M8265">
        <v>0.92026260000000004</v>
      </c>
      <c r="N8265">
        <v>-1.27061E-2</v>
      </c>
      <c r="O8265">
        <v>0.39109519999999998</v>
      </c>
      <c r="P8265">
        <v>0.78307579999999999</v>
      </c>
      <c r="Q8265">
        <v>-8.7088079999999998E-2</v>
      </c>
      <c r="R8265">
        <v>0.61579869999999903</v>
      </c>
      <c r="S8265">
        <v>1.4994350000000001</v>
      </c>
      <c r="T8265">
        <v>-0.46278639999999999</v>
      </c>
      <c r="U8265">
        <v>2.917084</v>
      </c>
      <c r="V8265">
        <v>-0.25944630000000002</v>
      </c>
      <c r="W8265">
        <v>-7.8304760000000001E-2</v>
      </c>
      <c r="X8265">
        <v>0.96257780000000004</v>
      </c>
      <c r="Y8265">
        <v>-0.63642749999999904</v>
      </c>
      <c r="Z8265">
        <v>6.8051739999999998E-4</v>
      </c>
      <c r="AA8265">
        <v>0.77133619999999903</v>
      </c>
      <c r="AB8265">
        <v>19</v>
      </c>
      <c r="AC8265">
        <v>0.33330000000000798</v>
      </c>
      <c r="AD8265">
        <v>-0.1292944</v>
      </c>
      <c r="AE8265">
        <v>0.77233999999999203</v>
      </c>
      <c r="AF8265">
        <v>-0.567053722886669</v>
      </c>
      <c r="AG8265">
        <v>-0.1292944</v>
      </c>
      <c r="AH8265">
        <v>0.59477939618991904</v>
      </c>
      <c r="AI8265">
        <v>98.941373782768096</v>
      </c>
      <c r="AJ8265">
        <v>133.63296837492001</v>
      </c>
      <c r="AK8265">
        <v>0.831883102751244</v>
      </c>
      <c r="AL8265">
        <v>94.491129836592293</v>
      </c>
      <c r="AM8265">
        <v>105.084623013079</v>
      </c>
      <c r="AN8265">
        <v>1.00000001953759</v>
      </c>
    </row>
    <row r="8266" spans="1:40" x14ac:dyDescent="0.25">
      <c r="A8266" t="str">
        <f>"20190303154338819"</f>
        <v>20190303154338819</v>
      </c>
      <c r="B8266" t="str">
        <f>"1551599018808626"</f>
        <v>1551599018808626</v>
      </c>
      <c r="C8266" t="s">
        <v>40</v>
      </c>
      <c r="D8266">
        <v>5.1746489999999996</v>
      </c>
      <c r="E8266">
        <v>0.32359460000000001</v>
      </c>
      <c r="F8266" t="s">
        <v>58</v>
      </c>
      <c r="G8266">
        <v>-196.79570000000001</v>
      </c>
      <c r="H8266" s="1">
        <v>-9.5911129999999993E-6</v>
      </c>
      <c r="I8266">
        <v>-52.831429999999997</v>
      </c>
      <c r="J8266">
        <v>-200.27189999999999</v>
      </c>
      <c r="K8266">
        <v>1.1264350000000001</v>
      </c>
      <c r="L8266">
        <v>-59.864289999999997</v>
      </c>
      <c r="M8266">
        <v>0.91787450000000004</v>
      </c>
      <c r="N8266">
        <v>-1.263804E-2</v>
      </c>
      <c r="O8266">
        <v>0.39666970000000001</v>
      </c>
      <c r="P8266">
        <v>0.77764860000000002</v>
      </c>
      <c r="Q8266">
        <v>-8.8345960000000001E-2</v>
      </c>
      <c r="R8266">
        <v>0.62246080000000004</v>
      </c>
      <c r="S8266">
        <v>1.4774320000000001</v>
      </c>
      <c r="T8266">
        <v>-0.46557470000000001</v>
      </c>
      <c r="U8266">
        <v>2.9271240000000001</v>
      </c>
      <c r="V8266">
        <v>-0.26185340000000001</v>
      </c>
      <c r="W8266">
        <v>-7.9694139999999997E-2</v>
      </c>
      <c r="X8266">
        <v>0.96181170000000005</v>
      </c>
      <c r="Y8266">
        <v>-0.63743640000000001</v>
      </c>
      <c r="Z8266">
        <v>-1.678765E-4</v>
      </c>
      <c r="AA8266">
        <v>0.77050289999999999</v>
      </c>
      <c r="AB8266">
        <v>19</v>
      </c>
      <c r="AC8266">
        <v>3.4761999999999702</v>
      </c>
      <c r="AD8266">
        <v>-1.1264445911130001</v>
      </c>
      <c r="AE8266">
        <v>7.0328600000000003</v>
      </c>
      <c r="AF8266">
        <v>-4.9742307575908598</v>
      </c>
      <c r="AG8266">
        <v>-1.1264445911130001</v>
      </c>
      <c r="AH8266">
        <v>5.8600971057111604</v>
      </c>
      <c r="AI8266">
        <v>98.337160979898798</v>
      </c>
      <c r="AJ8266">
        <v>130.32562195917501</v>
      </c>
      <c r="AK8266">
        <v>7.76869275586151</v>
      </c>
      <c r="AL8266">
        <v>94.570984874709097</v>
      </c>
      <c r="AM8266">
        <v>105.22967220535</v>
      </c>
      <c r="AN8266">
        <v>1.00000005264939</v>
      </c>
    </row>
    <row r="8267" spans="1:40" x14ac:dyDescent="0.25">
      <c r="A8267" t="str">
        <f>"20190303154338831"</f>
        <v>20190303154338831</v>
      </c>
      <c r="B8267" t="str">
        <f>"1551599018828146"</f>
        <v>1551599018828146</v>
      </c>
      <c r="C8267" t="s">
        <v>40</v>
      </c>
      <c r="D8267">
        <v>5.2355650000000002</v>
      </c>
      <c r="E8267">
        <v>0.32090269999999999</v>
      </c>
      <c r="F8267" t="s">
        <v>58</v>
      </c>
      <c r="G8267">
        <v>-196.78030000000001</v>
      </c>
      <c r="H8267" s="1">
        <v>-9.630601E-6</v>
      </c>
      <c r="I8267">
        <v>-52.718609999999998</v>
      </c>
      <c r="J8267">
        <v>-200.179</v>
      </c>
      <c r="K8267">
        <v>1.1264590000000001</v>
      </c>
      <c r="L8267">
        <v>-59.8170199999999</v>
      </c>
      <c r="M8267">
        <v>0.9155626</v>
      </c>
      <c r="N8267">
        <v>-1.2576779999999999E-2</v>
      </c>
      <c r="O8267">
        <v>0.40197880000000002</v>
      </c>
      <c r="P8267">
        <v>0.77226980000000001</v>
      </c>
      <c r="Q8267">
        <v>-8.9397879999999999E-2</v>
      </c>
      <c r="R8267">
        <v>0.62897320000000001</v>
      </c>
      <c r="S8267">
        <v>1.4422759999999999</v>
      </c>
      <c r="T8267">
        <v>-0.46530460000000001</v>
      </c>
      <c r="U8267">
        <v>2.9516909999999998</v>
      </c>
      <c r="V8267">
        <v>-0.26438830000000002</v>
      </c>
      <c r="W8267">
        <v>-8.0870899999999996E-2</v>
      </c>
      <c r="X8267">
        <v>0.96101959999999997</v>
      </c>
      <c r="Y8267">
        <v>-0.6429108</v>
      </c>
      <c r="Z8267">
        <v>-4.3243539999999998E-4</v>
      </c>
      <c r="AA8267">
        <v>0.76594090000000004</v>
      </c>
      <c r="AB8267">
        <v>19</v>
      </c>
      <c r="AC8267">
        <v>3.3986999999999901</v>
      </c>
      <c r="AD8267">
        <v>-1.1264686306010001</v>
      </c>
      <c r="AE8267">
        <v>7.0984099999999897</v>
      </c>
      <c r="AF8267">
        <v>-5.0301862641197603</v>
      </c>
      <c r="AG8267">
        <v>-1.1264686306010001</v>
      </c>
      <c r="AH8267">
        <v>5.8458413978063204</v>
      </c>
      <c r="AI8267">
        <v>98.310136790358101</v>
      </c>
      <c r="AJ8267">
        <v>130.71109257674399</v>
      </c>
      <c r="AK8267">
        <v>7.7939442566503798</v>
      </c>
      <c r="AL8267">
        <v>94.638626961439499</v>
      </c>
      <c r="AM8267">
        <v>105.382232316591</v>
      </c>
      <c r="AN8267">
        <v>0.99999997361392901</v>
      </c>
    </row>
    <row r="8268" spans="1:40" x14ac:dyDescent="0.25">
      <c r="A8268" t="str">
        <f>"20190303154338842"</f>
        <v>20190303154338842</v>
      </c>
      <c r="B8268" t="str">
        <f>"1551599018837906"</f>
        <v>1551599018837906</v>
      </c>
      <c r="C8268" t="s">
        <v>40</v>
      </c>
      <c r="D8268">
        <v>5.2514149999999997</v>
      </c>
      <c r="E8268">
        <v>0.31989709999999899</v>
      </c>
      <c r="F8268" t="s">
        <v>58</v>
      </c>
      <c r="G8268">
        <v>-196.7628</v>
      </c>
      <c r="H8268" s="1">
        <v>-9.6855469999999992E-6</v>
      </c>
      <c r="I8268">
        <v>-52.56268</v>
      </c>
      <c r="J8268">
        <v>-200.10239999999999</v>
      </c>
      <c r="K8268">
        <v>1.126476</v>
      </c>
      <c r="L8268">
        <v>-59.777500000000003</v>
      </c>
      <c r="M8268">
        <v>0.91361859999999995</v>
      </c>
      <c r="N8268">
        <v>-1.2528579999999999E-2</v>
      </c>
      <c r="O8268">
        <v>0.4063794</v>
      </c>
      <c r="P8268">
        <v>0.76722489999999999</v>
      </c>
      <c r="Q8268">
        <v>-9.0089009999999997E-2</v>
      </c>
      <c r="R8268">
        <v>0.63501969999999996</v>
      </c>
      <c r="S8268">
        <v>1.403564</v>
      </c>
      <c r="T8268">
        <v>-0.46282319999999999</v>
      </c>
      <c r="U8268">
        <v>2.9805299999999999</v>
      </c>
      <c r="V8268">
        <v>-0.26732610000000001</v>
      </c>
      <c r="W8268">
        <v>-8.1675899999999996E-2</v>
      </c>
      <c r="X8268">
        <v>0.96013839999999995</v>
      </c>
      <c r="Y8268">
        <v>-0.65022179999999996</v>
      </c>
      <c r="Z8268">
        <v>-3.0132379999999999E-4</v>
      </c>
      <c r="AA8268">
        <v>0.75974449999999905</v>
      </c>
      <c r="AB8268">
        <v>19</v>
      </c>
      <c r="AC8268">
        <v>3.3395999999999901</v>
      </c>
      <c r="AD8268">
        <v>-1.126485685547</v>
      </c>
      <c r="AE8268">
        <v>7.2148199999999898</v>
      </c>
      <c r="AF8268">
        <v>-5.13183015044818</v>
      </c>
      <c r="AG8268">
        <v>-1.126485685547</v>
      </c>
      <c r="AH8268">
        <v>5.8657794839268096</v>
      </c>
      <c r="AI8268">
        <v>98.224372929603703</v>
      </c>
      <c r="AJ8268">
        <v>131.18190356852099</v>
      </c>
      <c r="AK8268">
        <v>7.8747710853616502</v>
      </c>
      <c r="AL8268">
        <v>94.684903163926194</v>
      </c>
      <c r="AM8268">
        <v>105.558507930058</v>
      </c>
      <c r="AN8268">
        <v>0.99999997176828903</v>
      </c>
    </row>
    <row r="8269" spans="1:40" x14ac:dyDescent="0.25">
      <c r="A8269" t="str">
        <f>"20190303154338853"</f>
        <v>20190303154338853</v>
      </c>
      <c r="B8269" t="str">
        <f>"1551599018848644"</f>
        <v>1551599018848644</v>
      </c>
      <c r="C8269" t="s">
        <v>40</v>
      </c>
      <c r="D8269">
        <v>5.170051</v>
      </c>
      <c r="E8269">
        <v>0.31889919999999999</v>
      </c>
      <c r="F8269" t="s">
        <v>58</v>
      </c>
      <c r="G8269">
        <v>-196.73990000000001</v>
      </c>
      <c r="H8269" s="1">
        <v>-9.7264859999999992E-6</v>
      </c>
      <c r="I8269">
        <v>-52.443770000000001</v>
      </c>
      <c r="J8269">
        <v>-200.0086</v>
      </c>
      <c r="K8269">
        <v>1.1264989999999999</v>
      </c>
      <c r="L8269">
        <v>-59.728520000000003</v>
      </c>
      <c r="M8269">
        <v>0.91119459999999997</v>
      </c>
      <c r="N8269">
        <v>-1.247147E-2</v>
      </c>
      <c r="O8269">
        <v>0.41178730000000002</v>
      </c>
      <c r="P8269">
        <v>0.76144869999999898</v>
      </c>
      <c r="Q8269">
        <v>-9.0750609999999995E-2</v>
      </c>
      <c r="R8269">
        <v>0.64184129999999995</v>
      </c>
      <c r="S8269">
        <v>1.374649</v>
      </c>
      <c r="T8269">
        <v>-0.46051979999999998</v>
      </c>
      <c r="U8269">
        <v>2.9981080000000002</v>
      </c>
      <c r="V8269">
        <v>-0.27021630000000002</v>
      </c>
      <c r="W8269">
        <v>-8.2462140000000003E-2</v>
      </c>
      <c r="X8269">
        <v>0.95926180000000005</v>
      </c>
      <c r="Y8269">
        <v>-0.65350559999999902</v>
      </c>
      <c r="Z8269">
        <v>-7.6605009999999895E-4</v>
      </c>
      <c r="AA8269">
        <v>0.75692139999999997</v>
      </c>
      <c r="AB8269">
        <v>19</v>
      </c>
      <c r="AC8269">
        <v>3.2686999999999902</v>
      </c>
      <c r="AD8269">
        <v>-1.1265087264860001</v>
      </c>
      <c r="AE8269">
        <v>7.2847499999999998</v>
      </c>
      <c r="AF8269">
        <v>-5.1889385483480996</v>
      </c>
      <c r="AG8269">
        <v>-1.1265087264860001</v>
      </c>
      <c r="AH8269">
        <v>5.8619684995574302</v>
      </c>
      <c r="AI8269">
        <v>98.188406412018296</v>
      </c>
      <c r="AJ8269">
        <v>131.51483770777199</v>
      </c>
      <c r="AK8269">
        <v>7.9092844087936101</v>
      </c>
      <c r="AL8269">
        <v>94.730103615532698</v>
      </c>
      <c r="AM8269">
        <v>105.732099327307</v>
      </c>
      <c r="AN8269">
        <v>1.00000002712915</v>
      </c>
    </row>
    <row r="8270" spans="1:40" x14ac:dyDescent="0.25">
      <c r="A8270" t="str">
        <f>"20190303154338867"</f>
        <v>20190303154338867</v>
      </c>
      <c r="B8270" t="str">
        <f>"1551599018858401"</f>
        <v>1551599018858401</v>
      </c>
      <c r="C8270" t="s">
        <v>40</v>
      </c>
      <c r="D8270">
        <v>5.4997850000000001</v>
      </c>
      <c r="E8270">
        <v>0.3190577</v>
      </c>
      <c r="F8270" t="s">
        <v>58</v>
      </c>
      <c r="G8270">
        <v>-196.7115</v>
      </c>
      <c r="H8270" s="1">
        <v>-9.7692469999999998E-6</v>
      </c>
      <c r="I8270">
        <v>-52.318370000000002</v>
      </c>
      <c r="J8270">
        <v>-199.9196</v>
      </c>
      <c r="K8270">
        <v>1.1265160000000001</v>
      </c>
      <c r="L8270">
        <v>-59.681179999999998</v>
      </c>
      <c r="M8270">
        <v>0.90884410000000004</v>
      </c>
      <c r="N8270">
        <v>-1.242211E-2</v>
      </c>
      <c r="O8270">
        <v>0.41695120000000002</v>
      </c>
      <c r="P8270">
        <v>0.75588140000000004</v>
      </c>
      <c r="Q8270">
        <v>-9.1310810000000006E-2</v>
      </c>
      <c r="R8270">
        <v>0.64830989999999999</v>
      </c>
      <c r="S8270">
        <v>1.342285</v>
      </c>
      <c r="T8270">
        <v>-0.4586191</v>
      </c>
      <c r="U8270">
        <v>3.016785</v>
      </c>
      <c r="V8270">
        <v>-0.27296179999999998</v>
      </c>
      <c r="W8270">
        <v>-8.3133979999999996E-2</v>
      </c>
      <c r="X8270">
        <v>0.95842609999999995</v>
      </c>
      <c r="Y8270">
        <v>-0.65775109999999903</v>
      </c>
      <c r="Z8270">
        <v>-1.0937379999999999E-3</v>
      </c>
      <c r="AA8270">
        <v>0.75323450000000003</v>
      </c>
      <c r="AB8270">
        <v>19</v>
      </c>
      <c r="AC8270">
        <v>3.2081</v>
      </c>
      <c r="AD8270">
        <v>-1.1265257692470001</v>
      </c>
      <c r="AE8270">
        <v>7.3628099999999996</v>
      </c>
      <c r="AF8270">
        <v>-5.25112472693566</v>
      </c>
      <c r="AG8270">
        <v>-1.1265257692470001</v>
      </c>
      <c r="AH8270">
        <v>5.8705563409874397</v>
      </c>
      <c r="AI8270">
        <v>98.139549121737005</v>
      </c>
      <c r="AJ8270">
        <v>131.81215571020701</v>
      </c>
      <c r="AK8270">
        <v>7.9565572303176797</v>
      </c>
      <c r="AL8270">
        <v>94.768729989508401</v>
      </c>
      <c r="AM8270">
        <v>105.897066238946</v>
      </c>
      <c r="AN8270">
        <v>0.99999999602554501</v>
      </c>
    </row>
    <row r="8271" spans="1:40" x14ac:dyDescent="0.25">
      <c r="A8271" t="str">
        <f>"20190303154338879"</f>
        <v>20190303154338879</v>
      </c>
      <c r="B8271" t="str">
        <f>"1551599018868163"</f>
        <v>1551599018868163</v>
      </c>
      <c r="C8271" t="s">
        <v>40</v>
      </c>
      <c r="D8271">
        <v>5.5351309999999998</v>
      </c>
      <c r="E8271">
        <v>0.31921339999999998</v>
      </c>
      <c r="F8271" t="s">
        <v>58</v>
      </c>
      <c r="G8271">
        <v>-196.67160000000001</v>
      </c>
      <c r="H8271" s="1">
        <v>-9.8024880000000003E-6</v>
      </c>
      <c r="I8271">
        <v>-52.215969999999999</v>
      </c>
      <c r="J8271">
        <v>-199.8244</v>
      </c>
      <c r="K8271">
        <v>1.1265339999999999</v>
      </c>
      <c r="L8271">
        <v>-59.63</v>
      </c>
      <c r="M8271">
        <v>0.90628249999999999</v>
      </c>
      <c r="N8271">
        <v>-1.2371160000000001E-2</v>
      </c>
      <c r="O8271">
        <v>0.42249140000000002</v>
      </c>
      <c r="P8271">
        <v>0.74982399999999905</v>
      </c>
      <c r="Q8271">
        <v>-9.2150999999999997E-2</v>
      </c>
      <c r="R8271">
        <v>0.65518869999999996</v>
      </c>
      <c r="S8271">
        <v>1.3171839999999999</v>
      </c>
      <c r="T8271">
        <v>-0.45683669999999998</v>
      </c>
      <c r="U8271">
        <v>3.0273439999999998</v>
      </c>
      <c r="V8271">
        <v>-0.27588960000000001</v>
      </c>
      <c r="W8271">
        <v>-8.4091219999999994E-2</v>
      </c>
      <c r="X8271">
        <v>0.95750389999999996</v>
      </c>
      <c r="Y8271">
        <v>-0.65941079999999996</v>
      </c>
      <c r="Z8271">
        <v>-1.7615560000000001E-3</v>
      </c>
      <c r="AA8271">
        <v>0.75178069999999997</v>
      </c>
      <c r="AB8271">
        <v>19</v>
      </c>
      <c r="AC8271">
        <v>3.1527999999999801</v>
      </c>
      <c r="AD8271">
        <v>-1.1265438024879999</v>
      </c>
      <c r="AE8271">
        <v>7.4140300000000003</v>
      </c>
      <c r="AF8271">
        <v>-5.2842674301827097</v>
      </c>
      <c r="AG8271">
        <v>-1.1265438024879999</v>
      </c>
      <c r="AH8271">
        <v>5.8752746109822303</v>
      </c>
      <c r="AI8271">
        <v>98.1136167979666</v>
      </c>
      <c r="AJ8271">
        <v>131.96845874890801</v>
      </c>
      <c r="AK8271">
        <v>7.9819443099451899</v>
      </c>
      <c r="AL8271">
        <v>94.823768213326105</v>
      </c>
      <c r="AM8271">
        <v>106.073499340959</v>
      </c>
      <c r="AN8271">
        <v>1.00000006159222</v>
      </c>
    </row>
    <row r="8272" spans="1:40" x14ac:dyDescent="0.25">
      <c r="A8272" t="str">
        <f>"20190303154338892"</f>
        <v>20190303154338892</v>
      </c>
      <c r="B8272" t="str">
        <f>"1551599018888658"</f>
        <v>1551599018888658</v>
      </c>
      <c r="C8272" t="s">
        <v>40</v>
      </c>
      <c r="D8272">
        <v>5.5559349999999998</v>
      </c>
      <c r="E8272">
        <v>0.3191639</v>
      </c>
      <c r="F8272" t="s">
        <v>58</v>
      </c>
      <c r="G8272">
        <v>-196.6413</v>
      </c>
      <c r="H8272" s="1">
        <v>-9.8302829999999999E-6</v>
      </c>
      <c r="I8272">
        <v>-52.1312</v>
      </c>
      <c r="J8272">
        <v>-199.72210000000001</v>
      </c>
      <c r="K8272">
        <v>1.126552</v>
      </c>
      <c r="L8272">
        <v>-59.574039999999997</v>
      </c>
      <c r="M8272">
        <v>0.90346959999999998</v>
      </c>
      <c r="N8272">
        <v>-1.2320899999999999E-2</v>
      </c>
      <c r="O8272">
        <v>0.42847540000000001</v>
      </c>
      <c r="P8272">
        <v>0.74367079999999997</v>
      </c>
      <c r="Q8272">
        <v>-9.2989050000000004E-2</v>
      </c>
      <c r="R8272">
        <v>0.66204759999999996</v>
      </c>
      <c r="S8272">
        <v>1.289795</v>
      </c>
      <c r="T8272">
        <v>-0.45647549999999998</v>
      </c>
      <c r="U8272">
        <v>3.038513</v>
      </c>
      <c r="V8272">
        <v>-0.27837509999999999</v>
      </c>
      <c r="W8272">
        <v>-8.5037150000000006E-2</v>
      </c>
      <c r="X8272">
        <v>0.95670060000000001</v>
      </c>
      <c r="Y8272">
        <v>-0.66120500000000004</v>
      </c>
      <c r="Z8272">
        <v>-2.5176370000000001E-3</v>
      </c>
      <c r="AA8272">
        <v>0.75020100000000001</v>
      </c>
      <c r="AB8272">
        <v>19</v>
      </c>
      <c r="AC8272">
        <v>3.0808</v>
      </c>
      <c r="AD8272">
        <v>-1.1265618302830001</v>
      </c>
      <c r="AE8272">
        <v>7.4428400000000003</v>
      </c>
      <c r="AF8272">
        <v>-5.3010576859032401</v>
      </c>
      <c r="AG8272">
        <v>-1.1265618302830001</v>
      </c>
      <c r="AH8272">
        <v>5.8583508487768601</v>
      </c>
      <c r="AI8272">
        <v>98.115081617271699</v>
      </c>
      <c r="AJ8272">
        <v>132.141063390422</v>
      </c>
      <c r="AK8272">
        <v>7.9806408774038298</v>
      </c>
      <c r="AL8272">
        <v>94.878161017249496</v>
      </c>
      <c r="AM8272">
        <v>106.22362797679</v>
      </c>
      <c r="AN8272">
        <v>1.0000000256102399</v>
      </c>
    </row>
    <row r="8273" spans="1:40" x14ac:dyDescent="0.25">
      <c r="A8273" t="str">
        <f>"20190303154338908"</f>
        <v>20190303154338908</v>
      </c>
      <c r="B8273" t="str">
        <f>"1551599018898419"</f>
        <v>1551599018898419</v>
      </c>
      <c r="C8273" t="s">
        <v>40</v>
      </c>
      <c r="D8273">
        <v>5.6030350000000002</v>
      </c>
      <c r="E8273">
        <v>0.31901750000000001</v>
      </c>
      <c r="F8273" t="s">
        <v>58</v>
      </c>
      <c r="G8273">
        <v>-196.5966</v>
      </c>
      <c r="H8273" s="1">
        <v>-9.8684030000000001E-6</v>
      </c>
      <c r="I8273">
        <v>-52.014090000000003</v>
      </c>
      <c r="J8273">
        <v>-199.6122</v>
      </c>
      <c r="K8273">
        <v>1.1265579999999999</v>
      </c>
      <c r="L8273">
        <v>-59.512790000000003</v>
      </c>
      <c r="M8273">
        <v>0.90037909999999899</v>
      </c>
      <c r="N8273">
        <v>-1.227145E-2</v>
      </c>
      <c r="O8273">
        <v>0.43493310000000002</v>
      </c>
      <c r="P8273">
        <v>0.73552799999999996</v>
      </c>
      <c r="Q8273">
        <v>-9.4714950000000006E-2</v>
      </c>
      <c r="R8273">
        <v>0.67084100000000002</v>
      </c>
      <c r="S8273">
        <v>1.261261</v>
      </c>
      <c r="T8273">
        <v>-0.4546191</v>
      </c>
      <c r="U8273">
        <v>3.0507810000000002</v>
      </c>
      <c r="V8273">
        <v>-0.28295679999999901</v>
      </c>
      <c r="W8273">
        <v>-8.6905940000000001E-2</v>
      </c>
      <c r="X8273">
        <v>0.95518729999999996</v>
      </c>
      <c r="Y8273">
        <v>-0.66294439999999999</v>
      </c>
      <c r="Z8273">
        <v>-3.3089439999999999E-3</v>
      </c>
      <c r="AA8273">
        <v>0.74866129999999997</v>
      </c>
      <c r="AB8273">
        <v>19</v>
      </c>
      <c r="AC8273">
        <v>3.0156000000000001</v>
      </c>
      <c r="AD8273">
        <v>-1.1265678684029901</v>
      </c>
      <c r="AE8273">
        <v>7.4986999999999897</v>
      </c>
      <c r="AF8273">
        <v>-5.3368120446125102</v>
      </c>
      <c r="AG8273">
        <v>-1.1265678684029901</v>
      </c>
      <c r="AH8273">
        <v>5.8631539766087597</v>
      </c>
      <c r="AI8273">
        <v>98.0872633377234</v>
      </c>
      <c r="AJ8273">
        <v>132.309366864753</v>
      </c>
      <c r="AK8273">
        <v>8.0079518302161592</v>
      </c>
      <c r="AL8273">
        <v>94.985632914408399</v>
      </c>
      <c r="AM8273">
        <v>106.500961260754</v>
      </c>
      <c r="AN8273">
        <v>0.99999998557740599</v>
      </c>
    </row>
    <row r="8274" spans="1:40" x14ac:dyDescent="0.25">
      <c r="A8274" t="str">
        <f>"20190303154338929"</f>
        <v>20190303154338929</v>
      </c>
      <c r="B8274" t="str">
        <f>"1551599018917938"</f>
        <v>1551599018917938</v>
      </c>
      <c r="C8274" t="s">
        <v>40</v>
      </c>
      <c r="D8274">
        <v>5.5457140000000003</v>
      </c>
      <c r="E8274">
        <v>0.31904519999999997</v>
      </c>
      <c r="F8274" t="s">
        <v>58</v>
      </c>
      <c r="G8274">
        <v>-196.56880000000001</v>
      </c>
      <c r="H8274" s="1">
        <v>-9.913546E-6</v>
      </c>
      <c r="I8274">
        <v>-51.882300000000001</v>
      </c>
      <c r="J8274">
        <v>-199.4485</v>
      </c>
      <c r="K8274">
        <v>1.1265689999999999</v>
      </c>
      <c r="L8274">
        <v>-59.419800000000002</v>
      </c>
      <c r="M8274">
        <v>0.89565839999999997</v>
      </c>
      <c r="N8274">
        <v>-1.2204130000000001E-2</v>
      </c>
      <c r="O8274">
        <v>0.4445751</v>
      </c>
      <c r="P8274">
        <v>0.72685029999999995</v>
      </c>
      <c r="Q8274">
        <v>-9.5434019999999994E-2</v>
      </c>
      <c r="R8274">
        <v>0.68013299999999999</v>
      </c>
      <c r="S8274">
        <v>1.223206</v>
      </c>
      <c r="T8274">
        <v>-0.45280179999999998</v>
      </c>
      <c r="U8274">
        <v>3.0669249999999999</v>
      </c>
      <c r="V8274">
        <v>-0.28486250000000002</v>
      </c>
      <c r="W8274">
        <v>-8.7738499999999997E-2</v>
      </c>
      <c r="X8274">
        <v>0.95454450000000002</v>
      </c>
      <c r="Y8274">
        <v>-0.66435999999999995</v>
      </c>
      <c r="Z8274">
        <v>-4.6293699999999998E-3</v>
      </c>
      <c r="AA8274">
        <v>0.74739840000000002</v>
      </c>
      <c r="AB8274">
        <v>19</v>
      </c>
      <c r="AC8274">
        <v>2.8796999999999802</v>
      </c>
      <c r="AD8274">
        <v>-1.126578913546</v>
      </c>
      <c r="AE8274">
        <v>7.5374999999999996</v>
      </c>
      <c r="AF8274">
        <v>-5.3665745447988504</v>
      </c>
      <c r="AG8274">
        <v>-1.126578913546</v>
      </c>
      <c r="AH8274">
        <v>5.8172533350818396</v>
      </c>
      <c r="AI8274">
        <v>98.101188748142604</v>
      </c>
      <c r="AJ8274">
        <v>132.69237963715699</v>
      </c>
      <c r="AK8274">
        <v>7.9943566819257201</v>
      </c>
      <c r="AL8274">
        <v>95.033518208889902</v>
      </c>
      <c r="AM8274">
        <v>106.61655957797301</v>
      </c>
      <c r="AN8274">
        <v>0.99999994538437298</v>
      </c>
    </row>
    <row r="8275" spans="1:40" x14ac:dyDescent="0.25">
      <c r="A8275" t="str">
        <f>"20190303154338941"</f>
        <v>20190303154338941</v>
      </c>
      <c r="B8275" t="str">
        <f>"1551599018937964"</f>
        <v>1551599018937964</v>
      </c>
      <c r="C8275" t="s">
        <v>40</v>
      </c>
      <c r="D8275">
        <v>5.678534</v>
      </c>
      <c r="E8275">
        <v>0.319106099999999</v>
      </c>
      <c r="F8275" t="s">
        <v>58</v>
      </c>
      <c r="G8275">
        <v>-196.4769</v>
      </c>
      <c r="H8275" s="1">
        <v>-9.9768299999999995E-6</v>
      </c>
      <c r="I8275">
        <v>-51.682969999999997</v>
      </c>
      <c r="J8275">
        <v>-199.3638</v>
      </c>
      <c r="K8275">
        <v>1.126565</v>
      </c>
      <c r="L8275">
        <v>-59.370730000000002</v>
      </c>
      <c r="M8275">
        <v>0.89315659999999897</v>
      </c>
      <c r="N8275">
        <v>-1.2172280000000001E-2</v>
      </c>
      <c r="O8275">
        <v>0.44958110000000001</v>
      </c>
      <c r="P8275">
        <v>0.72035249999999995</v>
      </c>
      <c r="Q8275">
        <v>-9.6127900000000002E-2</v>
      </c>
      <c r="R8275">
        <v>0.68691459999999904</v>
      </c>
      <c r="S8275">
        <v>1.1840059999999999</v>
      </c>
      <c r="T8275">
        <v>-0.44886239999999999</v>
      </c>
      <c r="U8275">
        <v>3.0825809999999998</v>
      </c>
      <c r="V8275">
        <v>-0.288489099999999</v>
      </c>
      <c r="W8275">
        <v>-8.8532020000000003E-2</v>
      </c>
      <c r="X8275">
        <v>0.95338140000000005</v>
      </c>
      <c r="Y8275">
        <v>-0.66973549999999904</v>
      </c>
      <c r="Z8275">
        <v>-4.7429610000000004E-3</v>
      </c>
      <c r="AA8275">
        <v>0.74258459999999904</v>
      </c>
      <c r="AB8275">
        <v>19</v>
      </c>
      <c r="AC8275">
        <v>2.88689999999999</v>
      </c>
      <c r="AD8275">
        <v>-1.12657497683</v>
      </c>
      <c r="AE8275">
        <v>7.6877599999999902</v>
      </c>
      <c r="AF8275">
        <v>-5.4660175929623502</v>
      </c>
      <c r="AG8275">
        <v>-1.12657497683</v>
      </c>
      <c r="AH8275">
        <v>5.9236860928491897</v>
      </c>
      <c r="AI8275">
        <v>97.956655882836003</v>
      </c>
      <c r="AJ8275">
        <v>132.69894156103501</v>
      </c>
      <c r="AK8275">
        <v>8.1385856530240197</v>
      </c>
      <c r="AL8275">
        <v>95.079160968442693</v>
      </c>
      <c r="AM8275">
        <v>106.83558870618801</v>
      </c>
      <c r="AN8275">
        <v>0.99999998662502498</v>
      </c>
    </row>
    <row r="8276" spans="1:40" x14ac:dyDescent="0.25">
      <c r="A8276" t="str">
        <f>"20190303154338952"</f>
        <v>20190303154338952</v>
      </c>
      <c r="B8276" t="str">
        <f>"1551599018948700"</f>
        <v>1551599018948700</v>
      </c>
      <c r="C8276" t="s">
        <v>40</v>
      </c>
      <c r="D8276">
        <v>5.8544970000000003</v>
      </c>
      <c r="E8276">
        <v>0.319106099999999</v>
      </c>
      <c r="F8276" t="s">
        <v>58</v>
      </c>
      <c r="G8276">
        <v>-196.42830000000001</v>
      </c>
      <c r="H8276" s="1">
        <v>-1.0034870000000001E-5</v>
      </c>
      <c r="I8276">
        <v>-51.51</v>
      </c>
      <c r="J8276">
        <v>-199.27979999999999</v>
      </c>
      <c r="K8276">
        <v>1.126563</v>
      </c>
      <c r="L8276">
        <v>-59.3215</v>
      </c>
      <c r="M8276">
        <v>0.89063950000000003</v>
      </c>
      <c r="N8276">
        <v>-1.214233E-2</v>
      </c>
      <c r="O8276">
        <v>0.45454800000000001</v>
      </c>
      <c r="P8276">
        <v>0.71504730000000005</v>
      </c>
      <c r="Q8276">
        <v>-9.6582310000000005E-2</v>
      </c>
      <c r="R8276">
        <v>0.69237230000000005</v>
      </c>
      <c r="S8276">
        <v>1.155319</v>
      </c>
      <c r="T8276">
        <v>-0.44338270000000002</v>
      </c>
      <c r="U8276">
        <v>3.0937190000000001</v>
      </c>
      <c r="V8276">
        <v>-0.2904466</v>
      </c>
      <c r="W8276">
        <v>-8.9053060000000003E-2</v>
      </c>
      <c r="X8276">
        <v>0.95273830000000004</v>
      </c>
      <c r="Y8276">
        <v>-0.67257999999999996</v>
      </c>
      <c r="Z8276">
        <v>-5.0501560000000001E-3</v>
      </c>
      <c r="AA8276">
        <v>0.74000719999999998</v>
      </c>
      <c r="AB8276">
        <v>19</v>
      </c>
      <c r="AC8276">
        <v>2.8514999999999802</v>
      </c>
      <c r="AD8276">
        <v>-1.12657303487</v>
      </c>
      <c r="AE8276">
        <v>7.8114999999999997</v>
      </c>
      <c r="AF8276">
        <v>-5.5594674763088898</v>
      </c>
      <c r="AG8276">
        <v>-1.12657303487</v>
      </c>
      <c r="AH8276">
        <v>5.9810352067995698</v>
      </c>
      <c r="AI8276">
        <v>97.8550646215283</v>
      </c>
      <c r="AJ8276">
        <v>132.90794930781101</v>
      </c>
      <c r="AK8276">
        <v>8.2431564080762492</v>
      </c>
      <c r="AL8276">
        <v>95.109132823308698</v>
      </c>
      <c r="AM8276">
        <v>106.954080852335</v>
      </c>
      <c r="AN8276">
        <v>0.99999997161690601</v>
      </c>
    </row>
    <row r="8277" spans="1:40" x14ac:dyDescent="0.25">
      <c r="A8277" t="str">
        <f>"20190303154338964"</f>
        <v>20190303154338964</v>
      </c>
      <c r="B8277" t="str">
        <f>"1551599018958460"</f>
        <v>1551599018958460</v>
      </c>
      <c r="C8277" t="s">
        <v>40</v>
      </c>
      <c r="D8277">
        <v>5.8345070000000003</v>
      </c>
      <c r="E8277">
        <v>0.34228249999999999</v>
      </c>
      <c r="F8277" t="s">
        <v>58</v>
      </c>
      <c r="G8277">
        <v>-196.40520000000001</v>
      </c>
      <c r="H8277" s="1">
        <v>-1.005845E-5</v>
      </c>
      <c r="I8277">
        <v>-51.438800000000001</v>
      </c>
      <c r="J8277">
        <v>-199.20179999999999</v>
      </c>
      <c r="K8277">
        <v>1.126555</v>
      </c>
      <c r="L8277">
        <v>-59.275120000000001</v>
      </c>
      <c r="M8277">
        <v>0.88826970000000005</v>
      </c>
      <c r="N8277">
        <v>-1.211657E-2</v>
      </c>
      <c r="O8277">
        <v>0.45916249999999997</v>
      </c>
      <c r="P8277">
        <v>0.71031789999999995</v>
      </c>
      <c r="Q8277">
        <v>-9.741727E-2</v>
      </c>
      <c r="R8277">
        <v>0.69710719999999904</v>
      </c>
      <c r="S8277">
        <v>1.131424</v>
      </c>
      <c r="T8277">
        <v>-0.4434148</v>
      </c>
      <c r="U8277">
        <v>3.1025999999999998</v>
      </c>
      <c r="V8277">
        <v>-0.2918712</v>
      </c>
      <c r="W8277">
        <v>-8.9939740000000004E-2</v>
      </c>
      <c r="X8277">
        <v>0.9522195</v>
      </c>
      <c r="Y8277">
        <v>-0.67446479999999998</v>
      </c>
      <c r="Z8277">
        <v>-5.5765509999999999E-3</v>
      </c>
      <c r="AA8277">
        <v>0.738286</v>
      </c>
      <c r="AB8277">
        <v>19</v>
      </c>
      <c r="AC8277">
        <v>2.7965999999999802</v>
      </c>
      <c r="AD8277">
        <v>-1.12656505845</v>
      </c>
      <c r="AE8277">
        <v>7.83631999999999</v>
      </c>
      <c r="AF8277">
        <v>-5.5748858794880798</v>
      </c>
      <c r="AG8277">
        <v>-1.12656505845</v>
      </c>
      <c r="AH8277">
        <v>5.9732206669540702</v>
      </c>
      <c r="AI8277">
        <v>97.850461828238295</v>
      </c>
      <c r="AJ8277">
        <v>133.024450420775</v>
      </c>
      <c r="AK8277">
        <v>8.2479007351182005</v>
      </c>
      <c r="AL8277">
        <v>95.160140567973301</v>
      </c>
      <c r="AM8277">
        <v>107.041177960759</v>
      </c>
      <c r="AN8277">
        <v>0.99999996520047796</v>
      </c>
    </row>
    <row r="8278" spans="1:40" x14ac:dyDescent="0.25">
      <c r="A8278" t="str">
        <f>"20190303154338977"</f>
        <v>20190303154338977</v>
      </c>
      <c r="B8278" t="str">
        <f>"1551599018968220"</f>
        <v>1551599018968220</v>
      </c>
      <c r="C8278" t="s">
        <v>40</v>
      </c>
      <c r="D8278">
        <v>5.7930970000000004</v>
      </c>
      <c r="E8278">
        <v>0.33980549999999998</v>
      </c>
      <c r="F8278" t="s">
        <v>58</v>
      </c>
      <c r="G8278">
        <v>-196.011</v>
      </c>
      <c r="H8278" s="1">
        <v>-9.9562960000000006E-6</v>
      </c>
      <c r="I8278">
        <v>-51.611449999999998</v>
      </c>
      <c r="J8278">
        <v>-199.11099999999999</v>
      </c>
      <c r="K8278">
        <v>1.126544</v>
      </c>
      <c r="L8278">
        <v>-59.220640000000003</v>
      </c>
      <c r="M8278">
        <v>0.88547240000000005</v>
      </c>
      <c r="N8278">
        <v>-1.208762E-2</v>
      </c>
      <c r="O8278">
        <v>0.46453480000000003</v>
      </c>
      <c r="P8278">
        <v>0.70505240000000002</v>
      </c>
      <c r="Q8278">
        <v>-9.8201739999999996E-2</v>
      </c>
      <c r="R8278">
        <v>0.70232299999999903</v>
      </c>
      <c r="S8278">
        <v>1.240189</v>
      </c>
      <c r="T8278">
        <v>-0.43786199999999997</v>
      </c>
      <c r="U8278">
        <v>2.9786380000000001</v>
      </c>
      <c r="V8278">
        <v>-0.29315760000000002</v>
      </c>
      <c r="W8278">
        <v>-9.0775770000000006E-2</v>
      </c>
      <c r="X8278">
        <v>0.9517449</v>
      </c>
      <c r="Y8278">
        <v>-0.63642569999999998</v>
      </c>
      <c r="Z8278">
        <v>-1.0324369999999999E-2</v>
      </c>
      <c r="AA8278">
        <v>0.77126899999999998</v>
      </c>
      <c r="AB8278">
        <v>19</v>
      </c>
      <c r="AC8278">
        <v>3.0999999999999899</v>
      </c>
      <c r="AD8278">
        <v>-1.1265539562960001</v>
      </c>
      <c r="AE8278">
        <v>7.6091899999999999</v>
      </c>
      <c r="AF8278">
        <v>-5.2002958053251396</v>
      </c>
      <c r="AG8278">
        <v>-1.1265539562960001</v>
      </c>
      <c r="AH8278">
        <v>6.16427373872133</v>
      </c>
      <c r="AI8278">
        <v>97.952043264813199</v>
      </c>
      <c r="AJ8278">
        <v>130.151600577853</v>
      </c>
      <c r="AK8278">
        <v>8.1431241550904705</v>
      </c>
      <c r="AL8278">
        <v>95.208238199014701</v>
      </c>
      <c r="AM8278">
        <v>107.119941414423</v>
      </c>
      <c r="AN8278">
        <v>0.99999998676643098</v>
      </c>
    </row>
    <row r="8279" spans="1:40" x14ac:dyDescent="0.25">
      <c r="A8279" t="str">
        <f>"20190303154338988"</f>
        <v>20190303154338988</v>
      </c>
      <c r="B8279" t="str">
        <f>"1551599018977981"</f>
        <v>1551599018977981</v>
      </c>
      <c r="C8279" t="s">
        <v>40</v>
      </c>
      <c r="D8279">
        <v>5.844754</v>
      </c>
      <c r="E8279">
        <v>0.34011209999999997</v>
      </c>
      <c r="F8279" t="s">
        <v>58</v>
      </c>
      <c r="G8279">
        <v>-195.7944</v>
      </c>
      <c r="H8279" s="1">
        <v>-1.017241E-5</v>
      </c>
      <c r="I8279">
        <v>-50.957569999999997</v>
      </c>
      <c r="J8279">
        <v>-199.02029999999999</v>
      </c>
      <c r="K8279">
        <v>1.1265320000000001</v>
      </c>
      <c r="L8279">
        <v>-59.165100000000002</v>
      </c>
      <c r="M8279">
        <v>0.88263019999999903</v>
      </c>
      <c r="N8279">
        <v>-1.206542E-2</v>
      </c>
      <c r="O8279">
        <v>0.46991329999999998</v>
      </c>
      <c r="P8279">
        <v>0.69982239999999996</v>
      </c>
      <c r="Q8279">
        <v>-9.9117339999999998E-2</v>
      </c>
      <c r="R8279">
        <v>0.7074068</v>
      </c>
      <c r="S8279">
        <v>1.2057040000000001</v>
      </c>
      <c r="T8279">
        <v>-0.40954030000000002</v>
      </c>
      <c r="U8279">
        <v>3.0039060000000002</v>
      </c>
      <c r="V8279">
        <v>-0.29430190000000001</v>
      </c>
      <c r="W8279">
        <v>-9.1731919999999995E-2</v>
      </c>
      <c r="X8279">
        <v>0.95130000000000003</v>
      </c>
      <c r="Y8279">
        <v>-0.64186969999999899</v>
      </c>
      <c r="Z8279">
        <v>-9.2795120000000002E-3</v>
      </c>
      <c r="AA8279">
        <v>0.76675749999999998</v>
      </c>
      <c r="AB8279">
        <v>19</v>
      </c>
      <c r="AC8279">
        <v>3.22589999999999</v>
      </c>
      <c r="AD8279">
        <v>-1.12654217240999</v>
      </c>
      <c r="AE8279">
        <v>8.2075299999999896</v>
      </c>
      <c r="AF8279">
        <v>-5.6367531582912003</v>
      </c>
      <c r="AG8279">
        <v>-1.12654217240999</v>
      </c>
      <c r="AH8279">
        <v>6.59693896484508</v>
      </c>
      <c r="AI8279">
        <v>97.397270838642498</v>
      </c>
      <c r="AJ8279">
        <v>130.51222621228999</v>
      </c>
      <c r="AK8279">
        <v>8.7499535507118793</v>
      </c>
      <c r="AL8279">
        <v>95.263250909161002</v>
      </c>
      <c r="AM8279">
        <v>107.190400814993</v>
      </c>
      <c r="AN8279">
        <v>1.0000000217452401</v>
      </c>
    </row>
    <row r="8280" spans="1:40" x14ac:dyDescent="0.25">
      <c r="A8280" t="str">
        <f>"20190303154338999"</f>
        <v>20190303154338999</v>
      </c>
      <c r="B8280" t="str">
        <f>"1551599018987740"</f>
        <v>1551599018987740</v>
      </c>
      <c r="C8280" t="s">
        <v>40</v>
      </c>
      <c r="D8280">
        <v>5.8036490000000001</v>
      </c>
      <c r="E8280">
        <v>0.33992309999999998</v>
      </c>
      <c r="F8280" t="s">
        <v>58</v>
      </c>
      <c r="G8280">
        <v>-195.7518</v>
      </c>
      <c r="H8280" s="1">
        <v>-1.02029E-5</v>
      </c>
      <c r="I8280">
        <v>-50.862009999999998</v>
      </c>
      <c r="J8280">
        <v>-198.9408</v>
      </c>
      <c r="K8280">
        <v>1.1265210000000001</v>
      </c>
      <c r="L8280">
        <v>-59.116059999999997</v>
      </c>
      <c r="M8280">
        <v>0.88011030000000001</v>
      </c>
      <c r="N8280">
        <v>-1.2048629999999999E-2</v>
      </c>
      <c r="O8280">
        <v>0.47461639999999999</v>
      </c>
      <c r="P8280">
        <v>0.6950364</v>
      </c>
      <c r="Q8280">
        <v>-0.100421</v>
      </c>
      <c r="R8280">
        <v>0.71192709999999904</v>
      </c>
      <c r="S8280">
        <v>1.1852720000000001</v>
      </c>
      <c r="T8280">
        <v>-0.40853109999999998</v>
      </c>
      <c r="U8280">
        <v>3.011047</v>
      </c>
      <c r="V8280">
        <v>-0.29546</v>
      </c>
      <c r="W8280">
        <v>-9.307153E-2</v>
      </c>
      <c r="X8280">
        <v>0.95081070000000001</v>
      </c>
      <c r="Y8280">
        <v>-0.64292780000000005</v>
      </c>
      <c r="Z8280">
        <v>-9.8181889999999997E-3</v>
      </c>
      <c r="AA8280">
        <v>0.76586379999999998</v>
      </c>
      <c r="AB8280">
        <v>19</v>
      </c>
      <c r="AC8280">
        <v>3.1889999999999898</v>
      </c>
      <c r="AD8280">
        <v>-1.1265312029000001</v>
      </c>
      <c r="AE8280">
        <v>8.2540499999999994</v>
      </c>
      <c r="AF8280">
        <v>-5.6596090500766101</v>
      </c>
      <c r="AG8280">
        <v>-1.1265312029000001</v>
      </c>
      <c r="AH8280">
        <v>6.6174121158601498</v>
      </c>
      <c r="AI8280">
        <v>97.371647559719406</v>
      </c>
      <c r="AJ8280">
        <v>130.53905306426199</v>
      </c>
      <c r="AK8280">
        <v>8.7801133399261495</v>
      </c>
      <c r="AL8280">
        <v>95.340335053154107</v>
      </c>
      <c r="AM8280">
        <v>107.26238900206</v>
      </c>
      <c r="AN8280">
        <v>0.99999995426551402</v>
      </c>
    </row>
    <row r="8281" spans="1:40" x14ac:dyDescent="0.25">
      <c r="A8281" t="str">
        <f>"20190303154339010"</f>
        <v>20190303154339010</v>
      </c>
      <c r="B8281" t="str">
        <f>"1551599018998475"</f>
        <v>1551599018998475</v>
      </c>
      <c r="C8281" t="s">
        <v>40</v>
      </c>
      <c r="D8281">
        <v>5.8042089999999904</v>
      </c>
      <c r="E8281">
        <v>0.33994849999999999</v>
      </c>
      <c r="F8281" t="s">
        <v>58</v>
      </c>
      <c r="G8281">
        <v>-195.66229999999999</v>
      </c>
      <c r="H8281" s="1">
        <v>-1.028431E-5</v>
      </c>
      <c r="I8281">
        <v>-50.613480000000003</v>
      </c>
      <c r="J8281">
        <v>-198.86099999999999</v>
      </c>
      <c r="K8281">
        <v>1.1265080000000001</v>
      </c>
      <c r="L8281">
        <v>-59.066130000000001</v>
      </c>
      <c r="M8281">
        <v>0.87754599999999905</v>
      </c>
      <c r="N8281">
        <v>-1.2036440000000001E-2</v>
      </c>
      <c r="O8281">
        <v>0.47934159999999998</v>
      </c>
      <c r="P8281">
        <v>0.69020630000000005</v>
      </c>
      <c r="Q8281">
        <v>-0.1016635</v>
      </c>
      <c r="R8281">
        <v>0.71643559999999995</v>
      </c>
      <c r="S8281">
        <v>1.164658</v>
      </c>
      <c r="T8281">
        <v>-0.40018799999999999</v>
      </c>
      <c r="U8281">
        <v>3.0204469999999999</v>
      </c>
      <c r="V8281">
        <v>-0.29660520000000001</v>
      </c>
      <c r="W8281">
        <v>-9.4344440000000002E-2</v>
      </c>
      <c r="X8281">
        <v>0.95032859999999997</v>
      </c>
      <c r="Y8281">
        <v>-0.64425059999999901</v>
      </c>
      <c r="Z8281">
        <v>-9.962317E-3</v>
      </c>
      <c r="AA8281">
        <v>0.76474960000000003</v>
      </c>
      <c r="AB8281">
        <v>19</v>
      </c>
      <c r="AC8281">
        <v>3.1987000000000001</v>
      </c>
      <c r="AD8281">
        <v>-1.1265182843099999</v>
      </c>
      <c r="AE8281">
        <v>8.4526500000000002</v>
      </c>
      <c r="AF8281">
        <v>-5.7947125927575698</v>
      </c>
      <c r="AG8281">
        <v>-1.1265182843099999</v>
      </c>
      <c r="AH8281">
        <v>6.7542684306083798</v>
      </c>
      <c r="AI8281">
        <v>97.214359619963702</v>
      </c>
      <c r="AJ8281">
        <v>130.62739610485301</v>
      </c>
      <c r="AK8281">
        <v>8.9703890389581709</v>
      </c>
      <c r="AL8281">
        <v>95.413589617158493</v>
      </c>
      <c r="AM8281">
        <v>107.333562893136</v>
      </c>
      <c r="AN8281">
        <v>0.99999998300195603</v>
      </c>
    </row>
    <row r="8282" spans="1:40" x14ac:dyDescent="0.25">
      <c r="A8282" t="str">
        <f>"20190303154339022"</f>
        <v>20190303154339022</v>
      </c>
      <c r="B8282" t="str">
        <f>"1551599019017995"</f>
        <v>1551599019017995</v>
      </c>
      <c r="C8282" t="s">
        <v>40</v>
      </c>
      <c r="D8282">
        <v>5.8040960000000004</v>
      </c>
      <c r="E8282">
        <v>0.34215620000000002</v>
      </c>
      <c r="F8282" t="s">
        <v>58</v>
      </c>
      <c r="G8282">
        <v>-195.5899</v>
      </c>
      <c r="H8282" s="1">
        <v>-1.034999E-5</v>
      </c>
      <c r="I8282">
        <v>-50.412959999999998</v>
      </c>
      <c r="J8282">
        <v>-198.77500000000001</v>
      </c>
      <c r="K8282">
        <v>1.126495</v>
      </c>
      <c r="L8282">
        <v>-59.011690000000002</v>
      </c>
      <c r="M8282">
        <v>0.87474660000000004</v>
      </c>
      <c r="N8282">
        <v>-1.2027899999999999E-2</v>
      </c>
      <c r="O8282">
        <v>0.48443160000000002</v>
      </c>
      <c r="P8282">
        <v>0.68520619999999999</v>
      </c>
      <c r="Q8282">
        <v>-0.10296139999999999</v>
      </c>
      <c r="R8282">
        <v>0.72103509999999904</v>
      </c>
      <c r="S8282">
        <v>1.144836</v>
      </c>
      <c r="T8282">
        <v>-0.39426729999999999</v>
      </c>
      <c r="U8282">
        <v>3.0285030000000002</v>
      </c>
      <c r="V8282">
        <v>-0.29751490000000003</v>
      </c>
      <c r="W8282">
        <v>-9.5664799999999994E-2</v>
      </c>
      <c r="X8282">
        <v>0.94991219999999998</v>
      </c>
      <c r="Y8282">
        <v>-0.64493269999999903</v>
      </c>
      <c r="Z8282">
        <v>-1.0312299999999899E-2</v>
      </c>
      <c r="AA8282">
        <v>0.76416980000000001</v>
      </c>
      <c r="AB8282">
        <v>19</v>
      </c>
      <c r="AC8282">
        <v>3.1850999999999998</v>
      </c>
      <c r="AD8282">
        <v>-1.12650534999</v>
      </c>
      <c r="AE8282">
        <v>8.5987299999999998</v>
      </c>
      <c r="AF8282">
        <v>-5.8902800427729902</v>
      </c>
      <c r="AG8282">
        <v>-1.12650534999</v>
      </c>
      <c r="AH8282">
        <v>6.8487892823536001</v>
      </c>
      <c r="AI8282">
        <v>97.108386758376298</v>
      </c>
      <c r="AJ8282">
        <v>130.69707595930799</v>
      </c>
      <c r="AK8282">
        <v>9.1033141173930403</v>
      </c>
      <c r="AL8282">
        <v>95.489584165264404</v>
      </c>
      <c r="AM8282">
        <v>107.3906879259</v>
      </c>
      <c r="AN8282">
        <v>1.00000002869494</v>
      </c>
    </row>
    <row r="8283" spans="1:40" x14ac:dyDescent="0.25">
      <c r="A8283" t="str">
        <f>"20190303154339041"</f>
        <v>20190303154339041</v>
      </c>
      <c r="B8283" t="str">
        <f>"1551599019037776"</f>
        <v>1551599019037776</v>
      </c>
      <c r="C8283" t="s">
        <v>40</v>
      </c>
      <c r="D8283">
        <v>5.8047909999999998</v>
      </c>
      <c r="E8283">
        <v>0.34300439999999999</v>
      </c>
      <c r="F8283" t="s">
        <v>58</v>
      </c>
      <c r="G8283">
        <v>-195.565</v>
      </c>
      <c r="H8283" s="1">
        <v>-1.032652E-5</v>
      </c>
      <c r="I8283">
        <v>-50.470649999999999</v>
      </c>
      <c r="J8283">
        <v>-198.64</v>
      </c>
      <c r="K8283">
        <v>1.1264780000000001</v>
      </c>
      <c r="L8283">
        <v>-58.924770000000002</v>
      </c>
      <c r="M8283">
        <v>0.87027389999999905</v>
      </c>
      <c r="N8283">
        <v>-1.202338E-2</v>
      </c>
      <c r="O8283">
        <v>0.49242130000000001</v>
      </c>
      <c r="P8283">
        <v>0.67631819999999998</v>
      </c>
      <c r="Q8283">
        <v>-0.1058626</v>
      </c>
      <c r="R8283">
        <v>0.72896280000000002</v>
      </c>
      <c r="S8283">
        <v>1.136444</v>
      </c>
      <c r="T8283">
        <v>-0.39881119999999998</v>
      </c>
      <c r="U8283">
        <v>3.0237430000000001</v>
      </c>
      <c r="V8283">
        <v>-0.30005279999999901</v>
      </c>
      <c r="W8283">
        <v>-9.8613709999999993E-2</v>
      </c>
      <c r="X8283">
        <v>0.94881170000000004</v>
      </c>
      <c r="Y8283">
        <v>-0.63942149999999998</v>
      </c>
      <c r="Z8283">
        <v>-1.217595E-2</v>
      </c>
      <c r="AA8283">
        <v>0.76876</v>
      </c>
      <c r="AB8283">
        <v>19</v>
      </c>
      <c r="AC8283">
        <v>3.0749999999999802</v>
      </c>
      <c r="AD8283">
        <v>-1.1264883265200001</v>
      </c>
      <c r="AE8283">
        <v>8.4541199999999908</v>
      </c>
      <c r="AF8283">
        <v>-5.7534114827673397</v>
      </c>
      <c r="AG8283">
        <v>-1.1264883265200001</v>
      </c>
      <c r="AH8283">
        <v>6.7339842838292396</v>
      </c>
      <c r="AI8283">
        <v>97.24823285638</v>
      </c>
      <c r="AJ8283">
        <v>130.51006214807501</v>
      </c>
      <c r="AK8283">
        <v>8.9284524960759093</v>
      </c>
      <c r="AL8283">
        <v>95.659347359456802</v>
      </c>
      <c r="AM8283">
        <v>107.549070122777</v>
      </c>
      <c r="AN8283">
        <v>0.99999999432234699</v>
      </c>
    </row>
    <row r="8284" spans="1:40" x14ac:dyDescent="0.25">
      <c r="A8284" t="str">
        <f>"20190303154339053"</f>
        <v>20190303154339053</v>
      </c>
      <c r="B8284" t="str">
        <f>"1551599019047763"</f>
        <v>1551599019047763</v>
      </c>
      <c r="C8284" t="s">
        <v>40</v>
      </c>
      <c r="D8284">
        <v>5.7709609999999998</v>
      </c>
      <c r="E8284">
        <v>0.3431457</v>
      </c>
      <c r="F8284" t="s">
        <v>58</v>
      </c>
      <c r="G8284">
        <v>-195.4898</v>
      </c>
      <c r="H8284" s="1">
        <v>-2.1649179999999999E-6</v>
      </c>
      <c r="I8284">
        <v>-50.279490000000003</v>
      </c>
      <c r="J8284">
        <v>-198.55340000000001</v>
      </c>
      <c r="K8284">
        <v>1.1264700000000001</v>
      </c>
      <c r="L8284">
        <v>-58.868290000000002</v>
      </c>
      <c r="M8284">
        <v>0.86735960000000001</v>
      </c>
      <c r="N8284">
        <v>-1.2025849999999999E-2</v>
      </c>
      <c r="O8284">
        <v>0.4975366</v>
      </c>
      <c r="P8284">
        <v>0.670651</v>
      </c>
      <c r="Q8284">
        <v>-0.1075261</v>
      </c>
      <c r="R8284">
        <v>0.73393830000000004</v>
      </c>
      <c r="S8284">
        <v>1.1050719999999901</v>
      </c>
      <c r="T8284">
        <v>-0.39517059999999998</v>
      </c>
      <c r="U8284">
        <v>3.0327760000000001</v>
      </c>
      <c r="V8284">
        <v>-0.30158200000000002</v>
      </c>
      <c r="W8284">
        <v>-0.10030119999999999</v>
      </c>
      <c r="X8284">
        <v>0.94814969999999998</v>
      </c>
      <c r="Y8284">
        <v>-0.64266709999999905</v>
      </c>
      <c r="Z8284">
        <v>-1.2417310000000001E-2</v>
      </c>
      <c r="AA8284">
        <v>0.76604490000000003</v>
      </c>
      <c r="AB8284">
        <v>19</v>
      </c>
      <c r="AC8284">
        <v>3.0636000000000001</v>
      </c>
      <c r="AD8284">
        <v>-1.1264721649180001</v>
      </c>
      <c r="AE8284">
        <v>8.5887999999999902</v>
      </c>
      <c r="AF8284">
        <v>-5.8366842186373198</v>
      </c>
      <c r="AG8284">
        <v>-1.1264721649180001</v>
      </c>
      <c r="AH8284">
        <v>6.8268075898935896</v>
      </c>
      <c r="AI8284">
        <v>97.148574895198806</v>
      </c>
      <c r="AJ8284">
        <v>130.529296958831</v>
      </c>
      <c r="AK8284">
        <v>9.0521336753195207</v>
      </c>
      <c r="AL8284">
        <v>95.756515496396503</v>
      </c>
      <c r="AM8284">
        <v>107.644527182799</v>
      </c>
      <c r="AN8284">
        <v>0.999999943527763</v>
      </c>
    </row>
    <row r="8285" spans="1:40" x14ac:dyDescent="0.25">
      <c r="A8285" t="str">
        <f>"20190303154339066"</f>
        <v>20190303154339066</v>
      </c>
      <c r="B8285" t="str">
        <f>"1551599019057909"</f>
        <v>1551599019057909</v>
      </c>
      <c r="C8285" t="s">
        <v>40</v>
      </c>
      <c r="D8285">
        <v>5.7666700000000004</v>
      </c>
      <c r="E8285">
        <v>0.3415243</v>
      </c>
      <c r="F8285" t="s">
        <v>42</v>
      </c>
      <c r="G8285">
        <v>-198.2415</v>
      </c>
      <c r="H8285">
        <v>1.0123679999999999</v>
      </c>
      <c r="I8285">
        <v>-57.992579999999997</v>
      </c>
      <c r="J8285">
        <v>-198.46629999999999</v>
      </c>
      <c r="K8285">
        <v>1.1264639999999999</v>
      </c>
      <c r="L8285">
        <v>-58.810389999999998</v>
      </c>
      <c r="M8285">
        <v>0.86438300000000001</v>
      </c>
      <c r="N8285">
        <v>-1.203332E-2</v>
      </c>
      <c r="O8285">
        <v>0.50269010000000003</v>
      </c>
      <c r="P8285">
        <v>0.66478809999999999</v>
      </c>
      <c r="Q8285">
        <v>-0.10859290000000001</v>
      </c>
      <c r="R8285">
        <v>0.73909709999999995</v>
      </c>
      <c r="S8285">
        <v>1.082703</v>
      </c>
      <c r="T8285">
        <v>-0.39610060000000002</v>
      </c>
      <c r="U8285">
        <v>3.0401609999999999</v>
      </c>
      <c r="V8285">
        <v>-0.30333369999999998</v>
      </c>
      <c r="W8285">
        <v>-0.1013911</v>
      </c>
      <c r="X8285">
        <v>0.94747479999999995</v>
      </c>
      <c r="Y8285">
        <v>-0.64370620000000001</v>
      </c>
      <c r="Z8285">
        <v>-1.3091770000000001E-2</v>
      </c>
      <c r="AA8285">
        <v>0.76516070000000003</v>
      </c>
      <c r="AB8285">
        <v>19</v>
      </c>
      <c r="AC8285">
        <v>0.22479999999998701</v>
      </c>
      <c r="AD8285">
        <v>-0.114095999999999</v>
      </c>
      <c r="AE8285">
        <v>0.81781000000000104</v>
      </c>
      <c r="AF8285">
        <v>-0.58338195428421502</v>
      </c>
      <c r="AG8285">
        <v>-0.114095999999999</v>
      </c>
      <c r="AH8285">
        <v>0.59469993117526798</v>
      </c>
      <c r="AI8285">
        <v>97.798640400765905</v>
      </c>
      <c r="AJ8285">
        <v>134.44956936614301</v>
      </c>
      <c r="AK8285">
        <v>0.84084505703508705</v>
      </c>
      <c r="AL8285">
        <v>95.819281868677095</v>
      </c>
      <c r="AM8285">
        <v>107.75244774327101</v>
      </c>
      <c r="AN8285">
        <v>0.99999999267496997</v>
      </c>
    </row>
    <row r="8286" spans="1:40" x14ac:dyDescent="0.25">
      <c r="A8286" t="str">
        <f>"20190303154339080"</f>
        <v>20190303154339080</v>
      </c>
      <c r="B8286" t="str">
        <f>"1551599019068616"</f>
        <v>1551599019068616</v>
      </c>
      <c r="C8286" t="s">
        <v>40</v>
      </c>
      <c r="D8286">
        <v>5.6525019999999904</v>
      </c>
      <c r="E8286">
        <v>0.34088030000000002</v>
      </c>
      <c r="F8286" t="s">
        <v>58</v>
      </c>
      <c r="G8286">
        <v>-195.48759999999999</v>
      </c>
      <c r="H8286" s="1">
        <v>-2.2523980000000002E-6</v>
      </c>
      <c r="I8286">
        <v>-50.130870000000002</v>
      </c>
      <c r="J8286">
        <v>-198.3708</v>
      </c>
      <c r="K8286">
        <v>1.12646</v>
      </c>
      <c r="L8286">
        <v>-58.746369999999999</v>
      </c>
      <c r="M8286">
        <v>0.861079699999999</v>
      </c>
      <c r="N8286">
        <v>-1.2045449999999999E-2</v>
      </c>
      <c r="O8286">
        <v>0.50832739999999998</v>
      </c>
      <c r="P8286">
        <v>0.65841629999999995</v>
      </c>
      <c r="Q8286">
        <v>-0.1093155</v>
      </c>
      <c r="R8286">
        <v>0.74467329999999998</v>
      </c>
      <c r="S8286">
        <v>1.0491330000000001</v>
      </c>
      <c r="T8286">
        <v>-0.3967599</v>
      </c>
      <c r="U8286">
        <v>3.0570680000000001</v>
      </c>
      <c r="V8286">
        <v>-0.30517569999999999</v>
      </c>
      <c r="W8286">
        <v>-0.1021335</v>
      </c>
      <c r="X8286">
        <v>0.94680330000000001</v>
      </c>
      <c r="Y8286">
        <v>-0.64752430000000005</v>
      </c>
      <c r="Z8286">
        <v>-1.3540730000000001E-2</v>
      </c>
      <c r="AA8286">
        <v>0.7619245</v>
      </c>
      <c r="AB8286">
        <v>19</v>
      </c>
      <c r="AC8286">
        <v>2.8832000000000102</v>
      </c>
      <c r="AD8286">
        <v>-1.1264622523979999</v>
      </c>
      <c r="AE8286">
        <v>8.6154999999999902</v>
      </c>
      <c r="AF8286">
        <v>-5.8633150457885899</v>
      </c>
      <c r="AG8286">
        <v>-1.1264622523979999</v>
      </c>
      <c r="AH8286">
        <v>6.7587521469404699</v>
      </c>
      <c r="AI8286">
        <v>97.175543344273706</v>
      </c>
      <c r="AJ8286">
        <v>130.94211026445001</v>
      </c>
      <c r="AK8286">
        <v>9.0182099729392498</v>
      </c>
      <c r="AL8286">
        <v>95.862040334502794</v>
      </c>
      <c r="AM8286">
        <v>107.865282173273</v>
      </c>
      <c r="AN8286">
        <v>0.99999997429181398</v>
      </c>
    </row>
    <row r="8287" spans="1:40" x14ac:dyDescent="0.25">
      <c r="A8287" t="str">
        <f>"20190303154339094"</f>
        <v>20190303154339094</v>
      </c>
      <c r="B8287" t="str">
        <f>"1551599019088134"</f>
        <v>1551599019088134</v>
      </c>
      <c r="C8287" t="s">
        <v>40</v>
      </c>
      <c r="D8287">
        <v>5.4018389999999998</v>
      </c>
      <c r="E8287">
        <v>0.31578689999999998</v>
      </c>
      <c r="F8287" t="s">
        <v>58</v>
      </c>
      <c r="G8287">
        <v>-195.53469999999999</v>
      </c>
      <c r="H8287" s="1">
        <v>-2.2204980000000001E-6</v>
      </c>
      <c r="I8287">
        <v>-50.202440000000003</v>
      </c>
      <c r="J8287">
        <v>-198.26599999999999</v>
      </c>
      <c r="K8287">
        <v>1.1264559999999999</v>
      </c>
      <c r="L8287">
        <v>-58.675020000000004</v>
      </c>
      <c r="M8287">
        <v>0.85739690000000002</v>
      </c>
      <c r="N8287">
        <v>-1.206665E-2</v>
      </c>
      <c r="O8287">
        <v>0.51451420000000003</v>
      </c>
      <c r="P8287">
        <v>0.65147699999999997</v>
      </c>
      <c r="Q8287">
        <v>-0.1099168</v>
      </c>
      <c r="R8287">
        <v>0.75066379999999999</v>
      </c>
      <c r="S8287">
        <v>1.018616</v>
      </c>
      <c r="T8287">
        <v>-0.40457169999999998</v>
      </c>
      <c r="U8287">
        <v>3.0685730000000002</v>
      </c>
      <c r="V8287">
        <v>-0.30705939999999998</v>
      </c>
      <c r="W8287">
        <v>-0.1027459</v>
      </c>
      <c r="X8287">
        <v>0.94612779999999996</v>
      </c>
      <c r="Y8287">
        <v>-0.64967109999999995</v>
      </c>
      <c r="Z8287">
        <v>-1.466725E-2</v>
      </c>
      <c r="AA8287">
        <v>0.76007380000000002</v>
      </c>
      <c r="AB8287">
        <v>19</v>
      </c>
      <c r="AC8287">
        <v>2.7313000000000001</v>
      </c>
      <c r="AD8287">
        <v>-1.12645822049799</v>
      </c>
      <c r="AE8287">
        <v>8.47257999999999</v>
      </c>
      <c r="AF8287">
        <v>-5.7671512697480702</v>
      </c>
      <c r="AG8287">
        <v>-1.12645822049799</v>
      </c>
      <c r="AH8287">
        <v>6.5959412554299099</v>
      </c>
      <c r="AI8287">
        <v>97.3261533707621</v>
      </c>
      <c r="AJ8287">
        <v>131.16477634342399</v>
      </c>
      <c r="AK8287">
        <v>8.8337638034852706</v>
      </c>
      <c r="AL8287">
        <v>95.897313658778799</v>
      </c>
      <c r="AM8287">
        <v>107.98048918312701</v>
      </c>
      <c r="AN8287">
        <v>1.0000000045140001</v>
      </c>
    </row>
    <row r="8288" spans="1:40" x14ac:dyDescent="0.25">
      <c r="A8288" t="str">
        <f>"20190303154339110"</f>
        <v>20190303154339110</v>
      </c>
      <c r="B8288" t="str">
        <f>"1551599019097894"</f>
        <v>1551599019097894</v>
      </c>
      <c r="C8288" t="s">
        <v>40</v>
      </c>
      <c r="D8288">
        <v>5.6340260000000004</v>
      </c>
      <c r="E8288">
        <v>0.3179765</v>
      </c>
      <c r="F8288" t="s">
        <v>58</v>
      </c>
      <c r="G8288">
        <v>-196.15459999999999</v>
      </c>
      <c r="H8288" s="1">
        <v>-1.034703E-5</v>
      </c>
      <c r="I8288">
        <v>-50.576259999999998</v>
      </c>
      <c r="J8288">
        <v>-198.15950000000001</v>
      </c>
      <c r="K8288">
        <v>1.126455</v>
      </c>
      <c r="L8288">
        <v>-58.601199999999999</v>
      </c>
      <c r="M8288">
        <v>0.85359929999999995</v>
      </c>
      <c r="N8288">
        <v>-1.2103360000000001E-2</v>
      </c>
      <c r="O8288">
        <v>0.52078970000000002</v>
      </c>
      <c r="P8288">
        <v>0.64319649999999995</v>
      </c>
      <c r="Q8288">
        <v>-0.1095768</v>
      </c>
      <c r="R8288">
        <v>0.75781999999999905</v>
      </c>
      <c r="S8288">
        <v>0.83575440000000001</v>
      </c>
      <c r="T8288">
        <v>-0.44590449999999998</v>
      </c>
      <c r="U8288">
        <v>3.2058409999999999</v>
      </c>
      <c r="V8288">
        <v>-0.31054730000000003</v>
      </c>
      <c r="W8288">
        <v>-0.1024274</v>
      </c>
      <c r="X8288">
        <v>0.94502330000000001</v>
      </c>
      <c r="Y8288">
        <v>-0.69214790000000004</v>
      </c>
      <c r="Z8288">
        <v>-1.335722E-2</v>
      </c>
      <c r="AA8288">
        <v>0.7216321</v>
      </c>
      <c r="AB8288">
        <v>19</v>
      </c>
      <c r="AC8288">
        <v>2.0049000000000201</v>
      </c>
      <c r="AD8288">
        <v>-1.1264653470299999</v>
      </c>
      <c r="AE8288">
        <v>8.0249399999999902</v>
      </c>
      <c r="AF8288">
        <v>-5.7006507730561697</v>
      </c>
      <c r="AG8288">
        <v>-1.1264653470299999</v>
      </c>
      <c r="AH8288">
        <v>5.78384938195952</v>
      </c>
      <c r="AI8288">
        <v>97.897135013843396</v>
      </c>
      <c r="AJ8288">
        <v>134.584932239312</v>
      </c>
      <c r="AK8288">
        <v>8.1987350907075296</v>
      </c>
      <c r="AL8288">
        <v>95.878968085844306</v>
      </c>
      <c r="AM8288">
        <v>108.19121505925401</v>
      </c>
      <c r="AN8288">
        <v>1.00000001767547</v>
      </c>
    </row>
    <row r="8289" spans="1:40" x14ac:dyDescent="0.25">
      <c r="A8289" t="str">
        <f>"20190303154339123"</f>
        <v>20190303154339123</v>
      </c>
      <c r="B8289" t="str">
        <f>"1551599019118390"</f>
        <v>1551599019118390</v>
      </c>
      <c r="C8289" t="s">
        <v>40</v>
      </c>
      <c r="D8289">
        <v>5.6820680000000001</v>
      </c>
      <c r="E8289">
        <v>0.3193647</v>
      </c>
      <c r="F8289" t="s">
        <v>58</v>
      </c>
      <c r="G8289">
        <v>-196.0735</v>
      </c>
      <c r="H8289" s="1">
        <v>-1.0406089999999999E-5</v>
      </c>
      <c r="I8289">
        <v>-50.391530000000003</v>
      </c>
      <c r="J8289">
        <v>-198.0668</v>
      </c>
      <c r="K8289">
        <v>1.1264559999999999</v>
      </c>
      <c r="L8289">
        <v>-58.536009999999997</v>
      </c>
      <c r="M8289">
        <v>0.85024439999999901</v>
      </c>
      <c r="N8289">
        <v>-1.215021E-2</v>
      </c>
      <c r="O8289">
        <v>0.52624789999999999</v>
      </c>
      <c r="P8289">
        <v>0.63697899999999996</v>
      </c>
      <c r="Q8289">
        <v>-0.10934629999999999</v>
      </c>
      <c r="R8289">
        <v>0.76308659999999995</v>
      </c>
      <c r="S8289">
        <v>0.81414790000000004</v>
      </c>
      <c r="T8289">
        <v>-0.43964579999999998</v>
      </c>
      <c r="U8289">
        <v>3.204132</v>
      </c>
      <c r="V8289">
        <v>-0.3122511</v>
      </c>
      <c r="W8289">
        <v>-0.1021749</v>
      </c>
      <c r="X8289">
        <v>0.94448900000000002</v>
      </c>
      <c r="Y8289">
        <v>-0.69207169999999996</v>
      </c>
      <c r="Z8289">
        <v>-1.389351E-2</v>
      </c>
      <c r="AA8289">
        <v>0.72169499999999998</v>
      </c>
      <c r="AB8289">
        <v>19</v>
      </c>
      <c r="AC8289">
        <v>1.9933000000000001</v>
      </c>
      <c r="AD8289">
        <v>-1.12646640608999</v>
      </c>
      <c r="AE8289">
        <v>8.1444799999999997</v>
      </c>
      <c r="AF8289">
        <v>-5.7720838114174402</v>
      </c>
      <c r="AG8289">
        <v>-1.12646640608999</v>
      </c>
      <c r="AH8289">
        <v>5.8752093677130102</v>
      </c>
      <c r="AI8289">
        <v>97.788029128969598</v>
      </c>
      <c r="AJ8289">
        <v>134.49271434564099</v>
      </c>
      <c r="AK8289">
        <v>8.31287935703023</v>
      </c>
      <c r="AL8289">
        <v>95.864424906710298</v>
      </c>
      <c r="AM8289">
        <v>108.29405187854699</v>
      </c>
      <c r="AN8289">
        <v>0.99999996538110902</v>
      </c>
    </row>
    <row r="8290" spans="1:40" x14ac:dyDescent="0.25">
      <c r="A8290" t="str">
        <f>"20190303154339137"</f>
        <v>20190303154339137</v>
      </c>
      <c r="B8290" t="str">
        <f>"1551599019128150"</f>
        <v>1551599019128150</v>
      </c>
      <c r="C8290" t="s">
        <v>40</v>
      </c>
      <c r="D8290">
        <v>5.8335860000000004</v>
      </c>
      <c r="E8290">
        <v>0.32328050000000003</v>
      </c>
      <c r="F8290" t="s">
        <v>58</v>
      </c>
      <c r="G8290">
        <v>-195.96180000000001</v>
      </c>
      <c r="H8290" s="1">
        <v>-2.390577E-6</v>
      </c>
      <c r="I8290">
        <v>-50.07555</v>
      </c>
      <c r="J8290">
        <v>-197.9682</v>
      </c>
      <c r="K8290">
        <v>1.1264540000000001</v>
      </c>
      <c r="L8290">
        <v>-58.465969999999999</v>
      </c>
      <c r="M8290">
        <v>0.84663389999999905</v>
      </c>
      <c r="N8290">
        <v>-1.2216009999999999E-2</v>
      </c>
      <c r="O8290">
        <v>0.53203549999999999</v>
      </c>
      <c r="P8290">
        <v>0.63052659999999905</v>
      </c>
      <c r="Q8290">
        <v>-0.1091512</v>
      </c>
      <c r="R8290">
        <v>0.76845450000000004</v>
      </c>
      <c r="S8290">
        <v>0.79734799999999995</v>
      </c>
      <c r="T8290">
        <v>-0.4266837</v>
      </c>
      <c r="U8290">
        <v>3.2046809999999999</v>
      </c>
      <c r="V8290">
        <v>-0.31379420000000002</v>
      </c>
      <c r="W8290">
        <v>-0.10193339999999999</v>
      </c>
      <c r="X8290">
        <v>0.94400360000000005</v>
      </c>
      <c r="Y8290">
        <v>-0.69088359999999904</v>
      </c>
      <c r="Z8290">
        <v>-1.4139000000000001E-2</v>
      </c>
      <c r="AA8290">
        <v>0.72282769999999996</v>
      </c>
      <c r="AB8290">
        <v>19</v>
      </c>
      <c r="AC8290">
        <v>2.0063999999999802</v>
      </c>
      <c r="AD8290">
        <v>-1.126456390577</v>
      </c>
      <c r="AE8290">
        <v>8.39041999999999</v>
      </c>
      <c r="AF8290">
        <v>-5.9353931548003098</v>
      </c>
      <c r="AG8290">
        <v>-1.126456390577</v>
      </c>
      <c r="AH8290">
        <v>6.0598305839239401</v>
      </c>
      <c r="AI8290">
        <v>97.564610144407297</v>
      </c>
      <c r="AJ8290">
        <v>134.40563978538199</v>
      </c>
      <c r="AK8290">
        <v>8.5568301728959302</v>
      </c>
      <c r="AL8290">
        <v>95.850515104798603</v>
      </c>
      <c r="AM8290">
        <v>108.38721153362501</v>
      </c>
      <c r="AN8290">
        <v>1.00000000740108</v>
      </c>
    </row>
    <row r="8291" spans="1:40" x14ac:dyDescent="0.25">
      <c r="A8291" t="str">
        <f>"20190303154339153"</f>
        <v>20190303154339153</v>
      </c>
      <c r="B8291" t="str">
        <f>"1551599019148647"</f>
        <v>1551599019148647</v>
      </c>
      <c r="C8291" t="s">
        <v>40</v>
      </c>
      <c r="D8291">
        <v>5.7829879999999996</v>
      </c>
      <c r="E8291">
        <v>0.32899200000000001</v>
      </c>
      <c r="F8291" t="s">
        <v>58</v>
      </c>
      <c r="G8291">
        <v>-195.87809999999999</v>
      </c>
      <c r="H8291" s="1">
        <v>-2.3755419999999998E-6</v>
      </c>
      <c r="I8291">
        <v>-50.06953</v>
      </c>
      <c r="J8291">
        <v>-197.85830000000001</v>
      </c>
      <c r="K8291">
        <v>1.1264449999999999</v>
      </c>
      <c r="L8291">
        <v>-58.386470000000003</v>
      </c>
      <c r="M8291">
        <v>0.8425511</v>
      </c>
      <c r="N8291">
        <v>-1.23251E-2</v>
      </c>
      <c r="O8291">
        <v>0.53847539999999905</v>
      </c>
      <c r="P8291">
        <v>0.62290909999999999</v>
      </c>
      <c r="Q8291">
        <v>-0.1100743</v>
      </c>
      <c r="R8291">
        <v>0.77451150000000002</v>
      </c>
      <c r="S8291">
        <v>0.79440310000000003</v>
      </c>
      <c r="T8291">
        <v>-0.428143</v>
      </c>
      <c r="U8291">
        <v>3.1913149999999999</v>
      </c>
      <c r="V8291">
        <v>-0.31579669999999999</v>
      </c>
      <c r="W8291">
        <v>-0.1027706</v>
      </c>
      <c r="X8291">
        <v>0.94324479999999999</v>
      </c>
      <c r="Y8291">
        <v>-0.68531980000000003</v>
      </c>
      <c r="Z8291">
        <v>-1.574913E-2</v>
      </c>
      <c r="AA8291">
        <v>0.72807189999999999</v>
      </c>
      <c r="AB8291">
        <v>19</v>
      </c>
      <c r="AC8291">
        <v>1.9802000000000199</v>
      </c>
      <c r="AD8291">
        <v>-1.1264473755419999</v>
      </c>
      <c r="AE8291">
        <v>8.31693999999999</v>
      </c>
      <c r="AF8291">
        <v>-5.8402233488348001</v>
      </c>
      <c r="AG8291">
        <v>-1.1264473755419999</v>
      </c>
      <c r="AH8291">
        <v>6.0424575267118898</v>
      </c>
      <c r="AI8291">
        <v>97.634667518038796</v>
      </c>
      <c r="AJ8291">
        <v>134.02496360683699</v>
      </c>
      <c r="AK8291">
        <v>8.4787018709386093</v>
      </c>
      <c r="AL8291">
        <v>95.898736112864697</v>
      </c>
      <c r="AM8291">
        <v>108.510455327156</v>
      </c>
      <c r="AN8291">
        <v>1.0000000523411401</v>
      </c>
    </row>
    <row r="8292" spans="1:40" x14ac:dyDescent="0.25">
      <c r="A8292" t="str">
        <f>"20190303154339165"</f>
        <v>20190303154339165</v>
      </c>
      <c r="B8292" t="str">
        <f>"1551599019158407"</f>
        <v>1551599019158407</v>
      </c>
      <c r="C8292" t="s">
        <v>40</v>
      </c>
      <c r="D8292">
        <v>5.8453179999999998</v>
      </c>
      <c r="E8292">
        <v>0.33122590000000002</v>
      </c>
      <c r="F8292" t="s">
        <v>58</v>
      </c>
      <c r="G8292">
        <v>-195.78190000000001</v>
      </c>
      <c r="H8292" s="1">
        <v>-2.3137960000000001E-6</v>
      </c>
      <c r="I8292">
        <v>-50.137700000000002</v>
      </c>
      <c r="J8292">
        <v>-197.77770000000001</v>
      </c>
      <c r="K8292">
        <v>1.1264350000000001</v>
      </c>
      <c r="L8292">
        <v>-58.327179999999998</v>
      </c>
      <c r="M8292">
        <v>0.83951540000000002</v>
      </c>
      <c r="N8292">
        <v>-1.2429829999999999E-2</v>
      </c>
      <c r="O8292">
        <v>0.54319379999999995</v>
      </c>
      <c r="P8292">
        <v>0.61781070000000005</v>
      </c>
      <c r="Q8292">
        <v>-0.110833</v>
      </c>
      <c r="R8292">
        <v>0.77847670000000002</v>
      </c>
      <c r="S8292">
        <v>0.7979889</v>
      </c>
      <c r="T8292">
        <v>-0.4329076</v>
      </c>
      <c r="U8292">
        <v>3.170105</v>
      </c>
      <c r="V8292">
        <v>-0.31660260000000001</v>
      </c>
      <c r="W8292">
        <v>-0.1034264</v>
      </c>
      <c r="X8292">
        <v>0.94290289999999999</v>
      </c>
      <c r="Y8292">
        <v>-0.67930690000000005</v>
      </c>
      <c r="Z8292">
        <v>-1.7422E-2</v>
      </c>
      <c r="AA8292">
        <v>0.73364750000000001</v>
      </c>
      <c r="AB8292">
        <v>19</v>
      </c>
      <c r="AC8292">
        <v>1.9958</v>
      </c>
      <c r="AD8292">
        <v>-1.126437313796</v>
      </c>
      <c r="AE8292">
        <v>8.1894799999999996</v>
      </c>
      <c r="AF8292">
        <v>-5.68992198713081</v>
      </c>
      <c r="AG8292">
        <v>-1.126437313796</v>
      </c>
      <c r="AH8292">
        <v>6.0169978071032402</v>
      </c>
      <c r="AI8292">
        <v>97.745962157948995</v>
      </c>
      <c r="AJ8292">
        <v>133.39964818222501</v>
      </c>
      <c r="AK8292">
        <v>8.3575316841895297</v>
      </c>
      <c r="AL8292">
        <v>95.936511983638596</v>
      </c>
      <c r="AM8292">
        <v>108.560730011072</v>
      </c>
      <c r="AN8292">
        <v>1.00000005268606</v>
      </c>
    </row>
    <row r="8293" spans="1:40" x14ac:dyDescent="0.25">
      <c r="A8293" t="str">
        <f>"20190303154339176"</f>
        <v>20190303154339176</v>
      </c>
      <c r="B8293" t="str">
        <f>"1551599019168167"</f>
        <v>1551599019168167</v>
      </c>
      <c r="C8293" t="s">
        <v>40</v>
      </c>
      <c r="D8293">
        <v>5.7881390000000001</v>
      </c>
      <c r="E8293">
        <v>0.3329087</v>
      </c>
      <c r="F8293" t="s">
        <v>58</v>
      </c>
      <c r="G8293">
        <v>-195.73939999999999</v>
      </c>
      <c r="H8293" s="1">
        <v>-2.281687E-6</v>
      </c>
      <c r="I8293">
        <v>-50.175960000000003</v>
      </c>
      <c r="J8293">
        <v>-197.6987</v>
      </c>
      <c r="K8293">
        <v>1.126423</v>
      </c>
      <c r="L8293">
        <v>-58.268859999999997</v>
      </c>
      <c r="M8293">
        <v>0.83651819999999899</v>
      </c>
      <c r="N8293">
        <v>-1.254039E-2</v>
      </c>
      <c r="O8293">
        <v>0.54779560000000005</v>
      </c>
      <c r="P8293">
        <v>0.61292849999999999</v>
      </c>
      <c r="Q8293">
        <v>-0.1118056</v>
      </c>
      <c r="R8293">
        <v>0.78218809999999905</v>
      </c>
      <c r="S8293">
        <v>0.79109189999999996</v>
      </c>
      <c r="T8293">
        <v>-0.43718620000000002</v>
      </c>
      <c r="U8293">
        <v>3.163605</v>
      </c>
      <c r="V8293">
        <v>-0.3172007</v>
      </c>
      <c r="W8293">
        <v>-0.1042862</v>
      </c>
      <c r="X8293">
        <v>0.94260710000000003</v>
      </c>
      <c r="Y8293">
        <v>-0.67641989999999996</v>
      </c>
      <c r="Z8293">
        <v>-1.8675230000000001E-2</v>
      </c>
      <c r="AA8293">
        <v>0.73627949999999998</v>
      </c>
      <c r="AB8293">
        <v>19</v>
      </c>
      <c r="AC8293">
        <v>1.95930000000001</v>
      </c>
      <c r="AD8293">
        <v>-1.126425281687</v>
      </c>
      <c r="AE8293">
        <v>8.0929000000000002</v>
      </c>
      <c r="AF8293">
        <v>-5.5946266697267397</v>
      </c>
      <c r="AG8293">
        <v>-1.126425281687</v>
      </c>
      <c r="AH8293">
        <v>5.9635870151400496</v>
      </c>
      <c r="AI8293">
        <v>97.8433820640102</v>
      </c>
      <c r="AJ8293">
        <v>133.17162971791899</v>
      </c>
      <c r="AK8293">
        <v>8.2542747456083898</v>
      </c>
      <c r="AL8293">
        <v>95.986042935347299</v>
      </c>
      <c r="AM8293">
        <v>108.598818624616</v>
      </c>
      <c r="AN8293">
        <v>1.00000002028066</v>
      </c>
    </row>
    <row r="8294" spans="1:40" x14ac:dyDescent="0.25">
      <c r="A8294" t="str">
        <f>"20190303154339188"</f>
        <v>20190303154339188</v>
      </c>
      <c r="B8294" t="str">
        <f>"1551599019177926"</f>
        <v>1551599019177926</v>
      </c>
      <c r="C8294" t="s">
        <v>40</v>
      </c>
      <c r="D8294">
        <v>5.7995760000000001</v>
      </c>
      <c r="E8294">
        <v>0.3345957</v>
      </c>
      <c r="F8294" t="s">
        <v>58</v>
      </c>
      <c r="G8294">
        <v>-195.69730000000001</v>
      </c>
      <c r="H8294" s="1">
        <v>-2.2701239999999999E-6</v>
      </c>
      <c r="I8294">
        <v>-50.179679999999998</v>
      </c>
      <c r="J8294">
        <v>-197.61420000000001</v>
      </c>
      <c r="K8294">
        <v>1.126404</v>
      </c>
      <c r="L8294">
        <v>-58.205289999999998</v>
      </c>
      <c r="M8294">
        <v>0.83327249999999997</v>
      </c>
      <c r="N8294">
        <v>-1.267922E-2</v>
      </c>
      <c r="O8294">
        <v>0.55271709999999996</v>
      </c>
      <c r="P8294">
        <v>0.60768959999999905</v>
      </c>
      <c r="Q8294">
        <v>-0.11321340000000001</v>
      </c>
      <c r="R8294">
        <v>0.78606369999999903</v>
      </c>
      <c r="S8294">
        <v>0.78182980000000002</v>
      </c>
      <c r="T8294">
        <v>-0.44001639999999997</v>
      </c>
      <c r="U8294">
        <v>3.1598820000000001</v>
      </c>
      <c r="V8294">
        <v>-0.3177625</v>
      </c>
      <c r="W8294">
        <v>-0.10554910000000001</v>
      </c>
      <c r="X8294">
        <v>0.94227729999999998</v>
      </c>
      <c r="Y8294">
        <v>-0.6739134</v>
      </c>
      <c r="Z8294">
        <v>-1.9822159999999998E-2</v>
      </c>
      <c r="AA8294">
        <v>0.73854439999999999</v>
      </c>
      <c r="AB8294">
        <v>19</v>
      </c>
      <c r="AC8294">
        <v>1.9168999999999901</v>
      </c>
      <c r="AD8294">
        <v>-1.1264062701240001</v>
      </c>
      <c r="AE8294">
        <v>8.0256100000000004</v>
      </c>
      <c r="AF8294">
        <v>-5.5254991060488496</v>
      </c>
      <c r="AG8294">
        <v>-1.1264062701240001</v>
      </c>
      <c r="AH8294">
        <v>5.9232938441104697</v>
      </c>
      <c r="AI8294">
        <v>97.916531381973201</v>
      </c>
      <c r="AJ8294">
        <v>133.010026520217</v>
      </c>
      <c r="AK8294">
        <v>8.1783458853241395</v>
      </c>
      <c r="AL8294">
        <v>96.058803080921507</v>
      </c>
      <c r="AM8294">
        <v>108.63555829222599</v>
      </c>
      <c r="AN8294">
        <v>1.00000006450617</v>
      </c>
    </row>
    <row r="8295" spans="1:40" x14ac:dyDescent="0.25">
      <c r="A8295" t="str">
        <f>"20190303154339201"</f>
        <v>20190303154339201</v>
      </c>
      <c r="B8295" t="str">
        <f>"1551599019198423"</f>
        <v>1551599019198423</v>
      </c>
      <c r="C8295" t="s">
        <v>40</v>
      </c>
      <c r="D8295">
        <v>5.8100750000000003</v>
      </c>
      <c r="E8295">
        <v>0.33770040000000001</v>
      </c>
      <c r="F8295" t="s">
        <v>58</v>
      </c>
      <c r="G8295">
        <v>-195.661</v>
      </c>
      <c r="H8295" s="1">
        <v>-2.2432240000000002E-6</v>
      </c>
      <c r="I8295">
        <v>-50.211489999999998</v>
      </c>
      <c r="J8295">
        <v>-197.5325</v>
      </c>
      <c r="K8295">
        <v>1.1263890000000001</v>
      </c>
      <c r="L8295">
        <v>-58.14331</v>
      </c>
      <c r="M8295">
        <v>0.83010289999999998</v>
      </c>
      <c r="N8295">
        <v>-1.281708E-2</v>
      </c>
      <c r="O8295">
        <v>0.55746300000000004</v>
      </c>
      <c r="P8295">
        <v>0.60277749999999997</v>
      </c>
      <c r="Q8295">
        <v>-0.1146129</v>
      </c>
      <c r="R8295">
        <v>0.78963490000000003</v>
      </c>
      <c r="S8295">
        <v>0.7712097</v>
      </c>
      <c r="T8295">
        <v>-0.44474720000000001</v>
      </c>
      <c r="U8295">
        <v>3.15625</v>
      </c>
      <c r="V8295">
        <v>-0.31808140000000001</v>
      </c>
      <c r="W8295">
        <v>-0.10680149999999999</v>
      </c>
      <c r="X8295">
        <v>0.94202850000000005</v>
      </c>
      <c r="Y8295">
        <v>-0.67183130000000002</v>
      </c>
      <c r="Z8295">
        <v>-2.1056720000000001E-2</v>
      </c>
      <c r="AA8295">
        <v>0.74040490000000003</v>
      </c>
      <c r="AB8295">
        <v>19</v>
      </c>
      <c r="AC8295">
        <v>1.8715000000000199</v>
      </c>
      <c r="AD8295">
        <v>-1.126391243224</v>
      </c>
      <c r="AE8295">
        <v>7.9318199999999903</v>
      </c>
      <c r="AF8295">
        <v>-5.4375162408833404</v>
      </c>
      <c r="AG8295">
        <v>-1.126391243224</v>
      </c>
      <c r="AH8295">
        <v>5.8637092566636602</v>
      </c>
      <c r="AI8295">
        <v>98.017611693601395</v>
      </c>
      <c r="AJ8295">
        <v>132.84027894595701</v>
      </c>
      <c r="AK8295">
        <v>8.0757926143113004</v>
      </c>
      <c r="AL8295">
        <v>96.1309685319914</v>
      </c>
      <c r="AM8295">
        <v>108.65755295128</v>
      </c>
      <c r="AN8295">
        <v>1.00000001612023</v>
      </c>
    </row>
    <row r="8296" spans="1:40" x14ac:dyDescent="0.25">
      <c r="A8296" t="str">
        <f>"20190303154339214"</f>
        <v>20190303154339214</v>
      </c>
      <c r="B8296" t="str">
        <f>"1551599019208183"</f>
        <v>1551599019208183</v>
      </c>
      <c r="C8296" t="s">
        <v>40</v>
      </c>
      <c r="D8296">
        <v>5.834028</v>
      </c>
      <c r="E8296">
        <v>0.33921210000000002</v>
      </c>
      <c r="F8296" t="s">
        <v>58</v>
      </c>
      <c r="G8296">
        <v>-195.60740000000001</v>
      </c>
      <c r="H8296" s="1">
        <v>-2.1851909999999998E-6</v>
      </c>
      <c r="I8296">
        <v>-50.28942</v>
      </c>
      <c r="J8296">
        <v>-197.44759999999999</v>
      </c>
      <c r="K8296">
        <v>1.1263729999999901</v>
      </c>
      <c r="L8296">
        <v>-58.078249999999997</v>
      </c>
      <c r="M8296">
        <v>0.82677579999999995</v>
      </c>
      <c r="N8296">
        <v>-1.29645E-2</v>
      </c>
      <c r="O8296">
        <v>0.5623821</v>
      </c>
      <c r="P8296">
        <v>0.59779209999999905</v>
      </c>
      <c r="Q8296">
        <v>-0.11585189999999999</v>
      </c>
      <c r="R8296">
        <v>0.79323580000000005</v>
      </c>
      <c r="S8296">
        <v>0.77093509999999998</v>
      </c>
      <c r="T8296">
        <v>-0.45108369999999998</v>
      </c>
      <c r="U8296">
        <v>3.1452330000000002</v>
      </c>
      <c r="V8296">
        <v>-0.31826470000000001</v>
      </c>
      <c r="W8296">
        <v>-0.1078813</v>
      </c>
      <c r="X8296">
        <v>0.94184349999999994</v>
      </c>
      <c r="Y8296">
        <v>-0.66688309999999995</v>
      </c>
      <c r="Z8296">
        <v>-2.2781039999999999E-2</v>
      </c>
      <c r="AA8296">
        <v>0.74481399999999998</v>
      </c>
      <c r="AB8296">
        <v>19</v>
      </c>
      <c r="AC8296">
        <v>1.8401999999999801</v>
      </c>
      <c r="AD8296">
        <v>-1.12637518519099</v>
      </c>
      <c r="AE8296">
        <v>7.7888299999999902</v>
      </c>
      <c r="AF8296">
        <v>-5.3001909672760696</v>
      </c>
      <c r="AG8296">
        <v>-1.12637518519099</v>
      </c>
      <c r="AH8296">
        <v>5.7875893478013296</v>
      </c>
      <c r="AI8296">
        <v>98.167723436887997</v>
      </c>
      <c r="AJ8296">
        <v>132.48300354592899</v>
      </c>
      <c r="AK8296">
        <v>7.9282366139131</v>
      </c>
      <c r="AL8296">
        <v>96.193196238999704</v>
      </c>
      <c r="AM8296">
        <v>108.67097263419799</v>
      </c>
      <c r="AN8296">
        <v>0.99999998632401399</v>
      </c>
    </row>
    <row r="8297" spans="1:40" x14ac:dyDescent="0.25">
      <c r="A8297" t="str">
        <f>"20190303154339232"</f>
        <v>20190303154339232</v>
      </c>
      <c r="B8297" t="str">
        <f>"1551599019228679"</f>
        <v>1551599019228679</v>
      </c>
      <c r="C8297" t="s">
        <v>40</v>
      </c>
      <c r="D8297">
        <v>5.8307820000000001</v>
      </c>
      <c r="E8297">
        <v>0.34049750000000001</v>
      </c>
      <c r="F8297" t="s">
        <v>58</v>
      </c>
      <c r="G8297">
        <v>-195.566</v>
      </c>
      <c r="H8297" s="1">
        <v>-2.166688E-6</v>
      </c>
      <c r="I8297">
        <v>-50.305100000000003</v>
      </c>
      <c r="J8297">
        <v>-197.32810000000001</v>
      </c>
      <c r="K8297">
        <v>1.12635</v>
      </c>
      <c r="L8297">
        <v>-57.985019999999999</v>
      </c>
      <c r="M8297">
        <v>0.82203169999999903</v>
      </c>
      <c r="N8297">
        <v>-1.316617E-2</v>
      </c>
      <c r="O8297">
        <v>0.56928959999999995</v>
      </c>
      <c r="P8297">
        <v>0.59084780000000003</v>
      </c>
      <c r="Q8297">
        <v>-0.1173131</v>
      </c>
      <c r="R8297">
        <v>0.79820839999999904</v>
      </c>
      <c r="S8297">
        <v>0.76065059999999995</v>
      </c>
      <c r="T8297">
        <v>-0.4553297</v>
      </c>
      <c r="U8297">
        <v>3.142242</v>
      </c>
      <c r="V8297">
        <v>-0.31840749999999901</v>
      </c>
      <c r="W8297">
        <v>-0.109126</v>
      </c>
      <c r="X8297">
        <v>0.94165180000000004</v>
      </c>
      <c r="Y8297">
        <v>-0.66279160000000004</v>
      </c>
      <c r="Z8297">
        <v>-2.4526780000000001E-2</v>
      </c>
      <c r="AA8297">
        <v>0.74840209999999996</v>
      </c>
      <c r="AB8297">
        <v>19</v>
      </c>
      <c r="AC8297">
        <v>1.76210000000003</v>
      </c>
      <c r="AD8297">
        <v>-1.1263521666880001</v>
      </c>
      <c r="AE8297">
        <v>7.6799199999999903</v>
      </c>
      <c r="AF8297">
        <v>-5.2041116335424702</v>
      </c>
      <c r="AG8297">
        <v>-1.1263521666880001</v>
      </c>
      <c r="AH8297">
        <v>5.7045382989804798</v>
      </c>
      <c r="AI8297">
        <v>98.299121272901701</v>
      </c>
      <c r="AJ8297">
        <v>132.373437754181</v>
      </c>
      <c r="AK8297">
        <v>7.80340978690149</v>
      </c>
      <c r="AL8297">
        <v>96.264935975249898</v>
      </c>
      <c r="AM8297">
        <v>108.68230779133501</v>
      </c>
      <c r="AN8297">
        <v>0.999999966187744</v>
      </c>
    </row>
    <row r="8298" spans="1:40" x14ac:dyDescent="0.25">
      <c r="A8298" t="str">
        <f>"20190303154339246"</f>
        <v>20190303154339246</v>
      </c>
      <c r="B8298" t="str">
        <f>"1551599019238439"</f>
        <v>1551599019238439</v>
      </c>
      <c r="C8298" t="s">
        <v>40</v>
      </c>
      <c r="D8298">
        <v>5.8533460000000002</v>
      </c>
      <c r="E8298">
        <v>0.36211090000000001</v>
      </c>
      <c r="F8298" t="s">
        <v>58</v>
      </c>
      <c r="G8298">
        <v>-195.5146</v>
      </c>
      <c r="H8298" s="1">
        <v>-2.158294E-6</v>
      </c>
      <c r="I8298">
        <v>-50.299959999999999</v>
      </c>
      <c r="J8298">
        <v>-197.2397</v>
      </c>
      <c r="K8298">
        <v>1.1263379999999901</v>
      </c>
      <c r="L8298">
        <v>-57.914949999999997</v>
      </c>
      <c r="M8298">
        <v>0.81847630000000005</v>
      </c>
      <c r="N8298">
        <v>-1.33072E-2</v>
      </c>
      <c r="O8298">
        <v>0.57438630000000002</v>
      </c>
      <c r="P8298">
        <v>0.58580169999999998</v>
      </c>
      <c r="Q8298">
        <v>-0.11785859999999999</v>
      </c>
      <c r="R8298">
        <v>0.80183909999999903</v>
      </c>
      <c r="S8298">
        <v>0.74145509999999903</v>
      </c>
      <c r="T8298">
        <v>-0.46049069999999998</v>
      </c>
      <c r="U8298">
        <v>3.1419069999999998</v>
      </c>
      <c r="V8298">
        <v>-0.31843090000000002</v>
      </c>
      <c r="W8298">
        <v>-0.10951909999999999</v>
      </c>
      <c r="X8298">
        <v>0.9415983</v>
      </c>
      <c r="Y8298">
        <v>-0.6624234</v>
      </c>
      <c r="Z8298">
        <v>-2.576053E-2</v>
      </c>
      <c r="AA8298">
        <v>0.74868659999999998</v>
      </c>
      <c r="AB8298">
        <v>19</v>
      </c>
      <c r="AC8298">
        <v>1.7250999999999901</v>
      </c>
      <c r="AD8298">
        <v>-1.12634015829399</v>
      </c>
      <c r="AE8298">
        <v>7.6149899999999899</v>
      </c>
      <c r="AF8298">
        <v>-5.1354125131224198</v>
      </c>
      <c r="AG8298">
        <v>-1.12634015829399</v>
      </c>
      <c r="AH8298">
        <v>5.6684526192148299</v>
      </c>
      <c r="AI8298">
        <v>98.377029022621201</v>
      </c>
      <c r="AJ8298">
        <v>132.17543648268801</v>
      </c>
      <c r="AK8298">
        <v>7.7312650276913599</v>
      </c>
      <c r="AL8298">
        <v>96.2875944485601</v>
      </c>
      <c r="AM8298">
        <v>108.68457338329399</v>
      </c>
      <c r="AN8298">
        <v>1.00000001495125</v>
      </c>
    </row>
    <row r="8299" spans="1:40" x14ac:dyDescent="0.25">
      <c r="A8299" t="str">
        <f>"20190303154339257"</f>
        <v>20190303154339257</v>
      </c>
      <c r="B8299" t="str">
        <f>"1551599019248199"</f>
        <v>1551599019248199</v>
      </c>
      <c r="C8299" t="s">
        <v>40</v>
      </c>
      <c r="D8299">
        <v>5.7727240000000002</v>
      </c>
      <c r="E8299">
        <v>0.35898659999999999</v>
      </c>
      <c r="F8299" t="s">
        <v>58</v>
      </c>
      <c r="G8299">
        <v>-195.17189999999999</v>
      </c>
      <c r="H8299" s="1">
        <v>-1.024094E-5</v>
      </c>
      <c r="I8299">
        <v>-50.598050000000001</v>
      </c>
      <c r="J8299">
        <v>-197.1568</v>
      </c>
      <c r="K8299">
        <v>1.1263240000000001</v>
      </c>
      <c r="L8299">
        <v>-57.848750000000003</v>
      </c>
      <c r="M8299">
        <v>0.81511679999999997</v>
      </c>
      <c r="N8299">
        <v>-1.3434420000000001E-2</v>
      </c>
      <c r="O8299">
        <v>0.57914080000000001</v>
      </c>
      <c r="P8299">
        <v>0.58107549999999997</v>
      </c>
      <c r="Q8299">
        <v>-0.11824999999999999</v>
      </c>
      <c r="R8299">
        <v>0.80521309999999902</v>
      </c>
      <c r="S8299">
        <v>0.86022949999999998</v>
      </c>
      <c r="T8299">
        <v>-0.46859299999999998</v>
      </c>
      <c r="U8299">
        <v>3.0440369999999999</v>
      </c>
      <c r="V8299">
        <v>-0.31844260000000002</v>
      </c>
      <c r="W8299">
        <v>-0.1097728</v>
      </c>
      <c r="X8299">
        <v>0.94156479999999998</v>
      </c>
      <c r="Y8299">
        <v>-0.62484589999999995</v>
      </c>
      <c r="Z8299">
        <v>-3.155293E-2</v>
      </c>
      <c r="AA8299">
        <v>0.78011030000000003</v>
      </c>
      <c r="AB8299">
        <v>19</v>
      </c>
      <c r="AC8299">
        <v>1.9849000000000101</v>
      </c>
      <c r="AD8299">
        <v>-1.1263342409399999</v>
      </c>
      <c r="AE8299">
        <v>7.2507000000000001</v>
      </c>
      <c r="AF8299">
        <v>-4.6565278376521704</v>
      </c>
      <c r="AG8299">
        <v>-1.1263342409399999</v>
      </c>
      <c r="AH8299">
        <v>5.6898962185870703</v>
      </c>
      <c r="AI8299">
        <v>98.709555456540897</v>
      </c>
      <c r="AJ8299">
        <v>129.29639230820101</v>
      </c>
      <c r="AK8299">
        <v>7.4381986598527297</v>
      </c>
      <c r="AL8299">
        <v>96.302218561303405</v>
      </c>
      <c r="AM8299">
        <v>108.68583091100299</v>
      </c>
      <c r="AN8299">
        <v>1.00000001485682</v>
      </c>
    </row>
    <row r="8300" spans="1:40" x14ac:dyDescent="0.25">
      <c r="A8300" t="str">
        <f>"20190303154339270"</f>
        <v>20190303154339270</v>
      </c>
      <c r="B8300" t="str">
        <f>"1551599019268694"</f>
        <v>1551599019268694</v>
      </c>
      <c r="C8300" t="s">
        <v>40</v>
      </c>
      <c r="D8300">
        <v>5.7598370000000001</v>
      </c>
      <c r="E8300">
        <v>0.35752869999999998</v>
      </c>
      <c r="F8300" t="s">
        <v>58</v>
      </c>
      <c r="G8300">
        <v>-195.08070000000001</v>
      </c>
      <c r="H8300" s="1">
        <v>-2.1656640000000001E-6</v>
      </c>
      <c r="I8300">
        <v>-50.124510000000001</v>
      </c>
      <c r="J8300">
        <v>-197.06979999999999</v>
      </c>
      <c r="K8300">
        <v>1.1263069999999999</v>
      </c>
      <c r="L8300">
        <v>-57.77814</v>
      </c>
      <c r="M8300">
        <v>0.81155109999999997</v>
      </c>
      <c r="N8300">
        <v>-1.355861E-2</v>
      </c>
      <c r="O8300">
        <v>0.58412399999999998</v>
      </c>
      <c r="P8300">
        <v>0.57589269999999904</v>
      </c>
      <c r="Q8300">
        <v>-0.1186205</v>
      </c>
      <c r="R8300">
        <v>0.80887379999999998</v>
      </c>
      <c r="S8300">
        <v>0.82395940000000001</v>
      </c>
      <c r="T8300">
        <v>-0.44700099999999998</v>
      </c>
      <c r="U8300">
        <v>3.0654910000000002</v>
      </c>
      <c r="V8300">
        <v>-0.31867839999999997</v>
      </c>
      <c r="W8300">
        <v>-0.1100111</v>
      </c>
      <c r="X8300">
        <v>0.94145719999999999</v>
      </c>
      <c r="Y8300">
        <v>-0.63018200000000002</v>
      </c>
      <c r="Z8300">
        <v>-2.9679130000000001E-2</v>
      </c>
      <c r="AA8300">
        <v>0.77588000000000001</v>
      </c>
      <c r="AB8300">
        <v>19</v>
      </c>
      <c r="AC8300">
        <v>1.9890999999999699</v>
      </c>
      <c r="AD8300">
        <v>-1.1263091656640001</v>
      </c>
      <c r="AE8300">
        <v>7.6536299999999997</v>
      </c>
      <c r="AF8300">
        <v>-4.9494902742731002</v>
      </c>
      <c r="AG8300">
        <v>-1.1263091656640001</v>
      </c>
      <c r="AH8300">
        <v>5.9644897850425496</v>
      </c>
      <c r="AI8300">
        <v>98.268231654533594</v>
      </c>
      <c r="AJ8300">
        <v>129.68677866528</v>
      </c>
      <c r="AK8300">
        <v>7.8320600551617199</v>
      </c>
      <c r="AL8300">
        <v>96.315955359201396</v>
      </c>
      <c r="AM8300">
        <v>108.700694478985</v>
      </c>
      <c r="AN8300">
        <v>1.0000000120907999</v>
      </c>
    </row>
    <row r="8301" spans="1:40" x14ac:dyDescent="0.25">
      <c r="A8301" t="str">
        <f>"20190303154339290"</f>
        <v>20190303154339290</v>
      </c>
      <c r="B8301" t="str">
        <f>"1551599019278454"</f>
        <v>1551599019278454</v>
      </c>
      <c r="C8301" t="s">
        <v>40</v>
      </c>
      <c r="D8301">
        <v>5.7835760000000001</v>
      </c>
      <c r="E8301">
        <v>0.35767529999999997</v>
      </c>
      <c r="F8301" t="s">
        <v>42</v>
      </c>
      <c r="G8301">
        <v>-196.834</v>
      </c>
      <c r="H8301">
        <v>0.99914119999999995</v>
      </c>
      <c r="I8301">
        <v>-56.866300000000003</v>
      </c>
      <c r="J8301">
        <v>-196.95099999999999</v>
      </c>
      <c r="K8301">
        <v>1.1262760000000001</v>
      </c>
      <c r="L8301">
        <v>-57.680390000000003</v>
      </c>
      <c r="M8301">
        <v>0.80662840000000002</v>
      </c>
      <c r="N8301">
        <v>-1.371607E-2</v>
      </c>
      <c r="O8301">
        <v>0.59089979999999998</v>
      </c>
      <c r="P8301">
        <v>0.56941649999999999</v>
      </c>
      <c r="Q8301">
        <v>-0.1199707</v>
      </c>
      <c r="R8301">
        <v>0.81324770000000002</v>
      </c>
      <c r="S8301">
        <v>0.79617309999999997</v>
      </c>
      <c r="T8301">
        <v>-0.42940129999999999</v>
      </c>
      <c r="U8301">
        <v>3.0790410000000001</v>
      </c>
      <c r="V8301">
        <v>-0.31814439999999999</v>
      </c>
      <c r="W8301">
        <v>-0.1111756</v>
      </c>
      <c r="X8301">
        <v>0.94150100000000003</v>
      </c>
      <c r="Y8301">
        <v>-0.63121660000000002</v>
      </c>
      <c r="Z8301">
        <v>-2.8835360000000001E-2</v>
      </c>
      <c r="AA8301">
        <v>0.77507040000000005</v>
      </c>
      <c r="AB8301">
        <v>19</v>
      </c>
      <c r="AC8301">
        <v>0.11699999999999</v>
      </c>
      <c r="AD8301">
        <v>-0.12713479999999999</v>
      </c>
      <c r="AE8301">
        <v>0.81408999999999998</v>
      </c>
      <c r="AF8301">
        <v>-0.57387539845008195</v>
      </c>
      <c r="AG8301">
        <v>-0.12713479999999999</v>
      </c>
      <c r="AH8301">
        <v>0.56204524317530302</v>
      </c>
      <c r="AI8301">
        <v>98.993792777764</v>
      </c>
      <c r="AJ8301">
        <v>135.596690859153</v>
      </c>
      <c r="AK8301">
        <v>0.81325954386854005</v>
      </c>
      <c r="AL8301">
        <v>96.383088164603194</v>
      </c>
      <c r="AM8301">
        <v>108.670723379572</v>
      </c>
      <c r="AN8301">
        <v>1.0000000031438601</v>
      </c>
    </row>
    <row r="8302" spans="1:40" x14ac:dyDescent="0.25">
      <c r="A8302" t="str">
        <f>"20190303154339306"</f>
        <v>20190303154339306</v>
      </c>
      <c r="B8302" t="str">
        <f>"1551599019297975"</f>
        <v>1551599019297975</v>
      </c>
      <c r="C8302" t="s">
        <v>40</v>
      </c>
      <c r="D8302">
        <v>5.7715500000000004</v>
      </c>
      <c r="E8302">
        <v>0.35846889999999998</v>
      </c>
      <c r="F8302" t="s">
        <v>42</v>
      </c>
      <c r="G8302">
        <v>-196.7183</v>
      </c>
      <c r="H8302">
        <v>0.99742010000000003</v>
      </c>
      <c r="I8302">
        <v>-56.751930000000002</v>
      </c>
      <c r="J8302">
        <v>-196.84520000000001</v>
      </c>
      <c r="K8302">
        <v>1.1262380000000001</v>
      </c>
      <c r="L8302">
        <v>-57.591920000000002</v>
      </c>
      <c r="M8302">
        <v>0.80218279999999997</v>
      </c>
      <c r="N8302">
        <v>-1.384429E-2</v>
      </c>
      <c r="O8302">
        <v>0.59691799999999995</v>
      </c>
      <c r="P8302">
        <v>0.56344059999999996</v>
      </c>
      <c r="Q8302">
        <v>-0.1201472</v>
      </c>
      <c r="R8302">
        <v>0.81737340000000003</v>
      </c>
      <c r="S8302">
        <v>0.77299499999999999</v>
      </c>
      <c r="T8302">
        <v>-0.4280834</v>
      </c>
      <c r="U8302">
        <v>3.0845340000000001</v>
      </c>
      <c r="V8302">
        <v>-0.3179901</v>
      </c>
      <c r="W8302">
        <v>-0.11119660000000001</v>
      </c>
      <c r="X8302">
        <v>0.94155069999999996</v>
      </c>
      <c r="Y8302">
        <v>-0.63124720000000001</v>
      </c>
      <c r="Z8302">
        <v>-2.9556430000000002E-2</v>
      </c>
      <c r="AA8302">
        <v>0.77501830000000005</v>
      </c>
      <c r="AB8302">
        <v>19</v>
      </c>
      <c r="AC8302">
        <v>0.12690000000000601</v>
      </c>
      <c r="AD8302">
        <v>-0.12881789999999901</v>
      </c>
      <c r="AE8302">
        <v>0.83998999999999302</v>
      </c>
      <c r="AF8302">
        <v>-0.58468993292268001</v>
      </c>
      <c r="AG8302">
        <v>-0.12881789999999901</v>
      </c>
      <c r="AH8302">
        <v>0.58970072114856997</v>
      </c>
      <c r="AI8302">
        <v>98.817584483734095</v>
      </c>
      <c r="AJ8302">
        <v>134.755536818846</v>
      </c>
      <c r="AK8302">
        <v>0.84035903609390805</v>
      </c>
      <c r="AL8302">
        <v>96.384298556166499</v>
      </c>
      <c r="AM8302">
        <v>108.661378340967</v>
      </c>
      <c r="AN8302">
        <v>1.00000005411002</v>
      </c>
    </row>
    <row r="8303" spans="1:40" x14ac:dyDescent="0.25">
      <c r="A8303" t="str">
        <f>"20190303154339322"</f>
        <v>20190303154339322</v>
      </c>
      <c r="B8303" t="str">
        <f>"1551599019318471"</f>
        <v>1551599019318471</v>
      </c>
      <c r="C8303" t="s">
        <v>40</v>
      </c>
      <c r="D8303">
        <v>5.7652239999999999</v>
      </c>
      <c r="E8303">
        <v>0.35936980000000002</v>
      </c>
      <c r="F8303" t="s">
        <v>58</v>
      </c>
      <c r="G8303">
        <v>-194.8193</v>
      </c>
      <c r="H8303" s="1">
        <v>-2.5831279999999998E-6</v>
      </c>
      <c r="I8303">
        <v>-49.321040000000004</v>
      </c>
      <c r="J8303">
        <v>-196.7439</v>
      </c>
      <c r="K8303">
        <v>1.1261950000000001</v>
      </c>
      <c r="L8303">
        <v>-57.506039999999999</v>
      </c>
      <c r="M8303">
        <v>0.79787469999999905</v>
      </c>
      <c r="N8303">
        <v>-1.395706E-2</v>
      </c>
      <c r="O8303">
        <v>0.60266169999999997</v>
      </c>
      <c r="P8303">
        <v>0.55803919999999996</v>
      </c>
      <c r="Q8303">
        <v>-0.1210383</v>
      </c>
      <c r="R8303">
        <v>0.82093969999999905</v>
      </c>
      <c r="S8303">
        <v>0.75619510000000001</v>
      </c>
      <c r="T8303">
        <v>-0.4203846</v>
      </c>
      <c r="U8303">
        <v>3.0872190000000002</v>
      </c>
      <c r="V8303">
        <v>-0.31733630000000002</v>
      </c>
      <c r="W8303">
        <v>-0.1119361</v>
      </c>
      <c r="X8303">
        <v>0.94168359999999995</v>
      </c>
      <c r="Y8303">
        <v>-0.62988659999999996</v>
      </c>
      <c r="Z8303">
        <v>-2.9743800000000001E-2</v>
      </c>
      <c r="AA8303">
        <v>0.77611739999999996</v>
      </c>
      <c r="AB8303">
        <v>19</v>
      </c>
      <c r="AC8303">
        <v>1.9245999999999901</v>
      </c>
      <c r="AD8303">
        <v>-1.126197583128</v>
      </c>
      <c r="AE8303">
        <v>8.1850000000000005</v>
      </c>
      <c r="AF8303">
        <v>-5.2765835892744199</v>
      </c>
      <c r="AG8303">
        <v>-1.126197583128</v>
      </c>
      <c r="AH8303">
        <v>6.3549978383311201</v>
      </c>
      <c r="AI8303">
        <v>97.763994073260406</v>
      </c>
      <c r="AJ8303">
        <v>129.70300326944999</v>
      </c>
      <c r="AK8303">
        <v>8.3364652518940403</v>
      </c>
      <c r="AL8303">
        <v>96.426935247199097</v>
      </c>
      <c r="AM8303">
        <v>108.62321142849</v>
      </c>
      <c r="AN8303">
        <v>1.00000001014493</v>
      </c>
    </row>
    <row r="8304" spans="1:40" x14ac:dyDescent="0.25">
      <c r="A8304" t="str">
        <f>"20190303154339345"</f>
        <v>20190303154339345</v>
      </c>
      <c r="B8304" t="str">
        <f>"1551599019337991"</f>
        <v>1551599019337991</v>
      </c>
      <c r="C8304" t="s">
        <v>40</v>
      </c>
      <c r="D8304">
        <v>5.7834099999999999</v>
      </c>
      <c r="E8304">
        <v>0.36069790000000002</v>
      </c>
      <c r="F8304" t="s">
        <v>58</v>
      </c>
      <c r="G8304">
        <v>-194.7405</v>
      </c>
      <c r="H8304" s="1">
        <v>-2.6546509999999999E-6</v>
      </c>
      <c r="I8304">
        <v>-49.170610000000003</v>
      </c>
      <c r="J8304">
        <v>-196.601</v>
      </c>
      <c r="K8304">
        <v>1.126125</v>
      </c>
      <c r="L8304">
        <v>-57.382779999999997</v>
      </c>
      <c r="M8304">
        <v>0.79171190000000002</v>
      </c>
      <c r="N8304">
        <v>-1.409815E-2</v>
      </c>
      <c r="O8304">
        <v>0.6107321</v>
      </c>
      <c r="P8304">
        <v>0.549543</v>
      </c>
      <c r="Q8304">
        <v>-0.12183720000000001</v>
      </c>
      <c r="R8304">
        <v>0.82653390000000004</v>
      </c>
      <c r="S8304">
        <v>0.74224849999999998</v>
      </c>
      <c r="T8304">
        <v>-0.4172575</v>
      </c>
      <c r="U8304">
        <v>3.0882869999999998</v>
      </c>
      <c r="V8304">
        <v>-0.31740400000000002</v>
      </c>
      <c r="W8304">
        <v>-0.1125473</v>
      </c>
      <c r="X8304">
        <v>0.94158790000000003</v>
      </c>
      <c r="Y8304">
        <v>-0.625440199999999</v>
      </c>
      <c r="Z8304">
        <v>-3.096196E-2</v>
      </c>
      <c r="AA8304">
        <v>0.77965759999999995</v>
      </c>
      <c r="AB8304">
        <v>19</v>
      </c>
      <c r="AC8304">
        <v>1.8605</v>
      </c>
      <c r="AD8304">
        <v>-1.126127654651</v>
      </c>
      <c r="AE8304">
        <v>8.2121700000000004</v>
      </c>
      <c r="AF8304">
        <v>-5.27164789342822</v>
      </c>
      <c r="AG8304">
        <v>-1.126127654651</v>
      </c>
      <c r="AH8304">
        <v>6.3750340367209599</v>
      </c>
      <c r="AI8304">
        <v>97.752134467628807</v>
      </c>
      <c r="AJ8304">
        <v>129.588051489149</v>
      </c>
      <c r="AK8304">
        <v>8.3486222801254293</v>
      </c>
      <c r="AL8304">
        <v>96.462177295240807</v>
      </c>
      <c r="AM8304">
        <v>108.628672974407</v>
      </c>
      <c r="AN8304">
        <v>0.99999998368984899</v>
      </c>
    </row>
    <row r="8305" spans="1:40" x14ac:dyDescent="0.25">
      <c r="A8305" t="str">
        <f>"20190303154339368"</f>
        <v>20190303154339368</v>
      </c>
      <c r="B8305" t="str">
        <f>"1551599019358487"</f>
        <v>1551599019358487</v>
      </c>
      <c r="C8305" t="s">
        <v>40</v>
      </c>
      <c r="D8305">
        <v>5.761978</v>
      </c>
      <c r="E8305">
        <v>0.36166110000000001</v>
      </c>
      <c r="F8305" t="s">
        <v>58</v>
      </c>
      <c r="G8305">
        <v>-194.64410000000001</v>
      </c>
      <c r="H8305" s="1">
        <v>-2.744664E-6</v>
      </c>
      <c r="I8305">
        <v>-48.982329999999997</v>
      </c>
      <c r="J8305">
        <v>-196.4607</v>
      </c>
      <c r="K8305">
        <v>1.1260479999999999</v>
      </c>
      <c r="L8305">
        <v>-57.259459999999997</v>
      </c>
      <c r="M8305">
        <v>0.78556979999999998</v>
      </c>
      <c r="N8305">
        <v>-1.421801E-2</v>
      </c>
      <c r="O8305">
        <v>0.61860979999999999</v>
      </c>
      <c r="P8305">
        <v>0.54086489999999998</v>
      </c>
      <c r="Q8305">
        <v>-0.1226</v>
      </c>
      <c r="R8305">
        <v>0.83212640000000004</v>
      </c>
      <c r="S8305">
        <v>0.71980290000000002</v>
      </c>
      <c r="T8305">
        <v>-0.41423130000000002</v>
      </c>
      <c r="U8305">
        <v>3.0899960000000002</v>
      </c>
      <c r="V8305">
        <v>-0.31777290000000002</v>
      </c>
      <c r="W8305">
        <v>-0.1131458</v>
      </c>
      <c r="X8305">
        <v>0.9413918</v>
      </c>
      <c r="Y8305">
        <v>-0.62316319999999903</v>
      </c>
      <c r="Z8305">
        <v>-3.1996370000000003E-2</v>
      </c>
      <c r="AA8305">
        <v>0.78143699999999905</v>
      </c>
      <c r="AB8305">
        <v>19</v>
      </c>
      <c r="AC8305">
        <v>1.81659999999999</v>
      </c>
      <c r="AD8305">
        <v>-1.126050744664</v>
      </c>
      <c r="AE8305">
        <v>8.2771299999999997</v>
      </c>
      <c r="AF8305">
        <v>-5.2857085289132897</v>
      </c>
      <c r="AG8305">
        <v>-1.126050744664</v>
      </c>
      <c r="AH8305">
        <v>6.4344263342764902</v>
      </c>
      <c r="AI8305">
        <v>97.701236257364499</v>
      </c>
      <c r="AJ8305">
        <v>129.40218605359101</v>
      </c>
      <c r="AK8305">
        <v>8.4028892164193092</v>
      </c>
      <c r="AL8305">
        <v>96.496688805644297</v>
      </c>
      <c r="AM8305">
        <v>108.652443728978</v>
      </c>
      <c r="AN8305">
        <v>1.0000000545696399</v>
      </c>
    </row>
    <row r="8306" spans="1:40" x14ac:dyDescent="0.25">
      <c r="A8306" t="str">
        <f>"20190303154339388"</f>
        <v>20190303154339388</v>
      </c>
      <c r="B8306" t="str">
        <f>"1551599019378022"</f>
        <v>1551599019378022</v>
      </c>
      <c r="C8306" t="s">
        <v>40</v>
      </c>
      <c r="D8306">
        <v>5.8567580000000001</v>
      </c>
      <c r="E8306">
        <v>0.36225770000000002</v>
      </c>
      <c r="F8306" t="s">
        <v>58</v>
      </c>
      <c r="G8306">
        <v>-194.5633</v>
      </c>
      <c r="H8306" s="1">
        <v>-2.833013E-6</v>
      </c>
      <c r="I8306">
        <v>-48.802720000000001</v>
      </c>
      <c r="J8306">
        <v>-196.3297</v>
      </c>
      <c r="K8306">
        <v>1.1259749999999999</v>
      </c>
      <c r="L8306">
        <v>-57.142119999999998</v>
      </c>
      <c r="M8306">
        <v>0.77975119999999998</v>
      </c>
      <c r="N8306">
        <v>-1.431489E-2</v>
      </c>
      <c r="O8306">
        <v>0.62592579999999998</v>
      </c>
      <c r="P8306">
        <v>0.53306669999999901</v>
      </c>
      <c r="Q8306">
        <v>-0.1227235</v>
      </c>
      <c r="R8306">
        <v>0.83712529999999996</v>
      </c>
      <c r="S8306">
        <v>0.69404600000000005</v>
      </c>
      <c r="T8306">
        <v>-0.41190120000000002</v>
      </c>
      <c r="U8306">
        <v>3.0934140000000001</v>
      </c>
      <c r="V8306">
        <v>-0.3177719</v>
      </c>
      <c r="W8306">
        <v>-0.1131249</v>
      </c>
      <c r="X8306">
        <v>0.94139459999999997</v>
      </c>
      <c r="Y8306">
        <v>-0.62226959999999998</v>
      </c>
      <c r="Z8306">
        <v>-3.2897889999999999E-2</v>
      </c>
      <c r="AA8306">
        <v>0.78211149999999996</v>
      </c>
      <c r="AB8306">
        <v>19</v>
      </c>
      <c r="AC8306">
        <v>1.7664</v>
      </c>
      <c r="AD8306">
        <v>-1.1259778330129999</v>
      </c>
      <c r="AE8306">
        <v>8.3393999999999906</v>
      </c>
      <c r="AF8306">
        <v>-5.3050164337848402</v>
      </c>
      <c r="AG8306">
        <v>-1.1259778330129999</v>
      </c>
      <c r="AH8306">
        <v>6.48473281556962</v>
      </c>
      <c r="AI8306">
        <v>97.654292978575398</v>
      </c>
      <c r="AJ8306">
        <v>129.28583923201001</v>
      </c>
      <c r="AK8306">
        <v>8.4535664149806902</v>
      </c>
      <c r="AL8306">
        <v>96.495483888598201</v>
      </c>
      <c r="AM8306">
        <v>108.652337451165</v>
      </c>
      <c r="AN8306">
        <v>1.0000000081693801</v>
      </c>
    </row>
    <row r="8307" spans="1:40" x14ac:dyDescent="0.25">
      <c r="A8307" t="str">
        <f>"20190303154339402"</f>
        <v>20190303154339402</v>
      </c>
      <c r="B8307" t="str">
        <f>"1551599019398504"</f>
        <v>1551599019398504</v>
      </c>
      <c r="C8307" t="s">
        <v>40</v>
      </c>
      <c r="D8307">
        <v>5.8410989999999998</v>
      </c>
      <c r="E8307">
        <v>0.3725386</v>
      </c>
      <c r="F8307" t="s">
        <v>42</v>
      </c>
      <c r="G8307">
        <v>-196.1268</v>
      </c>
      <c r="H8307">
        <v>1.00145</v>
      </c>
      <c r="I8307">
        <v>-56.203119999999998</v>
      </c>
      <c r="J8307">
        <v>-196.25040000000001</v>
      </c>
      <c r="K8307">
        <v>1.1259330000000001</v>
      </c>
      <c r="L8307">
        <v>-57.070129999999999</v>
      </c>
      <c r="M8307">
        <v>0.77619419999999995</v>
      </c>
      <c r="N8307">
        <v>-1.4367120000000001E-2</v>
      </c>
      <c r="O8307">
        <v>0.63033030000000001</v>
      </c>
      <c r="P8307">
        <v>0.5281593</v>
      </c>
      <c r="Q8307">
        <v>-0.1228538</v>
      </c>
      <c r="R8307">
        <v>0.84021119999999905</v>
      </c>
      <c r="S8307">
        <v>0.66949459999999905</v>
      </c>
      <c r="T8307">
        <v>-0.41074319999999997</v>
      </c>
      <c r="U8307">
        <v>3.0971679999999999</v>
      </c>
      <c r="V8307">
        <v>-0.31794499999999998</v>
      </c>
      <c r="W8307">
        <v>-0.1131789</v>
      </c>
      <c r="X8307">
        <v>0.94132969999999905</v>
      </c>
      <c r="Y8307">
        <v>-0.62396059999999998</v>
      </c>
      <c r="Z8307">
        <v>-3.329385E-2</v>
      </c>
      <c r="AA8307">
        <v>0.78074619999999995</v>
      </c>
      <c r="AB8307">
        <v>19</v>
      </c>
      <c r="AC8307">
        <v>0.12360000000000999</v>
      </c>
      <c r="AD8307">
        <v>-0.124483</v>
      </c>
      <c r="AE8307">
        <v>0.86701000000000705</v>
      </c>
      <c r="AF8307">
        <v>-0.58333507552995501</v>
      </c>
      <c r="AG8307">
        <v>-0.124483</v>
      </c>
      <c r="AH8307">
        <v>0.62978251415577302</v>
      </c>
      <c r="AI8307">
        <v>98.251062659172305</v>
      </c>
      <c r="AJ8307">
        <v>132.807349463962</v>
      </c>
      <c r="AK8307">
        <v>0.86741099991232895</v>
      </c>
      <c r="AL8307">
        <v>96.498597617403703</v>
      </c>
      <c r="AM8307">
        <v>108.662992157159</v>
      </c>
      <c r="AN8307">
        <v>1.0000000452661399</v>
      </c>
    </row>
    <row r="8308" spans="1:40" x14ac:dyDescent="0.25">
      <c r="A8308" t="str">
        <f>"20190303154339416"</f>
        <v>20190303154339416</v>
      </c>
      <c r="B8308" t="str">
        <f>"1551599019408263"</f>
        <v>1551599019408263</v>
      </c>
      <c r="C8308" t="s">
        <v>40</v>
      </c>
      <c r="D8308">
        <v>6.167179</v>
      </c>
      <c r="E8308">
        <v>0.37334329999999999</v>
      </c>
      <c r="F8308" t="s">
        <v>42</v>
      </c>
      <c r="G8308">
        <v>-196.01769999999999</v>
      </c>
      <c r="H8308">
        <v>1.0015750000000001</v>
      </c>
      <c r="I8308">
        <v>-56.084870000000002</v>
      </c>
      <c r="J8308">
        <v>-196.16309999999999</v>
      </c>
      <c r="K8308">
        <v>1.125891</v>
      </c>
      <c r="L8308">
        <v>-56.990079999999999</v>
      </c>
      <c r="M8308">
        <v>0.77224539999999997</v>
      </c>
      <c r="N8308">
        <v>-1.442031E-2</v>
      </c>
      <c r="O8308">
        <v>0.63516070000000002</v>
      </c>
      <c r="P8308">
        <v>0.52275039999999995</v>
      </c>
      <c r="Q8308">
        <v>-0.12326090000000001</v>
      </c>
      <c r="R8308">
        <v>0.84352759999999904</v>
      </c>
      <c r="S8308">
        <v>0.72258</v>
      </c>
      <c r="T8308">
        <v>-0.38619290000000001</v>
      </c>
      <c r="U8308">
        <v>3.0598450000000001</v>
      </c>
      <c r="V8308">
        <v>-0.31807929999999901</v>
      </c>
      <c r="W8308">
        <v>-0.113507399999999</v>
      </c>
      <c r="X8308">
        <v>0.94124470000000005</v>
      </c>
      <c r="Y8308">
        <v>-0.60429919999999904</v>
      </c>
      <c r="Z8308">
        <v>-3.3022019999999999E-2</v>
      </c>
      <c r="AA8308">
        <v>0.79607280000000002</v>
      </c>
      <c r="AB8308">
        <v>19</v>
      </c>
      <c r="AC8308">
        <v>0.14539999999999501</v>
      </c>
      <c r="AD8308">
        <v>-0.124315999999999</v>
      </c>
      <c r="AE8308">
        <v>0.90521000000001095</v>
      </c>
      <c r="AF8308">
        <v>-0.59580045919347602</v>
      </c>
      <c r="AG8308">
        <v>-0.124315999999999</v>
      </c>
      <c r="AH8308">
        <v>0.67490088240268198</v>
      </c>
      <c r="AI8308">
        <v>97.862188372178807</v>
      </c>
      <c r="AJ8308">
        <v>131.43796708331399</v>
      </c>
      <c r="AK8308">
        <v>0.90880352997723102</v>
      </c>
      <c r="AL8308">
        <v>96.517541795091304</v>
      </c>
      <c r="AM8308">
        <v>108.67189837513899</v>
      </c>
      <c r="AN8308">
        <v>0.99999997811066899</v>
      </c>
    </row>
    <row r="8309" spans="1:40" x14ac:dyDescent="0.25">
      <c r="A8309" t="str">
        <f>"20190303154339433"</f>
        <v>20190303154339433</v>
      </c>
      <c r="B8309" t="str">
        <f>"1551599019428759"</f>
        <v>1551599019428759</v>
      </c>
      <c r="C8309" t="s">
        <v>40</v>
      </c>
      <c r="D8309">
        <v>5.8159910000000004</v>
      </c>
      <c r="E8309">
        <v>0.37452639999999998</v>
      </c>
      <c r="F8309" t="s">
        <v>58</v>
      </c>
      <c r="G8309">
        <v>-194.07939999999999</v>
      </c>
      <c r="H8309" s="1">
        <v>-3.207407E-6</v>
      </c>
      <c r="I8309">
        <v>-47.988430000000001</v>
      </c>
      <c r="J8309">
        <v>-196.05670000000001</v>
      </c>
      <c r="K8309">
        <v>1.12584</v>
      </c>
      <c r="L8309">
        <v>-56.890810000000002</v>
      </c>
      <c r="M8309">
        <v>0.76737919999999904</v>
      </c>
      <c r="N8309">
        <v>-1.447649E-2</v>
      </c>
      <c r="O8309">
        <v>0.64103009999999905</v>
      </c>
      <c r="P8309">
        <v>0.51636789999999999</v>
      </c>
      <c r="Q8309">
        <v>-0.1238374</v>
      </c>
      <c r="R8309">
        <v>0.84736559999999905</v>
      </c>
      <c r="S8309">
        <v>0.70864869999999902</v>
      </c>
      <c r="T8309">
        <v>-0.3829052</v>
      </c>
      <c r="U8309">
        <v>3.0613709999999998</v>
      </c>
      <c r="V8309">
        <v>-0.31794919999999999</v>
      </c>
      <c r="W8309">
        <v>-0.1139955</v>
      </c>
      <c r="X8309">
        <v>0.94122969999999895</v>
      </c>
      <c r="Y8309">
        <v>-0.60179300000000002</v>
      </c>
      <c r="Z8309">
        <v>-3.3638590000000003E-2</v>
      </c>
      <c r="AA8309">
        <v>0.79794339999999997</v>
      </c>
      <c r="AB8309">
        <v>19</v>
      </c>
      <c r="AC8309">
        <v>1.97730000000001</v>
      </c>
      <c r="AD8309">
        <v>-1.1258432074069999</v>
      </c>
      <c r="AE8309">
        <v>8.9023799999999902</v>
      </c>
      <c r="AF8309">
        <v>-5.4810358170204401</v>
      </c>
      <c r="AG8309">
        <v>-1.1258432074069999</v>
      </c>
      <c r="AH8309">
        <v>7.1163253798846098</v>
      </c>
      <c r="AI8309">
        <v>97.144114038399707</v>
      </c>
      <c r="AJ8309">
        <v>127.603676642172</v>
      </c>
      <c r="AK8309">
        <v>9.05269923655454</v>
      </c>
      <c r="AL8309">
        <v>96.5456903765986</v>
      </c>
      <c r="AM8309">
        <v>108.66506714336499</v>
      </c>
      <c r="AN8309">
        <v>1.0000000079814799</v>
      </c>
    </row>
    <row r="8310" spans="1:40" x14ac:dyDescent="0.25">
      <c r="A8310" t="str">
        <f>"20190303154339457"</f>
        <v>20190303154339457</v>
      </c>
      <c r="B8310" t="str">
        <f>"1551599019448279"</f>
        <v>1551599019448279</v>
      </c>
      <c r="C8310" t="s">
        <v>40</v>
      </c>
      <c r="D8310">
        <v>5.8844810000000001</v>
      </c>
      <c r="E8310">
        <v>0.37528539999999999</v>
      </c>
      <c r="F8310" t="s">
        <v>42</v>
      </c>
      <c r="G8310">
        <v>-195.857</v>
      </c>
      <c r="H8310">
        <v>1.015393</v>
      </c>
      <c r="I8310">
        <v>-56.009590000000003</v>
      </c>
      <c r="J8310">
        <v>-195.9188</v>
      </c>
      <c r="K8310">
        <v>1.1257820000000001</v>
      </c>
      <c r="L8310">
        <v>-56.760159999999999</v>
      </c>
      <c r="M8310">
        <v>0.76099249999999996</v>
      </c>
      <c r="N8310">
        <v>-1.4539949999999999E-2</v>
      </c>
      <c r="O8310">
        <v>0.64859769999999894</v>
      </c>
      <c r="P8310">
        <v>0.5081196</v>
      </c>
      <c r="Q8310">
        <v>-0.1252838</v>
      </c>
      <c r="R8310">
        <v>0.85212589999999999</v>
      </c>
      <c r="S8310">
        <v>0.69380189999999997</v>
      </c>
      <c r="T8310">
        <v>-0.38372119999999998</v>
      </c>
      <c r="U8310">
        <v>3.0615230000000002</v>
      </c>
      <c r="V8310">
        <v>-0.317600299999999</v>
      </c>
      <c r="W8310">
        <v>-0.1153397</v>
      </c>
      <c r="X8310">
        <v>0.94118369999999996</v>
      </c>
      <c r="Y8310">
        <v>-0.59760550000000001</v>
      </c>
      <c r="Z8310">
        <v>-3.5128180000000002E-2</v>
      </c>
      <c r="AA8310">
        <v>0.80102039999999997</v>
      </c>
      <c r="AB8310">
        <v>19</v>
      </c>
      <c r="AC8310">
        <v>6.1800000000005101E-2</v>
      </c>
      <c r="AD8310">
        <v>-0.110389</v>
      </c>
      <c r="AE8310">
        <v>0.75056999999999596</v>
      </c>
      <c r="AF8310">
        <v>-0.51997921823413695</v>
      </c>
      <c r="AG8310">
        <v>-0.110389</v>
      </c>
      <c r="AH8310">
        <v>0.52267411872790703</v>
      </c>
      <c r="AI8310">
        <v>98.515453648004595</v>
      </c>
      <c r="AJ8310">
        <v>134.85191043351199</v>
      </c>
      <c r="AK8310">
        <v>0.74548799661991705</v>
      </c>
      <c r="AL8310">
        <v>96.623218958318702</v>
      </c>
      <c r="AM8310">
        <v>108.646849941409</v>
      </c>
      <c r="AN8310">
        <v>0.99999997705093402</v>
      </c>
    </row>
    <row r="8311" spans="1:40" x14ac:dyDescent="0.25">
      <c r="A8311" t="str">
        <f>"20190303154339469"</f>
        <v>20190303154339469</v>
      </c>
      <c r="B8311" t="str">
        <f>"1551599019458040"</f>
        <v>1551599019458040</v>
      </c>
      <c r="C8311" t="s">
        <v>40</v>
      </c>
      <c r="D8311">
        <v>5.8508110000000002</v>
      </c>
      <c r="E8311">
        <v>0.37578709999999999</v>
      </c>
      <c r="F8311" t="s">
        <v>58</v>
      </c>
      <c r="G8311">
        <v>-193.96629999999999</v>
      </c>
      <c r="H8311" s="1">
        <v>-3.2821529999999999E-6</v>
      </c>
      <c r="I8311">
        <v>-47.819659999999999</v>
      </c>
      <c r="J8311">
        <v>-195.83779999999999</v>
      </c>
      <c r="K8311">
        <v>1.125753</v>
      </c>
      <c r="L8311">
        <v>-56.682160000000003</v>
      </c>
      <c r="M8311">
        <v>0.75719769999999997</v>
      </c>
      <c r="N8311">
        <v>-1.4571580000000001E-2</v>
      </c>
      <c r="O8311">
        <v>0.65302320000000003</v>
      </c>
      <c r="P8311">
        <v>0.50352619999999904</v>
      </c>
      <c r="Q8311">
        <v>-0.12598570000000001</v>
      </c>
      <c r="R8311">
        <v>0.85474499999999998</v>
      </c>
      <c r="S8311">
        <v>0.66928100000000001</v>
      </c>
      <c r="T8311">
        <v>-0.38591350000000002</v>
      </c>
      <c r="U8311">
        <v>3.0647579999999999</v>
      </c>
      <c r="V8311">
        <v>-0.31710050000000001</v>
      </c>
      <c r="W8311">
        <v>-0.11598410000000001</v>
      </c>
      <c r="X8311">
        <v>0.94127300000000003</v>
      </c>
      <c r="Y8311">
        <v>-0.59921309999999905</v>
      </c>
      <c r="Z8311">
        <v>-3.5939470000000001E-2</v>
      </c>
      <c r="AA8311">
        <v>0.79978249999999995</v>
      </c>
      <c r="AB8311">
        <v>19</v>
      </c>
      <c r="AC8311">
        <v>1.8714999999999899</v>
      </c>
      <c r="AD8311">
        <v>-1.1257562821529901</v>
      </c>
      <c r="AE8311">
        <v>8.8624999999999901</v>
      </c>
      <c r="AF8311">
        <v>-5.4056168406674399</v>
      </c>
      <c r="AG8311">
        <v>-1.1257562821529901</v>
      </c>
      <c r="AH8311">
        <v>7.09567553250585</v>
      </c>
      <c r="AI8311">
        <v>97.192904128961601</v>
      </c>
      <c r="AJ8311">
        <v>127.300820751337</v>
      </c>
      <c r="AK8311">
        <v>8.9909194133590393</v>
      </c>
      <c r="AL8311">
        <v>96.6603900112612</v>
      </c>
      <c r="AM8311">
        <v>108.61788530771101</v>
      </c>
      <c r="AN8311">
        <v>0.999999949541028</v>
      </c>
    </row>
    <row r="8312" spans="1:40" x14ac:dyDescent="0.25">
      <c r="A8312" t="str">
        <f>"20190303154339484"</f>
        <v>20190303154339484</v>
      </c>
      <c r="B8312" t="str">
        <f>"1551599019478535"</f>
        <v>1551599019478535</v>
      </c>
      <c r="C8312" t="s">
        <v>40</v>
      </c>
      <c r="D8312">
        <v>5.8645959999999997</v>
      </c>
      <c r="E8312">
        <v>0.37616440000000001</v>
      </c>
      <c r="F8312" t="s">
        <v>42</v>
      </c>
      <c r="G8312">
        <v>-195.6431</v>
      </c>
      <c r="H8312">
        <v>1.011412</v>
      </c>
      <c r="I8312">
        <v>-55.772410000000001</v>
      </c>
      <c r="J8312">
        <v>-195.75890000000001</v>
      </c>
      <c r="K8312">
        <v>1.125726</v>
      </c>
      <c r="L8312">
        <v>-56.605350000000001</v>
      </c>
      <c r="M8312">
        <v>0.75346299999999999</v>
      </c>
      <c r="N8312">
        <v>-1.459997E-2</v>
      </c>
      <c r="O8312">
        <v>0.65732809999999997</v>
      </c>
      <c r="P8312">
        <v>0.49899060000000001</v>
      </c>
      <c r="Q8312">
        <v>-0.12693979999999999</v>
      </c>
      <c r="R8312">
        <v>0.85726000000000002</v>
      </c>
      <c r="S8312">
        <v>0.65643309999999999</v>
      </c>
      <c r="T8312">
        <v>-0.3853897</v>
      </c>
      <c r="U8312">
        <v>3.0663149999999999</v>
      </c>
      <c r="V8312">
        <v>-0.3166139</v>
      </c>
      <c r="W8312">
        <v>-0.1168864</v>
      </c>
      <c r="X8312">
        <v>0.94132519999999997</v>
      </c>
      <c r="Y8312">
        <v>-0.59795869999999995</v>
      </c>
      <c r="Z8312">
        <v>-3.6588860000000001E-2</v>
      </c>
      <c r="AA8312">
        <v>0.80069140000000005</v>
      </c>
      <c r="AB8312">
        <v>19</v>
      </c>
      <c r="AC8312">
        <v>0.11580000000000699</v>
      </c>
      <c r="AD8312">
        <v>-0.114314</v>
      </c>
      <c r="AE8312">
        <v>0.83294000000000001</v>
      </c>
      <c r="AF8312">
        <v>-0.54152336959313296</v>
      </c>
      <c r="AG8312">
        <v>-0.114314</v>
      </c>
      <c r="AH8312">
        <v>0.62331588857939202</v>
      </c>
      <c r="AI8312">
        <v>97.882265481805902</v>
      </c>
      <c r="AJ8312">
        <v>130.983405702581</v>
      </c>
      <c r="AK8312">
        <v>0.83356940164992799</v>
      </c>
      <c r="AL8312">
        <v>96.712441955562795</v>
      </c>
      <c r="AM8312">
        <v>108.59032038935599</v>
      </c>
      <c r="AN8312">
        <v>0.99999996216660403</v>
      </c>
    </row>
    <row r="8313" spans="1:40" x14ac:dyDescent="0.25">
      <c r="A8313" t="str">
        <f>"20190303154339502"</f>
        <v>20190303154339502</v>
      </c>
      <c r="B8313" t="str">
        <f>"1551599019498055"</f>
        <v>1551599019498055</v>
      </c>
      <c r="C8313" t="s">
        <v>40</v>
      </c>
      <c r="D8313">
        <v>5.8889740000000002</v>
      </c>
      <c r="E8313">
        <v>0.3834475</v>
      </c>
      <c r="F8313" t="s">
        <v>42</v>
      </c>
      <c r="G8313">
        <v>-195.5564</v>
      </c>
      <c r="H8313">
        <v>1.0040370000000001</v>
      </c>
      <c r="I8313">
        <v>-55.639299999999999</v>
      </c>
      <c r="J8313">
        <v>-195.65119999999999</v>
      </c>
      <c r="K8313">
        <v>1.1256889999999999</v>
      </c>
      <c r="L8313">
        <v>-56.499180000000003</v>
      </c>
      <c r="M8313">
        <v>0.74830680000000005</v>
      </c>
      <c r="N8313">
        <v>-1.4634650000000001E-2</v>
      </c>
      <c r="O8313">
        <v>0.66319139999999999</v>
      </c>
      <c r="P8313">
        <v>0.49321340000000002</v>
      </c>
      <c r="Q8313">
        <v>-0.1289969</v>
      </c>
      <c r="R8313">
        <v>0.86029089999999997</v>
      </c>
      <c r="S8313">
        <v>0.64303589999999999</v>
      </c>
      <c r="T8313">
        <v>-0.38645449999999998</v>
      </c>
      <c r="U8313">
        <v>3.067993</v>
      </c>
      <c r="V8313">
        <v>-0.31535249999999998</v>
      </c>
      <c r="W8313">
        <v>-0.11887060000000001</v>
      </c>
      <c r="X8313">
        <v>0.94150020000000001</v>
      </c>
      <c r="Y8313">
        <v>-0.595163</v>
      </c>
      <c r="Z8313">
        <v>-3.7777369999999998E-2</v>
      </c>
      <c r="AA8313">
        <v>0.8027166</v>
      </c>
      <c r="AB8313">
        <v>19</v>
      </c>
      <c r="AC8313">
        <v>9.4799999999992196E-2</v>
      </c>
      <c r="AD8313">
        <v>-0.121651999999999</v>
      </c>
      <c r="AE8313">
        <v>0.85988000000000397</v>
      </c>
      <c r="AF8313">
        <v>-0.56938607229313698</v>
      </c>
      <c r="AG8313">
        <v>-0.121651999999999</v>
      </c>
      <c r="AH8313">
        <v>0.62883790351676805</v>
      </c>
      <c r="AI8313">
        <v>98.1608256449408</v>
      </c>
      <c r="AJ8313">
        <v>132.15950610984899</v>
      </c>
      <c r="AK8313">
        <v>0.85699289222535002</v>
      </c>
      <c r="AL8313">
        <v>96.826926033095205</v>
      </c>
      <c r="AM8313">
        <v>108.51810999776001</v>
      </c>
      <c r="AN8313">
        <v>1.0000000227003201</v>
      </c>
    </row>
    <row r="8314" spans="1:40" x14ac:dyDescent="0.25">
      <c r="A8314" t="str">
        <f>"20190303154339525"</f>
        <v>20190303154339525</v>
      </c>
      <c r="B8314" t="str">
        <f>"1551599019518551"</f>
        <v>1551599019518551</v>
      </c>
      <c r="C8314" t="s">
        <v>40</v>
      </c>
      <c r="D8314">
        <v>5.883032</v>
      </c>
      <c r="E8314">
        <v>0.38369579999999998</v>
      </c>
      <c r="F8314" t="s">
        <v>42</v>
      </c>
      <c r="G8314">
        <v>-195.43680000000001</v>
      </c>
      <c r="H8314">
        <v>1.0060960000000001</v>
      </c>
      <c r="I8314">
        <v>-55.53078</v>
      </c>
      <c r="J8314">
        <v>-195.52289999999999</v>
      </c>
      <c r="K8314">
        <v>1.1256550000000001</v>
      </c>
      <c r="L8314">
        <v>-56.370420000000003</v>
      </c>
      <c r="M8314">
        <v>0.74206870000000003</v>
      </c>
      <c r="N8314">
        <v>-1.466991E-2</v>
      </c>
      <c r="O8314">
        <v>0.67016330000000002</v>
      </c>
      <c r="P8314">
        <v>0.4861991</v>
      </c>
      <c r="Q8314">
        <v>-0.13025110000000001</v>
      </c>
      <c r="R8314">
        <v>0.86408619999999903</v>
      </c>
      <c r="S8314">
        <v>0.67413330000000005</v>
      </c>
      <c r="T8314">
        <v>-0.37598480000000001</v>
      </c>
      <c r="U8314">
        <v>3.0443419999999999</v>
      </c>
      <c r="V8314">
        <v>-0.31406020000000001</v>
      </c>
      <c r="W8314">
        <v>-0.1200471</v>
      </c>
      <c r="X8314">
        <v>0.94178280000000003</v>
      </c>
      <c r="Y8314">
        <v>-0.57858350000000003</v>
      </c>
      <c r="Z8314">
        <v>-3.8775169999999998E-2</v>
      </c>
      <c r="AA8314">
        <v>0.81470100000000001</v>
      </c>
      <c r="AB8314">
        <v>19</v>
      </c>
      <c r="AC8314">
        <v>8.6099999999987603E-2</v>
      </c>
      <c r="AD8314">
        <v>-0.119558999999999</v>
      </c>
      <c r="AE8314">
        <v>0.83963999999998795</v>
      </c>
      <c r="AF8314">
        <v>-0.554308246172734</v>
      </c>
      <c r="AG8314">
        <v>-0.119558999999999</v>
      </c>
      <c r="AH8314">
        <v>0.614329052242919</v>
      </c>
      <c r="AI8314">
        <v>98.2219097623029</v>
      </c>
      <c r="AJ8314">
        <v>132.05989198546399</v>
      </c>
      <c r="AK8314">
        <v>0.83603359423277801</v>
      </c>
      <c r="AL8314">
        <v>96.894821007020894</v>
      </c>
      <c r="AM8314">
        <v>108.442208872145</v>
      </c>
      <c r="AN8314">
        <v>0.99999997890914405</v>
      </c>
    </row>
    <row r="8315" spans="1:40" x14ac:dyDescent="0.25">
      <c r="A8315" t="str">
        <f>"20190303154339546"</f>
        <v>20190303154339546</v>
      </c>
      <c r="B8315" t="str">
        <f>"1551599019538071"</f>
        <v>1551599019538071</v>
      </c>
      <c r="C8315" t="s">
        <v>40</v>
      </c>
      <c r="D8315">
        <v>5.9363910000000004</v>
      </c>
      <c r="E8315">
        <v>0.42089470000000001</v>
      </c>
      <c r="F8315" t="s">
        <v>42</v>
      </c>
      <c r="G8315">
        <v>-195.31979999999999</v>
      </c>
      <c r="H8315">
        <v>1.008081</v>
      </c>
      <c r="I8315">
        <v>-55.420369999999998</v>
      </c>
      <c r="J8315">
        <v>-195.399</v>
      </c>
      <c r="K8315">
        <v>1.1256299999999999</v>
      </c>
      <c r="L8315">
        <v>-56.243960000000001</v>
      </c>
      <c r="M8315">
        <v>0.73594669999999995</v>
      </c>
      <c r="N8315">
        <v>-1.469869E-2</v>
      </c>
      <c r="O8315">
        <v>0.67687989999999998</v>
      </c>
      <c r="P8315">
        <v>0.47931790000000002</v>
      </c>
      <c r="Q8315">
        <v>-0.13022839999999999</v>
      </c>
      <c r="R8315">
        <v>0.86792559999999996</v>
      </c>
      <c r="S8315">
        <v>0.65121459999999998</v>
      </c>
      <c r="T8315">
        <v>-0.37725409999999998</v>
      </c>
      <c r="U8315">
        <v>3.048584</v>
      </c>
      <c r="V8315">
        <v>-0.31299739999999998</v>
      </c>
      <c r="W8315">
        <v>-0.1199567</v>
      </c>
      <c r="X8315">
        <v>0.94214810000000004</v>
      </c>
      <c r="Y8315">
        <v>-0.57728089999999999</v>
      </c>
      <c r="Z8315">
        <v>-3.9995070000000001E-2</v>
      </c>
      <c r="AA8315">
        <v>0.81556549999999906</v>
      </c>
      <c r="AB8315">
        <v>19</v>
      </c>
      <c r="AC8315">
        <v>7.9200000000014301E-2</v>
      </c>
      <c r="AD8315">
        <v>-0.117548999999999</v>
      </c>
      <c r="AE8315">
        <v>0.82358999999999505</v>
      </c>
      <c r="AF8315">
        <v>-0.54163648810264997</v>
      </c>
      <c r="AG8315">
        <v>-0.117548999999999</v>
      </c>
      <c r="AH8315">
        <v>0.60364083591921003</v>
      </c>
      <c r="AI8315">
        <v>98.247010499089598</v>
      </c>
      <c r="AJ8315">
        <v>131.90108018101</v>
      </c>
      <c r="AK8315">
        <v>0.81949381415262401</v>
      </c>
      <c r="AL8315">
        <v>96.8896035356819</v>
      </c>
      <c r="AM8315">
        <v>108.377352693757</v>
      </c>
      <c r="AN8315">
        <v>1.00000001230763</v>
      </c>
    </row>
    <row r="8316" spans="1:40" x14ac:dyDescent="0.25">
      <c r="A8316" t="str">
        <f>"20190303154339559"</f>
        <v>20190303154339559</v>
      </c>
      <c r="B8316" t="str">
        <f>"1551599019548807"</f>
        <v>1551599019548807</v>
      </c>
      <c r="C8316" t="s">
        <v>40</v>
      </c>
      <c r="D8316">
        <v>5.920941</v>
      </c>
      <c r="E8316">
        <v>0.42674980000000001</v>
      </c>
      <c r="F8316" t="s">
        <v>42</v>
      </c>
      <c r="G8316">
        <v>-195.1294</v>
      </c>
      <c r="H8316">
        <v>1.027201</v>
      </c>
      <c r="I8316">
        <v>-55.361269999999998</v>
      </c>
      <c r="J8316">
        <v>-195.3237</v>
      </c>
      <c r="K8316">
        <v>1.125613</v>
      </c>
      <c r="L8316">
        <v>-56.166049999999998</v>
      </c>
      <c r="M8316">
        <v>0.73217580000000004</v>
      </c>
      <c r="N8316">
        <v>-1.4714090000000001E-2</v>
      </c>
      <c r="O8316">
        <v>0.68095669999999897</v>
      </c>
      <c r="P8316">
        <v>0.47523840000000001</v>
      </c>
      <c r="Q8316">
        <v>-0.12982569999999999</v>
      </c>
      <c r="R8316">
        <v>0.87022630000000001</v>
      </c>
      <c r="S8316">
        <v>0.89056399999999902</v>
      </c>
      <c r="T8316">
        <v>-0.32515690000000003</v>
      </c>
      <c r="U8316">
        <v>2.9158940000000002</v>
      </c>
      <c r="V8316">
        <v>-0.31224269999999998</v>
      </c>
      <c r="W8316">
        <v>-0.11951290000000001</v>
      </c>
      <c r="X8316">
        <v>0.94245489999999998</v>
      </c>
      <c r="Y8316">
        <v>-0.50080630000000004</v>
      </c>
      <c r="Z8316">
        <v>-3.8574879999999999E-2</v>
      </c>
      <c r="AA8316">
        <v>0.86469940000000001</v>
      </c>
      <c r="AB8316">
        <v>19</v>
      </c>
      <c r="AC8316">
        <v>0.194299999999998</v>
      </c>
      <c r="AD8316">
        <v>-9.8411999999999902E-2</v>
      </c>
      <c r="AE8316">
        <v>0.80478000000000005</v>
      </c>
      <c r="AF8316">
        <v>-0.45061295174520899</v>
      </c>
      <c r="AG8316">
        <v>-9.8411999999999902E-2</v>
      </c>
      <c r="AH8316">
        <v>0.68073813001763495</v>
      </c>
      <c r="AI8316">
        <v>96.873757730619701</v>
      </c>
      <c r="AJ8316">
        <v>123.502470499295</v>
      </c>
      <c r="AK8316">
        <v>0.82227814982792602</v>
      </c>
      <c r="AL8316">
        <v>96.863991237460596</v>
      </c>
      <c r="AM8316">
        <v>108.33043858823</v>
      </c>
      <c r="AN8316">
        <v>1.0000000377518501</v>
      </c>
    </row>
    <row r="8317" spans="1:40" x14ac:dyDescent="0.25">
      <c r="A8317" t="str">
        <f>"20190303154339573"</f>
        <v>20190303154339573</v>
      </c>
      <c r="B8317" t="str">
        <f>"1551599019568327"</f>
        <v>1551599019568327</v>
      </c>
      <c r="C8317" t="s">
        <v>40</v>
      </c>
      <c r="D8317">
        <v>5.8972889999999998</v>
      </c>
      <c r="E8317">
        <v>0.43327769999999999</v>
      </c>
      <c r="F8317" t="s">
        <v>42</v>
      </c>
      <c r="G8317">
        <v>-195.02950000000001</v>
      </c>
      <c r="H8317">
        <v>1.022138</v>
      </c>
      <c r="I8317">
        <v>-55.238039999999998</v>
      </c>
      <c r="J8317">
        <v>-195.2449</v>
      </c>
      <c r="K8317">
        <v>1.125599</v>
      </c>
      <c r="L8317">
        <v>-56.083590000000001</v>
      </c>
      <c r="M8317">
        <v>0.72818769999999999</v>
      </c>
      <c r="N8317">
        <v>-1.472832E-2</v>
      </c>
      <c r="O8317">
        <v>0.68521940000000003</v>
      </c>
      <c r="P8317">
        <v>0.47088409999999897</v>
      </c>
      <c r="Q8317">
        <v>-0.12949550000000001</v>
      </c>
      <c r="R8317">
        <v>0.87263919999999995</v>
      </c>
      <c r="S8317">
        <v>0.91786190000000001</v>
      </c>
      <c r="T8317">
        <v>-0.3230865</v>
      </c>
      <c r="U8317">
        <v>2.8979189999999999</v>
      </c>
      <c r="V8317">
        <v>-0.31149660000000001</v>
      </c>
      <c r="W8317">
        <v>-0.1191431</v>
      </c>
      <c r="X8317">
        <v>0.94274849999999999</v>
      </c>
      <c r="Y8317">
        <v>-0.48683739999999998</v>
      </c>
      <c r="Z8317">
        <v>-3.965929E-2</v>
      </c>
      <c r="AA8317">
        <v>0.87259179999999903</v>
      </c>
      <c r="AB8317">
        <v>19</v>
      </c>
      <c r="AC8317">
        <v>0.21539999999998799</v>
      </c>
      <c r="AD8317">
        <v>-0.103461</v>
      </c>
      <c r="AE8317">
        <v>0.84554999999999503</v>
      </c>
      <c r="AF8317">
        <v>-0.46168266421382198</v>
      </c>
      <c r="AG8317">
        <v>-0.103461</v>
      </c>
      <c r="AH8317">
        <v>0.72611010867598602</v>
      </c>
      <c r="AI8317">
        <v>96.856303457918997</v>
      </c>
      <c r="AJ8317">
        <v>122.449428893057</v>
      </c>
      <c r="AK8317">
        <v>0.86665503568491697</v>
      </c>
      <c r="AL8317">
        <v>96.842651229806194</v>
      </c>
      <c r="AM8317">
        <v>108.284239768519</v>
      </c>
      <c r="AN8317">
        <v>0.99999997217070902</v>
      </c>
    </row>
    <row r="8318" spans="1:40" x14ac:dyDescent="0.25">
      <c r="A8318" t="str">
        <f>"20190303154339589"</f>
        <v>20190303154339589</v>
      </c>
      <c r="B8318" t="str">
        <f>"1551599019578087"</f>
        <v>1551599019578087</v>
      </c>
      <c r="C8318" t="s">
        <v>40</v>
      </c>
      <c r="D8318">
        <v>5.7898199999999997</v>
      </c>
      <c r="E8318">
        <v>0.43571660000000001</v>
      </c>
      <c r="F8318" t="s">
        <v>42</v>
      </c>
      <c r="G8318">
        <v>-194.9598</v>
      </c>
      <c r="H8318">
        <v>1.0300769999999999</v>
      </c>
      <c r="I8318">
        <v>-55.22</v>
      </c>
      <c r="J8318">
        <v>-195.15260000000001</v>
      </c>
      <c r="K8318">
        <v>1.1255740000000001</v>
      </c>
      <c r="L8318">
        <v>-55.985570000000003</v>
      </c>
      <c r="M8318">
        <v>0.72345369999999998</v>
      </c>
      <c r="N8318">
        <v>-1.474282E-2</v>
      </c>
      <c r="O8318">
        <v>0.69021540000000003</v>
      </c>
      <c r="P8318">
        <v>0.46703480000000003</v>
      </c>
      <c r="Q8318">
        <v>-0.12909389999999901</v>
      </c>
      <c r="R8318">
        <v>0.87476469999999995</v>
      </c>
      <c r="S8318">
        <v>0.94940190000000002</v>
      </c>
      <c r="T8318">
        <v>-0.31832899999999997</v>
      </c>
      <c r="U8318">
        <v>2.8782960000000002</v>
      </c>
      <c r="V8318">
        <v>-0.30921739999999998</v>
      </c>
      <c r="W8318">
        <v>-0.1186758</v>
      </c>
      <c r="X8318">
        <v>0.94355739999999999</v>
      </c>
      <c r="Y8318">
        <v>-0.47045680000000001</v>
      </c>
      <c r="Z8318">
        <v>-4.0483209999999999E-2</v>
      </c>
      <c r="AA8318">
        <v>0.88149390000000005</v>
      </c>
      <c r="AB8318">
        <v>19</v>
      </c>
      <c r="AC8318">
        <v>0.192800000000005</v>
      </c>
      <c r="AD8318">
        <v>-9.5496999999999901E-2</v>
      </c>
      <c r="AE8318">
        <v>0.76556999999999598</v>
      </c>
      <c r="AF8318">
        <v>-0.41475793703902902</v>
      </c>
      <c r="AG8318">
        <v>-9.5496999999999901E-2</v>
      </c>
      <c r="AH8318">
        <v>0.65833001783883505</v>
      </c>
      <c r="AI8318">
        <v>96.997074945710594</v>
      </c>
      <c r="AJ8318">
        <v>122.21155236359201</v>
      </c>
      <c r="AK8318">
        <v>0.78392744290116001</v>
      </c>
      <c r="AL8318">
        <v>96.815685699693006</v>
      </c>
      <c r="AM8318">
        <v>108.14471790591701</v>
      </c>
      <c r="AN8318">
        <v>0.99999995653157903</v>
      </c>
    </row>
    <row r="8319" spans="1:40" x14ac:dyDescent="0.25">
      <c r="A8319" t="str">
        <f>"20190303154339624"</f>
        <v>20190303154339624</v>
      </c>
      <c r="B8319" t="str">
        <f>"1551599019618103"</f>
        <v>1551599019618103</v>
      </c>
      <c r="C8319" t="s">
        <v>40</v>
      </c>
      <c r="D8319">
        <v>5.9846180000000002</v>
      </c>
      <c r="E8319">
        <v>0.43999969999999999</v>
      </c>
      <c r="F8319" t="s">
        <v>42</v>
      </c>
      <c r="G8319">
        <v>-194.86089999999999</v>
      </c>
      <c r="H8319">
        <v>1.029709</v>
      </c>
      <c r="I8319">
        <v>-55.107039999999998</v>
      </c>
      <c r="J8319">
        <v>-194.96459999999999</v>
      </c>
      <c r="K8319">
        <v>1.125535</v>
      </c>
      <c r="L8319">
        <v>-55.781829999999999</v>
      </c>
      <c r="M8319">
        <v>0.71359939999999999</v>
      </c>
      <c r="N8319">
        <v>-1.4767260000000001E-2</v>
      </c>
      <c r="O8319">
        <v>0.70039830000000003</v>
      </c>
      <c r="P8319">
        <v>0.45727220000000002</v>
      </c>
      <c r="Q8319">
        <v>-0.13093460000000001</v>
      </c>
      <c r="R8319">
        <v>0.87963530000000001</v>
      </c>
      <c r="S8319">
        <v>0.95410159999999999</v>
      </c>
      <c r="T8319">
        <v>-0.31357980000000002</v>
      </c>
      <c r="U8319">
        <v>2.87384</v>
      </c>
      <c r="V8319">
        <v>-0.30614459999999999</v>
      </c>
      <c r="W8319">
        <v>-0.12042319999999999</v>
      </c>
      <c r="X8319">
        <v>0.94433769999999995</v>
      </c>
      <c r="Y8319">
        <v>-0.45626309999999898</v>
      </c>
      <c r="Z8319">
        <v>-4.1622939999999997E-2</v>
      </c>
      <c r="AA8319">
        <v>0.88887090000000002</v>
      </c>
      <c r="AB8319">
        <v>19</v>
      </c>
      <c r="AC8319">
        <v>0.103700000000003</v>
      </c>
      <c r="AD8319">
        <v>-9.5825999999999897E-2</v>
      </c>
      <c r="AE8319">
        <v>0.674790000000001</v>
      </c>
      <c r="AF8319">
        <v>-0.401042038604493</v>
      </c>
      <c r="AG8319">
        <v>-9.5825999999999897E-2</v>
      </c>
      <c r="AH8319">
        <v>0.53611946860495596</v>
      </c>
      <c r="AI8319">
        <v>98.145205724650793</v>
      </c>
      <c r="AJ8319">
        <v>126.79817960647701</v>
      </c>
      <c r="AK8319">
        <v>0.67634416063222502</v>
      </c>
      <c r="AL8319">
        <v>96.916527431091495</v>
      </c>
      <c r="AM8319">
        <v>107.962162617671</v>
      </c>
      <c r="AN8319">
        <v>0.99999997742434399</v>
      </c>
    </row>
    <row r="8320" spans="1:40" x14ac:dyDescent="0.25">
      <c r="A8320" t="str">
        <f>"20190303154339646"</f>
        <v>20190303154339646</v>
      </c>
      <c r="B8320" t="str">
        <f>"1551599019638599"</f>
        <v>1551599019638599</v>
      </c>
      <c r="C8320" t="s">
        <v>40</v>
      </c>
      <c r="D8320">
        <v>5.9630729999999996</v>
      </c>
      <c r="E8320">
        <v>0.4411272</v>
      </c>
      <c r="F8320" t="s">
        <v>42</v>
      </c>
      <c r="G8320">
        <v>-194.66329999999999</v>
      </c>
      <c r="H8320">
        <v>1.023692</v>
      </c>
      <c r="I8320">
        <v>-54.874839999999999</v>
      </c>
      <c r="J8320">
        <v>-194.84530000000001</v>
      </c>
      <c r="K8320">
        <v>1.125513</v>
      </c>
      <c r="L8320">
        <v>-55.649439999999998</v>
      </c>
      <c r="M8320">
        <v>0.70719019999999899</v>
      </c>
      <c r="N8320">
        <v>-1.477962E-2</v>
      </c>
      <c r="O8320">
        <v>0.70686890000000002</v>
      </c>
      <c r="P8320">
        <v>0.45055770000000001</v>
      </c>
      <c r="Q8320">
        <v>-0.13338459999999999</v>
      </c>
      <c r="R8320">
        <v>0.88272659999999903</v>
      </c>
      <c r="S8320">
        <v>0.95237729999999998</v>
      </c>
      <c r="T8320">
        <v>-0.32196000000000002</v>
      </c>
      <c r="U8320">
        <v>2.8674930000000001</v>
      </c>
      <c r="V8320">
        <v>-0.30445830000000002</v>
      </c>
      <c r="W8320">
        <v>-0.1228273</v>
      </c>
      <c r="X8320">
        <v>0.9445732</v>
      </c>
      <c r="Y8320">
        <v>-0.44808029999999999</v>
      </c>
      <c r="Z8320">
        <v>-4.4370109999999997E-2</v>
      </c>
      <c r="AA8320">
        <v>0.89289159999999901</v>
      </c>
      <c r="AB8320">
        <v>18</v>
      </c>
      <c r="AC8320">
        <v>0.18200000000001601</v>
      </c>
      <c r="AD8320">
        <v>-0.101820999999999</v>
      </c>
      <c r="AE8320">
        <v>0.77460000000000595</v>
      </c>
      <c r="AF8320">
        <v>-0.412431578226716</v>
      </c>
      <c r="AG8320">
        <v>-0.101820999999999</v>
      </c>
      <c r="AH8320">
        <v>0.66542672779299405</v>
      </c>
      <c r="AI8320">
        <v>97.4103170454962</v>
      </c>
      <c r="AJ8320">
        <v>121.79064048248399</v>
      </c>
      <c r="AK8320">
        <v>0.78946820887282798</v>
      </c>
      <c r="AL8320">
        <v>97.055302586566</v>
      </c>
      <c r="AM8320">
        <v>107.865359689108</v>
      </c>
      <c r="AN8320">
        <v>0.999999966111209</v>
      </c>
    </row>
    <row r="8321" spans="1:40" x14ac:dyDescent="0.25">
      <c r="A8321" t="str">
        <f>"20190303154339669"</f>
        <v>20190303154339669</v>
      </c>
      <c r="B8321" t="str">
        <f>"1551599019658119"</f>
        <v>1551599019658119</v>
      </c>
      <c r="C8321" t="s">
        <v>40</v>
      </c>
      <c r="D8321">
        <v>6.0011199999999896</v>
      </c>
      <c r="E8321">
        <v>0.44208029999999998</v>
      </c>
      <c r="F8321" t="s">
        <v>42</v>
      </c>
      <c r="G8321">
        <v>-194.54089999999999</v>
      </c>
      <c r="H8321">
        <v>1.016543</v>
      </c>
      <c r="I8321">
        <v>-54.718559999999997</v>
      </c>
      <c r="J8321">
        <v>-194.72110000000001</v>
      </c>
      <c r="K8321">
        <v>1.1254900000000001</v>
      </c>
      <c r="L8321">
        <v>-55.509120000000003</v>
      </c>
      <c r="M8321">
        <v>0.70038590000000001</v>
      </c>
      <c r="N8321">
        <v>-1.479023E-2</v>
      </c>
      <c r="O8321">
        <v>0.71361109999999905</v>
      </c>
      <c r="P8321">
        <v>0.44347219999999998</v>
      </c>
      <c r="Q8321">
        <v>-0.13476050000000001</v>
      </c>
      <c r="R8321">
        <v>0.88609930000000003</v>
      </c>
      <c r="S8321">
        <v>0.93806460000000003</v>
      </c>
      <c r="T8321">
        <v>-0.33583859999999999</v>
      </c>
      <c r="U8321">
        <v>2.8690190000000002</v>
      </c>
      <c r="V8321">
        <v>-0.30282189999999998</v>
      </c>
      <c r="W8321">
        <v>-0.1241589</v>
      </c>
      <c r="X8321">
        <v>0.94492509999999996</v>
      </c>
      <c r="Y8321">
        <v>-0.44371290000000002</v>
      </c>
      <c r="Z8321">
        <v>-4.7943689999999997E-2</v>
      </c>
      <c r="AA8321">
        <v>0.89488559999999995</v>
      </c>
      <c r="AB8321">
        <v>18</v>
      </c>
      <c r="AC8321">
        <v>0.18020000000001299</v>
      </c>
      <c r="AD8321">
        <v>-0.108946999999999</v>
      </c>
      <c r="AE8321">
        <v>0.79055999999999904</v>
      </c>
      <c r="AF8321">
        <v>-0.41761149028926098</v>
      </c>
      <c r="AG8321">
        <v>-0.108946999999999</v>
      </c>
      <c r="AH8321">
        <v>0.67819364803717197</v>
      </c>
      <c r="AI8321">
        <v>97.789109080470297</v>
      </c>
      <c r="AJ8321">
        <v>121.623526754031</v>
      </c>
      <c r="AK8321">
        <v>0.80387525765418699</v>
      </c>
      <c r="AL8321">
        <v>97.132185993944702</v>
      </c>
      <c r="AM8321">
        <v>107.769192323686</v>
      </c>
      <c r="AN8321">
        <v>0.99999999008941398</v>
      </c>
    </row>
    <row r="8322" spans="1:40" x14ac:dyDescent="0.25">
      <c r="A8322" t="str">
        <f>"20190303154339693"</f>
        <v>20190303154339693</v>
      </c>
      <c r="B8322" t="str">
        <f>"1551599019688375"</f>
        <v>1551599019688375</v>
      </c>
      <c r="C8322" t="s">
        <v>40</v>
      </c>
      <c r="D8322">
        <v>5.8322770000000004</v>
      </c>
      <c r="E8322">
        <v>0.44348660000000001</v>
      </c>
      <c r="F8322" t="s">
        <v>58</v>
      </c>
      <c r="G8322">
        <v>-191.71619999999999</v>
      </c>
      <c r="H8322" s="1">
        <v>-3.7631029999999999E-6</v>
      </c>
      <c r="I8322">
        <v>-46.144030000000001</v>
      </c>
      <c r="J8322">
        <v>-194.59950000000001</v>
      </c>
      <c r="K8322">
        <v>1.1254820000000001</v>
      </c>
      <c r="L8322">
        <v>-55.369050000000001</v>
      </c>
      <c r="M8322">
        <v>0.6935829</v>
      </c>
      <c r="N8322">
        <v>-1.479859E-2</v>
      </c>
      <c r="O8322">
        <v>0.7202248</v>
      </c>
      <c r="P8322">
        <v>0.43665720000000002</v>
      </c>
      <c r="Q8322">
        <v>-0.13530599999999901</v>
      </c>
      <c r="R8322">
        <v>0.88939460000000004</v>
      </c>
      <c r="S8322">
        <v>0.92147829999999997</v>
      </c>
      <c r="T8322">
        <v>-0.34515000000000001</v>
      </c>
      <c r="U8322">
        <v>2.8719480000000002</v>
      </c>
      <c r="V8322">
        <v>-0.30105320000000002</v>
      </c>
      <c r="W8322">
        <v>-0.1246594</v>
      </c>
      <c r="X8322">
        <v>0.9454243</v>
      </c>
      <c r="Y8322">
        <v>-0.4401928</v>
      </c>
      <c r="Z8322">
        <v>-5.0701509999999998E-2</v>
      </c>
      <c r="AA8322">
        <v>0.89647069999999995</v>
      </c>
      <c r="AB8322">
        <v>18</v>
      </c>
      <c r="AC8322">
        <v>2.8833000000000202</v>
      </c>
      <c r="AD8322">
        <v>-1.125485763103</v>
      </c>
      <c r="AE8322">
        <v>9.22501999999999</v>
      </c>
      <c r="AF8322">
        <v>-4.2643399513202098</v>
      </c>
      <c r="AG8322">
        <v>-1.125485763103</v>
      </c>
      <c r="AH8322">
        <v>8.5291849535345197</v>
      </c>
      <c r="AI8322">
        <v>96.731326770724706</v>
      </c>
      <c r="AJ8322">
        <v>116.563694066051</v>
      </c>
      <c r="AK8322">
        <v>9.6019950736798894</v>
      </c>
      <c r="AL8322">
        <v>97.161086625087506</v>
      </c>
      <c r="AM8322">
        <v>107.663131556038</v>
      </c>
      <c r="AN8322">
        <v>1.0000000511345399</v>
      </c>
    </row>
    <row r="8323" spans="1:40" x14ac:dyDescent="0.25">
      <c r="A8323" t="str">
        <f>"20190303154339714"</f>
        <v>20190303154339714</v>
      </c>
      <c r="B8323" t="str">
        <f>"1551599019708871"</f>
        <v>1551599019708871</v>
      </c>
      <c r="C8323" t="s">
        <v>40</v>
      </c>
      <c r="D8323">
        <v>5.9776470000000002</v>
      </c>
      <c r="E8323">
        <v>0.44401610000000002</v>
      </c>
      <c r="F8323" t="s">
        <v>58</v>
      </c>
      <c r="G8323">
        <v>-191.6473</v>
      </c>
      <c r="H8323" s="1">
        <v>-3.802438E-6</v>
      </c>
      <c r="I8323">
        <v>-46.041469999999997</v>
      </c>
      <c r="J8323">
        <v>-194.48750000000001</v>
      </c>
      <c r="K8323">
        <v>1.125472</v>
      </c>
      <c r="L8323">
        <v>-55.237699999999997</v>
      </c>
      <c r="M8323">
        <v>0.68719390000000002</v>
      </c>
      <c r="N8323">
        <v>-1.480016E-2</v>
      </c>
      <c r="O8323">
        <v>0.72632330000000001</v>
      </c>
      <c r="P8323">
        <v>0.43036150000000001</v>
      </c>
      <c r="Q8323">
        <v>-0.1351694</v>
      </c>
      <c r="R8323">
        <v>0.89247860000000001</v>
      </c>
      <c r="S8323">
        <v>0.90954590000000002</v>
      </c>
      <c r="T8323">
        <v>-0.34675650000000002</v>
      </c>
      <c r="U8323">
        <v>2.8737789999999999</v>
      </c>
      <c r="V8323">
        <v>-0.29940489999999997</v>
      </c>
      <c r="W8323">
        <v>-0.124486</v>
      </c>
      <c r="X8323">
        <v>0.94597039999999999</v>
      </c>
      <c r="Y8323">
        <v>-0.435838</v>
      </c>
      <c r="Z8323">
        <v>-5.2058199999999999E-2</v>
      </c>
      <c r="AA8323">
        <v>0.89851829999999999</v>
      </c>
      <c r="AB8323">
        <v>18</v>
      </c>
      <c r="AC8323">
        <v>2.8401999999999998</v>
      </c>
      <c r="AD8323">
        <v>-1.1254758024380001</v>
      </c>
      <c r="AE8323">
        <v>9.1962299999999892</v>
      </c>
      <c r="AF8323">
        <v>-4.1997300733111</v>
      </c>
      <c r="AG8323">
        <v>-1.1254758024380001</v>
      </c>
      <c r="AH8323">
        <v>8.5157082998903899</v>
      </c>
      <c r="AI8323">
        <v>96.759929085412296</v>
      </c>
      <c r="AJ8323">
        <v>116.25133934124</v>
      </c>
      <c r="AK8323">
        <v>9.5614704057152906</v>
      </c>
      <c r="AL8323">
        <v>97.151073706571097</v>
      </c>
      <c r="AM8323">
        <v>107.562869418044</v>
      </c>
      <c r="AN8323">
        <v>1.0000000280080801</v>
      </c>
    </row>
    <row r="8324" spans="1:40" x14ac:dyDescent="0.25">
      <c r="A8324" t="str">
        <f>"20190303154339736"</f>
        <v>20190303154339736</v>
      </c>
      <c r="B8324" t="str">
        <f>"1551599019728392"</f>
        <v>1551599019728392</v>
      </c>
      <c r="C8324" t="s">
        <v>40</v>
      </c>
      <c r="D8324">
        <v>5.991587</v>
      </c>
      <c r="E8324">
        <v>0.44454739999999998</v>
      </c>
      <c r="F8324" t="s">
        <v>58</v>
      </c>
      <c r="G8324">
        <v>-191.60749999999999</v>
      </c>
      <c r="H8324" s="1">
        <v>-3.8397099999999997E-6</v>
      </c>
      <c r="I8324">
        <v>-45.953330000000001</v>
      </c>
      <c r="J8324">
        <v>-194.37569999999999</v>
      </c>
      <c r="K8324">
        <v>1.1254569999999999</v>
      </c>
      <c r="L8324">
        <v>-55.104030000000002</v>
      </c>
      <c r="M8324">
        <v>0.68067489999999997</v>
      </c>
      <c r="N8324">
        <v>-1.478544E-2</v>
      </c>
      <c r="O8324">
        <v>0.73243639999999999</v>
      </c>
      <c r="P8324">
        <v>0.42396240000000002</v>
      </c>
      <c r="Q8324">
        <v>-0.1352729</v>
      </c>
      <c r="R8324">
        <v>0.8955206</v>
      </c>
      <c r="S8324">
        <v>0.89279169999999997</v>
      </c>
      <c r="T8324">
        <v>-0.3488889</v>
      </c>
      <c r="U8324">
        <v>2.878082</v>
      </c>
      <c r="V8324">
        <v>-0.29771550000000002</v>
      </c>
      <c r="W8324">
        <v>-0.1245696</v>
      </c>
      <c r="X8324">
        <v>0.94649240000000001</v>
      </c>
      <c r="Y8324">
        <v>-0.432973</v>
      </c>
      <c r="Z8324">
        <v>-5.3442249999999997E-2</v>
      </c>
      <c r="AA8324">
        <v>0.89982129999999905</v>
      </c>
      <c r="AB8324">
        <v>18</v>
      </c>
      <c r="AC8324">
        <v>2.7682000000000002</v>
      </c>
      <c r="AD8324">
        <v>-1.1254608397100001</v>
      </c>
      <c r="AE8324">
        <v>9.1507000000000005</v>
      </c>
      <c r="AF8324">
        <v>-4.1441480606134</v>
      </c>
      <c r="AG8324">
        <v>-1.1254608397100001</v>
      </c>
      <c r="AH8324">
        <v>8.4701039405306897</v>
      </c>
      <c r="AI8324">
        <v>96.806312904808195</v>
      </c>
      <c r="AJ8324">
        <v>116.07100893118501</v>
      </c>
      <c r="AK8324">
        <v>9.4964880884145906</v>
      </c>
      <c r="AL8324">
        <v>97.155901528889203</v>
      </c>
      <c r="AM8324">
        <v>107.46076563595101</v>
      </c>
      <c r="AN8324">
        <v>0.99999998372108401</v>
      </c>
    </row>
    <row r="8325" spans="1:40" x14ac:dyDescent="0.25">
      <c r="A8325" t="str">
        <f>"20190303154339759"</f>
        <v>20190303154339759</v>
      </c>
      <c r="B8325" t="str">
        <f>"1551599019748890"</f>
        <v>1551599019748890</v>
      </c>
      <c r="C8325" t="s">
        <v>40</v>
      </c>
      <c r="D8325">
        <v>5.9408820000000002</v>
      </c>
      <c r="E8325">
        <v>0.44516050000000001</v>
      </c>
      <c r="F8325" t="s">
        <v>42</v>
      </c>
      <c r="G8325">
        <v>-194.0829</v>
      </c>
      <c r="H8325">
        <v>1.0083850000000001</v>
      </c>
      <c r="I8325">
        <v>-54.140740000000001</v>
      </c>
      <c r="J8325">
        <v>-194.25989999999999</v>
      </c>
      <c r="K8325">
        <v>1.1254470000000001</v>
      </c>
      <c r="L8325">
        <v>-54.962890000000002</v>
      </c>
      <c r="M8325">
        <v>0.67377969999999998</v>
      </c>
      <c r="N8325">
        <v>-1.4746189999999999E-2</v>
      </c>
      <c r="O8325">
        <v>0.73878509999999997</v>
      </c>
      <c r="P8325">
        <v>0.41704200000000002</v>
      </c>
      <c r="Q8325">
        <v>-0.13575299999999901</v>
      </c>
      <c r="R8325">
        <v>0.89869179999999904</v>
      </c>
      <c r="S8325">
        <v>0.87591549999999996</v>
      </c>
      <c r="T8325">
        <v>-0.35030090000000003</v>
      </c>
      <c r="U8325">
        <v>2.8824160000000001</v>
      </c>
      <c r="V8325">
        <v>-0.296095099999999</v>
      </c>
      <c r="W8325">
        <v>-0.12505649999999999</v>
      </c>
      <c r="X8325">
        <v>0.94693640000000001</v>
      </c>
      <c r="Y8325">
        <v>-0.42975269999999999</v>
      </c>
      <c r="Z8325">
        <v>-5.4770520000000003E-2</v>
      </c>
      <c r="AA8325">
        <v>0.90128399999999997</v>
      </c>
      <c r="AB8325">
        <v>18</v>
      </c>
      <c r="AC8325">
        <v>0.176999999999992</v>
      </c>
      <c r="AD8325">
        <v>-0.117061999999999</v>
      </c>
      <c r="AE8325">
        <v>0.82215000000000005</v>
      </c>
      <c r="AF8325">
        <v>-0.41518463296559399</v>
      </c>
      <c r="AG8325">
        <v>-0.117061999999999</v>
      </c>
      <c r="AH8325">
        <v>0.712917082146861</v>
      </c>
      <c r="AI8325">
        <v>98.075953609293805</v>
      </c>
      <c r="AJ8325">
        <v>120.215424937791</v>
      </c>
      <c r="AK8325">
        <v>0.83326619834934501</v>
      </c>
      <c r="AL8325">
        <v>97.184018660414395</v>
      </c>
      <c r="AM8325">
        <v>107.363807127664</v>
      </c>
      <c r="AN8325">
        <v>0.99999999104060899</v>
      </c>
    </row>
    <row r="8326" spans="1:40" x14ac:dyDescent="0.25">
      <c r="A8326" t="str">
        <f>"20190303154339781"</f>
        <v>20190303154339781</v>
      </c>
      <c r="B8326" t="str">
        <f>"1551599019768410"</f>
        <v>1551599019768410</v>
      </c>
      <c r="C8326" t="s">
        <v>40</v>
      </c>
      <c r="D8326">
        <v>6.0044279999999999</v>
      </c>
      <c r="E8326">
        <v>0.4458008</v>
      </c>
      <c r="F8326" t="s">
        <v>42</v>
      </c>
      <c r="G8326">
        <v>-193.9659</v>
      </c>
      <c r="H8326">
        <v>1.004413</v>
      </c>
      <c r="I8326">
        <v>-53.973930000000003</v>
      </c>
      <c r="J8326">
        <v>-194.15180000000001</v>
      </c>
      <c r="K8326">
        <v>1.1254230000000001</v>
      </c>
      <c r="L8326">
        <v>-54.828609999999998</v>
      </c>
      <c r="M8326">
        <v>0.66720990000000002</v>
      </c>
      <c r="N8326">
        <v>-1.469673E-2</v>
      </c>
      <c r="O8326">
        <v>0.74472479999999996</v>
      </c>
      <c r="P8326">
        <v>0.41086040000000001</v>
      </c>
      <c r="Q8326">
        <v>-0.13564399999999999</v>
      </c>
      <c r="R8326">
        <v>0.90155110000000005</v>
      </c>
      <c r="S8326">
        <v>0.85800169999999998</v>
      </c>
      <c r="T8326">
        <v>-0.35327399999999998</v>
      </c>
      <c r="U8326">
        <v>2.8866580000000002</v>
      </c>
      <c r="V8326">
        <v>-0.29422789999999999</v>
      </c>
      <c r="W8326">
        <v>-0.1249589</v>
      </c>
      <c r="X8326">
        <v>0.94753109999999996</v>
      </c>
      <c r="Y8326">
        <v>-0.42728460000000001</v>
      </c>
      <c r="Z8326">
        <v>-5.6334759999999998E-2</v>
      </c>
      <c r="AA8326">
        <v>0.90236039999999995</v>
      </c>
      <c r="AB8326">
        <v>18</v>
      </c>
      <c r="AC8326">
        <v>0.18590000000000301</v>
      </c>
      <c r="AD8326">
        <v>-0.12101000000000001</v>
      </c>
      <c r="AE8326">
        <v>0.854679999999994</v>
      </c>
      <c r="AF8326">
        <v>-0.42374246989591902</v>
      </c>
      <c r="AG8326">
        <v>-0.12101000000000001</v>
      </c>
      <c r="AH8326">
        <v>0.74633242880303896</v>
      </c>
      <c r="AI8326">
        <v>98.025709508929395</v>
      </c>
      <c r="AJ8326">
        <v>119.586454149887</v>
      </c>
      <c r="AK8326">
        <v>0.866725559318829</v>
      </c>
      <c r="AL8326">
        <v>97.178382426143799</v>
      </c>
      <c r="AM8326">
        <v>107.25064377839701</v>
      </c>
      <c r="AN8326">
        <v>0.99999998464741402</v>
      </c>
    </row>
    <row r="8327" spans="1:40" x14ac:dyDescent="0.25">
      <c r="A8327" t="str">
        <f>"20190303154339802"</f>
        <v>20190303154339802</v>
      </c>
      <c r="B8327" t="str">
        <f>"1551599019798663"</f>
        <v>1551599019798663</v>
      </c>
      <c r="C8327" t="s">
        <v>40</v>
      </c>
      <c r="D8327">
        <v>5.9984190000000002</v>
      </c>
      <c r="E8327">
        <v>0.44663510000000001</v>
      </c>
      <c r="F8327" t="s">
        <v>58</v>
      </c>
      <c r="G8327">
        <v>-191.4742</v>
      </c>
      <c r="H8327" s="1">
        <v>-3.9706109999999998E-6</v>
      </c>
      <c r="I8327">
        <v>-45.646059999999999</v>
      </c>
      <c r="J8327">
        <v>-194.0421</v>
      </c>
      <c r="K8327">
        <v>1.1254040000000001</v>
      </c>
      <c r="L8327">
        <v>-54.689880000000002</v>
      </c>
      <c r="M8327">
        <v>0.66041430000000001</v>
      </c>
      <c r="N8327">
        <v>-1.464352E-2</v>
      </c>
      <c r="O8327">
        <v>0.75075859999999905</v>
      </c>
      <c r="P8327">
        <v>0.40416489999999999</v>
      </c>
      <c r="Q8327">
        <v>-0.13601820000000001</v>
      </c>
      <c r="R8327">
        <v>0.90451630000000005</v>
      </c>
      <c r="S8327">
        <v>0.84275820000000001</v>
      </c>
      <c r="T8327">
        <v>-0.3542305</v>
      </c>
      <c r="U8327">
        <v>2.890228</v>
      </c>
      <c r="V8327">
        <v>-0.2926067</v>
      </c>
      <c r="W8327">
        <v>-0.12534999999999999</v>
      </c>
      <c r="X8327">
        <v>0.94798139999999997</v>
      </c>
      <c r="Y8327">
        <v>-0.42378300000000002</v>
      </c>
      <c r="Z8327">
        <v>-5.7582170000000002E-2</v>
      </c>
      <c r="AA8327">
        <v>0.90393159999999895</v>
      </c>
      <c r="AB8327">
        <v>18</v>
      </c>
      <c r="AC8327">
        <v>2.5678999999999998</v>
      </c>
      <c r="AD8327">
        <v>-1.1254079706110001</v>
      </c>
      <c r="AE8327">
        <v>9.0438200000000002</v>
      </c>
      <c r="AF8327">
        <v>-3.9880801780731501</v>
      </c>
      <c r="AG8327">
        <v>-1.1254079706110001</v>
      </c>
      <c r="AH8327">
        <v>8.3666210094990596</v>
      </c>
      <c r="AI8327">
        <v>96.923126071529197</v>
      </c>
      <c r="AJ8327">
        <v>115.485530286741</v>
      </c>
      <c r="AK8327">
        <v>9.3365771952919605</v>
      </c>
      <c r="AL8327">
        <v>97.200968144205902</v>
      </c>
      <c r="AM8327">
        <v>107.15351701495101</v>
      </c>
      <c r="AN8327">
        <v>1.0000000190654199</v>
      </c>
    </row>
    <row r="8328" spans="1:40" x14ac:dyDescent="0.25">
      <c r="A8328" t="str">
        <f>"20190303154339825"</f>
        <v>20190303154339825</v>
      </c>
      <c r="B8328" t="str">
        <f>"1551599019818183"</f>
        <v>1551599019818183</v>
      </c>
      <c r="C8328" t="s">
        <v>40</v>
      </c>
      <c r="D8328">
        <v>6.0918199999999896</v>
      </c>
      <c r="E8328">
        <v>0.44705539999999999</v>
      </c>
      <c r="F8328" t="s">
        <v>58</v>
      </c>
      <c r="G8328">
        <v>-191.43709999999999</v>
      </c>
      <c r="H8328" s="1">
        <v>-3.9979859999999997E-6</v>
      </c>
      <c r="I8328">
        <v>-45.578530000000001</v>
      </c>
      <c r="J8328">
        <v>-193.93199999999999</v>
      </c>
      <c r="K8328">
        <v>1.125378</v>
      </c>
      <c r="L8328">
        <v>-54.548029999999997</v>
      </c>
      <c r="M8328">
        <v>0.65345629999999999</v>
      </c>
      <c r="N8328">
        <v>-1.459248E-2</v>
      </c>
      <c r="O8328">
        <v>0.75682349999999998</v>
      </c>
      <c r="P8328">
        <v>0.39672960000000002</v>
      </c>
      <c r="Q8328">
        <v>-0.13615769999999999</v>
      </c>
      <c r="R8328">
        <v>0.90778119999999995</v>
      </c>
      <c r="S8328">
        <v>0.82722469999999904</v>
      </c>
      <c r="T8328">
        <v>-0.35737729999999901</v>
      </c>
      <c r="U8328">
        <v>2.8933409999999999</v>
      </c>
      <c r="V8328">
        <v>-0.29162559999999998</v>
      </c>
      <c r="W8328">
        <v>-0.12551039999999999</v>
      </c>
      <c r="X8328">
        <v>0.94826250000000001</v>
      </c>
      <c r="Y8328">
        <v>-0.42019790000000001</v>
      </c>
      <c r="Z8328">
        <v>-5.9291860000000002E-2</v>
      </c>
      <c r="AA8328">
        <v>0.9054934</v>
      </c>
      <c r="AB8328">
        <v>18</v>
      </c>
      <c r="AC8328">
        <v>2.4949000000000199</v>
      </c>
      <c r="AD8328">
        <v>-1.125381997986</v>
      </c>
      <c r="AE8328">
        <v>8.9695</v>
      </c>
      <c r="AF8328">
        <v>-3.9161788578529499</v>
      </c>
      <c r="AG8328">
        <v>-1.125381997986</v>
      </c>
      <c r="AH8328">
        <v>8.2982820027344797</v>
      </c>
      <c r="AI8328">
        <v>96.992112501613704</v>
      </c>
      <c r="AJ8328">
        <v>115.263864597817</v>
      </c>
      <c r="AK8328">
        <v>9.2446971656724592</v>
      </c>
      <c r="AL8328">
        <v>97.2102312485965</v>
      </c>
      <c r="AM8328">
        <v>107.094588450266</v>
      </c>
      <c r="AN8328">
        <v>1.00000005999488</v>
      </c>
    </row>
    <row r="8329" spans="1:40" x14ac:dyDescent="0.25">
      <c r="A8329" t="str">
        <f>"20190303154339848"</f>
        <v>20190303154339848</v>
      </c>
      <c r="B8329" t="str">
        <f>"1551599019838679"</f>
        <v>1551599019838679</v>
      </c>
      <c r="C8329" t="s">
        <v>40</v>
      </c>
      <c r="D8329">
        <v>6.0743</v>
      </c>
      <c r="E8329">
        <v>0.44736609999999999</v>
      </c>
      <c r="F8329" t="s">
        <v>58</v>
      </c>
      <c r="G8329">
        <v>-191.40559999999999</v>
      </c>
      <c r="H8329" s="1">
        <v>-4.0475230000000002E-6</v>
      </c>
      <c r="I8329">
        <v>-45.468940000000003</v>
      </c>
      <c r="J8329">
        <v>-193.81960000000001</v>
      </c>
      <c r="K8329">
        <v>1.1253580000000001</v>
      </c>
      <c r="L8329">
        <v>-54.400419999999997</v>
      </c>
      <c r="M8329">
        <v>0.64620489999999997</v>
      </c>
      <c r="N8329">
        <v>-1.4543499999999999E-2</v>
      </c>
      <c r="O8329">
        <v>0.76302539999999996</v>
      </c>
      <c r="P8329">
        <v>0.38934580000000002</v>
      </c>
      <c r="Q8329">
        <v>-0.1361214</v>
      </c>
      <c r="R8329">
        <v>0.91097799999999995</v>
      </c>
      <c r="S8329">
        <v>0.80653379999999997</v>
      </c>
      <c r="T8329">
        <v>-0.35926659999999999</v>
      </c>
      <c r="U8329">
        <v>2.8984070000000002</v>
      </c>
      <c r="V8329">
        <v>-0.2902883</v>
      </c>
      <c r="W8329">
        <v>-0.12548509999999999</v>
      </c>
      <c r="X8329">
        <v>0.94867599999999996</v>
      </c>
      <c r="Y8329">
        <v>-0.41797479999999998</v>
      </c>
      <c r="Z8329">
        <v>-6.0700419999999998E-2</v>
      </c>
      <c r="AA8329">
        <v>0.90642849999999997</v>
      </c>
      <c r="AB8329">
        <v>18</v>
      </c>
      <c r="AC8329">
        <v>2.4140000000000099</v>
      </c>
      <c r="AD8329">
        <v>-1.125362047523</v>
      </c>
      <c r="AE8329">
        <v>8.9314799999999899</v>
      </c>
      <c r="AF8329">
        <v>-3.8727408856355598</v>
      </c>
      <c r="AG8329">
        <v>-1.125362047523</v>
      </c>
      <c r="AH8329">
        <v>8.2536568893800695</v>
      </c>
      <c r="AI8329">
        <v>97.036689068606194</v>
      </c>
      <c r="AJ8329">
        <v>115.13668123914699</v>
      </c>
      <c r="AK8329">
        <v>9.1862622297041803</v>
      </c>
      <c r="AL8329">
        <v>97.208770691813399</v>
      </c>
      <c r="AM8329">
        <v>107.013748655445</v>
      </c>
      <c r="AN8329">
        <v>0.99999998020744896</v>
      </c>
    </row>
    <row r="8330" spans="1:40" x14ac:dyDescent="0.25">
      <c r="A8330" t="str">
        <f>"20190303154339869"</f>
        <v>20190303154339869</v>
      </c>
      <c r="B8330" t="str">
        <f>"1551599019858199"</f>
        <v>1551599019858199</v>
      </c>
      <c r="C8330" t="s">
        <v>40</v>
      </c>
      <c r="D8330">
        <v>5.9988080000000004</v>
      </c>
      <c r="E8330">
        <v>0.4799078</v>
      </c>
      <c r="F8330" t="s">
        <v>58</v>
      </c>
      <c r="G8330">
        <v>-191.3595</v>
      </c>
      <c r="H8330" s="1">
        <v>-4.1202519999999997E-6</v>
      </c>
      <c r="I8330">
        <v>-45.302050000000001</v>
      </c>
      <c r="J8330">
        <v>-193.71950000000001</v>
      </c>
      <c r="K8330">
        <v>1.1253390000000001</v>
      </c>
      <c r="L8330">
        <v>-54.266300000000001</v>
      </c>
      <c r="M8330">
        <v>0.63961230000000002</v>
      </c>
      <c r="N8330">
        <v>-1.450218E-2</v>
      </c>
      <c r="O8330">
        <v>0.76856089999999999</v>
      </c>
      <c r="P8330">
        <v>0.38358940000000002</v>
      </c>
      <c r="Q8330">
        <v>-0.1359747</v>
      </c>
      <c r="R8330">
        <v>0.91343859999999999</v>
      </c>
      <c r="S8330">
        <v>0.78518679999999996</v>
      </c>
      <c r="T8330">
        <v>-0.35917850000000001</v>
      </c>
      <c r="U8330">
        <v>2.9039000000000001</v>
      </c>
      <c r="V8330">
        <v>-0.28813129999999998</v>
      </c>
      <c r="W8330">
        <v>-0.12533169999999999</v>
      </c>
      <c r="X8330">
        <v>0.94935360000000002</v>
      </c>
      <c r="Y8330">
        <v>-0.41681499999999999</v>
      </c>
      <c r="Z8330">
        <v>-6.1552900000000001E-2</v>
      </c>
      <c r="AA8330">
        <v>0.90690490000000001</v>
      </c>
      <c r="AB8330">
        <v>18</v>
      </c>
      <c r="AC8330">
        <v>2.3600000000000101</v>
      </c>
      <c r="AD8330">
        <v>-1.1253431202519999</v>
      </c>
      <c r="AE8330">
        <v>8.9642499999999998</v>
      </c>
      <c r="AF8330">
        <v>-3.8633154539438999</v>
      </c>
      <c r="AG8330">
        <v>-1.1253431202519999</v>
      </c>
      <c r="AH8330">
        <v>8.2779399355477601</v>
      </c>
      <c r="AI8330">
        <v>97.022846130399103</v>
      </c>
      <c r="AJ8330">
        <v>115.018466808977</v>
      </c>
      <c r="AK8330">
        <v>9.2041236960134807</v>
      </c>
      <c r="AL8330">
        <v>97.199911656015203</v>
      </c>
      <c r="AM8330">
        <v>106.88318100445299</v>
      </c>
      <c r="AN8330">
        <v>0.99999996944876901</v>
      </c>
    </row>
    <row r="8331" spans="1:40" x14ac:dyDescent="0.25">
      <c r="A8331" t="str">
        <f>"20190303154339894"</f>
        <v>20190303154339894</v>
      </c>
      <c r="B8331" t="str">
        <f>"1551599019888455"</f>
        <v>1551599019888455</v>
      </c>
      <c r="C8331" t="s">
        <v>40</v>
      </c>
      <c r="D8331">
        <v>5.9163100000000002</v>
      </c>
      <c r="E8331">
        <v>0.49060280000000001</v>
      </c>
      <c r="F8331" t="s">
        <v>58</v>
      </c>
      <c r="G8331">
        <v>-189.9222</v>
      </c>
      <c r="H8331" s="1">
        <v>-6.6158009999999996E-6</v>
      </c>
      <c r="I8331">
        <v>-43.681460000000001</v>
      </c>
      <c r="J8331">
        <v>-193.60570000000001</v>
      </c>
      <c r="K8331">
        <v>1.1253120000000001</v>
      </c>
      <c r="L8331">
        <v>-54.111269999999998</v>
      </c>
      <c r="M8331">
        <v>0.63198669999999901</v>
      </c>
      <c r="N8331">
        <v>-1.446475E-2</v>
      </c>
      <c r="O8331">
        <v>0.77484430000000004</v>
      </c>
      <c r="P8331">
        <v>0.37663419999999997</v>
      </c>
      <c r="Q8331">
        <v>-0.13627129999999901</v>
      </c>
      <c r="R8331">
        <v>0.91628430000000005</v>
      </c>
      <c r="S8331">
        <v>1.0100709999999999</v>
      </c>
      <c r="T8331">
        <v>-0.29934349999999998</v>
      </c>
      <c r="U8331">
        <v>2.815582</v>
      </c>
      <c r="V8331">
        <v>-0.28594540000000002</v>
      </c>
      <c r="W8331">
        <v>-0.1256178</v>
      </c>
      <c r="X8331">
        <v>0.9499765</v>
      </c>
      <c r="Y8331">
        <v>-0.33347139999999997</v>
      </c>
      <c r="Z8331">
        <v>-5.3680079999999998E-2</v>
      </c>
      <c r="AA8331">
        <v>0.94123069999999998</v>
      </c>
      <c r="AB8331">
        <v>18</v>
      </c>
      <c r="AC8331">
        <v>3.6835</v>
      </c>
      <c r="AD8331">
        <v>-1.125318615801</v>
      </c>
      <c r="AE8331">
        <v>10.42981</v>
      </c>
      <c r="AF8331">
        <v>-3.6994627600282302</v>
      </c>
      <c r="AG8331">
        <v>-1.125318615801</v>
      </c>
      <c r="AH8331">
        <v>10.303843229796</v>
      </c>
      <c r="AI8331">
        <v>95.868770247375295</v>
      </c>
      <c r="AJ8331">
        <v>109.750024765238</v>
      </c>
      <c r="AK8331">
        <v>11.005523704218501</v>
      </c>
      <c r="AL8331">
        <v>97.216434507897404</v>
      </c>
      <c r="AM8331">
        <v>106.751931481515</v>
      </c>
      <c r="AN8331">
        <v>0.999999977005124</v>
      </c>
    </row>
    <row r="8332" spans="1:40" x14ac:dyDescent="0.25">
      <c r="A8332" t="str">
        <f>"20190303154339916"</f>
        <v>20190303154339916</v>
      </c>
      <c r="B8332" t="str">
        <f>"1551599019908951"</f>
        <v>1551599019908951</v>
      </c>
      <c r="C8332" t="s">
        <v>40</v>
      </c>
      <c r="D8332">
        <v>5.9788319999999997</v>
      </c>
      <c r="E8332">
        <v>0.49415569999999998</v>
      </c>
      <c r="F8332" t="s">
        <v>58</v>
      </c>
      <c r="G8332">
        <v>-189.4888</v>
      </c>
      <c r="H8332" s="1">
        <v>-6.677843E-6</v>
      </c>
      <c r="I8332">
        <v>-43.350499999999997</v>
      </c>
      <c r="J8332">
        <v>-193.50319999999999</v>
      </c>
      <c r="K8332">
        <v>1.125292</v>
      </c>
      <c r="L8332">
        <v>-53.968539999999997</v>
      </c>
      <c r="M8332">
        <v>0.62497060000000004</v>
      </c>
      <c r="N8332">
        <v>-1.445039E-2</v>
      </c>
      <c r="O8332">
        <v>0.78051459999999995</v>
      </c>
      <c r="P8332">
        <v>0.3709112</v>
      </c>
      <c r="Q8332">
        <v>-0.136598</v>
      </c>
      <c r="R8332">
        <v>0.91856729999999998</v>
      </c>
      <c r="S8332">
        <v>1.068039</v>
      </c>
      <c r="T8332">
        <v>-0.29194049999999999</v>
      </c>
      <c r="U8332">
        <v>2.7916560000000001</v>
      </c>
      <c r="V8332">
        <v>-0.28327669999999999</v>
      </c>
      <c r="W8332">
        <v>-0.12590580000000001</v>
      </c>
      <c r="X8332">
        <v>0.95073770000000002</v>
      </c>
      <c r="Y8332">
        <v>-0.30515110000000001</v>
      </c>
      <c r="Z8332">
        <v>-5.378525E-2</v>
      </c>
      <c r="AA8332">
        <v>0.95078379999999996</v>
      </c>
      <c r="AB8332">
        <v>18</v>
      </c>
      <c r="AC8332">
        <v>4.0143999999999904</v>
      </c>
      <c r="AD8332">
        <v>-1.1252986778430001</v>
      </c>
      <c r="AE8332">
        <v>10.618040000000001</v>
      </c>
      <c r="AF8332">
        <v>-3.4689411008641899</v>
      </c>
      <c r="AG8332">
        <v>-1.1252986778430001</v>
      </c>
      <c r="AH8332">
        <v>10.6924685145043</v>
      </c>
      <c r="AI8332">
        <v>95.716589383648795</v>
      </c>
      <c r="AJ8332">
        <v>107.97453827849699</v>
      </c>
      <c r="AK8332">
        <v>11.2972887193913</v>
      </c>
      <c r="AL8332">
        <v>97.233067100671505</v>
      </c>
      <c r="AM8332">
        <v>106.591669079995</v>
      </c>
      <c r="AN8332">
        <v>1.0000000667189</v>
      </c>
    </row>
    <row r="8333" spans="1:40" x14ac:dyDescent="0.25">
      <c r="A8333" t="str">
        <f>"20190303154339938"</f>
        <v>20190303154339938</v>
      </c>
      <c r="B8333" t="str">
        <f>"1551599019928475"</f>
        <v>1551599019928475</v>
      </c>
      <c r="C8333" t="s">
        <v>40</v>
      </c>
      <c r="D8333">
        <v>5.9780899999999999</v>
      </c>
      <c r="E8333">
        <v>0.49632959999999898</v>
      </c>
      <c r="F8333" t="s">
        <v>58</v>
      </c>
      <c r="G8333">
        <v>-189.3408</v>
      </c>
      <c r="H8333" s="1">
        <v>-6.71350699999999E-6</v>
      </c>
      <c r="I8333">
        <v>-43.194220000000001</v>
      </c>
      <c r="J8333">
        <v>-193.40479999999999</v>
      </c>
      <c r="K8333">
        <v>1.125273</v>
      </c>
      <c r="L8333">
        <v>-53.828890000000001</v>
      </c>
      <c r="M8333">
        <v>0.61810719999999997</v>
      </c>
      <c r="N8333">
        <v>-1.4453000000000001E-2</v>
      </c>
      <c r="O8333">
        <v>0.78596089999999996</v>
      </c>
      <c r="P8333">
        <v>0.36583290000000002</v>
      </c>
      <c r="Q8333">
        <v>-0.1371735</v>
      </c>
      <c r="R8333">
        <v>0.920516</v>
      </c>
      <c r="S8333">
        <v>1.076981</v>
      </c>
      <c r="T8333">
        <v>-0.29116320000000001</v>
      </c>
      <c r="U8333">
        <v>2.7877809999999998</v>
      </c>
      <c r="V8333">
        <v>-0.280147599999999</v>
      </c>
      <c r="W8333">
        <v>-0.12642039999999999</v>
      </c>
      <c r="X8333">
        <v>0.95159609999999994</v>
      </c>
      <c r="Y8333">
        <v>-0.2937225</v>
      </c>
      <c r="Z8333">
        <v>-5.4607339999999997E-2</v>
      </c>
      <c r="AA8333">
        <v>0.95432969999999895</v>
      </c>
      <c r="AB8333">
        <v>18</v>
      </c>
      <c r="AC8333">
        <v>4.0639999999999903</v>
      </c>
      <c r="AD8333">
        <v>-1.1252797135070001</v>
      </c>
      <c r="AE8333">
        <v>10.63467</v>
      </c>
      <c r="AF8333">
        <v>-3.34687661043899</v>
      </c>
      <c r="AG8333">
        <v>-1.1252797135070001</v>
      </c>
      <c r="AH8333">
        <v>10.766375654296199</v>
      </c>
      <c r="AI8333">
        <v>95.699626700041506</v>
      </c>
      <c r="AJ8333">
        <v>107.26857884188399</v>
      </c>
      <c r="AK8333">
        <v>11.330608201175901</v>
      </c>
      <c r="AL8333">
        <v>97.262789731943101</v>
      </c>
      <c r="AM8333">
        <v>106.404301813431</v>
      </c>
      <c r="AN8333">
        <v>0.99999996642856404</v>
      </c>
    </row>
    <row r="8334" spans="1:40" x14ac:dyDescent="0.25">
      <c r="A8334" t="str">
        <f>"20190303154339960"</f>
        <v>20190303154339960</v>
      </c>
      <c r="B8334" t="str">
        <f>"1551599019948972"</f>
        <v>1551599019948972</v>
      </c>
      <c r="C8334" t="s">
        <v>40</v>
      </c>
      <c r="D8334">
        <v>5.9001539999999997</v>
      </c>
      <c r="E8334">
        <v>0.49781259999999999</v>
      </c>
      <c r="F8334" t="s">
        <v>58</v>
      </c>
      <c r="G8334">
        <v>-189.25309999999999</v>
      </c>
      <c r="H8334" s="1">
        <v>-6.7380980000000003E-6</v>
      </c>
      <c r="I8334">
        <v>-43.091270000000002</v>
      </c>
      <c r="J8334">
        <v>-193.30600000000001</v>
      </c>
      <c r="K8334">
        <v>1.125256</v>
      </c>
      <c r="L8334">
        <v>-53.686129999999999</v>
      </c>
      <c r="M8334">
        <v>0.6110852</v>
      </c>
      <c r="N8334">
        <v>-1.4463419999999999E-2</v>
      </c>
      <c r="O8334">
        <v>0.79143269999999899</v>
      </c>
      <c r="P8334">
        <v>0.36106070000000001</v>
      </c>
      <c r="Q8334">
        <v>-0.1379879</v>
      </c>
      <c r="R8334">
        <v>0.92227680000000001</v>
      </c>
      <c r="S8334">
        <v>1.077682</v>
      </c>
      <c r="T8334">
        <v>-0.29209610000000003</v>
      </c>
      <c r="U8334">
        <v>2.7872309999999998</v>
      </c>
      <c r="V8334">
        <v>-0.27653179999999999</v>
      </c>
      <c r="W8334">
        <v>-0.12716079999999999</v>
      </c>
      <c r="X8334">
        <v>0.95255460000000003</v>
      </c>
      <c r="Y8334">
        <v>-0.28496290000000002</v>
      </c>
      <c r="Z8334">
        <v>-5.5708349999999997E-2</v>
      </c>
      <c r="AA8334">
        <v>0.95691839999999995</v>
      </c>
      <c r="AB8334">
        <v>18</v>
      </c>
      <c r="AC8334">
        <v>4.0528999999999904</v>
      </c>
      <c r="AD8334">
        <v>-1.125262738098</v>
      </c>
      <c r="AE8334">
        <v>10.594860000000001</v>
      </c>
      <c r="AF8334">
        <v>-3.2352703289635798</v>
      </c>
      <c r="AG8334">
        <v>-1.125262738098</v>
      </c>
      <c r="AH8334">
        <v>10.7570695592399</v>
      </c>
      <c r="AI8334">
        <v>95.720477405526495</v>
      </c>
      <c r="AJ8334">
        <v>106.739058658045</v>
      </c>
      <c r="AK8334">
        <v>11.2892752572319</v>
      </c>
      <c r="AL8334">
        <v>97.305556538260305</v>
      </c>
      <c r="AM8334">
        <v>106.18830149204101</v>
      </c>
      <c r="AN8334">
        <v>0.99999998572451998</v>
      </c>
    </row>
    <row r="8335" spans="1:40" x14ac:dyDescent="0.25">
      <c r="A8335" t="str">
        <f>"20190303154339983"</f>
        <v>20190303154339983</v>
      </c>
      <c r="B8335" t="str">
        <f>"1551599019978240"</f>
        <v>1551599019978240</v>
      </c>
      <c r="C8335" t="s">
        <v>40</v>
      </c>
      <c r="D8335">
        <v>5.9981039999999997</v>
      </c>
      <c r="E8335">
        <v>0.49975649999999999</v>
      </c>
      <c r="F8335" t="s">
        <v>58</v>
      </c>
      <c r="G8335">
        <v>-189.1874</v>
      </c>
      <c r="H8335" s="1">
        <v>-6.7634359999999996E-6</v>
      </c>
      <c r="I8335">
        <v>-42.993499999999997</v>
      </c>
      <c r="J8335">
        <v>-193.21010000000001</v>
      </c>
      <c r="K8335">
        <v>1.125246</v>
      </c>
      <c r="L8335">
        <v>-53.54468</v>
      </c>
      <c r="M8335">
        <v>0.60412379999999999</v>
      </c>
      <c r="N8335">
        <v>-1.448032E-2</v>
      </c>
      <c r="O8335">
        <v>0.79675890000000005</v>
      </c>
      <c r="P8335">
        <v>0.35643709999999901</v>
      </c>
      <c r="Q8335">
        <v>-0.13906170000000001</v>
      </c>
      <c r="R8335">
        <v>0.92391259999999997</v>
      </c>
      <c r="S8335">
        <v>1.074066</v>
      </c>
      <c r="T8335">
        <v>-0.29344589999999998</v>
      </c>
      <c r="U8335">
        <v>2.7884220000000002</v>
      </c>
      <c r="V8335">
        <v>-0.2728545</v>
      </c>
      <c r="W8335">
        <v>-0.1281552</v>
      </c>
      <c r="X8335">
        <v>0.95348129999999998</v>
      </c>
      <c r="Y8335">
        <v>-0.27780250000000001</v>
      </c>
      <c r="Z8335">
        <v>-5.6826950000000001E-2</v>
      </c>
      <c r="AA8335">
        <v>0.95895589999999997</v>
      </c>
      <c r="AB8335">
        <v>18</v>
      </c>
      <c r="AC8335">
        <v>4.0227000000000102</v>
      </c>
      <c r="AD8335">
        <v>-1.1252527634359999</v>
      </c>
      <c r="AE8335">
        <v>10.55118</v>
      </c>
      <c r="AF8335">
        <v>-3.1382656683835299</v>
      </c>
      <c r="AG8335">
        <v>-1.1252527634359999</v>
      </c>
      <c r="AH8335">
        <v>10.7315256625494</v>
      </c>
      <c r="AI8335">
        <v>95.746890743208297</v>
      </c>
      <c r="AJ8335">
        <v>106.300727698741</v>
      </c>
      <c r="AK8335">
        <v>11.2374618234249</v>
      </c>
      <c r="AL8335">
        <v>97.363001644640406</v>
      </c>
      <c r="AM8335">
        <v>105.969352735779</v>
      </c>
      <c r="AN8335">
        <v>0.99999996145348902</v>
      </c>
    </row>
    <row r="8336" spans="1:40" x14ac:dyDescent="0.25">
      <c r="A8336" t="str">
        <f>"20190303154340005"</f>
        <v>20190303154340005</v>
      </c>
      <c r="B8336" t="str">
        <f>"1551599019998736"</f>
        <v>1551599019998736</v>
      </c>
      <c r="C8336" t="s">
        <v>40</v>
      </c>
      <c r="D8336">
        <v>5.9414639999999999</v>
      </c>
      <c r="E8336">
        <v>0.50048179999999998</v>
      </c>
      <c r="F8336" t="s">
        <v>58</v>
      </c>
      <c r="G8336">
        <v>-189.1404</v>
      </c>
      <c r="H8336" s="1">
        <v>-6.7612700000000004E-6</v>
      </c>
      <c r="I8336">
        <v>-42.984189999999998</v>
      </c>
      <c r="J8336">
        <v>-193.1113</v>
      </c>
      <c r="K8336">
        <v>1.1252359999999999</v>
      </c>
      <c r="L8336">
        <v>-53.396239999999999</v>
      </c>
      <c r="M8336">
        <v>0.5968137</v>
      </c>
      <c r="N8336">
        <v>-1.4504110000000001E-2</v>
      </c>
      <c r="O8336">
        <v>0.80224879999999998</v>
      </c>
      <c r="P8336">
        <v>0.35165869999999999</v>
      </c>
      <c r="Q8336">
        <v>-0.1396985</v>
      </c>
      <c r="R8336">
        <v>0.92564590000000002</v>
      </c>
      <c r="S8336">
        <v>1.0743560000000001</v>
      </c>
      <c r="T8336">
        <v>-0.29705670000000001</v>
      </c>
      <c r="U8336">
        <v>2.7878720000000001</v>
      </c>
      <c r="V8336">
        <v>-0.2690109</v>
      </c>
      <c r="W8336">
        <v>-0.1287025</v>
      </c>
      <c r="X8336">
        <v>0.95449919999999999</v>
      </c>
      <c r="Y8336">
        <v>-0.26890599999999998</v>
      </c>
      <c r="Z8336">
        <v>-5.856571E-2</v>
      </c>
      <c r="AA8336">
        <v>0.96138420000000002</v>
      </c>
      <c r="AB8336">
        <v>18</v>
      </c>
      <c r="AC8336">
        <v>3.9708999999999999</v>
      </c>
      <c r="AD8336">
        <v>-1.12524276127</v>
      </c>
      <c r="AE8336">
        <v>10.412049999999899</v>
      </c>
      <c r="AF8336">
        <v>-2.9981525439986698</v>
      </c>
      <c r="AG8336">
        <v>-1.12524276127</v>
      </c>
      <c r="AH8336">
        <v>10.6158269512282</v>
      </c>
      <c r="AI8336">
        <v>95.824401330752394</v>
      </c>
      <c r="AJ8336">
        <v>105.770894409747</v>
      </c>
      <c r="AK8336">
        <v>11.0883214152233</v>
      </c>
      <c r="AL8336">
        <v>97.394621487424402</v>
      </c>
      <c r="AM8336">
        <v>105.73967289920699</v>
      </c>
      <c r="AN8336">
        <v>0.99999996031284899</v>
      </c>
    </row>
    <row r="8337" spans="1:40" x14ac:dyDescent="0.25">
      <c r="A8337" t="str">
        <f>"20190303154340028"</f>
        <v>20190303154340028</v>
      </c>
      <c r="B8337" t="str">
        <f>"1551599020018256"</f>
        <v>1551599020018256</v>
      </c>
      <c r="C8337" t="s">
        <v>40</v>
      </c>
      <c r="D8337">
        <v>5.9558730000000004</v>
      </c>
      <c r="E8337">
        <v>0.50127579999999905</v>
      </c>
      <c r="F8337" t="s">
        <v>58</v>
      </c>
      <c r="G8337">
        <v>-189.1019</v>
      </c>
      <c r="H8337" s="1">
        <v>-6.7880299999999996E-6</v>
      </c>
      <c r="I8337">
        <v>-42.89132</v>
      </c>
      <c r="J8337">
        <v>-193.01390000000001</v>
      </c>
      <c r="K8337">
        <v>1.1252219999999999</v>
      </c>
      <c r="L8337">
        <v>-53.246980000000001</v>
      </c>
      <c r="M8337">
        <v>0.58945749999999997</v>
      </c>
      <c r="N8337">
        <v>-1.453046E-2</v>
      </c>
      <c r="O8337">
        <v>0.80766870000000002</v>
      </c>
      <c r="P8337">
        <v>0.34665879999999999</v>
      </c>
      <c r="Q8337">
        <v>-0.13989289999999999</v>
      </c>
      <c r="R8337">
        <v>0.92750080000000001</v>
      </c>
      <c r="S8337">
        <v>1.065277</v>
      </c>
      <c r="T8337">
        <v>-0.29897509999999999</v>
      </c>
      <c r="U8337">
        <v>2.7911380000000001</v>
      </c>
      <c r="V8337">
        <v>-0.26543159999999999</v>
      </c>
      <c r="W8337">
        <v>-0.12880759999999999</v>
      </c>
      <c r="X8337">
        <v>0.95548659999999996</v>
      </c>
      <c r="Y8337">
        <v>-0.26323609999999997</v>
      </c>
      <c r="Z8337">
        <v>-5.9781929999999997E-2</v>
      </c>
      <c r="AA8337">
        <v>0.96287739999999999</v>
      </c>
      <c r="AB8337">
        <v>18</v>
      </c>
      <c r="AC8337">
        <v>3.9119999999999999</v>
      </c>
      <c r="AD8337">
        <v>-1.12522878802999</v>
      </c>
      <c r="AE8337">
        <v>10.35566</v>
      </c>
      <c r="AF8337">
        <v>-2.9148160143119601</v>
      </c>
      <c r="AG8337">
        <v>-1.12522878802999</v>
      </c>
      <c r="AH8337">
        <v>10.561899362595</v>
      </c>
      <c r="AI8337">
        <v>95.863578572462998</v>
      </c>
      <c r="AJ8337">
        <v>105.42815305459401</v>
      </c>
      <c r="AK8337">
        <v>11.014354741349401</v>
      </c>
      <c r="AL8337">
        <v>97.400693615708306</v>
      </c>
      <c r="AM8337">
        <v>105.525149537678</v>
      </c>
      <c r="AN8337">
        <v>0.99999998743793905</v>
      </c>
    </row>
    <row r="8338" spans="1:40" x14ac:dyDescent="0.25">
      <c r="A8338" t="str">
        <f>"20190303154340050"</f>
        <v>20190303154340050</v>
      </c>
      <c r="B8338" t="str">
        <f>"1551599020038756"</f>
        <v>1551599020038756</v>
      </c>
      <c r="C8338" t="s">
        <v>40</v>
      </c>
      <c r="D8338">
        <v>5.9697019999999998</v>
      </c>
      <c r="E8338">
        <v>0.50204689999999996</v>
      </c>
      <c r="F8338" t="s">
        <v>58</v>
      </c>
      <c r="G8338">
        <v>-189.0335</v>
      </c>
      <c r="H8338" s="1">
        <v>-6.8396249999999998E-6</v>
      </c>
      <c r="I8338">
        <v>-42.714199999999998</v>
      </c>
      <c r="J8338">
        <v>-192.92009999999999</v>
      </c>
      <c r="K8338">
        <v>1.1252059999999999</v>
      </c>
      <c r="L8338">
        <v>-53.100369999999998</v>
      </c>
      <c r="M8338">
        <v>0.58223100000000005</v>
      </c>
      <c r="N8338">
        <v>-1.455478E-2</v>
      </c>
      <c r="O8338">
        <v>0.81289309999999904</v>
      </c>
      <c r="P8338">
        <v>0.34141339999999998</v>
      </c>
      <c r="Q8338">
        <v>-0.1401374</v>
      </c>
      <c r="R8338">
        <v>0.92940750000000005</v>
      </c>
      <c r="S8338">
        <v>1.0561370000000001</v>
      </c>
      <c r="T8338">
        <v>-0.29856529999999998</v>
      </c>
      <c r="U8338">
        <v>2.7947389999999999</v>
      </c>
      <c r="V8338">
        <v>-0.26229629999999998</v>
      </c>
      <c r="W8338">
        <v>-0.1289701</v>
      </c>
      <c r="X8338">
        <v>0.95633020000000002</v>
      </c>
      <c r="Y8338">
        <v>-0.25781310000000002</v>
      </c>
      <c r="Z8338">
        <v>-6.0401860000000002E-2</v>
      </c>
      <c r="AA8338">
        <v>0.96430499999999997</v>
      </c>
      <c r="AB8338">
        <v>18</v>
      </c>
      <c r="AC8338">
        <v>3.8865999999999801</v>
      </c>
      <c r="AD8338">
        <v>-1.1252128396249901</v>
      </c>
      <c r="AE8338">
        <v>10.38617</v>
      </c>
      <c r="AF8338">
        <v>-2.8586351273287298</v>
      </c>
      <c r="AG8338">
        <v>-1.1252128396249901</v>
      </c>
      <c r="AH8338">
        <v>10.597771424076599</v>
      </c>
      <c r="AI8338">
        <v>95.852982908258596</v>
      </c>
      <c r="AJ8338">
        <v>105.095650516332</v>
      </c>
      <c r="AK8338">
        <v>11.034068056824299</v>
      </c>
      <c r="AL8338">
        <v>97.410082073989599</v>
      </c>
      <c r="AM8338">
        <v>105.33756026015899</v>
      </c>
      <c r="AN8338">
        <v>1.0000000435598599</v>
      </c>
    </row>
    <row r="8339" spans="1:40" x14ac:dyDescent="0.25">
      <c r="A8339" t="str">
        <f>"20190303154340063"</f>
        <v>20190303154340063</v>
      </c>
      <c r="B8339" t="str">
        <f>"1551599020058277"</f>
        <v>1551599020058277</v>
      </c>
      <c r="C8339" t="s">
        <v>40</v>
      </c>
      <c r="D8339">
        <v>5.9891249999999996</v>
      </c>
      <c r="E8339">
        <v>0.502668</v>
      </c>
      <c r="F8339" t="s">
        <v>58</v>
      </c>
      <c r="G8339">
        <v>-188.98</v>
      </c>
      <c r="H8339" s="1">
        <v>-6.8861269999999997E-6</v>
      </c>
      <c r="I8339">
        <v>-42.557290000000002</v>
      </c>
      <c r="J8339">
        <v>-192.86580000000001</v>
      </c>
      <c r="K8339">
        <v>1.125194</v>
      </c>
      <c r="L8339">
        <v>-53.014069999999997</v>
      </c>
      <c r="M8339">
        <v>0.57797779999999999</v>
      </c>
      <c r="N8339">
        <v>-1.456732E-2</v>
      </c>
      <c r="O8339">
        <v>0.81592249999999999</v>
      </c>
      <c r="P8339">
        <v>0.33815630000000002</v>
      </c>
      <c r="Q8339">
        <v>-0.13970160000000001</v>
      </c>
      <c r="R8339">
        <v>0.93066309999999997</v>
      </c>
      <c r="S8339">
        <v>1.045898</v>
      </c>
      <c r="T8339">
        <v>-0.29868289999999997</v>
      </c>
      <c r="U8339">
        <v>2.7986149999999999</v>
      </c>
      <c r="V8339">
        <v>-0.26070179999999998</v>
      </c>
      <c r="W8339">
        <v>-0.12848879999999999</v>
      </c>
      <c r="X8339">
        <v>0.95683079999999998</v>
      </c>
      <c r="Y8339">
        <v>-0.25630930000000002</v>
      </c>
      <c r="Z8339">
        <v>-6.079155E-2</v>
      </c>
      <c r="AA8339">
        <v>0.96468129999999996</v>
      </c>
      <c r="AB8339">
        <v>18</v>
      </c>
      <c r="AC8339">
        <v>3.8858000000000099</v>
      </c>
      <c r="AD8339">
        <v>-1.125200886127</v>
      </c>
      <c r="AE8339">
        <v>10.456779999999901</v>
      </c>
      <c r="AF8339">
        <v>-2.8446388044559598</v>
      </c>
      <c r="AG8339">
        <v>-1.125200886127</v>
      </c>
      <c r="AH8339">
        <v>10.670411932332501</v>
      </c>
      <c r="AI8339">
        <v>95.817898969166805</v>
      </c>
      <c r="AJ8339">
        <v>104.92738467247401</v>
      </c>
      <c r="AK8339">
        <v>11.100258454992</v>
      </c>
      <c r="AL8339">
        <v>97.382274645524006</v>
      </c>
      <c r="AM8339">
        <v>105.24106945531101</v>
      </c>
      <c r="AN8339">
        <v>0.99999999003865903</v>
      </c>
    </row>
    <row r="8340" spans="1:40" x14ac:dyDescent="0.25">
      <c r="A8340" t="str">
        <f>"20190303154340082"</f>
        <v>20190303154340082</v>
      </c>
      <c r="B8340" t="str">
        <f>"1551599020078772"</f>
        <v>1551599020078772</v>
      </c>
      <c r="C8340" t="s">
        <v>40</v>
      </c>
      <c r="D8340">
        <v>5.9501010000000001</v>
      </c>
      <c r="E8340">
        <v>0.50332310000000002</v>
      </c>
      <c r="F8340" t="s">
        <v>58</v>
      </c>
      <c r="G8340">
        <v>-188.9212</v>
      </c>
      <c r="H8340" s="1">
        <v>-6.932917E-6</v>
      </c>
      <c r="I8340">
        <v>-42.397770000000001</v>
      </c>
      <c r="J8340">
        <v>-192.78649999999999</v>
      </c>
      <c r="K8340">
        <v>1.125176</v>
      </c>
      <c r="L8340">
        <v>-52.886380000000003</v>
      </c>
      <c r="M8340">
        <v>0.57168819999999998</v>
      </c>
      <c r="N8340">
        <v>-1.458337E-2</v>
      </c>
      <c r="O8340">
        <v>0.82034130000000005</v>
      </c>
      <c r="P8340">
        <v>0.3335785</v>
      </c>
      <c r="Q8340">
        <v>-0.1394135</v>
      </c>
      <c r="R8340">
        <v>0.93235679999999999</v>
      </c>
      <c r="S8340">
        <v>1.040665</v>
      </c>
      <c r="T8340">
        <v>-0.29685270000000002</v>
      </c>
      <c r="U8340">
        <v>2.8008120000000001</v>
      </c>
      <c r="V8340">
        <v>-0.25808900000000001</v>
      </c>
      <c r="W8340">
        <v>-0.12813039999999901</v>
      </c>
      <c r="X8340">
        <v>0.95758690000000002</v>
      </c>
      <c r="Y8340">
        <v>-0.25071529999999997</v>
      </c>
      <c r="Z8340">
        <v>-6.0978860000000003E-2</v>
      </c>
      <c r="AA8340">
        <v>0.96613839999999995</v>
      </c>
      <c r="AB8340">
        <v>18</v>
      </c>
      <c r="AC8340">
        <v>3.8652999999999902</v>
      </c>
      <c r="AD8340">
        <v>-1.125182932917</v>
      </c>
      <c r="AE8340">
        <v>10.48861</v>
      </c>
      <c r="AF8340">
        <v>-2.7973069981639398</v>
      </c>
      <c r="AG8340">
        <v>-1.125182932917</v>
      </c>
      <c r="AH8340">
        <v>10.706654661087599</v>
      </c>
      <c r="AI8340">
        <v>95.805816224675795</v>
      </c>
      <c r="AJ8340">
        <v>104.64224971951</v>
      </c>
      <c r="AK8340">
        <v>11.1231028542531</v>
      </c>
      <c r="AL8340">
        <v>97.361568603161501</v>
      </c>
      <c r="AM8340">
        <v>105.08394868999601</v>
      </c>
      <c r="AN8340">
        <v>1.0000000011883801</v>
      </c>
    </row>
    <row r="8341" spans="1:40" x14ac:dyDescent="0.25">
      <c r="A8341" t="str">
        <f>"20190303154340108"</f>
        <v>20190303154340108</v>
      </c>
      <c r="B8341" t="str">
        <f>"1551599020098292"</f>
        <v>1551599020098292</v>
      </c>
      <c r="C8341" t="s">
        <v>40</v>
      </c>
      <c r="D8341">
        <v>5.9536449999999999</v>
      </c>
      <c r="E8341">
        <v>0.5038977</v>
      </c>
      <c r="F8341" t="s">
        <v>58</v>
      </c>
      <c r="G8341">
        <v>-188.8544</v>
      </c>
      <c r="H8341" s="1">
        <v>-6.9910700000000003E-6</v>
      </c>
      <c r="I8341">
        <v>-42.201599999999999</v>
      </c>
      <c r="J8341">
        <v>-192.6876</v>
      </c>
      <c r="K8341">
        <v>1.125138</v>
      </c>
      <c r="L8341">
        <v>-52.723820000000003</v>
      </c>
      <c r="M8341">
        <v>0.5636989</v>
      </c>
      <c r="N8341">
        <v>-1.459951E-2</v>
      </c>
      <c r="O8341">
        <v>0.82585129999999995</v>
      </c>
      <c r="P8341">
        <v>0.32738349999999999</v>
      </c>
      <c r="Q8341">
        <v>-0.1399068</v>
      </c>
      <c r="R8341">
        <v>0.93447639999999998</v>
      </c>
      <c r="S8341">
        <v>1.031998</v>
      </c>
      <c r="T8341">
        <v>-0.29530840000000003</v>
      </c>
      <c r="U8341">
        <v>2.8042600000000002</v>
      </c>
      <c r="V8341">
        <v>-0.25512109999999999</v>
      </c>
      <c r="W8341">
        <v>-0.12854099999999999</v>
      </c>
      <c r="X8341">
        <v>0.95832689999999998</v>
      </c>
      <c r="Y8341">
        <v>-0.24434330000000001</v>
      </c>
      <c r="Z8341">
        <v>-6.1365549999999998E-2</v>
      </c>
      <c r="AA8341">
        <v>0.96774510000000002</v>
      </c>
      <c r="AB8341">
        <v>18</v>
      </c>
      <c r="AC8341">
        <v>3.8332000000000002</v>
      </c>
      <c r="AD8341">
        <v>-1.12514499107</v>
      </c>
      <c r="AE8341">
        <v>10.5222199999999</v>
      </c>
      <c r="AF8341">
        <v>-2.7383631919921498</v>
      </c>
      <c r="AG8341">
        <v>-1.12514499107</v>
      </c>
      <c r="AH8341">
        <v>10.7432689721188</v>
      </c>
      <c r="AI8341">
        <v>95.794843855907004</v>
      </c>
      <c r="AJ8341">
        <v>104.299690863119</v>
      </c>
      <c r="AK8341">
        <v>11.143716275528501</v>
      </c>
      <c r="AL8341">
        <v>97.385290376845106</v>
      </c>
      <c r="AM8341">
        <v>104.907259773674</v>
      </c>
      <c r="AN8341">
        <v>1.0000000058049101</v>
      </c>
    </row>
    <row r="8342" spans="1:40" x14ac:dyDescent="0.25">
      <c r="A8342" t="str">
        <f>"20190303154340129"</f>
        <v>20190303154340129</v>
      </c>
      <c r="B8342" t="str">
        <f>"1551599020118789"</f>
        <v>1551599020118789</v>
      </c>
      <c r="C8342" t="s">
        <v>40</v>
      </c>
      <c r="D8342">
        <v>6.0128820000000003</v>
      </c>
      <c r="E8342">
        <v>0.50409420000000005</v>
      </c>
      <c r="F8342" t="s">
        <v>58</v>
      </c>
      <c r="G8342">
        <v>-188.8254</v>
      </c>
      <c r="H8342" s="1">
        <v>-7.0348209999999897E-6</v>
      </c>
      <c r="I8342">
        <v>-42.061140000000002</v>
      </c>
      <c r="J8342">
        <v>-192.5994</v>
      </c>
      <c r="K8342">
        <v>1.1250899999999999</v>
      </c>
      <c r="L8342">
        <v>-52.576079999999997</v>
      </c>
      <c r="M8342">
        <v>0.55645489999999997</v>
      </c>
      <c r="N8342">
        <v>-1.461051E-2</v>
      </c>
      <c r="O8342">
        <v>0.83074939999999997</v>
      </c>
      <c r="P8342">
        <v>0.32034810000000002</v>
      </c>
      <c r="Q8342">
        <v>-0.14088129999999999</v>
      </c>
      <c r="R8342">
        <v>0.93676550000000003</v>
      </c>
      <c r="S8342">
        <v>1.0176240000000001</v>
      </c>
      <c r="T8342">
        <v>-0.29645820000000001</v>
      </c>
      <c r="U8342">
        <v>2.8094480000000002</v>
      </c>
      <c r="V8342">
        <v>-0.2538706</v>
      </c>
      <c r="W8342">
        <v>-0.1294622</v>
      </c>
      <c r="X8342">
        <v>0.95853500000000003</v>
      </c>
      <c r="Y8342">
        <v>-0.24083189999999999</v>
      </c>
      <c r="Z8342">
        <v>-6.2274110000000001E-2</v>
      </c>
      <c r="AA8342">
        <v>0.96856699999999996</v>
      </c>
      <c r="AB8342">
        <v>18</v>
      </c>
      <c r="AC8342">
        <v>3.774</v>
      </c>
      <c r="AD8342">
        <v>-1.1250970348210001</v>
      </c>
      <c r="AE8342">
        <v>10.514939999999999</v>
      </c>
      <c r="AF8342">
        <v>-2.68885994608033</v>
      </c>
      <c r="AG8342">
        <v>-1.1250970348210001</v>
      </c>
      <c r="AH8342">
        <v>10.727692504118799</v>
      </c>
      <c r="AI8342">
        <v>95.8087696311336</v>
      </c>
      <c r="AJ8342">
        <v>104.07110782655499</v>
      </c>
      <c r="AK8342">
        <v>11.1166180833168</v>
      </c>
      <c r="AL8342">
        <v>97.438515693811198</v>
      </c>
      <c r="AM8342">
        <v>104.834341849118</v>
      </c>
      <c r="AN8342">
        <v>1.00000004449909</v>
      </c>
    </row>
    <row r="8343" spans="1:40" x14ac:dyDescent="0.25">
      <c r="A8343" t="str">
        <f>"20190303154340150"</f>
        <v>20190303154340150</v>
      </c>
      <c r="B8343" t="str">
        <f>"1551599020138308"</f>
        <v>1551599020138308</v>
      </c>
      <c r="C8343" t="s">
        <v>40</v>
      </c>
      <c r="D8343">
        <v>5.9941779999999998</v>
      </c>
      <c r="E8343">
        <v>0.50420350000000003</v>
      </c>
      <c r="F8343" t="s">
        <v>58</v>
      </c>
      <c r="G8343">
        <v>-188.9008</v>
      </c>
      <c r="H8343" s="1">
        <v>-7.0176130000000001E-6</v>
      </c>
      <c r="I8343">
        <v>-42.137869999999999</v>
      </c>
      <c r="J8343">
        <v>-192.518</v>
      </c>
      <c r="K8343">
        <v>1.1250439999999999</v>
      </c>
      <c r="L8343">
        <v>-52.437069999999999</v>
      </c>
      <c r="M8343">
        <v>0.54966309999999996</v>
      </c>
      <c r="N8343">
        <v>-1.4614149999999999E-2</v>
      </c>
      <c r="O8343">
        <v>0.83525859999999996</v>
      </c>
      <c r="P8343">
        <v>0.31483359999999999</v>
      </c>
      <c r="Q8343">
        <v>-0.14100270000000001</v>
      </c>
      <c r="R8343">
        <v>0.93861499999999998</v>
      </c>
      <c r="S8343">
        <v>0.99769589999999997</v>
      </c>
      <c r="T8343">
        <v>-0.30349150000000003</v>
      </c>
      <c r="U8343">
        <v>2.815674</v>
      </c>
      <c r="V8343">
        <v>-0.25169910000000001</v>
      </c>
      <c r="W8343">
        <v>-0.12952259999999999</v>
      </c>
      <c r="X8343">
        <v>0.95909929999999999</v>
      </c>
      <c r="Y8343">
        <v>-0.2397301</v>
      </c>
      <c r="Z8343">
        <v>-6.4589560000000004E-2</v>
      </c>
      <c r="AA8343">
        <v>0.96868869999999896</v>
      </c>
      <c r="AB8343">
        <v>18</v>
      </c>
      <c r="AC8343">
        <v>3.6171999999999902</v>
      </c>
      <c r="AD8343">
        <v>-1.125051017613</v>
      </c>
      <c r="AE8343">
        <v>10.299200000000001</v>
      </c>
      <c r="AF8343">
        <v>-2.6123255415749802</v>
      </c>
      <c r="AG8343">
        <v>-1.125051017613</v>
      </c>
      <c r="AH8343">
        <v>10.480539296099201</v>
      </c>
      <c r="AI8343">
        <v>95.946474132101997</v>
      </c>
      <c r="AJ8343">
        <v>103.996055386724</v>
      </c>
      <c r="AK8343">
        <v>10.859635742716099</v>
      </c>
      <c r="AL8343">
        <v>97.442006046191295</v>
      </c>
      <c r="AM8343">
        <v>104.70470094318701</v>
      </c>
      <c r="AN8343">
        <v>1.00000000405603</v>
      </c>
    </row>
    <row r="8344" spans="1:40" x14ac:dyDescent="0.25">
      <c r="A8344" t="str">
        <f>"20190303154340172"</f>
        <v>20190303154340172</v>
      </c>
      <c r="B8344" t="str">
        <f>"1551599020168565"</f>
        <v>1551599020168565</v>
      </c>
      <c r="C8344" t="s">
        <v>40</v>
      </c>
      <c r="D8344">
        <v>6.0313400000000001</v>
      </c>
      <c r="E8344">
        <v>0.45787749999999999</v>
      </c>
      <c r="F8344" t="s">
        <v>58</v>
      </c>
      <c r="G8344">
        <v>-188.88419999999999</v>
      </c>
      <c r="H8344" s="1">
        <v>-7.0628170000000002E-6</v>
      </c>
      <c r="I8344">
        <v>-41.997280000000003</v>
      </c>
      <c r="J8344">
        <v>-192.4342</v>
      </c>
      <c r="K8344">
        <v>1.1249910000000001</v>
      </c>
      <c r="L8344">
        <v>-52.291409999999999</v>
      </c>
      <c r="M8344">
        <v>0.54256919999999897</v>
      </c>
      <c r="N8344">
        <v>-1.458738E-2</v>
      </c>
      <c r="O8344">
        <v>0.83988449999999903</v>
      </c>
      <c r="P8344">
        <v>0.30886520000000001</v>
      </c>
      <c r="Q8344">
        <v>-0.14079920000000001</v>
      </c>
      <c r="R8344">
        <v>0.94062630000000003</v>
      </c>
      <c r="S8344">
        <v>0.98196410000000001</v>
      </c>
      <c r="T8344">
        <v>-0.30402509999999999</v>
      </c>
      <c r="U8344">
        <v>2.821167</v>
      </c>
      <c r="V8344">
        <v>-0.24970400000000001</v>
      </c>
      <c r="W8344">
        <v>-0.12928980000000001</v>
      </c>
      <c r="X8344">
        <v>0.95965210000000001</v>
      </c>
      <c r="Y8344">
        <v>-0.23692769999999999</v>
      </c>
      <c r="Z8344">
        <v>-6.5342369999999997E-2</v>
      </c>
      <c r="AA8344">
        <v>0.96932739999999995</v>
      </c>
      <c r="AB8344">
        <v>18</v>
      </c>
      <c r="AC8344">
        <v>3.55000000000001</v>
      </c>
      <c r="AD8344">
        <v>-1.124998062817</v>
      </c>
      <c r="AE8344">
        <v>10.294129999999999</v>
      </c>
      <c r="AF8344">
        <v>-2.5764639379684402</v>
      </c>
      <c r="AG8344">
        <v>-1.124998062817</v>
      </c>
      <c r="AH8344">
        <v>10.461460838049</v>
      </c>
      <c r="AI8344">
        <v>95.961068770154597</v>
      </c>
      <c r="AJ8344">
        <v>103.835545242457</v>
      </c>
      <c r="AK8344">
        <v>10.8326335639597</v>
      </c>
      <c r="AL8344">
        <v>97.428554166329704</v>
      </c>
      <c r="AM8344">
        <v>104.585090357425</v>
      </c>
      <c r="AN8344">
        <v>1.0000000465172201</v>
      </c>
    </row>
    <row r="8345" spans="1:40" x14ac:dyDescent="0.25">
      <c r="A8345" t="str">
        <f>"20190303154340187"</f>
        <v>20190303154340187</v>
      </c>
      <c r="B8345" t="str">
        <f>"1551599020178326"</f>
        <v>1551599020178326</v>
      </c>
      <c r="C8345" t="s">
        <v>40</v>
      </c>
      <c r="D8345">
        <v>5.9372829999999999</v>
      </c>
      <c r="E8345">
        <v>0.45573799999999998</v>
      </c>
      <c r="F8345" t="s">
        <v>58</v>
      </c>
      <c r="G8345">
        <v>-190.61689999999999</v>
      </c>
      <c r="H8345" s="1">
        <v>-4.8057770000000002E-6</v>
      </c>
      <c r="I8345">
        <v>-43.546590000000002</v>
      </c>
      <c r="J8345">
        <v>-192.37889999999999</v>
      </c>
      <c r="K8345">
        <v>1.1249499999999999</v>
      </c>
      <c r="L8345">
        <v>-52.193449999999999</v>
      </c>
      <c r="M8345">
        <v>0.53781239999999997</v>
      </c>
      <c r="N8345">
        <v>-1.452288E-2</v>
      </c>
      <c r="O8345">
        <v>0.84293940000000001</v>
      </c>
      <c r="P8345">
        <v>0.30443809999999999</v>
      </c>
      <c r="Q8345">
        <v>-0.14045360000000001</v>
      </c>
      <c r="R8345">
        <v>0.94212010000000002</v>
      </c>
      <c r="S8345">
        <v>0.60949709999999901</v>
      </c>
      <c r="T8345">
        <v>-0.37729239999999997</v>
      </c>
      <c r="U8345">
        <v>2.9327700000000001</v>
      </c>
      <c r="V8345">
        <v>-0.24883089999999999</v>
      </c>
      <c r="W8345">
        <v>-0.12897990000000001</v>
      </c>
      <c r="X8345">
        <v>0.95992049999999995</v>
      </c>
      <c r="Y8345">
        <v>-0.35530040000000002</v>
      </c>
      <c r="Z8345">
        <v>-7.9496629999999999E-2</v>
      </c>
      <c r="AA8345">
        <v>0.93136560000000002</v>
      </c>
      <c r="AB8345">
        <v>18</v>
      </c>
      <c r="AC8345">
        <v>1.762</v>
      </c>
      <c r="AD8345">
        <v>-1.12495480577699</v>
      </c>
      <c r="AE8345">
        <v>8.6468599999999896</v>
      </c>
      <c r="AF8345">
        <v>-3.1148434668079901</v>
      </c>
      <c r="AG8345">
        <v>-1.12495480577699</v>
      </c>
      <c r="AH8345">
        <v>8.1055489502901494</v>
      </c>
      <c r="AI8345">
        <v>97.381652302280202</v>
      </c>
      <c r="AJ8345">
        <v>111.02103488596001</v>
      </c>
      <c r="AK8345">
        <v>8.7560091893114702</v>
      </c>
      <c r="AL8345">
        <v>97.410648634944494</v>
      </c>
      <c r="AM8345">
        <v>104.53236456749001</v>
      </c>
      <c r="AN8345">
        <v>0.99999999885953395</v>
      </c>
    </row>
    <row r="8346" spans="1:40" x14ac:dyDescent="0.25">
      <c r="A8346" t="str">
        <f>"20190303154340206"</f>
        <v>20190303154340206</v>
      </c>
      <c r="B8346" t="str">
        <f>"1551599020198821"</f>
        <v>1551599020198821</v>
      </c>
      <c r="C8346" t="s">
        <v>40</v>
      </c>
      <c r="D8346">
        <v>6.0128519999999996</v>
      </c>
      <c r="E8346">
        <v>0.45361400000000002</v>
      </c>
      <c r="F8346" t="s">
        <v>58</v>
      </c>
      <c r="G8346">
        <v>-190.65430000000001</v>
      </c>
      <c r="H8346" s="1">
        <v>-4.8615830000000003E-6</v>
      </c>
      <c r="I8346">
        <v>-43.441070000000003</v>
      </c>
      <c r="J8346">
        <v>-192.30600000000001</v>
      </c>
      <c r="K8346">
        <v>1.1248940000000001</v>
      </c>
      <c r="L8346">
        <v>-52.062710000000003</v>
      </c>
      <c r="M8346">
        <v>0.53147319999999998</v>
      </c>
      <c r="N8346">
        <v>-1.4371790000000001E-2</v>
      </c>
      <c r="O8346">
        <v>0.84695319999999996</v>
      </c>
      <c r="P8346">
        <v>0.29929159999999999</v>
      </c>
      <c r="Q8346">
        <v>-0.1402485</v>
      </c>
      <c r="R8346">
        <v>0.94379809999999997</v>
      </c>
      <c r="S8346">
        <v>0.57946779999999998</v>
      </c>
      <c r="T8346">
        <v>-0.377973</v>
      </c>
      <c r="U8346">
        <v>2.9407040000000002</v>
      </c>
      <c r="V8346">
        <v>-0.2468938</v>
      </c>
      <c r="W8346">
        <v>-0.12888060000000001</v>
      </c>
      <c r="X8346">
        <v>0.96043389999999995</v>
      </c>
      <c r="Y8346">
        <v>-0.35793180000000002</v>
      </c>
      <c r="Z8346">
        <v>-8.0245759999999999E-2</v>
      </c>
      <c r="AA8346">
        <v>0.93029320000000004</v>
      </c>
      <c r="AB8346">
        <v>18</v>
      </c>
      <c r="AC8346">
        <v>1.65169999999997</v>
      </c>
      <c r="AD8346">
        <v>-1.124898861583</v>
      </c>
      <c r="AE8346">
        <v>8.6216399999999904</v>
      </c>
      <c r="AF8346">
        <v>-3.1321543608191398</v>
      </c>
      <c r="AG8346">
        <v>-1.124898861583</v>
      </c>
      <c r="AH8346">
        <v>8.0486397855869907</v>
      </c>
      <c r="AI8346">
        <v>97.4208716882288</v>
      </c>
      <c r="AJ8346">
        <v>111.263661503637</v>
      </c>
      <c r="AK8346">
        <v>8.7095574392114194</v>
      </c>
      <c r="AL8346">
        <v>97.4049111437741</v>
      </c>
      <c r="AM8346">
        <v>104.416580971469</v>
      </c>
      <c r="AN8346">
        <v>1.000000016902</v>
      </c>
    </row>
    <row r="8347" spans="1:40" x14ac:dyDescent="0.25">
      <c r="A8347" t="str">
        <f>"20190303154340230"</f>
        <v>20190303154340230</v>
      </c>
      <c r="B8347" t="str">
        <f>"1551599020218344"</f>
        <v>1551599020218344</v>
      </c>
      <c r="C8347" t="s">
        <v>40</v>
      </c>
      <c r="D8347">
        <v>5.9693589999999999</v>
      </c>
      <c r="E8347">
        <v>0.4528508</v>
      </c>
      <c r="F8347" t="s">
        <v>58</v>
      </c>
      <c r="G8347">
        <v>-190.69110000000001</v>
      </c>
      <c r="H8347" s="1">
        <v>-4.9057380000000001E-6</v>
      </c>
      <c r="I8347">
        <v>-43.360370000000003</v>
      </c>
      <c r="J8347">
        <v>-192.21680000000001</v>
      </c>
      <c r="K8347">
        <v>1.1248069999999999</v>
      </c>
      <c r="L8347">
        <v>-51.899659999999997</v>
      </c>
      <c r="M8347">
        <v>0.52359279999999997</v>
      </c>
      <c r="N8347">
        <v>-1.407888E-2</v>
      </c>
      <c r="O8347">
        <v>0.85185230000000001</v>
      </c>
      <c r="P8347">
        <v>0.29172540000000002</v>
      </c>
      <c r="Q8347">
        <v>-0.14005580000000001</v>
      </c>
      <c r="R8347">
        <v>0.9461927</v>
      </c>
      <c r="S8347">
        <v>0.54714969999999996</v>
      </c>
      <c r="T8347">
        <v>-0.381133</v>
      </c>
      <c r="U8347">
        <v>2.9484859999999999</v>
      </c>
      <c r="V8347">
        <v>-0.24569170000000001</v>
      </c>
      <c r="W8347">
        <v>-0.128944</v>
      </c>
      <c r="X8347">
        <v>0.96073359999999997</v>
      </c>
      <c r="Y8347">
        <v>-0.35959600000000003</v>
      </c>
      <c r="Z8347">
        <v>-8.193011E-2</v>
      </c>
      <c r="AA8347">
        <v>0.92950429999999995</v>
      </c>
      <c r="AB8347">
        <v>18</v>
      </c>
      <c r="AC8347">
        <v>1.5257000000000001</v>
      </c>
      <c r="AD8347">
        <v>-1.1248119057379999</v>
      </c>
      <c r="AE8347">
        <v>8.5392899999999905</v>
      </c>
      <c r="AF8347">
        <v>-3.1193063031432202</v>
      </c>
      <c r="AG8347">
        <v>-1.1248119057379999</v>
      </c>
      <c r="AH8347">
        <v>7.9403511589383298</v>
      </c>
      <c r="AI8347">
        <v>97.511054373646601</v>
      </c>
      <c r="AJ8347">
        <v>111.44700266426599</v>
      </c>
      <c r="AK8347">
        <v>8.6049084924461692</v>
      </c>
      <c r="AL8347">
        <v>97.408574324704503</v>
      </c>
      <c r="AM8347">
        <v>104.345001744735</v>
      </c>
      <c r="AN8347">
        <v>1.00000000837692</v>
      </c>
    </row>
    <row r="8348" spans="1:40" x14ac:dyDescent="0.25">
      <c r="A8348" t="str">
        <f>"20190303154340252"</f>
        <v>20190303154340252</v>
      </c>
      <c r="B8348" t="str">
        <f>"1551599020248596"</f>
        <v>1551599020248596</v>
      </c>
      <c r="C8348" t="s">
        <v>40</v>
      </c>
      <c r="D8348">
        <v>5.9744339999999996</v>
      </c>
      <c r="E8348">
        <v>0.45226929999999999</v>
      </c>
      <c r="F8348" t="s">
        <v>58</v>
      </c>
      <c r="G8348">
        <v>-190.69040000000001</v>
      </c>
      <c r="H8348" s="1">
        <v>-4.985893E-6</v>
      </c>
      <c r="I8348">
        <v>-43.188020000000002</v>
      </c>
      <c r="J8348">
        <v>-192.13910000000001</v>
      </c>
      <c r="K8348">
        <v>1.1247290000000001</v>
      </c>
      <c r="L8348">
        <v>-51.754820000000002</v>
      </c>
      <c r="M8348">
        <v>0.51661990000000002</v>
      </c>
      <c r="N8348">
        <v>-1.3749050000000001E-2</v>
      </c>
      <c r="O8348">
        <v>0.85610450000000005</v>
      </c>
      <c r="P8348">
        <v>0.28538140000000001</v>
      </c>
      <c r="Q8348">
        <v>-0.1407175</v>
      </c>
      <c r="R8348">
        <v>0.94802739999999996</v>
      </c>
      <c r="S8348">
        <v>0.51766970000000001</v>
      </c>
      <c r="T8348">
        <v>-0.38147720000000002</v>
      </c>
      <c r="U8348">
        <v>2.954529</v>
      </c>
      <c r="V8348">
        <v>-0.24422550000000001</v>
      </c>
      <c r="W8348">
        <v>-0.1298975</v>
      </c>
      <c r="X8348">
        <v>0.96097900000000003</v>
      </c>
      <c r="Y8348">
        <v>-0.361317</v>
      </c>
      <c r="Z8348">
        <v>-8.2892809999999997E-2</v>
      </c>
      <c r="AA8348">
        <v>0.9287512</v>
      </c>
      <c r="AB8348">
        <v>18</v>
      </c>
      <c r="AC8348">
        <v>1.4487000000000001</v>
      </c>
      <c r="AD8348">
        <v>-1.1247339858930001</v>
      </c>
      <c r="AE8348">
        <v>8.5668000000000006</v>
      </c>
      <c r="AF8348">
        <v>-3.1333339870435299</v>
      </c>
      <c r="AG8348">
        <v>-1.1247339858930001</v>
      </c>
      <c r="AH8348">
        <v>7.9500417837745401</v>
      </c>
      <c r="AI8348">
        <v>97.498241491774095</v>
      </c>
      <c r="AJ8348">
        <v>111.510787822674</v>
      </c>
      <c r="AK8348">
        <v>8.6189310692884593</v>
      </c>
      <c r="AL8348">
        <v>97.463668923817195</v>
      </c>
      <c r="AM8348">
        <v>104.25940503995</v>
      </c>
      <c r="AN8348">
        <v>1.00000004689874</v>
      </c>
    </row>
    <row r="8349" spans="1:40" x14ac:dyDescent="0.25">
      <c r="A8349" t="str">
        <f>"20190303154340273"</f>
        <v>20190303154340273</v>
      </c>
      <c r="B8349" t="str">
        <f>"1551599020268116"</f>
        <v>1551599020268116</v>
      </c>
      <c r="C8349" t="s">
        <v>40</v>
      </c>
      <c r="D8349">
        <v>5.9522849999999998</v>
      </c>
      <c r="E8349">
        <v>0.45214100000000002</v>
      </c>
      <c r="F8349" t="s">
        <v>58</v>
      </c>
      <c r="G8349">
        <v>-190.70590000000001</v>
      </c>
      <c r="H8349" s="1">
        <v>-5.0030199999999999E-6</v>
      </c>
      <c r="I8349">
        <v>-43.157200000000003</v>
      </c>
      <c r="J8349">
        <v>-192.05930000000001</v>
      </c>
      <c r="K8349">
        <v>1.1246370000000001</v>
      </c>
      <c r="L8349">
        <v>-51.603360000000002</v>
      </c>
      <c r="M8349">
        <v>0.50934929999999901</v>
      </c>
      <c r="N8349">
        <v>-1.336211E-2</v>
      </c>
      <c r="O8349">
        <v>0.8604562</v>
      </c>
      <c r="P8349">
        <v>0.27896290000000001</v>
      </c>
      <c r="Q8349">
        <v>-0.14152400000000001</v>
      </c>
      <c r="R8349">
        <v>0.94981610000000005</v>
      </c>
      <c r="S8349">
        <v>0.49316409999999999</v>
      </c>
      <c r="T8349">
        <v>-0.38703599999999999</v>
      </c>
      <c r="U8349">
        <v>2.9585569999999999</v>
      </c>
      <c r="V8349">
        <v>-0.24251700000000001</v>
      </c>
      <c r="W8349">
        <v>-0.131046</v>
      </c>
      <c r="X8349">
        <v>0.96125570000000005</v>
      </c>
      <c r="Y8349">
        <v>-0.36114499999999999</v>
      </c>
      <c r="Z8349">
        <v>-8.5340020000000003E-2</v>
      </c>
      <c r="AA8349">
        <v>0.92859639999999999</v>
      </c>
      <c r="AB8349">
        <v>18</v>
      </c>
      <c r="AC8349">
        <v>1.3533999999999899</v>
      </c>
      <c r="AD8349">
        <v>-1.1246420030199999</v>
      </c>
      <c r="AE8349">
        <v>8.4461599999999901</v>
      </c>
      <c r="AF8349">
        <v>-3.0844654942184699</v>
      </c>
      <c r="AG8349">
        <v>-1.1246420030199999</v>
      </c>
      <c r="AH8349">
        <v>7.8223944969782799</v>
      </c>
      <c r="AI8349">
        <v>97.618084164953103</v>
      </c>
      <c r="AJ8349">
        <v>111.51992208575</v>
      </c>
      <c r="AK8349">
        <v>8.4834310680488993</v>
      </c>
      <c r="AL8349">
        <v>97.530040558886199</v>
      </c>
      <c r="AM8349">
        <v>104.159766868372</v>
      </c>
      <c r="AN8349">
        <v>1.0000000350937399</v>
      </c>
    </row>
    <row r="8350" spans="1:40" x14ac:dyDescent="0.25">
      <c r="A8350" t="str">
        <f>"20190303154340289"</f>
        <v>20190303154340289</v>
      </c>
      <c r="B8350" t="str">
        <f>"1551599020278853"</f>
        <v>1551599020278853</v>
      </c>
      <c r="C8350" t="s">
        <v>40</v>
      </c>
      <c r="D8350">
        <v>5.9263870000000001</v>
      </c>
      <c r="E8350">
        <v>0.45216010000000001</v>
      </c>
      <c r="F8350" t="s">
        <v>58</v>
      </c>
      <c r="G8350">
        <v>-190.7</v>
      </c>
      <c r="H8350" s="1">
        <v>-5.0381629999999999E-6</v>
      </c>
      <c r="I8350">
        <v>-43.079509999999999</v>
      </c>
      <c r="J8350">
        <v>-192.00309999999999</v>
      </c>
      <c r="K8350">
        <v>1.1245799999999999</v>
      </c>
      <c r="L8350">
        <v>-51.494540000000001</v>
      </c>
      <c r="M8350">
        <v>0.50414759999999903</v>
      </c>
      <c r="N8350">
        <v>-1.306679E-2</v>
      </c>
      <c r="O8350">
        <v>0.86351869999999997</v>
      </c>
      <c r="P8350">
        <v>0.27382089999999998</v>
      </c>
      <c r="Q8350">
        <v>-0.14196529999999999</v>
      </c>
      <c r="R8350">
        <v>0.95124549999999997</v>
      </c>
      <c r="S8350">
        <v>0.47227479999999999</v>
      </c>
      <c r="T8350">
        <v>-0.39075219999999999</v>
      </c>
      <c r="U8350">
        <v>2.9615779999999998</v>
      </c>
      <c r="V8350">
        <v>-0.24187829999999999</v>
      </c>
      <c r="W8350">
        <v>-0.13175719999999999</v>
      </c>
      <c r="X8350">
        <v>0.96131940000000005</v>
      </c>
      <c r="Y8350">
        <v>-0.36207509999999998</v>
      </c>
      <c r="Z8350">
        <v>-8.7017250000000004E-2</v>
      </c>
      <c r="AA8350">
        <v>0.92807850000000003</v>
      </c>
      <c r="AB8350">
        <v>18</v>
      </c>
      <c r="AC8350">
        <v>1.3030999999999999</v>
      </c>
      <c r="AD8350">
        <v>-1.12458503816299</v>
      </c>
      <c r="AE8350">
        <v>8.4150299999999998</v>
      </c>
      <c r="AF8350">
        <v>-3.0639915973190699</v>
      </c>
      <c r="AG8350">
        <v>-1.12458503816299</v>
      </c>
      <c r="AH8350">
        <v>7.7883271640003304</v>
      </c>
      <c r="AI8350">
        <v>97.652960635187299</v>
      </c>
      <c r="AJ8350">
        <v>111.47508194534601</v>
      </c>
      <c r="AK8350">
        <v>8.44457080200098</v>
      </c>
      <c r="AL8350">
        <v>97.571145767289096</v>
      </c>
      <c r="AM8350">
        <v>104.123071163313</v>
      </c>
      <c r="AN8350">
        <v>1.00000003028954</v>
      </c>
    </row>
    <row r="8351" spans="1:40" x14ac:dyDescent="0.25">
      <c r="A8351" t="str">
        <f>"20190303154340310"</f>
        <v>20190303154340310</v>
      </c>
      <c r="B8351" t="str">
        <f>"1551599020298372"</f>
        <v>1551599020298372</v>
      </c>
      <c r="C8351" t="s">
        <v>40</v>
      </c>
      <c r="D8351">
        <v>5.9307379999999998</v>
      </c>
      <c r="E8351">
        <v>0.45220949999999999</v>
      </c>
      <c r="F8351" t="s">
        <v>58</v>
      </c>
      <c r="G8351">
        <v>-190.69669999999999</v>
      </c>
      <c r="H8351" s="1">
        <v>-5.0698470000000004E-6</v>
      </c>
      <c r="I8351">
        <v>-43.010219999999997</v>
      </c>
      <c r="J8351">
        <v>-191.93190000000001</v>
      </c>
      <c r="K8351">
        <v>1.124506</v>
      </c>
      <c r="L8351">
        <v>-51.354799999999997</v>
      </c>
      <c r="M8351">
        <v>0.49748940000000003</v>
      </c>
      <c r="N8351">
        <v>-1.2680759999999999E-2</v>
      </c>
      <c r="O8351">
        <v>0.86737739999999997</v>
      </c>
      <c r="P8351">
        <v>0.26817950000000002</v>
      </c>
      <c r="Q8351">
        <v>-0.14239009999999999</v>
      </c>
      <c r="R8351">
        <v>0.95278790000000002</v>
      </c>
      <c r="S8351">
        <v>0.45634459999999999</v>
      </c>
      <c r="T8351">
        <v>-0.39284459999999999</v>
      </c>
      <c r="U8351">
        <v>2.9637760000000002</v>
      </c>
      <c r="V8351">
        <v>-0.24014289999999999</v>
      </c>
      <c r="W8351">
        <v>-0.132524799999999</v>
      </c>
      <c r="X8351">
        <v>0.96164890000000003</v>
      </c>
      <c r="Y8351">
        <v>-0.35991190000000001</v>
      </c>
      <c r="Z8351">
        <v>-8.8633429999999999E-2</v>
      </c>
      <c r="AA8351">
        <v>0.92876669999999995</v>
      </c>
      <c r="AB8351">
        <v>18</v>
      </c>
      <c r="AC8351">
        <v>1.2352000000000201</v>
      </c>
      <c r="AD8351">
        <v>-1.124511069847</v>
      </c>
      <c r="AE8351">
        <v>8.3445799999999899</v>
      </c>
      <c r="AF8351">
        <v>-3.0264213750436801</v>
      </c>
      <c r="AG8351">
        <v>-1.124511069847</v>
      </c>
      <c r="AH8351">
        <v>7.7159127652913302</v>
      </c>
      <c r="AI8351">
        <v>97.726476125080197</v>
      </c>
      <c r="AJ8351">
        <v>111.41665864753899</v>
      </c>
      <c r="AK8351">
        <v>8.3641533514824697</v>
      </c>
      <c r="AL8351">
        <v>97.615515156631204</v>
      </c>
      <c r="AM8351">
        <v>104.021139799845</v>
      </c>
      <c r="AN8351">
        <v>1.00000002095333</v>
      </c>
    </row>
    <row r="8352" spans="1:40" x14ac:dyDescent="0.25">
      <c r="A8352" t="str">
        <f>"20190303154340332"</f>
        <v>20190303154340332</v>
      </c>
      <c r="B8352" t="str">
        <f>"1551599020328630"</f>
        <v>1551599020328630</v>
      </c>
      <c r="C8352" t="s">
        <v>40</v>
      </c>
      <c r="D8352">
        <v>5.921481</v>
      </c>
      <c r="E8352">
        <v>0.45276129999999998</v>
      </c>
      <c r="F8352" t="s">
        <v>58</v>
      </c>
      <c r="G8352">
        <v>-190.68109999999999</v>
      </c>
      <c r="H8352" s="1">
        <v>-5.1148079999999999E-6</v>
      </c>
      <c r="I8352">
        <v>-42.907710000000002</v>
      </c>
      <c r="J8352">
        <v>-191.85310000000001</v>
      </c>
      <c r="K8352">
        <v>1.124433</v>
      </c>
      <c r="L8352">
        <v>-51.197360000000003</v>
      </c>
      <c r="M8352">
        <v>0.4900253</v>
      </c>
      <c r="N8352">
        <v>-1.2249029999999999E-2</v>
      </c>
      <c r="O8352">
        <v>0.87162209999999996</v>
      </c>
      <c r="P8352">
        <v>0.26151960000000002</v>
      </c>
      <c r="Q8352">
        <v>-0.142362299999999</v>
      </c>
      <c r="R8352">
        <v>0.95464150000000003</v>
      </c>
      <c r="S8352">
        <v>0.43920900000000002</v>
      </c>
      <c r="T8352">
        <v>-0.3948506</v>
      </c>
      <c r="U8352">
        <v>2.9660340000000001</v>
      </c>
      <c r="V8352">
        <v>-0.23860290000000001</v>
      </c>
      <c r="W8352">
        <v>-0.13289000000000001</v>
      </c>
      <c r="X8352">
        <v>0.9619818</v>
      </c>
      <c r="Y8352">
        <v>-0.35729050000000001</v>
      </c>
      <c r="Z8352">
        <v>-9.0363669999999993E-2</v>
      </c>
      <c r="AA8352">
        <v>0.92961170000000004</v>
      </c>
      <c r="AB8352">
        <v>18</v>
      </c>
      <c r="AC8352">
        <v>1.1720000000000199</v>
      </c>
      <c r="AD8352">
        <v>-1.124438114808</v>
      </c>
      <c r="AE8352">
        <v>8.28965</v>
      </c>
      <c r="AF8352">
        <v>-2.98694500291744</v>
      </c>
      <c r="AG8352">
        <v>-1.124438114808</v>
      </c>
      <c r="AH8352">
        <v>7.6621231518107997</v>
      </c>
      <c r="AI8352">
        <v>97.785810820216298</v>
      </c>
      <c r="AJ8352">
        <v>111.297455564491</v>
      </c>
      <c r="AK8352">
        <v>8.3002610030047599</v>
      </c>
      <c r="AL8352">
        <v>97.636626153102497</v>
      </c>
      <c r="AM8352">
        <v>103.93010451793501</v>
      </c>
      <c r="AN8352">
        <v>1.0000000397598201</v>
      </c>
    </row>
    <row r="8353" spans="1:40" x14ac:dyDescent="0.25">
      <c r="A8353" t="str">
        <f>"20190303154340354"</f>
        <v>20190303154340354</v>
      </c>
      <c r="B8353" t="str">
        <f>"1551599020348148"</f>
        <v>1551599020348148</v>
      </c>
      <c r="C8353" t="s">
        <v>40</v>
      </c>
      <c r="D8353">
        <v>5.927632</v>
      </c>
      <c r="E8353">
        <v>0.45292870000000002</v>
      </c>
      <c r="F8353" t="s">
        <v>58</v>
      </c>
      <c r="G8353">
        <v>-190.65219999999999</v>
      </c>
      <c r="H8353" s="1">
        <v>-5.1759529999999998E-6</v>
      </c>
      <c r="I8353">
        <v>-42.765410000000003</v>
      </c>
      <c r="J8353">
        <v>-191.77889999999999</v>
      </c>
      <c r="K8353">
        <v>1.12439</v>
      </c>
      <c r="L8353">
        <v>-51.045929999999998</v>
      </c>
      <c r="M8353">
        <v>0.48289260000000001</v>
      </c>
      <c r="N8353">
        <v>-1.1851739999999999E-2</v>
      </c>
      <c r="O8353">
        <v>0.87559940000000003</v>
      </c>
      <c r="P8353">
        <v>0.25532529999999998</v>
      </c>
      <c r="Q8353">
        <v>-0.14249239999999999</v>
      </c>
      <c r="R8353">
        <v>0.95629750000000002</v>
      </c>
      <c r="S8353">
        <v>0.4226837</v>
      </c>
      <c r="T8353">
        <v>-0.3957618</v>
      </c>
      <c r="U8353">
        <v>2.967743</v>
      </c>
      <c r="V8353">
        <v>-0.23696929999999999</v>
      </c>
      <c r="W8353">
        <v>-0.13338559999999999</v>
      </c>
      <c r="X8353">
        <v>0.96231690000000003</v>
      </c>
      <c r="Y8353">
        <v>-0.35484179999999999</v>
      </c>
      <c r="Z8353">
        <v>-9.1751630000000001E-2</v>
      </c>
      <c r="AA8353">
        <v>0.9304133</v>
      </c>
      <c r="AB8353">
        <v>18</v>
      </c>
      <c r="AC8353">
        <v>1.12669999999999</v>
      </c>
      <c r="AD8353">
        <v>-1.124395175953</v>
      </c>
      <c r="AE8353">
        <v>8.2805199999999992</v>
      </c>
      <c r="AF8353">
        <v>-2.9587132770459599</v>
      </c>
      <c r="AG8353">
        <v>-1.124395175953</v>
      </c>
      <c r="AH8353">
        <v>7.6564346932271796</v>
      </c>
      <c r="AI8353">
        <v>97.800055203279499</v>
      </c>
      <c r="AJ8353">
        <v>111.12826988138799</v>
      </c>
      <c r="AK8353">
        <v>8.2848802634152303</v>
      </c>
      <c r="AL8353">
        <v>97.665277374144907</v>
      </c>
      <c r="AM8353">
        <v>103.833775905721</v>
      </c>
      <c r="AN8353">
        <v>0.99999999172773002</v>
      </c>
    </row>
    <row r="8354" spans="1:40" x14ac:dyDescent="0.25">
      <c r="A8354" t="str">
        <f>"20190303154340377"</f>
        <v>20190303154340377</v>
      </c>
      <c r="B8354" t="str">
        <f>"1551599020368645"</f>
        <v>1551599020368645</v>
      </c>
      <c r="C8354" t="s">
        <v>40</v>
      </c>
      <c r="D8354">
        <v>5.9208360000000004</v>
      </c>
      <c r="E8354">
        <v>0.4533508</v>
      </c>
      <c r="F8354" t="s">
        <v>58</v>
      </c>
      <c r="G8354">
        <v>-190.6311</v>
      </c>
      <c r="H8354" s="1">
        <v>-5.2406719999999997E-6</v>
      </c>
      <c r="I8354">
        <v>-42.61842</v>
      </c>
      <c r="J8354">
        <v>-191.70230000000001</v>
      </c>
      <c r="K8354">
        <v>1.1243609999999999</v>
      </c>
      <c r="L8354">
        <v>-50.886690000000002</v>
      </c>
      <c r="M8354">
        <v>0.47543279999999899</v>
      </c>
      <c r="N8354">
        <v>-1.1461030000000001E-2</v>
      </c>
      <c r="O8354">
        <v>0.87967739999999905</v>
      </c>
      <c r="P8354">
        <v>0.24852740000000001</v>
      </c>
      <c r="Q8354">
        <v>-0.14270649999999999</v>
      </c>
      <c r="R8354">
        <v>0.95805479999999998</v>
      </c>
      <c r="S8354">
        <v>0.4044952</v>
      </c>
      <c r="T8354">
        <v>-0.39626090000000003</v>
      </c>
      <c r="U8354">
        <v>2.9700319999999998</v>
      </c>
      <c r="V8354">
        <v>-0.2355971</v>
      </c>
      <c r="W8354">
        <v>-0.1339687</v>
      </c>
      <c r="X8354">
        <v>0.96257280000000001</v>
      </c>
      <c r="Y8354">
        <v>-0.3526127</v>
      </c>
      <c r="Z8354">
        <v>-9.3026300000000006E-2</v>
      </c>
      <c r="AA8354">
        <v>0.93113389999999996</v>
      </c>
      <c r="AB8354">
        <v>18</v>
      </c>
      <c r="AC8354">
        <v>1.0711999999999999</v>
      </c>
      <c r="AD8354">
        <v>-1.1243662406720001</v>
      </c>
      <c r="AE8354">
        <v>8.2682699999999993</v>
      </c>
      <c r="AF8354">
        <v>-2.9355050210557501</v>
      </c>
      <c r="AG8354">
        <v>-1.1243662406720001</v>
      </c>
      <c r="AH8354">
        <v>7.6441814229776099</v>
      </c>
      <c r="AI8354">
        <v>97.818462697263101</v>
      </c>
      <c r="AJ8354">
        <v>111.00769970944</v>
      </c>
      <c r="AK8354">
        <v>8.2652827416369998</v>
      </c>
      <c r="AL8354">
        <v>97.698989039491195</v>
      </c>
      <c r="AM8354">
        <v>103.75320305181801</v>
      </c>
      <c r="AN8354">
        <v>1.00000000070397</v>
      </c>
    </row>
    <row r="8355" spans="1:40" x14ac:dyDescent="0.25">
      <c r="A8355" t="str">
        <f>"20190303154340396"</f>
        <v>20190303154340396</v>
      </c>
      <c r="B8355" t="str">
        <f>"1551599020388166"</f>
        <v>1551599020388166</v>
      </c>
      <c r="C8355" t="s">
        <v>40</v>
      </c>
      <c r="D8355">
        <v>5.9157590000000004</v>
      </c>
      <c r="E8355">
        <v>0.4537776</v>
      </c>
      <c r="F8355" t="s">
        <v>58</v>
      </c>
      <c r="G8355">
        <v>-190.60669999999999</v>
      </c>
      <c r="H8355" s="1">
        <v>-5.3062360000000003E-6</v>
      </c>
      <c r="I8355">
        <v>-42.468359999999997</v>
      </c>
      <c r="J8355">
        <v>-191.6327</v>
      </c>
      <c r="K8355">
        <v>1.1243559999999999</v>
      </c>
      <c r="L8355">
        <v>-50.738799999999998</v>
      </c>
      <c r="M8355">
        <v>0.4685397</v>
      </c>
      <c r="N8355">
        <v>-1.1129770000000001E-2</v>
      </c>
      <c r="O8355">
        <v>0.88337239999999995</v>
      </c>
      <c r="P8355">
        <v>0.24157519999999999</v>
      </c>
      <c r="Q8355">
        <v>-0.14293810000000001</v>
      </c>
      <c r="R8355">
        <v>0.95979689999999995</v>
      </c>
      <c r="S8355">
        <v>0.38676450000000001</v>
      </c>
      <c r="T8355">
        <v>-0.39693119999999998</v>
      </c>
      <c r="U8355">
        <v>2.9718930000000001</v>
      </c>
      <c r="V8355">
        <v>-0.2350188</v>
      </c>
      <c r="W8355">
        <v>-0.13452600000000001</v>
      </c>
      <c r="X8355">
        <v>0.96263650000000001</v>
      </c>
      <c r="Y8355">
        <v>-0.350856</v>
      </c>
      <c r="Z8355">
        <v>-9.4220250000000005E-2</v>
      </c>
      <c r="AA8355">
        <v>0.93167730000000004</v>
      </c>
      <c r="AB8355">
        <v>18</v>
      </c>
      <c r="AC8355">
        <v>1.02600000000001</v>
      </c>
      <c r="AD8355">
        <v>-1.1243613062359901</v>
      </c>
      <c r="AE8355">
        <v>8.27043999999999</v>
      </c>
      <c r="AF8355">
        <v>-2.9157994066395498</v>
      </c>
      <c r="AG8355">
        <v>-1.1243613062359901</v>
      </c>
      <c r="AH8355">
        <v>7.64787457504353</v>
      </c>
      <c r="AI8355">
        <v>97.821818385830596</v>
      </c>
      <c r="AJ8355">
        <v>110.869656691524</v>
      </c>
      <c r="AK8355">
        <v>8.2617225832339294</v>
      </c>
      <c r="AL8355">
        <v>97.7312112309735</v>
      </c>
      <c r="AM8355">
        <v>103.719848013681</v>
      </c>
      <c r="AN8355">
        <v>1.00000005608084</v>
      </c>
    </row>
    <row r="8356" spans="1:40" x14ac:dyDescent="0.25">
      <c r="A8356" t="str">
        <f>"20190303154340420"</f>
        <v>20190303154340420</v>
      </c>
      <c r="B8356" t="str">
        <f>"1551599020408664"</f>
        <v>1551599020408664</v>
      </c>
      <c r="C8356" t="s">
        <v>40</v>
      </c>
      <c r="D8356">
        <v>5.8999969999999999</v>
      </c>
      <c r="E8356">
        <v>0.45418199999999997</v>
      </c>
      <c r="F8356" t="s">
        <v>58</v>
      </c>
      <c r="G8356">
        <v>-190.59</v>
      </c>
      <c r="H8356" s="1">
        <v>-5.3700579999999997E-6</v>
      </c>
      <c r="I8356">
        <v>-42.324939999999998</v>
      </c>
      <c r="J8356">
        <v>-191.55430000000001</v>
      </c>
      <c r="K8356">
        <v>1.124368</v>
      </c>
      <c r="L8356">
        <v>-50.568510000000003</v>
      </c>
      <c r="M8356">
        <v>0.46062760000000003</v>
      </c>
      <c r="N8356">
        <v>-1.078922E-2</v>
      </c>
      <c r="O8356">
        <v>0.88752790000000004</v>
      </c>
      <c r="P8356">
        <v>0.2330199</v>
      </c>
      <c r="Q8356">
        <v>-0.14263770000000001</v>
      </c>
      <c r="R8356">
        <v>0.96195439999999999</v>
      </c>
      <c r="S8356">
        <v>0.36853029999999998</v>
      </c>
      <c r="T8356">
        <v>-0.39738519999999999</v>
      </c>
      <c r="U8356">
        <v>2.9737239999999998</v>
      </c>
      <c r="V8356">
        <v>-0.23499519999999999</v>
      </c>
      <c r="W8356">
        <v>-0.13457249999999901</v>
      </c>
      <c r="X8356">
        <v>0.96263569999999998</v>
      </c>
      <c r="Y8356">
        <v>-0.34820959999999901</v>
      </c>
      <c r="Z8356">
        <v>-9.5481430000000006E-2</v>
      </c>
      <c r="AA8356">
        <v>0.93254139999999996</v>
      </c>
      <c r="AB8356">
        <v>18</v>
      </c>
      <c r="AC8356">
        <v>0.96430000000000804</v>
      </c>
      <c r="AD8356">
        <v>-1.1243733700579901</v>
      </c>
      <c r="AE8356">
        <v>8.2435699999999894</v>
      </c>
      <c r="AF8356">
        <v>-2.8885330400129101</v>
      </c>
      <c r="AG8356">
        <v>-1.1243733700579901</v>
      </c>
      <c r="AH8356">
        <v>7.6211682322816001</v>
      </c>
      <c r="AI8356">
        <v>97.854743230540507</v>
      </c>
      <c r="AJ8356">
        <v>110.757433124188</v>
      </c>
      <c r="AK8356">
        <v>8.2273959320844696</v>
      </c>
      <c r="AL8356">
        <v>97.733900397989601</v>
      </c>
      <c r="AM8356">
        <v>103.718533327592</v>
      </c>
      <c r="AN8356">
        <v>0.99999999634688996</v>
      </c>
    </row>
    <row r="8357" spans="1:40" x14ac:dyDescent="0.25">
      <c r="A8357" t="str">
        <f>"20190303154340442"</f>
        <v>20190303154340442</v>
      </c>
      <c r="B8357" t="str">
        <f>"1551599020437941"</f>
        <v>1551599020437941</v>
      </c>
      <c r="C8357" t="s">
        <v>40</v>
      </c>
      <c r="D8357">
        <v>5.9028519999999904</v>
      </c>
      <c r="E8357">
        <v>0.45497520000000002</v>
      </c>
      <c r="F8357" t="s">
        <v>58</v>
      </c>
      <c r="G8357">
        <v>-190.57380000000001</v>
      </c>
      <c r="H8357" s="1">
        <v>-5.4653229999999996E-6</v>
      </c>
      <c r="I8357">
        <v>-42.114249999999998</v>
      </c>
      <c r="J8357">
        <v>-191.48249999999999</v>
      </c>
      <c r="K8357">
        <v>1.1243840000000001</v>
      </c>
      <c r="L8357">
        <v>-50.408999999999999</v>
      </c>
      <c r="M8357">
        <v>0.45323079999999999</v>
      </c>
      <c r="N8357">
        <v>-1.0507509999999999E-2</v>
      </c>
      <c r="O8357">
        <v>0.89133130000000005</v>
      </c>
      <c r="P8357">
        <v>0.2243792</v>
      </c>
      <c r="Q8357">
        <v>-0.14186260000000001</v>
      </c>
      <c r="R8357">
        <v>0.96412089999999995</v>
      </c>
      <c r="S8357">
        <v>0.345199599999999</v>
      </c>
      <c r="T8357">
        <v>-0.3958391</v>
      </c>
      <c r="U8357">
        <v>2.9763489999999999</v>
      </c>
      <c r="V8357">
        <v>-0.23567009999999999</v>
      </c>
      <c r="W8357">
        <v>-0.1340961</v>
      </c>
      <c r="X8357">
        <v>0.96253719999999998</v>
      </c>
      <c r="Y8357">
        <v>-0.34773490000000001</v>
      </c>
      <c r="Z8357">
        <v>-9.6013760000000004E-2</v>
      </c>
      <c r="AA8357">
        <v>0.93266380000000004</v>
      </c>
      <c r="AB8357">
        <v>18</v>
      </c>
      <c r="AC8357">
        <v>0.90869999999998197</v>
      </c>
      <c r="AD8357">
        <v>-1.124389465323</v>
      </c>
      <c r="AE8357">
        <v>8.2947500000000005</v>
      </c>
      <c r="AF8357">
        <v>-2.89704434574683</v>
      </c>
      <c r="AG8357">
        <v>-1.124389465323</v>
      </c>
      <c r="AH8357">
        <v>7.6664515347889601</v>
      </c>
      <c r="AI8357">
        <v>97.811914064489997</v>
      </c>
      <c r="AJ8357">
        <v>110.700874454543</v>
      </c>
      <c r="AK8357">
        <v>8.2723392547828407</v>
      </c>
      <c r="AL8357">
        <v>97.706354907388999</v>
      </c>
      <c r="AM8357">
        <v>103.757792096136</v>
      </c>
      <c r="AN8357">
        <v>1.0000000107265199</v>
      </c>
    </row>
    <row r="8358" spans="1:40" x14ac:dyDescent="0.25">
      <c r="A8358" t="str">
        <f>"20190303154340464"</f>
        <v>20190303154340464</v>
      </c>
      <c r="B8358" t="str">
        <f>"1551599020458804"</f>
        <v>1551599020458804</v>
      </c>
      <c r="C8358" t="s">
        <v>40</v>
      </c>
      <c r="D8358">
        <v>5.9204339999999904</v>
      </c>
      <c r="E8358">
        <v>0.46343839999999997</v>
      </c>
      <c r="F8358" t="s">
        <v>58</v>
      </c>
      <c r="G8358">
        <v>-190.55439999999999</v>
      </c>
      <c r="H8358" s="1">
        <v>-5.5637940000000002E-6</v>
      </c>
      <c r="I8358">
        <v>-41.895440000000001</v>
      </c>
      <c r="J8358">
        <v>-191.41079999999999</v>
      </c>
      <c r="K8358">
        <v>1.1244050000000001</v>
      </c>
      <c r="L8358">
        <v>-50.246250000000003</v>
      </c>
      <c r="M8358">
        <v>0.44569219999999998</v>
      </c>
      <c r="N8358">
        <v>-1.0257240000000001E-2</v>
      </c>
      <c r="O8358">
        <v>0.89512749999999996</v>
      </c>
      <c r="P8358">
        <v>0.2155437</v>
      </c>
      <c r="Q8358">
        <v>-0.141730299999999</v>
      </c>
      <c r="R8358">
        <v>0.96615390000000001</v>
      </c>
      <c r="S8358">
        <v>0.32467649999999998</v>
      </c>
      <c r="T8358">
        <v>-0.39333370000000001</v>
      </c>
      <c r="U8358">
        <v>2.9782099999999998</v>
      </c>
      <c r="V8358">
        <v>-0.23635129999999999</v>
      </c>
      <c r="W8358">
        <v>-0.13423389999999999</v>
      </c>
      <c r="X8358">
        <v>0.96235090000000001</v>
      </c>
      <c r="Y8358">
        <v>-0.34624860000000002</v>
      </c>
      <c r="Z8358">
        <v>-9.6303E-2</v>
      </c>
      <c r="AA8358">
        <v>0.93318679999999998</v>
      </c>
      <c r="AB8358">
        <v>18</v>
      </c>
      <c r="AC8358">
        <v>0.85640000000000704</v>
      </c>
      <c r="AD8358">
        <v>-1.1244105637939901</v>
      </c>
      <c r="AE8358">
        <v>8.3508099999999992</v>
      </c>
      <c r="AF8358">
        <v>-2.9033695520918799</v>
      </c>
      <c r="AG8358">
        <v>-1.1244105637939901</v>
      </c>
      <c r="AH8358">
        <v>7.7186625961620798</v>
      </c>
      <c r="AI8358">
        <v>97.764257445743496</v>
      </c>
      <c r="AJ8358">
        <v>110.61375506323</v>
      </c>
      <c r="AK8358">
        <v>8.3229565747622001</v>
      </c>
      <c r="AL8358">
        <v>97.714322647346606</v>
      </c>
      <c r="AM8358">
        <v>103.79861014249801</v>
      </c>
      <c r="AN8358">
        <v>0.99999996582585404</v>
      </c>
    </row>
    <row r="8359" spans="1:40" x14ac:dyDescent="0.25">
      <c r="A8359" t="str">
        <f>"20190303154340486"</f>
        <v>20190303154340486</v>
      </c>
      <c r="B8359" t="str">
        <f>"1551599020478324"</f>
        <v>1551599020478324</v>
      </c>
      <c r="C8359" t="s">
        <v>40</v>
      </c>
      <c r="D8359">
        <v>5.8733129999999996</v>
      </c>
      <c r="E8359">
        <v>0.46482089999999998</v>
      </c>
      <c r="F8359" t="s">
        <v>58</v>
      </c>
      <c r="G8359">
        <v>-190.3878</v>
      </c>
      <c r="H8359" s="1">
        <v>-5.5363459999999998E-6</v>
      </c>
      <c r="I8359">
        <v>-41.890700000000002</v>
      </c>
      <c r="J8359">
        <v>-191.34280000000001</v>
      </c>
      <c r="K8359">
        <v>1.12442</v>
      </c>
      <c r="L8359">
        <v>-50.088410000000003</v>
      </c>
      <c r="M8359">
        <v>0.43839400000000001</v>
      </c>
      <c r="N8359">
        <v>-1.0051600000000001E-2</v>
      </c>
      <c r="O8359">
        <v>0.89872669999999999</v>
      </c>
      <c r="P8359">
        <v>0.2074734</v>
      </c>
      <c r="Q8359">
        <v>-0.1417602</v>
      </c>
      <c r="R8359">
        <v>0.96791470000000002</v>
      </c>
      <c r="S8359">
        <v>0.36309809999999998</v>
      </c>
      <c r="T8359">
        <v>-0.39907520000000002</v>
      </c>
      <c r="U8359">
        <v>2.9655459999999998</v>
      </c>
      <c r="V8359">
        <v>-0.236536</v>
      </c>
      <c r="W8359">
        <v>-0.13448289999999999</v>
      </c>
      <c r="X8359">
        <v>0.96227079999999998</v>
      </c>
      <c r="Y8359">
        <v>-0.3262505</v>
      </c>
      <c r="Z8359">
        <v>-9.9627950000000007E-2</v>
      </c>
      <c r="AA8359">
        <v>0.94001849999999998</v>
      </c>
      <c r="AB8359">
        <v>18</v>
      </c>
      <c r="AC8359">
        <v>0.95500000000001195</v>
      </c>
      <c r="AD8359">
        <v>-1.1244255363460001</v>
      </c>
      <c r="AE8359">
        <v>8.1977099999999901</v>
      </c>
      <c r="AF8359">
        <v>-2.6858270581690999</v>
      </c>
      <c r="AG8359">
        <v>-1.1244255363460001</v>
      </c>
      <c r="AH8359">
        <v>7.6446611401183802</v>
      </c>
      <c r="AI8359">
        <v>97.900530447440701</v>
      </c>
      <c r="AJ8359">
        <v>109.358093783013</v>
      </c>
      <c r="AK8359">
        <v>8.1803938609590396</v>
      </c>
      <c r="AL8359">
        <v>97.7287194870229</v>
      </c>
      <c r="AM8359">
        <v>103.810086126017</v>
      </c>
      <c r="AN8359">
        <v>1.0000000111105201</v>
      </c>
    </row>
    <row r="8360" spans="1:40" x14ac:dyDescent="0.25">
      <c r="A8360" t="str">
        <f>"20190303154340509"</f>
        <v>20190303154340509</v>
      </c>
      <c r="B8360" t="str">
        <f>"1551599020498820"</f>
        <v>1551599020498820</v>
      </c>
      <c r="C8360" t="s">
        <v>40</v>
      </c>
      <c r="D8360">
        <v>5.9183079999999997</v>
      </c>
      <c r="E8360">
        <v>0.46488499999999999</v>
      </c>
      <c r="F8360" t="s">
        <v>58</v>
      </c>
      <c r="G8360">
        <v>-190.33199999999999</v>
      </c>
      <c r="H8360" s="1">
        <v>-5.7046770000000002E-6</v>
      </c>
      <c r="I8360">
        <v>-41.508029999999998</v>
      </c>
      <c r="J8360">
        <v>-191.26910000000001</v>
      </c>
      <c r="K8360">
        <v>1.124439</v>
      </c>
      <c r="L8360">
        <v>-49.913150000000002</v>
      </c>
      <c r="M8360">
        <v>0.43030459999999898</v>
      </c>
      <c r="N8360">
        <v>-9.8688149999999995E-3</v>
      </c>
      <c r="O8360">
        <v>0.90262980000000004</v>
      </c>
      <c r="P8360">
        <v>0.1989213</v>
      </c>
      <c r="Q8360">
        <v>-0.14228440000000001</v>
      </c>
      <c r="R8360">
        <v>0.96963160000000004</v>
      </c>
      <c r="S8360">
        <v>0.34959410000000002</v>
      </c>
      <c r="T8360">
        <v>-0.38888729999999999</v>
      </c>
      <c r="U8360">
        <v>2.9675600000000002</v>
      </c>
      <c r="V8360">
        <v>-0.23633699999999999</v>
      </c>
      <c r="W8360">
        <v>-0.13519900000000001</v>
      </c>
      <c r="X8360">
        <v>0.96221939999999995</v>
      </c>
      <c r="Y8360">
        <v>-0.32204769999999999</v>
      </c>
      <c r="Z8360">
        <v>-9.7828040000000005E-2</v>
      </c>
      <c r="AA8360">
        <v>0.94165549999999998</v>
      </c>
      <c r="AB8360">
        <v>18</v>
      </c>
      <c r="AC8360">
        <v>0.93710000000001503</v>
      </c>
      <c r="AD8360">
        <v>-1.1244447046770001</v>
      </c>
      <c r="AE8360">
        <v>8.4051200000000001</v>
      </c>
      <c r="AF8360">
        <v>-2.7229078946574798</v>
      </c>
      <c r="AG8360">
        <v>-1.1244447046770001</v>
      </c>
      <c r="AH8360">
        <v>7.8515429409564002</v>
      </c>
      <c r="AI8360">
        <v>97.705749240354194</v>
      </c>
      <c r="AJ8360">
        <v>109.12649900943001</v>
      </c>
      <c r="AK8360">
        <v>8.3860199051961697</v>
      </c>
      <c r="AL8360">
        <v>97.770126775146196</v>
      </c>
      <c r="AM8360">
        <v>103.799620765459</v>
      </c>
      <c r="AN8360">
        <v>1.00000006045317</v>
      </c>
    </row>
    <row r="8361" spans="1:40" x14ac:dyDescent="0.25">
      <c r="A8361" t="str">
        <f>"20190303154340533"</f>
        <v>20190303154340533</v>
      </c>
      <c r="B8361" t="str">
        <f>"1551599020528102"</f>
        <v>1551599020528102</v>
      </c>
      <c r="C8361" t="s">
        <v>40</v>
      </c>
      <c r="D8361">
        <v>5.8607649999999998</v>
      </c>
      <c r="E8361">
        <v>0.46657670000000001</v>
      </c>
      <c r="F8361" t="s">
        <v>58</v>
      </c>
      <c r="G8361">
        <v>-190.33690000000001</v>
      </c>
      <c r="H8361" s="1">
        <v>-5.7723389999999998E-6</v>
      </c>
      <c r="I8361">
        <v>-41.364649999999997</v>
      </c>
      <c r="J8361">
        <v>-191.1943</v>
      </c>
      <c r="K8361">
        <v>1.1244639999999999</v>
      </c>
      <c r="L8361">
        <v>-49.730989999999998</v>
      </c>
      <c r="M8361">
        <v>0.42192099999999999</v>
      </c>
      <c r="N8361">
        <v>-9.7387580000000001E-3</v>
      </c>
      <c r="O8361">
        <v>0.90658030000000001</v>
      </c>
      <c r="P8361">
        <v>0.1906448</v>
      </c>
      <c r="Q8361">
        <v>-0.143003399999999</v>
      </c>
      <c r="R8361">
        <v>0.97118720000000003</v>
      </c>
      <c r="S8361">
        <v>0.32386779999999998</v>
      </c>
      <c r="T8361">
        <v>-0.39068930000000002</v>
      </c>
      <c r="U8361">
        <v>2.9701840000000002</v>
      </c>
      <c r="V8361">
        <v>-0.23556559999999999</v>
      </c>
      <c r="W8361">
        <v>-0.13604729999999901</v>
      </c>
      <c r="X8361">
        <v>0.9622889</v>
      </c>
      <c r="Y8361">
        <v>-0.32143850000000002</v>
      </c>
      <c r="Z8361">
        <v>-9.9138889999999993E-2</v>
      </c>
      <c r="AA8361">
        <v>0.94172650000000002</v>
      </c>
      <c r="AB8361">
        <v>18</v>
      </c>
      <c r="AC8361">
        <v>0.85739999999998395</v>
      </c>
      <c r="AD8361">
        <v>-1.12446977233899</v>
      </c>
      <c r="AE8361">
        <v>8.3663399999999992</v>
      </c>
      <c r="AF8361">
        <v>-2.7044170868254001</v>
      </c>
      <c r="AG8361">
        <v>-1.12446977233899</v>
      </c>
      <c r="AH8361">
        <v>7.8073218239001196</v>
      </c>
      <c r="AI8361">
        <v>97.749994117871097</v>
      </c>
      <c r="AJ8361">
        <v>109.105828705913</v>
      </c>
      <c r="AK8361">
        <v>8.3386196765630398</v>
      </c>
      <c r="AL8361">
        <v>97.819184733262304</v>
      </c>
      <c r="AM8361">
        <v>103.755336968157</v>
      </c>
      <c r="AN8361">
        <v>0.99999997340192903</v>
      </c>
    </row>
    <row r="8362" spans="1:40" x14ac:dyDescent="0.25">
      <c r="A8362" t="str">
        <f>"20190303154340554"</f>
        <v>20190303154340554</v>
      </c>
      <c r="B8362" t="str">
        <f>"1551599020548595"</f>
        <v>1551599020548595</v>
      </c>
      <c r="C8362" t="s">
        <v>40</v>
      </c>
      <c r="D8362">
        <v>5.9256489999999999</v>
      </c>
      <c r="E8362">
        <v>0.4672519</v>
      </c>
      <c r="F8362" t="s">
        <v>58</v>
      </c>
      <c r="G8362">
        <v>-190.2861</v>
      </c>
      <c r="H8362" s="1">
        <v>-5.8955620000000002E-6</v>
      </c>
      <c r="I8362">
        <v>-41.0807</v>
      </c>
      <c r="J8362">
        <v>-191.13120000000001</v>
      </c>
      <c r="K8362">
        <v>1.1244940000000001</v>
      </c>
      <c r="L8362">
        <v>-49.573549999999997</v>
      </c>
      <c r="M8362">
        <v>0.4147131</v>
      </c>
      <c r="N8362">
        <v>-9.7089789999999995E-3</v>
      </c>
      <c r="O8362">
        <v>0.90990040000000005</v>
      </c>
      <c r="P8362">
        <v>0.18377959999999999</v>
      </c>
      <c r="Q8362">
        <v>-0.14303260000000001</v>
      </c>
      <c r="R8362">
        <v>0.97250539999999996</v>
      </c>
      <c r="S8362">
        <v>0.31190489999999998</v>
      </c>
      <c r="T8362">
        <v>-0.38619589999999998</v>
      </c>
      <c r="U8362">
        <v>2.970917</v>
      </c>
      <c r="V8362">
        <v>-0.2347233</v>
      </c>
      <c r="W8362">
        <v>-0.13609779999999999</v>
      </c>
      <c r="X8362">
        <v>0.9624876</v>
      </c>
      <c r="Y8362">
        <v>-0.3176988</v>
      </c>
      <c r="Z8362">
        <v>-9.8627889999999996E-2</v>
      </c>
      <c r="AA8362">
        <v>0.9430482</v>
      </c>
      <c r="AB8362">
        <v>18</v>
      </c>
      <c r="AC8362">
        <v>0.84510000000000196</v>
      </c>
      <c r="AD8362">
        <v>-1.124499895562</v>
      </c>
      <c r="AE8362">
        <v>8.49284999999999</v>
      </c>
      <c r="AF8362">
        <v>-2.7062897884641202</v>
      </c>
      <c r="AG8362">
        <v>-1.124499895562</v>
      </c>
      <c r="AH8362">
        <v>7.9406581259335196</v>
      </c>
      <c r="AI8362">
        <v>97.634532077451794</v>
      </c>
      <c r="AJ8362">
        <v>108.81984390025301</v>
      </c>
      <c r="AK8362">
        <v>8.4641925726685905</v>
      </c>
      <c r="AL8362">
        <v>97.822105051424899</v>
      </c>
      <c r="AM8362">
        <v>103.705288144592</v>
      </c>
      <c r="AN8362">
        <v>1.00000000944074</v>
      </c>
    </row>
    <row r="8363" spans="1:40" x14ac:dyDescent="0.25">
      <c r="A8363" t="str">
        <f>"20190303154340574"</f>
        <v>20190303154340574</v>
      </c>
      <c r="B8363" t="str">
        <f>"1551599020568116"</f>
        <v>1551599020568116</v>
      </c>
      <c r="C8363" t="s">
        <v>40</v>
      </c>
      <c r="D8363">
        <v>5.9024390000000002</v>
      </c>
      <c r="E8363">
        <v>0.46795360000000003</v>
      </c>
      <c r="F8363" t="s">
        <v>58</v>
      </c>
      <c r="G8363">
        <v>-190.27440000000001</v>
      </c>
      <c r="H8363" s="1">
        <v>-5.9415480000000003E-6</v>
      </c>
      <c r="I8363">
        <v>-40.977499999999999</v>
      </c>
      <c r="J8363">
        <v>-191.0692</v>
      </c>
      <c r="K8363">
        <v>1.1245240000000001</v>
      </c>
      <c r="L8363">
        <v>-49.415129999999998</v>
      </c>
      <c r="M8363">
        <v>0.40751799999999999</v>
      </c>
      <c r="N8363">
        <v>-9.8050050000000003E-3</v>
      </c>
      <c r="O8363">
        <v>0.91314450000000003</v>
      </c>
      <c r="P8363">
        <v>0.1775542</v>
      </c>
      <c r="Q8363">
        <v>-0.1432582</v>
      </c>
      <c r="R8363">
        <v>0.97362800000000005</v>
      </c>
      <c r="S8363">
        <v>0.29620360000000001</v>
      </c>
      <c r="T8363">
        <v>-0.3887429</v>
      </c>
      <c r="U8363">
        <v>2.9716800000000001</v>
      </c>
      <c r="V8363">
        <v>-0.2332766</v>
      </c>
      <c r="W8363">
        <v>-0.13620389999999999</v>
      </c>
      <c r="X8363">
        <v>0.96282429999999997</v>
      </c>
      <c r="Y8363">
        <v>-0.31518089999999999</v>
      </c>
      <c r="Z8363">
        <v>-9.9892649999999999E-2</v>
      </c>
      <c r="AA8363">
        <v>0.94375969999999998</v>
      </c>
      <c r="AB8363">
        <v>18</v>
      </c>
      <c r="AC8363">
        <v>0.79479999999997997</v>
      </c>
      <c r="AD8363">
        <v>-1.1245299415479999</v>
      </c>
      <c r="AE8363">
        <v>8.4376299999999897</v>
      </c>
      <c r="AF8363">
        <v>-2.6659128684601598</v>
      </c>
      <c r="AG8363">
        <v>-1.1245299415479999</v>
      </c>
      <c r="AH8363">
        <v>7.8901418761909303</v>
      </c>
      <c r="AI8363">
        <v>97.689816339890896</v>
      </c>
      <c r="AJ8363">
        <v>108.66902859728</v>
      </c>
      <c r="AK8363">
        <v>8.4039275245614302</v>
      </c>
      <c r="AL8363">
        <v>97.8282409256813</v>
      </c>
      <c r="AM8363">
        <v>103.619387196989</v>
      </c>
      <c r="AN8363">
        <v>1.00000005357662</v>
      </c>
    </row>
    <row r="8364" spans="1:40" x14ac:dyDescent="0.25">
      <c r="A8364" t="str">
        <f>"20190303154340598"</f>
        <v>20190303154340598</v>
      </c>
      <c r="B8364" t="str">
        <f>"1551599020588612"</f>
        <v>1551599020588612</v>
      </c>
      <c r="C8364" t="s">
        <v>40</v>
      </c>
      <c r="D8364">
        <v>5.8542990000000001</v>
      </c>
      <c r="E8364">
        <v>0.46896189999999999</v>
      </c>
      <c r="F8364" t="s">
        <v>58</v>
      </c>
      <c r="G8364">
        <v>-190.25819999999999</v>
      </c>
      <c r="H8364" s="1">
        <v>-5.9806820000000001E-6</v>
      </c>
      <c r="I8364">
        <v>-40.88729</v>
      </c>
      <c r="J8364">
        <v>-191.00380000000001</v>
      </c>
      <c r="K8364">
        <v>1.1245609999999999</v>
      </c>
      <c r="L8364">
        <v>-49.244019999999999</v>
      </c>
      <c r="M8364">
        <v>0.39982780000000001</v>
      </c>
      <c r="N8364">
        <v>-1.009121E-2</v>
      </c>
      <c r="O8364">
        <v>0.91653470000000004</v>
      </c>
      <c r="P8364">
        <v>0.17095929999999901</v>
      </c>
      <c r="Q8364">
        <v>-0.14326700000000001</v>
      </c>
      <c r="R8364">
        <v>0.97480639999999996</v>
      </c>
      <c r="S8364">
        <v>0.28263850000000001</v>
      </c>
      <c r="T8364">
        <v>-0.39191130000000002</v>
      </c>
      <c r="U8364">
        <v>2.9720460000000002</v>
      </c>
      <c r="V8364">
        <v>-0.2317227</v>
      </c>
      <c r="W8364">
        <v>-0.1358888</v>
      </c>
      <c r="X8364">
        <v>0.96324390000000004</v>
      </c>
      <c r="Y8364">
        <v>-0.3114885</v>
      </c>
      <c r="Z8364">
        <v>-0.10121960000000001</v>
      </c>
      <c r="AA8364">
        <v>0.94484360000000001</v>
      </c>
      <c r="AB8364">
        <v>19</v>
      </c>
      <c r="AC8364">
        <v>0.74560000000002402</v>
      </c>
      <c r="AD8364">
        <v>-1.124566980682</v>
      </c>
      <c r="AE8364">
        <v>8.35672999999999</v>
      </c>
      <c r="AF8364">
        <v>-2.6111085911600602</v>
      </c>
      <c r="AG8364">
        <v>-1.124566980682</v>
      </c>
      <c r="AH8364">
        <v>7.8173033386138604</v>
      </c>
      <c r="AI8364">
        <v>97.769794010636303</v>
      </c>
      <c r="AJ8364">
        <v>108.470171825812</v>
      </c>
      <c r="AK8364">
        <v>8.3182191878294205</v>
      </c>
      <c r="AL8364">
        <v>97.810018068458206</v>
      </c>
      <c r="AM8364">
        <v>103.526334520174</v>
      </c>
      <c r="AN8364">
        <v>0.99999999327397004</v>
      </c>
    </row>
    <row r="8365" spans="1:40" x14ac:dyDescent="0.25">
      <c r="A8365" t="str">
        <f>"20190303154340619"</f>
        <v>20190303154340619</v>
      </c>
      <c r="B8365" t="str">
        <f>"1551599020608132"</f>
        <v>1551599020608132</v>
      </c>
      <c r="C8365" t="s">
        <v>40</v>
      </c>
      <c r="D8365">
        <v>5.9194649999999998</v>
      </c>
      <c r="E8365">
        <v>0.46970109999999898</v>
      </c>
      <c r="F8365" t="s">
        <v>58</v>
      </c>
      <c r="G8365">
        <v>-190.215</v>
      </c>
      <c r="H8365" s="1">
        <v>-6.1177470000000001E-6</v>
      </c>
      <c r="I8365">
        <v>-40.576549999999997</v>
      </c>
      <c r="J8365">
        <v>-190.94069999999999</v>
      </c>
      <c r="K8365">
        <v>1.1245830000000001</v>
      </c>
      <c r="L8365">
        <v>-49.075009999999999</v>
      </c>
      <c r="M8365">
        <v>0.39229130000000001</v>
      </c>
      <c r="N8365">
        <v>-1.0499039999999999E-2</v>
      </c>
      <c r="O8365">
        <v>0.91978110000000002</v>
      </c>
      <c r="P8365">
        <v>0.16523470000000001</v>
      </c>
      <c r="Q8365">
        <v>-0.1442003</v>
      </c>
      <c r="R8365">
        <v>0.97565559999999996</v>
      </c>
      <c r="S8365">
        <v>0.27058409999999999</v>
      </c>
      <c r="T8365">
        <v>-0.38578499999999999</v>
      </c>
      <c r="U8365">
        <v>2.9733890000000001</v>
      </c>
      <c r="V8365">
        <v>-0.2294389</v>
      </c>
      <c r="W8365">
        <v>-0.13636129999999999</v>
      </c>
      <c r="X8365">
        <v>0.96372369999999996</v>
      </c>
      <c r="Y8365">
        <v>-0.3075119</v>
      </c>
      <c r="Z8365">
        <v>-9.9767770000000006E-2</v>
      </c>
      <c r="AA8365">
        <v>0.94629960000000002</v>
      </c>
      <c r="AB8365">
        <v>18</v>
      </c>
      <c r="AC8365">
        <v>0.72569999999998902</v>
      </c>
      <c r="AD8365">
        <v>-1.124589117747</v>
      </c>
      <c r="AE8365">
        <v>8.4984599999999997</v>
      </c>
      <c r="AF8365">
        <v>-2.6209706005150299</v>
      </c>
      <c r="AG8365">
        <v>-1.124589117747</v>
      </c>
      <c r="AH8365">
        <v>7.96341857242611</v>
      </c>
      <c r="AI8365">
        <v>97.640095679359504</v>
      </c>
      <c r="AJ8365">
        <v>108.217735702461</v>
      </c>
      <c r="AK8365">
        <v>8.4587364855621505</v>
      </c>
      <c r="AL8365">
        <v>97.837344704478895</v>
      </c>
      <c r="AM8365">
        <v>103.391421786341</v>
      </c>
      <c r="AN8365">
        <v>0.99999999145629404</v>
      </c>
    </row>
    <row r="8366" spans="1:40" x14ac:dyDescent="0.25">
      <c r="A8366" t="str">
        <f>"20190303154340644"</f>
        <v>20190303154340644</v>
      </c>
      <c r="B8366" t="str">
        <f>"1551599020638388"</f>
        <v>1551599020638388</v>
      </c>
      <c r="C8366" t="s">
        <v>40</v>
      </c>
      <c r="D8366">
        <v>5.9673069999999999</v>
      </c>
      <c r="E8366">
        <v>0.47044789999999997</v>
      </c>
      <c r="F8366" t="s">
        <v>58</v>
      </c>
      <c r="G8366">
        <v>-190.1902</v>
      </c>
      <c r="H8366" s="1">
        <v>-6.1657579999999996E-6</v>
      </c>
      <c r="I8366">
        <v>-40.449979999999996</v>
      </c>
      <c r="J8366">
        <v>-190.876</v>
      </c>
      <c r="K8366">
        <v>1.1246080000000001</v>
      </c>
      <c r="L8366">
        <v>-48.897219999999997</v>
      </c>
      <c r="M8366">
        <v>0.38440200000000002</v>
      </c>
      <c r="N8366">
        <v>-1.096689E-2</v>
      </c>
      <c r="O8366">
        <v>0.9231007</v>
      </c>
      <c r="P8366">
        <v>0.1603009</v>
      </c>
      <c r="Q8366">
        <v>-0.14649889999999999</v>
      </c>
      <c r="R8366">
        <v>0.97613609999999995</v>
      </c>
      <c r="S8366">
        <v>0.2587738</v>
      </c>
      <c r="T8366">
        <v>-0.38773419999999997</v>
      </c>
      <c r="U8366">
        <v>2.9737239999999998</v>
      </c>
      <c r="V8366">
        <v>-0.22593769999999999</v>
      </c>
      <c r="W8366">
        <v>-0.13813259999999999</v>
      </c>
      <c r="X8366">
        <v>0.96429849999999995</v>
      </c>
      <c r="Y8366">
        <v>-0.30310209999999999</v>
      </c>
      <c r="Z8366">
        <v>-0.1005767</v>
      </c>
      <c r="AA8366">
        <v>0.94763569999999997</v>
      </c>
      <c r="AB8366">
        <v>18</v>
      </c>
      <c r="AC8366">
        <v>0.68579999999997199</v>
      </c>
      <c r="AD8366">
        <v>-1.124614165758</v>
      </c>
      <c r="AE8366">
        <v>8.4472400000000007</v>
      </c>
      <c r="AF8366">
        <v>-2.5689942731364401</v>
      </c>
      <c r="AG8366">
        <v>-1.124614165758</v>
      </c>
      <c r="AH8366">
        <v>7.9222608236130601</v>
      </c>
      <c r="AI8366">
        <v>97.690357027582294</v>
      </c>
      <c r="AJ8366">
        <v>107.96660317804</v>
      </c>
      <c r="AK8366">
        <v>8.4039696069527601</v>
      </c>
      <c r="AL8366">
        <v>97.939802010051395</v>
      </c>
      <c r="AM8366">
        <v>103.186681494334</v>
      </c>
      <c r="AN8366">
        <v>1.0000000282831401</v>
      </c>
    </row>
    <row r="8367" spans="1:40" x14ac:dyDescent="0.25">
      <c r="A8367" t="str">
        <f>"20190303154340676"</f>
        <v>20190303154340676</v>
      </c>
      <c r="B8367" t="str">
        <f>"1551599020668644"</f>
        <v>1551599020668644</v>
      </c>
      <c r="C8367" t="s">
        <v>40</v>
      </c>
      <c r="D8367">
        <v>5.9421290000000004</v>
      </c>
      <c r="E8367">
        <v>0.47138419999999998</v>
      </c>
      <c r="F8367" t="s">
        <v>58</v>
      </c>
      <c r="G8367">
        <v>-190.17019999999999</v>
      </c>
      <c r="H8367" s="1">
        <v>-6.14942199999999E-6</v>
      </c>
      <c r="I8367">
        <v>-40.491419999999998</v>
      </c>
      <c r="J8367">
        <v>-190.78960000000001</v>
      </c>
      <c r="K8367">
        <v>1.1246430000000001</v>
      </c>
      <c r="L8367">
        <v>-48.65305</v>
      </c>
      <c r="M8367">
        <v>0.3736601</v>
      </c>
      <c r="N8367">
        <v>-1.1567869999999999E-2</v>
      </c>
      <c r="O8367">
        <v>0.92749360000000003</v>
      </c>
      <c r="P8367">
        <v>0.1534287</v>
      </c>
      <c r="Q8367">
        <v>-0.14752100000000001</v>
      </c>
      <c r="R8367">
        <v>0.97708609999999896</v>
      </c>
      <c r="S8367">
        <v>0.24961849999999999</v>
      </c>
      <c r="T8367">
        <v>-0.39771269999999997</v>
      </c>
      <c r="U8367">
        <v>2.9726560000000002</v>
      </c>
      <c r="V8367">
        <v>-0.22149099999999999</v>
      </c>
      <c r="W8367">
        <v>-0.13849429999999999</v>
      </c>
      <c r="X8367">
        <v>0.96527770000000002</v>
      </c>
      <c r="Y8367">
        <v>-0.29491650000000003</v>
      </c>
      <c r="Z8367">
        <v>-0.1038843</v>
      </c>
      <c r="AA8367">
        <v>0.94985909999999996</v>
      </c>
      <c r="AB8367">
        <v>18</v>
      </c>
      <c r="AC8367">
        <v>0.61940000000001205</v>
      </c>
      <c r="AD8367">
        <v>-1.1246491494219999</v>
      </c>
      <c r="AE8367">
        <v>8.1616300000000006</v>
      </c>
      <c r="AF8367">
        <v>-2.4294844986229398</v>
      </c>
      <c r="AG8367">
        <v>-1.1246491494219999</v>
      </c>
      <c r="AH8367">
        <v>7.6572625833257</v>
      </c>
      <c r="AI8367">
        <v>97.969389071043807</v>
      </c>
      <c r="AJ8367">
        <v>107.603111769843</v>
      </c>
      <c r="AK8367">
        <v>8.11177544735704</v>
      </c>
      <c r="AL8367">
        <v>97.960727351068599</v>
      </c>
      <c r="AM8367">
        <v>102.92328440049199</v>
      </c>
      <c r="AN8367">
        <v>0.99999998616538999</v>
      </c>
    </row>
    <row r="8368" spans="1:40" x14ac:dyDescent="0.25">
      <c r="A8368" t="str">
        <f>"20190303154340700"</f>
        <v>20190303154340700</v>
      </c>
      <c r="B8368" t="str">
        <f>"1551599020688164"</f>
        <v>1551599020688164</v>
      </c>
      <c r="C8368" t="s">
        <v>40</v>
      </c>
      <c r="D8368">
        <v>5.9447400000000004</v>
      </c>
      <c r="E8368">
        <v>0.47178189999999998</v>
      </c>
      <c r="F8368" t="s">
        <v>41</v>
      </c>
      <c r="G8368">
        <v>-190.12799999999999</v>
      </c>
      <c r="H8368" s="1">
        <v>-7.2240799999999994E-8</v>
      </c>
      <c r="I8368">
        <v>-40.321869999999997</v>
      </c>
      <c r="J8368">
        <v>-190.72559999999999</v>
      </c>
      <c r="K8368">
        <v>1.1246529999999999</v>
      </c>
      <c r="L8368">
        <v>-48.465359999999997</v>
      </c>
      <c r="M8368">
        <v>0.36555280000000001</v>
      </c>
      <c r="N8368">
        <v>-1.1967419999999999E-2</v>
      </c>
      <c r="O8368">
        <v>0.93071369999999998</v>
      </c>
      <c r="P8368">
        <v>0.1469105</v>
      </c>
      <c r="Q8368">
        <v>-0.14577089999999901</v>
      </c>
      <c r="R8368">
        <v>0.97834969999999999</v>
      </c>
      <c r="S8368">
        <v>0.23608399999999999</v>
      </c>
      <c r="T8368">
        <v>-0.40128900000000001</v>
      </c>
      <c r="U8368">
        <v>2.9726870000000001</v>
      </c>
      <c r="V8368">
        <v>-0.2196359</v>
      </c>
      <c r="W8368">
        <v>-0.13631589999999999</v>
      </c>
      <c r="X8368">
        <v>0.96601139999999996</v>
      </c>
      <c r="Y8368">
        <v>-0.2908792</v>
      </c>
      <c r="Z8368">
        <v>-0.10523689999999999</v>
      </c>
      <c r="AA8368">
        <v>0.95095450000000004</v>
      </c>
      <c r="AB8368">
        <v>18</v>
      </c>
      <c r="AC8368">
        <v>0.59759999999999902</v>
      </c>
      <c r="AD8368">
        <v>-1.1246530722407999</v>
      </c>
      <c r="AE8368">
        <v>8.1434899999999892</v>
      </c>
      <c r="AF8368">
        <v>-2.3757840489512199</v>
      </c>
      <c r="AG8368">
        <v>-1.1246530722407999</v>
      </c>
      <c r="AH8368">
        <v>7.6530858235655002</v>
      </c>
      <c r="AI8368">
        <v>97.989114962479405</v>
      </c>
      <c r="AJ8368">
        <v>107.246160629418</v>
      </c>
      <c r="AK8368">
        <v>8.0919044113861691</v>
      </c>
      <c r="AL8368">
        <v>97.834718976625396</v>
      </c>
      <c r="AM8368">
        <v>102.809220837113</v>
      </c>
      <c r="AN8368">
        <v>0.99999998904578902</v>
      </c>
    </row>
    <row r="8369" spans="1:40" x14ac:dyDescent="0.25">
      <c r="A8369" t="str">
        <f>"20190303154340722"</f>
        <v>20190303154340722</v>
      </c>
      <c r="B8369" t="str">
        <f>"1551599020718420"</f>
        <v>1551599020718420</v>
      </c>
      <c r="C8369" t="s">
        <v>40</v>
      </c>
      <c r="D8369">
        <v>5.9722140000000001</v>
      </c>
      <c r="E8369">
        <v>0.47239560000000003</v>
      </c>
      <c r="F8369" t="s">
        <v>41</v>
      </c>
      <c r="G8369">
        <v>-190.1071</v>
      </c>
      <c r="H8369" s="1">
        <v>-1.7219799999999999E-7</v>
      </c>
      <c r="I8369">
        <v>-40.075879999999998</v>
      </c>
      <c r="J8369">
        <v>-190.67089999999999</v>
      </c>
      <c r="K8369">
        <v>1.1246480000000001</v>
      </c>
      <c r="L8369">
        <v>-48.301119999999997</v>
      </c>
      <c r="M8369">
        <v>0.35852879999999998</v>
      </c>
      <c r="N8369">
        <v>-1.228302E-2</v>
      </c>
      <c r="O8369">
        <v>0.93343779999999998</v>
      </c>
      <c r="P8369">
        <v>0.14195629999999901</v>
      </c>
      <c r="Q8369">
        <v>-0.14464669999999999</v>
      </c>
      <c r="R8369">
        <v>0.97924750000000005</v>
      </c>
      <c r="S8369">
        <v>0.21926880000000001</v>
      </c>
      <c r="T8369">
        <v>-0.39868799999999999</v>
      </c>
      <c r="U8369">
        <v>2.9740600000000001</v>
      </c>
      <c r="V8369">
        <v>-0.21733830000000001</v>
      </c>
      <c r="W8369">
        <v>-0.13483319999999999</v>
      </c>
      <c r="X8369">
        <v>0.96673889999999996</v>
      </c>
      <c r="Y8369">
        <v>-0.289043099999999</v>
      </c>
      <c r="Z8369">
        <v>-0.10470690000000001</v>
      </c>
      <c r="AA8369">
        <v>0.95157270000000005</v>
      </c>
      <c r="AB8369">
        <v>18</v>
      </c>
      <c r="AC8369">
        <v>0.56379999999998598</v>
      </c>
      <c r="AD8369">
        <v>-1.124648172198</v>
      </c>
      <c r="AE8369">
        <v>8.2252399999999994</v>
      </c>
      <c r="AF8369">
        <v>-2.3786343896442701</v>
      </c>
      <c r="AG8369">
        <v>-1.124648172198</v>
      </c>
      <c r="AH8369">
        <v>7.7365219011328099</v>
      </c>
      <c r="AI8369">
        <v>97.910575995245296</v>
      </c>
      <c r="AJ8369">
        <v>107.090321205743</v>
      </c>
      <c r="AK8369">
        <v>8.1716893111237603</v>
      </c>
      <c r="AL8369">
        <v>97.748974652802701</v>
      </c>
      <c r="AM8369">
        <v>102.670344573577</v>
      </c>
      <c r="AN8369">
        <v>1.0000000146211601</v>
      </c>
    </row>
    <row r="8370" spans="1:40" x14ac:dyDescent="0.25">
      <c r="A8370" t="str">
        <f>"20190303154340743"</f>
        <v>20190303154340743</v>
      </c>
      <c r="B8370" t="str">
        <f>"1551599020737940"</f>
        <v>1551599020737940</v>
      </c>
      <c r="C8370" t="s">
        <v>40</v>
      </c>
      <c r="D8370">
        <v>5.9516929999999997</v>
      </c>
      <c r="E8370">
        <v>0.4729197</v>
      </c>
      <c r="F8370" t="s">
        <v>41</v>
      </c>
      <c r="G8370">
        <v>-190.07689999999999</v>
      </c>
      <c r="H8370" s="1">
        <v>-2.6243559999999999E-7</v>
      </c>
      <c r="I8370">
        <v>-39.84684</v>
      </c>
      <c r="J8370">
        <v>-190.6174</v>
      </c>
      <c r="K8370">
        <v>1.124593</v>
      </c>
      <c r="L8370">
        <v>-48.136539999999997</v>
      </c>
      <c r="M8370">
        <v>0.35155740000000002</v>
      </c>
      <c r="N8370">
        <v>-1.256556E-2</v>
      </c>
      <c r="O8370">
        <v>0.93608199999999997</v>
      </c>
      <c r="P8370">
        <v>0.1370181</v>
      </c>
      <c r="Q8370">
        <v>-0.14460490000000001</v>
      </c>
      <c r="R8370">
        <v>0.97995690000000002</v>
      </c>
      <c r="S8370">
        <v>0.2090149</v>
      </c>
      <c r="T8370">
        <v>-0.39573249999999999</v>
      </c>
      <c r="U8370">
        <v>2.9748230000000002</v>
      </c>
      <c r="V8370">
        <v>-0.2150367</v>
      </c>
      <c r="W8370">
        <v>-0.1344505</v>
      </c>
      <c r="X8370">
        <v>0.96730669999999996</v>
      </c>
      <c r="Y8370">
        <v>-0.28518070000000001</v>
      </c>
      <c r="Z8370">
        <v>-0.1041431</v>
      </c>
      <c r="AA8370">
        <v>0.95279910000000001</v>
      </c>
      <c r="AB8370">
        <v>18</v>
      </c>
      <c r="AC8370">
        <v>0.54050000000000797</v>
      </c>
      <c r="AD8370">
        <v>-1.1245932624356001</v>
      </c>
      <c r="AE8370">
        <v>8.2896999999999998</v>
      </c>
      <c r="AF8370">
        <v>-2.3651982501808</v>
      </c>
      <c r="AG8370">
        <v>-1.1245932624356001</v>
      </c>
      <c r="AH8370">
        <v>7.8074038195026496</v>
      </c>
      <c r="AI8370">
        <v>97.849035418103298</v>
      </c>
      <c r="AJ8370">
        <v>106.853816687126</v>
      </c>
      <c r="AK8370">
        <v>8.23495155840995</v>
      </c>
      <c r="AL8370">
        <v>97.726846288272895</v>
      </c>
      <c r="AM8370">
        <v>102.53330377876</v>
      </c>
      <c r="AN8370">
        <v>0.99999998558101499</v>
      </c>
    </row>
    <row r="8371" spans="1:40" x14ac:dyDescent="0.25">
      <c r="A8371" t="str">
        <f>"20190303154340766"</f>
        <v>20190303154340766</v>
      </c>
      <c r="B8371" t="str">
        <f>"1551599020758437"</f>
        <v>1551599020758437</v>
      </c>
      <c r="C8371" t="s">
        <v>40</v>
      </c>
      <c r="D8371">
        <v>5.8994920000000004</v>
      </c>
      <c r="E8371">
        <v>0.47349720000000001</v>
      </c>
      <c r="F8371" t="s">
        <v>41</v>
      </c>
      <c r="G8371">
        <v>-190.05359999999999</v>
      </c>
      <c r="H8371" s="1">
        <v>-3.3399059999999999E-7</v>
      </c>
      <c r="I8371">
        <v>-39.665570000000002</v>
      </c>
      <c r="J8371">
        <v>-190.5635</v>
      </c>
      <c r="K8371">
        <v>1.124493</v>
      </c>
      <c r="L8371">
        <v>-47.966709999999999</v>
      </c>
      <c r="M8371">
        <v>0.34444730000000001</v>
      </c>
      <c r="N8371">
        <v>-1.2820450000000001E-2</v>
      </c>
      <c r="O8371">
        <v>0.9387181</v>
      </c>
      <c r="P8371">
        <v>0.13180989999999901</v>
      </c>
      <c r="Q8371">
        <v>-0.14567349999999901</v>
      </c>
      <c r="R8371">
        <v>0.98051279999999996</v>
      </c>
      <c r="S8371">
        <v>0.19805909999999999</v>
      </c>
      <c r="T8371">
        <v>-0.39500580000000002</v>
      </c>
      <c r="U8371">
        <v>2.9753720000000001</v>
      </c>
      <c r="V8371">
        <v>-0.2128176</v>
      </c>
      <c r="W8371">
        <v>-0.1351907</v>
      </c>
      <c r="X8371">
        <v>0.96769419999999995</v>
      </c>
      <c r="Y8371">
        <v>-0.28141509999999997</v>
      </c>
      <c r="Z8371">
        <v>-0.1042502</v>
      </c>
      <c r="AA8371">
        <v>0.95390640000000004</v>
      </c>
      <c r="AB8371">
        <v>18</v>
      </c>
      <c r="AC8371">
        <v>0.50990000000001601</v>
      </c>
      <c r="AD8371">
        <v>-1.1244933339906</v>
      </c>
      <c r="AE8371">
        <v>8.3011399999999895</v>
      </c>
      <c r="AF8371">
        <v>-2.33810541683361</v>
      </c>
      <c r="AG8371">
        <v>-1.1244933339906</v>
      </c>
      <c r="AH8371">
        <v>7.82565728251069</v>
      </c>
      <c r="AI8371">
        <v>97.839166247052106</v>
      </c>
      <c r="AJ8371">
        <v>106.634794620059</v>
      </c>
      <c r="AK8371">
        <v>8.2445214598379604</v>
      </c>
      <c r="AL8371">
        <v>97.769647595286699</v>
      </c>
      <c r="AM8371">
        <v>102.403175818254</v>
      </c>
      <c r="AN8371">
        <v>0.99999996047494399</v>
      </c>
    </row>
    <row r="8372" spans="1:40" x14ac:dyDescent="0.25">
      <c r="A8372" t="str">
        <f>"20190303154340788"</f>
        <v>20190303154340788</v>
      </c>
      <c r="B8372" t="str">
        <f>"1551599020777956"</f>
        <v>1551599020777956</v>
      </c>
      <c r="C8372" t="s">
        <v>40</v>
      </c>
      <c r="D8372">
        <v>5.8869540000000002</v>
      </c>
      <c r="E8372">
        <v>0.4740202</v>
      </c>
      <c r="F8372" t="s">
        <v>41</v>
      </c>
      <c r="G8372">
        <v>-190.03460000000001</v>
      </c>
      <c r="H8372" s="1">
        <v>-3.8336800000000002E-7</v>
      </c>
      <c r="I8372">
        <v>-39.538679999999999</v>
      </c>
      <c r="J8372">
        <v>-190.51150000000001</v>
      </c>
      <c r="K8372">
        <v>1.1243749999999999</v>
      </c>
      <c r="L8372">
        <v>-47.799100000000003</v>
      </c>
      <c r="M8372">
        <v>0.33753529999999998</v>
      </c>
      <c r="N8372">
        <v>-1.303732E-2</v>
      </c>
      <c r="O8372">
        <v>0.94122260000000002</v>
      </c>
      <c r="P8372">
        <v>0.12686510000000001</v>
      </c>
      <c r="Q8372">
        <v>-0.1451306</v>
      </c>
      <c r="R8372">
        <v>0.98124529999999999</v>
      </c>
      <c r="S8372">
        <v>0.18675230000000001</v>
      </c>
      <c r="T8372">
        <v>-0.39700829999999998</v>
      </c>
      <c r="U8372">
        <v>2.9755549999999999</v>
      </c>
      <c r="V8372">
        <v>-0.21066029999999999</v>
      </c>
      <c r="W8372">
        <v>-0.1343461</v>
      </c>
      <c r="X8372">
        <v>0.96828369999999997</v>
      </c>
      <c r="Y8372">
        <v>-0.27797630000000001</v>
      </c>
      <c r="Z8372">
        <v>-0.1051721</v>
      </c>
      <c r="AA8372">
        <v>0.95481309999999997</v>
      </c>
      <c r="AB8372">
        <v>18</v>
      </c>
      <c r="AC8372">
        <v>0.47689999999999999</v>
      </c>
      <c r="AD8372">
        <v>-1.1243753833679999</v>
      </c>
      <c r="AE8372">
        <v>8.2604199999999999</v>
      </c>
      <c r="AF8372">
        <v>-2.2970948847853401</v>
      </c>
      <c r="AG8372">
        <v>-1.1243753833679999</v>
      </c>
      <c r="AH8372">
        <v>7.7926399360722796</v>
      </c>
      <c r="AI8372">
        <v>97.879627382185603</v>
      </c>
      <c r="AJ8372">
        <v>106.424330579585</v>
      </c>
      <c r="AK8372">
        <v>8.2015914361603901</v>
      </c>
      <c r="AL8372">
        <v>97.720809884812695</v>
      </c>
      <c r="AM8372">
        <v>102.274030931581</v>
      </c>
      <c r="AN8372">
        <v>0.999999980133494</v>
      </c>
    </row>
    <row r="8373" spans="1:40" x14ac:dyDescent="0.25">
      <c r="A8373" t="str">
        <f>"20190303154340811"</f>
        <v>20190303154340811</v>
      </c>
      <c r="B8373" t="str">
        <f>"1551599020798455"</f>
        <v>1551599020798455</v>
      </c>
      <c r="C8373" t="s">
        <v>40</v>
      </c>
      <c r="D8373">
        <v>5.96943</v>
      </c>
      <c r="E8373">
        <v>0.47430739999999999</v>
      </c>
      <c r="F8373" t="s">
        <v>41</v>
      </c>
      <c r="G8373">
        <v>-190.00989999999999</v>
      </c>
      <c r="H8373" s="1">
        <v>-4.7440049999999997E-7</v>
      </c>
      <c r="I8373">
        <v>-39.311149999999998</v>
      </c>
      <c r="J8373">
        <v>-190.46039999999999</v>
      </c>
      <c r="K8373">
        <v>1.1242529999999999</v>
      </c>
      <c r="L8373">
        <v>-47.630769999999998</v>
      </c>
      <c r="M8373">
        <v>0.33072249999999997</v>
      </c>
      <c r="N8373">
        <v>-1.3224680000000001E-2</v>
      </c>
      <c r="O8373">
        <v>0.94363540000000001</v>
      </c>
      <c r="P8373">
        <v>0.121934</v>
      </c>
      <c r="Q8373">
        <v>-0.14476310000000001</v>
      </c>
      <c r="R8373">
        <v>0.98192449999999998</v>
      </c>
      <c r="S8373">
        <v>0.17590329999999901</v>
      </c>
      <c r="T8373">
        <v>-0.39426050000000001</v>
      </c>
      <c r="U8373">
        <v>2.9762879999999998</v>
      </c>
      <c r="V8373">
        <v>-0.2085938</v>
      </c>
      <c r="W8373">
        <v>-0.13370670000000001</v>
      </c>
      <c r="X8373">
        <v>0.9688194</v>
      </c>
      <c r="Y8373">
        <v>-0.27451389999999998</v>
      </c>
      <c r="Z8373">
        <v>-0.1046914</v>
      </c>
      <c r="AA8373">
        <v>0.95586709999999997</v>
      </c>
      <c r="AB8373">
        <v>18</v>
      </c>
      <c r="AC8373">
        <v>0.45050000000000501</v>
      </c>
      <c r="AD8373">
        <v>-1.1242534744004999</v>
      </c>
      <c r="AE8373">
        <v>8.3196200000000005</v>
      </c>
      <c r="AF8373">
        <v>-2.2849775065126701</v>
      </c>
      <c r="AG8373">
        <v>-1.1242534744004999</v>
      </c>
      <c r="AH8373">
        <v>7.8573159755493398</v>
      </c>
      <c r="AI8373">
        <v>97.823000029166295</v>
      </c>
      <c r="AJ8373">
        <v>106.214901550775</v>
      </c>
      <c r="AK8373">
        <v>8.2596902132945296</v>
      </c>
      <c r="AL8373">
        <v>97.683841715249002</v>
      </c>
      <c r="AM8373">
        <v>102.15070313512101</v>
      </c>
      <c r="AN8373">
        <v>0.99999994241984302</v>
      </c>
    </row>
    <row r="8374" spans="1:40" x14ac:dyDescent="0.25">
      <c r="A8374" t="str">
        <f>"20190303154340833"</f>
        <v>20190303154340833</v>
      </c>
      <c r="B8374" t="str">
        <f>"1551599020828708"</f>
        <v>1551599020828708</v>
      </c>
      <c r="C8374" t="s">
        <v>40</v>
      </c>
      <c r="D8374">
        <v>5.9095019999999998</v>
      </c>
      <c r="E8374">
        <v>0.47502280000000002</v>
      </c>
      <c r="F8374" t="s">
        <v>41</v>
      </c>
      <c r="G8374">
        <v>-189.99539999999999</v>
      </c>
      <c r="H8374" s="1">
        <v>-5.4212309999999895E-7</v>
      </c>
      <c r="I8374">
        <v>-39.14434</v>
      </c>
      <c r="J8374">
        <v>-190.40979999999999</v>
      </c>
      <c r="K8374">
        <v>1.1241300000000001</v>
      </c>
      <c r="L8374">
        <v>-47.460659999999997</v>
      </c>
      <c r="M8374">
        <v>0.32398389999999999</v>
      </c>
      <c r="N8374">
        <v>-1.338775E-2</v>
      </c>
      <c r="O8374">
        <v>0.94596789999999997</v>
      </c>
      <c r="P8374">
        <v>0.116380399999999</v>
      </c>
      <c r="Q8374">
        <v>-0.1445534</v>
      </c>
      <c r="R8374">
        <v>0.98262910000000003</v>
      </c>
      <c r="S8374">
        <v>0.1631012</v>
      </c>
      <c r="T8374">
        <v>-0.39436110000000002</v>
      </c>
      <c r="U8374">
        <v>2.9768370000000002</v>
      </c>
      <c r="V8374">
        <v>-0.2072165</v>
      </c>
      <c r="W8374">
        <v>-0.13326270000000001</v>
      </c>
      <c r="X8374">
        <v>0.96917609999999998</v>
      </c>
      <c r="Y8374">
        <v>-0.2717658</v>
      </c>
      <c r="Z8374">
        <v>-0.10504570000000001</v>
      </c>
      <c r="AA8374">
        <v>0.95661320000000005</v>
      </c>
      <c r="AB8374">
        <v>18</v>
      </c>
      <c r="AC8374">
        <v>0.41439999999999999</v>
      </c>
      <c r="AD8374">
        <v>-1.12413054212309</v>
      </c>
      <c r="AE8374">
        <v>8.3163199999999904</v>
      </c>
      <c r="AF8374">
        <v>-2.2613356050775399</v>
      </c>
      <c r="AG8374">
        <v>-1.12413054212309</v>
      </c>
      <c r="AH8374">
        <v>7.85871374344753</v>
      </c>
      <c r="AI8374">
        <v>97.827093078966996</v>
      </c>
      <c r="AJ8374">
        <v>106.05311035153601</v>
      </c>
      <c r="AK8374">
        <v>8.2544951327126306</v>
      </c>
      <c r="AL8374">
        <v>97.658172467555801</v>
      </c>
      <c r="AM8374">
        <v>102.068522769197</v>
      </c>
      <c r="AN8374">
        <v>0.99999996894737397</v>
      </c>
    </row>
    <row r="8375" spans="1:40" x14ac:dyDescent="0.25">
      <c r="A8375" t="str">
        <f>"20190303154340855"</f>
        <v>20190303154340855</v>
      </c>
      <c r="B8375" t="str">
        <f>"1551599020848229"</f>
        <v>1551599020848229</v>
      </c>
      <c r="C8375" t="s">
        <v>40</v>
      </c>
      <c r="D8375">
        <v>5.9370900000000004</v>
      </c>
      <c r="E8375">
        <v>0.47549190000000002</v>
      </c>
      <c r="F8375" t="s">
        <v>41</v>
      </c>
      <c r="G8375">
        <v>-189.97559999999999</v>
      </c>
      <c r="H8375" s="1">
        <v>-6.1709350000000002E-7</v>
      </c>
      <c r="I8375">
        <v>-38.957270000000001</v>
      </c>
      <c r="J8375">
        <v>-190.36109999999999</v>
      </c>
      <c r="K8375">
        <v>1.1240330000000001</v>
      </c>
      <c r="L8375">
        <v>-47.292909999999999</v>
      </c>
      <c r="M8375">
        <v>0.3174804</v>
      </c>
      <c r="N8375">
        <v>-1.352591E-2</v>
      </c>
      <c r="O8375">
        <v>0.94816829999999996</v>
      </c>
      <c r="P8375">
        <v>0.111623</v>
      </c>
      <c r="Q8375">
        <v>-0.14569089999999901</v>
      </c>
      <c r="R8375">
        <v>0.98301300000000003</v>
      </c>
      <c r="S8375">
        <v>0.1520386</v>
      </c>
      <c r="T8375">
        <v>-0.39357219999999998</v>
      </c>
      <c r="U8375">
        <v>2.9771420000000002</v>
      </c>
      <c r="V8375">
        <v>-0.20522679999999999</v>
      </c>
      <c r="W8375">
        <v>-0.13419729999999999</v>
      </c>
      <c r="X8375">
        <v>0.96947050000000001</v>
      </c>
      <c r="Y8375">
        <v>-0.26870959999999899</v>
      </c>
      <c r="Z8375">
        <v>-0.1051491</v>
      </c>
      <c r="AA8375">
        <v>0.9574648</v>
      </c>
      <c r="AB8375">
        <v>18</v>
      </c>
      <c r="AC8375">
        <v>0.385500000000007</v>
      </c>
      <c r="AD8375">
        <v>-1.1240336170934999</v>
      </c>
      <c r="AE8375">
        <v>8.3356399999999908</v>
      </c>
      <c r="AF8375">
        <v>-2.2404398590158698</v>
      </c>
      <c r="AG8375">
        <v>-1.1240336170934999</v>
      </c>
      <c r="AH8375">
        <v>7.8836653231532798</v>
      </c>
      <c r="AI8375">
        <v>97.809219363698006</v>
      </c>
      <c r="AJ8375">
        <v>105.864491929698</v>
      </c>
      <c r="AK8375">
        <v>8.2725571174645207</v>
      </c>
      <c r="AL8375">
        <v>97.712206189856602</v>
      </c>
      <c r="AM8375">
        <v>101.952464359506</v>
      </c>
      <c r="AN8375">
        <v>1.0000000025678899</v>
      </c>
    </row>
    <row r="8376" spans="1:40" x14ac:dyDescent="0.25">
      <c r="A8376" t="str">
        <f>"20190303154340877"</f>
        <v>20190303154340877</v>
      </c>
      <c r="B8376" t="str">
        <f>"1551599020868723"</f>
        <v>1551599020868723</v>
      </c>
      <c r="C8376" t="s">
        <v>40</v>
      </c>
      <c r="D8376">
        <v>6.0632529999999996</v>
      </c>
      <c r="E8376">
        <v>0.47585719999999998</v>
      </c>
      <c r="F8376" t="s">
        <v>41</v>
      </c>
      <c r="G8376">
        <v>-189.9599</v>
      </c>
      <c r="H8376" s="1">
        <v>-6.5841690000000002E-7</v>
      </c>
      <c r="I8376">
        <v>-38.851239999999997</v>
      </c>
      <c r="J8376">
        <v>-190.3142</v>
      </c>
      <c r="K8376">
        <v>1.1239479999999999</v>
      </c>
      <c r="L8376">
        <v>-47.127929999999999</v>
      </c>
      <c r="M8376">
        <v>0.31121490000000002</v>
      </c>
      <c r="N8376">
        <v>-1.364143E-2</v>
      </c>
      <c r="O8376">
        <v>0.95024169999999997</v>
      </c>
      <c r="P8376">
        <v>0.1071064</v>
      </c>
      <c r="Q8376">
        <v>-0.14695259999999999</v>
      </c>
      <c r="R8376">
        <v>0.98332759999999997</v>
      </c>
      <c r="S8376">
        <v>0.14146420000000001</v>
      </c>
      <c r="T8376">
        <v>-0.39639950000000002</v>
      </c>
      <c r="U8376">
        <v>2.97702</v>
      </c>
      <c r="V8376">
        <v>-0.2032428</v>
      </c>
      <c r="W8376">
        <v>-0.13528989999999999</v>
      </c>
      <c r="X8376">
        <v>0.96973659999999995</v>
      </c>
      <c r="Y8376">
        <v>-0.26574740000000002</v>
      </c>
      <c r="Z8376">
        <v>-0.10633860000000001</v>
      </c>
      <c r="AA8376">
        <v>0.95815989999999995</v>
      </c>
      <c r="AB8376">
        <v>18</v>
      </c>
      <c r="AC8376">
        <v>0.35429999999999401</v>
      </c>
      <c r="AD8376">
        <v>-1.1239486584168901</v>
      </c>
      <c r="AE8376">
        <v>8.2766899999999897</v>
      </c>
      <c r="AF8376">
        <v>-2.1988917473685401</v>
      </c>
      <c r="AG8376">
        <v>-1.1239486584168901</v>
      </c>
      <c r="AH8376">
        <v>7.8317025590790301</v>
      </c>
      <c r="AI8376">
        <v>97.866746893347397</v>
      </c>
      <c r="AJ8376">
        <v>105.68304435218199</v>
      </c>
      <c r="AK8376">
        <v>8.2118177328340494</v>
      </c>
      <c r="AL8376">
        <v>97.775383470457399</v>
      </c>
      <c r="AM8376">
        <v>101.83703517545599</v>
      </c>
      <c r="AN8376">
        <v>1.0000000330867</v>
      </c>
    </row>
    <row r="8377" spans="1:40" x14ac:dyDescent="0.25">
      <c r="A8377" t="str">
        <f>"20190303154340900"</f>
        <v>20190303154340900</v>
      </c>
      <c r="B8377" t="str">
        <f>"1551599020888244"</f>
        <v>1551599020888244</v>
      </c>
      <c r="C8377" t="s">
        <v>40</v>
      </c>
      <c r="D8377">
        <v>6.0363540000000002</v>
      </c>
      <c r="E8377">
        <v>0.47627079999999999</v>
      </c>
      <c r="F8377" t="s">
        <v>41</v>
      </c>
      <c r="G8377">
        <v>-189.94800000000001</v>
      </c>
      <c r="H8377" s="1">
        <v>-6.9237989999999996E-7</v>
      </c>
      <c r="I8377">
        <v>-38.774769999999997</v>
      </c>
      <c r="J8377">
        <v>-190.26329999999999</v>
      </c>
      <c r="K8377">
        <v>1.12388</v>
      </c>
      <c r="L8377">
        <v>-46.944029999999998</v>
      </c>
      <c r="M8377">
        <v>0.30435839999999997</v>
      </c>
      <c r="N8377">
        <v>-1.374951E-2</v>
      </c>
      <c r="O8377">
        <v>0.95245840000000004</v>
      </c>
      <c r="P8377">
        <v>0.1025577</v>
      </c>
      <c r="Q8377">
        <v>-0.1477474</v>
      </c>
      <c r="R8377">
        <v>0.98369340000000005</v>
      </c>
      <c r="S8377">
        <v>0.1305084</v>
      </c>
      <c r="T8377">
        <v>-0.40054010000000001</v>
      </c>
      <c r="U8377">
        <v>2.976807</v>
      </c>
      <c r="V8377">
        <v>-0.20072290000000001</v>
      </c>
      <c r="W8377">
        <v>-0.13592309999999999</v>
      </c>
      <c r="X8377">
        <v>0.97017279999999995</v>
      </c>
      <c r="Y8377">
        <v>-0.26232149999999999</v>
      </c>
      <c r="Z8377">
        <v>-0.1079735</v>
      </c>
      <c r="AA8377">
        <v>0.95892080000000002</v>
      </c>
      <c r="AB8377">
        <v>18</v>
      </c>
      <c r="AC8377">
        <v>0.31530000000000702</v>
      </c>
      <c r="AD8377">
        <v>-1.1238806923798901</v>
      </c>
      <c r="AE8377">
        <v>8.1692599999999906</v>
      </c>
      <c r="AF8377">
        <v>-2.1457281845282501</v>
      </c>
      <c r="AG8377">
        <v>-1.1238806923798901</v>
      </c>
      <c r="AH8377">
        <v>7.7314751424710497</v>
      </c>
      <c r="AI8377">
        <v>97.973545353747696</v>
      </c>
      <c r="AJ8377">
        <v>105.51101228367099</v>
      </c>
      <c r="AK8377">
        <v>8.1020346291058907</v>
      </c>
      <c r="AL8377">
        <v>97.812001533756302</v>
      </c>
      <c r="AM8377">
        <v>101.68922720217201</v>
      </c>
      <c r="AN8377">
        <v>1.00000001677892</v>
      </c>
    </row>
    <row r="8378" spans="1:40" x14ac:dyDescent="0.25">
      <c r="A8378" t="str">
        <f>"20190303154340924"</f>
        <v>20190303154340924</v>
      </c>
      <c r="B8378" t="str">
        <f>"1551599020918500"</f>
        <v>1551599020918500</v>
      </c>
      <c r="C8378" t="s">
        <v>40</v>
      </c>
      <c r="D8378">
        <v>5.948213</v>
      </c>
      <c r="E8378">
        <v>0.47667540000000003</v>
      </c>
      <c r="F8378" t="s">
        <v>41</v>
      </c>
      <c r="G8378">
        <v>-189.9288</v>
      </c>
      <c r="H8378" s="1">
        <v>-7.4761059999999996E-7</v>
      </c>
      <c r="I8378">
        <v>-38.653950000000002</v>
      </c>
      <c r="J8378">
        <v>-190.21539999999999</v>
      </c>
      <c r="K8378">
        <v>1.1238349999999999</v>
      </c>
      <c r="L8378">
        <v>-46.766939999999998</v>
      </c>
      <c r="M8378">
        <v>0.29783340000000003</v>
      </c>
      <c r="N8378">
        <v>-1.383823E-2</v>
      </c>
      <c r="O8378">
        <v>0.95451750000000002</v>
      </c>
      <c r="P8378">
        <v>9.7635150000000004E-2</v>
      </c>
      <c r="Q8378">
        <v>-0.147593899999999</v>
      </c>
      <c r="R8378">
        <v>0.98421720000000001</v>
      </c>
      <c r="S8378">
        <v>0.1200867</v>
      </c>
      <c r="T8378">
        <v>-0.40353489999999997</v>
      </c>
      <c r="U8378">
        <v>2.9765929999999998</v>
      </c>
      <c r="V8378">
        <v>-0.198965</v>
      </c>
      <c r="W8378">
        <v>-0.13564370000000001</v>
      </c>
      <c r="X8378">
        <v>0.97057389999999999</v>
      </c>
      <c r="Y8378">
        <v>-0.25907190000000002</v>
      </c>
      <c r="Z8378">
        <v>-0.1092581</v>
      </c>
      <c r="AA8378">
        <v>0.95965849999999997</v>
      </c>
      <c r="AB8378">
        <v>18</v>
      </c>
      <c r="AC8378">
        <v>0.28659999999999197</v>
      </c>
      <c r="AD8378">
        <v>-1.1238357476106</v>
      </c>
      <c r="AE8378">
        <v>8.1129899999999999</v>
      </c>
      <c r="AF8378">
        <v>-2.1026630737926602</v>
      </c>
      <c r="AG8378">
        <v>-1.1238357476106</v>
      </c>
      <c r="AH8378">
        <v>7.6828604112312497</v>
      </c>
      <c r="AI8378">
        <v>98.030838979575094</v>
      </c>
      <c r="AJ8378">
        <v>105.30603828764301</v>
      </c>
      <c r="AK8378">
        <v>8.0442863504454607</v>
      </c>
      <c r="AL8378">
        <v>97.795843656117697</v>
      </c>
      <c r="AM8378">
        <v>101.584976125079</v>
      </c>
      <c r="AN8378">
        <v>0.99999998996794903</v>
      </c>
    </row>
    <row r="8379" spans="1:40" x14ac:dyDescent="0.25">
      <c r="A8379" t="str">
        <f>"20190303154340944"</f>
        <v>20190303154340944</v>
      </c>
      <c r="B8379" t="str">
        <f>"1551599020938021"</f>
        <v>1551599020938021</v>
      </c>
      <c r="C8379" t="s">
        <v>40</v>
      </c>
      <c r="D8379">
        <v>5.907718</v>
      </c>
      <c r="E8379">
        <v>0.50148499999999996</v>
      </c>
      <c r="F8379" t="s">
        <v>41</v>
      </c>
      <c r="G8379">
        <v>-189.9134</v>
      </c>
      <c r="H8379" s="1">
        <v>-8.283923E-7</v>
      </c>
      <c r="I8379">
        <v>-38.472000000000001</v>
      </c>
      <c r="J8379">
        <v>-190.17420000000001</v>
      </c>
      <c r="K8379">
        <v>1.1238090000000001</v>
      </c>
      <c r="L8379">
        <v>-46.610900000000001</v>
      </c>
      <c r="M8379">
        <v>0.29213509999999998</v>
      </c>
      <c r="N8379">
        <v>-1.3905829999999999E-2</v>
      </c>
      <c r="O8379">
        <v>0.95627600000000001</v>
      </c>
      <c r="P8379">
        <v>9.3098799999999995E-2</v>
      </c>
      <c r="Q8379">
        <v>-0.1469799</v>
      </c>
      <c r="R8379">
        <v>0.98474839999999997</v>
      </c>
      <c r="S8379">
        <v>0.1083527</v>
      </c>
      <c r="T8379">
        <v>-0.4033197</v>
      </c>
      <c r="U8379">
        <v>2.9768680000000001</v>
      </c>
      <c r="V8379">
        <v>-0.1976919</v>
      </c>
      <c r="W8379">
        <v>-0.13493620000000001</v>
      </c>
      <c r="X8379">
        <v>0.97093260000000003</v>
      </c>
      <c r="Y8379">
        <v>-0.25709480000000001</v>
      </c>
      <c r="Z8379">
        <v>-0.1095008</v>
      </c>
      <c r="AA8379">
        <v>0.96016239999999997</v>
      </c>
      <c r="AB8379">
        <v>18</v>
      </c>
      <c r="AC8379">
        <v>0.26080000000001702</v>
      </c>
      <c r="AD8379">
        <v>-1.1238098283922999</v>
      </c>
      <c r="AE8379">
        <v>8.1388999999999996</v>
      </c>
      <c r="AF8379">
        <v>-2.0886857621547201</v>
      </c>
      <c r="AG8379">
        <v>-1.1238098283922999</v>
      </c>
      <c r="AH8379">
        <v>7.7130783603439799</v>
      </c>
      <c r="AI8379">
        <v>98.005376614117495</v>
      </c>
      <c r="AJ8379">
        <v>105.152178942116</v>
      </c>
      <c r="AK8379">
        <v>8.0695188540721308</v>
      </c>
      <c r="AL8379">
        <v>97.754930742603094</v>
      </c>
      <c r="AM8379">
        <v>101.508693920808</v>
      </c>
      <c r="AN8379">
        <v>0.99999998956940495</v>
      </c>
    </row>
    <row r="8380" spans="1:40" x14ac:dyDescent="0.25">
      <c r="A8380" t="str">
        <f>"20190303154340967"</f>
        <v>20190303154340967</v>
      </c>
      <c r="B8380" t="str">
        <f>"1551599020958516"</f>
        <v>1551599020958516</v>
      </c>
      <c r="C8380" t="s">
        <v>40</v>
      </c>
      <c r="D8380">
        <v>5.9343969999999997</v>
      </c>
      <c r="E8380">
        <v>0.5020983</v>
      </c>
      <c r="F8380" t="s">
        <v>41</v>
      </c>
      <c r="G8380">
        <v>-188.98429999999999</v>
      </c>
      <c r="H8380" s="1">
        <v>-2.6847319999999999E-6</v>
      </c>
      <c r="I8380">
        <v>-34.529020000000003</v>
      </c>
      <c r="J8380">
        <v>-190.12970000000001</v>
      </c>
      <c r="K8380">
        <v>1.1237809999999999</v>
      </c>
      <c r="L8380">
        <v>-46.438389999999998</v>
      </c>
      <c r="M8380">
        <v>0.28588469999999999</v>
      </c>
      <c r="N8380">
        <v>-1.3970369999999999E-2</v>
      </c>
      <c r="O8380">
        <v>0.95816219999999996</v>
      </c>
      <c r="P8380">
        <v>8.8216569999999994E-2</v>
      </c>
      <c r="Q8380">
        <v>-0.1474404</v>
      </c>
      <c r="R8380">
        <v>0.98512900000000003</v>
      </c>
      <c r="S8380">
        <v>0.29322809999999999</v>
      </c>
      <c r="T8380">
        <v>-0.27694819999999998</v>
      </c>
      <c r="U8380">
        <v>2.977417</v>
      </c>
      <c r="V8380">
        <v>-0.19615479999999999</v>
      </c>
      <c r="W8380">
        <v>-0.13530619999999999</v>
      </c>
      <c r="X8380">
        <v>0.97119279999999997</v>
      </c>
      <c r="Y8380">
        <v>-0.19072800000000001</v>
      </c>
      <c r="Z8380">
        <v>-7.2077310000000006E-2</v>
      </c>
      <c r="AA8380">
        <v>0.97899320000000001</v>
      </c>
      <c r="AB8380">
        <v>18</v>
      </c>
      <c r="AC8380">
        <v>1.14540000000002</v>
      </c>
      <c r="AD8380">
        <v>-1.123783684732</v>
      </c>
      <c r="AE8380">
        <v>11.909369999999999</v>
      </c>
      <c r="AF8380">
        <v>-2.2872734776221599</v>
      </c>
      <c r="AG8380">
        <v>-1.123783684732</v>
      </c>
      <c r="AH8380">
        <v>11.6370387941527</v>
      </c>
      <c r="AI8380">
        <v>95.412989226684303</v>
      </c>
      <c r="AJ8380">
        <v>101.11980326451901</v>
      </c>
      <c r="AK8380">
        <v>11.912815856384199</v>
      </c>
      <c r="AL8380">
        <v>97.776326598983104</v>
      </c>
      <c r="AM8380">
        <v>101.418592164393</v>
      </c>
      <c r="AN8380">
        <v>0.99999996404665903</v>
      </c>
    </row>
    <row r="8381" spans="1:40" x14ac:dyDescent="0.25">
      <c r="A8381" t="str">
        <f>"20190303154341011"</f>
        <v>20190303154341011</v>
      </c>
      <c r="B8381" t="str">
        <f>"1551599021008292"</f>
        <v>1551599021008292</v>
      </c>
      <c r="C8381" t="s">
        <v>40</v>
      </c>
      <c r="D8381">
        <v>5.9032530000000003</v>
      </c>
      <c r="E8381">
        <v>0.50382360000000004</v>
      </c>
      <c r="F8381" t="s">
        <v>41</v>
      </c>
      <c r="G8381">
        <v>-188.93270000000001</v>
      </c>
      <c r="H8381" s="1">
        <v>-2.984134E-6</v>
      </c>
      <c r="I8381">
        <v>-33.852440000000001</v>
      </c>
      <c r="J8381">
        <v>-190.047</v>
      </c>
      <c r="K8381">
        <v>1.123723</v>
      </c>
      <c r="L8381">
        <v>-46.105130000000003</v>
      </c>
      <c r="M8381">
        <v>0.27392939999999999</v>
      </c>
      <c r="N8381">
        <v>-1.406845E-2</v>
      </c>
      <c r="O8381">
        <v>0.96164689999999997</v>
      </c>
      <c r="P8381">
        <v>7.7565949999999995E-2</v>
      </c>
      <c r="Q8381">
        <v>-0.15007319999999999</v>
      </c>
      <c r="R8381">
        <v>0.98562749999999999</v>
      </c>
      <c r="S8381">
        <v>0.28343200000000002</v>
      </c>
      <c r="T8381">
        <v>-0.26608710000000002</v>
      </c>
      <c r="U8381">
        <v>2.9800719999999998</v>
      </c>
      <c r="V8381">
        <v>-0.19444890000000001</v>
      </c>
      <c r="W8381">
        <v>-0.13780519999999999</v>
      </c>
      <c r="X8381">
        <v>0.97118450000000001</v>
      </c>
      <c r="Y8381">
        <v>-0.181759</v>
      </c>
      <c r="Z8381">
        <v>-6.9098240000000005E-2</v>
      </c>
      <c r="AA8381">
        <v>0.98091240000000002</v>
      </c>
      <c r="AB8381">
        <v>18</v>
      </c>
      <c r="AC8381">
        <v>1.1142999999999801</v>
      </c>
      <c r="AD8381">
        <v>-1.1237259841339999</v>
      </c>
      <c r="AE8381">
        <v>12.2526899999999</v>
      </c>
      <c r="AF8381">
        <v>-2.26613049838656</v>
      </c>
      <c r="AG8381">
        <v>-1.1237259841339999</v>
      </c>
      <c r="AH8381">
        <v>11.9891811162518</v>
      </c>
      <c r="AI8381">
        <v>95.261960505271503</v>
      </c>
      <c r="AJ8381">
        <v>100.70346619961801</v>
      </c>
      <c r="AK8381">
        <v>12.253104560127699</v>
      </c>
      <c r="AL8381">
        <v>97.920862544595394</v>
      </c>
      <c r="AM8381">
        <v>101.321958030277</v>
      </c>
      <c r="AN8381">
        <v>0.99999999044925003</v>
      </c>
    </row>
    <row r="8382" spans="1:40" x14ac:dyDescent="0.25">
      <c r="A8382" t="str">
        <f>"20190303154341034"</f>
        <v>20190303154341034</v>
      </c>
      <c r="B8382" t="str">
        <f>"1551599021028788"</f>
        <v>1551599021028788</v>
      </c>
      <c r="C8382" t="s">
        <v>40</v>
      </c>
      <c r="D8382">
        <v>5.9540030000000002</v>
      </c>
      <c r="E8382">
        <v>0.50480800000000003</v>
      </c>
      <c r="F8382" t="s">
        <v>41</v>
      </c>
      <c r="G8382">
        <v>-188.94839999999999</v>
      </c>
      <c r="H8382" s="1">
        <v>-3.0239119999999999E-6</v>
      </c>
      <c r="I8382">
        <v>-33.7532</v>
      </c>
      <c r="J8382">
        <v>-190.00550000000001</v>
      </c>
      <c r="K8382">
        <v>1.12369599999999</v>
      </c>
      <c r="L8382">
        <v>-45.931370000000001</v>
      </c>
      <c r="M8382">
        <v>0.26775009999999999</v>
      </c>
      <c r="N8382">
        <v>-1.410759E-2</v>
      </c>
      <c r="O8382">
        <v>0.96338509999999999</v>
      </c>
      <c r="P8382">
        <v>7.2010809999999995E-2</v>
      </c>
      <c r="Q8382">
        <v>-0.149899</v>
      </c>
      <c r="R8382">
        <v>0.98607540000000005</v>
      </c>
      <c r="S8382">
        <v>0.26518249999999999</v>
      </c>
      <c r="T8382">
        <v>-0.2712502</v>
      </c>
      <c r="U8382">
        <v>2.9815670000000001</v>
      </c>
      <c r="V8382">
        <v>-0.19370780000000001</v>
      </c>
      <c r="W8382">
        <v>-0.13756940000000001</v>
      </c>
      <c r="X8382">
        <v>0.97136599999999995</v>
      </c>
      <c r="Y8382">
        <v>-0.18145430000000001</v>
      </c>
      <c r="Z8382">
        <v>-7.085901E-2</v>
      </c>
      <c r="AA8382">
        <v>0.98084320000000003</v>
      </c>
      <c r="AB8382">
        <v>18</v>
      </c>
      <c r="AC8382">
        <v>1.0571000000000099</v>
      </c>
      <c r="AD8382">
        <v>-1.1236990239119899</v>
      </c>
      <c r="AE8382">
        <v>12.17817</v>
      </c>
      <c r="AF8382">
        <v>-2.22374356241464</v>
      </c>
      <c r="AG8382">
        <v>-1.1236990239119899</v>
      </c>
      <c r="AH8382">
        <v>11.915809015028699</v>
      </c>
      <c r="AI8382">
        <v>95.2963374802532</v>
      </c>
      <c r="AJ8382">
        <v>100.571010642011</v>
      </c>
      <c r="AK8382">
        <v>12.173505633561801</v>
      </c>
      <c r="AL8382">
        <v>97.907222379253199</v>
      </c>
      <c r="AM8382">
        <v>101.27786160193</v>
      </c>
      <c r="AN8382">
        <v>0.99999997877659896</v>
      </c>
    </row>
    <row r="8383" spans="1:40" x14ac:dyDescent="0.25">
      <c r="A8383" t="str">
        <f>"20190303154341057"</f>
        <v>20190303154341057</v>
      </c>
      <c r="B8383" t="str">
        <f>"1551599021048308"</f>
        <v>1551599021048308</v>
      </c>
      <c r="C8383" t="s">
        <v>40</v>
      </c>
      <c r="D8383">
        <v>5.939724</v>
      </c>
      <c r="E8383">
        <v>0.51057029999999903</v>
      </c>
      <c r="F8383" t="s">
        <v>41</v>
      </c>
      <c r="G8383">
        <v>-188.93629999999999</v>
      </c>
      <c r="H8383" s="1">
        <v>-3.1376350000000002E-6</v>
      </c>
      <c r="I8383">
        <v>-33.493130000000001</v>
      </c>
      <c r="J8383">
        <v>-189.9675</v>
      </c>
      <c r="K8383">
        <v>1.123664</v>
      </c>
      <c r="L8383">
        <v>-45.767879999999998</v>
      </c>
      <c r="M8383">
        <v>0.26197340000000002</v>
      </c>
      <c r="N8383">
        <v>-1.4138110000000001E-2</v>
      </c>
      <c r="O8383">
        <v>0.96497149999999998</v>
      </c>
      <c r="P8383">
        <v>6.5910819999999995E-2</v>
      </c>
      <c r="Q8383">
        <v>-0.14958469999999999</v>
      </c>
      <c r="R8383">
        <v>0.98654960000000003</v>
      </c>
      <c r="S8383">
        <v>0.25639339999999999</v>
      </c>
      <c r="T8383">
        <v>-0.2694609</v>
      </c>
      <c r="U8383">
        <v>2.982666</v>
      </c>
      <c r="V8383">
        <v>-0.19392129999999999</v>
      </c>
      <c r="W8383">
        <v>-0.13721140000000001</v>
      </c>
      <c r="X8383">
        <v>0.97137399999999996</v>
      </c>
      <c r="Y8383">
        <v>-0.17846239999999999</v>
      </c>
      <c r="Z8383">
        <v>-7.0480520000000005E-2</v>
      </c>
      <c r="AA8383">
        <v>0.98141920000000005</v>
      </c>
      <c r="AB8383">
        <v>18</v>
      </c>
      <c r="AC8383">
        <v>1.0312000000000101</v>
      </c>
      <c r="AD8383">
        <v>-1.123667137635</v>
      </c>
      <c r="AE8383">
        <v>12.2747499999999</v>
      </c>
      <c r="AF8383">
        <v>-2.2024737712474098</v>
      </c>
      <c r="AG8383">
        <v>-1.123667137635</v>
      </c>
      <c r="AH8383">
        <v>12.016151169897199</v>
      </c>
      <c r="AI8383">
        <v>95.255319915229506</v>
      </c>
      <c r="AJ8383">
        <v>100.386609906448</v>
      </c>
      <c r="AK8383">
        <v>12.267901511141</v>
      </c>
      <c r="AL8383">
        <v>97.886514393551494</v>
      </c>
      <c r="AM8383">
        <v>101.28988209376401</v>
      </c>
      <c r="AN8383">
        <v>0.99999994337982301</v>
      </c>
    </row>
    <row r="8384" spans="1:40" x14ac:dyDescent="0.25">
      <c r="A8384" t="str">
        <f>"20190303154341078"</f>
        <v>20190303154341078</v>
      </c>
      <c r="B8384" t="str">
        <f>"1551599021068806"</f>
        <v>1551599021068806</v>
      </c>
      <c r="C8384" t="s">
        <v>40</v>
      </c>
      <c r="D8384">
        <v>5.9399860000000002</v>
      </c>
      <c r="E8384">
        <v>0.51080139999999996</v>
      </c>
      <c r="F8384" t="s">
        <v>41</v>
      </c>
      <c r="G8384">
        <v>-188.68260000000001</v>
      </c>
      <c r="H8384" s="1">
        <v>-3.7101019999999999E-6</v>
      </c>
      <c r="I8384">
        <v>-32.263599999999997</v>
      </c>
      <c r="J8384">
        <v>-189.92850000000001</v>
      </c>
      <c r="K8384">
        <v>1.123637</v>
      </c>
      <c r="L8384">
        <v>-45.594999999999999</v>
      </c>
      <c r="M8384">
        <v>0.25590800000000002</v>
      </c>
      <c r="N8384">
        <v>-1.416443E-2</v>
      </c>
      <c r="O8384">
        <v>0.96659740000000005</v>
      </c>
      <c r="P8384">
        <v>5.9638320000000002E-2</v>
      </c>
      <c r="Q8384">
        <v>-0.14856279999999999</v>
      </c>
      <c r="R8384">
        <v>0.98710299999999995</v>
      </c>
      <c r="S8384">
        <v>0.2839508</v>
      </c>
      <c r="T8384">
        <v>-0.24831700000000001</v>
      </c>
      <c r="U8384">
        <v>2.984283</v>
      </c>
      <c r="V8384">
        <v>-0.19405339999999999</v>
      </c>
      <c r="W8384">
        <v>-0.13614770000000001</v>
      </c>
      <c r="X8384">
        <v>0.97149739999999996</v>
      </c>
      <c r="Y8384">
        <v>-0.1632989</v>
      </c>
      <c r="Z8384">
        <v>-6.4119380000000004E-2</v>
      </c>
      <c r="AA8384">
        <v>0.9844908</v>
      </c>
      <c r="AB8384">
        <v>18</v>
      </c>
      <c r="AC8384">
        <v>1.2459</v>
      </c>
      <c r="AD8384">
        <v>-1.1236407101019901</v>
      </c>
      <c r="AE8384">
        <v>13.3314</v>
      </c>
      <c r="AF8384">
        <v>-2.1921116545847599</v>
      </c>
      <c r="AG8384">
        <v>-1.1236407101019901</v>
      </c>
      <c r="AH8384">
        <v>13.113902126745799</v>
      </c>
      <c r="AI8384">
        <v>94.830622166780998</v>
      </c>
      <c r="AJ8384">
        <v>99.489787021523199</v>
      </c>
      <c r="AK8384">
        <v>13.3432511383633</v>
      </c>
      <c r="AL8384">
        <v>97.824990588794094</v>
      </c>
      <c r="AM8384">
        <v>101.29597698319201</v>
      </c>
      <c r="AN8384">
        <v>1.0000000582368</v>
      </c>
    </row>
    <row r="8385" spans="1:40" x14ac:dyDescent="0.25">
      <c r="A8385" t="str">
        <f>"20190303154341102"</f>
        <v>20190303154341102</v>
      </c>
      <c r="B8385" t="str">
        <f>"1551599021098084"</f>
        <v>1551599021098084</v>
      </c>
      <c r="C8385" t="s">
        <v>40</v>
      </c>
      <c r="D8385">
        <v>5.9203659999999996</v>
      </c>
      <c r="E8385">
        <v>0.51148679999999902</v>
      </c>
      <c r="F8385" t="s">
        <v>41</v>
      </c>
      <c r="G8385">
        <v>-188.7276</v>
      </c>
      <c r="H8385" s="1">
        <v>-3.7465850000000001E-6</v>
      </c>
      <c r="I8385">
        <v>-32.159970000000001</v>
      </c>
      <c r="J8385">
        <v>-189.89</v>
      </c>
      <c r="K8385">
        <v>1.1236250000000001</v>
      </c>
      <c r="L8385">
        <v>-45.41986</v>
      </c>
      <c r="M8385">
        <v>0.2497993</v>
      </c>
      <c r="N8385">
        <v>-1.418634E-2</v>
      </c>
      <c r="O8385">
        <v>0.96819370000000005</v>
      </c>
      <c r="P8385">
        <v>5.2795130000000003E-2</v>
      </c>
      <c r="Q8385">
        <v>-0.1479365</v>
      </c>
      <c r="R8385">
        <v>0.98758670000000004</v>
      </c>
      <c r="S8385">
        <v>0.26686100000000001</v>
      </c>
      <c r="T8385">
        <v>-0.2496932</v>
      </c>
      <c r="U8385">
        <v>2.9855040000000002</v>
      </c>
      <c r="V8385">
        <v>-0.19468759999999999</v>
      </c>
      <c r="W8385">
        <v>-0.13549229999999901</v>
      </c>
      <c r="X8385">
        <v>0.9714621</v>
      </c>
      <c r="Y8385">
        <v>-0.16269800000000001</v>
      </c>
      <c r="Z8385">
        <v>-6.4703209999999997E-2</v>
      </c>
      <c r="AA8385">
        <v>0.98455210000000004</v>
      </c>
      <c r="AB8385">
        <v>18</v>
      </c>
      <c r="AC8385">
        <v>1.1623999999999901</v>
      </c>
      <c r="AD8385">
        <v>-1.1236287465849999</v>
      </c>
      <c r="AE8385">
        <v>13.25989</v>
      </c>
      <c r="AF8385">
        <v>-2.1716281368035801</v>
      </c>
      <c r="AG8385">
        <v>-1.1236287465849999</v>
      </c>
      <c r="AH8385">
        <v>13.0369298852785</v>
      </c>
      <c r="AI8385">
        <v>94.859414033473001</v>
      </c>
      <c r="AJ8385">
        <v>99.457218558324996</v>
      </c>
      <c r="AK8385">
        <v>13.264239562009401</v>
      </c>
      <c r="AL8385">
        <v>97.7870880230941</v>
      </c>
      <c r="AM8385">
        <v>101.33234157290001</v>
      </c>
      <c r="AN8385">
        <v>1.00000001834473</v>
      </c>
    </row>
    <row r="8386" spans="1:40" x14ac:dyDescent="0.25">
      <c r="A8386" t="str">
        <f>"20190303154341126"</f>
        <v>20190303154341126</v>
      </c>
      <c r="B8386" t="str">
        <f>"1551599021118580"</f>
        <v>1551599021118580</v>
      </c>
      <c r="C8386" t="s">
        <v>40</v>
      </c>
      <c r="D8386">
        <v>5.8847740000000002</v>
      </c>
      <c r="E8386">
        <v>0.51226499999999997</v>
      </c>
      <c r="F8386" t="s">
        <v>41</v>
      </c>
      <c r="G8386">
        <v>-188.74639999999999</v>
      </c>
      <c r="H8386" s="1">
        <v>-3.8745790000000002E-6</v>
      </c>
      <c r="I8386">
        <v>-31.8538</v>
      </c>
      <c r="J8386">
        <v>-189.8526</v>
      </c>
      <c r="K8386">
        <v>1.1236109999999999</v>
      </c>
      <c r="L8386">
        <v>-45.244720000000001</v>
      </c>
      <c r="M8386">
        <v>0.2437242</v>
      </c>
      <c r="N8386">
        <v>-1.420421E-2</v>
      </c>
      <c r="O8386">
        <v>0.96974059999999995</v>
      </c>
      <c r="P8386">
        <v>4.6224660000000001E-2</v>
      </c>
      <c r="Q8386">
        <v>-0.148040899999999</v>
      </c>
      <c r="R8386">
        <v>0.98790040000000001</v>
      </c>
      <c r="S8386">
        <v>0.25180049999999998</v>
      </c>
      <c r="T8386">
        <v>-0.24741779999999999</v>
      </c>
      <c r="U8386">
        <v>2.9871829999999999</v>
      </c>
      <c r="V8386">
        <v>-0.1950606</v>
      </c>
      <c r="W8386">
        <v>-0.13557330000000001</v>
      </c>
      <c r="X8386">
        <v>0.97137589999999996</v>
      </c>
      <c r="Y8386">
        <v>-0.16148579999999901</v>
      </c>
      <c r="Z8386">
        <v>-6.413054E-2</v>
      </c>
      <c r="AA8386">
        <v>0.98478909999999997</v>
      </c>
      <c r="AB8386">
        <v>18</v>
      </c>
      <c r="AC8386">
        <v>1.1062000000000001</v>
      </c>
      <c r="AD8386">
        <v>-1.123614874579</v>
      </c>
      <c r="AE8386">
        <v>13.390919999999999</v>
      </c>
      <c r="AF8386">
        <v>-2.1759687421700802</v>
      </c>
      <c r="AG8386">
        <v>-1.123614874579</v>
      </c>
      <c r="AH8386">
        <v>13.1646039574059</v>
      </c>
      <c r="AI8386">
        <v>94.813443981202596</v>
      </c>
      <c r="AJ8386">
        <v>99.385523114686407</v>
      </c>
      <c r="AK8386">
        <v>13.3904498695385</v>
      </c>
      <c r="AL8386">
        <v>97.7917727524962</v>
      </c>
      <c r="AM8386">
        <v>101.354471048498</v>
      </c>
      <c r="AN8386">
        <v>0.99999994822302796</v>
      </c>
    </row>
    <row r="8387" spans="1:40" x14ac:dyDescent="0.25">
      <c r="A8387" t="str">
        <f>"20190303154341146"</f>
        <v>20190303154341146</v>
      </c>
      <c r="B8387" t="str">
        <f>"1551599021138100"</f>
        <v>1551599021138100</v>
      </c>
      <c r="C8387" t="s">
        <v>40</v>
      </c>
      <c r="D8387">
        <v>5.9166879999999997</v>
      </c>
      <c r="E8387">
        <v>0.51274310000000001</v>
      </c>
      <c r="F8387" t="s">
        <v>41</v>
      </c>
      <c r="G8387">
        <v>-188.75280000000001</v>
      </c>
      <c r="H8387" s="1">
        <v>-4.0455870000000001E-6</v>
      </c>
      <c r="I8387">
        <v>-31.452529999999999</v>
      </c>
      <c r="J8387">
        <v>-189.81870000000001</v>
      </c>
      <c r="K8387">
        <v>1.123594</v>
      </c>
      <c r="L8387">
        <v>-45.081479999999999</v>
      </c>
      <c r="M8387">
        <v>0.23808840000000001</v>
      </c>
      <c r="N8387">
        <v>-1.4217759999999999E-2</v>
      </c>
      <c r="O8387">
        <v>0.97113939999999999</v>
      </c>
      <c r="P8387">
        <v>4.0690650000000002E-2</v>
      </c>
      <c r="Q8387">
        <v>-0.14830969999999999</v>
      </c>
      <c r="R8387">
        <v>0.98810350000000002</v>
      </c>
      <c r="S8387">
        <v>0.23834230000000001</v>
      </c>
      <c r="T8387">
        <v>-0.24351500000000001</v>
      </c>
      <c r="U8387">
        <v>2.9891049999999999</v>
      </c>
      <c r="V8387">
        <v>-0.19485479999999999</v>
      </c>
      <c r="W8387">
        <v>-0.1358201</v>
      </c>
      <c r="X8387">
        <v>0.97138279999999999</v>
      </c>
      <c r="Y8387">
        <v>-0.1602083</v>
      </c>
      <c r="Z8387">
        <v>-6.3021779999999999E-2</v>
      </c>
      <c r="AA8387">
        <v>0.98506930000000004</v>
      </c>
      <c r="AB8387">
        <v>17</v>
      </c>
      <c r="AC8387">
        <v>1.0658999999999901</v>
      </c>
      <c r="AD8387">
        <v>-1.123598045587</v>
      </c>
      <c r="AE8387">
        <v>13.62895</v>
      </c>
      <c r="AF8387">
        <v>-2.1951517779110401</v>
      </c>
      <c r="AG8387">
        <v>-1.123598045587</v>
      </c>
      <c r="AH8387">
        <v>13.400229151696401</v>
      </c>
      <c r="AI8387">
        <v>94.730235278525797</v>
      </c>
      <c r="AJ8387">
        <v>99.303248357365007</v>
      </c>
      <c r="AK8387">
        <v>13.625245143265801</v>
      </c>
      <c r="AL8387">
        <v>97.806044816126203</v>
      </c>
      <c r="AM8387">
        <v>101.342723669777</v>
      </c>
      <c r="AN8387">
        <v>1.0000000183914399</v>
      </c>
    </row>
    <row r="8388" spans="1:40" x14ac:dyDescent="0.25">
      <c r="A8388" t="str">
        <f>"20190303154341169"</f>
        <v>20190303154341169</v>
      </c>
      <c r="B8388" t="str">
        <f>"1551599021158597"</f>
        <v>1551599021158597</v>
      </c>
      <c r="C8388" t="s">
        <v>40</v>
      </c>
      <c r="D8388">
        <v>5.8807390000000002</v>
      </c>
      <c r="E8388">
        <v>0.51333459999999997</v>
      </c>
      <c r="F8388" t="s">
        <v>41</v>
      </c>
      <c r="G8388">
        <v>-188.77440000000001</v>
      </c>
      <c r="H8388" s="1">
        <v>-4.1319119999999997E-6</v>
      </c>
      <c r="I8388">
        <v>-31.242370000000001</v>
      </c>
      <c r="J8388">
        <v>-189.7852</v>
      </c>
      <c r="K8388">
        <v>1.1235839999999999</v>
      </c>
      <c r="L8388">
        <v>-44.915469999999999</v>
      </c>
      <c r="M8388">
        <v>0.23237940000000001</v>
      </c>
      <c r="N8388">
        <v>-1.4228899999999999E-2</v>
      </c>
      <c r="O8388">
        <v>0.97252110000000003</v>
      </c>
      <c r="P8388">
        <v>3.5405550000000001E-2</v>
      </c>
      <c r="Q8388">
        <v>-0.1490602</v>
      </c>
      <c r="R8388">
        <v>0.98819400000000002</v>
      </c>
      <c r="S8388">
        <v>0.22564699999999999</v>
      </c>
      <c r="T8388">
        <v>-0.24278959999999999</v>
      </c>
      <c r="U8388">
        <v>2.9903870000000001</v>
      </c>
      <c r="V8388">
        <v>-0.1943182</v>
      </c>
      <c r="W8388">
        <v>-0.13654929999999901</v>
      </c>
      <c r="X8388">
        <v>0.97138800000000003</v>
      </c>
      <c r="Y8388">
        <v>-0.15860079999999999</v>
      </c>
      <c r="Z8388">
        <v>-6.2928339999999999E-2</v>
      </c>
      <c r="AA8388">
        <v>0.98533539999999997</v>
      </c>
      <c r="AB8388">
        <v>17</v>
      </c>
      <c r="AC8388">
        <v>1.0107999999999799</v>
      </c>
      <c r="AD8388">
        <v>-1.123588131912</v>
      </c>
      <c r="AE8388">
        <v>13.6730999999999</v>
      </c>
      <c r="AF8388">
        <v>-2.1799043558448199</v>
      </c>
      <c r="AG8388">
        <v>-1.123588131912</v>
      </c>
      <c r="AH8388">
        <v>13.443351769402399</v>
      </c>
      <c r="AI8388">
        <v>94.716326067565205</v>
      </c>
      <c r="AJ8388">
        <v>99.210616932836302</v>
      </c>
      <c r="AK8388">
        <v>13.665216430291199</v>
      </c>
      <c r="AL8388">
        <v>97.848218263184805</v>
      </c>
      <c r="AM8388">
        <v>101.312235077208</v>
      </c>
      <c r="AN8388">
        <v>0.99999996036286398</v>
      </c>
    </row>
    <row r="8389" spans="1:40" x14ac:dyDescent="0.25">
      <c r="A8389" t="str">
        <f>"20190303154341190"</f>
        <v>20190303154341190</v>
      </c>
      <c r="B8389" t="str">
        <f>"1551599021187876"</f>
        <v>1551599021187876</v>
      </c>
      <c r="C8389" t="s">
        <v>40</v>
      </c>
      <c r="D8389">
        <v>5.8738469999999996</v>
      </c>
      <c r="E8389">
        <v>0.51870059999999996</v>
      </c>
      <c r="F8389" t="s">
        <v>41</v>
      </c>
      <c r="G8389">
        <v>-188.79929999999999</v>
      </c>
      <c r="H8389" s="1">
        <v>-4.1580389999999998E-6</v>
      </c>
      <c r="I8389">
        <v>-31.171199999999999</v>
      </c>
      <c r="J8389">
        <v>-189.7535</v>
      </c>
      <c r="K8389">
        <v>1.123578</v>
      </c>
      <c r="L8389">
        <v>-44.753140000000002</v>
      </c>
      <c r="M8389">
        <v>0.2268106</v>
      </c>
      <c r="N8389">
        <v>-1.4237690000000001E-2</v>
      </c>
      <c r="O8389">
        <v>0.9738348</v>
      </c>
      <c r="P8389">
        <v>3.1259370000000002E-2</v>
      </c>
      <c r="Q8389">
        <v>-0.1497222</v>
      </c>
      <c r="R8389">
        <v>0.98823380000000005</v>
      </c>
      <c r="S8389">
        <v>0.21458440000000001</v>
      </c>
      <c r="T8389">
        <v>-0.24453520000000001</v>
      </c>
      <c r="U8389">
        <v>2.9912719999999999</v>
      </c>
      <c r="V8389">
        <v>-0.19281490000000001</v>
      </c>
      <c r="W8389">
        <v>-0.1371839</v>
      </c>
      <c r="X8389">
        <v>0.97159810000000002</v>
      </c>
      <c r="Y8389">
        <v>-0.15660079999999901</v>
      </c>
      <c r="Z8389">
        <v>-6.3620839999999998E-2</v>
      </c>
      <c r="AA8389">
        <v>0.98561080000000001</v>
      </c>
      <c r="AB8389">
        <v>17</v>
      </c>
      <c r="AC8389">
        <v>0.95420000000001404</v>
      </c>
      <c r="AD8389">
        <v>-1.123582158039</v>
      </c>
      <c r="AE8389">
        <v>13.581939999999999</v>
      </c>
      <c r="AF8389">
        <v>-2.1369601778190801</v>
      </c>
      <c r="AG8389">
        <v>-1.123582158039</v>
      </c>
      <c r="AH8389">
        <v>13.353414495261299</v>
      </c>
      <c r="AI8389">
        <v>94.749497729414998</v>
      </c>
      <c r="AJ8389">
        <v>99.092008339709906</v>
      </c>
      <c r="AK8389">
        <v>13.569919467325599</v>
      </c>
      <c r="AL8389">
        <v>97.884923760271704</v>
      </c>
      <c r="AM8389">
        <v>101.22458564836001</v>
      </c>
      <c r="AN8389">
        <v>0.99999993800241305</v>
      </c>
    </row>
    <row r="8390" spans="1:40" x14ac:dyDescent="0.25">
      <c r="A8390" t="str">
        <f>"20190303154341213"</f>
        <v>20190303154341213</v>
      </c>
      <c r="B8390" t="str">
        <f>"1551599021208373"</f>
        <v>1551599021208373</v>
      </c>
      <c r="C8390" t="s">
        <v>40</v>
      </c>
      <c r="D8390">
        <v>5.8649680000000002</v>
      </c>
      <c r="E8390">
        <v>0.5186982</v>
      </c>
      <c r="F8390" t="s">
        <v>41</v>
      </c>
      <c r="G8390">
        <v>-188.6429</v>
      </c>
      <c r="H8390" s="1">
        <v>-4.1802630000000001E-6</v>
      </c>
      <c r="I8390">
        <v>-31.184059999999999</v>
      </c>
      <c r="J8390">
        <v>-189.7227</v>
      </c>
      <c r="K8390">
        <v>1.1235649999999999</v>
      </c>
      <c r="L8390">
        <v>-44.591030000000003</v>
      </c>
      <c r="M8390">
        <v>0.2212528</v>
      </c>
      <c r="N8390">
        <v>-1.4244939999999999E-2</v>
      </c>
      <c r="O8390">
        <v>0.97511239999999999</v>
      </c>
      <c r="P8390">
        <v>2.796649E-2</v>
      </c>
      <c r="Q8390">
        <v>-0.15021319999999999</v>
      </c>
      <c r="R8390">
        <v>0.98825799999999997</v>
      </c>
      <c r="S8390">
        <v>0.24476619999999999</v>
      </c>
      <c r="T8390">
        <v>-0.2476228</v>
      </c>
      <c r="U8390">
        <v>2.9904480000000002</v>
      </c>
      <c r="V8390">
        <v>-0.1904991</v>
      </c>
      <c r="W8390">
        <v>-0.13764199999999999</v>
      </c>
      <c r="X8390">
        <v>0.97199009999999997</v>
      </c>
      <c r="Y8390">
        <v>-0.14105770000000001</v>
      </c>
      <c r="Z8390">
        <v>-6.4848310000000006E-2</v>
      </c>
      <c r="AA8390">
        <v>0.98787519999999995</v>
      </c>
      <c r="AB8390">
        <v>17</v>
      </c>
      <c r="AC8390">
        <v>1.0798000000000001</v>
      </c>
      <c r="AD8390">
        <v>-1.1235691802629999</v>
      </c>
      <c r="AE8390">
        <v>13.4069699999999</v>
      </c>
      <c r="AF8390">
        <v>-1.9003369965433199</v>
      </c>
      <c r="AG8390">
        <v>-1.1235691802629999</v>
      </c>
      <c r="AH8390">
        <v>13.2213047754874</v>
      </c>
      <c r="AI8390">
        <v>94.808244882043098</v>
      </c>
      <c r="AJ8390">
        <v>98.179272163461903</v>
      </c>
      <c r="AK8390">
        <v>13.404349606362601</v>
      </c>
      <c r="AL8390">
        <v>97.911421907214404</v>
      </c>
      <c r="AM8390">
        <v>101.08877340018</v>
      </c>
      <c r="AN8390">
        <v>0.99999999088140901</v>
      </c>
    </row>
    <row r="8391" spans="1:40" x14ac:dyDescent="0.25">
      <c r="A8391" t="str">
        <f>"20190303154341235"</f>
        <v>20190303154341235</v>
      </c>
      <c r="B8391" t="str">
        <f>"1551599021227894"</f>
        <v>1551599021227894</v>
      </c>
      <c r="C8391" t="s">
        <v>40</v>
      </c>
      <c r="D8391">
        <v>5.86571</v>
      </c>
      <c r="E8391">
        <v>0.51922639999999998</v>
      </c>
      <c r="F8391" t="s">
        <v>41</v>
      </c>
      <c r="G8391">
        <v>-188.65889999999999</v>
      </c>
      <c r="H8391" s="1">
        <v>-4.2292650000000004E-6</v>
      </c>
      <c r="I8391">
        <v>-31.06324</v>
      </c>
      <c r="J8391">
        <v>-189.69130000000001</v>
      </c>
      <c r="K8391">
        <v>1.12355</v>
      </c>
      <c r="L8391">
        <v>-44.420439999999999</v>
      </c>
      <c r="M8391">
        <v>0.2154045</v>
      </c>
      <c r="N8391">
        <v>-1.4251349999999999E-2</v>
      </c>
      <c r="O8391">
        <v>0.97642090000000004</v>
      </c>
      <c r="P8391">
        <v>2.513986E-2</v>
      </c>
      <c r="Q8391">
        <v>-0.15180979999999999</v>
      </c>
      <c r="R8391">
        <v>0.98809000000000002</v>
      </c>
      <c r="S8391">
        <v>0.2352448</v>
      </c>
      <c r="T8391">
        <v>-0.24844160000000001</v>
      </c>
      <c r="U8391">
        <v>2.991241</v>
      </c>
      <c r="V8391">
        <v>-0.18739890000000001</v>
      </c>
      <c r="W8391">
        <v>-0.13920270000000001</v>
      </c>
      <c r="X8391">
        <v>0.97237039999999997</v>
      </c>
      <c r="Y8391">
        <v>-0.13827300000000001</v>
      </c>
      <c r="Z8391">
        <v>-6.5259410000000004E-2</v>
      </c>
      <c r="AA8391">
        <v>0.98824179999999995</v>
      </c>
      <c r="AB8391">
        <v>17</v>
      </c>
      <c r="AC8391">
        <v>1.03240000000002</v>
      </c>
      <c r="AD8391">
        <v>-1.12355422926499</v>
      </c>
      <c r="AE8391">
        <v>13.357199999999899</v>
      </c>
      <c r="AF8391">
        <v>-1.8562778172340599</v>
      </c>
      <c r="AG8391">
        <v>-1.12355422926499</v>
      </c>
      <c r="AH8391">
        <v>13.1733258934345</v>
      </c>
      <c r="AI8391">
        <v>94.827501070201194</v>
      </c>
      <c r="AJ8391">
        <v>98.020845206899807</v>
      </c>
      <c r="AK8391">
        <v>13.350829807000199</v>
      </c>
      <c r="AL8391">
        <v>98.001712835206604</v>
      </c>
      <c r="AM8391">
        <v>100.908515185919</v>
      </c>
      <c r="AN8391">
        <v>0.99999996710232897</v>
      </c>
    </row>
    <row r="8392" spans="1:40" x14ac:dyDescent="0.25">
      <c r="A8392" t="str">
        <f>"20190303154341257"</f>
        <v>20190303154341257</v>
      </c>
      <c r="B8392" t="str">
        <f>"1551599021248389"</f>
        <v>1551599021248389</v>
      </c>
      <c r="C8392" t="s">
        <v>40</v>
      </c>
      <c r="D8392">
        <v>5.8774350000000002</v>
      </c>
      <c r="E8392">
        <v>0.51877299999999904</v>
      </c>
      <c r="F8392" t="s">
        <v>41</v>
      </c>
      <c r="G8392">
        <v>-188.65989999999999</v>
      </c>
      <c r="H8392" s="1">
        <v>-4.2338519999999998E-6</v>
      </c>
      <c r="I8392">
        <v>-31.052099999999999</v>
      </c>
      <c r="J8392">
        <v>-189.66239999999999</v>
      </c>
      <c r="K8392">
        <v>1.1235440000000001</v>
      </c>
      <c r="L8392">
        <v>-44.257199999999997</v>
      </c>
      <c r="M8392">
        <v>0.20980589999999999</v>
      </c>
      <c r="N8392">
        <v>-1.425615E-2</v>
      </c>
      <c r="O8392">
        <v>0.97763909999999998</v>
      </c>
      <c r="P8392">
        <v>2.2584880000000002E-2</v>
      </c>
      <c r="Q8392">
        <v>-0.15292249999999999</v>
      </c>
      <c r="R8392">
        <v>0.98798010000000003</v>
      </c>
      <c r="S8392">
        <v>0.23081969999999999</v>
      </c>
      <c r="T8392">
        <v>-0.25143749999999998</v>
      </c>
      <c r="U8392">
        <v>2.9916689999999999</v>
      </c>
      <c r="V8392">
        <v>-0.18430569999999999</v>
      </c>
      <c r="W8392">
        <v>-0.14028170000000001</v>
      </c>
      <c r="X8392">
        <v>0.97280650000000002</v>
      </c>
      <c r="Y8392">
        <v>-0.1340682</v>
      </c>
      <c r="Z8392">
        <v>-6.6369860000000003E-2</v>
      </c>
      <c r="AA8392">
        <v>0.98874709999999999</v>
      </c>
      <c r="AB8392">
        <v>17</v>
      </c>
      <c r="AC8392">
        <v>1.00249999999999</v>
      </c>
      <c r="AD8392">
        <v>-1.123548233852</v>
      </c>
      <c r="AE8392">
        <v>13.2050999999999</v>
      </c>
      <c r="AF8392">
        <v>-1.7778102413091501</v>
      </c>
      <c r="AG8392">
        <v>-1.123548233852</v>
      </c>
      <c r="AH8392">
        <v>13.027714358189799</v>
      </c>
      <c r="AI8392">
        <v>94.884114124451699</v>
      </c>
      <c r="AJ8392">
        <v>97.770795097176801</v>
      </c>
      <c r="AK8392">
        <v>13.1963749297479</v>
      </c>
      <c r="AL8392">
        <v>98.064147201127994</v>
      </c>
      <c r="AM8392">
        <v>100.72797622808</v>
      </c>
      <c r="AN8392">
        <v>1.00000001642481</v>
      </c>
    </row>
    <row r="8393" spans="1:40" x14ac:dyDescent="0.25">
      <c r="A8393" t="str">
        <f>"20190303154341280"</f>
        <v>20190303154341280</v>
      </c>
      <c r="B8393" t="str">
        <f>"1551599021267908"</f>
        <v>1551599021267908</v>
      </c>
      <c r="C8393" t="s">
        <v>40</v>
      </c>
      <c r="D8393">
        <v>5.67455</v>
      </c>
      <c r="E8393">
        <v>0.51804070000000002</v>
      </c>
      <c r="F8393" t="s">
        <v>41</v>
      </c>
      <c r="G8393">
        <v>-188.73500000000001</v>
      </c>
      <c r="H8393" s="1">
        <v>-3.9749759999999901E-6</v>
      </c>
      <c r="I8393">
        <v>-31.62452</v>
      </c>
      <c r="J8393">
        <v>-189.63329999999999</v>
      </c>
      <c r="K8393">
        <v>1.123537</v>
      </c>
      <c r="L8393">
        <v>-44.087649999999996</v>
      </c>
      <c r="M8393">
        <v>0.2039841</v>
      </c>
      <c r="N8393">
        <v>-1.425995E-2</v>
      </c>
      <c r="O8393">
        <v>0.97887029999999997</v>
      </c>
      <c r="P8393">
        <v>2.0025270000000001E-2</v>
      </c>
      <c r="Q8393">
        <v>-0.15403919999999999</v>
      </c>
      <c r="R8393">
        <v>0.98786180000000001</v>
      </c>
      <c r="S8393">
        <v>0.21952820000000001</v>
      </c>
      <c r="T8393">
        <v>-0.2659588</v>
      </c>
      <c r="U8393">
        <v>2.990326</v>
      </c>
      <c r="V8393">
        <v>-0.18100160000000001</v>
      </c>
      <c r="W8393">
        <v>-0.14136460000000001</v>
      </c>
      <c r="X8393">
        <v>0.97326999999999997</v>
      </c>
      <c r="Y8393">
        <v>-0.13187019999999999</v>
      </c>
      <c r="Z8393">
        <v>-7.1200250000000007E-2</v>
      </c>
      <c r="AA8393">
        <v>0.98870659999999999</v>
      </c>
      <c r="AB8393">
        <v>17</v>
      </c>
      <c r="AC8393">
        <v>0.89829999999997701</v>
      </c>
      <c r="AD8393">
        <v>-1.1235409749759999</v>
      </c>
      <c r="AE8393">
        <v>12.4631299999999</v>
      </c>
      <c r="AF8393">
        <v>-1.6497919736781199</v>
      </c>
      <c r="AG8393">
        <v>-1.1235409749759999</v>
      </c>
      <c r="AH8393">
        <v>12.2849640218951</v>
      </c>
      <c r="AI8393">
        <v>95.179301105164598</v>
      </c>
      <c r="AJ8393">
        <v>97.648694421747393</v>
      </c>
      <c r="AK8393">
        <v>12.4460635904739</v>
      </c>
      <c r="AL8393">
        <v>98.126817368796694</v>
      </c>
      <c r="AM8393">
        <v>100.535093235631</v>
      </c>
      <c r="AN8393">
        <v>1.00000001111785</v>
      </c>
    </row>
    <row r="8394" spans="1:40" x14ac:dyDescent="0.25">
      <c r="A8394" t="str">
        <f>"20190303154341303"</f>
        <v>20190303154341303</v>
      </c>
      <c r="B8394" t="str">
        <f>"1551599021298164"</f>
        <v>1551599021298164</v>
      </c>
      <c r="C8394" t="s">
        <v>40</v>
      </c>
      <c r="D8394">
        <v>5.9119140000000003</v>
      </c>
      <c r="E8394">
        <v>0.51768380000000003</v>
      </c>
      <c r="F8394" t="s">
        <v>41</v>
      </c>
      <c r="G8394">
        <v>-188.80680000000001</v>
      </c>
      <c r="H8394" s="1">
        <v>-3.757852E-6</v>
      </c>
      <c r="I8394">
        <v>-32.100960000000001</v>
      </c>
      <c r="J8394">
        <v>-189.60550000000001</v>
      </c>
      <c r="K8394">
        <v>1.1235280000000001</v>
      </c>
      <c r="L8394">
        <v>-43.919620000000002</v>
      </c>
      <c r="M8394">
        <v>0.1982083</v>
      </c>
      <c r="N8394">
        <v>-1.426258E-2</v>
      </c>
      <c r="O8394">
        <v>0.98005620000000004</v>
      </c>
      <c r="P8394">
        <v>1.797149E-2</v>
      </c>
      <c r="Q8394">
        <v>-0.15517690000000001</v>
      </c>
      <c r="R8394">
        <v>0.98772320000000002</v>
      </c>
      <c r="S8394">
        <v>0.20611570000000001</v>
      </c>
      <c r="T8394">
        <v>-0.28016720000000001</v>
      </c>
      <c r="U8394">
        <v>2.9890140000000001</v>
      </c>
      <c r="V8394">
        <v>-0.1772514</v>
      </c>
      <c r="W8394">
        <v>-0.14246549999999999</v>
      </c>
      <c r="X8394">
        <v>0.97379950000000004</v>
      </c>
      <c r="Y8394">
        <v>-0.13042780000000001</v>
      </c>
      <c r="Z8394">
        <v>-7.5939800000000002E-2</v>
      </c>
      <c r="AA8394">
        <v>0.98854520000000001</v>
      </c>
      <c r="AB8394">
        <v>17</v>
      </c>
      <c r="AC8394">
        <v>0.79869999999999597</v>
      </c>
      <c r="AD8394">
        <v>-1.1235317578520001</v>
      </c>
      <c r="AE8394">
        <v>11.818659999999999</v>
      </c>
      <c r="AF8394">
        <v>-1.54603588086674</v>
      </c>
      <c r="AG8394">
        <v>-1.1235317578520001</v>
      </c>
      <c r="AH8394">
        <v>11.6377590486715</v>
      </c>
      <c r="AI8394">
        <v>95.466623489853902</v>
      </c>
      <c r="AJ8394">
        <v>97.567236914580207</v>
      </c>
      <c r="AK8394">
        <v>11.7936417713429</v>
      </c>
      <c r="AL8394">
        <v>98.190539558237404</v>
      </c>
      <c r="AM8394">
        <v>100.316063009564</v>
      </c>
      <c r="AN8394">
        <v>0.99999997184622902</v>
      </c>
    </row>
    <row r="8395" spans="1:40" x14ac:dyDescent="0.25">
      <c r="A8395" t="str">
        <f>"20190303154341329"</f>
        <v>20190303154341329</v>
      </c>
      <c r="B8395" t="str">
        <f>"1551599021318660"</f>
        <v>1551599021318660</v>
      </c>
      <c r="C8395" t="s">
        <v>40</v>
      </c>
      <c r="D8395">
        <v>5.9311350000000003</v>
      </c>
      <c r="E8395">
        <v>0.51750209999999996</v>
      </c>
      <c r="F8395" t="s">
        <v>41</v>
      </c>
      <c r="G8395">
        <v>-188.8357</v>
      </c>
      <c r="H8395" s="1">
        <v>-3.691878E-6</v>
      </c>
      <c r="I8395">
        <v>-32.242759999999997</v>
      </c>
      <c r="J8395">
        <v>-189.5744</v>
      </c>
      <c r="K8395">
        <v>1.123518</v>
      </c>
      <c r="L8395">
        <v>-43.723599999999998</v>
      </c>
      <c r="M8395">
        <v>0.19146350000000001</v>
      </c>
      <c r="N8395">
        <v>-1.426433E-2</v>
      </c>
      <c r="O8395">
        <v>0.98139609999999999</v>
      </c>
      <c r="P8395">
        <v>1.47457E-2</v>
      </c>
      <c r="Q8395">
        <v>-0.15583900000000001</v>
      </c>
      <c r="R8395">
        <v>0.98767240000000001</v>
      </c>
      <c r="S8395">
        <v>0.19702149999999999</v>
      </c>
      <c r="T8395">
        <v>-0.28755190000000003</v>
      </c>
      <c r="U8395">
        <v>2.9885250000000001</v>
      </c>
      <c r="V8395">
        <v>-0.17372019999999999</v>
      </c>
      <c r="W8395">
        <v>-0.14309149999999901</v>
      </c>
      <c r="X8395">
        <v>0.97434399999999999</v>
      </c>
      <c r="Y8395">
        <v>-0.12660569999999999</v>
      </c>
      <c r="Z8395">
        <v>-7.8525109999999995E-2</v>
      </c>
      <c r="AA8395">
        <v>0.98884019999999995</v>
      </c>
      <c r="AB8395">
        <v>17</v>
      </c>
      <c r="AC8395">
        <v>0.73869999999999403</v>
      </c>
      <c r="AD8395">
        <v>-1.123521691878</v>
      </c>
      <c r="AE8395">
        <v>11.480839999999899</v>
      </c>
      <c r="AF8395">
        <v>-1.4594354319131899</v>
      </c>
      <c r="AG8395">
        <v>-1.123521691878</v>
      </c>
      <c r="AH8395">
        <v>11.302056169941</v>
      </c>
      <c r="AI8395">
        <v>95.6305967989164</v>
      </c>
      <c r="AJ8395">
        <v>97.357892360238594</v>
      </c>
      <c r="AK8395">
        <v>11.4511452021423</v>
      </c>
      <c r="AL8395">
        <v>98.226777280716902</v>
      </c>
      <c r="AM8395">
        <v>100.109295753309</v>
      </c>
      <c r="AN8395">
        <v>1.0000000577981401</v>
      </c>
    </row>
    <row r="8396" spans="1:40" x14ac:dyDescent="0.25">
      <c r="A8396" t="str">
        <f>"20190303154341350"</f>
        <v>20190303154341350</v>
      </c>
      <c r="B8396" t="str">
        <f>"1551599021338181"</f>
        <v>1551599021338181</v>
      </c>
      <c r="C8396" t="s">
        <v>40</v>
      </c>
      <c r="D8396">
        <v>5.9496469999999997</v>
      </c>
      <c r="E8396">
        <v>0.517293</v>
      </c>
      <c r="F8396" t="s">
        <v>41</v>
      </c>
      <c r="G8396">
        <v>-188.85509999999999</v>
      </c>
      <c r="H8396" s="1">
        <v>-3.7233200000000001E-6</v>
      </c>
      <c r="I8396">
        <v>-32.161459999999998</v>
      </c>
      <c r="J8396">
        <v>-189.5504</v>
      </c>
      <c r="K8396">
        <v>1.123508</v>
      </c>
      <c r="L8396">
        <v>-43.566099999999999</v>
      </c>
      <c r="M8396">
        <v>0.1860415</v>
      </c>
      <c r="N8396">
        <v>-1.426473E-2</v>
      </c>
      <c r="O8396">
        <v>0.98243829999999999</v>
      </c>
      <c r="P8396">
        <v>1.3215040000000001E-2</v>
      </c>
      <c r="Q8396">
        <v>-0.15524769999999999</v>
      </c>
      <c r="R8396">
        <v>0.98778719999999998</v>
      </c>
      <c r="S8396">
        <v>0.18594359999999999</v>
      </c>
      <c r="T8396">
        <v>-0.290435099999999</v>
      </c>
      <c r="U8396">
        <v>2.988861</v>
      </c>
      <c r="V8396">
        <v>-0.16988159999999999</v>
      </c>
      <c r="W8396">
        <v>-0.14245940000000001</v>
      </c>
      <c r="X8396">
        <v>0.97511309999999995</v>
      </c>
      <c r="Y8396">
        <v>-0.1247912</v>
      </c>
      <c r="Z8396">
        <v>-7.9600500000000005E-2</v>
      </c>
      <c r="AA8396">
        <v>0.9889848</v>
      </c>
      <c r="AB8396">
        <v>17</v>
      </c>
      <c r="AC8396">
        <v>0.69530000000000303</v>
      </c>
      <c r="AD8396">
        <v>-1.12351172332</v>
      </c>
      <c r="AE8396">
        <v>11.404639999999899</v>
      </c>
      <c r="AF8396">
        <v>-1.42501497483096</v>
      </c>
      <c r="AG8396">
        <v>-1.12351172332</v>
      </c>
      <c r="AH8396">
        <v>11.2263163687175</v>
      </c>
      <c r="AI8396">
        <v>95.669845004900296</v>
      </c>
      <c r="AJ8396">
        <v>97.2341644978262</v>
      </c>
      <c r="AK8396">
        <v>11.3720326011432</v>
      </c>
      <c r="AL8396">
        <v>98.190186234799796</v>
      </c>
      <c r="AM8396">
        <v>99.882728531583695</v>
      </c>
      <c r="AN8396">
        <v>0.999999998229265</v>
      </c>
    </row>
    <row r="8397" spans="1:40" x14ac:dyDescent="0.25">
      <c r="A8397" t="str">
        <f>"20190303154341372"</f>
        <v>20190303154341372</v>
      </c>
      <c r="B8397" t="str">
        <f>"1551599021368437"</f>
        <v>1551599021368437</v>
      </c>
      <c r="C8397" t="s">
        <v>40</v>
      </c>
      <c r="D8397">
        <v>5.7535879999999997</v>
      </c>
      <c r="E8397">
        <v>0.51684379999999996</v>
      </c>
      <c r="F8397" t="s">
        <v>41</v>
      </c>
      <c r="G8397">
        <v>-188.8535</v>
      </c>
      <c r="H8397" s="1">
        <v>-3.8030900000000002E-6</v>
      </c>
      <c r="I8397">
        <v>-31.97617</v>
      </c>
      <c r="J8397">
        <v>-189.52619999999999</v>
      </c>
      <c r="K8397">
        <v>1.1234980000000001</v>
      </c>
      <c r="L8397">
        <v>-43.401580000000003</v>
      </c>
      <c r="M8397">
        <v>0.1803852</v>
      </c>
      <c r="N8397">
        <v>-1.426405E-2</v>
      </c>
      <c r="O8397">
        <v>0.98349260000000005</v>
      </c>
      <c r="P8397">
        <v>1.1284840000000001E-2</v>
      </c>
      <c r="Q8397">
        <v>-0.154696</v>
      </c>
      <c r="R8397">
        <v>0.98789769999999999</v>
      </c>
      <c r="S8397">
        <v>0.17973329999999901</v>
      </c>
      <c r="T8397">
        <v>-0.28976269999999998</v>
      </c>
      <c r="U8397">
        <v>2.9891359999999998</v>
      </c>
      <c r="V8397">
        <v>-0.16620739999999901</v>
      </c>
      <c r="W8397">
        <v>-0.14186750000000001</v>
      </c>
      <c r="X8397">
        <v>0.97583229999999999</v>
      </c>
      <c r="Y8397">
        <v>-0.1211366</v>
      </c>
      <c r="Z8397">
        <v>-7.9551499999999997E-2</v>
      </c>
      <c r="AA8397">
        <v>0.98944299999999996</v>
      </c>
      <c r="AB8397">
        <v>17</v>
      </c>
      <c r="AC8397">
        <v>0.67269999999999097</v>
      </c>
      <c r="AD8397">
        <v>-1.1235018030899999</v>
      </c>
      <c r="AE8397">
        <v>11.4254099999999</v>
      </c>
      <c r="AF8397">
        <v>-1.3861645812546499</v>
      </c>
      <c r="AG8397">
        <v>-1.1235018030899999</v>
      </c>
      <c r="AH8397">
        <v>11.250892432632</v>
      </c>
      <c r="AI8397">
        <v>95.660073396446194</v>
      </c>
      <c r="AJ8397">
        <v>97.023722267609401</v>
      </c>
      <c r="AK8397">
        <v>11.391500738644099</v>
      </c>
      <c r="AL8397">
        <v>98.155925005193595</v>
      </c>
      <c r="AM8397">
        <v>99.666071883272195</v>
      </c>
      <c r="AN8397">
        <v>0.99999998254714895</v>
      </c>
    </row>
    <row r="8398" spans="1:40" x14ac:dyDescent="0.25">
      <c r="A8398" t="str">
        <f>"20190303154341393"</f>
        <v>20190303154341393</v>
      </c>
      <c r="B8398" t="str">
        <f>"1551599021387957"</f>
        <v>1551599021387957</v>
      </c>
      <c r="C8398" t="s">
        <v>40</v>
      </c>
      <c r="D8398">
        <v>5.7754260000000004</v>
      </c>
      <c r="E8398">
        <v>0.50895979999999996</v>
      </c>
      <c r="F8398" t="s">
        <v>41</v>
      </c>
      <c r="G8398">
        <v>-188.86359999999999</v>
      </c>
      <c r="H8398" s="1">
        <v>-3.8884820000000001E-6</v>
      </c>
      <c r="I8398">
        <v>-31.772929999999999</v>
      </c>
      <c r="J8398">
        <v>-189.50380000000001</v>
      </c>
      <c r="K8398">
        <v>1.1234869999999999</v>
      </c>
      <c r="L8398">
        <v>-43.242460000000001</v>
      </c>
      <c r="M8398">
        <v>0.17493359999999999</v>
      </c>
      <c r="N8398">
        <v>-1.426202E-2</v>
      </c>
      <c r="O8398">
        <v>0.98447689999999999</v>
      </c>
      <c r="P8398">
        <v>9.5372040000000005E-3</v>
      </c>
      <c r="Q8398">
        <v>-0.15462799999999999</v>
      </c>
      <c r="R8398">
        <v>0.98792670000000005</v>
      </c>
      <c r="S8398">
        <v>0.1703491</v>
      </c>
      <c r="T8398">
        <v>-0.28883969999999998</v>
      </c>
      <c r="U8398">
        <v>2.9895939999999999</v>
      </c>
      <c r="V8398">
        <v>-0.162545</v>
      </c>
      <c r="W8398">
        <v>-0.14175940000000001</v>
      </c>
      <c r="X8398">
        <v>0.97646469999999996</v>
      </c>
      <c r="Y8398">
        <v>-0.1187425</v>
      </c>
      <c r="Z8398">
        <v>-7.9400390000000001E-2</v>
      </c>
      <c r="AA8398">
        <v>0.98974530000000005</v>
      </c>
      <c r="AB8398">
        <v>17</v>
      </c>
      <c r="AC8398">
        <v>0.64020000000002097</v>
      </c>
      <c r="AD8398">
        <v>-1.1234908884819901</v>
      </c>
      <c r="AE8398">
        <v>11.469529999999899</v>
      </c>
      <c r="AF8398">
        <v>-1.3632442951533199</v>
      </c>
      <c r="AG8398">
        <v>-1.1234908884819901</v>
      </c>
      <c r="AH8398">
        <v>11.2965853312747</v>
      </c>
      <c r="AI8398">
        <v>95.638973722298402</v>
      </c>
      <c r="AJ8398">
        <v>96.881040281933707</v>
      </c>
      <c r="AK8398">
        <v>11.433875411755301</v>
      </c>
      <c r="AL8398">
        <v>98.149668301325306</v>
      </c>
      <c r="AM8398">
        <v>99.450954083290995</v>
      </c>
      <c r="AN8398">
        <v>0.99999995742972403</v>
      </c>
    </row>
    <row r="8399" spans="1:40" x14ac:dyDescent="0.25">
      <c r="A8399" t="str">
        <f>"20190303154341414"</f>
        <v>20190303154341414</v>
      </c>
      <c r="B8399" t="str">
        <f>"1551599021408453"</f>
        <v>1551599021408453</v>
      </c>
      <c r="C8399" t="s">
        <v>40</v>
      </c>
      <c r="D8399">
        <v>5.8225680000000004</v>
      </c>
      <c r="E8399">
        <v>0.50759079999999901</v>
      </c>
      <c r="F8399" t="s">
        <v>41</v>
      </c>
      <c r="G8399">
        <v>-188.87190000000001</v>
      </c>
      <c r="H8399" s="1">
        <v>-2.5367900000000002E-6</v>
      </c>
      <c r="I8399">
        <v>-24.920359999999999</v>
      </c>
      <c r="J8399">
        <v>-189.4828</v>
      </c>
      <c r="K8399">
        <v>1.1234550000000001</v>
      </c>
      <c r="L8399">
        <v>-43.088070000000002</v>
      </c>
      <c r="M8399">
        <v>0.16967639999999901</v>
      </c>
      <c r="N8399">
        <v>-1.4258430000000001E-2</v>
      </c>
      <c r="O8399">
        <v>0.98539670000000001</v>
      </c>
      <c r="P8399">
        <v>8.4612279999999995E-3</v>
      </c>
      <c r="Q8399">
        <v>-0.15563179999999999</v>
      </c>
      <c r="R8399">
        <v>0.98777890000000002</v>
      </c>
      <c r="S8399">
        <v>0.1036987</v>
      </c>
      <c r="T8399">
        <v>-0.1843737</v>
      </c>
      <c r="U8399">
        <v>3.0068049999999999</v>
      </c>
      <c r="V8399">
        <v>-0.15838260000000001</v>
      </c>
      <c r="W8399">
        <v>-0.1427195</v>
      </c>
      <c r="X8399">
        <v>0.97700880000000001</v>
      </c>
      <c r="Y8399">
        <v>-0.13558629999999999</v>
      </c>
      <c r="Z8399">
        <v>-4.5378410000000001E-2</v>
      </c>
      <c r="AA8399">
        <v>0.98972579999999999</v>
      </c>
      <c r="AB8399">
        <v>17</v>
      </c>
      <c r="AC8399">
        <v>0.61089999999998601</v>
      </c>
      <c r="AD8399">
        <v>-1.1234575367899999</v>
      </c>
      <c r="AE8399">
        <v>18.16771</v>
      </c>
      <c r="AF8399">
        <v>-2.4714648354553499</v>
      </c>
      <c r="AG8399">
        <v>-1.1234575367899999</v>
      </c>
      <c r="AH8399">
        <v>17.939365177881399</v>
      </c>
      <c r="AI8399">
        <v>93.550039239195897</v>
      </c>
      <c r="AJ8399">
        <v>97.844128674775604</v>
      </c>
      <c r="AK8399">
        <v>18.143624727579802</v>
      </c>
      <c r="AL8399">
        <v>98.205242292107997</v>
      </c>
      <c r="AM8399">
        <v>99.208097476534704</v>
      </c>
      <c r="AN8399">
        <v>1.0000000494702199</v>
      </c>
    </row>
    <row r="8400" spans="1:40" x14ac:dyDescent="0.25">
      <c r="A8400" t="str">
        <f>"20190303154341437"</f>
        <v>20190303154341437</v>
      </c>
      <c r="B8400" t="str">
        <f>"1551599021427973"</f>
        <v>1551599021427973</v>
      </c>
      <c r="C8400" t="s">
        <v>40</v>
      </c>
      <c r="D8400">
        <v>5.8102119999999999</v>
      </c>
      <c r="E8400">
        <v>0.5061407</v>
      </c>
      <c r="F8400" t="s">
        <v>41</v>
      </c>
      <c r="G8400">
        <v>-188.93860000000001</v>
      </c>
      <c r="H8400" s="1">
        <v>-2.5851079999999998E-6</v>
      </c>
      <c r="I8400">
        <v>-24.78012</v>
      </c>
      <c r="J8400">
        <v>-189.4607</v>
      </c>
      <c r="K8400">
        <v>1.123407</v>
      </c>
      <c r="L8400">
        <v>-42.918239999999997</v>
      </c>
      <c r="M8400">
        <v>0.1639592</v>
      </c>
      <c r="N8400">
        <v>-1.425211E-2</v>
      </c>
      <c r="O8400">
        <v>0.98636420000000002</v>
      </c>
      <c r="P8400">
        <v>7.6502069999999896E-3</v>
      </c>
      <c r="Q8400">
        <v>-0.15597449999999999</v>
      </c>
      <c r="R8400">
        <v>0.98773149999999998</v>
      </c>
      <c r="S8400">
        <v>8.9385989999999999E-2</v>
      </c>
      <c r="T8400">
        <v>-0.18453910000000001</v>
      </c>
      <c r="U8400">
        <v>3.007263</v>
      </c>
      <c r="V8400">
        <v>-0.15353510000000001</v>
      </c>
      <c r="W8400">
        <v>-0.1430072</v>
      </c>
      <c r="X8400">
        <v>0.97774019999999995</v>
      </c>
      <c r="Y8400">
        <v>-0.13455239999999999</v>
      </c>
      <c r="Z8400">
        <v>-4.5519280000000002E-2</v>
      </c>
      <c r="AA8400">
        <v>0.98986039999999997</v>
      </c>
      <c r="AB8400">
        <v>17</v>
      </c>
      <c r="AC8400">
        <v>0.52209999999999401</v>
      </c>
      <c r="AD8400">
        <v>-1.1234095851079999</v>
      </c>
      <c r="AE8400">
        <v>18.138120000000001</v>
      </c>
      <c r="AF8400">
        <v>-2.4497906709527899</v>
      </c>
      <c r="AG8400">
        <v>-1.1234095851079999</v>
      </c>
      <c r="AH8400">
        <v>17.9095742910017</v>
      </c>
      <c r="AI8400">
        <v>93.556246707306101</v>
      </c>
      <c r="AJ8400">
        <v>97.788959109520107</v>
      </c>
      <c r="AK8400">
        <v>18.1112223417501</v>
      </c>
      <c r="AL8400">
        <v>98.221897597485395</v>
      </c>
      <c r="AM8400">
        <v>98.924311401898606</v>
      </c>
      <c r="AN8400">
        <v>0.99999999243994497</v>
      </c>
    </row>
    <row r="8401" spans="1:40" x14ac:dyDescent="0.25">
      <c r="A8401" t="str">
        <f>"20190303154341459"</f>
        <v>20190303154341459</v>
      </c>
      <c r="B8401" t="str">
        <f>"1551599021448469"</f>
        <v>1551599021448469</v>
      </c>
      <c r="C8401" t="s">
        <v>40</v>
      </c>
      <c r="D8401">
        <v>5.8071679999999999</v>
      </c>
      <c r="E8401">
        <v>0.50527449999999996</v>
      </c>
      <c r="F8401" t="s">
        <v>41</v>
      </c>
      <c r="G8401">
        <v>-189.02520000000001</v>
      </c>
      <c r="H8401" s="1">
        <v>-2.257746E-6</v>
      </c>
      <c r="I8401">
        <v>-25.50741</v>
      </c>
      <c r="J8401">
        <v>-189.44069999999999</v>
      </c>
      <c r="K8401">
        <v>1.1233489999999999</v>
      </c>
      <c r="L8401">
        <v>-42.758299999999998</v>
      </c>
      <c r="M8401">
        <v>0.15866160000000001</v>
      </c>
      <c r="N8401">
        <v>-1.424364E-2</v>
      </c>
      <c r="O8401">
        <v>0.98723030000000001</v>
      </c>
      <c r="P8401">
        <v>7.7719199999999999E-3</v>
      </c>
      <c r="Q8401">
        <v>-0.15514330000000001</v>
      </c>
      <c r="R8401">
        <v>0.9878614</v>
      </c>
      <c r="S8401">
        <v>7.5180049999999998E-2</v>
      </c>
      <c r="T8401">
        <v>-0.19396050000000001</v>
      </c>
      <c r="U8401">
        <v>3.0060419999999999</v>
      </c>
      <c r="V8401">
        <v>-0.1482242</v>
      </c>
      <c r="W8401">
        <v>-0.142113299999999</v>
      </c>
      <c r="X8401">
        <v>0.97868960000000005</v>
      </c>
      <c r="Y8401">
        <v>-0.13389609999999999</v>
      </c>
      <c r="Z8401">
        <v>-4.867585E-2</v>
      </c>
      <c r="AA8401">
        <v>0.98979919999999999</v>
      </c>
      <c r="AB8401">
        <v>17</v>
      </c>
      <c r="AC8401">
        <v>0.41549999999998</v>
      </c>
      <c r="AD8401">
        <v>-1.1233512577460001</v>
      </c>
      <c r="AE8401">
        <v>17.250889999999998</v>
      </c>
      <c r="AF8401">
        <v>-2.31727512912755</v>
      </c>
      <c r="AG8401">
        <v>-1.1233512577460001</v>
      </c>
      <c r="AH8401">
        <v>17.026103476569901</v>
      </c>
      <c r="AI8401">
        <v>93.740415287830004</v>
      </c>
      <c r="AJ8401">
        <v>97.750410160314402</v>
      </c>
      <c r="AK8401">
        <v>17.2197526598734</v>
      </c>
      <c r="AL8401">
        <v>98.170152577154198</v>
      </c>
      <c r="AM8401">
        <v>98.612094022147502</v>
      </c>
      <c r="AN8401">
        <v>0.99999996832534399</v>
      </c>
    </row>
    <row r="8402" spans="1:40" x14ac:dyDescent="0.25">
      <c r="A8402" t="str">
        <f>"20190303154341482"</f>
        <v>20190303154341482</v>
      </c>
      <c r="B8402" t="str">
        <f>"1551599021478725"</f>
        <v>1551599021478725</v>
      </c>
      <c r="C8402" t="s">
        <v>40</v>
      </c>
      <c r="D8402">
        <v>5.86381</v>
      </c>
      <c r="E8402">
        <v>0.50409759999999904</v>
      </c>
      <c r="F8402" t="s">
        <v>41</v>
      </c>
      <c r="G8402">
        <v>-189.0461</v>
      </c>
      <c r="H8402" s="1">
        <v>-2.2590170000000001E-6</v>
      </c>
      <c r="I8402">
        <v>-25.495809999999999</v>
      </c>
      <c r="J8402">
        <v>-189.4203</v>
      </c>
      <c r="K8402">
        <v>1.123275</v>
      </c>
      <c r="L8402">
        <v>-42.589289999999998</v>
      </c>
      <c r="M8402">
        <v>0.15315589999999901</v>
      </c>
      <c r="N8402">
        <v>-1.4232730000000001E-2</v>
      </c>
      <c r="O8402">
        <v>0.98809950000000002</v>
      </c>
      <c r="P8402">
        <v>7.368426E-3</v>
      </c>
      <c r="Q8402">
        <v>-0.15455160000000001</v>
      </c>
      <c r="R8402">
        <v>0.98795719999999998</v>
      </c>
      <c r="S8402">
        <v>6.8695069999999997E-2</v>
      </c>
      <c r="T8402">
        <v>-0.1955894</v>
      </c>
      <c r="U8402">
        <v>3.0056150000000001</v>
      </c>
      <c r="V8402">
        <v>-0.1432223</v>
      </c>
      <c r="W8402">
        <v>-0.1414627</v>
      </c>
      <c r="X8402">
        <v>0.97952830000000002</v>
      </c>
      <c r="Y8402">
        <v>-0.13050419999999999</v>
      </c>
      <c r="Z8402">
        <v>-4.9319300000000003E-2</v>
      </c>
      <c r="AA8402">
        <v>0.99022030000000005</v>
      </c>
      <c r="AB8402">
        <v>17</v>
      </c>
      <c r="AC8402">
        <v>0.37420000000000098</v>
      </c>
      <c r="AD8402">
        <v>-1.1232772590169999</v>
      </c>
      <c r="AE8402">
        <v>17.09348</v>
      </c>
      <c r="AF8402">
        <v>-2.2387851959055598</v>
      </c>
      <c r="AG8402">
        <v>-1.1232772590169999</v>
      </c>
      <c r="AH8402">
        <v>16.876245610903499</v>
      </c>
      <c r="AI8402">
        <v>93.774995998110001</v>
      </c>
      <c r="AJ8402">
        <v>97.556676201554893</v>
      </c>
      <c r="AK8402">
        <v>17.061113002192101</v>
      </c>
      <c r="AL8402">
        <v>98.1324951799118</v>
      </c>
      <c r="AM8402">
        <v>98.318588924928903</v>
      </c>
      <c r="AN8402">
        <v>1.0000000066047301</v>
      </c>
    </row>
    <row r="8403" spans="1:40" x14ac:dyDescent="0.25">
      <c r="A8403" t="str">
        <f>"20190303154341503"</f>
        <v>20190303154341503</v>
      </c>
      <c r="B8403" t="str">
        <f>"1551599021498244"</f>
        <v>1551599021498244</v>
      </c>
      <c r="C8403" t="s">
        <v>40</v>
      </c>
      <c r="D8403">
        <v>5.8624349999999996</v>
      </c>
      <c r="E8403">
        <v>0.50368979999999997</v>
      </c>
      <c r="F8403" t="s">
        <v>41</v>
      </c>
      <c r="G8403">
        <v>-189.09219999999999</v>
      </c>
      <c r="H8403" s="1">
        <v>-2.180266E-6</v>
      </c>
      <c r="I8403">
        <v>-25.660319999999999</v>
      </c>
      <c r="J8403">
        <v>-189.40209999999999</v>
      </c>
      <c r="K8403">
        <v>1.12321</v>
      </c>
      <c r="L8403">
        <v>-42.431489999999997</v>
      </c>
      <c r="M8403">
        <v>0.1481246</v>
      </c>
      <c r="N8403">
        <v>-1.4221009999999999E-2</v>
      </c>
      <c r="O8403">
        <v>0.98886640000000003</v>
      </c>
      <c r="P8403">
        <v>7.939649E-3</v>
      </c>
      <c r="Q8403">
        <v>-0.15334320000000001</v>
      </c>
      <c r="R8403">
        <v>0.98814109999999999</v>
      </c>
      <c r="S8403">
        <v>5.8242799999999997E-2</v>
      </c>
      <c r="T8403">
        <v>-0.19938520000000001</v>
      </c>
      <c r="U8403">
        <v>3.0049440000000001</v>
      </c>
      <c r="V8403">
        <v>-0.13774210000000001</v>
      </c>
      <c r="W8403">
        <v>-0.1401925</v>
      </c>
      <c r="X8403">
        <v>0.98049640000000005</v>
      </c>
      <c r="Y8403">
        <v>-0.1288965</v>
      </c>
      <c r="Z8403">
        <v>-5.0654270000000001E-2</v>
      </c>
      <c r="AA8403">
        <v>0.99036349999999995</v>
      </c>
      <c r="AB8403">
        <v>17</v>
      </c>
      <c r="AC8403">
        <v>0.30989999999999801</v>
      </c>
      <c r="AD8403">
        <v>-1.123212180266</v>
      </c>
      <c r="AE8403">
        <v>16.771170000000001</v>
      </c>
      <c r="AF8403">
        <v>-2.1682713667973501</v>
      </c>
      <c r="AG8403">
        <v>-1.123212180266</v>
      </c>
      <c r="AH8403">
        <v>16.557790879794201</v>
      </c>
      <c r="AI8403">
        <v>93.848010418075503</v>
      </c>
      <c r="AJ8403">
        <v>97.460529478930198</v>
      </c>
      <c r="AK8403">
        <v>16.736888753318802</v>
      </c>
      <c r="AL8403">
        <v>98.058985486745996</v>
      </c>
      <c r="AM8403">
        <v>97.996694557438602</v>
      </c>
      <c r="AN8403">
        <v>1.0000000067908099</v>
      </c>
    </row>
    <row r="8404" spans="1:40" x14ac:dyDescent="0.25">
      <c r="A8404" t="str">
        <f>"20190303154341528"</f>
        <v>20190303154341528</v>
      </c>
      <c r="B8404" t="str">
        <f>"1551599021518741"</f>
        <v>1551599021518741</v>
      </c>
      <c r="C8404" t="s">
        <v>40</v>
      </c>
      <c r="D8404">
        <v>5.8612780000000004</v>
      </c>
      <c r="E8404">
        <v>0.50323229999999997</v>
      </c>
      <c r="F8404" t="s">
        <v>41</v>
      </c>
      <c r="G8404">
        <v>-189.08109999999999</v>
      </c>
      <c r="H8404" s="1">
        <v>-2.2966819999999999E-6</v>
      </c>
      <c r="I8404">
        <v>-25.393550000000001</v>
      </c>
      <c r="J8404">
        <v>-189.38200000000001</v>
      </c>
      <c r="K8404">
        <v>1.1231070000000001</v>
      </c>
      <c r="L8404">
        <v>-42.250520000000002</v>
      </c>
      <c r="M8404">
        <v>0.14253250000000001</v>
      </c>
      <c r="N8404">
        <v>-1.4205290000000001E-2</v>
      </c>
      <c r="O8404">
        <v>0.98968820000000002</v>
      </c>
      <c r="P8404">
        <v>8.0430529999999997E-3</v>
      </c>
      <c r="Q8404">
        <v>-0.15265399999999901</v>
      </c>
      <c r="R8404">
        <v>0.98824699999999999</v>
      </c>
      <c r="S8404">
        <v>5.6610109999999998E-2</v>
      </c>
      <c r="T8404">
        <v>-0.1980904</v>
      </c>
      <c r="U8404">
        <v>3.0048219999999999</v>
      </c>
      <c r="V8404">
        <v>-0.1321637</v>
      </c>
      <c r="W8404">
        <v>-0.13943900000000001</v>
      </c>
      <c r="X8404">
        <v>0.9813712</v>
      </c>
      <c r="Y8404">
        <v>-0.1238298</v>
      </c>
      <c r="Z8404">
        <v>-5.035419E-2</v>
      </c>
      <c r="AA8404">
        <v>0.99102500000000004</v>
      </c>
      <c r="AB8404">
        <v>17</v>
      </c>
      <c r="AC8404">
        <v>0.30090000000001199</v>
      </c>
      <c r="AD8404">
        <v>-1.123109296682</v>
      </c>
      <c r="AE8404">
        <v>16.85697</v>
      </c>
      <c r="AF8404">
        <v>-2.0957810552862099</v>
      </c>
      <c r="AG8404">
        <v>-1.123109296682</v>
      </c>
      <c r="AH8404">
        <v>16.6538171220501</v>
      </c>
      <c r="AI8404">
        <v>93.828001074577898</v>
      </c>
      <c r="AJ8404">
        <v>97.172618609469694</v>
      </c>
      <c r="AK8404">
        <v>16.8227018477615</v>
      </c>
      <c r="AL8404">
        <v>98.015385266272204</v>
      </c>
      <c r="AM8404">
        <v>97.6700177205241</v>
      </c>
      <c r="AN8404">
        <v>0.99999995525406404</v>
      </c>
    </row>
    <row r="8405" spans="1:40" x14ac:dyDescent="0.25">
      <c r="A8405" t="str">
        <f>"20190303154341550"</f>
        <v>20190303154341550</v>
      </c>
      <c r="B8405" t="str">
        <f>"1551599021548021"</f>
        <v>1551599021548021</v>
      </c>
      <c r="C8405" t="s">
        <v>40</v>
      </c>
      <c r="D8405">
        <v>5.8739229999999996</v>
      </c>
      <c r="E8405">
        <v>0.50280820000000004</v>
      </c>
      <c r="F8405" t="s">
        <v>41</v>
      </c>
      <c r="G8405">
        <v>-189.0822</v>
      </c>
      <c r="H8405" s="1">
        <v>-2.3171120000000001E-6</v>
      </c>
      <c r="I8405">
        <v>-25.345479999999998</v>
      </c>
      <c r="J8405">
        <v>-189.3638</v>
      </c>
      <c r="K8405">
        <v>1.122973</v>
      </c>
      <c r="L8405">
        <v>-42.081150000000001</v>
      </c>
      <c r="M8405">
        <v>0.1375198</v>
      </c>
      <c r="N8405">
        <v>-1.418758E-2</v>
      </c>
      <c r="O8405">
        <v>0.99039739999999998</v>
      </c>
      <c r="P8405">
        <v>8.9000709999999903E-3</v>
      </c>
      <c r="Q8405">
        <v>-0.1524614</v>
      </c>
      <c r="R8405">
        <v>0.98826930000000002</v>
      </c>
      <c r="S8405">
        <v>5.3283690000000002E-2</v>
      </c>
      <c r="T8405">
        <v>-0.19960310000000001</v>
      </c>
      <c r="U8405">
        <v>3.0044249999999999</v>
      </c>
      <c r="V8405">
        <v>-0.12640280000000001</v>
      </c>
      <c r="W8405">
        <v>-0.13918159999999999</v>
      </c>
      <c r="X8405">
        <v>0.98216639999999999</v>
      </c>
      <c r="Y8405">
        <v>-0.1199016</v>
      </c>
      <c r="Z8405">
        <v>-5.0956580000000001E-2</v>
      </c>
      <c r="AA8405">
        <v>0.99147719999999995</v>
      </c>
      <c r="AB8405">
        <v>17</v>
      </c>
      <c r="AC8405">
        <v>0.28159999999999702</v>
      </c>
      <c r="AD8405">
        <v>-1.122975317112</v>
      </c>
      <c r="AE8405">
        <v>16.735669999999999</v>
      </c>
      <c r="AF8405">
        <v>-2.0137294218005701</v>
      </c>
      <c r="AG8405">
        <v>-1.122975317112</v>
      </c>
      <c r="AH8405">
        <v>16.540907566309102</v>
      </c>
      <c r="AI8405">
        <v>93.855516201607202</v>
      </c>
      <c r="AJ8405">
        <v>96.941166784428404</v>
      </c>
      <c r="AK8405">
        <v>16.700832400340101</v>
      </c>
      <c r="AL8405">
        <v>98.000491652773206</v>
      </c>
      <c r="AM8405">
        <v>97.333537677321701</v>
      </c>
      <c r="AN8405">
        <v>1.0000000114576799</v>
      </c>
    </row>
    <row r="8406" spans="1:40" x14ac:dyDescent="0.25">
      <c r="A8406" t="str">
        <f>"20190303154341570"</f>
        <v>20190303154341570</v>
      </c>
      <c r="B8406" t="str">
        <f>"1551599021568517"</f>
        <v>1551599021568517</v>
      </c>
      <c r="C8406" t="s">
        <v>40</v>
      </c>
      <c r="D8406">
        <v>5.9019640000000004</v>
      </c>
      <c r="E8406">
        <v>0.49940099999999998</v>
      </c>
      <c r="F8406" t="s">
        <v>41</v>
      </c>
      <c r="G8406">
        <v>-189.07079999999999</v>
      </c>
      <c r="H8406" s="1">
        <v>-2.3053819999999999E-6</v>
      </c>
      <c r="I8406">
        <v>-25.37754</v>
      </c>
      <c r="J8406">
        <v>-189.3484</v>
      </c>
      <c r="K8406">
        <v>1.1228229999999999</v>
      </c>
      <c r="L8406">
        <v>-41.932769999999998</v>
      </c>
      <c r="M8406">
        <v>0.13334379999999901</v>
      </c>
      <c r="N8406">
        <v>-1.416924E-2</v>
      </c>
      <c r="O8406">
        <v>0.99096850000000003</v>
      </c>
      <c r="P8406">
        <v>1.0886440000000001E-2</v>
      </c>
      <c r="Q8406">
        <v>-0.15328820000000001</v>
      </c>
      <c r="R8406">
        <v>0.98812160000000004</v>
      </c>
      <c r="S8406">
        <v>5.2703859999999998E-2</v>
      </c>
      <c r="T8406">
        <v>-0.2019552</v>
      </c>
      <c r="U8406">
        <v>3.0039669999999998</v>
      </c>
      <c r="V8406">
        <v>-0.12032519999999999</v>
      </c>
      <c r="W8406">
        <v>-0.1399454</v>
      </c>
      <c r="X8406">
        <v>0.98282099999999994</v>
      </c>
      <c r="Y8406">
        <v>-0.115907</v>
      </c>
      <c r="Z8406">
        <v>-5.1821949999999999E-2</v>
      </c>
      <c r="AA8406">
        <v>0.99190730000000005</v>
      </c>
      <c r="AB8406">
        <v>17</v>
      </c>
      <c r="AC8406">
        <v>0.27760000000000601</v>
      </c>
      <c r="AD8406">
        <v>-1.1228253053820001</v>
      </c>
      <c r="AE8406">
        <v>16.555229999999899</v>
      </c>
      <c r="AF8406">
        <v>-1.92379165504812</v>
      </c>
      <c r="AG8406">
        <v>-1.1228253053820001</v>
      </c>
      <c r="AH8406">
        <v>16.369103259824399</v>
      </c>
      <c r="AI8406">
        <v>93.897271317853495</v>
      </c>
      <c r="AJ8406">
        <v>96.702982901900299</v>
      </c>
      <c r="AK8406">
        <v>16.519965270218702</v>
      </c>
      <c r="AL8406">
        <v>98.044686847619005</v>
      </c>
      <c r="AM8406">
        <v>96.979895553980299</v>
      </c>
      <c r="AN8406">
        <v>0.99999999338859902</v>
      </c>
    </row>
    <row r="8407" spans="1:40" x14ac:dyDescent="0.25">
      <c r="A8407" t="str">
        <f>"20190303154341592"</f>
        <v>20190303154341592</v>
      </c>
      <c r="B8407" t="str">
        <f>"1551599021588038"</f>
        <v>1551599021588038</v>
      </c>
      <c r="C8407" t="s">
        <v>40</v>
      </c>
      <c r="D8407">
        <v>5.9053440000000004</v>
      </c>
      <c r="E8407">
        <v>0.49948949999999998</v>
      </c>
      <c r="F8407" t="s">
        <v>41</v>
      </c>
      <c r="G8407">
        <v>-189.202</v>
      </c>
      <c r="H8407" s="1">
        <v>-1.2287179999999901E-6</v>
      </c>
      <c r="I8407">
        <v>-27.833010000000002</v>
      </c>
      <c r="J8407">
        <v>-189.33260000000001</v>
      </c>
      <c r="K8407">
        <v>1.1226400000000001</v>
      </c>
      <c r="L8407">
        <v>-41.776150000000001</v>
      </c>
      <c r="M8407">
        <v>0.12918279999999999</v>
      </c>
      <c r="N8407">
        <v>-1.414749E-2</v>
      </c>
      <c r="O8407">
        <v>0.99151990000000001</v>
      </c>
      <c r="P8407">
        <v>1.273669E-2</v>
      </c>
      <c r="Q8407">
        <v>-0.15447089999999999</v>
      </c>
      <c r="R8407">
        <v>0.98791519999999999</v>
      </c>
      <c r="S8407">
        <v>3.1143190000000001E-2</v>
      </c>
      <c r="T8407">
        <v>-0.23879839999999999</v>
      </c>
      <c r="U8407">
        <v>2.998688</v>
      </c>
      <c r="V8407">
        <v>-0.1143998</v>
      </c>
      <c r="W8407">
        <v>-0.1410652</v>
      </c>
      <c r="X8407">
        <v>0.98336829999999997</v>
      </c>
      <c r="Y8407">
        <v>-0.1188317</v>
      </c>
      <c r="Z8407">
        <v>-6.4001820000000001E-2</v>
      </c>
      <c r="AA8407">
        <v>0.9908496</v>
      </c>
      <c r="AB8407">
        <v>17</v>
      </c>
      <c r="AC8407">
        <v>0.13060000000001501</v>
      </c>
      <c r="AD8407">
        <v>-1.1226412287180001</v>
      </c>
      <c r="AE8407">
        <v>13.94314</v>
      </c>
      <c r="AF8407">
        <v>-1.6611209165159799</v>
      </c>
      <c r="AG8407">
        <v>-1.1226412287180001</v>
      </c>
      <c r="AH8407">
        <v>13.754000834508901</v>
      </c>
      <c r="AI8407">
        <v>94.632785320471996</v>
      </c>
      <c r="AJ8407">
        <v>96.886467177284104</v>
      </c>
      <c r="AK8407">
        <v>13.899359157291199</v>
      </c>
      <c r="AL8407">
        <v>98.109489792164197</v>
      </c>
      <c r="AM8407">
        <v>96.635656222522996</v>
      </c>
      <c r="AN8407">
        <v>0.99999995916798401</v>
      </c>
    </row>
    <row r="8408" spans="1:40" x14ac:dyDescent="0.25">
      <c r="A8408" t="str">
        <f>"20190303154341615"</f>
        <v>20190303154341615</v>
      </c>
      <c r="B8408" t="str">
        <f>"1551599021608533"</f>
        <v>1551599021608533</v>
      </c>
      <c r="C8408" t="s">
        <v>40</v>
      </c>
      <c r="D8408">
        <v>5.9249859999999996</v>
      </c>
      <c r="E8408">
        <v>0.4994866</v>
      </c>
      <c r="F8408" t="s">
        <v>41</v>
      </c>
      <c r="G8408">
        <v>-189.1618</v>
      </c>
      <c r="H8408" s="1">
        <v>-1.120972E-6</v>
      </c>
      <c r="I8408">
        <v>-28.10079</v>
      </c>
      <c r="J8408">
        <v>-189.3159</v>
      </c>
      <c r="K8408">
        <v>1.122422</v>
      </c>
      <c r="L8408">
        <v>-41.609279999999998</v>
      </c>
      <c r="M8408">
        <v>0.12506099999999901</v>
      </c>
      <c r="N8408">
        <v>-1.4122620000000001E-2</v>
      </c>
      <c r="O8408">
        <v>0.99204859999999995</v>
      </c>
      <c r="P8408">
        <v>1.5027489999999999E-2</v>
      </c>
      <c r="Q8408">
        <v>-0.15430459999999999</v>
      </c>
      <c r="R8408">
        <v>0.98790900000000004</v>
      </c>
      <c r="S8408">
        <v>3.7429810000000001E-2</v>
      </c>
      <c r="T8408">
        <v>-0.24609110000000001</v>
      </c>
      <c r="U8408">
        <v>2.9977420000000001</v>
      </c>
      <c r="V8408">
        <v>-0.1081202</v>
      </c>
      <c r="W8408">
        <v>-0.14083010000000001</v>
      </c>
      <c r="X8408">
        <v>0.98411230000000005</v>
      </c>
      <c r="Y8408">
        <v>-0.1126265</v>
      </c>
      <c r="Z8408">
        <v>-6.6518899999999895E-2</v>
      </c>
      <c r="AA8408">
        <v>0.99140830000000002</v>
      </c>
      <c r="AB8408">
        <v>17</v>
      </c>
      <c r="AC8408">
        <v>0.15409999999999899</v>
      </c>
      <c r="AD8408">
        <v>-1.1224231209719999</v>
      </c>
      <c r="AE8408">
        <v>13.508489999999901</v>
      </c>
      <c r="AF8408">
        <v>-1.5261287382517399</v>
      </c>
      <c r="AG8408">
        <v>-1.1224231209719999</v>
      </c>
      <c r="AH8408">
        <v>13.329672342772501</v>
      </c>
      <c r="AI8408">
        <v>94.782133948595302</v>
      </c>
      <c r="AJ8408">
        <v>96.531417027007905</v>
      </c>
      <c r="AK8408">
        <v>13.463620142958799</v>
      </c>
      <c r="AL8408">
        <v>98.095882928892607</v>
      </c>
      <c r="AM8408">
        <v>96.269696313767895</v>
      </c>
      <c r="AN8408">
        <v>1.0000000568626599</v>
      </c>
    </row>
    <row r="8409" spans="1:40" x14ac:dyDescent="0.25">
      <c r="A8409" t="str">
        <f>"20190303154341637"</f>
        <v>20190303154341637</v>
      </c>
      <c r="B8409" t="str">
        <f>"1551599021628053"</f>
        <v>1551599021628053</v>
      </c>
      <c r="C8409" t="s">
        <v>40</v>
      </c>
      <c r="D8409">
        <v>5.9444999999999997</v>
      </c>
      <c r="E8409">
        <v>0.4990308</v>
      </c>
      <c r="F8409" t="s">
        <v>41</v>
      </c>
      <c r="G8409">
        <v>-189.11619999999999</v>
      </c>
      <c r="H8409" s="1">
        <v>-1.1210350000000001E-6</v>
      </c>
      <c r="I8409">
        <v>-28.119479999999999</v>
      </c>
      <c r="J8409">
        <v>-189.3</v>
      </c>
      <c r="K8409">
        <v>1.1221920000000001</v>
      </c>
      <c r="L8409">
        <v>-41.44614</v>
      </c>
      <c r="M8409">
        <v>0.1214204</v>
      </c>
      <c r="N8409">
        <v>-1.4097159999999999E-2</v>
      </c>
      <c r="O8409">
        <v>0.99250110000000002</v>
      </c>
      <c r="P8409">
        <v>1.7480369999999999E-2</v>
      </c>
      <c r="Q8409">
        <v>-0.15250469999999999</v>
      </c>
      <c r="R8409">
        <v>0.98814820000000003</v>
      </c>
      <c r="S8409">
        <v>4.4372559999999998E-2</v>
      </c>
      <c r="T8409">
        <v>-0.2493746</v>
      </c>
      <c r="U8409">
        <v>2.9971009999999998</v>
      </c>
      <c r="V8409">
        <v>-0.1021938</v>
      </c>
      <c r="W8409">
        <v>-0.13896339999999999</v>
      </c>
      <c r="X8409">
        <v>0.98501039999999995</v>
      </c>
      <c r="Y8409">
        <v>-0.1066849</v>
      </c>
      <c r="Z8409">
        <v>-6.7714559999999993E-2</v>
      </c>
      <c r="AA8409">
        <v>0.99198439999999999</v>
      </c>
      <c r="AB8409">
        <v>17</v>
      </c>
      <c r="AC8409">
        <v>0.183800000000019</v>
      </c>
      <c r="AD8409">
        <v>-1.122193121035</v>
      </c>
      <c r="AE8409">
        <v>13.32666</v>
      </c>
      <c r="AF8409">
        <v>-1.4257416464952299</v>
      </c>
      <c r="AG8409">
        <v>-1.122193121035</v>
      </c>
      <c r="AH8409">
        <v>13.157082033964899</v>
      </c>
      <c r="AI8409">
        <v>94.846832070157603</v>
      </c>
      <c r="AJ8409">
        <v>96.184613515293506</v>
      </c>
      <c r="AK8409">
        <v>13.2815987099419</v>
      </c>
      <c r="AL8409">
        <v>97.987867575021099</v>
      </c>
      <c r="AM8409">
        <v>95.923185843264605</v>
      </c>
      <c r="AN8409">
        <v>0.99999994370307799</v>
      </c>
    </row>
    <row r="8410" spans="1:40" x14ac:dyDescent="0.25">
      <c r="A8410" t="str">
        <f>"20190303154341661"</f>
        <v>20190303154341661</v>
      </c>
      <c r="B8410" t="str">
        <f>"1551599021658309"</f>
        <v>1551599021658309</v>
      </c>
      <c r="C8410" t="s">
        <v>40</v>
      </c>
      <c r="D8410">
        <v>5.906758</v>
      </c>
      <c r="E8410">
        <v>0.49842249999999999</v>
      </c>
      <c r="F8410" t="s">
        <v>41</v>
      </c>
      <c r="G8410">
        <v>-189.0805</v>
      </c>
      <c r="H8410" s="1">
        <v>-1.2836639999999999E-6</v>
      </c>
      <c r="I8410">
        <v>-27.75515</v>
      </c>
      <c r="J8410">
        <v>-189.2833</v>
      </c>
      <c r="K8410">
        <v>1.121961</v>
      </c>
      <c r="L8410">
        <v>-41.27402</v>
      </c>
      <c r="M8410">
        <v>0.11801929999999999</v>
      </c>
      <c r="N8410">
        <v>-1.4069760000000001E-2</v>
      </c>
      <c r="O8410">
        <v>0.99291160000000001</v>
      </c>
      <c r="P8410">
        <v>1.90682E-2</v>
      </c>
      <c r="Q8410">
        <v>-0.1516933</v>
      </c>
      <c r="R8410">
        <v>0.98824369999999995</v>
      </c>
      <c r="S8410">
        <v>4.8049929999999998E-2</v>
      </c>
      <c r="T8410">
        <v>-0.24567</v>
      </c>
      <c r="U8410">
        <v>2.997223</v>
      </c>
      <c r="V8410">
        <v>-9.7346020000000005E-2</v>
      </c>
      <c r="W8410">
        <v>-0.13809589999999999</v>
      </c>
      <c r="X8410">
        <v>0.98562329999999998</v>
      </c>
      <c r="Y8410">
        <v>-0.10206419999999999</v>
      </c>
      <c r="Z8410">
        <v>-6.6600770000000004E-2</v>
      </c>
      <c r="AA8410">
        <v>0.99254580000000003</v>
      </c>
      <c r="AB8410">
        <v>17</v>
      </c>
      <c r="AC8410">
        <v>0.20279999999999601</v>
      </c>
      <c r="AD8410">
        <v>-1.121962283664</v>
      </c>
      <c r="AE8410">
        <v>13.51887</v>
      </c>
      <c r="AF8410">
        <v>-1.38472766415244</v>
      </c>
      <c r="AG8410">
        <v>-1.121962283664</v>
      </c>
      <c r="AH8410">
        <v>13.3563345528979</v>
      </c>
      <c r="AI8410">
        <v>94.776220926668302</v>
      </c>
      <c r="AJ8410">
        <v>95.919034687665899</v>
      </c>
      <c r="AK8410">
        <v>13.4747149416515</v>
      </c>
      <c r="AL8410">
        <v>97.937679075030005</v>
      </c>
      <c r="AM8410">
        <v>95.640578728861399</v>
      </c>
      <c r="AN8410">
        <v>1.0000000073547699</v>
      </c>
    </row>
    <row r="8411" spans="1:40" x14ac:dyDescent="0.25">
      <c r="A8411" t="str">
        <f>"20190303154341682"</f>
        <v>20190303154341682</v>
      </c>
      <c r="B8411" t="str">
        <f>"1551599021678805"</f>
        <v>1551599021678805</v>
      </c>
      <c r="C8411" t="s">
        <v>40</v>
      </c>
      <c r="D8411">
        <v>5.9271459999999996</v>
      </c>
      <c r="E8411">
        <v>0.49797789999999997</v>
      </c>
      <c r="F8411" t="s">
        <v>41</v>
      </c>
      <c r="G8411">
        <v>-189.06379999999999</v>
      </c>
      <c r="H8411" s="1">
        <v>-1.400149E-6</v>
      </c>
      <c r="I8411">
        <v>-27.49052</v>
      </c>
      <c r="J8411">
        <v>-189.26840000000001</v>
      </c>
      <c r="K8411">
        <v>1.1217710000000001</v>
      </c>
      <c r="L8411">
        <v>-41.119810000000001</v>
      </c>
      <c r="M8411">
        <v>0.11529250000000001</v>
      </c>
      <c r="N8411">
        <v>-1.404622E-2</v>
      </c>
      <c r="O8411">
        <v>0.99323229999999996</v>
      </c>
      <c r="P8411">
        <v>2.186283E-2</v>
      </c>
      <c r="Q8411">
        <v>-0.15146479999999901</v>
      </c>
      <c r="R8411">
        <v>0.98822089999999996</v>
      </c>
      <c r="S8411">
        <v>4.7729489999999999E-2</v>
      </c>
      <c r="T8411">
        <v>-0.24397849999999999</v>
      </c>
      <c r="U8411">
        <v>2.9973139999999998</v>
      </c>
      <c r="V8411">
        <v>-9.1932020000000003E-2</v>
      </c>
      <c r="W8411">
        <v>-0.13782459999999999</v>
      </c>
      <c r="X8411">
        <v>0.98618099999999997</v>
      </c>
      <c r="Y8411">
        <v>-9.9440780000000006E-2</v>
      </c>
      <c r="Z8411">
        <v>-6.6119159999999996E-2</v>
      </c>
      <c r="AA8411">
        <v>0.99284430000000001</v>
      </c>
      <c r="AB8411">
        <v>17</v>
      </c>
      <c r="AC8411">
        <v>0.20460000000002701</v>
      </c>
      <c r="AD8411">
        <v>-1.1217724001489999</v>
      </c>
      <c r="AE8411">
        <v>13.629289999999999</v>
      </c>
      <c r="AF8411">
        <v>-1.3590698896462801</v>
      </c>
      <c r="AG8411">
        <v>-1.1217724001489999</v>
      </c>
      <c r="AH8411">
        <v>13.4707434266584</v>
      </c>
      <c r="AI8411">
        <v>94.736372336905106</v>
      </c>
      <c r="AJ8411">
        <v>95.761104763497201</v>
      </c>
      <c r="AK8411">
        <v>13.585520702186599</v>
      </c>
      <c r="AL8411">
        <v>97.921984390452593</v>
      </c>
      <c r="AM8411">
        <v>95.325734454935599</v>
      </c>
      <c r="AN8411">
        <v>1.00000004071371</v>
      </c>
    </row>
    <row r="8412" spans="1:40" x14ac:dyDescent="0.25">
      <c r="A8412" t="str">
        <f>"20190303154341716"</f>
        <v>20190303154341716</v>
      </c>
      <c r="B8412" t="str">
        <f>"1551599021708085"</f>
        <v>1551599021708085</v>
      </c>
      <c r="C8412" t="s">
        <v>40</v>
      </c>
      <c r="D8412">
        <v>5.9258069999999998</v>
      </c>
      <c r="E8412">
        <v>0.49733319999999998</v>
      </c>
      <c r="F8412" t="s">
        <v>41</v>
      </c>
      <c r="G8412">
        <v>-189.03299999999999</v>
      </c>
      <c r="H8412" s="1">
        <v>-1.428219E-6</v>
      </c>
      <c r="I8412">
        <v>-27.437850000000001</v>
      </c>
      <c r="J8412">
        <v>-189.24440000000001</v>
      </c>
      <c r="K8412">
        <v>1.121516</v>
      </c>
      <c r="L8412">
        <v>-40.870480000000001</v>
      </c>
      <c r="M8412">
        <v>0.1115251</v>
      </c>
      <c r="N8412">
        <v>-1.4010989999999999E-2</v>
      </c>
      <c r="O8412">
        <v>0.99366279999999996</v>
      </c>
      <c r="P8412">
        <v>1.9073059999999999E-2</v>
      </c>
      <c r="Q8412">
        <v>-0.1484354</v>
      </c>
      <c r="R8412">
        <v>0.98873820000000001</v>
      </c>
      <c r="S8412">
        <v>5.1574710000000003E-2</v>
      </c>
      <c r="T8412">
        <v>-0.2457173</v>
      </c>
      <c r="U8412">
        <v>2.9969480000000002</v>
      </c>
      <c r="V8412">
        <v>-9.1123819999999994E-2</v>
      </c>
      <c r="W8412">
        <v>-0.13476109999999999</v>
      </c>
      <c r="X8412">
        <v>0.98667919999999998</v>
      </c>
      <c r="Y8412">
        <v>-9.4394710000000007E-2</v>
      </c>
      <c r="Z8412">
        <v>-6.680432E-2</v>
      </c>
      <c r="AA8412">
        <v>0.99329089999999998</v>
      </c>
      <c r="AB8412">
        <v>17</v>
      </c>
      <c r="AC8412">
        <v>0.21140000000002601</v>
      </c>
      <c r="AD8412">
        <v>-1.1215174282189999</v>
      </c>
      <c r="AE8412">
        <v>13.43263</v>
      </c>
      <c r="AF8412">
        <v>-1.27922641082917</v>
      </c>
      <c r="AG8412">
        <v>-1.1215174282189999</v>
      </c>
      <c r="AH8412">
        <v>13.2798445437307</v>
      </c>
      <c r="AI8412">
        <v>94.805185173088404</v>
      </c>
      <c r="AJ8412">
        <v>95.5022349702393</v>
      </c>
      <c r="AK8412">
        <v>13.3883715461447</v>
      </c>
      <c r="AL8412">
        <v>97.744805892042606</v>
      </c>
      <c r="AM8412">
        <v>95.276529595811695</v>
      </c>
      <c r="AN8412">
        <v>0.99999997417861997</v>
      </c>
    </row>
    <row r="8413" spans="1:40" x14ac:dyDescent="0.25">
      <c r="A8413" t="str">
        <f>"20190303154341739"</f>
        <v>20190303154341739</v>
      </c>
      <c r="B8413" t="str">
        <f>"1551599021728581"</f>
        <v>1551599021728581</v>
      </c>
      <c r="C8413" t="s">
        <v>40</v>
      </c>
      <c r="D8413">
        <v>5.9401260000000002</v>
      </c>
      <c r="E8413">
        <v>0.49711040000000001</v>
      </c>
      <c r="F8413" t="s">
        <v>41</v>
      </c>
      <c r="G8413">
        <v>-189.07490000000001</v>
      </c>
      <c r="H8413" s="1">
        <v>-1.6538059999999999E-6</v>
      </c>
      <c r="I8413">
        <v>-26.894659999999998</v>
      </c>
      <c r="J8413">
        <v>-189.2287</v>
      </c>
      <c r="K8413">
        <v>1.1213679999999999</v>
      </c>
      <c r="L8413">
        <v>-40.706789999999998</v>
      </c>
      <c r="M8413">
        <v>0.1095849</v>
      </c>
      <c r="N8413">
        <v>-1.3989939999999999E-2</v>
      </c>
      <c r="O8413">
        <v>0.99387899999999996</v>
      </c>
      <c r="P8413">
        <v>1.6392460000000001E-2</v>
      </c>
      <c r="Q8413">
        <v>-0.1435572</v>
      </c>
      <c r="R8413">
        <v>0.9895062</v>
      </c>
      <c r="S8413">
        <v>3.6361690000000002E-2</v>
      </c>
      <c r="T8413">
        <v>-0.24053050000000001</v>
      </c>
      <c r="U8413">
        <v>2.9973749999999999</v>
      </c>
      <c r="V8413">
        <v>-9.2011640000000006E-2</v>
      </c>
      <c r="W8413">
        <v>-0.12985769999999999</v>
      </c>
      <c r="X8413">
        <v>0.98725419999999997</v>
      </c>
      <c r="Y8413">
        <v>-9.7491069999999999E-2</v>
      </c>
      <c r="Z8413">
        <v>-6.5131120000000001E-2</v>
      </c>
      <c r="AA8413">
        <v>0.99310290000000001</v>
      </c>
      <c r="AB8413">
        <v>16</v>
      </c>
      <c r="AC8413">
        <v>0.153799999999989</v>
      </c>
      <c r="AD8413">
        <v>-1.1213696538059901</v>
      </c>
      <c r="AE8413">
        <v>13.81213</v>
      </c>
      <c r="AF8413">
        <v>-1.3519652407788001</v>
      </c>
      <c r="AG8413">
        <v>-1.1213696538059901</v>
      </c>
      <c r="AH8413">
        <v>13.655785783813</v>
      </c>
      <c r="AI8413">
        <v>94.671676834569098</v>
      </c>
      <c r="AJ8413">
        <v>95.654035416014906</v>
      </c>
      <c r="AK8413">
        <v>13.7682883934838</v>
      </c>
      <c r="AL8413">
        <v>97.461369350761203</v>
      </c>
      <c r="AM8413">
        <v>95.324559350360502</v>
      </c>
      <c r="AN8413">
        <v>1.0000000097812001</v>
      </c>
    </row>
    <row r="8414" spans="1:40" x14ac:dyDescent="0.25">
      <c r="A8414" t="str">
        <f>"20190303154341761"</f>
        <v>20190303154341761</v>
      </c>
      <c r="B8414" t="str">
        <f>"1551599021758837"</f>
        <v>1551599021758837</v>
      </c>
      <c r="C8414" t="s">
        <v>40</v>
      </c>
      <c r="D8414">
        <v>5.9566530000000002</v>
      </c>
      <c r="E8414">
        <v>0.49695240000000002</v>
      </c>
      <c r="F8414" t="s">
        <v>41</v>
      </c>
      <c r="G8414">
        <v>-189.1019</v>
      </c>
      <c r="H8414" s="1">
        <v>-2.0343710000000002E-6</v>
      </c>
      <c r="I8414">
        <v>-25.996410000000001</v>
      </c>
      <c r="J8414">
        <v>-189.2131</v>
      </c>
      <c r="K8414">
        <v>1.121224</v>
      </c>
      <c r="L8414">
        <v>-40.545929999999998</v>
      </c>
      <c r="M8414">
        <v>0.1080107</v>
      </c>
      <c r="N8414">
        <v>-1.3971559999999999E-2</v>
      </c>
      <c r="O8414">
        <v>0.99405160000000004</v>
      </c>
      <c r="P8414">
        <v>1.360958E-2</v>
      </c>
      <c r="Q8414">
        <v>-0.14027609999999999</v>
      </c>
      <c r="R8414">
        <v>0.99001890000000003</v>
      </c>
      <c r="S8414">
        <v>2.5848389999999999E-2</v>
      </c>
      <c r="T8414">
        <v>-0.2285546</v>
      </c>
      <c r="U8414">
        <v>2.99823</v>
      </c>
      <c r="V8414">
        <v>-9.3327030000000005E-2</v>
      </c>
      <c r="W8414">
        <v>-0.12655459999999999</v>
      </c>
      <c r="X8414">
        <v>0.98755959999999998</v>
      </c>
      <c r="Y8414">
        <v>-9.9399509999999996E-2</v>
      </c>
      <c r="Z8414">
        <v>-6.1221350000000001E-2</v>
      </c>
      <c r="AA8414">
        <v>0.99316249999999995</v>
      </c>
      <c r="AB8414">
        <v>16</v>
      </c>
      <c r="AC8414">
        <v>0.111199999999996</v>
      </c>
      <c r="AD8414">
        <v>-1.1212260343709901</v>
      </c>
      <c r="AE8414">
        <v>14.5495199999999</v>
      </c>
      <c r="AF8414">
        <v>-1.45248253668729</v>
      </c>
      <c r="AG8414">
        <v>-1.1212260343709901</v>
      </c>
      <c r="AH8414">
        <v>14.390938695300701</v>
      </c>
      <c r="AI8414">
        <v>94.432596154372106</v>
      </c>
      <c r="AJ8414">
        <v>95.7633658424174</v>
      </c>
      <c r="AK8414">
        <v>14.5074453254677</v>
      </c>
      <c r="AL8414">
        <v>97.270540966140004</v>
      </c>
      <c r="AM8414">
        <v>95.398571768317694</v>
      </c>
      <c r="AN8414">
        <v>0.99999998243096999</v>
      </c>
    </row>
    <row r="8415" spans="1:40" x14ac:dyDescent="0.25">
      <c r="A8415" t="str">
        <f>"20190303154341782"</f>
        <v>20190303154341782</v>
      </c>
      <c r="B8415" t="str">
        <f>"1551599021778357"</f>
        <v>1551599021778357</v>
      </c>
      <c r="C8415" t="s">
        <v>40</v>
      </c>
      <c r="D8415">
        <v>5.9759539999999998</v>
      </c>
      <c r="E8415">
        <v>0.49442219999999998</v>
      </c>
      <c r="F8415" t="s">
        <v>41</v>
      </c>
      <c r="G8415">
        <v>-189.13390000000001</v>
      </c>
      <c r="H8415" s="1">
        <v>-2.2888739999999999E-6</v>
      </c>
      <c r="I8415">
        <v>-25.38993</v>
      </c>
      <c r="J8415">
        <v>-189.19839999999999</v>
      </c>
      <c r="K8415">
        <v>1.1210599999999999</v>
      </c>
      <c r="L8415">
        <v>-40.395809999999997</v>
      </c>
      <c r="M8415">
        <v>0.106876</v>
      </c>
      <c r="N8415">
        <v>-1.39563E-2</v>
      </c>
      <c r="O8415">
        <v>0.99417440000000001</v>
      </c>
      <c r="P8415">
        <v>1.1637049999999999E-2</v>
      </c>
      <c r="Q8415">
        <v>-0.1390479</v>
      </c>
      <c r="R8415">
        <v>0.99021729999999997</v>
      </c>
      <c r="S8415">
        <v>1.5670779999999999E-2</v>
      </c>
      <c r="T8415">
        <v>-0.22183330000000001</v>
      </c>
      <c r="U8415">
        <v>2.998596</v>
      </c>
      <c r="V8415">
        <v>-9.4237779999999993E-2</v>
      </c>
      <c r="W8415">
        <v>-0.12530089999999999</v>
      </c>
      <c r="X8415">
        <v>0.98763299999999998</v>
      </c>
      <c r="Y8415">
        <v>-0.1016349</v>
      </c>
      <c r="Z8415">
        <v>-5.9031109999999998E-2</v>
      </c>
      <c r="AA8415">
        <v>0.99306879999999997</v>
      </c>
      <c r="AB8415">
        <v>16</v>
      </c>
      <c r="AC8415">
        <v>6.44999999999811E-2</v>
      </c>
      <c r="AD8415">
        <v>-1.1210622888739901</v>
      </c>
      <c r="AE8415">
        <v>15.0058799999999</v>
      </c>
      <c r="AF8415">
        <v>-1.5312479327953801</v>
      </c>
      <c r="AG8415">
        <v>-1.1210622888739901</v>
      </c>
      <c r="AH8415">
        <v>14.8439617639788</v>
      </c>
      <c r="AI8415">
        <v>94.296244900359</v>
      </c>
      <c r="AJ8415">
        <v>95.889587848313496</v>
      </c>
      <c r="AK8415">
        <v>14.9647820477844</v>
      </c>
      <c r="AL8415">
        <v>97.198132639857903</v>
      </c>
      <c r="AM8415">
        <v>95.450536317023094</v>
      </c>
      <c r="AN8415">
        <v>1.00000000870456</v>
      </c>
    </row>
    <row r="8416" spans="1:40" x14ac:dyDescent="0.25">
      <c r="A8416" t="str">
        <f>"20190303154341804"</f>
        <v>20190303154341804</v>
      </c>
      <c r="B8416" t="str">
        <f>"1551599021798853"</f>
        <v>1551599021798853</v>
      </c>
      <c r="C8416" t="s">
        <v>40</v>
      </c>
      <c r="D8416">
        <v>5.9266699999999997</v>
      </c>
      <c r="E8416">
        <v>0.49533929999999998</v>
      </c>
      <c r="F8416" t="s">
        <v>41</v>
      </c>
      <c r="G8416">
        <v>-189.24100000000001</v>
      </c>
      <c r="H8416" s="1">
        <v>-1.1858200000000001E-6</v>
      </c>
      <c r="I8416">
        <v>-27.916869999999999</v>
      </c>
      <c r="J8416">
        <v>-189.18190000000001</v>
      </c>
      <c r="K8416">
        <v>1.1208260000000001</v>
      </c>
      <c r="L8416">
        <v>-40.231810000000003</v>
      </c>
      <c r="M8416">
        <v>0.10606690000000001</v>
      </c>
      <c r="N8416">
        <v>-1.3930690000000001E-2</v>
      </c>
      <c r="O8416">
        <v>0.99426139999999996</v>
      </c>
      <c r="P8416">
        <v>1.120754E-2</v>
      </c>
      <c r="Q8416">
        <v>-0.13921239999999999</v>
      </c>
      <c r="R8416">
        <v>0.9901991</v>
      </c>
      <c r="S8416">
        <v>-1.0223390000000001E-2</v>
      </c>
      <c r="T8416">
        <v>-0.26879039999999998</v>
      </c>
      <c r="U8416">
        <v>2.9920040000000001</v>
      </c>
      <c r="V8416">
        <v>-9.3930490000000005E-2</v>
      </c>
      <c r="W8416">
        <v>-0.12543799999999999</v>
      </c>
      <c r="X8416">
        <v>0.98764490000000005</v>
      </c>
      <c r="Y8416">
        <v>-0.1093842</v>
      </c>
      <c r="Z8416">
        <v>-7.4564950000000005E-2</v>
      </c>
      <c r="AA8416">
        <v>0.99119880000000005</v>
      </c>
      <c r="AB8416">
        <v>16</v>
      </c>
      <c r="AC8416">
        <v>-5.9099999999972397E-2</v>
      </c>
      <c r="AD8416">
        <v>-1.1208271858200001</v>
      </c>
      <c r="AE8416">
        <v>12.314939999999901</v>
      </c>
      <c r="AF8416">
        <v>-1.3538862068141899</v>
      </c>
      <c r="AG8416">
        <v>-1.1208271858200001</v>
      </c>
      <c r="AH8416">
        <v>12.138640841247399</v>
      </c>
      <c r="AI8416">
        <v>95.243145446448295</v>
      </c>
      <c r="AJ8416">
        <v>96.364195012120206</v>
      </c>
      <c r="AK8416">
        <v>12.265229835362801</v>
      </c>
      <c r="AL8416">
        <v>97.206050144089701</v>
      </c>
      <c r="AM8416">
        <v>95.432804685932894</v>
      </c>
      <c r="AN8416">
        <v>1.0000000386458201</v>
      </c>
    </row>
    <row r="8417" spans="1:40" x14ac:dyDescent="0.25">
      <c r="A8417" t="str">
        <f>"20190303154341838"</f>
        <v>20190303154341838</v>
      </c>
      <c r="B8417" t="str">
        <f>"1551599021828132"</f>
        <v>1551599021828132</v>
      </c>
      <c r="C8417" t="s">
        <v>40</v>
      </c>
      <c r="D8417">
        <v>5.9424999999999999</v>
      </c>
      <c r="E8417">
        <v>0.49602950000000001</v>
      </c>
      <c r="F8417" t="s">
        <v>41</v>
      </c>
      <c r="G8417">
        <v>-189.19890000000001</v>
      </c>
      <c r="H8417" s="1">
        <v>-1.235949E-6</v>
      </c>
      <c r="I8417">
        <v>-27.817450000000001</v>
      </c>
      <c r="J8417">
        <v>-189.15620000000001</v>
      </c>
      <c r="K8417">
        <v>1.120385</v>
      </c>
      <c r="L8417">
        <v>-39.983150000000002</v>
      </c>
      <c r="M8417">
        <v>0.1057559</v>
      </c>
      <c r="N8417">
        <v>-1.374999E-2</v>
      </c>
      <c r="O8417">
        <v>0.99429699999999999</v>
      </c>
      <c r="P8417">
        <v>1.4297310000000001E-2</v>
      </c>
      <c r="Q8417">
        <v>-0.13790379999999899</v>
      </c>
      <c r="R8417">
        <v>0.99034239999999996</v>
      </c>
      <c r="S8417">
        <v>-4.0740969999999996E-3</v>
      </c>
      <c r="T8417">
        <v>-0.27011010000000002</v>
      </c>
      <c r="U8417">
        <v>2.9917600000000002</v>
      </c>
      <c r="V8417">
        <v>-9.0689859999999997E-2</v>
      </c>
      <c r="W8417">
        <v>-0.1242109</v>
      </c>
      <c r="X8417">
        <v>0.9881027</v>
      </c>
      <c r="Y8417">
        <v>-0.1070382</v>
      </c>
      <c r="Z8417">
        <v>-7.5201390000000007E-2</v>
      </c>
      <c r="AA8417">
        <v>0.99140689999999998</v>
      </c>
      <c r="AB8417">
        <v>16</v>
      </c>
      <c r="AC8417">
        <v>-4.2699999999996401E-2</v>
      </c>
      <c r="AD8417">
        <v>-1.120386235949</v>
      </c>
      <c r="AE8417">
        <v>12.165699999999999</v>
      </c>
      <c r="AF8417">
        <v>-1.3179985822803499</v>
      </c>
      <c r="AG8417">
        <v>-1.120386235949</v>
      </c>
      <c r="AH8417">
        <v>11.9912472193796</v>
      </c>
      <c r="AI8417">
        <v>95.306087013397502</v>
      </c>
      <c r="AJ8417">
        <v>96.272395147300003</v>
      </c>
      <c r="AK8417">
        <v>12.115378469403</v>
      </c>
      <c r="AL8417">
        <v>97.135188746801305</v>
      </c>
      <c r="AM8417">
        <v>95.244018581614796</v>
      </c>
      <c r="AN8417">
        <v>0.99999997206645896</v>
      </c>
    </row>
    <row r="8418" spans="1:40" x14ac:dyDescent="0.25">
      <c r="A8418" t="str">
        <f>"20190303154341862"</f>
        <v>20190303154341862</v>
      </c>
      <c r="B8418" t="str">
        <f>"1551599021858389"</f>
        <v>1551599021858389</v>
      </c>
      <c r="C8418" t="s">
        <v>40</v>
      </c>
      <c r="D8418">
        <v>5.9523289999999998</v>
      </c>
      <c r="E8418">
        <v>0.4964075</v>
      </c>
      <c r="F8418" t="s">
        <v>41</v>
      </c>
      <c r="G8418">
        <v>-189.11340000000001</v>
      </c>
      <c r="H8418" s="1">
        <v>-1.3250739999999999E-6</v>
      </c>
      <c r="I8418">
        <v>-27.645029999999998</v>
      </c>
      <c r="J8418">
        <v>-189.13800000000001</v>
      </c>
      <c r="K8418">
        <v>1.1200270000000001</v>
      </c>
      <c r="L8418">
        <v>-39.815980000000003</v>
      </c>
      <c r="M8418">
        <v>0.10626190000000001</v>
      </c>
      <c r="N8418">
        <v>-1.345239E-2</v>
      </c>
      <c r="O8418">
        <v>0.9942472</v>
      </c>
      <c r="P8418">
        <v>1.8047230000000001E-2</v>
      </c>
      <c r="Q8418">
        <v>-0.13508499999999901</v>
      </c>
      <c r="R8418">
        <v>0.99066960000000004</v>
      </c>
      <c r="S8418">
        <v>1.037598E-2</v>
      </c>
      <c r="T8418">
        <v>-0.27162809999999998</v>
      </c>
      <c r="U8418">
        <v>2.9912719999999999</v>
      </c>
      <c r="V8418">
        <v>-8.7581179999999995E-2</v>
      </c>
      <c r="W8418">
        <v>-0.1216188</v>
      </c>
      <c r="X8418">
        <v>0.98870539999999996</v>
      </c>
      <c r="Y8418">
        <v>-0.1027585</v>
      </c>
      <c r="Z8418">
        <v>-7.6025200000000001E-2</v>
      </c>
      <c r="AA8418">
        <v>0.99179680000000003</v>
      </c>
      <c r="AB8418">
        <v>16</v>
      </c>
      <c r="AC8418">
        <v>2.4599999999992399E-2</v>
      </c>
      <c r="AD8418">
        <v>-1.120028325074</v>
      </c>
      <c r="AE8418">
        <v>12.1709499999999</v>
      </c>
      <c r="AF8418">
        <v>-1.2583085769936799</v>
      </c>
      <c r="AG8418">
        <v>-1.120028325074</v>
      </c>
      <c r="AH8418">
        <v>12.002994456823799</v>
      </c>
      <c r="AI8418">
        <v>95.302082130690295</v>
      </c>
      <c r="AJ8418">
        <v>95.984622399922898</v>
      </c>
      <c r="AK8418">
        <v>12.120630340640201</v>
      </c>
      <c r="AL8418">
        <v>96.985537467922995</v>
      </c>
      <c r="AM8418">
        <v>95.062143292079995</v>
      </c>
      <c r="AN8418">
        <v>0.99999998179639604</v>
      </c>
    </row>
    <row r="8419" spans="1:40" x14ac:dyDescent="0.25">
      <c r="A8419" t="str">
        <f>"20190303154341883"</f>
        <v>20190303154341883</v>
      </c>
      <c r="B8419" t="str">
        <f>"1551599021878885"</f>
        <v>1551599021878885</v>
      </c>
      <c r="C8419" t="s">
        <v>40</v>
      </c>
      <c r="D8419">
        <v>5.9872019999999999</v>
      </c>
      <c r="E8419">
        <v>0.51108949999999997</v>
      </c>
      <c r="F8419" t="s">
        <v>41</v>
      </c>
      <c r="G8419">
        <v>-189.0376</v>
      </c>
      <c r="H8419" s="1">
        <v>-1.46207E-6</v>
      </c>
      <c r="I8419">
        <v>-27.357050000000001</v>
      </c>
      <c r="J8419">
        <v>-189.12</v>
      </c>
      <c r="K8419">
        <v>1.119707</v>
      </c>
      <c r="L8419">
        <v>-39.656770000000002</v>
      </c>
      <c r="M8419">
        <v>0.10718370000000001</v>
      </c>
      <c r="N8419">
        <v>-1.310101E-2</v>
      </c>
      <c r="O8419">
        <v>0.99415290000000001</v>
      </c>
      <c r="P8419">
        <v>2.245227E-2</v>
      </c>
      <c r="Q8419">
        <v>-0.1331898</v>
      </c>
      <c r="R8419">
        <v>0.99083619999999994</v>
      </c>
      <c r="S8419">
        <v>2.412415E-2</v>
      </c>
      <c r="T8419">
        <v>-0.26889740000000001</v>
      </c>
      <c r="U8419">
        <v>2.9911500000000002</v>
      </c>
      <c r="V8419">
        <v>-8.4201789999999999E-2</v>
      </c>
      <c r="W8419">
        <v>-0.1200208</v>
      </c>
      <c r="X8419">
        <v>0.98919420000000002</v>
      </c>
      <c r="Y8419">
        <v>-9.9126160000000005E-2</v>
      </c>
      <c r="Z8419">
        <v>-7.5491680000000005E-2</v>
      </c>
      <c r="AA8419">
        <v>0.99220719999999996</v>
      </c>
      <c r="AB8419">
        <v>16</v>
      </c>
      <c r="AC8419">
        <v>8.2400000000006898E-2</v>
      </c>
      <c r="AD8419">
        <v>-1.11970846207</v>
      </c>
      <c r="AE8419">
        <v>12.299719999999899</v>
      </c>
      <c r="AF8419">
        <v>-1.2263545759171901</v>
      </c>
      <c r="AG8419">
        <v>-1.11970846207</v>
      </c>
      <c r="AH8419">
        <v>12.137103894023101</v>
      </c>
      <c r="AI8419">
        <v>95.244349204054799</v>
      </c>
      <c r="AJ8419">
        <v>95.769685606354997</v>
      </c>
      <c r="AK8419">
        <v>12.2501829994582</v>
      </c>
      <c r="AL8419">
        <v>96.893302663976399</v>
      </c>
      <c r="AM8419">
        <v>94.865379864746998</v>
      </c>
      <c r="AN8419">
        <v>1.0000000495927399</v>
      </c>
    </row>
    <row r="8420" spans="1:40" x14ac:dyDescent="0.25">
      <c r="A8420" t="str">
        <f>"20190303154341916"</f>
        <v>20190303154341916</v>
      </c>
      <c r="B8420" t="str">
        <f>"1551599021908165"</f>
        <v>1551599021908165</v>
      </c>
      <c r="C8420" t="s">
        <v>40</v>
      </c>
      <c r="D8420">
        <v>5.996721</v>
      </c>
      <c r="E8420">
        <v>0.51226779999999905</v>
      </c>
      <c r="F8420" t="s">
        <v>41</v>
      </c>
      <c r="G8420">
        <v>-188.4332</v>
      </c>
      <c r="H8420" s="1">
        <v>-2.0236270000000001E-6</v>
      </c>
      <c r="I8420">
        <v>-26.29795</v>
      </c>
      <c r="J8420">
        <v>-189.0915</v>
      </c>
      <c r="K8420">
        <v>1.1192569999999999</v>
      </c>
      <c r="L8420">
        <v>-39.415439999999997</v>
      </c>
      <c r="M8420">
        <v>0.1093821</v>
      </c>
      <c r="N8420">
        <v>-1.25622999999999E-2</v>
      </c>
      <c r="O8420">
        <v>0.99392040000000004</v>
      </c>
      <c r="P8420">
        <v>3.3749010000000003E-2</v>
      </c>
      <c r="Q8420">
        <v>-0.1357862</v>
      </c>
      <c r="R8420">
        <v>0.99016320000000002</v>
      </c>
      <c r="S8420">
        <v>0.15376280000000001</v>
      </c>
      <c r="T8420">
        <v>-0.25066349999999998</v>
      </c>
      <c r="U8420">
        <v>2.99057</v>
      </c>
      <c r="V8420">
        <v>-7.5187009999999999E-2</v>
      </c>
      <c r="W8420">
        <v>-0.1231101</v>
      </c>
      <c r="X8420">
        <v>0.98954070000000005</v>
      </c>
      <c r="Y8420">
        <v>-5.8298320000000001E-2</v>
      </c>
      <c r="Z8420">
        <v>-7.0160050000000002E-2</v>
      </c>
      <c r="AA8420">
        <v>0.99583080000000002</v>
      </c>
      <c r="AB8420">
        <v>16</v>
      </c>
      <c r="AC8420">
        <v>0.658299999999997</v>
      </c>
      <c r="AD8420">
        <v>-1.1192590236269999</v>
      </c>
      <c r="AE8420">
        <v>13.11749</v>
      </c>
      <c r="AF8420">
        <v>-0.77495452861367897</v>
      </c>
      <c r="AG8420">
        <v>-1.1192590236269999</v>
      </c>
      <c r="AH8420">
        <v>13.0162551355742</v>
      </c>
      <c r="AI8420">
        <v>94.906090758107496</v>
      </c>
      <c r="AJ8420">
        <v>93.407222051189905</v>
      </c>
      <c r="AK8420">
        <v>13.087253074566499</v>
      </c>
      <c r="AL8420">
        <v>97.071629577475505</v>
      </c>
      <c r="AM8420">
        <v>94.345083323780301</v>
      </c>
      <c r="AN8420">
        <v>0.99999999007562002</v>
      </c>
    </row>
    <row r="8421" spans="1:40" x14ac:dyDescent="0.25">
      <c r="A8421" t="str">
        <f>"20190303154341940"</f>
        <v>20190303154341940</v>
      </c>
      <c r="B8421" t="str">
        <f>"1551599021928661"</f>
        <v>1551599021928661</v>
      </c>
      <c r="C8421" t="s">
        <v>40</v>
      </c>
      <c r="D8421">
        <v>6.0140260000000003</v>
      </c>
      <c r="E8421">
        <v>0.51237979999999905</v>
      </c>
      <c r="F8421" t="s">
        <v>41</v>
      </c>
      <c r="G8421">
        <v>-188.2593</v>
      </c>
      <c r="H8421" s="1">
        <v>-1.81685E-6</v>
      </c>
      <c r="I8421">
        <v>-26.85183</v>
      </c>
      <c r="J8421">
        <v>-189.06950000000001</v>
      </c>
      <c r="K8421">
        <v>1.1190249999999999</v>
      </c>
      <c r="L8421">
        <v>-39.239350000000002</v>
      </c>
      <c r="M8421">
        <v>0.1116171</v>
      </c>
      <c r="N8421">
        <v>-1.220681E-2</v>
      </c>
      <c r="O8421">
        <v>0.99367629999999996</v>
      </c>
      <c r="P8421">
        <v>4.304608E-2</v>
      </c>
      <c r="Q8421">
        <v>-0.13834540000000001</v>
      </c>
      <c r="R8421">
        <v>0.98944810000000005</v>
      </c>
      <c r="S8421">
        <v>0.19781489999999999</v>
      </c>
      <c r="T8421">
        <v>-0.26606600000000002</v>
      </c>
      <c r="U8421">
        <v>2.9865719999999998</v>
      </c>
      <c r="V8421">
        <v>-6.8153169999999999E-2</v>
      </c>
      <c r="W8421">
        <v>-0.12601399999999999</v>
      </c>
      <c r="X8421">
        <v>0.98968460000000003</v>
      </c>
      <c r="Y8421">
        <v>-4.5866560000000001E-2</v>
      </c>
      <c r="Z8421">
        <v>-7.5644219999999998E-2</v>
      </c>
      <c r="AA8421">
        <v>0.99607939999999995</v>
      </c>
      <c r="AB8421">
        <v>16</v>
      </c>
      <c r="AC8421">
        <v>0.81020000000000802</v>
      </c>
      <c r="AD8421">
        <v>-1.1190268168499999</v>
      </c>
      <c r="AE8421">
        <v>12.38752</v>
      </c>
      <c r="AF8421">
        <v>-0.57296980948729803</v>
      </c>
      <c r="AG8421">
        <v>-1.1190268168499999</v>
      </c>
      <c r="AH8421">
        <v>12.3005909334818</v>
      </c>
      <c r="AI8421">
        <v>95.192485079657502</v>
      </c>
      <c r="AJ8421">
        <v>92.666948231789306</v>
      </c>
      <c r="AK8421">
        <v>12.3646695359103</v>
      </c>
      <c r="AL8421">
        <v>97.239316797245905</v>
      </c>
      <c r="AM8421">
        <v>93.939370114779706</v>
      </c>
      <c r="AN8421">
        <v>0.99999999512710402</v>
      </c>
    </row>
    <row r="8422" spans="1:40" x14ac:dyDescent="0.25">
      <c r="A8422" t="str">
        <f>"20190303154341963"</f>
        <v>20190303154341963</v>
      </c>
      <c r="B8422" t="str">
        <f>"1551599021958449"</f>
        <v>1551599021958449</v>
      </c>
      <c r="C8422" t="s">
        <v>40</v>
      </c>
      <c r="D8422">
        <v>6.0074480000000001</v>
      </c>
      <c r="E8422">
        <v>0.51212879999999905</v>
      </c>
      <c r="F8422" t="s">
        <v>41</v>
      </c>
      <c r="G8422">
        <v>-188.15090000000001</v>
      </c>
      <c r="H8422" s="1">
        <v>-1.6892709999999999E-6</v>
      </c>
      <c r="I8422">
        <v>-27.194040000000001</v>
      </c>
      <c r="J8422">
        <v>-189.0479</v>
      </c>
      <c r="K8422">
        <v>1.118887</v>
      </c>
      <c r="L8422">
        <v>-39.072139999999997</v>
      </c>
      <c r="M8422">
        <v>0.11403439999999999</v>
      </c>
      <c r="N8422">
        <v>-1.189201E-2</v>
      </c>
      <c r="O8422">
        <v>0.9934056</v>
      </c>
      <c r="P8422">
        <v>5.0770219999999998E-2</v>
      </c>
      <c r="Q8422">
        <v>-0.1418479</v>
      </c>
      <c r="R8422">
        <v>0.98858570000000001</v>
      </c>
      <c r="S8422">
        <v>0.2275085</v>
      </c>
      <c r="T8422">
        <v>-0.27715620000000002</v>
      </c>
      <c r="U8422">
        <v>2.9833370000000001</v>
      </c>
      <c r="V8422">
        <v>-6.283126E-2</v>
      </c>
      <c r="W8422">
        <v>-0.1298347</v>
      </c>
      <c r="X8422">
        <v>0.9895429</v>
      </c>
      <c r="Y8422">
        <v>-3.838867E-2</v>
      </c>
      <c r="Z8422">
        <v>-7.9639139999999997E-2</v>
      </c>
      <c r="AA8422">
        <v>0.99608430000000003</v>
      </c>
      <c r="AB8422">
        <v>17</v>
      </c>
      <c r="AC8422">
        <v>0.89699999999999103</v>
      </c>
      <c r="AD8422">
        <v>-1.1188886892709999</v>
      </c>
      <c r="AE8422">
        <v>11.8781</v>
      </c>
      <c r="AF8422">
        <v>-0.45940667951144898</v>
      </c>
      <c r="AG8422">
        <v>-1.1188886892709999</v>
      </c>
      <c r="AH8422">
        <v>11.7988025301463</v>
      </c>
      <c r="AI8422">
        <v>95.413121479707002</v>
      </c>
      <c r="AJ8422">
        <v>92.229783388697797</v>
      </c>
      <c r="AK8422">
        <v>11.8606368944313</v>
      </c>
      <c r="AL8422">
        <v>97.460040491572698</v>
      </c>
      <c r="AM8422">
        <v>93.633131782812001</v>
      </c>
      <c r="AN8422">
        <v>0.99999998374884302</v>
      </c>
    </row>
    <row r="8423" spans="1:40" x14ac:dyDescent="0.25">
      <c r="A8423" t="str">
        <f>"20190303154341983"</f>
        <v>20190303154341983</v>
      </c>
      <c r="B8423" t="str">
        <f>"1551599021978946"</f>
        <v>1551599021978946</v>
      </c>
      <c r="C8423" t="s">
        <v>40</v>
      </c>
      <c r="D8423">
        <v>6.0128170000000001</v>
      </c>
      <c r="E8423">
        <v>0.51180919999999996</v>
      </c>
      <c r="F8423" t="s">
        <v>41</v>
      </c>
      <c r="G8423">
        <v>-188.071</v>
      </c>
      <c r="H8423" s="1">
        <v>-1.622041E-6</v>
      </c>
      <c r="I8423">
        <v>-27.383790000000001</v>
      </c>
      <c r="J8423">
        <v>-189.02760000000001</v>
      </c>
      <c r="K8423">
        <v>1.118817</v>
      </c>
      <c r="L8423">
        <v>-38.919490000000003</v>
      </c>
      <c r="M8423">
        <v>0.1164065</v>
      </c>
      <c r="N8423">
        <v>-1.16106E-2</v>
      </c>
      <c r="O8423">
        <v>0.99313379999999996</v>
      </c>
      <c r="P8423">
        <v>5.4205629999999998E-2</v>
      </c>
      <c r="Q8423">
        <v>-0.1430197</v>
      </c>
      <c r="R8423">
        <v>0.98823430000000001</v>
      </c>
      <c r="S8423">
        <v>0.2491302</v>
      </c>
      <c r="T8423">
        <v>-0.28535159999999998</v>
      </c>
      <c r="U8423">
        <v>2.980896</v>
      </c>
      <c r="V8423">
        <v>-6.1753410000000002E-2</v>
      </c>
      <c r="W8423">
        <v>-0.1312855</v>
      </c>
      <c r="X8423">
        <v>0.9894193</v>
      </c>
      <c r="Y8423">
        <v>-3.3556830000000003E-2</v>
      </c>
      <c r="Z8423">
        <v>-8.2625560000000001E-2</v>
      </c>
      <c r="AA8423">
        <v>0.99601550000000005</v>
      </c>
      <c r="AB8423">
        <v>17</v>
      </c>
      <c r="AC8423">
        <v>0.956600000000008</v>
      </c>
      <c r="AD8423">
        <v>-1.1188186220409999</v>
      </c>
      <c r="AE8423">
        <v>11.5357</v>
      </c>
      <c r="AF8423">
        <v>-0.38918920855887301</v>
      </c>
      <c r="AG8423">
        <v>-1.1188186220409999</v>
      </c>
      <c r="AH8423">
        <v>11.4615500941111</v>
      </c>
      <c r="AI8423">
        <v>95.572069863232301</v>
      </c>
      <c r="AJ8423">
        <v>91.944792327711298</v>
      </c>
      <c r="AK8423">
        <v>11.5226018723595</v>
      </c>
      <c r="AL8423">
        <v>97.543883065388599</v>
      </c>
      <c r="AM8423">
        <v>93.571414190767399</v>
      </c>
      <c r="AN8423">
        <v>0.99999995868468305</v>
      </c>
    </row>
    <row r="8424" spans="1:40" x14ac:dyDescent="0.25">
      <c r="A8424" t="str">
        <f>"20190303154342005"</f>
        <v>20190303154342005</v>
      </c>
      <c r="B8424" t="str">
        <f>"1551599021998464"</f>
        <v>1551599021998464</v>
      </c>
      <c r="C8424" t="s">
        <v>40</v>
      </c>
      <c r="D8424">
        <v>6.0100669999999896</v>
      </c>
      <c r="E8424">
        <v>0.51145620000000003</v>
      </c>
      <c r="F8424" t="s">
        <v>41</v>
      </c>
      <c r="G8424">
        <v>-188.0198</v>
      </c>
      <c r="H8424" s="1">
        <v>-1.6980249999999999E-6</v>
      </c>
      <c r="I8424">
        <v>-27.22785</v>
      </c>
      <c r="J8424">
        <v>-189.0052</v>
      </c>
      <c r="K8424">
        <v>1.118814</v>
      </c>
      <c r="L8424">
        <v>-38.755249999999997</v>
      </c>
      <c r="M8424">
        <v>0.119056</v>
      </c>
      <c r="N8424">
        <v>-1.1297929999999999E-2</v>
      </c>
      <c r="O8424">
        <v>0.99282320000000002</v>
      </c>
      <c r="P8424">
        <v>5.5097680000000003E-2</v>
      </c>
      <c r="Q8424">
        <v>-0.14199679999999901</v>
      </c>
      <c r="R8424">
        <v>0.98833249999999995</v>
      </c>
      <c r="S8424">
        <v>0.25689699999999999</v>
      </c>
      <c r="T8424">
        <v>-0.28520109999999999</v>
      </c>
      <c r="U8424">
        <v>2.9803470000000001</v>
      </c>
      <c r="V8424">
        <v>-6.3504069999999996E-2</v>
      </c>
      <c r="W8424">
        <v>-0.13056799999999999</v>
      </c>
      <c r="X8424">
        <v>0.98940349999999999</v>
      </c>
      <c r="Y8424">
        <v>-3.3633209999999997E-2</v>
      </c>
      <c r="Z8424">
        <v>-8.2851599999999997E-2</v>
      </c>
      <c r="AA8424">
        <v>0.99599420000000005</v>
      </c>
      <c r="AB8424">
        <v>17</v>
      </c>
      <c r="AC8424">
        <v>0.98539999999999806</v>
      </c>
      <c r="AD8424">
        <v>-1.1188156980249999</v>
      </c>
      <c r="AE8424">
        <v>11.527399999999901</v>
      </c>
      <c r="AF8424">
        <v>-0.39045192541027102</v>
      </c>
      <c r="AG8424">
        <v>-1.1188156980249999</v>
      </c>
      <c r="AH8424">
        <v>11.4555968562382</v>
      </c>
      <c r="AI8424">
        <v>95.574908765910195</v>
      </c>
      <c r="AJ8424">
        <v>91.952110460611905</v>
      </c>
      <c r="AK8424">
        <v>11.516722650340199</v>
      </c>
      <c r="AL8424">
        <v>97.502415877144799</v>
      </c>
      <c r="AM8424">
        <v>93.672446159689102</v>
      </c>
      <c r="AN8424">
        <v>1.0000000276714001</v>
      </c>
    </row>
    <row r="8425" spans="1:40" x14ac:dyDescent="0.25">
      <c r="A8425" t="str">
        <f>"20190303154342027"</f>
        <v>20190303154342027</v>
      </c>
      <c r="B8425" t="str">
        <f>"1551599022018961"</f>
        <v>1551599022018961</v>
      </c>
      <c r="C8425" t="s">
        <v>40</v>
      </c>
      <c r="D8425">
        <v>5.9683339999999996</v>
      </c>
      <c r="E8425">
        <v>0.51114870000000001</v>
      </c>
      <c r="F8425" t="s">
        <v>41</v>
      </c>
      <c r="G8425">
        <v>-187.97559999999999</v>
      </c>
      <c r="H8425" s="1">
        <v>-1.899862E-6</v>
      </c>
      <c r="I8425">
        <v>-26.77563</v>
      </c>
      <c r="J8425">
        <v>-188.98249999999999</v>
      </c>
      <c r="K8425">
        <v>1.1188659999999999</v>
      </c>
      <c r="L8425">
        <v>-38.59225</v>
      </c>
      <c r="M8425">
        <v>0.1217153</v>
      </c>
      <c r="N8425">
        <v>-1.096724E-2</v>
      </c>
      <c r="O8425">
        <v>0.99250450000000001</v>
      </c>
      <c r="P8425">
        <v>5.3862399999999998E-2</v>
      </c>
      <c r="Q8425">
        <v>-0.13979339999999901</v>
      </c>
      <c r="R8425">
        <v>0.9887146</v>
      </c>
      <c r="S8425">
        <v>0.2562103</v>
      </c>
      <c r="T8425">
        <v>-0.27841830000000001</v>
      </c>
      <c r="U8425">
        <v>2.9811399999999999</v>
      </c>
      <c r="V8425">
        <v>-6.7392220000000003E-2</v>
      </c>
      <c r="W8425">
        <v>-0.128687</v>
      </c>
      <c r="X8425">
        <v>0.98939270000000001</v>
      </c>
      <c r="Y8425">
        <v>-3.6546059999999998E-2</v>
      </c>
      <c r="Z8425">
        <v>-8.0888379999999996E-2</v>
      </c>
      <c r="AA8425">
        <v>0.99605290000000002</v>
      </c>
      <c r="AB8425">
        <v>17</v>
      </c>
      <c r="AC8425">
        <v>1.0068999999999999</v>
      </c>
      <c r="AD8425">
        <v>-1.1188678998620001</v>
      </c>
      <c r="AE8425">
        <v>11.81662</v>
      </c>
      <c r="AF8425">
        <v>-0.43506462473417701</v>
      </c>
      <c r="AG8425">
        <v>-1.1188678998620001</v>
      </c>
      <c r="AH8425">
        <v>11.7467603757184</v>
      </c>
      <c r="AI8425">
        <v>95.437249095716396</v>
      </c>
      <c r="AJ8425">
        <v>92.121093598979698</v>
      </c>
      <c r="AK8425">
        <v>11.807943340378401</v>
      </c>
      <c r="AL8425">
        <v>97.393725771875907</v>
      </c>
      <c r="AM8425">
        <v>93.896667836411595</v>
      </c>
      <c r="AN8425">
        <v>0.99999998504940901</v>
      </c>
    </row>
    <row r="8426" spans="1:40" x14ac:dyDescent="0.25">
      <c r="A8426" t="str">
        <f>"20190303154342051"</f>
        <v>20190303154342051</v>
      </c>
      <c r="B8426" t="str">
        <f>"1551599022048241"</f>
        <v>1551599022048241</v>
      </c>
      <c r="C8426" t="s">
        <v>40</v>
      </c>
      <c r="D8426">
        <v>5.9756809999999998</v>
      </c>
      <c r="E8426">
        <v>0.51069330000000002</v>
      </c>
      <c r="F8426" t="s">
        <v>41</v>
      </c>
      <c r="G8426">
        <v>-187.94200000000001</v>
      </c>
      <c r="H8426" s="1">
        <v>-2.1656719999999999E-6</v>
      </c>
      <c r="I8426">
        <v>-26.169920000000001</v>
      </c>
      <c r="J8426">
        <v>-188.95760000000001</v>
      </c>
      <c r="K8426">
        <v>1.118927</v>
      </c>
      <c r="L8426">
        <v>-38.416559999999997</v>
      </c>
      <c r="M8426">
        <v>0.1245508</v>
      </c>
      <c r="N8426">
        <v>-1.0587350000000001E-2</v>
      </c>
      <c r="O8426">
        <v>0.9921567</v>
      </c>
      <c r="P8426">
        <v>5.4080669999999997E-2</v>
      </c>
      <c r="Q8426">
        <v>-0.13804060000000001</v>
      </c>
      <c r="R8426">
        <v>0.98894899999999997</v>
      </c>
      <c r="S8426">
        <v>0.2498322</v>
      </c>
      <c r="T8426">
        <v>-0.2686461</v>
      </c>
      <c r="U8426">
        <v>2.982666</v>
      </c>
      <c r="V8426">
        <v>-6.9987919999999995E-2</v>
      </c>
      <c r="W8426">
        <v>-0.12731769999999901</v>
      </c>
      <c r="X8426">
        <v>0.98938970000000004</v>
      </c>
      <c r="Y8426">
        <v>-4.1538070000000003E-2</v>
      </c>
      <c r="Z8426">
        <v>-7.7974810000000006E-2</v>
      </c>
      <c r="AA8426">
        <v>0.99608960000000002</v>
      </c>
      <c r="AB8426">
        <v>17</v>
      </c>
      <c r="AC8426">
        <v>1.0156000000000001</v>
      </c>
      <c r="AD8426">
        <v>-1.118929165672</v>
      </c>
      <c r="AE8426">
        <v>12.2466399999999</v>
      </c>
      <c r="AF8426">
        <v>-0.51346647336647799</v>
      </c>
      <c r="AG8426">
        <v>-1.118929165672</v>
      </c>
      <c r="AH8426">
        <v>12.1768132678362</v>
      </c>
      <c r="AI8426">
        <v>95.245538169206995</v>
      </c>
      <c r="AJ8426">
        <v>92.414592622417103</v>
      </c>
      <c r="AK8426">
        <v>12.238890131740501</v>
      </c>
      <c r="AL8426">
        <v>97.314619498398102</v>
      </c>
      <c r="AM8426">
        <v>94.046276035719302</v>
      </c>
      <c r="AN8426">
        <v>1.00000004207265</v>
      </c>
    </row>
    <row r="8427" spans="1:40" x14ac:dyDescent="0.25">
      <c r="A8427" t="str">
        <f>"20190303154342073"</f>
        <v>20190303154342073</v>
      </c>
      <c r="B8427" t="str">
        <f>"1551599022068269"</f>
        <v>1551599022068269</v>
      </c>
      <c r="C8427" t="s">
        <v>40</v>
      </c>
      <c r="D8427">
        <v>5.9998559999999896</v>
      </c>
      <c r="E8427">
        <v>0.51049889999999998</v>
      </c>
      <c r="F8427" t="s">
        <v>41</v>
      </c>
      <c r="G8427">
        <v>-187.8939</v>
      </c>
      <c r="H8427" s="1">
        <v>-2.433036E-6</v>
      </c>
      <c r="I8427">
        <v>-25.566590000000001</v>
      </c>
      <c r="J8427">
        <v>-188.9342</v>
      </c>
      <c r="K8427">
        <v>1.1189830000000001</v>
      </c>
      <c r="L8427">
        <v>-38.254300000000001</v>
      </c>
      <c r="M8427">
        <v>0.12708630000000001</v>
      </c>
      <c r="N8427">
        <v>-1.022552E-2</v>
      </c>
      <c r="O8427">
        <v>0.99183889999999997</v>
      </c>
      <c r="P8427">
        <v>5.5313130000000002E-2</v>
      </c>
      <c r="Q8427">
        <v>-0.13748360000000001</v>
      </c>
      <c r="R8427">
        <v>0.98895840000000002</v>
      </c>
      <c r="S8427">
        <v>0.24699399999999999</v>
      </c>
      <c r="T8427">
        <v>-0.25981559999999998</v>
      </c>
      <c r="U8427">
        <v>2.983765</v>
      </c>
      <c r="V8427">
        <v>-7.125629E-2</v>
      </c>
      <c r="W8427">
        <v>-0.1271332</v>
      </c>
      <c r="X8427">
        <v>0.98932279999999995</v>
      </c>
      <c r="Y8427">
        <v>-4.5045660000000001E-2</v>
      </c>
      <c r="Z8427">
        <v>-7.536959E-2</v>
      </c>
      <c r="AA8427">
        <v>0.99613770000000001</v>
      </c>
      <c r="AB8427">
        <v>17</v>
      </c>
      <c r="AC8427">
        <v>1.0403</v>
      </c>
      <c r="AD8427">
        <v>-1.1189854330360001</v>
      </c>
      <c r="AE8427">
        <v>12.687709999999999</v>
      </c>
      <c r="AF8427">
        <v>-0.57620257746472403</v>
      </c>
      <c r="AG8427">
        <v>-1.1189854330360001</v>
      </c>
      <c r="AH8427">
        <v>12.619535245701799</v>
      </c>
      <c r="AI8427">
        <v>95.061968775631101</v>
      </c>
      <c r="AJ8427">
        <v>92.614285024975302</v>
      </c>
      <c r="AK8427">
        <v>12.6821452296973</v>
      </c>
      <c r="AL8427">
        <v>97.303962453441002</v>
      </c>
      <c r="AM8427">
        <v>94.119632876504994</v>
      </c>
      <c r="AN8427">
        <v>0.99999995600332103</v>
      </c>
    </row>
    <row r="8428" spans="1:40" x14ac:dyDescent="0.25">
      <c r="A8428" t="str">
        <f>"20190303154342094"</f>
        <v>20190303154342094</v>
      </c>
      <c r="B8428" t="str">
        <f>"1551599022088765"</f>
        <v>1551599022088765</v>
      </c>
      <c r="C8428" t="s">
        <v>40</v>
      </c>
      <c r="D8428">
        <v>6.0084099999999996</v>
      </c>
      <c r="E8428">
        <v>0.51029749999999996</v>
      </c>
      <c r="F8428" t="s">
        <v>41</v>
      </c>
      <c r="G8428">
        <v>-187.84620000000001</v>
      </c>
      <c r="H8428" s="1">
        <v>-2.5824399999999999E-6</v>
      </c>
      <c r="I8428">
        <v>-25.238040000000002</v>
      </c>
      <c r="J8428">
        <v>-188.90969999999999</v>
      </c>
      <c r="K8428">
        <v>1.1190439999999999</v>
      </c>
      <c r="L8428">
        <v>-38.085909999999998</v>
      </c>
      <c r="M8428">
        <v>0.1295974</v>
      </c>
      <c r="N8428">
        <v>-9.8547029999999994E-3</v>
      </c>
      <c r="O8428">
        <v>0.99151769999999995</v>
      </c>
      <c r="P8428">
        <v>5.6697280000000003E-2</v>
      </c>
      <c r="Q8428">
        <v>-0.13763020000000001</v>
      </c>
      <c r="R8428">
        <v>0.98885959999999995</v>
      </c>
      <c r="S8428">
        <v>0.24942020000000001</v>
      </c>
      <c r="T8428">
        <v>-0.25651970000000002</v>
      </c>
      <c r="U8428">
        <v>2.9838870000000002</v>
      </c>
      <c r="V8428">
        <v>-7.2340080000000001E-2</v>
      </c>
      <c r="W8428">
        <v>-0.1276631</v>
      </c>
      <c r="X8428">
        <v>0.9891759</v>
      </c>
      <c r="Y8428">
        <v>-4.676926E-2</v>
      </c>
      <c r="Z8428">
        <v>-7.4610200000000002E-2</v>
      </c>
      <c r="AA8428">
        <v>0.99611539999999998</v>
      </c>
      <c r="AB8428">
        <v>17</v>
      </c>
      <c r="AC8428">
        <v>1.0634999999999699</v>
      </c>
      <c r="AD8428">
        <v>-1.11904658244</v>
      </c>
      <c r="AE8428">
        <v>12.84787</v>
      </c>
      <c r="AF8428">
        <v>-0.60603482190597502</v>
      </c>
      <c r="AG8428">
        <v>-1.11904658244</v>
      </c>
      <c r="AH8428">
        <v>12.781041109543899</v>
      </c>
      <c r="AI8428">
        <v>94.998195971742405</v>
      </c>
      <c r="AJ8428">
        <v>92.714743582157993</v>
      </c>
      <c r="AK8428">
        <v>12.8442421069864</v>
      </c>
      <c r="AL8428">
        <v>97.334572900663602</v>
      </c>
      <c r="AM8428">
        <v>94.182689650194405</v>
      </c>
      <c r="AN8428">
        <v>0.99999995770841199</v>
      </c>
    </row>
    <row r="8429" spans="1:40" x14ac:dyDescent="0.25">
      <c r="A8429" t="str">
        <f>"20190303154342117"</f>
        <v>20190303154342117</v>
      </c>
      <c r="B8429" t="str">
        <f>"1551599022108285"</f>
        <v>1551599022108285</v>
      </c>
      <c r="C8429" t="s">
        <v>40</v>
      </c>
      <c r="D8429">
        <v>5.9276470000000003</v>
      </c>
      <c r="E8429">
        <v>0.51016359999999905</v>
      </c>
      <c r="F8429" t="s">
        <v>41</v>
      </c>
      <c r="G8429">
        <v>-187.8098</v>
      </c>
      <c r="H8429" s="1">
        <v>-2.66278E-6</v>
      </c>
      <c r="I8429">
        <v>-25.065809999999999</v>
      </c>
      <c r="J8429">
        <v>-188.88470000000001</v>
      </c>
      <c r="K8429">
        <v>1.1191150000000001</v>
      </c>
      <c r="L8429">
        <v>-37.916379999999997</v>
      </c>
      <c r="M8429">
        <v>0.1319708</v>
      </c>
      <c r="N8429">
        <v>-9.5019820000000008E-3</v>
      </c>
      <c r="O8429">
        <v>0.99120810000000004</v>
      </c>
      <c r="P8429">
        <v>5.8665269999999999E-2</v>
      </c>
      <c r="Q8429">
        <v>-0.13724069999999999</v>
      </c>
      <c r="R8429">
        <v>0.98879899999999998</v>
      </c>
      <c r="S8429">
        <v>0.25204470000000001</v>
      </c>
      <c r="T8429">
        <v>-0.25643719999999998</v>
      </c>
      <c r="U8429">
        <v>2.9836429999999998</v>
      </c>
      <c r="V8429">
        <v>-7.2714340000000002E-2</v>
      </c>
      <c r="W8429">
        <v>-0.12763869999999999</v>
      </c>
      <c r="X8429">
        <v>0.98915169999999997</v>
      </c>
      <c r="Y8429">
        <v>-4.8285450000000001E-2</v>
      </c>
      <c r="Z8429">
        <v>-7.4895290000000003E-2</v>
      </c>
      <c r="AA8429">
        <v>0.99602170000000001</v>
      </c>
      <c r="AB8429">
        <v>17</v>
      </c>
      <c r="AC8429">
        <v>1.07490000000001</v>
      </c>
      <c r="AD8429">
        <v>-1.1191176627799999</v>
      </c>
      <c r="AE8429">
        <v>12.8505699999999</v>
      </c>
      <c r="AF8429">
        <v>-0.62576592945597198</v>
      </c>
      <c r="AG8429">
        <v>-1.1191176627799999</v>
      </c>
      <c r="AH8429">
        <v>12.783745298505099</v>
      </c>
      <c r="AI8429">
        <v>94.997093339342996</v>
      </c>
      <c r="AJ8429">
        <v>92.802398704009093</v>
      </c>
      <c r="AK8429">
        <v>12.847885086607301</v>
      </c>
      <c r="AL8429">
        <v>97.333162676975803</v>
      </c>
      <c r="AM8429">
        <v>94.204354387439693</v>
      </c>
      <c r="AN8429">
        <v>1.0000000492961001</v>
      </c>
    </row>
    <row r="8430" spans="1:40" x14ac:dyDescent="0.25">
      <c r="A8430" t="str">
        <f>"20190303154342142"</f>
        <v>20190303154342142</v>
      </c>
      <c r="B8430" t="str">
        <f>"1551599022138541"</f>
        <v>1551599022138541</v>
      </c>
      <c r="C8430" t="s">
        <v>40</v>
      </c>
      <c r="D8430">
        <v>5.970593</v>
      </c>
      <c r="E8430">
        <v>0.51009799999999905</v>
      </c>
      <c r="F8430" t="s">
        <v>41</v>
      </c>
      <c r="G8430">
        <v>-187.75129999999999</v>
      </c>
      <c r="H8430" s="1">
        <v>-2.7997940000000001E-6</v>
      </c>
      <c r="I8430">
        <v>-24.770630000000001</v>
      </c>
      <c r="J8430">
        <v>-188.85640000000001</v>
      </c>
      <c r="K8430">
        <v>1.1191850000000001</v>
      </c>
      <c r="L8430">
        <v>-37.727510000000002</v>
      </c>
      <c r="M8430">
        <v>0.1344215</v>
      </c>
      <c r="N8430">
        <v>-9.1474820000000002E-3</v>
      </c>
      <c r="O8430">
        <v>0.99088200000000004</v>
      </c>
      <c r="P8430">
        <v>6.2113799999999997E-2</v>
      </c>
      <c r="Q8430">
        <v>-0.13702300000000001</v>
      </c>
      <c r="R8430">
        <v>0.98861849999999996</v>
      </c>
      <c r="S8430">
        <v>0.25721739999999998</v>
      </c>
      <c r="T8430">
        <v>-0.2539865</v>
      </c>
      <c r="U8430">
        <v>2.9834589999999999</v>
      </c>
      <c r="V8430">
        <v>-7.1683709999999998E-2</v>
      </c>
      <c r="W8430">
        <v>-0.1277914</v>
      </c>
      <c r="X8430">
        <v>0.98920710000000001</v>
      </c>
      <c r="Y8430">
        <v>-4.903308E-2</v>
      </c>
      <c r="Z8430">
        <v>-7.4404049999999999E-2</v>
      </c>
      <c r="AA8430">
        <v>0.99602199999999996</v>
      </c>
      <c r="AB8430">
        <v>17</v>
      </c>
      <c r="AC8430">
        <v>1.10510000000002</v>
      </c>
      <c r="AD8430">
        <v>-1.1191877997939901</v>
      </c>
      <c r="AE8430">
        <v>12.9568799999999</v>
      </c>
      <c r="AF8430">
        <v>-0.641931667555939</v>
      </c>
      <c r="AG8430">
        <v>-1.1191877997939901</v>
      </c>
      <c r="AH8430">
        <v>12.8923352655431</v>
      </c>
      <c r="AI8430">
        <v>94.955318737264193</v>
      </c>
      <c r="AJ8430">
        <v>92.850501828577507</v>
      </c>
      <c r="AK8430">
        <v>12.956734395525199</v>
      </c>
      <c r="AL8430">
        <v>97.341984776821903</v>
      </c>
      <c r="AM8430">
        <v>94.144741057078704</v>
      </c>
      <c r="AN8430">
        <v>0.99999994144186499</v>
      </c>
    </row>
    <row r="8431" spans="1:40" x14ac:dyDescent="0.25">
      <c r="A8431" t="str">
        <f>"20190303154342164"</f>
        <v>20190303154342164</v>
      </c>
      <c r="B8431" t="str">
        <f>"1551599022158569"</f>
        <v>1551599022158569</v>
      </c>
      <c r="C8431" t="s">
        <v>40</v>
      </c>
      <c r="D8431">
        <v>5.9461120000000003</v>
      </c>
      <c r="E8431">
        <v>0.5099477</v>
      </c>
      <c r="F8431" t="s">
        <v>41</v>
      </c>
      <c r="G8431">
        <v>-187.67240000000001</v>
      </c>
      <c r="H8431" s="1">
        <v>-2.9276510000000001E-6</v>
      </c>
      <c r="I8431">
        <v>-24.505230000000001</v>
      </c>
      <c r="J8431">
        <v>-188.83</v>
      </c>
      <c r="K8431">
        <v>1.119238</v>
      </c>
      <c r="L8431">
        <v>-37.552340000000001</v>
      </c>
      <c r="M8431">
        <v>0.13655239999999999</v>
      </c>
      <c r="N8431">
        <v>-8.8544790000000002E-3</v>
      </c>
      <c r="O8431">
        <v>0.99059330000000001</v>
      </c>
      <c r="P8431">
        <v>6.5392290000000006E-2</v>
      </c>
      <c r="Q8431">
        <v>-0.1390035</v>
      </c>
      <c r="R8431">
        <v>0.98813050000000002</v>
      </c>
      <c r="S8431">
        <v>0.26710509999999998</v>
      </c>
      <c r="T8431">
        <v>-0.252473</v>
      </c>
      <c r="U8431">
        <v>2.982758</v>
      </c>
      <c r="V8431">
        <v>-7.0473359999999999E-2</v>
      </c>
      <c r="W8431">
        <v>-0.13008059999999999</v>
      </c>
      <c r="X8431">
        <v>0.98899570000000003</v>
      </c>
      <c r="Y8431">
        <v>-4.7884370000000002E-2</v>
      </c>
      <c r="Z8431">
        <v>-7.4176329999999999E-2</v>
      </c>
      <c r="AA8431">
        <v>0.99609490000000001</v>
      </c>
      <c r="AB8431">
        <v>17</v>
      </c>
      <c r="AC8431">
        <v>1.1576</v>
      </c>
      <c r="AD8431">
        <v>-1.119240927651</v>
      </c>
      <c r="AE8431">
        <v>13.04711</v>
      </c>
      <c r="AF8431">
        <v>-0.63032591967095297</v>
      </c>
      <c r="AG8431">
        <v>-1.119240927651</v>
      </c>
      <c r="AH8431">
        <v>12.9881323120951</v>
      </c>
      <c r="AI8431">
        <v>94.919484643634306</v>
      </c>
      <c r="AJ8431">
        <v>92.778436557109401</v>
      </c>
      <c r="AK8431">
        <v>13.0514976909023</v>
      </c>
      <c r="AL8431">
        <v>97.474250087155795</v>
      </c>
      <c r="AM8431">
        <v>94.075864682345198</v>
      </c>
      <c r="AN8431">
        <v>0.99999997579226896</v>
      </c>
    </row>
    <row r="8432" spans="1:40" x14ac:dyDescent="0.25">
      <c r="A8432" t="str">
        <f>"20190303154342185"</f>
        <v>20190303154342185</v>
      </c>
      <c r="B8432" t="str">
        <f>"1551599022179065"</f>
        <v>1551599022179065</v>
      </c>
      <c r="C8432" t="s">
        <v>40</v>
      </c>
      <c r="D8432">
        <v>5.9467800000000004</v>
      </c>
      <c r="E8432">
        <v>0.50985159999999996</v>
      </c>
      <c r="F8432" t="s">
        <v>41</v>
      </c>
      <c r="G8432">
        <v>-187.6318</v>
      </c>
      <c r="H8432" s="1">
        <v>-2.894776E-6</v>
      </c>
      <c r="I8432">
        <v>-24.59864</v>
      </c>
      <c r="J8432">
        <v>-188.80539999999999</v>
      </c>
      <c r="K8432">
        <v>1.1192820000000001</v>
      </c>
      <c r="L8432">
        <v>-37.391080000000002</v>
      </c>
      <c r="M8432">
        <v>0.13838629999999999</v>
      </c>
      <c r="N8432">
        <v>-8.6067130000000002E-3</v>
      </c>
      <c r="O8432">
        <v>0.99034089999999997</v>
      </c>
      <c r="P8432">
        <v>6.8122070000000007E-2</v>
      </c>
      <c r="Q8432">
        <v>-0.1408452</v>
      </c>
      <c r="R8432">
        <v>0.98768520000000004</v>
      </c>
      <c r="S8432">
        <v>0.27578740000000002</v>
      </c>
      <c r="T8432">
        <v>-0.25761450000000002</v>
      </c>
      <c r="U8432">
        <v>2.9815369999999999</v>
      </c>
      <c r="V8432">
        <v>-6.9517720000000005E-2</v>
      </c>
      <c r="W8432">
        <v>-0.1321841</v>
      </c>
      <c r="X8432">
        <v>0.98878440000000001</v>
      </c>
      <c r="Y8432">
        <v>-4.6834639999999997E-2</v>
      </c>
      <c r="Z8432">
        <v>-7.6095289999999996E-2</v>
      </c>
      <c r="AA8432">
        <v>0.996</v>
      </c>
      <c r="AB8432">
        <v>17</v>
      </c>
      <c r="AC8432">
        <v>1.17359999999999</v>
      </c>
      <c r="AD8432">
        <v>-1.1192848947759999</v>
      </c>
      <c r="AE8432">
        <v>12.792439999999999</v>
      </c>
      <c r="AF8432">
        <v>-0.60347554060944297</v>
      </c>
      <c r="AG8432">
        <v>-1.1192848947759999</v>
      </c>
      <c r="AH8432">
        <v>12.7350824206799</v>
      </c>
      <c r="AI8432">
        <v>95.017211557340701</v>
      </c>
      <c r="AJ8432">
        <v>92.713037453348804</v>
      </c>
      <c r="AK8432">
        <v>12.798410278831399</v>
      </c>
      <c r="AL8432">
        <v>97.595821618280297</v>
      </c>
      <c r="AM8432">
        <v>94.021633654106395</v>
      </c>
      <c r="AN8432">
        <v>0.99999996968508298</v>
      </c>
    </row>
    <row r="8433" spans="1:40" x14ac:dyDescent="0.25">
      <c r="A8433" t="str">
        <f>"20190303154342206"</f>
        <v>20190303154342206</v>
      </c>
      <c r="B8433" t="str">
        <f>"1551599022198585"</f>
        <v>1551599022198585</v>
      </c>
      <c r="C8433" t="s">
        <v>40</v>
      </c>
      <c r="D8433">
        <v>5.960159</v>
      </c>
      <c r="E8433">
        <v>0.50972550000000005</v>
      </c>
      <c r="F8433" t="s">
        <v>41</v>
      </c>
      <c r="G8433">
        <v>-187.59889999999999</v>
      </c>
      <c r="H8433" s="1">
        <v>-2.8633089999999998E-6</v>
      </c>
      <c r="I8433">
        <v>-24.685600000000001</v>
      </c>
      <c r="J8433">
        <v>-188.78</v>
      </c>
      <c r="K8433">
        <v>1.1193439999999999</v>
      </c>
      <c r="L8433">
        <v>-37.224910000000001</v>
      </c>
      <c r="M8433">
        <v>0.14012379999999999</v>
      </c>
      <c r="N8433">
        <v>-8.3553869999999902E-3</v>
      </c>
      <c r="O8433">
        <v>0.9900987</v>
      </c>
      <c r="P8433">
        <v>7.0889510000000003E-2</v>
      </c>
      <c r="Q8433">
        <v>-0.14197299999999999</v>
      </c>
      <c r="R8433">
        <v>0.98732889999999995</v>
      </c>
      <c r="S8433">
        <v>0.28303529999999999</v>
      </c>
      <c r="T8433">
        <v>-0.26256069999999998</v>
      </c>
      <c r="U8433">
        <v>2.9804379999999999</v>
      </c>
      <c r="V8433">
        <v>-6.8433549999999996E-2</v>
      </c>
      <c r="W8433">
        <v>-0.13357859999999999</v>
      </c>
      <c r="X8433">
        <v>0.98867269999999896</v>
      </c>
      <c r="Y8433">
        <v>-4.616671E-2</v>
      </c>
      <c r="Z8433">
        <v>-7.7951199999999998E-2</v>
      </c>
      <c r="AA8433">
        <v>0.99588770000000004</v>
      </c>
      <c r="AB8433">
        <v>17</v>
      </c>
      <c r="AC8433">
        <v>1.18110000000001</v>
      </c>
      <c r="AD8433">
        <v>-1.119346863309</v>
      </c>
      <c r="AE8433">
        <v>12.539309999999899</v>
      </c>
      <c r="AF8433">
        <v>-0.58306537074143205</v>
      </c>
      <c r="AG8433">
        <v>-1.119346863309</v>
      </c>
      <c r="AH8433">
        <v>12.482501028305499</v>
      </c>
      <c r="AI8433">
        <v>95.118643595212902</v>
      </c>
      <c r="AJ8433">
        <v>92.674377495354605</v>
      </c>
      <c r="AK8433">
        <v>12.546144210417999</v>
      </c>
      <c r="AL8433">
        <v>97.676434856190895</v>
      </c>
      <c r="AM8433">
        <v>93.959560802292103</v>
      </c>
      <c r="AN8433">
        <v>1.00000005043442</v>
      </c>
    </row>
    <row r="8434" spans="1:40" x14ac:dyDescent="0.25">
      <c r="A8434" t="str">
        <f>"20190303154342227"</f>
        <v>20190303154342227</v>
      </c>
      <c r="B8434" t="str">
        <f>"1551599022218105"</f>
        <v>1551599022218105</v>
      </c>
      <c r="C8434" t="s">
        <v>40</v>
      </c>
      <c r="D8434">
        <v>5.9489979999999996</v>
      </c>
      <c r="E8434">
        <v>0.50960379999999905</v>
      </c>
      <c r="F8434" t="s">
        <v>41</v>
      </c>
      <c r="G8434">
        <v>-187.55609999999999</v>
      </c>
      <c r="H8434" s="1">
        <v>-2.8818990000000001E-6</v>
      </c>
      <c r="I8434">
        <v>-24.659970000000001</v>
      </c>
      <c r="J8434">
        <v>-188.75409999999999</v>
      </c>
      <c r="K8434">
        <v>1.1194230000000001</v>
      </c>
      <c r="L8434">
        <v>-37.056399999999996</v>
      </c>
      <c r="M8434">
        <v>0.14170160000000001</v>
      </c>
      <c r="N8434">
        <v>-8.0895729999999992E-3</v>
      </c>
      <c r="O8434">
        <v>0.98987630000000004</v>
      </c>
      <c r="P8434">
        <v>7.3139590000000004E-2</v>
      </c>
      <c r="Q8434">
        <v>-0.14278540000000001</v>
      </c>
      <c r="R8434">
        <v>0.98704760000000002</v>
      </c>
      <c r="S8434">
        <v>0.29022219999999999</v>
      </c>
      <c r="T8434">
        <v>-0.26542769999999999</v>
      </c>
      <c r="U8434">
        <v>2.979492</v>
      </c>
      <c r="V8434">
        <v>-6.7704920000000002E-2</v>
      </c>
      <c r="W8434">
        <v>-0.13467460000000001</v>
      </c>
      <c r="X8434">
        <v>0.98857410000000001</v>
      </c>
      <c r="Y8434">
        <v>-4.5358610000000001E-2</v>
      </c>
      <c r="Z8434">
        <v>-7.9140719999999998E-2</v>
      </c>
      <c r="AA8434">
        <v>0.99583100000000002</v>
      </c>
      <c r="AB8434">
        <v>17</v>
      </c>
      <c r="AC8434">
        <v>1.198</v>
      </c>
      <c r="AD8434">
        <v>-1.1194258818989999</v>
      </c>
      <c r="AE8434">
        <v>12.396429999999899</v>
      </c>
      <c r="AF8434">
        <v>-0.56616678060481196</v>
      </c>
      <c r="AG8434">
        <v>-1.1194258818989999</v>
      </c>
      <c r="AH8434">
        <v>12.3413919525692</v>
      </c>
      <c r="AI8434">
        <v>95.177415072816501</v>
      </c>
      <c r="AJ8434">
        <v>92.626627474895798</v>
      </c>
      <c r="AK8434">
        <v>12.404983452446199</v>
      </c>
      <c r="AL8434">
        <v>97.739804184754504</v>
      </c>
      <c r="AM8434">
        <v>93.917923807451103</v>
      </c>
      <c r="AN8434">
        <v>0.99999997763408799</v>
      </c>
    </row>
    <row r="8435" spans="1:40" x14ac:dyDescent="0.25">
      <c r="A8435" t="str">
        <f>"20190303154342251"</f>
        <v>20190303154342251</v>
      </c>
      <c r="B8435" t="str">
        <f>"1551599022248362"</f>
        <v>1551599022248362</v>
      </c>
      <c r="C8435" t="s">
        <v>40</v>
      </c>
      <c r="D8435">
        <v>5.9535549999999997</v>
      </c>
      <c r="E8435">
        <v>0.50932889999999997</v>
      </c>
      <c r="F8435" t="s">
        <v>41</v>
      </c>
      <c r="G8435">
        <v>-187.51220000000001</v>
      </c>
      <c r="H8435" s="1">
        <v>-2.9328410000000002E-6</v>
      </c>
      <c r="I8435">
        <v>-24.559370000000001</v>
      </c>
      <c r="J8435">
        <v>-188.7259</v>
      </c>
      <c r="K8435">
        <v>1.119524</v>
      </c>
      <c r="L8435">
        <v>-36.873260000000002</v>
      </c>
      <c r="M8435">
        <v>0.14318320000000001</v>
      </c>
      <c r="N8435">
        <v>-7.781601E-3</v>
      </c>
      <c r="O8435">
        <v>0.98966560000000003</v>
      </c>
      <c r="P8435">
        <v>7.4275960000000002E-2</v>
      </c>
      <c r="Q8435">
        <v>-0.1439851</v>
      </c>
      <c r="R8435">
        <v>0.98678840000000001</v>
      </c>
      <c r="S8435">
        <v>0.29602050000000002</v>
      </c>
      <c r="T8435">
        <v>-0.26682909999999999</v>
      </c>
      <c r="U8435">
        <v>2.9788209999999999</v>
      </c>
      <c r="V8435">
        <v>-6.7974339999999994E-2</v>
      </c>
      <c r="W8435">
        <v>-0.1362043</v>
      </c>
      <c r="X8435">
        <v>0.98834599999999995</v>
      </c>
      <c r="Y8435">
        <v>-4.4918920000000001E-2</v>
      </c>
      <c r="Z8435">
        <v>-7.9887959999999994E-2</v>
      </c>
      <c r="AA8435">
        <v>0.99579130000000005</v>
      </c>
      <c r="AB8435">
        <v>18</v>
      </c>
      <c r="AC8435">
        <v>1.21369999999998</v>
      </c>
      <c r="AD8435">
        <v>-1.119526932841</v>
      </c>
      <c r="AE8435">
        <v>12.313889999999899</v>
      </c>
      <c r="AF8435">
        <v>-0.55743877780236795</v>
      </c>
      <c r="AG8435">
        <v>-1.119526932841</v>
      </c>
      <c r="AH8435">
        <v>12.260423446180001</v>
      </c>
      <c r="AI8435">
        <v>95.211983792626398</v>
      </c>
      <c r="AJ8435">
        <v>92.603246831685794</v>
      </c>
      <c r="AK8435">
        <v>12.324044045036301</v>
      </c>
      <c r="AL8435">
        <v>97.828264726005798</v>
      </c>
      <c r="AM8435">
        <v>93.934370614673</v>
      </c>
      <c r="AN8435">
        <v>0.99999996897646204</v>
      </c>
    </row>
    <row r="8436" spans="1:40" x14ac:dyDescent="0.25">
      <c r="A8436" t="str">
        <f>"20190303154342273"</f>
        <v>20190303154342273</v>
      </c>
      <c r="B8436" t="str">
        <f>"1551599022268388"</f>
        <v>1551599022268388</v>
      </c>
      <c r="C8436" t="s">
        <v>40</v>
      </c>
      <c r="D8436">
        <v>5.9751310000000002</v>
      </c>
      <c r="E8436">
        <v>0.50922400000000001</v>
      </c>
      <c r="F8436" t="s">
        <v>41</v>
      </c>
      <c r="G8436">
        <v>-187.49170000000001</v>
      </c>
      <c r="H8436" s="1">
        <v>-2.9547080000000001E-6</v>
      </c>
      <c r="I8436">
        <v>-24.516839999999998</v>
      </c>
      <c r="J8436">
        <v>-188.69929999999999</v>
      </c>
      <c r="K8436">
        <v>1.1196330000000001</v>
      </c>
      <c r="L8436">
        <v>-36.70026</v>
      </c>
      <c r="M8436">
        <v>0.14432809999999999</v>
      </c>
      <c r="N8436">
        <v>-7.4717500000000001E-3</v>
      </c>
      <c r="O8436">
        <v>0.98950170000000004</v>
      </c>
      <c r="P8436">
        <v>7.3929700000000001E-2</v>
      </c>
      <c r="Q8436">
        <v>-0.1462436</v>
      </c>
      <c r="R8436">
        <v>0.98648230000000003</v>
      </c>
      <c r="S8436">
        <v>0.29747010000000002</v>
      </c>
      <c r="T8436">
        <v>-0.2698509</v>
      </c>
      <c r="U8436">
        <v>2.9783940000000002</v>
      </c>
      <c r="V8436">
        <v>-6.9362419999999994E-2</v>
      </c>
      <c r="W8436">
        <v>-0.138797799999999</v>
      </c>
      <c r="X8436">
        <v>0.98788869999999895</v>
      </c>
      <c r="Y8436">
        <v>-4.5591199999999998E-2</v>
      </c>
      <c r="Z8436">
        <v>-8.1166630000000003E-2</v>
      </c>
      <c r="AA8436">
        <v>0.99565729999999997</v>
      </c>
      <c r="AB8436">
        <v>18</v>
      </c>
      <c r="AC8436">
        <v>1.20759999999998</v>
      </c>
      <c r="AD8436">
        <v>-1.1196359547079999</v>
      </c>
      <c r="AE8436">
        <v>12.18342</v>
      </c>
      <c r="AF8436">
        <v>-0.558829753555248</v>
      </c>
      <c r="AG8436">
        <v>-1.1196359547079999</v>
      </c>
      <c r="AH8436">
        <v>12.1287124316373</v>
      </c>
      <c r="AI8436">
        <v>95.268630789200401</v>
      </c>
      <c r="AJ8436">
        <v>92.638034162062198</v>
      </c>
      <c r="AK8436">
        <v>12.193093972158501</v>
      </c>
      <c r="AL8436">
        <v>97.978285859206906</v>
      </c>
      <c r="AM8436">
        <v>94.016305174281399</v>
      </c>
      <c r="AN8436">
        <v>1.0000000290903901</v>
      </c>
    </row>
    <row r="8437" spans="1:40" x14ac:dyDescent="0.25">
      <c r="A8437" t="str">
        <f>"20190303154342294"</f>
        <v>20190303154342294</v>
      </c>
      <c r="B8437" t="str">
        <f>"1551599022288884"</f>
        <v>1551599022288884</v>
      </c>
      <c r="C8437" t="s">
        <v>40</v>
      </c>
      <c r="D8437">
        <v>5.937227</v>
      </c>
      <c r="E8437">
        <v>0.50363919999999995</v>
      </c>
      <c r="F8437" t="s">
        <v>41</v>
      </c>
      <c r="G8437">
        <v>-187.50229999999999</v>
      </c>
      <c r="H8437" s="1">
        <v>-2.8958470000000001E-6</v>
      </c>
      <c r="I8437">
        <v>-24.64968</v>
      </c>
      <c r="J8437">
        <v>-188.67320000000001</v>
      </c>
      <c r="K8437">
        <v>1.1197589999999999</v>
      </c>
      <c r="L8437">
        <v>-36.52957</v>
      </c>
      <c r="M8437">
        <v>0.14517430000000001</v>
      </c>
      <c r="N8437">
        <v>-7.148321E-3</v>
      </c>
      <c r="O8437">
        <v>0.98938020000000004</v>
      </c>
      <c r="P8437">
        <v>7.3194090000000003E-2</v>
      </c>
      <c r="Q8437">
        <v>-0.14770539999999999</v>
      </c>
      <c r="R8437">
        <v>0.98631930000000001</v>
      </c>
      <c r="S8437">
        <v>0.29579159999999999</v>
      </c>
      <c r="T8437">
        <v>-0.27668419999999999</v>
      </c>
      <c r="U8437">
        <v>2.9779360000000001</v>
      </c>
      <c r="V8437">
        <v>-7.0850479999999993E-2</v>
      </c>
      <c r="W8437">
        <v>-0.14061100000000001</v>
      </c>
      <c r="X8437">
        <v>0.98752660000000003</v>
      </c>
      <c r="Y8437">
        <v>-4.7006630000000001E-2</v>
      </c>
      <c r="Z8437">
        <v>-8.3708080000000004E-2</v>
      </c>
      <c r="AA8437">
        <v>0.99538099999999996</v>
      </c>
      <c r="AB8437">
        <v>18</v>
      </c>
      <c r="AC8437">
        <v>1.17090000000001</v>
      </c>
      <c r="AD8437">
        <v>-1.1197618958469999</v>
      </c>
      <c r="AE8437">
        <v>11.87989</v>
      </c>
      <c r="AF8437">
        <v>-0.56126543169609999</v>
      </c>
      <c r="AG8437">
        <v>-1.1197618958469999</v>
      </c>
      <c r="AH8437">
        <v>11.8200150071905</v>
      </c>
      <c r="AI8437">
        <v>95.405675150458805</v>
      </c>
      <c r="AJ8437">
        <v>92.718609359408205</v>
      </c>
      <c r="AK8437">
        <v>11.8861953693525</v>
      </c>
      <c r="AL8437">
        <v>98.083203595861406</v>
      </c>
      <c r="AM8437">
        <v>94.103676535033202</v>
      </c>
      <c r="AN8437">
        <v>1.00000001477239</v>
      </c>
    </row>
    <row r="8438" spans="1:40" x14ac:dyDescent="0.25">
      <c r="A8438" t="str">
        <f>"20190303154342320"</f>
        <v>20190303154342320</v>
      </c>
      <c r="B8438" t="str">
        <f>"1551599022308404"</f>
        <v>1551599022308404</v>
      </c>
      <c r="C8438" t="s">
        <v>40</v>
      </c>
      <c r="D8438">
        <v>5.9336520000000004</v>
      </c>
      <c r="E8438">
        <v>0.50311549999999905</v>
      </c>
      <c r="F8438" t="s">
        <v>41</v>
      </c>
      <c r="G8438">
        <v>-187.68119999999999</v>
      </c>
      <c r="H8438" s="1">
        <v>-2.848725E-6</v>
      </c>
      <c r="I8438">
        <v>-24.685549999999999</v>
      </c>
      <c r="J8438">
        <v>-188.6431</v>
      </c>
      <c r="K8438">
        <v>1.1199140000000001</v>
      </c>
      <c r="L8438">
        <v>-36.330199999999998</v>
      </c>
      <c r="M8438">
        <v>0.14573659999999999</v>
      </c>
      <c r="N8438">
        <v>-6.7473430000000003E-3</v>
      </c>
      <c r="O8438">
        <v>0.98930039999999997</v>
      </c>
      <c r="P8438">
        <v>7.1348300000000003E-2</v>
      </c>
      <c r="Q8438">
        <v>-0.1494791</v>
      </c>
      <c r="R8438">
        <v>0.98618729999999999</v>
      </c>
      <c r="S8438">
        <v>0.24966430000000001</v>
      </c>
      <c r="T8438">
        <v>-0.28181800000000001</v>
      </c>
      <c r="U8438">
        <v>2.9808650000000001</v>
      </c>
      <c r="V8438">
        <v>-7.3138960000000003E-2</v>
      </c>
      <c r="W8438">
        <v>-0.14282320000000001</v>
      </c>
      <c r="X8438">
        <v>0.98704219999999998</v>
      </c>
      <c r="Y8438">
        <v>-6.2947470000000005E-2</v>
      </c>
      <c r="Z8438">
        <v>-8.5689340000000003E-2</v>
      </c>
      <c r="AA8438">
        <v>0.99433139999999998</v>
      </c>
      <c r="AB8438">
        <v>18</v>
      </c>
      <c r="AC8438">
        <v>0.96190000000001397</v>
      </c>
      <c r="AD8438">
        <v>-1.11991684872499</v>
      </c>
      <c r="AE8438">
        <v>11.64465</v>
      </c>
      <c r="AF8438">
        <v>-0.738674554775548</v>
      </c>
      <c r="AG8438">
        <v>-1.11991684872499</v>
      </c>
      <c r="AH8438">
        <v>11.554358734031901</v>
      </c>
      <c r="AI8438">
        <v>95.524943676610903</v>
      </c>
      <c r="AJ8438">
        <v>93.657962948377104</v>
      </c>
      <c r="AK8438">
        <v>11.6319843363302</v>
      </c>
      <c r="AL8438">
        <v>98.211245445864506</v>
      </c>
      <c r="AM8438">
        <v>94.237822082351002</v>
      </c>
      <c r="AN8438">
        <v>1.0000000392544801</v>
      </c>
    </row>
    <row r="8439" spans="1:40" x14ac:dyDescent="0.25">
      <c r="A8439" t="str">
        <f>"20190303154342343"</f>
        <v>20190303154342343</v>
      </c>
      <c r="B8439" t="str">
        <f>"1551599022338660"</f>
        <v>1551599022338660</v>
      </c>
      <c r="C8439" t="s">
        <v>40</v>
      </c>
      <c r="D8439">
        <v>6.0105930000000001</v>
      </c>
      <c r="E8439">
        <v>0.50303240000000005</v>
      </c>
      <c r="F8439" t="s">
        <v>41</v>
      </c>
      <c r="G8439">
        <v>-187.69110000000001</v>
      </c>
      <c r="H8439" s="1">
        <v>-2.9075929999999999E-6</v>
      </c>
      <c r="I8439">
        <v>-24.544239999999999</v>
      </c>
      <c r="J8439">
        <v>-188.61439999999999</v>
      </c>
      <c r="K8439">
        <v>1.1200509999999999</v>
      </c>
      <c r="L8439">
        <v>-36.138339999999999</v>
      </c>
      <c r="M8439">
        <v>0.14588509999999999</v>
      </c>
      <c r="N8439">
        <v>-6.3460829999999998E-3</v>
      </c>
      <c r="O8439">
        <v>0.98928119999999997</v>
      </c>
      <c r="P8439">
        <v>6.8519469999999999E-2</v>
      </c>
      <c r="Q8439">
        <v>-0.15042839999999999</v>
      </c>
      <c r="R8439">
        <v>0.98624350000000005</v>
      </c>
      <c r="S8439">
        <v>0.2408295</v>
      </c>
      <c r="T8439">
        <v>-0.28332099999999999</v>
      </c>
      <c r="U8439">
        <v>2.9816590000000001</v>
      </c>
      <c r="V8439">
        <v>-7.6019149999999994E-2</v>
      </c>
      <c r="W8439">
        <v>-0.14420999999999901</v>
      </c>
      <c r="X8439">
        <v>0.98662280000000002</v>
      </c>
      <c r="Y8439">
        <v>-6.6051219999999994E-2</v>
      </c>
      <c r="Z8439">
        <v>-8.6547910000000006E-2</v>
      </c>
      <c r="AA8439">
        <v>0.99405569999999999</v>
      </c>
      <c r="AB8439">
        <v>18</v>
      </c>
      <c r="AC8439">
        <v>0.92329999999998302</v>
      </c>
      <c r="AD8439">
        <v>-1.1200539075929901</v>
      </c>
      <c r="AE8439">
        <v>11.594099999999999</v>
      </c>
      <c r="AF8439">
        <v>-0.77086986003703895</v>
      </c>
      <c r="AG8439">
        <v>-1.1200539075929901</v>
      </c>
      <c r="AH8439">
        <v>11.498122968058199</v>
      </c>
      <c r="AI8439">
        <v>95.551352377217299</v>
      </c>
      <c r="AJ8439">
        <v>93.835547162615399</v>
      </c>
      <c r="AK8439">
        <v>11.578237900717699</v>
      </c>
      <c r="AL8439">
        <v>98.291534786511306</v>
      </c>
      <c r="AM8439">
        <v>94.405926770041802</v>
      </c>
      <c r="AN8439">
        <v>0.99999999237328097</v>
      </c>
    </row>
    <row r="8440" spans="1:40" x14ac:dyDescent="0.25">
      <c r="A8440" t="str">
        <f>"20190303154342366"</f>
        <v>20190303154342366</v>
      </c>
      <c r="B8440" t="str">
        <f>"1551599022358180"</f>
        <v>1551599022358180</v>
      </c>
      <c r="C8440" t="s">
        <v>40</v>
      </c>
      <c r="D8440">
        <v>5.9735779999999998</v>
      </c>
      <c r="E8440">
        <v>0.50292619999999999</v>
      </c>
      <c r="F8440" t="s">
        <v>41</v>
      </c>
      <c r="G8440">
        <v>-187.6978</v>
      </c>
      <c r="H8440" s="1">
        <v>-2.98062E-6</v>
      </c>
      <c r="I8440">
        <v>-24.37125</v>
      </c>
      <c r="J8440">
        <v>-188.5864</v>
      </c>
      <c r="K8440">
        <v>1.1201479999999999</v>
      </c>
      <c r="L8440">
        <v>-35.94876</v>
      </c>
      <c r="M8440">
        <v>0.14571049999999999</v>
      </c>
      <c r="N8440">
        <v>-5.9485400000000004E-3</v>
      </c>
      <c r="O8440">
        <v>0.98930940000000001</v>
      </c>
      <c r="P8440">
        <v>6.5706219999999996E-2</v>
      </c>
      <c r="Q8440">
        <v>-0.15162779999999901</v>
      </c>
      <c r="R8440">
        <v>0.9862514</v>
      </c>
      <c r="S8440">
        <v>0.2323151</v>
      </c>
      <c r="T8440">
        <v>-0.28387980000000002</v>
      </c>
      <c r="U8440">
        <v>2.9823909999999998</v>
      </c>
      <c r="V8440">
        <v>-7.8564869999999995E-2</v>
      </c>
      <c r="W8440">
        <v>-0.14583960000000001</v>
      </c>
      <c r="X8440">
        <v>0.98618380000000005</v>
      </c>
      <c r="Y8440">
        <v>-6.8718639999999998E-2</v>
      </c>
      <c r="Z8440">
        <v>-8.710466E-2</v>
      </c>
      <c r="AA8440">
        <v>0.99382619999999999</v>
      </c>
      <c r="AB8440">
        <v>18</v>
      </c>
      <c r="AC8440">
        <v>0.88859999999999595</v>
      </c>
      <c r="AD8440">
        <v>-1.1201509806199901</v>
      </c>
      <c r="AE8440">
        <v>11.57751</v>
      </c>
      <c r="AF8440">
        <v>-0.80042977043468799</v>
      </c>
      <c r="AG8440">
        <v>-1.1201509806199901</v>
      </c>
      <c r="AH8440">
        <v>11.476619028874</v>
      </c>
      <c r="AI8440">
        <v>95.561151560770995</v>
      </c>
      <c r="AJ8440">
        <v>93.989598605482598</v>
      </c>
      <c r="AK8440">
        <v>11.5589017804761</v>
      </c>
      <c r="AL8440">
        <v>98.385901094741698</v>
      </c>
      <c r="AM8440">
        <v>94.554879762743496</v>
      </c>
      <c r="AN8440">
        <v>1.00000005755435</v>
      </c>
    </row>
    <row r="8441" spans="1:40" x14ac:dyDescent="0.25">
      <c r="A8441" t="str">
        <f>"20190303154342388"</f>
        <v>20190303154342388</v>
      </c>
      <c r="B8441" t="str">
        <f>"1551599022378676"</f>
        <v>1551599022378676</v>
      </c>
      <c r="C8441" t="s">
        <v>40</v>
      </c>
      <c r="D8441">
        <v>5.9747409999999999</v>
      </c>
      <c r="E8441">
        <v>0.50285800000000003</v>
      </c>
      <c r="F8441" t="s">
        <v>41</v>
      </c>
      <c r="G8441">
        <v>-187.70650000000001</v>
      </c>
      <c r="H8441" s="1">
        <v>-3.0539399999999999E-6</v>
      </c>
      <c r="I8441">
        <v>-24.196719999999999</v>
      </c>
      <c r="J8441">
        <v>-188.5608</v>
      </c>
      <c r="K8441">
        <v>1.1202319999999999</v>
      </c>
      <c r="L8441">
        <v>-35.772060000000003</v>
      </c>
      <c r="M8441">
        <v>0.14523659999999999</v>
      </c>
      <c r="N8441">
        <v>-5.5839399999999999E-3</v>
      </c>
      <c r="O8441">
        <v>0.98938119999999996</v>
      </c>
      <c r="P8441">
        <v>6.3852569999999997E-2</v>
      </c>
      <c r="Q8441">
        <v>-0.15392359999999999</v>
      </c>
      <c r="R8441">
        <v>0.98601749999999999</v>
      </c>
      <c r="S8441">
        <v>0.22335820000000001</v>
      </c>
      <c r="T8441">
        <v>-0.2843465</v>
      </c>
      <c r="U8441">
        <v>2.983215</v>
      </c>
      <c r="V8441">
        <v>-7.9832260000000002E-2</v>
      </c>
      <c r="W8441">
        <v>-0.14852979999999999</v>
      </c>
      <c r="X8441">
        <v>0.98568029999999995</v>
      </c>
      <c r="Y8441">
        <v>-7.1231840000000005E-2</v>
      </c>
      <c r="Z8441">
        <v>-8.76025E-2</v>
      </c>
      <c r="AA8441">
        <v>0.99360550000000003</v>
      </c>
      <c r="AB8441">
        <v>18</v>
      </c>
      <c r="AC8441">
        <v>0.85429999999999495</v>
      </c>
      <c r="AD8441">
        <v>-1.1202350539399999</v>
      </c>
      <c r="AE8441">
        <v>11.575339999999899</v>
      </c>
      <c r="AF8441">
        <v>-0.82823255281570096</v>
      </c>
      <c r="AG8441">
        <v>-1.1202350539399999</v>
      </c>
      <c r="AH8441">
        <v>11.469836152556001</v>
      </c>
      <c r="AI8441">
        <v>95.563871961938204</v>
      </c>
      <c r="AJ8441">
        <v>94.130138137786403</v>
      </c>
      <c r="AK8441">
        <v>11.554135065165999</v>
      </c>
      <c r="AL8441">
        <v>98.541736161978605</v>
      </c>
      <c r="AM8441">
        <v>94.630395131569102</v>
      </c>
      <c r="AN8441">
        <v>0.99999997251641803</v>
      </c>
    </row>
    <row r="8442" spans="1:40" x14ac:dyDescent="0.25">
      <c r="A8442" t="str">
        <f>"20190303154342409"</f>
        <v>20190303154342409</v>
      </c>
      <c r="B8442" t="str">
        <f>"1551599022398196"</f>
        <v>1551599022398196</v>
      </c>
      <c r="C8442" t="s">
        <v>40</v>
      </c>
      <c r="D8442">
        <v>5.986688</v>
      </c>
      <c r="E8442">
        <v>0.50285299999999999</v>
      </c>
      <c r="F8442" t="s">
        <v>41</v>
      </c>
      <c r="G8442">
        <v>-187.71119999999999</v>
      </c>
      <c r="H8442" s="1">
        <v>-3.0805310000000002E-6</v>
      </c>
      <c r="I8442">
        <v>-24.1328</v>
      </c>
      <c r="J8442">
        <v>-188.53579999999999</v>
      </c>
      <c r="K8442">
        <v>1.1203339999999999</v>
      </c>
      <c r="L8442">
        <v>-35.597290000000001</v>
      </c>
      <c r="M8442">
        <v>0.14444560000000001</v>
      </c>
      <c r="N8442">
        <v>-5.2329120000000002E-3</v>
      </c>
      <c r="O8442">
        <v>0.98949889999999996</v>
      </c>
      <c r="P8442">
        <v>6.3437779999999999E-2</v>
      </c>
      <c r="Q8442">
        <v>-0.15626089999999901</v>
      </c>
      <c r="R8442">
        <v>0.98567649999999996</v>
      </c>
      <c r="S8442">
        <v>0.21777340000000001</v>
      </c>
      <c r="T8442">
        <v>-0.28716120000000001</v>
      </c>
      <c r="U8442">
        <v>2.9836119999999999</v>
      </c>
      <c r="V8442">
        <v>-7.9340930000000004E-2</v>
      </c>
      <c r="W8442">
        <v>-0.1512464</v>
      </c>
      <c r="X8442">
        <v>0.98530680000000004</v>
      </c>
      <c r="Y8442">
        <v>-7.2302710000000006E-2</v>
      </c>
      <c r="Z8442">
        <v>-8.8870229999999995E-2</v>
      </c>
      <c r="AA8442">
        <v>0.99341550000000001</v>
      </c>
      <c r="AB8442">
        <v>19</v>
      </c>
      <c r="AC8442">
        <v>0.824600000000003</v>
      </c>
      <c r="AD8442">
        <v>-1.120337080531</v>
      </c>
      <c r="AE8442">
        <v>11.46449</v>
      </c>
      <c r="AF8442">
        <v>-0.83215990687499797</v>
      </c>
      <c r="AG8442">
        <v>-1.120337080531</v>
      </c>
      <c r="AH8442">
        <v>11.3554842110679</v>
      </c>
      <c r="AI8442">
        <v>95.619619337663195</v>
      </c>
      <c r="AJ8442">
        <v>94.191294027838893</v>
      </c>
      <c r="AK8442">
        <v>11.4409207213596</v>
      </c>
      <c r="AL8442">
        <v>98.699164397535597</v>
      </c>
      <c r="AM8442">
        <v>94.6037570025143</v>
      </c>
      <c r="AN8442">
        <v>0.99999997340623203</v>
      </c>
    </row>
    <row r="8443" spans="1:40" x14ac:dyDescent="0.25">
      <c r="A8443" t="str">
        <f>"20190303154342430"</f>
        <v>20190303154342430</v>
      </c>
      <c r="B8443" t="str">
        <f>"1551599022418695"</f>
        <v>1551599022418695</v>
      </c>
      <c r="C8443" t="s">
        <v>40</v>
      </c>
      <c r="D8443">
        <v>5.9652450000000004</v>
      </c>
      <c r="E8443">
        <v>0.50418839999999998</v>
      </c>
      <c r="F8443" t="s">
        <v>41</v>
      </c>
      <c r="G8443">
        <v>-187.69810000000001</v>
      </c>
      <c r="H8443" s="1">
        <v>-3.1034709999999999E-6</v>
      </c>
      <c r="I8443">
        <v>-24.08473</v>
      </c>
      <c r="J8443">
        <v>-188.51009999999999</v>
      </c>
      <c r="K8443">
        <v>1.120465</v>
      </c>
      <c r="L8443">
        <v>-35.413879999999999</v>
      </c>
      <c r="M8443">
        <v>0.14327179999999901</v>
      </c>
      <c r="N8443">
        <v>-4.8793739999999997E-3</v>
      </c>
      <c r="O8443">
        <v>0.98967130000000003</v>
      </c>
      <c r="P8443">
        <v>6.278947E-2</v>
      </c>
      <c r="Q8443">
        <v>-0.1566285</v>
      </c>
      <c r="R8443">
        <v>0.98565970000000003</v>
      </c>
      <c r="S8443">
        <v>0.2170868</v>
      </c>
      <c r="T8443">
        <v>-0.29034520000000003</v>
      </c>
      <c r="U8443">
        <v>2.9835820000000002</v>
      </c>
      <c r="V8443">
        <v>-7.8740660000000004E-2</v>
      </c>
      <c r="W8443">
        <v>-0.15199770000000001</v>
      </c>
      <c r="X8443">
        <v>0.98523939999999999</v>
      </c>
      <c r="Y8443">
        <v>-7.1356729999999993E-2</v>
      </c>
      <c r="Z8443">
        <v>-9.0283539999999995E-2</v>
      </c>
      <c r="AA8443">
        <v>0.99335649999999998</v>
      </c>
      <c r="AB8443">
        <v>19</v>
      </c>
      <c r="AC8443">
        <v>0.81199999999998296</v>
      </c>
      <c r="AD8443">
        <v>-1.120468103471</v>
      </c>
      <c r="AE8443">
        <v>11.329149999999901</v>
      </c>
      <c r="AF8443">
        <v>-0.81164589630052197</v>
      </c>
      <c r="AG8443">
        <v>-1.120468103471</v>
      </c>
      <c r="AH8443">
        <v>11.219425092282901</v>
      </c>
      <c r="AI8443">
        <v>95.688370300523403</v>
      </c>
      <c r="AJ8443">
        <v>94.137735378523502</v>
      </c>
      <c r="AK8443">
        <v>11.304411405872701</v>
      </c>
      <c r="AL8443">
        <v>98.742713685946995</v>
      </c>
      <c r="AM8443">
        <v>94.569385621977403</v>
      </c>
      <c r="AN8443">
        <v>1.00000003382744</v>
      </c>
    </row>
    <row r="8444" spans="1:40" x14ac:dyDescent="0.25">
      <c r="A8444" t="str">
        <f>"20190303154342452"</f>
        <v>20190303154342452</v>
      </c>
      <c r="B8444" t="str">
        <f>"1551599022448949"</f>
        <v>1551599022448949</v>
      </c>
      <c r="C8444" t="s">
        <v>40</v>
      </c>
      <c r="D8444">
        <v>6.0035910000000001</v>
      </c>
      <c r="E8444">
        <v>0.503417</v>
      </c>
      <c r="F8444" t="s">
        <v>41</v>
      </c>
      <c r="G8444">
        <v>-187.54640000000001</v>
      </c>
      <c r="H8444" s="1">
        <v>-3.717355E-6</v>
      </c>
      <c r="I8444">
        <v>-22.7165</v>
      </c>
      <c r="J8444">
        <v>-188.4845</v>
      </c>
      <c r="K8444">
        <v>1.12063</v>
      </c>
      <c r="L8444">
        <v>-35.226840000000003</v>
      </c>
      <c r="M8444">
        <v>0.1417378</v>
      </c>
      <c r="N8444">
        <v>-4.5411119999999999E-3</v>
      </c>
      <c r="O8444">
        <v>0.98989389999999999</v>
      </c>
      <c r="P8444">
        <v>6.1827699999999902E-2</v>
      </c>
      <c r="Q8444">
        <v>-0.15542339999999999</v>
      </c>
      <c r="R8444">
        <v>0.98591119999999999</v>
      </c>
      <c r="S8444">
        <v>0.2267303</v>
      </c>
      <c r="T8444">
        <v>-0.26361180000000001</v>
      </c>
      <c r="U8444">
        <v>2.9873050000000001</v>
      </c>
      <c r="V8444">
        <v>-7.8130660000000005E-2</v>
      </c>
      <c r="W8444">
        <v>-0.15116160000000001</v>
      </c>
      <c r="X8444">
        <v>0.98541650000000003</v>
      </c>
      <c r="Y8444">
        <v>-6.6658469999999997E-2</v>
      </c>
      <c r="Z8444">
        <v>-8.1854999999999997E-2</v>
      </c>
      <c r="AA8444">
        <v>0.99441259999999998</v>
      </c>
      <c r="AB8444">
        <v>19</v>
      </c>
      <c r="AC8444">
        <v>0.93809999999999105</v>
      </c>
      <c r="AD8444">
        <v>-1.1206337173549901</v>
      </c>
      <c r="AE8444">
        <v>12.510339999999999</v>
      </c>
      <c r="AF8444">
        <v>-0.83789162019191799</v>
      </c>
      <c r="AG8444">
        <v>-1.1206337173549901</v>
      </c>
      <c r="AH8444">
        <v>12.4179177237058</v>
      </c>
      <c r="AI8444">
        <v>95.144955927133793</v>
      </c>
      <c r="AJ8444">
        <v>93.860147621035793</v>
      </c>
      <c r="AK8444">
        <v>12.496502026102601</v>
      </c>
      <c r="AL8444">
        <v>98.694249374068505</v>
      </c>
      <c r="AM8444">
        <v>94.533323511250003</v>
      </c>
      <c r="AN8444">
        <v>0.99999995390942098</v>
      </c>
    </row>
    <row r="8445" spans="1:40" x14ac:dyDescent="0.25">
      <c r="A8445" t="str">
        <f>"20190303154342474"</f>
        <v>20190303154342474</v>
      </c>
      <c r="B8445" t="str">
        <f>"1551599022468469"</f>
        <v>1551599022468469</v>
      </c>
      <c r="C8445" t="s">
        <v>40</v>
      </c>
      <c r="D8445">
        <v>6.0152330000000003</v>
      </c>
      <c r="E8445">
        <v>0.50271690000000002</v>
      </c>
      <c r="F8445" t="s">
        <v>41</v>
      </c>
      <c r="G8445">
        <v>-187.53550000000001</v>
      </c>
      <c r="H8445" s="1">
        <v>-3.9353339999999999E-6</v>
      </c>
      <c r="I8445">
        <v>-22.212890000000002</v>
      </c>
      <c r="J8445">
        <v>-188.4599</v>
      </c>
      <c r="K8445">
        <v>1.120795</v>
      </c>
      <c r="L8445">
        <v>-35.04224</v>
      </c>
      <c r="M8445">
        <v>0.1399242</v>
      </c>
      <c r="N8445">
        <v>-4.2358409999999997E-3</v>
      </c>
      <c r="O8445">
        <v>0.99015310000000001</v>
      </c>
      <c r="P8445">
        <v>6.1453130000000002E-2</v>
      </c>
      <c r="Q8445">
        <v>-0.15371389999999999</v>
      </c>
      <c r="R8445">
        <v>0.98620260000000004</v>
      </c>
      <c r="S8445">
        <v>0.2179413</v>
      </c>
      <c r="T8445">
        <v>-0.25735039999999998</v>
      </c>
      <c r="U8445">
        <v>2.9886170000000001</v>
      </c>
      <c r="V8445">
        <v>-7.6671879999999998E-2</v>
      </c>
      <c r="W8445">
        <v>-0.14978339999999901</v>
      </c>
      <c r="X8445">
        <v>0.98574150000000005</v>
      </c>
      <c r="Y8445">
        <v>-6.7762399999999903E-2</v>
      </c>
      <c r="Z8445">
        <v>-8.0121869999999998E-2</v>
      </c>
      <c r="AA8445">
        <v>0.99447909999999995</v>
      </c>
      <c r="AB8445">
        <v>19</v>
      </c>
      <c r="AC8445">
        <v>0.92439999999999101</v>
      </c>
      <c r="AD8445">
        <v>-1.120798935334</v>
      </c>
      <c r="AE8445">
        <v>12.82935</v>
      </c>
      <c r="AF8445">
        <v>-0.87321686473591897</v>
      </c>
      <c r="AG8445">
        <v>-1.120798935334</v>
      </c>
      <c r="AH8445">
        <v>12.7357832630862</v>
      </c>
      <c r="AI8445">
        <v>95.017577117387603</v>
      </c>
      <c r="AJ8445">
        <v>93.922292037516797</v>
      </c>
      <c r="AK8445">
        <v>12.814791191065501</v>
      </c>
      <c r="AL8445">
        <v>98.614374706450803</v>
      </c>
      <c r="AM8445">
        <v>94.447563760103094</v>
      </c>
      <c r="AN8445">
        <v>0.999999974460271</v>
      </c>
    </row>
    <row r="8446" spans="1:40" x14ac:dyDescent="0.25">
      <c r="A8446" t="str">
        <f>"20190303154342496"</f>
        <v>20190303154342496</v>
      </c>
      <c r="B8446" t="str">
        <f>"1551599022488965"</f>
        <v>1551599022488965</v>
      </c>
      <c r="C8446" t="s">
        <v>40</v>
      </c>
      <c r="D8446">
        <v>6.0109399999999997</v>
      </c>
      <c r="E8446">
        <v>0.50220419999999999</v>
      </c>
      <c r="F8446" t="s">
        <v>41</v>
      </c>
      <c r="G8446">
        <v>-187.52430000000001</v>
      </c>
      <c r="H8446" s="1">
        <v>-4.103257E-6</v>
      </c>
      <c r="I8446">
        <v>-21.826090000000001</v>
      </c>
      <c r="J8446">
        <v>-188.43459999999999</v>
      </c>
      <c r="K8446">
        <v>1.1209629999999999</v>
      </c>
      <c r="L8446">
        <v>-34.846440000000001</v>
      </c>
      <c r="M8446">
        <v>0.13771369999999999</v>
      </c>
      <c r="N8446">
        <v>-3.9462630000000002E-3</v>
      </c>
      <c r="O8446">
        <v>0.99046420000000002</v>
      </c>
      <c r="P8446">
        <v>6.1151209999999998E-2</v>
      </c>
      <c r="Q8446">
        <v>-0.15077850000000001</v>
      </c>
      <c r="R8446">
        <v>0.98667439999999995</v>
      </c>
      <c r="S8446">
        <v>0.21162410000000001</v>
      </c>
      <c r="T8446">
        <v>-0.25350489999999998</v>
      </c>
      <c r="U8446">
        <v>2.989258</v>
      </c>
      <c r="V8446">
        <v>-7.4780009999999994E-2</v>
      </c>
      <c r="W8446">
        <v>-0.1471585</v>
      </c>
      <c r="X8446">
        <v>0.98628210000000005</v>
      </c>
      <c r="Y8446">
        <v>-6.7637230000000007E-2</v>
      </c>
      <c r="Z8446">
        <v>-7.9184640000000001E-2</v>
      </c>
      <c r="AA8446">
        <v>0.99456270000000002</v>
      </c>
      <c r="AB8446">
        <v>19</v>
      </c>
      <c r="AC8446">
        <v>0.91029999999997802</v>
      </c>
      <c r="AD8446">
        <v>-1.1209671032570001</v>
      </c>
      <c r="AE8446">
        <v>13.020350000000001</v>
      </c>
      <c r="AF8446">
        <v>-0.88494061805240398</v>
      </c>
      <c r="AG8446">
        <v>-1.1209671032570001</v>
      </c>
      <c r="AH8446">
        <v>12.9263080693358</v>
      </c>
      <c r="AI8446">
        <v>94.944763691666196</v>
      </c>
      <c r="AJ8446">
        <v>93.916382897846702</v>
      </c>
      <c r="AK8446">
        <v>13.0049654919742</v>
      </c>
      <c r="AL8446">
        <v>98.462292960429707</v>
      </c>
      <c r="AM8446">
        <v>94.335876046214395</v>
      </c>
      <c r="AN8446">
        <v>1.0000000273991201</v>
      </c>
    </row>
    <row r="8447" spans="1:40" x14ac:dyDescent="0.25">
      <c r="A8447" t="str">
        <f>"20190303154342521"</f>
        <v>20190303154342521</v>
      </c>
      <c r="B8447" t="str">
        <f>"1551599022508488"</f>
        <v>1551599022508488</v>
      </c>
      <c r="C8447" t="s">
        <v>40</v>
      </c>
      <c r="D8447">
        <v>6.0200610000000001</v>
      </c>
      <c r="E8447">
        <v>0.50172070000000002</v>
      </c>
      <c r="F8447" t="s">
        <v>41</v>
      </c>
      <c r="G8447">
        <v>-187.47470000000001</v>
      </c>
      <c r="H8447" s="1">
        <v>-4.4796110000000004E-6</v>
      </c>
      <c r="I8447">
        <v>-20.96931</v>
      </c>
      <c r="J8447">
        <v>-188.4084</v>
      </c>
      <c r="K8447">
        <v>1.121113</v>
      </c>
      <c r="L8447">
        <v>-34.63693</v>
      </c>
      <c r="M8447">
        <v>0.13506399999999999</v>
      </c>
      <c r="N8447">
        <v>-3.6777060000000002E-3</v>
      </c>
      <c r="O8447">
        <v>0.99083010000000005</v>
      </c>
      <c r="P8447">
        <v>5.9905079999999999E-2</v>
      </c>
      <c r="Q8447">
        <v>-0.14771090000000001</v>
      </c>
      <c r="R8447">
        <v>0.9872147</v>
      </c>
      <c r="S8447">
        <v>0.2068787</v>
      </c>
      <c r="T8447">
        <v>-0.2415899</v>
      </c>
      <c r="U8447">
        <v>2.9907840000000001</v>
      </c>
      <c r="V8447">
        <v>-7.3407929999999996E-2</v>
      </c>
      <c r="W8447">
        <v>-0.14437620000000001</v>
      </c>
      <c r="X8447">
        <v>0.98679620000000001</v>
      </c>
      <c r="Y8447">
        <v>-6.6556480000000001E-2</v>
      </c>
      <c r="Z8447">
        <v>-7.5580120000000001E-2</v>
      </c>
      <c r="AA8447">
        <v>0.99491600000000002</v>
      </c>
      <c r="AB8447">
        <v>20</v>
      </c>
      <c r="AC8447">
        <v>0.93369999999998698</v>
      </c>
      <c r="AD8447">
        <v>-1.1211174796109999</v>
      </c>
      <c r="AE8447">
        <v>13.667619999999999</v>
      </c>
      <c r="AF8447">
        <v>-0.91474529883354905</v>
      </c>
      <c r="AG8447">
        <v>-1.1211174796109999</v>
      </c>
      <c r="AH8447">
        <v>13.5775584712759</v>
      </c>
      <c r="AI8447">
        <v>94.709654052337996</v>
      </c>
      <c r="AJ8447">
        <v>93.854298472798703</v>
      </c>
      <c r="AK8447">
        <v>13.6544409407981</v>
      </c>
      <c r="AL8447">
        <v>98.301158191054398</v>
      </c>
      <c r="AM8447">
        <v>94.254406101080804</v>
      </c>
      <c r="AN8447">
        <v>0.999999975823882</v>
      </c>
    </row>
    <row r="8448" spans="1:40" x14ac:dyDescent="0.25">
      <c r="A8448" t="str">
        <f>"20190303154342543"</f>
        <v>20190303154342543</v>
      </c>
      <c r="B8448" t="str">
        <f>"1551599022538740"</f>
        <v>1551599022538740</v>
      </c>
      <c r="C8448" t="s">
        <v>40</v>
      </c>
      <c r="D8448">
        <v>5.9368550000000004</v>
      </c>
      <c r="E8448">
        <v>0.50110259999999995</v>
      </c>
      <c r="F8448" t="s">
        <v>41</v>
      </c>
      <c r="G8448">
        <v>-187.44280000000001</v>
      </c>
      <c r="H8448" s="1">
        <v>-7.4109719999999999E-7</v>
      </c>
      <c r="I8448">
        <v>-20.173590000000001</v>
      </c>
      <c r="J8448">
        <v>-188.38399999999999</v>
      </c>
      <c r="K8448">
        <v>1.1212139999999999</v>
      </c>
      <c r="L8448">
        <v>-34.435759999999902</v>
      </c>
      <c r="M8448">
        <v>0.13234019999999999</v>
      </c>
      <c r="N8448">
        <v>-3.4506290000000002E-3</v>
      </c>
      <c r="O8448">
        <v>0.99119840000000003</v>
      </c>
      <c r="P8448">
        <v>5.8063370000000003E-2</v>
      </c>
      <c r="Q8448">
        <v>-0.1448112</v>
      </c>
      <c r="R8448">
        <v>0.98775420000000003</v>
      </c>
      <c r="S8448">
        <v>0.19975280000000001</v>
      </c>
      <c r="T8448">
        <v>-0.23192499999999999</v>
      </c>
      <c r="U8448">
        <v>2.992035</v>
      </c>
      <c r="V8448">
        <v>-7.2570300000000004E-2</v>
      </c>
      <c r="W8448">
        <v>-0.14171310000000001</v>
      </c>
      <c r="X8448">
        <v>0.98724409999999896</v>
      </c>
      <c r="Y8448">
        <v>-6.6187780000000002E-2</v>
      </c>
      <c r="Z8448">
        <v>-7.2671150000000004E-2</v>
      </c>
      <c r="AA8448">
        <v>0.99515730000000002</v>
      </c>
      <c r="AB8448">
        <v>20</v>
      </c>
      <c r="AC8448">
        <v>0.94120000000000903</v>
      </c>
      <c r="AD8448">
        <v>-1.1212147410972</v>
      </c>
      <c r="AE8448">
        <v>14.2621699999999</v>
      </c>
      <c r="AF8448">
        <v>-0.94871028239161903</v>
      </c>
      <c r="AG8448">
        <v>-1.1212147410972</v>
      </c>
      <c r="AH8448">
        <v>14.174063367726401</v>
      </c>
      <c r="AI8448">
        <v>94.512809880820299</v>
      </c>
      <c r="AJ8448">
        <v>93.829257560353099</v>
      </c>
      <c r="AK8448">
        <v>14.2499560016125</v>
      </c>
      <c r="AL8448">
        <v>98.146988249985199</v>
      </c>
      <c r="AM8448">
        <v>94.204134524464607</v>
      </c>
      <c r="AN8448">
        <v>0.999999982069254</v>
      </c>
    </row>
    <row r="8449" spans="1:40" x14ac:dyDescent="0.25">
      <c r="A8449" t="str">
        <f>"20190303154342567"</f>
        <v>20190303154342567</v>
      </c>
      <c r="B8449" t="str">
        <f>"1551599022558261"</f>
        <v>1551599022558261</v>
      </c>
      <c r="C8449" t="s">
        <v>40</v>
      </c>
      <c r="D8449">
        <v>6.0023780000000002</v>
      </c>
      <c r="E8449">
        <v>0.50056060000000002</v>
      </c>
      <c r="F8449" t="s">
        <v>41</v>
      </c>
      <c r="G8449">
        <v>-187.43770000000001</v>
      </c>
      <c r="H8449" s="1">
        <v>-9.8236110000000004E-7</v>
      </c>
      <c r="I8449">
        <v>-19.468620000000001</v>
      </c>
      <c r="J8449">
        <v>-188.35990000000001</v>
      </c>
      <c r="K8449">
        <v>1.121273</v>
      </c>
      <c r="L8449">
        <v>-34.23001</v>
      </c>
      <c r="M8449">
        <v>0.1294129</v>
      </c>
      <c r="N8449">
        <v>-3.239993E-3</v>
      </c>
      <c r="O8449">
        <v>0.99158550000000001</v>
      </c>
      <c r="P8449">
        <v>5.5402479999999997E-2</v>
      </c>
      <c r="Q8449">
        <v>-0.14233019999999999</v>
      </c>
      <c r="R8449">
        <v>0.98826749999999997</v>
      </c>
      <c r="S8449">
        <v>0.1892548</v>
      </c>
      <c r="T8449">
        <v>-0.22422549999999999</v>
      </c>
      <c r="U8449">
        <v>2.9931950000000001</v>
      </c>
      <c r="V8449">
        <v>-7.2349490000000002E-2</v>
      </c>
      <c r="W8449">
        <v>-0.13944899999999999</v>
      </c>
      <c r="X8449">
        <v>0.98758270000000004</v>
      </c>
      <c r="Y8449">
        <v>-6.6732979999999997E-2</v>
      </c>
      <c r="Z8449">
        <v>-7.0388240000000005E-2</v>
      </c>
      <c r="AA8449">
        <v>0.99528499999999998</v>
      </c>
      <c r="AB8449">
        <v>20</v>
      </c>
      <c r="AC8449">
        <v>0.92220000000000302</v>
      </c>
      <c r="AD8449">
        <v>-1.1212739823611</v>
      </c>
      <c r="AE8449">
        <v>14.76139</v>
      </c>
      <c r="AF8449">
        <v>-0.99018828261568503</v>
      </c>
      <c r="AG8449">
        <v>-1.1212739823611</v>
      </c>
      <c r="AH8449">
        <v>14.672273758611199</v>
      </c>
      <c r="AI8449">
        <v>94.360242991844601</v>
      </c>
      <c r="AJ8449">
        <v>93.860868054844005</v>
      </c>
      <c r="AK8449">
        <v>14.7483336491341</v>
      </c>
      <c r="AL8449">
        <v>98.015963267414307</v>
      </c>
      <c r="AM8449">
        <v>94.189956311802703</v>
      </c>
      <c r="AN8449">
        <v>1.00000003082177</v>
      </c>
    </row>
    <row r="8450" spans="1:40" x14ac:dyDescent="0.25">
      <c r="A8450" t="str">
        <f>"20190303154342587"</f>
        <v>20190303154342587</v>
      </c>
      <c r="B8450" t="str">
        <f>"1551599022578756"</f>
        <v>1551599022578756</v>
      </c>
      <c r="C8450" t="s">
        <v>40</v>
      </c>
      <c r="D8450">
        <v>5.9597600000000002</v>
      </c>
      <c r="E8450">
        <v>0.50052649999999999</v>
      </c>
      <c r="F8450" t="s">
        <v>41</v>
      </c>
      <c r="G8450">
        <v>-187.4504</v>
      </c>
      <c r="H8450" s="1">
        <v>-1.209822E-6</v>
      </c>
      <c r="I8450">
        <v>-18.790299999999998</v>
      </c>
      <c r="J8450">
        <v>-188.33920000000001</v>
      </c>
      <c r="K8450">
        <v>1.1213029999999999</v>
      </c>
      <c r="L8450">
        <v>-34.048769999999998</v>
      </c>
      <c r="M8450">
        <v>0.1267353</v>
      </c>
      <c r="N8450">
        <v>-3.062132E-3</v>
      </c>
      <c r="O8450">
        <v>0.99193189999999998</v>
      </c>
      <c r="P8450">
        <v>5.161599E-2</v>
      </c>
      <c r="Q8450">
        <v>-0.14018849999999999</v>
      </c>
      <c r="R8450">
        <v>0.9887785</v>
      </c>
      <c r="S8450">
        <v>0.17639160000000001</v>
      </c>
      <c r="T8450">
        <v>-0.2174625</v>
      </c>
      <c r="U8450">
        <v>2.994415</v>
      </c>
      <c r="V8450">
        <v>-7.3500860000000001E-2</v>
      </c>
      <c r="W8450">
        <v>-0.13749400000000001</v>
      </c>
      <c r="X8450">
        <v>0.98777170000000003</v>
      </c>
      <c r="Y8450">
        <v>-6.8316249999999995E-2</v>
      </c>
      <c r="Z8450">
        <v>-6.836884E-2</v>
      </c>
      <c r="AA8450">
        <v>0.99531840000000005</v>
      </c>
      <c r="AB8450">
        <v>20</v>
      </c>
      <c r="AC8450">
        <v>0.88880000000000303</v>
      </c>
      <c r="AD8450">
        <v>-1.1213042098220001</v>
      </c>
      <c r="AE8450">
        <v>15.258470000000001</v>
      </c>
      <c r="AF8450">
        <v>-1.04653002043907</v>
      </c>
      <c r="AG8450">
        <v>-1.1213042098220001</v>
      </c>
      <c r="AH8450">
        <v>15.1664484088545</v>
      </c>
      <c r="AI8450">
        <v>94.218373382724195</v>
      </c>
      <c r="AJ8450">
        <v>93.947322085402106</v>
      </c>
      <c r="AK8450">
        <v>15.243808761365701</v>
      </c>
      <c r="AL8450">
        <v>97.9028610291288</v>
      </c>
      <c r="AM8450">
        <v>94.255580721532098</v>
      </c>
      <c r="AN8450">
        <v>0.99999995388881302</v>
      </c>
    </row>
    <row r="8451" spans="1:40" x14ac:dyDescent="0.25">
      <c r="A8451" t="str">
        <f>"20190303154342608"</f>
        <v>20190303154342608</v>
      </c>
      <c r="B8451" t="str">
        <f>"1551599022598276"</f>
        <v>1551599022598276</v>
      </c>
      <c r="C8451" t="s">
        <v>40</v>
      </c>
      <c r="D8451">
        <v>6.0672040000000003</v>
      </c>
      <c r="E8451">
        <v>0.50137979999999904</v>
      </c>
      <c r="F8451" t="s">
        <v>41</v>
      </c>
      <c r="G8451">
        <v>-187.46629999999999</v>
      </c>
      <c r="H8451" s="1">
        <v>-1.4217009999999999E-6</v>
      </c>
      <c r="I8451">
        <v>-18.155249999999999</v>
      </c>
      <c r="J8451">
        <v>-188.31729999999999</v>
      </c>
      <c r="K8451">
        <v>1.1213219999999999</v>
      </c>
      <c r="L8451">
        <v>-33.851009999999903</v>
      </c>
      <c r="M8451">
        <v>0.1237214</v>
      </c>
      <c r="N8451">
        <v>-2.8690009999999999E-3</v>
      </c>
      <c r="O8451">
        <v>0.99231279999999999</v>
      </c>
      <c r="P8451">
        <v>4.6988229999999999E-2</v>
      </c>
      <c r="Q8451">
        <v>-0.13890279999999999</v>
      </c>
      <c r="R8451">
        <v>0.98919060000000003</v>
      </c>
      <c r="S8451">
        <v>0.16452030000000001</v>
      </c>
      <c r="T8451">
        <v>-0.21133460000000001</v>
      </c>
      <c r="U8451">
        <v>2.9954830000000001</v>
      </c>
      <c r="V8451">
        <v>-7.5137549999999997E-2</v>
      </c>
      <c r="W8451">
        <v>-0.13641249999999999</v>
      </c>
      <c r="X8451">
        <v>0.98779859999999997</v>
      </c>
      <c r="Y8451">
        <v>-6.9231909999999994E-2</v>
      </c>
      <c r="Z8451">
        <v>-6.6577999999999998E-2</v>
      </c>
      <c r="AA8451">
        <v>0.9953765</v>
      </c>
      <c r="AB8451">
        <v>20</v>
      </c>
      <c r="AC8451">
        <v>0.85099999999999898</v>
      </c>
      <c r="AD8451">
        <v>-1.121323421701</v>
      </c>
      <c r="AE8451">
        <v>15.6957599999999</v>
      </c>
      <c r="AF8451">
        <v>-1.0918912703453401</v>
      </c>
      <c r="AG8451">
        <v>-1.121323421701</v>
      </c>
      <c r="AH8451">
        <v>15.601063756586401</v>
      </c>
      <c r="AI8451">
        <v>94.101055919998899</v>
      </c>
      <c r="AJ8451">
        <v>94.003503435603406</v>
      </c>
      <c r="AK8451">
        <v>15.6793744485992</v>
      </c>
      <c r="AL8451">
        <v>97.8403054739711</v>
      </c>
      <c r="AM8451">
        <v>94.349864630521296</v>
      </c>
      <c r="AN8451">
        <v>1.0000000478691</v>
      </c>
    </row>
    <row r="8452" spans="1:40" x14ac:dyDescent="0.25">
      <c r="A8452" t="str">
        <f>"20190303154342632"</f>
        <v>20190303154342632</v>
      </c>
      <c r="B8452" t="str">
        <f>"1551599022628533"</f>
        <v>1551599022628533</v>
      </c>
      <c r="C8452" t="s">
        <v>40</v>
      </c>
      <c r="D8452">
        <v>6.1055580000000003</v>
      </c>
      <c r="E8452">
        <v>0.50196339999999995</v>
      </c>
      <c r="F8452" t="s">
        <v>41</v>
      </c>
      <c r="G8452">
        <v>-187.45820000000001</v>
      </c>
      <c r="H8452" s="1">
        <v>-1.693855E-6</v>
      </c>
      <c r="I8452">
        <v>-17.469809999999999</v>
      </c>
      <c r="J8452">
        <v>-188.29429999999999</v>
      </c>
      <c r="K8452">
        <v>1.1213360000000001</v>
      </c>
      <c r="L8452">
        <v>-33.637239999999998</v>
      </c>
      <c r="M8452">
        <v>0.1203713</v>
      </c>
      <c r="N8452">
        <v>-2.6604200000000001E-3</v>
      </c>
      <c r="O8452">
        <v>0.99272539999999998</v>
      </c>
      <c r="P8452">
        <v>4.250201E-2</v>
      </c>
      <c r="Q8452">
        <v>-0.1391387</v>
      </c>
      <c r="R8452">
        <v>0.98936040000000003</v>
      </c>
      <c r="S8452">
        <v>0.15715029999999999</v>
      </c>
      <c r="T8452">
        <v>-0.20511750000000001</v>
      </c>
      <c r="U8452">
        <v>2.996521</v>
      </c>
      <c r="V8452">
        <v>-7.6262170000000004E-2</v>
      </c>
      <c r="W8452">
        <v>-0.13686789999999999</v>
      </c>
      <c r="X8452">
        <v>0.98764940000000001</v>
      </c>
      <c r="Y8452">
        <v>-6.8319050000000006E-2</v>
      </c>
      <c r="Z8452">
        <v>-6.4776849999999997E-2</v>
      </c>
      <c r="AA8452">
        <v>0.99555839999999995</v>
      </c>
      <c r="AB8452">
        <v>20</v>
      </c>
      <c r="AC8452">
        <v>0.83609999999998696</v>
      </c>
      <c r="AD8452">
        <v>-1.1213376938549999</v>
      </c>
      <c r="AE8452">
        <v>16.16743</v>
      </c>
      <c r="AF8452">
        <v>-1.11075175599299</v>
      </c>
      <c r="AG8452">
        <v>-1.1213376938549999</v>
      </c>
      <c r="AH8452">
        <v>16.073402651357</v>
      </c>
      <c r="AI8452">
        <v>93.981227218486694</v>
      </c>
      <c r="AJ8452">
        <v>93.953137490522593</v>
      </c>
      <c r="AK8452">
        <v>16.150710215954899</v>
      </c>
      <c r="AL8452">
        <v>97.8666450867116</v>
      </c>
      <c r="AM8452">
        <v>94.415379934773895</v>
      </c>
      <c r="AN8452">
        <v>1.0000000389719299</v>
      </c>
    </row>
    <row r="8453" spans="1:40" x14ac:dyDescent="0.25">
      <c r="A8453" t="str">
        <f>"20190303154342653"</f>
        <v>20190303154342653</v>
      </c>
      <c r="B8453" t="str">
        <f>"1551599022648052"</f>
        <v>1551599022648052</v>
      </c>
      <c r="C8453" t="s">
        <v>40</v>
      </c>
      <c r="D8453">
        <v>6.0890510000000004</v>
      </c>
      <c r="E8453">
        <v>0.50212250000000003</v>
      </c>
      <c r="F8453" t="s">
        <v>41</v>
      </c>
      <c r="G8453">
        <v>-187.5119</v>
      </c>
      <c r="H8453" s="1">
        <v>-1.5402929999999999E-6</v>
      </c>
      <c r="I8453">
        <v>-17.80555</v>
      </c>
      <c r="J8453">
        <v>-188.27289999999999</v>
      </c>
      <c r="K8453">
        <v>1.1213500000000001</v>
      </c>
      <c r="L8453">
        <v>-33.431150000000002</v>
      </c>
      <c r="M8453">
        <v>0.1170582</v>
      </c>
      <c r="N8453">
        <v>-2.462999E-3</v>
      </c>
      <c r="O8453">
        <v>0.99312199999999995</v>
      </c>
      <c r="P8453">
        <v>3.885781E-2</v>
      </c>
      <c r="Q8453">
        <v>-0.1398509</v>
      </c>
      <c r="R8453">
        <v>0.98940980000000001</v>
      </c>
      <c r="S8453">
        <v>0.14807129999999999</v>
      </c>
      <c r="T8453">
        <v>-0.21220729999999999</v>
      </c>
      <c r="U8453">
        <v>2.9960629999999999</v>
      </c>
      <c r="V8453">
        <v>-7.6570669999999993E-2</v>
      </c>
      <c r="W8453">
        <v>-0.13778670000000001</v>
      </c>
      <c r="X8453">
        <v>0.98749770000000003</v>
      </c>
      <c r="Y8453">
        <v>-6.799993E-2</v>
      </c>
      <c r="Z8453">
        <v>-6.7350569999999998E-2</v>
      </c>
      <c r="AA8453">
        <v>0.9954094</v>
      </c>
      <c r="AB8453">
        <v>21</v>
      </c>
      <c r="AC8453">
        <v>0.76099999999999501</v>
      </c>
      <c r="AD8453">
        <v>-1.1213515402930001</v>
      </c>
      <c r="AE8453">
        <v>15.6256</v>
      </c>
      <c r="AF8453">
        <v>-1.06785554617265</v>
      </c>
      <c r="AG8453">
        <v>-1.1213515402930001</v>
      </c>
      <c r="AH8453">
        <v>15.527477961891501</v>
      </c>
      <c r="AI8453">
        <v>94.1208721607711</v>
      </c>
      <c r="AJ8453">
        <v>93.934150229840299</v>
      </c>
      <c r="AK8453">
        <v>15.604496678888299</v>
      </c>
      <c r="AL8453">
        <v>97.919792488132799</v>
      </c>
      <c r="AM8453">
        <v>94.433848529285399</v>
      </c>
      <c r="AN8453">
        <v>0.99999997485321401</v>
      </c>
    </row>
    <row r="8454" spans="1:40" x14ac:dyDescent="0.25">
      <c r="A8454" t="str">
        <f>"20190303154342676"</f>
        <v>20190303154342676</v>
      </c>
      <c r="B8454" t="str">
        <f>"1551599022668548"</f>
        <v>1551599022668548</v>
      </c>
      <c r="C8454" t="s">
        <v>40</v>
      </c>
      <c r="D8454">
        <v>6.1145750000000003</v>
      </c>
      <c r="E8454">
        <v>0.50236519999999996</v>
      </c>
      <c r="F8454" t="s">
        <v>41</v>
      </c>
      <c r="G8454">
        <v>-187.5635</v>
      </c>
      <c r="H8454" s="1">
        <v>-1.424728E-6</v>
      </c>
      <c r="I8454">
        <v>-18.0703</v>
      </c>
      <c r="J8454">
        <v>-188.25219999999999</v>
      </c>
      <c r="K8454">
        <v>1.1213690000000001</v>
      </c>
      <c r="L8454">
        <v>-33.223209999999902</v>
      </c>
      <c r="M8454">
        <v>0.1136289</v>
      </c>
      <c r="N8454">
        <v>-2.2728140000000002E-3</v>
      </c>
      <c r="O8454">
        <v>0.99352070000000003</v>
      </c>
      <c r="P8454">
        <v>3.4873250000000001E-2</v>
      </c>
      <c r="Q8454">
        <v>-0.1422921</v>
      </c>
      <c r="R8454">
        <v>0.98921020000000004</v>
      </c>
      <c r="S8454">
        <v>0.13835140000000001</v>
      </c>
      <c r="T8454">
        <v>-0.2186922</v>
      </c>
      <c r="U8454">
        <v>2.9957579999999999</v>
      </c>
      <c r="V8454">
        <v>-7.7063019999999996E-2</v>
      </c>
      <c r="W8454">
        <v>-0.14043159999999999</v>
      </c>
      <c r="X8454">
        <v>0.98708680000000004</v>
      </c>
      <c r="Y8454">
        <v>-6.778054E-2</v>
      </c>
      <c r="Z8454">
        <v>-6.9718119999999995E-2</v>
      </c>
      <c r="AA8454">
        <v>0.99526139999999996</v>
      </c>
      <c r="AB8454">
        <v>21</v>
      </c>
      <c r="AC8454">
        <v>0.68869999999998199</v>
      </c>
      <c r="AD8454">
        <v>-1.1213704247280001</v>
      </c>
      <c r="AE8454">
        <v>15.152909999999901</v>
      </c>
      <c r="AF8454">
        <v>-1.0319336567340101</v>
      </c>
      <c r="AG8454">
        <v>-1.1213704247280001</v>
      </c>
      <c r="AH8454">
        <v>15.0507683124212</v>
      </c>
      <c r="AI8454">
        <v>94.251054895173695</v>
      </c>
      <c r="AJ8454">
        <v>93.9222618927421</v>
      </c>
      <c r="AK8454">
        <v>15.1277224159996</v>
      </c>
      <c r="AL8454">
        <v>98.072821458451301</v>
      </c>
      <c r="AM8454">
        <v>94.464093448325301</v>
      </c>
      <c r="AN8454">
        <v>1.00000004703215</v>
      </c>
    </row>
    <row r="8455" spans="1:40" x14ac:dyDescent="0.25">
      <c r="A8455" t="str">
        <f>"20190303154342698"</f>
        <v>20190303154342698</v>
      </c>
      <c r="B8455" t="str">
        <f>"1551599022688069"</f>
        <v>1551599022688069</v>
      </c>
      <c r="C8455" t="s">
        <v>40</v>
      </c>
      <c r="D8455">
        <v>6.1199659999999998</v>
      </c>
      <c r="E8455">
        <v>0.50272470000000002</v>
      </c>
      <c r="F8455" t="s">
        <v>41</v>
      </c>
      <c r="G8455">
        <v>-187.62739999999999</v>
      </c>
      <c r="H8455" s="1">
        <v>-1.219289E-6</v>
      </c>
      <c r="I8455">
        <v>-18.62406</v>
      </c>
      <c r="J8455">
        <v>-188.2321</v>
      </c>
      <c r="K8455">
        <v>1.1214</v>
      </c>
      <c r="L8455">
        <v>-33.014470000000003</v>
      </c>
      <c r="M8455">
        <v>0.11009099999999999</v>
      </c>
      <c r="N8455">
        <v>-2.098075E-3</v>
      </c>
      <c r="O8455">
        <v>0.99391929999999995</v>
      </c>
      <c r="P8455">
        <v>3.0113770000000002E-2</v>
      </c>
      <c r="Q8455">
        <v>-0.14598169999999999</v>
      </c>
      <c r="R8455">
        <v>0.98882879999999995</v>
      </c>
      <c r="S8455">
        <v>0.1281738</v>
      </c>
      <c r="T8455">
        <v>-0.23005700000000001</v>
      </c>
      <c r="U8455">
        <v>2.995117</v>
      </c>
      <c r="V8455">
        <v>-7.8190330000000002E-2</v>
      </c>
      <c r="W8455">
        <v>-0.1443159</v>
      </c>
      <c r="X8455">
        <v>0.98643760000000003</v>
      </c>
      <c r="Y8455">
        <v>-6.7606260000000001E-2</v>
      </c>
      <c r="Z8455">
        <v>-7.3679040000000001E-2</v>
      </c>
      <c r="AA8455">
        <v>0.99498779999999998</v>
      </c>
      <c r="AB8455">
        <v>21</v>
      </c>
      <c r="AC8455">
        <v>0.60470000000000801</v>
      </c>
      <c r="AD8455">
        <v>-1.1214012192889999</v>
      </c>
      <c r="AE8455">
        <v>14.390409999999999</v>
      </c>
      <c r="AF8455">
        <v>-0.977309425800576</v>
      </c>
      <c r="AG8455">
        <v>-1.1214012192889999</v>
      </c>
      <c r="AH8455">
        <v>14.282928019181901</v>
      </c>
      <c r="AI8455">
        <v>94.478847051509007</v>
      </c>
      <c r="AJ8455">
        <v>93.914362636050001</v>
      </c>
      <c r="AK8455">
        <v>14.360177826528201</v>
      </c>
      <c r="AL8455">
        <v>98.297666716051594</v>
      </c>
      <c r="AM8455">
        <v>94.532094642012595</v>
      </c>
      <c r="AN8455">
        <v>0.99999997269603902</v>
      </c>
    </row>
    <row r="8456" spans="1:40" x14ac:dyDescent="0.25">
      <c r="A8456" t="str">
        <f>"20190303154342721"</f>
        <v>20190303154342721</v>
      </c>
      <c r="B8456" t="str">
        <f>"1551599022718325"</f>
        <v>1551599022718325</v>
      </c>
      <c r="C8456" t="s">
        <v>40</v>
      </c>
      <c r="D8456">
        <v>6.1243819999999998</v>
      </c>
      <c r="E8456">
        <v>0.50337370000000004</v>
      </c>
      <c r="F8456" t="s">
        <v>41</v>
      </c>
      <c r="G8456">
        <v>-187.6979</v>
      </c>
      <c r="H8456" s="1">
        <v>-9.7524259999999995E-7</v>
      </c>
      <c r="I8456">
        <v>-19.286110000000001</v>
      </c>
      <c r="J8456">
        <v>-188.21199999999999</v>
      </c>
      <c r="K8456">
        <v>1.1214249999999999</v>
      </c>
      <c r="L8456">
        <v>-32.794280000000001</v>
      </c>
      <c r="M8456">
        <v>0.1062767</v>
      </c>
      <c r="N8456">
        <v>-1.9331699999999999E-3</v>
      </c>
      <c r="O8456">
        <v>0.99433470000000002</v>
      </c>
      <c r="P8456">
        <v>2.4885629999999999E-2</v>
      </c>
      <c r="Q8456">
        <v>-0.14908560000000001</v>
      </c>
      <c r="R8456">
        <v>0.98851109999999998</v>
      </c>
      <c r="S8456">
        <v>0.11653139999999899</v>
      </c>
      <c r="T8456">
        <v>-0.244584</v>
      </c>
      <c r="U8456">
        <v>2.9942319999999998</v>
      </c>
      <c r="V8456">
        <v>-7.9523750000000004E-2</v>
      </c>
      <c r="W8456">
        <v>-0.14760699999999999</v>
      </c>
      <c r="X8456">
        <v>0.9858439</v>
      </c>
      <c r="Y8456">
        <v>-6.7642910000000001E-2</v>
      </c>
      <c r="Z8456">
        <v>-7.8677300000000006E-2</v>
      </c>
      <c r="AA8456">
        <v>0.9946026</v>
      </c>
      <c r="AB8456">
        <v>21</v>
      </c>
      <c r="AC8456">
        <v>0.51410000000001299</v>
      </c>
      <c r="AD8456">
        <v>-1.1214259752425999</v>
      </c>
      <c r="AE8456">
        <v>13.50817</v>
      </c>
      <c r="AF8456">
        <v>-0.91809956984902796</v>
      </c>
      <c r="AG8456">
        <v>-1.1214259752425999</v>
      </c>
      <c r="AH8456">
        <v>13.3941250071572</v>
      </c>
      <c r="AI8456">
        <v>94.774787367824203</v>
      </c>
      <c r="AJ8456">
        <v>93.921202626061799</v>
      </c>
      <c r="AK8456">
        <v>13.472308181802299</v>
      </c>
      <c r="AL8456">
        <v>98.488273867592994</v>
      </c>
      <c r="AM8456">
        <v>94.611816283567904</v>
      </c>
      <c r="AN8456">
        <v>1.0000000242151299</v>
      </c>
    </row>
    <row r="8457" spans="1:40" x14ac:dyDescent="0.25">
      <c r="A8457" t="str">
        <f>"20190303154342743"</f>
        <v>20190303154342743</v>
      </c>
      <c r="B8457" t="str">
        <f>"1551599022738821"</f>
        <v>1551599022738821</v>
      </c>
      <c r="C8457" t="s">
        <v>40</v>
      </c>
      <c r="D8457">
        <v>6.0734279999999998</v>
      </c>
      <c r="E8457">
        <v>0.50371779999999999</v>
      </c>
      <c r="F8457" t="s">
        <v>41</v>
      </c>
      <c r="G8457">
        <v>-187.74719999999999</v>
      </c>
      <c r="H8457" s="1">
        <v>-8.4013489999999998E-7</v>
      </c>
      <c r="I8457">
        <v>-19.64453</v>
      </c>
      <c r="J8457">
        <v>-188.19300000000001</v>
      </c>
      <c r="K8457">
        <v>1.1214729999999999</v>
      </c>
      <c r="L8457">
        <v>-32.577179999999998</v>
      </c>
      <c r="M8457">
        <v>0.1024351</v>
      </c>
      <c r="N8457">
        <v>-1.791806E-3</v>
      </c>
      <c r="O8457">
        <v>0.99473800000000001</v>
      </c>
      <c r="P8457">
        <v>1.96326E-2</v>
      </c>
      <c r="Q8457">
        <v>-0.15092</v>
      </c>
      <c r="R8457">
        <v>0.98835099999999998</v>
      </c>
      <c r="S8457">
        <v>0.10580440000000001</v>
      </c>
      <c r="T8457">
        <v>-0.25530740000000002</v>
      </c>
      <c r="U8457">
        <v>2.9937130000000001</v>
      </c>
      <c r="V8457">
        <v>-8.0884440000000002E-2</v>
      </c>
      <c r="W8457">
        <v>-0.1496054</v>
      </c>
      <c r="X8457">
        <v>0.98543179999999997</v>
      </c>
      <c r="Y8457">
        <v>-6.7352129999999996E-2</v>
      </c>
      <c r="Z8457">
        <v>-8.2398959999999993E-2</v>
      </c>
      <c r="AA8457">
        <v>0.99432089999999995</v>
      </c>
      <c r="AB8457">
        <v>22</v>
      </c>
      <c r="AC8457">
        <v>0.44579999999999098</v>
      </c>
      <c r="AD8457">
        <v>-1.12147384013489</v>
      </c>
      <c r="AE8457">
        <v>12.932650000000001</v>
      </c>
      <c r="AF8457">
        <v>-0.87473460050633101</v>
      </c>
      <c r="AG8457">
        <v>-1.12147384013489</v>
      </c>
      <c r="AH8457">
        <v>12.8140416691379</v>
      </c>
      <c r="AI8457">
        <v>94.990178001056094</v>
      </c>
      <c r="AJ8457">
        <v>93.905166624541494</v>
      </c>
      <c r="AK8457">
        <v>12.892731599387</v>
      </c>
      <c r="AL8457">
        <v>98.604060041256105</v>
      </c>
      <c r="AM8457">
        <v>94.692330292538898</v>
      </c>
      <c r="AN8457">
        <v>0.99999995039725498</v>
      </c>
    </row>
    <row r="8458" spans="1:40" x14ac:dyDescent="0.25">
      <c r="A8458" t="str">
        <f>"20190303154342768"</f>
        <v>20190303154342768</v>
      </c>
      <c r="B8458" t="str">
        <f>"1551599022758340"</f>
        <v>1551599022758340</v>
      </c>
      <c r="C8458" t="s">
        <v>40</v>
      </c>
      <c r="D8458">
        <v>6.0809860000000002</v>
      </c>
      <c r="E8458">
        <v>0.5039749</v>
      </c>
      <c r="F8458" t="s">
        <v>41</v>
      </c>
      <c r="G8458">
        <v>-187.8</v>
      </c>
      <c r="H8458" s="1">
        <v>-7.6192019999999997E-7</v>
      </c>
      <c r="I8458">
        <v>-19.833110000000001</v>
      </c>
      <c r="J8458">
        <v>-188.17400000000001</v>
      </c>
      <c r="K8458">
        <v>1.1215409999999999</v>
      </c>
      <c r="L8458">
        <v>-32.348689999999998</v>
      </c>
      <c r="M8458">
        <v>9.8297930000000006E-2</v>
      </c>
      <c r="N8458">
        <v>-1.66641799999999E-3</v>
      </c>
      <c r="O8458">
        <v>0.99515560000000003</v>
      </c>
      <c r="P8458">
        <v>1.475549E-2</v>
      </c>
      <c r="Q8458">
        <v>-0.15132019999999999</v>
      </c>
      <c r="R8458">
        <v>0.98837470000000005</v>
      </c>
      <c r="S8458">
        <v>9.2300419999999994E-2</v>
      </c>
      <c r="T8458">
        <v>-0.263410799999999</v>
      </c>
      <c r="U8458">
        <v>2.9933169999999998</v>
      </c>
      <c r="V8458">
        <v>-8.1607799999999994E-2</v>
      </c>
      <c r="W8458">
        <v>-0.15015129999999999</v>
      </c>
      <c r="X8458">
        <v>0.98528919999999998</v>
      </c>
      <c r="Y8458">
        <v>-6.7687040000000004E-2</v>
      </c>
      <c r="Z8458">
        <v>-8.5246820000000001E-2</v>
      </c>
      <c r="AA8458">
        <v>0.99405809999999994</v>
      </c>
      <c r="AB8458">
        <v>22</v>
      </c>
      <c r="AC8458">
        <v>0.373999999999995</v>
      </c>
      <c r="AD8458">
        <v>-1.1215417619201999</v>
      </c>
      <c r="AE8458">
        <v>12.51558</v>
      </c>
      <c r="AF8458">
        <v>-0.85123907266504195</v>
      </c>
      <c r="AG8458">
        <v>-1.1215417619201999</v>
      </c>
      <c r="AH8458">
        <v>12.3923062390858</v>
      </c>
      <c r="AI8458">
        <v>95.159263792908007</v>
      </c>
      <c r="AJ8458">
        <v>93.929527866979896</v>
      </c>
      <c r="AK8458">
        <v>12.472037436034601</v>
      </c>
      <c r="AL8458">
        <v>98.635694480740597</v>
      </c>
      <c r="AM8458">
        <v>94.734786563457305</v>
      </c>
      <c r="AN8458">
        <v>1.0000000267745801</v>
      </c>
    </row>
    <row r="8459" spans="1:40" x14ac:dyDescent="0.25">
      <c r="A8459" t="str">
        <f>"20190303154342787"</f>
        <v>20190303154342787</v>
      </c>
      <c r="B8459" t="str">
        <f>"1551599022778836"</f>
        <v>1551599022778836</v>
      </c>
      <c r="C8459" t="s">
        <v>40</v>
      </c>
      <c r="D8459">
        <v>6.1038030000000001</v>
      </c>
      <c r="E8459">
        <v>0.50422109999999998</v>
      </c>
      <c r="F8459" t="s">
        <v>41</v>
      </c>
      <c r="G8459">
        <v>-187.8382</v>
      </c>
      <c r="H8459" s="1">
        <v>-7.7648679999999997E-7</v>
      </c>
      <c r="I8459">
        <v>-19.760470000000002</v>
      </c>
      <c r="J8459">
        <v>-188.15790000000001</v>
      </c>
      <c r="K8459">
        <v>1.1216109999999999</v>
      </c>
      <c r="L8459">
        <v>-32.144199999999998</v>
      </c>
      <c r="M8459">
        <v>9.4513269999999996E-2</v>
      </c>
      <c r="N8459">
        <v>-1.5741220000000001E-3</v>
      </c>
      <c r="O8459">
        <v>0.99552240000000003</v>
      </c>
      <c r="P8459">
        <v>1.1403399999999999E-2</v>
      </c>
      <c r="Q8459">
        <v>-0.15053449999999999</v>
      </c>
      <c r="R8459">
        <v>0.98853899999999995</v>
      </c>
      <c r="S8459">
        <v>7.9849240000000002E-2</v>
      </c>
      <c r="T8459">
        <v>-0.26668259999999899</v>
      </c>
      <c r="U8459">
        <v>2.9932560000000001</v>
      </c>
      <c r="V8459">
        <v>-8.1188259999999998E-2</v>
      </c>
      <c r="W8459">
        <v>-0.14947009999999999</v>
      </c>
      <c r="X8459">
        <v>0.98542739999999995</v>
      </c>
      <c r="Y8459">
        <v>-6.8027290000000004E-2</v>
      </c>
      <c r="Z8459">
        <v>-8.6463999999999999E-2</v>
      </c>
      <c r="AA8459">
        <v>0.99392970000000003</v>
      </c>
      <c r="AB8459">
        <v>22</v>
      </c>
      <c r="AC8459">
        <v>0.31970000000001098</v>
      </c>
      <c r="AD8459">
        <v>-1.1216117764868001</v>
      </c>
      <c r="AE8459">
        <v>12.3837299999999</v>
      </c>
      <c r="AF8459">
        <v>-0.84523036760104497</v>
      </c>
      <c r="AG8459">
        <v>-1.1216117764868001</v>
      </c>
      <c r="AH8459">
        <v>12.258023504431501</v>
      </c>
      <c r="AI8459">
        <v>95.215702464211304</v>
      </c>
      <c r="AJ8459">
        <v>93.944485803088895</v>
      </c>
      <c r="AK8459">
        <v>12.338215737563599</v>
      </c>
      <c r="AL8459">
        <v>98.596219314573901</v>
      </c>
      <c r="AM8459">
        <v>94.709897521347699</v>
      </c>
      <c r="AN8459">
        <v>1.00000000251329</v>
      </c>
    </row>
    <row r="8460" spans="1:40" x14ac:dyDescent="0.25">
      <c r="A8460" t="str">
        <f>"20190303154342811"</f>
        <v>20190303154342811</v>
      </c>
      <c r="B8460" t="str">
        <f>"1551599022808118"</f>
        <v>1551599022808118</v>
      </c>
      <c r="C8460" t="s">
        <v>40</v>
      </c>
      <c r="D8460">
        <v>6.0732049999999997</v>
      </c>
      <c r="E8460">
        <v>0.50471279999999996</v>
      </c>
      <c r="F8460" t="s">
        <v>41</v>
      </c>
      <c r="G8460">
        <v>-187.85470000000001</v>
      </c>
      <c r="H8460" s="1">
        <v>-8.5265190000000001E-7</v>
      </c>
      <c r="I8460">
        <v>-19.52374</v>
      </c>
      <c r="J8460">
        <v>-188.14099999999999</v>
      </c>
      <c r="K8460">
        <v>1.1216950000000001</v>
      </c>
      <c r="L8460">
        <v>-31.91788</v>
      </c>
      <c r="M8460">
        <v>9.0233369999999993E-2</v>
      </c>
      <c r="N8460">
        <v>-1.4932189999999901E-3</v>
      </c>
      <c r="O8460">
        <v>0.99591949999999996</v>
      </c>
      <c r="P8460">
        <v>8.6705459999999995E-3</v>
      </c>
      <c r="Q8460">
        <v>-0.1501844</v>
      </c>
      <c r="R8460">
        <v>0.98862000000000005</v>
      </c>
      <c r="S8460">
        <v>7.191467E-2</v>
      </c>
      <c r="T8460">
        <v>-0.26603450000000001</v>
      </c>
      <c r="U8460">
        <v>2.993439</v>
      </c>
      <c r="V8460">
        <v>-7.9650109999999996E-2</v>
      </c>
      <c r="W8460">
        <v>-0.14920849999999999</v>
      </c>
      <c r="X8460">
        <v>0.98559249999999998</v>
      </c>
      <c r="Y8460">
        <v>-6.6373550000000003E-2</v>
      </c>
      <c r="Z8460">
        <v>-8.6387000000000005E-2</v>
      </c>
      <c r="AA8460">
        <v>0.99404820000000005</v>
      </c>
      <c r="AB8460">
        <v>22</v>
      </c>
      <c r="AC8460">
        <v>0.28629999999998201</v>
      </c>
      <c r="AD8460">
        <v>-1.1216958526518901</v>
      </c>
      <c r="AE8460">
        <v>12.39414</v>
      </c>
      <c r="AF8460">
        <v>-0.82646853123348596</v>
      </c>
      <c r="AG8460">
        <v>-1.1216958526518901</v>
      </c>
      <c r="AH8460">
        <v>12.268976594698101</v>
      </c>
      <c r="AI8460">
        <v>95.212019644058998</v>
      </c>
      <c r="AJ8460">
        <v>93.853763018628499</v>
      </c>
      <c r="AK8460">
        <v>12.3478353771107</v>
      </c>
      <c r="AL8460">
        <v>98.581061236878796</v>
      </c>
      <c r="AM8460">
        <v>94.620285706134595</v>
      </c>
      <c r="AN8460">
        <v>0.99999994627575395</v>
      </c>
    </row>
    <row r="8461" spans="1:40" x14ac:dyDescent="0.25">
      <c r="A8461" t="str">
        <f>"20190303154342843"</f>
        <v>20190303154342843</v>
      </c>
      <c r="B8461" t="str">
        <f>"1551599022838373"</f>
        <v>1551599022838373</v>
      </c>
      <c r="C8461" t="s">
        <v>40</v>
      </c>
      <c r="D8461">
        <v>6.0523569999999998</v>
      </c>
      <c r="E8461">
        <v>0.50522069999999997</v>
      </c>
      <c r="F8461" t="s">
        <v>41</v>
      </c>
      <c r="G8461">
        <v>-187.85310000000001</v>
      </c>
      <c r="H8461" s="1">
        <v>-9.2618170000000002E-7</v>
      </c>
      <c r="I8461">
        <v>-19.308910000000001</v>
      </c>
      <c r="J8461">
        <v>-188.1191</v>
      </c>
      <c r="K8461">
        <v>1.1218300000000001</v>
      </c>
      <c r="L8461">
        <v>-31.599609999999998</v>
      </c>
      <c r="M8461">
        <v>8.4058549999999996E-2</v>
      </c>
      <c r="N8461">
        <v>-1.4172119999999999E-3</v>
      </c>
      <c r="O8461">
        <v>0.99645980000000001</v>
      </c>
      <c r="P8461">
        <v>5.9355800000000002E-3</v>
      </c>
      <c r="Q8461">
        <v>-0.1488892</v>
      </c>
      <c r="R8461">
        <v>0.9888361</v>
      </c>
      <c r="S8461">
        <v>6.8344119999999994E-2</v>
      </c>
      <c r="T8461">
        <v>-0.26629940000000002</v>
      </c>
      <c r="U8461">
        <v>2.9934690000000002</v>
      </c>
      <c r="V8461">
        <v>-7.6244259999999994E-2</v>
      </c>
      <c r="W8461">
        <v>-0.14799100000000001</v>
      </c>
      <c r="X8461">
        <v>0.98604539999999996</v>
      </c>
      <c r="Y8461">
        <v>-6.1374280000000003E-2</v>
      </c>
      <c r="Z8461">
        <v>-8.6635420000000005E-2</v>
      </c>
      <c r="AA8461">
        <v>0.9943478</v>
      </c>
      <c r="AB8461">
        <v>22</v>
      </c>
      <c r="AC8461">
        <v>0.26599999999999102</v>
      </c>
      <c r="AD8461">
        <v>-1.1218309261817001</v>
      </c>
      <c r="AE8461">
        <v>12.2906999999999</v>
      </c>
      <c r="AF8461">
        <v>-0.76173776102263901</v>
      </c>
      <c r="AG8461">
        <v>-1.1218309261817001</v>
      </c>
      <c r="AH8461">
        <v>12.168233345487399</v>
      </c>
      <c r="AI8461">
        <v>95.257170255028001</v>
      </c>
      <c r="AJ8461">
        <v>93.582071423306303</v>
      </c>
      <c r="AK8461">
        <v>12.2435555209154</v>
      </c>
      <c r="AL8461">
        <v>98.510519739468094</v>
      </c>
      <c r="AM8461">
        <v>94.421499458199506</v>
      </c>
      <c r="AN8461">
        <v>1.00000002706255</v>
      </c>
    </row>
    <row r="8462" spans="1:40" x14ac:dyDescent="0.25">
      <c r="A8462" t="str">
        <f>"20190303154342866"</f>
        <v>20190303154342866</v>
      </c>
      <c r="B8462" t="str">
        <f>"1551599022858868"</f>
        <v>1551599022858868</v>
      </c>
      <c r="C8462" t="s">
        <v>40</v>
      </c>
      <c r="D8462">
        <v>5.8828500000000004</v>
      </c>
      <c r="E8462">
        <v>0.50524539999999996</v>
      </c>
      <c r="F8462" t="s">
        <v>41</v>
      </c>
      <c r="G8462">
        <v>-187.84780000000001</v>
      </c>
      <c r="H8462" s="1">
        <v>-1.0939100000000001E-6</v>
      </c>
      <c r="I8462">
        <v>-18.820180000000001</v>
      </c>
      <c r="J8462">
        <v>-188.10409999999999</v>
      </c>
      <c r="K8462">
        <v>1.121918</v>
      </c>
      <c r="L8462">
        <v>-31.360690000000002</v>
      </c>
      <c r="M8462">
        <v>7.9327030000000007E-2</v>
      </c>
      <c r="N8462">
        <v>-1.3861500000000001E-3</v>
      </c>
      <c r="O8462">
        <v>0.9968477</v>
      </c>
      <c r="P8462">
        <v>3.3631519999999999E-3</v>
      </c>
      <c r="Q8462">
        <v>-0.14834839999999999</v>
      </c>
      <c r="R8462">
        <v>0.98892950000000002</v>
      </c>
      <c r="S8462">
        <v>6.3568120000000006E-2</v>
      </c>
      <c r="T8462">
        <v>-0.26281919999999998</v>
      </c>
      <c r="U8462">
        <v>2.9939269999999998</v>
      </c>
      <c r="V8462">
        <v>-7.4106210000000006E-2</v>
      </c>
      <c r="W8462">
        <v>-0.14748320000000001</v>
      </c>
      <c r="X8462">
        <v>0.98628439999999995</v>
      </c>
      <c r="Y8462">
        <v>-5.8222820000000002E-2</v>
      </c>
      <c r="Z8462">
        <v>-8.5571549999999996E-2</v>
      </c>
      <c r="AA8462">
        <v>0.9946294</v>
      </c>
      <c r="AB8462">
        <v>23</v>
      </c>
      <c r="AC8462">
        <v>0.25629999999998099</v>
      </c>
      <c r="AD8462">
        <v>-1.1219190939100001</v>
      </c>
      <c r="AE8462">
        <v>12.540509999999999</v>
      </c>
      <c r="AF8462">
        <v>-0.73344221851061597</v>
      </c>
      <c r="AG8462">
        <v>-1.1219190939100001</v>
      </c>
      <c r="AH8462">
        <v>12.421941459795899</v>
      </c>
      <c r="AI8462">
        <v>95.151887058528899</v>
      </c>
      <c r="AJ8462">
        <v>93.379054064077906</v>
      </c>
      <c r="AK8462">
        <v>12.4940493664692</v>
      </c>
      <c r="AL8462">
        <v>98.481102611514601</v>
      </c>
      <c r="AM8462">
        <v>94.296944944664403</v>
      </c>
      <c r="AN8462">
        <v>0.99999997116308104</v>
      </c>
    </row>
    <row r="8463" spans="1:40" x14ac:dyDescent="0.25">
      <c r="A8463" t="str">
        <f>"20190303154342888"</f>
        <v>20190303154342888</v>
      </c>
      <c r="B8463" t="str">
        <f>"1551599022878389"</f>
        <v>1551599022878389</v>
      </c>
      <c r="C8463" t="s">
        <v>40</v>
      </c>
      <c r="D8463">
        <v>5.9048360000000004</v>
      </c>
      <c r="E8463">
        <v>0.50263579999999997</v>
      </c>
      <c r="F8463" t="s">
        <v>41</v>
      </c>
      <c r="G8463">
        <v>-187.8648</v>
      </c>
      <c r="H8463" s="1">
        <v>-1.1919669999999999E-6</v>
      </c>
      <c r="I8463">
        <v>-18.518709999999999</v>
      </c>
      <c r="J8463">
        <v>-188.09110000000001</v>
      </c>
      <c r="K8463">
        <v>1.1219749999999999</v>
      </c>
      <c r="L8463">
        <v>-31.13672</v>
      </c>
      <c r="M8463">
        <v>7.4840660000000003E-2</v>
      </c>
      <c r="N8463">
        <v>-1.3725689999999999E-3</v>
      </c>
      <c r="O8463">
        <v>0.99719460000000004</v>
      </c>
      <c r="P8463">
        <v>1.132391E-3</v>
      </c>
      <c r="Q8463">
        <v>-0.1493535</v>
      </c>
      <c r="R8463">
        <v>0.98878319999999997</v>
      </c>
      <c r="S8463">
        <v>5.5786130000000003E-2</v>
      </c>
      <c r="T8463">
        <v>-0.26157819999999998</v>
      </c>
      <c r="U8463">
        <v>2.9941409999999999</v>
      </c>
      <c r="V8463">
        <v>-7.1848350000000005E-2</v>
      </c>
      <c r="W8463">
        <v>-0.1484994</v>
      </c>
      <c r="X8463">
        <v>0.98629900000000004</v>
      </c>
      <c r="Y8463">
        <v>-5.6315759999999999E-2</v>
      </c>
      <c r="Z8463">
        <v>-8.5223409999999999E-2</v>
      </c>
      <c r="AA8463">
        <v>0.99476909999999996</v>
      </c>
      <c r="AB8463">
        <v>23</v>
      </c>
      <c r="AC8463">
        <v>0.22630000000000899</v>
      </c>
      <c r="AD8463">
        <v>-1.1219761919669999</v>
      </c>
      <c r="AE8463">
        <v>12.6180099999999</v>
      </c>
      <c r="AF8463">
        <v>-0.71303985369397105</v>
      </c>
      <c r="AG8463">
        <v>-1.1219761919669999</v>
      </c>
      <c r="AH8463">
        <v>12.500753532975301</v>
      </c>
      <c r="AI8463">
        <v>95.120429361114006</v>
      </c>
      <c r="AJ8463">
        <v>93.264599499798607</v>
      </c>
      <c r="AK8463">
        <v>12.5712408019452</v>
      </c>
      <c r="AL8463">
        <v>98.539974710332302</v>
      </c>
      <c r="AM8463">
        <v>94.166432883850206</v>
      </c>
      <c r="AN8463">
        <v>0.99999998729954098</v>
      </c>
    </row>
    <row r="8464" spans="1:40" x14ac:dyDescent="0.25">
      <c r="A8464" t="str">
        <f>"20190303154342909"</f>
        <v>20190303154342909</v>
      </c>
      <c r="B8464" t="str">
        <f>"1551599022898888"</f>
        <v>1551599022898888</v>
      </c>
      <c r="C8464" t="s">
        <v>40</v>
      </c>
      <c r="D8464">
        <v>5.8899589999999904</v>
      </c>
      <c r="E8464">
        <v>0.50223050000000002</v>
      </c>
      <c r="F8464" t="s">
        <v>41</v>
      </c>
      <c r="G8464">
        <v>-187.81</v>
      </c>
      <c r="H8464" s="1">
        <v>-3.0783499999999999E-6</v>
      </c>
      <c r="I8464">
        <v>-4.0970279999999999</v>
      </c>
      <c r="J8464">
        <v>-188.07910000000001</v>
      </c>
      <c r="K8464">
        <v>1.1220220000000001</v>
      </c>
      <c r="L8464">
        <v>-30.912140000000001</v>
      </c>
      <c r="M8464">
        <v>7.0310549999999999E-2</v>
      </c>
      <c r="N8464">
        <v>-1.371751E-3</v>
      </c>
      <c r="O8464">
        <v>0.99752419999999997</v>
      </c>
      <c r="P8464">
        <v>-2.3720450000000001E-3</v>
      </c>
      <c r="Q8464">
        <v>-0.15060090000000001</v>
      </c>
      <c r="R8464">
        <v>0.98859180000000002</v>
      </c>
      <c r="S8464">
        <v>3.1341550000000003E-2</v>
      </c>
      <c r="T8464">
        <v>-0.125108</v>
      </c>
      <c r="U8464">
        <v>3.0151059999999998</v>
      </c>
      <c r="V8464">
        <v>-7.082128E-2</v>
      </c>
      <c r="W8464">
        <v>-0.1497512</v>
      </c>
      <c r="X8464">
        <v>0.98618399999999995</v>
      </c>
      <c r="Y8464">
        <v>-5.9944749999999998E-2</v>
      </c>
      <c r="Z8464">
        <v>-3.9895729999999997E-2</v>
      </c>
      <c r="AA8464">
        <v>0.99740410000000002</v>
      </c>
      <c r="AB8464">
        <v>23</v>
      </c>
      <c r="AC8464">
        <v>0.269100000000008</v>
      </c>
      <c r="AD8464">
        <v>-1.1220250783500001</v>
      </c>
      <c r="AE8464">
        <v>26.815111999999999</v>
      </c>
      <c r="AF8464">
        <v>-1.61412725415255</v>
      </c>
      <c r="AG8464">
        <v>-1.1220250783500001</v>
      </c>
      <c r="AH8464">
        <v>26.720889872375299</v>
      </c>
      <c r="AI8464">
        <v>92.400099367300299</v>
      </c>
      <c r="AJ8464">
        <v>93.456862238532594</v>
      </c>
      <c r="AK8464">
        <v>26.793101773416499</v>
      </c>
      <c r="AL8464">
        <v>98.612508699491997</v>
      </c>
      <c r="AM8464">
        <v>94.107556425258906</v>
      </c>
      <c r="AN8464">
        <v>0.99999997872913904</v>
      </c>
    </row>
    <row r="8465" spans="1:40" x14ac:dyDescent="0.25">
      <c r="A8465" t="str">
        <f>"20190303154342932"</f>
        <v>20190303154342932</v>
      </c>
      <c r="B8465" t="str">
        <f>"1551599022928166"</f>
        <v>1551599022928166</v>
      </c>
      <c r="C8465" t="s">
        <v>40</v>
      </c>
      <c r="D8465">
        <v>5.9272809999999998</v>
      </c>
      <c r="E8465">
        <v>0.50195970000000001</v>
      </c>
      <c r="F8465" t="s">
        <v>41</v>
      </c>
      <c r="G8465">
        <v>-187.9316</v>
      </c>
      <c r="H8465" s="1">
        <v>-2.7184359999999998E-6</v>
      </c>
      <c r="I8465">
        <v>-4.8857359999999996</v>
      </c>
      <c r="J8465">
        <v>-188.0676</v>
      </c>
      <c r="K8465">
        <v>1.122066</v>
      </c>
      <c r="L8465">
        <v>-30.676359999999999</v>
      </c>
      <c r="M8465">
        <v>6.5537769999999995E-2</v>
      </c>
      <c r="N8465">
        <v>-1.3832130000000001E-3</v>
      </c>
      <c r="O8465">
        <v>0.99784910000000004</v>
      </c>
      <c r="P8465">
        <v>-6.9712419999999999E-3</v>
      </c>
      <c r="Q8465">
        <v>-0.15071989999999999</v>
      </c>
      <c r="R8465">
        <v>0.98855190000000004</v>
      </c>
      <c r="S8465">
        <v>1.7089839999999999E-2</v>
      </c>
      <c r="T8465">
        <v>-0.1299738</v>
      </c>
      <c r="U8465">
        <v>3.0148619999999999</v>
      </c>
      <c r="V8465">
        <v>-7.0671429999999993E-2</v>
      </c>
      <c r="W8465">
        <v>-0.14986640000000001</v>
      </c>
      <c r="X8465">
        <v>0.98617730000000003</v>
      </c>
      <c r="Y8465">
        <v>-5.9883529999999997E-2</v>
      </c>
      <c r="Z8465">
        <v>-4.151146E-2</v>
      </c>
      <c r="AA8465">
        <v>0.9973419</v>
      </c>
      <c r="AB8465">
        <v>23</v>
      </c>
      <c r="AC8465">
        <v>0.13599999999999501</v>
      </c>
      <c r="AD8465">
        <v>-1.1220687184360001</v>
      </c>
      <c r="AE8465">
        <v>25.790623999999902</v>
      </c>
      <c r="AF8465">
        <v>-1.5516171507043901</v>
      </c>
      <c r="AG8465">
        <v>-1.1220687184360001</v>
      </c>
      <c r="AH8465">
        <v>25.695453321654099</v>
      </c>
      <c r="AI8465">
        <v>92.4958623515966</v>
      </c>
      <c r="AJ8465">
        <v>93.455603386898105</v>
      </c>
      <c r="AK8465">
        <v>25.766700902454701</v>
      </c>
      <c r="AL8465">
        <v>98.619184082571607</v>
      </c>
      <c r="AM8465">
        <v>94.098922696746797</v>
      </c>
      <c r="AN8465">
        <v>1.00000002795124</v>
      </c>
    </row>
    <row r="8466" spans="1:40" x14ac:dyDescent="0.25">
      <c r="A8466" t="str">
        <f>"20190303154342958"</f>
        <v>20190303154342958</v>
      </c>
      <c r="B8466" t="str">
        <f>"1551599022948661"</f>
        <v>1551599022948661</v>
      </c>
      <c r="C8466" t="s">
        <v>40</v>
      </c>
      <c r="D8466">
        <v>5.9106110000000003</v>
      </c>
      <c r="E8466">
        <v>0.50184240000000002</v>
      </c>
      <c r="F8466" t="s">
        <v>41</v>
      </c>
      <c r="G8466">
        <v>-188.06209999999999</v>
      </c>
      <c r="H8466" s="1">
        <v>-2.9126610000000001E-6</v>
      </c>
      <c r="I8466">
        <v>-4.3789989999999896</v>
      </c>
      <c r="J8466">
        <v>-188.05609999999999</v>
      </c>
      <c r="K8466">
        <v>1.122096</v>
      </c>
      <c r="L8466">
        <v>-30.413150000000002</v>
      </c>
      <c r="M8466">
        <v>6.0203619999999999E-2</v>
      </c>
      <c r="N8466">
        <v>-1.4082210000000001E-3</v>
      </c>
      <c r="O8466">
        <v>0.99818510000000005</v>
      </c>
      <c r="P8466">
        <v>-1.246807E-2</v>
      </c>
      <c r="Q8466">
        <v>-0.15106800000000001</v>
      </c>
      <c r="R8466">
        <v>0.98844469999999995</v>
      </c>
      <c r="S8466">
        <v>6.256104E-4</v>
      </c>
      <c r="T8466">
        <v>-0.1286514</v>
      </c>
      <c r="U8466">
        <v>3.0151370000000002</v>
      </c>
      <c r="V8466">
        <v>-7.0862969999999997E-2</v>
      </c>
      <c r="W8466">
        <v>-0.150199</v>
      </c>
      <c r="X8466">
        <v>0.98611300000000002</v>
      </c>
      <c r="Y8466">
        <v>-5.9994840000000001E-2</v>
      </c>
      <c r="Z8466">
        <v>-4.106841E-2</v>
      </c>
      <c r="AA8466">
        <v>0.9973535</v>
      </c>
      <c r="AB8466">
        <v>23</v>
      </c>
      <c r="AC8466">
        <v>-6.0000000000002196E-3</v>
      </c>
      <c r="AD8466">
        <v>-1.1220989126609999</v>
      </c>
      <c r="AE8466">
        <v>26.034151000000001</v>
      </c>
      <c r="AF8466">
        <v>-1.57042346698658</v>
      </c>
      <c r="AG8466">
        <v>-1.1220989126609999</v>
      </c>
      <c r="AH8466">
        <v>25.9383810648579</v>
      </c>
      <c r="AI8466">
        <v>92.472559044282704</v>
      </c>
      <c r="AJ8466">
        <v>93.464708728845594</v>
      </c>
      <c r="AK8466">
        <v>26.010093196704101</v>
      </c>
      <c r="AL8466">
        <v>98.6384584238711</v>
      </c>
      <c r="AM8466">
        <v>94.110261018707206</v>
      </c>
      <c r="AN8466">
        <v>1.0000000744436</v>
      </c>
    </row>
    <row r="8467" spans="1:40" x14ac:dyDescent="0.25">
      <c r="A8467" t="str">
        <f>"20190303154342979"</f>
        <v>20190303154342979</v>
      </c>
      <c r="B8467" t="str">
        <f>"1551599022968181"</f>
        <v>1551599022968181</v>
      </c>
      <c r="C8467" t="s">
        <v>40</v>
      </c>
      <c r="D8467">
        <v>5.9000620000000001</v>
      </c>
      <c r="E8467">
        <v>0.5017395</v>
      </c>
      <c r="F8467" t="s">
        <v>41</v>
      </c>
      <c r="G8467">
        <v>-188.20699999999999</v>
      </c>
      <c r="H8467" s="1">
        <v>-3.118419E-6</v>
      </c>
      <c r="I8467">
        <v>-3.8394870000000001</v>
      </c>
      <c r="J8467">
        <v>-188.047</v>
      </c>
      <c r="K8467">
        <v>1.1221299999999901</v>
      </c>
      <c r="L8467">
        <v>-30.175139999999999</v>
      </c>
      <c r="M8467">
        <v>5.5385660000000003E-2</v>
      </c>
      <c r="N8467">
        <v>-1.4392929999999999E-3</v>
      </c>
      <c r="O8467">
        <v>0.99846400000000002</v>
      </c>
      <c r="P8467">
        <v>-1.750668E-2</v>
      </c>
      <c r="Q8467">
        <v>-0.15112059999999999</v>
      </c>
      <c r="R8467">
        <v>0.98836029999999997</v>
      </c>
      <c r="S8467">
        <v>-1.7120360000000001E-2</v>
      </c>
      <c r="T8467">
        <v>-0.12732739999999901</v>
      </c>
      <c r="U8467">
        <v>3.0153810000000001</v>
      </c>
      <c r="V8467">
        <v>-7.1117959999999994E-2</v>
      </c>
      <c r="W8467">
        <v>-0.15022859999999999</v>
      </c>
      <c r="X8467">
        <v>0.98609009999999997</v>
      </c>
      <c r="Y8467">
        <v>-6.1047030000000002E-2</v>
      </c>
      <c r="Z8467">
        <v>-4.0613320000000001E-2</v>
      </c>
      <c r="AA8467">
        <v>0.99730830000000004</v>
      </c>
      <c r="AB8467">
        <v>24</v>
      </c>
      <c r="AC8467">
        <v>-0.15999999999999601</v>
      </c>
      <c r="AD8467">
        <v>-1.12213311841899</v>
      </c>
      <c r="AE8467">
        <v>26.335653000000001</v>
      </c>
      <c r="AF8467">
        <v>-1.6154406839269999</v>
      </c>
      <c r="AG8467">
        <v>-1.12213311841899</v>
      </c>
      <c r="AH8467">
        <v>26.238731795827398</v>
      </c>
      <c r="AI8467">
        <v>92.444213122875993</v>
      </c>
      <c r="AJ8467">
        <v>93.523083825387999</v>
      </c>
      <c r="AK8467">
        <v>26.312352186608098</v>
      </c>
      <c r="AL8467">
        <v>98.640174134747895</v>
      </c>
      <c r="AM8467">
        <v>94.125095690689193</v>
      </c>
      <c r="AN8467">
        <v>1.0000000409052601</v>
      </c>
    </row>
    <row r="8468" spans="1:40" x14ac:dyDescent="0.25">
      <c r="A8468" t="str">
        <f>"20190303154343000"</f>
        <v>20190303154343000</v>
      </c>
      <c r="B8468" t="str">
        <f>"1551599022988680"</f>
        <v>1551599022988680</v>
      </c>
      <c r="C8468" t="s">
        <v>40</v>
      </c>
      <c r="D8468">
        <v>5.9574379999999998</v>
      </c>
      <c r="E8468">
        <v>0.50057180000000001</v>
      </c>
      <c r="F8468" t="s">
        <v>41</v>
      </c>
      <c r="G8468">
        <v>-188.3468</v>
      </c>
      <c r="H8468" s="1">
        <v>-3.3503809999999998E-6</v>
      </c>
      <c r="I8468">
        <v>-3.240971</v>
      </c>
      <c r="J8468">
        <v>-188.0395</v>
      </c>
      <c r="K8468">
        <v>1.1221730000000001</v>
      </c>
      <c r="L8468">
        <v>-29.957429999999999</v>
      </c>
      <c r="M8468">
        <v>5.0987589999999999E-2</v>
      </c>
      <c r="N8468">
        <v>-1.4726400000000001E-3</v>
      </c>
      <c r="O8468">
        <v>0.99869819999999998</v>
      </c>
      <c r="P8468">
        <v>-2.1361990000000001E-2</v>
      </c>
      <c r="Q8468">
        <v>-0.14973939999999999</v>
      </c>
      <c r="R8468">
        <v>0.98849469999999995</v>
      </c>
      <c r="S8468">
        <v>-3.3569340000000003E-2</v>
      </c>
      <c r="T8468">
        <v>-0.12563339999999901</v>
      </c>
      <c r="U8468">
        <v>3.015533</v>
      </c>
      <c r="V8468">
        <v>-7.0631990000000006E-2</v>
      </c>
      <c r="W8468">
        <v>-0.1488157</v>
      </c>
      <c r="X8468">
        <v>0.98633919999999997</v>
      </c>
      <c r="Y8468">
        <v>-6.2090510000000002E-2</v>
      </c>
      <c r="Z8468">
        <v>-4.0031480000000001E-2</v>
      </c>
      <c r="AA8468">
        <v>0.99726740000000003</v>
      </c>
      <c r="AB8468">
        <v>24</v>
      </c>
      <c r="AC8468">
        <v>-0.30729999999999702</v>
      </c>
      <c r="AD8468">
        <v>-1.1221763503809901</v>
      </c>
      <c r="AE8468">
        <v>26.716459</v>
      </c>
      <c r="AF8468">
        <v>-1.66617044492269</v>
      </c>
      <c r="AG8468">
        <v>-1.1221763503809901</v>
      </c>
      <c r="AH8468">
        <v>26.619083002832198</v>
      </c>
      <c r="AI8468">
        <v>92.409270043423703</v>
      </c>
      <c r="AJ8468">
        <v>93.581646797660895</v>
      </c>
      <c r="AK8468">
        <v>26.6947744628899</v>
      </c>
      <c r="AL8468">
        <v>98.558300849730102</v>
      </c>
      <c r="AM8468">
        <v>94.095972834819307</v>
      </c>
      <c r="AN8468">
        <v>1.0000000040172401</v>
      </c>
    </row>
    <row r="8469" spans="1:40" x14ac:dyDescent="0.25">
      <c r="A8469" t="str">
        <f>"20190303154343021"</f>
        <v>20190303154343021</v>
      </c>
      <c r="B8469" t="str">
        <f>"1551599023017957"</f>
        <v>1551599023017957</v>
      </c>
      <c r="C8469" t="s">
        <v>40</v>
      </c>
      <c r="D8469">
        <v>5.9283260000000002</v>
      </c>
      <c r="E8469">
        <v>0.50026680000000001</v>
      </c>
      <c r="F8469" t="s">
        <v>41</v>
      </c>
      <c r="G8469">
        <v>-188.49600000000001</v>
      </c>
      <c r="H8469" s="1">
        <v>-2.6351629999999998E-6</v>
      </c>
      <c r="I8469">
        <v>-4.8464559999999999</v>
      </c>
      <c r="J8469">
        <v>-188.03270000000001</v>
      </c>
      <c r="K8469">
        <v>1.12222</v>
      </c>
      <c r="L8469">
        <v>-29.72607</v>
      </c>
      <c r="M8469">
        <v>4.6325659999999998E-2</v>
      </c>
      <c r="N8469">
        <v>-1.514369E-3</v>
      </c>
      <c r="O8469">
        <v>0.99892530000000002</v>
      </c>
      <c r="P8469">
        <v>-2.4905279999999998E-2</v>
      </c>
      <c r="Q8469">
        <v>-0.1473351</v>
      </c>
      <c r="R8469">
        <v>0.98877300000000001</v>
      </c>
      <c r="S8469">
        <v>-5.4779050000000003E-2</v>
      </c>
      <c r="T8469">
        <v>-0.1346619</v>
      </c>
      <c r="U8469">
        <v>3.0133359999999998</v>
      </c>
      <c r="V8469">
        <v>-6.9588129999999998E-2</v>
      </c>
      <c r="W8469">
        <v>-0.1463672</v>
      </c>
      <c r="X8469">
        <v>0.98677969999999904</v>
      </c>
      <c r="Y8469">
        <v>-6.4455280000000004E-2</v>
      </c>
      <c r="Z8469">
        <v>-4.3008570000000003E-2</v>
      </c>
      <c r="AA8469">
        <v>0.99699340000000003</v>
      </c>
      <c r="AB8469">
        <v>24</v>
      </c>
      <c r="AC8469">
        <v>-0.46329999999997501</v>
      </c>
      <c r="AD8469">
        <v>-1.122222635163</v>
      </c>
      <c r="AE8469">
        <v>24.879614</v>
      </c>
      <c r="AF8469">
        <v>-1.61208963176306</v>
      </c>
      <c r="AG8469">
        <v>-1.122222635163</v>
      </c>
      <c r="AH8469">
        <v>24.7810391800273</v>
      </c>
      <c r="AI8469">
        <v>92.587436850232294</v>
      </c>
      <c r="AJ8469">
        <v>93.722037870399902</v>
      </c>
      <c r="AK8469">
        <v>24.8587634339635</v>
      </c>
      <c r="AL8469">
        <v>98.416458557897002</v>
      </c>
      <c r="AM8469">
        <v>94.033844978672604</v>
      </c>
      <c r="AN8469">
        <v>1.00000002070241</v>
      </c>
    </row>
    <row r="8470" spans="1:40" x14ac:dyDescent="0.25">
      <c r="A8470" t="str">
        <f>"20190303154343044"</f>
        <v>20190303154343044</v>
      </c>
      <c r="B8470" t="str">
        <f>"1551599023038453"</f>
        <v>1551599023038453</v>
      </c>
      <c r="C8470" t="s">
        <v>40</v>
      </c>
      <c r="D8470">
        <v>5.8942699999999997</v>
      </c>
      <c r="E8470">
        <v>0.50023669999999998</v>
      </c>
      <c r="F8470" t="s">
        <v>41</v>
      </c>
      <c r="G8470">
        <v>-188.6146</v>
      </c>
      <c r="H8470" s="1">
        <v>-3.077731E-6</v>
      </c>
      <c r="I8470">
        <v>-3.7658</v>
      </c>
      <c r="J8470">
        <v>-188.02670000000001</v>
      </c>
      <c r="K8470">
        <v>1.1222749999999999</v>
      </c>
      <c r="L8470">
        <v>-29.487459999999999</v>
      </c>
      <c r="M8470">
        <v>4.1529290000000003E-2</v>
      </c>
      <c r="N8470">
        <v>-1.5635460000000001E-3</v>
      </c>
      <c r="O8470">
        <v>0.99913609999999997</v>
      </c>
      <c r="P8470">
        <v>-2.6803690000000002E-2</v>
      </c>
      <c r="Q8470">
        <v>-0.14432120000000001</v>
      </c>
      <c r="R8470">
        <v>0.98916780000000004</v>
      </c>
      <c r="S8470">
        <v>-6.7535399999999995E-2</v>
      </c>
      <c r="T8470">
        <v>-0.13024469999999999</v>
      </c>
      <c r="U8470">
        <v>3.0129389999999998</v>
      </c>
      <c r="V8470">
        <v>-6.6774819999999999E-2</v>
      </c>
      <c r="W8470">
        <v>-0.1432881</v>
      </c>
      <c r="X8470">
        <v>0.98742569999999996</v>
      </c>
      <c r="Y8470">
        <v>-6.3887449999999998E-2</v>
      </c>
      <c r="Z8470">
        <v>-4.1519859999999999E-2</v>
      </c>
      <c r="AA8470">
        <v>0.99709300000000001</v>
      </c>
      <c r="AB8470">
        <v>24</v>
      </c>
      <c r="AC8470">
        <v>-0.58789999999998999</v>
      </c>
      <c r="AD8470">
        <v>-1.122278077731</v>
      </c>
      <c r="AE8470">
        <v>25.72166</v>
      </c>
      <c r="AF8470">
        <v>-1.65245219091234</v>
      </c>
      <c r="AG8470">
        <v>-1.122278077731</v>
      </c>
      <c r="AH8470">
        <v>25.626294629799599</v>
      </c>
      <c r="AI8470">
        <v>92.502418827330999</v>
      </c>
      <c r="AJ8470">
        <v>93.689477515257707</v>
      </c>
      <c r="AK8470">
        <v>25.704028532125101</v>
      </c>
      <c r="AL8470">
        <v>98.238159937205893</v>
      </c>
      <c r="AM8470">
        <v>93.868745909146199</v>
      </c>
      <c r="AN8470">
        <v>0.999999934604063</v>
      </c>
    </row>
    <row r="8471" spans="1:40" x14ac:dyDescent="0.25">
      <c r="A8471" t="str">
        <f>"20190303154343067"</f>
        <v>20190303154343067</v>
      </c>
      <c r="B8471" t="str">
        <f>"1551599023057974"</f>
        <v>1551599023057974</v>
      </c>
      <c r="C8471" t="s">
        <v>40</v>
      </c>
      <c r="D8471">
        <v>5.8526829999999999</v>
      </c>
      <c r="E8471">
        <v>0.50017420000000001</v>
      </c>
      <c r="F8471" t="s">
        <v>41</v>
      </c>
      <c r="G8471">
        <v>-188.68299999999999</v>
      </c>
      <c r="H8471" s="1">
        <v>-3.7127309999999998E-6</v>
      </c>
      <c r="I8471">
        <v>-2.257298</v>
      </c>
      <c r="J8471">
        <v>-188.0214</v>
      </c>
      <c r="K8471">
        <v>1.122342</v>
      </c>
      <c r="L8471">
        <v>-29.227080000000001</v>
      </c>
      <c r="M8471">
        <v>3.6313959999999999E-2</v>
      </c>
      <c r="N8471">
        <v>-1.6219100000000001E-3</v>
      </c>
      <c r="O8471">
        <v>0.99933910000000004</v>
      </c>
      <c r="P8471">
        <v>-2.734696E-2</v>
      </c>
      <c r="Q8471">
        <v>-0.13895370000000001</v>
      </c>
      <c r="R8471">
        <v>0.98992119999999995</v>
      </c>
      <c r="S8471">
        <v>-7.261658E-2</v>
      </c>
      <c r="T8471">
        <v>-0.1241693</v>
      </c>
      <c r="U8471">
        <v>3.012756</v>
      </c>
      <c r="V8471">
        <v>-6.2220770000000002E-2</v>
      </c>
      <c r="W8471">
        <v>-0.13783210000000001</v>
      </c>
      <c r="X8471">
        <v>0.98849929999999997</v>
      </c>
      <c r="Y8471">
        <v>-6.036271E-2</v>
      </c>
      <c r="Z8471">
        <v>-3.9474040000000002E-2</v>
      </c>
      <c r="AA8471">
        <v>0.9973957</v>
      </c>
      <c r="AB8471">
        <v>24</v>
      </c>
      <c r="AC8471">
        <v>-0.66159999999999197</v>
      </c>
      <c r="AD8471">
        <v>-1.1223457127309999</v>
      </c>
      <c r="AE8471">
        <v>26.969781999999999</v>
      </c>
      <c r="AF8471">
        <v>-1.6377100298005201</v>
      </c>
      <c r="AG8471">
        <v>-1.1223457127309999</v>
      </c>
      <c r="AH8471">
        <v>26.881442803517999</v>
      </c>
      <c r="AI8471">
        <v>92.386387641235302</v>
      </c>
      <c r="AJ8471">
        <v>93.486346993683895</v>
      </c>
      <c r="AK8471">
        <v>26.954660473458102</v>
      </c>
      <c r="AL8471">
        <v>97.922418661364304</v>
      </c>
      <c r="AM8471">
        <v>93.601712698359407</v>
      </c>
      <c r="AN8471">
        <v>0.99999998905514598</v>
      </c>
    </row>
    <row r="8472" spans="1:40" x14ac:dyDescent="0.25">
      <c r="A8472" t="str">
        <f>"20190303154343091"</f>
        <v>20190303154343091</v>
      </c>
      <c r="B8472" t="str">
        <f>"1551599023078551"</f>
        <v>1551599023078551</v>
      </c>
      <c r="C8472" t="s">
        <v>40</v>
      </c>
      <c r="D8472">
        <v>5.9220059999999997</v>
      </c>
      <c r="E8472">
        <v>0.5001854</v>
      </c>
      <c r="F8472" t="s">
        <v>41</v>
      </c>
      <c r="G8472">
        <v>-188.76060000000001</v>
      </c>
      <c r="H8472" s="1">
        <v>-8.7850020000000002E-7</v>
      </c>
      <c r="I8472">
        <v>1.168126</v>
      </c>
      <c r="J8472">
        <v>-188.01750000000001</v>
      </c>
      <c r="K8472">
        <v>1.1223780000000001</v>
      </c>
      <c r="L8472">
        <v>-28.97476</v>
      </c>
      <c r="M8472">
        <v>3.1291819999999998E-2</v>
      </c>
      <c r="N8472">
        <v>-1.680684E-3</v>
      </c>
      <c r="O8472">
        <v>0.99950890000000003</v>
      </c>
      <c r="P8472">
        <v>-2.765629E-2</v>
      </c>
      <c r="Q8472">
        <v>-0.13567079999999901</v>
      </c>
      <c r="R8472">
        <v>0.99036789999999997</v>
      </c>
      <c r="S8472">
        <v>-7.3272710000000005E-2</v>
      </c>
      <c r="T8472">
        <v>-0.1112517</v>
      </c>
      <c r="U8472">
        <v>3.0129090000000001</v>
      </c>
      <c r="V8472">
        <v>-5.7593850000000002E-2</v>
      </c>
      <c r="W8472">
        <v>-0.134458299999999</v>
      </c>
      <c r="X8472">
        <v>0.98924409999999896</v>
      </c>
      <c r="Y8472">
        <v>-5.5566249999999998E-2</v>
      </c>
      <c r="Z8472">
        <v>-3.5158580000000002E-2</v>
      </c>
      <c r="AA8472">
        <v>0.99783580000000005</v>
      </c>
      <c r="AB8472">
        <v>25</v>
      </c>
      <c r="AC8472">
        <v>-0.74309999999999798</v>
      </c>
      <c r="AD8472">
        <v>-1.1223788785002</v>
      </c>
      <c r="AE8472">
        <v>30.142886000000001</v>
      </c>
      <c r="AF8472">
        <v>-1.6836302919614301</v>
      </c>
      <c r="AG8472">
        <v>-1.1223788785002</v>
      </c>
      <c r="AH8472">
        <v>30.063215417889101</v>
      </c>
      <c r="AI8472">
        <v>92.134743417376995</v>
      </c>
      <c r="AJ8472">
        <v>93.205387354900694</v>
      </c>
      <c r="AK8472">
        <v>30.131234069804002</v>
      </c>
      <c r="AL8472">
        <v>97.727297274156598</v>
      </c>
      <c r="AM8472">
        <v>93.332002377238496</v>
      </c>
      <c r="AN8472">
        <v>0.99999998769076004</v>
      </c>
    </row>
    <row r="8473" spans="1:40" x14ac:dyDescent="0.25">
      <c r="A8473" t="str">
        <f>"20190303154343111"</f>
        <v>20190303154343111</v>
      </c>
      <c r="B8473" t="str">
        <f>"1551599023108807"</f>
        <v>1551599023108807</v>
      </c>
      <c r="C8473" t="s">
        <v>40</v>
      </c>
      <c r="D8473">
        <v>5.941738</v>
      </c>
      <c r="E8473">
        <v>0.50007740000000001</v>
      </c>
      <c r="F8473" t="s">
        <v>41</v>
      </c>
      <c r="G8473">
        <v>-188.8006</v>
      </c>
      <c r="H8473" s="1">
        <v>-1.8190240000000001E-6</v>
      </c>
      <c r="I8473">
        <v>3.3770359999999999</v>
      </c>
      <c r="J8473">
        <v>-188.01499999999999</v>
      </c>
      <c r="K8473">
        <v>1.1223749999999999</v>
      </c>
      <c r="L8473">
        <v>-28.734739999999999</v>
      </c>
      <c r="M8473">
        <v>2.6570150000000001E-2</v>
      </c>
      <c r="N8473">
        <v>-1.7365690000000001E-3</v>
      </c>
      <c r="O8473">
        <v>0.99964549999999996</v>
      </c>
      <c r="P8473">
        <v>-2.7703160000000001E-2</v>
      </c>
      <c r="Q8473">
        <v>-0.13563739999999999</v>
      </c>
      <c r="R8473">
        <v>0.99037120000000001</v>
      </c>
      <c r="S8473">
        <v>-7.2921749999999994E-2</v>
      </c>
      <c r="T8473">
        <v>-0.10452350000000001</v>
      </c>
      <c r="U8473">
        <v>3.0128170000000001</v>
      </c>
      <c r="V8473">
        <v>-5.2965730000000003E-2</v>
      </c>
      <c r="W8473">
        <v>-0.1343347</v>
      </c>
      <c r="X8473">
        <v>0.9895195</v>
      </c>
      <c r="Y8473">
        <v>-5.0735919999999997E-2</v>
      </c>
      <c r="Z8473">
        <v>-3.2890210000000003E-2</v>
      </c>
      <c r="AA8473">
        <v>0.99817040000000001</v>
      </c>
      <c r="AB8473">
        <v>25</v>
      </c>
      <c r="AC8473">
        <v>-0.78560000000001595</v>
      </c>
      <c r="AD8473">
        <v>-1.122376819024</v>
      </c>
      <c r="AE8473">
        <v>32.111775999999999</v>
      </c>
      <c r="AF8473">
        <v>-1.63654049428854</v>
      </c>
      <c r="AG8473">
        <v>-1.122376819024</v>
      </c>
      <c r="AH8473">
        <v>32.040446432633097</v>
      </c>
      <c r="AI8473">
        <v>92.0036409581448</v>
      </c>
      <c r="AJ8473">
        <v>92.923974493651698</v>
      </c>
      <c r="AK8473">
        <v>32.101841101652703</v>
      </c>
      <c r="AL8473">
        <v>97.720150501815496</v>
      </c>
      <c r="AM8473">
        <v>93.063931027708406</v>
      </c>
      <c r="AN8473">
        <v>1.00000001052938</v>
      </c>
    </row>
    <row r="8474" spans="1:40" x14ac:dyDescent="0.25">
      <c r="A8474" t="str">
        <f>"20190303154343134"</f>
        <v>20190303154343134</v>
      </c>
      <c r="B8474" t="str">
        <f>"1551599023128328"</f>
        <v>1551599023128328</v>
      </c>
      <c r="C8474" t="s">
        <v>40</v>
      </c>
      <c r="D8474">
        <v>5.9782449999999896</v>
      </c>
      <c r="E8474">
        <v>0.50010790000000005</v>
      </c>
      <c r="F8474" t="s">
        <v>41</v>
      </c>
      <c r="G8474">
        <v>-188.78489999999999</v>
      </c>
      <c r="H8474" s="1">
        <v>-1.4863920000000001E-6</v>
      </c>
      <c r="I8474">
        <v>2.5951550000000001</v>
      </c>
      <c r="J8474">
        <v>-188.01339999999999</v>
      </c>
      <c r="K8474">
        <v>1.12236</v>
      </c>
      <c r="L8474">
        <v>-28.484649999999998</v>
      </c>
      <c r="M8474">
        <v>2.174392E-2</v>
      </c>
      <c r="N8474">
        <v>-1.7929949999999999E-3</v>
      </c>
      <c r="O8474">
        <v>0.99976189999999998</v>
      </c>
      <c r="P8474">
        <v>-2.775242E-2</v>
      </c>
      <c r="Q8474">
        <v>-0.13854</v>
      </c>
      <c r="R8474">
        <v>0.98996790000000001</v>
      </c>
      <c r="S8474">
        <v>-7.4020390000000005E-2</v>
      </c>
      <c r="T8474">
        <v>-0.107915</v>
      </c>
      <c r="U8474">
        <v>3.0123289999999998</v>
      </c>
      <c r="V8474">
        <v>-4.8212449999999997E-2</v>
      </c>
      <c r="W8474">
        <v>-0.13714309999999999</v>
      </c>
      <c r="X8474">
        <v>0.98937730000000002</v>
      </c>
      <c r="Y8474">
        <v>-4.6280889999999998E-2</v>
      </c>
      <c r="Z8474">
        <v>-3.3971830000000001E-2</v>
      </c>
      <c r="AA8474">
        <v>0.99835059999999998</v>
      </c>
      <c r="AB8474">
        <v>25</v>
      </c>
      <c r="AC8474">
        <v>-0.77150000000000296</v>
      </c>
      <c r="AD8474">
        <v>-1.122361486392</v>
      </c>
      <c r="AE8474">
        <v>31.079805</v>
      </c>
      <c r="AF8474">
        <v>-1.4452319619815199</v>
      </c>
      <c r="AG8474">
        <v>-1.122361486392</v>
      </c>
      <c r="AH8474">
        <v>31.0152594984453</v>
      </c>
      <c r="AI8474">
        <v>92.070236338998299</v>
      </c>
      <c r="AJ8474">
        <v>92.667907298635001</v>
      </c>
      <c r="AK8474">
        <v>31.0691923372007</v>
      </c>
      <c r="AL8474">
        <v>97.882562850935102</v>
      </c>
      <c r="AM8474">
        <v>92.789821928135595</v>
      </c>
      <c r="AN8474">
        <v>1.0000000559839399</v>
      </c>
    </row>
    <row r="8475" spans="1:40" x14ac:dyDescent="0.25">
      <c r="A8475" t="str">
        <f>"20190303154343158"</f>
        <v>20190303154343158</v>
      </c>
      <c r="B8475" t="str">
        <f>"1551599023148825"</f>
        <v>1551599023148825</v>
      </c>
      <c r="C8475" t="s">
        <v>40</v>
      </c>
      <c r="D8475">
        <v>5.9488289999999999</v>
      </c>
      <c r="E8475">
        <v>0.4999054</v>
      </c>
      <c r="F8475" t="s">
        <v>41</v>
      </c>
      <c r="G8475">
        <v>-188.70410000000001</v>
      </c>
      <c r="H8475" s="1">
        <v>-3.3975460000000002E-7</v>
      </c>
      <c r="I8475">
        <v>-0.36676330000000001</v>
      </c>
      <c r="J8475">
        <v>-188.01300000000001</v>
      </c>
      <c r="K8475">
        <v>1.1222939999999999</v>
      </c>
      <c r="L8475">
        <v>-28.219850000000001</v>
      </c>
      <c r="M8475">
        <v>1.6799720000000001E-2</v>
      </c>
      <c r="N8475">
        <v>-1.8517220000000001E-3</v>
      </c>
      <c r="O8475">
        <v>0.9998572</v>
      </c>
      <c r="P8475">
        <v>-2.8140310000000002E-2</v>
      </c>
      <c r="Q8475">
        <v>-0.14016210000000001</v>
      </c>
      <c r="R8475">
        <v>0.98972859999999996</v>
      </c>
      <c r="S8475">
        <v>-7.3974609999999996E-2</v>
      </c>
      <c r="T8475">
        <v>-0.12020790000000001</v>
      </c>
      <c r="U8475">
        <v>3.0115050000000001</v>
      </c>
      <c r="V8475">
        <v>-4.3710859999999997E-2</v>
      </c>
      <c r="W8475">
        <v>-0.1386665</v>
      </c>
      <c r="X8475">
        <v>0.98937399999999998</v>
      </c>
      <c r="Y8475">
        <v>-4.1328469999999999E-2</v>
      </c>
      <c r="Z8475">
        <v>-3.8002269999999998E-2</v>
      </c>
      <c r="AA8475">
        <v>0.99842260000000005</v>
      </c>
      <c r="AB8475">
        <v>25</v>
      </c>
      <c r="AC8475">
        <v>-0.69110000000000504</v>
      </c>
      <c r="AD8475">
        <v>-1.1222943397545999</v>
      </c>
      <c r="AE8475">
        <v>27.853086699999999</v>
      </c>
      <c r="AF8475">
        <v>-1.1570499313893901</v>
      </c>
      <c r="AG8475">
        <v>-1.1222943397545999</v>
      </c>
      <c r="AH8475">
        <v>27.792450809891001</v>
      </c>
      <c r="AI8475">
        <v>92.310420546787199</v>
      </c>
      <c r="AJ8475">
        <v>92.383950142725496</v>
      </c>
      <c r="AK8475">
        <v>27.839156437452999</v>
      </c>
      <c r="AL8475">
        <v>97.970689902424795</v>
      </c>
      <c r="AM8475">
        <v>92.529700825764394</v>
      </c>
      <c r="AN8475">
        <v>0.99999997469009405</v>
      </c>
    </row>
    <row r="8476" spans="1:40" x14ac:dyDescent="0.25">
      <c r="A8476" t="str">
        <f>"20190303154343180"</f>
        <v>20190303154343180</v>
      </c>
      <c r="B8476" t="str">
        <f>"1551599023168699"</f>
        <v>1551599023168699</v>
      </c>
      <c r="C8476" t="s">
        <v>40</v>
      </c>
      <c r="D8476">
        <v>5.9160570000000003</v>
      </c>
      <c r="E8476">
        <v>0.49970419999999999</v>
      </c>
      <c r="F8476" t="s">
        <v>41</v>
      </c>
      <c r="G8476">
        <v>-188.67760000000001</v>
      </c>
      <c r="H8476" s="1">
        <v>-3.8920430000000003E-6</v>
      </c>
      <c r="I8476">
        <v>-1.841537</v>
      </c>
      <c r="J8476">
        <v>-188.0136</v>
      </c>
      <c r="K8476">
        <v>1.122201</v>
      </c>
      <c r="L8476">
        <v>-27.964110000000002</v>
      </c>
      <c r="M8476">
        <v>1.222436E-2</v>
      </c>
      <c r="N8476">
        <v>-1.9084639999999999E-3</v>
      </c>
      <c r="O8476">
        <v>0.99992349999999997</v>
      </c>
      <c r="P8476">
        <v>-2.8664709999999999E-2</v>
      </c>
      <c r="Q8476">
        <v>-0.14187949999999999</v>
      </c>
      <c r="R8476">
        <v>0.98946880000000004</v>
      </c>
      <c r="S8476">
        <v>-7.5866699999999995E-2</v>
      </c>
      <c r="T8476">
        <v>-0.12809970000000001</v>
      </c>
      <c r="U8476">
        <v>3.010834</v>
      </c>
      <c r="V8476">
        <v>-3.9721970000000002E-2</v>
      </c>
      <c r="W8476">
        <v>-0.1402891</v>
      </c>
      <c r="X8476">
        <v>0.98931349999999996</v>
      </c>
      <c r="Y8476">
        <v>-3.738619E-2</v>
      </c>
      <c r="Z8476">
        <v>-4.0574329999999999E-2</v>
      </c>
      <c r="AA8476">
        <v>0.9984769</v>
      </c>
      <c r="AB8476">
        <v>25</v>
      </c>
      <c r="AC8476">
        <v>-0.66400000000001502</v>
      </c>
      <c r="AD8476">
        <v>-1.1222048920429999</v>
      </c>
      <c r="AE8476">
        <v>26.122572999999999</v>
      </c>
      <c r="AF8476">
        <v>-0.98147255907410003</v>
      </c>
      <c r="AG8476">
        <v>-1.1222048920429999</v>
      </c>
      <c r="AH8476">
        <v>26.064433445799601</v>
      </c>
      <c r="AI8476">
        <v>92.463604874730095</v>
      </c>
      <c r="AJ8476">
        <v>92.156489570733996</v>
      </c>
      <c r="AK8476">
        <v>26.107035891775599</v>
      </c>
      <c r="AL8476">
        <v>98.064575282831598</v>
      </c>
      <c r="AM8476">
        <v>92.2992503572153</v>
      </c>
      <c r="AN8476">
        <v>1.0000000338808599</v>
      </c>
    </row>
    <row r="8477" spans="1:40" x14ac:dyDescent="0.25">
      <c r="A8477" t="str">
        <f>"20190303154343202"</f>
        <v>20190303154343202</v>
      </c>
      <c r="B8477" t="str">
        <f>"1551599023197978"</f>
        <v>1551599023197978</v>
      </c>
      <c r="C8477" t="s">
        <v>40</v>
      </c>
      <c r="D8477">
        <v>5.9848480000000004</v>
      </c>
      <c r="E8477">
        <v>0.49593300000000001</v>
      </c>
      <c r="F8477" t="s">
        <v>41</v>
      </c>
      <c r="G8477">
        <v>-188.6585</v>
      </c>
      <c r="H8477" s="1">
        <v>-3.285358E-6</v>
      </c>
      <c r="I8477">
        <v>-3.2636690000000002</v>
      </c>
      <c r="J8477">
        <v>-188.01519999999999</v>
      </c>
      <c r="K8477">
        <v>1.122088</v>
      </c>
      <c r="L8477">
        <v>-27.71143</v>
      </c>
      <c r="M8477">
        <v>7.8777910000000003E-3</v>
      </c>
      <c r="N8477">
        <v>-1.9661409999999998E-3</v>
      </c>
      <c r="O8477">
        <v>0.99996700000000005</v>
      </c>
      <c r="P8477">
        <v>-3.0512439999999998E-2</v>
      </c>
      <c r="Q8477">
        <v>-0.14399039999999999</v>
      </c>
      <c r="R8477">
        <v>0.9891086</v>
      </c>
      <c r="S8477">
        <v>-7.8582760000000001E-2</v>
      </c>
      <c r="T8477">
        <v>-0.13675379999999901</v>
      </c>
      <c r="U8477">
        <v>3.01004</v>
      </c>
      <c r="V8477">
        <v>-3.7284310000000001E-2</v>
      </c>
      <c r="W8477">
        <v>-0.14231679999999999</v>
      </c>
      <c r="X8477">
        <v>0.98911870000000002</v>
      </c>
      <c r="Y8477">
        <v>-3.394614E-2</v>
      </c>
      <c r="Z8477">
        <v>-4.3398430000000002E-2</v>
      </c>
      <c r="AA8477">
        <v>0.99848099999999995</v>
      </c>
      <c r="AB8477">
        <v>26</v>
      </c>
      <c r="AC8477">
        <v>-0.64330000000000997</v>
      </c>
      <c r="AD8477">
        <v>-1.1220912853579901</v>
      </c>
      <c r="AE8477">
        <v>24.447761</v>
      </c>
      <c r="AF8477">
        <v>-0.83411884579705298</v>
      </c>
      <c r="AG8477">
        <v>-1.1220912853579901</v>
      </c>
      <c r="AH8477">
        <v>24.390589377905201</v>
      </c>
      <c r="AI8477">
        <v>92.632503534870295</v>
      </c>
      <c r="AJ8477">
        <v>91.958659981908795</v>
      </c>
      <c r="AK8477">
        <v>24.430630227302199</v>
      </c>
      <c r="AL8477">
        <v>98.181931760931306</v>
      </c>
      <c r="AM8477">
        <v>92.158712290259004</v>
      </c>
      <c r="AN8477">
        <v>0.999999997012053</v>
      </c>
    </row>
    <row r="8478" spans="1:40" x14ac:dyDescent="0.25">
      <c r="A8478" t="str">
        <f>"20190303154343223"</f>
        <v>20190303154343223</v>
      </c>
      <c r="B8478" t="str">
        <f>"1551599023218474"</f>
        <v>1551599023218474</v>
      </c>
      <c r="C8478" t="s">
        <v>40</v>
      </c>
      <c r="D8478">
        <v>5.9432159999999996</v>
      </c>
      <c r="E8478">
        <v>0.49661539999999998</v>
      </c>
      <c r="F8478" t="s">
        <v>41</v>
      </c>
      <c r="G8478">
        <v>-188.71360000000001</v>
      </c>
      <c r="H8478" s="1">
        <v>-5.7697440000000004E-7</v>
      </c>
      <c r="I8478">
        <v>-9.6622400000000006</v>
      </c>
      <c r="J8478">
        <v>-188.01740000000001</v>
      </c>
      <c r="K8478">
        <v>1.1219870000000001</v>
      </c>
      <c r="L8478">
        <v>-27.473749999999999</v>
      </c>
      <c r="M8478">
        <v>3.960618E-3</v>
      </c>
      <c r="N8478">
        <v>-2.0235909999999999E-3</v>
      </c>
      <c r="O8478">
        <v>0.99999009999999999</v>
      </c>
      <c r="P8478">
        <v>-3.2474620000000003E-2</v>
      </c>
      <c r="Q8478">
        <v>-0.1441057</v>
      </c>
      <c r="R8478">
        <v>0.9890293</v>
      </c>
      <c r="S8478">
        <v>-0.1161804</v>
      </c>
      <c r="T8478">
        <v>-0.18664739999999999</v>
      </c>
      <c r="U8478">
        <v>3.0022890000000002</v>
      </c>
      <c r="V8478">
        <v>-3.5403589999999999E-2</v>
      </c>
      <c r="W8478">
        <v>-0.1423537</v>
      </c>
      <c r="X8478">
        <v>0.98918249999999996</v>
      </c>
      <c r="Y8478">
        <v>-4.2553319999999999E-2</v>
      </c>
      <c r="Z8478">
        <v>-5.9976660000000001E-2</v>
      </c>
      <c r="AA8478">
        <v>0.99729230000000002</v>
      </c>
      <c r="AB8478">
        <v>26</v>
      </c>
      <c r="AC8478">
        <v>-0.69620000000000404</v>
      </c>
      <c r="AD8478">
        <v>-1.1219875769743901</v>
      </c>
      <c r="AE8478">
        <v>17.811509999999998</v>
      </c>
      <c r="AF8478">
        <v>-0.76371345890317399</v>
      </c>
      <c r="AG8478">
        <v>-1.1219875769743901</v>
      </c>
      <c r="AH8478">
        <v>17.738334094261901</v>
      </c>
      <c r="AI8478">
        <v>93.615918145464505</v>
      </c>
      <c r="AJ8478">
        <v>92.465313271220495</v>
      </c>
      <c r="AK8478">
        <v>17.790182989779801</v>
      </c>
      <c r="AL8478">
        <v>98.184067663270895</v>
      </c>
      <c r="AM8478">
        <v>92.049784349239502</v>
      </c>
      <c r="AN8478">
        <v>1.00000000419741</v>
      </c>
    </row>
    <row r="8479" spans="1:40" x14ac:dyDescent="0.25">
      <c r="A8479" t="str">
        <f>"20190303154343245"</f>
        <v>20190303154343245</v>
      </c>
      <c r="B8479" t="str">
        <f>"1551599023237995"</f>
        <v>1551599023237995</v>
      </c>
      <c r="C8479" t="s">
        <v>40</v>
      </c>
      <c r="D8479">
        <v>5.9642010000000001</v>
      </c>
      <c r="E8479">
        <v>0.49666559999999998</v>
      </c>
      <c r="F8479" t="s">
        <v>41</v>
      </c>
      <c r="G8479">
        <v>-188.72059999999999</v>
      </c>
      <c r="H8479" s="1">
        <v>-6.397141E-7</v>
      </c>
      <c r="I8479">
        <v>-9.4723950000000006</v>
      </c>
      <c r="J8479">
        <v>-188.02070000000001</v>
      </c>
      <c r="K8479">
        <v>1.121882</v>
      </c>
      <c r="L8479">
        <v>-27.215969999999999</v>
      </c>
      <c r="M8479" s="1">
        <v>-7.9784799999999995E-5</v>
      </c>
      <c r="N8479">
        <v>-2.0887919999999999E-3</v>
      </c>
      <c r="O8479">
        <v>0.99999780000000005</v>
      </c>
      <c r="P8479">
        <v>-3.3766200000000003E-2</v>
      </c>
      <c r="Q8479">
        <v>-0.143561299999999</v>
      </c>
      <c r="R8479">
        <v>0.98906519999999998</v>
      </c>
      <c r="S8479">
        <v>-0.1172791</v>
      </c>
      <c r="T8479">
        <v>-0.1871189</v>
      </c>
      <c r="U8479">
        <v>3.002167</v>
      </c>
      <c r="V8479">
        <v>-3.273914E-2</v>
      </c>
      <c r="W8479">
        <v>-0.14171729999999999</v>
      </c>
      <c r="X8479">
        <v>0.98936559999999996</v>
      </c>
      <c r="Y8479">
        <v>-3.8882189999999997E-2</v>
      </c>
      <c r="Z8479">
        <v>-6.0075219999999999E-2</v>
      </c>
      <c r="AA8479">
        <v>0.99743630000000005</v>
      </c>
      <c r="AB8479">
        <v>26</v>
      </c>
      <c r="AC8479">
        <v>-0.69989999999998498</v>
      </c>
      <c r="AD8479">
        <v>-1.1218826397141</v>
      </c>
      <c r="AE8479">
        <v>17.743575</v>
      </c>
      <c r="AF8479">
        <v>-0.69570740290850097</v>
      </c>
      <c r="AG8479">
        <v>-1.1218826397141</v>
      </c>
      <c r="AH8479">
        <v>17.673088447425801</v>
      </c>
      <c r="AI8479">
        <v>93.629442596383896</v>
      </c>
      <c r="AJ8479">
        <v>92.254304741585699</v>
      </c>
      <c r="AK8479">
        <v>17.7223216514736</v>
      </c>
      <c r="AL8479">
        <v>98.147231465750494</v>
      </c>
      <c r="AM8479">
        <v>91.895285537869299</v>
      </c>
      <c r="AN8479">
        <v>0.99999996743529396</v>
      </c>
    </row>
    <row r="8480" spans="1:40" x14ac:dyDescent="0.25">
      <c r="A8480" t="str">
        <f>"20190303154343268"</f>
        <v>20190303154343268</v>
      </c>
      <c r="B8480" t="str">
        <f>"1551599023258491"</f>
        <v>1551599023258491</v>
      </c>
      <c r="C8480" t="s">
        <v>40</v>
      </c>
      <c r="D8480">
        <v>5.9411779999999998</v>
      </c>
      <c r="E8480">
        <v>0.4967241</v>
      </c>
      <c r="F8480" t="s">
        <v>41</v>
      </c>
      <c r="G8480">
        <v>-188.74879999999999</v>
      </c>
      <c r="H8480" s="1">
        <v>-7.5745000000000005E-7</v>
      </c>
      <c r="I8480">
        <v>-9.1189450000000001</v>
      </c>
      <c r="J8480">
        <v>-188.02500000000001</v>
      </c>
      <c r="K8480">
        <v>1.1217820000000001</v>
      </c>
      <c r="L8480">
        <v>-26.94699</v>
      </c>
      <c r="M8480">
        <v>-4.0699459999999996E-3</v>
      </c>
      <c r="N8480">
        <v>-2.1582350000000001E-3</v>
      </c>
      <c r="O8480">
        <v>0.99998940000000003</v>
      </c>
      <c r="P8480">
        <v>-3.4173259999999997E-2</v>
      </c>
      <c r="Q8480">
        <v>-0.14421400000000001</v>
      </c>
      <c r="R8480">
        <v>0.98895630000000001</v>
      </c>
      <c r="S8480">
        <v>-0.1207733</v>
      </c>
      <c r="T8480">
        <v>-0.18610479999999999</v>
      </c>
      <c r="U8480">
        <v>3.0020449999999999</v>
      </c>
      <c r="V8480">
        <v>-2.923516E-2</v>
      </c>
      <c r="W8480">
        <v>-0.1422697</v>
      </c>
      <c r="X8480">
        <v>0.9893961</v>
      </c>
      <c r="Y8480">
        <v>-3.6056709999999999E-2</v>
      </c>
      <c r="Z8480">
        <v>-5.9674039999999998E-2</v>
      </c>
      <c r="AA8480">
        <v>0.99756650000000002</v>
      </c>
      <c r="AB8480">
        <v>26</v>
      </c>
      <c r="AC8480">
        <v>-0.72379999999998201</v>
      </c>
      <c r="AD8480">
        <v>-1.1217827574499999</v>
      </c>
      <c r="AE8480">
        <v>17.828044999999999</v>
      </c>
      <c r="AF8480">
        <v>-0.648670650418531</v>
      </c>
      <c r="AG8480">
        <v>-1.1217827574499999</v>
      </c>
      <c r="AH8480">
        <v>17.760640534836199</v>
      </c>
      <c r="AI8480">
        <v>93.611665750530705</v>
      </c>
      <c r="AJ8480">
        <v>92.091680089896499</v>
      </c>
      <c r="AK8480">
        <v>17.807850021136499</v>
      </c>
      <c r="AL8480">
        <v>98.179205343193701</v>
      </c>
      <c r="AM8480">
        <v>91.6925112535626</v>
      </c>
      <c r="AN8480">
        <v>1.0000000024067599</v>
      </c>
    </row>
    <row r="8481" spans="1:40" x14ac:dyDescent="0.25">
      <c r="A8481" t="str">
        <f>"20190303154343290"</f>
        <v>20190303154343290</v>
      </c>
      <c r="B8481" t="str">
        <f>"1551599023288746"</f>
        <v>1551599023288746</v>
      </c>
      <c r="C8481" t="s">
        <v>40</v>
      </c>
      <c r="D8481">
        <v>6.0594619999999999</v>
      </c>
      <c r="E8481">
        <v>0.50789200000000001</v>
      </c>
      <c r="F8481" t="s">
        <v>41</v>
      </c>
      <c r="G8481">
        <v>-188.74940000000001</v>
      </c>
      <c r="H8481" s="1">
        <v>-8.1704169999999898E-7</v>
      </c>
      <c r="I8481">
        <v>-8.9797860000000007</v>
      </c>
      <c r="J8481">
        <v>-188.0301</v>
      </c>
      <c r="K8481">
        <v>1.1216889999999999</v>
      </c>
      <c r="L8481">
        <v>-26.67783</v>
      </c>
      <c r="M8481">
        <v>-7.8522450000000008E-3</v>
      </c>
      <c r="N8481">
        <v>-2.2280960000000002E-3</v>
      </c>
      <c r="O8481">
        <v>0.99996669999999999</v>
      </c>
      <c r="P8481">
        <v>-3.5160570000000002E-2</v>
      </c>
      <c r="Q8481">
        <v>-0.1447822</v>
      </c>
      <c r="R8481">
        <v>0.98883860000000001</v>
      </c>
      <c r="S8481">
        <v>-0.12103269999999999</v>
      </c>
      <c r="T8481">
        <v>-0.18742900000000001</v>
      </c>
      <c r="U8481">
        <v>3.0019840000000002</v>
      </c>
      <c r="V8481">
        <v>-2.6516229999999998E-2</v>
      </c>
      <c r="W8481">
        <v>-0.14274410000000001</v>
      </c>
      <c r="X8481">
        <v>0.98940439999999996</v>
      </c>
      <c r="Y8481">
        <v>-3.2362700000000001E-2</v>
      </c>
      <c r="Z8481">
        <v>-6.004574E-2</v>
      </c>
      <c r="AA8481">
        <v>0.99767090000000003</v>
      </c>
      <c r="AB8481">
        <v>26</v>
      </c>
      <c r="AC8481">
        <v>-0.71930000000000405</v>
      </c>
      <c r="AD8481">
        <v>-1.12168981704169</v>
      </c>
      <c r="AE8481">
        <v>17.698043999999999</v>
      </c>
      <c r="AF8481">
        <v>-0.57799018223225296</v>
      </c>
      <c r="AG8481">
        <v>-1.12168981704169</v>
      </c>
      <c r="AH8481">
        <v>17.632434937344801</v>
      </c>
      <c r="AI8481">
        <v>93.638025338949603</v>
      </c>
      <c r="AJ8481">
        <v>91.877480015665</v>
      </c>
      <c r="AK8481">
        <v>17.6775287445986</v>
      </c>
      <c r="AL8481">
        <v>98.206666528952795</v>
      </c>
      <c r="AM8481">
        <v>91.535170538931197</v>
      </c>
      <c r="AN8481">
        <v>1.0000000276387899</v>
      </c>
    </row>
    <row r="8482" spans="1:40" x14ac:dyDescent="0.25">
      <c r="A8482" t="str">
        <f>"20190303154343315"</f>
        <v>20190303154343315</v>
      </c>
      <c r="B8482" t="str">
        <f>"1551599023308267"</f>
        <v>1551599023308267</v>
      </c>
      <c r="C8482" t="s">
        <v>40</v>
      </c>
      <c r="D8482">
        <v>6.057086</v>
      </c>
      <c r="E8482">
        <v>0.50731309999999996</v>
      </c>
      <c r="F8482" t="s">
        <v>41</v>
      </c>
      <c r="G8482">
        <v>-188.37100000000001</v>
      </c>
      <c r="H8482" s="1">
        <v>-2.5725949999999998E-6</v>
      </c>
      <c r="I8482">
        <v>4.9560069999999996</v>
      </c>
      <c r="J8482">
        <v>-188.0361</v>
      </c>
      <c r="K8482">
        <v>1.1216090000000001</v>
      </c>
      <c r="L8482">
        <v>-26.40466</v>
      </c>
      <c r="M8482">
        <v>-1.149475E-2</v>
      </c>
      <c r="N8482">
        <v>-2.298998E-3</v>
      </c>
      <c r="O8482">
        <v>0.99993129999999997</v>
      </c>
      <c r="P8482">
        <v>-3.606533E-2</v>
      </c>
      <c r="Q8482">
        <v>-0.144456</v>
      </c>
      <c r="R8482">
        <v>0.9888538</v>
      </c>
      <c r="S8482">
        <v>-3.251648E-2</v>
      </c>
      <c r="T8482">
        <v>-0.10697959999999999</v>
      </c>
      <c r="U8482">
        <v>3.017029</v>
      </c>
      <c r="V8482">
        <v>-2.385437E-2</v>
      </c>
      <c r="W8482">
        <v>-0.14232510000000001</v>
      </c>
      <c r="X8482">
        <v>0.98953250000000004</v>
      </c>
      <c r="Y8482">
        <v>7.2368970000000004E-4</v>
      </c>
      <c r="Z8482">
        <v>-3.3134280000000002E-2</v>
      </c>
      <c r="AA8482">
        <v>0.99945059999999997</v>
      </c>
      <c r="AB8482">
        <v>26</v>
      </c>
      <c r="AC8482">
        <v>-0.33489999999997599</v>
      </c>
      <c r="AD8482">
        <v>-1.121611572595</v>
      </c>
      <c r="AE8482">
        <v>31.360666999999999</v>
      </c>
      <c r="AF8482">
        <v>2.5573394106554299E-2</v>
      </c>
      <c r="AG8482">
        <v>-1.121611572595</v>
      </c>
      <c r="AH8482">
        <v>31.322383887076501</v>
      </c>
      <c r="AI8482">
        <v>92.050806279971297</v>
      </c>
      <c r="AJ8482">
        <v>89.953220443570501</v>
      </c>
      <c r="AK8482">
        <v>31.342469572253702</v>
      </c>
      <c r="AL8482">
        <v>98.182412043486707</v>
      </c>
      <c r="AM8482">
        <v>91.380945103521</v>
      </c>
      <c r="AN8482">
        <v>1.0000000168071701</v>
      </c>
    </row>
    <row r="8483" spans="1:40" x14ac:dyDescent="0.25">
      <c r="A8483" t="str">
        <f>"20190303154343337"</f>
        <v>20190303154343337</v>
      </c>
      <c r="B8483" t="str">
        <f>"1551599023328763"</f>
        <v>1551599023328763</v>
      </c>
      <c r="C8483" t="s">
        <v>40</v>
      </c>
      <c r="D8483">
        <v>6.0499510000000001</v>
      </c>
      <c r="E8483">
        <v>0.50680990000000004</v>
      </c>
      <c r="F8483" t="s">
        <v>41</v>
      </c>
      <c r="G8483">
        <v>-188.41120000000001</v>
      </c>
      <c r="H8483" s="1">
        <v>-9.8469769999999999E-7</v>
      </c>
      <c r="I8483">
        <v>1.271204</v>
      </c>
      <c r="J8483">
        <v>-188.04249999999999</v>
      </c>
      <c r="K8483">
        <v>1.121534</v>
      </c>
      <c r="L8483">
        <v>-26.140689999999999</v>
      </c>
      <c r="M8483">
        <v>-1.481975E-2</v>
      </c>
      <c r="N8483">
        <v>-2.3667129999999999E-3</v>
      </c>
      <c r="O8483">
        <v>0.99988739999999998</v>
      </c>
      <c r="P8483">
        <v>-3.6368159999999997E-2</v>
      </c>
      <c r="Q8483">
        <v>-0.14170479999999899</v>
      </c>
      <c r="R8483">
        <v>0.98924060000000003</v>
      </c>
      <c r="S8483">
        <v>-4.0863040000000003E-2</v>
      </c>
      <c r="T8483">
        <v>-0.1221662</v>
      </c>
      <c r="U8483">
        <v>3.014465</v>
      </c>
      <c r="V8483">
        <v>-2.0911409999999998E-2</v>
      </c>
      <c r="W8483">
        <v>-0.13948329999999901</v>
      </c>
      <c r="X8483">
        <v>0.99000359999999998</v>
      </c>
      <c r="Y8483">
        <v>1.2753040000000001E-3</v>
      </c>
      <c r="Z8483">
        <v>-3.8120220000000003E-2</v>
      </c>
      <c r="AA8483">
        <v>0.9992723</v>
      </c>
      <c r="AB8483">
        <v>26</v>
      </c>
      <c r="AC8483">
        <v>-0.36870000000001801</v>
      </c>
      <c r="AD8483">
        <v>-1.1215349846977001</v>
      </c>
      <c r="AE8483">
        <v>27.411894</v>
      </c>
      <c r="AF8483">
        <v>3.7516246543881998E-2</v>
      </c>
      <c r="AG8483">
        <v>-1.1215349846977001</v>
      </c>
      <c r="AH8483">
        <v>27.368541886611599</v>
      </c>
      <c r="AI8483">
        <v>92.346607565571802</v>
      </c>
      <c r="AJ8483">
        <v>89.921460147467798</v>
      </c>
      <c r="AK8483">
        <v>27.391537620036399</v>
      </c>
      <c r="AL8483">
        <v>98.017948133108405</v>
      </c>
      <c r="AM8483">
        <v>91.210053576197694</v>
      </c>
      <c r="AN8483">
        <v>1.00000000303001</v>
      </c>
    </row>
    <row r="8484" spans="1:40" x14ac:dyDescent="0.25">
      <c r="A8484" t="str">
        <f>"20190303154343359"</f>
        <v>20190303154343359</v>
      </c>
      <c r="B8484" t="str">
        <f>"1551599023348283"</f>
        <v>1551599023348283</v>
      </c>
      <c r="C8484" t="s">
        <v>40</v>
      </c>
      <c r="D8484">
        <v>6.0679600000000002</v>
      </c>
      <c r="E8484">
        <v>0.50705519999999904</v>
      </c>
      <c r="F8484" t="s">
        <v>41</v>
      </c>
      <c r="G8484">
        <v>-188.4821</v>
      </c>
      <c r="H8484" s="1">
        <v>-1.6549879999999999E-6</v>
      </c>
      <c r="I8484">
        <v>2.8629859999999998</v>
      </c>
      <c r="J8484">
        <v>-188.0498</v>
      </c>
      <c r="K8484">
        <v>1.121459</v>
      </c>
      <c r="L8484">
        <v>-25.877410000000001</v>
      </c>
      <c r="M8484">
        <v>-1.7929190000000001E-2</v>
      </c>
      <c r="N8484">
        <v>-2.4322900000000001E-3</v>
      </c>
      <c r="O8484">
        <v>0.99983630000000001</v>
      </c>
      <c r="P8484">
        <v>-3.763789E-2</v>
      </c>
      <c r="Q8484">
        <v>-0.13768139999999901</v>
      </c>
      <c r="R8484">
        <v>0.98976120000000001</v>
      </c>
      <c r="S8484">
        <v>-4.5684809999999999E-2</v>
      </c>
      <c r="T8484">
        <v>-0.11655739999999901</v>
      </c>
      <c r="U8484">
        <v>3.0142519999999999</v>
      </c>
      <c r="V8484">
        <v>-1.9150230000000001E-2</v>
      </c>
      <c r="W8484">
        <v>-0.13537850000000001</v>
      </c>
      <c r="X8484">
        <v>0.99060890000000001</v>
      </c>
      <c r="Y8484">
        <v>2.78488E-3</v>
      </c>
      <c r="Z8484">
        <v>-3.6198019999999997E-2</v>
      </c>
      <c r="AA8484">
        <v>0.99934080000000003</v>
      </c>
      <c r="AB8484">
        <v>27</v>
      </c>
      <c r="AC8484">
        <v>-0.43229999999999702</v>
      </c>
      <c r="AD8484">
        <v>-1.121460654988</v>
      </c>
      <c r="AE8484">
        <v>28.740396</v>
      </c>
      <c r="AF8484">
        <v>8.2936783784396104E-2</v>
      </c>
      <c r="AG8484">
        <v>-1.121460654988</v>
      </c>
      <c r="AH8484">
        <v>28.699838864377501</v>
      </c>
      <c r="AI8484">
        <v>92.237713641601999</v>
      </c>
      <c r="AJ8484">
        <v>89.834427138351998</v>
      </c>
      <c r="AK8484">
        <v>28.7218610704812</v>
      </c>
      <c r="AL8484">
        <v>97.7805070279489</v>
      </c>
      <c r="AM8484">
        <v>91.107491263159801</v>
      </c>
      <c r="AN8484">
        <v>1.0000000311652499</v>
      </c>
    </row>
    <row r="8485" spans="1:40" x14ac:dyDescent="0.25">
      <c r="A8485" t="str">
        <f>"20190303154343382"</f>
        <v>20190303154343382</v>
      </c>
      <c r="B8485" t="str">
        <f>"1551599023378538"</f>
        <v>1551599023378538</v>
      </c>
      <c r="C8485" t="s">
        <v>40</v>
      </c>
      <c r="D8485">
        <v>6.0770379999999999</v>
      </c>
      <c r="E8485">
        <v>0.50698390000000004</v>
      </c>
      <c r="F8485" t="s">
        <v>41</v>
      </c>
      <c r="G8485">
        <v>-188.54560000000001</v>
      </c>
      <c r="H8485" s="1">
        <v>-2.7695549999999902E-6</v>
      </c>
      <c r="I8485">
        <v>5.4873240000000001</v>
      </c>
      <c r="J8485">
        <v>-188.05840000000001</v>
      </c>
      <c r="K8485">
        <v>1.1213709999999999</v>
      </c>
      <c r="L8485">
        <v>-25.588529999999999</v>
      </c>
      <c r="M8485">
        <v>-2.114655E-2</v>
      </c>
      <c r="N8485">
        <v>-2.5024790000000002E-3</v>
      </c>
      <c r="O8485">
        <v>0.99977329999999998</v>
      </c>
      <c r="P8485">
        <v>-3.7180610000000003E-2</v>
      </c>
      <c r="Q8485">
        <v>-0.13402</v>
      </c>
      <c r="R8485">
        <v>0.99028090000000002</v>
      </c>
      <c r="S8485">
        <v>-4.76532E-2</v>
      </c>
      <c r="T8485">
        <v>-0.107775</v>
      </c>
      <c r="U8485">
        <v>3.014221</v>
      </c>
      <c r="V8485">
        <v>-1.554876E-2</v>
      </c>
      <c r="W8485">
        <v>-0.1316224</v>
      </c>
      <c r="X8485">
        <v>0.991178</v>
      </c>
      <c r="Y8485">
        <v>5.3485009999999899E-3</v>
      </c>
      <c r="Z8485">
        <v>-3.3217620000000003E-2</v>
      </c>
      <c r="AA8485">
        <v>0.99943380000000004</v>
      </c>
      <c r="AB8485">
        <v>27</v>
      </c>
      <c r="AC8485">
        <v>-0.48720000000000102</v>
      </c>
      <c r="AD8485">
        <v>-1.1213737695549999</v>
      </c>
      <c r="AE8485">
        <v>31.075854</v>
      </c>
      <c r="AF8485">
        <v>0.16983697781489601</v>
      </c>
      <c r="AG8485">
        <v>-1.1213737695549999</v>
      </c>
      <c r="AH8485">
        <v>31.038800964244</v>
      </c>
      <c r="AI8485">
        <v>92.069058393287605</v>
      </c>
      <c r="AJ8485">
        <v>89.686494174450502</v>
      </c>
      <c r="AK8485">
        <v>31.0595152735524</v>
      </c>
      <c r="AL8485">
        <v>97.563354490186697</v>
      </c>
      <c r="AM8485">
        <v>90.898733888029398</v>
      </c>
      <c r="AN8485">
        <v>1.00000002390164</v>
      </c>
    </row>
    <row r="8486" spans="1:40" x14ac:dyDescent="0.25">
      <c r="A8486" t="str">
        <f>"20190303154343403"</f>
        <v>20190303154343403</v>
      </c>
      <c r="B8486" t="str">
        <f>"1551599023398058"</f>
        <v>1551599023398058</v>
      </c>
      <c r="C8486" t="s">
        <v>40</v>
      </c>
      <c r="D8486">
        <v>6.0679119999999998</v>
      </c>
      <c r="E8486">
        <v>0.50636840000000005</v>
      </c>
      <c r="F8486" t="s">
        <v>41</v>
      </c>
      <c r="G8486">
        <v>-188.57839999999999</v>
      </c>
      <c r="H8486" s="1">
        <v>-3.7427460000000002E-6</v>
      </c>
      <c r="I8486">
        <v>7.7693979999999998</v>
      </c>
      <c r="J8486">
        <v>-188.0667</v>
      </c>
      <c r="K8486">
        <v>1.1212799999999901</v>
      </c>
      <c r="L8486">
        <v>-25.330690000000001</v>
      </c>
      <c r="M8486">
        <v>-2.3834839999999999E-2</v>
      </c>
      <c r="N8486">
        <v>-2.5634949999999998E-3</v>
      </c>
      <c r="O8486">
        <v>0.99971259999999995</v>
      </c>
      <c r="P8486">
        <v>-3.7303969999999999E-2</v>
      </c>
      <c r="Q8486">
        <v>-0.13156229999999999</v>
      </c>
      <c r="R8486">
        <v>0.99060579999999998</v>
      </c>
      <c r="S8486">
        <v>-4.6981809999999999E-2</v>
      </c>
      <c r="T8486">
        <v>-0.1013192</v>
      </c>
      <c r="U8486">
        <v>3.0139770000000001</v>
      </c>
      <c r="V8486">
        <v>-1.3045319999999999E-2</v>
      </c>
      <c r="W8486">
        <v>-0.1290869</v>
      </c>
      <c r="X8486">
        <v>0.99154750000000003</v>
      </c>
      <c r="Y8486">
        <v>8.2574859999999996E-3</v>
      </c>
      <c r="Z8486">
        <v>-3.101887E-2</v>
      </c>
      <c r="AA8486">
        <v>0.9994847</v>
      </c>
      <c r="AB8486">
        <v>27</v>
      </c>
      <c r="AC8486">
        <v>-0.51169999999999005</v>
      </c>
      <c r="AD8486">
        <v>-1.1212837427459901</v>
      </c>
      <c r="AE8486">
        <v>33.100088</v>
      </c>
      <c r="AF8486">
        <v>0.27706541060405798</v>
      </c>
      <c r="AG8486">
        <v>-1.1212837427459901</v>
      </c>
      <c r="AH8486">
        <v>33.0649461442936</v>
      </c>
      <c r="AI8486">
        <v>91.942176557240302</v>
      </c>
      <c r="AJ8486">
        <v>89.519905247176894</v>
      </c>
      <c r="AK8486">
        <v>33.085113057061399</v>
      </c>
      <c r="AL8486">
        <v>97.416830760400799</v>
      </c>
      <c r="AM8486">
        <v>90.753769896993603</v>
      </c>
      <c r="AN8486">
        <v>1.0000000264408799</v>
      </c>
    </row>
    <row r="8487" spans="1:40" x14ac:dyDescent="0.25">
      <c r="A8487" t="str">
        <f>"20190303154343425"</f>
        <v>20190303154343425</v>
      </c>
      <c r="B8487" t="str">
        <f>"1551599023418554"</f>
        <v>1551599023418554</v>
      </c>
      <c r="C8487" t="s">
        <v>40</v>
      </c>
      <c r="D8487">
        <v>6.0740720000000001</v>
      </c>
      <c r="E8487">
        <v>0.50586169999999997</v>
      </c>
      <c r="F8487" t="s">
        <v>41</v>
      </c>
      <c r="G8487">
        <v>-188.64689999999999</v>
      </c>
      <c r="H8487" s="1">
        <v>-3.6896619999999998E-6</v>
      </c>
      <c r="I8487">
        <v>7.6739689999999996</v>
      </c>
      <c r="J8487">
        <v>-188.0753</v>
      </c>
      <c r="K8487">
        <v>1.1211580000000001</v>
      </c>
      <c r="L8487">
        <v>-25.075589999999998</v>
      </c>
      <c r="M8487">
        <v>-2.6283839999999999E-2</v>
      </c>
      <c r="N8487">
        <v>-2.6219559999999999E-3</v>
      </c>
      <c r="O8487">
        <v>0.99965110000000001</v>
      </c>
      <c r="P8487">
        <v>-3.806996E-2</v>
      </c>
      <c r="Q8487">
        <v>-0.1315769</v>
      </c>
      <c r="R8487">
        <v>0.99057470000000003</v>
      </c>
      <c r="S8487">
        <v>-5.2963259999999998E-2</v>
      </c>
      <c r="T8487">
        <v>-0.102357</v>
      </c>
      <c r="U8487">
        <v>3.012848</v>
      </c>
      <c r="V8487">
        <v>-1.142176E-2</v>
      </c>
      <c r="W8487">
        <v>-0.1290319</v>
      </c>
      <c r="X8487">
        <v>0.99157459999999997</v>
      </c>
      <c r="Y8487">
        <v>8.7177309999999994E-3</v>
      </c>
      <c r="Z8487">
        <v>-3.131312E-2</v>
      </c>
      <c r="AA8487">
        <v>0.99947160000000002</v>
      </c>
      <c r="AB8487">
        <v>27</v>
      </c>
      <c r="AC8487">
        <v>-0.57159999999998901</v>
      </c>
      <c r="AD8487">
        <v>-1.121161689662</v>
      </c>
      <c r="AE8487">
        <v>32.749558999999998</v>
      </c>
      <c r="AF8487">
        <v>0.28904593238995901</v>
      </c>
      <c r="AG8487">
        <v>-1.121161689662</v>
      </c>
      <c r="AH8487">
        <v>32.714938453259499</v>
      </c>
      <c r="AI8487">
        <v>91.962717978908103</v>
      </c>
      <c r="AJ8487">
        <v>89.493788407329106</v>
      </c>
      <c r="AK8487">
        <v>32.7354204049063</v>
      </c>
      <c r="AL8487">
        <v>97.413653578262497</v>
      </c>
      <c r="AM8487">
        <v>90.659950044612103</v>
      </c>
      <c r="AN8487">
        <v>0.99999993759213102</v>
      </c>
    </row>
    <row r="8488" spans="1:40" x14ac:dyDescent="0.25">
      <c r="A8488" t="str">
        <f>"20190303154343446"</f>
        <v>20190303154343446</v>
      </c>
      <c r="B8488" t="str">
        <f>"1551599023438075"</f>
        <v>1551599023438075</v>
      </c>
      <c r="C8488" t="s">
        <v>40</v>
      </c>
      <c r="D8488">
        <v>6.1134219999999999</v>
      </c>
      <c r="E8488">
        <v>0.50259209999999999</v>
      </c>
      <c r="F8488" t="s">
        <v>41</v>
      </c>
      <c r="G8488">
        <v>-188.68549999999999</v>
      </c>
      <c r="H8488" s="1">
        <v>-2.6805430000000001E-6</v>
      </c>
      <c r="I8488">
        <v>5.3376939999999999</v>
      </c>
      <c r="J8488">
        <v>-188.08500000000001</v>
      </c>
      <c r="K8488">
        <v>1.120997</v>
      </c>
      <c r="L8488">
        <v>-24.80264</v>
      </c>
      <c r="M8488">
        <v>-2.8640309999999999E-2</v>
      </c>
      <c r="N8488">
        <v>-2.6824309999999999E-3</v>
      </c>
      <c r="O8488">
        <v>0.99958619999999998</v>
      </c>
      <c r="P8488">
        <v>-3.9927459999999998E-2</v>
      </c>
      <c r="Q8488">
        <v>-0.13177420000000001</v>
      </c>
      <c r="R8488">
        <v>0.99047529999999995</v>
      </c>
      <c r="S8488">
        <v>-6.0424800000000001E-2</v>
      </c>
      <c r="T8488">
        <v>-0.11101560000000001</v>
      </c>
      <c r="U8488">
        <v>3.0114749999999999</v>
      </c>
      <c r="V8488">
        <v>-1.0994139999999999E-2</v>
      </c>
      <c r="W8488">
        <v>-0.12916279999999999</v>
      </c>
      <c r="X8488">
        <v>0.99156239999999995</v>
      </c>
      <c r="Y8488">
        <v>8.5932969999999997E-3</v>
      </c>
      <c r="Z8488">
        <v>-3.413215E-2</v>
      </c>
      <c r="AA8488">
        <v>0.99938039999999995</v>
      </c>
      <c r="AB8488">
        <v>27</v>
      </c>
      <c r="AC8488">
        <v>-0.60049999999998205</v>
      </c>
      <c r="AD8488">
        <v>-1.120999680543</v>
      </c>
      <c r="AE8488">
        <v>30.140333999999999</v>
      </c>
      <c r="AF8488">
        <v>0.26261480816213001</v>
      </c>
      <c r="AG8488">
        <v>-1.120999680543</v>
      </c>
      <c r="AH8488">
        <v>30.103542815197699</v>
      </c>
      <c r="AI8488">
        <v>92.132521311817897</v>
      </c>
      <c r="AJ8488">
        <v>89.500180475311794</v>
      </c>
      <c r="AK8488">
        <v>30.1255522247756</v>
      </c>
      <c r="AL8488">
        <v>97.421216819718694</v>
      </c>
      <c r="AM8488">
        <v>90.635252012267102</v>
      </c>
      <c r="AN8488">
        <v>0.99999994655596802</v>
      </c>
    </row>
    <row r="8489" spans="1:40" x14ac:dyDescent="0.25">
      <c r="A8489" t="str">
        <f>"20190303154343470"</f>
        <v>20190303154343470</v>
      </c>
      <c r="B8489" t="str">
        <f>"1551599023458576"</f>
        <v>1551599023458576</v>
      </c>
      <c r="C8489" t="s">
        <v>40</v>
      </c>
      <c r="D8489">
        <v>6.3855449999999996</v>
      </c>
      <c r="E8489">
        <v>0.50319150000000001</v>
      </c>
      <c r="F8489" t="s">
        <v>41</v>
      </c>
      <c r="G8489">
        <v>-188.67670000000001</v>
      </c>
      <c r="H8489" s="1">
        <v>-2.1185909999999999E-6</v>
      </c>
      <c r="I8489">
        <v>-5.9759149999999996</v>
      </c>
      <c r="J8489">
        <v>-188.0958</v>
      </c>
      <c r="K8489">
        <v>1.1208100000000001</v>
      </c>
      <c r="L8489">
        <v>-24.51013</v>
      </c>
      <c r="M8489">
        <v>-3.0853479999999999E-2</v>
      </c>
      <c r="N8489">
        <v>-2.7456270000000001E-3</v>
      </c>
      <c r="O8489">
        <v>0.99952010000000002</v>
      </c>
      <c r="P8489">
        <v>-4.1049040000000002E-2</v>
      </c>
      <c r="Q8489">
        <v>-0.13211700000000001</v>
      </c>
      <c r="R8489">
        <v>0.99038380000000004</v>
      </c>
      <c r="S8489">
        <v>-9.4314579999999995E-2</v>
      </c>
      <c r="T8489">
        <v>-0.17870520000000001</v>
      </c>
      <c r="U8489">
        <v>3.0012819999999998</v>
      </c>
      <c r="V8489">
        <v>-9.9838540000000003E-3</v>
      </c>
      <c r="W8489">
        <v>-0.12943370000000001</v>
      </c>
      <c r="X8489">
        <v>0.99153780000000002</v>
      </c>
      <c r="Y8489">
        <v>-5.0543739999999999E-4</v>
      </c>
      <c r="Z8489">
        <v>-5.6641030000000002E-2</v>
      </c>
      <c r="AA8489">
        <v>0.99839449999999996</v>
      </c>
      <c r="AB8489">
        <v>28</v>
      </c>
      <c r="AC8489">
        <v>-0.58090000000001396</v>
      </c>
      <c r="AD8489">
        <v>-1.1208121185910001</v>
      </c>
      <c r="AE8489">
        <v>18.534215</v>
      </c>
      <c r="AF8489">
        <v>-8.7442818746310495E-3</v>
      </c>
      <c r="AG8489">
        <v>-1.1208121185910001</v>
      </c>
      <c r="AH8489">
        <v>18.475815431512501</v>
      </c>
      <c r="AI8489">
        <v>93.471521720892895</v>
      </c>
      <c r="AJ8489">
        <v>90.027117093193397</v>
      </c>
      <c r="AK8489">
        <v>18.5097826061508</v>
      </c>
      <c r="AL8489">
        <v>97.436869357708801</v>
      </c>
      <c r="AM8489">
        <v>90.576895168917702</v>
      </c>
      <c r="AN8489">
        <v>0.99999998443261096</v>
      </c>
    </row>
    <row r="8490" spans="1:40" x14ac:dyDescent="0.25">
      <c r="A8490" t="str">
        <f>"20190303154343490"</f>
        <v>20190303154343490</v>
      </c>
      <c r="B8490" t="str">
        <f>"1551599023488827"</f>
        <v>1551599023488827</v>
      </c>
      <c r="C8490" t="s">
        <v>40</v>
      </c>
      <c r="D8490">
        <v>6.1179540000000001</v>
      </c>
      <c r="E8490">
        <v>0.50349549999999998</v>
      </c>
      <c r="F8490" t="s">
        <v>41</v>
      </c>
      <c r="G8490">
        <v>-188.69069999999999</v>
      </c>
      <c r="H8490" s="1">
        <v>-2.3736239999999998E-6</v>
      </c>
      <c r="I8490">
        <v>-5.375623</v>
      </c>
      <c r="J8490">
        <v>-188.10560000000001</v>
      </c>
      <c r="K8490">
        <v>1.1206389999999999</v>
      </c>
      <c r="L8490">
        <v>-24.251370000000001</v>
      </c>
      <c r="M8490">
        <v>-3.2531919999999999E-2</v>
      </c>
      <c r="N8490">
        <v>-2.8008680000000002E-3</v>
      </c>
      <c r="O8490">
        <v>0.99946679999999999</v>
      </c>
      <c r="P8490">
        <v>-4.1924240000000002E-2</v>
      </c>
      <c r="Q8490">
        <v>-0.13140959999999999</v>
      </c>
      <c r="R8490">
        <v>0.99044129999999997</v>
      </c>
      <c r="S8490">
        <v>-9.3322749999999996E-2</v>
      </c>
      <c r="T8490">
        <v>-0.17583180000000001</v>
      </c>
      <c r="U8490">
        <v>3.0018009999999999</v>
      </c>
      <c r="V8490">
        <v>-9.253832E-3</v>
      </c>
      <c r="W8490">
        <v>-0.128664</v>
      </c>
      <c r="X8490">
        <v>0.991645</v>
      </c>
      <c r="Y8490">
        <v>1.5068709999999999E-3</v>
      </c>
      <c r="Z8490">
        <v>-5.561986E-2</v>
      </c>
      <c r="AA8490">
        <v>0.99845090000000003</v>
      </c>
      <c r="AB8490">
        <v>28</v>
      </c>
      <c r="AC8490">
        <v>-0.58509999999998197</v>
      </c>
      <c r="AD8490">
        <v>-1.120641373624</v>
      </c>
      <c r="AE8490">
        <v>18.875747</v>
      </c>
      <c r="AF8490">
        <v>2.91736503613572E-2</v>
      </c>
      <c r="AG8490">
        <v>-1.120641373624</v>
      </c>
      <c r="AH8490">
        <v>18.818524017862199</v>
      </c>
      <c r="AI8490">
        <v>93.407929719316499</v>
      </c>
      <c r="AJ8490">
        <v>89.911176578033206</v>
      </c>
      <c r="AK8490">
        <v>18.851884107457501</v>
      </c>
      <c r="AL8490">
        <v>97.392397315003507</v>
      </c>
      <c r="AM8490">
        <v>90.534657189004903</v>
      </c>
      <c r="AN8490">
        <v>0.99999993216383898</v>
      </c>
    </row>
    <row r="8491" spans="1:40" x14ac:dyDescent="0.25">
      <c r="A8491" t="str">
        <f>"20190303154343514"</f>
        <v>20190303154343514</v>
      </c>
      <c r="B8491" t="str">
        <f>"1551599023508347"</f>
        <v>1551599023508347</v>
      </c>
      <c r="C8491" t="s">
        <v>40</v>
      </c>
      <c r="D8491">
        <v>6.0987559999999998</v>
      </c>
      <c r="E8491">
        <v>0.50376989999999999</v>
      </c>
      <c r="F8491" t="s">
        <v>41</v>
      </c>
      <c r="G8491">
        <v>-188.73480000000001</v>
      </c>
      <c r="H8491" s="1">
        <v>-2.9107980000000001E-6</v>
      </c>
      <c r="I8491">
        <v>-4.1052210000000002</v>
      </c>
      <c r="J8491">
        <v>-188.1164</v>
      </c>
      <c r="K8491">
        <v>1.1204449999999999</v>
      </c>
      <c r="L8491">
        <v>-23.9697</v>
      </c>
      <c r="M8491">
        <v>-3.4071079999999997E-2</v>
      </c>
      <c r="N8491">
        <v>-2.8607010000000002E-3</v>
      </c>
      <c r="O8491">
        <v>0.99941530000000001</v>
      </c>
      <c r="P8491">
        <v>-4.3248490000000001E-2</v>
      </c>
      <c r="Q8491">
        <v>-0.1300047</v>
      </c>
      <c r="R8491">
        <v>0.9905697</v>
      </c>
      <c r="S8491">
        <v>-9.3780520000000006E-2</v>
      </c>
      <c r="T8491">
        <v>-0.16703460000000001</v>
      </c>
      <c r="U8491">
        <v>3.0028380000000001</v>
      </c>
      <c r="V8491">
        <v>-9.1156109999999992E-3</v>
      </c>
      <c r="W8491">
        <v>-0.127194</v>
      </c>
      <c r="X8491">
        <v>0.99183600000000005</v>
      </c>
      <c r="Y8491">
        <v>2.9003710000000001E-3</v>
      </c>
      <c r="Z8491">
        <v>-5.2622820000000001E-2</v>
      </c>
      <c r="AA8491">
        <v>0.99861029999999995</v>
      </c>
      <c r="AB8491">
        <v>28</v>
      </c>
      <c r="AC8491">
        <v>-0.61840000000000805</v>
      </c>
      <c r="AD8491">
        <v>-1.1204479107979901</v>
      </c>
      <c r="AE8491">
        <v>19.864478999999999</v>
      </c>
      <c r="AF8491">
        <v>5.8579882974532503E-2</v>
      </c>
      <c r="AG8491">
        <v>-1.1204479107979901</v>
      </c>
      <c r="AH8491">
        <v>19.8110480753828</v>
      </c>
      <c r="AI8491">
        <v>93.236998840577996</v>
      </c>
      <c r="AJ8491">
        <v>89.830580882748094</v>
      </c>
      <c r="AK8491">
        <v>19.842793678528</v>
      </c>
      <c r="AL8491">
        <v>97.307474009415202</v>
      </c>
      <c r="AM8491">
        <v>90.526570252799203</v>
      </c>
      <c r="AN8491">
        <v>1.0000000294479501</v>
      </c>
    </row>
    <row r="8492" spans="1:40" x14ac:dyDescent="0.25">
      <c r="A8492" t="str">
        <f>"20190303154343536"</f>
        <v>20190303154343536</v>
      </c>
      <c r="B8492" t="str">
        <f>"1551599023528843"</f>
        <v>1551599023528843</v>
      </c>
      <c r="C8492" t="s">
        <v>40</v>
      </c>
      <c r="D8492">
        <v>6.1100329999999996</v>
      </c>
      <c r="E8492">
        <v>0.50402840000000004</v>
      </c>
      <c r="F8492" t="s">
        <v>41</v>
      </c>
      <c r="G8492">
        <v>-188.78659999999999</v>
      </c>
      <c r="H8492" s="1">
        <v>-3.3865129999999998E-6</v>
      </c>
      <c r="I8492">
        <v>-2.9748800000000002</v>
      </c>
      <c r="J8492">
        <v>-188.12739999999999</v>
      </c>
      <c r="K8492">
        <v>1.1202490000000001</v>
      </c>
      <c r="L8492">
        <v>-23.68524</v>
      </c>
      <c r="M8492">
        <v>-3.5329579999999999E-2</v>
      </c>
      <c r="N8492">
        <v>-2.920902E-3</v>
      </c>
      <c r="O8492">
        <v>0.99937149999999997</v>
      </c>
      <c r="P8492">
        <v>-4.4428349999999998E-2</v>
      </c>
      <c r="Q8492">
        <v>-0.12932739999999901</v>
      </c>
      <c r="R8492">
        <v>0.99060610000000004</v>
      </c>
      <c r="S8492">
        <v>-9.587097E-2</v>
      </c>
      <c r="T8492">
        <v>-0.16028110000000001</v>
      </c>
      <c r="U8492">
        <v>3.0033259999999999</v>
      </c>
      <c r="V8492">
        <v>-9.1089159999999999E-3</v>
      </c>
      <c r="W8492">
        <v>-0.12645209999999901</v>
      </c>
      <c r="X8492">
        <v>0.99193089999999995</v>
      </c>
      <c r="Y8492">
        <v>3.4664639999999998E-3</v>
      </c>
      <c r="Z8492">
        <v>-5.0313139999999999E-2</v>
      </c>
      <c r="AA8492">
        <v>0.99872749999999999</v>
      </c>
      <c r="AB8492">
        <v>28</v>
      </c>
      <c r="AC8492">
        <v>-0.65919999999999801</v>
      </c>
      <c r="AD8492">
        <v>-1.1202523865130001</v>
      </c>
      <c r="AE8492">
        <v>20.710360000000001</v>
      </c>
      <c r="AF8492">
        <v>7.2690466478854798E-2</v>
      </c>
      <c r="AG8492">
        <v>-1.1202523865130001</v>
      </c>
      <c r="AH8492">
        <v>20.660331628518701</v>
      </c>
      <c r="AI8492">
        <v>93.103655162522202</v>
      </c>
      <c r="AJ8492">
        <v>89.798413702659403</v>
      </c>
      <c r="AK8492">
        <v>20.690808401649601</v>
      </c>
      <c r="AL8492">
        <v>97.264620397439899</v>
      </c>
      <c r="AM8492">
        <v>90.526133194553793</v>
      </c>
      <c r="AN8492">
        <v>1.00000000815995</v>
      </c>
    </row>
    <row r="8493" spans="1:40" x14ac:dyDescent="0.25">
      <c r="A8493" t="str">
        <f>"20190303154343559"</f>
        <v>20190303154343559</v>
      </c>
      <c r="B8493" t="str">
        <f>"1551599023548363"</f>
        <v>1551599023548363</v>
      </c>
      <c r="C8493" t="s">
        <v>40</v>
      </c>
      <c r="D8493">
        <v>5.9915269999999996</v>
      </c>
      <c r="E8493">
        <v>0.50935039999999998</v>
      </c>
      <c r="F8493" t="s">
        <v>41</v>
      </c>
      <c r="G8493">
        <v>-188.81389999999999</v>
      </c>
      <c r="H8493" s="1">
        <v>-3.5856009999999998E-6</v>
      </c>
      <c r="I8493">
        <v>-2.4995069999999999</v>
      </c>
      <c r="J8493">
        <v>-188.13849999999999</v>
      </c>
      <c r="K8493">
        <v>1.1200760000000001</v>
      </c>
      <c r="L8493">
        <v>-23.404509999999998</v>
      </c>
      <c r="M8493">
        <v>-3.6284610000000002E-2</v>
      </c>
      <c r="N8493">
        <v>-2.97978E-3</v>
      </c>
      <c r="O8493">
        <v>0.99933709999999998</v>
      </c>
      <c r="P8493">
        <v>-4.5141819999999999E-2</v>
      </c>
      <c r="Q8493">
        <v>-0.1291542</v>
      </c>
      <c r="R8493">
        <v>0.99059649999999999</v>
      </c>
      <c r="S8493">
        <v>-9.732056E-2</v>
      </c>
      <c r="T8493">
        <v>-0.1588106</v>
      </c>
      <c r="U8493">
        <v>3.0033569999999998</v>
      </c>
      <c r="V8493">
        <v>-8.9308679999999998E-3</v>
      </c>
      <c r="W8493">
        <v>-0.12621599999999999</v>
      </c>
      <c r="X8493">
        <v>0.99196260000000003</v>
      </c>
      <c r="Y8493">
        <v>3.9399609999999996E-3</v>
      </c>
      <c r="Z8493">
        <v>-4.9763710000000003E-2</v>
      </c>
      <c r="AA8493">
        <v>0.99875320000000001</v>
      </c>
      <c r="AB8493">
        <v>28</v>
      </c>
      <c r="AC8493">
        <v>-0.675399999999996</v>
      </c>
      <c r="AD8493">
        <v>-1.120079585601</v>
      </c>
      <c r="AE8493">
        <v>20.905003000000001</v>
      </c>
      <c r="AF8493">
        <v>8.3338973840838201E-2</v>
      </c>
      <c r="AG8493">
        <v>-1.120079585601</v>
      </c>
      <c r="AH8493">
        <v>20.855933593316099</v>
      </c>
      <c r="AI8493">
        <v>93.074124102400802</v>
      </c>
      <c r="AJ8493">
        <v>89.771050956116696</v>
      </c>
      <c r="AK8493">
        <v>20.8861554555033</v>
      </c>
      <c r="AL8493">
        <v>97.250983520496007</v>
      </c>
      <c r="AM8493">
        <v>90.515833176182596</v>
      </c>
      <c r="AN8493">
        <v>1.00000001942899</v>
      </c>
    </row>
    <row r="8494" spans="1:40" x14ac:dyDescent="0.25">
      <c r="A8494" t="str">
        <f>"20190303154343582"</f>
        <v>20190303154343582</v>
      </c>
      <c r="B8494" t="str">
        <f>"1551599023578619"</f>
        <v>1551599023578619</v>
      </c>
      <c r="C8494" t="s">
        <v>40</v>
      </c>
      <c r="D8494">
        <v>6.0453000000000001</v>
      </c>
      <c r="E8494">
        <v>0.50929749999999996</v>
      </c>
      <c r="F8494" t="s">
        <v>41</v>
      </c>
      <c r="G8494">
        <v>-188.4863</v>
      </c>
      <c r="H8494" s="1">
        <v>-2.503184E-6</v>
      </c>
      <c r="I8494">
        <v>-5.1581380000000001</v>
      </c>
      <c r="J8494">
        <v>-188.1506</v>
      </c>
      <c r="K8494">
        <v>1.11992</v>
      </c>
      <c r="L8494">
        <v>-23.094390000000001</v>
      </c>
      <c r="M8494">
        <v>-3.7102450000000002E-2</v>
      </c>
      <c r="N8494">
        <v>-3.0441969999999998E-3</v>
      </c>
      <c r="O8494">
        <v>0.9993069</v>
      </c>
      <c r="P8494">
        <v>-4.602121E-2</v>
      </c>
      <c r="Q8494">
        <v>-0.1293232</v>
      </c>
      <c r="R8494">
        <v>0.99053389999999997</v>
      </c>
      <c r="S8494">
        <v>-5.7220460000000001E-2</v>
      </c>
      <c r="T8494">
        <v>-0.1842734</v>
      </c>
      <c r="U8494">
        <v>3.001862</v>
      </c>
      <c r="V8494">
        <v>-9.0508930000000008E-3</v>
      </c>
      <c r="W8494">
        <v>-0.12631769999999901</v>
      </c>
      <c r="X8494">
        <v>0.99194850000000001</v>
      </c>
      <c r="Y8494">
        <v>1.8081320000000001E-2</v>
      </c>
      <c r="Z8494">
        <v>-5.8159589999999997E-2</v>
      </c>
      <c r="AA8494">
        <v>0.99814360000000002</v>
      </c>
      <c r="AB8494">
        <v>28</v>
      </c>
      <c r="AC8494">
        <v>-0.335700000000002</v>
      </c>
      <c r="AD8494">
        <v>-1.1199225031839899</v>
      </c>
      <c r="AE8494">
        <v>17.936252</v>
      </c>
      <c r="AF8494">
        <v>0.32873191596076201</v>
      </c>
      <c r="AG8494">
        <v>-1.1199225031839899</v>
      </c>
      <c r="AH8494">
        <v>17.866726089101199</v>
      </c>
      <c r="AI8494">
        <v>93.586117358989398</v>
      </c>
      <c r="AJ8494">
        <v>88.945927399831703</v>
      </c>
      <c r="AK8494">
        <v>17.904809192746999</v>
      </c>
      <c r="AL8494">
        <v>97.256857997069204</v>
      </c>
      <c r="AM8494">
        <v>90.5227726834908</v>
      </c>
      <c r="AN8494">
        <v>0.99999995332481695</v>
      </c>
    </row>
    <row r="8495" spans="1:40" x14ac:dyDescent="0.25">
      <c r="A8495" t="str">
        <f>"20190303154343603"</f>
        <v>20190303154343603</v>
      </c>
      <c r="B8495" t="str">
        <f>"1551599023598139"</f>
        <v>1551599023598139</v>
      </c>
      <c r="C8495" t="s">
        <v>40</v>
      </c>
      <c r="D8495">
        <v>5.9945440000000003</v>
      </c>
      <c r="E8495">
        <v>0.50455329999999998</v>
      </c>
      <c r="F8495" t="s">
        <v>41</v>
      </c>
      <c r="G8495">
        <v>-188.52340000000001</v>
      </c>
      <c r="H8495" s="1">
        <v>-2.7884470000000001E-6</v>
      </c>
      <c r="I8495">
        <v>-4.4778229999999999</v>
      </c>
      <c r="J8495">
        <v>-188.16149999999999</v>
      </c>
      <c r="K8495">
        <v>1.119799</v>
      </c>
      <c r="L8495">
        <v>-22.818210000000001</v>
      </c>
      <c r="M8495">
        <v>-3.765392E-2</v>
      </c>
      <c r="N8495">
        <v>-3.1019139999999999E-3</v>
      </c>
      <c r="O8495">
        <v>0.99928600000000001</v>
      </c>
      <c r="P8495">
        <v>-4.6575449999999997E-2</v>
      </c>
      <c r="Q8495">
        <v>-0.12998879999999999</v>
      </c>
      <c r="R8495">
        <v>0.99042090000000005</v>
      </c>
      <c r="S8495">
        <v>-6.011963E-2</v>
      </c>
      <c r="T8495">
        <v>-0.18060960000000001</v>
      </c>
      <c r="U8495">
        <v>3.0022890000000002</v>
      </c>
      <c r="V8495">
        <v>-9.0993770000000005E-3</v>
      </c>
      <c r="W8495">
        <v>-0.1269236</v>
      </c>
      <c r="X8495">
        <v>0.99187080000000005</v>
      </c>
      <c r="Y8495">
        <v>1.7670870000000002E-2</v>
      </c>
      <c r="Z8495">
        <v>-5.6878819999999997E-2</v>
      </c>
      <c r="AA8495">
        <v>0.99822469999999996</v>
      </c>
      <c r="AB8495">
        <v>29</v>
      </c>
      <c r="AC8495">
        <v>-0.36190000000001898</v>
      </c>
      <c r="AD8495">
        <v>-1.119801788447</v>
      </c>
      <c r="AE8495">
        <v>18.340387</v>
      </c>
      <c r="AF8495">
        <v>0.32772619437753697</v>
      </c>
      <c r="AG8495">
        <v>-1.119801788447</v>
      </c>
      <c r="AH8495">
        <v>18.272914367600801</v>
      </c>
      <c r="AI8495">
        <v>93.506255229366303</v>
      </c>
      <c r="AJ8495">
        <v>88.972505729800801</v>
      </c>
      <c r="AK8495">
        <v>18.310127252139999</v>
      </c>
      <c r="AL8495">
        <v>97.291854551371898</v>
      </c>
      <c r="AM8495">
        <v>90.525614095119593</v>
      </c>
      <c r="AN8495">
        <v>1.00000004139569</v>
      </c>
    </row>
    <row r="8496" spans="1:40" x14ac:dyDescent="0.25">
      <c r="A8496" t="str">
        <f>"20190303154343625"</f>
        <v>20190303154343625</v>
      </c>
      <c r="B8496" t="str">
        <f>"1551599023618635"</f>
        <v>1551599023618635</v>
      </c>
      <c r="C8496" t="s">
        <v>40</v>
      </c>
      <c r="D8496">
        <v>6.0405100000000003</v>
      </c>
      <c r="E8496">
        <v>0.50438839999999996</v>
      </c>
      <c r="F8496" t="s">
        <v>41</v>
      </c>
      <c r="G8496">
        <v>-188.685</v>
      </c>
      <c r="H8496" s="1">
        <v>-1.6066190000000001E-6</v>
      </c>
      <c r="I8496">
        <v>-7.1658589999999904</v>
      </c>
      <c r="J8496">
        <v>-188.17250000000001</v>
      </c>
      <c r="K8496">
        <v>1.119702</v>
      </c>
      <c r="L8496">
        <v>-22.538789999999999</v>
      </c>
      <c r="M8496">
        <v>-3.8051210000000002E-2</v>
      </c>
      <c r="N8496">
        <v>-3.1649019999999998E-3</v>
      </c>
      <c r="O8496">
        <v>0.99927080000000001</v>
      </c>
      <c r="P8496">
        <v>-4.6640870000000001E-2</v>
      </c>
      <c r="Q8496">
        <v>-0.12965860000000001</v>
      </c>
      <c r="R8496">
        <v>0.99046120000000004</v>
      </c>
      <c r="S8496">
        <v>-0.10021969999999999</v>
      </c>
      <c r="T8496">
        <v>-0.21435090000000001</v>
      </c>
      <c r="U8496">
        <v>2.9961549999999999</v>
      </c>
      <c r="V8496">
        <v>-8.8037500000000008E-3</v>
      </c>
      <c r="W8496">
        <v>-0.126528</v>
      </c>
      <c r="X8496">
        <v>0.99192400000000003</v>
      </c>
      <c r="Y8496">
        <v>4.7007300000000002E-3</v>
      </c>
      <c r="Z8496">
        <v>-6.8106829999999993E-2</v>
      </c>
      <c r="AA8496">
        <v>0.99766699999999997</v>
      </c>
      <c r="AB8496">
        <v>29</v>
      </c>
      <c r="AC8496">
        <v>-0.51249999999998797</v>
      </c>
      <c r="AD8496">
        <v>-1.119703606619</v>
      </c>
      <c r="AE8496">
        <v>15.372930999999999</v>
      </c>
      <c r="AF8496">
        <v>7.24487833424768E-2</v>
      </c>
      <c r="AG8496">
        <v>-1.119703606619</v>
      </c>
      <c r="AH8496">
        <v>15.3002200677118</v>
      </c>
      <c r="AI8496">
        <v>94.185522363929493</v>
      </c>
      <c r="AJ8496">
        <v>89.728698118437507</v>
      </c>
      <c r="AK8496">
        <v>15.341307607674601</v>
      </c>
      <c r="AL8496">
        <v>97.269004190578599</v>
      </c>
      <c r="AM8496">
        <v>90.508511211186203</v>
      </c>
      <c r="AN8496">
        <v>1.0000000312870301</v>
      </c>
    </row>
    <row r="8497" spans="1:40" x14ac:dyDescent="0.25">
      <c r="A8497" t="str">
        <f>"20190303154343647"</f>
        <v>20190303154343647</v>
      </c>
      <c r="B8497" t="str">
        <f>"1551599023638155"</f>
        <v>1551599023638155</v>
      </c>
      <c r="C8497" t="s">
        <v>40</v>
      </c>
      <c r="D8497">
        <v>6.0645949999999997</v>
      </c>
      <c r="E8497">
        <v>0.50421660000000001</v>
      </c>
      <c r="F8497" t="s">
        <v>41</v>
      </c>
      <c r="G8497">
        <v>-188.6943</v>
      </c>
      <c r="H8497" s="1">
        <v>-1.6077160000000001E-6</v>
      </c>
      <c r="I8497">
        <v>-7.1594689999999996</v>
      </c>
      <c r="J8497">
        <v>-188.18379999999999</v>
      </c>
      <c r="K8497">
        <v>1.1196109999999999</v>
      </c>
      <c r="L8497">
        <v>-22.25018</v>
      </c>
      <c r="M8497">
        <v>-3.8317200000000003E-2</v>
      </c>
      <c r="N8497">
        <v>-3.2397659999999998E-3</v>
      </c>
      <c r="O8497">
        <v>0.99926040000000005</v>
      </c>
      <c r="P8497">
        <v>-4.6537639999999998E-2</v>
      </c>
      <c r="Q8497">
        <v>-0.12939439999999999</v>
      </c>
      <c r="R8497">
        <v>0.99050059999999995</v>
      </c>
      <c r="S8497">
        <v>-0.1016388</v>
      </c>
      <c r="T8497">
        <v>-0.21809300000000001</v>
      </c>
      <c r="U8497">
        <v>2.9955440000000002</v>
      </c>
      <c r="V8497">
        <v>-8.4687740000000001E-3</v>
      </c>
      <c r="W8497">
        <v>-0.12618679999999999</v>
      </c>
      <c r="X8497">
        <v>0.99197040000000003</v>
      </c>
      <c r="Y8497">
        <v>4.490796E-3</v>
      </c>
      <c r="Z8497">
        <v>-6.9283159999999996E-2</v>
      </c>
      <c r="AA8497">
        <v>0.99758690000000005</v>
      </c>
      <c r="AB8497">
        <v>29</v>
      </c>
      <c r="AC8497">
        <v>-0.51050000000000695</v>
      </c>
      <c r="AD8497">
        <v>-1.119612607716</v>
      </c>
      <c r="AE8497">
        <v>15.090711000000001</v>
      </c>
      <c r="AF8497">
        <v>6.7739269932806795E-2</v>
      </c>
      <c r="AG8497">
        <v>-1.119612607716</v>
      </c>
      <c r="AH8497">
        <v>15.0166254952634</v>
      </c>
      <c r="AI8497">
        <v>94.263937748301501</v>
      </c>
      <c r="AJ8497">
        <v>89.741543268133199</v>
      </c>
      <c r="AK8497">
        <v>15.058458163605099</v>
      </c>
      <c r="AL8497">
        <v>97.249296765306994</v>
      </c>
      <c r="AM8497">
        <v>90.489140824841797</v>
      </c>
      <c r="AN8497">
        <v>1.00000005155173</v>
      </c>
    </row>
    <row r="8498" spans="1:40" x14ac:dyDescent="0.25">
      <c r="A8498" t="str">
        <f>"20190303154343670"</f>
        <v>20190303154343670</v>
      </c>
      <c r="B8498" t="str">
        <f>"1551599023658654"</f>
        <v>1551599023658654</v>
      </c>
      <c r="C8498" t="s">
        <v>40</v>
      </c>
      <c r="D8498">
        <v>6.040025</v>
      </c>
      <c r="E8498">
        <v>0.50448190000000004</v>
      </c>
      <c r="F8498" t="s">
        <v>41</v>
      </c>
      <c r="G8498">
        <v>-188.70500000000001</v>
      </c>
      <c r="H8498" s="1">
        <v>-1.661903E-6</v>
      </c>
      <c r="I8498">
        <v>-7.028721</v>
      </c>
      <c r="J8498">
        <v>-188.1953</v>
      </c>
      <c r="K8498">
        <v>1.119532</v>
      </c>
      <c r="L8498">
        <v>-21.954470000000001</v>
      </c>
      <c r="M8498">
        <v>-3.8475389999999998E-2</v>
      </c>
      <c r="N8498">
        <v>-3.3263849999999998E-3</v>
      </c>
      <c r="O8498">
        <v>0.99925399999999998</v>
      </c>
      <c r="P8498">
        <v>-4.675087E-2</v>
      </c>
      <c r="Q8498">
        <v>-0.12861019999999901</v>
      </c>
      <c r="R8498">
        <v>0.99059269999999999</v>
      </c>
      <c r="S8498">
        <v>-0.1025696</v>
      </c>
      <c r="T8498">
        <v>-0.22031000000000001</v>
      </c>
      <c r="U8498">
        <v>2.9951780000000001</v>
      </c>
      <c r="V8498">
        <v>-8.5506100000000002E-3</v>
      </c>
      <c r="W8498">
        <v>-0.12531439999999999</v>
      </c>
      <c r="X8498">
        <v>0.99208019999999997</v>
      </c>
      <c r="Y8498">
        <v>4.336899E-3</v>
      </c>
      <c r="Z8498">
        <v>-6.9938050000000002E-2</v>
      </c>
      <c r="AA8498">
        <v>0.99754189999999998</v>
      </c>
      <c r="AB8498">
        <v>29</v>
      </c>
      <c r="AC8498">
        <v>-0.50970000000000903</v>
      </c>
      <c r="AD8498">
        <v>-1.1195336619030001</v>
      </c>
      <c r="AE8498">
        <v>14.925749</v>
      </c>
      <c r="AF8498">
        <v>6.4591638903770801E-2</v>
      </c>
      <c r="AG8498">
        <v>-1.1195336619030001</v>
      </c>
      <c r="AH8498">
        <v>14.8508540622298</v>
      </c>
      <c r="AI8498">
        <v>94.311055345542499</v>
      </c>
      <c r="AJ8498">
        <v>89.750801876462901</v>
      </c>
      <c r="AK8498">
        <v>14.893132446789</v>
      </c>
      <c r="AL8498">
        <v>97.1989125761948</v>
      </c>
      <c r="AM8498">
        <v>90.493812632016002</v>
      </c>
      <c r="AN8498">
        <v>0.999999967505385</v>
      </c>
    </row>
    <row r="8499" spans="1:40" x14ac:dyDescent="0.25">
      <c r="A8499" t="str">
        <f>"20190303154343691"</f>
        <v>20190303154343691</v>
      </c>
      <c r="B8499" t="str">
        <f>"1551599023688907"</f>
        <v>1551599023688907</v>
      </c>
      <c r="C8499" t="s">
        <v>40</v>
      </c>
      <c r="D8499">
        <v>6.0387180000000003</v>
      </c>
      <c r="E8499">
        <v>0.50497970000000003</v>
      </c>
      <c r="F8499" t="s">
        <v>41</v>
      </c>
      <c r="G8499">
        <v>-188.71369999999999</v>
      </c>
      <c r="H8499" s="1">
        <v>-1.824252E-6</v>
      </c>
      <c r="I8499">
        <v>-6.6467070000000001</v>
      </c>
      <c r="J8499">
        <v>-188.20599999999999</v>
      </c>
      <c r="K8499">
        <v>1.1194649999999999</v>
      </c>
      <c r="L8499">
        <v>-21.67923</v>
      </c>
      <c r="M8499">
        <v>-3.8539770000000001E-2</v>
      </c>
      <c r="N8499">
        <v>-3.414135E-3</v>
      </c>
      <c r="O8499">
        <v>0.99925120000000001</v>
      </c>
      <c r="P8499">
        <v>-4.673716E-2</v>
      </c>
      <c r="Q8499">
        <v>-0.12818099999999999</v>
      </c>
      <c r="R8499">
        <v>0.99064890000000005</v>
      </c>
      <c r="S8499">
        <v>-0.10142519999999999</v>
      </c>
      <c r="T8499">
        <v>-0.21905920000000001</v>
      </c>
      <c r="U8499">
        <v>2.9952700000000001</v>
      </c>
      <c r="V8499">
        <v>-8.4929830000000008E-3</v>
      </c>
      <c r="W8499">
        <v>-0.1247964</v>
      </c>
      <c r="X8499">
        <v>0.99214599999999997</v>
      </c>
      <c r="Y8499">
        <v>4.7818069999999999E-3</v>
      </c>
      <c r="Z8499">
        <v>-6.9434679999999999E-2</v>
      </c>
      <c r="AA8499">
        <v>0.99757499999999999</v>
      </c>
      <c r="AB8499">
        <v>29</v>
      </c>
      <c r="AC8499">
        <v>-0.50769999999999904</v>
      </c>
      <c r="AD8499">
        <v>-1.1194668242519901</v>
      </c>
      <c r="AE8499">
        <v>15.032522999999999</v>
      </c>
      <c r="AF8499">
        <v>7.1633758150632595E-2</v>
      </c>
      <c r="AG8499">
        <v>-1.1194668242519901</v>
      </c>
      <c r="AH8499">
        <v>14.9580626087702</v>
      </c>
      <c r="AI8499">
        <v>94.280008916386507</v>
      </c>
      <c r="AJ8499">
        <v>89.725614155789003</v>
      </c>
      <c r="AK8499">
        <v>15.000065812315601</v>
      </c>
      <c r="AL8499">
        <v>97.168998447490196</v>
      </c>
      <c r="AM8499">
        <v>90.490452207668</v>
      </c>
      <c r="AN8499">
        <v>0.99999997876459801</v>
      </c>
    </row>
    <row r="8500" spans="1:40" x14ac:dyDescent="0.25">
      <c r="A8500" t="str">
        <f>"20190303154343714"</f>
        <v>20190303154343714</v>
      </c>
      <c r="B8500" t="str">
        <f>"1551599023708427"</f>
        <v>1551599023708427</v>
      </c>
      <c r="C8500" t="s">
        <v>40</v>
      </c>
      <c r="D8500">
        <v>6.0371360000000003</v>
      </c>
      <c r="E8500">
        <v>0.50516870000000003</v>
      </c>
      <c r="F8500" t="s">
        <v>41</v>
      </c>
      <c r="G8500">
        <v>-188.70570000000001</v>
      </c>
      <c r="H8500" s="1">
        <v>-1.951821E-6</v>
      </c>
      <c r="I8500">
        <v>-6.3526379999999998</v>
      </c>
      <c r="J8500">
        <v>-188.21770000000001</v>
      </c>
      <c r="K8500">
        <v>1.119416</v>
      </c>
      <c r="L8500">
        <v>-21.378810000000001</v>
      </c>
      <c r="M8500">
        <v>-3.8533369999999997E-2</v>
      </c>
      <c r="N8500">
        <v>-3.5152349999999998E-3</v>
      </c>
      <c r="O8500">
        <v>0.99925109999999995</v>
      </c>
      <c r="P8500">
        <v>-4.6718570000000001E-2</v>
      </c>
      <c r="Q8500">
        <v>-0.1283926</v>
      </c>
      <c r="R8500">
        <v>0.99062240000000001</v>
      </c>
      <c r="S8500">
        <v>-9.765625E-2</v>
      </c>
      <c r="T8500">
        <v>-0.21878590000000001</v>
      </c>
      <c r="U8500">
        <v>2.9953919999999998</v>
      </c>
      <c r="V8500">
        <v>-8.5018530000000002E-3</v>
      </c>
      <c r="W8500">
        <v>-0.1249065</v>
      </c>
      <c r="X8500">
        <v>0.99213209999999996</v>
      </c>
      <c r="Y8500">
        <v>6.0299669999999998E-3</v>
      </c>
      <c r="Z8500">
        <v>-6.9241720000000007E-2</v>
      </c>
      <c r="AA8500">
        <v>0.99758170000000002</v>
      </c>
      <c r="AB8500">
        <v>29</v>
      </c>
      <c r="AC8500">
        <v>-0.48799999999999899</v>
      </c>
      <c r="AD8500">
        <v>-1.1194179518209999</v>
      </c>
      <c r="AE8500">
        <v>15.026172000000001</v>
      </c>
      <c r="AF8500">
        <v>9.0871277708203205E-2</v>
      </c>
      <c r="AG8500">
        <v>-1.1194179518209999</v>
      </c>
      <c r="AH8500">
        <v>14.950927299177399</v>
      </c>
      <c r="AI8500">
        <v>94.281827827266497</v>
      </c>
      <c r="AJ8500">
        <v>89.651762297010904</v>
      </c>
      <c r="AK8500">
        <v>14.993051098600899</v>
      </c>
      <c r="AL8500">
        <v>97.175356239531496</v>
      </c>
      <c r="AM8500">
        <v>90.490971284955506</v>
      </c>
      <c r="AN8500">
        <v>1.00000000954854</v>
      </c>
    </row>
    <row r="8501" spans="1:40" x14ac:dyDescent="0.25">
      <c r="A8501" t="str">
        <f>"20190303154343736"</f>
        <v>20190303154343736</v>
      </c>
      <c r="B8501" t="str">
        <f>"1551599023728923"</f>
        <v>1551599023728923</v>
      </c>
      <c r="C8501" t="s">
        <v>40</v>
      </c>
      <c r="D8501">
        <v>6.0264699999999998</v>
      </c>
      <c r="E8501">
        <v>0.50553679999999901</v>
      </c>
      <c r="F8501" t="s">
        <v>41</v>
      </c>
      <c r="G8501">
        <v>-188.702</v>
      </c>
      <c r="H8501" s="1">
        <v>-1.988965E-6</v>
      </c>
      <c r="I8501">
        <v>-6.2675749999999999</v>
      </c>
      <c r="J8501">
        <v>-188.22880000000001</v>
      </c>
      <c r="K8501">
        <v>1.119373</v>
      </c>
      <c r="L8501">
        <v>-21.088529999999999</v>
      </c>
      <c r="M8501">
        <v>-3.8455990000000002E-2</v>
      </c>
      <c r="N8501">
        <v>-3.6150349999999999E-3</v>
      </c>
      <c r="O8501">
        <v>0.99925370000000002</v>
      </c>
      <c r="P8501">
        <v>-4.6738019999999998E-2</v>
      </c>
      <c r="Q8501">
        <v>-0.12865190000000001</v>
      </c>
      <c r="R8501">
        <v>0.99058780000000002</v>
      </c>
      <c r="S8501">
        <v>-9.6008300000000005E-2</v>
      </c>
      <c r="T8501">
        <v>-0.22187380000000001</v>
      </c>
      <c r="U8501">
        <v>2.995117</v>
      </c>
      <c r="V8501">
        <v>-8.6156919999999994E-3</v>
      </c>
      <c r="W8501">
        <v>-0.1250658</v>
      </c>
      <c r="X8501">
        <v>0.99211099999999997</v>
      </c>
      <c r="Y8501">
        <v>6.4998479999999999E-3</v>
      </c>
      <c r="Z8501">
        <v>-7.0171200000000003E-2</v>
      </c>
      <c r="AA8501">
        <v>0.99751380000000001</v>
      </c>
      <c r="AB8501">
        <v>29</v>
      </c>
      <c r="AC8501">
        <v>-0.47319999999999102</v>
      </c>
      <c r="AD8501">
        <v>-1.119374988965</v>
      </c>
      <c r="AE8501">
        <v>14.8209549999999</v>
      </c>
      <c r="AF8501">
        <v>9.6558055634742498E-2</v>
      </c>
      <c r="AG8501">
        <v>-1.119374988965</v>
      </c>
      <c r="AH8501">
        <v>14.744170374154301</v>
      </c>
      <c r="AI8501">
        <v>94.341464873567205</v>
      </c>
      <c r="AJ8501">
        <v>89.624781195777203</v>
      </c>
      <c r="AK8501">
        <v>14.7869159680482</v>
      </c>
      <c r="AL8501">
        <v>97.1845559489675</v>
      </c>
      <c r="AM8501">
        <v>90.497555596430303</v>
      </c>
      <c r="AN8501">
        <v>0.99999996039963801</v>
      </c>
    </row>
    <row r="8502" spans="1:40" x14ac:dyDescent="0.25">
      <c r="A8502" t="str">
        <f>"20190303154343759"</f>
        <v>20190303154343759</v>
      </c>
      <c r="B8502" t="str">
        <f>"1551599023748446"</f>
        <v>1551599023748446</v>
      </c>
      <c r="C8502" t="s">
        <v>40</v>
      </c>
      <c r="D8502">
        <v>6.0459670000000001</v>
      </c>
      <c r="E8502">
        <v>0.5056908</v>
      </c>
      <c r="F8502" t="s">
        <v>42</v>
      </c>
      <c r="G8502">
        <v>-188.2594</v>
      </c>
      <c r="H8502">
        <v>1.0456909999999999</v>
      </c>
      <c r="I8502">
        <v>-20.10155</v>
      </c>
      <c r="J8502">
        <v>-188.24019999999999</v>
      </c>
      <c r="K8502">
        <v>1.1193310000000001</v>
      </c>
      <c r="L8502">
        <v>-20.789280000000002</v>
      </c>
      <c r="M8502">
        <v>-3.8311100000000001E-2</v>
      </c>
      <c r="N8502">
        <v>-3.7166209999999998E-3</v>
      </c>
      <c r="O8502">
        <v>0.99925889999999995</v>
      </c>
      <c r="P8502">
        <v>-4.7121839999999998E-2</v>
      </c>
      <c r="Q8502">
        <v>-0.12913559999999999</v>
      </c>
      <c r="R8502">
        <v>0.99050669999999996</v>
      </c>
      <c r="S8502">
        <v>-9.3368530000000005E-2</v>
      </c>
      <c r="T8502">
        <v>-0.22356409999999999</v>
      </c>
      <c r="U8502">
        <v>2.9950559999999999</v>
      </c>
      <c r="V8502">
        <v>-9.161176E-3</v>
      </c>
      <c r="W8502">
        <v>-0.1254479</v>
      </c>
      <c r="X8502">
        <v>0.99205790000000005</v>
      </c>
      <c r="Y8502">
        <v>7.2333939999999998E-3</v>
      </c>
      <c r="Z8502">
        <v>-7.0631940000000004E-2</v>
      </c>
      <c r="AA8502">
        <v>0.99747620000000004</v>
      </c>
      <c r="AB8502">
        <v>30</v>
      </c>
      <c r="AC8502">
        <v>-1.9200000000011999E-2</v>
      </c>
      <c r="AD8502">
        <v>-7.36399999999999E-2</v>
      </c>
      <c r="AE8502">
        <v>0.68772999999999795</v>
      </c>
      <c r="AF8502">
        <v>7.08084973834239E-3</v>
      </c>
      <c r="AG8502">
        <v>-7.36399999999999E-2</v>
      </c>
      <c r="AH8502">
        <v>0.68016830978006104</v>
      </c>
      <c r="AI8502">
        <v>96.178859499828604</v>
      </c>
      <c r="AJ8502">
        <v>89.403547409986302</v>
      </c>
      <c r="AK8502">
        <v>0.68417974075682897</v>
      </c>
      <c r="AL8502">
        <v>97.206622242062807</v>
      </c>
      <c r="AM8502">
        <v>90.529083837264807</v>
      </c>
      <c r="AN8502">
        <v>0.99999998985626104</v>
      </c>
    </row>
    <row r="8503" spans="1:40" x14ac:dyDescent="0.25">
      <c r="A8503" t="str">
        <f>"20190303154343784"</f>
        <v>20190303154343784</v>
      </c>
      <c r="B8503" t="str">
        <f>"1551599023778229"</f>
        <v>1551599023778229</v>
      </c>
      <c r="C8503" t="s">
        <v>40</v>
      </c>
      <c r="D8503">
        <v>6.0770960000000001</v>
      </c>
      <c r="E8503">
        <v>0.50596229999999998</v>
      </c>
      <c r="F8503" t="s">
        <v>42</v>
      </c>
      <c r="G8503">
        <v>-188.27</v>
      </c>
      <c r="H8503">
        <v>1.046702</v>
      </c>
      <c r="I8503">
        <v>-19.833690000000001</v>
      </c>
      <c r="J8503">
        <v>-188.25280000000001</v>
      </c>
      <c r="K8503">
        <v>1.119302</v>
      </c>
      <c r="L8503">
        <v>-20.45581</v>
      </c>
      <c r="M8503">
        <v>-3.8094669999999997E-2</v>
      </c>
      <c r="N8503">
        <v>-3.8266099999999998E-3</v>
      </c>
      <c r="O8503">
        <v>0.99926680000000001</v>
      </c>
      <c r="P8503">
        <v>-4.7360260000000001E-2</v>
      </c>
      <c r="Q8503">
        <v>-0.12872929999999999</v>
      </c>
      <c r="R8503">
        <v>0.99054819999999999</v>
      </c>
      <c r="S8503">
        <v>-9.3704220000000005E-2</v>
      </c>
      <c r="T8503">
        <v>-0.22756970000000001</v>
      </c>
      <c r="U8503">
        <v>2.9946290000000002</v>
      </c>
      <c r="V8503">
        <v>-9.6268139999999992E-3</v>
      </c>
      <c r="W8503">
        <v>-0.124931</v>
      </c>
      <c r="X8503">
        <v>0.99211870000000002</v>
      </c>
      <c r="Y8503">
        <v>6.9034300000000003E-3</v>
      </c>
      <c r="Z8503">
        <v>-7.185859E-2</v>
      </c>
      <c r="AA8503">
        <v>0.99739089999999997</v>
      </c>
      <c r="AB8503">
        <v>30</v>
      </c>
      <c r="AC8503">
        <v>-1.7200000000002501E-2</v>
      </c>
      <c r="AD8503">
        <v>-7.2599999999999998E-2</v>
      </c>
      <c r="AE8503">
        <v>0.62211999999999801</v>
      </c>
      <c r="AF8503">
        <v>6.4246879623144496E-3</v>
      </c>
      <c r="AG8503">
        <v>-7.2599999999999998E-2</v>
      </c>
      <c r="AH8503">
        <v>0.61396878743052896</v>
      </c>
      <c r="AI8503">
        <v>96.743376500648296</v>
      </c>
      <c r="AJ8503">
        <v>89.4004677802765</v>
      </c>
      <c r="AK8503">
        <v>0.61827963621190596</v>
      </c>
      <c r="AL8503">
        <v>97.176771335079295</v>
      </c>
      <c r="AM8503">
        <v>90.555940032525896</v>
      </c>
      <c r="AN8503">
        <v>0.99999997259924001</v>
      </c>
    </row>
    <row r="8504" spans="1:40" x14ac:dyDescent="0.25">
      <c r="A8504" t="str">
        <f>"20190303154343805"</f>
        <v>20190303154343805</v>
      </c>
      <c r="B8504" t="str">
        <f>"1551599023798727"</f>
        <v>1551599023798727</v>
      </c>
      <c r="C8504" t="s">
        <v>40</v>
      </c>
      <c r="D8504">
        <v>6.0829209999999998</v>
      </c>
      <c r="E8504">
        <v>0.50614369999999997</v>
      </c>
      <c r="F8504" t="s">
        <v>41</v>
      </c>
      <c r="G8504">
        <v>-188.70349999999999</v>
      </c>
      <c r="H8504" s="1">
        <v>-2.1736210000000002E-6</v>
      </c>
      <c r="I8504">
        <v>-5.8365169999999997</v>
      </c>
      <c r="J8504">
        <v>-188.2638</v>
      </c>
      <c r="K8504">
        <v>1.1192770000000001</v>
      </c>
      <c r="L8504">
        <v>-20.163150000000002</v>
      </c>
      <c r="M8504">
        <v>-3.7857099999999998E-2</v>
      </c>
      <c r="N8504">
        <v>-3.9195410000000003E-3</v>
      </c>
      <c r="O8504">
        <v>0.99927549999999998</v>
      </c>
      <c r="P8504">
        <v>-4.7961570000000002E-2</v>
      </c>
      <c r="Q8504">
        <v>-0.12728780000000001</v>
      </c>
      <c r="R8504">
        <v>0.99070550000000002</v>
      </c>
      <c r="S8504">
        <v>-9.2315670000000002E-2</v>
      </c>
      <c r="T8504">
        <v>-0.22926279999999999</v>
      </c>
      <c r="U8504">
        <v>2.994415</v>
      </c>
      <c r="V8504">
        <v>-1.04695E-2</v>
      </c>
      <c r="W8504">
        <v>-0.1233953</v>
      </c>
      <c r="X8504">
        <v>0.99230240000000003</v>
      </c>
      <c r="Y8504">
        <v>7.1265310000000002E-3</v>
      </c>
      <c r="Z8504">
        <v>-7.2332740000000006E-2</v>
      </c>
      <c r="AA8504">
        <v>0.99735510000000005</v>
      </c>
      <c r="AB8504">
        <v>30</v>
      </c>
      <c r="AC8504">
        <v>-0.43969999999998699</v>
      </c>
      <c r="AD8504">
        <v>-1.1192791736209999</v>
      </c>
      <c r="AE8504">
        <v>14.326632999999999</v>
      </c>
      <c r="AF8504">
        <v>0.102359949545726</v>
      </c>
      <c r="AG8504">
        <v>-1.1192791736209999</v>
      </c>
      <c r="AH8504">
        <v>14.2461374779691</v>
      </c>
      <c r="AI8504">
        <v>94.492225370614804</v>
      </c>
      <c r="AJ8504">
        <v>89.588331069549497</v>
      </c>
      <c r="AK8504">
        <v>14.2904057489271</v>
      </c>
      <c r="AL8504">
        <v>97.088095587324602</v>
      </c>
      <c r="AM8504">
        <v>90.604489021535699</v>
      </c>
      <c r="AN8504">
        <v>1.0000000317690401</v>
      </c>
    </row>
    <row r="8505" spans="1:40" x14ac:dyDescent="0.25">
      <c r="A8505" t="str">
        <f>"20190303154343828"</f>
        <v>20190303154343828</v>
      </c>
      <c r="B8505" t="str">
        <f>"1551599023818246"</f>
        <v>1551599023818246</v>
      </c>
      <c r="C8505" t="s">
        <v>40</v>
      </c>
      <c r="D8505">
        <v>6.0602280000000004</v>
      </c>
      <c r="E8505">
        <v>0.50628109999999904</v>
      </c>
      <c r="F8505" t="s">
        <v>41</v>
      </c>
      <c r="G8505">
        <v>-188.7242</v>
      </c>
      <c r="H8505" s="1">
        <v>-2.393544E-6</v>
      </c>
      <c r="I8505">
        <v>-5.3153100000000002</v>
      </c>
      <c r="J8505">
        <v>-188.27500000000001</v>
      </c>
      <c r="K8505">
        <v>1.119248</v>
      </c>
      <c r="L8505">
        <v>-19.860810000000001</v>
      </c>
      <c r="M8505">
        <v>-3.7553789999999997E-2</v>
      </c>
      <c r="N8505">
        <v>-4.0116609999999997E-3</v>
      </c>
      <c r="O8505">
        <v>0.99928649999999997</v>
      </c>
      <c r="P8505">
        <v>-4.9107129999999999E-2</v>
      </c>
      <c r="Q8505">
        <v>-0.12576329999999999</v>
      </c>
      <c r="R8505">
        <v>0.99084410000000001</v>
      </c>
      <c r="S8505">
        <v>-9.2864989999999994E-2</v>
      </c>
      <c r="T8505">
        <v>-0.22574520000000001</v>
      </c>
      <c r="U8505">
        <v>2.9946290000000002</v>
      </c>
      <c r="V8505">
        <v>-1.192357E-2</v>
      </c>
      <c r="W8505">
        <v>-0.1217768</v>
      </c>
      <c r="X8505">
        <v>0.99248590000000003</v>
      </c>
      <c r="Y8505">
        <v>6.6396869999999896E-3</v>
      </c>
      <c r="Z8505">
        <v>-7.1073319999999995E-2</v>
      </c>
      <c r="AA8505">
        <v>0.99744900000000003</v>
      </c>
      <c r="AB8505">
        <v>30</v>
      </c>
      <c r="AC8505">
        <v>-0.44919999999999</v>
      </c>
      <c r="AD8505">
        <v>-1.1192503935439999</v>
      </c>
      <c r="AE8505">
        <v>14.545500000000001</v>
      </c>
      <c r="AF8505">
        <v>9.6787410404915397E-2</v>
      </c>
      <c r="AG8505">
        <v>-1.1192503935439999</v>
      </c>
      <c r="AH8505">
        <v>14.466533694917601</v>
      </c>
      <c r="AI8505">
        <v>94.423962363937207</v>
      </c>
      <c r="AJ8505">
        <v>89.6166720029277</v>
      </c>
      <c r="AK8505">
        <v>14.5100891242076</v>
      </c>
      <c r="AL8505">
        <v>96.994657786172993</v>
      </c>
      <c r="AM8505">
        <v>90.688309398351706</v>
      </c>
      <c r="AN8505">
        <v>1.0000000111192899</v>
      </c>
    </row>
    <row r="8506" spans="1:40" x14ac:dyDescent="0.25">
      <c r="A8506" t="str">
        <f>"20190303154343848"</f>
        <v>20190303154343848</v>
      </c>
      <c r="B8506" t="str">
        <f>"1551599023838742"</f>
        <v>1551599023838742</v>
      </c>
      <c r="C8506" t="s">
        <v>40</v>
      </c>
      <c r="D8506">
        <v>6.0727710000000004</v>
      </c>
      <c r="E8506">
        <v>0.50648679999999902</v>
      </c>
      <c r="F8506" t="s">
        <v>41</v>
      </c>
      <c r="G8506">
        <v>-188.75450000000001</v>
      </c>
      <c r="H8506" s="1">
        <v>-2.6010350000000001E-6</v>
      </c>
      <c r="I8506">
        <v>-4.8191129999999998</v>
      </c>
      <c r="J8506">
        <v>-188.2852</v>
      </c>
      <c r="K8506">
        <v>1.1192089999999999</v>
      </c>
      <c r="L8506">
        <v>-19.581050000000001</v>
      </c>
      <c r="M8506">
        <v>-3.7209939999999997E-2</v>
      </c>
      <c r="N8506">
        <v>-4.0932929999999996E-3</v>
      </c>
      <c r="O8506">
        <v>0.9992991</v>
      </c>
      <c r="P8506">
        <v>-4.9948319999999997E-2</v>
      </c>
      <c r="Q8506">
        <v>-0.1249932</v>
      </c>
      <c r="R8506">
        <v>0.99089950000000004</v>
      </c>
      <c r="S8506">
        <v>-9.5474240000000002E-2</v>
      </c>
      <c r="T8506">
        <v>-0.2228367</v>
      </c>
      <c r="U8506">
        <v>2.99472</v>
      </c>
      <c r="V8506">
        <v>-1.3118009999999999E-2</v>
      </c>
      <c r="W8506">
        <v>-0.120923</v>
      </c>
      <c r="X8506">
        <v>0.99257519999999999</v>
      </c>
      <c r="Y8506">
        <v>5.4261789999999997E-3</v>
      </c>
      <c r="Z8506">
        <v>-7.0028309999999996E-2</v>
      </c>
      <c r="AA8506">
        <v>0.99753020000000003</v>
      </c>
      <c r="AB8506">
        <v>30</v>
      </c>
      <c r="AC8506">
        <v>-0.46930000000000399</v>
      </c>
      <c r="AD8506">
        <v>-1.1192116010349999</v>
      </c>
      <c r="AE8506">
        <v>14.761937</v>
      </c>
      <c r="AF8506">
        <v>7.9861790058048596E-2</v>
      </c>
      <c r="AG8506">
        <v>-1.1192116010349999</v>
      </c>
      <c r="AH8506">
        <v>14.6848491641608</v>
      </c>
      <c r="AI8506">
        <v>94.358330386755796</v>
      </c>
      <c r="AJ8506">
        <v>89.688406850241293</v>
      </c>
      <c r="AK8506">
        <v>14.7276545141294</v>
      </c>
      <c r="AL8506">
        <v>96.945374575671096</v>
      </c>
      <c r="AM8506">
        <v>90.757184798779207</v>
      </c>
      <c r="AN8506">
        <v>0.99999999088519997</v>
      </c>
    </row>
    <row r="8507" spans="1:40" x14ac:dyDescent="0.25">
      <c r="A8507" t="str">
        <f>"20190303154343871"</f>
        <v>20190303154343871</v>
      </c>
      <c r="B8507" t="str">
        <f>"1551599023868531"</f>
        <v>1551599023868531</v>
      </c>
      <c r="C8507" t="s">
        <v>40</v>
      </c>
      <c r="D8507">
        <v>6.069388</v>
      </c>
      <c r="E8507">
        <v>0.50688630000000001</v>
      </c>
      <c r="F8507" t="s">
        <v>41</v>
      </c>
      <c r="G8507">
        <v>-188.7714</v>
      </c>
      <c r="H8507" s="1">
        <v>-2.7266529999999998E-6</v>
      </c>
      <c r="I8507">
        <v>-4.5193199999999996</v>
      </c>
      <c r="J8507">
        <v>-188.2963</v>
      </c>
      <c r="K8507">
        <v>1.1191580000000001</v>
      </c>
      <c r="L8507">
        <v>-19.273040000000002</v>
      </c>
      <c r="M8507">
        <v>-3.6756270000000001E-2</v>
      </c>
      <c r="N8507">
        <v>-4.1794370000000003E-3</v>
      </c>
      <c r="O8507">
        <v>0.99931550000000002</v>
      </c>
      <c r="P8507">
        <v>-5.1775519999999998E-2</v>
      </c>
      <c r="Q8507">
        <v>-0.1238659</v>
      </c>
      <c r="R8507">
        <v>0.99094729999999998</v>
      </c>
      <c r="S8507">
        <v>-9.6664429999999996E-2</v>
      </c>
      <c r="T8507">
        <v>-0.22252569999999999</v>
      </c>
      <c r="U8507">
        <v>2.9946290000000002</v>
      </c>
      <c r="V8507">
        <v>-1.541149E-2</v>
      </c>
      <c r="W8507">
        <v>-0.11970600000000001</v>
      </c>
      <c r="X8507">
        <v>0.99268979999999996</v>
      </c>
      <c r="Y8507">
        <v>4.5748999999999998E-3</v>
      </c>
      <c r="Z8507">
        <v>-6.9843310000000006E-2</v>
      </c>
      <c r="AA8507">
        <v>0.99754750000000003</v>
      </c>
      <c r="AB8507">
        <v>30</v>
      </c>
      <c r="AC8507">
        <v>-0.47509999999999702</v>
      </c>
      <c r="AD8507">
        <v>-1.1191607266529999</v>
      </c>
      <c r="AE8507">
        <v>14.7537199999999</v>
      </c>
      <c r="AF8507">
        <v>6.7131626933506605E-2</v>
      </c>
      <c r="AG8507">
        <v>-1.1191607266529999</v>
      </c>
      <c r="AH8507">
        <v>14.6768477739683</v>
      </c>
      <c r="AI8507">
        <v>94.360518602006806</v>
      </c>
      <c r="AJ8507">
        <v>89.737932004808201</v>
      </c>
      <c r="AK8507">
        <v>14.7196089610987</v>
      </c>
      <c r="AL8507">
        <v>96.875135039551594</v>
      </c>
      <c r="AM8507">
        <v>90.889444417072795</v>
      </c>
      <c r="AN8507">
        <v>1.0000000397420199</v>
      </c>
    </row>
    <row r="8508" spans="1:40" x14ac:dyDescent="0.25">
      <c r="A8508" t="str">
        <f>"20190303154343905"</f>
        <v>20190303154343905</v>
      </c>
      <c r="B8508" t="str">
        <f>"1551599023898787"</f>
        <v>1551599023898787</v>
      </c>
      <c r="C8508" t="s">
        <v>40</v>
      </c>
      <c r="D8508">
        <v>6.0003129999999896</v>
      </c>
      <c r="E8508">
        <v>0.50794600000000001</v>
      </c>
      <c r="F8508" t="s">
        <v>41</v>
      </c>
      <c r="G8508">
        <v>-188.7997</v>
      </c>
      <c r="H8508" s="1">
        <v>-2.8978200000000001E-6</v>
      </c>
      <c r="I8508">
        <v>-4.1086489999999998</v>
      </c>
      <c r="J8508">
        <v>-188.3124</v>
      </c>
      <c r="K8508">
        <v>1.119067</v>
      </c>
      <c r="L8508">
        <v>-18.81195</v>
      </c>
      <c r="M8508">
        <v>-3.5915679999999998E-2</v>
      </c>
      <c r="N8508">
        <v>-4.3013610000000001E-3</v>
      </c>
      <c r="O8508">
        <v>0.9993455</v>
      </c>
      <c r="P8508">
        <v>-5.4212639999999999E-2</v>
      </c>
      <c r="Q8508">
        <v>-0.1228592</v>
      </c>
      <c r="R8508">
        <v>0.99094230000000005</v>
      </c>
      <c r="S8508">
        <v>-9.9395750000000005E-2</v>
      </c>
      <c r="T8508">
        <v>-0.22100700000000001</v>
      </c>
      <c r="U8508">
        <v>2.9945979999999999</v>
      </c>
      <c r="V8508">
        <v>-1.8711809999999999E-2</v>
      </c>
      <c r="W8508">
        <v>-0.1185705</v>
      </c>
      <c r="X8508">
        <v>0.99276929999999997</v>
      </c>
      <c r="Y8508">
        <v>2.8234029999999999E-3</v>
      </c>
      <c r="Z8508">
        <v>-6.9222500000000006E-2</v>
      </c>
      <c r="AA8508">
        <v>0.99759730000000002</v>
      </c>
      <c r="AB8508">
        <v>30</v>
      </c>
      <c r="AC8508">
        <v>-0.48730000000000401</v>
      </c>
      <c r="AD8508">
        <v>-1.11906989782</v>
      </c>
      <c r="AE8508">
        <v>14.703301</v>
      </c>
      <c r="AF8508">
        <v>4.0861931245363602E-2</v>
      </c>
      <c r="AG8508">
        <v>-1.11906989782</v>
      </c>
      <c r="AH8508">
        <v>14.6266807479918</v>
      </c>
      <c r="AI8508">
        <v>94.375091320565403</v>
      </c>
      <c r="AJ8508">
        <v>89.839935652333594</v>
      </c>
      <c r="AK8508">
        <v>14.6694845457264</v>
      </c>
      <c r="AL8508">
        <v>96.809609329017107</v>
      </c>
      <c r="AM8508">
        <v>91.079788437692201</v>
      </c>
      <c r="AN8508">
        <v>0.99999998916310795</v>
      </c>
    </row>
    <row r="8509" spans="1:40" x14ac:dyDescent="0.25">
      <c r="A8509" t="str">
        <f>"20190303154343926"</f>
        <v>20190303154343926</v>
      </c>
      <c r="B8509" t="str">
        <f>"1551599023918306"</f>
        <v>1551599023918306</v>
      </c>
      <c r="C8509" t="s">
        <v>40</v>
      </c>
      <c r="D8509">
        <v>5.9692410000000002</v>
      </c>
      <c r="E8509">
        <v>0.50832339999999998</v>
      </c>
      <c r="F8509" t="s">
        <v>41</v>
      </c>
      <c r="G8509">
        <v>-188.8389</v>
      </c>
      <c r="H8509" s="1">
        <v>-3.4352179999999998E-6</v>
      </c>
      <c r="I8509">
        <v>-2.8397250000000001</v>
      </c>
      <c r="J8509">
        <v>-188.32239999999999</v>
      </c>
      <c r="K8509">
        <v>1.1190119999999999</v>
      </c>
      <c r="L8509">
        <v>-18.519169999999999</v>
      </c>
      <c r="M8509">
        <v>-3.5293419999999999E-2</v>
      </c>
      <c r="N8509">
        <v>-4.3747370000000001E-3</v>
      </c>
      <c r="O8509">
        <v>0.99936740000000002</v>
      </c>
      <c r="P8509">
        <v>-5.5675019999999999E-2</v>
      </c>
      <c r="Q8509">
        <v>-0.1211716</v>
      </c>
      <c r="R8509">
        <v>0.99106899999999998</v>
      </c>
      <c r="S8509">
        <v>-9.8754880000000003E-2</v>
      </c>
      <c r="T8509">
        <v>-0.2099105</v>
      </c>
      <c r="U8509">
        <v>2.9960019999999998</v>
      </c>
      <c r="V8509">
        <v>-2.0802850000000001E-2</v>
      </c>
      <c r="W8509">
        <v>-0.1168038</v>
      </c>
      <c r="X8509">
        <v>0.99293710000000002</v>
      </c>
      <c r="Y8509">
        <v>2.4210920000000001E-3</v>
      </c>
      <c r="Z8509">
        <v>-6.544585E-2</v>
      </c>
      <c r="AA8509">
        <v>0.9978532</v>
      </c>
      <c r="AB8509">
        <v>31</v>
      </c>
      <c r="AC8509">
        <v>-0.51650000000000695</v>
      </c>
      <c r="AD8509">
        <v>-1.119015435218</v>
      </c>
      <c r="AE8509">
        <v>15.679444999999999</v>
      </c>
      <c r="AF8509">
        <v>3.7019977906661297E-2</v>
      </c>
      <c r="AG8509">
        <v>-1.119015435218</v>
      </c>
      <c r="AH8509">
        <v>15.608490975714</v>
      </c>
      <c r="AI8509">
        <v>94.100663732510498</v>
      </c>
      <c r="AJ8509">
        <v>89.864107009592601</v>
      </c>
      <c r="AK8509">
        <v>15.6485959933141</v>
      </c>
      <c r="AL8509">
        <v>96.7076765259702</v>
      </c>
      <c r="AM8509">
        <v>91.200218181811593</v>
      </c>
      <c r="AN8509">
        <v>0.99999998540948598</v>
      </c>
    </row>
    <row r="8510" spans="1:40" x14ac:dyDescent="0.25">
      <c r="A8510" t="str">
        <f>"20190303154343949"</f>
        <v>20190303154343949</v>
      </c>
      <c r="B8510" t="str">
        <f>"1551599023938805"</f>
        <v>1551599023938805</v>
      </c>
      <c r="C8510" t="s">
        <v>40</v>
      </c>
      <c r="D8510">
        <v>6.1318409999999997</v>
      </c>
      <c r="E8510">
        <v>0.50846559999999996</v>
      </c>
      <c r="F8510" t="s">
        <v>41</v>
      </c>
      <c r="G8510">
        <v>-188.87370000000001</v>
      </c>
      <c r="H8510" s="1">
        <v>-3.765103E-6</v>
      </c>
      <c r="I8510">
        <v>-2.0563690000000001</v>
      </c>
      <c r="J8510">
        <v>-188.33320000000001</v>
      </c>
      <c r="K8510">
        <v>1.1189579999999999</v>
      </c>
      <c r="L8510">
        <v>-18.195530000000002</v>
      </c>
      <c r="M8510">
        <v>-3.4543419999999998E-2</v>
      </c>
      <c r="N8510">
        <v>-4.4524940000000004E-3</v>
      </c>
      <c r="O8510">
        <v>0.99939330000000004</v>
      </c>
      <c r="P8510">
        <v>-5.6749140000000003E-2</v>
      </c>
      <c r="Q8510">
        <v>-0.120118</v>
      </c>
      <c r="R8510">
        <v>0.99113629999999997</v>
      </c>
      <c r="S8510">
        <v>-0.10034179999999999</v>
      </c>
      <c r="T8510">
        <v>-0.20367869999999999</v>
      </c>
      <c r="U8510">
        <v>2.9964900000000001</v>
      </c>
      <c r="V8510">
        <v>-2.2634379999999999E-2</v>
      </c>
      <c r="W8510">
        <v>-0.1156672</v>
      </c>
      <c r="X8510">
        <v>0.99303010000000003</v>
      </c>
      <c r="Y8510">
        <v>1.1436839999999901E-3</v>
      </c>
      <c r="Z8510">
        <v>-6.3296069999999996E-2</v>
      </c>
      <c r="AA8510">
        <v>0.9979941</v>
      </c>
      <c r="AB8510">
        <v>31</v>
      </c>
      <c r="AC8510">
        <v>-0.54050000000000797</v>
      </c>
      <c r="AD8510">
        <v>-1.1189617651029999</v>
      </c>
      <c r="AE8510">
        <v>16.139160999999898</v>
      </c>
      <c r="AF8510">
        <v>1.7247096793019102E-2</v>
      </c>
      <c r="AG8510">
        <v>-1.1189617651029999</v>
      </c>
      <c r="AH8510">
        <v>16.071033901161599</v>
      </c>
      <c r="AI8510">
        <v>93.982845820156896</v>
      </c>
      <c r="AJ8510">
        <v>89.938511393740896</v>
      </c>
      <c r="AK8510">
        <v>16.109950451394798</v>
      </c>
      <c r="AL8510">
        <v>96.642109622115797</v>
      </c>
      <c r="AM8510">
        <v>91.305730742746107</v>
      </c>
      <c r="AN8510">
        <v>0.999999997909917</v>
      </c>
    </row>
    <row r="8511" spans="1:40" x14ac:dyDescent="0.25">
      <c r="A8511" t="str">
        <f>"20190303154343971"</f>
        <v>20190303154343971</v>
      </c>
      <c r="B8511" t="str">
        <f>"1551599023968082"</f>
        <v>1551599023968082</v>
      </c>
      <c r="C8511" t="s">
        <v>40</v>
      </c>
      <c r="D8511">
        <v>5.9997309999999997</v>
      </c>
      <c r="E8511">
        <v>0.50907219999999997</v>
      </c>
      <c r="F8511" t="s">
        <v>41</v>
      </c>
      <c r="G8511">
        <v>-188.89859999999999</v>
      </c>
      <c r="H8511" s="1">
        <v>-3.909693E-6</v>
      </c>
      <c r="I8511">
        <v>-1.709028</v>
      </c>
      <c r="J8511">
        <v>-188.34309999999999</v>
      </c>
      <c r="K8511">
        <v>1.118911</v>
      </c>
      <c r="L8511">
        <v>-17.885929999999998</v>
      </c>
      <c r="M8511">
        <v>-3.3779820000000002E-2</v>
      </c>
      <c r="N8511">
        <v>-4.5238659999999997E-3</v>
      </c>
      <c r="O8511">
        <v>0.99941899999999995</v>
      </c>
      <c r="P8511">
        <v>-5.7156770000000003E-2</v>
      </c>
      <c r="Q8511">
        <v>-0.1210883</v>
      </c>
      <c r="R8511">
        <v>0.99099479999999995</v>
      </c>
      <c r="S8511">
        <v>-0.102767899999999</v>
      </c>
      <c r="T8511">
        <v>-0.2033635</v>
      </c>
      <c r="U8511">
        <v>2.9963069999999998</v>
      </c>
      <c r="V8511">
        <v>-2.381848E-2</v>
      </c>
      <c r="W8511">
        <v>-0.1165631</v>
      </c>
      <c r="X8511">
        <v>0.99289760000000005</v>
      </c>
      <c r="Y8511">
        <v>-4.2967759999999999E-4</v>
      </c>
      <c r="Z8511">
        <v>-6.3126360000000006E-2</v>
      </c>
      <c r="AA8511">
        <v>0.99800540000000004</v>
      </c>
      <c r="AB8511">
        <v>31</v>
      </c>
      <c r="AC8511">
        <v>-0.555499999999995</v>
      </c>
      <c r="AD8511">
        <v>-1.118914909693</v>
      </c>
      <c r="AE8511">
        <v>16.176901999999998</v>
      </c>
      <c r="AF8511">
        <v>-8.6830147973052593E-3</v>
      </c>
      <c r="AG8511">
        <v>-1.118914909693</v>
      </c>
      <c r="AH8511">
        <v>16.109455483543101</v>
      </c>
      <c r="AI8511">
        <v>93.973212921400901</v>
      </c>
      <c r="AJ8511">
        <v>90.030882487224005</v>
      </c>
      <c r="AK8511">
        <v>16.148269317364502</v>
      </c>
      <c r="AL8511">
        <v>96.693790748528301</v>
      </c>
      <c r="AM8511">
        <v>91.374196785145301</v>
      </c>
      <c r="AN8511">
        <v>0.99999996017843895</v>
      </c>
    </row>
    <row r="8512" spans="1:40" x14ac:dyDescent="0.25">
      <c r="A8512" t="str">
        <f>"20190303154343997"</f>
        <v>20190303154343997</v>
      </c>
      <c r="B8512" t="str">
        <f>"1551599023988579"</f>
        <v>1551599023988579</v>
      </c>
      <c r="C8512" t="s">
        <v>40</v>
      </c>
      <c r="D8512">
        <v>6.1310549999999999</v>
      </c>
      <c r="E8512">
        <v>0.50944319999999998</v>
      </c>
      <c r="F8512" t="s">
        <v>41</v>
      </c>
      <c r="G8512">
        <v>-188.8854</v>
      </c>
      <c r="H8512" s="1">
        <v>-3.9824810000000001E-6</v>
      </c>
      <c r="I8512">
        <v>-1.54484</v>
      </c>
      <c r="J8512">
        <v>-188.3537</v>
      </c>
      <c r="K8512">
        <v>1.1188709999999999</v>
      </c>
      <c r="L8512">
        <v>-17.549469999999999</v>
      </c>
      <c r="M8512">
        <v>-3.291678E-2</v>
      </c>
      <c r="N8512">
        <v>-4.5984950000000002E-3</v>
      </c>
      <c r="O8512">
        <v>0.99944750000000004</v>
      </c>
      <c r="P8512">
        <v>-5.6572919999999999E-2</v>
      </c>
      <c r="Q8512">
        <v>-0.1227531</v>
      </c>
      <c r="R8512">
        <v>0.99082349999999997</v>
      </c>
      <c r="S8512">
        <v>-9.9426269999999997E-2</v>
      </c>
      <c r="T8512">
        <v>-0.2051752</v>
      </c>
      <c r="U8512">
        <v>2.9964599999999999</v>
      </c>
      <c r="V8512">
        <v>-2.4109350000000002E-2</v>
      </c>
      <c r="W8512">
        <v>-0.1181524</v>
      </c>
      <c r="X8512">
        <v>0.99270270000000005</v>
      </c>
      <c r="Y8512">
        <v>-1.7867060000000001E-4</v>
      </c>
      <c r="Z8512">
        <v>-6.3652470000000003E-2</v>
      </c>
      <c r="AA8512">
        <v>0.99797210000000003</v>
      </c>
      <c r="AB8512">
        <v>31</v>
      </c>
      <c r="AC8512">
        <v>-0.53169999999999995</v>
      </c>
      <c r="AD8512">
        <v>-1.118874982481</v>
      </c>
      <c r="AE8512">
        <v>16.004629999999999</v>
      </c>
      <c r="AF8512">
        <v>-4.5631227094913296E-3</v>
      </c>
      <c r="AG8512">
        <v>-1.118874982481</v>
      </c>
      <c r="AH8512">
        <v>15.9356618711591</v>
      </c>
      <c r="AI8512">
        <v>94.016261116330895</v>
      </c>
      <c r="AJ8512">
        <v>90.016406451619105</v>
      </c>
      <c r="AK8512">
        <v>15.9748934682027</v>
      </c>
      <c r="AL8512">
        <v>96.785484642360601</v>
      </c>
      <c r="AM8512">
        <v>91.391244835251598</v>
      </c>
      <c r="AN8512">
        <v>0.99999995048523505</v>
      </c>
    </row>
    <row r="8513" spans="1:40" x14ac:dyDescent="0.25">
      <c r="A8513" t="str">
        <f>"20190303154344015"</f>
        <v>20190303154344015</v>
      </c>
      <c r="B8513" t="str">
        <f>"1551599024008099"</f>
        <v>1551599024008099</v>
      </c>
      <c r="C8513" t="s">
        <v>40</v>
      </c>
      <c r="D8513">
        <v>6.0223879999999896</v>
      </c>
      <c r="E8513">
        <v>0.50973959999999996</v>
      </c>
      <c r="F8513" t="s">
        <v>41</v>
      </c>
      <c r="G8513">
        <v>-188.85820000000001</v>
      </c>
      <c r="H8513" s="1">
        <v>-3.9509989999999997E-6</v>
      </c>
      <c r="I8513">
        <v>-1.6294439999999999</v>
      </c>
      <c r="J8513">
        <v>-188.36199999999999</v>
      </c>
      <c r="K8513">
        <v>1.1188450000000001</v>
      </c>
      <c r="L8513">
        <v>-17.27487</v>
      </c>
      <c r="M8513">
        <v>-3.2196589999999997E-2</v>
      </c>
      <c r="N8513">
        <v>-4.6572300000000001E-3</v>
      </c>
      <c r="O8513">
        <v>0.99947070000000005</v>
      </c>
      <c r="P8513">
        <v>-5.4190849999999999E-2</v>
      </c>
      <c r="Q8513">
        <v>-0.123567</v>
      </c>
      <c r="R8513">
        <v>0.9908555</v>
      </c>
      <c r="S8513">
        <v>-9.4955440000000002E-2</v>
      </c>
      <c r="T8513">
        <v>-0.2105813</v>
      </c>
      <c r="U8513">
        <v>2.9962770000000001</v>
      </c>
      <c r="V8513">
        <v>-2.24491E-2</v>
      </c>
      <c r="W8513">
        <v>-0.1189098</v>
      </c>
      <c r="X8513">
        <v>0.99265119999999896</v>
      </c>
      <c r="Y8513">
        <v>5.8970530000000004E-4</v>
      </c>
      <c r="Z8513">
        <v>-6.5391959999999999E-2</v>
      </c>
      <c r="AA8513">
        <v>0.99785950000000001</v>
      </c>
      <c r="AB8513">
        <v>31</v>
      </c>
      <c r="AC8513">
        <v>-0.49620000000001602</v>
      </c>
      <c r="AD8513">
        <v>-1.1188489509990001</v>
      </c>
      <c r="AE8513">
        <v>15.645426</v>
      </c>
      <c r="AF8513">
        <v>7.7524824673054701E-3</v>
      </c>
      <c r="AG8513">
        <v>-1.1188489509990001</v>
      </c>
      <c r="AH8513">
        <v>15.5737253006273</v>
      </c>
      <c r="AI8513">
        <v>94.109188092393197</v>
      </c>
      <c r="AJ8513">
        <v>89.971478597390004</v>
      </c>
      <c r="AK8513">
        <v>15.6138657229892</v>
      </c>
      <c r="AL8513">
        <v>96.829188544472899</v>
      </c>
      <c r="AM8513">
        <v>91.295540133531404</v>
      </c>
      <c r="AN8513">
        <v>0.99999995374414297</v>
      </c>
    </row>
    <row r="8514" spans="1:40" x14ac:dyDescent="0.25">
      <c r="A8514" t="str">
        <f>"20190303154344038"</f>
        <v>20190303154344038</v>
      </c>
      <c r="B8514" t="str">
        <f>"1551599024028595"</f>
        <v>1551599024028595</v>
      </c>
      <c r="C8514" t="s">
        <v>40</v>
      </c>
      <c r="D8514">
        <v>6.1573580000000003</v>
      </c>
      <c r="E8514">
        <v>0.50994589999999995</v>
      </c>
      <c r="F8514" t="s">
        <v>42</v>
      </c>
      <c r="G8514">
        <v>-188.39080000000001</v>
      </c>
      <c r="H8514">
        <v>1.046664</v>
      </c>
      <c r="I8514">
        <v>-16.262910000000002</v>
      </c>
      <c r="J8514">
        <v>-188.3716</v>
      </c>
      <c r="K8514">
        <v>1.1188370000000001</v>
      </c>
      <c r="L8514">
        <v>-16.953769999999999</v>
      </c>
      <c r="M8514">
        <v>-3.1347170000000001E-2</v>
      </c>
      <c r="N8514">
        <v>-4.7239049999999996E-3</v>
      </c>
      <c r="O8514">
        <v>0.99949739999999998</v>
      </c>
      <c r="P8514">
        <v>-5.1168440000000003E-2</v>
      </c>
      <c r="Q8514">
        <v>-0.1241053</v>
      </c>
      <c r="R8514">
        <v>0.99094890000000002</v>
      </c>
      <c r="S8514">
        <v>-8.5327150000000004E-2</v>
      </c>
      <c r="T8514">
        <v>-0.21371270000000001</v>
      </c>
      <c r="U8514">
        <v>2.9963679999999999</v>
      </c>
      <c r="V8514">
        <v>-2.0273869999999999E-2</v>
      </c>
      <c r="W8514">
        <v>-0.1193847</v>
      </c>
      <c r="X8514">
        <v>0.992641</v>
      </c>
      <c r="Y8514">
        <v>2.9457630000000001E-3</v>
      </c>
      <c r="Z8514">
        <v>-6.6365709999999994E-2</v>
      </c>
      <c r="AA8514">
        <v>0.99779099999999998</v>
      </c>
      <c r="AB8514">
        <v>31</v>
      </c>
      <c r="AC8514">
        <v>-1.9200000000011999E-2</v>
      </c>
      <c r="AD8514">
        <v>-7.2173000000000001E-2</v>
      </c>
      <c r="AE8514">
        <v>0.69086000000000003</v>
      </c>
      <c r="AF8514">
        <v>2.43957915909298E-3</v>
      </c>
      <c r="AG8514">
        <v>-7.2173000000000001E-2</v>
      </c>
      <c r="AH8514">
        <v>0.68366681469819002</v>
      </c>
      <c r="AI8514">
        <v>96.026214041625295</v>
      </c>
      <c r="AJ8514">
        <v>89.795548074987494</v>
      </c>
      <c r="AK8514">
        <v>0.68747014989382804</v>
      </c>
      <c r="AL8514">
        <v>96.856593584346498</v>
      </c>
      <c r="AM8514">
        <v>91.170056148777704</v>
      </c>
      <c r="AN8514">
        <v>0.999999945639931</v>
      </c>
    </row>
    <row r="8515" spans="1:40" x14ac:dyDescent="0.25">
      <c r="A8515" t="str">
        <f>"20190303154344061"</f>
        <v>20190303154344061</v>
      </c>
      <c r="B8515" t="str">
        <f>"1551599024048115"</f>
        <v>1551599024048115</v>
      </c>
      <c r="C8515" t="s">
        <v>40</v>
      </c>
      <c r="D8515">
        <v>6.2013639999999999</v>
      </c>
      <c r="E8515">
        <v>0.51012190000000002</v>
      </c>
      <c r="F8515" t="s">
        <v>42</v>
      </c>
      <c r="G8515">
        <v>-188.39570000000001</v>
      </c>
      <c r="H8515">
        <v>1.0479069999999999</v>
      </c>
      <c r="I8515">
        <v>-15.98028</v>
      </c>
      <c r="J8515">
        <v>-188.38059999999999</v>
      </c>
      <c r="K8515">
        <v>1.118833</v>
      </c>
      <c r="L8515">
        <v>-16.638760000000001</v>
      </c>
      <c r="M8515">
        <v>-3.0514989999999999E-2</v>
      </c>
      <c r="N8515">
        <v>-4.7876239999999999E-3</v>
      </c>
      <c r="O8515">
        <v>0.99952289999999999</v>
      </c>
      <c r="P8515">
        <v>-4.8903519999999999E-2</v>
      </c>
      <c r="Q8515">
        <v>-0.12519759999999999</v>
      </c>
      <c r="R8515">
        <v>0.99092579999999997</v>
      </c>
      <c r="S8515">
        <v>-7.4752810000000003E-2</v>
      </c>
      <c r="T8515">
        <v>-0.2182626</v>
      </c>
      <c r="U8515">
        <v>2.996216</v>
      </c>
      <c r="V8515">
        <v>-1.8841090000000001E-2</v>
      </c>
      <c r="W8515">
        <v>-0.1204162</v>
      </c>
      <c r="X8515">
        <v>0.99254469999999995</v>
      </c>
      <c r="Y8515">
        <v>5.6325619999999998E-3</v>
      </c>
      <c r="Z8515">
        <v>-6.7817089999999997E-2</v>
      </c>
      <c r="AA8515">
        <v>0.99768190000000001</v>
      </c>
      <c r="AB8515">
        <v>31</v>
      </c>
      <c r="AC8515">
        <v>-1.5100000000018101E-2</v>
      </c>
      <c r="AD8515">
        <v>-7.0926000000000003E-2</v>
      </c>
      <c r="AE8515">
        <v>0.65848000000000195</v>
      </c>
      <c r="AF8515">
        <v>4.9434490396678401E-3</v>
      </c>
      <c r="AG8515">
        <v>-7.0926000000000003E-2</v>
      </c>
      <c r="AH8515">
        <v>0.65108433972284496</v>
      </c>
      <c r="AI8515">
        <v>96.216834337717103</v>
      </c>
      <c r="AJ8515">
        <v>89.564982128449898</v>
      </c>
      <c r="AK8515">
        <v>0.65495477141306502</v>
      </c>
      <c r="AL8515">
        <v>96.916123161632697</v>
      </c>
      <c r="AM8515">
        <v>91.087492888216403</v>
      </c>
      <c r="AN8515">
        <v>1.0000000146964501</v>
      </c>
    </row>
    <row r="8516" spans="1:40" x14ac:dyDescent="0.25">
      <c r="A8516" t="str">
        <f>"20190303154344083"</f>
        <v>20190303154344083</v>
      </c>
      <c r="B8516" t="str">
        <f>"1551599024078371"</f>
        <v>1551599024078371</v>
      </c>
      <c r="C8516" t="s">
        <v>40</v>
      </c>
      <c r="D8516">
        <v>6.1806979999999996</v>
      </c>
      <c r="E8516">
        <v>0.51035319999999995</v>
      </c>
      <c r="F8516" t="s">
        <v>42</v>
      </c>
      <c r="G8516">
        <v>-188.4016</v>
      </c>
      <c r="H8516">
        <v>1.0483169999999999</v>
      </c>
      <c r="I8516">
        <v>-15.69712</v>
      </c>
      <c r="J8516">
        <v>-188.3895</v>
      </c>
      <c r="K8516">
        <v>1.118825</v>
      </c>
      <c r="L8516">
        <v>-16.323090000000001</v>
      </c>
      <c r="M8516">
        <v>-2.968461E-2</v>
      </c>
      <c r="N8516">
        <v>-4.8499609999999999E-3</v>
      </c>
      <c r="O8516">
        <v>0.99954750000000003</v>
      </c>
      <c r="P8516">
        <v>-4.7688319999999999E-2</v>
      </c>
      <c r="Q8516">
        <v>-0.1252597</v>
      </c>
      <c r="R8516">
        <v>0.9909772</v>
      </c>
      <c r="S8516">
        <v>-6.6772460000000006E-2</v>
      </c>
      <c r="T8516">
        <v>-0.22433910000000001</v>
      </c>
      <c r="U8516">
        <v>2.995819</v>
      </c>
      <c r="V8516">
        <v>-1.8451579999999999E-2</v>
      </c>
      <c r="W8516">
        <v>-0.1204167</v>
      </c>
      <c r="X8516">
        <v>0.99255190000000004</v>
      </c>
      <c r="Y8516">
        <v>7.4573030000000002E-3</v>
      </c>
      <c r="Z8516">
        <v>-6.9779750000000001E-2</v>
      </c>
      <c r="AA8516">
        <v>0.99753460000000005</v>
      </c>
      <c r="AB8516">
        <v>32</v>
      </c>
      <c r="AC8516">
        <v>-1.21000000000037E-2</v>
      </c>
      <c r="AD8516">
        <v>-7.0508000000000001E-2</v>
      </c>
      <c r="AE8516">
        <v>0.62596999999999803</v>
      </c>
      <c r="AF8516">
        <v>6.4059828131727403E-3</v>
      </c>
      <c r="AG8516">
        <v>-7.0508000000000001E-2</v>
      </c>
      <c r="AH8516">
        <v>0.61821279444738098</v>
      </c>
      <c r="AI8516">
        <v>96.506199804889405</v>
      </c>
      <c r="AJ8516">
        <v>89.406316649575899</v>
      </c>
      <c r="AK8516">
        <v>0.62225354470524497</v>
      </c>
      <c r="AL8516">
        <v>96.916152411330899</v>
      </c>
      <c r="AM8516">
        <v>91.065008186561599</v>
      </c>
      <c r="AN8516">
        <v>0.99999995831849697</v>
      </c>
    </row>
    <row r="8517" spans="1:40" x14ac:dyDescent="0.25">
      <c r="A8517" t="str">
        <f>"20190303154344106"</f>
        <v>20190303154344106</v>
      </c>
      <c r="B8517" t="str">
        <f>"1551599024098867"</f>
        <v>1551599024098867</v>
      </c>
      <c r="C8517" t="s">
        <v>40</v>
      </c>
      <c r="D8517">
        <v>6.1840129999999904</v>
      </c>
      <c r="E8517">
        <v>0.51046939999999996</v>
      </c>
      <c r="F8517" t="s">
        <v>42</v>
      </c>
      <c r="G8517">
        <v>-188.40819999999999</v>
      </c>
      <c r="H8517">
        <v>1.0490809999999999</v>
      </c>
      <c r="I8517">
        <v>-15.40569</v>
      </c>
      <c r="J8517">
        <v>-188.39830000000001</v>
      </c>
      <c r="K8517">
        <v>1.11883</v>
      </c>
      <c r="L8517">
        <v>-15.99905</v>
      </c>
      <c r="M8517">
        <v>-2.8836750000000001E-2</v>
      </c>
      <c r="N8517">
        <v>-4.9126329999999996E-3</v>
      </c>
      <c r="O8517">
        <v>0.99957200000000002</v>
      </c>
      <c r="P8517">
        <v>-4.8337140000000001E-2</v>
      </c>
      <c r="Q8517">
        <v>-0.124705</v>
      </c>
      <c r="R8517">
        <v>0.99101570000000005</v>
      </c>
      <c r="S8517">
        <v>-6.17218E-2</v>
      </c>
      <c r="T8517">
        <v>-0.227686</v>
      </c>
      <c r="U8517">
        <v>2.9955750000000001</v>
      </c>
      <c r="V8517">
        <v>-1.9941070000000002E-2</v>
      </c>
      <c r="W8517">
        <v>-0.11979670000000001</v>
      </c>
      <c r="X8517">
        <v>0.99259819999999999</v>
      </c>
      <c r="Y8517">
        <v>8.2897200000000004E-3</v>
      </c>
      <c r="Z8517">
        <v>-7.0834399999999895E-2</v>
      </c>
      <c r="AA8517">
        <v>0.99745360000000005</v>
      </c>
      <c r="AB8517">
        <v>32</v>
      </c>
      <c r="AC8517">
        <v>-9.8999999999875802E-3</v>
      </c>
      <c r="AD8517">
        <v>-6.9749000000000005E-2</v>
      </c>
      <c r="AE8517">
        <v>0.59336</v>
      </c>
      <c r="AF8517">
        <v>7.11659031611873E-3</v>
      </c>
      <c r="AG8517">
        <v>-6.9749000000000005E-2</v>
      </c>
      <c r="AH8517">
        <v>0.58531322309345701</v>
      </c>
      <c r="AI8517">
        <v>96.795122837096798</v>
      </c>
      <c r="AJ8517">
        <v>89.303397766314106</v>
      </c>
      <c r="AK8517">
        <v>0.58949736045785595</v>
      </c>
      <c r="AL8517">
        <v>96.880369424139005</v>
      </c>
      <c r="AM8517">
        <v>91.150904241024804</v>
      </c>
      <c r="AN8517">
        <v>1.00000004112343</v>
      </c>
    </row>
    <row r="8518" spans="1:40" x14ac:dyDescent="0.25">
      <c r="A8518" t="str">
        <f>"20190303154344128"</f>
        <v>20190303154344128</v>
      </c>
      <c r="B8518" t="str">
        <f>"1551599024118387"</f>
        <v>1551599024118387</v>
      </c>
      <c r="C8518" t="s">
        <v>40</v>
      </c>
      <c r="D8518">
        <v>6.1065690000000004</v>
      </c>
      <c r="E8518">
        <v>0.51085000000000003</v>
      </c>
      <c r="F8518" t="s">
        <v>41</v>
      </c>
      <c r="G8518">
        <v>-188.7079</v>
      </c>
      <c r="H8518" s="1">
        <v>-4.1197800000000002E-6</v>
      </c>
      <c r="I8518">
        <v>-1.298162</v>
      </c>
      <c r="J8518">
        <v>-188.4066</v>
      </c>
      <c r="K8518">
        <v>1.1188419999999999</v>
      </c>
      <c r="L8518">
        <v>-15.686159999999999</v>
      </c>
      <c r="M8518">
        <v>-2.8022760000000001E-2</v>
      </c>
      <c r="N8518">
        <v>-4.9720049999999998E-3</v>
      </c>
      <c r="O8518">
        <v>0.99959489999999995</v>
      </c>
      <c r="P8518">
        <v>-4.9649039999999998E-2</v>
      </c>
      <c r="Q8518">
        <v>-0.123291</v>
      </c>
      <c r="R8518">
        <v>0.9911278</v>
      </c>
      <c r="S8518">
        <v>-6.3079830000000003E-2</v>
      </c>
      <c r="T8518">
        <v>-0.22797120000000001</v>
      </c>
      <c r="U8518">
        <v>2.995422</v>
      </c>
      <c r="V8518">
        <v>-2.2056860000000001E-2</v>
      </c>
      <c r="W8518">
        <v>-0.1183193</v>
      </c>
      <c r="X8518">
        <v>0.99273060000000002</v>
      </c>
      <c r="Y8518">
        <v>7.022655E-3</v>
      </c>
      <c r="Z8518">
        <v>-7.0875999999999995E-2</v>
      </c>
      <c r="AA8518">
        <v>0.99746040000000002</v>
      </c>
      <c r="AB8518">
        <v>32</v>
      </c>
      <c r="AC8518">
        <v>-0.30129999999999701</v>
      </c>
      <c r="AD8518">
        <v>-1.1188461197799999</v>
      </c>
      <c r="AE8518">
        <v>14.387998</v>
      </c>
      <c r="AF8518">
        <v>0.10140182637006399</v>
      </c>
      <c r="AG8518">
        <v>-1.1188461197799999</v>
      </c>
      <c r="AH8518">
        <v>14.304330470741</v>
      </c>
      <c r="AI8518">
        <v>94.472303475504702</v>
      </c>
      <c r="AJ8518">
        <v>89.593843320356996</v>
      </c>
      <c r="AK8518">
        <v>14.348378625695201</v>
      </c>
      <c r="AL8518">
        <v>96.795114500685898</v>
      </c>
      <c r="AM8518">
        <v>91.272809656278298</v>
      </c>
      <c r="AN8518">
        <v>1.0000000030009499</v>
      </c>
    </row>
    <row r="8519" spans="1:40" x14ac:dyDescent="0.25">
      <c r="A8519" t="str">
        <f>"20190303154344150"</f>
        <v>20190303154344150</v>
      </c>
      <c r="B8519" t="str">
        <f>"1551599024138889"</f>
        <v>1551599024138889</v>
      </c>
      <c r="C8519" t="s">
        <v>40</v>
      </c>
      <c r="D8519">
        <v>6.1140179999999997</v>
      </c>
      <c r="E8519">
        <v>0.51109079999999996</v>
      </c>
      <c r="F8519" t="s">
        <v>41</v>
      </c>
      <c r="G8519">
        <v>-188.72810000000001</v>
      </c>
      <c r="H8519" s="1">
        <v>-4.4248350000000003E-6</v>
      </c>
      <c r="I8519">
        <v>-0.57870859999999902</v>
      </c>
      <c r="J8519">
        <v>-188.41489999999999</v>
      </c>
      <c r="K8519">
        <v>1.118835</v>
      </c>
      <c r="L8519">
        <v>-15.36356</v>
      </c>
      <c r="M8519">
        <v>-2.7187019999999999E-2</v>
      </c>
      <c r="N8519">
        <v>-5.032117E-3</v>
      </c>
      <c r="O8519">
        <v>0.99961770000000005</v>
      </c>
      <c r="P8519">
        <v>-5.1519200000000001E-2</v>
      </c>
      <c r="Q8519">
        <v>-0.1225623</v>
      </c>
      <c r="R8519">
        <v>0.99112270000000002</v>
      </c>
      <c r="S8519">
        <v>-6.376648E-2</v>
      </c>
      <c r="T8519">
        <v>-0.22188620000000001</v>
      </c>
      <c r="U8519">
        <v>2.9960629999999999</v>
      </c>
      <c r="V8519">
        <v>-2.475639E-2</v>
      </c>
      <c r="W8519">
        <v>-0.1175257</v>
      </c>
      <c r="X8519">
        <v>0.99276120000000001</v>
      </c>
      <c r="Y8519">
        <v>5.9597169999999998E-3</v>
      </c>
      <c r="Z8519">
        <v>-6.8789260000000005E-2</v>
      </c>
      <c r="AA8519">
        <v>0.99761339999999998</v>
      </c>
      <c r="AB8519">
        <v>32</v>
      </c>
      <c r="AC8519">
        <v>-0.31320000000002302</v>
      </c>
      <c r="AD8519">
        <v>-1.118839424835</v>
      </c>
      <c r="AE8519">
        <v>14.7848513999999</v>
      </c>
      <c r="AF8519">
        <v>8.8371067960511904E-2</v>
      </c>
      <c r="AG8519">
        <v>-1.118839424835</v>
      </c>
      <c r="AH8519">
        <v>14.7037357767123</v>
      </c>
      <c r="AI8519">
        <v>94.351297674328194</v>
      </c>
      <c r="AJ8519">
        <v>89.655650214407302</v>
      </c>
      <c r="AK8519">
        <v>14.74650659972</v>
      </c>
      <c r="AL8519">
        <v>96.749325211770596</v>
      </c>
      <c r="AM8519">
        <v>91.428483259375099</v>
      </c>
      <c r="AN8519">
        <v>0.99999998461588002</v>
      </c>
    </row>
    <row r="8520" spans="1:40" x14ac:dyDescent="0.25">
      <c r="A8520" t="str">
        <f>"20190303154344173"</f>
        <v>20190303154344173</v>
      </c>
      <c r="B8520" t="str">
        <f>"1551599024169139"</f>
        <v>1551599024169139</v>
      </c>
      <c r="C8520" t="s">
        <v>40</v>
      </c>
      <c r="D8520">
        <v>6.2429699999999997</v>
      </c>
      <c r="E8520">
        <v>0.53807159999999998</v>
      </c>
      <c r="F8520" t="s">
        <v>41</v>
      </c>
      <c r="G8520">
        <v>-188.75829999999999</v>
      </c>
      <c r="H8520" s="1">
        <v>-4.0601350000000001E-7</v>
      </c>
      <c r="I8520">
        <v>-0.12970809999999999</v>
      </c>
      <c r="J8520">
        <v>-188.42259999999999</v>
      </c>
      <c r="K8520">
        <v>1.118833</v>
      </c>
      <c r="L8520">
        <v>-15.05081</v>
      </c>
      <c r="M8520">
        <v>-2.637923E-2</v>
      </c>
      <c r="N8520">
        <v>-5.0912659999999997E-3</v>
      </c>
      <c r="O8520">
        <v>0.99963900000000006</v>
      </c>
      <c r="P8520">
        <v>-5.3076489999999997E-2</v>
      </c>
      <c r="Q8520">
        <v>-0.12325079999999999</v>
      </c>
      <c r="R8520">
        <v>0.99095520000000004</v>
      </c>
      <c r="S8520">
        <v>-6.7535399999999995E-2</v>
      </c>
      <c r="T8520">
        <v>-0.22004969999999999</v>
      </c>
      <c r="U8520">
        <v>2.9961549999999999</v>
      </c>
      <c r="V8520">
        <v>-2.7121679999999999E-2</v>
      </c>
      <c r="W8520">
        <v>-0.1181518</v>
      </c>
      <c r="X8520">
        <v>0.99262510000000004</v>
      </c>
      <c r="Y8520">
        <v>3.8973409999999999E-3</v>
      </c>
      <c r="Z8520">
        <v>-6.812203E-2</v>
      </c>
      <c r="AA8520">
        <v>0.99766940000000004</v>
      </c>
      <c r="AB8520">
        <v>32</v>
      </c>
      <c r="AC8520">
        <v>-0.335700000000002</v>
      </c>
      <c r="AD8520">
        <v>-1.1188334060134999</v>
      </c>
      <c r="AE8520">
        <v>14.9211019</v>
      </c>
      <c r="AF8520">
        <v>5.7704840111594803E-2</v>
      </c>
      <c r="AG8520">
        <v>-1.1188334060134999</v>
      </c>
      <c r="AH8520">
        <v>14.8413616956528</v>
      </c>
      <c r="AI8520">
        <v>94.311122342025797</v>
      </c>
      <c r="AJ8520">
        <v>89.777228855193698</v>
      </c>
      <c r="AK8520">
        <v>14.8835860940894</v>
      </c>
      <c r="AL8520">
        <v>96.785449608075496</v>
      </c>
      <c r="AM8520">
        <v>91.565113822606506</v>
      </c>
      <c r="AN8520">
        <v>1.0000000112596299</v>
      </c>
    </row>
    <row r="8521" spans="1:40" x14ac:dyDescent="0.25">
      <c r="A8521" t="str">
        <f>"20190303154344197"</f>
        <v>20190303154344197</v>
      </c>
      <c r="B8521" t="str">
        <f>"1551599024188658"</f>
        <v>1551599024188658</v>
      </c>
      <c r="C8521" t="s">
        <v>40</v>
      </c>
      <c r="D8521">
        <v>6.2332409999999996</v>
      </c>
      <c r="E8521">
        <v>0.54159780000000002</v>
      </c>
      <c r="F8521" t="s">
        <v>42</v>
      </c>
      <c r="G8521">
        <v>-188.38570000000001</v>
      </c>
      <c r="H8521">
        <v>0.98688109999999996</v>
      </c>
      <c r="I8521">
        <v>-14.299810000000001</v>
      </c>
      <c r="J8521">
        <v>-188.43109999999999</v>
      </c>
      <c r="K8521">
        <v>1.1188290000000001</v>
      </c>
      <c r="L8521">
        <v>-14.69717</v>
      </c>
      <c r="M8521">
        <v>-2.5467389999999999E-2</v>
      </c>
      <c r="N8521">
        <v>-5.1605690000000003E-3</v>
      </c>
      <c r="O8521">
        <v>0.9996623</v>
      </c>
      <c r="P8521">
        <v>-5.3127969999999997E-2</v>
      </c>
      <c r="Q8521">
        <v>-0.1240508</v>
      </c>
      <c r="R8521">
        <v>0.99085259999999997</v>
      </c>
      <c r="S8521">
        <v>0.1454773</v>
      </c>
      <c r="T8521">
        <v>-0.52181509999999998</v>
      </c>
      <c r="U8521">
        <v>2.9702760000000001</v>
      </c>
      <c r="V8521">
        <v>-2.8084319999999999E-2</v>
      </c>
      <c r="W8521">
        <v>-0.1188815</v>
      </c>
      <c r="X8521">
        <v>0.99251120000000004</v>
      </c>
      <c r="Y8521">
        <v>7.3614009999999994E-2</v>
      </c>
      <c r="Z8521">
        <v>-0.16752129999999901</v>
      </c>
      <c r="AA8521">
        <v>0.98311630000000005</v>
      </c>
      <c r="AB8521">
        <v>32</v>
      </c>
      <c r="AC8521">
        <v>4.5399999999972303E-2</v>
      </c>
      <c r="AD8521">
        <v>-0.13194790000000001</v>
      </c>
      <c r="AE8521">
        <v>0.39735999999999999</v>
      </c>
      <c r="AF8521">
        <v>5.0056758809833499E-2</v>
      </c>
      <c r="AG8521">
        <v>-0.13194790000000001</v>
      </c>
      <c r="AH8521">
        <v>0.35719624803464001</v>
      </c>
      <c r="AI8521">
        <v>110.093743325075</v>
      </c>
      <c r="AJ8521">
        <v>82.022636345024395</v>
      </c>
      <c r="AK8521">
        <v>0.38406391008135599</v>
      </c>
      <c r="AL8521">
        <v>96.827555096726499</v>
      </c>
      <c r="AM8521">
        <v>91.6208217631428</v>
      </c>
      <c r="AN8521">
        <v>1.0000000110987699</v>
      </c>
    </row>
    <row r="8522" spans="1:40" x14ac:dyDescent="0.25">
      <c r="A8522" t="str">
        <f>"20190303154344218"</f>
        <v>20190303154344218</v>
      </c>
      <c r="B8522" t="str">
        <f>"1551599024209155"</f>
        <v>1551599024209155</v>
      </c>
      <c r="C8522" t="s">
        <v>40</v>
      </c>
      <c r="D8522">
        <v>6.277406</v>
      </c>
      <c r="E8522">
        <v>0.5428579</v>
      </c>
      <c r="F8522" t="s">
        <v>42</v>
      </c>
      <c r="G8522">
        <v>-188.37520000000001</v>
      </c>
      <c r="H8522">
        <v>0.92529490000000003</v>
      </c>
      <c r="I8522">
        <v>-13.7503299999999</v>
      </c>
      <c r="J8522">
        <v>-188.4385</v>
      </c>
      <c r="K8522">
        <v>1.1188260000000001</v>
      </c>
      <c r="L8522">
        <v>-14.37726</v>
      </c>
      <c r="M8522">
        <v>-2.4643689999999999E-2</v>
      </c>
      <c r="N8522">
        <v>-5.2333670000000001E-3</v>
      </c>
      <c r="O8522">
        <v>0.99968259999999998</v>
      </c>
      <c r="P8522">
        <v>-5.1937450000000003E-2</v>
      </c>
      <c r="Q8522">
        <v>-0.12598819999999999</v>
      </c>
      <c r="R8522">
        <v>0.99067119999999997</v>
      </c>
      <c r="S8522">
        <v>0.1741791</v>
      </c>
      <c r="T8522">
        <v>-0.60521269999999905</v>
      </c>
      <c r="U8522">
        <v>2.9612729999999998</v>
      </c>
      <c r="V8522">
        <v>-2.7720700000000001E-2</v>
      </c>
      <c r="W8522">
        <v>-0.1207481</v>
      </c>
      <c r="X8522">
        <v>0.99229599999999996</v>
      </c>
      <c r="Y8522">
        <v>8.2133399999999995E-2</v>
      </c>
      <c r="Z8522">
        <v>-0.19450700000000001</v>
      </c>
      <c r="AA8522">
        <v>0.97745649999999995</v>
      </c>
      <c r="AB8522">
        <v>32</v>
      </c>
      <c r="AC8522">
        <v>6.3299999999998094E-2</v>
      </c>
      <c r="AD8522">
        <v>-0.19353110000000001</v>
      </c>
      <c r="AE8522">
        <v>0.62693000000000099</v>
      </c>
      <c r="AF8522">
        <v>7.1944223012865599E-2</v>
      </c>
      <c r="AG8522">
        <v>-0.19353110000000001</v>
      </c>
      <c r="AH8522">
        <v>0.57128888561867297</v>
      </c>
      <c r="AI8522">
        <v>108.577884205459</v>
      </c>
      <c r="AJ8522">
        <v>82.822345310843403</v>
      </c>
      <c r="AK8522">
        <v>0.60745472977297699</v>
      </c>
      <c r="AL8522">
        <v>96.935279884145103</v>
      </c>
      <c r="AM8522">
        <v>91.600194030757606</v>
      </c>
      <c r="AN8522">
        <v>0.99999994623904798</v>
      </c>
    </row>
    <row r="8523" spans="1:40" x14ac:dyDescent="0.25">
      <c r="A8523" t="str">
        <f>"20190303154344240"</f>
        <v>20190303154344240</v>
      </c>
      <c r="B8523" t="str">
        <f>"1551599024228678"</f>
        <v>1551599024228678</v>
      </c>
      <c r="C8523" t="s">
        <v>40</v>
      </c>
      <c r="D8523">
        <v>6.4327389999999998</v>
      </c>
      <c r="E8523">
        <v>0.54277399999999998</v>
      </c>
      <c r="F8523" t="s">
        <v>42</v>
      </c>
      <c r="G8523">
        <v>-188.3802</v>
      </c>
      <c r="H8523">
        <v>0.91446939999999999</v>
      </c>
      <c r="I8523">
        <v>-13.46477</v>
      </c>
      <c r="J8523">
        <v>-188.4453</v>
      </c>
      <c r="K8523">
        <v>1.118841</v>
      </c>
      <c r="L8523">
        <v>-14.068820000000001</v>
      </c>
      <c r="M8523">
        <v>-2.3852559999999998E-2</v>
      </c>
      <c r="N8523">
        <v>-5.3847729999999998E-3</v>
      </c>
      <c r="O8523">
        <v>0.99970099999999995</v>
      </c>
      <c r="P8523">
        <v>-5.0687019999999999E-2</v>
      </c>
      <c r="Q8523">
        <v>-0.127497</v>
      </c>
      <c r="R8523">
        <v>0.9905429</v>
      </c>
      <c r="S8523">
        <v>0.1881256</v>
      </c>
      <c r="T8523">
        <v>-0.66152429999999995</v>
      </c>
      <c r="U8523">
        <v>2.9539789999999999</v>
      </c>
      <c r="V8523">
        <v>-2.7263309999999999E-2</v>
      </c>
      <c r="W8523">
        <v>-0.12210790000000001</v>
      </c>
      <c r="X8523">
        <v>0.99214230000000003</v>
      </c>
      <c r="Y8523">
        <v>8.5836280000000001E-2</v>
      </c>
      <c r="Z8523">
        <v>-0.2125611</v>
      </c>
      <c r="AA8523">
        <v>0.97337039999999997</v>
      </c>
      <c r="AB8523">
        <v>32</v>
      </c>
      <c r="AC8523">
        <v>6.5100000000001004E-2</v>
      </c>
      <c r="AD8523">
        <v>-0.20437159999999999</v>
      </c>
      <c r="AE8523">
        <v>0.60404999999999898</v>
      </c>
      <c r="AF8523">
        <v>7.1409379021101102E-2</v>
      </c>
      <c r="AG8523">
        <v>-0.20437159999999999</v>
      </c>
      <c r="AH8523">
        <v>0.54109662839801298</v>
      </c>
      <c r="AI8523">
        <v>110.528520734159</v>
      </c>
      <c r="AJ8523">
        <v>82.482029928172807</v>
      </c>
      <c r="AK8523">
        <v>0.58279723022886498</v>
      </c>
      <c r="AL8523">
        <v>97.013771238881503</v>
      </c>
      <c r="AM8523">
        <v>91.574047995547303</v>
      </c>
      <c r="AN8523">
        <v>0.99999998538192802</v>
      </c>
    </row>
    <row r="8524" spans="1:40" x14ac:dyDescent="0.25">
      <c r="A8524" t="str">
        <f>"20190303154344261"</f>
        <v>20190303154344261</v>
      </c>
      <c r="B8524" t="str">
        <f>"1551599024249170"</f>
        <v>1551599024249170</v>
      </c>
      <c r="C8524" t="s">
        <v>40</v>
      </c>
      <c r="D8524">
        <v>6.2569019999999904</v>
      </c>
      <c r="E8524">
        <v>0.54331200000000002</v>
      </c>
      <c r="F8524" t="s">
        <v>42</v>
      </c>
      <c r="G8524">
        <v>-188.3871</v>
      </c>
      <c r="H8524">
        <v>0.90480530000000003</v>
      </c>
      <c r="I8524">
        <v>-13.17815</v>
      </c>
      <c r="J8524">
        <v>-188.4521</v>
      </c>
      <c r="K8524">
        <v>1.1188830000000001</v>
      </c>
      <c r="L8524">
        <v>-13.75525</v>
      </c>
      <c r="M8524">
        <v>-2.305194E-2</v>
      </c>
      <c r="N8524">
        <v>-5.7016970000000004E-3</v>
      </c>
      <c r="O8524">
        <v>0.999718</v>
      </c>
      <c r="P8524">
        <v>-4.9113410000000003E-2</v>
      </c>
      <c r="Q8524">
        <v>-0.12865070000000001</v>
      </c>
      <c r="R8524">
        <v>0.99047300000000005</v>
      </c>
      <c r="S8524">
        <v>0.19198609999999999</v>
      </c>
      <c r="T8524">
        <v>-0.70821679999999998</v>
      </c>
      <c r="U8524">
        <v>2.9472960000000001</v>
      </c>
      <c r="V8524">
        <v>-2.649224E-2</v>
      </c>
      <c r="W8524">
        <v>-0.12294819999999999</v>
      </c>
      <c r="X8524">
        <v>0.99205940000000004</v>
      </c>
      <c r="Y8524">
        <v>8.6224029999999993E-2</v>
      </c>
      <c r="Z8524">
        <v>-0.22732810000000001</v>
      </c>
      <c r="AA8524">
        <v>0.96999349999999995</v>
      </c>
      <c r="AB8524">
        <v>32</v>
      </c>
      <c r="AC8524">
        <v>6.4999999999997699E-2</v>
      </c>
      <c r="AD8524">
        <v>-0.21407770000000001</v>
      </c>
      <c r="AE8524">
        <v>0.57709999999999895</v>
      </c>
      <c r="AF8524">
        <v>6.8921007722082497E-2</v>
      </c>
      <c r="AG8524">
        <v>-0.21407770000000001</v>
      </c>
      <c r="AH8524">
        <v>0.50660861836268301</v>
      </c>
      <c r="AI8524">
        <v>112.719703957847</v>
      </c>
      <c r="AJ8524">
        <v>82.252820360158495</v>
      </c>
      <c r="AK8524">
        <v>0.55428481770842697</v>
      </c>
      <c r="AL8524">
        <v>97.062282481200498</v>
      </c>
      <c r="AM8524">
        <v>91.529679455929397</v>
      </c>
      <c r="AN8524">
        <v>0.99999997589590806</v>
      </c>
    </row>
    <row r="8525" spans="1:40" x14ac:dyDescent="0.25">
      <c r="A8525" t="str">
        <f>"20190303154344285"</f>
        <v>20190303154344285</v>
      </c>
      <c r="B8525" t="str">
        <f>"1551599024278450"</f>
        <v>1551599024278450</v>
      </c>
      <c r="C8525" t="s">
        <v>40</v>
      </c>
      <c r="D8525">
        <v>6.2734949999999996</v>
      </c>
      <c r="E8525">
        <v>0.54476259999999999</v>
      </c>
      <c r="F8525" t="s">
        <v>42</v>
      </c>
      <c r="G8525">
        <v>-188.39269999999999</v>
      </c>
      <c r="H8525">
        <v>0.90627120000000005</v>
      </c>
      <c r="I8525">
        <v>-12.886710000000001</v>
      </c>
      <c r="J8525">
        <v>-188.459</v>
      </c>
      <c r="K8525">
        <v>1.1189519999999999</v>
      </c>
      <c r="L8525">
        <v>-13.418979999999999</v>
      </c>
      <c r="M8525">
        <v>-2.2209110000000001E-2</v>
      </c>
      <c r="N8525">
        <v>-6.2862500000000002E-3</v>
      </c>
      <c r="O8525">
        <v>0.9997336</v>
      </c>
      <c r="P8525">
        <v>-4.7293000000000002E-2</v>
      </c>
      <c r="Q8525">
        <v>-0.129895699999999</v>
      </c>
      <c r="R8525">
        <v>0.99039920000000004</v>
      </c>
      <c r="S8525">
        <v>0.20126340000000001</v>
      </c>
      <c r="T8525">
        <v>-0.72094659999999999</v>
      </c>
      <c r="U8525">
        <v>2.9451900000000002</v>
      </c>
      <c r="V8525">
        <v>-2.5525550000000001E-2</v>
      </c>
      <c r="W8525">
        <v>-0.12361270000000001</v>
      </c>
      <c r="X8525">
        <v>0.99200219999999995</v>
      </c>
      <c r="Y8525">
        <v>8.8405269999999994E-2</v>
      </c>
      <c r="Z8525">
        <v>-0.2308365</v>
      </c>
      <c r="AA8525">
        <v>0.96896800000000005</v>
      </c>
      <c r="AB8525">
        <v>32</v>
      </c>
      <c r="AC8525">
        <v>6.6300000000012405E-2</v>
      </c>
      <c r="AD8525">
        <v>-0.2126808</v>
      </c>
      <c r="AE8525">
        <v>0.53226999999999802</v>
      </c>
      <c r="AF8525">
        <v>6.7493790758555397E-2</v>
      </c>
      <c r="AG8525">
        <v>-0.2126808</v>
      </c>
      <c r="AH8525">
        <v>0.458570108171723</v>
      </c>
      <c r="AI8525">
        <v>114.647923743709</v>
      </c>
      <c r="AJ8525">
        <v>81.627141686200801</v>
      </c>
      <c r="AK8525">
        <v>0.50997556665807597</v>
      </c>
      <c r="AL8525">
        <v>97.100647950249595</v>
      </c>
      <c r="AM8525">
        <v>91.473972171401499</v>
      </c>
      <c r="AN8525">
        <v>1.0000000090544601</v>
      </c>
    </row>
    <row r="8526" spans="1:40" x14ac:dyDescent="0.25">
      <c r="A8526" t="str">
        <f>"20190303154344308"</f>
        <v>20190303154344308</v>
      </c>
      <c r="B8526" t="str">
        <f>"1551599024298947"</f>
        <v>1551599024298947</v>
      </c>
      <c r="C8526" t="s">
        <v>40</v>
      </c>
      <c r="D8526">
        <v>6.2551480000000002</v>
      </c>
      <c r="E8526">
        <v>0.54539490000000002</v>
      </c>
      <c r="F8526" t="s">
        <v>42</v>
      </c>
      <c r="G8526">
        <v>-188.39750000000001</v>
      </c>
      <c r="H8526">
        <v>0.91527380000000003</v>
      </c>
      <c r="I8526">
        <v>-12.59239</v>
      </c>
      <c r="J8526">
        <v>-188.46549999999999</v>
      </c>
      <c r="K8526">
        <v>1.1190519999999999</v>
      </c>
      <c r="L8526">
        <v>-13.08881</v>
      </c>
      <c r="M8526">
        <v>-2.1398810000000001E-2</v>
      </c>
      <c r="N8526">
        <v>-7.0054590000000003E-3</v>
      </c>
      <c r="O8526">
        <v>0.99974649999999998</v>
      </c>
      <c r="P8526">
        <v>-4.4982559999999998E-2</v>
      </c>
      <c r="Q8526">
        <v>-0.1304768</v>
      </c>
      <c r="R8526">
        <v>0.99043040000000004</v>
      </c>
      <c r="S8526">
        <v>0.21824650000000001</v>
      </c>
      <c r="T8526">
        <v>-0.72545719999999903</v>
      </c>
      <c r="U8526">
        <v>2.944366</v>
      </c>
      <c r="V8526">
        <v>-2.403259E-2</v>
      </c>
      <c r="W8526">
        <v>-0.1234806</v>
      </c>
      <c r="X8526">
        <v>0.99205600000000005</v>
      </c>
      <c r="Y8526">
        <v>9.3151419999999999E-2</v>
      </c>
      <c r="Z8526">
        <v>-0.23150789999999999</v>
      </c>
      <c r="AA8526">
        <v>0.96836299999999997</v>
      </c>
      <c r="AB8526">
        <v>32</v>
      </c>
      <c r="AC8526">
        <v>6.7999999999983601E-2</v>
      </c>
      <c r="AD8526">
        <v>-0.20377819999999899</v>
      </c>
      <c r="AE8526">
        <v>0.49641999999999997</v>
      </c>
      <c r="AF8526">
        <v>6.7450903326198505E-2</v>
      </c>
      <c r="AG8526">
        <v>-0.20377819999999899</v>
      </c>
      <c r="AH8526">
        <v>0.42461806084276199</v>
      </c>
      <c r="AI8526">
        <v>115.35939491046101</v>
      </c>
      <c r="AJ8526">
        <v>80.9739373525763</v>
      </c>
      <c r="AK8526">
        <v>0.47578952988546103</v>
      </c>
      <c r="AL8526">
        <v>97.093020341259304</v>
      </c>
      <c r="AM8526">
        <v>91.387720767822103</v>
      </c>
      <c r="AN8526">
        <v>1.0000000655472301</v>
      </c>
    </row>
    <row r="8527" spans="1:40" x14ac:dyDescent="0.25">
      <c r="A8527" t="str">
        <f>"20190303154344331"</f>
        <v>20190303154344331</v>
      </c>
      <c r="B8527" t="str">
        <f>"1551599024318467"</f>
        <v>1551599024318467</v>
      </c>
      <c r="C8527" t="s">
        <v>40</v>
      </c>
      <c r="D8527">
        <v>6.2517149999999999</v>
      </c>
      <c r="E8527">
        <v>0.54606359999999998</v>
      </c>
      <c r="F8527" t="s">
        <v>42</v>
      </c>
      <c r="G8527">
        <v>-188.40369999999999</v>
      </c>
      <c r="H8527">
        <v>0.92359380000000002</v>
      </c>
      <c r="I8527">
        <v>-12.298389999999999</v>
      </c>
      <c r="J8527">
        <v>-188.4718</v>
      </c>
      <c r="K8527">
        <v>1.1191169999999999</v>
      </c>
      <c r="L8527">
        <v>-12.756349999999999</v>
      </c>
      <c r="M8527">
        <v>-2.055997E-2</v>
      </c>
      <c r="N8527">
        <v>-7.6705779999999999E-3</v>
      </c>
      <c r="O8527">
        <v>0.99975919999999896</v>
      </c>
      <c r="P8527">
        <v>-4.3554229999999999E-2</v>
      </c>
      <c r="Q8527">
        <v>-0.13044819999999999</v>
      </c>
      <c r="R8527">
        <v>0.99049799999999999</v>
      </c>
      <c r="S8527">
        <v>0.22988890000000001</v>
      </c>
      <c r="T8527">
        <v>-0.72788439999999999</v>
      </c>
      <c r="U8527">
        <v>2.9435419999999999</v>
      </c>
      <c r="V8527">
        <v>-2.3446129999999999E-2</v>
      </c>
      <c r="W8527">
        <v>-0.12279089999999999</v>
      </c>
      <c r="X8527">
        <v>0.99215560000000003</v>
      </c>
      <c r="Y8527">
        <v>9.6130510000000002E-2</v>
      </c>
      <c r="Z8527">
        <v>-0.23161490000000001</v>
      </c>
      <c r="AA8527">
        <v>0.96804619999999997</v>
      </c>
      <c r="AB8527">
        <v>32</v>
      </c>
      <c r="AC8527">
        <v>6.8100000000015301E-2</v>
      </c>
      <c r="AD8527">
        <v>-0.19552319999999901</v>
      </c>
      <c r="AE8527">
        <v>0.45795999999999898</v>
      </c>
      <c r="AF8527">
        <v>6.5771922276146602E-2</v>
      </c>
      <c r="AG8527">
        <v>-0.19552319999999901</v>
      </c>
      <c r="AH8527">
        <v>0.387378828801487</v>
      </c>
      <c r="AI8527">
        <v>116.455502221784</v>
      </c>
      <c r="AJ8527">
        <v>80.363811558915799</v>
      </c>
      <c r="AK8527">
        <v>0.43888224445943502</v>
      </c>
      <c r="AL8527">
        <v>97.053200657063201</v>
      </c>
      <c r="AM8527">
        <v>91.353733539669406</v>
      </c>
      <c r="AN8527">
        <v>1.0000000303730701</v>
      </c>
    </row>
    <row r="8528" spans="1:40" x14ac:dyDescent="0.25">
      <c r="A8528" t="str">
        <f>"20190303154344353"</f>
        <v>20190303154344353</v>
      </c>
      <c r="B8528" t="str">
        <f>"1551599024348723"</f>
        <v>1551599024348723</v>
      </c>
      <c r="C8528" t="s">
        <v>40</v>
      </c>
      <c r="D8528">
        <v>6.1469969999999998</v>
      </c>
      <c r="E8528">
        <v>0.54610429999999999</v>
      </c>
      <c r="F8528" t="s">
        <v>42</v>
      </c>
      <c r="G8528">
        <v>-188.41040000000001</v>
      </c>
      <c r="H8528">
        <v>0.93302759999999996</v>
      </c>
      <c r="I8528">
        <v>-12.00367</v>
      </c>
      <c r="J8528">
        <v>-188.4778</v>
      </c>
      <c r="K8528">
        <v>1.119157</v>
      </c>
      <c r="L8528">
        <v>-12.42291</v>
      </c>
      <c r="M8528">
        <v>-1.970498E-2</v>
      </c>
      <c r="N8528">
        <v>-8.2537229999999993E-3</v>
      </c>
      <c r="O8528">
        <v>0.99977179999999999</v>
      </c>
      <c r="P8528">
        <v>-4.2806959999999998E-2</v>
      </c>
      <c r="Q8528">
        <v>-0.1313918</v>
      </c>
      <c r="R8528">
        <v>0.99040589999999995</v>
      </c>
      <c r="S8528">
        <v>0.2394714</v>
      </c>
      <c r="T8528">
        <v>-0.72768880000000002</v>
      </c>
      <c r="U8528">
        <v>2.9434809999999998</v>
      </c>
      <c r="V8528">
        <v>-2.3560020000000001E-2</v>
      </c>
      <c r="W8528">
        <v>-0.1231545</v>
      </c>
      <c r="X8528">
        <v>0.99210779999999998</v>
      </c>
      <c r="Y8528">
        <v>9.8415610000000001E-2</v>
      </c>
      <c r="Z8528">
        <v>-0.23094139999999999</v>
      </c>
      <c r="AA8528">
        <v>0.96797750000000005</v>
      </c>
      <c r="AB8528">
        <v>32</v>
      </c>
      <c r="AC8528">
        <v>6.7399999999992105E-2</v>
      </c>
      <c r="AD8528">
        <v>-0.1861294</v>
      </c>
      <c r="AE8528">
        <v>0.41924</v>
      </c>
      <c r="AF8528">
        <v>6.3455786954997401E-2</v>
      </c>
      <c r="AG8528">
        <v>-0.1861294</v>
      </c>
      <c r="AH8528">
        <v>0.35048713057761</v>
      </c>
      <c r="AI8528">
        <v>117.589930433337</v>
      </c>
      <c r="AJ8528">
        <v>79.737749869397007</v>
      </c>
      <c r="AK8528">
        <v>0.40188557966536198</v>
      </c>
      <c r="AL8528">
        <v>97.074192974255993</v>
      </c>
      <c r="AM8528">
        <v>91.360372375264106</v>
      </c>
      <c r="AN8528">
        <v>0.99999999611674495</v>
      </c>
    </row>
    <row r="8529" spans="1:40" x14ac:dyDescent="0.25">
      <c r="A8529" t="str">
        <f>"20190303154344377"</f>
        <v>20190303154344377</v>
      </c>
      <c r="B8529" t="str">
        <f>"1551599024368243"</f>
        <v>1551599024368243</v>
      </c>
      <c r="C8529" t="s">
        <v>40</v>
      </c>
      <c r="D8529">
        <v>6.1858879999999896</v>
      </c>
      <c r="E8529">
        <v>0.54568549999999905</v>
      </c>
      <c r="F8529" t="s">
        <v>42</v>
      </c>
      <c r="G8529">
        <v>-188.41900000000001</v>
      </c>
      <c r="H8529">
        <v>0.94101009999999996</v>
      </c>
      <c r="I8529">
        <v>-11.70964</v>
      </c>
      <c r="J8529">
        <v>-188.48330000000001</v>
      </c>
      <c r="K8529">
        <v>1.1191850000000001</v>
      </c>
      <c r="L8529">
        <v>-12.097899999999999</v>
      </c>
      <c r="M8529">
        <v>-1.8874640000000002E-2</v>
      </c>
      <c r="N8529">
        <v>-8.772574E-3</v>
      </c>
      <c r="O8529">
        <v>0.99978339999999999</v>
      </c>
      <c r="P8529">
        <v>-4.2262849999999998E-2</v>
      </c>
      <c r="Q8529">
        <v>-0.13077159999999999</v>
      </c>
      <c r="R8529">
        <v>0.99051129999999998</v>
      </c>
      <c r="S8529">
        <v>0.24215700000000001</v>
      </c>
      <c r="T8529">
        <v>-0.73478940000000004</v>
      </c>
      <c r="U8529">
        <v>2.9420470000000001</v>
      </c>
      <c r="V8529">
        <v>-2.384346E-2</v>
      </c>
      <c r="W8529">
        <v>-0.1220165</v>
      </c>
      <c r="X8529">
        <v>0.99224159999999995</v>
      </c>
      <c r="Y8529">
        <v>9.8462069999999999E-2</v>
      </c>
      <c r="Z8529">
        <v>-0.2327446</v>
      </c>
      <c r="AA8529">
        <v>0.96754079999999998</v>
      </c>
      <c r="AB8529">
        <v>32</v>
      </c>
      <c r="AC8529">
        <v>6.4300000000002897E-2</v>
      </c>
      <c r="AD8529">
        <v>-0.1781749</v>
      </c>
      <c r="AE8529">
        <v>0.388259999999998</v>
      </c>
      <c r="AF8529">
        <v>5.9434601143204702E-2</v>
      </c>
      <c r="AG8529">
        <v>-0.1781749</v>
      </c>
      <c r="AH8529">
        <v>0.32115003334874997</v>
      </c>
      <c r="AI8529">
        <v>118.614185984575</v>
      </c>
      <c r="AJ8529">
        <v>79.515013552397903</v>
      </c>
      <c r="AK8529">
        <v>0.37204315707047297</v>
      </c>
      <c r="AL8529">
        <v>97.008495095736706</v>
      </c>
      <c r="AM8529">
        <v>91.376546566222899</v>
      </c>
      <c r="AN8529">
        <v>0.99999996481379005</v>
      </c>
    </row>
    <row r="8530" spans="1:40" x14ac:dyDescent="0.25">
      <c r="A8530" t="str">
        <f>"20190303154344398"</f>
        <v>20190303154344398</v>
      </c>
      <c r="B8530" t="str">
        <f>"1551599024388738"</f>
        <v>1551599024388738</v>
      </c>
      <c r="C8530" t="s">
        <v>40</v>
      </c>
      <c r="D8530">
        <v>6.1820060000000003</v>
      </c>
      <c r="E8530">
        <v>0.54537269999999904</v>
      </c>
      <c r="F8530" t="s">
        <v>42</v>
      </c>
      <c r="G8530">
        <v>-188.42740000000001</v>
      </c>
      <c r="H8530">
        <v>0.94726710000000003</v>
      </c>
      <c r="I8530">
        <v>-11.41647</v>
      </c>
      <c r="J8530">
        <v>-188.48849999999999</v>
      </c>
      <c r="K8530">
        <v>1.1192089999999999</v>
      </c>
      <c r="L8530">
        <v>-11.77844</v>
      </c>
      <c r="M8530">
        <v>-1.805855E-2</v>
      </c>
      <c r="N8530">
        <v>-9.2362659999999999E-3</v>
      </c>
      <c r="O8530">
        <v>0.99979419999999997</v>
      </c>
      <c r="P8530">
        <v>-4.1919409999999997E-2</v>
      </c>
      <c r="Q8530">
        <v>-0.13098270000000001</v>
      </c>
      <c r="R8530">
        <v>0.99049799999999999</v>
      </c>
      <c r="S8530">
        <v>0.24084469999999999</v>
      </c>
      <c r="T8530">
        <v>-0.74192689999999994</v>
      </c>
      <c r="U8530">
        <v>2.941071</v>
      </c>
      <c r="V8530">
        <v>-2.431403E-2</v>
      </c>
      <c r="W8530">
        <v>-0.1217656</v>
      </c>
      <c r="X8530">
        <v>0.99226110000000001</v>
      </c>
      <c r="Y8530">
        <v>9.7205269999999996E-2</v>
      </c>
      <c r="Z8530">
        <v>-0.23460410000000001</v>
      </c>
      <c r="AA8530">
        <v>0.96721869999999999</v>
      </c>
      <c r="AB8530">
        <v>32</v>
      </c>
      <c r="AC8530">
        <v>6.1099999999981898E-2</v>
      </c>
      <c r="AD8530">
        <v>-0.17194190000000001</v>
      </c>
      <c r="AE8530">
        <v>0.36196999999999901</v>
      </c>
      <c r="AF8530">
        <v>5.5459667720670798E-2</v>
      </c>
      <c r="AG8530">
        <v>-0.17194190000000001</v>
      </c>
      <c r="AH8530">
        <v>0.29589181703681999</v>
      </c>
      <c r="AI8530">
        <v>119.732902296036</v>
      </c>
      <c r="AJ8530">
        <v>79.384094968345707</v>
      </c>
      <c r="AK8530">
        <v>0.34668683146126</v>
      </c>
      <c r="AL8530">
        <v>96.994010904607507</v>
      </c>
      <c r="AM8530">
        <v>91.403675488930801</v>
      </c>
      <c r="AN8530">
        <v>1.0000000619856999</v>
      </c>
    </row>
    <row r="8531" spans="1:40" x14ac:dyDescent="0.25">
      <c r="A8531" t="str">
        <f>"20190303154344430"</f>
        <v>20190303154344430</v>
      </c>
      <c r="B8531" t="str">
        <f>"1551599024418997"</f>
        <v>1551599024418997</v>
      </c>
      <c r="C8531" t="s">
        <v>40</v>
      </c>
      <c r="D8531">
        <v>6.1814390000000001</v>
      </c>
      <c r="E8531">
        <v>0.54521309999999901</v>
      </c>
      <c r="F8531" t="s">
        <v>42</v>
      </c>
      <c r="G8531">
        <v>-188.41399999999999</v>
      </c>
      <c r="H8531">
        <v>0.88565000000000005</v>
      </c>
      <c r="I8531">
        <v>-10.863759999999999</v>
      </c>
      <c r="J8531">
        <v>-188.4956</v>
      </c>
      <c r="K8531">
        <v>1.1192299999999999</v>
      </c>
      <c r="L8531">
        <v>-11.30969</v>
      </c>
      <c r="M8531">
        <v>-1.685441E-2</v>
      </c>
      <c r="N8531">
        <v>-9.8300499999999999E-3</v>
      </c>
      <c r="O8531">
        <v>0.99980959999999997</v>
      </c>
      <c r="P8531">
        <v>-4.1373420000000001E-2</v>
      </c>
      <c r="Q8531">
        <v>-0.1325904</v>
      </c>
      <c r="R8531">
        <v>0.99030700000000005</v>
      </c>
      <c r="S8531">
        <v>0.23912050000000001</v>
      </c>
      <c r="T8531">
        <v>-0.75057759999999996</v>
      </c>
      <c r="U8531">
        <v>2.9396360000000001</v>
      </c>
      <c r="V8531">
        <v>-2.4971859999999999E-2</v>
      </c>
      <c r="W8531">
        <v>-0.1227838</v>
      </c>
      <c r="X8531">
        <v>0.99211919999999998</v>
      </c>
      <c r="Y8531">
        <v>9.5430580000000001E-2</v>
      </c>
      <c r="Z8531">
        <v>-0.2368487</v>
      </c>
      <c r="AA8531">
        <v>0.96684829999999999</v>
      </c>
      <c r="AB8531">
        <v>32</v>
      </c>
      <c r="AC8531">
        <v>8.1599999999980299E-2</v>
      </c>
      <c r="AD8531">
        <v>-0.23357999999999901</v>
      </c>
      <c r="AE8531">
        <v>0.44592999999999799</v>
      </c>
      <c r="AF8531">
        <v>7.0411677923994206E-2</v>
      </c>
      <c r="AG8531">
        <v>-0.23357999999999901</v>
      </c>
      <c r="AH8531">
        <v>0.351242868348558</v>
      </c>
      <c r="AI8531">
        <v>123.10586236835201</v>
      </c>
      <c r="AJ8531">
        <v>78.664487071443702</v>
      </c>
      <c r="AK8531">
        <v>0.42765520381937899</v>
      </c>
      <c r="AL8531">
        <v>97.052791104088101</v>
      </c>
      <c r="AM8531">
        <v>91.441843023287603</v>
      </c>
      <c r="AN8531">
        <v>0.99999998117146904</v>
      </c>
    </row>
    <row r="8532" spans="1:40" x14ac:dyDescent="0.25">
      <c r="A8532" t="str">
        <f>"20190303154344452"</f>
        <v>20190303154344452</v>
      </c>
      <c r="B8532" t="str">
        <f>"1551599024449251"</f>
        <v>1551599024449251</v>
      </c>
      <c r="C8532" t="s">
        <v>40</v>
      </c>
      <c r="D8532">
        <v>6.0496160000000003</v>
      </c>
      <c r="E8532">
        <v>0.54556039999999995</v>
      </c>
      <c r="F8532" t="s">
        <v>42</v>
      </c>
      <c r="G8532">
        <v>-188.434</v>
      </c>
      <c r="H8532">
        <v>0.92388840000000005</v>
      </c>
      <c r="I8532">
        <v>-10.55782</v>
      </c>
      <c r="J8532">
        <v>-188.5</v>
      </c>
      <c r="K8532">
        <v>1.119243</v>
      </c>
      <c r="L8532">
        <v>-10.99197</v>
      </c>
      <c r="M8532">
        <v>-1.6035850000000001E-2</v>
      </c>
      <c r="N8532">
        <v>-1.0178120000000001E-2</v>
      </c>
      <c r="O8532">
        <v>0.99981960000000003</v>
      </c>
      <c r="P8532">
        <v>-4.1296430000000002E-2</v>
      </c>
      <c r="Q8532">
        <v>-0.13327739999999999</v>
      </c>
      <c r="R8532">
        <v>0.99021800000000004</v>
      </c>
      <c r="S8532">
        <v>0.2403564</v>
      </c>
      <c r="T8532">
        <v>-0.76309280000000002</v>
      </c>
      <c r="U8532">
        <v>2.9372250000000002</v>
      </c>
      <c r="V8532">
        <v>-2.570923E-2</v>
      </c>
      <c r="W8532">
        <v>-0.1231246</v>
      </c>
      <c r="X8532">
        <v>0.9920582</v>
      </c>
      <c r="Y8532">
        <v>9.5003309999999994E-2</v>
      </c>
      <c r="Z8532">
        <v>-0.2405709</v>
      </c>
      <c r="AA8532">
        <v>0.96597109999999997</v>
      </c>
      <c r="AB8532">
        <v>32</v>
      </c>
      <c r="AC8532">
        <v>6.5999999999973996E-2</v>
      </c>
      <c r="AD8532">
        <v>-0.19535459999999999</v>
      </c>
      <c r="AE8532">
        <v>0.43414999999999998</v>
      </c>
      <c r="AF8532">
        <v>6.0901457041860202E-2</v>
      </c>
      <c r="AG8532">
        <v>-0.19535459999999999</v>
      </c>
      <c r="AH8532">
        <v>0.361495829641864</v>
      </c>
      <c r="AI8532">
        <v>118.053006668188</v>
      </c>
      <c r="AJ8532">
        <v>80.437137177034401</v>
      </c>
      <c r="AK8532">
        <v>0.41539335822740397</v>
      </c>
      <c r="AL8532">
        <v>97.072466295728802</v>
      </c>
      <c r="AM8532">
        <v>91.484490274004401</v>
      </c>
      <c r="AN8532">
        <v>1.00000005190979</v>
      </c>
    </row>
    <row r="8533" spans="1:40" x14ac:dyDescent="0.25">
      <c r="A8533" t="str">
        <f>"20190303154344474"</f>
        <v>20190303154344474</v>
      </c>
      <c r="B8533" t="str">
        <f>"1551599024468771"</f>
        <v>1551599024468771</v>
      </c>
      <c r="C8533" t="s">
        <v>40</v>
      </c>
      <c r="D8533">
        <v>6.0285209999999996</v>
      </c>
      <c r="E8533">
        <v>0.54562719999999998</v>
      </c>
      <c r="F8533" t="s">
        <v>42</v>
      </c>
      <c r="G8533">
        <v>-188.43969999999999</v>
      </c>
      <c r="H8533">
        <v>0.93018029999999996</v>
      </c>
      <c r="I8533">
        <v>-10.264950000000001</v>
      </c>
      <c r="J8533">
        <v>-188.5044</v>
      </c>
      <c r="K8533">
        <v>1.119254</v>
      </c>
      <c r="L8533">
        <v>-10.66333</v>
      </c>
      <c r="M8533">
        <v>-1.518944E-2</v>
      </c>
      <c r="N8533">
        <v>-1.049522E-2</v>
      </c>
      <c r="O8533">
        <v>0.99982950000000004</v>
      </c>
      <c r="P8533">
        <v>-4.1058879999999999E-2</v>
      </c>
      <c r="Q8533">
        <v>-0.1332971</v>
      </c>
      <c r="R8533">
        <v>0.99022529999999997</v>
      </c>
      <c r="S8533">
        <v>0.2433014</v>
      </c>
      <c r="T8533">
        <v>-0.76373199999999997</v>
      </c>
      <c r="U8533">
        <v>2.9369809999999998</v>
      </c>
      <c r="V8533">
        <v>-2.6310030000000002E-2</v>
      </c>
      <c r="W8533">
        <v>-0.1228284</v>
      </c>
      <c r="X8533">
        <v>0.99207909999999999</v>
      </c>
      <c r="Y8533">
        <v>9.5126920000000004E-2</v>
      </c>
      <c r="Z8533">
        <v>-0.24047370000000001</v>
      </c>
      <c r="AA8533">
        <v>0.96598300000000004</v>
      </c>
      <c r="AB8533">
        <v>32</v>
      </c>
      <c r="AC8533">
        <v>6.4700000000016106E-2</v>
      </c>
      <c r="AD8533">
        <v>-0.18907370000000001</v>
      </c>
      <c r="AE8533">
        <v>0.39837999999999901</v>
      </c>
      <c r="AF8533">
        <v>5.8012468581495398E-2</v>
      </c>
      <c r="AG8533">
        <v>-0.18907370000000001</v>
      </c>
      <c r="AH8533">
        <v>0.325841246446888</v>
      </c>
      <c r="AI8533">
        <v>119.73845068936301</v>
      </c>
      <c r="AJ8533">
        <v>79.904891049735895</v>
      </c>
      <c r="AK8533">
        <v>0.38116509340267601</v>
      </c>
      <c r="AL8533">
        <v>97.055365944022597</v>
      </c>
      <c r="AM8533">
        <v>91.519133324979506</v>
      </c>
      <c r="AN8533">
        <v>0.99999998709098503</v>
      </c>
    </row>
    <row r="8534" spans="1:40" x14ac:dyDescent="0.25">
      <c r="A8534" t="str">
        <f>"20190303154344497"</f>
        <v>20190303154344497</v>
      </c>
      <c r="B8534" t="str">
        <f>"1551599024488291"</f>
        <v>1551599024488291</v>
      </c>
      <c r="C8534" t="s">
        <v>40</v>
      </c>
      <c r="D8534">
        <v>6.2509990000000002</v>
      </c>
      <c r="E8534">
        <v>0.54510329999999996</v>
      </c>
      <c r="F8534" t="s">
        <v>42</v>
      </c>
      <c r="G8534">
        <v>-188.4468</v>
      </c>
      <c r="H8534">
        <v>0.9389362</v>
      </c>
      <c r="I8534">
        <v>-9.9709420000000009</v>
      </c>
      <c r="J8534">
        <v>-188.50819999999999</v>
      </c>
      <c r="K8534">
        <v>1.119272</v>
      </c>
      <c r="L8534">
        <v>-10.35239</v>
      </c>
      <c r="M8534">
        <v>-1.4389310000000001E-2</v>
      </c>
      <c r="N8534">
        <v>-1.075718E-2</v>
      </c>
      <c r="O8534">
        <v>0.99983860000000002</v>
      </c>
      <c r="P8534">
        <v>-4.1350360000000003E-2</v>
      </c>
      <c r="Q8534">
        <v>-0.133091299999999</v>
      </c>
      <c r="R8534">
        <v>0.99024080000000003</v>
      </c>
      <c r="S8534">
        <v>0.24438480000000001</v>
      </c>
      <c r="T8534">
        <v>-0.76481429999999995</v>
      </c>
      <c r="U8534">
        <v>2.936798</v>
      </c>
      <c r="V8534">
        <v>-2.7393029999999999E-2</v>
      </c>
      <c r="W8534">
        <v>-0.1223601</v>
      </c>
      <c r="X8534">
        <v>0.99210770000000004</v>
      </c>
      <c r="Y8534">
        <v>9.4684320000000002E-2</v>
      </c>
      <c r="Z8534">
        <v>-0.24057410000000001</v>
      </c>
      <c r="AA8534">
        <v>0.96600160000000002</v>
      </c>
      <c r="AB8534">
        <v>32</v>
      </c>
      <c r="AC8534">
        <v>6.1399999999991899E-2</v>
      </c>
      <c r="AD8534">
        <v>-0.18033579999999999</v>
      </c>
      <c r="AE8534">
        <v>0.38144800000000001</v>
      </c>
      <c r="AF8534">
        <v>5.4918097970445501E-2</v>
      </c>
      <c r="AG8534">
        <v>-0.18033579999999999</v>
      </c>
      <c r="AH8534">
        <v>0.31245293522283002</v>
      </c>
      <c r="AI8534">
        <v>119.615966022834</v>
      </c>
      <c r="AJ8534">
        <v>80.031265385130297</v>
      </c>
      <c r="AK8534">
        <v>0.36491620267630398</v>
      </c>
      <c r="AL8534">
        <v>97.0283300922801</v>
      </c>
      <c r="AM8534">
        <v>91.581588717227504</v>
      </c>
      <c r="AN8534">
        <v>1.0000000302819401</v>
      </c>
    </row>
    <row r="8535" spans="1:40" x14ac:dyDescent="0.25">
      <c r="A8535" t="str">
        <f>"20190303154344520"</f>
        <v>20190303154344520</v>
      </c>
      <c r="B8535" t="str">
        <f>"1551599024508787"</f>
        <v>1551599024508787</v>
      </c>
      <c r="C8535" t="s">
        <v>40</v>
      </c>
      <c r="D8535">
        <v>6.2292180000000004</v>
      </c>
      <c r="E8535">
        <v>0.54466709999999996</v>
      </c>
      <c r="F8535" t="s">
        <v>42</v>
      </c>
      <c r="G8535">
        <v>-188.43209999999999</v>
      </c>
      <c r="H8535">
        <v>0.87374189999999996</v>
      </c>
      <c r="I8535">
        <v>-9.4199780000000004</v>
      </c>
      <c r="J8535">
        <v>-188.51220000000001</v>
      </c>
      <c r="K8535">
        <v>1.1192789999999999</v>
      </c>
      <c r="L8535">
        <v>-10.00806</v>
      </c>
      <c r="M8535">
        <v>-1.3508050000000001E-2</v>
      </c>
      <c r="N8535">
        <v>-1.1007609999999999E-2</v>
      </c>
      <c r="O8535">
        <v>0.99984819999999996</v>
      </c>
      <c r="P8535">
        <v>-4.167469E-2</v>
      </c>
      <c r="Q8535">
        <v>-0.1333165</v>
      </c>
      <c r="R8535">
        <v>0.99019690000000005</v>
      </c>
      <c r="S8535">
        <v>0.23937990000000001</v>
      </c>
      <c r="T8535">
        <v>-0.77302309999999996</v>
      </c>
      <c r="U8535">
        <v>2.9356689999999999</v>
      </c>
      <c r="V8535">
        <v>-2.859045E-2</v>
      </c>
      <c r="W8535">
        <v>-0.1223347</v>
      </c>
      <c r="X8535">
        <v>0.99207699999999999</v>
      </c>
      <c r="Y8535">
        <v>9.2151609999999995E-2</v>
      </c>
      <c r="Z8535">
        <v>-0.2430023</v>
      </c>
      <c r="AA8535">
        <v>0.96563860000000001</v>
      </c>
      <c r="AB8535">
        <v>32</v>
      </c>
      <c r="AC8535">
        <v>8.0100000000015797E-2</v>
      </c>
      <c r="AD8535">
        <v>-0.24553710000000001</v>
      </c>
      <c r="AE8535">
        <v>0.58808199999999999</v>
      </c>
      <c r="AF8535">
        <v>7.5171464667282598E-2</v>
      </c>
      <c r="AG8535">
        <v>-0.24553710000000001</v>
      </c>
      <c r="AH8535">
        <v>0.50117115324374795</v>
      </c>
      <c r="AI8535">
        <v>115.85050668963601</v>
      </c>
      <c r="AJ8535">
        <v>81.4697049147955</v>
      </c>
      <c r="AK8535">
        <v>0.56312675431052195</v>
      </c>
      <c r="AL8535">
        <v>97.026864095347193</v>
      </c>
      <c r="AM8535">
        <v>91.650737643444799</v>
      </c>
      <c r="AN8535">
        <v>0.99999998329214601</v>
      </c>
    </row>
    <row r="8536" spans="1:40" x14ac:dyDescent="0.25">
      <c r="A8536" t="str">
        <f>"20190303154344540"</f>
        <v>20190303154344540</v>
      </c>
      <c r="B8536" t="str">
        <f>"1551599024539043"</f>
        <v>1551599024539043</v>
      </c>
      <c r="C8536" t="s">
        <v>40</v>
      </c>
      <c r="D8536">
        <v>6.2042510000000002</v>
      </c>
      <c r="E8536">
        <v>0.54447679999999998</v>
      </c>
      <c r="F8536" t="s">
        <v>42</v>
      </c>
      <c r="G8536">
        <v>-188.44139999999999</v>
      </c>
      <c r="H8536">
        <v>0.88447960000000003</v>
      </c>
      <c r="I8536">
        <v>-9.1263179999999995</v>
      </c>
      <c r="J8536">
        <v>-188.5154</v>
      </c>
      <c r="K8536">
        <v>1.119289</v>
      </c>
      <c r="L8536">
        <v>-9.7063600000000001</v>
      </c>
      <c r="M8536">
        <v>-1.2740080000000001E-2</v>
      </c>
      <c r="N8536">
        <v>-1.1199870000000001E-2</v>
      </c>
      <c r="O8536">
        <v>0.99985610000000003</v>
      </c>
      <c r="P8536">
        <v>-4.1885480000000003E-2</v>
      </c>
      <c r="Q8536">
        <v>-0.13369610000000001</v>
      </c>
      <c r="R8536">
        <v>0.99013689999999999</v>
      </c>
      <c r="S8536">
        <v>0.23522950000000001</v>
      </c>
      <c r="T8536">
        <v>-0.78138050000000003</v>
      </c>
      <c r="U8536">
        <v>2.9343870000000001</v>
      </c>
      <c r="V8536">
        <v>-2.9562350000000001E-2</v>
      </c>
      <c r="W8536">
        <v>-0.1225224</v>
      </c>
      <c r="X8536">
        <v>0.99202539999999995</v>
      </c>
      <c r="Y8536">
        <v>9.0012389999999998E-2</v>
      </c>
      <c r="Z8536">
        <v>-0.24553330000000001</v>
      </c>
      <c r="AA8536">
        <v>0.96520010000000001</v>
      </c>
      <c r="AB8536">
        <v>32</v>
      </c>
      <c r="AC8536">
        <v>7.4000000000012195E-2</v>
      </c>
      <c r="AD8536">
        <v>-0.234809399999999</v>
      </c>
      <c r="AE8536">
        <v>0.58004199999999995</v>
      </c>
      <c r="AF8536">
        <v>7.0083289230781498E-2</v>
      </c>
      <c r="AG8536">
        <v>-0.234809399999999</v>
      </c>
      <c r="AH8536">
        <v>0.49864538933406199</v>
      </c>
      <c r="AI8536">
        <v>115.000177287841</v>
      </c>
      <c r="AJ8536">
        <v>81.999633799909304</v>
      </c>
      <c r="AK8536">
        <v>0.55560268723421702</v>
      </c>
      <c r="AL8536">
        <v>97.037699679444302</v>
      </c>
      <c r="AM8536">
        <v>91.706908681920794</v>
      </c>
      <c r="AN8536">
        <v>1.00000003264222</v>
      </c>
    </row>
    <row r="8537" spans="1:40" x14ac:dyDescent="0.25">
      <c r="A8537" t="str">
        <f>"20190303154344564"</f>
        <v>20190303154344564</v>
      </c>
      <c r="B8537" t="str">
        <f>"1551599024558563"</f>
        <v>1551599024558563</v>
      </c>
      <c r="C8537" t="s">
        <v>40</v>
      </c>
      <c r="D8537">
        <v>5.9815009999999997</v>
      </c>
      <c r="E8537">
        <v>0.54448909999999995</v>
      </c>
      <c r="F8537" t="s">
        <v>42</v>
      </c>
      <c r="G8537">
        <v>-188.4462</v>
      </c>
      <c r="H8537">
        <v>0.88559699999999997</v>
      </c>
      <c r="I8537">
        <v>-8.8364929999999902</v>
      </c>
      <c r="J8537">
        <v>-188.5188</v>
      </c>
      <c r="K8537">
        <v>1.1193059999999999</v>
      </c>
      <c r="L8537">
        <v>-9.3643190000000001</v>
      </c>
      <c r="M8537">
        <v>-1.1882490000000001E-2</v>
      </c>
      <c r="N8537">
        <v>-1.138896E-2</v>
      </c>
      <c r="O8537">
        <v>0.99986450000000004</v>
      </c>
      <c r="P8537">
        <v>-4.0916639999999997E-2</v>
      </c>
      <c r="Q8537">
        <v>-0.13435059999999999</v>
      </c>
      <c r="R8537">
        <v>0.99008879999999999</v>
      </c>
      <c r="S8537">
        <v>0.23304749999999999</v>
      </c>
      <c r="T8537">
        <v>-0.78802720000000004</v>
      </c>
      <c r="U8537">
        <v>2.9333499999999999</v>
      </c>
      <c r="V8537">
        <v>-2.9442380000000001E-2</v>
      </c>
      <c r="W8537">
        <v>-0.12299110000000001</v>
      </c>
      <c r="X8537">
        <v>0.99197100000000005</v>
      </c>
      <c r="Y8537">
        <v>8.8431179999999998E-2</v>
      </c>
      <c r="Z8537">
        <v>-0.24750659999999999</v>
      </c>
      <c r="AA8537">
        <v>0.96484219999999998</v>
      </c>
      <c r="AB8537">
        <v>32</v>
      </c>
      <c r="AC8537">
        <v>7.2599999999994197E-2</v>
      </c>
      <c r="AD8537">
        <v>-0.233708999999999</v>
      </c>
      <c r="AE8537">
        <v>0.52782600000000102</v>
      </c>
      <c r="AF8537">
        <v>6.6140929246792796E-2</v>
      </c>
      <c r="AG8537">
        <v>-0.233708999999999</v>
      </c>
      <c r="AH8537">
        <v>0.44189967212272502</v>
      </c>
      <c r="AI8537">
        <v>117.611688522162</v>
      </c>
      <c r="AJ8537">
        <v>81.487497886824798</v>
      </c>
      <c r="AK8537">
        <v>0.50425176194516297</v>
      </c>
      <c r="AL8537">
        <v>97.064758637861502</v>
      </c>
      <c r="AM8537">
        <v>91.700078946946306</v>
      </c>
      <c r="AN8537">
        <v>1.0000000646301299</v>
      </c>
    </row>
    <row r="8538" spans="1:40" x14ac:dyDescent="0.25">
      <c r="A8538" t="str">
        <f>"20190303154344586"</f>
        <v>20190303154344586</v>
      </c>
      <c r="B8538" t="str">
        <f>"1551599024579059"</f>
        <v>1551599024579059</v>
      </c>
      <c r="C8538" t="s">
        <v>40</v>
      </c>
      <c r="D8538">
        <v>6.1723559999999997</v>
      </c>
      <c r="E8538">
        <v>0.54430970000000001</v>
      </c>
      <c r="F8538" t="s">
        <v>42</v>
      </c>
      <c r="G8538">
        <v>-188.45259999999999</v>
      </c>
      <c r="H8538">
        <v>0.89739999999999998</v>
      </c>
      <c r="I8538">
        <v>-8.5424589999999991</v>
      </c>
      <c r="J8538">
        <v>-188.52180000000001</v>
      </c>
      <c r="K8538">
        <v>1.1193360000000001</v>
      </c>
      <c r="L8538">
        <v>-9.0426640000000003</v>
      </c>
      <c r="M8538">
        <v>-1.109769E-2</v>
      </c>
      <c r="N8538">
        <v>-1.154292E-2</v>
      </c>
      <c r="O8538">
        <v>0.99987179999999998</v>
      </c>
      <c r="P8538">
        <v>-3.948786E-2</v>
      </c>
      <c r="Q8538">
        <v>-0.13504379999999999</v>
      </c>
      <c r="R8538">
        <v>0.9900525</v>
      </c>
      <c r="S8538">
        <v>0.2359009</v>
      </c>
      <c r="T8538">
        <v>-0.79171440000000004</v>
      </c>
      <c r="U8538">
        <v>2.9323429999999999</v>
      </c>
      <c r="V8538">
        <v>-2.8783389999999999E-2</v>
      </c>
      <c r="W8538">
        <v>-0.12353600000000001</v>
      </c>
      <c r="X8538">
        <v>0.99192259999999999</v>
      </c>
      <c r="Y8538">
        <v>8.8583969999999998E-2</v>
      </c>
      <c r="Z8538">
        <v>-0.24856449999999999</v>
      </c>
      <c r="AA8538">
        <v>0.96455619999999997</v>
      </c>
      <c r="AB8538">
        <v>32</v>
      </c>
      <c r="AC8538">
        <v>6.9200000000023396E-2</v>
      </c>
      <c r="AD8538">
        <v>-0.22193599999999999</v>
      </c>
      <c r="AE8538">
        <v>0.50020500000000101</v>
      </c>
      <c r="AF8538">
        <v>6.2646233603322804E-2</v>
      </c>
      <c r="AG8538">
        <v>-0.22193599999999999</v>
      </c>
      <c r="AH8538">
        <v>0.418556208709012</v>
      </c>
      <c r="AI8538">
        <v>117.672543033541</v>
      </c>
      <c r="AJ8538">
        <v>81.487602870779099</v>
      </c>
      <c r="AK8538">
        <v>0.47788015080095603</v>
      </c>
      <c r="AL8538">
        <v>97.096219231285104</v>
      </c>
      <c r="AM8538">
        <v>91.662129804651002</v>
      </c>
      <c r="AN8538">
        <v>1.0000000356133201</v>
      </c>
    </row>
    <row r="8539" spans="1:40" x14ac:dyDescent="0.25">
      <c r="A8539" t="str">
        <f>"20190303154344610"</f>
        <v>20190303154344610</v>
      </c>
      <c r="B8539" t="str">
        <f>"1551599024598579"</f>
        <v>1551599024598579</v>
      </c>
      <c r="C8539" t="s">
        <v>40</v>
      </c>
      <c r="D8539">
        <v>5.9212829999999999</v>
      </c>
      <c r="E8539">
        <v>0.54439869999999901</v>
      </c>
      <c r="F8539" t="s">
        <v>42</v>
      </c>
      <c r="G8539">
        <v>-188.4573</v>
      </c>
      <c r="H8539">
        <v>0.90364909999999998</v>
      </c>
      <c r="I8539">
        <v>-8.2505129999999998</v>
      </c>
      <c r="J8539">
        <v>-188.52459999999999</v>
      </c>
      <c r="K8539">
        <v>1.1192329999999999</v>
      </c>
      <c r="L8539">
        <v>-8.698639</v>
      </c>
      <c r="M8539">
        <v>-1.028657E-2</v>
      </c>
      <c r="N8539">
        <v>-1.099665E-2</v>
      </c>
      <c r="O8539">
        <v>0.99988659999999996</v>
      </c>
      <c r="P8539">
        <v>-3.8496549999999997E-2</v>
      </c>
      <c r="Q8539">
        <v>-0.13423769999999999</v>
      </c>
      <c r="R8539">
        <v>0.99020109999999995</v>
      </c>
      <c r="S8539">
        <v>0.23857120000000001</v>
      </c>
      <c r="T8539">
        <v>-0.79799679999999995</v>
      </c>
      <c r="U8539">
        <v>2.9308169999999998</v>
      </c>
      <c r="V8539">
        <v>-2.8570539999999998E-2</v>
      </c>
      <c r="W8539">
        <v>-0.12327639999999999</v>
      </c>
      <c r="X8539">
        <v>0.99196099999999998</v>
      </c>
      <c r="Y8539">
        <v>8.8641300000000006E-2</v>
      </c>
      <c r="Z8539">
        <v>-0.25114009999999998</v>
      </c>
      <c r="AA8539">
        <v>0.9638835</v>
      </c>
      <c r="AB8539">
        <v>32</v>
      </c>
      <c r="AC8539">
        <v>6.7299999999988799E-2</v>
      </c>
      <c r="AD8539">
        <v>-0.215583899999999</v>
      </c>
      <c r="AE8539">
        <v>0.44812600000000002</v>
      </c>
      <c r="AF8539">
        <v>5.8635342447968697E-2</v>
      </c>
      <c r="AG8539">
        <v>-0.215583899999999</v>
      </c>
      <c r="AH8539">
        <v>0.364835914845896</v>
      </c>
      <c r="AI8539">
        <v>120.260126871167</v>
      </c>
      <c r="AJ8539">
        <v>80.869670581183698</v>
      </c>
      <c r="AK8539">
        <v>0.42780809492650101</v>
      </c>
      <c r="AL8539">
        <v>97.081231031398104</v>
      </c>
      <c r="AM8539">
        <v>91.649781524035006</v>
      </c>
      <c r="AN8539">
        <v>0.99999998603692497</v>
      </c>
    </row>
    <row r="8540" spans="1:40" x14ac:dyDescent="0.25">
      <c r="A8540" t="str">
        <f>"20190303154344631"</f>
        <v>20190303154344631</v>
      </c>
      <c r="B8540" t="str">
        <f>"1551599024628835"</f>
        <v>1551599024628835</v>
      </c>
      <c r="C8540" t="s">
        <v>40</v>
      </c>
      <c r="D8540">
        <v>5.9193439999999997</v>
      </c>
      <c r="E8540">
        <v>0.54445310000000002</v>
      </c>
      <c r="F8540" t="s">
        <v>42</v>
      </c>
      <c r="G8540">
        <v>-188.46279999999999</v>
      </c>
      <c r="H8540">
        <v>0.91637809999999997</v>
      </c>
      <c r="I8540">
        <v>-7.95235</v>
      </c>
      <c r="J8540">
        <v>-188.52709999999999</v>
      </c>
      <c r="K8540">
        <v>1.119016</v>
      </c>
      <c r="L8540">
        <v>-8.3816220000000001</v>
      </c>
      <c r="M8540">
        <v>-9.5802519999999992E-3</v>
      </c>
      <c r="N8540">
        <v>-9.869559E-3</v>
      </c>
      <c r="O8540">
        <v>0.99990540000000006</v>
      </c>
      <c r="P8540">
        <v>-3.736602E-2</v>
      </c>
      <c r="Q8540">
        <v>-0.13287650000000001</v>
      </c>
      <c r="R8540">
        <v>0.99042799999999998</v>
      </c>
      <c r="S8540">
        <v>0.2422028</v>
      </c>
      <c r="T8540">
        <v>-0.79668779999999995</v>
      </c>
      <c r="U8540">
        <v>2.9310909999999999</v>
      </c>
      <c r="V8540">
        <v>-2.8110670000000001E-2</v>
      </c>
      <c r="W8540">
        <v>-0.1230383</v>
      </c>
      <c r="X8540">
        <v>0.99200370000000004</v>
      </c>
      <c r="Y8540">
        <v>8.9117070000000007E-2</v>
      </c>
      <c r="Z8540">
        <v>-0.25179269999999998</v>
      </c>
      <c r="AA8540">
        <v>0.96366940000000001</v>
      </c>
      <c r="AB8540">
        <v>32</v>
      </c>
      <c r="AC8540">
        <v>6.4300000000002897E-2</v>
      </c>
      <c r="AD8540">
        <v>-0.20263790000000001</v>
      </c>
      <c r="AE8540">
        <v>0.42927199999999999</v>
      </c>
      <c r="AF8540">
        <v>5.6168367411158299E-2</v>
      </c>
      <c r="AG8540">
        <v>-0.20263790000000001</v>
      </c>
      <c r="AH8540">
        <v>0.35193502618900802</v>
      </c>
      <c r="AI8540">
        <v>119.621963885703</v>
      </c>
      <c r="AJ8540">
        <v>80.932144188796102</v>
      </c>
      <c r="AK8540">
        <v>0.40996983629616301</v>
      </c>
      <c r="AL8540">
        <v>97.067484247691894</v>
      </c>
      <c r="AM8540">
        <v>91.623171211548595</v>
      </c>
      <c r="AN8540">
        <v>0.99999998692421399</v>
      </c>
    </row>
    <row r="8541" spans="1:40" x14ac:dyDescent="0.25">
      <c r="A8541" t="str">
        <f>"20190303154344653"</f>
        <v>20190303154344653</v>
      </c>
      <c r="B8541" t="str">
        <f>"1551599024648356"</f>
        <v>1551599024648356</v>
      </c>
      <c r="C8541" t="s">
        <v>40</v>
      </c>
      <c r="D8541">
        <v>5.9138260000000002</v>
      </c>
      <c r="E8541">
        <v>0.54455640000000005</v>
      </c>
      <c r="F8541" t="s">
        <v>42</v>
      </c>
      <c r="G8541">
        <v>-188.46610000000001</v>
      </c>
      <c r="H8541">
        <v>0.92227460000000006</v>
      </c>
      <c r="I8541">
        <v>-7.6543839999999896</v>
      </c>
      <c r="J8541">
        <v>-188.52950000000001</v>
      </c>
      <c r="K8541">
        <v>1.118846</v>
      </c>
      <c r="L8541">
        <v>-8.0755920000000003</v>
      </c>
      <c r="M8541">
        <v>-8.9390919999999992E-3</v>
      </c>
      <c r="N8541">
        <v>-8.6925040000000002E-3</v>
      </c>
      <c r="O8541">
        <v>0.99992230000000004</v>
      </c>
      <c r="P8541">
        <v>-3.618905E-2</v>
      </c>
      <c r="Q8541">
        <v>-0.13222600000000001</v>
      </c>
      <c r="R8541">
        <v>0.99055870000000001</v>
      </c>
      <c r="S8541">
        <v>0.24604799999999999</v>
      </c>
      <c r="T8541">
        <v>-0.79315230000000003</v>
      </c>
      <c r="U8541">
        <v>2.931854</v>
      </c>
      <c r="V8541">
        <v>-2.7541699999999999E-2</v>
      </c>
      <c r="W8541">
        <v>-0.12356159999999999</v>
      </c>
      <c r="X8541">
        <v>0.99195460000000002</v>
      </c>
      <c r="Y8541">
        <v>8.9728710000000003E-2</v>
      </c>
      <c r="Z8541">
        <v>-0.25176779999999999</v>
      </c>
      <c r="AA8541">
        <v>0.96361909999999895</v>
      </c>
      <c r="AB8541">
        <v>33</v>
      </c>
      <c r="AC8541">
        <v>6.34000000000014E-2</v>
      </c>
      <c r="AD8541">
        <v>-0.19657140000000001</v>
      </c>
      <c r="AE8541">
        <v>0.42120800000000003</v>
      </c>
      <c r="AF8541">
        <v>5.5370571725347602E-2</v>
      </c>
      <c r="AG8541">
        <v>-0.19657140000000001</v>
      </c>
      <c r="AH8541">
        <v>0.34677239597374498</v>
      </c>
      <c r="AI8541">
        <v>119.238750905133</v>
      </c>
      <c r="AJ8541">
        <v>80.927930369110797</v>
      </c>
      <c r="AK8541">
        <v>0.402439200526643</v>
      </c>
      <c r="AL8541">
        <v>97.097697786114693</v>
      </c>
      <c r="AM8541">
        <v>91.5904133705898</v>
      </c>
      <c r="AN8541">
        <v>0.99999997134730401</v>
      </c>
    </row>
    <row r="8542" spans="1:40" x14ac:dyDescent="0.25">
      <c r="A8542" t="str">
        <f>"20190303154344676"</f>
        <v>20190303154344676</v>
      </c>
      <c r="B8542" t="str">
        <f>"1551599024668851"</f>
        <v>1551599024668851</v>
      </c>
      <c r="C8542" t="s">
        <v>40</v>
      </c>
      <c r="D8542">
        <v>5.9034420000000001</v>
      </c>
      <c r="E8542">
        <v>0.54466219999999999</v>
      </c>
      <c r="F8542" t="s">
        <v>42</v>
      </c>
      <c r="G8542">
        <v>-188.46789999999999</v>
      </c>
      <c r="H8542">
        <v>0.92463779999999995</v>
      </c>
      <c r="I8542">
        <v>-7.3559359999999998</v>
      </c>
      <c r="J8542">
        <v>-188.53200000000001</v>
      </c>
      <c r="K8542">
        <v>1.1186849999999999</v>
      </c>
      <c r="L8542">
        <v>-7.7243649999999997</v>
      </c>
      <c r="M8542">
        <v>-8.2681909999999994E-3</v>
      </c>
      <c r="N8542">
        <v>-7.3588630000000002E-3</v>
      </c>
      <c r="O8542">
        <v>0.99993869999999896</v>
      </c>
      <c r="P8542">
        <v>-3.5020629999999997E-2</v>
      </c>
      <c r="Q8542">
        <v>-0.13160949999999999</v>
      </c>
      <c r="R8542">
        <v>0.99068279999999997</v>
      </c>
      <c r="S8542">
        <v>0.25010680000000002</v>
      </c>
      <c r="T8542">
        <v>-0.79123330000000003</v>
      </c>
      <c r="U8542">
        <v>2.9320979999999999</v>
      </c>
      <c r="V8542">
        <v>-2.701046E-2</v>
      </c>
      <c r="W8542">
        <v>-0.1242742</v>
      </c>
      <c r="X8542">
        <v>0.99188019999999999</v>
      </c>
      <c r="Y8542">
        <v>9.0380470000000004E-2</v>
      </c>
      <c r="Z8542">
        <v>-0.25243110000000002</v>
      </c>
      <c r="AA8542">
        <v>0.96338460000000004</v>
      </c>
      <c r="AB8542">
        <v>33</v>
      </c>
      <c r="AC8542">
        <v>6.4100000000024596E-2</v>
      </c>
      <c r="AD8542">
        <v>-0.194047199999999</v>
      </c>
      <c r="AE8542">
        <v>0.36842899999999901</v>
      </c>
      <c r="AF8542">
        <v>5.2900623558720203E-2</v>
      </c>
      <c r="AG8542">
        <v>-0.194047199999999</v>
      </c>
      <c r="AH8542">
        <v>0.289845429099855</v>
      </c>
      <c r="AI8542">
        <v>123.369121801907</v>
      </c>
      <c r="AJ8542">
        <v>79.656609636032897</v>
      </c>
      <c r="AK8542">
        <v>0.35279337376263198</v>
      </c>
      <c r="AL8542">
        <v>97.138843787076297</v>
      </c>
      <c r="AM8542">
        <v>91.559868811818703</v>
      </c>
      <c r="AN8542">
        <v>0.99999998644354504</v>
      </c>
    </row>
    <row r="8543" spans="1:40" x14ac:dyDescent="0.25">
      <c r="A8543" t="str">
        <f>"20190303154344698"</f>
        <v>20190303154344698</v>
      </c>
      <c r="B8543" t="str">
        <f>"1551599024688371"</f>
        <v>1551599024688371</v>
      </c>
      <c r="C8543" t="s">
        <v>40</v>
      </c>
      <c r="D8543">
        <v>5.8713939999999996</v>
      </c>
      <c r="E8543">
        <v>0.54480550000000005</v>
      </c>
      <c r="F8543" t="s">
        <v>42</v>
      </c>
      <c r="G8543">
        <v>-188.44990000000001</v>
      </c>
      <c r="H8543">
        <v>0.86414269999999904</v>
      </c>
      <c r="I8543">
        <v>-6.7789549999999998</v>
      </c>
      <c r="J8543">
        <v>-188.5343</v>
      </c>
      <c r="K8543">
        <v>1.118574</v>
      </c>
      <c r="L8543">
        <v>-7.3888550000000004</v>
      </c>
      <c r="M8543">
        <v>-7.7320699999999997E-3</v>
      </c>
      <c r="N8543">
        <v>-6.1360809999999998E-3</v>
      </c>
      <c r="O8543">
        <v>0.99995129999999999</v>
      </c>
      <c r="P8543">
        <v>-3.3988730000000002E-2</v>
      </c>
      <c r="Q8543">
        <v>-0.1309292</v>
      </c>
      <c r="R8543">
        <v>0.99080889999999999</v>
      </c>
      <c r="S8543">
        <v>0.25440980000000002</v>
      </c>
      <c r="T8543">
        <v>-0.78949119999999995</v>
      </c>
      <c r="U8543">
        <v>2.932312</v>
      </c>
      <c r="V8543">
        <v>-2.648934E-2</v>
      </c>
      <c r="W8543">
        <v>-0.1248112</v>
      </c>
      <c r="X8543">
        <v>0.99182680000000001</v>
      </c>
      <c r="Y8543">
        <v>9.1245430000000002E-2</v>
      </c>
      <c r="Z8543">
        <v>-0.25303930000000002</v>
      </c>
      <c r="AA8543">
        <v>0.96314350000000004</v>
      </c>
      <c r="AB8543">
        <v>34</v>
      </c>
      <c r="AC8543">
        <v>8.4399999999987999E-2</v>
      </c>
      <c r="AD8543">
        <v>-0.25443130000000003</v>
      </c>
      <c r="AE8543">
        <v>0.609899999999999</v>
      </c>
      <c r="AF8543">
        <v>7.6115828932052904E-2</v>
      </c>
      <c r="AG8543">
        <v>-0.25443130000000003</v>
      </c>
      <c r="AH8543">
        <v>0.52037074707514896</v>
      </c>
      <c r="AI8543">
        <v>115.817428691578</v>
      </c>
      <c r="AJ8543">
        <v>81.678229079995305</v>
      </c>
      <c r="AK8543">
        <v>0.58422137948319897</v>
      </c>
      <c r="AL8543">
        <v>97.169853235373594</v>
      </c>
      <c r="AM8543">
        <v>91.529870613317797</v>
      </c>
      <c r="AN8543">
        <v>0.99999996098865696</v>
      </c>
    </row>
    <row r="8544" spans="1:40" x14ac:dyDescent="0.25">
      <c r="A8544" t="str">
        <f>"20190303154344719"</f>
        <v>20190303154344719</v>
      </c>
      <c r="B8544" t="str">
        <f>"1551599024708870"</f>
        <v>1551599024708870</v>
      </c>
      <c r="C8544" t="s">
        <v>40</v>
      </c>
      <c r="D8544">
        <v>5.8866500000000004</v>
      </c>
      <c r="E8544">
        <v>0.54492259999999904</v>
      </c>
      <c r="F8544" t="s">
        <v>42</v>
      </c>
      <c r="G8544">
        <v>-188.45330000000001</v>
      </c>
      <c r="H8544">
        <v>0.87215359999999997</v>
      </c>
      <c r="I8544">
        <v>-6.4712180000000004</v>
      </c>
      <c r="J8544">
        <v>-188.53649999999999</v>
      </c>
      <c r="K8544">
        <v>1.1184889999999901</v>
      </c>
      <c r="L8544">
        <v>-7.0632020000000004</v>
      </c>
      <c r="M8544">
        <v>-7.30817599999999E-3</v>
      </c>
      <c r="N8544">
        <v>-5.0246309999999999E-3</v>
      </c>
      <c r="O8544">
        <v>0.99996070000000004</v>
      </c>
      <c r="P8544">
        <v>-3.3376210000000003E-2</v>
      </c>
      <c r="Q8544">
        <v>-0.1294862</v>
      </c>
      <c r="R8544">
        <v>0.99101939999999999</v>
      </c>
      <c r="S8544">
        <v>0.2587738</v>
      </c>
      <c r="T8544">
        <v>-0.78752080000000002</v>
      </c>
      <c r="U8544">
        <v>2.9326479999999999</v>
      </c>
      <c r="V8544">
        <v>-2.6279529999999999E-2</v>
      </c>
      <c r="W8544">
        <v>-0.1244731</v>
      </c>
      <c r="X8544">
        <v>0.9918749</v>
      </c>
      <c r="Y8544">
        <v>9.2240359999999993E-2</v>
      </c>
      <c r="Z8544">
        <v>-0.25345709999999999</v>
      </c>
      <c r="AA8544">
        <v>0.96293879999999998</v>
      </c>
      <c r="AB8544">
        <v>34</v>
      </c>
      <c r="AC8544">
        <v>8.3199999999976598E-2</v>
      </c>
      <c r="AD8544">
        <v>-0.24633539999999901</v>
      </c>
      <c r="AE8544">
        <v>0.59198399999999995</v>
      </c>
      <c r="AF8544">
        <v>7.48197314357852E-2</v>
      </c>
      <c r="AG8544">
        <v>-0.24633539999999901</v>
      </c>
      <c r="AH8544">
        <v>0.50552223714520805</v>
      </c>
      <c r="AI8544">
        <v>115.735830053808</v>
      </c>
      <c r="AJ8544">
        <v>81.581066463494807</v>
      </c>
      <c r="AK8544">
        <v>0.56730225960556402</v>
      </c>
      <c r="AL8544">
        <v>97.150329057618706</v>
      </c>
      <c r="AM8544">
        <v>91.517685327476897</v>
      </c>
      <c r="AN8544">
        <v>0.99999999178531995</v>
      </c>
    </row>
    <row r="8545" spans="1:40" x14ac:dyDescent="0.25">
      <c r="A8545" t="str">
        <f>"20190303154344742"</f>
        <v>20190303154344742</v>
      </c>
      <c r="B8545" t="str">
        <f>"1551599024738147"</f>
        <v>1551599024738147</v>
      </c>
      <c r="C8545" t="s">
        <v>40</v>
      </c>
      <c r="D8545">
        <v>5.8758939999999997</v>
      </c>
      <c r="E8545">
        <v>0.54510340000000002</v>
      </c>
      <c r="F8545" t="s">
        <v>42</v>
      </c>
      <c r="G8545">
        <v>-188.45599999999999</v>
      </c>
      <c r="H8545">
        <v>0.87793670000000001</v>
      </c>
      <c r="I8545">
        <v>-6.1619760000000001</v>
      </c>
      <c r="J8545">
        <v>-188.53870000000001</v>
      </c>
      <c r="K8545">
        <v>1.1184449999999999</v>
      </c>
      <c r="L8545">
        <v>-6.7202149999999996</v>
      </c>
      <c r="M8545">
        <v>-6.9716709999999996E-3</v>
      </c>
      <c r="N8545">
        <v>-3.9942110000000001E-3</v>
      </c>
      <c r="O8545">
        <v>0.99996770000000001</v>
      </c>
      <c r="P8545">
        <v>-3.3450540000000001E-2</v>
      </c>
      <c r="Q8545">
        <v>-0.1283482</v>
      </c>
      <c r="R8545">
        <v>0.99116490000000002</v>
      </c>
      <c r="S8545">
        <v>0.26158140000000002</v>
      </c>
      <c r="T8545">
        <v>-0.7830416</v>
      </c>
      <c r="U8545">
        <v>2.9336850000000001</v>
      </c>
      <c r="V8545">
        <v>-2.6670579999999999E-2</v>
      </c>
      <c r="W8545">
        <v>-0.12435939999999999</v>
      </c>
      <c r="X8545">
        <v>0.9918787</v>
      </c>
      <c r="Y8545">
        <v>9.2814270000000004E-2</v>
      </c>
      <c r="Z8545">
        <v>-0.25298029999999999</v>
      </c>
      <c r="AA8545">
        <v>0.96300909999999995</v>
      </c>
      <c r="AB8545">
        <v>34</v>
      </c>
      <c r="AC8545">
        <v>8.2700000000016802E-2</v>
      </c>
      <c r="AD8545">
        <v>-0.24050830000000001</v>
      </c>
      <c r="AE8545">
        <v>0.55823899999999904</v>
      </c>
      <c r="AF8545">
        <v>7.32799264653827E-2</v>
      </c>
      <c r="AG8545">
        <v>-0.24050830000000001</v>
      </c>
      <c r="AH8545">
        <v>0.47193122711680002</v>
      </c>
      <c r="AI8545">
        <v>116.729409115639</v>
      </c>
      <c r="AJ8545">
        <v>81.173785527830503</v>
      </c>
      <c r="AK8545">
        <v>0.53472728854962204</v>
      </c>
      <c r="AL8545">
        <v>97.143763685705395</v>
      </c>
      <c r="AM8545">
        <v>91.540252399697394</v>
      </c>
      <c r="AN8545">
        <v>0.99999996785979195</v>
      </c>
    </row>
    <row r="8546" spans="1:40" x14ac:dyDescent="0.25">
      <c r="A8546" t="str">
        <f>"20190303154344764"</f>
        <v>20190303154344764</v>
      </c>
      <c r="B8546" t="str">
        <f>"1551599024758643"</f>
        <v>1551599024758643</v>
      </c>
      <c r="C8546" t="s">
        <v>40</v>
      </c>
      <c r="D8546">
        <v>5.8611230000000001</v>
      </c>
      <c r="E8546">
        <v>0.54525219999999996</v>
      </c>
      <c r="F8546" t="s">
        <v>42</v>
      </c>
      <c r="G8546">
        <v>-188.4607</v>
      </c>
      <c r="H8546">
        <v>0.88719329999999996</v>
      </c>
      <c r="I8546">
        <v>-5.8492759999999997</v>
      </c>
      <c r="J8546">
        <v>-188.54089999999999</v>
      </c>
      <c r="K8546">
        <v>1.1184609999999999</v>
      </c>
      <c r="L8546">
        <v>-6.3692929999999999</v>
      </c>
      <c r="M8546">
        <v>-6.7398190000000002E-3</v>
      </c>
      <c r="N8546">
        <v>-3.157343E-3</v>
      </c>
      <c r="O8546">
        <v>0.99997230000000004</v>
      </c>
      <c r="P8546">
        <v>-3.4750740000000002E-2</v>
      </c>
      <c r="Q8546">
        <v>-0.12713260000000001</v>
      </c>
      <c r="R8546">
        <v>0.99127679999999996</v>
      </c>
      <c r="S8546">
        <v>0.26309199999999999</v>
      </c>
      <c r="T8546">
        <v>-0.77923189999999998</v>
      </c>
      <c r="U8546">
        <v>2.934723</v>
      </c>
      <c r="V8546">
        <v>-2.818209E-2</v>
      </c>
      <c r="W8546">
        <v>-0.1239759</v>
      </c>
      <c r="X8546">
        <v>0.99188489999999996</v>
      </c>
      <c r="Y8546">
        <v>9.3066479999999993E-2</v>
      </c>
      <c r="Z8546">
        <v>-0.25252960000000002</v>
      </c>
      <c r="AA8546">
        <v>0.96310309999999999</v>
      </c>
      <c r="AB8546">
        <v>34</v>
      </c>
      <c r="AC8546">
        <v>8.0199999999990695E-2</v>
      </c>
      <c r="AD8546">
        <v>-0.23126769999999999</v>
      </c>
      <c r="AE8546">
        <v>0.52001699999999895</v>
      </c>
      <c r="AF8546">
        <v>7.0150586188320693E-2</v>
      </c>
      <c r="AG8546">
        <v>-0.23126769999999999</v>
      </c>
      <c r="AH8546">
        <v>0.43535766662686098</v>
      </c>
      <c r="AI8546">
        <v>117.674690309494</v>
      </c>
      <c r="AJ8546">
        <v>80.846425807000401</v>
      </c>
      <c r="AK8546">
        <v>0.497937899437912</v>
      </c>
      <c r="AL8546">
        <v>97.121619480521403</v>
      </c>
      <c r="AM8546">
        <v>91.627487742340307</v>
      </c>
      <c r="AN8546">
        <v>0.99999995441279299</v>
      </c>
    </row>
    <row r="8547" spans="1:40" x14ac:dyDescent="0.25">
      <c r="A8547" t="str">
        <f>"20190303154344786"</f>
        <v>20190303154344786</v>
      </c>
      <c r="B8547" t="str">
        <f>"1551599024779139"</f>
        <v>1551599024779139</v>
      </c>
      <c r="C8547" t="s">
        <v>40</v>
      </c>
      <c r="D8547">
        <v>5.8701790000000003</v>
      </c>
      <c r="E8547">
        <v>0.5453886</v>
      </c>
      <c r="F8547" t="s">
        <v>42</v>
      </c>
      <c r="G8547">
        <v>-188.46680000000001</v>
      </c>
      <c r="H8547">
        <v>0.89810380000000001</v>
      </c>
      <c r="I8547">
        <v>-5.5341370000000003</v>
      </c>
      <c r="J8547">
        <v>-188.54300000000001</v>
      </c>
      <c r="K8547">
        <v>1.1185499999999999</v>
      </c>
      <c r="L8547">
        <v>-6.0294489999999996</v>
      </c>
      <c r="M8547">
        <v>-6.6048490000000003E-3</v>
      </c>
      <c r="N8547">
        <v>-2.6157680000000001E-3</v>
      </c>
      <c r="O8547">
        <v>0.99997480000000005</v>
      </c>
      <c r="P8547">
        <v>-3.6591510000000001E-2</v>
      </c>
      <c r="Q8547">
        <v>-0.12625819999999999</v>
      </c>
      <c r="R8547">
        <v>0.99132229999999999</v>
      </c>
      <c r="S8547">
        <v>0.26060489999999997</v>
      </c>
      <c r="T8547">
        <v>-0.77471820000000002</v>
      </c>
      <c r="U8547">
        <v>2.936188</v>
      </c>
      <c r="V8547">
        <v>-3.0136179999999999E-2</v>
      </c>
      <c r="W8547">
        <v>-0.1236415</v>
      </c>
      <c r="X8547">
        <v>0.99186929999999995</v>
      </c>
      <c r="Y8547">
        <v>9.2109499999999997E-2</v>
      </c>
      <c r="Z8547">
        <v>-0.25157099999999999</v>
      </c>
      <c r="AA8547">
        <v>0.96344580000000002</v>
      </c>
      <c r="AB8547">
        <v>35</v>
      </c>
      <c r="AC8547">
        <v>7.6200000000000004E-2</v>
      </c>
      <c r="AD8547">
        <v>-0.22044619999999901</v>
      </c>
      <c r="AE8547">
        <v>0.49531199999999898</v>
      </c>
      <c r="AF8547">
        <v>6.6585322918346304E-2</v>
      </c>
      <c r="AG8547">
        <v>-0.22044619999999901</v>
      </c>
      <c r="AH8547">
        <v>0.414576029523542</v>
      </c>
      <c r="AI8547">
        <v>117.69994366487199</v>
      </c>
      <c r="AJ8547">
        <v>80.875612350255196</v>
      </c>
      <c r="AK8547">
        <v>0.474239830231588</v>
      </c>
      <c r="AL8547">
        <v>97.102310467927893</v>
      </c>
      <c r="AM8547">
        <v>91.740294711830003</v>
      </c>
      <c r="AN8547">
        <v>1.0000000590748599</v>
      </c>
    </row>
    <row r="8548" spans="1:40" x14ac:dyDescent="0.25">
      <c r="A8548" t="str">
        <f>"20190303154344811"</f>
        <v>20190303154344811</v>
      </c>
      <c r="B8548" t="str">
        <f>"1551599024808419"</f>
        <v>1551599024808419</v>
      </c>
      <c r="C8548" t="s">
        <v>40</v>
      </c>
      <c r="D8548">
        <v>5.83772</v>
      </c>
      <c r="E8548">
        <v>0.52629399999999904</v>
      </c>
      <c r="F8548" t="s">
        <v>42</v>
      </c>
      <c r="G8548">
        <v>-188.47210000000001</v>
      </c>
      <c r="H8548">
        <v>0.90573970000000004</v>
      </c>
      <c r="I8548">
        <v>-5.2187010000000003</v>
      </c>
      <c r="J8548">
        <v>-188.5454</v>
      </c>
      <c r="K8548">
        <v>1.118716</v>
      </c>
      <c r="L8548">
        <v>-5.6460269999999904</v>
      </c>
      <c r="M8548">
        <v>-6.5294630000000001E-3</v>
      </c>
      <c r="N8548">
        <v>-2.3284130000000001E-3</v>
      </c>
      <c r="O8548">
        <v>0.99997599999999998</v>
      </c>
      <c r="P8548">
        <v>-3.8181930000000003E-2</v>
      </c>
      <c r="Q8548">
        <v>-0.12481159999999999</v>
      </c>
      <c r="R8548">
        <v>0.99144549999999998</v>
      </c>
      <c r="S8548">
        <v>0.25675959999999998</v>
      </c>
      <c r="T8548">
        <v>-0.77105709999999905</v>
      </c>
      <c r="U8548">
        <v>2.9375309999999999</v>
      </c>
      <c r="V8548">
        <v>-3.1776230000000003E-2</v>
      </c>
      <c r="W8548">
        <v>-0.1224843</v>
      </c>
      <c r="X8548">
        <v>0.9919616</v>
      </c>
      <c r="Y8548">
        <v>9.076919E-2</v>
      </c>
      <c r="Z8548">
        <v>-0.25064649999999999</v>
      </c>
      <c r="AA8548">
        <v>0.9638139</v>
      </c>
      <c r="AB8548">
        <v>35</v>
      </c>
      <c r="AC8548">
        <v>7.3299999999988999E-2</v>
      </c>
      <c r="AD8548">
        <v>-0.21297630000000001</v>
      </c>
      <c r="AE8548">
        <v>0.42732599999999898</v>
      </c>
      <c r="AF8548">
        <v>6.1297755650988599E-2</v>
      </c>
      <c r="AG8548">
        <v>-0.21297630000000001</v>
      </c>
      <c r="AH8548">
        <v>0.343865045736376</v>
      </c>
      <c r="AI8548">
        <v>121.37266327224</v>
      </c>
      <c r="AJ8548">
        <v>79.892561240150798</v>
      </c>
      <c r="AK8548">
        <v>0.40909594093417501</v>
      </c>
      <c r="AL8548">
        <v>97.035500556832602</v>
      </c>
      <c r="AM8548">
        <v>91.834770109821093</v>
      </c>
      <c r="AN8548">
        <v>0.99999997420703102</v>
      </c>
    </row>
    <row r="8549" spans="1:40" x14ac:dyDescent="0.25">
      <c r="A8549" t="str">
        <f>"20190303154344833"</f>
        <v>20190303154344833</v>
      </c>
      <c r="B8549" t="str">
        <f>"1551599024828915"</f>
        <v>1551599024828915</v>
      </c>
      <c r="C8549" t="s">
        <v>40</v>
      </c>
      <c r="D8549">
        <v>5.8429339999999996</v>
      </c>
      <c r="E8549">
        <v>0.52288619999999997</v>
      </c>
      <c r="F8549" t="s">
        <v>42</v>
      </c>
      <c r="G8549">
        <v>-188.51990000000001</v>
      </c>
      <c r="H8549">
        <v>0.98409939999999996</v>
      </c>
      <c r="I8549">
        <v>-4.8681919999999996</v>
      </c>
      <c r="J8549">
        <v>-188.54769999999999</v>
      </c>
      <c r="K8549">
        <v>1.118895</v>
      </c>
      <c r="L8549">
        <v>-5.2876589999999997</v>
      </c>
      <c r="M8549">
        <v>-6.5176519999999996E-3</v>
      </c>
      <c r="N8549">
        <v>-2.2998340000000002E-3</v>
      </c>
      <c r="O8549">
        <v>0.99997610000000003</v>
      </c>
      <c r="P8549">
        <v>-3.964434E-2</v>
      </c>
      <c r="Q8549">
        <v>-0.12416049999999999</v>
      </c>
      <c r="R8549">
        <v>0.99146990000000002</v>
      </c>
      <c r="S8549">
        <v>9.6694950000000002E-2</v>
      </c>
      <c r="T8549">
        <v>-0.51313379999999997</v>
      </c>
      <c r="U8549">
        <v>2.9649960000000002</v>
      </c>
      <c r="V8549">
        <v>-3.3227550000000002E-2</v>
      </c>
      <c r="W8549">
        <v>-0.1218668</v>
      </c>
      <c r="X8549">
        <v>0.99199009999999999</v>
      </c>
      <c r="Y8549">
        <v>3.8636379999999998E-2</v>
      </c>
      <c r="Z8549">
        <v>-0.16814889999999999</v>
      </c>
      <c r="AA8549">
        <v>0.98500410000000005</v>
      </c>
      <c r="AB8549">
        <v>35</v>
      </c>
      <c r="AC8549">
        <v>2.7799999999984899E-2</v>
      </c>
      <c r="AD8549">
        <v>-0.13479559999999899</v>
      </c>
      <c r="AE8549">
        <v>0.41946699999999998</v>
      </c>
      <c r="AF8549">
        <v>2.7686768084596001E-2</v>
      </c>
      <c r="AG8549">
        <v>-0.13479559999999899</v>
      </c>
      <c r="AH8549">
        <v>0.38018821109112699</v>
      </c>
      <c r="AI8549">
        <v>109.474268506077</v>
      </c>
      <c r="AJ8549">
        <v>85.834853564231807</v>
      </c>
      <c r="AK8549">
        <v>0.40432596597176501</v>
      </c>
      <c r="AL8549">
        <v>96.999853370895806</v>
      </c>
      <c r="AM8549">
        <v>91.918453475239801</v>
      </c>
      <c r="AN8549">
        <v>0.99999997275962504</v>
      </c>
    </row>
    <row r="8550" spans="1:40" x14ac:dyDescent="0.25">
      <c r="A8550" t="str">
        <f>"20190303154344855"</f>
        <v>20190303154344855</v>
      </c>
      <c r="B8550" t="str">
        <f>"1551599024848435"</f>
        <v>1551599024848435</v>
      </c>
      <c r="C8550" t="s">
        <v>40</v>
      </c>
      <c r="D8550">
        <v>5.8366379999999998</v>
      </c>
      <c r="E8550">
        <v>0.52092950000000005</v>
      </c>
      <c r="F8550" t="s">
        <v>42</v>
      </c>
      <c r="G8550">
        <v>-188.5316</v>
      </c>
      <c r="H8550">
        <v>1.02796</v>
      </c>
      <c r="I8550">
        <v>-4.5324090000000004</v>
      </c>
      <c r="J8550">
        <v>-188.5498</v>
      </c>
      <c r="K8550">
        <v>1.1190610000000001</v>
      </c>
      <c r="L8550">
        <v>-4.951416</v>
      </c>
      <c r="M8550">
        <v>-6.5575969999999897E-3</v>
      </c>
      <c r="N8550">
        <v>-2.3986430000000002E-3</v>
      </c>
      <c r="O8550">
        <v>0.99997559999999996</v>
      </c>
      <c r="P8550">
        <v>-4.0758809999999999E-2</v>
      </c>
      <c r="Q8550">
        <v>-0.1249074</v>
      </c>
      <c r="R8550">
        <v>0.99133090000000001</v>
      </c>
      <c r="S8550">
        <v>6.3278199999999896E-2</v>
      </c>
      <c r="T8550">
        <v>-0.35920770000000002</v>
      </c>
      <c r="U8550">
        <v>2.983368</v>
      </c>
      <c r="V8550">
        <v>-3.4283840000000003E-2</v>
      </c>
      <c r="W8550">
        <v>-0.1225212</v>
      </c>
      <c r="X8550">
        <v>0.99187360000000002</v>
      </c>
      <c r="Y8550">
        <v>2.7611219999999999E-2</v>
      </c>
      <c r="Z8550">
        <v>-0.11711820000000001</v>
      </c>
      <c r="AA8550">
        <v>0.99273409999999995</v>
      </c>
      <c r="AB8550">
        <v>35</v>
      </c>
      <c r="AC8550">
        <v>1.8200000000007301E-2</v>
      </c>
      <c r="AD8550">
        <v>-9.1101000000000099E-2</v>
      </c>
      <c r="AE8550">
        <v>0.41900700000000002</v>
      </c>
      <c r="AF8550">
        <v>2.0003472755717001E-2</v>
      </c>
      <c r="AG8550">
        <v>-9.1101000000000099E-2</v>
      </c>
      <c r="AH8550">
        <v>0.40000521461588401</v>
      </c>
      <c r="AI8550">
        <v>102.814756522632</v>
      </c>
      <c r="AJ8550">
        <v>87.137135838728895</v>
      </c>
      <c r="AK8550">
        <v>0.41073556315857002</v>
      </c>
      <c r="AL8550">
        <v>97.037630405300305</v>
      </c>
      <c r="AM8550">
        <v>91.979624850410303</v>
      </c>
      <c r="AN8550">
        <v>1.0000000322557701</v>
      </c>
    </row>
    <row r="8551" spans="1:40" x14ac:dyDescent="0.25">
      <c r="A8551" t="str">
        <f>"20190303154344875"</f>
        <v>20190303154344875</v>
      </c>
      <c r="B8551" t="str">
        <f>"1551599024868931"</f>
        <v>1551599024868931</v>
      </c>
      <c r="C8551" t="s">
        <v>40</v>
      </c>
      <c r="D8551">
        <v>5.9583059999999897</v>
      </c>
      <c r="E8551">
        <v>0.51839609999999903</v>
      </c>
      <c r="F8551" t="s">
        <v>42</v>
      </c>
      <c r="G8551">
        <v>-188.53899999999999</v>
      </c>
      <c r="H8551">
        <v>1.047863</v>
      </c>
      <c r="I8551">
        <v>-4.204847</v>
      </c>
      <c r="J8551">
        <v>-188.5521</v>
      </c>
      <c r="K8551">
        <v>1.119208</v>
      </c>
      <c r="L8551">
        <v>-4.6184079999999996</v>
      </c>
      <c r="M8551">
        <v>-6.6481969999999998E-3</v>
      </c>
      <c r="N8551">
        <v>-2.556703E-3</v>
      </c>
      <c r="O8551">
        <v>0.99997460000000005</v>
      </c>
      <c r="P8551">
        <v>-4.1544230000000001E-2</v>
      </c>
      <c r="Q8551">
        <v>-0.12561710000000001</v>
      </c>
      <c r="R8551">
        <v>0.9912086</v>
      </c>
      <c r="S8551">
        <v>4.3319700000000003E-2</v>
      </c>
      <c r="T8551">
        <v>-0.28534399999999999</v>
      </c>
      <c r="U8551">
        <v>2.9920650000000002</v>
      </c>
      <c r="V8551">
        <v>-3.4961039999999999E-2</v>
      </c>
      <c r="W8551">
        <v>-0.1230797</v>
      </c>
      <c r="X8551">
        <v>0.99178080000000002</v>
      </c>
      <c r="Y8551">
        <v>2.1059350000000001E-2</v>
      </c>
      <c r="Z8551">
        <v>-9.2371980000000006E-2</v>
      </c>
      <c r="AA8551">
        <v>0.99550179999999999</v>
      </c>
      <c r="AB8551">
        <v>35</v>
      </c>
      <c r="AC8551">
        <v>1.30999999999801E-2</v>
      </c>
      <c r="AD8551">
        <v>-7.1344999999999895E-2</v>
      </c>
      <c r="AE8551">
        <v>0.41356100000000001</v>
      </c>
      <c r="AF8551">
        <v>1.5391545502688E-2</v>
      </c>
      <c r="AG8551">
        <v>-7.1344999999999895E-2</v>
      </c>
      <c r="AH8551">
        <v>0.40152689374970602</v>
      </c>
      <c r="AI8551">
        <v>100.068159805411</v>
      </c>
      <c r="AJ8551">
        <v>87.804782055140294</v>
      </c>
      <c r="AK8551">
        <v>0.40810642619572801</v>
      </c>
      <c r="AL8551">
        <v>97.069874217585394</v>
      </c>
      <c r="AM8551">
        <v>92.018884569821395</v>
      </c>
      <c r="AN8551">
        <v>1.0000000210593001</v>
      </c>
    </row>
    <row r="8552" spans="1:40" x14ac:dyDescent="0.25">
      <c r="A8552" t="str">
        <f>"20190303154344898"</f>
        <v>20190303154344898</v>
      </c>
      <c r="B8552" t="str">
        <f>"1551599024888451"</f>
        <v>1551599024888451</v>
      </c>
      <c r="C8552" t="s">
        <v>40</v>
      </c>
      <c r="D8552">
        <v>5.9037220000000001</v>
      </c>
      <c r="E8552">
        <v>0.51655299999999904</v>
      </c>
      <c r="F8552" t="s">
        <v>41</v>
      </c>
      <c r="G8552">
        <v>-188.4665</v>
      </c>
      <c r="H8552" s="1">
        <v>-3.8085250000000001E-6</v>
      </c>
      <c r="I8552">
        <v>7.8764820000000002</v>
      </c>
      <c r="J8552">
        <v>-188.55459999999999</v>
      </c>
      <c r="K8552">
        <v>1.11934</v>
      </c>
      <c r="L8552">
        <v>-4.2604059999999997</v>
      </c>
      <c r="M8552">
        <v>-6.8070709999999996E-3</v>
      </c>
      <c r="N8552">
        <v>-2.7562250000000002E-3</v>
      </c>
      <c r="O8552">
        <v>0.99997309999999995</v>
      </c>
      <c r="P8552">
        <v>-4.208282E-2</v>
      </c>
      <c r="Q8552">
        <v>-0.1265</v>
      </c>
      <c r="R8552">
        <v>0.99107350000000005</v>
      </c>
      <c r="S8552">
        <v>2.0492549999999998E-2</v>
      </c>
      <c r="T8552">
        <v>-0.2681384</v>
      </c>
      <c r="U8552">
        <v>2.9935</v>
      </c>
      <c r="V8552">
        <v>-3.5324969999999997E-2</v>
      </c>
      <c r="W8552">
        <v>-0.1237704</v>
      </c>
      <c r="X8552">
        <v>0.99168190000000001</v>
      </c>
      <c r="Y8552">
        <v>1.362493E-2</v>
      </c>
      <c r="Z8552">
        <v>-8.6462449999999996E-2</v>
      </c>
      <c r="AA8552">
        <v>0.99616190000000004</v>
      </c>
      <c r="AB8552">
        <v>35</v>
      </c>
      <c r="AC8552">
        <v>8.8099999999997097E-2</v>
      </c>
      <c r="AD8552">
        <v>-1.119343808525</v>
      </c>
      <c r="AE8552">
        <v>12.136888000000001</v>
      </c>
      <c r="AF8552">
        <v>0.169275189882342</v>
      </c>
      <c r="AG8552">
        <v>-1.119343808525</v>
      </c>
      <c r="AH8552">
        <v>12.0336572838147</v>
      </c>
      <c r="AI8552">
        <v>95.313710621301695</v>
      </c>
      <c r="AJ8552">
        <v>89.194084218165202</v>
      </c>
      <c r="AK8552">
        <v>12.0867899905599</v>
      </c>
      <c r="AL8552">
        <v>97.1097536392748</v>
      </c>
      <c r="AM8552">
        <v>92.040085926646398</v>
      </c>
      <c r="AN8552">
        <v>0.99999997810463503</v>
      </c>
    </row>
    <row r="8553" spans="1:40" x14ac:dyDescent="0.25">
      <c r="A8553" t="str">
        <f>"20190303154344921"</f>
        <v>20190303154344921</v>
      </c>
      <c r="B8553" t="str">
        <f>"1551599024918708"</f>
        <v>1551599024918708</v>
      </c>
      <c r="C8553" t="s">
        <v>40</v>
      </c>
      <c r="D8553">
        <v>5.9138529999999996</v>
      </c>
      <c r="E8553">
        <v>0.5146695</v>
      </c>
      <c r="F8553" t="s">
        <v>42</v>
      </c>
      <c r="G8553">
        <v>-188.5532</v>
      </c>
      <c r="H8553">
        <v>1.031841</v>
      </c>
      <c r="I8553">
        <v>-3.2601689999999999</v>
      </c>
      <c r="J8553">
        <v>-188.55719999999999</v>
      </c>
      <c r="K8553">
        <v>1.1194470000000001</v>
      </c>
      <c r="L8553">
        <v>-3.8936160000000002</v>
      </c>
      <c r="M8553">
        <v>-7.0284700000000002E-3</v>
      </c>
      <c r="N8553">
        <v>-2.9699489999999999E-3</v>
      </c>
      <c r="O8553">
        <v>0.9999709</v>
      </c>
      <c r="P8553">
        <v>-4.2372140000000003E-2</v>
      </c>
      <c r="Q8553">
        <v>-0.12708169999999999</v>
      </c>
      <c r="R8553">
        <v>0.99098679999999995</v>
      </c>
      <c r="S8553">
        <v>3.7841799999999998E-3</v>
      </c>
      <c r="T8553">
        <v>-0.26188869999999997</v>
      </c>
      <c r="U8553">
        <v>2.993744</v>
      </c>
      <c r="V8553">
        <v>-3.5377680000000002E-2</v>
      </c>
      <c r="W8553">
        <v>-0.1241453</v>
      </c>
      <c r="X8553">
        <v>0.99163319999999999</v>
      </c>
      <c r="Y8553">
        <v>8.2868939999999995E-3</v>
      </c>
      <c r="Z8553">
        <v>-8.4182080000000006E-2</v>
      </c>
      <c r="AA8553">
        <v>0.99641590000000002</v>
      </c>
      <c r="AB8553">
        <v>36</v>
      </c>
      <c r="AC8553">
        <v>3.9999999999906699E-3</v>
      </c>
      <c r="AD8553">
        <v>-8.7605999999999795E-2</v>
      </c>
      <c r="AE8553">
        <v>0.63344699999999998</v>
      </c>
      <c r="AF8553">
        <v>8.2934612153749403E-3</v>
      </c>
      <c r="AG8553">
        <v>-8.7605999999999795E-2</v>
      </c>
      <c r="AH8553">
        <v>0.62151597016417603</v>
      </c>
      <c r="AI8553">
        <v>98.022583608520605</v>
      </c>
      <c r="AJ8553">
        <v>89.235494906907704</v>
      </c>
      <c r="AK8553">
        <v>0.62771465962174899</v>
      </c>
      <c r="AL8553">
        <v>97.131400484464393</v>
      </c>
      <c r="AM8553">
        <v>92.043227708768995</v>
      </c>
      <c r="AN8553">
        <v>1.0000000195482499</v>
      </c>
    </row>
    <row r="8554" spans="1:40" x14ac:dyDescent="0.25">
      <c r="A8554" t="str">
        <f>"20190303154344966"</f>
        <v>20190303154344966</v>
      </c>
      <c r="B8554" t="str">
        <f>"1551599024958723"</f>
        <v>1551599024958723</v>
      </c>
      <c r="C8554" t="s">
        <v>40</v>
      </c>
      <c r="D8554">
        <v>5.8316089999999896</v>
      </c>
      <c r="E8554">
        <v>0.51331079999999996</v>
      </c>
      <c r="F8554" t="s">
        <v>42</v>
      </c>
      <c r="G8554">
        <v>-188.56100000000001</v>
      </c>
      <c r="H8554">
        <v>1.0382819999999999</v>
      </c>
      <c r="I8554">
        <v>-2.936715</v>
      </c>
      <c r="J8554">
        <v>-188.56280000000001</v>
      </c>
      <c r="K8554">
        <v>1.1195980000000001</v>
      </c>
      <c r="L8554">
        <v>-3.1781619999999999</v>
      </c>
      <c r="M8554">
        <v>-7.6019750000000004E-3</v>
      </c>
      <c r="N8554">
        <v>-3.3769210000000002E-3</v>
      </c>
      <c r="O8554">
        <v>0.9999654</v>
      </c>
      <c r="P8554">
        <v>-4.3083330000000003E-2</v>
      </c>
      <c r="Q8554">
        <v>-0.1280713</v>
      </c>
      <c r="R8554">
        <v>0.99082879999999995</v>
      </c>
      <c r="S8554">
        <v>-1.237488E-2</v>
      </c>
      <c r="T8554">
        <v>-0.25397429999999999</v>
      </c>
      <c r="U8554">
        <v>2.994202</v>
      </c>
      <c r="V8554">
        <v>-3.5492269999999999E-2</v>
      </c>
      <c r="W8554">
        <v>-0.12474010000000001</v>
      </c>
      <c r="X8554">
        <v>0.99155439999999995</v>
      </c>
      <c r="Y8554">
        <v>3.4822759999999999E-3</v>
      </c>
      <c r="Z8554">
        <v>-8.1149020000000002E-2</v>
      </c>
      <c r="AA8554">
        <v>0.99669589999999997</v>
      </c>
      <c r="AB8554">
        <v>36</v>
      </c>
      <c r="AC8554">
        <v>1.8000000000313299E-3</v>
      </c>
      <c r="AD8554">
        <v>-8.1315999999999902E-2</v>
      </c>
      <c r="AE8554">
        <v>0.24144699999999999</v>
      </c>
      <c r="AF8554">
        <v>3.2651085070063402E-3</v>
      </c>
      <c r="AG8554">
        <v>-8.1315999999999902E-2</v>
      </c>
      <c r="AH8554">
        <v>0.216833400625533</v>
      </c>
      <c r="AI8554">
        <v>110.554714829109</v>
      </c>
      <c r="AJ8554">
        <v>89.137297119664694</v>
      </c>
      <c r="AK8554">
        <v>0.23160241021283801</v>
      </c>
      <c r="AL8554">
        <v>97.1657474183951</v>
      </c>
      <c r="AM8554">
        <v>92.050002948706194</v>
      </c>
      <c r="AN8554">
        <v>0.99999996096856003</v>
      </c>
    </row>
    <row r="8555" spans="1:40" x14ac:dyDescent="0.25">
      <c r="A8555" t="str">
        <f>"20190303154344987"</f>
        <v>20190303154344987</v>
      </c>
      <c r="B8555" t="str">
        <f>"1551599024978749"</f>
        <v>1551599024978749</v>
      </c>
      <c r="C8555" t="s">
        <v>40</v>
      </c>
      <c r="D8555">
        <v>5.7795750000000004</v>
      </c>
      <c r="E8555">
        <v>0.51277119999999998</v>
      </c>
      <c r="F8555" t="s">
        <v>42</v>
      </c>
      <c r="G8555">
        <v>-188.57040000000001</v>
      </c>
      <c r="H8555">
        <v>1.045925</v>
      </c>
      <c r="I8555">
        <v>-2.2858350000000001</v>
      </c>
      <c r="J8555">
        <v>-188.56569999999999</v>
      </c>
      <c r="K8555">
        <v>1.119651</v>
      </c>
      <c r="L8555">
        <v>-2.827728</v>
      </c>
      <c r="M8555">
        <v>-7.9514900000000003E-3</v>
      </c>
      <c r="N8555">
        <v>-3.561093E-3</v>
      </c>
      <c r="O8555">
        <v>0.99996200000000002</v>
      </c>
      <c r="P8555">
        <v>-4.3499240000000002E-2</v>
      </c>
      <c r="Q8555">
        <v>-0.1281716</v>
      </c>
      <c r="R8555">
        <v>0.99079759999999995</v>
      </c>
      <c r="S8555">
        <v>-2.5909419999999999E-2</v>
      </c>
      <c r="T8555">
        <v>-0.24725539999999999</v>
      </c>
      <c r="U8555">
        <v>2.9946899999999999</v>
      </c>
      <c r="V8555">
        <v>-3.5547950000000002E-2</v>
      </c>
      <c r="W8555">
        <v>-0.1246618</v>
      </c>
      <c r="X8555">
        <v>0.99156230000000001</v>
      </c>
      <c r="Y8555">
        <v>-6.7298559999999996E-4</v>
      </c>
      <c r="Z8555">
        <v>-7.8729789999999994E-2</v>
      </c>
      <c r="AA8555">
        <v>0.9968958</v>
      </c>
      <c r="AB8555">
        <v>36</v>
      </c>
      <c r="AC8555">
        <v>-4.7000000000139101E-3</v>
      </c>
      <c r="AD8555">
        <v>-7.3725999999999903E-2</v>
      </c>
      <c r="AE8555">
        <v>0.54189299999999996</v>
      </c>
      <c r="AF8555">
        <v>-3.83862242287776E-4</v>
      </c>
      <c r="AG8555">
        <v>-7.3725999999999903E-2</v>
      </c>
      <c r="AH8555">
        <v>0.53206527554893102</v>
      </c>
      <c r="AI8555">
        <v>97.888993238762893</v>
      </c>
      <c r="AJ8555">
        <v>90.041336436697307</v>
      </c>
      <c r="AK8555">
        <v>0.53714907416021995</v>
      </c>
      <c r="AL8555">
        <v>97.161225526877502</v>
      </c>
      <c r="AM8555">
        <v>92.053199882683501</v>
      </c>
      <c r="AN8555">
        <v>1.0000000079548601</v>
      </c>
    </row>
    <row r="8556" spans="1:40" x14ac:dyDescent="0.25">
      <c r="A8556" t="str">
        <f>"20190303154345011"</f>
        <v>20190303154345011</v>
      </c>
      <c r="B8556" t="str">
        <f>"1551599025009005"</f>
        <v>1551599025009005</v>
      </c>
      <c r="C8556" t="s">
        <v>40</v>
      </c>
      <c r="D8556">
        <v>5.7443920000000004</v>
      </c>
      <c r="E8556">
        <v>0.51204329999999998</v>
      </c>
      <c r="F8556" t="s">
        <v>41</v>
      </c>
      <c r="G8556">
        <v>-188.7106</v>
      </c>
      <c r="H8556" s="1">
        <v>-7.8206009999999904E-7</v>
      </c>
      <c r="I8556">
        <v>10.92263</v>
      </c>
      <c r="J8556">
        <v>-188.5692</v>
      </c>
      <c r="K8556">
        <v>1.119715</v>
      </c>
      <c r="L8556">
        <v>-2.4397579999999999</v>
      </c>
      <c r="M8556">
        <v>-8.4085719999999996E-3</v>
      </c>
      <c r="N8556">
        <v>-3.7501600000000002E-3</v>
      </c>
      <c r="O8556">
        <v>0.9999576</v>
      </c>
      <c r="P8556">
        <v>-4.4516529999999999E-2</v>
      </c>
      <c r="Q8556">
        <v>-0.12802910000000001</v>
      </c>
      <c r="R8556">
        <v>0.99077079999999995</v>
      </c>
      <c r="S8556">
        <v>-3.1555180000000002E-2</v>
      </c>
      <c r="T8556">
        <v>-0.2438689</v>
      </c>
      <c r="U8556">
        <v>2.9949340000000002</v>
      </c>
      <c r="V8556">
        <v>-3.6094569999999999E-2</v>
      </c>
      <c r="W8556">
        <v>-0.1243375</v>
      </c>
      <c r="X8556">
        <v>0.99158329999999995</v>
      </c>
      <c r="Y8556">
        <v>-2.0951049999999999E-3</v>
      </c>
      <c r="Z8556">
        <v>-7.7413739999999995E-2</v>
      </c>
      <c r="AA8556">
        <v>0.99699689999999996</v>
      </c>
      <c r="AB8556">
        <v>36</v>
      </c>
      <c r="AC8556">
        <v>-0.14140000000000399</v>
      </c>
      <c r="AD8556">
        <v>-1.1197157820601</v>
      </c>
      <c r="AE8556">
        <v>13.362387999999999</v>
      </c>
      <c r="AF8556">
        <v>-2.8833170053469501E-2</v>
      </c>
      <c r="AG8556">
        <v>-1.1197157820601</v>
      </c>
      <c r="AH8556">
        <v>13.269936388414999</v>
      </c>
      <c r="AI8556">
        <v>94.823174960339301</v>
      </c>
      <c r="AJ8556">
        <v>90.124493163033605</v>
      </c>
      <c r="AK8556">
        <v>13.317124559636399</v>
      </c>
      <c r="AL8556">
        <v>97.142498601255198</v>
      </c>
      <c r="AM8556">
        <v>92.084700129472395</v>
      </c>
      <c r="AN8556">
        <v>1.00000003636431</v>
      </c>
    </row>
    <row r="8557" spans="1:40" x14ac:dyDescent="0.25">
      <c r="A8557" t="str">
        <f>"20190303154345033"</f>
        <v>20190303154345033</v>
      </c>
      <c r="B8557" t="str">
        <f>"1551599025028526"</f>
        <v>1551599025028526</v>
      </c>
      <c r="C8557" t="s">
        <v>40</v>
      </c>
      <c r="D8557">
        <v>5.7236520000000004</v>
      </c>
      <c r="E8557">
        <v>0.51160220000000001</v>
      </c>
      <c r="F8557" t="s">
        <v>41</v>
      </c>
      <c r="G8557">
        <v>-188.7586</v>
      </c>
      <c r="H8557" s="1">
        <v>-1.0376090000000001E-6</v>
      </c>
      <c r="I8557">
        <v>11.53816</v>
      </c>
      <c r="J8557">
        <v>-188.57249999999999</v>
      </c>
      <c r="K8557">
        <v>1.1197969999999999</v>
      </c>
      <c r="L8557">
        <v>-2.0847470000000001</v>
      </c>
      <c r="M8557">
        <v>-8.9328589999999996E-3</v>
      </c>
      <c r="N8557">
        <v>-3.9087499999999999E-3</v>
      </c>
      <c r="O8557">
        <v>0.99995239999999996</v>
      </c>
      <c r="P8557">
        <v>-4.6090600000000002E-2</v>
      </c>
      <c r="Q8557">
        <v>-0.12760279999999999</v>
      </c>
      <c r="R8557">
        <v>0.99075380000000002</v>
      </c>
      <c r="S8557">
        <v>-4.058838E-2</v>
      </c>
      <c r="T8557">
        <v>-0.2399269</v>
      </c>
      <c r="U8557">
        <v>2.995117</v>
      </c>
      <c r="V8557">
        <v>-3.7125169999999999E-2</v>
      </c>
      <c r="W8557">
        <v>-0.12376180000000001</v>
      </c>
      <c r="X8557">
        <v>0.99161730000000003</v>
      </c>
      <c r="Y8557">
        <v>-4.5777329999999996E-3</v>
      </c>
      <c r="Z8557">
        <v>-7.594476E-2</v>
      </c>
      <c r="AA8557">
        <v>0.99710149999999997</v>
      </c>
      <c r="AB8557">
        <v>36</v>
      </c>
      <c r="AC8557">
        <v>-0.18610000000001001</v>
      </c>
      <c r="AD8557">
        <v>-1.119798037609</v>
      </c>
      <c r="AE8557">
        <v>13.622907</v>
      </c>
      <c r="AF8557">
        <v>-6.3967993124769099E-2</v>
      </c>
      <c r="AG8557">
        <v>-1.119798037609</v>
      </c>
      <c r="AH8557">
        <v>13.5326060817192</v>
      </c>
      <c r="AI8557">
        <v>94.730289833183306</v>
      </c>
      <c r="AJ8557">
        <v>90.270832440585806</v>
      </c>
      <c r="AK8557">
        <v>13.5790083184362</v>
      </c>
      <c r="AL8557">
        <v>97.109256453017295</v>
      </c>
      <c r="AM8557">
        <v>92.144095857310106</v>
      </c>
      <c r="AN8557">
        <v>1.0000000655230199</v>
      </c>
    </row>
    <row r="8558" spans="1:40" x14ac:dyDescent="0.25">
      <c r="A8558" t="str">
        <f>"20190303154345055"</f>
        <v>20190303154345055</v>
      </c>
      <c r="B8558" t="str">
        <f>"1551599025049021"</f>
        <v>1551599025049021</v>
      </c>
      <c r="C8558" t="s">
        <v>40</v>
      </c>
      <c r="D8558">
        <v>5.7135069999999999</v>
      </c>
      <c r="E8558">
        <v>0.51138279999999903</v>
      </c>
      <c r="F8558" t="s">
        <v>41</v>
      </c>
      <c r="G8558">
        <v>-188.80330000000001</v>
      </c>
      <c r="H8558" s="1">
        <v>-1.2574119999999999E-6</v>
      </c>
      <c r="I8558">
        <v>12.069000000000001</v>
      </c>
      <c r="J8558">
        <v>-188.5762</v>
      </c>
      <c r="K8558">
        <v>1.1198980000000001</v>
      </c>
      <c r="L8558">
        <v>-1.7250369999999999</v>
      </c>
      <c r="M8558">
        <v>-9.6037580000000004E-3</v>
      </c>
      <c r="N8558">
        <v>-4.0560630000000004E-3</v>
      </c>
      <c r="O8558">
        <v>0.99994559999999999</v>
      </c>
      <c r="P8558">
        <v>-4.8129419999999999E-2</v>
      </c>
      <c r="Q8558">
        <v>-0.1268899</v>
      </c>
      <c r="R8558">
        <v>0.99074850000000003</v>
      </c>
      <c r="S8558">
        <v>-4.8828129999999997E-2</v>
      </c>
      <c r="T8558">
        <v>-0.23697099999999999</v>
      </c>
      <c r="U8558">
        <v>2.995209</v>
      </c>
      <c r="V8558">
        <v>-3.8466880000000002E-2</v>
      </c>
      <c r="W8558">
        <v>-0.12291439999999999</v>
      </c>
      <c r="X8558">
        <v>0.99167150000000004</v>
      </c>
      <c r="Y8558">
        <v>-6.6497869999999999E-3</v>
      </c>
      <c r="Z8558">
        <v>-7.4814969999999995E-2</v>
      </c>
      <c r="AA8558">
        <v>0.99717529999999999</v>
      </c>
      <c r="AB8558">
        <v>36</v>
      </c>
      <c r="AC8558">
        <v>-0.22710000000000699</v>
      </c>
      <c r="AD8558">
        <v>-1.1198992574119999</v>
      </c>
      <c r="AE8558">
        <v>13.794036999999999</v>
      </c>
      <c r="AF8558">
        <v>-9.3994452660346298E-2</v>
      </c>
      <c r="AG8558">
        <v>-1.1198992574119999</v>
      </c>
      <c r="AH8558">
        <v>13.705269967758801</v>
      </c>
      <c r="AI8558">
        <v>94.671324246823403</v>
      </c>
      <c r="AJ8558">
        <v>90.392943810163501</v>
      </c>
      <c r="AK8558">
        <v>13.751270275615701</v>
      </c>
      <c r="AL8558">
        <v>97.060330860320505</v>
      </c>
      <c r="AM8558">
        <v>92.221386269298804</v>
      </c>
      <c r="AN8558">
        <v>1.00000000724827</v>
      </c>
    </row>
    <row r="8559" spans="1:40" x14ac:dyDescent="0.25">
      <c r="A8559" t="str">
        <f>"20190303154345076"</f>
        <v>20190303154345076</v>
      </c>
      <c r="B8559" t="str">
        <f>"1551599025068541"</f>
        <v>1551599025068541</v>
      </c>
      <c r="C8559" t="s">
        <v>40</v>
      </c>
      <c r="D8559">
        <v>5.7129580000000004</v>
      </c>
      <c r="E8559">
        <v>0.51125240000000005</v>
      </c>
      <c r="F8559" t="s">
        <v>41</v>
      </c>
      <c r="G8559">
        <v>-188.84829999999999</v>
      </c>
      <c r="H8559" s="1">
        <v>-1.5015149999999999E-6</v>
      </c>
      <c r="I8559">
        <v>12.656639999999999</v>
      </c>
      <c r="J8559">
        <v>-188.58009999999999</v>
      </c>
      <c r="K8559">
        <v>1.120028</v>
      </c>
      <c r="L8559">
        <v>-1.3834839999999999</v>
      </c>
      <c r="M8559">
        <v>-1.040571E-2</v>
      </c>
      <c r="N8559">
        <v>-4.1840260000000004E-3</v>
      </c>
      <c r="O8559">
        <v>0.99993710000000002</v>
      </c>
      <c r="P8559">
        <v>-4.9898280000000003E-2</v>
      </c>
      <c r="Q8559">
        <v>-0.12774659999999999</v>
      </c>
      <c r="R8559">
        <v>0.99055079999999995</v>
      </c>
      <c r="S8559">
        <v>-5.6671140000000002E-2</v>
      </c>
      <c r="T8559">
        <v>-0.23325090000000001</v>
      </c>
      <c r="U8559">
        <v>2.9953919999999998</v>
      </c>
      <c r="V8559">
        <v>-3.9400409999999997E-2</v>
      </c>
      <c r="W8559">
        <v>-0.1236589</v>
      </c>
      <c r="X8559">
        <v>0.99154229999999999</v>
      </c>
      <c r="Y8559">
        <v>-8.4585379999999998E-3</v>
      </c>
      <c r="Z8559">
        <v>-7.3448630000000001E-2</v>
      </c>
      <c r="AA8559">
        <v>0.99726309999999996</v>
      </c>
      <c r="AB8559">
        <v>36</v>
      </c>
      <c r="AC8559">
        <v>-0.26820000000000699</v>
      </c>
      <c r="AD8559">
        <v>-1.1200295015149999</v>
      </c>
      <c r="AE8559">
        <v>14.040124</v>
      </c>
      <c r="AF8559">
        <v>-0.121314997144161</v>
      </c>
      <c r="AG8559">
        <v>-1.1200295015149999</v>
      </c>
      <c r="AH8559">
        <v>13.9533903773068</v>
      </c>
      <c r="AI8559">
        <v>94.589082403072993</v>
      </c>
      <c r="AJ8559">
        <v>90.498134289085797</v>
      </c>
      <c r="AK8559">
        <v>13.9987958923014</v>
      </c>
      <c r="AL8559">
        <v>97.103315372777999</v>
      </c>
      <c r="AM8559">
        <v>92.275535951998805</v>
      </c>
      <c r="AN8559">
        <v>1.00000002427333</v>
      </c>
    </row>
    <row r="8560" spans="1:40" x14ac:dyDescent="0.25">
      <c r="A8560" t="str">
        <f>"20190303154345100"</f>
        <v>20190303154345100</v>
      </c>
      <c r="B8560" t="str">
        <f>"1551599025089053"</f>
        <v>1551599025089053</v>
      </c>
      <c r="C8560" t="s">
        <v>40</v>
      </c>
      <c r="D8560">
        <v>5.6782879999999896</v>
      </c>
      <c r="E8560">
        <v>0.51118540000000001</v>
      </c>
      <c r="F8560" t="s">
        <v>42</v>
      </c>
      <c r="G8560">
        <v>-188.60220000000001</v>
      </c>
      <c r="H8560">
        <v>1.037947</v>
      </c>
      <c r="I8560">
        <v>-0.33531300000000003</v>
      </c>
      <c r="J8560">
        <v>-188.58519999999999</v>
      </c>
      <c r="K8560">
        <v>1.1201939999999999</v>
      </c>
      <c r="L8560">
        <v>-0.99105829999999995</v>
      </c>
      <c r="M8560">
        <v>-1.155701E-2</v>
      </c>
      <c r="N8560">
        <v>-4.3170400000000003E-3</v>
      </c>
      <c r="O8560">
        <v>0.99992389999999998</v>
      </c>
      <c r="P8560">
        <v>-5.0846919999999997E-2</v>
      </c>
      <c r="Q8560">
        <v>-0.1285415</v>
      </c>
      <c r="R8560">
        <v>0.99039980000000005</v>
      </c>
      <c r="S8560">
        <v>-6.3079830000000003E-2</v>
      </c>
      <c r="T8560">
        <v>-0.23456569999999999</v>
      </c>
      <c r="U8560">
        <v>2.9951780000000001</v>
      </c>
      <c r="V8560">
        <v>-3.9153559999999997E-2</v>
      </c>
      <c r="W8560">
        <v>-0.12433950000000001</v>
      </c>
      <c r="X8560">
        <v>0.99146690000000004</v>
      </c>
      <c r="Y8560">
        <v>-9.4407880000000003E-3</v>
      </c>
      <c r="Z8560">
        <v>-7.3753189999999996E-2</v>
      </c>
      <c r="AA8560">
        <v>0.9972318</v>
      </c>
      <c r="AB8560">
        <v>37</v>
      </c>
      <c r="AC8560">
        <v>-1.7000000000024301E-2</v>
      </c>
      <c r="AD8560">
        <v>-8.2247000000000098E-2</v>
      </c>
      <c r="AE8560">
        <v>0.65574529999999998</v>
      </c>
      <c r="AF8560">
        <v>-9.2745348351932697E-3</v>
      </c>
      <c r="AG8560">
        <v>-8.2247000000000098E-2</v>
      </c>
      <c r="AH8560">
        <v>0.64574625110167405</v>
      </c>
      <c r="AI8560">
        <v>97.257790040415401</v>
      </c>
      <c r="AJ8560">
        <v>90.822854438321997</v>
      </c>
      <c r="AK8560">
        <v>0.65102903684649505</v>
      </c>
      <c r="AL8560">
        <v>97.142614614619404</v>
      </c>
      <c r="AM8560">
        <v>92.261465984754395</v>
      </c>
      <c r="AN8560">
        <v>0.999999963158266</v>
      </c>
    </row>
    <row r="8561" spans="1:40" x14ac:dyDescent="0.25">
      <c r="A8561" t="str">
        <f>"20190303154345122"</f>
        <v>20190303154345122</v>
      </c>
      <c r="B8561" t="str">
        <f>"1551599025118317"</f>
        <v>1551599025118317</v>
      </c>
      <c r="C8561" t="s">
        <v>40</v>
      </c>
      <c r="D8561">
        <v>5.6427060000000004</v>
      </c>
      <c r="E8561">
        <v>0.51099119999999998</v>
      </c>
      <c r="F8561" t="s">
        <v>42</v>
      </c>
      <c r="G8561">
        <v>-188.60720000000001</v>
      </c>
      <c r="H8561">
        <v>1.042284</v>
      </c>
      <c r="I8561">
        <v>-1.6821620000000001E-3</v>
      </c>
      <c r="J8561">
        <v>-188.59039999999999</v>
      </c>
      <c r="K8561">
        <v>1.120352</v>
      </c>
      <c r="L8561">
        <v>-0.62841800000000003</v>
      </c>
      <c r="M8561">
        <v>-1.279944E-2</v>
      </c>
      <c r="N8561">
        <v>-4.4285749999999997E-3</v>
      </c>
      <c r="O8561">
        <v>0.99990829999999997</v>
      </c>
      <c r="P8561">
        <v>-5.1293430000000001E-2</v>
      </c>
      <c r="Q8561">
        <v>-0.12968089999999999</v>
      </c>
      <c r="R8561">
        <v>0.9902282</v>
      </c>
      <c r="S8561">
        <v>-6.6436770000000006E-2</v>
      </c>
      <c r="T8561">
        <v>-0.23583689999999999</v>
      </c>
      <c r="U8561">
        <v>2.9950559999999999</v>
      </c>
      <c r="V8561">
        <v>-3.8317820000000002E-2</v>
      </c>
      <c r="W8561">
        <v>-0.12538289999999999</v>
      </c>
      <c r="X8561">
        <v>0.99136820000000003</v>
      </c>
      <c r="Y8561">
        <v>-9.3158170000000005E-3</v>
      </c>
      <c r="Z8561">
        <v>-7.4063110000000001E-2</v>
      </c>
      <c r="AA8561">
        <v>0.99721000000000004</v>
      </c>
      <c r="AB8561">
        <v>37</v>
      </c>
      <c r="AC8561">
        <v>-1.6800000000017599E-2</v>
      </c>
      <c r="AD8561">
        <v>-7.8067999999999999E-2</v>
      </c>
      <c r="AE8561">
        <v>0.62673583799999999</v>
      </c>
      <c r="AF8561">
        <v>-8.6426749303599396E-3</v>
      </c>
      <c r="AG8561">
        <v>-7.8067999999999999E-2</v>
      </c>
      <c r="AH8561">
        <v>0.61732800608315297</v>
      </c>
      <c r="AI8561">
        <v>97.206731547232707</v>
      </c>
      <c r="AJ8561">
        <v>90.802096200371807</v>
      </c>
      <c r="AK8561">
        <v>0.62230472884958399</v>
      </c>
      <c r="AL8561">
        <v>97.202868177174594</v>
      </c>
      <c r="AM8561">
        <v>92.213463230988793</v>
      </c>
      <c r="AN8561">
        <v>1.0000000174565999</v>
      </c>
    </row>
    <row r="8562" spans="1:40" x14ac:dyDescent="0.25">
      <c r="A8562" t="str">
        <f>"20190303154345145"</f>
        <v>20190303154345145</v>
      </c>
      <c r="B8562" t="str">
        <f>"1551599025138815"</f>
        <v>1551599025138815</v>
      </c>
      <c r="C8562" t="s">
        <v>40</v>
      </c>
      <c r="D8562">
        <v>5.6553180000000003</v>
      </c>
      <c r="E8562">
        <v>0.51087050000000001</v>
      </c>
      <c r="F8562" t="s">
        <v>42</v>
      </c>
      <c r="G8562">
        <v>-188.61250000000001</v>
      </c>
      <c r="H8562">
        <v>1.0434950000000001</v>
      </c>
      <c r="I8562">
        <v>0.33918179999999998</v>
      </c>
      <c r="J8562">
        <v>-188.5966</v>
      </c>
      <c r="K8562">
        <v>1.120519</v>
      </c>
      <c r="L8562">
        <v>-0.24349979999999999</v>
      </c>
      <c r="M8562">
        <v>-1.4324470000000001E-2</v>
      </c>
      <c r="N8562">
        <v>-4.535641E-3</v>
      </c>
      <c r="O8562">
        <v>0.99988710000000003</v>
      </c>
      <c r="P8562">
        <v>-5.1798049999999998E-2</v>
      </c>
      <c r="Q8562">
        <v>-0.13018759999999999</v>
      </c>
      <c r="R8562">
        <v>0.9901354</v>
      </c>
      <c r="S8562">
        <v>-6.9030759999999997E-2</v>
      </c>
      <c r="T8562">
        <v>-0.23793529999999999</v>
      </c>
      <c r="U8562">
        <v>2.9948730000000001</v>
      </c>
      <c r="V8562">
        <v>-3.7257400000000003E-2</v>
      </c>
      <c r="W8562">
        <v>-0.1257973</v>
      </c>
      <c r="X8562">
        <v>0.99135609999999996</v>
      </c>
      <c r="Y8562">
        <v>-8.654386E-3</v>
      </c>
      <c r="Z8562">
        <v>-7.465244E-2</v>
      </c>
      <c r="AA8562">
        <v>0.99717210000000001</v>
      </c>
      <c r="AB8562">
        <v>37</v>
      </c>
      <c r="AC8562">
        <v>-1.59000000000162E-2</v>
      </c>
      <c r="AD8562">
        <v>-7.7023999999999898E-2</v>
      </c>
      <c r="AE8562">
        <v>0.58268160000000002</v>
      </c>
      <c r="AF8562">
        <v>-7.42208144676042E-3</v>
      </c>
      <c r="AG8562">
        <v>-7.7023999999999898E-2</v>
      </c>
      <c r="AH8562">
        <v>0.57284715807250997</v>
      </c>
      <c r="AI8562">
        <v>97.657323514779506</v>
      </c>
      <c r="AJ8562">
        <v>90.742309955924696</v>
      </c>
      <c r="AK8562">
        <v>0.57804986842032402</v>
      </c>
      <c r="AL8562">
        <v>97.226801200713794</v>
      </c>
      <c r="AM8562">
        <v>92.152291790063401</v>
      </c>
      <c r="AN8562">
        <v>0.99999999577462995</v>
      </c>
    </row>
    <row r="8563" spans="1:40" x14ac:dyDescent="0.25">
      <c r="A8563" t="str">
        <f>"20190303154345166"</f>
        <v>20190303154345166</v>
      </c>
      <c r="B8563" t="str">
        <f>"1551599025158334"</f>
        <v>1551599025158334</v>
      </c>
      <c r="C8563" t="s">
        <v>40</v>
      </c>
      <c r="D8563">
        <v>5.6118519999999998</v>
      </c>
      <c r="E8563">
        <v>0.51082559999999999</v>
      </c>
      <c r="F8563" t="s">
        <v>41</v>
      </c>
      <c r="G8563">
        <v>-188.9315</v>
      </c>
      <c r="H8563" s="1">
        <v>-1.965634E-6</v>
      </c>
      <c r="I8563">
        <v>13.77289</v>
      </c>
      <c r="J8563">
        <v>-188.60290000000001</v>
      </c>
      <c r="K8563">
        <v>1.1206799999999999</v>
      </c>
      <c r="L8563">
        <v>0.1080627</v>
      </c>
      <c r="M8563">
        <v>-1.5915289999999999E-2</v>
      </c>
      <c r="N8563">
        <v>-4.6248280000000001E-3</v>
      </c>
      <c r="O8563">
        <v>0.99986269999999999</v>
      </c>
      <c r="P8563">
        <v>-5.301252E-2</v>
      </c>
      <c r="Q8563">
        <v>-0.12946959999999999</v>
      </c>
      <c r="R8563">
        <v>0.99016530000000003</v>
      </c>
      <c r="S8563">
        <v>-7.1548459999999994E-2</v>
      </c>
      <c r="T8563">
        <v>-0.2394038</v>
      </c>
      <c r="U8563">
        <v>2.994659</v>
      </c>
      <c r="V8563">
        <v>-3.6846080000000003E-2</v>
      </c>
      <c r="W8563">
        <v>-0.12500439999999999</v>
      </c>
      <c r="X8563">
        <v>0.99147180000000001</v>
      </c>
      <c r="Y8563">
        <v>-7.9023340000000004E-3</v>
      </c>
      <c r="Z8563">
        <v>-7.5051619999999999E-2</v>
      </c>
      <c r="AA8563">
        <v>0.99714829999999999</v>
      </c>
      <c r="AB8563">
        <v>37</v>
      </c>
      <c r="AC8563">
        <v>-0.32859999999999401</v>
      </c>
      <c r="AD8563">
        <v>-1.1206819656339999</v>
      </c>
      <c r="AE8563">
        <v>13.664827300000001</v>
      </c>
      <c r="AF8563">
        <v>-0.11033469446218699</v>
      </c>
      <c r="AG8563">
        <v>-1.1206819656339999</v>
      </c>
      <c r="AH8563">
        <v>13.5770599009018</v>
      </c>
      <c r="AI8563">
        <v>94.718474251031694</v>
      </c>
      <c r="AJ8563">
        <v>90.465606929219504</v>
      </c>
      <c r="AK8563">
        <v>13.623680022871101</v>
      </c>
      <c r="AL8563">
        <v>97.181009645511807</v>
      </c>
      <c r="AM8563">
        <v>92.128304401570901</v>
      </c>
      <c r="AN8563">
        <v>1.00000003191298</v>
      </c>
    </row>
    <row r="8564" spans="1:40" x14ac:dyDescent="0.25">
      <c r="A8564" t="str">
        <f>"20190303154345188"</f>
        <v>20190303154345188</v>
      </c>
      <c r="B8564" t="str">
        <f>"1551599025178829"</f>
        <v>1551599025178829</v>
      </c>
      <c r="C8564" t="s">
        <v>40</v>
      </c>
      <c r="D8564">
        <v>5.6111769999999996</v>
      </c>
      <c r="E8564">
        <v>0.51071250000000001</v>
      </c>
      <c r="F8564" t="s">
        <v>41</v>
      </c>
      <c r="G8564">
        <v>-188.95959999999999</v>
      </c>
      <c r="H8564" s="1">
        <v>-2.1475359999999999E-6</v>
      </c>
      <c r="I8564">
        <v>14.208539999999999</v>
      </c>
      <c r="J8564">
        <v>-188.6103</v>
      </c>
      <c r="K8564">
        <v>1.1208739999999999</v>
      </c>
      <c r="L8564">
        <v>0.48178100000000001</v>
      </c>
      <c r="M8564">
        <v>-1.7811569999999999E-2</v>
      </c>
      <c r="N8564">
        <v>-4.7119240000000001E-3</v>
      </c>
      <c r="O8564">
        <v>0.9998302</v>
      </c>
      <c r="P8564">
        <v>-5.4513989999999998E-2</v>
      </c>
      <c r="Q8564">
        <v>-0.1274795</v>
      </c>
      <c r="R8564">
        <v>0.99034199999999994</v>
      </c>
      <c r="S8564">
        <v>-7.5759889999999996E-2</v>
      </c>
      <c r="T8564">
        <v>-0.238008</v>
      </c>
      <c r="U8564">
        <v>2.9946290000000002</v>
      </c>
      <c r="V8564">
        <v>-3.641585E-2</v>
      </c>
      <c r="W8564">
        <v>-0.12294190000000001</v>
      </c>
      <c r="X8564">
        <v>0.99174549999999995</v>
      </c>
      <c r="Y8564">
        <v>-7.4086439999999998E-3</v>
      </c>
      <c r="Z8564">
        <v>-7.4499060000000006E-2</v>
      </c>
      <c r="AA8564">
        <v>0.99719360000000001</v>
      </c>
      <c r="AB8564">
        <v>37</v>
      </c>
      <c r="AC8564">
        <v>-0.349299999999999</v>
      </c>
      <c r="AD8564">
        <v>-1.1208761475359901</v>
      </c>
      <c r="AE8564">
        <v>13.726758999999999</v>
      </c>
      <c r="AF8564">
        <v>-0.104053376175948</v>
      </c>
      <c r="AG8564">
        <v>-1.1208761475359901</v>
      </c>
      <c r="AH8564">
        <v>13.6399143378052</v>
      </c>
      <c r="AI8564">
        <v>94.697656958220705</v>
      </c>
      <c r="AJ8564">
        <v>90.437077792799698</v>
      </c>
      <c r="AK8564">
        <v>13.6862870635492</v>
      </c>
      <c r="AL8564">
        <v>97.061918723307997</v>
      </c>
      <c r="AM8564">
        <v>92.102895906491</v>
      </c>
      <c r="AN8564">
        <v>0.99999998083854003</v>
      </c>
    </row>
    <row r="8565" spans="1:40" x14ac:dyDescent="0.25">
      <c r="A8565" t="str">
        <f>"20190303154345213"</f>
        <v>20190303154345213</v>
      </c>
      <c r="B8565" t="str">
        <f>"1551599025208109"</f>
        <v>1551599025208109</v>
      </c>
      <c r="C8565" t="s">
        <v>40</v>
      </c>
      <c r="D8565">
        <v>5.6271000000000004</v>
      </c>
      <c r="E8565">
        <v>0.51056800000000002</v>
      </c>
      <c r="F8565" t="s">
        <v>41</v>
      </c>
      <c r="G8565">
        <v>-189.0034</v>
      </c>
      <c r="H8565" s="1">
        <v>-2.4934140000000001E-6</v>
      </c>
      <c r="I8565">
        <v>15.032920000000001</v>
      </c>
      <c r="J8565">
        <v>-188.61949999999999</v>
      </c>
      <c r="K8565">
        <v>1.1210819999999999</v>
      </c>
      <c r="L8565">
        <v>0.89172359999999995</v>
      </c>
      <c r="M8565">
        <v>-2.0105399999999999E-2</v>
      </c>
      <c r="N8565">
        <v>-4.799233E-3</v>
      </c>
      <c r="O8565">
        <v>0.99978639999999996</v>
      </c>
      <c r="P8565">
        <v>-5.6037709999999998E-2</v>
      </c>
      <c r="Q8565">
        <v>-0.12625910000000001</v>
      </c>
      <c r="R8565">
        <v>0.99041319999999999</v>
      </c>
      <c r="S8565">
        <v>-8.0917359999999994E-2</v>
      </c>
      <c r="T8565">
        <v>-0.23071430000000001</v>
      </c>
      <c r="U8565">
        <v>2.995117</v>
      </c>
      <c r="V8565">
        <v>-3.5608170000000001E-2</v>
      </c>
      <c r="W8565">
        <v>-0.1216489</v>
      </c>
      <c r="X8565">
        <v>0.99193430000000005</v>
      </c>
      <c r="Y8565">
        <v>-6.831396E-3</v>
      </c>
      <c r="Z8565">
        <v>-7.1979929999999998E-2</v>
      </c>
      <c r="AA8565">
        <v>0.99738269999999996</v>
      </c>
      <c r="AB8565">
        <v>37</v>
      </c>
      <c r="AC8565">
        <v>-0.38390000000001101</v>
      </c>
      <c r="AD8565">
        <v>-1.1210844934139901</v>
      </c>
      <c r="AE8565">
        <v>14.1411964</v>
      </c>
      <c r="AF8565">
        <v>-9.8883704447381204E-2</v>
      </c>
      <c r="AG8565">
        <v>-1.1210844934139901</v>
      </c>
      <c r="AH8565">
        <v>14.057768644183</v>
      </c>
      <c r="AI8565">
        <v>94.559484450290896</v>
      </c>
      <c r="AJ8565">
        <v>90.403017408486903</v>
      </c>
      <c r="AK8565">
        <v>14.1027468133606</v>
      </c>
      <c r="AL8565">
        <v>96.987274660858802</v>
      </c>
      <c r="AM8565">
        <v>92.055904478916702</v>
      </c>
      <c r="AN8565">
        <v>1.0000000260792199</v>
      </c>
    </row>
    <row r="8566" spans="1:40" x14ac:dyDescent="0.25">
      <c r="A8566" t="str">
        <f>"20190303154345235"</f>
        <v>20190303154345235</v>
      </c>
      <c r="B8566" t="str">
        <f>"1551599025228606"</f>
        <v>1551599025228606</v>
      </c>
      <c r="C8566" t="s">
        <v>40</v>
      </c>
      <c r="D8566">
        <v>5.6019540000000001</v>
      </c>
      <c r="E8566">
        <v>0.51049100000000003</v>
      </c>
      <c r="F8566" t="s">
        <v>41</v>
      </c>
      <c r="G8566">
        <v>-189.0472</v>
      </c>
      <c r="H8566" s="1">
        <v>-2.7678840000000002E-6</v>
      </c>
      <c r="I8566">
        <v>15.690799999999999</v>
      </c>
      <c r="J8566">
        <v>-188.6284</v>
      </c>
      <c r="K8566">
        <v>1.121248</v>
      </c>
      <c r="L8566">
        <v>1.24884</v>
      </c>
      <c r="M8566">
        <v>-2.2260539999999999E-2</v>
      </c>
      <c r="N8566">
        <v>-4.868186E-3</v>
      </c>
      <c r="O8566">
        <v>0.99974039999999997</v>
      </c>
      <c r="P8566">
        <v>-5.7738200000000003E-2</v>
      </c>
      <c r="Q8566">
        <v>-0.12636939999999999</v>
      </c>
      <c r="R8566">
        <v>0.99030149999999995</v>
      </c>
      <c r="S8566">
        <v>-8.6563109999999999E-2</v>
      </c>
      <c r="T8566">
        <v>-0.22689809999999999</v>
      </c>
      <c r="U8566">
        <v>2.995209</v>
      </c>
      <c r="V8566">
        <v>-3.5125009999999998E-2</v>
      </c>
      <c r="W8566">
        <v>-0.1217032</v>
      </c>
      <c r="X8566">
        <v>0.99194479999999996</v>
      </c>
      <c r="Y8566">
        <v>-6.5563110000000004E-3</v>
      </c>
      <c r="Z8566">
        <v>-7.0639129999999994E-2</v>
      </c>
      <c r="AA8566">
        <v>0.99748040000000004</v>
      </c>
      <c r="AB8566">
        <v>37</v>
      </c>
      <c r="AC8566">
        <v>-0.418800000000004</v>
      </c>
      <c r="AD8566">
        <v>-1.121250767884</v>
      </c>
      <c r="AE8566">
        <v>14.44196</v>
      </c>
      <c r="AF8566">
        <v>-9.6624661104764004E-2</v>
      </c>
      <c r="AG8566">
        <v>-1.121250767884</v>
      </c>
      <c r="AH8566">
        <v>14.3612114133324</v>
      </c>
      <c r="AI8566">
        <v>94.464207781955494</v>
      </c>
      <c r="AJ8566">
        <v>90.385489885448393</v>
      </c>
      <c r="AK8566">
        <v>14.4052397712792</v>
      </c>
      <c r="AL8566">
        <v>96.990409570070298</v>
      </c>
      <c r="AM8566">
        <v>92.028010335034907</v>
      </c>
      <c r="AN8566">
        <v>0.99999996073238895</v>
      </c>
    </row>
    <row r="8567" spans="1:40" x14ac:dyDescent="0.25">
      <c r="A8567" t="str">
        <f>"20190303154345256"</f>
        <v>20190303154345256</v>
      </c>
      <c r="B8567" t="str">
        <f>"1551599025248125"</f>
        <v>1551599025248125</v>
      </c>
      <c r="C8567" t="s">
        <v>40</v>
      </c>
      <c r="D8567">
        <v>5.5123160000000002</v>
      </c>
      <c r="E8567">
        <v>0.51066629999999902</v>
      </c>
      <c r="F8567" t="s">
        <v>41</v>
      </c>
      <c r="G8567">
        <v>-189.0849</v>
      </c>
      <c r="H8567" s="1">
        <v>-2.9290039999999999E-6</v>
      </c>
      <c r="I8567">
        <v>16.081990000000001</v>
      </c>
      <c r="J8567">
        <v>-188.63829999999999</v>
      </c>
      <c r="K8567">
        <v>1.121394</v>
      </c>
      <c r="L8567">
        <v>1.6127009999999999</v>
      </c>
      <c r="M8567">
        <v>-2.45668E-2</v>
      </c>
      <c r="N8567">
        <v>-4.9315890000000001E-3</v>
      </c>
      <c r="O8567">
        <v>0.99968599999999996</v>
      </c>
      <c r="P8567">
        <v>-6.0374190000000001E-2</v>
      </c>
      <c r="Q8567">
        <v>-0.12542239999999999</v>
      </c>
      <c r="R8567">
        <v>0.9902647</v>
      </c>
      <c r="S8567">
        <v>-9.2193600000000001E-2</v>
      </c>
      <c r="T8567">
        <v>-0.22640360000000001</v>
      </c>
      <c r="U8567">
        <v>2.995117</v>
      </c>
      <c r="V8567">
        <v>-3.5435840000000003E-2</v>
      </c>
      <c r="W8567">
        <v>-0.12070690000000001</v>
      </c>
      <c r="X8567">
        <v>0.99205549999999998</v>
      </c>
      <c r="Y8567">
        <v>-6.1243699999999996E-3</v>
      </c>
      <c r="Z8567">
        <v>-7.0406730000000001E-2</v>
      </c>
      <c r="AA8567">
        <v>0.99749960000000004</v>
      </c>
      <c r="AB8567">
        <v>37</v>
      </c>
      <c r="AC8567">
        <v>-0.44660000000001698</v>
      </c>
      <c r="AD8567">
        <v>-1.121396929004</v>
      </c>
      <c r="AE8567">
        <v>14.469289</v>
      </c>
      <c r="AF8567">
        <v>-9.0453949448336901E-2</v>
      </c>
      <c r="AG8567">
        <v>-1.121396929004</v>
      </c>
      <c r="AH8567">
        <v>14.3895444869488</v>
      </c>
      <c r="AI8567">
        <v>94.456044385307806</v>
      </c>
      <c r="AJ8567">
        <v>90.360161594155201</v>
      </c>
      <c r="AK8567">
        <v>14.4334577815307</v>
      </c>
      <c r="AL8567">
        <v>96.932901636152806</v>
      </c>
      <c r="AM8567">
        <v>92.045713415517994</v>
      </c>
      <c r="AN8567">
        <v>0.99999998477218199</v>
      </c>
    </row>
    <row r="8568" spans="1:40" x14ac:dyDescent="0.25">
      <c r="A8568" t="str">
        <f>"20190303154345277"</f>
        <v>20190303154345277</v>
      </c>
      <c r="B8568" t="str">
        <f>"1551599025268622"</f>
        <v>1551599025268622</v>
      </c>
      <c r="C8568" t="s">
        <v>40</v>
      </c>
      <c r="D8568">
        <v>5.5958899999999998</v>
      </c>
      <c r="E8568">
        <v>0.51077879999999998</v>
      </c>
      <c r="F8568" t="s">
        <v>42</v>
      </c>
      <c r="G8568">
        <v>-188.673</v>
      </c>
      <c r="H8568">
        <v>1.0436449999999999</v>
      </c>
      <c r="I8568">
        <v>2.6665350000000001</v>
      </c>
      <c r="J8568">
        <v>-188.64859999999999</v>
      </c>
      <c r="K8568">
        <v>1.121513</v>
      </c>
      <c r="L8568">
        <v>1.95929</v>
      </c>
      <c r="M8568">
        <v>-2.6837429999999999E-2</v>
      </c>
      <c r="N8568">
        <v>-4.9859149999999996E-3</v>
      </c>
      <c r="O8568">
        <v>0.99962740000000005</v>
      </c>
      <c r="P8568">
        <v>-6.3997429999999994E-2</v>
      </c>
      <c r="Q8568">
        <v>-0.1235995</v>
      </c>
      <c r="R8568">
        <v>0.99026639999999999</v>
      </c>
      <c r="S8568">
        <v>-9.892273E-2</v>
      </c>
      <c r="T8568">
        <v>-0.2210104</v>
      </c>
      <c r="U8568">
        <v>2.9954830000000001</v>
      </c>
      <c r="V8568">
        <v>-3.6781439999999999E-2</v>
      </c>
      <c r="W8568">
        <v>-0.1188462</v>
      </c>
      <c r="X8568">
        <v>0.99223119999999998</v>
      </c>
      <c r="Y8568">
        <v>-6.0920590000000004E-3</v>
      </c>
      <c r="Z8568">
        <v>-6.8549810000000003E-2</v>
      </c>
      <c r="AA8568">
        <v>0.99762910000000005</v>
      </c>
      <c r="AB8568">
        <v>38</v>
      </c>
      <c r="AC8568">
        <v>-2.4400000000014101E-2</v>
      </c>
      <c r="AD8568">
        <v>-7.7867999999999798E-2</v>
      </c>
      <c r="AE8568">
        <v>0.70724499999999901</v>
      </c>
      <c r="AF8568">
        <v>-5.34561440873882E-3</v>
      </c>
      <c r="AG8568">
        <v>-7.7867999999999798E-2</v>
      </c>
      <c r="AH8568">
        <v>0.69917963609382805</v>
      </c>
      <c r="AI8568">
        <v>96.354688926441597</v>
      </c>
      <c r="AJ8568">
        <v>90.438049338238102</v>
      </c>
      <c r="AK8568">
        <v>0.70352268232495896</v>
      </c>
      <c r="AL8568">
        <v>96.825518026760193</v>
      </c>
      <c r="AM8568">
        <v>92.122949543035304</v>
      </c>
      <c r="AN8568">
        <v>1.0000000239181699</v>
      </c>
    </row>
    <row r="8569" spans="1:40" x14ac:dyDescent="0.25">
      <c r="A8569" t="str">
        <f>"20190303154345300"</f>
        <v>20190303154345300</v>
      </c>
      <c r="B8569" t="str">
        <f>"1551599025288141"</f>
        <v>1551599025288141</v>
      </c>
      <c r="C8569" t="s">
        <v>40</v>
      </c>
      <c r="D8569">
        <v>5.5760480000000001</v>
      </c>
      <c r="E8569">
        <v>0.5107988</v>
      </c>
      <c r="F8569" t="s">
        <v>41</v>
      </c>
      <c r="G8569">
        <v>-189.21719999999999</v>
      </c>
      <c r="H8569" s="1">
        <v>-3.5570610000000002E-6</v>
      </c>
      <c r="I8569">
        <v>17.6007</v>
      </c>
      <c r="J8569">
        <v>-188.66149999999999</v>
      </c>
      <c r="K8569">
        <v>1.1216219999999999</v>
      </c>
      <c r="L8569">
        <v>2.3580930000000002</v>
      </c>
      <c r="M8569">
        <v>-2.9507559999999999E-2</v>
      </c>
      <c r="N8569">
        <v>-5.0424160000000001E-3</v>
      </c>
      <c r="O8569">
        <v>0.99955179999999999</v>
      </c>
      <c r="P8569">
        <v>-6.7861039999999997E-2</v>
      </c>
      <c r="Q8569">
        <v>-0.1214592</v>
      </c>
      <c r="R8569">
        <v>0.99027399999999999</v>
      </c>
      <c r="S8569">
        <v>-0.108902</v>
      </c>
      <c r="T8569">
        <v>-0.21479239999999999</v>
      </c>
      <c r="U8569">
        <v>2.9956360000000002</v>
      </c>
      <c r="V8569">
        <v>-3.7976500000000003E-2</v>
      </c>
      <c r="W8569">
        <v>-0.1166647</v>
      </c>
      <c r="X8569">
        <v>0.99244509999999997</v>
      </c>
      <c r="Y8569">
        <v>-6.7436980000000002E-3</v>
      </c>
      <c r="Z8569">
        <v>-6.6419510000000001E-2</v>
      </c>
      <c r="AA8569">
        <v>0.99776900000000002</v>
      </c>
      <c r="AB8569">
        <v>38</v>
      </c>
      <c r="AC8569">
        <v>-0.55570000000000097</v>
      </c>
      <c r="AD8569">
        <v>-1.1216255570610001</v>
      </c>
      <c r="AE8569">
        <v>15.242607</v>
      </c>
      <c r="AF8569">
        <v>-0.105111745352386</v>
      </c>
      <c r="AG8569">
        <v>-1.1216255570610001</v>
      </c>
      <c r="AH8569">
        <v>15.170332792243901</v>
      </c>
      <c r="AI8569">
        <v>94.228395017079293</v>
      </c>
      <c r="AJ8569">
        <v>90.396982920288096</v>
      </c>
      <c r="AK8569">
        <v>15.212103385025101</v>
      </c>
      <c r="AL8569">
        <v>96.699651239089704</v>
      </c>
      <c r="AM8569">
        <v>92.191387797171203</v>
      </c>
      <c r="AN8569">
        <v>1.0000000716461701</v>
      </c>
    </row>
    <row r="8570" spans="1:40" x14ac:dyDescent="0.25">
      <c r="A8570" t="str">
        <f>"20190303154345324"</f>
        <v>20190303154345324</v>
      </c>
      <c r="B8570" t="str">
        <f>"1551599025318398"</f>
        <v>1551599025318398</v>
      </c>
      <c r="C8570" t="s">
        <v>40</v>
      </c>
      <c r="D8570">
        <v>5.6724600000000001</v>
      </c>
      <c r="E8570">
        <v>0.51072929999999905</v>
      </c>
      <c r="F8570" t="s">
        <v>41</v>
      </c>
      <c r="G8570">
        <v>-189.31270000000001</v>
      </c>
      <c r="H8570" s="1">
        <v>-3.9403799999999999E-6</v>
      </c>
      <c r="I8570">
        <v>18.533709999999999</v>
      </c>
      <c r="J8570">
        <v>-188.67529999999999</v>
      </c>
      <c r="K8570">
        <v>1.121691</v>
      </c>
      <c r="L8570">
        <v>2.7535099999999999</v>
      </c>
      <c r="M8570">
        <v>-3.2175530000000001E-2</v>
      </c>
      <c r="N8570">
        <v>-5.0934259999999999E-3</v>
      </c>
      <c r="O8570">
        <v>0.9994693</v>
      </c>
      <c r="P8570">
        <v>-7.1620610000000001E-2</v>
      </c>
      <c r="Q8570">
        <v>-0.120731199999999</v>
      </c>
      <c r="R8570">
        <v>0.99009820000000004</v>
      </c>
      <c r="S8570">
        <v>-0.1206055</v>
      </c>
      <c r="T8570">
        <v>-0.2077254</v>
      </c>
      <c r="U8570">
        <v>2.9957280000000002</v>
      </c>
      <c r="V8570">
        <v>-3.9074600000000001E-2</v>
      </c>
      <c r="W8570">
        <v>-0.1158993</v>
      </c>
      <c r="X8570">
        <v>0.99249209999999999</v>
      </c>
      <c r="Y8570">
        <v>-7.9717720000000002E-3</v>
      </c>
      <c r="Z8570">
        <v>-6.4013039999999993E-2</v>
      </c>
      <c r="AA8570">
        <v>0.99791719999999895</v>
      </c>
      <c r="AB8570">
        <v>38</v>
      </c>
      <c r="AC8570">
        <v>-0.63740000000001296</v>
      </c>
      <c r="AD8570">
        <v>-1.1216949403799901</v>
      </c>
      <c r="AE8570">
        <v>15.780200000000001</v>
      </c>
      <c r="AF8570">
        <v>-0.12867799138299399</v>
      </c>
      <c r="AG8570">
        <v>-1.1216949403799901</v>
      </c>
      <c r="AH8570">
        <v>15.7132729665872</v>
      </c>
      <c r="AI8570">
        <v>94.083007245028398</v>
      </c>
      <c r="AJ8570">
        <v>90.469191939565206</v>
      </c>
      <c r="AK8570">
        <v>15.7537838276149</v>
      </c>
      <c r="AL8570">
        <v>96.655497866281394</v>
      </c>
      <c r="AM8570">
        <v>92.254581183778399</v>
      </c>
      <c r="AN8570">
        <v>1.00000002033402</v>
      </c>
    </row>
    <row r="8571" spans="1:40" x14ac:dyDescent="0.25">
      <c r="A8571" t="str">
        <f>"20190303154345346"</f>
        <v>20190303154345346</v>
      </c>
      <c r="B8571" t="str">
        <f>"1551599025338894"</f>
        <v>1551599025338894</v>
      </c>
      <c r="C8571" t="s">
        <v>40</v>
      </c>
      <c r="D8571">
        <v>5.6063179999999999</v>
      </c>
      <c r="E8571">
        <v>0.5106482</v>
      </c>
      <c r="F8571" t="s">
        <v>41</v>
      </c>
      <c r="G8571">
        <v>-189.39660000000001</v>
      </c>
      <c r="H8571" s="1">
        <v>-4.1527229999999996E-6</v>
      </c>
      <c r="I8571">
        <v>19.063389999999998</v>
      </c>
      <c r="J8571">
        <v>-188.68960000000001</v>
      </c>
      <c r="K8571">
        <v>1.121732</v>
      </c>
      <c r="L8571">
        <v>3.136139</v>
      </c>
      <c r="M8571">
        <v>-3.4737450000000003E-2</v>
      </c>
      <c r="N8571">
        <v>-5.1386699999999997E-3</v>
      </c>
      <c r="O8571">
        <v>0.99938329999999997</v>
      </c>
      <c r="P8571">
        <v>-7.4494160000000004E-2</v>
      </c>
      <c r="Q8571">
        <v>-0.1216299</v>
      </c>
      <c r="R8571">
        <v>0.98977610000000005</v>
      </c>
      <c r="S8571">
        <v>-0.13247679999999901</v>
      </c>
      <c r="T8571">
        <v>-0.20599880000000001</v>
      </c>
      <c r="U8571">
        <v>2.9952999999999999</v>
      </c>
      <c r="V8571">
        <v>-3.9396670000000002E-2</v>
      </c>
      <c r="W8571">
        <v>-0.11676010000000001</v>
      </c>
      <c r="X8571">
        <v>0.99237839999999999</v>
      </c>
      <c r="Y8571">
        <v>-9.3636610000000006E-3</v>
      </c>
      <c r="Z8571">
        <v>-6.3391569999999994E-2</v>
      </c>
      <c r="AA8571">
        <v>0.99794479999999997</v>
      </c>
      <c r="AB8571">
        <v>38</v>
      </c>
      <c r="AC8571">
        <v>-0.70699999999999297</v>
      </c>
      <c r="AD8571">
        <v>-1.1217361527230001</v>
      </c>
      <c r="AE8571">
        <v>15.927250999999901</v>
      </c>
      <c r="AF8571">
        <v>-0.152538789902807</v>
      </c>
      <c r="AG8571">
        <v>-1.1217361527230001</v>
      </c>
      <c r="AH8571">
        <v>15.863665594585299</v>
      </c>
      <c r="AI8571">
        <v>94.044525011162094</v>
      </c>
      <c r="AJ8571">
        <v>90.550916777400005</v>
      </c>
      <c r="AK8571">
        <v>15.904007236403601</v>
      </c>
      <c r="AL8571">
        <v>96.705155663881101</v>
      </c>
      <c r="AM8571">
        <v>92.273405185045604</v>
      </c>
      <c r="AN8571">
        <v>0.99999995367282801</v>
      </c>
    </row>
    <row r="8572" spans="1:40" x14ac:dyDescent="0.25">
      <c r="A8572" t="str">
        <f>"20190303154345369"</f>
        <v>20190303154345369</v>
      </c>
      <c r="B8572" t="str">
        <f>"1551599025358414"</f>
        <v>1551599025358414</v>
      </c>
      <c r="C8572" t="s">
        <v>40</v>
      </c>
      <c r="D8572">
        <v>5.6763620000000001</v>
      </c>
      <c r="E8572">
        <v>0.51064659999999995</v>
      </c>
      <c r="F8572" t="s">
        <v>41</v>
      </c>
      <c r="G8572">
        <v>-189.4487</v>
      </c>
      <c r="H8572" s="1">
        <v>-4.190695E-6</v>
      </c>
      <c r="I8572">
        <v>19.173410000000001</v>
      </c>
      <c r="J8572">
        <v>-188.70480000000001</v>
      </c>
      <c r="K8572">
        <v>1.121742</v>
      </c>
      <c r="L8572">
        <v>3.519012</v>
      </c>
      <c r="M8572">
        <v>-3.7244180000000002E-2</v>
      </c>
      <c r="N8572">
        <v>-5.1802310000000004E-3</v>
      </c>
      <c r="O8572">
        <v>0.99929279999999998</v>
      </c>
      <c r="P8572">
        <v>-7.650121E-2</v>
      </c>
      <c r="Q8572">
        <v>-0.1230593</v>
      </c>
      <c r="R8572">
        <v>0.9894463</v>
      </c>
      <c r="S8572">
        <v>-0.1417389</v>
      </c>
      <c r="T8572">
        <v>-0.2094567</v>
      </c>
      <c r="U8572">
        <v>2.9945680000000001</v>
      </c>
      <c r="V8572">
        <v>-3.8913240000000002E-2</v>
      </c>
      <c r="W8572">
        <v>-0.11814819999999999</v>
      </c>
      <c r="X8572">
        <v>0.99223320000000004</v>
      </c>
      <c r="Y8572">
        <v>-9.9427790000000005E-3</v>
      </c>
      <c r="Z8572">
        <v>-6.4498070000000005E-2</v>
      </c>
      <c r="AA8572">
        <v>0.99786830000000004</v>
      </c>
      <c r="AB8572">
        <v>38</v>
      </c>
      <c r="AC8572">
        <v>-0.74389999999999601</v>
      </c>
      <c r="AD8572">
        <v>-1.1217461906949999</v>
      </c>
      <c r="AE8572">
        <v>15.654398</v>
      </c>
      <c r="AF8572">
        <v>-0.15952358043457701</v>
      </c>
      <c r="AG8572">
        <v>-1.1217461906949999</v>
      </c>
      <c r="AH8572">
        <v>15.5913660554274</v>
      </c>
      <c r="AI8572">
        <v>94.114932750310999</v>
      </c>
      <c r="AJ8572">
        <v>90.586203219153305</v>
      </c>
      <c r="AK8572">
        <v>15.632480857605</v>
      </c>
      <c r="AL8572">
        <v>96.785242099433404</v>
      </c>
      <c r="AM8572">
        <v>92.2458656097199</v>
      </c>
      <c r="AN8572">
        <v>0.99999998029638804</v>
      </c>
    </row>
    <row r="8573" spans="1:40" x14ac:dyDescent="0.25">
      <c r="A8573" t="str">
        <f>"20190303154345390"</f>
        <v>20190303154345390</v>
      </c>
      <c r="B8573" t="str">
        <f>"1551599025388669"</f>
        <v>1551599025388669</v>
      </c>
      <c r="C8573" t="s">
        <v>40</v>
      </c>
      <c r="D8573">
        <v>5.7737860000000003</v>
      </c>
      <c r="E8573">
        <v>0.51064589999999999</v>
      </c>
      <c r="F8573" t="s">
        <v>41</v>
      </c>
      <c r="G8573">
        <v>-189.48159999999999</v>
      </c>
      <c r="H8573" s="1">
        <v>-4.2090270000000004E-6</v>
      </c>
      <c r="I8573">
        <v>19.229759999999999</v>
      </c>
      <c r="J8573">
        <v>-188.72059999999999</v>
      </c>
      <c r="K8573">
        <v>1.1217220000000001</v>
      </c>
      <c r="L8573">
        <v>3.8932190000000002</v>
      </c>
      <c r="M8573">
        <v>-3.9607330000000003E-2</v>
      </c>
      <c r="N8573">
        <v>-5.2176569999999997E-3</v>
      </c>
      <c r="O8573">
        <v>0.99920169999999997</v>
      </c>
      <c r="P8573">
        <v>-7.7992950000000005E-2</v>
      </c>
      <c r="Q8573">
        <v>-0.1244039</v>
      </c>
      <c r="R8573">
        <v>0.98916170000000003</v>
      </c>
      <c r="S8573">
        <v>-0.1480255</v>
      </c>
      <c r="T8573">
        <v>-0.21376819999999999</v>
      </c>
      <c r="U8573">
        <v>2.9939580000000001</v>
      </c>
      <c r="V8573">
        <v>-3.8065080000000001E-2</v>
      </c>
      <c r="W8573">
        <v>-0.1194505</v>
      </c>
      <c r="X8573">
        <v>0.99211020000000005</v>
      </c>
      <c r="Y8573">
        <v>-9.6734649999999991E-3</v>
      </c>
      <c r="Z8573">
        <v>-6.5889790000000004E-2</v>
      </c>
      <c r="AA8573">
        <v>0.99778</v>
      </c>
      <c r="AB8573">
        <v>38</v>
      </c>
      <c r="AC8573">
        <v>-0.76099999999999501</v>
      </c>
      <c r="AD8573">
        <v>-1.1217262090269999</v>
      </c>
      <c r="AE8573">
        <v>15.336541</v>
      </c>
      <c r="AF8573">
        <v>-0.152143233261295</v>
      </c>
      <c r="AG8573">
        <v>-1.1217262090269999</v>
      </c>
      <c r="AH8573">
        <v>15.2731439309138</v>
      </c>
      <c r="AI8573">
        <v>94.200302150756897</v>
      </c>
      <c r="AJ8573">
        <v>90.570732317169899</v>
      </c>
      <c r="AK8573">
        <v>15.3150364931284</v>
      </c>
      <c r="AL8573">
        <v>96.860390371597504</v>
      </c>
      <c r="AM8573">
        <v>92.197234926993303</v>
      </c>
      <c r="AN8573">
        <v>1.0000000106048399</v>
      </c>
    </row>
    <row r="8574" spans="1:40" x14ac:dyDescent="0.25">
      <c r="A8574" t="str">
        <f>"20190303154345415"</f>
        <v>20190303154345415</v>
      </c>
      <c r="B8574" t="str">
        <f>"1551599025408189"</f>
        <v>1551599025408189</v>
      </c>
      <c r="C8574" t="s">
        <v>40</v>
      </c>
      <c r="D8574">
        <v>5.7446539999999997</v>
      </c>
      <c r="E8574">
        <v>0.51064430000000005</v>
      </c>
      <c r="F8574" t="s">
        <v>41</v>
      </c>
      <c r="G8574">
        <v>-189.5043</v>
      </c>
      <c r="H8574" s="1">
        <v>-4.2203379999999998E-6</v>
      </c>
      <c r="I8574">
        <v>19.265529999999998</v>
      </c>
      <c r="J8574">
        <v>-188.7388</v>
      </c>
      <c r="K8574">
        <v>1.1216740000000001</v>
      </c>
      <c r="L8574">
        <v>4.3045349999999996</v>
      </c>
      <c r="M8574">
        <v>-4.2078070000000002E-2</v>
      </c>
      <c r="N8574">
        <v>-5.2558869999999999E-3</v>
      </c>
      <c r="O8574">
        <v>0.99910049999999995</v>
      </c>
      <c r="P8574">
        <v>-7.9509460000000004E-2</v>
      </c>
      <c r="Q8574">
        <v>-0.1244802</v>
      </c>
      <c r="R8574">
        <v>0.98903129999999995</v>
      </c>
      <c r="S8574">
        <v>-0.15261839999999999</v>
      </c>
      <c r="T8574">
        <v>-0.2184285</v>
      </c>
      <c r="U8574">
        <v>2.9933779999999999</v>
      </c>
      <c r="V8574">
        <v>-3.7146220000000001E-2</v>
      </c>
      <c r="W8574">
        <v>-0.1194795</v>
      </c>
      <c r="X8574">
        <v>0.99214150000000001</v>
      </c>
      <c r="Y8574">
        <v>-8.7323639999999994E-3</v>
      </c>
      <c r="Z8574">
        <v>-6.7394930000000006E-2</v>
      </c>
      <c r="AA8574">
        <v>0.99768820000000003</v>
      </c>
      <c r="AB8574">
        <v>38</v>
      </c>
      <c r="AC8574">
        <v>-0.76550000000000296</v>
      </c>
      <c r="AD8574">
        <v>-1.121678220338</v>
      </c>
      <c r="AE8574">
        <v>14.960995</v>
      </c>
      <c r="AF8574">
        <v>-0.13452928848751899</v>
      </c>
      <c r="AG8574">
        <v>-1.121678220338</v>
      </c>
      <c r="AH8574">
        <v>14.8964406304249</v>
      </c>
      <c r="AI8574">
        <v>94.305979734683405</v>
      </c>
      <c r="AJ8574">
        <v>90.517422322760495</v>
      </c>
      <c r="AK8574">
        <v>14.939216967941</v>
      </c>
      <c r="AL8574">
        <v>96.862064184867293</v>
      </c>
      <c r="AM8574">
        <v>92.144178004796501</v>
      </c>
      <c r="AN8574">
        <v>0.99999997430139298</v>
      </c>
    </row>
    <row r="8575" spans="1:40" x14ac:dyDescent="0.25">
      <c r="A8575" t="str">
        <f>"20190303154345438"</f>
        <v>20190303154345438</v>
      </c>
      <c r="B8575" t="str">
        <f>"1551599025428686"</f>
        <v>1551599025428686</v>
      </c>
      <c r="C8575" t="s">
        <v>40</v>
      </c>
      <c r="D8575">
        <v>5.7595999999999998</v>
      </c>
      <c r="E8575">
        <v>0.51066120000000004</v>
      </c>
      <c r="F8575" t="s">
        <v>41</v>
      </c>
      <c r="G8575">
        <v>-189.5427</v>
      </c>
      <c r="H8575" s="1">
        <v>-1.126316E-7</v>
      </c>
      <c r="I8575">
        <v>19.621469999999999</v>
      </c>
      <c r="J8575">
        <v>-188.7567</v>
      </c>
      <c r="K8575">
        <v>1.1215999999999999</v>
      </c>
      <c r="L8575">
        <v>4.6916500000000001</v>
      </c>
      <c r="M8575">
        <v>-4.423933E-2</v>
      </c>
      <c r="N8575">
        <v>-5.2893999999999997E-3</v>
      </c>
      <c r="O8575">
        <v>0.99900699999999998</v>
      </c>
      <c r="P8575">
        <v>-8.1511050000000002E-2</v>
      </c>
      <c r="Q8575">
        <v>-0.1245791</v>
      </c>
      <c r="R8575">
        <v>0.98885590000000001</v>
      </c>
      <c r="S8575">
        <v>-0.15708920000000001</v>
      </c>
      <c r="T8575">
        <v>-0.2191833</v>
      </c>
      <c r="U8575">
        <v>2.993042</v>
      </c>
      <c r="V8575">
        <v>-3.7029100000000002E-2</v>
      </c>
      <c r="W8575">
        <v>-0.11953800000000001</v>
      </c>
      <c r="X8575">
        <v>0.99213890000000005</v>
      </c>
      <c r="Y8575">
        <v>-8.0604849999999992E-3</v>
      </c>
      <c r="Z8575">
        <v>-6.7607089999999995E-2</v>
      </c>
      <c r="AA8575">
        <v>0.99767950000000005</v>
      </c>
      <c r="AB8575">
        <v>38</v>
      </c>
      <c r="AC8575">
        <v>-0.78600000000000103</v>
      </c>
      <c r="AD8575">
        <v>-1.1216001126316</v>
      </c>
      <c r="AE8575">
        <v>14.929819999999999</v>
      </c>
      <c r="AF8575">
        <v>-0.124037905270101</v>
      </c>
      <c r="AG8575">
        <v>-1.1216001126316</v>
      </c>
      <c r="AH8575">
        <v>14.8663056710642</v>
      </c>
      <c r="AI8575">
        <v>94.314401653152402</v>
      </c>
      <c r="AJ8575">
        <v>90.478039650291805</v>
      </c>
      <c r="AK8575">
        <v>14.9090716183173</v>
      </c>
      <c r="AL8575">
        <v>96.865439714307598</v>
      </c>
      <c r="AM8575">
        <v>92.137429405346396</v>
      </c>
      <c r="AN8575">
        <v>1.0000000422919999</v>
      </c>
    </row>
    <row r="8576" spans="1:40" x14ac:dyDescent="0.25">
      <c r="A8576" t="str">
        <f>"20190303154345457"</f>
        <v>20190303154345457</v>
      </c>
      <c r="B8576" t="str">
        <f>"1551599025448206"</f>
        <v>1551599025448206</v>
      </c>
      <c r="C8576" t="s">
        <v>40</v>
      </c>
      <c r="D8576">
        <v>5.8209939999999998</v>
      </c>
      <c r="E8576">
        <v>0.51070890000000002</v>
      </c>
      <c r="F8576" t="s">
        <v>42</v>
      </c>
      <c r="G8576">
        <v>-188.8143</v>
      </c>
      <c r="H8576">
        <v>1.0439149999999999</v>
      </c>
      <c r="I8576">
        <v>5.749047</v>
      </c>
      <c r="J8576">
        <v>-188.77369999999999</v>
      </c>
      <c r="K8576">
        <v>1.121513</v>
      </c>
      <c r="L8576">
        <v>5.0434269999999897</v>
      </c>
      <c r="M8576">
        <v>-4.6048209999999999E-2</v>
      </c>
      <c r="N8576">
        <v>-5.3183600000000003E-3</v>
      </c>
      <c r="O8576">
        <v>0.99892510000000001</v>
      </c>
      <c r="P8576">
        <v>-8.3629780000000001E-2</v>
      </c>
      <c r="Q8576">
        <v>-0.1245156</v>
      </c>
      <c r="R8576">
        <v>0.98868699999999998</v>
      </c>
      <c r="S8576">
        <v>-0.16320799999999999</v>
      </c>
      <c r="T8576">
        <v>-0.219885</v>
      </c>
      <c r="U8576">
        <v>2.992645</v>
      </c>
      <c r="V8576">
        <v>-3.7384359999999998E-2</v>
      </c>
      <c r="W8576">
        <v>-0.1194394</v>
      </c>
      <c r="X8576">
        <v>0.99213739999999995</v>
      </c>
      <c r="Y8576">
        <v>-8.2899289999999997E-3</v>
      </c>
      <c r="Z8576">
        <v>-6.7807500000000007E-2</v>
      </c>
      <c r="AA8576">
        <v>0.997664</v>
      </c>
      <c r="AB8576">
        <v>39</v>
      </c>
      <c r="AC8576">
        <v>-4.0600000000011897E-2</v>
      </c>
      <c r="AD8576">
        <v>-7.7598E-2</v>
      </c>
      <c r="AE8576">
        <v>0.70562000000000002</v>
      </c>
      <c r="AF8576">
        <v>-7.9678915019752005E-3</v>
      </c>
      <c r="AG8576">
        <v>-7.7598E-2</v>
      </c>
      <c r="AH8576">
        <v>0.69832360288567397</v>
      </c>
      <c r="AI8576">
        <v>96.340308280887101</v>
      </c>
      <c r="AJ8576">
        <v>90.653718051065795</v>
      </c>
      <c r="AK8576">
        <v>0.70266691344207799</v>
      </c>
      <c r="AL8576">
        <v>96.859749940656101</v>
      </c>
      <c r="AM8576">
        <v>92.157920030217298</v>
      </c>
      <c r="AN8576">
        <v>0.99999999056186395</v>
      </c>
    </row>
    <row r="8577" spans="1:40" x14ac:dyDescent="0.25">
      <c r="A8577" t="str">
        <f>"20190303154345480"</f>
        <v>20190303154345480</v>
      </c>
      <c r="B8577" t="str">
        <f>"1551599025468705"</f>
        <v>1551599025468705</v>
      </c>
      <c r="C8577" t="s">
        <v>40</v>
      </c>
      <c r="D8577">
        <v>5.809088</v>
      </c>
      <c r="E8577">
        <v>0.51075709999999996</v>
      </c>
      <c r="F8577" t="s">
        <v>42</v>
      </c>
      <c r="G8577">
        <v>-188.83330000000001</v>
      </c>
      <c r="H8577">
        <v>1.043973</v>
      </c>
      <c r="I8577">
        <v>6.0983400000000003</v>
      </c>
      <c r="J8577">
        <v>-188.79320000000001</v>
      </c>
      <c r="K8577">
        <v>1.121407</v>
      </c>
      <c r="L8577">
        <v>5.435181</v>
      </c>
      <c r="M8577">
        <v>-4.7900959999999999E-2</v>
      </c>
      <c r="N8577">
        <v>-5.3496280000000004E-3</v>
      </c>
      <c r="O8577">
        <v>0.9988378</v>
      </c>
      <c r="P8577">
        <v>-8.6045759999999999E-2</v>
      </c>
      <c r="Q8577">
        <v>-0.1243055</v>
      </c>
      <c r="R8577">
        <v>0.98850610000000005</v>
      </c>
      <c r="S8577">
        <v>-0.16938780000000001</v>
      </c>
      <c r="T8577">
        <v>-0.2199564</v>
      </c>
      <c r="U8577">
        <v>2.9923099999999998</v>
      </c>
      <c r="V8577">
        <v>-3.8000039999999999E-2</v>
      </c>
      <c r="W8577">
        <v>-0.1191912</v>
      </c>
      <c r="X8577">
        <v>0.99214389999999997</v>
      </c>
      <c r="Y8577">
        <v>-8.4952829999999993E-3</v>
      </c>
      <c r="Z8577">
        <v>-6.7794869999999993E-2</v>
      </c>
      <c r="AA8577">
        <v>0.99766310000000002</v>
      </c>
      <c r="AB8577">
        <v>39</v>
      </c>
      <c r="AC8577">
        <v>-4.0099999999995299E-2</v>
      </c>
      <c r="AD8577">
        <v>-7.7434000000000003E-2</v>
      </c>
      <c r="AE8577">
        <v>0.66315900000000005</v>
      </c>
      <c r="AF8577">
        <v>-8.1764880102443704E-3</v>
      </c>
      <c r="AG8577">
        <v>-7.7434000000000003E-2</v>
      </c>
      <c r="AH8577">
        <v>0.65541511440375499</v>
      </c>
      <c r="AI8577">
        <v>96.7374545654298</v>
      </c>
      <c r="AJ8577">
        <v>90.714743896954701</v>
      </c>
      <c r="AK8577">
        <v>0.66002412948396705</v>
      </c>
      <c r="AL8577">
        <v>96.845426526173895</v>
      </c>
      <c r="AM8577">
        <v>92.1934098530715</v>
      </c>
      <c r="AN8577">
        <v>1.0000000317523201</v>
      </c>
    </row>
    <row r="8578" spans="1:40" x14ac:dyDescent="0.25">
      <c r="A8578" t="str">
        <f>"20190303154345500"</f>
        <v>20190303154345500</v>
      </c>
      <c r="B8578" t="str">
        <f>"1551599025498958"</f>
        <v>1551599025498958</v>
      </c>
      <c r="C8578" t="s">
        <v>40</v>
      </c>
      <c r="D8578">
        <v>5.8720970000000001</v>
      </c>
      <c r="E8578">
        <v>0.51082539999999999</v>
      </c>
      <c r="F8578" t="s">
        <v>41</v>
      </c>
      <c r="G8578">
        <v>-189.69329999999999</v>
      </c>
      <c r="H8578" s="1">
        <v>-5.1094489999999998E-7</v>
      </c>
      <c r="I8578">
        <v>20.69699</v>
      </c>
      <c r="J8578">
        <v>-188.81190000000001</v>
      </c>
      <c r="K8578">
        <v>1.121291</v>
      </c>
      <c r="L8578">
        <v>5.800751</v>
      </c>
      <c r="M8578">
        <v>-4.947062E-2</v>
      </c>
      <c r="N8578">
        <v>-5.378196E-3</v>
      </c>
      <c r="O8578">
        <v>0.99876109999999896</v>
      </c>
      <c r="P8578">
        <v>-8.7644920000000001E-2</v>
      </c>
      <c r="Q8578">
        <v>-0.12425410000000001</v>
      </c>
      <c r="R8578">
        <v>0.98837200000000003</v>
      </c>
      <c r="S8578">
        <v>-0.17646789999999901</v>
      </c>
      <c r="T8578">
        <v>-0.21983749999999999</v>
      </c>
      <c r="U8578">
        <v>2.9918819999999999</v>
      </c>
      <c r="V8578">
        <v>-3.807899E-2</v>
      </c>
      <c r="W8578">
        <v>-0.11910129999999999</v>
      </c>
      <c r="X8578">
        <v>0.99215160000000002</v>
      </c>
      <c r="Y8578">
        <v>-9.2849560000000005E-3</v>
      </c>
      <c r="Z8578">
        <v>-6.7724419999999994E-2</v>
      </c>
      <c r="AA8578">
        <v>0.99766089999999996</v>
      </c>
      <c r="AB8578">
        <v>39</v>
      </c>
      <c r="AC8578">
        <v>-0.88139999999998497</v>
      </c>
      <c r="AD8578">
        <v>-1.1212915109449</v>
      </c>
      <c r="AE8578">
        <v>14.896239</v>
      </c>
      <c r="AF8578">
        <v>-0.14257888117018999</v>
      </c>
      <c r="AG8578">
        <v>-1.1212915109449</v>
      </c>
      <c r="AH8578">
        <v>14.837824043305201</v>
      </c>
      <c r="AI8578">
        <v>94.321418161380393</v>
      </c>
      <c r="AJ8578">
        <v>90.550546811537899</v>
      </c>
      <c r="AK8578">
        <v>14.880814686365801</v>
      </c>
      <c r="AL8578">
        <v>96.840239151991597</v>
      </c>
      <c r="AM8578">
        <v>92.197945439463894</v>
      </c>
      <c r="AN8578">
        <v>0.99999996326183405</v>
      </c>
    </row>
    <row r="8579" spans="1:40" x14ac:dyDescent="0.25">
      <c r="A8579" t="str">
        <f>"20190303154345523"</f>
        <v>20190303154345523</v>
      </c>
      <c r="B8579" t="str">
        <f>"1551599025518478"</f>
        <v>1551599025518478</v>
      </c>
      <c r="C8579" t="s">
        <v>40</v>
      </c>
      <c r="D8579">
        <v>5.5563500000000001</v>
      </c>
      <c r="E8579">
        <v>0.51092579999999999</v>
      </c>
      <c r="F8579" t="s">
        <v>41</v>
      </c>
      <c r="G8579">
        <v>-189.72880000000001</v>
      </c>
      <c r="H8579" s="1">
        <v>-6.2944009999999899E-7</v>
      </c>
      <c r="I8579">
        <v>20.987880000000001</v>
      </c>
      <c r="J8579">
        <v>-188.83279999999999</v>
      </c>
      <c r="K8579">
        <v>1.1211580000000001</v>
      </c>
      <c r="L8579">
        <v>6.1999820000000003</v>
      </c>
      <c r="M8579">
        <v>-5.0985200000000001E-2</v>
      </c>
      <c r="N8579">
        <v>-5.4086129999999996E-3</v>
      </c>
      <c r="O8579">
        <v>0.99868480000000004</v>
      </c>
      <c r="P8579">
        <v>-8.8978689999999999E-2</v>
      </c>
      <c r="Q8579">
        <v>-0.1242735</v>
      </c>
      <c r="R8579">
        <v>0.98825039999999997</v>
      </c>
      <c r="S8579">
        <v>-0.18061830000000001</v>
      </c>
      <c r="T8579">
        <v>-0.2208687</v>
      </c>
      <c r="U8579">
        <v>2.9915159999999998</v>
      </c>
      <c r="V8579">
        <v>-3.7953729999999998E-2</v>
      </c>
      <c r="W8579">
        <v>-0.1190768</v>
      </c>
      <c r="X8579">
        <v>0.99215940000000002</v>
      </c>
      <c r="Y8579">
        <v>-9.1536410000000006E-3</v>
      </c>
      <c r="Z8579">
        <v>-6.8033200000000002E-2</v>
      </c>
      <c r="AA8579">
        <v>0.99764109999999995</v>
      </c>
      <c r="AB8579">
        <v>39</v>
      </c>
      <c r="AC8579">
        <v>-0.89600000000001501</v>
      </c>
      <c r="AD8579">
        <v>-1.1211586294400999</v>
      </c>
      <c r="AE8579">
        <v>14.787898</v>
      </c>
      <c r="AF8579">
        <v>-0.14005758422115799</v>
      </c>
      <c r="AG8579">
        <v>-1.1211586294400999</v>
      </c>
      <c r="AH8579">
        <v>14.7299886841858</v>
      </c>
      <c r="AI8579">
        <v>94.352423566794201</v>
      </c>
      <c r="AJ8579">
        <v>90.544770727007503</v>
      </c>
      <c r="AK8579">
        <v>14.7732589307677</v>
      </c>
      <c r="AL8579">
        <v>96.838824937281203</v>
      </c>
      <c r="AM8579">
        <v>92.190705196583906</v>
      </c>
      <c r="AN8579">
        <v>1.00000002246375</v>
      </c>
    </row>
    <row r="8580" spans="1:40" x14ac:dyDescent="0.25">
      <c r="A8580" t="str">
        <f>"20190303154345547"</f>
        <v>20190303154345547</v>
      </c>
      <c r="B8580" t="str">
        <f>"1551599025538974"</f>
        <v>1551599025538974</v>
      </c>
      <c r="C8580" t="s">
        <v>40</v>
      </c>
      <c r="D8580">
        <v>5.877167</v>
      </c>
      <c r="E8580">
        <v>0.51105749999999905</v>
      </c>
      <c r="F8580" t="s">
        <v>41</v>
      </c>
      <c r="G8580">
        <v>-189.76439999999999</v>
      </c>
      <c r="H8580" s="1">
        <v>-7.8146179999999998E-7</v>
      </c>
      <c r="I8580">
        <v>21.356960000000001</v>
      </c>
      <c r="J8580">
        <v>-188.85480000000001</v>
      </c>
      <c r="K8580">
        <v>1.1209899999999999</v>
      </c>
      <c r="L8580">
        <v>6.6098020000000002</v>
      </c>
      <c r="M8580">
        <v>-5.2310089999999997E-2</v>
      </c>
      <c r="N8580">
        <v>-5.4389879999999996E-3</v>
      </c>
      <c r="O8580">
        <v>0.99861610000000001</v>
      </c>
      <c r="P8580">
        <v>-9.0104959999999998E-2</v>
      </c>
      <c r="Q8580">
        <v>-0.1246394</v>
      </c>
      <c r="R8580">
        <v>0.98810229999999999</v>
      </c>
      <c r="S8580">
        <v>-0.18385309999999999</v>
      </c>
      <c r="T8580">
        <v>-0.2212662</v>
      </c>
      <c r="U8580">
        <v>2.9913020000000001</v>
      </c>
      <c r="V8580">
        <v>-3.7817429999999999E-2</v>
      </c>
      <c r="W8580">
        <v>-0.119396699999999</v>
      </c>
      <c r="X8580">
        <v>0.99212610000000001</v>
      </c>
      <c r="Y8580">
        <v>-8.9057979999999995E-3</v>
      </c>
      <c r="Z8580">
        <v>-6.8130109999999994E-2</v>
      </c>
      <c r="AA8580">
        <v>0.99763670000000004</v>
      </c>
      <c r="AB8580">
        <v>39</v>
      </c>
      <c r="AC8580">
        <v>-0.90959999999998298</v>
      </c>
      <c r="AD8580">
        <v>-1.1209907814618001</v>
      </c>
      <c r="AE8580">
        <v>14.747157999999899</v>
      </c>
      <c r="AF8580">
        <v>-0.13613444307570299</v>
      </c>
      <c r="AG8580">
        <v>-1.1209907814618001</v>
      </c>
      <c r="AH8580">
        <v>14.6899898850952</v>
      </c>
      <c r="AI8580">
        <v>94.363587884718399</v>
      </c>
      <c r="AJ8580">
        <v>90.530953786941197</v>
      </c>
      <c r="AK8580">
        <v>14.733328060656</v>
      </c>
      <c r="AL8580">
        <v>96.8572859594844</v>
      </c>
      <c r="AM8580">
        <v>92.182918722360796</v>
      </c>
      <c r="AN8580">
        <v>0.99999996414195103</v>
      </c>
    </row>
    <row r="8581" spans="1:40" x14ac:dyDescent="0.25">
      <c r="A8581" t="str">
        <f>"20190303154345569"</f>
        <v>20190303154345569</v>
      </c>
      <c r="B8581" t="str">
        <f>"1551599025558493"</f>
        <v>1551599025558493</v>
      </c>
      <c r="C8581" t="s">
        <v>40</v>
      </c>
      <c r="D8581">
        <v>5.9014170000000004</v>
      </c>
      <c r="E8581">
        <v>0.51124999999999998</v>
      </c>
      <c r="F8581" t="s">
        <v>41</v>
      </c>
      <c r="G8581">
        <v>-189.79339999999999</v>
      </c>
      <c r="H8581" s="1">
        <v>-9.2065929999999999E-7</v>
      </c>
      <c r="I8581">
        <v>21.69341</v>
      </c>
      <c r="J8581">
        <v>-188.87629999999999</v>
      </c>
      <c r="K8581">
        <v>1.120806</v>
      </c>
      <c r="L8581">
        <v>7.0040589999999998</v>
      </c>
      <c r="M8581">
        <v>-5.3346209999999998E-2</v>
      </c>
      <c r="N8581">
        <v>-5.4675959999999999E-3</v>
      </c>
      <c r="O8581">
        <v>0.99856109999999998</v>
      </c>
      <c r="P8581">
        <v>-9.0551270000000003E-2</v>
      </c>
      <c r="Q8581">
        <v>-0.1248732</v>
      </c>
      <c r="R8581">
        <v>0.98803200000000002</v>
      </c>
      <c r="S8581">
        <v>-0.18612670000000001</v>
      </c>
      <c r="T8581">
        <v>-0.2222954</v>
      </c>
      <c r="U8581">
        <v>2.9911189999999999</v>
      </c>
      <c r="V8581">
        <v>-3.7290990000000003E-2</v>
      </c>
      <c r="W8581">
        <v>-0.1195831</v>
      </c>
      <c r="X8581">
        <v>0.99212359999999999</v>
      </c>
      <c r="Y8581">
        <v>-8.6261199999999993E-3</v>
      </c>
      <c r="Z8581">
        <v>-6.8439050000000001E-2</v>
      </c>
      <c r="AA8581">
        <v>0.997618</v>
      </c>
      <c r="AB8581">
        <v>39</v>
      </c>
      <c r="AC8581">
        <v>-0.91710000000000402</v>
      </c>
      <c r="AD8581">
        <v>-1.1208069206593001</v>
      </c>
      <c r="AE8581">
        <v>14.689351</v>
      </c>
      <c r="AF8581">
        <v>-0.131399150388671</v>
      </c>
      <c r="AG8581">
        <v>-1.1208069206593001</v>
      </c>
      <c r="AH8581">
        <v>14.632501848331099</v>
      </c>
      <c r="AI8581">
        <v>94.379960632074201</v>
      </c>
      <c r="AJ8581">
        <v>90.514499466235094</v>
      </c>
      <c r="AK8581">
        <v>14.6759525834453</v>
      </c>
      <c r="AL8581">
        <v>96.868042806903105</v>
      </c>
      <c r="AM8581">
        <v>92.152565465949394</v>
      </c>
      <c r="AN8581">
        <v>0.99999998670887502</v>
      </c>
    </row>
    <row r="8582" spans="1:40" x14ac:dyDescent="0.25">
      <c r="A8582" t="str">
        <f>"20190303154345590"</f>
        <v>20190303154345590</v>
      </c>
      <c r="B8582" t="str">
        <f>"1551599025588750"</f>
        <v>1551599025588750</v>
      </c>
      <c r="C8582" t="s">
        <v>40</v>
      </c>
      <c r="D8582">
        <v>5.9174439999999997</v>
      </c>
      <c r="E8582">
        <v>0.5114959</v>
      </c>
      <c r="F8582" t="s">
        <v>41</v>
      </c>
      <c r="G8582">
        <v>-189.81219999999999</v>
      </c>
      <c r="H8582" s="1">
        <v>-1.0700290000000001E-6</v>
      </c>
      <c r="I8582">
        <v>22.049399999999999</v>
      </c>
      <c r="J8582">
        <v>-188.89680000000001</v>
      </c>
      <c r="K8582">
        <v>1.1206050000000001</v>
      </c>
      <c r="L8582">
        <v>7.3776250000000001</v>
      </c>
      <c r="M8582">
        <v>-5.4089760000000001E-2</v>
      </c>
      <c r="N8582">
        <v>-5.494395E-3</v>
      </c>
      <c r="O8582">
        <v>0.99852099999999999</v>
      </c>
      <c r="P8582">
        <v>-9.1602089999999997E-2</v>
      </c>
      <c r="Q8582">
        <v>-0.12532579999999999</v>
      </c>
      <c r="R8582">
        <v>0.98787780000000003</v>
      </c>
      <c r="S8582">
        <v>-0.18608089999999999</v>
      </c>
      <c r="T8582">
        <v>-0.2228242</v>
      </c>
      <c r="U8582">
        <v>2.9911189999999999</v>
      </c>
      <c r="V8582">
        <v>-3.7666640000000001E-2</v>
      </c>
      <c r="W8582">
        <v>-0.1199924</v>
      </c>
      <c r="X8582">
        <v>0.99206000000000005</v>
      </c>
      <c r="Y8582">
        <v>-7.8658240000000004E-3</v>
      </c>
      <c r="Z8582">
        <v>-6.8583190000000002E-2</v>
      </c>
      <c r="AA8582">
        <v>0.99761440000000001</v>
      </c>
      <c r="AB8582">
        <v>39</v>
      </c>
      <c r="AC8582">
        <v>-0.91539999999997601</v>
      </c>
      <c r="AD8582">
        <v>-1.1206060700289999</v>
      </c>
      <c r="AE8582">
        <v>14.671774999999901</v>
      </c>
      <c r="AF8582">
        <v>-0.11975922362248601</v>
      </c>
      <c r="AG8582">
        <v>-1.1206060700289999</v>
      </c>
      <c r="AH8582">
        <v>14.614882961114199</v>
      </c>
      <c r="AI8582">
        <v>94.384466970081405</v>
      </c>
      <c r="AJ8582">
        <v>90.469490211774698</v>
      </c>
      <c r="AK8582">
        <v>14.6582708462798</v>
      </c>
      <c r="AL8582">
        <v>96.891663977963404</v>
      </c>
      <c r="AM8582">
        <v>92.174367835599099</v>
      </c>
      <c r="AN8582">
        <v>0.99999999771332404</v>
      </c>
    </row>
    <row r="8583" spans="1:40" x14ac:dyDescent="0.25">
      <c r="A8583" t="str">
        <f>"20190303154345616"</f>
        <v>20190303154345616</v>
      </c>
      <c r="B8583" t="str">
        <f>"1551599025608270"</f>
        <v>1551599025608270</v>
      </c>
      <c r="C8583" t="s">
        <v>40</v>
      </c>
      <c r="D8583">
        <v>5.9477349999999998</v>
      </c>
      <c r="E8583">
        <v>0.51165969999999905</v>
      </c>
      <c r="F8583" t="s">
        <v>41</v>
      </c>
      <c r="G8583">
        <v>-189.8349</v>
      </c>
      <c r="H8583" s="1">
        <v>-1.1996989999999999E-6</v>
      </c>
      <c r="I8583">
        <v>22.36102</v>
      </c>
      <c r="J8583">
        <v>-188.9211</v>
      </c>
      <c r="K8583">
        <v>1.1203559999999999</v>
      </c>
      <c r="L8583">
        <v>7.8183590000000001</v>
      </c>
      <c r="M8583">
        <v>-5.469338E-2</v>
      </c>
      <c r="N8583">
        <v>-5.526067E-3</v>
      </c>
      <c r="O8583">
        <v>0.99848789999999998</v>
      </c>
      <c r="P8583">
        <v>-9.207485E-2</v>
      </c>
      <c r="Q8583">
        <v>-0.12622340000000001</v>
      </c>
      <c r="R8583">
        <v>0.98771949999999997</v>
      </c>
      <c r="S8583">
        <v>-0.1872711</v>
      </c>
      <c r="T8583">
        <v>-0.22370080000000001</v>
      </c>
      <c r="U8583">
        <v>2.9910580000000002</v>
      </c>
      <c r="V8583">
        <v>-3.7619229999999997E-2</v>
      </c>
      <c r="W8583">
        <v>-0.1208359</v>
      </c>
      <c r="X8583">
        <v>0.99195940000000005</v>
      </c>
      <c r="Y8583">
        <v>-7.6569100000000003E-3</v>
      </c>
      <c r="Z8583">
        <v>-6.88386E-2</v>
      </c>
      <c r="AA8583">
        <v>0.9975984</v>
      </c>
      <c r="AB8583">
        <v>39</v>
      </c>
      <c r="AC8583">
        <v>-0.91380000000000905</v>
      </c>
      <c r="AD8583">
        <v>-1.1203571996989901</v>
      </c>
      <c r="AE8583">
        <v>14.542661000000001</v>
      </c>
      <c r="AF8583">
        <v>-0.116344947482959</v>
      </c>
      <c r="AG8583">
        <v>-1.1203571996989901</v>
      </c>
      <c r="AH8583">
        <v>14.485239719860401</v>
      </c>
      <c r="AI8583">
        <v>94.422580283683502</v>
      </c>
      <c r="AJ8583">
        <v>90.460187835658601</v>
      </c>
      <c r="AK8583">
        <v>14.528967827879001</v>
      </c>
      <c r="AL8583">
        <v>96.940347281343506</v>
      </c>
      <c r="AM8583">
        <v>92.171853664794895</v>
      </c>
      <c r="AN8583">
        <v>0.99999998622148101</v>
      </c>
    </row>
    <row r="8584" spans="1:40" x14ac:dyDescent="0.25">
      <c r="A8584" t="str">
        <f>"20190303154345638"</f>
        <v>20190303154345638</v>
      </c>
      <c r="B8584" t="str">
        <f>"1551599025628766"</f>
        <v>1551599025628766</v>
      </c>
      <c r="C8584" t="s">
        <v>40</v>
      </c>
      <c r="D8584">
        <v>5.954644</v>
      </c>
      <c r="E8584">
        <v>0.51182209999999995</v>
      </c>
      <c r="F8584" t="s">
        <v>41</v>
      </c>
      <c r="G8584">
        <v>-189.84899999999999</v>
      </c>
      <c r="H8584" s="1">
        <v>-1.30879E-6</v>
      </c>
      <c r="I8584">
        <v>22.62116</v>
      </c>
      <c r="J8584">
        <v>-188.94300000000001</v>
      </c>
      <c r="K8584">
        <v>1.1201299999999901</v>
      </c>
      <c r="L8584">
        <v>8.2144169999999992</v>
      </c>
      <c r="M8584">
        <v>-5.4954360000000001E-2</v>
      </c>
      <c r="N8584">
        <v>-5.5546019999999996E-3</v>
      </c>
      <c r="O8584">
        <v>0.99847339999999996</v>
      </c>
      <c r="P8584">
        <v>-9.2498380000000005E-2</v>
      </c>
      <c r="Q8584">
        <v>-0.1263031</v>
      </c>
      <c r="R8584">
        <v>0.98766980000000004</v>
      </c>
      <c r="S8584">
        <v>-0.1874847</v>
      </c>
      <c r="T8584">
        <v>-0.22636809999999999</v>
      </c>
      <c r="U8584">
        <v>2.9909059999999998</v>
      </c>
      <c r="V8584">
        <v>-3.785322E-2</v>
      </c>
      <c r="W8584">
        <v>-0.12086669999999999</v>
      </c>
      <c r="X8584">
        <v>0.99194680000000002</v>
      </c>
      <c r="Y8584">
        <v>-7.4659710000000001E-3</v>
      </c>
      <c r="Z8584">
        <v>-6.969409E-2</v>
      </c>
      <c r="AA8584">
        <v>0.99754050000000005</v>
      </c>
      <c r="AB8584">
        <v>40</v>
      </c>
      <c r="AC8584">
        <v>-0.906000000000034</v>
      </c>
      <c r="AD8584">
        <v>-1.12013130878999</v>
      </c>
      <c r="AE8584">
        <v>14.406742999999899</v>
      </c>
      <c r="AF8584">
        <v>-0.112229532335649</v>
      </c>
      <c r="AG8584">
        <v>-1.12013130878999</v>
      </c>
      <c r="AH8584">
        <v>14.3483650728736</v>
      </c>
      <c r="AI8584">
        <v>94.463710108533903</v>
      </c>
      <c r="AJ8584">
        <v>90.448144954278902</v>
      </c>
      <c r="AK8584">
        <v>14.392458785117899</v>
      </c>
      <c r="AL8584">
        <v>96.942124647800895</v>
      </c>
      <c r="AM8584">
        <v>92.185377176307298</v>
      </c>
      <c r="AN8584">
        <v>1.0000000397317399</v>
      </c>
    </row>
    <row r="8585" spans="1:40" x14ac:dyDescent="0.25">
      <c r="A8585" t="str">
        <f>"20190303154345658"</f>
        <v>20190303154345658</v>
      </c>
      <c r="B8585" t="str">
        <f>"1551599025648286"</f>
        <v>1551599025648286</v>
      </c>
      <c r="C8585" t="s">
        <v>40</v>
      </c>
      <c r="D8585">
        <v>5.9497900000000001</v>
      </c>
      <c r="E8585">
        <v>0.51202170000000002</v>
      </c>
      <c r="F8585" t="s">
        <v>42</v>
      </c>
      <c r="G8585">
        <v>-189.0085</v>
      </c>
      <c r="H8585">
        <v>1.0409349999999999</v>
      </c>
      <c r="I8585">
        <v>9.2603980000000004</v>
      </c>
      <c r="J8585">
        <v>-188.96260000000001</v>
      </c>
      <c r="K8585">
        <v>1.1199239999999999</v>
      </c>
      <c r="L8585">
        <v>8.5688779999999998</v>
      </c>
      <c r="M8585">
        <v>-5.498318E-2</v>
      </c>
      <c r="N8585">
        <v>-5.5803049999999998E-3</v>
      </c>
      <c r="O8585">
        <v>0.99847169999999996</v>
      </c>
      <c r="P8585">
        <v>-9.2072089999999995E-2</v>
      </c>
      <c r="Q8585">
        <v>-0.12631980000000001</v>
      </c>
      <c r="R8585">
        <v>0.98770740000000001</v>
      </c>
      <c r="S8585">
        <v>-0.1873322</v>
      </c>
      <c r="T8585">
        <v>-0.22644439999999999</v>
      </c>
      <c r="U8585">
        <v>2.990936</v>
      </c>
      <c r="V8585">
        <v>-3.7457919999999999E-2</v>
      </c>
      <c r="W8585">
        <v>-0.1208381</v>
      </c>
      <c r="X8585">
        <v>0.99196519999999999</v>
      </c>
      <c r="Y8585">
        <v>-7.3857899999999997E-3</v>
      </c>
      <c r="Z8585">
        <v>-6.9692900000000002E-2</v>
      </c>
      <c r="AA8585">
        <v>0.99754109999999996</v>
      </c>
      <c r="AB8585">
        <v>40</v>
      </c>
      <c r="AC8585">
        <v>-4.5899999999988901E-2</v>
      </c>
      <c r="AD8585">
        <v>-7.8988999999999907E-2</v>
      </c>
      <c r="AE8585">
        <v>0.69152000000000002</v>
      </c>
      <c r="AF8585">
        <v>-7.7078772923762397E-3</v>
      </c>
      <c r="AG8585">
        <v>-7.8988999999999907E-2</v>
      </c>
      <c r="AH8585">
        <v>0.68411094702259401</v>
      </c>
      <c r="AI8585">
        <v>96.585920862901304</v>
      </c>
      <c r="AJ8585">
        <v>90.645524170662497</v>
      </c>
      <c r="AK8585">
        <v>0.68869910797786305</v>
      </c>
      <c r="AL8585">
        <v>96.940474514489097</v>
      </c>
      <c r="AM8585">
        <v>92.162537057621805</v>
      </c>
      <c r="AN8585">
        <v>0.99999995009668696</v>
      </c>
    </row>
    <row r="8586" spans="1:40" x14ac:dyDescent="0.25">
      <c r="A8586" t="str">
        <f>"20190303154345681"</f>
        <v>20190303154345681</v>
      </c>
      <c r="B8586" t="str">
        <f>"1551599025679048"</f>
        <v>1551599025679048</v>
      </c>
      <c r="C8586" t="s">
        <v>40</v>
      </c>
      <c r="D8586">
        <v>5.9747130000000004</v>
      </c>
      <c r="E8586">
        <v>0.51228809999999902</v>
      </c>
      <c r="F8586" t="s">
        <v>42</v>
      </c>
      <c r="G8586">
        <v>-189.0273</v>
      </c>
      <c r="H8586">
        <v>1.040567</v>
      </c>
      <c r="I8586">
        <v>9.6177229999999998</v>
      </c>
      <c r="J8586">
        <v>-188.9853</v>
      </c>
      <c r="K8586">
        <v>1.1196950000000001</v>
      </c>
      <c r="L8586">
        <v>8.9839169999999999</v>
      </c>
      <c r="M8586">
        <v>-5.4790869999999998E-2</v>
      </c>
      <c r="N8586">
        <v>-5.6102019999999999E-3</v>
      </c>
      <c r="O8586">
        <v>0.99848210000000004</v>
      </c>
      <c r="P8586">
        <v>-9.1340389999999994E-2</v>
      </c>
      <c r="Q8586">
        <v>-0.12689719999999999</v>
      </c>
      <c r="R8586">
        <v>0.98770139999999995</v>
      </c>
      <c r="S8586">
        <v>-0.18457029999999999</v>
      </c>
      <c r="T8586">
        <v>-0.2263143</v>
      </c>
      <c r="U8586">
        <v>2.9911799999999999</v>
      </c>
      <c r="V8586">
        <v>-3.69863E-2</v>
      </c>
      <c r="W8586">
        <v>-0.1213644</v>
      </c>
      <c r="X8586">
        <v>0.99191870000000004</v>
      </c>
      <c r="Y8586">
        <v>-6.656276E-3</v>
      </c>
      <c r="Z8586">
        <v>-6.9617399999999996E-2</v>
      </c>
      <c r="AA8586">
        <v>0.99755159999999998</v>
      </c>
      <c r="AB8586">
        <v>40</v>
      </c>
      <c r="AC8586">
        <v>-4.2000000000001501E-2</v>
      </c>
      <c r="AD8586">
        <v>-7.9128000000000004E-2</v>
      </c>
      <c r="AE8586">
        <v>0.63380599999999898</v>
      </c>
      <c r="AF8586">
        <v>-7.0994085323243796E-3</v>
      </c>
      <c r="AG8586">
        <v>-7.9128000000000004E-2</v>
      </c>
      <c r="AH8586">
        <v>0.62544922949718496</v>
      </c>
      <c r="AI8586">
        <v>97.209944503160401</v>
      </c>
      <c r="AJ8586">
        <v>90.650330448063102</v>
      </c>
      <c r="AK8586">
        <v>0.63047472642773805</v>
      </c>
      <c r="AL8586">
        <v>96.970852475468902</v>
      </c>
      <c r="AM8586">
        <v>92.135434659848897</v>
      </c>
      <c r="AN8586">
        <v>1.0000000056923699</v>
      </c>
    </row>
    <row r="8587" spans="1:40" x14ac:dyDescent="0.25">
      <c r="A8587" t="str">
        <f>"20190303154345702"</f>
        <v>20190303154345702</v>
      </c>
      <c r="B8587" t="str">
        <f>"1551599025698569"</f>
        <v>1551599025698569</v>
      </c>
      <c r="C8587" t="s">
        <v>40</v>
      </c>
      <c r="D8587">
        <v>5.9582389999999998</v>
      </c>
      <c r="E8587">
        <v>0.51244970000000001</v>
      </c>
      <c r="F8587" t="s">
        <v>42</v>
      </c>
      <c r="G8587">
        <v>-189.04560000000001</v>
      </c>
      <c r="H8587">
        <v>1.043507</v>
      </c>
      <c r="I8587">
        <v>9.9846470000000007</v>
      </c>
      <c r="J8587">
        <v>-189.00579999999999</v>
      </c>
      <c r="K8587">
        <v>1.119491</v>
      </c>
      <c r="L8587">
        <v>9.3617249999999999</v>
      </c>
      <c r="M8587">
        <v>-5.4425679999999997E-2</v>
      </c>
      <c r="N8587">
        <v>-5.6370099999999996E-3</v>
      </c>
      <c r="O8587">
        <v>0.99850190000000005</v>
      </c>
      <c r="P8587">
        <v>-8.9708869999999996E-2</v>
      </c>
      <c r="Q8587">
        <v>-0.12719130000000001</v>
      </c>
      <c r="R8587">
        <v>0.9878131</v>
      </c>
      <c r="S8587">
        <v>-0.18037410000000001</v>
      </c>
      <c r="T8587">
        <v>-0.22773370000000001</v>
      </c>
      <c r="U8587">
        <v>2.991425</v>
      </c>
      <c r="V8587">
        <v>-3.5773869999999999E-2</v>
      </c>
      <c r="W8587">
        <v>-0.1216132</v>
      </c>
      <c r="X8587">
        <v>0.9919327</v>
      </c>
      <c r="Y8587">
        <v>-5.6212329999999998E-3</v>
      </c>
      <c r="Z8587">
        <v>-7.0059170000000004E-2</v>
      </c>
      <c r="AA8587">
        <v>0.99752700000000005</v>
      </c>
      <c r="AB8587">
        <v>40</v>
      </c>
      <c r="AC8587">
        <v>-3.9800000000013797E-2</v>
      </c>
      <c r="AD8587">
        <v>-7.5983999999999996E-2</v>
      </c>
      <c r="AE8587">
        <v>0.62292199999999998</v>
      </c>
      <c r="AF8587">
        <v>-5.7522742531663602E-3</v>
      </c>
      <c r="AG8587">
        <v>-7.5983999999999996E-2</v>
      </c>
      <c r="AH8587">
        <v>0.61505066685397503</v>
      </c>
      <c r="AI8587">
        <v>97.042390598107204</v>
      </c>
      <c r="AJ8587">
        <v>90.535844355803206</v>
      </c>
      <c r="AK8587">
        <v>0.61975316030868499</v>
      </c>
      <c r="AL8587">
        <v>96.985214008777206</v>
      </c>
      <c r="AM8587">
        <v>92.065466540775105</v>
      </c>
      <c r="AN8587">
        <v>1.00000001075915</v>
      </c>
    </row>
    <row r="8588" spans="1:40" x14ac:dyDescent="0.25">
      <c r="A8588" t="str">
        <f>"20190303154345724"</f>
        <v>20190303154345724</v>
      </c>
      <c r="B8588" t="str">
        <f>"1551599025718088"</f>
        <v>1551599025718088</v>
      </c>
      <c r="C8588" t="s">
        <v>40</v>
      </c>
      <c r="D8588">
        <v>5.9852040000000004</v>
      </c>
      <c r="E8588">
        <v>0.51260309999999998</v>
      </c>
      <c r="F8588" t="s">
        <v>42</v>
      </c>
      <c r="G8588">
        <v>-189.06309999999999</v>
      </c>
      <c r="H8588">
        <v>1.0442450000000001</v>
      </c>
      <c r="I8588">
        <v>10.347300000000001</v>
      </c>
      <c r="J8588">
        <v>-189.02799999999999</v>
      </c>
      <c r="K8588">
        <v>1.1192629999999999</v>
      </c>
      <c r="L8588">
        <v>9.7774049999999999</v>
      </c>
      <c r="M8588">
        <v>-5.3810240000000002E-2</v>
      </c>
      <c r="N8588">
        <v>-5.6662190000000001E-3</v>
      </c>
      <c r="O8588">
        <v>0.99853510000000001</v>
      </c>
      <c r="P8588">
        <v>-8.7994230000000007E-2</v>
      </c>
      <c r="Q8588">
        <v>-0.12795970000000001</v>
      </c>
      <c r="R8588">
        <v>0.98786810000000003</v>
      </c>
      <c r="S8588">
        <v>-0.174102799999999</v>
      </c>
      <c r="T8588">
        <v>-0.22841800000000001</v>
      </c>
      <c r="U8588">
        <v>2.9917910000000001</v>
      </c>
      <c r="V8588">
        <v>-3.4735849999999999E-2</v>
      </c>
      <c r="W8588">
        <v>-0.12233380000000001</v>
      </c>
      <c r="X8588">
        <v>0.99188100000000001</v>
      </c>
      <c r="Y8588">
        <v>-4.14607E-3</v>
      </c>
      <c r="Z8588">
        <v>-7.0255310000000001E-2</v>
      </c>
      <c r="AA8588">
        <v>0.99752039999999997</v>
      </c>
      <c r="AB8588">
        <v>40</v>
      </c>
      <c r="AC8588">
        <v>-3.5099999999999902E-2</v>
      </c>
      <c r="AD8588">
        <v>-7.5017999999999793E-2</v>
      </c>
      <c r="AE8588">
        <v>0.56989500000000004</v>
      </c>
      <c r="AF8588">
        <v>-4.3080982592603101E-3</v>
      </c>
      <c r="AG8588">
        <v>-7.5017999999999793E-2</v>
      </c>
      <c r="AH8588">
        <v>0.56126930666225605</v>
      </c>
      <c r="AI8588">
        <v>97.612684737649602</v>
      </c>
      <c r="AJ8588">
        <v>90.439772846563301</v>
      </c>
      <c r="AK8588">
        <v>0.56627687100546598</v>
      </c>
      <c r="AL8588">
        <v>97.026811822952297</v>
      </c>
      <c r="AM8588">
        <v>92.005688778631097</v>
      </c>
      <c r="AN8588">
        <v>1.00000002802933</v>
      </c>
    </row>
    <row r="8589" spans="1:40" x14ac:dyDescent="0.25">
      <c r="A8589" t="str">
        <f>"20190303154345747"</f>
        <v>20190303154345747</v>
      </c>
      <c r="B8589" t="str">
        <f>"1551599025738585"</f>
        <v>1551599025738585</v>
      </c>
      <c r="C8589" t="s">
        <v>40</v>
      </c>
      <c r="D8589">
        <v>5.9987519999999996</v>
      </c>
      <c r="E8589">
        <v>0.5127353</v>
      </c>
      <c r="F8589" t="s">
        <v>41</v>
      </c>
      <c r="G8589">
        <v>-189.84139999999999</v>
      </c>
      <c r="H8589" s="1">
        <v>-2.030858E-6</v>
      </c>
      <c r="I8589">
        <v>24.301169999999999</v>
      </c>
      <c r="J8589">
        <v>-189.04910000000001</v>
      </c>
      <c r="K8589">
        <v>1.1190420000000001</v>
      </c>
      <c r="L8589">
        <v>10.17902</v>
      </c>
      <c r="M8589">
        <v>-5.3011660000000002E-2</v>
      </c>
      <c r="N8589">
        <v>-5.6945750000000003E-3</v>
      </c>
      <c r="O8589">
        <v>0.99857770000000001</v>
      </c>
      <c r="P8589">
        <v>-8.6106870000000002E-2</v>
      </c>
      <c r="Q8589">
        <v>-0.1284024</v>
      </c>
      <c r="R8589">
        <v>0.98797699999999999</v>
      </c>
      <c r="S8589">
        <v>-0.167572</v>
      </c>
      <c r="T8589">
        <v>-0.2305818</v>
      </c>
      <c r="U8589">
        <v>2.9920650000000002</v>
      </c>
      <c r="V8589">
        <v>-3.370215E-2</v>
      </c>
      <c r="W8589">
        <v>-0.12273100000000001</v>
      </c>
      <c r="X8589">
        <v>0.99186750000000001</v>
      </c>
      <c r="Y8589">
        <v>-2.7678519999999999E-3</v>
      </c>
      <c r="Z8589">
        <v>-7.0944489999999999E-2</v>
      </c>
      <c r="AA8589">
        <v>0.99747640000000004</v>
      </c>
      <c r="AB8589">
        <v>40</v>
      </c>
      <c r="AC8589">
        <v>-0.79229999999998302</v>
      </c>
      <c r="AD8589">
        <v>-1.1190440308580001</v>
      </c>
      <c r="AE8589">
        <v>14.12215</v>
      </c>
      <c r="AF8589">
        <v>-4.2270599611445601E-2</v>
      </c>
      <c r="AG8589">
        <v>-1.1190440308580001</v>
      </c>
      <c r="AH8589">
        <v>14.056310832344099</v>
      </c>
      <c r="AI8589">
        <v>94.551782392681503</v>
      </c>
      <c r="AJ8589">
        <v>90.172301230621002</v>
      </c>
      <c r="AK8589">
        <v>14.100848221368301</v>
      </c>
      <c r="AL8589">
        <v>97.049743156103503</v>
      </c>
      <c r="AM8589">
        <v>91.946074789536198</v>
      </c>
      <c r="AN8589">
        <v>0.99999993541593402</v>
      </c>
    </row>
    <row r="8590" spans="1:40" x14ac:dyDescent="0.25">
      <c r="A8590" t="str">
        <f>"20190303154345769"</f>
        <v>20190303154345769</v>
      </c>
      <c r="B8590" t="str">
        <f>"1551599025759091"</f>
        <v>1551599025759091</v>
      </c>
      <c r="C8590" t="s">
        <v>40</v>
      </c>
      <c r="D8590">
        <v>5.9952649999999998</v>
      </c>
      <c r="E8590">
        <v>0.51286379999999998</v>
      </c>
      <c r="F8590" t="s">
        <v>41</v>
      </c>
      <c r="G8590">
        <v>-189.82579999999999</v>
      </c>
      <c r="H8590" s="1">
        <v>-2.1713700000000001E-6</v>
      </c>
      <c r="I8590">
        <v>24.622250000000001</v>
      </c>
      <c r="J8590">
        <v>-189.0702</v>
      </c>
      <c r="K8590">
        <v>1.1188039999999999</v>
      </c>
      <c r="L8590">
        <v>10.59003</v>
      </c>
      <c r="M8590">
        <v>-5.1993299999999999E-2</v>
      </c>
      <c r="N8590">
        <v>-5.7239229999999997E-3</v>
      </c>
      <c r="O8590">
        <v>0.99863100000000005</v>
      </c>
      <c r="P8590">
        <v>-8.4326449999999997E-2</v>
      </c>
      <c r="Q8590">
        <v>-0.12883310000000001</v>
      </c>
      <c r="R8590">
        <v>0.98807440000000002</v>
      </c>
      <c r="S8590">
        <v>-0.16091920000000001</v>
      </c>
      <c r="T8590">
        <v>-0.23184289999999999</v>
      </c>
      <c r="U8590">
        <v>2.99234</v>
      </c>
      <c r="V8590">
        <v>-3.2998220000000002E-2</v>
      </c>
      <c r="W8590">
        <v>-0.12311519999999999</v>
      </c>
      <c r="X8590">
        <v>0.99184360000000005</v>
      </c>
      <c r="Y8590">
        <v>-1.570285E-3</v>
      </c>
      <c r="Z8590">
        <v>-7.1335410000000002E-2</v>
      </c>
      <c r="AA8590">
        <v>0.99745110000000003</v>
      </c>
      <c r="AB8590">
        <v>40</v>
      </c>
      <c r="AC8590">
        <v>-0.75559999999998695</v>
      </c>
      <c r="AD8590">
        <v>-1.1188061713699999</v>
      </c>
      <c r="AE8590">
        <v>14.032220000000001</v>
      </c>
      <c r="AF8590">
        <v>-2.48271976024961E-2</v>
      </c>
      <c r="AG8590">
        <v>-1.1188061713699999</v>
      </c>
      <c r="AH8590">
        <v>13.964013103047099</v>
      </c>
      <c r="AI8590">
        <v>94.580784248199805</v>
      </c>
      <c r="AJ8590">
        <v>90.101868433551005</v>
      </c>
      <c r="AK8590">
        <v>14.0087831584655</v>
      </c>
      <c r="AL8590">
        <v>97.071924090935596</v>
      </c>
      <c r="AM8590">
        <v>91.905503682618004</v>
      </c>
      <c r="AN8590">
        <v>0.99999998092758402</v>
      </c>
    </row>
    <row r="8591" spans="1:40" x14ac:dyDescent="0.25">
      <c r="A8591" t="str">
        <f>"20190303154345791"</f>
        <v>20190303154345791</v>
      </c>
      <c r="B8591" t="str">
        <f>"1551599025788361"</f>
        <v>1551599025788361</v>
      </c>
      <c r="C8591" t="s">
        <v>40</v>
      </c>
      <c r="D8591">
        <v>5.9768809999999997</v>
      </c>
      <c r="E8591">
        <v>0.51303549999999998</v>
      </c>
      <c r="F8591" t="s">
        <v>41</v>
      </c>
      <c r="G8591">
        <v>-189.81139999999999</v>
      </c>
      <c r="H8591" s="1">
        <v>-2.3175269999999999E-6</v>
      </c>
      <c r="I8591">
        <v>24.95701</v>
      </c>
      <c r="J8591">
        <v>-189.08949999999999</v>
      </c>
      <c r="K8591">
        <v>1.1185909999999999</v>
      </c>
      <c r="L8591">
        <v>10.97498</v>
      </c>
      <c r="M8591">
        <v>-5.0858340000000002E-2</v>
      </c>
      <c r="N8591">
        <v>-5.7516980000000004E-3</v>
      </c>
      <c r="O8591">
        <v>0.9986893</v>
      </c>
      <c r="P8591">
        <v>-8.2808489999999998E-2</v>
      </c>
      <c r="Q8591">
        <v>-0.1292972</v>
      </c>
      <c r="R8591">
        <v>0.98814219999999997</v>
      </c>
      <c r="S8591">
        <v>-0.1544037</v>
      </c>
      <c r="T8591">
        <v>-0.23304749999999999</v>
      </c>
      <c r="U8591">
        <v>2.992645</v>
      </c>
      <c r="V8591">
        <v>-3.2668750000000003E-2</v>
      </c>
      <c r="W8591">
        <v>-0.1235359</v>
      </c>
      <c r="X8591">
        <v>0.99180219999999997</v>
      </c>
      <c r="Y8591">
        <v>-5.3456040000000003E-4</v>
      </c>
      <c r="Z8591">
        <v>-7.1708670000000002E-2</v>
      </c>
      <c r="AA8591">
        <v>0.99742549999999996</v>
      </c>
      <c r="AB8591">
        <v>40</v>
      </c>
      <c r="AC8591">
        <v>-0.72190000000000498</v>
      </c>
      <c r="AD8591">
        <v>-1.118593317527</v>
      </c>
      <c r="AE8591">
        <v>13.9820299999999</v>
      </c>
      <c r="AF8591">
        <v>-9.7886488822344006E-3</v>
      </c>
      <c r="AG8591">
        <v>-1.118593317527</v>
      </c>
      <c r="AH8591">
        <v>13.911846169443001</v>
      </c>
      <c r="AI8591">
        <v>94.597022955259703</v>
      </c>
      <c r="AJ8591">
        <v>90.0403144319381</v>
      </c>
      <c r="AK8591">
        <v>13.956747854350199</v>
      </c>
      <c r="AL8591">
        <v>97.096213819417898</v>
      </c>
      <c r="AM8591">
        <v>91.886570728973794</v>
      </c>
      <c r="AN8591">
        <v>0.999999984870106</v>
      </c>
    </row>
    <row r="8592" spans="1:40" x14ac:dyDescent="0.25">
      <c r="A8592" t="str">
        <f>"20190303154345817"</f>
        <v>20190303154345817</v>
      </c>
      <c r="B8592" t="str">
        <f>"1551599025808856"</f>
        <v>1551599025808856</v>
      </c>
      <c r="C8592" t="s">
        <v>40</v>
      </c>
      <c r="D8592">
        <v>5.9982040000000003</v>
      </c>
      <c r="E8592">
        <v>0.51312489999999999</v>
      </c>
      <c r="F8592" t="s">
        <v>41</v>
      </c>
      <c r="G8592">
        <v>-189.79810000000001</v>
      </c>
      <c r="H8592" s="1">
        <v>-2.4545470000000002E-6</v>
      </c>
      <c r="I8592">
        <v>25.270900000000001</v>
      </c>
      <c r="J8592">
        <v>-189.11189999999999</v>
      </c>
      <c r="K8592">
        <v>1.1183399999999999</v>
      </c>
      <c r="L8592">
        <v>11.43765</v>
      </c>
      <c r="M8592">
        <v>-4.928254E-2</v>
      </c>
      <c r="N8592">
        <v>-5.785409E-3</v>
      </c>
      <c r="O8592">
        <v>0.99876819999999999</v>
      </c>
      <c r="P8592">
        <v>-8.127028E-2</v>
      </c>
      <c r="Q8592">
        <v>-0.12999829999999901</v>
      </c>
      <c r="R8592">
        <v>0.98817790000000005</v>
      </c>
      <c r="S8592">
        <v>-0.1483612</v>
      </c>
      <c r="T8592">
        <v>-0.23418269999999999</v>
      </c>
      <c r="U8592">
        <v>2.9929199999999998</v>
      </c>
      <c r="V8592">
        <v>-3.2771059999999998E-2</v>
      </c>
      <c r="W8592">
        <v>-0.12418410000000001</v>
      </c>
      <c r="X8592">
        <v>0.99171790000000004</v>
      </c>
      <c r="Y8592" s="1">
        <v>-9.7933090000000005E-5</v>
      </c>
      <c r="Z8592">
        <v>-7.2055729999999998E-2</v>
      </c>
      <c r="AA8592">
        <v>0.99740059999999997</v>
      </c>
      <c r="AB8592">
        <v>41</v>
      </c>
      <c r="AC8592">
        <v>-0.68620000000001302</v>
      </c>
      <c r="AD8592">
        <v>-1.118342454547</v>
      </c>
      <c r="AE8592">
        <v>13.83325</v>
      </c>
      <c r="AF8592">
        <v>-3.5936726325231901E-3</v>
      </c>
      <c r="AG8592">
        <v>-1.118342454547</v>
      </c>
      <c r="AH8592">
        <v>13.760542692007199</v>
      </c>
      <c r="AI8592">
        <v>94.646312425403394</v>
      </c>
      <c r="AJ8592">
        <v>90.014963237622396</v>
      </c>
      <c r="AK8592">
        <v>13.805913151207299</v>
      </c>
      <c r="AL8592">
        <v>97.133640943901199</v>
      </c>
      <c r="AM8592">
        <v>91.892635437608703</v>
      </c>
      <c r="AN8592">
        <v>1.0000000131233699</v>
      </c>
    </row>
    <row r="8593" spans="1:40" x14ac:dyDescent="0.25">
      <c r="A8593" t="str">
        <f>"20190303154345839"</f>
        <v>20190303154345839</v>
      </c>
      <c r="B8593" t="str">
        <f>"1551599025828378"</f>
        <v>1551599025828378</v>
      </c>
      <c r="C8593" t="s">
        <v>40</v>
      </c>
      <c r="D8593">
        <v>6.0005660000000001</v>
      </c>
      <c r="E8593">
        <v>0.51324709999999996</v>
      </c>
      <c r="F8593" t="s">
        <v>42</v>
      </c>
      <c r="G8593">
        <v>-189.16319999999999</v>
      </c>
      <c r="H8593">
        <v>1.0336190000000001</v>
      </c>
      <c r="I8593">
        <v>12.51036</v>
      </c>
      <c r="J8593">
        <v>-189.13050000000001</v>
      </c>
      <c r="K8593">
        <v>1.118139</v>
      </c>
      <c r="L8593">
        <v>11.836209999999999</v>
      </c>
      <c r="M8593">
        <v>-4.773757E-2</v>
      </c>
      <c r="N8593">
        <v>-5.8143639999999998E-3</v>
      </c>
      <c r="O8593">
        <v>0.99884300000000004</v>
      </c>
      <c r="P8593">
        <v>-8.0020399999999894E-2</v>
      </c>
      <c r="Q8593">
        <v>-0.1306235</v>
      </c>
      <c r="R8593">
        <v>0.9881974</v>
      </c>
      <c r="S8593">
        <v>-0.1430969</v>
      </c>
      <c r="T8593">
        <v>-0.2363693</v>
      </c>
      <c r="U8593">
        <v>2.993042</v>
      </c>
      <c r="V8593">
        <v>-3.3118099999999998E-2</v>
      </c>
      <c r="W8593">
        <v>-0.124764</v>
      </c>
      <c r="X8593">
        <v>0.9916336</v>
      </c>
      <c r="Y8593">
        <v>1.0976349999999999E-4</v>
      </c>
      <c r="Z8593">
        <v>-7.2757829999999996E-2</v>
      </c>
      <c r="AA8593">
        <v>0.99734959999999995</v>
      </c>
      <c r="AB8593">
        <v>41</v>
      </c>
      <c r="AC8593">
        <v>-3.2699999999976997E-2</v>
      </c>
      <c r="AD8593">
        <v>-8.4519999999999901E-2</v>
      </c>
      <c r="AE8593">
        <v>0.67414999999999903</v>
      </c>
      <c r="AF8593">
        <v>-4.7248220098573102E-4</v>
      </c>
      <c r="AG8593">
        <v>-8.4519999999999901E-2</v>
      </c>
      <c r="AH8593">
        <v>0.664521785735393</v>
      </c>
      <c r="AI8593">
        <v>97.248483759036006</v>
      </c>
      <c r="AJ8593">
        <v>90.040737914137296</v>
      </c>
      <c r="AK8593">
        <v>0.66987540435246995</v>
      </c>
      <c r="AL8593">
        <v>97.167127068820605</v>
      </c>
      <c r="AM8593">
        <v>91.912825796035804</v>
      </c>
      <c r="AN8593">
        <v>1.0000000304462799</v>
      </c>
    </row>
    <row r="8594" spans="1:40" x14ac:dyDescent="0.25">
      <c r="A8594" t="str">
        <f>"20190303154345860"</f>
        <v>20190303154345860</v>
      </c>
      <c r="B8594" t="str">
        <f>"1551599025848872"</f>
        <v>1551599025848872</v>
      </c>
      <c r="C8594" t="s">
        <v>40</v>
      </c>
      <c r="D8594">
        <v>5.9926389999999996</v>
      </c>
      <c r="E8594">
        <v>0.53359569999999901</v>
      </c>
      <c r="F8594" t="s">
        <v>42</v>
      </c>
      <c r="G8594">
        <v>-189.17859999999999</v>
      </c>
      <c r="H8594">
        <v>1.0352209999999999</v>
      </c>
      <c r="I8594">
        <v>12.87867</v>
      </c>
      <c r="J8594">
        <v>-189.14840000000001</v>
      </c>
      <c r="K8594">
        <v>1.1179600000000001</v>
      </c>
      <c r="L8594">
        <v>12.23752</v>
      </c>
      <c r="M8594">
        <v>-4.6052429999999998E-2</v>
      </c>
      <c r="N8594">
        <v>-5.8427740000000002E-3</v>
      </c>
      <c r="O8594">
        <v>0.99892190000000003</v>
      </c>
      <c r="P8594">
        <v>-7.8403539999999994E-2</v>
      </c>
      <c r="Q8594">
        <v>-0.13005079999999999</v>
      </c>
      <c r="R8594">
        <v>0.98840260000000002</v>
      </c>
      <c r="S8594">
        <v>-0.13829040000000001</v>
      </c>
      <c r="T8594">
        <v>-0.23806350000000001</v>
      </c>
      <c r="U8594">
        <v>2.9931640000000002</v>
      </c>
      <c r="V8594">
        <v>-3.3218560000000001E-2</v>
      </c>
      <c r="W8594">
        <v>-0.1241476</v>
      </c>
      <c r="X8594">
        <v>0.99170760000000002</v>
      </c>
      <c r="Y8594" s="1">
        <v>2.4568619999999999E-5</v>
      </c>
      <c r="Z8594">
        <v>-7.3297970000000004E-2</v>
      </c>
      <c r="AA8594">
        <v>0.99731009999999998</v>
      </c>
      <c r="AB8594">
        <v>41</v>
      </c>
      <c r="AC8594">
        <v>-3.0199999999979299E-2</v>
      </c>
      <c r="AD8594">
        <v>-8.2739000000000104E-2</v>
      </c>
      <c r="AE8594">
        <v>0.641149999999999</v>
      </c>
      <c r="AF8594">
        <v>-6.3046081645321602E-4</v>
      </c>
      <c r="AG8594">
        <v>-8.2739000000000104E-2</v>
      </c>
      <c r="AH8594">
        <v>0.63136940874932901</v>
      </c>
      <c r="AI8594">
        <v>97.465886284325293</v>
      </c>
      <c r="AJ8594">
        <v>90.057213307176895</v>
      </c>
      <c r="AK8594">
        <v>0.63676798750119201</v>
      </c>
      <c r="AL8594">
        <v>97.131533205730506</v>
      </c>
      <c r="AM8594">
        <v>91.918480747725994</v>
      </c>
      <c r="AN8594">
        <v>1.00000003160599</v>
      </c>
    </row>
    <row r="8595" spans="1:40" x14ac:dyDescent="0.25">
      <c r="A8595" t="str">
        <f>"20190303154345881"</f>
        <v>20190303154345881</v>
      </c>
      <c r="B8595" t="str">
        <f>"1551599025878153"</f>
        <v>1551599025878153</v>
      </c>
      <c r="C8595" t="s">
        <v>40</v>
      </c>
      <c r="D8595">
        <v>5.9481089999999996</v>
      </c>
      <c r="E8595">
        <v>0.53548459999999998</v>
      </c>
      <c r="F8595" t="s">
        <v>42</v>
      </c>
      <c r="G8595">
        <v>-189.13900000000001</v>
      </c>
      <c r="H8595">
        <v>1.048006</v>
      </c>
      <c r="I8595">
        <v>13.2541299999999</v>
      </c>
      <c r="J8595">
        <v>-189.16499999999999</v>
      </c>
      <c r="K8595">
        <v>1.1178060000000001</v>
      </c>
      <c r="L8595">
        <v>12.62344</v>
      </c>
      <c r="M8595">
        <v>-4.4326480000000001E-2</v>
      </c>
      <c r="N8595">
        <v>-5.8693690000000001E-3</v>
      </c>
      <c r="O8595">
        <v>0.99899979999999999</v>
      </c>
      <c r="P8595">
        <v>-7.7153520000000003E-2</v>
      </c>
      <c r="Q8595">
        <v>-0.12862689999999999</v>
      </c>
      <c r="R8595">
        <v>0.98868719999999999</v>
      </c>
      <c r="S8595">
        <v>2.792358E-2</v>
      </c>
      <c r="T8595">
        <v>-0.2071306</v>
      </c>
      <c r="U8595">
        <v>3.0101619999999998</v>
      </c>
      <c r="V8595">
        <v>-3.3711820000000003E-2</v>
      </c>
      <c r="W8595">
        <v>-0.12268179999999999</v>
      </c>
      <c r="X8595">
        <v>0.99187329999999996</v>
      </c>
      <c r="Y8595">
        <v>5.3562220000000001E-2</v>
      </c>
      <c r="Z8595">
        <v>-6.2638310000000003E-2</v>
      </c>
      <c r="AA8595">
        <v>0.99659799999999998</v>
      </c>
      <c r="AB8595">
        <v>41</v>
      </c>
      <c r="AC8595">
        <v>2.5999999999981999E-2</v>
      </c>
      <c r="AD8595">
        <v>-6.9799999999999807E-2</v>
      </c>
      <c r="AE8595">
        <v>0.63068999999999897</v>
      </c>
      <c r="AF8595">
        <v>5.3279711061394897E-2</v>
      </c>
      <c r="AG8595">
        <v>-6.9799999999999807E-2</v>
      </c>
      <c r="AH8595">
        <v>0.62132030290849904</v>
      </c>
      <c r="AI8595">
        <v>96.386569691919803</v>
      </c>
      <c r="AJ8595">
        <v>85.098739333982493</v>
      </c>
      <c r="AK8595">
        <v>0.62749477003166698</v>
      </c>
      <c r="AL8595">
        <v>97.046902443654204</v>
      </c>
      <c r="AM8595">
        <v>91.946621363905706</v>
      </c>
      <c r="AN8595">
        <v>0.99999997705592003</v>
      </c>
    </row>
    <row r="8596" spans="1:40" x14ac:dyDescent="0.25">
      <c r="A8596" t="str">
        <f>"20190303154345903"</f>
        <v>20190303154345903</v>
      </c>
      <c r="B8596" t="str">
        <f>"1551599025898649"</f>
        <v>1551599025898649</v>
      </c>
      <c r="C8596" t="s">
        <v>40</v>
      </c>
      <c r="D8596">
        <v>5.9659309999999897</v>
      </c>
      <c r="E8596">
        <v>0.53608120000000004</v>
      </c>
      <c r="F8596" t="s">
        <v>42</v>
      </c>
      <c r="G8596">
        <v>-189.14940000000001</v>
      </c>
      <c r="H8596">
        <v>1.055717</v>
      </c>
      <c r="I8596">
        <v>13.63008</v>
      </c>
      <c r="J8596">
        <v>-189.18190000000001</v>
      </c>
      <c r="K8596">
        <v>1.1176539999999999</v>
      </c>
      <c r="L8596">
        <v>13.034789999999999</v>
      </c>
      <c r="M8596">
        <v>-4.23901E-2</v>
      </c>
      <c r="N8596">
        <v>-5.8981659999999998E-3</v>
      </c>
      <c r="O8596">
        <v>0.99908370000000002</v>
      </c>
      <c r="P8596">
        <v>-7.5498200000000001E-2</v>
      </c>
      <c r="Q8596">
        <v>-0.12889439999999999</v>
      </c>
      <c r="R8596">
        <v>0.9887802</v>
      </c>
      <c r="S8596">
        <v>4.6508790000000001E-2</v>
      </c>
      <c r="T8596">
        <v>-0.1858611</v>
      </c>
      <c r="U8596">
        <v>3.013763</v>
      </c>
      <c r="V8596">
        <v>-3.4021120000000002E-2</v>
      </c>
      <c r="W8596">
        <v>-0.12290760000000001</v>
      </c>
      <c r="X8596">
        <v>0.99183480000000002</v>
      </c>
      <c r="Y8596">
        <v>5.7766810000000002E-2</v>
      </c>
      <c r="Z8596">
        <v>-5.5525850000000002E-2</v>
      </c>
      <c r="AA8596">
        <v>0.99678469999999997</v>
      </c>
      <c r="AB8596">
        <v>41</v>
      </c>
      <c r="AC8596">
        <v>3.2499999999998801E-2</v>
      </c>
      <c r="AD8596">
        <v>-6.1937000000000103E-2</v>
      </c>
      <c r="AE8596">
        <v>0.59528999999999999</v>
      </c>
      <c r="AF8596">
        <v>5.7089449722768602E-2</v>
      </c>
      <c r="AG8596">
        <v>-6.1937000000000103E-2</v>
      </c>
      <c r="AH8596">
        <v>0.58704113621449705</v>
      </c>
      <c r="AI8596">
        <v>95.994755042133505</v>
      </c>
      <c r="AJ8596">
        <v>84.445481405276894</v>
      </c>
      <c r="AK8596">
        <v>0.59305370148634595</v>
      </c>
      <c r="AL8596">
        <v>97.0599383761203</v>
      </c>
      <c r="AM8596">
        <v>91.964543536219594</v>
      </c>
      <c r="AN8596">
        <v>0.999999992617427</v>
      </c>
    </row>
    <row r="8597" spans="1:40" x14ac:dyDescent="0.25">
      <c r="A8597" t="str">
        <f>"20190303154345925"</f>
        <v>20190303154345925</v>
      </c>
      <c r="B8597" t="str">
        <f>"1551599025918169"</f>
        <v>1551599025918169</v>
      </c>
      <c r="C8597" t="s">
        <v>40</v>
      </c>
      <c r="D8597">
        <v>5.957541</v>
      </c>
      <c r="E8597">
        <v>0.53636039999999996</v>
      </c>
      <c r="F8597" t="s">
        <v>41</v>
      </c>
      <c r="G8597">
        <v>-188.8382</v>
      </c>
      <c r="H8597" s="1">
        <v>-9.8047009999999993E-7</v>
      </c>
      <c r="I8597">
        <v>31.437889999999999</v>
      </c>
      <c r="J8597">
        <v>-189.1978</v>
      </c>
      <c r="K8597">
        <v>1.1175109999999999</v>
      </c>
      <c r="L8597">
        <v>13.44434</v>
      </c>
      <c r="M8597">
        <v>-4.0388170000000001E-2</v>
      </c>
      <c r="N8597">
        <v>-5.9310119999999899E-3</v>
      </c>
      <c r="O8597">
        <v>0.99916649999999996</v>
      </c>
      <c r="P8597">
        <v>-7.3204140000000001E-2</v>
      </c>
      <c r="Q8597">
        <v>-0.12982730000000001</v>
      </c>
      <c r="R8597">
        <v>0.9888306</v>
      </c>
      <c r="S8597">
        <v>5.628967E-2</v>
      </c>
      <c r="T8597">
        <v>-0.18307419999999999</v>
      </c>
      <c r="U8597">
        <v>3.014465</v>
      </c>
      <c r="V8597">
        <v>-3.3755819999999999E-2</v>
      </c>
      <c r="W8597">
        <v>-0.1237991</v>
      </c>
      <c r="X8597">
        <v>0.99173299999999998</v>
      </c>
      <c r="Y8597">
        <v>5.8996979999999997E-2</v>
      </c>
      <c r="Z8597">
        <v>-5.4564599999999998E-2</v>
      </c>
      <c r="AA8597">
        <v>0.99676580000000004</v>
      </c>
      <c r="AB8597">
        <v>41</v>
      </c>
      <c r="AC8597">
        <v>0.35959999999999998</v>
      </c>
      <c r="AD8597">
        <v>-1.1175119804700999</v>
      </c>
      <c r="AE8597">
        <v>17.993549999999999</v>
      </c>
      <c r="AF8597">
        <v>1.0818745643113701</v>
      </c>
      <c r="AG8597">
        <v>-1.1175119804700999</v>
      </c>
      <c r="AH8597">
        <v>17.895345942713799</v>
      </c>
      <c r="AI8597">
        <v>93.566818338851604</v>
      </c>
      <c r="AJ8597">
        <v>86.540357832595404</v>
      </c>
      <c r="AK8597">
        <v>17.962814145027501</v>
      </c>
      <c r="AL8597">
        <v>97.111410559943195</v>
      </c>
      <c r="AM8597">
        <v>91.949435631066905</v>
      </c>
      <c r="AN8597">
        <v>1.0000000079168401</v>
      </c>
    </row>
    <row r="8598" spans="1:40" x14ac:dyDescent="0.25">
      <c r="A8598" t="str">
        <f>"20190303154345948"</f>
        <v>20190303154345948</v>
      </c>
      <c r="B8598" t="str">
        <f>"1551599025938665"</f>
        <v>1551599025938665</v>
      </c>
      <c r="C8598" t="s">
        <v>40</v>
      </c>
      <c r="D8598">
        <v>5.9451890000000001</v>
      </c>
      <c r="E8598">
        <v>0.53673300000000002</v>
      </c>
      <c r="F8598" t="s">
        <v>41</v>
      </c>
      <c r="G8598">
        <v>-188.80189999999999</v>
      </c>
      <c r="H8598" s="1">
        <v>-1.0908490000000001E-6</v>
      </c>
      <c r="I8598">
        <v>31.68018</v>
      </c>
      <c r="J8598">
        <v>-189.2132</v>
      </c>
      <c r="K8598">
        <v>1.117399</v>
      </c>
      <c r="L8598">
        <v>13.86041</v>
      </c>
      <c r="M8598">
        <v>-3.8302799999999998E-2</v>
      </c>
      <c r="N8598">
        <v>-5.9730979999999996E-3</v>
      </c>
      <c r="O8598">
        <v>0.99924829999999998</v>
      </c>
      <c r="P8598">
        <v>-7.0428930000000001E-2</v>
      </c>
      <c r="Q8598">
        <v>-0.13031809999999999</v>
      </c>
      <c r="R8598">
        <v>0.98896759999999995</v>
      </c>
      <c r="S8598">
        <v>6.5444950000000002E-2</v>
      </c>
      <c r="T8598">
        <v>-0.1847297</v>
      </c>
      <c r="U8598">
        <v>3.014465</v>
      </c>
      <c r="V8598">
        <v>-3.3082439999999998E-2</v>
      </c>
      <c r="W8598">
        <v>-0.1242423</v>
      </c>
      <c r="X8598">
        <v>0.99170029999999998</v>
      </c>
      <c r="Y8598">
        <v>5.9938650000000003E-2</v>
      </c>
      <c r="Z8598">
        <v>-5.5071389999999998E-2</v>
      </c>
      <c r="AA8598">
        <v>0.9966817</v>
      </c>
      <c r="AB8598">
        <v>41</v>
      </c>
      <c r="AC8598">
        <v>0.41130000000001099</v>
      </c>
      <c r="AD8598">
        <v>-1.117400090849</v>
      </c>
      <c r="AE8598">
        <v>17.819769999999998</v>
      </c>
      <c r="AF8598">
        <v>1.0892766964127401</v>
      </c>
      <c r="AG8598">
        <v>-1.117400090849</v>
      </c>
      <c r="AH8598">
        <v>17.721295792689901</v>
      </c>
      <c r="AI8598">
        <v>93.6011778398383</v>
      </c>
      <c r="AJ8598">
        <v>86.482619815097806</v>
      </c>
      <c r="AK8598">
        <v>17.7898687813145</v>
      </c>
      <c r="AL8598">
        <v>97.137001384662696</v>
      </c>
      <c r="AM8598">
        <v>91.910639263912898</v>
      </c>
      <c r="AN8598">
        <v>1.00000004098286</v>
      </c>
    </row>
    <row r="8599" spans="1:40" x14ac:dyDescent="0.25">
      <c r="A8599" t="str">
        <f>"20190303154345970"</f>
        <v>20190303154345970</v>
      </c>
      <c r="B8599" t="str">
        <f>"1551599025968921"</f>
        <v>1551599025968921</v>
      </c>
      <c r="C8599" t="s">
        <v>40</v>
      </c>
      <c r="D8599">
        <v>5.9902470000000001</v>
      </c>
      <c r="E8599">
        <v>0.53669540000000004</v>
      </c>
      <c r="F8599" t="s">
        <v>41</v>
      </c>
      <c r="G8599">
        <v>-188.74850000000001</v>
      </c>
      <c r="H8599" s="1">
        <v>-1.256111E-6</v>
      </c>
      <c r="I8599">
        <v>32.043329999999997</v>
      </c>
      <c r="J8599">
        <v>-189.2278</v>
      </c>
      <c r="K8599">
        <v>1.117308</v>
      </c>
      <c r="L8599">
        <v>14.27908</v>
      </c>
      <c r="M8599">
        <v>-3.6171000000000002E-2</v>
      </c>
      <c r="N8599">
        <v>-6.0371319999999997E-3</v>
      </c>
      <c r="O8599">
        <v>0.99932739999999998</v>
      </c>
      <c r="P8599">
        <v>-6.6868839999999999E-2</v>
      </c>
      <c r="Q8599">
        <v>-0.13044520000000001</v>
      </c>
      <c r="R8599">
        <v>0.98919800000000002</v>
      </c>
      <c r="S8599">
        <v>7.704163E-2</v>
      </c>
      <c r="T8599">
        <v>-0.18525249999999999</v>
      </c>
      <c r="U8599">
        <v>3.014526</v>
      </c>
      <c r="V8599">
        <v>-3.1660689999999998E-2</v>
      </c>
      <c r="W8599">
        <v>-0.1243047</v>
      </c>
      <c r="X8599">
        <v>0.99173889999999998</v>
      </c>
      <c r="Y8599">
        <v>6.1640010000000002E-2</v>
      </c>
      <c r="Z8599">
        <v>-5.517942E-2</v>
      </c>
      <c r="AA8599">
        <v>0.99657200000000001</v>
      </c>
      <c r="AB8599">
        <v>41</v>
      </c>
      <c r="AC8599">
        <v>0.47929999999999501</v>
      </c>
      <c r="AD8599">
        <v>-1.1173092561110001</v>
      </c>
      <c r="AE8599">
        <v>17.764249999999901</v>
      </c>
      <c r="AF8599">
        <v>1.1171325968233701</v>
      </c>
      <c r="AG8599">
        <v>-1.1173092561110001</v>
      </c>
      <c r="AH8599">
        <v>17.665454667275402</v>
      </c>
      <c r="AI8599">
        <v>93.611841999583007</v>
      </c>
      <c r="AJ8599">
        <v>86.381533034742901</v>
      </c>
      <c r="AK8599">
        <v>17.7359706194569</v>
      </c>
      <c r="AL8599">
        <v>97.140604495757898</v>
      </c>
      <c r="AM8599">
        <v>91.828513557967</v>
      </c>
      <c r="AN8599">
        <v>1.0000000517532801</v>
      </c>
    </row>
    <row r="8600" spans="1:40" x14ac:dyDescent="0.25">
      <c r="A8600" t="str">
        <f>"20190303154346004"</f>
        <v>20190303154346004</v>
      </c>
      <c r="B8600" t="str">
        <f>"1551599025998201"</f>
        <v>1551599025998201</v>
      </c>
      <c r="C8600" t="s">
        <v>40</v>
      </c>
      <c r="D8600">
        <v>5.9780620000000004</v>
      </c>
      <c r="E8600">
        <v>0.53878530000000002</v>
      </c>
      <c r="F8600" t="s">
        <v>41</v>
      </c>
      <c r="G8600">
        <v>-188.6978</v>
      </c>
      <c r="H8600" s="1">
        <v>-1.4598129999999999E-6</v>
      </c>
      <c r="I8600">
        <v>32.49718</v>
      </c>
      <c r="J8600">
        <v>-189.24760000000001</v>
      </c>
      <c r="K8600">
        <v>1.1172150000000001</v>
      </c>
      <c r="L8600">
        <v>14.89648</v>
      </c>
      <c r="M8600">
        <v>-3.2995249999999997E-2</v>
      </c>
      <c r="N8600">
        <v>-6.2236640000000003E-3</v>
      </c>
      <c r="O8600">
        <v>0.99943610000000005</v>
      </c>
      <c r="P8600">
        <v>-6.2463350000000001E-2</v>
      </c>
      <c r="Q8600">
        <v>-0.13009960000000001</v>
      </c>
      <c r="R8600">
        <v>0.98953139999999995</v>
      </c>
      <c r="S8600">
        <v>8.7692259999999994E-2</v>
      </c>
      <c r="T8600">
        <v>-0.18486669999999999</v>
      </c>
      <c r="U8600">
        <v>3.014313</v>
      </c>
      <c r="V8600">
        <v>-3.043034E-2</v>
      </c>
      <c r="W8600">
        <v>-0.123770699999999</v>
      </c>
      <c r="X8600">
        <v>0.99184410000000001</v>
      </c>
      <c r="Y8600">
        <v>6.1988840000000003E-2</v>
      </c>
      <c r="Z8600">
        <v>-5.4876719999999997E-2</v>
      </c>
      <c r="AA8600">
        <v>0.99656710000000004</v>
      </c>
      <c r="AB8600">
        <v>42</v>
      </c>
      <c r="AC8600">
        <v>0.54980000000000395</v>
      </c>
      <c r="AD8600">
        <v>-1.1172164598129899</v>
      </c>
      <c r="AE8600">
        <v>17.6007</v>
      </c>
      <c r="AF8600">
        <v>1.1257201014359599</v>
      </c>
      <c r="AG8600">
        <v>-1.1172164598129899</v>
      </c>
      <c r="AH8600">
        <v>17.502523292971901</v>
      </c>
      <c r="AI8600">
        <v>93.644823306742197</v>
      </c>
      <c r="AJ8600">
        <v>86.319942505544105</v>
      </c>
      <c r="AK8600">
        <v>17.574235118089099</v>
      </c>
      <c r="AL8600">
        <v>97.109771124616501</v>
      </c>
      <c r="AM8600">
        <v>91.757315791771305</v>
      </c>
      <c r="AN8600">
        <v>0.99999995523790597</v>
      </c>
    </row>
    <row r="8601" spans="1:40" x14ac:dyDescent="0.25">
      <c r="A8601" t="str">
        <f>"20190303154346028"</f>
        <v>20190303154346028</v>
      </c>
      <c r="B8601" t="str">
        <f>"1551599026018697"</f>
        <v>1551599026018697</v>
      </c>
      <c r="C8601" t="s">
        <v>40</v>
      </c>
      <c r="D8601">
        <v>5.9487930000000002</v>
      </c>
      <c r="E8601">
        <v>0.53820959999999995</v>
      </c>
      <c r="F8601" t="s">
        <v>41</v>
      </c>
      <c r="G8601">
        <v>-188.17660000000001</v>
      </c>
      <c r="H8601" s="1">
        <v>-1.6279820000000001E-6</v>
      </c>
      <c r="I8601">
        <v>42.673670000000001</v>
      </c>
      <c r="J8601">
        <v>-189.261</v>
      </c>
      <c r="K8601">
        <v>1.117181</v>
      </c>
      <c r="L8601">
        <v>15.35355</v>
      </c>
      <c r="M8601">
        <v>-3.0630859999999999E-2</v>
      </c>
      <c r="N8601">
        <v>-6.4419730000000001E-3</v>
      </c>
      <c r="O8601">
        <v>0.99951000000000001</v>
      </c>
      <c r="P8601">
        <v>-5.9594179999999997E-2</v>
      </c>
      <c r="Q8601">
        <v>-0.1301194</v>
      </c>
      <c r="R8601">
        <v>0.98970570000000002</v>
      </c>
      <c r="S8601">
        <v>0.1165619</v>
      </c>
      <c r="T8601">
        <v>-0.12159109999999999</v>
      </c>
      <c r="U8601">
        <v>3.0231020000000002</v>
      </c>
      <c r="V8601">
        <v>-2.992409E-2</v>
      </c>
      <c r="W8601">
        <v>-0.123570899999999</v>
      </c>
      <c r="X8601">
        <v>0.99188449999999995</v>
      </c>
      <c r="Y8601">
        <v>6.908686E-2</v>
      </c>
      <c r="Z8601">
        <v>-3.3655570000000003E-2</v>
      </c>
      <c r="AA8601">
        <v>0.99704280000000001</v>
      </c>
      <c r="AB8601">
        <v>42</v>
      </c>
      <c r="AC8601">
        <v>1.08439999999998</v>
      </c>
      <c r="AD8601">
        <v>-1.1171826279819901</v>
      </c>
      <c r="AE8601">
        <v>27.320119999999999</v>
      </c>
      <c r="AF8601">
        <v>1.91754584186804</v>
      </c>
      <c r="AG8601">
        <v>-1.1171826279819901</v>
      </c>
      <c r="AH8601">
        <v>27.228623569048999</v>
      </c>
      <c r="AI8601">
        <v>92.343713431106394</v>
      </c>
      <c r="AJ8601">
        <v>85.971658567787699</v>
      </c>
      <c r="AK8601">
        <v>27.3189132387235</v>
      </c>
      <c r="AL8601">
        <v>97.098234262798996</v>
      </c>
      <c r="AM8601">
        <v>91.728027991735502</v>
      </c>
      <c r="AN8601">
        <v>1.00000003991469</v>
      </c>
    </row>
    <row r="8602" spans="1:40" x14ac:dyDescent="0.25">
      <c r="A8602" t="str">
        <f>"20190303154346050"</f>
        <v>20190303154346050</v>
      </c>
      <c r="B8602" t="str">
        <f>"1551599026048953"</f>
        <v>1551599026048953</v>
      </c>
      <c r="C8602" t="s">
        <v>40</v>
      </c>
      <c r="D8602">
        <v>5.9913629999999998</v>
      </c>
      <c r="E8602">
        <v>0.53509309999999999</v>
      </c>
      <c r="F8602" t="s">
        <v>41</v>
      </c>
      <c r="G8602">
        <v>-188.1131</v>
      </c>
      <c r="H8602" s="1">
        <v>-2.2695839999999998E-6</v>
      </c>
      <c r="I8602">
        <v>44.143030000000003</v>
      </c>
      <c r="J8602">
        <v>-189.27260000000001</v>
      </c>
      <c r="K8602">
        <v>1.1171679999999999</v>
      </c>
      <c r="L8602">
        <v>15.786350000000001</v>
      </c>
      <c r="M8602">
        <v>-2.838676E-2</v>
      </c>
      <c r="N8602">
        <v>-6.7112099999999996E-3</v>
      </c>
      <c r="O8602">
        <v>0.99957450000000003</v>
      </c>
      <c r="P8602">
        <v>-5.719668E-2</v>
      </c>
      <c r="Q8602">
        <v>-0.13042699999999999</v>
      </c>
      <c r="R8602">
        <v>0.98980670000000004</v>
      </c>
      <c r="S8602">
        <v>0.1205292</v>
      </c>
      <c r="T8602">
        <v>-0.11730989999999999</v>
      </c>
      <c r="U8602">
        <v>3.0230410000000001</v>
      </c>
      <c r="V8602">
        <v>-2.9769759999999999E-2</v>
      </c>
      <c r="W8602">
        <v>-0.123608</v>
      </c>
      <c r="X8602">
        <v>0.99188449999999995</v>
      </c>
      <c r="Y8602">
        <v>6.8156530000000007E-2</v>
      </c>
      <c r="Z8602">
        <v>-3.1981379999999997E-2</v>
      </c>
      <c r="AA8602">
        <v>0.99716190000000005</v>
      </c>
      <c r="AB8602">
        <v>42</v>
      </c>
      <c r="AC8602">
        <v>1.1595</v>
      </c>
      <c r="AD8602">
        <v>-1.117170269584</v>
      </c>
      <c r="AE8602">
        <v>28.356680000000001</v>
      </c>
      <c r="AF8602">
        <v>1.9609665098762501</v>
      </c>
      <c r="AG8602">
        <v>-1.117170269584</v>
      </c>
      <c r="AH8602">
        <v>28.268533782799601</v>
      </c>
      <c r="AI8602">
        <v>92.257727015226195</v>
      </c>
      <c r="AJ8602">
        <v>86.031792691171702</v>
      </c>
      <c r="AK8602">
        <v>28.358481293845401</v>
      </c>
      <c r="AL8602">
        <v>97.1003765092902</v>
      </c>
      <c r="AM8602">
        <v>91.719121250835798</v>
      </c>
      <c r="AN8602">
        <v>1.0000000188073499</v>
      </c>
    </row>
    <row r="8603" spans="1:40" x14ac:dyDescent="0.25">
      <c r="A8603" t="str">
        <f>"20190303154346072"</f>
        <v>20190303154346072</v>
      </c>
      <c r="B8603" t="str">
        <f>"1551599026068474"</f>
        <v>1551599026068474</v>
      </c>
      <c r="C8603" t="s">
        <v>40</v>
      </c>
      <c r="D8603">
        <v>5.9811040000000002</v>
      </c>
      <c r="E8603">
        <v>0.53472259999999905</v>
      </c>
      <c r="F8603" t="s">
        <v>41</v>
      </c>
      <c r="G8603">
        <v>-188.6285</v>
      </c>
      <c r="H8603" s="1">
        <v>-2.2826209999999999E-6</v>
      </c>
      <c r="I8603">
        <v>34.386519999999997</v>
      </c>
      <c r="J8603">
        <v>-189.28210000000001</v>
      </c>
      <c r="K8603">
        <v>1.11717</v>
      </c>
      <c r="L8603">
        <v>16.170379999999899</v>
      </c>
      <c r="M8603">
        <v>-2.639352E-2</v>
      </c>
      <c r="N8603">
        <v>-7.0198389999999999E-3</v>
      </c>
      <c r="O8603">
        <v>0.99962700000000004</v>
      </c>
      <c r="P8603">
        <v>-5.619101E-2</v>
      </c>
      <c r="Q8603">
        <v>-0.13109109999999999</v>
      </c>
      <c r="R8603">
        <v>0.98977660000000001</v>
      </c>
      <c r="S8603">
        <v>0.1043396</v>
      </c>
      <c r="T8603">
        <v>-0.18097340000000001</v>
      </c>
      <c r="U8603">
        <v>3.0130919999999999</v>
      </c>
      <c r="V8603">
        <v>-3.0758790000000001E-2</v>
      </c>
      <c r="W8603">
        <v>-0.123957399999999</v>
      </c>
      <c r="X8603">
        <v>0.99181070000000005</v>
      </c>
      <c r="Y8603">
        <v>6.0911569999999998E-2</v>
      </c>
      <c r="Z8603">
        <v>-5.2837549999999997E-2</v>
      </c>
      <c r="AA8603">
        <v>0.99674370000000001</v>
      </c>
      <c r="AB8603">
        <v>42</v>
      </c>
      <c r="AC8603">
        <v>0.65360000000001095</v>
      </c>
      <c r="AD8603">
        <v>-1.117172282621</v>
      </c>
      <c r="AE8603">
        <v>18.216139999999999</v>
      </c>
      <c r="AF8603">
        <v>1.1299277565264501</v>
      </c>
      <c r="AG8603">
        <v>-1.117172282621</v>
      </c>
      <c r="AH8603">
        <v>18.124460253771499</v>
      </c>
      <c r="AI8603">
        <v>93.520370587103898</v>
      </c>
      <c r="AJ8603">
        <v>86.432643370318303</v>
      </c>
      <c r="AK8603">
        <v>18.193978952790101</v>
      </c>
      <c r="AL8603">
        <v>97.120550925270393</v>
      </c>
      <c r="AM8603">
        <v>91.776331079843999</v>
      </c>
      <c r="AN8603">
        <v>1.00000000240575</v>
      </c>
    </row>
    <row r="8604" spans="1:40" x14ac:dyDescent="0.25">
      <c r="A8604" t="str">
        <f>"20190303154346092"</f>
        <v>20190303154346092</v>
      </c>
      <c r="B8604" t="str">
        <f>"1551599026088969"</f>
        <v>1551599026088969</v>
      </c>
      <c r="C8604" t="s">
        <v>40</v>
      </c>
      <c r="D8604">
        <v>5.9932449999999999</v>
      </c>
      <c r="E8604">
        <v>0.53424490000000002</v>
      </c>
      <c r="F8604" t="s">
        <v>41</v>
      </c>
      <c r="G8604">
        <v>-188.63759999999999</v>
      </c>
      <c r="H8604" s="1">
        <v>-2.4554709999999999E-6</v>
      </c>
      <c r="I8604">
        <v>34.793219999999998</v>
      </c>
      <c r="J8604">
        <v>-189.2911</v>
      </c>
      <c r="K8604">
        <v>1.1171850000000001</v>
      </c>
      <c r="L8604">
        <v>16.567409999999999</v>
      </c>
      <c r="M8604">
        <v>-2.4330069999999999E-2</v>
      </c>
      <c r="N8604">
        <v>-7.3973959999999997E-3</v>
      </c>
      <c r="O8604">
        <v>0.99967660000000003</v>
      </c>
      <c r="P8604">
        <v>-5.4373339999999999E-2</v>
      </c>
      <c r="Q8604">
        <v>-0.13108629999999999</v>
      </c>
      <c r="R8604">
        <v>0.98987879999999995</v>
      </c>
      <c r="S8604">
        <v>0.1042633</v>
      </c>
      <c r="T8604">
        <v>-0.1807462</v>
      </c>
      <c r="U8604">
        <v>3.0129700000000001</v>
      </c>
      <c r="V8604">
        <v>-3.099675E-2</v>
      </c>
      <c r="W8604">
        <v>-0.1235733</v>
      </c>
      <c r="X8604">
        <v>0.99185120000000004</v>
      </c>
      <c r="Y8604">
        <v>5.8827850000000001E-2</v>
      </c>
      <c r="Z8604">
        <v>-5.2396579999999998E-2</v>
      </c>
      <c r="AA8604">
        <v>0.99689209999999995</v>
      </c>
      <c r="AB8604">
        <v>42</v>
      </c>
      <c r="AC8604">
        <v>0.65350000000000796</v>
      </c>
      <c r="AD8604">
        <v>-1.117187455471</v>
      </c>
      <c r="AE8604">
        <v>18.225809999999999</v>
      </c>
      <c r="AF8604">
        <v>1.0926537308272</v>
      </c>
      <c r="AG8604">
        <v>-1.117187455471</v>
      </c>
      <c r="AH8604">
        <v>18.136457349855501</v>
      </c>
      <c r="AI8604">
        <v>93.518544686129999</v>
      </c>
      <c r="AJ8604">
        <v>86.552310780306598</v>
      </c>
      <c r="AK8604">
        <v>18.203655819347901</v>
      </c>
      <c r="AL8604">
        <v>97.098373255354701</v>
      </c>
      <c r="AM8604">
        <v>91.789991402452003</v>
      </c>
      <c r="AN8604">
        <v>0.99999998096244602</v>
      </c>
    </row>
    <row r="8605" spans="1:40" x14ac:dyDescent="0.25">
      <c r="A8605" t="str">
        <f>"20190303154346115"</f>
        <v>20190303154346115</v>
      </c>
      <c r="B8605" t="str">
        <f>"1551599026108489"</f>
        <v>1551599026108489</v>
      </c>
      <c r="C8605" t="s">
        <v>40</v>
      </c>
      <c r="D8605">
        <v>6.2230319999999999</v>
      </c>
      <c r="E8605">
        <v>0.53407720000000003</v>
      </c>
      <c r="F8605" t="s">
        <v>41</v>
      </c>
      <c r="G8605">
        <v>-188.64189999999999</v>
      </c>
      <c r="H8605" s="1">
        <v>-2.5272819999999999E-6</v>
      </c>
      <c r="I8605">
        <v>34.96237</v>
      </c>
      <c r="J8605">
        <v>-189.2996</v>
      </c>
      <c r="K8605">
        <v>1.1172219999999999</v>
      </c>
      <c r="L8605">
        <v>16.987819999999999</v>
      </c>
      <c r="M8605">
        <v>-2.2140969999999999E-2</v>
      </c>
      <c r="N8605">
        <v>-7.8371199999999995E-3</v>
      </c>
      <c r="O8605">
        <v>0.9997241</v>
      </c>
      <c r="P8605">
        <v>-5.2579510000000003E-2</v>
      </c>
      <c r="Q8605">
        <v>-0.13003120000000001</v>
      </c>
      <c r="R8605">
        <v>0.99011479999999996</v>
      </c>
      <c r="S8605">
        <v>0.106308</v>
      </c>
      <c r="T8605">
        <v>-0.182947</v>
      </c>
      <c r="U8605">
        <v>3.0122990000000001</v>
      </c>
      <c r="V8605">
        <v>-3.1371040000000003E-2</v>
      </c>
      <c r="W8605">
        <v>-0.1220758</v>
      </c>
      <c r="X8605">
        <v>0.99202489999999999</v>
      </c>
      <c r="Y8605">
        <v>5.7324140000000003E-2</v>
      </c>
      <c r="Z8605">
        <v>-5.2703130000000001E-2</v>
      </c>
      <c r="AA8605">
        <v>0.99696359999999995</v>
      </c>
      <c r="AB8605">
        <v>42</v>
      </c>
      <c r="AC8605">
        <v>0.65770000000000495</v>
      </c>
      <c r="AD8605">
        <v>-1.1172245272819901</v>
      </c>
      <c r="AE8605">
        <v>17.974549999999901</v>
      </c>
      <c r="AF8605">
        <v>1.0514682056543101</v>
      </c>
      <c r="AG8605">
        <v>-1.1172245272819901</v>
      </c>
      <c r="AH8605">
        <v>17.8865710416678</v>
      </c>
      <c r="AI8605">
        <v>93.568001217405296</v>
      </c>
      <c r="AJ8605">
        <v>86.635719743060093</v>
      </c>
      <c r="AK8605">
        <v>17.9522477606703</v>
      </c>
      <c r="AL8605">
        <v>97.011917918557401</v>
      </c>
      <c r="AM8605">
        <v>91.811274485099403</v>
      </c>
      <c r="AN8605">
        <v>1.00000002265816</v>
      </c>
    </row>
    <row r="8606" spans="1:40" x14ac:dyDescent="0.25">
      <c r="A8606" t="str">
        <f>"20190303154346137"</f>
        <v>20190303154346137</v>
      </c>
      <c r="B8606" t="str">
        <f>"1551599026128985"</f>
        <v>1551599026128985</v>
      </c>
      <c r="C8606" t="s">
        <v>40</v>
      </c>
      <c r="D8606">
        <v>6.008248</v>
      </c>
      <c r="E8606">
        <v>0.53436680000000003</v>
      </c>
      <c r="F8606" t="s">
        <v>41</v>
      </c>
      <c r="G8606">
        <v>-188.6174</v>
      </c>
      <c r="H8606" s="1">
        <v>-2.7935279999999999E-6</v>
      </c>
      <c r="I8606">
        <v>35.572879999999998</v>
      </c>
      <c r="J8606">
        <v>-189.30709999999999</v>
      </c>
      <c r="K8606">
        <v>1.117264</v>
      </c>
      <c r="L8606">
        <v>17.40335</v>
      </c>
      <c r="M8606">
        <v>-1.9972770000000001E-2</v>
      </c>
      <c r="N8606">
        <v>-8.2897089999999993E-3</v>
      </c>
      <c r="O8606">
        <v>0.99976620000000005</v>
      </c>
      <c r="P8606">
        <v>-5.0332429999999997E-2</v>
      </c>
      <c r="Q8606">
        <v>-0.12914149999999999</v>
      </c>
      <c r="R8606">
        <v>0.99034800000000001</v>
      </c>
      <c r="S8606">
        <v>0.1105652</v>
      </c>
      <c r="T8606">
        <v>-0.18106710000000001</v>
      </c>
      <c r="U8606">
        <v>3.012054</v>
      </c>
      <c r="V8606">
        <v>-3.1270720000000002E-2</v>
      </c>
      <c r="W8606">
        <v>-0.1207343</v>
      </c>
      <c r="X8606">
        <v>0.99219219999999997</v>
      </c>
      <c r="Y8606">
        <v>5.6570549999999997E-2</v>
      </c>
      <c r="Z8606">
        <v>-5.1639850000000001E-2</v>
      </c>
      <c r="AA8606">
        <v>0.99706220000000001</v>
      </c>
      <c r="AB8606">
        <v>42</v>
      </c>
      <c r="AC8606">
        <v>0.68969999999998699</v>
      </c>
      <c r="AD8606">
        <v>-1.1172667935280001</v>
      </c>
      <c r="AE8606">
        <v>18.169530000000002</v>
      </c>
      <c r="AF8606">
        <v>1.04851181119505</v>
      </c>
      <c r="AG8606">
        <v>-1.1172667935280001</v>
      </c>
      <c r="AH8606">
        <v>18.0838499229375</v>
      </c>
      <c r="AI8606">
        <v>93.529474408321803</v>
      </c>
      <c r="AJ8606">
        <v>86.681673539037206</v>
      </c>
      <c r="AK8606">
        <v>18.148644305883099</v>
      </c>
      <c r="AL8606">
        <v>96.934483032287702</v>
      </c>
      <c r="AM8606">
        <v>91.805181900476995</v>
      </c>
      <c r="AN8606">
        <v>0.99999999543332396</v>
      </c>
    </row>
    <row r="8607" spans="1:40" x14ac:dyDescent="0.25">
      <c r="A8607" t="str">
        <f>"20190303154346160"</f>
        <v>20190303154346160</v>
      </c>
      <c r="B8607" t="str">
        <f>"1551599026148508"</f>
        <v>1551599026148508</v>
      </c>
      <c r="C8607" t="s">
        <v>40</v>
      </c>
      <c r="D8607">
        <v>5.9647220000000001</v>
      </c>
      <c r="E8607">
        <v>0.53442429999999996</v>
      </c>
      <c r="F8607" t="s">
        <v>41</v>
      </c>
      <c r="G8607">
        <v>-188.2184</v>
      </c>
      <c r="H8607" s="1">
        <v>-2.6447740000000002E-6</v>
      </c>
      <c r="I8607">
        <v>45.061160000000001</v>
      </c>
      <c r="J8607">
        <v>-189.31389999999999</v>
      </c>
      <c r="K8607">
        <v>1.117299</v>
      </c>
      <c r="L8607">
        <v>17.835450000000002</v>
      </c>
      <c r="M8607">
        <v>-1.771503E-2</v>
      </c>
      <c r="N8607">
        <v>-8.7678519999999996E-3</v>
      </c>
      <c r="O8607">
        <v>0.99980460000000004</v>
      </c>
      <c r="P8607">
        <v>-4.843269E-2</v>
      </c>
      <c r="Q8607">
        <v>-0.12953999999999999</v>
      </c>
      <c r="R8607">
        <v>0.99039069999999996</v>
      </c>
      <c r="S8607">
        <v>0.1188507</v>
      </c>
      <c r="T8607">
        <v>-0.121971</v>
      </c>
      <c r="U8607">
        <v>3.0193789999999998</v>
      </c>
      <c r="V8607">
        <v>-3.1614980000000001E-2</v>
      </c>
      <c r="W8607">
        <v>-0.120655</v>
      </c>
      <c r="X8607">
        <v>0.99219100000000005</v>
      </c>
      <c r="Y8607">
        <v>5.6996140000000001E-2</v>
      </c>
      <c r="Z8607">
        <v>-3.1539940000000002E-2</v>
      </c>
      <c r="AA8607">
        <v>0.99787610000000004</v>
      </c>
      <c r="AB8607">
        <v>42</v>
      </c>
      <c r="AC8607">
        <v>1.0954999999999799</v>
      </c>
      <c r="AD8607">
        <v>-1.1173016447740001</v>
      </c>
      <c r="AE8607">
        <v>27.225709999999999</v>
      </c>
      <c r="AF8607">
        <v>1.5750026385364999</v>
      </c>
      <c r="AG8607">
        <v>-1.1173016447740001</v>
      </c>
      <c r="AH8607">
        <v>27.1563681121801</v>
      </c>
      <c r="AI8607">
        <v>92.352058581794793</v>
      </c>
      <c r="AJ8607">
        <v>86.680703929844498</v>
      </c>
      <c r="AK8607">
        <v>27.2249393997681</v>
      </c>
      <c r="AL8607">
        <v>96.929905580177106</v>
      </c>
      <c r="AM8607">
        <v>91.825044024324498</v>
      </c>
      <c r="AN8607">
        <v>1.00000005823319</v>
      </c>
    </row>
    <row r="8608" spans="1:40" x14ac:dyDescent="0.25">
      <c r="A8608" t="str">
        <f>"20190303154346182"</f>
        <v>20190303154346182</v>
      </c>
      <c r="B8608" t="str">
        <f>"1551599026178761"</f>
        <v>1551599026178761</v>
      </c>
      <c r="C8608" t="s">
        <v>40</v>
      </c>
      <c r="D8608">
        <v>5.997052</v>
      </c>
      <c r="E8608">
        <v>0.53441799999999995</v>
      </c>
      <c r="F8608" t="s">
        <v>41</v>
      </c>
      <c r="G8608">
        <v>-188.1756</v>
      </c>
      <c r="H8608" s="1">
        <v>-2.7926449999999999E-6</v>
      </c>
      <c r="I8608">
        <v>45.388150000000003</v>
      </c>
      <c r="J8608">
        <v>-189.3194</v>
      </c>
      <c r="K8608">
        <v>1.117337</v>
      </c>
      <c r="L8608">
        <v>18.244319999999998</v>
      </c>
      <c r="M8608">
        <v>-1.55753E-2</v>
      </c>
      <c r="N8608">
        <v>-9.2129959999999993E-3</v>
      </c>
      <c r="O8608">
        <v>0.99983630000000001</v>
      </c>
      <c r="P8608">
        <v>-4.5974580000000001E-2</v>
      </c>
      <c r="Q8608">
        <v>-0.12980340000000001</v>
      </c>
      <c r="R8608">
        <v>0.9904733</v>
      </c>
      <c r="S8608">
        <v>0.1247253</v>
      </c>
      <c r="T8608">
        <v>-0.12243270000000001</v>
      </c>
      <c r="U8608">
        <v>3.019196</v>
      </c>
      <c r="V8608">
        <v>-3.1280219999999997E-2</v>
      </c>
      <c r="W8608">
        <v>-0.1204778</v>
      </c>
      <c r="X8608">
        <v>0.99222310000000002</v>
      </c>
      <c r="Y8608">
        <v>5.6800070000000001E-2</v>
      </c>
      <c r="Z8608">
        <v>-3.1250720000000003E-2</v>
      </c>
      <c r="AA8608">
        <v>0.99789640000000002</v>
      </c>
      <c r="AB8608">
        <v>42</v>
      </c>
      <c r="AC8608">
        <v>1.1437999999999899</v>
      </c>
      <c r="AD8608">
        <v>-1.1173397926449999</v>
      </c>
      <c r="AE8608">
        <v>27.143829999999902</v>
      </c>
      <c r="AF8608">
        <v>1.56380736749797</v>
      </c>
      <c r="AG8608">
        <v>-1.1173397926449999</v>
      </c>
      <c r="AH8608">
        <v>27.0769222104019</v>
      </c>
      <c r="AI8608">
        <v>92.359065448413602</v>
      </c>
      <c r="AJ8608">
        <v>86.694597009341607</v>
      </c>
      <c r="AK8608">
        <v>27.145048500288599</v>
      </c>
      <c r="AL8608">
        <v>96.919678453810505</v>
      </c>
      <c r="AM8608">
        <v>91.8056737519846</v>
      </c>
      <c r="AN8608">
        <v>1.0000000163148399</v>
      </c>
    </row>
    <row r="8609" spans="1:40" x14ac:dyDescent="0.25">
      <c r="A8609" t="str">
        <f>"20190303154346205"</f>
        <v>20190303154346205</v>
      </c>
      <c r="B8609" t="str">
        <f>"1551599026198281"</f>
        <v>1551599026198281</v>
      </c>
      <c r="C8609" t="s">
        <v>40</v>
      </c>
      <c r="D8609">
        <v>5.9637659999999997</v>
      </c>
      <c r="E8609">
        <v>0.53051329999999997</v>
      </c>
      <c r="F8609" t="s">
        <v>41</v>
      </c>
      <c r="G8609">
        <v>-188.08529999999999</v>
      </c>
      <c r="H8609" s="1">
        <v>-3.2825439999999999E-6</v>
      </c>
      <c r="I8609">
        <v>46.49277</v>
      </c>
      <c r="J8609">
        <v>-189.32419999999999</v>
      </c>
      <c r="K8609">
        <v>1.1173879999999901</v>
      </c>
      <c r="L8609">
        <v>18.674990000000001</v>
      </c>
      <c r="M8609">
        <v>-1.3321390000000001E-2</v>
      </c>
      <c r="N8609">
        <v>-9.6815960000000006E-3</v>
      </c>
      <c r="O8609">
        <v>0.99986439999999999</v>
      </c>
      <c r="P8609">
        <v>-4.3952440000000002E-2</v>
      </c>
      <c r="Q8609">
        <v>-0.12931969999999901</v>
      </c>
      <c r="R8609">
        <v>0.99062839999999996</v>
      </c>
      <c r="S8609">
        <v>0.13189699999999999</v>
      </c>
      <c r="T8609">
        <v>-0.1194263</v>
      </c>
      <c r="U8609">
        <v>3.0193180000000002</v>
      </c>
      <c r="V8609">
        <v>-3.148683E-2</v>
      </c>
      <c r="W8609">
        <v>-0.1195268</v>
      </c>
      <c r="X8609">
        <v>0.99233159999999998</v>
      </c>
      <c r="Y8609">
        <v>5.6915269999999997E-2</v>
      </c>
      <c r="Z8609">
        <v>-2.9788370000000002E-2</v>
      </c>
      <c r="AA8609">
        <v>0.99793449999999995</v>
      </c>
      <c r="AB8609">
        <v>42</v>
      </c>
      <c r="AC8609">
        <v>1.2388999999999999</v>
      </c>
      <c r="AD8609">
        <v>-1.11739128254399</v>
      </c>
      <c r="AE8609">
        <v>27.817779999999999</v>
      </c>
      <c r="AF8609">
        <v>1.6067915144373499</v>
      </c>
      <c r="AG8609">
        <v>-1.11739128254399</v>
      </c>
      <c r="AH8609">
        <v>27.754114479602698</v>
      </c>
      <c r="AI8609">
        <v>92.301655070809701</v>
      </c>
      <c r="AJ8609">
        <v>86.686627354044106</v>
      </c>
      <c r="AK8609">
        <v>27.8230338531956</v>
      </c>
      <c r="AL8609">
        <v>96.864793380748907</v>
      </c>
      <c r="AM8609">
        <v>91.8173938932526</v>
      </c>
      <c r="AN8609">
        <v>1.0000000403701199</v>
      </c>
    </row>
    <row r="8610" spans="1:40" x14ac:dyDescent="0.25">
      <c r="A8610" t="str">
        <f>"20190303154346229"</f>
        <v>20190303154346229</v>
      </c>
      <c r="B8610" t="str">
        <f>"1551599026218778"</f>
        <v>1551599026218778</v>
      </c>
      <c r="C8610" t="s">
        <v>40</v>
      </c>
      <c r="D8610">
        <v>5.9757769999999999</v>
      </c>
      <c r="E8610">
        <v>0.52856459999999905</v>
      </c>
      <c r="F8610" t="s">
        <v>41</v>
      </c>
      <c r="G8610">
        <v>-188.3468</v>
      </c>
      <c r="H8610" s="1">
        <v>-3.0983130000000002E-6</v>
      </c>
      <c r="I8610">
        <v>46.171460000000003</v>
      </c>
      <c r="J8610">
        <v>-189.32810000000001</v>
      </c>
      <c r="K8610">
        <v>1.1174550000000001</v>
      </c>
      <c r="L8610">
        <v>19.1174</v>
      </c>
      <c r="M8610">
        <v>-1.1011129999999999E-2</v>
      </c>
      <c r="N8610">
        <v>-1.0184220000000001E-2</v>
      </c>
      <c r="O8610">
        <v>0.99988750000000004</v>
      </c>
      <c r="P8610">
        <v>-4.2518970000000003E-2</v>
      </c>
      <c r="Q8610">
        <v>-0.12947629999999999</v>
      </c>
      <c r="R8610">
        <v>0.99067050000000001</v>
      </c>
      <c r="S8610">
        <v>0.1072388</v>
      </c>
      <c r="T8610">
        <v>-0.1226087</v>
      </c>
      <c r="U8610">
        <v>3.0171199999999998</v>
      </c>
      <c r="V8610">
        <v>-3.234037E-2</v>
      </c>
      <c r="W8610">
        <v>-0.1191797</v>
      </c>
      <c r="X8610">
        <v>0.9923459</v>
      </c>
      <c r="Y8610">
        <v>4.6495149999999999E-2</v>
      </c>
      <c r="Z8610">
        <v>-3.0385780000000001E-2</v>
      </c>
      <c r="AA8610">
        <v>0.99845620000000002</v>
      </c>
      <c r="AB8610">
        <v>42</v>
      </c>
      <c r="AC8610">
        <v>0.98130000000000395</v>
      </c>
      <c r="AD8610">
        <v>-1.11745809831299</v>
      </c>
      <c r="AE8610">
        <v>27.05406</v>
      </c>
      <c r="AF8610">
        <v>1.2769759766158599</v>
      </c>
      <c r="AG8610">
        <v>-1.11745809831299</v>
      </c>
      <c r="AH8610">
        <v>26.995617934087399</v>
      </c>
      <c r="AI8610">
        <v>92.367706965684704</v>
      </c>
      <c r="AJ8610">
        <v>87.291751713651607</v>
      </c>
      <c r="AK8610">
        <v>27.0488958719124</v>
      </c>
      <c r="AL8610">
        <v>96.844762818146606</v>
      </c>
      <c r="AM8610">
        <v>91.866598246697606</v>
      </c>
      <c r="AN8610">
        <v>1.00000004283531</v>
      </c>
    </row>
    <row r="8611" spans="1:40" x14ac:dyDescent="0.25">
      <c r="A8611" t="str">
        <f>"20190303154346251"</f>
        <v>20190303154346251</v>
      </c>
      <c r="B8611" t="str">
        <f>"1551599026249033"</f>
        <v>1551599026249033</v>
      </c>
      <c r="C8611" t="s">
        <v>40</v>
      </c>
      <c r="D8611">
        <v>5.9895329999999998</v>
      </c>
      <c r="E8611">
        <v>0.52646119999999996</v>
      </c>
      <c r="F8611" t="s">
        <v>41</v>
      </c>
      <c r="G8611">
        <v>-188.4812</v>
      </c>
      <c r="H8611" s="1">
        <v>-2.884811E-6</v>
      </c>
      <c r="I8611">
        <v>45.729329999999997</v>
      </c>
      <c r="J8611">
        <v>-189.33090000000001</v>
      </c>
      <c r="K8611">
        <v>1.1175200000000001</v>
      </c>
      <c r="L8611">
        <v>19.536380000000001</v>
      </c>
      <c r="M8611">
        <v>-8.8300640000000003E-3</v>
      </c>
      <c r="N8611">
        <v>-1.068912E-2</v>
      </c>
      <c r="O8611">
        <v>0.99990389999999996</v>
      </c>
      <c r="P8611">
        <v>-4.2089719999999997E-2</v>
      </c>
      <c r="Q8611">
        <v>-0.12924820000000001</v>
      </c>
      <c r="R8611">
        <v>0.9907186</v>
      </c>
      <c r="S8611">
        <v>9.5977779999999999E-2</v>
      </c>
      <c r="T8611">
        <v>-0.12663769999999999</v>
      </c>
      <c r="U8611">
        <v>3.0158390000000002</v>
      </c>
      <c r="V8611">
        <v>-3.4066230000000003E-2</v>
      </c>
      <c r="W8611">
        <v>-0.11844059999999999</v>
      </c>
      <c r="X8611">
        <v>0.99237660000000005</v>
      </c>
      <c r="Y8611">
        <v>4.0606379999999997E-2</v>
      </c>
      <c r="Z8611">
        <v>-3.1239949999999999E-2</v>
      </c>
      <c r="AA8611">
        <v>0.99868670000000004</v>
      </c>
      <c r="AB8611">
        <v>42</v>
      </c>
      <c r="AC8611">
        <v>0.849700000000012</v>
      </c>
      <c r="AD8611">
        <v>-1.1175228848109999</v>
      </c>
      <c r="AE8611">
        <v>26.19295</v>
      </c>
      <c r="AF8611">
        <v>1.0790034547970599</v>
      </c>
      <c r="AG8611">
        <v>-1.1175228848109999</v>
      </c>
      <c r="AH8611">
        <v>26.136898300931399</v>
      </c>
      <c r="AI8611">
        <v>92.446196043822397</v>
      </c>
      <c r="AJ8611">
        <v>87.636014089773099</v>
      </c>
      <c r="AK8611">
        <v>26.183020426352101</v>
      </c>
      <c r="AL8611">
        <v>96.802113715021903</v>
      </c>
      <c r="AM8611">
        <v>91.966073215741602</v>
      </c>
      <c r="AN8611">
        <v>0.99999999999116596</v>
      </c>
    </row>
    <row r="8612" spans="1:40" x14ac:dyDescent="0.25">
      <c r="A8612" t="str">
        <f>"20190303154346271"</f>
        <v>20190303154346271</v>
      </c>
      <c r="B8612" t="str">
        <f>"1551599026268553"</f>
        <v>1551599026268553</v>
      </c>
      <c r="C8612" t="s">
        <v>40</v>
      </c>
      <c r="D8612">
        <v>5.9877669999999998</v>
      </c>
      <c r="E8612">
        <v>0.52529820000000005</v>
      </c>
      <c r="F8612" t="s">
        <v>41</v>
      </c>
      <c r="G8612">
        <v>-188.6327</v>
      </c>
      <c r="H8612" s="1">
        <v>-2.8414949999999999E-6</v>
      </c>
      <c r="I8612">
        <v>45.691009999999999</v>
      </c>
      <c r="J8612">
        <v>-189.33260000000001</v>
      </c>
      <c r="K8612">
        <v>1.1175870000000001</v>
      </c>
      <c r="L8612">
        <v>19.911190000000001</v>
      </c>
      <c r="M8612">
        <v>-6.881323E-3</v>
      </c>
      <c r="N8612">
        <v>-1.1146919999999999E-2</v>
      </c>
      <c r="O8612">
        <v>0.99991419999999998</v>
      </c>
      <c r="P8612">
        <v>-4.1161719999999999E-2</v>
      </c>
      <c r="Q8612">
        <v>-0.12933359999999999</v>
      </c>
      <c r="R8612">
        <v>0.99074640000000003</v>
      </c>
      <c r="S8612">
        <v>8.0474850000000001E-2</v>
      </c>
      <c r="T8612">
        <v>-0.12881110000000001</v>
      </c>
      <c r="U8612">
        <v>3.0147089999999999</v>
      </c>
      <c r="V8612">
        <v>-3.5065300000000001E-2</v>
      </c>
      <c r="W8612">
        <v>-0.1180668</v>
      </c>
      <c r="X8612">
        <v>0.99238630000000005</v>
      </c>
      <c r="Y8612">
        <v>3.3539890000000003E-2</v>
      </c>
      <c r="Z8612">
        <v>-3.1527039999999999E-2</v>
      </c>
      <c r="AA8612">
        <v>0.99894000000000005</v>
      </c>
      <c r="AB8612">
        <v>42</v>
      </c>
      <c r="AC8612">
        <v>0.69990000000001296</v>
      </c>
      <c r="AD8612">
        <v>-1.1175898414950001</v>
      </c>
      <c r="AE8612">
        <v>25.779820000000001</v>
      </c>
      <c r="AF8612">
        <v>0.87564928627725103</v>
      </c>
      <c r="AG8612">
        <v>-1.1175898414950001</v>
      </c>
      <c r="AH8612">
        <v>25.726080591889001</v>
      </c>
      <c r="AI8612">
        <v>92.486035703685104</v>
      </c>
      <c r="AJ8612">
        <v>88.050552373067006</v>
      </c>
      <c r="AK8612">
        <v>25.765228338726899</v>
      </c>
      <c r="AL8612">
        <v>96.780545511730793</v>
      </c>
      <c r="AM8612">
        <v>92.023665779748896</v>
      </c>
      <c r="AN8612">
        <v>0.99999995647700901</v>
      </c>
    </row>
    <row r="8613" spans="1:40" x14ac:dyDescent="0.25">
      <c r="A8613" t="str">
        <f>"20190303154346293"</f>
        <v>20190303154346293</v>
      </c>
      <c r="B8613" t="str">
        <f>"1551599026288073"</f>
        <v>1551599026288073</v>
      </c>
      <c r="C8613" t="s">
        <v>40</v>
      </c>
      <c r="D8613">
        <v>6.0150860000000002</v>
      </c>
      <c r="E8613">
        <v>0.5243255</v>
      </c>
      <c r="F8613" t="s">
        <v>41</v>
      </c>
      <c r="G8613">
        <v>-188.6944</v>
      </c>
      <c r="H8613" s="1">
        <v>-2.8594009999999999E-6</v>
      </c>
      <c r="I8613">
        <v>45.758270000000003</v>
      </c>
      <c r="J8613">
        <v>-189.33359999999999</v>
      </c>
      <c r="K8613">
        <v>1.11765</v>
      </c>
      <c r="L8613">
        <v>20.331209999999999</v>
      </c>
      <c r="M8613">
        <v>-4.6987749999999997E-3</v>
      </c>
      <c r="N8613">
        <v>-1.163837E-2</v>
      </c>
      <c r="O8613">
        <v>0.99992119999999995</v>
      </c>
      <c r="P8613">
        <v>-4.0276970000000002E-2</v>
      </c>
      <c r="Q8613">
        <v>-0.12937419999999999</v>
      </c>
      <c r="R8613">
        <v>0.99077749999999998</v>
      </c>
      <c r="S8613">
        <v>7.4417109999999995E-2</v>
      </c>
      <c r="T8613">
        <v>-0.1303252</v>
      </c>
      <c r="U8613">
        <v>3.0140989999999999</v>
      </c>
      <c r="V8613">
        <v>-3.6338280000000001E-2</v>
      </c>
      <c r="W8613">
        <v>-0.1176131</v>
      </c>
      <c r="X8613">
        <v>0.99239440000000001</v>
      </c>
      <c r="Y8613">
        <v>2.9357879999999999E-2</v>
      </c>
      <c r="Z8613">
        <v>-3.1550460000000002E-2</v>
      </c>
      <c r="AA8613">
        <v>0.99907089999999998</v>
      </c>
      <c r="AB8613">
        <v>42</v>
      </c>
      <c r="AC8613">
        <v>0.639199999999988</v>
      </c>
      <c r="AD8613">
        <v>-1.117652859401</v>
      </c>
      <c r="AE8613">
        <v>25.427060000000001</v>
      </c>
      <c r="AF8613">
        <v>0.75721500868775704</v>
      </c>
      <c r="AG8613">
        <v>-1.117652859401</v>
      </c>
      <c r="AH8613">
        <v>25.374780858803899</v>
      </c>
      <c r="AI8613">
        <v>92.520888393862705</v>
      </c>
      <c r="AJ8613">
        <v>88.2907299526358</v>
      </c>
      <c r="AK8613">
        <v>25.4106675653323</v>
      </c>
      <c r="AL8613">
        <v>96.754367876622496</v>
      </c>
      <c r="AM8613">
        <v>92.097049626933398</v>
      </c>
      <c r="AN8613">
        <v>0.99999997851816402</v>
      </c>
    </row>
    <row r="8614" spans="1:40" x14ac:dyDescent="0.25">
      <c r="A8614" t="str">
        <f>"20190303154346319"</f>
        <v>20190303154346319</v>
      </c>
      <c r="B8614" t="str">
        <f>"1551599026308569"</f>
        <v>1551599026308569</v>
      </c>
      <c r="C8614" t="s">
        <v>40</v>
      </c>
      <c r="D8614">
        <v>6.0186380000000002</v>
      </c>
      <c r="E8614">
        <v>0.52341709999999997</v>
      </c>
      <c r="F8614" t="s">
        <v>41</v>
      </c>
      <c r="G8614">
        <v>-188.74719999999999</v>
      </c>
      <c r="H8614" s="1">
        <v>-2.8562319999999999E-6</v>
      </c>
      <c r="I8614">
        <v>45.772709999999996</v>
      </c>
      <c r="J8614">
        <v>-189.33369999999999</v>
      </c>
      <c r="K8614">
        <v>1.1177029999999999</v>
      </c>
      <c r="L8614">
        <v>20.78754</v>
      </c>
      <c r="M8614">
        <v>-2.3322949999999999E-3</v>
      </c>
      <c r="N8614">
        <v>-1.212332E-2</v>
      </c>
      <c r="O8614">
        <v>0.99992380000000003</v>
      </c>
      <c r="P8614">
        <v>-3.867321E-2</v>
      </c>
      <c r="Q8614">
        <v>-0.130554</v>
      </c>
      <c r="R8614">
        <v>0.99068670000000003</v>
      </c>
      <c r="S8614">
        <v>6.9458010000000001E-2</v>
      </c>
      <c r="T8614">
        <v>-0.13238220000000001</v>
      </c>
      <c r="U8614">
        <v>3.013458</v>
      </c>
      <c r="V8614">
        <v>-3.7082370000000003E-2</v>
      </c>
      <c r="W8614">
        <v>-0.1183097</v>
      </c>
      <c r="X8614">
        <v>0.9922841</v>
      </c>
      <c r="Y8614">
        <v>2.5354700000000001E-2</v>
      </c>
      <c r="Z8614">
        <v>-3.1759750000000003E-2</v>
      </c>
      <c r="AA8614">
        <v>0.99917389999999995</v>
      </c>
      <c r="AB8614">
        <v>42</v>
      </c>
      <c r="AC8614">
        <v>0.58650000000000002</v>
      </c>
      <c r="AD8614">
        <v>-1.1177058562319999</v>
      </c>
      <c r="AE8614">
        <v>24.98517</v>
      </c>
      <c r="AF8614">
        <v>0.64348843417591794</v>
      </c>
      <c r="AG8614">
        <v>-1.1177058562319999</v>
      </c>
      <c r="AH8614">
        <v>24.933863881790899</v>
      </c>
      <c r="AI8614">
        <v>92.5658161995879</v>
      </c>
      <c r="AJ8614">
        <v>88.521649536447498</v>
      </c>
      <c r="AK8614">
        <v>24.967196715323301</v>
      </c>
      <c r="AL8614">
        <v>96.794560514550795</v>
      </c>
      <c r="AM8614">
        <v>92.140188523157804</v>
      </c>
      <c r="AN8614">
        <v>1.00000001119585</v>
      </c>
    </row>
    <row r="8615" spans="1:40" x14ac:dyDescent="0.25">
      <c r="A8615" t="str">
        <f>"20190303154346340"</f>
        <v>20190303154346340</v>
      </c>
      <c r="B8615" t="str">
        <f>"1551599026328089"</f>
        <v>1551599026328089</v>
      </c>
      <c r="C8615" t="s">
        <v>40</v>
      </c>
      <c r="D8615">
        <v>5.9932480000000004</v>
      </c>
      <c r="E8615">
        <v>0.52266210000000002</v>
      </c>
      <c r="F8615" t="s">
        <v>41</v>
      </c>
      <c r="G8615">
        <v>-188.78489999999999</v>
      </c>
      <c r="H8615" s="1">
        <v>-2.7252370000000001E-6</v>
      </c>
      <c r="I8615">
        <v>45.482930000000003</v>
      </c>
      <c r="J8615">
        <v>-189.33279999999999</v>
      </c>
      <c r="K8615">
        <v>1.117737</v>
      </c>
      <c r="L8615">
        <v>21.190829999999998</v>
      </c>
      <c r="M8615">
        <v>-2.4589060000000001E-4</v>
      </c>
      <c r="N8615">
        <v>-1.25062E-2</v>
      </c>
      <c r="O8615">
        <v>0.99992170000000002</v>
      </c>
      <c r="P8615">
        <v>-3.7069049999999999E-2</v>
      </c>
      <c r="Q8615">
        <v>-0.13152730000000001</v>
      </c>
      <c r="R8615">
        <v>0.99061920000000003</v>
      </c>
      <c r="S8615">
        <v>6.6955570000000006E-2</v>
      </c>
      <c r="T8615">
        <v>-0.1363605</v>
      </c>
      <c r="U8615">
        <v>3.012848</v>
      </c>
      <c r="V8615">
        <v>-3.7547650000000002E-2</v>
      </c>
      <c r="W8615">
        <v>-0.1189023</v>
      </c>
      <c r="X8615">
        <v>0.99219570000000001</v>
      </c>
      <c r="Y8615">
        <v>2.244372E-2</v>
      </c>
      <c r="Z8615">
        <v>-3.2705140000000001E-2</v>
      </c>
      <c r="AA8615">
        <v>0.99921300000000002</v>
      </c>
      <c r="AB8615">
        <v>42</v>
      </c>
      <c r="AC8615">
        <v>0.54789999999999806</v>
      </c>
      <c r="AD8615">
        <v>-1.117739725237</v>
      </c>
      <c r="AE8615">
        <v>24.292100000000001</v>
      </c>
      <c r="AF8615">
        <v>0.55270408856008502</v>
      </c>
      <c r="AG8615">
        <v>-1.117739725237</v>
      </c>
      <c r="AH8615">
        <v>24.240669536918201</v>
      </c>
      <c r="AI8615">
        <v>92.639359210438897</v>
      </c>
      <c r="AJ8615">
        <v>88.693842776941395</v>
      </c>
      <c r="AK8615">
        <v>24.272718914471898</v>
      </c>
      <c r="AL8615">
        <v>96.828755815465996</v>
      </c>
      <c r="AM8615">
        <v>92.167209345620606</v>
      </c>
      <c r="AN8615">
        <v>0.99999994503214895</v>
      </c>
    </row>
    <row r="8616" spans="1:40" x14ac:dyDescent="0.25">
      <c r="A8616" t="str">
        <f>"20190303154346364"</f>
        <v>20190303154346364</v>
      </c>
      <c r="B8616" t="str">
        <f>"1551599026358345"</f>
        <v>1551599026358345</v>
      </c>
      <c r="C8616" t="s">
        <v>40</v>
      </c>
      <c r="D8616">
        <v>6.0205209999999996</v>
      </c>
      <c r="E8616">
        <v>0.52161499999999905</v>
      </c>
      <c r="F8616" t="s">
        <v>41</v>
      </c>
      <c r="G8616">
        <v>-188.81139999999999</v>
      </c>
      <c r="H8616" s="1">
        <v>-2.5883150000000001E-6</v>
      </c>
      <c r="I8616">
        <v>45.174750000000003</v>
      </c>
      <c r="J8616">
        <v>-189.33070000000001</v>
      </c>
      <c r="K8616">
        <v>1.117764</v>
      </c>
      <c r="L8616">
        <v>21.639559999999999</v>
      </c>
      <c r="M8616">
        <v>2.0732580000000001E-3</v>
      </c>
      <c r="N8616">
        <v>-1.288444E-2</v>
      </c>
      <c r="O8616">
        <v>0.99991479999999999</v>
      </c>
      <c r="P8616">
        <v>-3.4655060000000001E-2</v>
      </c>
      <c r="Q8616">
        <v>-0.13088279999999999</v>
      </c>
      <c r="R8616">
        <v>0.99079200000000001</v>
      </c>
      <c r="S8616">
        <v>6.5475459999999999E-2</v>
      </c>
      <c r="T8616">
        <v>-0.14038</v>
      </c>
      <c r="U8616">
        <v>3.0122070000000001</v>
      </c>
      <c r="V8616">
        <v>-3.7423070000000003E-2</v>
      </c>
      <c r="W8616">
        <v>-0.1178828</v>
      </c>
      <c r="X8616">
        <v>0.99232209999999998</v>
      </c>
      <c r="Y8616">
        <v>1.9638739999999998E-2</v>
      </c>
      <c r="Z8616">
        <v>-3.3669009999999999E-2</v>
      </c>
      <c r="AA8616">
        <v>0.99924000000000002</v>
      </c>
      <c r="AB8616">
        <v>42</v>
      </c>
      <c r="AC8616">
        <v>0.51930000000001497</v>
      </c>
      <c r="AD8616">
        <v>-1.1177665883149901</v>
      </c>
      <c r="AE8616">
        <v>23.53519</v>
      </c>
      <c r="AF8616">
        <v>0.46944194049968901</v>
      </c>
      <c r="AG8616">
        <v>-1.1177665883149901</v>
      </c>
      <c r="AH8616">
        <v>23.483272470003602</v>
      </c>
      <c r="AI8616">
        <v>92.724588077817003</v>
      </c>
      <c r="AJ8616">
        <v>88.854782273189898</v>
      </c>
      <c r="AK8616">
        <v>23.514545791528299</v>
      </c>
      <c r="AL8616">
        <v>96.769928683076699</v>
      </c>
      <c r="AM8616">
        <v>92.159750667473503</v>
      </c>
      <c r="AN8616">
        <v>0.99999999542623697</v>
      </c>
    </row>
    <row r="8617" spans="1:40" x14ac:dyDescent="0.25">
      <c r="A8617" t="str">
        <f>"20190303154346384"</f>
        <v>20190303154346384</v>
      </c>
      <c r="B8617" t="str">
        <f>"1551599026378841"</f>
        <v>1551599026378841</v>
      </c>
      <c r="C8617" t="s">
        <v>40</v>
      </c>
      <c r="D8617">
        <v>6.0323349999999998</v>
      </c>
      <c r="E8617">
        <v>0.5209935</v>
      </c>
      <c r="F8617" t="s">
        <v>41</v>
      </c>
      <c r="G8617">
        <v>-188.8186</v>
      </c>
      <c r="H8617" s="1">
        <v>-2.7985259999999998E-6</v>
      </c>
      <c r="I8617">
        <v>45.667700000000004</v>
      </c>
      <c r="J8617">
        <v>-189.32820000000001</v>
      </c>
      <c r="K8617">
        <v>1.117802</v>
      </c>
      <c r="L8617">
        <v>22.021730000000002</v>
      </c>
      <c r="M8617">
        <v>4.0478370000000003E-3</v>
      </c>
      <c r="N8617">
        <v>-1.3170599999999999E-2</v>
      </c>
      <c r="O8617">
        <v>0.99990500000000004</v>
      </c>
      <c r="P8617">
        <v>-3.2122499999999998E-2</v>
      </c>
      <c r="Q8617">
        <v>-0.1307673</v>
      </c>
      <c r="R8617">
        <v>0.99089260000000001</v>
      </c>
      <c r="S8617">
        <v>6.4193730000000004E-2</v>
      </c>
      <c r="T8617">
        <v>-0.1400981</v>
      </c>
      <c r="U8617">
        <v>3.0116269999999998</v>
      </c>
      <c r="V8617">
        <v>-3.6841850000000002E-2</v>
      </c>
      <c r="W8617">
        <v>-0.1174873</v>
      </c>
      <c r="X8617">
        <v>0.99239080000000002</v>
      </c>
      <c r="Y8617">
        <v>1.724442E-2</v>
      </c>
      <c r="Z8617">
        <v>-3.329969E-2</v>
      </c>
      <c r="AA8617">
        <v>0.99929659999999998</v>
      </c>
      <c r="AB8617">
        <v>41</v>
      </c>
      <c r="AC8617">
        <v>0.50960000000000605</v>
      </c>
      <c r="AD8617">
        <v>-1.117804798526</v>
      </c>
      <c r="AE8617">
        <v>23.645969999999998</v>
      </c>
      <c r="AF8617">
        <v>0.41295009480640199</v>
      </c>
      <c r="AG8617">
        <v>-1.117804798526</v>
      </c>
      <c r="AH8617">
        <v>23.595135820529698</v>
      </c>
      <c r="AI8617">
        <v>92.711909125742693</v>
      </c>
      <c r="AJ8617">
        <v>88.997340703114403</v>
      </c>
      <c r="AK8617">
        <v>23.625207930040599</v>
      </c>
      <c r="AL8617">
        <v>96.747109304193501</v>
      </c>
      <c r="AM8617">
        <v>92.126091419471507</v>
      </c>
      <c r="AN8617">
        <v>1.00000004374867</v>
      </c>
    </row>
    <row r="8618" spans="1:40" x14ac:dyDescent="0.25">
      <c r="A8618" t="str">
        <f>"20190303154346406"</f>
        <v>20190303154346406</v>
      </c>
      <c r="B8618" t="str">
        <f>"1551599026398362"</f>
        <v>1551599026398362</v>
      </c>
      <c r="C8618" t="s">
        <v>40</v>
      </c>
      <c r="D8618">
        <v>6.0102500000000001</v>
      </c>
      <c r="E8618">
        <v>0.52065890000000004</v>
      </c>
      <c r="F8618" t="s">
        <v>41</v>
      </c>
      <c r="G8618">
        <v>-188.79990000000001</v>
      </c>
      <c r="H8618" s="1">
        <v>-2.8095890000000001E-6</v>
      </c>
      <c r="I8618">
        <v>45.685749999999999</v>
      </c>
      <c r="J8618">
        <v>-189.32480000000001</v>
      </c>
      <c r="K8618">
        <v>1.1178319999999999</v>
      </c>
      <c r="L8618">
        <v>22.419740000000001</v>
      </c>
      <c r="M8618">
        <v>6.1012799999999997E-3</v>
      </c>
      <c r="N8618">
        <v>-1.3434979999999999E-2</v>
      </c>
      <c r="O8618">
        <v>0.99989110000000003</v>
      </c>
      <c r="P8618">
        <v>-2.9199590000000001E-2</v>
      </c>
      <c r="Q8618">
        <v>-0.1316457</v>
      </c>
      <c r="R8618">
        <v>0.99086669999999999</v>
      </c>
      <c r="S8618">
        <v>6.7230219999999993E-2</v>
      </c>
      <c r="T8618">
        <v>-0.14222839999999901</v>
      </c>
      <c r="U8618">
        <v>3.0109859999999999</v>
      </c>
      <c r="V8618">
        <v>-3.595284E-2</v>
      </c>
      <c r="W8618">
        <v>-0.11811099999999999</v>
      </c>
      <c r="X8618">
        <v>0.99234929999999999</v>
      </c>
      <c r="Y8618">
        <v>1.62027E-2</v>
      </c>
      <c r="Z8618">
        <v>-3.3750219999999997E-2</v>
      </c>
      <c r="AA8618">
        <v>0.99929889999999999</v>
      </c>
      <c r="AB8618">
        <v>41</v>
      </c>
      <c r="AC8618">
        <v>0.52490000000000203</v>
      </c>
      <c r="AD8618">
        <v>-1.1178348095889901</v>
      </c>
      <c r="AE8618">
        <v>23.266010000000001</v>
      </c>
      <c r="AF8618">
        <v>0.38204350807179599</v>
      </c>
      <c r="AG8618">
        <v>-1.1178348095889901</v>
      </c>
      <c r="AH8618">
        <v>23.215216933201098</v>
      </c>
      <c r="AI8618">
        <v>92.756344546564307</v>
      </c>
      <c r="AJ8618">
        <v>89.057191455365597</v>
      </c>
      <c r="AK8618">
        <v>23.245253475907202</v>
      </c>
      <c r="AL8618">
        <v>96.783095709582696</v>
      </c>
      <c r="AM8618">
        <v>92.074919987894205</v>
      </c>
      <c r="AN8618">
        <v>0.99999997411777697</v>
      </c>
    </row>
    <row r="8619" spans="1:40" x14ac:dyDescent="0.25">
      <c r="A8619" t="str">
        <f>"20190303154346431"</f>
        <v>20190303154346431</v>
      </c>
      <c r="B8619" t="str">
        <f>"1551599026428618"</f>
        <v>1551599026428618</v>
      </c>
      <c r="C8619" t="s">
        <v>40</v>
      </c>
      <c r="D8619">
        <v>5.9974809999999996</v>
      </c>
      <c r="E8619">
        <v>0.51193889999999997</v>
      </c>
      <c r="F8619" t="s">
        <v>41</v>
      </c>
      <c r="G8619">
        <v>-188.76150000000001</v>
      </c>
      <c r="H8619" s="1">
        <v>-2.714378E-6</v>
      </c>
      <c r="I8619">
        <v>45.447940000000003</v>
      </c>
      <c r="J8619">
        <v>-189.31979999999999</v>
      </c>
      <c r="K8619">
        <v>1.117864</v>
      </c>
      <c r="L8619">
        <v>22.880130000000001</v>
      </c>
      <c r="M8619">
        <v>8.4680499999999995E-3</v>
      </c>
      <c r="N8619">
        <v>-1.370232E-2</v>
      </c>
      <c r="O8619">
        <v>0.99987020000000004</v>
      </c>
      <c r="P8619">
        <v>-2.6031370000000002E-2</v>
      </c>
      <c r="Q8619">
        <v>-0.13359889999999999</v>
      </c>
      <c r="R8619">
        <v>0.99069359999999995</v>
      </c>
      <c r="S8619">
        <v>7.3638919999999997E-2</v>
      </c>
      <c r="T8619">
        <v>-0.14613119999999999</v>
      </c>
      <c r="U8619">
        <v>3.0104060000000001</v>
      </c>
      <c r="V8619">
        <v>-3.5131740000000002E-2</v>
      </c>
      <c r="W8619">
        <v>-0.1198087</v>
      </c>
      <c r="X8619">
        <v>0.99217520000000003</v>
      </c>
      <c r="Y8619">
        <v>1.5965340000000001E-2</v>
      </c>
      <c r="Z8619">
        <v>-3.4782649999999998E-2</v>
      </c>
      <c r="AA8619">
        <v>0.99926729999999997</v>
      </c>
      <c r="AB8619">
        <v>41</v>
      </c>
      <c r="AC8619">
        <v>0.55829999999997404</v>
      </c>
      <c r="AD8619">
        <v>-1.1178667143779999</v>
      </c>
      <c r="AE8619">
        <v>22.567810000000001</v>
      </c>
      <c r="AF8619">
        <v>0.36625858349353402</v>
      </c>
      <c r="AG8619">
        <v>-1.1178667143779999</v>
      </c>
      <c r="AH8619">
        <v>22.516516434792099</v>
      </c>
      <c r="AI8619">
        <v>92.841827224885293</v>
      </c>
      <c r="AJ8619">
        <v>89.068096497665806</v>
      </c>
      <c r="AK8619">
        <v>22.547223414411</v>
      </c>
      <c r="AL8619">
        <v>96.881062275915795</v>
      </c>
      <c r="AM8619">
        <v>92.027927944628004</v>
      </c>
      <c r="AN8619">
        <v>0.99999999562307795</v>
      </c>
    </row>
    <row r="8620" spans="1:40" x14ac:dyDescent="0.25">
      <c r="A8620" t="str">
        <f>"20190303154346453"</f>
        <v>20190303154346453</v>
      </c>
      <c r="B8620" t="str">
        <f>"1551599026449113"</f>
        <v>1551599026449113</v>
      </c>
      <c r="C8620" t="s">
        <v>40</v>
      </c>
      <c r="D8620">
        <v>6.0228599999999997</v>
      </c>
      <c r="E8620">
        <v>0.51159079999999901</v>
      </c>
      <c r="F8620" t="s">
        <v>41</v>
      </c>
      <c r="G8620">
        <v>-189.2296</v>
      </c>
      <c r="H8620" s="1">
        <v>-1.3372009999999999E-6</v>
      </c>
      <c r="I8620">
        <v>42.431260000000002</v>
      </c>
      <c r="J8620">
        <v>-189.31469999999999</v>
      </c>
      <c r="K8620">
        <v>1.117888</v>
      </c>
      <c r="L8620">
        <v>23.271640000000001</v>
      </c>
      <c r="M8620">
        <v>1.047144E-2</v>
      </c>
      <c r="N8620">
        <v>-1.389933E-2</v>
      </c>
      <c r="O8620">
        <v>0.99984850000000003</v>
      </c>
      <c r="P8620">
        <v>-2.268044E-2</v>
      </c>
      <c r="Q8620">
        <v>-0.13473160000000001</v>
      </c>
      <c r="R8620">
        <v>0.99062249999999996</v>
      </c>
      <c r="S8620">
        <v>1.3870240000000001E-2</v>
      </c>
      <c r="T8620">
        <v>-0.17183660000000001</v>
      </c>
      <c r="U8620">
        <v>3.0053709999999998</v>
      </c>
      <c r="V8620">
        <v>-3.3764309999999999E-2</v>
      </c>
      <c r="W8620">
        <v>-0.1207572</v>
      </c>
      <c r="X8620">
        <v>0.99210770000000004</v>
      </c>
      <c r="Y8620">
        <v>-5.8589089999999998E-3</v>
      </c>
      <c r="Z8620">
        <v>-4.3195940000000002E-2</v>
      </c>
      <c r="AA8620">
        <v>0.99904939999999998</v>
      </c>
      <c r="AB8620">
        <v>41</v>
      </c>
      <c r="AC8620">
        <v>8.5099999999982801E-2</v>
      </c>
      <c r="AD8620">
        <v>-1.1178893372009999</v>
      </c>
      <c r="AE8620">
        <v>19.15962</v>
      </c>
      <c r="AF8620">
        <v>-0.115160843397296</v>
      </c>
      <c r="AG8620">
        <v>-1.1178893372009999</v>
      </c>
      <c r="AH8620">
        <v>19.094459148264399</v>
      </c>
      <c r="AI8620">
        <v>93.350508715576197</v>
      </c>
      <c r="AJ8620">
        <v>90.345553138755307</v>
      </c>
      <c r="AK8620">
        <v>19.127501372495502</v>
      </c>
      <c r="AL8620">
        <v>96.935804680343495</v>
      </c>
      <c r="AM8620">
        <v>91.949189678232699</v>
      </c>
      <c r="AN8620">
        <v>1.00000000919045</v>
      </c>
    </row>
    <row r="8621" spans="1:40" x14ac:dyDescent="0.25">
      <c r="A8621" t="str">
        <f>"20190303154346473"</f>
        <v>20190303154346473</v>
      </c>
      <c r="B8621" t="str">
        <f>"1551599026468633"</f>
        <v>1551599026468633</v>
      </c>
      <c r="C8621" t="s">
        <v>40</v>
      </c>
      <c r="D8621">
        <v>6.0326849999999999</v>
      </c>
      <c r="E8621">
        <v>0.51110599999999995</v>
      </c>
      <c r="F8621" t="s">
        <v>41</v>
      </c>
      <c r="G8621">
        <v>-189.18100000000001</v>
      </c>
      <c r="H8621" s="1">
        <v>-1.2883490000000001E-6</v>
      </c>
      <c r="I8621">
        <v>42.297310000000003</v>
      </c>
      <c r="J8621">
        <v>-189.30879999999999</v>
      </c>
      <c r="K8621">
        <v>1.117918</v>
      </c>
      <c r="L8621">
        <v>23.669740000000001</v>
      </c>
      <c r="M8621">
        <v>1.249866E-2</v>
      </c>
      <c r="N8621">
        <v>-1.4074669999999999E-2</v>
      </c>
      <c r="O8621">
        <v>0.99982289999999996</v>
      </c>
      <c r="P8621">
        <v>-2.0255390000000002E-2</v>
      </c>
      <c r="Q8621">
        <v>-0.13445029999999999</v>
      </c>
      <c r="R8621">
        <v>0.99071330000000002</v>
      </c>
      <c r="S8621">
        <v>2.111816E-2</v>
      </c>
      <c r="T8621">
        <v>-0.17655750000000001</v>
      </c>
      <c r="U8621">
        <v>3.004883</v>
      </c>
      <c r="V8621">
        <v>-3.333991E-2</v>
      </c>
      <c r="W8621">
        <v>-0.12030540000000001</v>
      </c>
      <c r="X8621">
        <v>0.99217690000000003</v>
      </c>
      <c r="Y8621">
        <v>-5.476557E-3</v>
      </c>
      <c r="Z8621">
        <v>-4.4592079999999999E-2</v>
      </c>
      <c r="AA8621">
        <v>0.99899020000000005</v>
      </c>
      <c r="AB8621">
        <v>41</v>
      </c>
      <c r="AC8621">
        <v>0.12780000000000699</v>
      </c>
      <c r="AD8621">
        <v>-1.1179192883489999</v>
      </c>
      <c r="AE8621">
        <v>18.627569999999899</v>
      </c>
      <c r="AF8621">
        <v>-0.104675702093611</v>
      </c>
      <c r="AG8621">
        <v>-1.1179192883489999</v>
      </c>
      <c r="AH8621">
        <v>18.560864508915</v>
      </c>
      <c r="AI8621">
        <v>93.446701398796506</v>
      </c>
      <c r="AJ8621">
        <v>90.323121391389293</v>
      </c>
      <c r="AK8621">
        <v>18.594794751654899</v>
      </c>
      <c r="AL8621">
        <v>96.909728611253101</v>
      </c>
      <c r="AM8621">
        <v>91.924573772773897</v>
      </c>
      <c r="AN8621">
        <v>0.99999996988078799</v>
      </c>
    </row>
    <row r="8622" spans="1:40" x14ac:dyDescent="0.25">
      <c r="A8622" t="str">
        <f>"20190303154346496"</f>
        <v>20190303154346496</v>
      </c>
      <c r="B8622" t="str">
        <f>"1551599026489131"</f>
        <v>1551599026489131</v>
      </c>
      <c r="C8622" t="s">
        <v>40</v>
      </c>
      <c r="D8622">
        <v>6.0573350000000001</v>
      </c>
      <c r="E8622">
        <v>0.51078710000000005</v>
      </c>
      <c r="F8622" t="s">
        <v>41</v>
      </c>
      <c r="G8622">
        <v>-189.148</v>
      </c>
      <c r="H8622" s="1">
        <v>-1.6047540000000001E-6</v>
      </c>
      <c r="I8622">
        <v>43.021189999999997</v>
      </c>
      <c r="J8622">
        <v>-189.30179999999999</v>
      </c>
      <c r="K8622">
        <v>1.11795</v>
      </c>
      <c r="L8622">
        <v>24.08426</v>
      </c>
      <c r="M8622">
        <v>1.4595149999999999E-2</v>
      </c>
      <c r="N8622">
        <v>-1.423345E-2</v>
      </c>
      <c r="O8622">
        <v>0.99979220000000002</v>
      </c>
      <c r="P8622">
        <v>-1.8117600000000001E-2</v>
      </c>
      <c r="Q8622">
        <v>-0.13424069999999999</v>
      </c>
      <c r="R8622">
        <v>0.99078310000000003</v>
      </c>
      <c r="S8622">
        <v>2.497864E-2</v>
      </c>
      <c r="T8622">
        <v>-0.17360059999999999</v>
      </c>
      <c r="U8622">
        <v>3.0050659999999998</v>
      </c>
      <c r="V8622">
        <v>-3.3271370000000001E-2</v>
      </c>
      <c r="W8622">
        <v>-0.1199399</v>
      </c>
      <c r="X8622">
        <v>0.99222350000000004</v>
      </c>
      <c r="Y8622">
        <v>-6.2897500000000002E-3</v>
      </c>
      <c r="Z8622">
        <v>-4.3447640000000003E-2</v>
      </c>
      <c r="AA8622">
        <v>0.99903589999999998</v>
      </c>
      <c r="AB8622">
        <v>41</v>
      </c>
      <c r="AC8622">
        <v>0.153799999999989</v>
      </c>
      <c r="AD8622">
        <v>-1.1179516047539999</v>
      </c>
      <c r="AE8622">
        <v>18.93693</v>
      </c>
      <c r="AF8622">
        <v>-0.122205830136983</v>
      </c>
      <c r="AG8622">
        <v>-1.1179516047539999</v>
      </c>
      <c r="AH8622">
        <v>18.871391380948999</v>
      </c>
      <c r="AI8622">
        <v>93.390200291087993</v>
      </c>
      <c r="AJ8622">
        <v>90.3710261890825</v>
      </c>
      <c r="AK8622">
        <v>18.904871401531601</v>
      </c>
      <c r="AL8622">
        <v>96.888633921413401</v>
      </c>
      <c r="AM8622">
        <v>91.920530076259595</v>
      </c>
      <c r="AN8622">
        <v>1.0000000188129601</v>
      </c>
    </row>
    <row r="8623" spans="1:40" x14ac:dyDescent="0.25">
      <c r="A8623" t="str">
        <f>"20190303154346519"</f>
        <v>20190303154346519</v>
      </c>
      <c r="B8623" t="str">
        <f>"1551599026508650"</f>
        <v>1551599026508650</v>
      </c>
      <c r="C8623" t="s">
        <v>40</v>
      </c>
      <c r="D8623">
        <v>6.047193</v>
      </c>
      <c r="E8623">
        <v>0.51077209999999995</v>
      </c>
      <c r="F8623" t="s">
        <v>41</v>
      </c>
      <c r="G8623">
        <v>-189.1156</v>
      </c>
      <c r="H8623" s="1">
        <v>-1.7077099999999901E-6</v>
      </c>
      <c r="I8623">
        <v>43.247779999999999</v>
      </c>
      <c r="J8623">
        <v>-189.29390000000001</v>
      </c>
      <c r="K8623">
        <v>1.1179749999999999</v>
      </c>
      <c r="L8623">
        <v>24.49832</v>
      </c>
      <c r="M8623">
        <v>1.6670310000000001E-2</v>
      </c>
      <c r="N8623">
        <v>-1.436904E-2</v>
      </c>
      <c r="O8623">
        <v>0.99975780000000003</v>
      </c>
      <c r="P8623">
        <v>-1.73759E-2</v>
      </c>
      <c r="Q8623">
        <v>-0.13449</v>
      </c>
      <c r="R8623">
        <v>0.99076260000000005</v>
      </c>
      <c r="S8623">
        <v>2.920532E-2</v>
      </c>
      <c r="T8623">
        <v>-0.17528669999999999</v>
      </c>
      <c r="U8623">
        <v>3.0047000000000001</v>
      </c>
      <c r="V8623">
        <v>-3.4580020000000003E-2</v>
      </c>
      <c r="W8623">
        <v>-0.1200499</v>
      </c>
      <c r="X8623">
        <v>0.99216539999999998</v>
      </c>
      <c r="Y8623">
        <v>-6.9589059999999999E-3</v>
      </c>
      <c r="Z8623">
        <v>-4.3874759999999999E-2</v>
      </c>
      <c r="AA8623">
        <v>0.99901280000000003</v>
      </c>
      <c r="AB8623">
        <v>41</v>
      </c>
      <c r="AC8623">
        <v>0.17830000000000701</v>
      </c>
      <c r="AD8623">
        <v>-1.11797670771</v>
      </c>
      <c r="AE8623">
        <v>18.749459999999999</v>
      </c>
      <c r="AF8623">
        <v>-0.1338405466657</v>
      </c>
      <c r="AG8623">
        <v>-1.11797670771</v>
      </c>
      <c r="AH8623">
        <v>18.6834057738002</v>
      </c>
      <c r="AI8623">
        <v>93.424291166722398</v>
      </c>
      <c r="AJ8623">
        <v>90.410437335309695</v>
      </c>
      <c r="AK8623">
        <v>18.717303131578198</v>
      </c>
      <c r="AL8623">
        <v>96.894982675192097</v>
      </c>
      <c r="AM8623">
        <v>91.996126388937199</v>
      </c>
      <c r="AN8623">
        <v>0.99999996861518403</v>
      </c>
    </row>
    <row r="8624" spans="1:40" x14ac:dyDescent="0.25">
      <c r="A8624" t="str">
        <f>"20190303154346541"</f>
        <v>20190303154346541</v>
      </c>
      <c r="B8624" t="str">
        <f>"1551599026538906"</f>
        <v>1551599026538906</v>
      </c>
      <c r="C8624" t="s">
        <v>40</v>
      </c>
      <c r="D8624">
        <v>5.9227359999999996</v>
      </c>
      <c r="E8624">
        <v>0.4955773</v>
      </c>
      <c r="F8624" t="s">
        <v>41</v>
      </c>
      <c r="G8624">
        <v>-189.09950000000001</v>
      </c>
      <c r="H8624" s="1">
        <v>-1.7934090000000001E-6</v>
      </c>
      <c r="I8624">
        <v>43.440890000000003</v>
      </c>
      <c r="J8624">
        <v>-189.285</v>
      </c>
      <c r="K8624">
        <v>1.1180060000000001</v>
      </c>
      <c r="L8624">
        <v>24.919129999999999</v>
      </c>
      <c r="M8624">
        <v>1.8763100000000001E-2</v>
      </c>
      <c r="N8624">
        <v>-1.4487740000000001E-2</v>
      </c>
      <c r="O8624">
        <v>0.99971900000000002</v>
      </c>
      <c r="P8624">
        <v>-1.655645E-2</v>
      </c>
      <c r="Q8624">
        <v>-0.13509309999999999</v>
      </c>
      <c r="R8624">
        <v>0.99069459999999998</v>
      </c>
      <c r="S8624">
        <v>3.0838009999999999E-2</v>
      </c>
      <c r="T8624">
        <v>-0.177320799999999</v>
      </c>
      <c r="U8624">
        <v>3.0044559999999998</v>
      </c>
      <c r="V8624">
        <v>-3.5828760000000001E-2</v>
      </c>
      <c r="W8624">
        <v>-0.1205316</v>
      </c>
      <c r="X8624">
        <v>0.99206269999999996</v>
      </c>
      <c r="Y8624">
        <v>-8.5079470000000001E-3</v>
      </c>
      <c r="Z8624">
        <v>-4.4431249999999999E-2</v>
      </c>
      <c r="AA8624">
        <v>0.99897619999999998</v>
      </c>
      <c r="AB8624">
        <v>41</v>
      </c>
      <c r="AC8624">
        <v>0.18549999999999001</v>
      </c>
      <c r="AD8624">
        <v>-1.118007793409</v>
      </c>
      <c r="AE8624">
        <v>18.52176</v>
      </c>
      <c r="AF8624">
        <v>-0.16150637253175701</v>
      </c>
      <c r="AG8624">
        <v>-1.118007793409</v>
      </c>
      <c r="AH8624">
        <v>18.454745510089101</v>
      </c>
      <c r="AI8624">
        <v>93.466668864330998</v>
      </c>
      <c r="AJ8624">
        <v>90.501410180698102</v>
      </c>
      <c r="AK8624">
        <v>18.489284939571</v>
      </c>
      <c r="AL8624">
        <v>96.922783821598898</v>
      </c>
      <c r="AM8624">
        <v>92.068362120625906</v>
      </c>
      <c r="AN8624">
        <v>0.99999998368649301</v>
      </c>
    </row>
    <row r="8625" spans="1:40" x14ac:dyDescent="0.25">
      <c r="A8625" t="str">
        <f>"20190303154346563"</f>
        <v>20190303154346563</v>
      </c>
      <c r="B8625" t="str">
        <f>"1551599026558426"</f>
        <v>1551599026558426</v>
      </c>
      <c r="C8625" t="s">
        <v>40</v>
      </c>
      <c r="D8625">
        <v>5.9492669999999999</v>
      </c>
      <c r="E8625">
        <v>0.49577270000000001</v>
      </c>
      <c r="F8625" t="s">
        <v>41</v>
      </c>
      <c r="G8625">
        <v>-190.0153</v>
      </c>
      <c r="H8625" s="1">
        <v>-1.017341E-7</v>
      </c>
      <c r="I8625">
        <v>49.816780000000001</v>
      </c>
      <c r="J8625">
        <v>-189.27590000000001</v>
      </c>
      <c r="K8625">
        <v>1.1180380000000001</v>
      </c>
      <c r="L8625">
        <v>25.30988</v>
      </c>
      <c r="M8625">
        <v>2.069025E-2</v>
      </c>
      <c r="N8625">
        <v>-1.4582970000000001E-2</v>
      </c>
      <c r="O8625">
        <v>0.9996796</v>
      </c>
      <c r="P8625">
        <v>-1.5466000000000001E-2</v>
      </c>
      <c r="Q8625">
        <v>-0.1348694</v>
      </c>
      <c r="R8625">
        <v>0.99074269999999998</v>
      </c>
      <c r="S8625">
        <v>-8.824158E-2</v>
      </c>
      <c r="T8625">
        <v>-0.13508499999999901</v>
      </c>
      <c r="U8625">
        <v>3.0083009999999999</v>
      </c>
      <c r="V8625">
        <v>-3.6640060000000002E-2</v>
      </c>
      <c r="W8625">
        <v>-0.1202107</v>
      </c>
      <c r="X8625">
        <v>0.99207199999999995</v>
      </c>
      <c r="Y8625">
        <v>-4.9962289999999999E-2</v>
      </c>
      <c r="Z8625">
        <v>-3.0229369999999998E-2</v>
      </c>
      <c r="AA8625">
        <v>0.99829349999999994</v>
      </c>
      <c r="AB8625">
        <v>41</v>
      </c>
      <c r="AC8625">
        <v>-0.73939999999998895</v>
      </c>
      <c r="AD8625">
        <v>-1.1180381017340999</v>
      </c>
      <c r="AE8625">
        <v>24.506900000000002</v>
      </c>
      <c r="AF8625">
        <v>-1.24376318420006</v>
      </c>
      <c r="AG8625">
        <v>-1.1180381017340999</v>
      </c>
      <c r="AH8625">
        <v>24.435541144399402</v>
      </c>
      <c r="AI8625">
        <v>92.616335382930401</v>
      </c>
      <c r="AJ8625">
        <v>92.913826806045407</v>
      </c>
      <c r="AK8625">
        <v>24.492705589112401</v>
      </c>
      <c r="AL8625">
        <v>96.904262966523603</v>
      </c>
      <c r="AM8625">
        <v>92.115135859962095</v>
      </c>
      <c r="AN8625">
        <v>0.99999997978764599</v>
      </c>
    </row>
    <row r="8626" spans="1:40" x14ac:dyDescent="0.25">
      <c r="A8626" t="str">
        <f>"20190303154346585"</f>
        <v>20190303154346585</v>
      </c>
      <c r="B8626" t="str">
        <f>"1551599026578921"</f>
        <v>1551599026578921</v>
      </c>
      <c r="C8626" t="s">
        <v>40</v>
      </c>
      <c r="D8626">
        <v>5.9494910000000001</v>
      </c>
      <c r="E8626">
        <v>0.4955079</v>
      </c>
      <c r="F8626" t="s">
        <v>41</v>
      </c>
      <c r="G8626">
        <v>-190.26490000000001</v>
      </c>
      <c r="H8626" s="1">
        <v>-6.6228069999999997E-7</v>
      </c>
      <c r="I8626">
        <v>60.968589999999999</v>
      </c>
      <c r="J8626">
        <v>-189.26589999999999</v>
      </c>
      <c r="K8626">
        <v>1.118074</v>
      </c>
      <c r="L8626">
        <v>25.711179999999999</v>
      </c>
      <c r="M8626">
        <v>2.2649659999999999E-2</v>
      </c>
      <c r="N8626">
        <v>-1.4667339999999999E-2</v>
      </c>
      <c r="O8626">
        <v>0.99963590000000002</v>
      </c>
      <c r="P8626">
        <v>-1.4490660000000001E-2</v>
      </c>
      <c r="Q8626">
        <v>-0.1344197</v>
      </c>
      <c r="R8626">
        <v>0.99081859999999999</v>
      </c>
      <c r="S8626">
        <v>-8.3587649999999999E-2</v>
      </c>
      <c r="T8626">
        <v>-9.4496010000000005E-2</v>
      </c>
      <c r="U8626">
        <v>3.013855</v>
      </c>
      <c r="V8626">
        <v>-3.7598079999999999E-2</v>
      </c>
      <c r="W8626">
        <v>-0.11967369999999999</v>
      </c>
      <c r="X8626">
        <v>0.99210109999999996</v>
      </c>
      <c r="Y8626">
        <v>-5.0339250000000002E-2</v>
      </c>
      <c r="Z8626">
        <v>-1.6632419999999998E-2</v>
      </c>
      <c r="AA8626">
        <v>0.99859370000000003</v>
      </c>
      <c r="AB8626">
        <v>41</v>
      </c>
      <c r="AC8626">
        <v>-0.99900000000002298</v>
      </c>
      <c r="AD8626">
        <v>-1.1180746622806901</v>
      </c>
      <c r="AE8626">
        <v>35.25741</v>
      </c>
      <c r="AF8626">
        <v>-1.79559363296222</v>
      </c>
      <c r="AG8626">
        <v>-1.1180746622806901</v>
      </c>
      <c r="AH8626">
        <v>35.190373482728397</v>
      </c>
      <c r="AI8626">
        <v>91.817436504408207</v>
      </c>
      <c r="AJ8626">
        <v>92.920991767865701</v>
      </c>
      <c r="AK8626">
        <v>35.253888201148598</v>
      </c>
      <c r="AL8626">
        <v>96.873271250992403</v>
      </c>
      <c r="AM8626">
        <v>92.170324058733101</v>
      </c>
      <c r="AN8626">
        <v>1.00000000135629</v>
      </c>
    </row>
    <row r="8627" spans="1:40" x14ac:dyDescent="0.25">
      <c r="A8627" t="str">
        <f>"20190303154346606"</f>
        <v>20190303154346606</v>
      </c>
      <c r="B8627" t="str">
        <f>"1551599026598778"</f>
        <v>1551599026598778</v>
      </c>
      <c r="C8627" t="s">
        <v>40</v>
      </c>
      <c r="D8627">
        <v>5.9241869999999999</v>
      </c>
      <c r="E8627">
        <v>0.49539739999999999</v>
      </c>
      <c r="F8627" t="s">
        <v>41</v>
      </c>
      <c r="G8627">
        <v>-190.34010000000001</v>
      </c>
      <c r="H8627" s="1">
        <v>-2.3843720000000001E-6</v>
      </c>
      <c r="I8627">
        <v>64.936219999999906</v>
      </c>
      <c r="J8627">
        <v>-189.255</v>
      </c>
      <c r="K8627">
        <v>1.1181140000000001</v>
      </c>
      <c r="L8627">
        <v>26.115300000000001</v>
      </c>
      <c r="M8627">
        <v>2.4597939999999999E-2</v>
      </c>
      <c r="N8627">
        <v>-1.474029E-2</v>
      </c>
      <c r="O8627">
        <v>0.9995887</v>
      </c>
      <c r="P8627">
        <v>-1.331032E-2</v>
      </c>
      <c r="Q8627">
        <v>-0.13447329999999999</v>
      </c>
      <c r="R8627">
        <v>0.99082780000000004</v>
      </c>
      <c r="S8627">
        <v>-8.2565310000000003E-2</v>
      </c>
      <c r="T8627">
        <v>-8.5937860000000005E-2</v>
      </c>
      <c r="U8627">
        <v>3.014923</v>
      </c>
      <c r="V8627">
        <v>-3.8339930000000001E-2</v>
      </c>
      <c r="W8627">
        <v>-0.11965389999999999</v>
      </c>
      <c r="X8627">
        <v>0.99207509999999999</v>
      </c>
      <c r="Y8627">
        <v>-5.1939270000000003E-2</v>
      </c>
      <c r="Z8627">
        <v>-1.3712739999999999E-2</v>
      </c>
      <c r="AA8627">
        <v>0.99855609999999995</v>
      </c>
      <c r="AB8627">
        <v>41</v>
      </c>
      <c r="AC8627">
        <v>-1.0851000000000099</v>
      </c>
      <c r="AD8627">
        <v>-1.1181163843719999</v>
      </c>
      <c r="AE8627">
        <v>38.820920000000001</v>
      </c>
      <c r="AF8627">
        <v>-2.0381006823416401</v>
      </c>
      <c r="AG8627">
        <v>-1.1181163843719999</v>
      </c>
      <c r="AH8627">
        <v>38.750356826427698</v>
      </c>
      <c r="AI8627">
        <v>91.650493887749803</v>
      </c>
      <c r="AJ8627">
        <v>93.010735313761003</v>
      </c>
      <c r="AK8627">
        <v>38.8200230913871</v>
      </c>
      <c r="AL8627">
        <v>96.872128558532907</v>
      </c>
      <c r="AM8627">
        <v>92.213162627853094</v>
      </c>
      <c r="AN8627">
        <v>1.00000000502881</v>
      </c>
    </row>
    <row r="8628" spans="1:40" x14ac:dyDescent="0.25">
      <c r="A8628" t="str">
        <f>"20190303154346631"</f>
        <v>20190303154346631</v>
      </c>
      <c r="B8628" t="str">
        <f>"1551599026629033"</f>
        <v>1551599026629033</v>
      </c>
      <c r="C8628" t="s">
        <v>40</v>
      </c>
      <c r="D8628">
        <v>5.950577</v>
      </c>
      <c r="E8628">
        <v>0.49486989999999997</v>
      </c>
      <c r="F8628" t="s">
        <v>41</v>
      </c>
      <c r="G8628">
        <v>-190.40880000000001</v>
      </c>
      <c r="H8628" s="1">
        <v>-4.3075370000000002E-6</v>
      </c>
      <c r="I8628">
        <v>69.431609999999907</v>
      </c>
      <c r="J8628">
        <v>-189.24199999999999</v>
      </c>
      <c r="K8628">
        <v>1.118158</v>
      </c>
      <c r="L8628">
        <v>26.56372</v>
      </c>
      <c r="M8628">
        <v>2.6724629999999999E-2</v>
      </c>
      <c r="N8628">
        <v>-1.4809050000000001E-2</v>
      </c>
      <c r="O8628">
        <v>0.99953309999999995</v>
      </c>
      <c r="P8628">
        <v>-1.159145E-2</v>
      </c>
      <c r="Q8628">
        <v>-0.13441330000000001</v>
      </c>
      <c r="R8628">
        <v>0.99085749999999995</v>
      </c>
      <c r="S8628">
        <v>-8.0337519999999996E-2</v>
      </c>
      <c r="T8628">
        <v>-7.7854510000000002E-2</v>
      </c>
      <c r="U8628">
        <v>3.0161129999999998</v>
      </c>
      <c r="V8628">
        <v>-3.8718030000000001E-2</v>
      </c>
      <c r="W8628">
        <v>-0.11952699999999999</v>
      </c>
      <c r="X8628">
        <v>0.9920757</v>
      </c>
      <c r="Y8628">
        <v>-5.3317610000000001E-2</v>
      </c>
      <c r="Z8628">
        <v>-1.0955299999999999E-2</v>
      </c>
      <c r="AA8628">
        <v>0.99851749999999995</v>
      </c>
      <c r="AB8628">
        <v>41</v>
      </c>
      <c r="AC8628">
        <v>-1.1667999999999901</v>
      </c>
      <c r="AD8628">
        <v>-1.118162307537</v>
      </c>
      <c r="AE8628">
        <v>42.867889999999903</v>
      </c>
      <c r="AF8628">
        <v>-2.3105664705141402</v>
      </c>
      <c r="AG8628">
        <v>-1.118162307537</v>
      </c>
      <c r="AH8628">
        <v>42.792296874106398</v>
      </c>
      <c r="AI8628">
        <v>91.494621400373504</v>
      </c>
      <c r="AJ8628">
        <v>93.090679552446701</v>
      </c>
      <c r="AK8628">
        <v>42.869215949470203</v>
      </c>
      <c r="AL8628">
        <v>96.864805255930605</v>
      </c>
      <c r="AM8628">
        <v>92.234964977888197</v>
      </c>
      <c r="AN8628">
        <v>0.99999999205328505</v>
      </c>
    </row>
    <row r="8629" spans="1:40" x14ac:dyDescent="0.25">
      <c r="A8629" t="str">
        <f>"20190303154346653"</f>
        <v>20190303154346653</v>
      </c>
      <c r="B8629" t="str">
        <f>"1551599026648553"</f>
        <v>1551599026648553</v>
      </c>
      <c r="C8629" t="s">
        <v>40</v>
      </c>
      <c r="D8629">
        <v>5.9663040000000001</v>
      </c>
      <c r="E8629">
        <v>0.49408340000000001</v>
      </c>
      <c r="F8629" t="s">
        <v>41</v>
      </c>
      <c r="G8629">
        <v>-190.40629999999999</v>
      </c>
      <c r="H8629" s="1">
        <v>-6.3517769999999997E-7</v>
      </c>
      <c r="I8629">
        <v>70.817700000000002</v>
      </c>
      <c r="J8629">
        <v>-189.22970000000001</v>
      </c>
      <c r="K8629">
        <v>1.1182129999999999</v>
      </c>
      <c r="L8629">
        <v>26.962489999999999</v>
      </c>
      <c r="M8629">
        <v>2.8578050000000001E-2</v>
      </c>
      <c r="N8629">
        <v>-1.486063E-2</v>
      </c>
      <c r="O8629">
        <v>0.99948110000000001</v>
      </c>
      <c r="P8629">
        <v>-9.2610399999999999E-3</v>
      </c>
      <c r="Q8629">
        <v>-0.13450699999999999</v>
      </c>
      <c r="R8629">
        <v>0.99086929999999995</v>
      </c>
      <c r="S8629">
        <v>-7.9360959999999994E-2</v>
      </c>
      <c r="T8629">
        <v>-7.6215389999999994E-2</v>
      </c>
      <c r="U8629">
        <v>3.0164179999999998</v>
      </c>
      <c r="V8629">
        <v>-3.8213990000000003E-2</v>
      </c>
      <c r="W8629">
        <v>-0.11957569999999999</v>
      </c>
      <c r="X8629">
        <v>0.99208940000000001</v>
      </c>
      <c r="Y8629">
        <v>-5.4843370000000002E-2</v>
      </c>
      <c r="Z8629">
        <v>-1.0355680000000001E-2</v>
      </c>
      <c r="AA8629">
        <v>0.99844129999999998</v>
      </c>
      <c r="AB8629">
        <v>41</v>
      </c>
      <c r="AC8629">
        <v>-1.1765999999999699</v>
      </c>
      <c r="AD8629">
        <v>-1.1182136351776999</v>
      </c>
      <c r="AE8629">
        <v>43.85521</v>
      </c>
      <c r="AF8629">
        <v>-2.4279767248995001</v>
      </c>
      <c r="AG8629">
        <v>-1.1182136351776999</v>
      </c>
      <c r="AH8629">
        <v>43.775225781328402</v>
      </c>
      <c r="AI8629">
        <v>91.461025801858398</v>
      </c>
      <c r="AJ8629">
        <v>93.174636503853193</v>
      </c>
      <c r="AK8629">
        <v>43.8567653266498</v>
      </c>
      <c r="AL8629">
        <v>96.867615542581703</v>
      </c>
      <c r="AM8629">
        <v>92.205868202758296</v>
      </c>
      <c r="AN8629">
        <v>1.0000000173272801</v>
      </c>
    </row>
    <row r="8630" spans="1:40" x14ac:dyDescent="0.25">
      <c r="A8630" t="str">
        <f>"20190303154346674"</f>
        <v>20190303154346674</v>
      </c>
      <c r="B8630" t="str">
        <f>"1551599026669050"</f>
        <v>1551599026669050</v>
      </c>
      <c r="C8630" t="s">
        <v>40</v>
      </c>
      <c r="D8630">
        <v>5.999104</v>
      </c>
      <c r="E8630">
        <v>0.49346760000000001</v>
      </c>
      <c r="F8630" t="s">
        <v>41</v>
      </c>
      <c r="G8630">
        <v>-190.2894</v>
      </c>
      <c r="H8630" s="1">
        <v>-3.5981470000000001E-6</v>
      </c>
      <c r="I8630">
        <v>67.796949999999995</v>
      </c>
      <c r="J8630">
        <v>-189.21709999999999</v>
      </c>
      <c r="K8630">
        <v>1.118266</v>
      </c>
      <c r="L8630">
        <v>27.34995</v>
      </c>
      <c r="M8630">
        <v>3.0340869999999999E-2</v>
      </c>
      <c r="N8630">
        <v>-1.490329E-2</v>
      </c>
      <c r="O8630">
        <v>0.99942850000000005</v>
      </c>
      <c r="P8630">
        <v>-6.5007399999999996E-3</v>
      </c>
      <c r="Q8630">
        <v>-0.13442399999999999</v>
      </c>
      <c r="R8630">
        <v>0.99090259999999997</v>
      </c>
      <c r="S8630">
        <v>-7.8262330000000005E-2</v>
      </c>
      <c r="T8630">
        <v>-8.2582829999999996E-2</v>
      </c>
      <c r="U8630">
        <v>3.015717</v>
      </c>
      <c r="V8630">
        <v>-3.7189840000000002E-2</v>
      </c>
      <c r="W8630">
        <v>-0.1194587</v>
      </c>
      <c r="X8630">
        <v>0.99214239999999998</v>
      </c>
      <c r="Y8630">
        <v>-5.6245099999999999E-2</v>
      </c>
      <c r="Z8630">
        <v>-1.242211E-2</v>
      </c>
      <c r="AA8630">
        <v>0.99833970000000005</v>
      </c>
      <c r="AB8630">
        <v>41</v>
      </c>
      <c r="AC8630">
        <v>-1.07230000000001</v>
      </c>
      <c r="AD8630">
        <v>-1.1182695981470001</v>
      </c>
      <c r="AE8630">
        <v>40.447000000000003</v>
      </c>
      <c r="AF8630">
        <v>-2.2973848023960102</v>
      </c>
      <c r="AG8630">
        <v>-1.1182695981470001</v>
      </c>
      <c r="AH8630">
        <v>40.365003014342697</v>
      </c>
      <c r="AI8630">
        <v>91.584350152693403</v>
      </c>
      <c r="AJ8630">
        <v>93.257490069059997</v>
      </c>
      <c r="AK8630">
        <v>40.4457905371167</v>
      </c>
      <c r="AL8630">
        <v>96.860863634048599</v>
      </c>
      <c r="AM8630">
        <v>92.146691566705599</v>
      </c>
      <c r="AN8630">
        <v>1.0000000035413299</v>
      </c>
    </row>
    <row r="8631" spans="1:40" x14ac:dyDescent="0.25">
      <c r="A8631" t="str">
        <f>"20190303154346695"</f>
        <v>20190303154346695</v>
      </c>
      <c r="B8631" t="str">
        <f>"1551599026688570"</f>
        <v>1551599026688570</v>
      </c>
      <c r="C8631" t="s">
        <v>40</v>
      </c>
      <c r="D8631">
        <v>5.9911490000000001</v>
      </c>
      <c r="E8631">
        <v>0.49285610000000002</v>
      </c>
      <c r="F8631" t="s">
        <v>41</v>
      </c>
      <c r="G8631">
        <v>-190.1806</v>
      </c>
      <c r="H8631" s="1">
        <v>-2.8152499999999999E-6</v>
      </c>
      <c r="I8631">
        <v>66.039519999999996</v>
      </c>
      <c r="J8631">
        <v>-189.2038</v>
      </c>
      <c r="K8631">
        <v>1.1183209999999999</v>
      </c>
      <c r="L8631">
        <v>27.73676</v>
      </c>
      <c r="M8631">
        <v>3.2061850000000003E-2</v>
      </c>
      <c r="N8631">
        <v>-1.4939559999999999E-2</v>
      </c>
      <c r="O8631">
        <v>0.99937419999999999</v>
      </c>
      <c r="P8631">
        <v>-3.7780410000000002E-3</v>
      </c>
      <c r="Q8631">
        <v>-0.13431319999999999</v>
      </c>
      <c r="R8631">
        <v>0.99093169999999997</v>
      </c>
      <c r="S8631">
        <v>-7.5088500000000002E-2</v>
      </c>
      <c r="T8631">
        <v>-8.7151049999999994E-2</v>
      </c>
      <c r="U8631">
        <v>3.015228</v>
      </c>
      <c r="V8631">
        <v>-3.6160980000000002E-2</v>
      </c>
      <c r="W8631">
        <v>-0.1193202</v>
      </c>
      <c r="X8631">
        <v>0.99219710000000005</v>
      </c>
      <c r="Y8631">
        <v>-5.6917009999999997E-2</v>
      </c>
      <c r="Z8631">
        <v>-1.3898880000000001E-2</v>
      </c>
      <c r="AA8631">
        <v>0.99828209999999995</v>
      </c>
      <c r="AB8631">
        <v>41</v>
      </c>
      <c r="AC8631">
        <v>-0.976799999999997</v>
      </c>
      <c r="AD8631">
        <v>-1.1183238152499999</v>
      </c>
      <c r="AE8631">
        <v>38.302759999999999</v>
      </c>
      <c r="AF8631">
        <v>-2.2026157244188802</v>
      </c>
      <c r="AG8631">
        <v>-1.1183238152499999</v>
      </c>
      <c r="AH8631">
        <v>38.219182908600601</v>
      </c>
      <c r="AI8631">
        <v>91.673267169773595</v>
      </c>
      <c r="AJ8631">
        <v>93.298373599274996</v>
      </c>
      <c r="AK8631">
        <v>38.298930877849401</v>
      </c>
      <c r="AL8631">
        <v>96.852870984889407</v>
      </c>
      <c r="AM8631">
        <v>92.087241472978505</v>
      </c>
      <c r="AN8631">
        <v>1.0000000059255001</v>
      </c>
    </row>
    <row r="8632" spans="1:40" x14ac:dyDescent="0.25">
      <c r="A8632" t="str">
        <f>"20190303154346719"</f>
        <v>20190303154346719</v>
      </c>
      <c r="B8632" t="str">
        <f>"1551599026709065"</f>
        <v>1551599026709065</v>
      </c>
      <c r="C8632" t="s">
        <v>40</v>
      </c>
      <c r="D8632">
        <v>5.9849759999999996</v>
      </c>
      <c r="E8632">
        <v>0.49225400000000002</v>
      </c>
      <c r="F8632" t="s">
        <v>41</v>
      </c>
      <c r="G8632">
        <v>-190.08009999999999</v>
      </c>
      <c r="H8632" s="1">
        <v>-2.1894160000000002E-6</v>
      </c>
      <c r="I8632">
        <v>64.643010000000004</v>
      </c>
      <c r="J8632">
        <v>-189.1885</v>
      </c>
      <c r="K8632">
        <v>1.1183780000000001</v>
      </c>
      <c r="L8632">
        <v>28.16254</v>
      </c>
      <c r="M8632">
        <v>3.3910089999999997E-2</v>
      </c>
      <c r="N8632">
        <v>-1.4972859999999999E-2</v>
      </c>
      <c r="O8632">
        <v>0.99931270000000005</v>
      </c>
      <c r="P8632">
        <v>-1.716022E-3</v>
      </c>
      <c r="Q8632">
        <v>-0.13427510000000001</v>
      </c>
      <c r="R8632">
        <v>0.99094260000000001</v>
      </c>
      <c r="S8632">
        <v>-7.157898E-2</v>
      </c>
      <c r="T8632">
        <v>-9.1353649999999995E-2</v>
      </c>
      <c r="U8632">
        <v>3.0148009999999998</v>
      </c>
      <c r="V8632">
        <v>-3.5918560000000002E-2</v>
      </c>
      <c r="W8632">
        <v>-0.1192541</v>
      </c>
      <c r="X8632">
        <v>0.99221380000000003</v>
      </c>
      <c r="Y8632">
        <v>-5.7604219999999998E-2</v>
      </c>
      <c r="Z8632">
        <v>-1.5256860000000001E-2</v>
      </c>
      <c r="AA8632">
        <v>0.99822290000000002</v>
      </c>
      <c r="AB8632">
        <v>41</v>
      </c>
      <c r="AC8632">
        <v>-0.89159999999998196</v>
      </c>
      <c r="AD8632">
        <v>-1.1183801894159999</v>
      </c>
      <c r="AE8632">
        <v>36.480469999999997</v>
      </c>
      <c r="AF8632">
        <v>-2.1262846600915299</v>
      </c>
      <c r="AG8632">
        <v>-1.1183801894159999</v>
      </c>
      <c r="AH8632">
        <v>36.395061850910103</v>
      </c>
      <c r="AI8632">
        <v>91.757088198711799</v>
      </c>
      <c r="AJ8632">
        <v>93.343552901738505</v>
      </c>
      <c r="AK8632">
        <v>36.4742702166252</v>
      </c>
      <c r="AL8632">
        <v>96.849056854225196</v>
      </c>
      <c r="AM8632">
        <v>92.073226179073401</v>
      </c>
      <c r="AN8632">
        <v>0.99999995411485998</v>
      </c>
    </row>
    <row r="8633" spans="1:40" x14ac:dyDescent="0.25">
      <c r="A8633" t="str">
        <f>"20190303154346741"</f>
        <v>20190303154346741</v>
      </c>
      <c r="B8633" t="str">
        <f>"1551599026728589"</f>
        <v>1551599026728589</v>
      </c>
      <c r="C8633" t="s">
        <v>40</v>
      </c>
      <c r="D8633">
        <v>5.9968560000000002</v>
      </c>
      <c r="E8633">
        <v>0.49176350000000002</v>
      </c>
      <c r="F8633" t="s">
        <v>41</v>
      </c>
      <c r="G8633">
        <v>-190.0206</v>
      </c>
      <c r="H8633" s="1">
        <v>-1.8754460000000001E-6</v>
      </c>
      <c r="I8633">
        <v>63.9480199999999</v>
      </c>
      <c r="J8633">
        <v>-189.173</v>
      </c>
      <c r="K8633">
        <v>1.1184320000000001</v>
      </c>
      <c r="L8633">
        <v>28.57321</v>
      </c>
      <c r="M8633">
        <v>3.565252E-2</v>
      </c>
      <c r="N8633">
        <v>-1.499991E-2</v>
      </c>
      <c r="O8633">
        <v>0.99925169999999996</v>
      </c>
      <c r="P8633">
        <v>-4.555858E-4</v>
      </c>
      <c r="Q8633">
        <v>-0.13402120000000001</v>
      </c>
      <c r="R8633">
        <v>0.99097840000000004</v>
      </c>
      <c r="S8633">
        <v>-7.0098880000000002E-2</v>
      </c>
      <c r="T8633">
        <v>-9.421098E-2</v>
      </c>
      <c r="U8633">
        <v>3.014526</v>
      </c>
      <c r="V8633">
        <v>-3.6372559999999998E-2</v>
      </c>
      <c r="W8633">
        <v>-0.1189747</v>
      </c>
      <c r="X8633">
        <v>0.99223079999999997</v>
      </c>
      <c r="Y8633">
        <v>-5.8856060000000002E-2</v>
      </c>
      <c r="Z8633">
        <v>-1.6173679999999999E-2</v>
      </c>
      <c r="AA8633">
        <v>0.99813540000000001</v>
      </c>
      <c r="AB8633">
        <v>41</v>
      </c>
      <c r="AC8633">
        <v>-0.84759999999999902</v>
      </c>
      <c r="AD8633">
        <v>-1.1184338754459999</v>
      </c>
      <c r="AE8633">
        <v>35.374809999999997</v>
      </c>
      <c r="AF8633">
        <v>-2.1062997263063101</v>
      </c>
      <c r="AG8633">
        <v>-1.1184338754459999</v>
      </c>
      <c r="AH8633">
        <v>35.286839829976998</v>
      </c>
      <c r="AI8633">
        <v>91.812186988748394</v>
      </c>
      <c r="AJ8633">
        <v>93.415977774275404</v>
      </c>
      <c r="AK8633">
        <v>35.367336032803401</v>
      </c>
      <c r="AL8633">
        <v>96.832933642415696</v>
      </c>
      <c r="AM8633">
        <v>92.099371906183507</v>
      </c>
      <c r="AN8633">
        <v>0.99999995141483999</v>
      </c>
    </row>
    <row r="8634" spans="1:40" x14ac:dyDescent="0.25">
      <c r="A8634" t="str">
        <f>"20190303154346765"</f>
        <v>20190303154346765</v>
      </c>
      <c r="B8634" t="str">
        <f>"1551599026758842"</f>
        <v>1551599026758842</v>
      </c>
      <c r="C8634" t="s">
        <v>40</v>
      </c>
      <c r="D8634">
        <v>6.1554140000000004</v>
      </c>
      <c r="E8634">
        <v>0.47993710000000001</v>
      </c>
      <c r="F8634" t="s">
        <v>41</v>
      </c>
      <c r="G8634">
        <v>-189.9907</v>
      </c>
      <c r="H8634" s="1">
        <v>-1.7892219999999999E-6</v>
      </c>
      <c r="I8634">
        <v>63.765619999999998</v>
      </c>
      <c r="J8634">
        <v>-189.1559</v>
      </c>
      <c r="K8634">
        <v>1.1184810000000001</v>
      </c>
      <c r="L8634">
        <v>29.005680000000002</v>
      </c>
      <c r="M8634">
        <v>3.74518E-2</v>
      </c>
      <c r="N8634">
        <v>-1.502385E-2</v>
      </c>
      <c r="O8634">
        <v>0.99918549999999995</v>
      </c>
      <c r="P8634">
        <v>2.1024610000000001E-4</v>
      </c>
      <c r="Q8634">
        <v>-0.1339004</v>
      </c>
      <c r="R8634">
        <v>0.99099479999999995</v>
      </c>
      <c r="S8634">
        <v>-7.0037840000000004E-2</v>
      </c>
      <c r="T8634">
        <v>-9.5796469999999995E-2</v>
      </c>
      <c r="U8634">
        <v>3.014313</v>
      </c>
      <c r="V8634">
        <v>-3.7477480000000001E-2</v>
      </c>
      <c r="W8634">
        <v>-0.11882909999999999</v>
      </c>
      <c r="X8634">
        <v>0.99220719999999996</v>
      </c>
      <c r="Y8634">
        <v>-6.0633880000000001E-2</v>
      </c>
      <c r="Z8634">
        <v>-1.6671180000000001E-2</v>
      </c>
      <c r="AA8634">
        <v>0.99802080000000004</v>
      </c>
      <c r="AB8634">
        <v>41</v>
      </c>
      <c r="AC8634">
        <v>-0.83480000000000099</v>
      </c>
      <c r="AD8634">
        <v>-1.118482789222</v>
      </c>
      <c r="AE8634">
        <v>34.75994</v>
      </c>
      <c r="AF8634">
        <v>-2.13397525167038</v>
      </c>
      <c r="AG8634">
        <v>-1.118482789222</v>
      </c>
      <c r="AH8634">
        <v>34.668405503830698</v>
      </c>
      <c r="AI8634">
        <v>91.844364849604801</v>
      </c>
      <c r="AJ8634">
        <v>93.522334080834398</v>
      </c>
      <c r="AK8634">
        <v>34.752024319492101</v>
      </c>
      <c r="AL8634">
        <v>96.824531288854999</v>
      </c>
      <c r="AM8634">
        <v>92.163138013106007</v>
      </c>
      <c r="AN8634">
        <v>1.0000000221229</v>
      </c>
    </row>
    <row r="8635" spans="1:40" x14ac:dyDescent="0.25">
      <c r="A8635" t="str">
        <f>"20190303154346786"</f>
        <v>20190303154346786</v>
      </c>
      <c r="B8635" t="str">
        <f>"1551599026778361"</f>
        <v>1551599026778361</v>
      </c>
      <c r="C8635" t="s">
        <v>40</v>
      </c>
      <c r="D8635">
        <v>5.9837730000000002</v>
      </c>
      <c r="E8635">
        <v>0.47883999999999999</v>
      </c>
      <c r="F8635" t="s">
        <v>41</v>
      </c>
      <c r="G8635">
        <v>-190.06970000000001</v>
      </c>
      <c r="H8635" s="1">
        <v>-2.774189E-6</v>
      </c>
      <c r="I8635">
        <v>46.012560000000001</v>
      </c>
      <c r="J8635">
        <v>-189.14070000000001</v>
      </c>
      <c r="K8635">
        <v>1.118514</v>
      </c>
      <c r="L8635">
        <v>29.374849999999999</v>
      </c>
      <c r="M8635">
        <v>3.8959559999999997E-2</v>
      </c>
      <c r="N8635">
        <v>-1.504081E-2</v>
      </c>
      <c r="O8635">
        <v>0.9991276</v>
      </c>
      <c r="P8635">
        <v>7.1085619999999904E-4</v>
      </c>
      <c r="Q8635">
        <v>-0.1339727</v>
      </c>
      <c r="R8635">
        <v>0.99098470000000005</v>
      </c>
      <c r="S8635">
        <v>-0.16123959999999901</v>
      </c>
      <c r="T8635">
        <v>-0.19734170000000001</v>
      </c>
      <c r="U8635">
        <v>3.0006409999999999</v>
      </c>
      <c r="V8635">
        <v>-3.8461769999999999E-2</v>
      </c>
      <c r="W8635">
        <v>-0.11888369999999999</v>
      </c>
      <c r="X8635">
        <v>0.99216289999999996</v>
      </c>
      <c r="Y8635">
        <v>-9.2400419999999997E-2</v>
      </c>
      <c r="Z8635">
        <v>-5.0331140000000003E-2</v>
      </c>
      <c r="AA8635">
        <v>0.99444909999999997</v>
      </c>
      <c r="AB8635">
        <v>41</v>
      </c>
      <c r="AC8635">
        <v>-0.92900000000000205</v>
      </c>
      <c r="AD8635">
        <v>-1.1185167741890001</v>
      </c>
      <c r="AE8635">
        <v>16.637709999999998</v>
      </c>
      <c r="AF8635">
        <v>-1.5694943092570499</v>
      </c>
      <c r="AG8635">
        <v>-1.1185167741890001</v>
      </c>
      <c r="AH8635">
        <v>16.5144716060584</v>
      </c>
      <c r="AI8635">
        <v>93.857368358507998</v>
      </c>
      <c r="AJ8635">
        <v>95.428942600983007</v>
      </c>
      <c r="AK8635">
        <v>16.626549990549499</v>
      </c>
      <c r="AL8635">
        <v>96.827682597182005</v>
      </c>
      <c r="AM8635">
        <v>92.219992507728193</v>
      </c>
      <c r="AN8635">
        <v>0.99999993100681395</v>
      </c>
    </row>
    <row r="8636" spans="1:40" x14ac:dyDescent="0.25">
      <c r="A8636" t="str">
        <f>"20190303154346807"</f>
        <v>20190303154346807</v>
      </c>
      <c r="B8636" t="str">
        <f>"1551599026798858"</f>
        <v>1551599026798858</v>
      </c>
      <c r="C8636" t="s">
        <v>40</v>
      </c>
      <c r="D8636">
        <v>6.0232989999999997</v>
      </c>
      <c r="E8636">
        <v>0.4801183</v>
      </c>
      <c r="F8636" t="s">
        <v>41</v>
      </c>
      <c r="G8636">
        <v>-190.09010000000001</v>
      </c>
      <c r="H8636" s="1">
        <v>-2.9003349999999999E-6</v>
      </c>
      <c r="I8636">
        <v>46.293950000000002</v>
      </c>
      <c r="J8636">
        <v>-189.12370000000001</v>
      </c>
      <c r="K8636">
        <v>1.1185590000000001</v>
      </c>
      <c r="L8636">
        <v>29.77496</v>
      </c>
      <c r="M8636">
        <v>4.0563370000000001E-2</v>
      </c>
      <c r="N8636">
        <v>-1.505596E-2</v>
      </c>
      <c r="O8636">
        <v>0.99906360000000005</v>
      </c>
      <c r="P8636">
        <v>2.2529189999999999E-3</v>
      </c>
      <c r="Q8636">
        <v>-0.13411419999999999</v>
      </c>
      <c r="R8636">
        <v>0.99096329999999999</v>
      </c>
      <c r="S8636">
        <v>-0.16838069999999999</v>
      </c>
      <c r="T8636">
        <v>-0.1983675</v>
      </c>
      <c r="U8636">
        <v>3.0005799999999998</v>
      </c>
      <c r="V8636">
        <v>-3.8499499999999999E-2</v>
      </c>
      <c r="W8636">
        <v>-0.1190138</v>
      </c>
      <c r="X8636">
        <v>0.99214590000000003</v>
      </c>
      <c r="Y8636">
        <v>-9.6355140000000006E-2</v>
      </c>
      <c r="Z8636">
        <v>-5.0631599999999999E-2</v>
      </c>
      <c r="AA8636">
        <v>0.99405840000000001</v>
      </c>
      <c r="AB8636">
        <v>41</v>
      </c>
      <c r="AC8636">
        <v>-0.96639999999999204</v>
      </c>
      <c r="AD8636">
        <v>-1.118561900335</v>
      </c>
      <c r="AE8636">
        <v>16.518989999999999</v>
      </c>
      <c r="AF8636">
        <v>-1.62830570267904</v>
      </c>
      <c r="AG8636">
        <v>-1.118561900335</v>
      </c>
      <c r="AH8636">
        <v>16.3912863007825</v>
      </c>
      <c r="AI8636">
        <v>93.884820880351796</v>
      </c>
      <c r="AJ8636">
        <v>95.673133695934197</v>
      </c>
      <c r="AK8636">
        <v>16.509900871309899</v>
      </c>
      <c r="AL8636">
        <v>96.835189663397998</v>
      </c>
      <c r="AM8636">
        <v>92.222206118462594</v>
      </c>
      <c r="AN8636">
        <v>0.99999999148874896</v>
      </c>
    </row>
    <row r="8637" spans="1:40" x14ac:dyDescent="0.25">
      <c r="A8637" t="str">
        <f>"20190303154346832"</f>
        <v>20190303154346832</v>
      </c>
      <c r="B8637" t="str">
        <f>"1551599026829113"</f>
        <v>1551599026829113</v>
      </c>
      <c r="C8637" t="s">
        <v>40</v>
      </c>
      <c r="D8637">
        <v>6.0789470000000003</v>
      </c>
      <c r="E8637">
        <v>0.48084949999999999</v>
      </c>
      <c r="F8637" t="s">
        <v>41</v>
      </c>
      <c r="G8637">
        <v>-190.04580000000001</v>
      </c>
      <c r="H8637" s="1">
        <v>-3.5351770000000001E-6</v>
      </c>
      <c r="I8637">
        <v>47.801279999999998</v>
      </c>
      <c r="J8637">
        <v>-189.10419999999999</v>
      </c>
      <c r="K8637">
        <v>1.1186149999999999</v>
      </c>
      <c r="L8637">
        <v>30.214780000000001</v>
      </c>
      <c r="M8637">
        <v>4.2287190000000002E-2</v>
      </c>
      <c r="N8637">
        <v>-1.506935E-2</v>
      </c>
      <c r="O8637">
        <v>0.99899179999999999</v>
      </c>
      <c r="P8637">
        <v>4.2963879999999999E-3</v>
      </c>
      <c r="Q8637">
        <v>-0.13473589999999999</v>
      </c>
      <c r="R8637">
        <v>0.99087219999999998</v>
      </c>
      <c r="S8637">
        <v>-0.15359500000000001</v>
      </c>
      <c r="T8637">
        <v>-0.18631020000000001</v>
      </c>
      <c r="U8637">
        <v>3.0025019999999998</v>
      </c>
      <c r="V8637">
        <v>-3.8152709999999999E-2</v>
      </c>
      <c r="W8637">
        <v>-0.1196289</v>
      </c>
      <c r="X8637">
        <v>0.99208529999999995</v>
      </c>
      <c r="Y8637">
        <v>-9.3170100000000006E-2</v>
      </c>
      <c r="Z8637">
        <v>-4.6610810000000003E-2</v>
      </c>
      <c r="AA8637">
        <v>0.99455859999999996</v>
      </c>
      <c r="AB8637">
        <v>40</v>
      </c>
      <c r="AC8637">
        <v>-0.94160000000002197</v>
      </c>
      <c r="AD8637">
        <v>-1.1186185351769999</v>
      </c>
      <c r="AE8637">
        <v>17.586500000000001</v>
      </c>
      <c r="AF8637">
        <v>-1.6777572200006601</v>
      </c>
      <c r="AG8637">
        <v>-1.1186185351769999</v>
      </c>
      <c r="AH8637">
        <v>17.460503195706</v>
      </c>
      <c r="AI8637">
        <v>93.648920950584696</v>
      </c>
      <c r="AJ8637">
        <v>95.488626669972902</v>
      </c>
      <c r="AK8637">
        <v>17.5765567891941</v>
      </c>
      <c r="AL8637">
        <v>96.870686023916406</v>
      </c>
      <c r="AM8637">
        <v>92.202343448505303</v>
      </c>
      <c r="AN8637">
        <v>0.99999997273582097</v>
      </c>
    </row>
    <row r="8638" spans="1:40" x14ac:dyDescent="0.25">
      <c r="A8638" t="str">
        <f>"20190303154346854"</f>
        <v>20190303154346854</v>
      </c>
      <c r="B8638" t="str">
        <f>"1551599026848634"</f>
        <v>1551599026848634</v>
      </c>
      <c r="C8638" t="s">
        <v>40</v>
      </c>
      <c r="D8638">
        <v>6.0776570000000003</v>
      </c>
      <c r="E8638">
        <v>0.4806646</v>
      </c>
      <c r="F8638" t="s">
        <v>41</v>
      </c>
      <c r="G8638">
        <v>-189.99430000000001</v>
      </c>
      <c r="H8638" s="1">
        <v>-4.0858860000000002E-6</v>
      </c>
      <c r="I8638">
        <v>49.11694</v>
      </c>
      <c r="J8638">
        <v>-189.08629999999999</v>
      </c>
      <c r="K8638">
        <v>1.1186579999999999</v>
      </c>
      <c r="L8638">
        <v>30.605930000000001</v>
      </c>
      <c r="M8638">
        <v>4.3780090000000001E-2</v>
      </c>
      <c r="N8638">
        <v>-1.507871E-2</v>
      </c>
      <c r="O8638">
        <v>0.99892740000000002</v>
      </c>
      <c r="P8638">
        <v>5.8230809999999999E-3</v>
      </c>
      <c r="Q8638">
        <v>-0.1352825</v>
      </c>
      <c r="R8638">
        <v>0.9907899</v>
      </c>
      <c r="S8638">
        <v>-0.14146420000000001</v>
      </c>
      <c r="T8638">
        <v>-0.17778039999999901</v>
      </c>
      <c r="U8638">
        <v>3.004089</v>
      </c>
      <c r="V8638">
        <v>-3.809249E-2</v>
      </c>
      <c r="W8638">
        <v>-0.1201716</v>
      </c>
      <c r="X8638">
        <v>0.99202199999999996</v>
      </c>
      <c r="Y8638">
        <v>-9.0633980000000003E-2</v>
      </c>
      <c r="Z8638">
        <v>-4.3762460000000003E-2</v>
      </c>
      <c r="AA8638">
        <v>0.99492230000000004</v>
      </c>
      <c r="AB8638">
        <v>40</v>
      </c>
      <c r="AC8638">
        <v>-0.90800000000001502</v>
      </c>
      <c r="AD8638">
        <v>-1.1186620858859999</v>
      </c>
      <c r="AE8638">
        <v>18.511009999999999</v>
      </c>
      <c r="AF8638">
        <v>-1.71139990045862</v>
      </c>
      <c r="AG8638">
        <v>-1.1186620858859999</v>
      </c>
      <c r="AH8638">
        <v>18.386513193986598</v>
      </c>
      <c r="AI8638">
        <v>93.466718249808594</v>
      </c>
      <c r="AJ8638">
        <v>95.317717222621894</v>
      </c>
      <c r="AK8638">
        <v>18.499842213228</v>
      </c>
      <c r="AL8638">
        <v>96.902006550257695</v>
      </c>
      <c r="AM8638">
        <v>92.199010868365306</v>
      </c>
      <c r="AN8638">
        <v>0.99999994986247798</v>
      </c>
    </row>
    <row r="8639" spans="1:40" x14ac:dyDescent="0.25">
      <c r="A8639" t="str">
        <f>"20190303154346875"</f>
        <v>20190303154346875</v>
      </c>
      <c r="B8639" t="str">
        <f>"1551599026869130"</f>
        <v>1551599026869130</v>
      </c>
      <c r="C8639" t="s">
        <v>40</v>
      </c>
      <c r="D8639">
        <v>6.0086570000000004</v>
      </c>
      <c r="E8639">
        <v>0.4813733</v>
      </c>
      <c r="F8639" t="s">
        <v>41</v>
      </c>
      <c r="G8639">
        <v>-189.92019999999999</v>
      </c>
      <c r="H8639" s="1">
        <v>-3.8994450000000001E-6</v>
      </c>
      <c r="I8639">
        <v>48.689459999999997</v>
      </c>
      <c r="J8639">
        <v>-189.06790000000001</v>
      </c>
      <c r="K8639">
        <v>1.118711</v>
      </c>
      <c r="L8639">
        <v>30.99701</v>
      </c>
      <c r="M8639">
        <v>4.5228869999999997E-2</v>
      </c>
      <c r="N8639">
        <v>-1.508603E-2</v>
      </c>
      <c r="O8639">
        <v>0.99886269999999999</v>
      </c>
      <c r="P8639">
        <v>7.0374849999999996E-3</v>
      </c>
      <c r="Q8639">
        <v>-0.13588789999999901</v>
      </c>
      <c r="R8639">
        <v>0.9906992</v>
      </c>
      <c r="S8639">
        <v>-0.1384888</v>
      </c>
      <c r="T8639">
        <v>-0.18578819999999999</v>
      </c>
      <c r="U8639">
        <v>3.0033259999999999</v>
      </c>
      <c r="V8639">
        <v>-3.829921E-2</v>
      </c>
      <c r="W8639">
        <v>-0.1207746</v>
      </c>
      <c r="X8639">
        <v>0.99194090000000001</v>
      </c>
      <c r="Y8639">
        <v>-9.1099020000000003E-2</v>
      </c>
      <c r="Z8639">
        <v>-4.6407070000000002E-2</v>
      </c>
      <c r="AA8639">
        <v>0.99475999999999998</v>
      </c>
      <c r="AB8639">
        <v>40</v>
      </c>
      <c r="AC8639">
        <v>-0.85229999999998496</v>
      </c>
      <c r="AD8639">
        <v>-1.118714899445</v>
      </c>
      <c r="AE8639">
        <v>17.692450000000001</v>
      </c>
      <c r="AF8639">
        <v>-1.6451657756736899</v>
      </c>
      <c r="AG8639">
        <v>-1.118714899445</v>
      </c>
      <c r="AH8639">
        <v>17.565718979235601</v>
      </c>
      <c r="AI8639">
        <v>93.628261680816607</v>
      </c>
      <c r="AJ8639">
        <v>95.350585703054705</v>
      </c>
      <c r="AK8639">
        <v>17.678025249251299</v>
      </c>
      <c r="AL8639">
        <v>96.936808753553606</v>
      </c>
      <c r="AM8639">
        <v>92.211113214891199</v>
      </c>
      <c r="AN8639">
        <v>1.00000004129229</v>
      </c>
    </row>
    <row r="8640" spans="1:40" x14ac:dyDescent="0.25">
      <c r="A8640" t="str">
        <f>"20190303154346899"</f>
        <v>20190303154346899</v>
      </c>
      <c r="B8640" t="str">
        <f>"1551599026888651"</f>
        <v>1551599026888651</v>
      </c>
      <c r="C8640" t="s">
        <v>40</v>
      </c>
      <c r="D8640">
        <v>5.9933360000000002</v>
      </c>
      <c r="E8640">
        <v>0.4817534</v>
      </c>
      <c r="F8640" t="s">
        <v>41</v>
      </c>
      <c r="G8640">
        <v>-189.87610000000001</v>
      </c>
      <c r="H8640" s="1">
        <v>-8.5170309999999895E-8</v>
      </c>
      <c r="I8640">
        <v>49.780079999999998</v>
      </c>
      <c r="J8640">
        <v>-189.04769999999999</v>
      </c>
      <c r="K8640">
        <v>1.1187800000000001</v>
      </c>
      <c r="L8640">
        <v>31.410769999999999</v>
      </c>
      <c r="M8640">
        <v>4.6699999999999998E-2</v>
      </c>
      <c r="N8640">
        <v>-1.509184E-2</v>
      </c>
      <c r="O8640">
        <v>0.99879499999999999</v>
      </c>
      <c r="P8640">
        <v>8.1407589999999991E-3</v>
      </c>
      <c r="Q8640">
        <v>-0.13571320000000001</v>
      </c>
      <c r="R8640">
        <v>0.99071469999999995</v>
      </c>
      <c r="S8640">
        <v>-0.12928770000000001</v>
      </c>
      <c r="T8640">
        <v>-0.17894949999999901</v>
      </c>
      <c r="U8640">
        <v>3.0045470000000001</v>
      </c>
      <c r="V8640">
        <v>-3.8637289999999998E-2</v>
      </c>
      <c r="W8640">
        <v>-0.12059830000000001</v>
      </c>
      <c r="X8640">
        <v>0.99194919999999998</v>
      </c>
      <c r="Y8640">
        <v>-8.9513670000000004E-2</v>
      </c>
      <c r="Z8640">
        <v>-4.412319E-2</v>
      </c>
      <c r="AA8640">
        <v>0.9950078</v>
      </c>
      <c r="AB8640">
        <v>40</v>
      </c>
      <c r="AC8640">
        <v>-0.82840000000001601</v>
      </c>
      <c r="AD8640">
        <v>-1.1187800851703</v>
      </c>
      <c r="AE8640">
        <v>18.369309999999999</v>
      </c>
      <c r="AF8640">
        <v>-1.67922414467808</v>
      </c>
      <c r="AG8640">
        <v>-1.1187800851703</v>
      </c>
      <c r="AH8640">
        <v>18.243039692172001</v>
      </c>
      <c r="AI8640">
        <v>93.494612880922205</v>
      </c>
      <c r="AJ8640">
        <v>95.259107248767094</v>
      </c>
      <c r="AK8640">
        <v>18.354289956770501</v>
      </c>
      <c r="AL8640">
        <v>96.926633399326505</v>
      </c>
      <c r="AM8640">
        <v>92.2305931790074</v>
      </c>
      <c r="AN8640">
        <v>1.0000000027610301</v>
      </c>
    </row>
    <row r="8641" spans="1:40" x14ac:dyDescent="0.25">
      <c r="A8641" t="str">
        <f>"20190303154346923"</f>
        <v>20190303154346923</v>
      </c>
      <c r="B8641" t="str">
        <f>"1551599026918906"</f>
        <v>1551599026918906</v>
      </c>
      <c r="C8641" t="s">
        <v>40</v>
      </c>
      <c r="D8641">
        <v>5.9551059999999998</v>
      </c>
      <c r="E8641">
        <v>0.48225679999999999</v>
      </c>
      <c r="F8641" t="s">
        <v>41</v>
      </c>
      <c r="G8641">
        <v>-189.846</v>
      </c>
      <c r="H8641" s="1">
        <v>-5.8866380000000005E-7</v>
      </c>
      <c r="I8641">
        <v>50.941290000000002</v>
      </c>
      <c r="J8641">
        <v>-189.02549999999999</v>
      </c>
      <c r="K8641">
        <v>1.1188610000000001</v>
      </c>
      <c r="L8641">
        <v>31.855619999999998</v>
      </c>
      <c r="M8641">
        <v>4.8207170000000001E-2</v>
      </c>
      <c r="N8641">
        <v>-1.5096149999999999E-2</v>
      </c>
      <c r="O8641">
        <v>0.99872329999999998</v>
      </c>
      <c r="P8641">
        <v>8.9648920000000003E-3</v>
      </c>
      <c r="Q8641">
        <v>-0.13613979999999901</v>
      </c>
      <c r="R8641">
        <v>0.99064909999999995</v>
      </c>
      <c r="S8641">
        <v>-0.1228485</v>
      </c>
      <c r="T8641">
        <v>-0.17216919999999999</v>
      </c>
      <c r="U8641">
        <v>3.0055540000000001</v>
      </c>
      <c r="V8641">
        <v>-3.9285599999999997E-2</v>
      </c>
      <c r="W8641">
        <v>-0.12102590000000001</v>
      </c>
      <c r="X8641">
        <v>0.99187170000000002</v>
      </c>
      <c r="Y8641">
        <v>-8.888016E-2</v>
      </c>
      <c r="Z8641">
        <v>-4.186049E-2</v>
      </c>
      <c r="AA8641">
        <v>0.99516230000000006</v>
      </c>
      <c r="AB8641">
        <v>40</v>
      </c>
      <c r="AC8641">
        <v>-0.82049999999998102</v>
      </c>
      <c r="AD8641">
        <v>-1.1188615886638</v>
      </c>
      <c r="AE8641">
        <v>19.08567</v>
      </c>
      <c r="AF8641">
        <v>-1.73376940217007</v>
      </c>
      <c r="AG8641">
        <v>-1.1188615886638</v>
      </c>
      <c r="AH8641">
        <v>18.958881424548</v>
      </c>
      <c r="AI8641">
        <v>93.363400609390396</v>
      </c>
      <c r="AJ8641">
        <v>95.225104330277603</v>
      </c>
      <c r="AK8641">
        <v>19.070841419941502</v>
      </c>
      <c r="AL8641">
        <v>96.951313532996593</v>
      </c>
      <c r="AM8641">
        <v>92.268159424360306</v>
      </c>
      <c r="AN8641">
        <v>1.0000000480495199</v>
      </c>
    </row>
    <row r="8642" spans="1:40" x14ac:dyDescent="0.25">
      <c r="A8642" t="str">
        <f>"20190303154346943"</f>
        <v>20190303154346943</v>
      </c>
      <c r="B8642" t="str">
        <f>"1551599026938426"</f>
        <v>1551599026938426</v>
      </c>
      <c r="C8642" t="s">
        <v>40</v>
      </c>
      <c r="D8642">
        <v>5.9819699999999996</v>
      </c>
      <c r="E8642">
        <v>0.4826608</v>
      </c>
      <c r="F8642" t="s">
        <v>41</v>
      </c>
      <c r="G8642">
        <v>-189.8058</v>
      </c>
      <c r="H8642" s="1">
        <v>-1.05954E-6</v>
      </c>
      <c r="I8642">
        <v>52.022280000000002</v>
      </c>
      <c r="J8642">
        <v>-189.0076</v>
      </c>
      <c r="K8642">
        <v>1.1189209999999901</v>
      </c>
      <c r="L8642">
        <v>32.204439999999998</v>
      </c>
      <c r="M8642">
        <v>4.9339849999999998E-2</v>
      </c>
      <c r="N8642">
        <v>-1.509839E-2</v>
      </c>
      <c r="O8642">
        <v>0.99866790000000005</v>
      </c>
      <c r="P8642">
        <v>9.0195710000000005E-3</v>
      </c>
      <c r="Q8642">
        <v>-0.13638029999999901</v>
      </c>
      <c r="R8642">
        <v>0.99061549999999998</v>
      </c>
      <c r="S8642">
        <v>-0.11633300000000001</v>
      </c>
      <c r="T8642">
        <v>-0.1667997</v>
      </c>
      <c r="U8642">
        <v>3.0064389999999999</v>
      </c>
      <c r="V8642">
        <v>-4.0336249999999997E-2</v>
      </c>
      <c r="W8642">
        <v>-0.1212666</v>
      </c>
      <c r="X8642">
        <v>0.99180009999999996</v>
      </c>
      <c r="Y8642">
        <v>-8.7849129999999997E-2</v>
      </c>
      <c r="Z8642">
        <v>-4.0070809999999998E-2</v>
      </c>
      <c r="AA8642">
        <v>0.99532750000000003</v>
      </c>
      <c r="AB8642">
        <v>40</v>
      </c>
      <c r="AC8642">
        <v>-0.79820000000000801</v>
      </c>
      <c r="AD8642">
        <v>-1.11892205953999</v>
      </c>
      <c r="AE8642">
        <v>19.81784</v>
      </c>
      <c r="AF8642">
        <v>-1.7695166762568599</v>
      </c>
      <c r="AG8642">
        <v>-1.11892205953999</v>
      </c>
      <c r="AH8642">
        <v>19.691638994980799</v>
      </c>
      <c r="AI8642">
        <v>93.239150626719194</v>
      </c>
      <c r="AJ8642">
        <v>95.134882534566998</v>
      </c>
      <c r="AK8642">
        <v>19.8026215979482</v>
      </c>
      <c r="AL8642">
        <v>96.965207153538401</v>
      </c>
      <c r="AM8642">
        <v>92.328920861618698</v>
      </c>
      <c r="AN8642">
        <v>1.00000001984981</v>
      </c>
    </row>
    <row r="8643" spans="1:40" x14ac:dyDescent="0.25">
      <c r="A8643" t="str">
        <f>"20190303154346964"</f>
        <v>20190303154346964</v>
      </c>
      <c r="B8643" t="str">
        <f>"1551599026958922"</f>
        <v>1551599026958922</v>
      </c>
      <c r="C8643" t="s">
        <v>40</v>
      </c>
      <c r="D8643">
        <v>5.9843549999999999</v>
      </c>
      <c r="E8643">
        <v>0.48282560000000002</v>
      </c>
      <c r="F8643" t="s">
        <v>41</v>
      </c>
      <c r="G8643">
        <v>-189.7972</v>
      </c>
      <c r="H8643" s="1">
        <v>-1.554297E-6</v>
      </c>
      <c r="I8643">
        <v>53.172020000000003</v>
      </c>
      <c r="J8643">
        <v>-188.98740000000001</v>
      </c>
      <c r="K8643">
        <v>1.118992</v>
      </c>
      <c r="L8643">
        <v>32.590449999999997</v>
      </c>
      <c r="M8643">
        <v>5.0527320000000001E-2</v>
      </c>
      <c r="N8643">
        <v>-1.509985E-2</v>
      </c>
      <c r="O8643">
        <v>0.99860850000000001</v>
      </c>
      <c r="P8643">
        <v>8.7938249999999999E-3</v>
      </c>
      <c r="Q8643">
        <v>-0.13668759999999999</v>
      </c>
      <c r="R8643">
        <v>0.99057519999999999</v>
      </c>
      <c r="S8643">
        <v>-0.1132507</v>
      </c>
      <c r="T8643">
        <v>-0.16048560000000001</v>
      </c>
      <c r="U8643">
        <v>3.007355</v>
      </c>
      <c r="V8643">
        <v>-4.1717940000000002E-2</v>
      </c>
      <c r="W8643">
        <v>-0.1215755</v>
      </c>
      <c r="X8643">
        <v>0.99170510000000001</v>
      </c>
      <c r="Y8643">
        <v>-8.8007699999999994E-2</v>
      </c>
      <c r="Z8643">
        <v>-3.7965489999999998E-2</v>
      </c>
      <c r="AA8643">
        <v>0.99539599999999995</v>
      </c>
      <c r="AB8643">
        <v>40</v>
      </c>
      <c r="AC8643">
        <v>-0.80979999999999497</v>
      </c>
      <c r="AD8643">
        <v>-1.118993554297</v>
      </c>
      <c r="AE8643">
        <v>20.581569999999999</v>
      </c>
      <c r="AF8643">
        <v>-1.8433750477581099</v>
      </c>
      <c r="AG8643">
        <v>-1.118993554297</v>
      </c>
      <c r="AH8643">
        <v>20.453985387538498</v>
      </c>
      <c r="AI8643">
        <v>93.118792379014707</v>
      </c>
      <c r="AJ8643">
        <v>95.149756689171696</v>
      </c>
      <c r="AK8643">
        <v>20.567345389595001</v>
      </c>
      <c r="AL8643">
        <v>96.983037906518504</v>
      </c>
      <c r="AM8643">
        <v>92.408834474530096</v>
      </c>
      <c r="AN8643">
        <v>0.999999997042051</v>
      </c>
    </row>
    <row r="8644" spans="1:40" x14ac:dyDescent="0.25">
      <c r="A8644" t="str">
        <f>"20190303154346986"</f>
        <v>20190303154346986</v>
      </c>
      <c r="B8644" t="str">
        <f>"1551599026978442"</f>
        <v>1551599026978442</v>
      </c>
      <c r="C8644" t="s">
        <v>40</v>
      </c>
      <c r="D8644">
        <v>5.9476000000000004</v>
      </c>
      <c r="E8644">
        <v>0.48293960000000002</v>
      </c>
      <c r="F8644" t="s">
        <v>41</v>
      </c>
      <c r="G8644">
        <v>-189.7842</v>
      </c>
      <c r="H8644" s="1">
        <v>-1.853894E-6</v>
      </c>
      <c r="I8644">
        <v>53.865009999999998</v>
      </c>
      <c r="J8644">
        <v>-188.96629999999999</v>
      </c>
      <c r="K8644">
        <v>1.119075</v>
      </c>
      <c r="L8644">
        <v>32.986049999999999</v>
      </c>
      <c r="M8644">
        <v>5.1655800000000002E-2</v>
      </c>
      <c r="N8644">
        <v>-1.5100290000000001E-2</v>
      </c>
      <c r="O8644">
        <v>0.99855079999999996</v>
      </c>
      <c r="P8644">
        <v>9.679623E-3</v>
      </c>
      <c r="Q8644">
        <v>-0.13639809999999999</v>
      </c>
      <c r="R8644">
        <v>0.99060680000000001</v>
      </c>
      <c r="S8644">
        <v>-0.1126404</v>
      </c>
      <c r="T8644">
        <v>-0.15819939999999999</v>
      </c>
      <c r="U8644">
        <v>3.0077210000000001</v>
      </c>
      <c r="V8644">
        <v>-4.1929349999999997E-2</v>
      </c>
      <c r="W8644">
        <v>-0.12129239999999999</v>
      </c>
      <c r="X8644">
        <v>0.99173089999999997</v>
      </c>
      <c r="Y8644">
        <v>-8.8928179999999996E-2</v>
      </c>
      <c r="Z8644">
        <v>-3.7197599999999997E-2</v>
      </c>
      <c r="AA8644">
        <v>0.99534319999999998</v>
      </c>
      <c r="AB8644">
        <v>40</v>
      </c>
      <c r="AC8644">
        <v>-0.81790000000000795</v>
      </c>
      <c r="AD8644">
        <v>-1.1190768538939999</v>
      </c>
      <c r="AE8644">
        <v>20.878959999999999</v>
      </c>
      <c r="AF8644">
        <v>-1.89002883980283</v>
      </c>
      <c r="AG8644">
        <v>-1.1190768538939999</v>
      </c>
      <c r="AH8644">
        <v>20.749308217068702</v>
      </c>
      <c r="AI8644">
        <v>93.074450794556896</v>
      </c>
      <c r="AJ8644">
        <v>95.204638872044299</v>
      </c>
      <c r="AK8644">
        <v>20.8652422345662</v>
      </c>
      <c r="AL8644">
        <v>96.966696184930299</v>
      </c>
      <c r="AM8644">
        <v>92.420964096909501</v>
      </c>
      <c r="AN8644">
        <v>1.0000000473519901</v>
      </c>
    </row>
    <row r="8645" spans="1:40" x14ac:dyDescent="0.25">
      <c r="A8645" t="str">
        <f>"20190303154347008"</f>
        <v>20190303154347008</v>
      </c>
      <c r="B8645" t="str">
        <f>"1551599026998937"</f>
        <v>1551599026998937</v>
      </c>
      <c r="C8645" t="s">
        <v>40</v>
      </c>
      <c r="D8645">
        <v>6.0671390000000001</v>
      </c>
      <c r="E8645">
        <v>0.50913180000000002</v>
      </c>
      <c r="F8645" t="s">
        <v>41</v>
      </c>
      <c r="G8645">
        <v>-189.7474</v>
      </c>
      <c r="H8645" s="1">
        <v>-2.1393680000000002E-6</v>
      </c>
      <c r="I8645">
        <v>54.515250000000002</v>
      </c>
      <c r="J8645">
        <v>-188.94470000000001</v>
      </c>
      <c r="K8645">
        <v>1.1191739999999999</v>
      </c>
      <c r="L8645">
        <v>33.385620000000003</v>
      </c>
      <c r="M8645">
        <v>5.2687949999999997E-2</v>
      </c>
      <c r="N8645">
        <v>-1.509975E-2</v>
      </c>
      <c r="O8645">
        <v>0.99849679999999996</v>
      </c>
      <c r="P8645">
        <v>1.140971E-2</v>
      </c>
      <c r="Q8645">
        <v>-0.13630059999999999</v>
      </c>
      <c r="R8645">
        <v>0.99060179999999998</v>
      </c>
      <c r="S8645">
        <v>-0.1091309</v>
      </c>
      <c r="T8645">
        <v>-0.1563541</v>
      </c>
      <c r="U8645">
        <v>3.0079959999999999</v>
      </c>
      <c r="V8645">
        <v>-4.1195849999999999E-2</v>
      </c>
      <c r="W8645">
        <v>-0.1212067</v>
      </c>
      <c r="X8645">
        <v>0.99177210000000005</v>
      </c>
      <c r="Y8645">
        <v>-8.8795949999999998E-2</v>
      </c>
      <c r="Z8645">
        <v>-3.6582030000000001E-2</v>
      </c>
      <c r="AA8645">
        <v>0.99537779999999998</v>
      </c>
      <c r="AB8645">
        <v>40</v>
      </c>
      <c r="AC8645">
        <v>-0.80269999999998698</v>
      </c>
      <c r="AD8645">
        <v>-1.119176139368</v>
      </c>
      <c r="AE8645">
        <v>21.129629999999999</v>
      </c>
      <c r="AF8645">
        <v>-1.9096389006458401</v>
      </c>
      <c r="AG8645">
        <v>-1.119176139368</v>
      </c>
      <c r="AH8645">
        <v>20.999148741250799</v>
      </c>
      <c r="AI8645">
        <v>93.038251038890905</v>
      </c>
      <c r="AJ8645">
        <v>95.196121250819203</v>
      </c>
      <c r="AK8645">
        <v>21.115480667485699</v>
      </c>
      <c r="AL8645">
        <v>96.961749559632494</v>
      </c>
      <c r="AM8645">
        <v>92.378562824820804</v>
      </c>
      <c r="AN8645">
        <v>1.0000000302602601</v>
      </c>
    </row>
    <row r="8646" spans="1:40" x14ac:dyDescent="0.25">
      <c r="A8646" t="str">
        <f>"20190303154347032"</f>
        <v>20190303154347032</v>
      </c>
      <c r="B8646" t="str">
        <f>"1551599027028217"</f>
        <v>1551599027028217</v>
      </c>
      <c r="C8646" t="s">
        <v>40</v>
      </c>
      <c r="D8646">
        <v>6.037852</v>
      </c>
      <c r="E8646">
        <v>0.51131269999999995</v>
      </c>
      <c r="F8646" t="s">
        <v>41</v>
      </c>
      <c r="G8646">
        <v>-188.30430000000001</v>
      </c>
      <c r="H8646" s="1">
        <v>-1.168517E-6</v>
      </c>
      <c r="I8646">
        <v>51.655470000000001</v>
      </c>
      <c r="J8646">
        <v>-188.9222</v>
      </c>
      <c r="K8646">
        <v>1.1192869999999999</v>
      </c>
      <c r="L8646">
        <v>33.79401</v>
      </c>
      <c r="M8646">
        <v>5.360782E-2</v>
      </c>
      <c r="N8646">
        <v>-1.509831E-2</v>
      </c>
      <c r="O8646">
        <v>0.99844790000000005</v>
      </c>
      <c r="P8646">
        <v>1.3284809999999999E-2</v>
      </c>
      <c r="Q8646">
        <v>-0.13653989999999999</v>
      </c>
      <c r="R8646">
        <v>0.99054549999999997</v>
      </c>
      <c r="S8646">
        <v>0.1052246</v>
      </c>
      <c r="T8646">
        <v>-0.18389369999999999</v>
      </c>
      <c r="U8646">
        <v>3.0019529999999999</v>
      </c>
      <c r="V8646">
        <v>-4.0198129999999999E-2</v>
      </c>
      <c r="W8646">
        <v>-0.1214621</v>
      </c>
      <c r="X8646">
        <v>0.99178180000000005</v>
      </c>
      <c r="Y8646">
        <v>-1.8627169999999998E-2</v>
      </c>
      <c r="Z8646">
        <v>-4.5924810000000003E-2</v>
      </c>
      <c r="AA8646">
        <v>0.99877119999999997</v>
      </c>
      <c r="AB8646">
        <v>40</v>
      </c>
      <c r="AC8646">
        <v>0.61789999999999101</v>
      </c>
      <c r="AD8646">
        <v>-1.119288168517</v>
      </c>
      <c r="AE8646">
        <v>17.861460000000001</v>
      </c>
      <c r="AF8646">
        <v>-0.33928107537757801</v>
      </c>
      <c r="AG8646">
        <v>-1.119288168517</v>
      </c>
      <c r="AH8646">
        <v>17.799086905307899</v>
      </c>
      <c r="AI8646">
        <v>93.597631304844697</v>
      </c>
      <c r="AJ8646">
        <v>91.092023421171703</v>
      </c>
      <c r="AK8646">
        <v>17.837472139151199</v>
      </c>
      <c r="AL8646">
        <v>96.976491787800001</v>
      </c>
      <c r="AM8646">
        <v>92.320997650046294</v>
      </c>
      <c r="AN8646">
        <v>1.0000000351015701</v>
      </c>
    </row>
    <row r="8647" spans="1:40" x14ac:dyDescent="0.25">
      <c r="A8647" t="str">
        <f>"20190303154347054"</f>
        <v>20190303154347054</v>
      </c>
      <c r="B8647" t="str">
        <f>"1551599027048714"</f>
        <v>1551599027048714</v>
      </c>
      <c r="C8647" t="s">
        <v>40</v>
      </c>
      <c r="D8647">
        <v>6.0336530000000002</v>
      </c>
      <c r="E8647">
        <v>0.51233600000000001</v>
      </c>
      <c r="F8647" t="s">
        <v>41</v>
      </c>
      <c r="G8647">
        <v>-188.21780000000001</v>
      </c>
      <c r="H8647" s="1">
        <v>-6.7350150000000003E-7</v>
      </c>
      <c r="I8647">
        <v>50.233739999999997</v>
      </c>
      <c r="J8647">
        <v>-188.89949999999999</v>
      </c>
      <c r="K8647">
        <v>1.119429</v>
      </c>
      <c r="L8647">
        <v>34.20346</v>
      </c>
      <c r="M8647">
        <v>5.436477E-2</v>
      </c>
      <c r="N8647">
        <v>-1.509625E-2</v>
      </c>
      <c r="O8647">
        <v>0.99840700000000004</v>
      </c>
      <c r="P8647">
        <v>1.5504E-2</v>
      </c>
      <c r="Q8647">
        <v>-0.13656209999999999</v>
      </c>
      <c r="R8647">
        <v>0.99051020000000001</v>
      </c>
      <c r="S8647">
        <v>0.12849430000000001</v>
      </c>
      <c r="T8647">
        <v>-0.20416989999999999</v>
      </c>
      <c r="U8647">
        <v>2.9987789999999999</v>
      </c>
      <c r="V8647">
        <v>-3.8687859999999998E-2</v>
      </c>
      <c r="W8647">
        <v>-0.1215035</v>
      </c>
      <c r="X8647">
        <v>0.99183679999999996</v>
      </c>
      <c r="Y8647">
        <v>-1.1627169999999999E-2</v>
      </c>
      <c r="Z8647">
        <v>-5.2691759999999997E-2</v>
      </c>
      <c r="AA8647">
        <v>0.99854310000000002</v>
      </c>
      <c r="AB8647">
        <v>40</v>
      </c>
      <c r="AC8647">
        <v>0.68169999999997799</v>
      </c>
      <c r="AD8647">
        <v>-1.1194296735014999</v>
      </c>
      <c r="AE8647">
        <v>16.030280000000001</v>
      </c>
      <c r="AF8647">
        <v>-0.18996548854011799</v>
      </c>
      <c r="AG8647">
        <v>-1.1194296735014999</v>
      </c>
      <c r="AH8647">
        <v>15.9659149704213</v>
      </c>
      <c r="AI8647">
        <v>94.010373797170502</v>
      </c>
      <c r="AJ8647">
        <v>90.681683899423206</v>
      </c>
      <c r="AK8647">
        <v>16.006237862891901</v>
      </c>
      <c r="AL8647">
        <v>96.978881467125603</v>
      </c>
      <c r="AM8647">
        <v>92.233762568314106</v>
      </c>
      <c r="AN8647">
        <v>1.0000000444289301</v>
      </c>
    </row>
    <row r="8648" spans="1:40" x14ac:dyDescent="0.25">
      <c r="A8648" t="str">
        <f>"20190303154347077"</f>
        <v>20190303154347077</v>
      </c>
      <c r="B8648" t="str">
        <f>"1551599027069211"</f>
        <v>1551599027069211</v>
      </c>
      <c r="C8648" t="s">
        <v>40</v>
      </c>
      <c r="D8648">
        <v>6.0143180000000003</v>
      </c>
      <c r="E8648">
        <v>0.51270689999999997</v>
      </c>
      <c r="F8648" t="s">
        <v>41</v>
      </c>
      <c r="G8648">
        <v>-188.13980000000001</v>
      </c>
      <c r="H8648" s="1">
        <v>-6.4122609999999896E-7</v>
      </c>
      <c r="I8648">
        <v>50.077919999999999</v>
      </c>
      <c r="J8648">
        <v>-188.87719999999999</v>
      </c>
      <c r="K8648">
        <v>1.1196060000000001</v>
      </c>
      <c r="L8648">
        <v>34.601590000000002</v>
      </c>
      <c r="M8648">
        <v>5.4900190000000001E-2</v>
      </c>
      <c r="N8648">
        <v>-1.509373E-2</v>
      </c>
      <c r="O8648">
        <v>0.99837770000000003</v>
      </c>
      <c r="P8648">
        <v>1.8244699999999999E-2</v>
      </c>
      <c r="Q8648">
        <v>-0.13579369999999999</v>
      </c>
      <c r="R8648">
        <v>0.99056909999999998</v>
      </c>
      <c r="S8648">
        <v>0.14343259999999999</v>
      </c>
      <c r="T8648">
        <v>-0.21136579999999999</v>
      </c>
      <c r="U8648">
        <v>2.9973450000000001</v>
      </c>
      <c r="V8648">
        <v>-3.6434220000000003E-2</v>
      </c>
      <c r="W8648">
        <v>-0.120755399999999</v>
      </c>
      <c r="X8648">
        <v>0.99201349999999999</v>
      </c>
      <c r="Y8648">
        <v>-7.1853969999999996E-3</v>
      </c>
      <c r="Z8648">
        <v>-5.5098649999999999E-2</v>
      </c>
      <c r="AA8648">
        <v>0.99845499999999998</v>
      </c>
      <c r="AB8648">
        <v>40</v>
      </c>
      <c r="AC8648">
        <v>0.73739999999997896</v>
      </c>
      <c r="AD8648">
        <v>-1.1196066412261001</v>
      </c>
      <c r="AE8648">
        <v>15.4763299999999</v>
      </c>
      <c r="AF8648">
        <v>-0.112873285427502</v>
      </c>
      <c r="AG8648">
        <v>-1.1196066412261001</v>
      </c>
      <c r="AH8648">
        <v>15.4129903387376</v>
      </c>
      <c r="AI8648">
        <v>94.154583168795298</v>
      </c>
      <c r="AJ8648">
        <v>90.419584202990805</v>
      </c>
      <c r="AK8648">
        <v>15.4540134137272</v>
      </c>
      <c r="AL8648">
        <v>96.935700492094199</v>
      </c>
      <c r="AM8648">
        <v>92.103387871577794</v>
      </c>
      <c r="AN8648">
        <v>1.0000000515992</v>
      </c>
    </row>
    <row r="8649" spans="1:40" x14ac:dyDescent="0.25">
      <c r="A8649" t="str">
        <f>"20190303154347109"</f>
        <v>20190303154347109</v>
      </c>
      <c r="B8649" t="str">
        <f>"1551599027099151"</f>
        <v>1551599027099151</v>
      </c>
      <c r="C8649" t="s">
        <v>40</v>
      </c>
      <c r="D8649">
        <v>6.0199920000000002</v>
      </c>
      <c r="E8649">
        <v>0.5128587</v>
      </c>
      <c r="F8649" t="s">
        <v>41</v>
      </c>
      <c r="G8649">
        <v>-188.06970000000001</v>
      </c>
      <c r="H8649" s="1">
        <v>-7.0493509999999997E-7</v>
      </c>
      <c r="I8649">
        <v>50.210290000000001</v>
      </c>
      <c r="J8649">
        <v>-188.84440000000001</v>
      </c>
      <c r="K8649">
        <v>1.1198809999999999</v>
      </c>
      <c r="L8649">
        <v>35.188420000000001</v>
      </c>
      <c r="M8649">
        <v>5.5340460000000001E-2</v>
      </c>
      <c r="N8649">
        <v>-1.508992E-2</v>
      </c>
      <c r="O8649">
        <v>0.9983535</v>
      </c>
      <c r="P8649">
        <v>2.1167849999999998E-2</v>
      </c>
      <c r="Q8649">
        <v>-0.1353732</v>
      </c>
      <c r="R8649">
        <v>0.99056849999999996</v>
      </c>
      <c r="S8649">
        <v>0.15501400000000001</v>
      </c>
      <c r="T8649">
        <v>-0.21491969999999999</v>
      </c>
      <c r="U8649">
        <v>2.9962460000000002</v>
      </c>
      <c r="V8649">
        <v>-3.3874269999999998E-2</v>
      </c>
      <c r="W8649">
        <v>-0.1203636</v>
      </c>
      <c r="X8649">
        <v>0.99215180000000003</v>
      </c>
      <c r="Y8649">
        <v>-3.7647140000000002E-3</v>
      </c>
      <c r="Z8649">
        <v>-5.6296020000000002E-2</v>
      </c>
      <c r="AA8649">
        <v>0.99840700000000004</v>
      </c>
      <c r="AB8649">
        <v>40</v>
      </c>
      <c r="AC8649">
        <v>0.77469999999999495</v>
      </c>
      <c r="AD8649">
        <v>-1.1198817049351</v>
      </c>
      <c r="AE8649">
        <v>15.02187</v>
      </c>
      <c r="AF8649">
        <v>-5.7580166955396E-2</v>
      </c>
      <c r="AG8649">
        <v>-1.1198817049351</v>
      </c>
      <c r="AH8649">
        <v>14.9588052559576</v>
      </c>
      <c r="AI8649">
        <v>94.281394752413505</v>
      </c>
      <c r="AJ8649">
        <v>90.220544635747899</v>
      </c>
      <c r="AK8649">
        <v>15.0007768196963</v>
      </c>
      <c r="AL8649">
        <v>96.913087228508203</v>
      </c>
      <c r="AM8649">
        <v>91.955445816781904</v>
      </c>
      <c r="AN8649">
        <v>1.0000000283081101</v>
      </c>
    </row>
    <row r="8650" spans="1:40" x14ac:dyDescent="0.25">
      <c r="A8650" t="str">
        <f>"20190303154347131"</f>
        <v>20190303154347131</v>
      </c>
      <c r="B8650" t="str">
        <f>"1551599027128431"</f>
        <v>1551599027128431</v>
      </c>
      <c r="C8650" t="s">
        <v>40</v>
      </c>
      <c r="D8650">
        <v>5.9935980000000004</v>
      </c>
      <c r="E8650">
        <v>0.51283100000000004</v>
      </c>
      <c r="F8650" t="s">
        <v>41</v>
      </c>
      <c r="G8650">
        <v>-188.00200000000001</v>
      </c>
      <c r="H8650" s="1">
        <v>-8.1109069999999904E-7</v>
      </c>
      <c r="I8650">
        <v>50.469279999999998</v>
      </c>
      <c r="J8650">
        <v>-188.82320000000001</v>
      </c>
      <c r="K8650">
        <v>1.1200460000000001</v>
      </c>
      <c r="L8650">
        <v>35.568359999999998</v>
      </c>
      <c r="M8650">
        <v>5.5436520000000003E-2</v>
      </c>
      <c r="N8650">
        <v>-1.5087369999999999E-2</v>
      </c>
      <c r="O8650">
        <v>0.99834820000000002</v>
      </c>
      <c r="P8650">
        <v>2.1250729999999999E-2</v>
      </c>
      <c r="Q8650">
        <v>-0.13701559999999999</v>
      </c>
      <c r="R8650">
        <v>0.99034089999999997</v>
      </c>
      <c r="S8650">
        <v>0.1651154</v>
      </c>
      <c r="T8650">
        <v>-0.2194952</v>
      </c>
      <c r="U8650">
        <v>2.9950260000000002</v>
      </c>
      <c r="V8650">
        <v>-3.3828089999999998E-2</v>
      </c>
      <c r="W8650">
        <v>-0.1220252</v>
      </c>
      <c r="X8650">
        <v>0.99195029999999995</v>
      </c>
      <c r="Y8650">
        <v>-4.8917109999999998E-4</v>
      </c>
      <c r="Z8650">
        <v>-5.7834820000000002E-2</v>
      </c>
      <c r="AA8650">
        <v>0.99832609999999999</v>
      </c>
      <c r="AB8650">
        <v>40</v>
      </c>
      <c r="AC8650">
        <v>0.82120000000000404</v>
      </c>
      <c r="AD8650">
        <v>-1.12004681109069</v>
      </c>
      <c r="AE8650">
        <v>14.900919999999999</v>
      </c>
      <c r="AF8650">
        <v>-6.1775178499299203E-3</v>
      </c>
      <c r="AG8650">
        <v>-1.12004681109069</v>
      </c>
      <c r="AH8650">
        <v>14.8399386677525</v>
      </c>
      <c r="AI8650">
        <v>94.316224627777004</v>
      </c>
      <c r="AJ8650">
        <v>90.023850885650305</v>
      </c>
      <c r="AK8650">
        <v>14.8821477846249</v>
      </c>
      <c r="AL8650">
        <v>97.008997472821903</v>
      </c>
      <c r="AM8650">
        <v>91.953178440114101</v>
      </c>
      <c r="AN8650">
        <v>0.99999994338908704</v>
      </c>
    </row>
    <row r="8651" spans="1:40" x14ac:dyDescent="0.25">
      <c r="A8651" t="str">
        <f>"20190303154347153"</f>
        <v>20190303154347153</v>
      </c>
      <c r="B8651" t="str">
        <f>"1551599027148927"</f>
        <v>1551599027148927</v>
      </c>
      <c r="C8651" t="s">
        <v>40</v>
      </c>
      <c r="D8651">
        <v>6.0009750000000004</v>
      </c>
      <c r="E8651">
        <v>0.5125518</v>
      </c>
      <c r="F8651" t="s">
        <v>41</v>
      </c>
      <c r="G8651">
        <v>-188.01009999999999</v>
      </c>
      <c r="H8651" s="1">
        <v>-7.5180989999999996E-7</v>
      </c>
      <c r="I8651">
        <v>50.301470000000002</v>
      </c>
      <c r="J8651">
        <v>-188.80099999999999</v>
      </c>
      <c r="K8651">
        <v>1.1202319999999999</v>
      </c>
      <c r="L8651">
        <v>35.968260000000001</v>
      </c>
      <c r="M8651">
        <v>5.5331400000000003E-2</v>
      </c>
      <c r="N8651">
        <v>-1.5084470000000001E-2</v>
      </c>
      <c r="O8651">
        <v>0.99835410000000002</v>
      </c>
      <c r="P8651">
        <v>2.0213789999999999E-2</v>
      </c>
      <c r="Q8651">
        <v>-0.13740089999999999</v>
      </c>
      <c r="R8651">
        <v>0.9903092</v>
      </c>
      <c r="S8651">
        <v>0.16523740000000001</v>
      </c>
      <c r="T8651">
        <v>-0.22762879999999999</v>
      </c>
      <c r="U8651">
        <v>2.9942319999999998</v>
      </c>
      <c r="V8651">
        <v>-3.4703749999999998E-2</v>
      </c>
      <c r="W8651">
        <v>-0.122429</v>
      </c>
      <c r="X8651">
        <v>0.99187029999999998</v>
      </c>
      <c r="Y8651">
        <v>-3.3773959999999997E-4</v>
      </c>
      <c r="Z8651">
        <v>-6.0545880000000003E-2</v>
      </c>
      <c r="AA8651">
        <v>0.99816539999999998</v>
      </c>
      <c r="AB8651">
        <v>40</v>
      </c>
      <c r="AC8651">
        <v>0.79089999999999305</v>
      </c>
      <c r="AD8651">
        <v>-1.12023275180989</v>
      </c>
      <c r="AE8651">
        <v>14.333209999999999</v>
      </c>
      <c r="AF8651">
        <v>-3.4576571340227901E-3</v>
      </c>
      <c r="AG8651">
        <v>-1.12023275180989</v>
      </c>
      <c r="AH8651">
        <v>14.268122481837899</v>
      </c>
      <c r="AI8651">
        <v>94.489252771791996</v>
      </c>
      <c r="AJ8651">
        <v>90.013884739015694</v>
      </c>
      <c r="AK8651">
        <v>14.3120317401251</v>
      </c>
      <c r="AL8651">
        <v>97.032308235939595</v>
      </c>
      <c r="AM8651">
        <v>92.003858397822398</v>
      </c>
      <c r="AN8651">
        <v>0.99999995116357498</v>
      </c>
    </row>
    <row r="8652" spans="1:40" x14ac:dyDescent="0.25">
      <c r="A8652" t="str">
        <f>"20190303154347176"</f>
        <v>20190303154347176</v>
      </c>
      <c r="B8652" t="str">
        <f>"1551599027168448"</f>
        <v>1551599027168448</v>
      </c>
      <c r="C8652" t="s">
        <v>40</v>
      </c>
      <c r="D8652">
        <v>6.01729</v>
      </c>
      <c r="E8652">
        <v>0.51237869999999996</v>
      </c>
      <c r="F8652" t="s">
        <v>41</v>
      </c>
      <c r="G8652">
        <v>-188.03020000000001</v>
      </c>
      <c r="H8652" s="1">
        <v>-7.6662509999999999E-7</v>
      </c>
      <c r="I8652">
        <v>50.360720000000001</v>
      </c>
      <c r="J8652">
        <v>-188.77979999999999</v>
      </c>
      <c r="K8652">
        <v>1.120433</v>
      </c>
      <c r="L8652">
        <v>36.353580000000001</v>
      </c>
      <c r="M8652">
        <v>5.5001830000000002E-2</v>
      </c>
      <c r="N8652">
        <v>-1.508175E-2</v>
      </c>
      <c r="O8652">
        <v>0.99837229999999999</v>
      </c>
      <c r="P8652">
        <v>1.931159E-2</v>
      </c>
      <c r="Q8652">
        <v>-0.13755149999999999</v>
      </c>
      <c r="R8652">
        <v>0.99030629999999997</v>
      </c>
      <c r="S8652">
        <v>0.1603241</v>
      </c>
      <c r="T8652">
        <v>-0.2330171</v>
      </c>
      <c r="U8652">
        <v>2.993744</v>
      </c>
      <c r="V8652">
        <v>-3.5218529999999998E-2</v>
      </c>
      <c r="W8652">
        <v>-0.1225995</v>
      </c>
      <c r="X8652">
        <v>0.99183109999999997</v>
      </c>
      <c r="Y8652">
        <v>-1.637044E-3</v>
      </c>
      <c r="Z8652">
        <v>-6.2345940000000002E-2</v>
      </c>
      <c r="AA8652">
        <v>0.99805330000000003</v>
      </c>
      <c r="AB8652">
        <v>40</v>
      </c>
      <c r="AC8652">
        <v>0.74959999999998606</v>
      </c>
      <c r="AD8652">
        <v>-1.1204337666251001</v>
      </c>
      <c r="AE8652">
        <v>14.00714</v>
      </c>
      <c r="AF8652">
        <v>-2.1901231514466199E-2</v>
      </c>
      <c r="AG8652">
        <v>-1.1204337666251001</v>
      </c>
      <c r="AH8652">
        <v>13.938237817158999</v>
      </c>
      <c r="AI8652">
        <v>94.595868331823993</v>
      </c>
      <c r="AJ8652">
        <v>90.090029106666094</v>
      </c>
      <c r="AK8652">
        <v>13.9832158295943</v>
      </c>
      <c r="AL8652">
        <v>97.042151278774895</v>
      </c>
      <c r="AM8652">
        <v>92.033638272913706</v>
      </c>
      <c r="AN8652">
        <v>0.99999995659140894</v>
      </c>
    </row>
    <row r="8653" spans="1:40" x14ac:dyDescent="0.25">
      <c r="A8653" t="str">
        <f>"20190303154347198"</f>
        <v>20190303154347198</v>
      </c>
      <c r="B8653" t="str">
        <f>"1551599027188855"</f>
        <v>1551599027188855</v>
      </c>
      <c r="C8653" t="s">
        <v>40</v>
      </c>
      <c r="D8653">
        <v>6.023631</v>
      </c>
      <c r="E8653">
        <v>0.51223730000000001</v>
      </c>
      <c r="F8653" t="s">
        <v>41</v>
      </c>
      <c r="G8653">
        <v>-188.04169999999999</v>
      </c>
      <c r="H8653" s="1">
        <v>-7.9900599999999995E-7</v>
      </c>
      <c r="I8653">
        <v>50.464860000000002</v>
      </c>
      <c r="J8653">
        <v>-188.75839999999999</v>
      </c>
      <c r="K8653">
        <v>1.1206560000000001</v>
      </c>
      <c r="L8653">
        <v>36.750889999999998</v>
      </c>
      <c r="M8653">
        <v>5.4413499999999997E-2</v>
      </c>
      <c r="N8653">
        <v>-1.5079540000000001E-2</v>
      </c>
      <c r="O8653">
        <v>0.99840459999999998</v>
      </c>
      <c r="P8653">
        <v>1.7092420000000001E-2</v>
      </c>
      <c r="Q8653">
        <v>-0.13774159999999999</v>
      </c>
      <c r="R8653">
        <v>0.99032070000000005</v>
      </c>
      <c r="S8653">
        <v>0.1565704</v>
      </c>
      <c r="T8653">
        <v>-0.23766889999999999</v>
      </c>
      <c r="U8653">
        <v>2.9933169999999998</v>
      </c>
      <c r="V8653">
        <v>-3.6784360000000002E-2</v>
      </c>
      <c r="W8653">
        <v>-0.1228129</v>
      </c>
      <c r="X8653">
        <v>0.99174790000000002</v>
      </c>
      <c r="Y8653">
        <v>-2.292901E-3</v>
      </c>
      <c r="Z8653">
        <v>-6.3901589999999994E-2</v>
      </c>
      <c r="AA8653">
        <v>0.9979536</v>
      </c>
      <c r="AB8653">
        <v>40</v>
      </c>
      <c r="AC8653">
        <v>0.716700000000003</v>
      </c>
      <c r="AD8653">
        <v>-1.1206567990059999</v>
      </c>
      <c r="AE8653">
        <v>13.7139699999999</v>
      </c>
      <c r="AF8653">
        <v>-3.0469112119274201E-2</v>
      </c>
      <c r="AG8653">
        <v>-1.1206567990059999</v>
      </c>
      <c r="AH8653">
        <v>13.641804478691</v>
      </c>
      <c r="AI8653">
        <v>94.696218293604005</v>
      </c>
      <c r="AJ8653">
        <v>90.127970506376002</v>
      </c>
      <c r="AK8653">
        <v>13.687791255815799</v>
      </c>
      <c r="AL8653">
        <v>97.054471011596206</v>
      </c>
      <c r="AM8653">
        <v>92.124151618547003</v>
      </c>
      <c r="AN8653">
        <v>0.99999999735071399</v>
      </c>
    </row>
    <row r="8654" spans="1:40" x14ac:dyDescent="0.25">
      <c r="A8654" t="str">
        <f>"20190303154347220"</f>
        <v>20190303154347220</v>
      </c>
      <c r="B8654" t="str">
        <f>"1551599027208375"</f>
        <v>1551599027208375</v>
      </c>
      <c r="C8654" t="s">
        <v>40</v>
      </c>
      <c r="D8654">
        <v>6.0129239999999999</v>
      </c>
      <c r="E8654">
        <v>0.51203169999999998</v>
      </c>
      <c r="F8654" t="s">
        <v>42</v>
      </c>
      <c r="G8654">
        <v>-188.70660000000001</v>
      </c>
      <c r="H8654">
        <v>1.0372060000000001</v>
      </c>
      <c r="I8654">
        <v>37.788870000000003</v>
      </c>
      <c r="J8654">
        <v>-188.73759999999999</v>
      </c>
      <c r="K8654">
        <v>1.120881</v>
      </c>
      <c r="L8654">
        <v>37.143949999999997</v>
      </c>
      <c r="M8654">
        <v>5.3622160000000002E-2</v>
      </c>
      <c r="N8654">
        <v>-1.507784E-2</v>
      </c>
      <c r="O8654">
        <v>0.99844750000000004</v>
      </c>
      <c r="P8654">
        <v>1.503144E-2</v>
      </c>
      <c r="Q8654">
        <v>-0.1382816</v>
      </c>
      <c r="R8654">
        <v>0.99027889999999996</v>
      </c>
      <c r="S8654">
        <v>0.1487579</v>
      </c>
      <c r="T8654">
        <v>-0.2407079</v>
      </c>
      <c r="U8654">
        <v>2.9932560000000001</v>
      </c>
      <c r="V8654">
        <v>-3.798613E-2</v>
      </c>
      <c r="W8654">
        <v>-0.12337819999999999</v>
      </c>
      <c r="X8654">
        <v>0.99163239999999997</v>
      </c>
      <c r="Y8654">
        <v>-4.0991129999999997E-3</v>
      </c>
      <c r="Z8654">
        <v>-6.4917520000000006E-2</v>
      </c>
      <c r="AA8654">
        <v>0.99788220000000005</v>
      </c>
      <c r="AB8654">
        <v>40</v>
      </c>
      <c r="AC8654">
        <v>3.09999999999774E-2</v>
      </c>
      <c r="AD8654">
        <v>-8.3675000000000097E-2</v>
      </c>
      <c r="AE8654">
        <v>0.64492000000000604</v>
      </c>
      <c r="AF8654">
        <v>-3.5705760059546801E-3</v>
      </c>
      <c r="AG8654">
        <v>-8.3675000000000097E-2</v>
      </c>
      <c r="AH8654">
        <v>0.63498982501106704</v>
      </c>
      <c r="AI8654">
        <v>97.506712308480999</v>
      </c>
      <c r="AJ8654">
        <v>90.322173318983005</v>
      </c>
      <c r="AK8654">
        <v>0.640489135353286</v>
      </c>
      <c r="AL8654">
        <v>97.087108714407293</v>
      </c>
      <c r="AM8654">
        <v>92.193737612010693</v>
      </c>
      <c r="AN8654">
        <v>0.99999997151868802</v>
      </c>
    </row>
    <row r="8655" spans="1:40" x14ac:dyDescent="0.25">
      <c r="A8655" t="str">
        <f>"20190303154347245"</f>
        <v>20190303154347245</v>
      </c>
      <c r="B8655" t="str">
        <f>"1551599027238628"</f>
        <v>1551599027238628</v>
      </c>
      <c r="C8655" t="s">
        <v>40</v>
      </c>
      <c r="D8655">
        <v>6.010097</v>
      </c>
      <c r="E8655">
        <v>0.51177539999999999</v>
      </c>
      <c r="F8655" t="s">
        <v>41</v>
      </c>
      <c r="G8655">
        <v>-188.09119999999999</v>
      </c>
      <c r="H8655" s="1">
        <v>-9.277511E-7</v>
      </c>
      <c r="I8655">
        <v>50.881839999999997</v>
      </c>
      <c r="J8655">
        <v>-188.71549999999999</v>
      </c>
      <c r="K8655">
        <v>1.1211169999999999</v>
      </c>
      <c r="L8655">
        <v>37.573909999999998</v>
      </c>
      <c r="M8655">
        <v>5.2557130000000001E-2</v>
      </c>
      <c r="N8655">
        <v>-1.507614E-2</v>
      </c>
      <c r="O8655">
        <v>0.99850410000000001</v>
      </c>
      <c r="P8655">
        <v>1.353326E-2</v>
      </c>
      <c r="Q8655">
        <v>-0.138691799999999</v>
      </c>
      <c r="R8655">
        <v>0.99024310000000004</v>
      </c>
      <c r="S8655">
        <v>0.14083860000000001</v>
      </c>
      <c r="T8655">
        <v>-0.2442164</v>
      </c>
      <c r="U8655">
        <v>2.9931950000000001</v>
      </c>
      <c r="V8655">
        <v>-3.8352850000000001E-2</v>
      </c>
      <c r="W8655">
        <v>-0.1238137</v>
      </c>
      <c r="X8655">
        <v>0.991564</v>
      </c>
      <c r="Y8655">
        <v>-5.6678960000000004E-3</v>
      </c>
      <c r="Z8655">
        <v>-6.6089949999999995E-2</v>
      </c>
      <c r="AA8655">
        <v>0.9977975</v>
      </c>
      <c r="AB8655">
        <v>40</v>
      </c>
      <c r="AC8655">
        <v>0.62430000000000496</v>
      </c>
      <c r="AD8655">
        <v>-1.1211179277511001</v>
      </c>
      <c r="AE8655">
        <v>13.307930000000001</v>
      </c>
      <c r="AF8655">
        <v>-7.5534245813328502E-2</v>
      </c>
      <c r="AG8655">
        <v>-1.1211179277511001</v>
      </c>
      <c r="AH8655">
        <v>13.2286691564295</v>
      </c>
      <c r="AI8655">
        <v>94.844112161563402</v>
      </c>
      <c r="AJ8655">
        <v>90.327149043547706</v>
      </c>
      <c r="AK8655">
        <v>13.2763059049001</v>
      </c>
      <c r="AL8655">
        <v>97.112253836891597</v>
      </c>
      <c r="AM8655">
        <v>92.215047708139096</v>
      </c>
      <c r="AN8655">
        <v>0.99999996975340499</v>
      </c>
    </row>
    <row r="8656" spans="1:40" x14ac:dyDescent="0.25">
      <c r="A8656" t="str">
        <f>"20190303154347267"</f>
        <v>20190303154347267</v>
      </c>
      <c r="B8656" t="str">
        <f>"1551599027259123"</f>
        <v>1551599027259123</v>
      </c>
      <c r="C8656" t="s">
        <v>40</v>
      </c>
      <c r="D8656">
        <v>6.0337199999999998</v>
      </c>
      <c r="E8656">
        <v>0.51173409999999997</v>
      </c>
      <c r="F8656" t="s">
        <v>41</v>
      </c>
      <c r="G8656">
        <v>-188.107</v>
      </c>
      <c r="H8656" s="1">
        <v>-9.975017E-7</v>
      </c>
      <c r="I8656">
        <v>51.09919</v>
      </c>
      <c r="J8656">
        <v>-188.69589999999999</v>
      </c>
      <c r="K8656">
        <v>1.121316</v>
      </c>
      <c r="L8656">
        <v>37.964390000000002</v>
      </c>
      <c r="M8656">
        <v>5.141482E-2</v>
      </c>
      <c r="N8656">
        <v>-1.507412E-2</v>
      </c>
      <c r="O8656">
        <v>0.9985636</v>
      </c>
      <c r="P8656">
        <v>1.2163719999999999E-2</v>
      </c>
      <c r="Q8656">
        <v>-0.13855120000000001</v>
      </c>
      <c r="R8656">
        <v>0.99028059999999996</v>
      </c>
      <c r="S8656">
        <v>0.1346436</v>
      </c>
      <c r="T8656">
        <v>-0.2480899</v>
      </c>
      <c r="U8656">
        <v>2.9929809999999999</v>
      </c>
      <c r="V8656">
        <v>-3.8532160000000003E-2</v>
      </c>
      <c r="W8656">
        <v>-0.1236935</v>
      </c>
      <c r="X8656">
        <v>0.99157209999999996</v>
      </c>
      <c r="Y8656">
        <v>-6.5846819999999997E-3</v>
      </c>
      <c r="Z8656">
        <v>-6.7386769999999999E-2</v>
      </c>
      <c r="AA8656">
        <v>0.99770519999999996</v>
      </c>
      <c r="AB8656">
        <v>39</v>
      </c>
      <c r="AC8656">
        <v>0.58889999999999498</v>
      </c>
      <c r="AD8656">
        <v>-1.1213169975017001</v>
      </c>
      <c r="AE8656">
        <v>13.134799999999901</v>
      </c>
      <c r="AF8656">
        <v>-8.6648958557686798E-2</v>
      </c>
      <c r="AG8656">
        <v>-1.1213169975017001</v>
      </c>
      <c r="AH8656">
        <v>13.052767316004299</v>
      </c>
      <c r="AI8656">
        <v>94.909914934304197</v>
      </c>
      <c r="AJ8656">
        <v>90.380344380593996</v>
      </c>
      <c r="AK8656">
        <v>13.1011295107199</v>
      </c>
      <c r="AL8656">
        <v>97.105313179159594</v>
      </c>
      <c r="AM8656">
        <v>92.225375109863606</v>
      </c>
      <c r="AN8656">
        <v>1.0000000193974601</v>
      </c>
    </row>
    <row r="8657" spans="1:40" x14ac:dyDescent="0.25">
      <c r="A8657" t="str">
        <f>"20190303154347288"</f>
        <v>20190303154347288</v>
      </c>
      <c r="B8657" t="str">
        <f>"1551599027278656"</f>
        <v>1551599027278656</v>
      </c>
      <c r="C8657" t="s">
        <v>40</v>
      </c>
      <c r="D8657">
        <v>6.0469109999999997</v>
      </c>
      <c r="E8657">
        <v>0.5116425</v>
      </c>
      <c r="F8657" t="s">
        <v>41</v>
      </c>
      <c r="G8657">
        <v>-188.1114</v>
      </c>
      <c r="H8657" s="1">
        <v>-1.1061319999999999E-6</v>
      </c>
      <c r="I8657">
        <v>51.421860000000002</v>
      </c>
      <c r="J8657">
        <v>-188.67789999999999</v>
      </c>
      <c r="K8657">
        <v>1.1214820000000001</v>
      </c>
      <c r="L8657">
        <v>38.334499999999998</v>
      </c>
      <c r="M8657">
        <v>5.0176489999999997E-2</v>
      </c>
      <c r="N8657">
        <v>-1.507177E-2</v>
      </c>
      <c r="O8657">
        <v>0.99862660000000003</v>
      </c>
      <c r="P8657">
        <v>9.8225139999999992E-3</v>
      </c>
      <c r="Q8657">
        <v>-0.13744879999999901</v>
      </c>
      <c r="R8657">
        <v>0.99046020000000001</v>
      </c>
      <c r="S8657">
        <v>0.12998959999999901</v>
      </c>
      <c r="T8657">
        <v>-0.24938170000000001</v>
      </c>
      <c r="U8657">
        <v>2.99295</v>
      </c>
      <c r="V8657">
        <v>-3.9604649999999998E-2</v>
      </c>
      <c r="W8657">
        <v>-0.1226101</v>
      </c>
      <c r="X8657">
        <v>0.9916644</v>
      </c>
      <c r="Y8657">
        <v>-6.8935840000000003E-3</v>
      </c>
      <c r="Z8657">
        <v>-6.7826090000000006E-2</v>
      </c>
      <c r="AA8657">
        <v>0.99767329999999999</v>
      </c>
      <c r="AB8657">
        <v>39</v>
      </c>
      <c r="AC8657">
        <v>0.56649999999999001</v>
      </c>
      <c r="AD8657">
        <v>-1.1214831061320001</v>
      </c>
      <c r="AE8657">
        <v>13.087359999999901</v>
      </c>
      <c r="AF8657">
        <v>-9.0304278983375202E-2</v>
      </c>
      <c r="AG8657">
        <v>-1.1214831061320001</v>
      </c>
      <c r="AH8657">
        <v>13.0039877625992</v>
      </c>
      <c r="AI8657">
        <v>94.928958355966799</v>
      </c>
      <c r="AJ8657">
        <v>90.397875711921998</v>
      </c>
      <c r="AK8657">
        <v>13.0525697450721</v>
      </c>
      <c r="AL8657">
        <v>97.042762756749596</v>
      </c>
      <c r="AM8657">
        <v>92.287037826692199</v>
      </c>
      <c r="AN8657">
        <v>1.00000002357549</v>
      </c>
    </row>
    <row r="8658" spans="1:40" x14ac:dyDescent="0.25">
      <c r="A8658" t="str">
        <f>"20190303154347311"</f>
        <v>20190303154347311</v>
      </c>
      <c r="B8658" t="str">
        <f>"1551599027308900"</f>
        <v>1551599027308900</v>
      </c>
      <c r="C8658" t="s">
        <v>40</v>
      </c>
      <c r="D8658">
        <v>6.0912199999999999</v>
      </c>
      <c r="E8658">
        <v>0.51178769999999996</v>
      </c>
      <c r="F8658" t="s">
        <v>41</v>
      </c>
      <c r="G8658">
        <v>-188.12299999999999</v>
      </c>
      <c r="H8658" s="1">
        <v>-1.3240749999999999E-6</v>
      </c>
      <c r="I8658">
        <v>51.943129999999996</v>
      </c>
      <c r="J8658">
        <v>-188.65889999999999</v>
      </c>
      <c r="K8658">
        <v>1.121653</v>
      </c>
      <c r="L8658">
        <v>38.740749999999998</v>
      </c>
      <c r="M8658">
        <v>4.8660000000000002E-2</v>
      </c>
      <c r="N8658">
        <v>-1.5069269999999999E-2</v>
      </c>
      <c r="O8658">
        <v>0.99870170000000003</v>
      </c>
      <c r="P8658">
        <v>6.4956719999999897E-3</v>
      </c>
      <c r="Q8658">
        <v>-0.1365112</v>
      </c>
      <c r="R8658">
        <v>0.99061719999999998</v>
      </c>
      <c r="S8658">
        <v>0.1220551</v>
      </c>
      <c r="T8658">
        <v>-0.2466884</v>
      </c>
      <c r="U8658">
        <v>2.993439</v>
      </c>
      <c r="V8658">
        <v>-4.1384410000000003E-2</v>
      </c>
      <c r="W8658">
        <v>-0.1216957</v>
      </c>
      <c r="X8658">
        <v>0.99170429999999998</v>
      </c>
      <c r="Y8658">
        <v>-8.0187160000000004E-3</v>
      </c>
      <c r="Z8658">
        <v>-6.6937659999999996E-2</v>
      </c>
      <c r="AA8658">
        <v>0.99772499999999997</v>
      </c>
      <c r="AB8658">
        <v>39</v>
      </c>
      <c r="AC8658">
        <v>0.53589999999999705</v>
      </c>
      <c r="AD8658">
        <v>-1.1216543240750001</v>
      </c>
      <c r="AE8658">
        <v>13.2023799999999</v>
      </c>
      <c r="AF8658">
        <v>-0.1064685281361</v>
      </c>
      <c r="AG8658">
        <v>-1.1216543240750001</v>
      </c>
      <c r="AH8658">
        <v>13.118285450310101</v>
      </c>
      <c r="AI8658">
        <v>94.886921359085093</v>
      </c>
      <c r="AJ8658">
        <v>90.465004622849406</v>
      </c>
      <c r="AK8658">
        <v>13.1665810720178</v>
      </c>
      <c r="AL8658">
        <v>96.989976598694199</v>
      </c>
      <c r="AM8658">
        <v>92.389600467290606</v>
      </c>
      <c r="AN8658">
        <v>0.99999996571401295</v>
      </c>
    </row>
    <row r="8659" spans="1:40" x14ac:dyDescent="0.25">
      <c r="A8659" t="str">
        <f>"20190303154347334"</f>
        <v>20190303154347334</v>
      </c>
      <c r="B8659" t="str">
        <f>"1551599027328421"</f>
        <v>1551599027328421</v>
      </c>
      <c r="C8659" t="s">
        <v>40</v>
      </c>
      <c r="D8659">
        <v>6.0736039999999996</v>
      </c>
      <c r="E8659">
        <v>0.51187649999999996</v>
      </c>
      <c r="F8659" t="s">
        <v>41</v>
      </c>
      <c r="G8659">
        <v>-188.13310000000001</v>
      </c>
      <c r="H8659" s="1">
        <v>-1.636486E-6</v>
      </c>
      <c r="I8659">
        <v>52.6755</v>
      </c>
      <c r="J8659">
        <v>-188.6412</v>
      </c>
      <c r="K8659">
        <v>1.121804</v>
      </c>
      <c r="L8659">
        <v>39.13205</v>
      </c>
      <c r="M8659">
        <v>4.7066770000000001E-2</v>
      </c>
      <c r="N8659">
        <v>-1.5067000000000001E-2</v>
      </c>
      <c r="O8659">
        <v>0.9987781</v>
      </c>
      <c r="P8659">
        <v>2.9321880000000001E-3</v>
      </c>
      <c r="Q8659">
        <v>-0.13625789999999999</v>
      </c>
      <c r="R8659">
        <v>0.99066909999999997</v>
      </c>
      <c r="S8659">
        <v>0.1129913</v>
      </c>
      <c r="T8659">
        <v>-0.241033</v>
      </c>
      <c r="U8659">
        <v>2.9944459999999999</v>
      </c>
      <c r="V8659">
        <v>-4.3323420000000001E-2</v>
      </c>
      <c r="W8659">
        <v>-0.1214669</v>
      </c>
      <c r="X8659">
        <v>0.99164960000000002</v>
      </c>
      <c r="Y8659">
        <v>-9.4468569999999995E-3</v>
      </c>
      <c r="Z8659">
        <v>-6.5056359999999994E-2</v>
      </c>
      <c r="AA8659">
        <v>0.99783690000000003</v>
      </c>
      <c r="AB8659">
        <v>39</v>
      </c>
      <c r="AC8659">
        <v>0.50809999999998401</v>
      </c>
      <c r="AD8659">
        <v>-1.1218056364860001</v>
      </c>
      <c r="AE8659">
        <v>13.54345</v>
      </c>
      <c r="AF8659">
        <v>-0.129097577463093</v>
      </c>
      <c r="AG8659">
        <v>-1.1218056364860001</v>
      </c>
      <c r="AH8659">
        <v>13.4601364356572</v>
      </c>
      <c r="AI8659">
        <v>94.7639629970502</v>
      </c>
      <c r="AJ8659">
        <v>90.549512969257606</v>
      </c>
      <c r="AK8659">
        <v>13.5074196994491</v>
      </c>
      <c r="AL8659">
        <v>96.976768909886403</v>
      </c>
      <c r="AM8659">
        <v>92.501560700613695</v>
      </c>
      <c r="AN8659">
        <v>1.00000002784813</v>
      </c>
    </row>
    <row r="8660" spans="1:40" x14ac:dyDescent="0.25">
      <c r="A8660" t="str">
        <f>"20190303154347357"</f>
        <v>20190303154347357</v>
      </c>
      <c r="B8660" t="str">
        <f>"1551599027348916"</f>
        <v>1551599027348916</v>
      </c>
      <c r="C8660" t="s">
        <v>40</v>
      </c>
      <c r="D8660">
        <v>6.0630269999999999</v>
      </c>
      <c r="E8660">
        <v>0.51192709999999997</v>
      </c>
      <c r="F8660" t="s">
        <v>41</v>
      </c>
      <c r="G8660">
        <v>-188.1566</v>
      </c>
      <c r="H8660" s="1">
        <v>-1.8638540000000001E-6</v>
      </c>
      <c r="I8660">
        <v>53.215240000000001</v>
      </c>
      <c r="J8660">
        <v>-188.62389999999999</v>
      </c>
      <c r="K8660">
        <v>1.1219520000000001</v>
      </c>
      <c r="L8660">
        <v>39.531709999999997</v>
      </c>
      <c r="M8660">
        <v>4.5330710000000003E-2</v>
      </c>
      <c r="N8660">
        <v>-1.506445E-2</v>
      </c>
      <c r="O8660">
        <v>0.99885849999999998</v>
      </c>
      <c r="P8660">
        <v>-1.7921790000000001E-3</v>
      </c>
      <c r="Q8660">
        <v>-0.1361407</v>
      </c>
      <c r="R8660">
        <v>0.99068789999999995</v>
      </c>
      <c r="S8660">
        <v>0.10305789999999999</v>
      </c>
      <c r="T8660">
        <v>-0.2385805</v>
      </c>
      <c r="U8660">
        <v>2.9951479999999999</v>
      </c>
      <c r="V8660">
        <v>-4.6281900000000001E-2</v>
      </c>
      <c r="W8660">
        <v>-0.121379399999999</v>
      </c>
      <c r="X8660">
        <v>0.99152660000000004</v>
      </c>
      <c r="Y8660">
        <v>-1.101978E-2</v>
      </c>
      <c r="Z8660">
        <v>-6.4241989999999999E-2</v>
      </c>
      <c r="AA8660">
        <v>0.99787349999999997</v>
      </c>
      <c r="AB8660">
        <v>39</v>
      </c>
      <c r="AC8660">
        <v>0.467299999999994</v>
      </c>
      <c r="AD8660">
        <v>-1.1219538638539901</v>
      </c>
      <c r="AE8660">
        <v>13.683529999999999</v>
      </c>
      <c r="AF8660">
        <v>-0.15251085296682099</v>
      </c>
      <c r="AG8660">
        <v>-1.1219538638539901</v>
      </c>
      <c r="AH8660">
        <v>13.599326274247399</v>
      </c>
      <c r="AI8660">
        <v>94.7159655540854</v>
      </c>
      <c r="AJ8660">
        <v>90.642521675665705</v>
      </c>
      <c r="AK8660">
        <v>13.6463810274492</v>
      </c>
      <c r="AL8660">
        <v>96.971718452859903</v>
      </c>
      <c r="AM8660">
        <v>92.672479170066296</v>
      </c>
      <c r="AN8660">
        <v>0.99999998575976401</v>
      </c>
    </row>
    <row r="8661" spans="1:40" x14ac:dyDescent="0.25">
      <c r="A8661" t="str">
        <f>"20190303154347379"</f>
        <v>20190303154347379</v>
      </c>
      <c r="B8661" t="str">
        <f>"1551599027368436"</f>
        <v>1551599027368436</v>
      </c>
      <c r="C8661" t="s">
        <v>40</v>
      </c>
      <c r="D8661">
        <v>6.096889</v>
      </c>
      <c r="E8661">
        <v>0.51195670000000004</v>
      </c>
      <c r="F8661" t="s">
        <v>41</v>
      </c>
      <c r="G8661">
        <v>-188.20169999999999</v>
      </c>
      <c r="H8661" s="1">
        <v>-2.0660979999999999E-6</v>
      </c>
      <c r="I8661">
        <v>53.705319999999901</v>
      </c>
      <c r="J8661">
        <v>-188.6079</v>
      </c>
      <c r="K8661">
        <v>1.122085</v>
      </c>
      <c r="L8661">
        <v>39.919370000000001</v>
      </c>
      <c r="M8661">
        <v>4.3562579999999997E-2</v>
      </c>
      <c r="N8661">
        <v>-1.5061730000000001E-2</v>
      </c>
      <c r="O8661">
        <v>0.99893710000000002</v>
      </c>
      <c r="P8661">
        <v>-6.8569319999999996E-3</v>
      </c>
      <c r="Q8661">
        <v>-0.13464849999999901</v>
      </c>
      <c r="R8661">
        <v>0.99086969999999996</v>
      </c>
      <c r="S8661">
        <v>8.9233399999999893E-2</v>
      </c>
      <c r="T8661">
        <v>-0.23713799999999999</v>
      </c>
      <c r="U8661">
        <v>2.9957579999999999</v>
      </c>
      <c r="V8661">
        <v>-4.9568899999999999E-2</v>
      </c>
      <c r="W8661">
        <v>-0.11991540000000001</v>
      </c>
      <c r="X8661">
        <v>0.99154589999999998</v>
      </c>
      <c r="Y8661">
        <v>-1.385396E-2</v>
      </c>
      <c r="Z8661">
        <v>-6.3763760000000003E-2</v>
      </c>
      <c r="AA8661">
        <v>0.9978688</v>
      </c>
      <c r="AB8661">
        <v>39</v>
      </c>
      <c r="AC8661">
        <v>0.406200000000012</v>
      </c>
      <c r="AD8661">
        <v>-1.122087066098</v>
      </c>
      <c r="AE8661">
        <v>13.7859499999999</v>
      </c>
      <c r="AF8661">
        <v>-0.19352443955846099</v>
      </c>
      <c r="AG8661">
        <v>-1.122087066098</v>
      </c>
      <c r="AH8661">
        <v>13.6998754980086</v>
      </c>
      <c r="AI8661">
        <v>94.681888903575896</v>
      </c>
      <c r="AJ8661">
        <v>90.809306346338204</v>
      </c>
      <c r="AK8661">
        <v>13.7471131425309</v>
      </c>
      <c r="AL8661">
        <v>96.887219924211493</v>
      </c>
      <c r="AM8661">
        <v>92.861921336485295</v>
      </c>
      <c r="AN8661">
        <v>1.0000000254055801</v>
      </c>
    </row>
    <row r="8662" spans="1:40" x14ac:dyDescent="0.25">
      <c r="A8662" t="str">
        <f>"20190303154347400"</f>
        <v>20190303154347400</v>
      </c>
      <c r="B8662" t="str">
        <f>"1551599027388932"</f>
        <v>1551599027388932</v>
      </c>
      <c r="C8662" t="s">
        <v>40</v>
      </c>
      <c r="D8662">
        <v>5.9911789999999998</v>
      </c>
      <c r="E8662">
        <v>0.51196560000000002</v>
      </c>
      <c r="F8662" t="s">
        <v>41</v>
      </c>
      <c r="G8662">
        <v>-188.2508</v>
      </c>
      <c r="H8662" s="1">
        <v>-2.3491690000000001E-6</v>
      </c>
      <c r="I8662">
        <v>54.385460000000002</v>
      </c>
      <c r="J8662">
        <v>-188.5932</v>
      </c>
      <c r="K8662">
        <v>1.1221909999999999</v>
      </c>
      <c r="L8662">
        <v>40.292999999999999</v>
      </c>
      <c r="M8662">
        <v>4.1804689999999999E-2</v>
      </c>
      <c r="N8662">
        <v>-1.5058709999999999E-2</v>
      </c>
      <c r="O8662">
        <v>0.99901229999999996</v>
      </c>
      <c r="P8662">
        <v>-1.0226590000000001E-2</v>
      </c>
      <c r="Q8662">
        <v>-0.1346936</v>
      </c>
      <c r="R8662">
        <v>0.99083449999999995</v>
      </c>
      <c r="S8662">
        <v>7.3974609999999996E-2</v>
      </c>
      <c r="T8662">
        <v>-0.23243510000000001</v>
      </c>
      <c r="U8662">
        <v>2.9965820000000001</v>
      </c>
      <c r="V8662">
        <v>-5.1164139999999997E-2</v>
      </c>
      <c r="W8662">
        <v>-0.1199828</v>
      </c>
      <c r="X8662">
        <v>0.99145669999999997</v>
      </c>
      <c r="Y8662">
        <v>-1.7175349999999999E-2</v>
      </c>
      <c r="Z8662">
        <v>-6.2201140000000002E-2</v>
      </c>
      <c r="AA8662">
        <v>0.99791589999999997</v>
      </c>
      <c r="AB8662">
        <v>39</v>
      </c>
      <c r="AC8662">
        <v>0.34239999999999698</v>
      </c>
      <c r="AD8662">
        <v>-1.1221933491689999</v>
      </c>
      <c r="AE8662">
        <v>14.0924599999999</v>
      </c>
      <c r="AF8662">
        <v>-0.24554105994509601</v>
      </c>
      <c r="AG8662">
        <v>-1.1221933491689999</v>
      </c>
      <c r="AH8662">
        <v>14.005694618662099</v>
      </c>
      <c r="AI8662">
        <v>94.580284214957302</v>
      </c>
      <c r="AJ8662">
        <v>91.004378986360194</v>
      </c>
      <c r="AK8662">
        <v>14.0527253611625</v>
      </c>
      <c r="AL8662">
        <v>96.891109817794501</v>
      </c>
      <c r="AM8662">
        <v>92.954129185065597</v>
      </c>
      <c r="AN8662">
        <v>1.0000000147463299</v>
      </c>
    </row>
    <row r="8663" spans="1:40" x14ac:dyDescent="0.25">
      <c r="A8663" t="str">
        <f>"20190303154347422"</f>
        <v>20190303154347422</v>
      </c>
      <c r="B8663" t="str">
        <f>"1551599027419188"</f>
        <v>1551599027419188</v>
      </c>
      <c r="C8663" t="s">
        <v>40</v>
      </c>
      <c r="D8663">
        <v>5.9871319999999999</v>
      </c>
      <c r="E8663">
        <v>0.51163429999999999</v>
      </c>
      <c r="F8663" t="s">
        <v>41</v>
      </c>
      <c r="G8663">
        <v>-188.2851</v>
      </c>
      <c r="H8663" s="1">
        <v>-2.497285E-6</v>
      </c>
      <c r="I8663">
        <v>54.744929999999997</v>
      </c>
      <c r="J8663">
        <v>-188.5789</v>
      </c>
      <c r="K8663">
        <v>1.1222719999999999</v>
      </c>
      <c r="L8663">
        <v>40.671050000000001</v>
      </c>
      <c r="M8663">
        <v>3.9986920000000002E-2</v>
      </c>
      <c r="N8663">
        <v>-1.5055320000000001E-2</v>
      </c>
      <c r="O8663">
        <v>0.99908680000000005</v>
      </c>
      <c r="P8663">
        <v>-1.2460550000000001E-2</v>
      </c>
      <c r="Q8663">
        <v>-0.1367515</v>
      </c>
      <c r="R8663">
        <v>0.99052700000000005</v>
      </c>
      <c r="S8663">
        <v>6.3873289999999999E-2</v>
      </c>
      <c r="T8663">
        <v>-0.23269899999999999</v>
      </c>
      <c r="U8663">
        <v>2.9967649999999999</v>
      </c>
      <c r="V8663">
        <v>-5.1552359999999998E-2</v>
      </c>
      <c r="W8663">
        <v>-0.1220598</v>
      </c>
      <c r="X8663">
        <v>0.99118300000000004</v>
      </c>
      <c r="Y8663">
        <v>-1.871857E-2</v>
      </c>
      <c r="Z8663">
        <v>-6.2296249999999997E-2</v>
      </c>
      <c r="AA8663">
        <v>0.99788209999999999</v>
      </c>
      <c r="AB8663">
        <v>39</v>
      </c>
      <c r="AC8663">
        <v>0.293800000000004</v>
      </c>
      <c r="AD8663">
        <v>-1.1222744972849901</v>
      </c>
      <c r="AE8663">
        <v>14.073880000000001</v>
      </c>
      <c r="AF8663">
        <v>-0.267569263447128</v>
      </c>
      <c r="AG8663">
        <v>-1.1222744972849901</v>
      </c>
      <c r="AH8663">
        <v>13.985479518780799</v>
      </c>
      <c r="AI8663">
        <v>94.587072797923398</v>
      </c>
      <c r="AJ8663">
        <v>91.096045324962503</v>
      </c>
      <c r="AK8663">
        <v>14.0329872346637</v>
      </c>
      <c r="AL8663">
        <v>97.010994508721794</v>
      </c>
      <c r="AM8663">
        <v>92.977324619647902</v>
      </c>
      <c r="AN8663">
        <v>0.99999999004330398</v>
      </c>
    </row>
    <row r="8664" spans="1:40" x14ac:dyDescent="0.25">
      <c r="A8664" t="str">
        <f>"20190303154347445"</f>
        <v>20190303154347445</v>
      </c>
      <c r="B8664" t="str">
        <f>"1551599027438708"</f>
        <v>1551599027438708</v>
      </c>
      <c r="C8664" t="s">
        <v>40</v>
      </c>
      <c r="D8664">
        <v>6.0061309999999999</v>
      </c>
      <c r="E8664">
        <v>0.51139899999999905</v>
      </c>
      <c r="F8664" t="s">
        <v>41</v>
      </c>
      <c r="G8664">
        <v>-188.3134</v>
      </c>
      <c r="H8664" s="1">
        <v>-2.7150109999999999E-6</v>
      </c>
      <c r="I8664">
        <v>55.264139999999998</v>
      </c>
      <c r="J8664">
        <v>-188.5643</v>
      </c>
      <c r="K8664">
        <v>1.1223270000000001</v>
      </c>
      <c r="L8664">
        <v>41.081330000000001</v>
      </c>
      <c r="M8664">
        <v>3.7983459999999997E-2</v>
      </c>
      <c r="N8664">
        <v>-1.5051439999999999E-2</v>
      </c>
      <c r="O8664">
        <v>0.99916499999999997</v>
      </c>
      <c r="P8664">
        <v>-1.35485E-2</v>
      </c>
      <c r="Q8664">
        <v>-0.13908970000000001</v>
      </c>
      <c r="R8664">
        <v>0.99018709999999999</v>
      </c>
      <c r="S8664">
        <v>5.4550170000000002E-2</v>
      </c>
      <c r="T8664">
        <v>-0.2305236</v>
      </c>
      <c r="U8664">
        <v>2.997528</v>
      </c>
      <c r="V8664">
        <v>-5.0613449999999997E-2</v>
      </c>
      <c r="W8664">
        <v>-0.1244099</v>
      </c>
      <c r="X8664">
        <v>0.99093920000000002</v>
      </c>
      <c r="Y8664">
        <v>-1.982008E-2</v>
      </c>
      <c r="Z8664">
        <v>-6.1570779999999999E-2</v>
      </c>
      <c r="AA8664">
        <v>0.99790590000000001</v>
      </c>
      <c r="AB8664">
        <v>39</v>
      </c>
      <c r="AC8664">
        <v>0.25090000000000101</v>
      </c>
      <c r="AD8664">
        <v>-1.1223297150110001</v>
      </c>
      <c r="AE8664">
        <v>14.18281</v>
      </c>
      <c r="AF8664">
        <v>-0.28626230309522499</v>
      </c>
      <c r="AG8664">
        <v>-1.1223297150110001</v>
      </c>
      <c r="AH8664">
        <v>14.0938751369267</v>
      </c>
      <c r="AI8664">
        <v>94.552060221671695</v>
      </c>
      <c r="AJ8664">
        <v>91.163581112418498</v>
      </c>
      <c r="AK8664">
        <v>14.1413891280401</v>
      </c>
      <c r="AL8664">
        <v>97.146679384707994</v>
      </c>
      <c r="AM8664">
        <v>92.923912227090497</v>
      </c>
      <c r="AN8664">
        <v>1.00000002131777</v>
      </c>
    </row>
    <row r="8665" spans="1:40" x14ac:dyDescent="0.25">
      <c r="A8665" t="str">
        <f>"20190303154347468"</f>
        <v>20190303154347468</v>
      </c>
      <c r="B8665" t="str">
        <f>"1551599027458229"</f>
        <v>1551599027458229</v>
      </c>
      <c r="C8665" t="s">
        <v>40</v>
      </c>
      <c r="D8665">
        <v>6.0192449999999997</v>
      </c>
      <c r="E8665">
        <v>0.51118520000000001</v>
      </c>
      <c r="F8665" t="s">
        <v>41</v>
      </c>
      <c r="G8665">
        <v>-188.32820000000001</v>
      </c>
      <c r="H8665" s="1">
        <v>-2.8085109999999898E-6</v>
      </c>
      <c r="I8665">
        <v>55.488210000000002</v>
      </c>
      <c r="J8665">
        <v>-188.55119999999999</v>
      </c>
      <c r="K8665">
        <v>1.1223639999999999</v>
      </c>
      <c r="L8665">
        <v>41.473140000000001</v>
      </c>
      <c r="M8665">
        <v>3.6052550000000003E-2</v>
      </c>
      <c r="N8665">
        <v>-1.504774E-2</v>
      </c>
      <c r="O8665">
        <v>0.99923660000000003</v>
      </c>
      <c r="P8665">
        <v>-1.351163E-2</v>
      </c>
      <c r="Q8665">
        <v>-0.13978560000000001</v>
      </c>
      <c r="R8665">
        <v>0.99008960000000001</v>
      </c>
      <c r="S8665">
        <v>4.9133299999999998E-2</v>
      </c>
      <c r="T8665">
        <v>-0.23351930000000001</v>
      </c>
      <c r="U8665">
        <v>2.9975890000000001</v>
      </c>
      <c r="V8665">
        <v>-4.864433E-2</v>
      </c>
      <c r="W8665">
        <v>-0.12510660000000001</v>
      </c>
      <c r="X8665">
        <v>0.99095009999999994</v>
      </c>
      <c r="Y8665">
        <v>-1.9692089999999999E-2</v>
      </c>
      <c r="Z8665">
        <v>-6.2572050000000004E-2</v>
      </c>
      <c r="AA8665">
        <v>0.99784620000000002</v>
      </c>
      <c r="AB8665">
        <v>39</v>
      </c>
      <c r="AC8665">
        <v>0.22299999999998399</v>
      </c>
      <c r="AD8665">
        <v>-1.1223668085109999</v>
      </c>
      <c r="AE8665">
        <v>14.0150699999999</v>
      </c>
      <c r="AF8665">
        <v>-0.28068160369475897</v>
      </c>
      <c r="AG8665">
        <v>-1.1223668085109999</v>
      </c>
      <c r="AH8665">
        <v>13.924717028057</v>
      </c>
      <c r="AI8665">
        <v>94.607288129430401</v>
      </c>
      <c r="AJ8665">
        <v>91.154759103107196</v>
      </c>
      <c r="AK8665">
        <v>13.972696007820399</v>
      </c>
      <c r="AL8665">
        <v>97.186911717605298</v>
      </c>
      <c r="AM8665">
        <v>92.8103123908122</v>
      </c>
      <c r="AN8665">
        <v>1.0000000164473499</v>
      </c>
    </row>
    <row r="8666" spans="1:40" x14ac:dyDescent="0.25">
      <c r="A8666" t="str">
        <f>"20190303154347490"</f>
        <v>20190303154347490</v>
      </c>
      <c r="B8666" t="str">
        <f>"1551599027478724"</f>
        <v>1551599027478724</v>
      </c>
      <c r="C8666" t="s">
        <v>40</v>
      </c>
      <c r="D8666">
        <v>6.0207670000000002</v>
      </c>
      <c r="E8666">
        <v>0.51099380000000005</v>
      </c>
      <c r="F8666" t="s">
        <v>41</v>
      </c>
      <c r="G8666">
        <v>-188.322</v>
      </c>
      <c r="H8666" s="1">
        <v>-3.0069169999999998E-6</v>
      </c>
      <c r="I8666">
        <v>55.948120000000003</v>
      </c>
      <c r="J8666">
        <v>-188.53890000000001</v>
      </c>
      <c r="K8666">
        <v>1.1223920000000001</v>
      </c>
      <c r="L8666">
        <v>41.859990000000003</v>
      </c>
      <c r="M8666">
        <v>3.4137670000000002E-2</v>
      </c>
      <c r="N8666">
        <v>-1.504399E-2</v>
      </c>
      <c r="O8666">
        <v>0.99930390000000002</v>
      </c>
      <c r="P8666">
        <v>-1.3441089999999999E-2</v>
      </c>
      <c r="Q8666">
        <v>-0.14055580000000001</v>
      </c>
      <c r="R8666">
        <v>0.98998149999999996</v>
      </c>
      <c r="S8666">
        <v>4.747009E-2</v>
      </c>
      <c r="T8666">
        <v>-0.2324495</v>
      </c>
      <c r="U8666">
        <v>2.9978639999999999</v>
      </c>
      <c r="V8666">
        <v>-4.6660269999999997E-2</v>
      </c>
      <c r="W8666">
        <v>-0.12587590000000001</v>
      </c>
      <c r="X8666">
        <v>0.9909481</v>
      </c>
      <c r="Y8666">
        <v>-1.8331790000000001E-2</v>
      </c>
      <c r="Z8666">
        <v>-6.2223870000000001E-2</v>
      </c>
      <c r="AA8666">
        <v>0.9978939</v>
      </c>
      <c r="AB8666">
        <v>39</v>
      </c>
      <c r="AC8666">
        <v>0.216900000000009</v>
      </c>
      <c r="AD8666">
        <v>-1.1223950069169999</v>
      </c>
      <c r="AE8666">
        <v>14.0881299999999</v>
      </c>
      <c r="AF8666">
        <v>-0.26255074237985199</v>
      </c>
      <c r="AG8666">
        <v>-1.1223950069169999</v>
      </c>
      <c r="AH8666">
        <v>13.9984913364801</v>
      </c>
      <c r="AI8666">
        <v>94.583349739415993</v>
      </c>
      <c r="AJ8666">
        <v>91.074493353458493</v>
      </c>
      <c r="AK8666">
        <v>14.0458699674098</v>
      </c>
      <c r="AL8666">
        <v>97.231340485415103</v>
      </c>
      <c r="AM8666">
        <v>92.695866083994204</v>
      </c>
      <c r="AN8666">
        <v>1.0000000299454399</v>
      </c>
    </row>
    <row r="8667" spans="1:40" x14ac:dyDescent="0.25">
      <c r="A8667" t="str">
        <f>"20190303154347511"</f>
        <v>20190303154347511</v>
      </c>
      <c r="B8667" t="str">
        <f>"1551599027508980"</f>
        <v>1551599027508980</v>
      </c>
      <c r="C8667" t="s">
        <v>40</v>
      </c>
      <c r="D8667">
        <v>6.0390750000000004</v>
      </c>
      <c r="E8667">
        <v>0.51054569999999999</v>
      </c>
      <c r="F8667" t="s">
        <v>41</v>
      </c>
      <c r="G8667">
        <v>-188.31739999999999</v>
      </c>
      <c r="H8667" s="1">
        <v>-3.1193630000000002E-6</v>
      </c>
      <c r="I8667">
        <v>56.208350000000003</v>
      </c>
      <c r="J8667">
        <v>-188.5282</v>
      </c>
      <c r="K8667">
        <v>1.1224019999999999</v>
      </c>
      <c r="L8667">
        <v>42.220280000000002</v>
      </c>
      <c r="M8667">
        <v>3.235122E-2</v>
      </c>
      <c r="N8667">
        <v>-1.504048E-2</v>
      </c>
      <c r="O8667">
        <v>0.99936340000000001</v>
      </c>
      <c r="P8667">
        <v>-1.3381209999999999E-2</v>
      </c>
      <c r="Q8667">
        <v>-0.14276059999999999</v>
      </c>
      <c r="R8667">
        <v>0.98966679999999996</v>
      </c>
      <c r="S8667">
        <v>4.627991E-2</v>
      </c>
      <c r="T8667">
        <v>-0.2344947</v>
      </c>
      <c r="U8667">
        <v>2.9977109999999998</v>
      </c>
      <c r="V8667">
        <v>-4.480365E-2</v>
      </c>
      <c r="W8667">
        <v>-0.1280819</v>
      </c>
      <c r="X8667">
        <v>0.99075100000000005</v>
      </c>
      <c r="Y8667">
        <v>-1.694128E-2</v>
      </c>
      <c r="Z8667">
        <v>-6.2915209999999999E-2</v>
      </c>
      <c r="AA8667">
        <v>0.99787510000000001</v>
      </c>
      <c r="AB8667">
        <v>39</v>
      </c>
      <c r="AC8667">
        <v>0.21080000000000601</v>
      </c>
      <c r="AD8667">
        <v>-1.122405119363</v>
      </c>
      <c r="AE8667">
        <v>13.98807</v>
      </c>
      <c r="AF8667">
        <v>-0.24034557402356599</v>
      </c>
      <c r="AG8667">
        <v>-1.122405119363</v>
      </c>
      <c r="AH8667">
        <v>13.898104449468599</v>
      </c>
      <c r="AI8667">
        <v>94.616475506240505</v>
      </c>
      <c r="AJ8667">
        <v>90.990740466793397</v>
      </c>
      <c r="AK8667">
        <v>13.9454245735031</v>
      </c>
      <c r="AL8667">
        <v>97.358767108599395</v>
      </c>
      <c r="AM8667">
        <v>92.589260367775395</v>
      </c>
      <c r="AN8667">
        <v>0.99999994208096399</v>
      </c>
    </row>
    <row r="8668" spans="1:40" x14ac:dyDescent="0.25">
      <c r="A8668" t="str">
        <f>"20190303154347533"</f>
        <v>20190303154347533</v>
      </c>
      <c r="B8668" t="str">
        <f>"1551599027528500"</f>
        <v>1551599027528500</v>
      </c>
      <c r="C8668" t="s">
        <v>40</v>
      </c>
      <c r="D8668">
        <v>6.0630490000000004</v>
      </c>
      <c r="E8668">
        <v>0.51027789999999995</v>
      </c>
      <c r="F8668" t="s">
        <v>41</v>
      </c>
      <c r="G8668">
        <v>-188.32749999999999</v>
      </c>
      <c r="H8668" s="1">
        <v>-3.1257770000000002E-6</v>
      </c>
      <c r="I8668">
        <v>56.227469999999997</v>
      </c>
      <c r="J8668">
        <v>-188.51730000000001</v>
      </c>
      <c r="K8668">
        <v>1.12242</v>
      </c>
      <c r="L8668">
        <v>42.608519999999999</v>
      </c>
      <c r="M8668">
        <v>3.0427820000000001E-2</v>
      </c>
      <c r="N8668">
        <v>-1.503666E-2</v>
      </c>
      <c r="O8668">
        <v>0.99942390000000003</v>
      </c>
      <c r="P8668">
        <v>-1.339592E-2</v>
      </c>
      <c r="Q8668">
        <v>-0.1462764</v>
      </c>
      <c r="R8668">
        <v>0.98915299999999995</v>
      </c>
      <c r="S8668">
        <v>4.2953489999999997E-2</v>
      </c>
      <c r="T8668">
        <v>-0.24017179999999999</v>
      </c>
      <c r="U8668">
        <v>2.9972530000000002</v>
      </c>
      <c r="V8668">
        <v>-4.2876440000000002E-2</v>
      </c>
      <c r="W8668">
        <v>-0.1316011</v>
      </c>
      <c r="X8668">
        <v>0.99037500000000001</v>
      </c>
      <c r="Y8668">
        <v>-1.612392E-2</v>
      </c>
      <c r="Z8668">
        <v>-6.4815559999999994E-2</v>
      </c>
      <c r="AA8668">
        <v>0.99776699999999996</v>
      </c>
      <c r="AB8668">
        <v>39</v>
      </c>
      <c r="AC8668">
        <v>0.18980000000001901</v>
      </c>
      <c r="AD8668">
        <v>-1.1224231257770001</v>
      </c>
      <c r="AE8668">
        <v>13.6189499999999</v>
      </c>
      <c r="AF8668">
        <v>-0.22321382800579301</v>
      </c>
      <c r="AG8668">
        <v>-1.1224231257770001</v>
      </c>
      <c r="AH8668">
        <v>13.5265578765122</v>
      </c>
      <c r="AI8668">
        <v>94.742848644582807</v>
      </c>
      <c r="AJ8668">
        <v>90.945403087225699</v>
      </c>
      <c r="AK8668">
        <v>13.574882175287</v>
      </c>
      <c r="AL8668">
        <v>97.562124022138406</v>
      </c>
      <c r="AM8668">
        <v>92.4789660013884</v>
      </c>
      <c r="AN8668">
        <v>0.99999993962664002</v>
      </c>
    </row>
    <row r="8669" spans="1:40" x14ac:dyDescent="0.25">
      <c r="A8669" t="str">
        <f>"20190303154347555"</f>
        <v>20190303154347555</v>
      </c>
      <c r="B8669" t="str">
        <f>"1551599027548997"</f>
        <v>1551599027548997</v>
      </c>
      <c r="C8669" t="s">
        <v>40</v>
      </c>
      <c r="D8669">
        <v>6.0364559999999896</v>
      </c>
      <c r="E8669">
        <v>0.51001859999999999</v>
      </c>
      <c r="F8669" t="s">
        <v>41</v>
      </c>
      <c r="G8669">
        <v>-188.334</v>
      </c>
      <c r="H8669" s="1">
        <v>-3.0575890000000001E-6</v>
      </c>
      <c r="I8669">
        <v>56.071240000000003</v>
      </c>
      <c r="J8669">
        <v>-188.50749999999999</v>
      </c>
      <c r="K8669">
        <v>1.122433</v>
      </c>
      <c r="L8669">
        <v>42.985810000000001</v>
      </c>
      <c r="M8669">
        <v>2.8563680000000001E-2</v>
      </c>
      <c r="N8669">
        <v>-1.503291E-2</v>
      </c>
      <c r="O8669">
        <v>0.99947889999999995</v>
      </c>
      <c r="P8669">
        <v>-1.40298E-2</v>
      </c>
      <c r="Q8669">
        <v>-0.148289</v>
      </c>
      <c r="R8669">
        <v>0.98884459999999996</v>
      </c>
      <c r="S8669">
        <v>4.0801999999999998E-2</v>
      </c>
      <c r="T8669">
        <v>-0.24982799999999999</v>
      </c>
      <c r="U8669">
        <v>2.996521</v>
      </c>
      <c r="V8669">
        <v>-4.1643380000000001E-2</v>
      </c>
      <c r="W8669">
        <v>-0.1336167</v>
      </c>
      <c r="X8669">
        <v>0.99015779999999998</v>
      </c>
      <c r="Y8669">
        <v>-1.497514E-2</v>
      </c>
      <c r="Z8669">
        <v>-6.8037760000000003E-2</v>
      </c>
      <c r="AA8669">
        <v>0.99757030000000002</v>
      </c>
      <c r="AB8669">
        <v>39</v>
      </c>
      <c r="AC8669">
        <v>0.173499999999989</v>
      </c>
      <c r="AD8669">
        <v>-1.122436057589</v>
      </c>
      <c r="AE8669">
        <v>13.085430000000001</v>
      </c>
      <c r="AF8669">
        <v>-0.19891775757795299</v>
      </c>
      <c r="AG8669">
        <v>-1.122436057589</v>
      </c>
      <c r="AH8669">
        <v>12.989488871070501</v>
      </c>
      <c r="AI8669">
        <v>94.938147461223807</v>
      </c>
      <c r="AJ8669">
        <v>90.877344543692004</v>
      </c>
      <c r="AK8669">
        <v>13.0394114939793</v>
      </c>
      <c r="AL8669">
        <v>97.678637719307901</v>
      </c>
      <c r="AM8669">
        <v>92.408287462788394</v>
      </c>
      <c r="AN8669">
        <v>1.00000003125877</v>
      </c>
    </row>
    <row r="8670" spans="1:40" x14ac:dyDescent="0.25">
      <c r="A8670" t="str">
        <f>"20190303154347580"</f>
        <v>20190303154347580</v>
      </c>
      <c r="B8670" t="str">
        <f>"1551599027568516"</f>
        <v>1551599027568516</v>
      </c>
      <c r="C8670" t="s">
        <v>40</v>
      </c>
      <c r="D8670">
        <v>5.9901299999999997</v>
      </c>
      <c r="E8670">
        <v>0.50968950000000002</v>
      </c>
      <c r="F8670" t="s">
        <v>41</v>
      </c>
      <c r="G8670">
        <v>-188.3443</v>
      </c>
      <c r="H8670" s="1">
        <v>-3.0974959999999999E-6</v>
      </c>
      <c r="I8670">
        <v>56.168489999999998</v>
      </c>
      <c r="J8670">
        <v>-188.4974</v>
      </c>
      <c r="K8670">
        <v>1.1224419999999999</v>
      </c>
      <c r="L8670">
        <v>43.409700000000001</v>
      </c>
      <c r="M8670">
        <v>2.647857E-2</v>
      </c>
      <c r="N8670">
        <v>-1.5028659999999999E-2</v>
      </c>
      <c r="O8670">
        <v>0.99953639999999999</v>
      </c>
      <c r="P8670">
        <v>-1.5632170000000001E-2</v>
      </c>
      <c r="Q8670">
        <v>-0.14829039999999999</v>
      </c>
      <c r="R8670">
        <v>0.98882029999999999</v>
      </c>
      <c r="S8670">
        <v>3.7109379999999997E-2</v>
      </c>
      <c r="T8670">
        <v>-0.2551042</v>
      </c>
      <c r="U8670">
        <v>2.996124</v>
      </c>
      <c r="V8670">
        <v>-4.1181120000000002E-2</v>
      </c>
      <c r="W8670">
        <v>-0.13362060000000001</v>
      </c>
      <c r="X8670">
        <v>0.99017659999999996</v>
      </c>
      <c r="Y8670">
        <v>-1.411865E-2</v>
      </c>
      <c r="Z8670">
        <v>-6.9804140000000001E-2</v>
      </c>
      <c r="AA8670">
        <v>0.99746080000000004</v>
      </c>
      <c r="AB8670">
        <v>39</v>
      </c>
      <c r="AC8670">
        <v>0.15309999999999399</v>
      </c>
      <c r="AD8670">
        <v>-1.1224450974960001</v>
      </c>
      <c r="AE8670">
        <v>12.758789999999999</v>
      </c>
      <c r="AF8670">
        <v>-0.1834070964625</v>
      </c>
      <c r="AG8670">
        <v>-1.1224450974960001</v>
      </c>
      <c r="AH8670">
        <v>12.660399168312299</v>
      </c>
      <c r="AI8670">
        <v>95.065950986030998</v>
      </c>
      <c r="AJ8670">
        <v>90.829967317650102</v>
      </c>
      <c r="AK8670">
        <v>12.711381839160101</v>
      </c>
      <c r="AL8670">
        <v>97.678863248567794</v>
      </c>
      <c r="AM8670">
        <v>92.381540191447996</v>
      </c>
      <c r="AN8670">
        <v>1.0000000242881799</v>
      </c>
    </row>
    <row r="8671" spans="1:40" x14ac:dyDescent="0.25">
      <c r="A8671" t="str">
        <f>"20190303154347600"</f>
        <v>20190303154347600</v>
      </c>
      <c r="B8671" t="str">
        <f>"1551599027598773"</f>
        <v>1551599027598773</v>
      </c>
      <c r="C8671" t="s">
        <v>40</v>
      </c>
      <c r="D8671">
        <v>6.0261550000000002</v>
      </c>
      <c r="E8671">
        <v>0.50952629999999999</v>
      </c>
      <c r="F8671" t="s">
        <v>41</v>
      </c>
      <c r="G8671">
        <v>-188.3655</v>
      </c>
      <c r="H8671" s="1">
        <v>-3.297485E-6</v>
      </c>
      <c r="I8671">
        <v>56.643459999999997</v>
      </c>
      <c r="J8671">
        <v>-188.4896</v>
      </c>
      <c r="K8671">
        <v>1.1224479999999999</v>
      </c>
      <c r="L8671">
        <v>43.768279999999997</v>
      </c>
      <c r="M8671">
        <v>2.472249E-2</v>
      </c>
      <c r="N8671">
        <v>-1.502506E-2</v>
      </c>
      <c r="O8671">
        <v>0.99958150000000001</v>
      </c>
      <c r="P8671">
        <v>-1.8235319999999999E-2</v>
      </c>
      <c r="Q8671">
        <v>-0.14767249999999901</v>
      </c>
      <c r="R8671">
        <v>0.98886819999999997</v>
      </c>
      <c r="S8671">
        <v>2.9861450000000001E-2</v>
      </c>
      <c r="T8671">
        <v>-0.25413449999999999</v>
      </c>
      <c r="U8671">
        <v>2.9962770000000001</v>
      </c>
      <c r="V8671">
        <v>-4.2050999999999998E-2</v>
      </c>
      <c r="W8671">
        <v>-0.13300970000000001</v>
      </c>
      <c r="X8671">
        <v>0.9902223</v>
      </c>
      <c r="Y8671">
        <v>-1.477445E-2</v>
      </c>
      <c r="Z8671">
        <v>-6.9488939999999999E-2</v>
      </c>
      <c r="AA8671">
        <v>0.99747330000000001</v>
      </c>
      <c r="AB8671">
        <v>39</v>
      </c>
      <c r="AC8671">
        <v>0.124099999999998</v>
      </c>
      <c r="AD8671">
        <v>-1.1224512974849901</v>
      </c>
      <c r="AE8671">
        <v>12.87518</v>
      </c>
      <c r="AF8671">
        <v>-0.19281505475073701</v>
      </c>
      <c r="AG8671">
        <v>-1.1224512974849901</v>
      </c>
      <c r="AH8671">
        <v>12.777211159491401</v>
      </c>
      <c r="AI8671">
        <v>95.019857703151601</v>
      </c>
      <c r="AJ8671">
        <v>90.864558802847398</v>
      </c>
      <c r="AK8671">
        <v>12.8278680837774</v>
      </c>
      <c r="AL8671">
        <v>97.643545921120705</v>
      </c>
      <c r="AM8671">
        <v>92.431674249289998</v>
      </c>
      <c r="AN8671">
        <v>1.00000003515618</v>
      </c>
    </row>
    <row r="8672" spans="1:40" x14ac:dyDescent="0.25">
      <c r="A8672" t="str">
        <f>"20190303154347624"</f>
        <v>20190303154347624</v>
      </c>
      <c r="B8672" t="str">
        <f>"1551599027618293"</f>
        <v>1551599027618293</v>
      </c>
      <c r="C8672" t="s">
        <v>40</v>
      </c>
      <c r="D8672">
        <v>5.9846459999999997</v>
      </c>
      <c r="E8672">
        <v>0.50940439999999998</v>
      </c>
      <c r="F8672" t="s">
        <v>41</v>
      </c>
      <c r="G8672">
        <v>-188.3973</v>
      </c>
      <c r="H8672" s="1">
        <v>-3.5716790000000001E-6</v>
      </c>
      <c r="I8672">
        <v>57.295740000000002</v>
      </c>
      <c r="J8672">
        <v>-188.48169999999999</v>
      </c>
      <c r="K8672">
        <v>1.122449</v>
      </c>
      <c r="L8672">
        <v>44.160710000000002</v>
      </c>
      <c r="M8672">
        <v>2.2808950000000001E-2</v>
      </c>
      <c r="N8672">
        <v>-1.5021049999999999E-2</v>
      </c>
      <c r="O8672">
        <v>0.99962700000000004</v>
      </c>
      <c r="P8672">
        <v>-2.0585119999999998E-2</v>
      </c>
      <c r="Q8672">
        <v>-0.14641109999999999</v>
      </c>
      <c r="R8672">
        <v>0.98900960000000004</v>
      </c>
      <c r="S8672">
        <v>2.0446780000000001E-2</v>
      </c>
      <c r="T8672">
        <v>-0.24867919999999999</v>
      </c>
      <c r="U8672">
        <v>2.9970089999999998</v>
      </c>
      <c r="V8672">
        <v>-4.2519040000000001E-2</v>
      </c>
      <c r="W8672">
        <v>-0.131751799999999</v>
      </c>
      <c r="X8672">
        <v>0.99037050000000004</v>
      </c>
      <c r="Y8672">
        <v>-1.599443E-2</v>
      </c>
      <c r="Z8672">
        <v>-6.767534E-2</v>
      </c>
      <c r="AA8672">
        <v>0.9975792</v>
      </c>
      <c r="AB8672">
        <v>39</v>
      </c>
      <c r="AC8672">
        <v>8.4399999999987999E-2</v>
      </c>
      <c r="AD8672">
        <v>-1.1224525716789999</v>
      </c>
      <c r="AE8672">
        <v>13.13503</v>
      </c>
      <c r="AF8672">
        <v>-0.21369158029409499</v>
      </c>
      <c r="AG8672">
        <v>-1.1224525716789999</v>
      </c>
      <c r="AH8672">
        <v>13.0383283738903</v>
      </c>
      <c r="AI8672">
        <v>94.919729469481396</v>
      </c>
      <c r="AJ8672">
        <v>90.938964660056996</v>
      </c>
      <c r="AK8672">
        <v>13.0882989976754</v>
      </c>
      <c r="AL8672">
        <v>97.570833374035601</v>
      </c>
      <c r="AM8672">
        <v>92.458338995064494</v>
      </c>
      <c r="AN8672">
        <v>1.000000066418</v>
      </c>
    </row>
    <row r="8673" spans="1:40" x14ac:dyDescent="0.25">
      <c r="A8673" t="str">
        <f>"20190303154347645"</f>
        <v>20190303154347645</v>
      </c>
      <c r="B8673" t="str">
        <f>"1551599027638788"</f>
        <v>1551599027638788</v>
      </c>
      <c r="C8673" t="s">
        <v>40</v>
      </c>
      <c r="D8673">
        <v>6.0429620000000002</v>
      </c>
      <c r="E8673">
        <v>0.50930609999999998</v>
      </c>
      <c r="F8673" t="s">
        <v>41</v>
      </c>
      <c r="G8673">
        <v>-188.4255</v>
      </c>
      <c r="H8673" s="1">
        <v>-3.8770460000000003E-6</v>
      </c>
      <c r="I8673">
        <v>58.01923</v>
      </c>
      <c r="J8673">
        <v>-188.47489999999999</v>
      </c>
      <c r="K8673">
        <v>1.1224499999999999</v>
      </c>
      <c r="L8673">
        <v>44.52899</v>
      </c>
      <c r="M8673">
        <v>2.102505E-2</v>
      </c>
      <c r="N8673">
        <v>-1.5017290000000001E-2</v>
      </c>
      <c r="O8673">
        <v>0.99966619999999995</v>
      </c>
      <c r="P8673">
        <v>-2.326015E-2</v>
      </c>
      <c r="Q8673">
        <v>-0.1448053</v>
      </c>
      <c r="R8673">
        <v>0.98918669999999997</v>
      </c>
      <c r="S8673">
        <v>1.2146000000000001E-2</v>
      </c>
      <c r="T8673">
        <v>-0.2427907</v>
      </c>
      <c r="U8673">
        <v>2.9976500000000001</v>
      </c>
      <c r="V8673">
        <v>-4.3443019999999999E-2</v>
      </c>
      <c r="W8673">
        <v>-0.13015060000000001</v>
      </c>
      <c r="X8673">
        <v>0.99054209999999998</v>
      </c>
      <c r="Y8673">
        <v>-1.6972879999999999E-2</v>
      </c>
      <c r="Z8673">
        <v>-6.5719710000000001E-2</v>
      </c>
      <c r="AA8673">
        <v>0.99769379999999996</v>
      </c>
      <c r="AB8673">
        <v>39</v>
      </c>
      <c r="AC8673">
        <v>4.9399999999991402E-2</v>
      </c>
      <c r="AD8673">
        <v>-1.122453877046</v>
      </c>
      <c r="AE8673">
        <v>13.49024</v>
      </c>
      <c r="AF8673">
        <v>-0.23266513733208599</v>
      </c>
      <c r="AG8673">
        <v>-1.122453877046</v>
      </c>
      <c r="AH8673">
        <v>13.395559131504999</v>
      </c>
      <c r="AI8673">
        <v>94.789076170813999</v>
      </c>
      <c r="AJ8673">
        <v>90.995060377822398</v>
      </c>
      <c r="AK8673">
        <v>13.4445171061616</v>
      </c>
      <c r="AL8673">
        <v>97.478294521917704</v>
      </c>
      <c r="AM8673">
        <v>92.5112588333769</v>
      </c>
      <c r="AN8673">
        <v>1.0000000632697399</v>
      </c>
    </row>
    <row r="8674" spans="1:40" x14ac:dyDescent="0.25">
      <c r="A8674" t="str">
        <f>"20190303154347670"</f>
        <v>20190303154347670</v>
      </c>
      <c r="B8674" t="str">
        <f>"1551599027659285"</f>
        <v>1551599027659285</v>
      </c>
      <c r="C8674" t="s">
        <v>40</v>
      </c>
      <c r="D8674">
        <v>6.0446759999999999</v>
      </c>
      <c r="E8674">
        <v>0.50921939999999999</v>
      </c>
      <c r="F8674" t="s">
        <v>41</v>
      </c>
      <c r="G8674">
        <v>-188.46010000000001</v>
      </c>
      <c r="H8674" s="1">
        <v>-4.2066690000000001E-6</v>
      </c>
      <c r="I8674">
        <v>58.801900000000003</v>
      </c>
      <c r="J8674">
        <v>-188.46780000000001</v>
      </c>
      <c r="K8674">
        <v>1.122436</v>
      </c>
      <c r="L8674">
        <v>44.964419999999997</v>
      </c>
      <c r="M8674">
        <v>1.8937030000000001E-2</v>
      </c>
      <c r="N8674">
        <v>-1.50127E-2</v>
      </c>
      <c r="O8674">
        <v>0.99970789999999998</v>
      </c>
      <c r="P8674">
        <v>-2.619987E-2</v>
      </c>
      <c r="Q8674">
        <v>-0.14375060000000001</v>
      </c>
      <c r="R8674">
        <v>0.98926709999999995</v>
      </c>
      <c r="S8674">
        <v>3.112793E-3</v>
      </c>
      <c r="T8674">
        <v>-0.23579729999999999</v>
      </c>
      <c r="U8674">
        <v>2.9983520000000001</v>
      </c>
      <c r="V8674">
        <v>-4.4328140000000002E-2</v>
      </c>
      <c r="W8674">
        <v>-0.12910150000000001</v>
      </c>
      <c r="X8674">
        <v>0.99064010000000002</v>
      </c>
      <c r="Y8674">
        <v>-1.7890699999999999E-2</v>
      </c>
      <c r="Z8674">
        <v>-6.3397690000000007E-2</v>
      </c>
      <c r="AA8674">
        <v>0.99782789999999999</v>
      </c>
      <c r="AB8674">
        <v>39</v>
      </c>
      <c r="AC8674">
        <v>7.6999999999998103E-3</v>
      </c>
      <c r="AD8674">
        <v>-1.122440206669</v>
      </c>
      <c r="AE8674">
        <v>13.837479999999999</v>
      </c>
      <c r="AF8674">
        <v>-0.25270893286773399</v>
      </c>
      <c r="AG8674">
        <v>-1.122440206669</v>
      </c>
      <c r="AH8674">
        <v>13.7447065773402</v>
      </c>
      <c r="AI8674">
        <v>94.667826014707998</v>
      </c>
      <c r="AJ8674">
        <v>91.053316346089503</v>
      </c>
      <c r="AK8674">
        <v>13.7927768313518</v>
      </c>
      <c r="AL8674">
        <v>97.417674575692402</v>
      </c>
      <c r="AM8674">
        <v>92.562103249619398</v>
      </c>
      <c r="AN8674">
        <v>0.99999999451305899</v>
      </c>
    </row>
    <row r="8675" spans="1:40" x14ac:dyDescent="0.25">
      <c r="A8675" t="str">
        <f>"20190303154347691"</f>
        <v>20190303154347691</v>
      </c>
      <c r="B8675" t="str">
        <f>"1551599027688565"</f>
        <v>1551599027688565</v>
      </c>
      <c r="C8675" t="s">
        <v>40</v>
      </c>
      <c r="D8675">
        <v>6.0271949999999999</v>
      </c>
      <c r="E8675">
        <v>0.5090017</v>
      </c>
      <c r="F8675" t="s">
        <v>41</v>
      </c>
      <c r="G8675">
        <v>-188.501</v>
      </c>
      <c r="H8675" s="1">
        <v>-4.5286140000000001E-6</v>
      </c>
      <c r="I8675">
        <v>59.569270000000003</v>
      </c>
      <c r="J8675">
        <v>-188.46250000000001</v>
      </c>
      <c r="K8675">
        <v>1.1224209999999999</v>
      </c>
      <c r="L8675">
        <v>45.326509999999999</v>
      </c>
      <c r="M8675">
        <v>1.722363E-2</v>
      </c>
      <c r="N8675">
        <v>-1.500871E-2</v>
      </c>
      <c r="O8675">
        <v>0.99973900000000004</v>
      </c>
      <c r="P8675">
        <v>-2.8699140000000001E-2</v>
      </c>
      <c r="Q8675">
        <v>-0.14296889999999901</v>
      </c>
      <c r="R8675">
        <v>0.98931100000000005</v>
      </c>
      <c r="S8675">
        <v>-6.8206789999999996E-3</v>
      </c>
      <c r="T8675">
        <v>-0.23047490000000001</v>
      </c>
      <c r="U8675">
        <v>2.9988709999999998</v>
      </c>
      <c r="V8675">
        <v>-4.5142839999999997E-2</v>
      </c>
      <c r="W8675">
        <v>-0.12832460000000001</v>
      </c>
      <c r="X8675">
        <v>0.99070420000000003</v>
      </c>
      <c r="Y8675">
        <v>-1.9481849999999998E-2</v>
      </c>
      <c r="Z8675">
        <v>-6.1630039999999997E-2</v>
      </c>
      <c r="AA8675">
        <v>0.99790889999999999</v>
      </c>
      <c r="AB8675">
        <v>39</v>
      </c>
      <c r="AC8675">
        <v>-3.8499999999970599E-2</v>
      </c>
      <c r="AD8675">
        <v>-1.1224255286139999</v>
      </c>
      <c r="AE8675">
        <v>14.242759999999899</v>
      </c>
      <c r="AF8675">
        <v>-0.28208209373452597</v>
      </c>
      <c r="AG8675">
        <v>-1.1224255286139999</v>
      </c>
      <c r="AH8675">
        <v>14.152092632779899</v>
      </c>
      <c r="AI8675">
        <v>94.533832434389595</v>
      </c>
      <c r="AJ8675">
        <v>91.141878732542295</v>
      </c>
      <c r="AK8675">
        <v>14.199335733113401</v>
      </c>
      <c r="AL8675">
        <v>97.372788476013397</v>
      </c>
      <c r="AM8675">
        <v>92.608958680951801</v>
      </c>
      <c r="AN8675">
        <v>0.99999994543303095</v>
      </c>
    </row>
    <row r="8676" spans="1:40" x14ac:dyDescent="0.25">
      <c r="A8676" t="str">
        <f>"20190303154347712"</f>
        <v>20190303154347712</v>
      </c>
      <c r="B8676" t="str">
        <f>"1551599027709060"</f>
        <v>1551599027709060</v>
      </c>
      <c r="C8676" t="s">
        <v>40</v>
      </c>
      <c r="D8676">
        <v>6.0498070000000004</v>
      </c>
      <c r="E8676">
        <v>0.50884689999999999</v>
      </c>
      <c r="F8676" t="s">
        <v>41</v>
      </c>
      <c r="G8676">
        <v>-188.54230000000001</v>
      </c>
      <c r="H8676" s="1">
        <v>-5.7045669999999898E-7</v>
      </c>
      <c r="I8676">
        <v>60.184640000000002</v>
      </c>
      <c r="J8676">
        <v>-188.4579</v>
      </c>
      <c r="K8676">
        <v>1.1224000000000001</v>
      </c>
      <c r="L8676">
        <v>45.69144</v>
      </c>
      <c r="M8676">
        <v>1.5521220000000001E-2</v>
      </c>
      <c r="N8676">
        <v>-1.500453E-2</v>
      </c>
      <c r="O8676">
        <v>0.99976690000000001</v>
      </c>
      <c r="P8676">
        <v>-3.1526770000000003E-2</v>
      </c>
      <c r="Q8676">
        <v>-0.1420052</v>
      </c>
      <c r="R8676">
        <v>0.98936369999999896</v>
      </c>
      <c r="S8676">
        <v>-1.6098020000000001E-2</v>
      </c>
      <c r="T8676">
        <v>-0.22656789999999999</v>
      </c>
      <c r="U8676">
        <v>2.9992070000000002</v>
      </c>
      <c r="V8676">
        <v>-4.6298400000000003E-2</v>
      </c>
      <c r="W8676">
        <v>-0.1273667</v>
      </c>
      <c r="X8676">
        <v>0.9907745</v>
      </c>
      <c r="Y8676">
        <v>-2.086549E-2</v>
      </c>
      <c r="Z8676">
        <v>-6.0334640000000002E-2</v>
      </c>
      <c r="AA8676">
        <v>0.99796010000000002</v>
      </c>
      <c r="AB8676">
        <v>39</v>
      </c>
      <c r="AC8676">
        <v>-8.4400000000016406E-2</v>
      </c>
      <c r="AD8676">
        <v>-1.1224005704566999</v>
      </c>
      <c r="AE8676">
        <v>14.4932</v>
      </c>
      <c r="AF8676">
        <v>-0.30752302083343602</v>
      </c>
      <c r="AG8676">
        <v>-1.1224005704566999</v>
      </c>
      <c r="AH8676">
        <v>14.403760583065001</v>
      </c>
      <c r="AI8676">
        <v>94.454708836571101</v>
      </c>
      <c r="AJ8676">
        <v>91.223089943557</v>
      </c>
      <c r="AK8676">
        <v>14.45069798948</v>
      </c>
      <c r="AL8676">
        <v>97.317450609880595</v>
      </c>
      <c r="AM8676">
        <v>92.675457017662197</v>
      </c>
      <c r="AN8676">
        <v>0.999999963980849</v>
      </c>
    </row>
    <row r="8677" spans="1:40" x14ac:dyDescent="0.25">
      <c r="A8677" t="str">
        <f>"20190303154347735"</f>
        <v>20190303154347735</v>
      </c>
      <c r="B8677" t="str">
        <f>"1551599027728581"</f>
        <v>1551599027728581</v>
      </c>
      <c r="C8677" t="s">
        <v>40</v>
      </c>
      <c r="D8677">
        <v>6.0677960000000004</v>
      </c>
      <c r="E8677">
        <v>0.50872859999999998</v>
      </c>
      <c r="F8677" t="s">
        <v>41</v>
      </c>
      <c r="G8677">
        <v>-188.58920000000001</v>
      </c>
      <c r="H8677" s="1">
        <v>-7.5724849999999999E-7</v>
      </c>
      <c r="I8677">
        <v>60.770209999999999</v>
      </c>
      <c r="J8677">
        <v>-188.45349999999999</v>
      </c>
      <c r="K8677">
        <v>1.1223799999999999</v>
      </c>
      <c r="L8677">
        <v>46.076050000000002</v>
      </c>
      <c r="M8677">
        <v>1.3758289999999999E-2</v>
      </c>
      <c r="N8677">
        <v>-1.5000090000000001E-2</v>
      </c>
      <c r="O8677">
        <v>0.99979280000000004</v>
      </c>
      <c r="P8677">
        <v>-3.4346179999999997E-2</v>
      </c>
      <c r="Q8677">
        <v>-0.14015649999999999</v>
      </c>
      <c r="R8677">
        <v>0.98953349999999995</v>
      </c>
      <c r="S8677">
        <v>-2.6123049999999998E-2</v>
      </c>
      <c r="T8677">
        <v>-0.22325980000000001</v>
      </c>
      <c r="U8677">
        <v>2.9993590000000001</v>
      </c>
      <c r="V8677">
        <v>-4.7393379999999999E-2</v>
      </c>
      <c r="W8677">
        <v>-0.12552099999999999</v>
      </c>
      <c r="X8677">
        <v>0.99095829999999996</v>
      </c>
      <c r="Y8677">
        <v>-2.2437349999999998E-2</v>
      </c>
      <c r="Z8677">
        <v>-5.9241250000000002E-2</v>
      </c>
      <c r="AA8677">
        <v>0.99799150000000003</v>
      </c>
      <c r="AB8677">
        <v>38</v>
      </c>
      <c r="AC8677">
        <v>-0.135700000000014</v>
      </c>
      <c r="AD8677">
        <v>-1.1223807572484901</v>
      </c>
      <c r="AE8677">
        <v>14.694159999999901</v>
      </c>
      <c r="AF8677">
        <v>-0.33591674046136499</v>
      </c>
      <c r="AG8677">
        <v>-1.1223807572484901</v>
      </c>
      <c r="AH8677">
        <v>14.6056945218366</v>
      </c>
      <c r="AI8677">
        <v>94.393125014522596</v>
      </c>
      <c r="AJ8677">
        <v>91.317514823584403</v>
      </c>
      <c r="AK8677">
        <v>14.6526069723436</v>
      </c>
      <c r="AL8677">
        <v>97.210843837405804</v>
      </c>
      <c r="AM8677">
        <v>92.738130492510095</v>
      </c>
      <c r="AN8677">
        <v>1.0000000031238501</v>
      </c>
    </row>
    <row r="8678" spans="1:40" x14ac:dyDescent="0.25">
      <c r="A8678" t="str">
        <f>"20190303154347756"</f>
        <v>20190303154347756</v>
      </c>
      <c r="B8678" t="str">
        <f>"1551599027749079"</f>
        <v>1551599027749079</v>
      </c>
      <c r="C8678" t="s">
        <v>40</v>
      </c>
      <c r="D8678">
        <v>6.206175</v>
      </c>
      <c r="E8678">
        <v>0.50877989999999995</v>
      </c>
      <c r="F8678" t="s">
        <v>41</v>
      </c>
      <c r="G8678">
        <v>-188.6378</v>
      </c>
      <c r="H8678" s="1">
        <v>-1.0679439999999999E-6</v>
      </c>
      <c r="I8678">
        <v>61.55894</v>
      </c>
      <c r="J8678">
        <v>-188.45009999999999</v>
      </c>
      <c r="K8678">
        <v>1.1223540000000001</v>
      </c>
      <c r="L8678">
        <v>46.433810000000001</v>
      </c>
      <c r="M8678">
        <v>1.2154949999999999E-2</v>
      </c>
      <c r="N8678">
        <v>-1.499578E-2</v>
      </c>
      <c r="O8678">
        <v>0.99981370000000003</v>
      </c>
      <c r="P8678">
        <v>-3.6848409999999998E-2</v>
      </c>
      <c r="Q8678">
        <v>-0.13857130000000001</v>
      </c>
      <c r="R8678">
        <v>0.98966670000000001</v>
      </c>
      <c r="S8678">
        <v>-3.5705569999999999E-2</v>
      </c>
      <c r="T8678">
        <v>-0.21745310000000001</v>
      </c>
      <c r="U8678">
        <v>2.999695</v>
      </c>
      <c r="V8678">
        <v>-4.8328259999999998E-2</v>
      </c>
      <c r="W8678">
        <v>-0.1239379</v>
      </c>
      <c r="X8678">
        <v>0.9911124</v>
      </c>
      <c r="Y8678">
        <v>-2.402147E-2</v>
      </c>
      <c r="Z8678">
        <v>-5.7315289999999998E-2</v>
      </c>
      <c r="AA8678">
        <v>0.99806709999999998</v>
      </c>
      <c r="AB8678">
        <v>38</v>
      </c>
      <c r="AC8678">
        <v>-0.187700000000006</v>
      </c>
      <c r="AD8678">
        <v>-1.122355067944</v>
      </c>
      <c r="AE8678">
        <v>15.12513</v>
      </c>
      <c r="AF8678">
        <v>-0.36951762630509599</v>
      </c>
      <c r="AG8678">
        <v>-1.122355067944</v>
      </c>
      <c r="AH8678">
        <v>15.0389340549143</v>
      </c>
      <c r="AI8678">
        <v>94.2667866679637</v>
      </c>
      <c r="AJ8678">
        <v>91.407516070547004</v>
      </c>
      <c r="AK8678">
        <v>15.085282950039501</v>
      </c>
      <c r="AL8678">
        <v>97.119424945066399</v>
      </c>
      <c r="AM8678">
        <v>92.791624679790402</v>
      </c>
      <c r="AN8678">
        <v>1.00000000660239</v>
      </c>
    </row>
    <row r="8679" spans="1:40" x14ac:dyDescent="0.25">
      <c r="A8679" t="str">
        <f>"20190303154347780"</f>
        <v>20190303154347780</v>
      </c>
      <c r="B8679" t="str">
        <f>"1551599027768597"</f>
        <v>1551599027768597</v>
      </c>
      <c r="C8679" t="s">
        <v>40</v>
      </c>
      <c r="D8679">
        <v>6.115653</v>
      </c>
      <c r="E8679">
        <v>0.5330222</v>
      </c>
      <c r="F8679" t="s">
        <v>41</v>
      </c>
      <c r="G8679">
        <v>-188.68020000000001</v>
      </c>
      <c r="H8679" s="1">
        <v>-1.379613E-6</v>
      </c>
      <c r="I8679">
        <v>62.302970000000002</v>
      </c>
      <c r="J8679">
        <v>-188.4468</v>
      </c>
      <c r="K8679">
        <v>1.1223019999999999</v>
      </c>
      <c r="L8679">
        <v>46.848239999999997</v>
      </c>
      <c r="M8679">
        <v>1.035936E-2</v>
      </c>
      <c r="N8679">
        <v>-1.499059E-2</v>
      </c>
      <c r="O8679">
        <v>0.99983390000000005</v>
      </c>
      <c r="P8679">
        <v>-3.928388E-2</v>
      </c>
      <c r="Q8679">
        <v>-0.13941120000000001</v>
      </c>
      <c r="R8679">
        <v>0.98945499999999997</v>
      </c>
      <c r="S8679">
        <v>-4.3502810000000003E-2</v>
      </c>
      <c r="T8679">
        <v>-0.21217659999999999</v>
      </c>
      <c r="U8679">
        <v>3</v>
      </c>
      <c r="V8679">
        <v>-4.8995539999999997E-2</v>
      </c>
      <c r="W8679">
        <v>-0.1247824</v>
      </c>
      <c r="X8679">
        <v>0.99097369999999996</v>
      </c>
      <c r="Y8679">
        <v>-2.481972E-2</v>
      </c>
      <c r="Z8679">
        <v>-5.5566770000000001E-2</v>
      </c>
      <c r="AA8679">
        <v>0.99814639999999999</v>
      </c>
      <c r="AB8679">
        <v>38</v>
      </c>
      <c r="AC8679">
        <v>-0.23340000000001701</v>
      </c>
      <c r="AD8679">
        <v>-1.122303379613</v>
      </c>
      <c r="AE8679">
        <v>15.4547299999999</v>
      </c>
      <c r="AF8679">
        <v>-0.391442790794164</v>
      </c>
      <c r="AG8679">
        <v>-1.122303379613</v>
      </c>
      <c r="AH8679">
        <v>15.370445046787999</v>
      </c>
      <c r="AI8679">
        <v>94.174804409797403</v>
      </c>
      <c r="AJ8679">
        <v>91.458849946174794</v>
      </c>
      <c r="AK8679">
        <v>15.416334625023</v>
      </c>
      <c r="AL8679">
        <v>97.168189529990897</v>
      </c>
      <c r="AM8679">
        <v>92.830502546723494</v>
      </c>
      <c r="AN8679">
        <v>1.0000000421906601</v>
      </c>
    </row>
    <row r="8680" spans="1:40" x14ac:dyDescent="0.25">
      <c r="A8680" t="str">
        <f>"20190303154347800"</f>
        <v>20190303154347800</v>
      </c>
      <c r="B8680" t="str">
        <f>"1551599027798853"</f>
        <v>1551599027798853</v>
      </c>
      <c r="C8680" t="s">
        <v>40</v>
      </c>
      <c r="D8680">
        <v>6.1133689999999996</v>
      </c>
      <c r="E8680">
        <v>0.53538609999999998</v>
      </c>
      <c r="F8680" t="s">
        <v>42</v>
      </c>
      <c r="G8680">
        <v>-188.39959999999999</v>
      </c>
      <c r="H8680">
        <v>1.0381579999999999</v>
      </c>
      <c r="I8680">
        <v>47.840110000000003</v>
      </c>
      <c r="J8680">
        <v>-188.44460000000001</v>
      </c>
      <c r="K8680">
        <v>1.1222430000000001</v>
      </c>
      <c r="L8680">
        <v>47.203919999999997</v>
      </c>
      <c r="M8680">
        <v>8.863246E-3</v>
      </c>
      <c r="N8680">
        <v>-1.4985969999999999E-2</v>
      </c>
      <c r="O8680">
        <v>0.99984839999999997</v>
      </c>
      <c r="P8680">
        <v>-3.9917609999999999E-2</v>
      </c>
      <c r="Q8680">
        <v>-0.14136679999999999</v>
      </c>
      <c r="R8680">
        <v>0.98915220000000004</v>
      </c>
      <c r="S8680">
        <v>0.14279169999999999</v>
      </c>
      <c r="T8680">
        <v>-0.25467339999999999</v>
      </c>
      <c r="U8680">
        <v>3.00177</v>
      </c>
      <c r="V8680">
        <v>-4.8151840000000001E-2</v>
      </c>
      <c r="W8680">
        <v>-0.12673699999999999</v>
      </c>
      <c r="X8680">
        <v>0.99076690000000001</v>
      </c>
      <c r="Y8680">
        <v>3.8515599999999997E-2</v>
      </c>
      <c r="Z8680">
        <v>-6.9514919999999994E-2</v>
      </c>
      <c r="AA8680">
        <v>0.99683710000000003</v>
      </c>
      <c r="AB8680">
        <v>38</v>
      </c>
      <c r="AC8680">
        <v>4.5000000000015902E-2</v>
      </c>
      <c r="AD8680">
        <v>-8.4085000000000104E-2</v>
      </c>
      <c r="AE8680">
        <v>0.63618999999999204</v>
      </c>
      <c r="AF8680">
        <v>3.8686448252583203E-2</v>
      </c>
      <c r="AG8680">
        <v>-8.4085000000000104E-2</v>
      </c>
      <c r="AH8680">
        <v>0.62568827832311902</v>
      </c>
      <c r="AI8680">
        <v>97.639591638685005</v>
      </c>
      <c r="AJ8680">
        <v>86.461893062251903</v>
      </c>
      <c r="AK8680">
        <v>0.63249723330173402</v>
      </c>
      <c r="AL8680">
        <v>97.281076724190498</v>
      </c>
      <c r="AM8680">
        <v>92.782418442514199</v>
      </c>
      <c r="AN8680">
        <v>0.99999995849999601</v>
      </c>
    </row>
    <row r="8681" spans="1:40" x14ac:dyDescent="0.25">
      <c r="A8681" t="str">
        <f>"20190303154347826"</f>
        <v>20190303154347826</v>
      </c>
      <c r="B8681" t="str">
        <f>"1551599027818372"</f>
        <v>1551599027818372</v>
      </c>
      <c r="C8681" t="s">
        <v>40</v>
      </c>
      <c r="D8681">
        <v>6.1223960000000002</v>
      </c>
      <c r="E8681">
        <v>0.53631189999999995</v>
      </c>
      <c r="F8681" t="s">
        <v>42</v>
      </c>
      <c r="G8681">
        <v>-188.39259999999999</v>
      </c>
      <c r="H8681">
        <v>1.0387230000000001</v>
      </c>
      <c r="I8681">
        <v>48.181480000000001</v>
      </c>
      <c r="J8681">
        <v>-188.4425</v>
      </c>
      <c r="K8681">
        <v>1.122174</v>
      </c>
      <c r="L8681">
        <v>47.634279999999997</v>
      </c>
      <c r="M8681">
        <v>7.1315629999999996E-3</v>
      </c>
      <c r="N8681">
        <v>-1.4980220000000001E-2</v>
      </c>
      <c r="O8681">
        <v>0.99986240000000004</v>
      </c>
      <c r="P8681">
        <v>-3.9251330000000001E-2</v>
      </c>
      <c r="Q8681">
        <v>-0.14223150000000001</v>
      </c>
      <c r="R8681">
        <v>0.98905489999999996</v>
      </c>
      <c r="S8681">
        <v>0.15937809999999999</v>
      </c>
      <c r="T8681">
        <v>-0.25655499999999998</v>
      </c>
      <c r="U8681">
        <v>3.0026860000000002</v>
      </c>
      <c r="V8681">
        <v>-4.578873E-2</v>
      </c>
      <c r="W8681">
        <v>-0.12759029999999999</v>
      </c>
      <c r="X8681">
        <v>0.99076940000000002</v>
      </c>
      <c r="Y8681">
        <v>4.5715470000000001E-2</v>
      </c>
      <c r="Z8681">
        <v>-7.0091899999999999E-2</v>
      </c>
      <c r="AA8681">
        <v>0.99649239999999994</v>
      </c>
      <c r="AB8681">
        <v>38</v>
      </c>
      <c r="AC8681">
        <v>4.9900000000008E-2</v>
      </c>
      <c r="AD8681">
        <v>-8.34509999999999E-2</v>
      </c>
      <c r="AE8681">
        <v>0.54720000000000302</v>
      </c>
      <c r="AF8681">
        <v>4.49588754913521E-2</v>
      </c>
      <c r="AG8681">
        <v>-8.34509999999999E-2</v>
      </c>
      <c r="AH8681">
        <v>0.53519707363159597</v>
      </c>
      <c r="AI8681">
        <v>98.831907886183203</v>
      </c>
      <c r="AJ8681">
        <v>85.198179882846503</v>
      </c>
      <c r="AK8681">
        <v>0.543526703585271</v>
      </c>
      <c r="AL8681">
        <v>97.330367446101107</v>
      </c>
      <c r="AM8681">
        <v>92.646060285293501</v>
      </c>
      <c r="AN8681">
        <v>0.99999994821272997</v>
      </c>
    </row>
    <row r="8682" spans="1:40" x14ac:dyDescent="0.25">
      <c r="A8682" t="str">
        <f>"20190303154347846"</f>
        <v>20190303154347846</v>
      </c>
      <c r="B8682" t="str">
        <f>"1551599027838869"</f>
        <v>1551599027838869</v>
      </c>
      <c r="C8682" t="s">
        <v>40</v>
      </c>
      <c r="D8682">
        <v>6.10684</v>
      </c>
      <c r="E8682">
        <v>0.53720480000000004</v>
      </c>
      <c r="F8682" t="s">
        <v>42</v>
      </c>
      <c r="G8682">
        <v>-188.3922</v>
      </c>
      <c r="H8682">
        <v>1.045787</v>
      </c>
      <c r="I8682">
        <v>48.527079999999998</v>
      </c>
      <c r="J8682">
        <v>-188.44130000000001</v>
      </c>
      <c r="K8682">
        <v>1.122123</v>
      </c>
      <c r="L8682">
        <v>47.971220000000002</v>
      </c>
      <c r="M8682">
        <v>5.8537700000000003E-3</v>
      </c>
      <c r="N8682">
        <v>-1.4975499999999999E-2</v>
      </c>
      <c r="O8682">
        <v>0.9998707</v>
      </c>
      <c r="P8682">
        <v>-3.8377050000000003E-2</v>
      </c>
      <c r="Q8682">
        <v>-0.14205379999999901</v>
      </c>
      <c r="R8682">
        <v>0.98911470000000001</v>
      </c>
      <c r="S8682">
        <v>0.16902159999999999</v>
      </c>
      <c r="T8682">
        <v>-0.25691750000000002</v>
      </c>
      <c r="U8682">
        <v>3.0029599999999999</v>
      </c>
      <c r="V8682">
        <v>-4.3671290000000001E-2</v>
      </c>
      <c r="W8682">
        <v>-0.12740000000000001</v>
      </c>
      <c r="X8682">
        <v>0.99088949999999998</v>
      </c>
      <c r="Y8682">
        <v>5.0173570000000001E-2</v>
      </c>
      <c r="Z8682">
        <v>-7.0192470000000007E-2</v>
      </c>
      <c r="AA8682">
        <v>0.99627080000000001</v>
      </c>
      <c r="AB8682">
        <v>38</v>
      </c>
      <c r="AC8682">
        <v>4.91000000000099E-2</v>
      </c>
      <c r="AD8682">
        <v>-7.6335999999999904E-2</v>
      </c>
      <c r="AE8682">
        <v>0.55585999999999502</v>
      </c>
      <c r="AF8682">
        <v>4.5002762582323899E-2</v>
      </c>
      <c r="AG8682">
        <v>-7.6335999999999904E-2</v>
      </c>
      <c r="AH8682">
        <v>0.54592187590757701</v>
      </c>
      <c r="AI8682">
        <v>97.933465104137198</v>
      </c>
      <c r="AJ8682">
        <v>85.287509864175803</v>
      </c>
      <c r="AK8682">
        <v>0.55306701956497895</v>
      </c>
      <c r="AL8682">
        <v>97.319374175537902</v>
      </c>
      <c r="AM8682">
        <v>92.523553230690297</v>
      </c>
      <c r="AN8682">
        <v>0.99999997139025598</v>
      </c>
    </row>
    <row r="8683" spans="1:40" x14ac:dyDescent="0.25">
      <c r="A8683" t="str">
        <f>"20190303154347871"</f>
        <v>20190303154347871</v>
      </c>
      <c r="B8683" t="str">
        <f>"1551599027858388"</f>
        <v>1551599027858388</v>
      </c>
      <c r="C8683" t="s">
        <v>40</v>
      </c>
      <c r="D8683">
        <v>6.1039399999999997</v>
      </c>
      <c r="E8683">
        <v>0.53772350000000002</v>
      </c>
      <c r="F8683" t="s">
        <v>42</v>
      </c>
      <c r="G8683">
        <v>-188.3877</v>
      </c>
      <c r="H8683">
        <v>1.043841</v>
      </c>
      <c r="I8683">
        <v>48.865519999999997</v>
      </c>
      <c r="J8683">
        <v>-188.4402</v>
      </c>
      <c r="K8683">
        <v>1.1220429999999999</v>
      </c>
      <c r="L8683">
        <v>48.38541</v>
      </c>
      <c r="M8683">
        <v>4.3992359999999999E-3</v>
      </c>
      <c r="N8683">
        <v>-1.4969400000000001E-2</v>
      </c>
      <c r="O8683">
        <v>0.9998783</v>
      </c>
      <c r="P8683">
        <v>-3.803343E-2</v>
      </c>
      <c r="Q8683">
        <v>-0.140544</v>
      </c>
      <c r="R8683">
        <v>0.98934359999999999</v>
      </c>
      <c r="S8683">
        <v>0.1791229</v>
      </c>
      <c r="T8683">
        <v>-0.26285599999999998</v>
      </c>
      <c r="U8683">
        <v>3.0022280000000001</v>
      </c>
      <c r="V8683">
        <v>-4.1925570000000002E-2</v>
      </c>
      <c r="W8683">
        <v>-0.12587519999999999</v>
      </c>
      <c r="X8683">
        <v>0.99115980000000004</v>
      </c>
      <c r="Y8683">
        <v>5.4967549999999997E-2</v>
      </c>
      <c r="Z8683">
        <v>-7.2155750000000005E-2</v>
      </c>
      <c r="AA8683">
        <v>0.99587760000000003</v>
      </c>
      <c r="AB8683">
        <v>38</v>
      </c>
      <c r="AC8683">
        <v>5.2500000000008998E-2</v>
      </c>
      <c r="AD8683">
        <v>-7.8202000000000105E-2</v>
      </c>
      <c r="AE8683">
        <v>0.48011000000000298</v>
      </c>
      <c r="AF8683">
        <v>4.9099860353694902E-2</v>
      </c>
      <c r="AG8683">
        <v>-7.8202000000000105E-2</v>
      </c>
      <c r="AH8683">
        <v>0.46806482925557202</v>
      </c>
      <c r="AI8683">
        <v>99.434265372489904</v>
      </c>
      <c r="AJ8683">
        <v>84.011591187264401</v>
      </c>
      <c r="AK8683">
        <v>0.477085981220158</v>
      </c>
      <c r="AL8683">
        <v>97.231300025396905</v>
      </c>
      <c r="AM8683">
        <v>92.422139260499705</v>
      </c>
      <c r="AN8683">
        <v>1.00000003426545</v>
      </c>
    </row>
    <row r="8684" spans="1:40" x14ac:dyDescent="0.25">
      <c r="A8684" t="str">
        <f>"20190303154347892"</f>
        <v>20190303154347892</v>
      </c>
      <c r="B8684" t="str">
        <f>"1551599027888644"</f>
        <v>1551599027888644</v>
      </c>
      <c r="C8684" t="s">
        <v>40</v>
      </c>
      <c r="D8684">
        <v>6.0988959999999999</v>
      </c>
      <c r="E8684">
        <v>0.53818949999999999</v>
      </c>
      <c r="F8684" t="s">
        <v>42</v>
      </c>
      <c r="G8684">
        <v>-188.3895</v>
      </c>
      <c r="H8684">
        <v>1.051302</v>
      </c>
      <c r="I8684">
        <v>49.212589999999999</v>
      </c>
      <c r="J8684">
        <v>-188.43969999999999</v>
      </c>
      <c r="K8684">
        <v>1.121942</v>
      </c>
      <c r="L8684">
        <v>48.761470000000003</v>
      </c>
      <c r="M8684">
        <v>3.2096609999999999E-3</v>
      </c>
      <c r="N8684">
        <v>-1.4963819999999999E-2</v>
      </c>
      <c r="O8684">
        <v>0.99988290000000002</v>
      </c>
      <c r="P8684">
        <v>-3.8206150000000001E-2</v>
      </c>
      <c r="Q8684">
        <v>-0.14001340000000001</v>
      </c>
      <c r="R8684">
        <v>0.98941219999999996</v>
      </c>
      <c r="S8684">
        <v>0.18394469999999999</v>
      </c>
      <c r="T8684">
        <v>-0.25680890000000001</v>
      </c>
      <c r="U8684">
        <v>3.0028990000000002</v>
      </c>
      <c r="V8684">
        <v>-4.0957130000000001E-2</v>
      </c>
      <c r="W8684">
        <v>-0.125334</v>
      </c>
      <c r="X8684">
        <v>0.99126879999999995</v>
      </c>
      <c r="Y8684">
        <v>5.774282E-2</v>
      </c>
      <c r="Z8684">
        <v>-7.0140880000000003E-2</v>
      </c>
      <c r="AA8684">
        <v>0.99586450000000004</v>
      </c>
      <c r="AB8684">
        <v>38</v>
      </c>
      <c r="AC8684">
        <v>5.0199999999989503E-2</v>
      </c>
      <c r="AD8684">
        <v>-7.0639999999999994E-2</v>
      </c>
      <c r="AE8684">
        <v>0.45112000000000302</v>
      </c>
      <c r="AF8684">
        <v>4.7598798675726299E-2</v>
      </c>
      <c r="AG8684">
        <v>-7.0639999999999994E-2</v>
      </c>
      <c r="AH8684">
        <v>0.44060735132422602</v>
      </c>
      <c r="AI8684">
        <v>99.056571831641193</v>
      </c>
      <c r="AJ8684">
        <v>83.834250240711995</v>
      </c>
      <c r="AK8684">
        <v>0.44876552148791699</v>
      </c>
      <c r="AL8684">
        <v>97.200044508990104</v>
      </c>
      <c r="AM8684">
        <v>92.365994641835897</v>
      </c>
      <c r="AN8684">
        <v>0.99999996595363705</v>
      </c>
    </row>
    <row r="8685" spans="1:40" x14ac:dyDescent="0.25">
      <c r="A8685" t="str">
        <f>"20190303154347914"</f>
        <v>20190303154347914</v>
      </c>
      <c r="B8685" t="str">
        <f>"1551599027909140"</f>
        <v>1551599027909140</v>
      </c>
      <c r="C8685" t="s">
        <v>40</v>
      </c>
      <c r="D8685">
        <v>6.0667869999999997</v>
      </c>
      <c r="E8685">
        <v>0.53840429999999995</v>
      </c>
      <c r="F8685" t="s">
        <v>41</v>
      </c>
      <c r="G8685">
        <v>-187.6131</v>
      </c>
      <c r="H8685" s="1">
        <v>-1.457583E-6</v>
      </c>
      <c r="I8685">
        <v>62.0434699999999</v>
      </c>
      <c r="J8685">
        <v>-188.43960000000001</v>
      </c>
      <c r="K8685">
        <v>1.121831</v>
      </c>
      <c r="L8685">
        <v>49.125579999999999</v>
      </c>
      <c r="M8685">
        <v>2.1964110000000001E-3</v>
      </c>
      <c r="N8685">
        <v>-1.4958269999999999E-2</v>
      </c>
      <c r="O8685">
        <v>0.99988569999999999</v>
      </c>
      <c r="P8685">
        <v>-3.837815E-2</v>
      </c>
      <c r="Q8685">
        <v>-0.1389755</v>
      </c>
      <c r="R8685">
        <v>0.98955190000000004</v>
      </c>
      <c r="S8685">
        <v>0.1869354</v>
      </c>
      <c r="T8685">
        <v>-0.25370179999999998</v>
      </c>
      <c r="U8685">
        <v>3.0034179999999999</v>
      </c>
      <c r="V8685">
        <v>-4.0167420000000002E-2</v>
      </c>
      <c r="W8685">
        <v>-0.12428409999999999</v>
      </c>
      <c r="X8685">
        <v>0.99143329999999996</v>
      </c>
      <c r="Y8685">
        <v>5.9735259999999998E-2</v>
      </c>
      <c r="Z8685">
        <v>-6.9101469999999998E-2</v>
      </c>
      <c r="AA8685">
        <v>0.99581960000000003</v>
      </c>
      <c r="AB8685">
        <v>38</v>
      </c>
      <c r="AC8685">
        <v>0.82650000000001</v>
      </c>
      <c r="AD8685">
        <v>-1.1218324575830001</v>
      </c>
      <c r="AE8685">
        <v>12.9178899999999</v>
      </c>
      <c r="AF8685">
        <v>0.792171820584744</v>
      </c>
      <c r="AG8685">
        <v>-1.1218324575830001</v>
      </c>
      <c r="AH8685">
        <v>12.823357931878601</v>
      </c>
      <c r="AI8685">
        <v>94.990242658748002</v>
      </c>
      <c r="AJ8685">
        <v>86.465005748576303</v>
      </c>
      <c r="AK8685">
        <v>12.8966876718516</v>
      </c>
      <c r="AL8685">
        <v>97.139415538342405</v>
      </c>
      <c r="AM8685">
        <v>92.320040767588196</v>
      </c>
      <c r="AN8685">
        <v>0.99999997374557703</v>
      </c>
    </row>
    <row r="8686" spans="1:40" x14ac:dyDescent="0.25">
      <c r="A8686" t="str">
        <f>"20190303154347935"</f>
        <v>20190303154347935</v>
      </c>
      <c r="B8686" t="str">
        <f>"1551599027928661"</f>
        <v>1551599027928661</v>
      </c>
      <c r="C8686" t="s">
        <v>40</v>
      </c>
      <c r="D8686">
        <v>6.0600170000000002</v>
      </c>
      <c r="E8686">
        <v>0.53875019999999996</v>
      </c>
      <c r="F8686" t="s">
        <v>41</v>
      </c>
      <c r="G8686">
        <v>-187.60339999999999</v>
      </c>
      <c r="H8686" s="1">
        <v>-1.6370350000000001E-6</v>
      </c>
      <c r="I8686">
        <v>62.457790000000003</v>
      </c>
      <c r="J8686">
        <v>-188.43960000000001</v>
      </c>
      <c r="K8686">
        <v>1.121699</v>
      </c>
      <c r="L8686">
        <v>49.494079999999997</v>
      </c>
      <c r="M8686">
        <v>1.326359E-3</v>
      </c>
      <c r="N8686">
        <v>-1.4952419999999999E-2</v>
      </c>
      <c r="O8686">
        <v>0.99988730000000003</v>
      </c>
      <c r="P8686">
        <v>-3.8456610000000002E-2</v>
      </c>
      <c r="Q8686">
        <v>-0.13838399999999901</v>
      </c>
      <c r="R8686">
        <v>0.9896317</v>
      </c>
      <c r="S8686">
        <v>0.1883698</v>
      </c>
      <c r="T8686">
        <v>-0.25272640000000002</v>
      </c>
      <c r="U8686">
        <v>3.003479</v>
      </c>
      <c r="V8686">
        <v>-3.9429140000000001E-2</v>
      </c>
      <c r="W8686">
        <v>-0.123681</v>
      </c>
      <c r="X8686">
        <v>0.99153840000000004</v>
      </c>
      <c r="Y8686">
        <v>6.1076829999999999E-2</v>
      </c>
      <c r="Z8686">
        <v>-6.8779679999999996E-2</v>
      </c>
      <c r="AA8686">
        <v>0.99576050000000005</v>
      </c>
      <c r="AB8686">
        <v>38</v>
      </c>
      <c r="AC8686">
        <v>0.83620000000001904</v>
      </c>
      <c r="AD8686">
        <v>-1.121700637035</v>
      </c>
      <c r="AE8686">
        <v>12.963710000000001</v>
      </c>
      <c r="AF8686">
        <v>0.81294170693323098</v>
      </c>
      <c r="AG8686">
        <v>-1.121700637035</v>
      </c>
      <c r="AH8686">
        <v>12.8688606396681</v>
      </c>
      <c r="AI8686">
        <v>94.971675400184907</v>
      </c>
      <c r="AJ8686">
        <v>86.3853584444944</v>
      </c>
      <c r="AK8686">
        <v>12.9432090573086</v>
      </c>
      <c r="AL8686">
        <v>97.104591415873699</v>
      </c>
      <c r="AM8686">
        <v>92.277202429069703</v>
      </c>
      <c r="AN8686">
        <v>1.0000000227583401</v>
      </c>
    </row>
    <row r="8687" spans="1:40" x14ac:dyDescent="0.25">
      <c r="A8687" t="str">
        <f>"20190303154347958"</f>
        <v>20190303154347958</v>
      </c>
      <c r="B8687" t="str">
        <f>"1551599027949157"</f>
        <v>1551599027949157</v>
      </c>
      <c r="C8687" t="s">
        <v>40</v>
      </c>
      <c r="D8687">
        <v>6.0484010000000001</v>
      </c>
      <c r="E8687">
        <v>0.5387883</v>
      </c>
      <c r="F8687" t="s">
        <v>41</v>
      </c>
      <c r="G8687">
        <v>-187.57900000000001</v>
      </c>
      <c r="H8687" s="1">
        <v>-1.891662E-6</v>
      </c>
      <c r="I8687">
        <v>63.041240000000002</v>
      </c>
      <c r="J8687">
        <v>-188.43989999999999</v>
      </c>
      <c r="K8687">
        <v>1.1215310000000001</v>
      </c>
      <c r="L8687">
        <v>49.884920000000001</v>
      </c>
      <c r="M8687">
        <v>6.0878949999999897E-4</v>
      </c>
      <c r="N8687">
        <v>-1.494619E-2</v>
      </c>
      <c r="O8687">
        <v>0.99988809999999995</v>
      </c>
      <c r="P8687">
        <v>-3.9389710000000001E-2</v>
      </c>
      <c r="Q8687">
        <v>-0.13800209999999999</v>
      </c>
      <c r="R8687">
        <v>0.98964830000000004</v>
      </c>
      <c r="S8687">
        <v>0.1908417</v>
      </c>
      <c r="T8687">
        <v>-0.24873519999999999</v>
      </c>
      <c r="U8687">
        <v>3.0040589999999998</v>
      </c>
      <c r="V8687">
        <v>-3.9702479999999998E-2</v>
      </c>
      <c r="W8687">
        <v>-0.1232893</v>
      </c>
      <c r="X8687">
        <v>0.99157629999999997</v>
      </c>
      <c r="Y8687">
        <v>6.2602439999999995E-2</v>
      </c>
      <c r="Z8687">
        <v>-6.7449739999999994E-2</v>
      </c>
      <c r="AA8687">
        <v>0.99575670000000005</v>
      </c>
      <c r="AB8687">
        <v>38</v>
      </c>
      <c r="AC8687">
        <v>0.86089999999998601</v>
      </c>
      <c r="AD8687">
        <v>-1.121532891662</v>
      </c>
      <c r="AE8687">
        <v>13.156319999999999</v>
      </c>
      <c r="AF8687">
        <v>0.84676233004718304</v>
      </c>
      <c r="AG8687">
        <v>-1.121532891662</v>
      </c>
      <c r="AH8687">
        <v>13.0623225477774</v>
      </c>
      <c r="AI8687">
        <v>94.897159826996699</v>
      </c>
      <c r="AJ8687">
        <v>86.291002637137098</v>
      </c>
      <c r="AK8687">
        <v>13.1376981550361</v>
      </c>
      <c r="AL8687">
        <v>97.081975383488697</v>
      </c>
      <c r="AM8687">
        <v>92.292884648932599</v>
      </c>
      <c r="AN8687">
        <v>1.0000000485671601</v>
      </c>
    </row>
    <row r="8688" spans="1:40" x14ac:dyDescent="0.25">
      <c r="A8688" t="str">
        <f>"20190303154347981"</f>
        <v>20190303154347981</v>
      </c>
      <c r="B8688" t="str">
        <f>"1551599027968680"</f>
        <v>1551599027968680</v>
      </c>
      <c r="C8688" t="s">
        <v>40</v>
      </c>
      <c r="D8688">
        <v>6.0582989999999999</v>
      </c>
      <c r="E8688">
        <v>0.53879670000000002</v>
      </c>
      <c r="F8688" t="s">
        <v>42</v>
      </c>
      <c r="G8688">
        <v>-188.37629999999999</v>
      </c>
      <c r="H8688">
        <v>1.037396</v>
      </c>
      <c r="I8688">
        <v>50.89799</v>
      </c>
      <c r="J8688">
        <v>-188.4402</v>
      </c>
      <c r="K8688">
        <v>1.1213679999999999</v>
      </c>
      <c r="L8688">
        <v>50.256529999999998</v>
      </c>
      <c r="M8688">
        <v>1.0631410000000001E-4</v>
      </c>
      <c r="N8688">
        <v>-1.4940439999999999E-2</v>
      </c>
      <c r="O8688">
        <v>0.99988840000000001</v>
      </c>
      <c r="P8688">
        <v>-4.0624300000000002E-2</v>
      </c>
      <c r="Q8688">
        <v>-0.1373952</v>
      </c>
      <c r="R8688">
        <v>0.98968290000000003</v>
      </c>
      <c r="S8688">
        <v>0.18817139999999999</v>
      </c>
      <c r="T8688">
        <v>-0.24950040000000001</v>
      </c>
      <c r="U8688">
        <v>3.004089</v>
      </c>
      <c r="V8688">
        <v>-4.0489989999999997E-2</v>
      </c>
      <c r="W8688">
        <v>-0.122673</v>
      </c>
      <c r="X8688">
        <v>0.99162079999999997</v>
      </c>
      <c r="Y8688">
        <v>6.2220820000000003E-2</v>
      </c>
      <c r="Z8688">
        <v>-6.7709610000000003E-2</v>
      </c>
      <c r="AA8688">
        <v>0.99576299999999995</v>
      </c>
      <c r="AB8688">
        <v>38</v>
      </c>
      <c r="AC8688">
        <v>6.3900000000017998E-2</v>
      </c>
      <c r="AD8688">
        <v>-8.3971999999999894E-2</v>
      </c>
      <c r="AE8688">
        <v>0.64146000000000203</v>
      </c>
      <c r="AF8688">
        <v>6.2766743385226295E-2</v>
      </c>
      <c r="AG8688">
        <v>-8.3971999999999894E-2</v>
      </c>
      <c r="AH8688">
        <v>0.63076372739868802</v>
      </c>
      <c r="AI8688">
        <v>97.546218948825995</v>
      </c>
      <c r="AJ8688">
        <v>84.317255102249305</v>
      </c>
      <c r="AK8688">
        <v>0.63941679729349699</v>
      </c>
      <c r="AL8688">
        <v>97.046394541099104</v>
      </c>
      <c r="AM8688">
        <v>92.338209858326294</v>
      </c>
      <c r="AN8688">
        <v>0.99999995760591898</v>
      </c>
    </row>
    <row r="8689" spans="1:40" x14ac:dyDescent="0.25">
      <c r="A8689" t="str">
        <f>"20190303154348002"</f>
        <v>20190303154348002</v>
      </c>
      <c r="B8689" t="str">
        <f>"1551599027998933"</f>
        <v>1551599027998933</v>
      </c>
      <c r="C8689" t="s">
        <v>40</v>
      </c>
      <c r="D8689">
        <v>6.0458360000000004</v>
      </c>
      <c r="E8689">
        <v>0.53887989999999997</v>
      </c>
      <c r="F8689" t="s">
        <v>42</v>
      </c>
      <c r="G8689">
        <v>-188.38</v>
      </c>
      <c r="H8689">
        <v>1.040802</v>
      </c>
      <c r="I8689">
        <v>51.237859999999998</v>
      </c>
      <c r="J8689">
        <v>-188.44059999999999</v>
      </c>
      <c r="K8689">
        <v>1.121205</v>
      </c>
      <c r="L8689">
        <v>50.626040000000003</v>
      </c>
      <c r="M8689">
        <v>-2.4500919999999999E-4</v>
      </c>
      <c r="N8689">
        <v>-1.4934950000000001E-2</v>
      </c>
      <c r="O8689">
        <v>0.99988840000000001</v>
      </c>
      <c r="P8689">
        <v>-4.243769E-2</v>
      </c>
      <c r="Q8689">
        <v>-0.1374059</v>
      </c>
      <c r="R8689">
        <v>0.98960530000000002</v>
      </c>
      <c r="S8689">
        <v>0.18424989999999999</v>
      </c>
      <c r="T8689">
        <v>-0.24667120000000001</v>
      </c>
      <c r="U8689">
        <v>3.004578</v>
      </c>
      <c r="V8689">
        <v>-4.2001120000000003E-2</v>
      </c>
      <c r="W8689">
        <v>-0.1226772</v>
      </c>
      <c r="X8689">
        <v>0.99155749999999998</v>
      </c>
      <c r="Y8689">
        <v>6.1271699999999998E-2</v>
      </c>
      <c r="Z8689">
        <v>-6.6775959999999995E-2</v>
      </c>
      <c r="AA8689">
        <v>0.99588489999999996</v>
      </c>
      <c r="AB8689">
        <v>38</v>
      </c>
      <c r="AC8689">
        <v>6.0599999999993701E-2</v>
      </c>
      <c r="AD8689">
        <v>-8.0403000000000002E-2</v>
      </c>
      <c r="AE8689">
        <v>0.61181999999999404</v>
      </c>
      <c r="AF8689">
        <v>5.9728416784467303E-2</v>
      </c>
      <c r="AG8689">
        <v>-8.0403000000000002E-2</v>
      </c>
      <c r="AH8689">
        <v>0.60151773177414003</v>
      </c>
      <c r="AI8689">
        <v>97.576595708917594</v>
      </c>
      <c r="AJ8689">
        <v>84.329335927540896</v>
      </c>
      <c r="AK8689">
        <v>0.60979972763136403</v>
      </c>
      <c r="AL8689">
        <v>97.046636483369198</v>
      </c>
      <c r="AM8689">
        <v>92.425526677703601</v>
      </c>
      <c r="AN8689">
        <v>1.00000003264367</v>
      </c>
    </row>
    <row r="8690" spans="1:40" x14ac:dyDescent="0.25">
      <c r="A8690" t="str">
        <f>"20190303154348025"</f>
        <v>20190303154348025</v>
      </c>
      <c r="B8690" t="str">
        <f>"1551599028018453"</f>
        <v>1551599028018453</v>
      </c>
      <c r="C8690" t="s">
        <v>40</v>
      </c>
      <c r="D8690">
        <v>6.0339510000000001</v>
      </c>
      <c r="E8690">
        <v>0.53892739999999995</v>
      </c>
      <c r="F8690" t="s">
        <v>42</v>
      </c>
      <c r="G8690">
        <v>-188.3837</v>
      </c>
      <c r="H8690">
        <v>1.043472</v>
      </c>
      <c r="I8690">
        <v>51.577109999999998</v>
      </c>
      <c r="J8690">
        <v>-188.4409</v>
      </c>
      <c r="K8690">
        <v>1.121057</v>
      </c>
      <c r="L8690">
        <v>51.006810000000002</v>
      </c>
      <c r="M8690">
        <v>-4.682833E-4</v>
      </c>
      <c r="N8690">
        <v>-1.492948E-2</v>
      </c>
      <c r="O8690">
        <v>0.99988840000000001</v>
      </c>
      <c r="P8690">
        <v>-4.362427E-2</v>
      </c>
      <c r="Q8690">
        <v>-0.13744489999999901</v>
      </c>
      <c r="R8690">
        <v>0.98954830000000005</v>
      </c>
      <c r="S8690">
        <v>0.17958070000000001</v>
      </c>
      <c r="T8690">
        <v>-0.24562639999999999</v>
      </c>
      <c r="U8690">
        <v>3.0051269999999999</v>
      </c>
      <c r="V8690">
        <v>-4.3010390000000003E-2</v>
      </c>
      <c r="W8690">
        <v>-0.1227087</v>
      </c>
      <c r="X8690">
        <v>0.99151029999999996</v>
      </c>
      <c r="Y8690">
        <v>5.9944219999999999E-2</v>
      </c>
      <c r="Z8690">
        <v>-6.6429630000000003E-2</v>
      </c>
      <c r="AA8690">
        <v>0.99598880000000001</v>
      </c>
      <c r="AB8690">
        <v>38</v>
      </c>
      <c r="AC8690">
        <v>5.7199999999994498E-2</v>
      </c>
      <c r="AD8690">
        <v>-7.7585000000000001E-2</v>
      </c>
      <c r="AE8690">
        <v>0.57030000000000303</v>
      </c>
      <c r="AF8690">
        <v>5.6433050408429601E-2</v>
      </c>
      <c r="AG8690">
        <v>-7.7585000000000001E-2</v>
      </c>
      <c r="AH8690">
        <v>0.56001192824281598</v>
      </c>
      <c r="AI8690">
        <v>97.848395512183004</v>
      </c>
      <c r="AJ8690">
        <v>84.245663588048004</v>
      </c>
      <c r="AK8690">
        <v>0.56817029241032702</v>
      </c>
      <c r="AL8690">
        <v>97.048455293681101</v>
      </c>
      <c r="AM8690">
        <v>92.483857059698096</v>
      </c>
      <c r="AN8690">
        <v>0.99999999685486596</v>
      </c>
    </row>
    <row r="8691" spans="1:40" x14ac:dyDescent="0.25">
      <c r="A8691" t="str">
        <f>"20190303154348047"</f>
        <v>20190303154348047</v>
      </c>
      <c r="B8691" t="str">
        <f>"1551599028038949"</f>
        <v>1551599028038949</v>
      </c>
      <c r="C8691" t="s">
        <v>40</v>
      </c>
      <c r="D8691">
        <v>6.0427150000000003</v>
      </c>
      <c r="E8691">
        <v>0.53885289999999997</v>
      </c>
      <c r="F8691" t="s">
        <v>42</v>
      </c>
      <c r="G8691">
        <v>-188.38759999999999</v>
      </c>
      <c r="H8691">
        <v>1.046827</v>
      </c>
      <c r="I8691">
        <v>51.917819999999999</v>
      </c>
      <c r="J8691">
        <v>-188.44120000000001</v>
      </c>
      <c r="K8691">
        <v>1.120924</v>
      </c>
      <c r="L8691">
        <v>51.38214</v>
      </c>
      <c r="M8691">
        <v>-5.5859140000000002E-4</v>
      </c>
      <c r="N8691">
        <v>-1.492425E-2</v>
      </c>
      <c r="O8691">
        <v>0.99988849999999996</v>
      </c>
      <c r="P8691">
        <v>-4.4453560000000003E-2</v>
      </c>
      <c r="Q8691">
        <v>-0.1373866</v>
      </c>
      <c r="R8691">
        <v>0.9895195</v>
      </c>
      <c r="S8691">
        <v>0.1760864</v>
      </c>
      <c r="T8691">
        <v>-0.24487339999999999</v>
      </c>
      <c r="U8691">
        <v>3.0054319999999999</v>
      </c>
      <c r="V8691">
        <v>-4.3789420000000003E-2</v>
      </c>
      <c r="W8691">
        <v>-0.1226429</v>
      </c>
      <c r="X8691">
        <v>0.99148429999999999</v>
      </c>
      <c r="Y8691">
        <v>5.887622E-2</v>
      </c>
      <c r="Z8691">
        <v>-6.618404E-2</v>
      </c>
      <c r="AA8691">
        <v>0.99606890000000003</v>
      </c>
      <c r="AB8691">
        <v>38</v>
      </c>
      <c r="AC8691">
        <v>5.3600000000017099E-2</v>
      </c>
      <c r="AD8691">
        <v>-7.4096999999999996E-2</v>
      </c>
      <c r="AE8691">
        <v>0.53567999999999905</v>
      </c>
      <c r="AF8691">
        <v>5.2897184951010999E-2</v>
      </c>
      <c r="AG8691">
        <v>-7.4096999999999996E-2</v>
      </c>
      <c r="AH8691">
        <v>0.52569145282476804</v>
      </c>
      <c r="AI8691">
        <v>97.983281760314895</v>
      </c>
      <c r="AJ8691">
        <v>84.254009588277</v>
      </c>
      <c r="AK8691">
        <v>0.53351661750854196</v>
      </c>
      <c r="AL8691">
        <v>97.044656830109403</v>
      </c>
      <c r="AM8691">
        <v>92.528854513355597</v>
      </c>
      <c r="AN8691">
        <v>0.999999955685417</v>
      </c>
    </row>
    <row r="8692" spans="1:40" x14ac:dyDescent="0.25">
      <c r="A8692" t="str">
        <f>"20190303154348071"</f>
        <v>20190303154348071</v>
      </c>
      <c r="B8692" t="str">
        <f>"1551599028068228"</f>
        <v>1551599028068228</v>
      </c>
      <c r="C8692" t="s">
        <v>40</v>
      </c>
      <c r="D8692">
        <v>5.9774989999999999</v>
      </c>
      <c r="E8692">
        <v>0.51857500000000001</v>
      </c>
      <c r="F8692" t="s">
        <v>42</v>
      </c>
      <c r="G8692">
        <v>-188.39070000000001</v>
      </c>
      <c r="H8692">
        <v>1.0494380000000001</v>
      </c>
      <c r="I8692">
        <v>52.257460000000002</v>
      </c>
      <c r="J8692">
        <v>-188.44149999999999</v>
      </c>
      <c r="K8692">
        <v>1.1207929999999999</v>
      </c>
      <c r="L8692">
        <v>51.782710000000002</v>
      </c>
      <c r="M8692">
        <v>-5.1430180000000005E-4</v>
      </c>
      <c r="N8692">
        <v>-1.491872E-2</v>
      </c>
      <c r="O8692">
        <v>0.99988860000000002</v>
      </c>
      <c r="P8692">
        <v>-4.4499660000000003E-2</v>
      </c>
      <c r="Q8692">
        <v>-0.13691410000000001</v>
      </c>
      <c r="R8692">
        <v>0.98958290000000004</v>
      </c>
      <c r="S8692">
        <v>0.17318729999999999</v>
      </c>
      <c r="T8692">
        <v>-0.24545349999999999</v>
      </c>
      <c r="U8692">
        <v>3.0054630000000002</v>
      </c>
      <c r="V8692">
        <v>-4.3920639999999997E-2</v>
      </c>
      <c r="W8692">
        <v>-0.1221604</v>
      </c>
      <c r="X8692">
        <v>0.99153809999999998</v>
      </c>
      <c r="Y8692">
        <v>5.787366E-2</v>
      </c>
      <c r="Z8692">
        <v>-6.6384390000000001E-2</v>
      </c>
      <c r="AA8692">
        <v>0.99611430000000001</v>
      </c>
      <c r="AB8692">
        <v>38</v>
      </c>
      <c r="AC8692">
        <v>5.0799999999980999E-2</v>
      </c>
      <c r="AD8692">
        <v>-7.1355000000000002E-2</v>
      </c>
      <c r="AE8692">
        <v>0.47475000000000001</v>
      </c>
      <c r="AF8692">
        <v>4.9929049215726697E-2</v>
      </c>
      <c r="AG8692">
        <v>-7.1355000000000002E-2</v>
      </c>
      <c r="AH8692">
        <v>0.46435276133032999</v>
      </c>
      <c r="AI8692">
        <v>98.686749776302705</v>
      </c>
      <c r="AJ8692">
        <v>83.862909359056303</v>
      </c>
      <c r="AK8692">
        <v>0.47244886806477598</v>
      </c>
      <c r="AL8692">
        <v>97.016801889748606</v>
      </c>
      <c r="AM8692">
        <v>92.536285188484399</v>
      </c>
      <c r="AN8692">
        <v>0.99999999484888902</v>
      </c>
    </row>
    <row r="8693" spans="1:40" x14ac:dyDescent="0.25">
      <c r="A8693" t="str">
        <f>"20190303154348093"</f>
        <v>20190303154348093</v>
      </c>
      <c r="B8693" t="str">
        <f>"1551599028088725"</f>
        <v>1551599028088725</v>
      </c>
      <c r="C8693" t="s">
        <v>40</v>
      </c>
      <c r="D8693">
        <v>5.9848600000000003</v>
      </c>
      <c r="E8693">
        <v>0.51776219999999995</v>
      </c>
      <c r="F8693" t="s">
        <v>41</v>
      </c>
      <c r="G8693">
        <v>-188.38570000000001</v>
      </c>
      <c r="H8693" s="1">
        <v>-3.1422499999999999E-6</v>
      </c>
      <c r="I8693">
        <v>66.289959999999994</v>
      </c>
      <c r="J8693">
        <v>-188.44159999999999</v>
      </c>
      <c r="K8693">
        <v>1.1206769999999999</v>
      </c>
      <c r="L8693">
        <v>52.154449999999997</v>
      </c>
      <c r="M8693">
        <v>-3.4745730000000001E-4</v>
      </c>
      <c r="N8693">
        <v>-1.491381E-2</v>
      </c>
      <c r="O8693">
        <v>0.99988869999999996</v>
      </c>
      <c r="P8693">
        <v>-4.4323359999999999E-2</v>
      </c>
      <c r="Q8693">
        <v>-0.13608580000000001</v>
      </c>
      <c r="R8693">
        <v>0.9897051</v>
      </c>
      <c r="S8693">
        <v>1.153564E-2</v>
      </c>
      <c r="T8693">
        <v>-0.2317755</v>
      </c>
      <c r="U8693">
        <v>3.0000309999999999</v>
      </c>
      <c r="V8693">
        <v>-4.3948830000000001E-2</v>
      </c>
      <c r="W8693">
        <v>-0.1213212</v>
      </c>
      <c r="X8693">
        <v>0.99163990000000002</v>
      </c>
      <c r="Y8693">
        <v>4.1823299999999997E-3</v>
      </c>
      <c r="Z8693">
        <v>-6.214948E-2</v>
      </c>
      <c r="AA8693">
        <v>0.99805809999999995</v>
      </c>
      <c r="AB8693">
        <v>38</v>
      </c>
      <c r="AC8693">
        <v>5.5899999999979799E-2</v>
      </c>
      <c r="AD8693">
        <v>-1.1206801422499999</v>
      </c>
      <c r="AE8693">
        <v>14.135509999999901</v>
      </c>
      <c r="AF8693">
        <v>6.0432188110065198E-2</v>
      </c>
      <c r="AG8693">
        <v>-1.1206801422499999</v>
      </c>
      <c r="AH8693">
        <v>14.047197330019999</v>
      </c>
      <c r="AI8693">
        <v>94.561332775145104</v>
      </c>
      <c r="AJ8693">
        <v>89.753510406163301</v>
      </c>
      <c r="AK8693">
        <v>14.0919597238679</v>
      </c>
      <c r="AL8693">
        <v>96.968358825803406</v>
      </c>
      <c r="AM8693">
        <v>92.537650751755706</v>
      </c>
      <c r="AN8693">
        <v>1.0000000122499</v>
      </c>
    </row>
    <row r="8694" spans="1:40" x14ac:dyDescent="0.25">
      <c r="A8694" t="str">
        <f>"20190303154348115"</f>
        <v>20190303154348115</v>
      </c>
      <c r="B8694" t="str">
        <f>"1551599028108245"</f>
        <v>1551599028108245</v>
      </c>
      <c r="C8694" t="s">
        <v>40</v>
      </c>
      <c r="D8694">
        <v>5.997789</v>
      </c>
      <c r="E8694">
        <v>0.51729529999999901</v>
      </c>
      <c r="F8694" t="s">
        <v>41</v>
      </c>
      <c r="G8694">
        <v>-188.41319999999999</v>
      </c>
      <c r="H8694" s="1">
        <v>-3.2752859999999998E-6</v>
      </c>
      <c r="I8694">
        <v>66.611400000000003</v>
      </c>
      <c r="J8694">
        <v>-188.44159999999999</v>
      </c>
      <c r="K8694">
        <v>1.1205480000000001</v>
      </c>
      <c r="L8694">
        <v>52.512729999999998</v>
      </c>
      <c r="M8694" s="1">
        <v>-8.0378969999999995E-5</v>
      </c>
      <c r="N8694">
        <v>-1.49093E-2</v>
      </c>
      <c r="O8694">
        <v>0.99988880000000002</v>
      </c>
      <c r="P8694">
        <v>-4.332304E-2</v>
      </c>
      <c r="Q8694">
        <v>-0.13567799999999999</v>
      </c>
      <c r="R8694">
        <v>0.9898053</v>
      </c>
      <c r="S8694">
        <v>5.905151E-3</v>
      </c>
      <c r="T8694">
        <v>-0.23251740000000001</v>
      </c>
      <c r="U8694">
        <v>2.9995120000000002</v>
      </c>
      <c r="V8694">
        <v>-4.3250759999999999E-2</v>
      </c>
      <c r="W8694">
        <v>-0.120903</v>
      </c>
      <c r="X8694">
        <v>0.99172159999999998</v>
      </c>
      <c r="Y8694">
        <v>2.0438399999999999E-3</v>
      </c>
      <c r="Z8694">
        <v>-6.2413089999999997E-2</v>
      </c>
      <c r="AA8694">
        <v>0.9980483</v>
      </c>
      <c r="AB8694">
        <v>38</v>
      </c>
      <c r="AC8694">
        <v>2.84000000000048E-2</v>
      </c>
      <c r="AD8694">
        <v>-1.1205512752859901</v>
      </c>
      <c r="AE8694">
        <v>14.098669999999901</v>
      </c>
      <c r="AF8694">
        <v>2.9347973689038E-2</v>
      </c>
      <c r="AG8694">
        <v>-1.1205512752859901</v>
      </c>
      <c r="AH8694">
        <v>14.010166562203199</v>
      </c>
      <c r="AI8694">
        <v>94.572846408370197</v>
      </c>
      <c r="AJ8694">
        <v>89.879979116403007</v>
      </c>
      <c r="AK8694">
        <v>14.0549373376326</v>
      </c>
      <c r="AL8694">
        <v>96.944220491290807</v>
      </c>
      <c r="AM8694">
        <v>92.497189435016196</v>
      </c>
      <c r="AN8694">
        <v>0.999999947778067</v>
      </c>
    </row>
    <row r="8695" spans="1:40" x14ac:dyDescent="0.25">
      <c r="A8695" t="str">
        <f>"20190303154348136"</f>
        <v>20190303154348136</v>
      </c>
      <c r="B8695" t="str">
        <f>"1551599028128741"</f>
        <v>1551599028128741</v>
      </c>
      <c r="C8695" t="s">
        <v>40</v>
      </c>
      <c r="D8695">
        <v>5.964963</v>
      </c>
      <c r="E8695">
        <v>0.51698060000000001</v>
      </c>
      <c r="F8695" t="s">
        <v>41</v>
      </c>
      <c r="G8695">
        <v>-188.4152</v>
      </c>
      <c r="H8695" s="1">
        <v>-3.3788740000000001E-6</v>
      </c>
      <c r="I8695">
        <v>66.853729999999999</v>
      </c>
      <c r="J8695">
        <v>-188.44130000000001</v>
      </c>
      <c r="K8695">
        <v>1.1204270000000001</v>
      </c>
      <c r="L8695">
        <v>52.880339999999997</v>
      </c>
      <c r="M8695">
        <v>2.8830380000000001E-4</v>
      </c>
      <c r="N8695">
        <v>-1.4904789999999999E-2</v>
      </c>
      <c r="O8695">
        <v>0.99988889999999997</v>
      </c>
      <c r="P8695">
        <v>-4.2107119999999998E-2</v>
      </c>
      <c r="Q8695">
        <v>-0.13512850000000001</v>
      </c>
      <c r="R8695">
        <v>0.98993299999999995</v>
      </c>
      <c r="S8695">
        <v>5.5084230000000001E-3</v>
      </c>
      <c r="T8695">
        <v>-0.23433229999999999</v>
      </c>
      <c r="U8695">
        <v>2.9990230000000002</v>
      </c>
      <c r="V8695">
        <v>-4.2436500000000002E-2</v>
      </c>
      <c r="W8695">
        <v>-0.12034350000000001</v>
      </c>
      <c r="X8695">
        <v>0.99182490000000001</v>
      </c>
      <c r="Y8695">
        <v>1.5436759999999999E-3</v>
      </c>
      <c r="Z8695">
        <v>-6.3030499999999906E-2</v>
      </c>
      <c r="AA8695">
        <v>0.99801039999999996</v>
      </c>
      <c r="AB8695">
        <v>38</v>
      </c>
      <c r="AC8695">
        <v>2.6100000000013699E-2</v>
      </c>
      <c r="AD8695">
        <v>-1.120430378874</v>
      </c>
      <c r="AE8695">
        <v>13.973389999999901</v>
      </c>
      <c r="AF8695">
        <v>2.1929975311790299E-2</v>
      </c>
      <c r="AG8695">
        <v>-1.120430378874</v>
      </c>
      <c r="AH8695">
        <v>13.884131495817099</v>
      </c>
      <c r="AI8695">
        <v>94.613687263872507</v>
      </c>
      <c r="AJ8695">
        <v>89.909501434377503</v>
      </c>
      <c r="AK8695">
        <v>13.929283992756501</v>
      </c>
      <c r="AL8695">
        <v>96.911927185020502</v>
      </c>
      <c r="AM8695">
        <v>92.449979085450195</v>
      </c>
      <c r="AN8695">
        <v>1.0000000233922499</v>
      </c>
    </row>
    <row r="8696" spans="1:40" x14ac:dyDescent="0.25">
      <c r="A8696" t="str">
        <f>"20190303154348158"</f>
        <v>20190303154348158</v>
      </c>
      <c r="B8696" t="str">
        <f>"1551599028148260"</f>
        <v>1551599028148260</v>
      </c>
      <c r="C8696" t="s">
        <v>40</v>
      </c>
      <c r="D8696">
        <v>5.9589540000000003</v>
      </c>
      <c r="E8696">
        <v>0.51683970000000001</v>
      </c>
      <c r="F8696" t="s">
        <v>42</v>
      </c>
      <c r="G8696">
        <v>-188.43889999999999</v>
      </c>
      <c r="H8696">
        <v>1.0378039999999999</v>
      </c>
      <c r="I8696">
        <v>53.932589999999998</v>
      </c>
      <c r="J8696">
        <v>-188.4408</v>
      </c>
      <c r="K8696">
        <v>1.1203299999999901</v>
      </c>
      <c r="L8696">
        <v>53.251710000000003</v>
      </c>
      <c r="M8696">
        <v>7.4338880000000005E-4</v>
      </c>
      <c r="N8696">
        <v>-1.490031E-2</v>
      </c>
      <c r="O8696">
        <v>0.99988869999999996</v>
      </c>
      <c r="P8696">
        <v>-4.0077939999999999E-2</v>
      </c>
      <c r="Q8696">
        <v>-0.13410830000000001</v>
      </c>
      <c r="R8696">
        <v>0.99015589999999998</v>
      </c>
      <c r="S8696">
        <v>6.7291259999999898E-3</v>
      </c>
      <c r="T8696">
        <v>-0.23545559999999999</v>
      </c>
      <c r="U8696">
        <v>2.9986570000000001</v>
      </c>
      <c r="V8696">
        <v>-4.0889370000000001E-2</v>
      </c>
      <c r="W8696">
        <v>-0.1193145</v>
      </c>
      <c r="X8696">
        <v>0.99201419999999996</v>
      </c>
      <c r="Y8696">
        <v>1.4950110000000001E-3</v>
      </c>
      <c r="Z8696">
        <v>-6.3415970000000002E-2</v>
      </c>
      <c r="AA8696">
        <v>0.99798609999999999</v>
      </c>
      <c r="AB8696">
        <v>38</v>
      </c>
      <c r="AC8696">
        <v>1.90000000000623E-3</v>
      </c>
      <c r="AD8696">
        <v>-8.25259999999996E-2</v>
      </c>
      <c r="AE8696">
        <v>0.68088000000000903</v>
      </c>
      <c r="AF8696">
        <v>1.3736057298096901E-3</v>
      </c>
      <c r="AG8696">
        <v>-8.25259999999996E-2</v>
      </c>
      <c r="AH8696">
        <v>0.67102354224834304</v>
      </c>
      <c r="AI8696">
        <v>97.011313200005702</v>
      </c>
      <c r="AJ8696">
        <v>89.882713949437999</v>
      </c>
      <c r="AK8696">
        <v>0.67608063255813999</v>
      </c>
      <c r="AL8696">
        <v>96.852541871305206</v>
      </c>
      <c r="AM8696">
        <v>92.360311883726794</v>
      </c>
      <c r="AN8696">
        <v>1.0000000317454401</v>
      </c>
    </row>
    <row r="8697" spans="1:40" x14ac:dyDescent="0.25">
      <c r="A8697" t="str">
        <f>"20190303154348192"</f>
        <v>20190303154348192</v>
      </c>
      <c r="B8697" t="str">
        <f>"1551599028188276"</f>
        <v>1551599028188276</v>
      </c>
      <c r="C8697" t="s">
        <v>40</v>
      </c>
      <c r="D8697">
        <v>5.922472</v>
      </c>
      <c r="E8697">
        <v>0.51638359999999905</v>
      </c>
      <c r="F8697" t="s">
        <v>42</v>
      </c>
      <c r="G8697">
        <v>-188.4365</v>
      </c>
      <c r="H8697">
        <v>1.0410440000000001</v>
      </c>
      <c r="I8697">
        <v>54.270130000000002</v>
      </c>
      <c r="J8697">
        <v>-188.43950000000001</v>
      </c>
      <c r="K8697">
        <v>1.120217</v>
      </c>
      <c r="L8697">
        <v>53.815950000000001</v>
      </c>
      <c r="M8697">
        <v>1.5444279999999901E-3</v>
      </c>
      <c r="N8697">
        <v>-1.4893379999999999E-2</v>
      </c>
      <c r="O8697">
        <v>0.99988790000000005</v>
      </c>
      <c r="P8697">
        <v>-3.710053E-2</v>
      </c>
      <c r="Q8697">
        <v>-0.133018</v>
      </c>
      <c r="R8697">
        <v>0.99041900000000005</v>
      </c>
      <c r="S8697">
        <v>1.1947630000000001E-2</v>
      </c>
      <c r="T8697">
        <v>-0.23344519999999999</v>
      </c>
      <c r="U8697">
        <v>2.998688</v>
      </c>
      <c r="V8697">
        <v>-3.8740219999999999E-2</v>
      </c>
      <c r="W8697">
        <v>-0.1182174</v>
      </c>
      <c r="X8697">
        <v>0.99223170000000005</v>
      </c>
      <c r="Y8697">
        <v>2.4301269999999998E-3</v>
      </c>
      <c r="Z8697">
        <v>-6.2756709999999993E-2</v>
      </c>
      <c r="AA8697">
        <v>0.99802590000000002</v>
      </c>
      <c r="AB8697">
        <v>37</v>
      </c>
      <c r="AC8697">
        <v>3.0000000000143202E-3</v>
      </c>
      <c r="AD8697">
        <v>-7.9172999999999896E-2</v>
      </c>
      <c r="AE8697">
        <v>0.45417999999999997</v>
      </c>
      <c r="AF8697">
        <v>2.2306877392246102E-3</v>
      </c>
      <c r="AG8697">
        <v>-7.9172999999999896E-2</v>
      </c>
      <c r="AH8697">
        <v>0.44079006889218098</v>
      </c>
      <c r="AI8697">
        <v>100.182539956656</v>
      </c>
      <c r="AJ8697">
        <v>89.710048136671105</v>
      </c>
      <c r="AK8697">
        <v>0.44784955591220998</v>
      </c>
      <c r="AL8697">
        <v>96.789235140237096</v>
      </c>
      <c r="AM8697">
        <v>92.235893347986007</v>
      </c>
      <c r="AN8697">
        <v>0.99999995239664796</v>
      </c>
    </row>
    <row r="8698" spans="1:40" x14ac:dyDescent="0.25">
      <c r="A8698" t="str">
        <f>"20190303154348215"</f>
        <v>20190303154348215</v>
      </c>
      <c r="B8698" t="str">
        <f>"1551599028208773"</f>
        <v>1551599028208773</v>
      </c>
      <c r="C8698" t="s">
        <v>40</v>
      </c>
      <c r="D8698">
        <v>5.9682849999999998</v>
      </c>
      <c r="E8698">
        <v>0.51601149999999996</v>
      </c>
      <c r="F8698" t="s">
        <v>41</v>
      </c>
      <c r="G8698">
        <v>-188.3537</v>
      </c>
      <c r="H8698" s="1">
        <v>-4.011484E-6</v>
      </c>
      <c r="I8698">
        <v>68.302930000000003</v>
      </c>
      <c r="J8698">
        <v>-188.4384</v>
      </c>
      <c r="K8698">
        <v>1.1201620000000001</v>
      </c>
      <c r="L8698">
        <v>54.200040000000001</v>
      </c>
      <c r="M8698">
        <v>2.1391420000000001E-3</v>
      </c>
      <c r="N8698">
        <v>-1.488861E-2</v>
      </c>
      <c r="O8698">
        <v>0.99988690000000002</v>
      </c>
      <c r="P8698">
        <v>-3.5971870000000003E-2</v>
      </c>
      <c r="Q8698">
        <v>-0.13249159999999999</v>
      </c>
      <c r="R8698">
        <v>0.99053119999999995</v>
      </c>
      <c r="S8698">
        <v>1.7761229999999999E-2</v>
      </c>
      <c r="T8698">
        <v>-0.23186490000000001</v>
      </c>
      <c r="U8698">
        <v>2.998535</v>
      </c>
      <c r="V8698">
        <v>-3.8217460000000002E-2</v>
      </c>
      <c r="W8698">
        <v>-0.1176895</v>
      </c>
      <c r="X8698">
        <v>0.99231480000000005</v>
      </c>
      <c r="Y8698">
        <v>3.7697659999999999E-3</v>
      </c>
      <c r="Z8698">
        <v>-6.2241959999999999E-2</v>
      </c>
      <c r="AA8698">
        <v>0.998054</v>
      </c>
      <c r="AB8698">
        <v>37</v>
      </c>
      <c r="AC8698">
        <v>8.4699999999997999E-2</v>
      </c>
      <c r="AD8698">
        <v>-1.120166011484</v>
      </c>
      <c r="AE8698">
        <v>14.10289</v>
      </c>
      <c r="AF8698">
        <v>5.4186537394236102E-2</v>
      </c>
      <c r="AG8698">
        <v>-1.120166011484</v>
      </c>
      <c r="AH8698">
        <v>14.0146262826423</v>
      </c>
      <c r="AI8698">
        <v>94.569808318643098</v>
      </c>
      <c r="AJ8698">
        <v>89.778471122536402</v>
      </c>
      <c r="AK8698">
        <v>14.059425945473301</v>
      </c>
      <c r="AL8698">
        <v>96.758775555590105</v>
      </c>
      <c r="AM8698">
        <v>92.205567703583895</v>
      </c>
      <c r="AN8698">
        <v>1.0000000274790699</v>
      </c>
    </row>
    <row r="8699" spans="1:40" x14ac:dyDescent="0.25">
      <c r="A8699" t="str">
        <f>"20190303154348237"</f>
        <v>20190303154348237</v>
      </c>
      <c r="B8699" t="str">
        <f>"1551599028228293"</f>
        <v>1551599028228293</v>
      </c>
      <c r="C8699" t="s">
        <v>40</v>
      </c>
      <c r="D8699">
        <v>5.9673350000000003</v>
      </c>
      <c r="E8699">
        <v>0.51584750000000001</v>
      </c>
      <c r="F8699" t="s">
        <v>41</v>
      </c>
      <c r="G8699">
        <v>-188.34989999999999</v>
      </c>
      <c r="H8699" s="1">
        <v>-4.208505E-6</v>
      </c>
      <c r="I8699">
        <v>68.760599999999997</v>
      </c>
      <c r="J8699">
        <v>-188.43709999999999</v>
      </c>
      <c r="K8699">
        <v>1.120128</v>
      </c>
      <c r="L8699">
        <v>54.555079999999997</v>
      </c>
      <c r="M8699">
        <v>2.7101249999999999E-3</v>
      </c>
      <c r="N8699">
        <v>-1.488426E-2</v>
      </c>
      <c r="O8699">
        <v>0.99988560000000004</v>
      </c>
      <c r="P8699">
        <v>-3.5223560000000001E-2</v>
      </c>
      <c r="Q8699">
        <v>-0.13196269999999999</v>
      </c>
      <c r="R8699">
        <v>0.99062870000000003</v>
      </c>
      <c r="S8699">
        <v>1.823425E-2</v>
      </c>
      <c r="T8699">
        <v>-0.2306771</v>
      </c>
      <c r="U8699">
        <v>2.9984739999999999</v>
      </c>
      <c r="V8699">
        <v>-3.8045250000000003E-2</v>
      </c>
      <c r="W8699">
        <v>-0.1171604</v>
      </c>
      <c r="X8699">
        <v>0.99238400000000004</v>
      </c>
      <c r="Y8699">
        <v>3.3567240000000002E-3</v>
      </c>
      <c r="Z8699">
        <v>-6.1854720000000002E-2</v>
      </c>
      <c r="AA8699">
        <v>0.99807950000000001</v>
      </c>
      <c r="AB8699">
        <v>37</v>
      </c>
      <c r="AC8699">
        <v>8.7199999999995698E-2</v>
      </c>
      <c r="AD8699">
        <v>-1.1201322085050001</v>
      </c>
      <c r="AE8699">
        <v>14.2055199999999</v>
      </c>
      <c r="AF8699">
        <v>4.8395786122309901E-2</v>
      </c>
      <c r="AG8699">
        <v>-1.1201322085050001</v>
      </c>
      <c r="AH8699">
        <v>14.117927543262899</v>
      </c>
      <c r="AI8699">
        <v>94.536381886853505</v>
      </c>
      <c r="AJ8699">
        <v>89.803592742539706</v>
      </c>
      <c r="AK8699">
        <v>14.1623767932316</v>
      </c>
      <c r="AL8699">
        <v>96.728249343037106</v>
      </c>
      <c r="AM8699">
        <v>92.195486087314706</v>
      </c>
      <c r="AN8699">
        <v>1.0000000019158599</v>
      </c>
    </row>
    <row r="8700" spans="1:40" x14ac:dyDescent="0.25">
      <c r="A8700" t="str">
        <f>"20190303154348259"</f>
        <v>20190303154348259</v>
      </c>
      <c r="B8700" t="str">
        <f>"1551599028248792"</f>
        <v>1551599028248792</v>
      </c>
      <c r="C8700" t="s">
        <v>40</v>
      </c>
      <c r="D8700">
        <v>5.9961630000000001</v>
      </c>
      <c r="E8700">
        <v>0.51559840000000001</v>
      </c>
      <c r="F8700" t="s">
        <v>42</v>
      </c>
      <c r="G8700">
        <v>-188.43029999999999</v>
      </c>
      <c r="H8700">
        <v>1.0393650000000001</v>
      </c>
      <c r="I8700">
        <v>55.605040000000002</v>
      </c>
      <c r="J8700">
        <v>-188.43559999999999</v>
      </c>
      <c r="K8700">
        <v>1.120096</v>
      </c>
      <c r="L8700">
        <v>54.928040000000003</v>
      </c>
      <c r="M8700">
        <v>3.3167180000000002E-3</v>
      </c>
      <c r="N8700">
        <v>-1.4879730000000001E-2</v>
      </c>
      <c r="O8700">
        <v>0.99988379999999999</v>
      </c>
      <c r="P8700">
        <v>-3.5266680000000002E-2</v>
      </c>
      <c r="Q8700">
        <v>-0.13171140000000001</v>
      </c>
      <c r="R8700">
        <v>0.99066050000000005</v>
      </c>
      <c r="S8700">
        <v>1.921082E-2</v>
      </c>
      <c r="T8700">
        <v>-0.23063020000000001</v>
      </c>
      <c r="U8700">
        <v>2.9983520000000001</v>
      </c>
      <c r="V8700">
        <v>-3.8698000000000003E-2</v>
      </c>
      <c r="W8700">
        <v>-0.1169099</v>
      </c>
      <c r="X8700">
        <v>0.9923883</v>
      </c>
      <c r="Y8700">
        <v>3.0755679999999999E-3</v>
      </c>
      <c r="Z8700">
        <v>-6.1846579999999998E-2</v>
      </c>
      <c r="AA8700">
        <v>0.99808090000000005</v>
      </c>
      <c r="AB8700">
        <v>37</v>
      </c>
      <c r="AC8700">
        <v>5.3000000000054098E-3</v>
      </c>
      <c r="AD8700">
        <v>-8.0731000000000094E-2</v>
      </c>
      <c r="AE8700">
        <v>0.67699999999999905</v>
      </c>
      <c r="AF8700">
        <v>3.01148312911194E-3</v>
      </c>
      <c r="AG8700">
        <v>-8.0731000000000094E-2</v>
      </c>
      <c r="AH8700">
        <v>0.66752219064804796</v>
      </c>
      <c r="AI8700">
        <v>96.895864763388104</v>
      </c>
      <c r="AJ8700">
        <v>89.741515555292096</v>
      </c>
      <c r="AK8700">
        <v>0.67239306837534096</v>
      </c>
      <c r="AL8700">
        <v>96.713797453462803</v>
      </c>
      <c r="AM8700">
        <v>92.233107002514103</v>
      </c>
      <c r="AN8700">
        <v>0.99999999894945002</v>
      </c>
    </row>
    <row r="8701" spans="1:40" x14ac:dyDescent="0.25">
      <c r="A8701" t="str">
        <f>"20190303154348283"</f>
        <v>20190303154348283</v>
      </c>
      <c r="B8701" t="str">
        <f>"1551599028279045"</f>
        <v>1551599028279045</v>
      </c>
      <c r="C8701" t="s">
        <v>40</v>
      </c>
      <c r="D8701">
        <v>6.0161800000000003</v>
      </c>
      <c r="E8701">
        <v>0.51533059999999997</v>
      </c>
      <c r="F8701" t="s">
        <v>41</v>
      </c>
      <c r="G8701">
        <v>-188.35159999999999</v>
      </c>
      <c r="H8701" s="1">
        <v>-4.5231339999999996E-6</v>
      </c>
      <c r="I8701">
        <v>69.494709999999998</v>
      </c>
      <c r="J8701">
        <v>-188.43360000000001</v>
      </c>
      <c r="K8701">
        <v>1.1200639999999999</v>
      </c>
      <c r="L8701">
        <v>55.333309999999997</v>
      </c>
      <c r="M8701">
        <v>3.9744919999999996E-3</v>
      </c>
      <c r="N8701">
        <v>-1.487495E-2</v>
      </c>
      <c r="O8701">
        <v>0.99988140000000003</v>
      </c>
      <c r="P8701">
        <v>-3.4754260000000002E-2</v>
      </c>
      <c r="Q8701">
        <v>-0.13182849999999999</v>
      </c>
      <c r="R8701">
        <v>0.99066310000000002</v>
      </c>
      <c r="S8701">
        <v>1.7288209999999998E-2</v>
      </c>
      <c r="T8701">
        <v>-0.23055039999999999</v>
      </c>
      <c r="U8701">
        <v>2.9982600000000001</v>
      </c>
      <c r="V8701">
        <v>-3.8844610000000002E-2</v>
      </c>
      <c r="W8701">
        <v>-0.11702940000000001</v>
      </c>
      <c r="X8701">
        <v>0.99236849999999999</v>
      </c>
      <c r="Y8701">
        <v>1.77882E-3</v>
      </c>
      <c r="Z8701">
        <v>-6.1827319999999998E-2</v>
      </c>
      <c r="AA8701">
        <v>0.99808529999999995</v>
      </c>
      <c r="AB8701">
        <v>37</v>
      </c>
      <c r="AC8701">
        <v>8.2000000000022E-2</v>
      </c>
      <c r="AD8701">
        <v>-1.120068523134</v>
      </c>
      <c r="AE8701">
        <v>14.1614</v>
      </c>
      <c r="AF8701">
        <v>2.55489283695811E-2</v>
      </c>
      <c r="AG8701">
        <v>-1.120068523134</v>
      </c>
      <c r="AH8701">
        <v>14.0735767651237</v>
      </c>
      <c r="AI8701">
        <v>94.550379185135199</v>
      </c>
      <c r="AJ8701">
        <v>89.895986344977999</v>
      </c>
      <c r="AK8701">
        <v>14.1181007649076</v>
      </c>
      <c r="AL8701">
        <v>96.720691536177497</v>
      </c>
      <c r="AM8701">
        <v>92.241603344706704</v>
      </c>
      <c r="AN8701">
        <v>1.0000000119913299</v>
      </c>
    </row>
    <row r="8702" spans="1:40" x14ac:dyDescent="0.25">
      <c r="A8702" t="str">
        <f>"20190303154348304"</f>
        <v>20190303154348304</v>
      </c>
      <c r="B8702" t="str">
        <f>"1551599028298566"</f>
        <v>1551599028298566</v>
      </c>
      <c r="C8702" t="s">
        <v>40</v>
      </c>
      <c r="D8702">
        <v>6.0352180000000004</v>
      </c>
      <c r="E8702">
        <v>0.51514539999999998</v>
      </c>
      <c r="F8702" t="s">
        <v>41</v>
      </c>
      <c r="G8702">
        <v>-188.35329999999999</v>
      </c>
      <c r="H8702" s="1">
        <v>-4.6783199999999998E-7</v>
      </c>
      <c r="I8702">
        <v>69.735330000000005</v>
      </c>
      <c r="J8702">
        <v>-188.43170000000001</v>
      </c>
      <c r="K8702">
        <v>1.1200460000000001</v>
      </c>
      <c r="L8702">
        <v>55.677579999999999</v>
      </c>
      <c r="M8702">
        <v>4.5286119999999996E-3</v>
      </c>
      <c r="N8702">
        <v>-1.4870919999999999E-2</v>
      </c>
      <c r="O8702">
        <v>0.99987919999999997</v>
      </c>
      <c r="P8702">
        <v>-3.4740519999999997E-2</v>
      </c>
      <c r="Q8702">
        <v>-0.13139149999999999</v>
      </c>
      <c r="R8702">
        <v>0.99072159999999998</v>
      </c>
      <c r="S8702">
        <v>1.670837E-2</v>
      </c>
      <c r="T8702">
        <v>-0.23314560000000001</v>
      </c>
      <c r="U8702">
        <v>2.997833</v>
      </c>
      <c r="V8702">
        <v>-3.9384200000000001E-2</v>
      </c>
      <c r="W8702">
        <v>-0.11659360000000001</v>
      </c>
      <c r="X8702">
        <v>0.99239849999999996</v>
      </c>
      <c r="Y8702">
        <v>1.0326129999999999E-3</v>
      </c>
      <c r="Z8702">
        <v>-6.2700889999999995E-2</v>
      </c>
      <c r="AA8702">
        <v>0.99803189999999997</v>
      </c>
      <c r="AB8702">
        <v>37</v>
      </c>
      <c r="AC8702">
        <v>7.8400000000016207E-2</v>
      </c>
      <c r="AD8702">
        <v>-1.1200464678319999</v>
      </c>
      <c r="AE8702">
        <v>14.05775</v>
      </c>
      <c r="AF8702">
        <v>1.46371477866426E-2</v>
      </c>
      <c r="AG8702">
        <v>-1.1200464678319999</v>
      </c>
      <c r="AH8702">
        <v>13.969285909215699</v>
      </c>
      <c r="AI8702">
        <v>94.584121937688394</v>
      </c>
      <c r="AJ8702">
        <v>89.939964970950101</v>
      </c>
      <c r="AK8702">
        <v>14.014123845236</v>
      </c>
      <c r="AL8702">
        <v>96.695550115089205</v>
      </c>
      <c r="AM8702">
        <v>92.272640369295203</v>
      </c>
      <c r="AN8702">
        <v>0.99999998278642399</v>
      </c>
    </row>
    <row r="8703" spans="1:40" x14ac:dyDescent="0.25">
      <c r="A8703" t="str">
        <f>"20190303154348327"</f>
        <v>20190303154348327</v>
      </c>
      <c r="B8703" t="str">
        <f>"1551599028319062"</f>
        <v>1551599028319062</v>
      </c>
      <c r="C8703" t="s">
        <v>40</v>
      </c>
      <c r="D8703">
        <v>5.5979710000000003</v>
      </c>
      <c r="E8703">
        <v>0.51525500000000002</v>
      </c>
      <c r="F8703" t="s">
        <v>41</v>
      </c>
      <c r="G8703">
        <v>-188.3569</v>
      </c>
      <c r="H8703" s="1">
        <v>-5.7901949999999999E-7</v>
      </c>
      <c r="I8703">
        <v>70.064880000000002</v>
      </c>
      <c r="J8703">
        <v>-188.42939999999999</v>
      </c>
      <c r="K8703">
        <v>1.1200319999999999</v>
      </c>
      <c r="L8703">
        <v>56.059330000000003</v>
      </c>
      <c r="M8703">
        <v>5.1370900000000004E-3</v>
      </c>
      <c r="N8703">
        <v>-1.4866529999999999E-2</v>
      </c>
      <c r="O8703">
        <v>0.99987630000000005</v>
      </c>
      <c r="P8703">
        <v>-3.4487909999999997E-2</v>
      </c>
      <c r="Q8703">
        <v>-0.13086500000000001</v>
      </c>
      <c r="R8703">
        <v>0.99080009999999996</v>
      </c>
      <c r="S8703">
        <v>1.557922E-2</v>
      </c>
      <c r="T8703">
        <v>-0.23336850000000001</v>
      </c>
      <c r="U8703">
        <v>2.997681</v>
      </c>
      <c r="V8703">
        <v>-3.9738240000000001E-2</v>
      </c>
      <c r="W8703">
        <v>-0.1160688</v>
      </c>
      <c r="X8703">
        <v>0.99244589999999999</v>
      </c>
      <c r="Y8703" s="1">
        <v>4.9072479999999898E-5</v>
      </c>
      <c r="Z8703">
        <v>-6.2782740000000004E-2</v>
      </c>
      <c r="AA8703">
        <v>0.9980272</v>
      </c>
      <c r="AB8703">
        <v>37</v>
      </c>
      <c r="AC8703">
        <v>7.2499999999990905E-2</v>
      </c>
      <c r="AD8703">
        <v>-1.12003257901949</v>
      </c>
      <c r="AE8703">
        <v>14.005549999999999</v>
      </c>
      <c r="AF8703">
        <v>5.3986841106398698E-4</v>
      </c>
      <c r="AG8703">
        <v>-1.12003257901949</v>
      </c>
      <c r="AH8703">
        <v>13.916738294725601</v>
      </c>
      <c r="AI8703">
        <v>94.601302437478196</v>
      </c>
      <c r="AJ8703">
        <v>89.997777339720301</v>
      </c>
      <c r="AK8703">
        <v>13.9617362112813</v>
      </c>
      <c r="AL8703">
        <v>96.665275764303999</v>
      </c>
      <c r="AM8703">
        <v>92.292938912018002</v>
      </c>
      <c r="AN8703">
        <v>0.99999997923927297</v>
      </c>
    </row>
    <row r="8704" spans="1:40" x14ac:dyDescent="0.25">
      <c r="A8704" t="str">
        <f>"20190303154348351"</f>
        <v>20190303154348351</v>
      </c>
      <c r="B8704" t="str">
        <f>"1551599028338581"</f>
        <v>1551599028338581</v>
      </c>
      <c r="C8704" t="s">
        <v>40</v>
      </c>
      <c r="D8704">
        <v>5.9785649999999997</v>
      </c>
      <c r="E8704">
        <v>0.51542010000000005</v>
      </c>
      <c r="F8704" t="s">
        <v>41</v>
      </c>
      <c r="G8704">
        <v>-188.3466</v>
      </c>
      <c r="H8704" s="1">
        <v>-7.2178599999999995E-7</v>
      </c>
      <c r="I8704">
        <v>70.476330000000004</v>
      </c>
      <c r="J8704">
        <v>-188.42679999999999</v>
      </c>
      <c r="K8704">
        <v>1.120031</v>
      </c>
      <c r="L8704">
        <v>56.450069999999997</v>
      </c>
      <c r="M8704">
        <v>5.7555530000000001E-3</v>
      </c>
      <c r="N8704">
        <v>-1.486207E-2</v>
      </c>
      <c r="O8704">
        <v>0.99987300000000001</v>
      </c>
      <c r="P8704">
        <v>-3.3516160000000003E-2</v>
      </c>
      <c r="Q8704">
        <v>-0.13079830000000001</v>
      </c>
      <c r="R8704">
        <v>0.99084229999999995</v>
      </c>
      <c r="S8704">
        <v>1.721191E-2</v>
      </c>
      <c r="T8704">
        <v>-0.2328848</v>
      </c>
      <c r="U8704">
        <v>2.997681</v>
      </c>
      <c r="V8704">
        <v>-3.938171E-2</v>
      </c>
      <c r="W8704">
        <v>-0.11600580000000001</v>
      </c>
      <c r="X8704">
        <v>0.99246749999999995</v>
      </c>
      <c r="Y8704" s="1">
        <v>-2.5800369999999999E-5</v>
      </c>
      <c r="Z8704">
        <v>-6.2626650000000006E-2</v>
      </c>
      <c r="AA8704">
        <v>0.99803699999999995</v>
      </c>
      <c r="AB8704">
        <v>37</v>
      </c>
      <c r="AC8704">
        <v>8.0199999999990695E-2</v>
      </c>
      <c r="AD8704">
        <v>-1.1200317217860001</v>
      </c>
      <c r="AE8704">
        <v>14.026260000000001</v>
      </c>
      <c r="AF8704">
        <v>-5.3571194788214096E-4</v>
      </c>
      <c r="AG8704">
        <v>-1.1200317217860001</v>
      </c>
      <c r="AH8704">
        <v>13.937620067555899</v>
      </c>
      <c r="AI8704">
        <v>94.594434658831204</v>
      </c>
      <c r="AJ8704">
        <v>90.002202243531102</v>
      </c>
      <c r="AK8704">
        <v>13.982550714813501</v>
      </c>
      <c r="AL8704">
        <v>96.661641430809993</v>
      </c>
      <c r="AM8704">
        <v>92.272339009329301</v>
      </c>
      <c r="AN8704">
        <v>1.0000000016362001</v>
      </c>
    </row>
    <row r="8705" spans="1:40" x14ac:dyDescent="0.25">
      <c r="A8705" t="str">
        <f>"20190303154348371"</f>
        <v>20190303154348371</v>
      </c>
      <c r="B8705" t="str">
        <f>"1551599028368837"</f>
        <v>1551599028368837</v>
      </c>
      <c r="C8705" t="s">
        <v>40</v>
      </c>
      <c r="D8705">
        <v>6.0369719999999996</v>
      </c>
      <c r="E8705">
        <v>0.51543570000000005</v>
      </c>
      <c r="F8705" t="s">
        <v>41</v>
      </c>
      <c r="G8705">
        <v>-188.3228</v>
      </c>
      <c r="H8705" s="1">
        <v>-8.8536579999999995E-7</v>
      </c>
      <c r="I8705">
        <v>70.93835</v>
      </c>
      <c r="J8705">
        <v>-188.42420000000001</v>
      </c>
      <c r="K8705">
        <v>1.120026</v>
      </c>
      <c r="L8705">
        <v>56.800539999999998</v>
      </c>
      <c r="M8705">
        <v>6.3082629999999997E-3</v>
      </c>
      <c r="N8705">
        <v>-1.4858120000000001E-2</v>
      </c>
      <c r="O8705">
        <v>0.99986969999999997</v>
      </c>
      <c r="P8705">
        <v>-3.3091570000000001E-2</v>
      </c>
      <c r="Q8705">
        <v>-0.13122410000000001</v>
      </c>
      <c r="R8705">
        <v>0.99080029999999997</v>
      </c>
      <c r="S8705">
        <v>2.1530150000000001E-2</v>
      </c>
      <c r="T8705">
        <v>-0.23175299999999999</v>
      </c>
      <c r="U8705">
        <v>2.9978639999999999</v>
      </c>
      <c r="V8705">
        <v>-3.950654E-2</v>
      </c>
      <c r="W8705">
        <v>-0.11643580000000001</v>
      </c>
      <c r="X8705">
        <v>0.99241219999999997</v>
      </c>
      <c r="Y8705">
        <v>8.5818069999999997E-4</v>
      </c>
      <c r="Z8705">
        <v>-6.2250689999999997E-2</v>
      </c>
      <c r="AA8705">
        <v>0.99806019999999895</v>
      </c>
      <c r="AB8705">
        <v>37</v>
      </c>
      <c r="AC8705">
        <v>0.10140000000001199</v>
      </c>
      <c r="AD8705">
        <v>-1.1200268853658</v>
      </c>
      <c r="AE8705">
        <v>14.137809999999901</v>
      </c>
      <c r="AF8705">
        <v>1.2127004226018701E-2</v>
      </c>
      <c r="AG8705">
        <v>-1.1200268853658</v>
      </c>
      <c r="AH8705">
        <v>14.0499931757713</v>
      </c>
      <c r="AI8705">
        <v>94.557822120309396</v>
      </c>
      <c r="AJ8705">
        <v>89.950546169023099</v>
      </c>
      <c r="AK8705">
        <v>14.094570427203299</v>
      </c>
      <c r="AL8705">
        <v>96.686446598534701</v>
      </c>
      <c r="AM8705">
        <v>92.279661047535498</v>
      </c>
      <c r="AN8705">
        <v>1.00000001846662</v>
      </c>
    </row>
    <row r="8706" spans="1:40" x14ac:dyDescent="0.25">
      <c r="A8706" t="str">
        <f>"20190303154348394"</f>
        <v>20190303154348394</v>
      </c>
      <c r="B8706" t="str">
        <f>"1551599028388357"</f>
        <v>1551599028388357</v>
      </c>
      <c r="C8706" t="s">
        <v>40</v>
      </c>
      <c r="D8706">
        <v>6.0463589999999998</v>
      </c>
      <c r="E8706">
        <v>0.51532319999999998</v>
      </c>
      <c r="F8706" t="s">
        <v>41</v>
      </c>
      <c r="G8706">
        <v>-188.31290000000001</v>
      </c>
      <c r="H8706" s="1">
        <v>-1.0059909999999999E-6</v>
      </c>
      <c r="I8706">
        <v>71.280159999999995</v>
      </c>
      <c r="J8706">
        <v>-188.42140000000001</v>
      </c>
      <c r="K8706">
        <v>1.120023</v>
      </c>
      <c r="L8706">
        <v>57.160220000000002</v>
      </c>
      <c r="M8706">
        <v>6.8744670000000004E-3</v>
      </c>
      <c r="N8706">
        <v>-1.485409E-2</v>
      </c>
      <c r="O8706">
        <v>0.99986609999999998</v>
      </c>
      <c r="P8706">
        <v>-3.2460450000000002E-2</v>
      </c>
      <c r="Q8706">
        <v>-0.131903399999999</v>
      </c>
      <c r="R8706">
        <v>0.99073089999999997</v>
      </c>
      <c r="S8706">
        <v>2.3056030000000002E-2</v>
      </c>
      <c r="T8706">
        <v>-0.2318952</v>
      </c>
      <c r="U8706">
        <v>2.997925</v>
      </c>
      <c r="V8706">
        <v>-3.9438050000000002E-2</v>
      </c>
      <c r="W8706">
        <v>-0.11712</v>
      </c>
      <c r="X8706">
        <v>0.99233439999999995</v>
      </c>
      <c r="Y8706">
        <v>7.9973539999999904E-4</v>
      </c>
      <c r="Z8706">
        <v>-6.2299689999999998E-2</v>
      </c>
      <c r="AA8706">
        <v>0.99805719999999998</v>
      </c>
      <c r="AB8706">
        <v>37</v>
      </c>
      <c r="AC8706">
        <v>0.10849999999999201</v>
      </c>
      <c r="AD8706">
        <v>-1.1200240059909901</v>
      </c>
      <c r="AE8706">
        <v>14.11994</v>
      </c>
      <c r="AF8706">
        <v>1.13482703600756E-2</v>
      </c>
      <c r="AG8706">
        <v>-1.1200240059909901</v>
      </c>
      <c r="AH8706">
        <v>14.032067635568501</v>
      </c>
      <c r="AI8706">
        <v>94.563608544634306</v>
      </c>
      <c r="AJ8706">
        <v>89.953662719455494</v>
      </c>
      <c r="AK8706">
        <v>14.0767007742015</v>
      </c>
      <c r="AL8706">
        <v>96.725918507125002</v>
      </c>
      <c r="AM8706">
        <v>92.275891332102503</v>
      </c>
      <c r="AN8706">
        <v>1.00000000780558</v>
      </c>
    </row>
    <row r="8707" spans="1:40" x14ac:dyDescent="0.25">
      <c r="A8707" t="str">
        <f>"20190303154348415"</f>
        <v>20190303154348415</v>
      </c>
      <c r="B8707" t="str">
        <f>"1551599028408853"</f>
        <v>1551599028408853</v>
      </c>
      <c r="C8707" t="s">
        <v>40</v>
      </c>
      <c r="D8707">
        <v>6.1286610000000001</v>
      </c>
      <c r="E8707">
        <v>0.5152215</v>
      </c>
      <c r="F8707" t="s">
        <v>41</v>
      </c>
      <c r="G8707">
        <v>-188.3048</v>
      </c>
      <c r="H8707" s="1">
        <v>-1.121203E-6</v>
      </c>
      <c r="I8707">
        <v>71.545369999999906</v>
      </c>
      <c r="J8707">
        <v>-188.41839999999999</v>
      </c>
      <c r="K8707">
        <v>1.12002</v>
      </c>
      <c r="L8707">
        <v>57.525759999999998</v>
      </c>
      <c r="M8707">
        <v>7.4492150000000004E-3</v>
      </c>
      <c r="N8707">
        <v>-1.4849930000000001E-2</v>
      </c>
      <c r="O8707">
        <v>0.99986200000000003</v>
      </c>
      <c r="P8707">
        <v>-3.1181110000000001E-2</v>
      </c>
      <c r="Q8707">
        <v>-0.13170090000000001</v>
      </c>
      <c r="R8707">
        <v>0.99079899999999999</v>
      </c>
      <c r="S8707">
        <v>2.4307249999999999E-2</v>
      </c>
      <c r="T8707">
        <v>-0.23340559999999999</v>
      </c>
      <c r="U8707">
        <v>2.9977719999999999</v>
      </c>
      <c r="V8707">
        <v>-3.8729180000000002E-2</v>
      </c>
      <c r="W8707">
        <v>-0.1169216</v>
      </c>
      <c r="X8707">
        <v>0.99238570000000004</v>
      </c>
      <c r="Y8707">
        <v>6.4169349999999999E-4</v>
      </c>
      <c r="Z8707">
        <v>-6.2807009999999996E-2</v>
      </c>
      <c r="AA8707">
        <v>0.99802550000000001</v>
      </c>
      <c r="AB8707">
        <v>37</v>
      </c>
      <c r="AC8707">
        <v>0.113599999999991</v>
      </c>
      <c r="AD8707">
        <v>-1.120021121203</v>
      </c>
      <c r="AE8707">
        <v>14.019609999999901</v>
      </c>
      <c r="AF8707">
        <v>9.09221702473678E-3</v>
      </c>
      <c r="AG8707">
        <v>-1.120021121203</v>
      </c>
      <c r="AH8707">
        <v>13.931159566002099</v>
      </c>
      <c r="AI8707">
        <v>94.596511886253694</v>
      </c>
      <c r="AJ8707">
        <v>89.962605726716404</v>
      </c>
      <c r="AK8707">
        <v>13.9761130803154</v>
      </c>
      <c r="AL8707">
        <v>96.714472478364996</v>
      </c>
      <c r="AM8707">
        <v>92.234910301388098</v>
      </c>
      <c r="AN8707">
        <v>0.99999999374726101</v>
      </c>
    </row>
    <row r="8708" spans="1:40" x14ac:dyDescent="0.25">
      <c r="A8708" t="str">
        <f>"20190303154348438"</f>
        <v>20190303154348438</v>
      </c>
      <c r="B8708" t="str">
        <f>"1551599028428376"</f>
        <v>1551599028428376</v>
      </c>
      <c r="C8708" t="s">
        <v>40</v>
      </c>
      <c r="D8708">
        <v>5.9889299999999999</v>
      </c>
      <c r="E8708">
        <v>0.51520140000000003</v>
      </c>
      <c r="F8708" t="s">
        <v>41</v>
      </c>
      <c r="G8708">
        <v>-188.28710000000001</v>
      </c>
      <c r="H8708" s="1">
        <v>-1.322138E-6</v>
      </c>
      <c r="I8708">
        <v>72.006439999999998</v>
      </c>
      <c r="J8708">
        <v>-188.41499999999999</v>
      </c>
      <c r="K8708">
        <v>1.120023</v>
      </c>
      <c r="L8708">
        <v>57.894410000000001</v>
      </c>
      <c r="M8708">
        <v>8.0283160000000006E-3</v>
      </c>
      <c r="N8708">
        <v>-1.484576E-2</v>
      </c>
      <c r="O8708">
        <v>0.99985749999999995</v>
      </c>
      <c r="P8708">
        <v>-2.9957950000000001E-2</v>
      </c>
      <c r="Q8708">
        <v>-0.13067010000000001</v>
      </c>
      <c r="R8708">
        <v>0.9909732</v>
      </c>
      <c r="S8708">
        <v>2.7175899999999999E-2</v>
      </c>
      <c r="T8708">
        <v>-0.23187469999999999</v>
      </c>
      <c r="U8708">
        <v>2.9978940000000001</v>
      </c>
      <c r="V8708">
        <v>-3.8080280000000001E-2</v>
      </c>
      <c r="W8708">
        <v>-0.1158936</v>
      </c>
      <c r="X8708">
        <v>0.99253139999999995</v>
      </c>
      <c r="Y8708">
        <v>1.017144E-3</v>
      </c>
      <c r="Z8708">
        <v>-6.2300700000000001E-2</v>
      </c>
      <c r="AA8708">
        <v>0.99805690000000002</v>
      </c>
      <c r="AB8708">
        <v>37</v>
      </c>
      <c r="AC8708">
        <v>0.127899999999982</v>
      </c>
      <c r="AD8708">
        <v>-1.120024322138</v>
      </c>
      <c r="AE8708">
        <v>14.112029999999899</v>
      </c>
      <c r="AF8708">
        <v>1.44962413307336E-2</v>
      </c>
      <c r="AG8708">
        <v>-1.120024322138</v>
      </c>
      <c r="AH8708">
        <v>14.024269543571799</v>
      </c>
      <c r="AI8708">
        <v>94.566135719298302</v>
      </c>
      <c r="AJ8708">
        <v>89.940776013419594</v>
      </c>
      <c r="AK8708">
        <v>14.068930337945</v>
      </c>
      <c r="AL8708">
        <v>96.655169153016502</v>
      </c>
      <c r="AM8708">
        <v>92.197179560927793</v>
      </c>
      <c r="AN8708">
        <v>1.0000000071158901</v>
      </c>
    </row>
    <row r="8709" spans="1:40" x14ac:dyDescent="0.25">
      <c r="A8709" t="str">
        <f>"20190303154348461"</f>
        <v>20190303154348461</v>
      </c>
      <c r="B8709" t="str">
        <f>"1551599028448872"</f>
        <v>1551599028448872</v>
      </c>
      <c r="C8709" t="s">
        <v>40</v>
      </c>
      <c r="D8709">
        <v>6.0567710000000003</v>
      </c>
      <c r="E8709">
        <v>0.51513949999999997</v>
      </c>
      <c r="F8709" t="s">
        <v>42</v>
      </c>
      <c r="G8709">
        <v>-188.4041</v>
      </c>
      <c r="H8709">
        <v>1.041056</v>
      </c>
      <c r="I8709">
        <v>58.927880000000002</v>
      </c>
      <c r="J8709">
        <v>-188.41130000000001</v>
      </c>
      <c r="K8709">
        <v>1.120028</v>
      </c>
      <c r="L8709">
        <v>58.274349999999998</v>
      </c>
      <c r="M8709">
        <v>8.6249840000000005E-3</v>
      </c>
      <c r="N8709">
        <v>-1.4841439999999999E-2</v>
      </c>
      <c r="O8709">
        <v>0.99985270000000004</v>
      </c>
      <c r="P8709">
        <v>-2.9066399999999999E-2</v>
      </c>
      <c r="Q8709">
        <v>-0.13063069999999999</v>
      </c>
      <c r="R8709">
        <v>0.99100489999999997</v>
      </c>
      <c r="S8709">
        <v>3.09906E-2</v>
      </c>
      <c r="T8709">
        <v>-0.22908339999999999</v>
      </c>
      <c r="U8709">
        <v>2.9980470000000001</v>
      </c>
      <c r="V8709">
        <v>-3.777991E-2</v>
      </c>
      <c r="W8709">
        <v>-0.1158585</v>
      </c>
      <c r="X8709">
        <v>0.99254699999999996</v>
      </c>
      <c r="Y8709">
        <v>1.6898739999999901E-3</v>
      </c>
      <c r="Z8709">
        <v>-6.1376430000000003E-2</v>
      </c>
      <c r="AA8709">
        <v>0.99811329999999998</v>
      </c>
      <c r="AB8709">
        <v>37</v>
      </c>
      <c r="AC8709">
        <v>7.2000000000116398E-3</v>
      </c>
      <c r="AD8709">
        <v>-7.8972000000000001E-2</v>
      </c>
      <c r="AE8709">
        <v>0.65353000000000305</v>
      </c>
      <c r="AF8709">
        <v>1.53994201653785E-3</v>
      </c>
      <c r="AG8709">
        <v>-7.8972000000000001E-2</v>
      </c>
      <c r="AH8709">
        <v>0.64416280677552196</v>
      </c>
      <c r="AI8709">
        <v>96.989355672807406</v>
      </c>
      <c r="AJ8709">
        <v>89.863028400223897</v>
      </c>
      <c r="AK8709">
        <v>0.64898741885982103</v>
      </c>
      <c r="AL8709">
        <v>96.653144276288799</v>
      </c>
      <c r="AM8709">
        <v>92.179831184288105</v>
      </c>
      <c r="AN8709">
        <v>1.00000003041542</v>
      </c>
    </row>
    <row r="8710" spans="1:40" x14ac:dyDescent="0.25">
      <c r="A8710" t="str">
        <f>"20190303154348484"</f>
        <v>20190303154348484</v>
      </c>
      <c r="B8710" t="str">
        <f>"1551599028479125"</f>
        <v>1551599028479125</v>
      </c>
      <c r="C8710" t="s">
        <v>40</v>
      </c>
      <c r="D8710">
        <v>5.9222130000000002</v>
      </c>
      <c r="E8710">
        <v>0.51531669999999996</v>
      </c>
      <c r="F8710" t="s">
        <v>41</v>
      </c>
      <c r="G8710">
        <v>-188.24860000000001</v>
      </c>
      <c r="H8710" s="1">
        <v>-1.7553219999999999E-6</v>
      </c>
      <c r="I8710">
        <v>73.00027</v>
      </c>
      <c r="J8710">
        <v>-188.4075</v>
      </c>
      <c r="K8710">
        <v>1.1200330000000001</v>
      </c>
      <c r="L8710">
        <v>58.650730000000003</v>
      </c>
      <c r="M8710">
        <v>9.2162819999999993E-3</v>
      </c>
      <c r="N8710">
        <v>-1.4837319999999999E-2</v>
      </c>
      <c r="O8710">
        <v>0.9998475</v>
      </c>
      <c r="P8710">
        <v>-2.8206169999999999E-2</v>
      </c>
      <c r="Q8710">
        <v>-0.1307748</v>
      </c>
      <c r="R8710">
        <v>0.99101079999999997</v>
      </c>
      <c r="S8710">
        <v>3.3142089999999999E-2</v>
      </c>
      <c r="T8710">
        <v>-0.2280335</v>
      </c>
      <c r="U8710">
        <v>2.998138</v>
      </c>
      <c r="V8710">
        <v>-3.7506169999999998E-2</v>
      </c>
      <c r="W8710">
        <v>-0.1160071</v>
      </c>
      <c r="X8710">
        <v>0.99253999999999998</v>
      </c>
      <c r="Y8710">
        <v>1.814504E-3</v>
      </c>
      <c r="Z8710">
        <v>-6.1029960000000001E-2</v>
      </c>
      <c r="AA8710">
        <v>0.99813430000000003</v>
      </c>
      <c r="AB8710">
        <v>37</v>
      </c>
      <c r="AC8710">
        <v>0.158899999999988</v>
      </c>
      <c r="AD8710">
        <v>-1.120034755322</v>
      </c>
      <c r="AE8710">
        <v>14.3495399999999</v>
      </c>
      <c r="AF8710">
        <v>2.6468056704719699E-2</v>
      </c>
      <c r="AG8710">
        <v>-1.120034755322</v>
      </c>
      <c r="AH8710">
        <v>14.2635069958042</v>
      </c>
      <c r="AI8710">
        <v>94.489901460675497</v>
      </c>
      <c r="AJ8710">
        <v>89.893679289330507</v>
      </c>
      <c r="AK8710">
        <v>14.307438982239599</v>
      </c>
      <c r="AL8710">
        <v>96.661716393634293</v>
      </c>
      <c r="AM8710">
        <v>92.164067209896899</v>
      </c>
      <c r="AN8710">
        <v>1.00000000581923</v>
      </c>
    </row>
    <row r="8711" spans="1:40" x14ac:dyDescent="0.25">
      <c r="A8711" t="str">
        <f>"20190303154348505"</f>
        <v>20190303154348505</v>
      </c>
      <c r="B8711" t="str">
        <f>"1551599028498645"</f>
        <v>1551599028498645</v>
      </c>
      <c r="C8711" t="s">
        <v>40</v>
      </c>
      <c r="D8711">
        <v>6.1106400000000001</v>
      </c>
      <c r="E8711">
        <v>0.51559730000000004</v>
      </c>
      <c r="F8711" t="s">
        <v>41</v>
      </c>
      <c r="G8711">
        <v>-188.2208</v>
      </c>
      <c r="H8711" s="1">
        <v>-2.0407720000000001E-6</v>
      </c>
      <c r="I8711">
        <v>73.654200000000003</v>
      </c>
      <c r="J8711">
        <v>-188.40360000000001</v>
      </c>
      <c r="K8711">
        <v>1.120045</v>
      </c>
      <c r="L8711">
        <v>59.011139999999997</v>
      </c>
      <c r="M8711">
        <v>9.7829309999999999E-3</v>
      </c>
      <c r="N8711">
        <v>-1.483346E-2</v>
      </c>
      <c r="O8711">
        <v>0.99984209999999996</v>
      </c>
      <c r="P8711">
        <v>-2.6976050000000001E-2</v>
      </c>
      <c r="Q8711">
        <v>-0.1296206</v>
      </c>
      <c r="R8711">
        <v>0.99119659999999998</v>
      </c>
      <c r="S8711">
        <v>3.7307739999999999E-2</v>
      </c>
      <c r="T8711">
        <v>-0.22385939999999999</v>
      </c>
      <c r="U8711">
        <v>2.9987180000000002</v>
      </c>
      <c r="V8711">
        <v>-3.6837639999999998E-2</v>
      </c>
      <c r="W8711">
        <v>-0.11485529999999999</v>
      </c>
      <c r="X8711">
        <v>0.992699</v>
      </c>
      <c r="Y8711">
        <v>2.632517E-3</v>
      </c>
      <c r="Z8711">
        <v>-5.9636630000000003E-2</v>
      </c>
      <c r="AA8711">
        <v>0.99821669999999996</v>
      </c>
      <c r="AB8711">
        <v>37</v>
      </c>
      <c r="AC8711">
        <v>0.18280000000001401</v>
      </c>
      <c r="AD8711">
        <v>-1.120047040772</v>
      </c>
      <c r="AE8711">
        <v>14.643059999999901</v>
      </c>
      <c r="AF8711">
        <v>3.92935797978059E-2</v>
      </c>
      <c r="AG8711">
        <v>-1.120047040772</v>
      </c>
      <c r="AH8711">
        <v>14.5589804802548</v>
      </c>
      <c r="AI8711">
        <v>94.399180250473506</v>
      </c>
      <c r="AJ8711">
        <v>89.845363429052099</v>
      </c>
      <c r="AK8711">
        <v>14.602053348190299</v>
      </c>
      <c r="AL8711">
        <v>96.595278861350906</v>
      </c>
      <c r="AM8711">
        <v>92.125189289220202</v>
      </c>
      <c r="AN8711">
        <v>1.0000000281299199</v>
      </c>
    </row>
    <row r="8712" spans="1:40" x14ac:dyDescent="0.25">
      <c r="A8712" t="str">
        <f>"20190303154348527"</f>
        <v>20190303154348527</v>
      </c>
      <c r="B8712" t="str">
        <f>"1551599028519141"</f>
        <v>1551599028519141</v>
      </c>
      <c r="C8712" t="s">
        <v>40</v>
      </c>
      <c r="D8712">
        <v>6.0625679999999997</v>
      </c>
      <c r="E8712">
        <v>0.51623430000000003</v>
      </c>
      <c r="F8712" t="s">
        <v>41</v>
      </c>
      <c r="G8712">
        <v>-188.18260000000001</v>
      </c>
      <c r="H8712" s="1">
        <v>-2.2996340000000001E-6</v>
      </c>
      <c r="I8712">
        <v>74.241789999999995</v>
      </c>
      <c r="J8712">
        <v>-188.39949999999999</v>
      </c>
      <c r="K8712">
        <v>1.1200650000000001</v>
      </c>
      <c r="L8712">
        <v>59.37283</v>
      </c>
      <c r="M8712">
        <v>1.035205E-2</v>
      </c>
      <c r="N8712">
        <v>-1.4829399999999901E-2</v>
      </c>
      <c r="O8712">
        <v>0.99983639999999996</v>
      </c>
      <c r="P8712">
        <v>-2.519625E-2</v>
      </c>
      <c r="Q8712">
        <v>-0.12662909999999999</v>
      </c>
      <c r="R8712">
        <v>0.99163009999999996</v>
      </c>
      <c r="S8712">
        <v>4.3518069999999999E-2</v>
      </c>
      <c r="T8712">
        <v>-0.22054299999999999</v>
      </c>
      <c r="U8712">
        <v>2.998993</v>
      </c>
      <c r="V8712">
        <v>-3.5621970000000003E-2</v>
      </c>
      <c r="W8712">
        <v>-0.1118635</v>
      </c>
      <c r="X8712">
        <v>0.99308490000000005</v>
      </c>
      <c r="Y8712">
        <v>4.1288899999999996E-3</v>
      </c>
      <c r="Z8712">
        <v>-5.8534540000000003E-2</v>
      </c>
      <c r="AA8712">
        <v>0.99827679999999996</v>
      </c>
      <c r="AB8712">
        <v>37</v>
      </c>
      <c r="AC8712">
        <v>0.216899999999981</v>
      </c>
      <c r="AD8712">
        <v>-1.12006729963399</v>
      </c>
      <c r="AE8712">
        <v>14.86896</v>
      </c>
      <c r="AF8712">
        <v>6.2592119658990003E-2</v>
      </c>
      <c r="AG8712">
        <v>-1.12006729963399</v>
      </c>
      <c r="AH8712">
        <v>14.7865205407419</v>
      </c>
      <c r="AI8712">
        <v>94.331798925973203</v>
      </c>
      <c r="AJ8712">
        <v>89.757465398492599</v>
      </c>
      <c r="AK8712">
        <v>14.829014068067201</v>
      </c>
      <c r="AL8712">
        <v>96.422749394306805</v>
      </c>
      <c r="AM8712">
        <v>92.054319688786293</v>
      </c>
      <c r="AN8712">
        <v>0.99999999299346998</v>
      </c>
    </row>
    <row r="8713" spans="1:40" x14ac:dyDescent="0.25">
      <c r="A8713" t="str">
        <f>"20190303154348550"</f>
        <v>20190303154348550</v>
      </c>
      <c r="B8713" t="str">
        <f>"1551599028538661"</f>
        <v>1551599028538661</v>
      </c>
      <c r="C8713" t="s">
        <v>40</v>
      </c>
      <c r="D8713">
        <v>6.0687579999999999</v>
      </c>
      <c r="E8713">
        <v>0.51685300000000001</v>
      </c>
      <c r="F8713" t="s">
        <v>41</v>
      </c>
      <c r="G8713">
        <v>-188.11369999999999</v>
      </c>
      <c r="H8713" s="1">
        <v>-2.7470550000000002E-6</v>
      </c>
      <c r="I8713">
        <v>75.256259999999997</v>
      </c>
      <c r="J8713">
        <v>-188.39510000000001</v>
      </c>
      <c r="K8713">
        <v>1.12008</v>
      </c>
      <c r="L8713">
        <v>59.737699999999997</v>
      </c>
      <c r="M8713">
        <v>1.092661E-2</v>
      </c>
      <c r="N8713">
        <v>-1.482515E-2</v>
      </c>
      <c r="O8713">
        <v>0.99983040000000001</v>
      </c>
      <c r="P8713">
        <v>-2.3622020000000001E-2</v>
      </c>
      <c r="Q8713">
        <v>-0.1244793</v>
      </c>
      <c r="R8713">
        <v>0.99194099999999996</v>
      </c>
      <c r="S8713">
        <v>5.3970339999999999E-2</v>
      </c>
      <c r="T8713">
        <v>-0.21153250000000001</v>
      </c>
      <c r="U8713">
        <v>2.999695</v>
      </c>
      <c r="V8713">
        <v>-3.4617870000000002E-2</v>
      </c>
      <c r="W8713">
        <v>-0.1097151</v>
      </c>
      <c r="X8713">
        <v>0.99336000000000002</v>
      </c>
      <c r="Y8713">
        <v>7.0296919999999997E-3</v>
      </c>
      <c r="Z8713">
        <v>-5.553578E-2</v>
      </c>
      <c r="AA8713">
        <v>0.99843199999999999</v>
      </c>
      <c r="AB8713">
        <v>37</v>
      </c>
      <c r="AC8713">
        <v>0.28140000000001902</v>
      </c>
      <c r="AD8713">
        <v>-1.1200827470550001</v>
      </c>
      <c r="AE8713">
        <v>15.518560000000001</v>
      </c>
      <c r="AF8713">
        <v>0.111220095587197</v>
      </c>
      <c r="AG8713">
        <v>-1.1200827470550001</v>
      </c>
      <c r="AH8713">
        <v>15.440298425967599</v>
      </c>
      <c r="AI8713">
        <v>94.149021976884896</v>
      </c>
      <c r="AJ8713">
        <v>89.587292182634599</v>
      </c>
      <c r="AK8713">
        <v>15.481271612915</v>
      </c>
      <c r="AL8713">
        <v>96.298892947911696</v>
      </c>
      <c r="AM8713">
        <v>91.995908311461804</v>
      </c>
      <c r="AN8713">
        <v>0.99999994484567201</v>
      </c>
    </row>
    <row r="8714" spans="1:40" x14ac:dyDescent="0.25">
      <c r="A8714" t="str">
        <f>"20190303154348571"</f>
        <v>20190303154348571</v>
      </c>
      <c r="B8714" t="str">
        <f>"1551599028568917"</f>
        <v>1551599028568917</v>
      </c>
      <c r="C8714" t="s">
        <v>40</v>
      </c>
      <c r="D8714">
        <v>6.039104</v>
      </c>
      <c r="E8714">
        <v>0.51766880000000004</v>
      </c>
      <c r="F8714" t="s">
        <v>41</v>
      </c>
      <c r="G8714">
        <v>-188.04679999999999</v>
      </c>
      <c r="H8714" s="1">
        <v>-3.1624870000000001E-6</v>
      </c>
      <c r="I8714">
        <v>76.196979999999996</v>
      </c>
      <c r="J8714">
        <v>-188.39060000000001</v>
      </c>
      <c r="K8714">
        <v>1.1200859999999999</v>
      </c>
      <c r="L8714">
        <v>60.096409999999999</v>
      </c>
      <c r="M8714">
        <v>1.149175E-2</v>
      </c>
      <c r="N8714">
        <v>-1.4820959999999999E-2</v>
      </c>
      <c r="O8714">
        <v>0.99982409999999999</v>
      </c>
      <c r="P8714">
        <v>-2.2517789999999999E-2</v>
      </c>
      <c r="Q8714">
        <v>-0.1243572</v>
      </c>
      <c r="R8714">
        <v>0.99198200000000003</v>
      </c>
      <c r="S8714">
        <v>6.3491820000000004E-2</v>
      </c>
      <c r="T8714">
        <v>-0.20417399999999999</v>
      </c>
      <c r="U8714">
        <v>3.0002749999999998</v>
      </c>
      <c r="V8714">
        <v>-3.4074529999999999E-2</v>
      </c>
      <c r="W8714">
        <v>-0.1095975</v>
      </c>
      <c r="X8714">
        <v>0.99339180000000005</v>
      </c>
      <c r="Y8714">
        <v>9.6296709999999994E-3</v>
      </c>
      <c r="Z8714">
        <v>-5.3086479999999998E-2</v>
      </c>
      <c r="AA8714">
        <v>0.99854350000000003</v>
      </c>
      <c r="AB8714">
        <v>37</v>
      </c>
      <c r="AC8714">
        <v>0.34380000000001498</v>
      </c>
      <c r="AD8714">
        <v>-1.120089162487</v>
      </c>
      <c r="AE8714">
        <v>16.100570000000001</v>
      </c>
      <c r="AF8714">
        <v>0.157969056899775</v>
      </c>
      <c r="AG8714">
        <v>-1.120089162487</v>
      </c>
      <c r="AH8714">
        <v>16.025931794427901</v>
      </c>
      <c r="AI8714">
        <v>93.997838393546999</v>
      </c>
      <c r="AJ8714">
        <v>89.435248617675001</v>
      </c>
      <c r="AK8714">
        <v>16.0658035539625</v>
      </c>
      <c r="AL8714">
        <v>96.292113881517807</v>
      </c>
      <c r="AM8714">
        <v>91.964543711214901</v>
      </c>
      <c r="AN8714">
        <v>0.99999997695410503</v>
      </c>
    </row>
    <row r="8715" spans="1:40" x14ac:dyDescent="0.25">
      <c r="A8715" t="str">
        <f>"20190303154348592"</f>
        <v>20190303154348592</v>
      </c>
      <c r="B8715" t="str">
        <f>"1551599028588439"</f>
        <v>1551599028588439</v>
      </c>
      <c r="C8715" t="s">
        <v>40</v>
      </c>
      <c r="D8715">
        <v>6.0246389999999996</v>
      </c>
      <c r="E8715">
        <v>0.51816249999999997</v>
      </c>
      <c r="F8715" t="s">
        <v>41</v>
      </c>
      <c r="G8715">
        <v>-187.9872</v>
      </c>
      <c r="H8715" s="1">
        <v>-3.3380000000000001E-6</v>
      </c>
      <c r="I8715">
        <v>76.581469999999996</v>
      </c>
      <c r="J8715">
        <v>-188.3862</v>
      </c>
      <c r="K8715">
        <v>1.1200829999999999</v>
      </c>
      <c r="L8715">
        <v>60.4343</v>
      </c>
      <c r="M8715">
        <v>1.202433E-2</v>
      </c>
      <c r="N8715">
        <v>-1.4817E-2</v>
      </c>
      <c r="O8715">
        <v>0.99981790000000004</v>
      </c>
      <c r="P8715">
        <v>-2.2327659999999999E-2</v>
      </c>
      <c r="Q8715">
        <v>-0.12566930000000001</v>
      </c>
      <c r="R8715">
        <v>0.99182090000000001</v>
      </c>
      <c r="S8715">
        <v>7.3425290000000004E-2</v>
      </c>
      <c r="T8715">
        <v>-0.20386199999999999</v>
      </c>
      <c r="U8715">
        <v>3.0003660000000001</v>
      </c>
      <c r="V8715">
        <v>-3.4412409999999997E-2</v>
      </c>
      <c r="W8715">
        <v>-0.11091570000000001</v>
      </c>
      <c r="X8715">
        <v>0.9932339</v>
      </c>
      <c r="Y8715">
        <v>1.239899E-2</v>
      </c>
      <c r="Z8715">
        <v>-5.2981170000000001E-2</v>
      </c>
      <c r="AA8715">
        <v>0.99851849999999998</v>
      </c>
      <c r="AB8715">
        <v>37</v>
      </c>
      <c r="AC8715">
        <v>0.39900000000000002</v>
      </c>
      <c r="AD8715">
        <v>-1.1200863379999999</v>
      </c>
      <c r="AE8715">
        <v>16.1471699999999</v>
      </c>
      <c r="AF8715">
        <v>0.20381082258828701</v>
      </c>
      <c r="AG8715">
        <v>-1.1200863379999999</v>
      </c>
      <c r="AH8715">
        <v>16.073504863725798</v>
      </c>
      <c r="AI8715">
        <v>93.985907726399006</v>
      </c>
      <c r="AJ8715">
        <v>89.2735327935779</v>
      </c>
      <c r="AK8715">
        <v>16.113773327814801</v>
      </c>
      <c r="AL8715">
        <v>96.368104064327198</v>
      </c>
      <c r="AM8715">
        <v>91.984323616362005</v>
      </c>
      <c r="AN8715">
        <v>1.0000000432888501</v>
      </c>
    </row>
    <row r="8716" spans="1:40" x14ac:dyDescent="0.25">
      <c r="A8716" t="str">
        <f>"20190303154348616"</f>
        <v>20190303154348616</v>
      </c>
      <c r="B8716" t="str">
        <f>"1551599028609006"</f>
        <v>1551599028609006</v>
      </c>
      <c r="C8716" t="s">
        <v>40</v>
      </c>
      <c r="D8716">
        <v>6.0158839999999998</v>
      </c>
      <c r="E8716">
        <v>0.51861089999999999</v>
      </c>
      <c r="F8716" t="s">
        <v>41</v>
      </c>
      <c r="G8716">
        <v>-187.96520000000001</v>
      </c>
      <c r="H8716" s="1">
        <v>-3.3344569999999999E-6</v>
      </c>
      <c r="I8716">
        <v>76.564109999999999</v>
      </c>
      <c r="J8716">
        <v>-188.3809</v>
      </c>
      <c r="K8716">
        <v>1.120079</v>
      </c>
      <c r="L8716">
        <v>60.824460000000002</v>
      </c>
      <c r="M8716">
        <v>1.2639879999999999E-2</v>
      </c>
      <c r="N8716">
        <v>-1.4812519999999999E-2</v>
      </c>
      <c r="O8716">
        <v>0.99981039999999999</v>
      </c>
      <c r="P8716">
        <v>-2.303235E-2</v>
      </c>
      <c r="Q8716">
        <v>-0.12580069999999999</v>
      </c>
      <c r="R8716">
        <v>0.99178809999999995</v>
      </c>
      <c r="S8716">
        <v>7.830811E-2</v>
      </c>
      <c r="T8716">
        <v>-0.2083343</v>
      </c>
      <c r="U8716">
        <v>3.0001220000000002</v>
      </c>
      <c r="V8716">
        <v>-3.5727059999999998E-2</v>
      </c>
      <c r="W8716">
        <v>-0.1110506</v>
      </c>
      <c r="X8716">
        <v>0.99317230000000001</v>
      </c>
      <c r="Y8716">
        <v>1.340658E-2</v>
      </c>
      <c r="Z8716">
        <v>-5.4469879999999998E-2</v>
      </c>
      <c r="AA8716">
        <v>0.99842540000000002</v>
      </c>
      <c r="AB8716">
        <v>37</v>
      </c>
      <c r="AC8716">
        <v>0.41569999999998603</v>
      </c>
      <c r="AD8716">
        <v>-1.1200823344569999</v>
      </c>
      <c r="AE8716">
        <v>15.739649999999999</v>
      </c>
      <c r="AF8716">
        <v>0.21560655792101299</v>
      </c>
      <c r="AG8716">
        <v>-1.1200823344569999</v>
      </c>
      <c r="AH8716">
        <v>15.6643752797641</v>
      </c>
      <c r="AI8716">
        <v>94.089591800171604</v>
      </c>
      <c r="AJ8716">
        <v>89.211423018614198</v>
      </c>
      <c r="AK8716">
        <v>15.7058499779244</v>
      </c>
      <c r="AL8716">
        <v>96.375881984124703</v>
      </c>
      <c r="AM8716">
        <v>92.060193856848699</v>
      </c>
      <c r="AN8716">
        <v>0.99999993803194398</v>
      </c>
    </row>
    <row r="8717" spans="1:40" x14ac:dyDescent="0.25">
      <c r="A8717" t="str">
        <f>"20190303154348639"</f>
        <v>20190303154348639</v>
      </c>
      <c r="B8717" t="str">
        <f>"1551599028628526"</f>
        <v>1551599028628526</v>
      </c>
      <c r="C8717" t="s">
        <v>40</v>
      </c>
      <c r="D8717">
        <v>5.985843</v>
      </c>
      <c r="E8717">
        <v>0.51896160000000002</v>
      </c>
      <c r="F8717" t="s">
        <v>41</v>
      </c>
      <c r="G8717">
        <v>-187.95269999999999</v>
      </c>
      <c r="H8717" s="1">
        <v>-3.4835199999999999E-6</v>
      </c>
      <c r="I8717">
        <v>76.90643</v>
      </c>
      <c r="J8717">
        <v>-188.37559999999999</v>
      </c>
      <c r="K8717">
        <v>1.120058</v>
      </c>
      <c r="L8717">
        <v>61.197240000000001</v>
      </c>
      <c r="M8717">
        <v>1.3240099999999999E-2</v>
      </c>
      <c r="N8717">
        <v>-1.480837E-2</v>
      </c>
      <c r="O8717">
        <v>0.99980270000000004</v>
      </c>
      <c r="P8717">
        <v>-2.4554900000000001E-2</v>
      </c>
      <c r="Q8717">
        <v>-0.1261022</v>
      </c>
      <c r="R8717">
        <v>0.99171330000000002</v>
      </c>
      <c r="S8717">
        <v>7.9879759999999994E-2</v>
      </c>
      <c r="T8717">
        <v>-0.2089579</v>
      </c>
      <c r="U8717">
        <v>3.0001829999999998</v>
      </c>
      <c r="V8717">
        <v>-3.7844490000000001E-2</v>
      </c>
      <c r="W8717">
        <v>-0.1113545</v>
      </c>
      <c r="X8717">
        <v>0.9930599</v>
      </c>
      <c r="Y8717">
        <v>1.332817E-2</v>
      </c>
      <c r="Z8717">
        <v>-5.4678009999999999E-2</v>
      </c>
      <c r="AA8717">
        <v>0.9984151</v>
      </c>
      <c r="AB8717">
        <v>37</v>
      </c>
      <c r="AC8717">
        <v>0.422899999999998</v>
      </c>
      <c r="AD8717">
        <v>-1.12006148352</v>
      </c>
      <c r="AE8717">
        <v>15.70919</v>
      </c>
      <c r="AF8717">
        <v>0.21376296022849001</v>
      </c>
      <c r="AG8717">
        <v>-1.12006148352</v>
      </c>
      <c r="AH8717">
        <v>15.6339922983755</v>
      </c>
      <c r="AI8717">
        <v>94.097441525961003</v>
      </c>
      <c r="AJ8717">
        <v>89.216645879504597</v>
      </c>
      <c r="AK8717">
        <v>15.6755206457615</v>
      </c>
      <c r="AL8717">
        <v>96.393402459146103</v>
      </c>
      <c r="AM8717">
        <v>92.182427046782806</v>
      </c>
      <c r="AN8717">
        <v>0.99999999754081004</v>
      </c>
    </row>
    <row r="8718" spans="1:40" x14ac:dyDescent="0.25">
      <c r="A8718" t="str">
        <f>"20190303154348661"</f>
        <v>20190303154348661</v>
      </c>
      <c r="B8718" t="str">
        <f>"1551599028658783"</f>
        <v>1551599028658783</v>
      </c>
      <c r="C8718" t="s">
        <v>40</v>
      </c>
      <c r="D8718">
        <v>5.5979159999999997</v>
      </c>
      <c r="E8718">
        <v>0.51961099999999905</v>
      </c>
      <c r="F8718" t="s">
        <v>41</v>
      </c>
      <c r="G8718">
        <v>-187.96019999999999</v>
      </c>
      <c r="H8718" s="1">
        <v>-3.621277E-6</v>
      </c>
      <c r="I8718">
        <v>77.230639999999994</v>
      </c>
      <c r="J8718">
        <v>-188.37020000000001</v>
      </c>
      <c r="K8718">
        <v>1.120026</v>
      </c>
      <c r="L8718">
        <v>61.559109999999997</v>
      </c>
      <c r="M8718">
        <v>1.3841259999999999E-2</v>
      </c>
      <c r="N8718">
        <v>-1.480447E-2</v>
      </c>
      <c r="O8718">
        <v>0.99979459999999998</v>
      </c>
      <c r="P8718">
        <v>-2.5422130000000001E-2</v>
      </c>
      <c r="Q8718">
        <v>-0.1298598</v>
      </c>
      <c r="R8718">
        <v>0.99120640000000004</v>
      </c>
      <c r="S8718">
        <v>7.7728270000000002E-2</v>
      </c>
      <c r="T8718">
        <v>-0.20959749999999999</v>
      </c>
      <c r="U8718">
        <v>3.0003359999999999</v>
      </c>
      <c r="V8718">
        <v>-3.93096E-2</v>
      </c>
      <c r="W8718">
        <v>-0.1151205</v>
      </c>
      <c r="X8718">
        <v>0.99257340000000005</v>
      </c>
      <c r="Y8718">
        <v>1.201062E-2</v>
      </c>
      <c r="Z8718">
        <v>-5.4890550000000003E-2</v>
      </c>
      <c r="AA8718">
        <v>0.99842010000000003</v>
      </c>
      <c r="AB8718">
        <v>36</v>
      </c>
      <c r="AC8718">
        <v>0.41000000000002501</v>
      </c>
      <c r="AD8718">
        <v>-1.120029621277</v>
      </c>
      <c r="AE8718">
        <v>15.671530000000001</v>
      </c>
      <c r="AF8718">
        <v>0.192042967579305</v>
      </c>
      <c r="AG8718">
        <v>-1.120029621277</v>
      </c>
      <c r="AH8718">
        <v>15.5960962766938</v>
      </c>
      <c r="AI8718">
        <v>94.107319466785199</v>
      </c>
      <c r="AJ8718">
        <v>89.294522471032593</v>
      </c>
      <c r="AK8718">
        <v>15.6374411565907</v>
      </c>
      <c r="AL8718">
        <v>96.610575587679307</v>
      </c>
      <c r="AM8718">
        <v>92.267940840679103</v>
      </c>
      <c r="AN8718">
        <v>0.99999996427998405</v>
      </c>
    </row>
    <row r="8719" spans="1:40" x14ac:dyDescent="0.25">
      <c r="A8719" t="str">
        <f>"20190303154348686"</f>
        <v>20190303154348686</v>
      </c>
      <c r="B8719" t="str">
        <f>"1551599028678302"</f>
        <v>1551599028678302</v>
      </c>
      <c r="C8719" t="s">
        <v>40</v>
      </c>
      <c r="D8719">
        <v>5.9344380000000001</v>
      </c>
      <c r="E8719">
        <v>0.52002559999999998</v>
      </c>
      <c r="F8719" t="s">
        <v>41</v>
      </c>
      <c r="G8719">
        <v>-187.96199999999999</v>
      </c>
      <c r="H8719" s="1">
        <v>-3.4207300000000001E-6</v>
      </c>
      <c r="I8719">
        <v>76.763909999999996</v>
      </c>
      <c r="J8719">
        <v>-188.36420000000001</v>
      </c>
      <c r="K8719">
        <v>1.1199699999999999</v>
      </c>
      <c r="L8719">
        <v>61.941099999999999</v>
      </c>
      <c r="M8719">
        <v>1.453437E-2</v>
      </c>
      <c r="N8719">
        <v>-1.480035E-2</v>
      </c>
      <c r="O8719">
        <v>0.99978480000000003</v>
      </c>
      <c r="P8719">
        <v>-2.3925370000000001E-2</v>
      </c>
      <c r="Q8719">
        <v>-0.13357079999999999</v>
      </c>
      <c r="R8719">
        <v>0.99075040000000003</v>
      </c>
      <c r="S8719">
        <v>8.0520629999999996E-2</v>
      </c>
      <c r="T8719">
        <v>-0.22096850000000001</v>
      </c>
      <c r="U8719">
        <v>2.9997250000000002</v>
      </c>
      <c r="V8719">
        <v>-3.8507399999999997E-2</v>
      </c>
      <c r="W8719">
        <v>-0.1188401</v>
      </c>
      <c r="X8719">
        <v>0.9921664</v>
      </c>
      <c r="Y8719">
        <v>1.224517E-2</v>
      </c>
      <c r="Z8719">
        <v>-5.867079E-2</v>
      </c>
      <c r="AA8719">
        <v>0.99820229999999999</v>
      </c>
      <c r="AB8719">
        <v>36</v>
      </c>
      <c r="AC8719">
        <v>0.40219999999999301</v>
      </c>
      <c r="AD8719">
        <v>-1.1199734207300001</v>
      </c>
      <c r="AE8719">
        <v>14.822809999999899</v>
      </c>
      <c r="AF8719">
        <v>0.18563470060547599</v>
      </c>
      <c r="AG8719">
        <v>-1.1199734207300001</v>
      </c>
      <c r="AH8719">
        <v>14.742985614934399</v>
      </c>
      <c r="AI8719">
        <v>94.343874511109604</v>
      </c>
      <c r="AJ8719">
        <v>89.278604543586198</v>
      </c>
      <c r="AK8719">
        <v>14.786629959100599</v>
      </c>
      <c r="AL8719">
        <v>96.825166347904997</v>
      </c>
      <c r="AM8719">
        <v>92.222615773988394</v>
      </c>
      <c r="AN8719">
        <v>0.99999997725586398</v>
      </c>
    </row>
    <row r="8720" spans="1:40" x14ac:dyDescent="0.25">
      <c r="A8720" t="str">
        <f>"20190303154348706"</f>
        <v>20190303154348706</v>
      </c>
      <c r="B8720" t="str">
        <f>"1551599028698798"</f>
        <v>1551599028698798</v>
      </c>
      <c r="C8720" t="s">
        <v>40</v>
      </c>
      <c r="D8720">
        <v>5.9622149999999996</v>
      </c>
      <c r="E8720">
        <v>0.52038030000000002</v>
      </c>
      <c r="F8720" t="s">
        <v>41</v>
      </c>
      <c r="G8720">
        <v>-187.935</v>
      </c>
      <c r="H8720" s="1">
        <v>-3.2731890000000002E-6</v>
      </c>
      <c r="I8720">
        <v>76.408829999999995</v>
      </c>
      <c r="J8720">
        <v>-188.35839999999999</v>
      </c>
      <c r="K8720">
        <v>1.1198980000000001</v>
      </c>
      <c r="L8720">
        <v>62.294710000000002</v>
      </c>
      <c r="M8720">
        <v>1.527105E-2</v>
      </c>
      <c r="N8720">
        <v>-1.4796739999999999E-2</v>
      </c>
      <c r="O8720">
        <v>0.99977389999999999</v>
      </c>
      <c r="P8720">
        <v>-2.2604490000000001E-2</v>
      </c>
      <c r="Q8720">
        <v>-0.13551920000000001</v>
      </c>
      <c r="R8720">
        <v>0.99051679999999998</v>
      </c>
      <c r="S8720">
        <v>8.8958739999999994E-2</v>
      </c>
      <c r="T8720">
        <v>-0.23214589999999999</v>
      </c>
      <c r="U8720">
        <v>2.99884</v>
      </c>
      <c r="V8720">
        <v>-3.7933509999999997E-2</v>
      </c>
      <c r="W8720">
        <v>-0.12079090000000001</v>
      </c>
      <c r="X8720">
        <v>0.99195299999999997</v>
      </c>
      <c r="Y8720">
        <v>1.431431E-2</v>
      </c>
      <c r="Z8720">
        <v>-6.2388970000000002E-2</v>
      </c>
      <c r="AA8720">
        <v>0.99794919999999998</v>
      </c>
      <c r="AB8720">
        <v>36</v>
      </c>
      <c r="AC8720">
        <v>0.42339999999998601</v>
      </c>
      <c r="AD8720">
        <v>-1.1199012731889999</v>
      </c>
      <c r="AE8720">
        <v>14.11412</v>
      </c>
      <c r="AF8720">
        <v>0.206490727112697</v>
      </c>
      <c r="AG8720">
        <v>-1.1199012731889999</v>
      </c>
      <c r="AH8720">
        <v>14.030685114401701</v>
      </c>
      <c r="AI8720">
        <v>94.563067740479397</v>
      </c>
      <c r="AJ8720">
        <v>89.156834251872297</v>
      </c>
      <c r="AK8720">
        <v>14.0768228681605</v>
      </c>
      <c r="AL8720">
        <v>96.937749338171997</v>
      </c>
      <c r="AM8720">
        <v>92.189994369396402</v>
      </c>
      <c r="AN8720">
        <v>1.0000000734563601</v>
      </c>
    </row>
    <row r="8721" spans="1:40" x14ac:dyDescent="0.25">
      <c r="A8721" t="str">
        <f>"20190303154348730"</f>
        <v>20190303154348730</v>
      </c>
      <c r="B8721" t="str">
        <f>"1551599028718335"</f>
        <v>1551599028718335</v>
      </c>
      <c r="C8721" t="s">
        <v>40</v>
      </c>
      <c r="D8721">
        <v>5.9320110000000001</v>
      </c>
      <c r="E8721">
        <v>0.52075700000000003</v>
      </c>
      <c r="F8721" t="s">
        <v>41</v>
      </c>
      <c r="G8721">
        <v>-187.9066</v>
      </c>
      <c r="H8721" s="1">
        <v>-3.2804049999999999E-6</v>
      </c>
      <c r="I8721">
        <v>76.413889999999995</v>
      </c>
      <c r="J8721">
        <v>-188.3518</v>
      </c>
      <c r="K8721">
        <v>1.1197870000000001</v>
      </c>
      <c r="L8721">
        <v>62.665860000000002</v>
      </c>
      <c r="M8721">
        <v>1.6181549999999999E-2</v>
      </c>
      <c r="N8721">
        <v>-1.47936E-2</v>
      </c>
      <c r="O8721">
        <v>0.99975959999999997</v>
      </c>
      <c r="P8721">
        <v>-2.206905E-2</v>
      </c>
      <c r="Q8721">
        <v>-0.13549900000000001</v>
      </c>
      <c r="R8721">
        <v>0.99053170000000001</v>
      </c>
      <c r="S8721">
        <v>9.5932009999999998E-2</v>
      </c>
      <c r="T8721">
        <v>-0.2378248</v>
      </c>
      <c r="U8721">
        <v>2.998383</v>
      </c>
      <c r="V8721">
        <v>-3.8329530000000001E-2</v>
      </c>
      <c r="W8721">
        <v>-0.120764</v>
      </c>
      <c r="X8721">
        <v>0.99194099999999996</v>
      </c>
      <c r="Y8721">
        <v>1.5721889999999999E-2</v>
      </c>
      <c r="Z8721">
        <v>-6.4276760000000002E-2</v>
      </c>
      <c r="AA8721">
        <v>0.99780829999999998</v>
      </c>
      <c r="AB8721">
        <v>36</v>
      </c>
      <c r="AC8721">
        <v>0.44519999999999899</v>
      </c>
      <c r="AD8721">
        <v>-1.1197902804049999</v>
      </c>
      <c r="AE8721">
        <v>13.74803</v>
      </c>
      <c r="AF8721">
        <v>0.22118703476225801</v>
      </c>
      <c r="AG8721">
        <v>-1.1197902804049999</v>
      </c>
      <c r="AH8721">
        <v>13.6628862155405</v>
      </c>
      <c r="AI8721">
        <v>94.684795407627405</v>
      </c>
      <c r="AJ8721">
        <v>89.072525641576703</v>
      </c>
      <c r="AK8721">
        <v>13.710481892159899</v>
      </c>
      <c r="AL8721">
        <v>96.9361970745192</v>
      </c>
      <c r="AM8721">
        <v>92.212861705166105</v>
      </c>
      <c r="AN8721">
        <v>1.0000000220235099</v>
      </c>
    </row>
    <row r="8722" spans="1:40" x14ac:dyDescent="0.25">
      <c r="A8722" t="str">
        <f>"20190303154348751"</f>
        <v>20190303154348751</v>
      </c>
      <c r="B8722" t="str">
        <f>"1551599028738818"</f>
        <v>1551599028738818</v>
      </c>
      <c r="C8722" t="s">
        <v>40</v>
      </c>
      <c r="D8722">
        <v>5.9110649999999998</v>
      </c>
      <c r="E8722">
        <v>0.5211055</v>
      </c>
      <c r="F8722" t="s">
        <v>41</v>
      </c>
      <c r="G8722">
        <v>-187.8785</v>
      </c>
      <c r="H8722" s="1">
        <v>-3.4597110000000002E-6</v>
      </c>
      <c r="I8722">
        <v>76.820219999999907</v>
      </c>
      <c r="J8722">
        <v>-188.34530000000001</v>
      </c>
      <c r="K8722">
        <v>1.119664</v>
      </c>
      <c r="L8722">
        <v>63.010280000000002</v>
      </c>
      <c r="M8722">
        <v>1.7188330000000002E-2</v>
      </c>
      <c r="N8722">
        <v>-1.479143E-2</v>
      </c>
      <c r="O8722">
        <v>0.99974289999999999</v>
      </c>
      <c r="P8722">
        <v>-2.2093040000000001E-2</v>
      </c>
      <c r="Q8722">
        <v>-0.1348316</v>
      </c>
      <c r="R8722">
        <v>0.99062220000000001</v>
      </c>
      <c r="S8722">
        <v>0.1002808</v>
      </c>
      <c r="T8722">
        <v>-0.2372175</v>
      </c>
      <c r="U8722">
        <v>2.9984739999999999</v>
      </c>
      <c r="V8722">
        <v>-3.9387560000000002E-2</v>
      </c>
      <c r="W8722">
        <v>-0.1200841</v>
      </c>
      <c r="X8722">
        <v>0.99198200000000003</v>
      </c>
      <c r="Y8722">
        <v>1.6159750000000001E-2</v>
      </c>
      <c r="Z8722">
        <v>-6.4072080000000003E-2</v>
      </c>
      <c r="AA8722">
        <v>0.99781439999999999</v>
      </c>
      <c r="AB8722">
        <v>36</v>
      </c>
      <c r="AC8722">
        <v>0.46680000000000599</v>
      </c>
      <c r="AD8722">
        <v>-1.1196674597109999</v>
      </c>
      <c r="AE8722">
        <v>13.8099399999999</v>
      </c>
      <c r="AF8722">
        <v>0.22783927350730099</v>
      </c>
      <c r="AG8722">
        <v>-1.1196674597109999</v>
      </c>
      <c r="AH8722">
        <v>13.7258006619059</v>
      </c>
      <c r="AI8722">
        <v>94.6628763448673</v>
      </c>
      <c r="AJ8722">
        <v>89.049015039670195</v>
      </c>
      <c r="AK8722">
        <v>13.773277379232001</v>
      </c>
      <c r="AL8722">
        <v>96.896956739874199</v>
      </c>
      <c r="AM8722">
        <v>92.273787338085498</v>
      </c>
      <c r="AN8722">
        <v>0.99999992963977902</v>
      </c>
    </row>
    <row r="8723" spans="1:40" x14ac:dyDescent="0.25">
      <c r="A8723" t="str">
        <f>"20190303154348773"</f>
        <v>20190303154348773</v>
      </c>
      <c r="B8723" t="str">
        <f>"1551599028769070"</f>
        <v>1551599028769070</v>
      </c>
      <c r="C8723" t="s">
        <v>40</v>
      </c>
      <c r="D8723">
        <v>5.9208410000000002</v>
      </c>
      <c r="E8723">
        <v>0.52159390000000005</v>
      </c>
      <c r="F8723" t="s">
        <v>41</v>
      </c>
      <c r="G8723">
        <v>-187.85489999999999</v>
      </c>
      <c r="H8723" s="1">
        <v>-3.675991E-6</v>
      </c>
      <c r="I8723">
        <v>77.314639999999997</v>
      </c>
      <c r="J8723">
        <v>-188.33770000000001</v>
      </c>
      <c r="K8723">
        <v>1.1194999999999999</v>
      </c>
      <c r="L8723">
        <v>63.383420000000001</v>
      </c>
      <c r="M8723">
        <v>1.8481819999999999E-2</v>
      </c>
      <c r="N8723">
        <v>-1.4790050000000001E-2</v>
      </c>
      <c r="O8723">
        <v>0.99971980000000005</v>
      </c>
      <c r="P8723">
        <v>-2.2331589999999998E-2</v>
      </c>
      <c r="Q8723">
        <v>-0.13489999999999999</v>
      </c>
      <c r="R8723">
        <v>0.99060760000000003</v>
      </c>
      <c r="S8723">
        <v>0.10281369999999999</v>
      </c>
      <c r="T8723">
        <v>-0.23472609999999999</v>
      </c>
      <c r="U8723">
        <v>2.9987490000000001</v>
      </c>
      <c r="V8723">
        <v>-4.09553E-2</v>
      </c>
      <c r="W8723">
        <v>-0.12013509999999999</v>
      </c>
      <c r="X8723">
        <v>0.99191240000000003</v>
      </c>
      <c r="Y8723">
        <v>1.570713E-2</v>
      </c>
      <c r="Z8723">
        <v>-6.3239599999999896E-2</v>
      </c>
      <c r="AA8723">
        <v>0.9978747</v>
      </c>
      <c r="AB8723">
        <v>36</v>
      </c>
      <c r="AC8723">
        <v>0.48280000000002499</v>
      </c>
      <c r="AD8723">
        <v>-1.119503675991</v>
      </c>
      <c r="AE8723">
        <v>13.93122</v>
      </c>
      <c r="AF8723">
        <v>0.22377175221103801</v>
      </c>
      <c r="AG8723">
        <v>-1.119503675991</v>
      </c>
      <c r="AH8723">
        <v>13.8484432178437</v>
      </c>
      <c r="AI8723">
        <v>94.6211214208098</v>
      </c>
      <c r="AJ8723">
        <v>89.074259750731301</v>
      </c>
      <c r="AK8723">
        <v>13.895421614167899</v>
      </c>
      <c r="AL8723">
        <v>96.899899686460401</v>
      </c>
      <c r="AM8723">
        <v>92.364355688485702</v>
      </c>
      <c r="AN8723">
        <v>0.99999999406192996</v>
      </c>
    </row>
    <row r="8724" spans="1:40" x14ac:dyDescent="0.25">
      <c r="A8724" t="str">
        <f>"20190303154348795"</f>
        <v>20190303154348795</v>
      </c>
      <c r="B8724" t="str">
        <f>"1551599028788591"</f>
        <v>1551599028788591</v>
      </c>
      <c r="C8724" t="s">
        <v>40</v>
      </c>
      <c r="D8724">
        <v>5.9887439999999996</v>
      </c>
      <c r="E8724">
        <v>0.52188999999999997</v>
      </c>
      <c r="F8724" t="s">
        <v>41</v>
      </c>
      <c r="G8724">
        <v>-187.83070000000001</v>
      </c>
      <c r="H8724" s="1">
        <v>-3.8439919999999997E-6</v>
      </c>
      <c r="I8724">
        <v>77.696240000000003</v>
      </c>
      <c r="J8724">
        <v>-188.32990000000001</v>
      </c>
      <c r="K8724">
        <v>1.119337</v>
      </c>
      <c r="L8724">
        <v>63.733519999999999</v>
      </c>
      <c r="M8724">
        <v>1.99089E-2</v>
      </c>
      <c r="N8724">
        <v>-1.4789699999999999E-2</v>
      </c>
      <c r="O8724">
        <v>0.99969240000000004</v>
      </c>
      <c r="P8724">
        <v>-2.251363E-2</v>
      </c>
      <c r="Q8724">
        <v>-0.134206399999999</v>
      </c>
      <c r="R8724">
        <v>0.99069759999999996</v>
      </c>
      <c r="S8724">
        <v>0.1062317</v>
      </c>
      <c r="T8724">
        <v>-0.23456450000000001</v>
      </c>
      <c r="U8724">
        <v>2.998901</v>
      </c>
      <c r="V8724">
        <v>-4.2600190000000003E-2</v>
      </c>
      <c r="W8724">
        <v>-0.1194195</v>
      </c>
      <c r="X8724">
        <v>0.99192950000000002</v>
      </c>
      <c r="Y8724">
        <v>1.541435E-2</v>
      </c>
      <c r="Z8724">
        <v>-6.3178570000000003E-2</v>
      </c>
      <c r="AA8724">
        <v>0.99788319999999997</v>
      </c>
      <c r="AB8724">
        <v>36</v>
      </c>
      <c r="AC8724">
        <v>0.49920000000000098</v>
      </c>
      <c r="AD8724">
        <v>-1.1193408439920001</v>
      </c>
      <c r="AE8724">
        <v>13.962719999999999</v>
      </c>
      <c r="AF8724">
        <v>0.219678238889609</v>
      </c>
      <c r="AG8724">
        <v>-1.1193408439920001</v>
      </c>
      <c r="AH8724">
        <v>13.8807984176683</v>
      </c>
      <c r="AI8724">
        <v>94.609753102600905</v>
      </c>
      <c r="AJ8724">
        <v>89.093309701237004</v>
      </c>
      <c r="AK8724">
        <v>13.9275894240753</v>
      </c>
      <c r="AL8724">
        <v>96.858601724604796</v>
      </c>
      <c r="AM8724">
        <v>92.459158760141406</v>
      </c>
      <c r="AN8724">
        <v>0.99999996306926697</v>
      </c>
    </row>
    <row r="8725" spans="1:40" x14ac:dyDescent="0.25">
      <c r="A8725" t="str">
        <f>"20190303154348819"</f>
        <v>20190303154348819</v>
      </c>
      <c r="B8725" t="str">
        <f>"1551599028809087"</f>
        <v>1551599028809087</v>
      </c>
      <c r="C8725" t="s">
        <v>40</v>
      </c>
      <c r="D8725">
        <v>5.9491300000000003</v>
      </c>
      <c r="E8725">
        <v>0.5221692</v>
      </c>
      <c r="F8725" t="s">
        <v>41</v>
      </c>
      <c r="G8725">
        <v>-187.80709999999999</v>
      </c>
      <c r="H8725" s="1">
        <v>-4.0622559999999997E-6</v>
      </c>
      <c r="I8725">
        <v>78.195250000000001</v>
      </c>
      <c r="J8725">
        <v>-188.32040000000001</v>
      </c>
      <c r="K8725">
        <v>1.1191519999999999</v>
      </c>
      <c r="L8725">
        <v>64.119349999999997</v>
      </c>
      <c r="M8725">
        <v>2.1734670000000001E-2</v>
      </c>
      <c r="N8725">
        <v>-1.4789979999999999E-2</v>
      </c>
      <c r="O8725">
        <v>0.99965440000000005</v>
      </c>
      <c r="P8725">
        <v>-2.267754E-2</v>
      </c>
      <c r="Q8725">
        <v>-0.13342119999999999</v>
      </c>
      <c r="R8725">
        <v>0.99080000000000001</v>
      </c>
      <c r="S8725">
        <v>0.108429</v>
      </c>
      <c r="T8725">
        <v>-0.2321368</v>
      </c>
      <c r="U8725">
        <v>2.9991759999999998</v>
      </c>
      <c r="V8725">
        <v>-4.4626510000000001E-2</v>
      </c>
      <c r="W8725">
        <v>-0.118607199999999</v>
      </c>
      <c r="X8725">
        <v>0.99193790000000004</v>
      </c>
      <c r="Y8725">
        <v>1.431779E-2</v>
      </c>
      <c r="Z8725">
        <v>-6.2364559999999999E-2</v>
      </c>
      <c r="AA8725">
        <v>0.99795069999999997</v>
      </c>
      <c r="AB8725">
        <v>36</v>
      </c>
      <c r="AC8725">
        <v>0.51330000000001497</v>
      </c>
      <c r="AD8725">
        <v>-1.119156062256</v>
      </c>
      <c r="AE8725">
        <v>14.075900000000001</v>
      </c>
      <c r="AF8725">
        <v>0.205910260723354</v>
      </c>
      <c r="AG8725">
        <v>-1.119156062256</v>
      </c>
      <c r="AH8725">
        <v>13.995375740862499</v>
      </c>
      <c r="AI8725">
        <v>94.571500435056805</v>
      </c>
      <c r="AJ8725">
        <v>89.157083170967297</v>
      </c>
      <c r="AK8725">
        <v>14.0415615746639</v>
      </c>
      <c r="AL8725">
        <v>96.811726985316398</v>
      </c>
      <c r="AM8725">
        <v>92.575955290786297</v>
      </c>
      <c r="AN8725">
        <v>0.99999999537151496</v>
      </c>
    </row>
    <row r="8726" spans="1:40" x14ac:dyDescent="0.25">
      <c r="A8726" t="str">
        <f>"20190303154348841"</f>
        <v>20190303154348841</v>
      </c>
      <c r="B8726" t="str">
        <f>"1551599028839342"</f>
        <v>1551599028839342</v>
      </c>
      <c r="C8726" t="s">
        <v>40</v>
      </c>
      <c r="D8726">
        <v>5.9220819999999996</v>
      </c>
      <c r="E8726">
        <v>0.52218940000000003</v>
      </c>
      <c r="F8726" t="s">
        <v>42</v>
      </c>
      <c r="G8726">
        <v>-188.28380000000001</v>
      </c>
      <c r="H8726">
        <v>1.0429999999999999</v>
      </c>
      <c r="I8726">
        <v>65.116759999999999</v>
      </c>
      <c r="J8726">
        <v>-188.31110000000001</v>
      </c>
      <c r="K8726">
        <v>1.118997</v>
      </c>
      <c r="L8726">
        <v>64.469969999999904</v>
      </c>
      <c r="M8726">
        <v>2.3573E-2</v>
      </c>
      <c r="N8726">
        <v>-1.4790340000000001E-2</v>
      </c>
      <c r="O8726">
        <v>0.99961270000000002</v>
      </c>
      <c r="P8726">
        <v>-2.234481E-2</v>
      </c>
      <c r="Q8726">
        <v>-0.13381019999999999</v>
      </c>
      <c r="R8726">
        <v>0.99075500000000005</v>
      </c>
      <c r="S8726">
        <v>0.1099854</v>
      </c>
      <c r="T8726">
        <v>-0.22901460000000001</v>
      </c>
      <c r="U8726">
        <v>2.9995419999999999</v>
      </c>
      <c r="V8726">
        <v>-4.6160689999999997E-2</v>
      </c>
      <c r="W8726">
        <v>-0.1189747</v>
      </c>
      <c r="X8726">
        <v>0.99182369999999997</v>
      </c>
      <c r="Y8726">
        <v>1.2995059999999999E-2</v>
      </c>
      <c r="Z8726">
        <v>-6.1318610000000003E-2</v>
      </c>
      <c r="AA8726">
        <v>0.99803359999999997</v>
      </c>
      <c r="AB8726">
        <v>36</v>
      </c>
      <c r="AC8726">
        <v>2.7299999999996698E-2</v>
      </c>
      <c r="AD8726">
        <v>-7.5996999999999995E-2</v>
      </c>
      <c r="AE8726">
        <v>0.64679000000000997</v>
      </c>
      <c r="AF8726">
        <v>1.18802372257677E-2</v>
      </c>
      <c r="AG8726">
        <v>-7.5996999999999995E-2</v>
      </c>
      <c r="AH8726">
        <v>0.63845503983244101</v>
      </c>
      <c r="AI8726">
        <v>96.786965382305397</v>
      </c>
      <c r="AJ8726">
        <v>88.933975199717693</v>
      </c>
      <c r="AK8726">
        <v>0.64307194149098401</v>
      </c>
      <c r="AL8726">
        <v>96.832933170091195</v>
      </c>
      <c r="AM8726">
        <v>92.664692892660398</v>
      </c>
      <c r="AN8726">
        <v>1.00000002021152</v>
      </c>
    </row>
    <row r="8727" spans="1:40" x14ac:dyDescent="0.25">
      <c r="A8727" t="str">
        <f>"20190303154348863"</f>
        <v>20190303154348863</v>
      </c>
      <c r="B8727" t="str">
        <f>"1551599028858863"</f>
        <v>1551599028858863</v>
      </c>
      <c r="C8727" t="s">
        <v>40</v>
      </c>
      <c r="D8727">
        <v>5.8964889999999999</v>
      </c>
      <c r="E8727">
        <v>0.50567629999999997</v>
      </c>
      <c r="F8727" t="s">
        <v>41</v>
      </c>
      <c r="G8727">
        <v>-187.7688</v>
      </c>
      <c r="H8727" s="1">
        <v>-4.460221E-6</v>
      </c>
      <c r="I8727">
        <v>79.107100000000003</v>
      </c>
      <c r="J8727">
        <v>-188.30080000000001</v>
      </c>
      <c r="K8727">
        <v>1.1188659999999999</v>
      </c>
      <c r="L8727">
        <v>64.823359999999994</v>
      </c>
      <c r="M8727">
        <v>2.5561110000000001E-2</v>
      </c>
      <c r="N8727">
        <v>-1.4790050000000001E-2</v>
      </c>
      <c r="O8727">
        <v>0.99956389999999995</v>
      </c>
      <c r="P8727">
        <v>-2.0565050000000001E-2</v>
      </c>
      <c r="Q8727">
        <v>-0.13488029999999901</v>
      </c>
      <c r="R8727">
        <v>0.99064839999999998</v>
      </c>
      <c r="S8727">
        <v>0.1111145</v>
      </c>
      <c r="T8727">
        <v>-0.22931119999999999</v>
      </c>
      <c r="U8727">
        <v>2.9995120000000002</v>
      </c>
      <c r="V8727">
        <v>-4.6390260000000003E-2</v>
      </c>
      <c r="W8727">
        <v>-0.1200316</v>
      </c>
      <c r="X8727">
        <v>0.99168559999999994</v>
      </c>
      <c r="Y8727">
        <v>1.1382710000000001E-2</v>
      </c>
      <c r="Z8727">
        <v>-6.1412979999999999E-2</v>
      </c>
      <c r="AA8727">
        <v>0.99804749999999998</v>
      </c>
      <c r="AB8727">
        <v>36</v>
      </c>
      <c r="AC8727">
        <v>0.53200000000001002</v>
      </c>
      <c r="AD8727">
        <v>-1.118870460221</v>
      </c>
      <c r="AE8727">
        <v>14.28374</v>
      </c>
      <c r="AF8727">
        <v>0.165662890741506</v>
      </c>
      <c r="AG8727">
        <v>-1.118870460221</v>
      </c>
      <c r="AH8727">
        <v>14.205628863850199</v>
      </c>
      <c r="AI8727">
        <v>94.503155260039506</v>
      </c>
      <c r="AJ8727">
        <v>89.331859623917296</v>
      </c>
      <c r="AK8727">
        <v>14.25058618856</v>
      </c>
      <c r="AL8727">
        <v>96.893926410209602</v>
      </c>
      <c r="AM8727">
        <v>92.678298289999404</v>
      </c>
      <c r="AN8727">
        <v>0.99999998523439304</v>
      </c>
    </row>
    <row r="8728" spans="1:40" x14ac:dyDescent="0.25">
      <c r="A8728" t="str">
        <f>"20190303154348886"</f>
        <v>20190303154348886</v>
      </c>
      <c r="B8728" t="str">
        <f>"1551599028879361"</f>
        <v>1551599028879361</v>
      </c>
      <c r="C8728" t="s">
        <v>40</v>
      </c>
      <c r="D8728">
        <v>5.8925519999999896</v>
      </c>
      <c r="E8728">
        <v>0.50494340000000004</v>
      </c>
      <c r="F8728" t="s">
        <v>41</v>
      </c>
      <c r="G8728">
        <v>-188.37989999999999</v>
      </c>
      <c r="H8728" s="1">
        <v>-6.9335899999999898E-7</v>
      </c>
      <c r="I8728">
        <v>80.418790000000001</v>
      </c>
      <c r="J8728">
        <v>-188.28919999999999</v>
      </c>
      <c r="K8728">
        <v>1.118757</v>
      </c>
      <c r="L8728">
        <v>65.193049999999999</v>
      </c>
      <c r="M8728">
        <v>2.7740520000000001E-2</v>
      </c>
      <c r="N8728">
        <v>-1.478866E-2</v>
      </c>
      <c r="O8728">
        <v>0.9995058</v>
      </c>
      <c r="P8728">
        <v>-1.6800860000000001E-2</v>
      </c>
      <c r="Q8728">
        <v>-0.13579089999999999</v>
      </c>
      <c r="R8728">
        <v>0.990595</v>
      </c>
      <c r="S8728">
        <v>-1.5197749999999999E-2</v>
      </c>
      <c r="T8728">
        <v>-0.215138</v>
      </c>
      <c r="U8728">
        <v>2.9987180000000002</v>
      </c>
      <c r="V8728">
        <v>-4.4818610000000002E-2</v>
      </c>
      <c r="W8728">
        <v>-0.1209398</v>
      </c>
      <c r="X8728">
        <v>0.99164750000000002</v>
      </c>
      <c r="Y8728">
        <v>-3.2780110000000001E-2</v>
      </c>
      <c r="Z8728">
        <v>-5.6738789999999997E-2</v>
      </c>
      <c r="AA8728">
        <v>0.99785080000000004</v>
      </c>
      <c r="AB8728">
        <v>36</v>
      </c>
      <c r="AC8728">
        <v>-9.0699999999998199E-2</v>
      </c>
      <c r="AD8728">
        <v>-1.118757693359</v>
      </c>
      <c r="AE8728">
        <v>15.22574</v>
      </c>
      <c r="AF8728">
        <v>-0.51032604409675397</v>
      </c>
      <c r="AG8728">
        <v>-1.118757693359</v>
      </c>
      <c r="AH8728">
        <v>15.1356480438043</v>
      </c>
      <c r="AI8728">
        <v>94.224961619082904</v>
      </c>
      <c r="AJ8728">
        <v>91.931100399433703</v>
      </c>
      <c r="AK8728">
        <v>15.185515900148101</v>
      </c>
      <c r="AL8728">
        <v>96.946344521412698</v>
      </c>
      <c r="AM8728">
        <v>92.587785328549003</v>
      </c>
      <c r="AN8728">
        <v>0.99999995364131</v>
      </c>
    </row>
    <row r="8729" spans="1:40" x14ac:dyDescent="0.25">
      <c r="A8729" t="str">
        <f>"20190303154348908"</f>
        <v>20190303154348908</v>
      </c>
      <c r="B8729" t="str">
        <f>"1551599028898878"</f>
        <v>1551599028898878</v>
      </c>
      <c r="C8729" t="s">
        <v>40</v>
      </c>
      <c r="D8729">
        <v>5.8937799999999996</v>
      </c>
      <c r="E8729">
        <v>0.5057739</v>
      </c>
      <c r="F8729" t="s">
        <v>41</v>
      </c>
      <c r="G8729">
        <v>-188.3391</v>
      </c>
      <c r="H8729" s="1">
        <v>-7.2074290000000002E-7</v>
      </c>
      <c r="I8729">
        <v>80.467349999999996</v>
      </c>
      <c r="J8729">
        <v>-188.27719999999999</v>
      </c>
      <c r="K8729">
        <v>1.1186969999999901</v>
      </c>
      <c r="L8729">
        <v>65.551360000000003</v>
      </c>
      <c r="M8729">
        <v>2.9898279999999999E-2</v>
      </c>
      <c r="N8729">
        <v>-1.4786270000000001E-2</v>
      </c>
      <c r="O8729">
        <v>0.99944359999999999</v>
      </c>
      <c r="P8729">
        <v>-1.1925969999999999E-2</v>
      </c>
      <c r="Q8729">
        <v>-0.13639679999999901</v>
      </c>
      <c r="R8729">
        <v>0.99058250000000003</v>
      </c>
      <c r="S8729">
        <v>-9.7808840000000001E-3</v>
      </c>
      <c r="T8729">
        <v>-0.21960370000000001</v>
      </c>
      <c r="U8729">
        <v>2.99823</v>
      </c>
      <c r="V8729">
        <v>-4.2103920000000003E-2</v>
      </c>
      <c r="W8729">
        <v>-0.12155299999999999</v>
      </c>
      <c r="X8729">
        <v>0.99169149999999995</v>
      </c>
      <c r="Y8729">
        <v>-3.3135020000000001E-2</v>
      </c>
      <c r="Z8729">
        <v>-5.8224089999999999E-2</v>
      </c>
      <c r="AA8729">
        <v>0.99775349999999996</v>
      </c>
      <c r="AB8729">
        <v>36</v>
      </c>
      <c r="AC8729">
        <v>-6.1900000000008497E-2</v>
      </c>
      <c r="AD8729">
        <v>-1.1186977207429001</v>
      </c>
      <c r="AE8729">
        <v>14.915989999999899</v>
      </c>
      <c r="AF8729">
        <v>-0.50504270625890502</v>
      </c>
      <c r="AG8729">
        <v>-1.1186977207429001</v>
      </c>
      <c r="AH8729">
        <v>14.824085573034401</v>
      </c>
      <c r="AI8729">
        <v>94.313145669979903</v>
      </c>
      <c r="AJ8729">
        <v>91.951258816355605</v>
      </c>
      <c r="AK8729">
        <v>14.8748131350343</v>
      </c>
      <c r="AL8729">
        <v>96.981739438436094</v>
      </c>
      <c r="AM8729">
        <v>92.431128017866897</v>
      </c>
      <c r="AN8729">
        <v>0.99999995153030696</v>
      </c>
    </row>
    <row r="8730" spans="1:40" x14ac:dyDescent="0.25">
      <c r="A8730" t="str">
        <f>"20190303154348931"</f>
        <v>20190303154348931</v>
      </c>
      <c r="B8730" t="str">
        <f>"1551599028919378"</f>
        <v>1551599028919378</v>
      </c>
      <c r="C8730" t="s">
        <v>40</v>
      </c>
      <c r="D8730">
        <v>5.862463</v>
      </c>
      <c r="E8730">
        <v>0.50572119999999998</v>
      </c>
      <c r="F8730" t="s">
        <v>41</v>
      </c>
      <c r="G8730">
        <v>-188.22040000000001</v>
      </c>
      <c r="H8730" s="1">
        <v>-8.6415470000000002E-7</v>
      </c>
      <c r="I8730">
        <v>80.795969999999997</v>
      </c>
      <c r="J8730">
        <v>-188.26429999999999</v>
      </c>
      <c r="K8730">
        <v>1.1186689999999999</v>
      </c>
      <c r="L8730">
        <v>65.912570000000002</v>
      </c>
      <c r="M8730">
        <v>3.2064580000000002E-2</v>
      </c>
      <c r="N8730">
        <v>-1.478288E-2</v>
      </c>
      <c r="O8730">
        <v>0.9993765</v>
      </c>
      <c r="P8730">
        <v>-6.6821179999999999E-3</v>
      </c>
      <c r="Q8730">
        <v>-0.13592650000000001</v>
      </c>
      <c r="R8730">
        <v>0.99069640000000003</v>
      </c>
      <c r="S8730">
        <v>1.1184690000000001E-2</v>
      </c>
      <c r="T8730">
        <v>-0.22002859999999999</v>
      </c>
      <c r="U8730">
        <v>2.9983520000000001</v>
      </c>
      <c r="V8730">
        <v>-3.9018520000000001E-2</v>
      </c>
      <c r="W8730">
        <v>-0.12109489999999901</v>
      </c>
      <c r="X8730">
        <v>0.99187380000000003</v>
      </c>
      <c r="Y8730">
        <v>-2.8327419999999999E-2</v>
      </c>
      <c r="Z8730">
        <v>-5.836471E-2</v>
      </c>
      <c r="AA8730">
        <v>0.99789329999999998</v>
      </c>
      <c r="AB8730">
        <v>36</v>
      </c>
      <c r="AC8730">
        <v>4.38999999999794E-2</v>
      </c>
      <c r="AD8730">
        <v>-1.1186698641546999</v>
      </c>
      <c r="AE8730">
        <v>14.8833999999999</v>
      </c>
      <c r="AF8730">
        <v>-0.43097000272423902</v>
      </c>
      <c r="AG8730">
        <v>-1.1186698641546999</v>
      </c>
      <c r="AH8730">
        <v>14.793579468733</v>
      </c>
      <c r="AI8730">
        <v>94.322570073141804</v>
      </c>
      <c r="AJ8730">
        <v>91.668682037674103</v>
      </c>
      <c r="AK8730">
        <v>14.8420736727027</v>
      </c>
      <c r="AL8730">
        <v>96.955296377995893</v>
      </c>
      <c r="AM8730">
        <v>92.252750701012204</v>
      </c>
      <c r="AN8730">
        <v>1.0000000274177101</v>
      </c>
    </row>
    <row r="8731" spans="1:40" x14ac:dyDescent="0.25">
      <c r="A8731" t="str">
        <f>"20190303154348951"</f>
        <v>20190303154348951</v>
      </c>
      <c r="B8731" t="str">
        <f>"1551599028948654"</f>
        <v>1551599028948654</v>
      </c>
      <c r="C8731" t="s">
        <v>40</v>
      </c>
      <c r="D8731">
        <v>5.9358529999999998</v>
      </c>
      <c r="E8731">
        <v>0.50550490000000003</v>
      </c>
      <c r="F8731" t="s">
        <v>41</v>
      </c>
      <c r="G8731">
        <v>-188.1294</v>
      </c>
      <c r="H8731" s="1">
        <v>-1.049996E-6</v>
      </c>
      <c r="I8731">
        <v>81.270989999999998</v>
      </c>
      <c r="J8731">
        <v>-188.25149999999999</v>
      </c>
      <c r="K8731">
        <v>1.1186750000000001</v>
      </c>
      <c r="L8731">
        <v>66.253079999999997</v>
      </c>
      <c r="M8731">
        <v>3.4057850000000001E-2</v>
      </c>
      <c r="N8731">
        <v>-1.477879E-2</v>
      </c>
      <c r="O8731">
        <v>0.99931060000000005</v>
      </c>
      <c r="P8731">
        <v>-2.6846890000000001E-3</v>
      </c>
      <c r="Q8731">
        <v>-0.13565659999999999</v>
      </c>
      <c r="R8731">
        <v>0.99075230000000003</v>
      </c>
      <c r="S8731">
        <v>2.633667E-2</v>
      </c>
      <c r="T8731">
        <v>-0.2183949</v>
      </c>
      <c r="U8731">
        <v>2.998383</v>
      </c>
      <c r="V8731">
        <v>-3.6997229999999999E-2</v>
      </c>
      <c r="W8731">
        <v>-0.12083729999999999</v>
      </c>
      <c r="X8731">
        <v>0.99198260000000005</v>
      </c>
      <c r="Y8731">
        <v>-2.528041E-2</v>
      </c>
      <c r="Z8731">
        <v>-5.7823489999999998E-2</v>
      </c>
      <c r="AA8731">
        <v>0.99800670000000002</v>
      </c>
      <c r="AB8731">
        <v>36</v>
      </c>
      <c r="AC8731">
        <v>0.122099999999989</v>
      </c>
      <c r="AD8731">
        <v>-1.118676049996</v>
      </c>
      <c r="AE8731">
        <v>15.017909999999899</v>
      </c>
      <c r="AF8731">
        <v>-0.38735526722799102</v>
      </c>
      <c r="AG8731">
        <v>-1.118676049996</v>
      </c>
      <c r="AH8731">
        <v>14.9305153933198</v>
      </c>
      <c r="AI8731">
        <v>94.283471614556106</v>
      </c>
      <c r="AJ8731">
        <v>91.486140563372004</v>
      </c>
      <c r="AK8731">
        <v>14.9773752746616</v>
      </c>
      <c r="AL8731">
        <v>96.940428246714802</v>
      </c>
      <c r="AM8731">
        <v>92.135927657678096</v>
      </c>
      <c r="AN8731">
        <v>0.99999996340085995</v>
      </c>
    </row>
    <row r="8732" spans="1:40" x14ac:dyDescent="0.25">
      <c r="A8732" t="str">
        <f>"20190303154348975"</f>
        <v>20190303154348975</v>
      </c>
      <c r="B8732" t="str">
        <f>"1551599028969151"</f>
        <v>1551599028969151</v>
      </c>
      <c r="C8732" t="s">
        <v>40</v>
      </c>
      <c r="D8732">
        <v>5.8269120000000001</v>
      </c>
      <c r="E8732">
        <v>0.50555509999999904</v>
      </c>
      <c r="F8732" t="s">
        <v>41</v>
      </c>
      <c r="G8732">
        <v>-188.0615</v>
      </c>
      <c r="H8732" s="1">
        <v>-1.2957290000000001E-6</v>
      </c>
      <c r="I8732">
        <v>81.851609999999994</v>
      </c>
      <c r="J8732">
        <v>-188.23740000000001</v>
      </c>
      <c r="K8732">
        <v>1.118703</v>
      </c>
      <c r="L8732">
        <v>66.612340000000003</v>
      </c>
      <c r="M8732">
        <v>3.6085060000000002E-2</v>
      </c>
      <c r="N8732">
        <v>-1.4773939999999999E-2</v>
      </c>
      <c r="O8732">
        <v>0.99923949999999995</v>
      </c>
      <c r="P8732">
        <v>2.374772E-4</v>
      </c>
      <c r="Q8732">
        <v>-0.1353955</v>
      </c>
      <c r="R8732">
        <v>0.99079159999999999</v>
      </c>
      <c r="S8732">
        <v>3.6529539999999999E-2</v>
      </c>
      <c r="T8732">
        <v>-0.215054</v>
      </c>
      <c r="U8732">
        <v>2.9986570000000001</v>
      </c>
      <c r="V8732">
        <v>-3.6076879999999999E-2</v>
      </c>
      <c r="W8732">
        <v>-0.12058679999999999</v>
      </c>
      <c r="X8732">
        <v>0.99204700000000001</v>
      </c>
      <c r="Y8732">
        <v>-2.3917540000000001E-2</v>
      </c>
      <c r="Z8732">
        <v>-5.6709710000000003E-2</v>
      </c>
      <c r="AA8732">
        <v>0.9981042</v>
      </c>
      <c r="AB8732">
        <v>36</v>
      </c>
      <c r="AC8732">
        <v>0.17590000000001199</v>
      </c>
      <c r="AD8732">
        <v>-1.1187042957289901</v>
      </c>
      <c r="AE8732">
        <v>15.2392699999999</v>
      </c>
      <c r="AF8732">
        <v>-0.37217920755080602</v>
      </c>
      <c r="AG8732">
        <v>-1.1187042957289901</v>
      </c>
      <c r="AH8732">
        <v>15.154037766595801</v>
      </c>
      <c r="AI8732">
        <v>94.220773394904</v>
      </c>
      <c r="AJ8732">
        <v>91.406886549037907</v>
      </c>
      <c r="AK8732">
        <v>15.1998314890406</v>
      </c>
      <c r="AL8732">
        <v>96.925969785131798</v>
      </c>
      <c r="AM8732">
        <v>92.082706225820104</v>
      </c>
      <c r="AN8732">
        <v>0.99999998390688705</v>
      </c>
    </row>
    <row r="8733" spans="1:40" x14ac:dyDescent="0.25">
      <c r="A8733" t="str">
        <f>"20190303154348997"</f>
        <v>20190303154348997</v>
      </c>
      <c r="B8733" t="str">
        <f>"1551599028988671"</f>
        <v>1551599028988671</v>
      </c>
      <c r="C8733" t="s">
        <v>40</v>
      </c>
      <c r="D8733">
        <v>5.9099190000000004</v>
      </c>
      <c r="E8733">
        <v>0.50550309999999998</v>
      </c>
      <c r="F8733" t="s">
        <v>41</v>
      </c>
      <c r="G8733">
        <v>-187.99459999999999</v>
      </c>
      <c r="H8733" s="1">
        <v>-1.6589839999999999E-6</v>
      </c>
      <c r="I8733">
        <v>82.670689999999993</v>
      </c>
      <c r="J8733">
        <v>-188.2226</v>
      </c>
      <c r="K8733">
        <v>1.118743</v>
      </c>
      <c r="L8733">
        <v>66.969729999999998</v>
      </c>
      <c r="M8733">
        <v>3.8002460000000002E-2</v>
      </c>
      <c r="N8733">
        <v>-1.476885E-2</v>
      </c>
      <c r="O8733">
        <v>0.99916850000000001</v>
      </c>
      <c r="P8733">
        <v>1.539807E-3</v>
      </c>
      <c r="Q8733">
        <v>-0.13497609999999999</v>
      </c>
      <c r="R8733">
        <v>0.99084760000000005</v>
      </c>
      <c r="S8733">
        <v>4.534912E-2</v>
      </c>
      <c r="T8733">
        <v>-0.20894799999999999</v>
      </c>
      <c r="U8733">
        <v>2.9993289999999999</v>
      </c>
      <c r="V8733">
        <v>-3.6661510000000001E-2</v>
      </c>
      <c r="W8733">
        <v>-0.12017360000000001</v>
      </c>
      <c r="X8733">
        <v>0.9920757</v>
      </c>
      <c r="Y8733">
        <v>-2.290352E-2</v>
      </c>
      <c r="Z8733">
        <v>-5.467172E-2</v>
      </c>
      <c r="AA8733">
        <v>0.99824170000000001</v>
      </c>
      <c r="AB8733">
        <v>36</v>
      </c>
      <c r="AC8733">
        <v>0.228000000000008</v>
      </c>
      <c r="AD8733">
        <v>-1.118744658984</v>
      </c>
      <c r="AE8733">
        <v>15.70096</v>
      </c>
      <c r="AF8733">
        <v>-0.36704183293684201</v>
      </c>
      <c r="AG8733">
        <v>-1.118744658984</v>
      </c>
      <c r="AH8733">
        <v>15.6189999955151</v>
      </c>
      <c r="AI8733">
        <v>94.095810400900206</v>
      </c>
      <c r="AJ8733">
        <v>91.346185930966499</v>
      </c>
      <c r="AK8733">
        <v>15.6633160658601</v>
      </c>
      <c r="AL8733">
        <v>96.902121786701699</v>
      </c>
      <c r="AM8733">
        <v>92.116365101339497</v>
      </c>
      <c r="AN8733">
        <v>0.99999997749146396</v>
      </c>
    </row>
    <row r="8734" spans="1:40" x14ac:dyDescent="0.25">
      <c r="A8734" t="str">
        <f>"20190303154349018"</f>
        <v>20190303154349018</v>
      </c>
      <c r="B8734" t="str">
        <f>"1551599029009166"</f>
        <v>1551599029009166</v>
      </c>
      <c r="C8734" t="s">
        <v>40</v>
      </c>
      <c r="D8734">
        <v>5.9310280000000004</v>
      </c>
      <c r="E8734">
        <v>0.50535319999999995</v>
      </c>
      <c r="F8734" t="s">
        <v>41</v>
      </c>
      <c r="G8734">
        <v>-187.96039999999999</v>
      </c>
      <c r="H8734" s="1">
        <v>-1.879999E-6</v>
      </c>
      <c r="I8734">
        <v>83.171729999999997</v>
      </c>
      <c r="J8734">
        <v>-188.20750000000001</v>
      </c>
      <c r="K8734">
        <v>1.1188009999999999</v>
      </c>
      <c r="L8734">
        <v>67.320740000000001</v>
      </c>
      <c r="M8734">
        <v>3.9776909999999999E-2</v>
      </c>
      <c r="N8734">
        <v>-1.4763760000000001E-2</v>
      </c>
      <c r="O8734">
        <v>0.99909950000000003</v>
      </c>
      <c r="P8734">
        <v>1.3711579999999999E-3</v>
      </c>
      <c r="Q8734">
        <v>-0.13537449999999901</v>
      </c>
      <c r="R8734">
        <v>0.99079349999999999</v>
      </c>
      <c r="S8734">
        <v>4.8553470000000001E-2</v>
      </c>
      <c r="T8734">
        <v>-0.2071093</v>
      </c>
      <c r="U8734">
        <v>2.9994200000000002</v>
      </c>
      <c r="V8734">
        <v>-3.8570229999999997E-2</v>
      </c>
      <c r="W8734">
        <v>-0.1205759</v>
      </c>
      <c r="X8734">
        <v>0.99195449999999996</v>
      </c>
      <c r="Y8734">
        <v>-2.361243E-2</v>
      </c>
      <c r="Z8734">
        <v>-5.405853E-2</v>
      </c>
      <c r="AA8734">
        <v>0.99825850000000005</v>
      </c>
      <c r="AB8734">
        <v>36</v>
      </c>
      <c r="AC8734">
        <v>0.247100000000017</v>
      </c>
      <c r="AD8734">
        <v>-1.118802879999</v>
      </c>
      <c r="AE8734">
        <v>15.850989999999999</v>
      </c>
      <c r="AF8734">
        <v>-0.38176627912167999</v>
      </c>
      <c r="AG8734">
        <v>-1.118802879999</v>
      </c>
      <c r="AH8734">
        <v>15.7697284995301</v>
      </c>
      <c r="AI8734">
        <v>94.056935667473198</v>
      </c>
      <c r="AJ8734">
        <v>91.386791467670704</v>
      </c>
      <c r="AK8734">
        <v>15.8139749059198</v>
      </c>
      <c r="AL8734">
        <v>96.925340766242698</v>
      </c>
      <c r="AM8734">
        <v>92.226713711961807</v>
      </c>
      <c r="AN8734">
        <v>0.99999997018665499</v>
      </c>
    </row>
    <row r="8735" spans="1:40" x14ac:dyDescent="0.25">
      <c r="A8735" t="str">
        <f>"20190303154349041"</f>
        <v>20190303154349041</v>
      </c>
      <c r="B8735" t="str">
        <f>"1551599029028690"</f>
        <v>1551599029028690</v>
      </c>
      <c r="C8735" t="s">
        <v>40</v>
      </c>
      <c r="D8735">
        <v>5.9704129999999997</v>
      </c>
      <c r="E8735">
        <v>0.50522920000000004</v>
      </c>
      <c r="F8735" t="s">
        <v>41</v>
      </c>
      <c r="G8735">
        <v>-187.95150000000001</v>
      </c>
      <c r="H8735" s="1">
        <v>-2.110631E-6</v>
      </c>
      <c r="I8735">
        <v>83.705680000000001</v>
      </c>
      <c r="J8735">
        <v>-188.1917</v>
      </c>
      <c r="K8735">
        <v>1.1188499999999999</v>
      </c>
      <c r="L8735">
        <v>67.677309999999906</v>
      </c>
      <c r="M8735">
        <v>4.1486009999999997E-2</v>
      </c>
      <c r="N8735">
        <v>-1.475857E-2</v>
      </c>
      <c r="O8735">
        <v>0.99903010000000003</v>
      </c>
      <c r="P8735">
        <v>8.0108359999999995E-4</v>
      </c>
      <c r="Q8735">
        <v>-0.13691639999999999</v>
      </c>
      <c r="R8735">
        <v>0.99058230000000003</v>
      </c>
      <c r="S8735">
        <v>4.6875E-2</v>
      </c>
      <c r="T8735">
        <v>-0.20483470000000001</v>
      </c>
      <c r="U8735">
        <v>2.9998170000000002</v>
      </c>
      <c r="V8735">
        <v>-4.0812889999999998E-2</v>
      </c>
      <c r="W8735">
        <v>-0.1221235</v>
      </c>
      <c r="X8735">
        <v>0.99167539999999998</v>
      </c>
      <c r="Y8735">
        <v>-2.588124E-2</v>
      </c>
      <c r="Z8735">
        <v>-5.3293409999999999E-2</v>
      </c>
      <c r="AA8735">
        <v>0.99824349999999995</v>
      </c>
      <c r="AB8735">
        <v>36</v>
      </c>
      <c r="AC8735">
        <v>0.24019999999998701</v>
      </c>
      <c r="AD8735">
        <v>-1.1188521106310001</v>
      </c>
      <c r="AE8735">
        <v>16.028369999999999</v>
      </c>
      <c r="AF8735">
        <v>-0.422971832550598</v>
      </c>
      <c r="AG8735">
        <v>-1.1188521106310001</v>
      </c>
      <c r="AH8735">
        <v>15.9468477342791</v>
      </c>
      <c r="AI8735">
        <v>94.011965142633201</v>
      </c>
      <c r="AJ8735">
        <v>91.519348560290993</v>
      </c>
      <c r="AK8735">
        <v>15.991644314356</v>
      </c>
      <c r="AL8735">
        <v>97.014671900626894</v>
      </c>
      <c r="AM8735">
        <v>92.356706077814707</v>
      </c>
      <c r="AN8735">
        <v>0.99999997010377994</v>
      </c>
    </row>
    <row r="8736" spans="1:40" x14ac:dyDescent="0.25">
      <c r="A8736" t="str">
        <f>"20190303154349063"</f>
        <v>20190303154349063</v>
      </c>
      <c r="B8736" t="str">
        <f>"1551599029058942"</f>
        <v>1551599029058942</v>
      </c>
      <c r="C8736" t="s">
        <v>40</v>
      </c>
      <c r="D8736">
        <v>5.894895</v>
      </c>
      <c r="E8736">
        <v>0.50495519999999905</v>
      </c>
      <c r="F8736" t="s">
        <v>41</v>
      </c>
      <c r="G8736">
        <v>-187.9521</v>
      </c>
      <c r="H8736" s="1">
        <v>-2.1829610000000001E-6</v>
      </c>
      <c r="I8736">
        <v>83.874519999999904</v>
      </c>
      <c r="J8736">
        <v>-188.17529999999999</v>
      </c>
      <c r="K8736">
        <v>1.1189100000000001</v>
      </c>
      <c r="L8736">
        <v>68.033839999999998</v>
      </c>
      <c r="M8736">
        <v>4.3099110000000003E-2</v>
      </c>
      <c r="N8736">
        <v>-1.4753580000000001E-2</v>
      </c>
      <c r="O8736">
        <v>0.99896189999999996</v>
      </c>
      <c r="P8736">
        <v>-1.4231030000000001E-4</v>
      </c>
      <c r="Q8736">
        <v>-0.13828670000000001</v>
      </c>
      <c r="R8736">
        <v>0.99039219999999895</v>
      </c>
      <c r="S8736">
        <v>4.4372559999999998E-2</v>
      </c>
      <c r="T8736">
        <v>-0.20721980000000001</v>
      </c>
      <c r="U8736">
        <v>2.9998469999999999</v>
      </c>
      <c r="V8736">
        <v>-4.3331380000000003E-2</v>
      </c>
      <c r="W8736">
        <v>-0.12349930000000001</v>
      </c>
      <c r="X8736">
        <v>0.99139820000000001</v>
      </c>
      <c r="Y8736">
        <v>-2.832699E-2</v>
      </c>
      <c r="Z8736">
        <v>-5.4077729999999997E-2</v>
      </c>
      <c r="AA8736">
        <v>0.99813490000000005</v>
      </c>
      <c r="AB8736">
        <v>36</v>
      </c>
      <c r="AC8736">
        <v>0.22319999999999099</v>
      </c>
      <c r="AD8736">
        <v>-1.118912182961</v>
      </c>
      <c r="AE8736">
        <v>15.8406799999999</v>
      </c>
      <c r="AF8736">
        <v>-0.457518670534447</v>
      </c>
      <c r="AG8736">
        <v>-1.118912182961</v>
      </c>
      <c r="AH8736">
        <v>15.756976891021701</v>
      </c>
      <c r="AI8736">
        <v>94.060083500692102</v>
      </c>
      <c r="AJ8736">
        <v>91.663169649983203</v>
      </c>
      <c r="AK8736">
        <v>15.8032784114961</v>
      </c>
      <c r="AL8736">
        <v>97.094100230886795</v>
      </c>
      <c r="AM8736">
        <v>92.502653397898897</v>
      </c>
      <c r="AN8736">
        <v>1.0000000382782099</v>
      </c>
    </row>
    <row r="8737" spans="1:40" x14ac:dyDescent="0.25">
      <c r="A8737" t="str">
        <f>"20190303154349088"</f>
        <v>20190303154349088</v>
      </c>
      <c r="B8737" t="str">
        <f>"1551599029078462"</f>
        <v>1551599029078462</v>
      </c>
      <c r="C8737" t="s">
        <v>40</v>
      </c>
      <c r="D8737">
        <v>5.9009960000000001</v>
      </c>
      <c r="E8737">
        <v>0.50473699999999999</v>
      </c>
      <c r="F8737" t="s">
        <v>41</v>
      </c>
      <c r="G8737">
        <v>-187.96510000000001</v>
      </c>
      <c r="H8737" s="1">
        <v>-2.3056910000000002E-6</v>
      </c>
      <c r="I8737">
        <v>84.165970000000002</v>
      </c>
      <c r="J8737">
        <v>-188.15700000000001</v>
      </c>
      <c r="K8737">
        <v>1.118995</v>
      </c>
      <c r="L8737">
        <v>68.418980000000005</v>
      </c>
      <c r="M8737">
        <v>4.4728780000000003E-2</v>
      </c>
      <c r="N8737">
        <v>-1.474819E-2</v>
      </c>
      <c r="O8737">
        <v>0.99889030000000001</v>
      </c>
      <c r="P8737">
        <v>-1.053462E-3</v>
      </c>
      <c r="Q8737">
        <v>-0.138021</v>
      </c>
      <c r="R8737">
        <v>0.99042870000000005</v>
      </c>
      <c r="S8737">
        <v>3.9093019999999999E-2</v>
      </c>
      <c r="T8737">
        <v>-0.20808199999999999</v>
      </c>
      <c r="U8737">
        <v>3.0000610000000001</v>
      </c>
      <c r="V8737">
        <v>-4.5833029999999997E-2</v>
      </c>
      <c r="W8737">
        <v>-0.1232386</v>
      </c>
      <c r="X8737">
        <v>0.99131809999999998</v>
      </c>
      <c r="Y8737">
        <v>-3.1712860000000002E-2</v>
      </c>
      <c r="Z8737">
        <v>-5.4352829999999998E-2</v>
      </c>
      <c r="AA8737">
        <v>0.99801810000000002</v>
      </c>
      <c r="AB8737">
        <v>36</v>
      </c>
      <c r="AC8737">
        <v>0.19190000000000401</v>
      </c>
      <c r="AD8737">
        <v>-1.1189973056910001</v>
      </c>
      <c r="AE8737">
        <v>15.746989999999901</v>
      </c>
      <c r="AF8737">
        <v>-0.51013672504141805</v>
      </c>
      <c r="AG8737">
        <v>-1.1189973056910001</v>
      </c>
      <c r="AH8737">
        <v>15.660741025426899</v>
      </c>
      <c r="AI8737">
        <v>94.084815054455902</v>
      </c>
      <c r="AJ8737">
        <v>91.865706727968202</v>
      </c>
      <c r="AK8737">
        <v>15.708952985920799</v>
      </c>
      <c r="AL8737">
        <v>97.079048529340994</v>
      </c>
      <c r="AM8737">
        <v>92.647152732465102</v>
      </c>
      <c r="AN8737">
        <v>0.99999999727827504</v>
      </c>
    </row>
    <row r="8738" spans="1:40" x14ac:dyDescent="0.25">
      <c r="A8738" t="str">
        <f>"20190303154349109"</f>
        <v>20190303154349109</v>
      </c>
      <c r="B8738" t="str">
        <f>"1551599029098958"</f>
        <v>1551599029098958</v>
      </c>
      <c r="C8738" t="s">
        <v>40</v>
      </c>
      <c r="D8738">
        <v>5.9621529999999998</v>
      </c>
      <c r="E8738">
        <v>0.50460260000000001</v>
      </c>
      <c r="F8738" t="s">
        <v>41</v>
      </c>
      <c r="G8738">
        <v>-187.9725</v>
      </c>
      <c r="H8738" s="1">
        <v>-2.4577039999999999E-6</v>
      </c>
      <c r="I8738">
        <v>84.523409999999998</v>
      </c>
      <c r="J8738">
        <v>-188.14</v>
      </c>
      <c r="K8738">
        <v>1.119089</v>
      </c>
      <c r="L8738">
        <v>68.767880000000005</v>
      </c>
      <c r="M8738">
        <v>4.6101570000000001E-2</v>
      </c>
      <c r="N8738">
        <v>-1.4743279999999999E-2</v>
      </c>
      <c r="O8738">
        <v>0.99882789999999999</v>
      </c>
      <c r="P8738">
        <v>-1.970879E-3</v>
      </c>
      <c r="Q8738">
        <v>-0.13631599999999999</v>
      </c>
      <c r="R8738">
        <v>0.99066350000000003</v>
      </c>
      <c r="S8738">
        <v>3.4362789999999997E-2</v>
      </c>
      <c r="T8738">
        <v>-0.20845150000000001</v>
      </c>
      <c r="U8738">
        <v>3</v>
      </c>
      <c r="V8738">
        <v>-4.808933E-2</v>
      </c>
      <c r="W8738">
        <v>-0.1215374</v>
      </c>
      <c r="X8738">
        <v>0.9914212</v>
      </c>
      <c r="Y8738">
        <v>-3.4657710000000001E-2</v>
      </c>
      <c r="Z8738">
        <v>-5.447171E-2</v>
      </c>
      <c r="AA8738">
        <v>0.99791370000000001</v>
      </c>
      <c r="AB8738">
        <v>36</v>
      </c>
      <c r="AC8738">
        <v>0.16749999999998899</v>
      </c>
      <c r="AD8738">
        <v>-1.1190914577040001</v>
      </c>
      <c r="AE8738">
        <v>15.755529999999901</v>
      </c>
      <c r="AF8738">
        <v>-0.55630552488432905</v>
      </c>
      <c r="AG8738">
        <v>-1.1190914577040001</v>
      </c>
      <c r="AH8738">
        <v>15.667463116992399</v>
      </c>
      <c r="AI8738">
        <v>94.083004990459699</v>
      </c>
      <c r="AJ8738">
        <v>92.033550265134707</v>
      </c>
      <c r="AK8738">
        <v>15.717227556094</v>
      </c>
      <c r="AL8738">
        <v>96.980838891752001</v>
      </c>
      <c r="AM8738">
        <v>92.776980975828906</v>
      </c>
      <c r="AN8738">
        <v>0.99999995953402299</v>
      </c>
    </row>
    <row r="8739" spans="1:40" x14ac:dyDescent="0.25">
      <c r="A8739" t="str">
        <f>"20190303154349131"</f>
        <v>20190303154349131</v>
      </c>
      <c r="B8739" t="str">
        <f>"1551599029118478"</f>
        <v>1551599029118478</v>
      </c>
      <c r="C8739" t="s">
        <v>40</v>
      </c>
      <c r="D8739">
        <v>5.8742839999999896</v>
      </c>
      <c r="E8739">
        <v>0.50425410000000004</v>
      </c>
      <c r="F8739" t="s">
        <v>41</v>
      </c>
      <c r="G8739">
        <v>-187.97319999999999</v>
      </c>
      <c r="H8739" s="1">
        <v>-2.767025E-6</v>
      </c>
      <c r="I8739">
        <v>85.244730000000004</v>
      </c>
      <c r="J8739">
        <v>-188.1233</v>
      </c>
      <c r="K8739">
        <v>1.1191960000000001</v>
      </c>
      <c r="L8739">
        <v>69.101590000000002</v>
      </c>
      <c r="M8739">
        <v>4.7318440000000003E-2</v>
      </c>
      <c r="N8739">
        <v>-1.47384E-2</v>
      </c>
      <c r="O8739">
        <v>0.99877110000000002</v>
      </c>
      <c r="P8739">
        <v>-2.2707410000000002E-3</v>
      </c>
      <c r="Q8739">
        <v>-0.13396649999999999</v>
      </c>
      <c r="R8739">
        <v>0.99098319999999995</v>
      </c>
      <c r="S8739">
        <v>3.0364990000000001E-2</v>
      </c>
      <c r="T8739">
        <v>-0.20377780000000001</v>
      </c>
      <c r="U8739">
        <v>3.000305</v>
      </c>
      <c r="V8739">
        <v>-4.9575599999999997E-2</v>
      </c>
      <c r="W8739">
        <v>-0.11919449999999999</v>
      </c>
      <c r="X8739">
        <v>0.99163250000000003</v>
      </c>
      <c r="Y8739">
        <v>-3.7203890000000003E-2</v>
      </c>
      <c r="Z8739">
        <v>-5.2915599999999903E-2</v>
      </c>
      <c r="AA8739">
        <v>0.99790570000000001</v>
      </c>
      <c r="AB8739">
        <v>36</v>
      </c>
      <c r="AC8739">
        <v>0.150100000000009</v>
      </c>
      <c r="AD8739">
        <v>-1.1191987670250001</v>
      </c>
      <c r="AE8739">
        <v>16.143139999999999</v>
      </c>
      <c r="AF8739">
        <v>-0.61108238477863097</v>
      </c>
      <c r="AG8739">
        <v>-1.1191987670250001</v>
      </c>
      <c r="AH8739">
        <v>16.054993346766398</v>
      </c>
      <c r="AI8739">
        <v>93.984780219606506</v>
      </c>
      <c r="AJ8739">
        <v>92.179729880193307</v>
      </c>
      <c r="AK8739">
        <v>16.105553046257398</v>
      </c>
      <c r="AL8739">
        <v>96.845616889324702</v>
      </c>
      <c r="AM8739">
        <v>92.862057974170696</v>
      </c>
      <c r="AN8739">
        <v>1.0000000420009201</v>
      </c>
    </row>
    <row r="8740" spans="1:40" x14ac:dyDescent="0.25">
      <c r="A8740" t="str">
        <f>"20190303154349153"</f>
        <v>20190303154349153</v>
      </c>
      <c r="B8740" t="str">
        <f>"1551599029148735"</f>
        <v>1551599029148735</v>
      </c>
      <c r="C8740" t="s">
        <v>40</v>
      </c>
      <c r="D8740">
        <v>6.003762</v>
      </c>
      <c r="E8740">
        <v>0.5040751</v>
      </c>
      <c r="F8740" t="s">
        <v>41</v>
      </c>
      <c r="G8740">
        <v>-187.97409999999999</v>
      </c>
      <c r="H8740" s="1">
        <v>-3.1373320000000001E-6</v>
      </c>
      <c r="I8740">
        <v>86.108279999999993</v>
      </c>
      <c r="J8740">
        <v>-188.1053</v>
      </c>
      <c r="K8740">
        <v>1.119313</v>
      </c>
      <c r="L8740">
        <v>69.456509999999994</v>
      </c>
      <c r="M8740">
        <v>4.8506550000000002E-2</v>
      </c>
      <c r="N8740">
        <v>-1.473299E-2</v>
      </c>
      <c r="O8740">
        <v>0.9987142</v>
      </c>
      <c r="P8740">
        <v>-2.111726E-3</v>
      </c>
      <c r="Q8740">
        <v>-0.13176889999999999</v>
      </c>
      <c r="R8740">
        <v>0.9912782</v>
      </c>
      <c r="S8740">
        <v>2.633667E-2</v>
      </c>
      <c r="T8740">
        <v>-0.19747229999999999</v>
      </c>
      <c r="U8740">
        <v>3.0006710000000001</v>
      </c>
      <c r="V8740">
        <v>-5.0571390000000001E-2</v>
      </c>
      <c r="W8740">
        <v>-0.1170081</v>
      </c>
      <c r="X8740">
        <v>0.99184260000000002</v>
      </c>
      <c r="Y8740">
        <v>-3.973144E-2</v>
      </c>
      <c r="Z8740">
        <v>-5.0819110000000001E-2</v>
      </c>
      <c r="AA8740">
        <v>0.99791719999999895</v>
      </c>
      <c r="AB8740">
        <v>35</v>
      </c>
      <c r="AC8740">
        <v>0.13120000000000601</v>
      </c>
      <c r="AD8740">
        <v>-1.119316137332</v>
      </c>
      <c r="AE8740">
        <v>16.651769999999999</v>
      </c>
      <c r="AF8740">
        <v>-0.67371812512851903</v>
      </c>
      <c r="AG8740">
        <v>-1.119316137332</v>
      </c>
      <c r="AH8740">
        <v>16.563692352125599</v>
      </c>
      <c r="AI8740">
        <v>93.862785574264805</v>
      </c>
      <c r="AJ8740">
        <v>92.329187120790294</v>
      </c>
      <c r="AK8740">
        <v>16.615133735943399</v>
      </c>
      <c r="AL8740">
        <v>96.719462423073907</v>
      </c>
      <c r="AM8740">
        <v>92.918830280084094</v>
      </c>
      <c r="AN8740">
        <v>1.00000005206344</v>
      </c>
    </row>
    <row r="8741" spans="1:40" x14ac:dyDescent="0.25">
      <c r="A8741" t="str">
        <f>"20190303154349175"</f>
        <v>20190303154349175</v>
      </c>
      <c r="B8741" t="str">
        <f>"1551599029169231"</f>
        <v>1551599029169231</v>
      </c>
      <c r="C8741" t="s">
        <v>40</v>
      </c>
      <c r="D8741">
        <v>5.9748299999999999</v>
      </c>
      <c r="E8741">
        <v>0.5040521</v>
      </c>
      <c r="F8741" t="s">
        <v>41</v>
      </c>
      <c r="G8741">
        <v>-187.958</v>
      </c>
      <c r="H8741" s="1">
        <v>-3.5247849999999999E-6</v>
      </c>
      <c r="I8741">
        <v>87.004779999999997</v>
      </c>
      <c r="J8741">
        <v>-188.08750000000001</v>
      </c>
      <c r="K8741">
        <v>1.119432</v>
      </c>
      <c r="L8741">
        <v>69.799289999999999</v>
      </c>
      <c r="M8741">
        <v>4.9542700000000002E-2</v>
      </c>
      <c r="N8741">
        <v>-1.472765E-2</v>
      </c>
      <c r="O8741">
        <v>0.99866339999999998</v>
      </c>
      <c r="P8741">
        <v>-1.8257589999999999E-3</v>
      </c>
      <c r="Q8741">
        <v>-0.12977730000000001</v>
      </c>
      <c r="R8741">
        <v>0.99154149999999996</v>
      </c>
      <c r="S8741">
        <v>2.5192260000000001E-2</v>
      </c>
      <c r="T8741">
        <v>-0.19141920000000001</v>
      </c>
      <c r="U8741">
        <v>3.001007</v>
      </c>
      <c r="V8741">
        <v>-5.1289899999999999E-2</v>
      </c>
      <c r="W8741">
        <v>-0.11502950000000001</v>
      </c>
      <c r="X8741">
        <v>0.99203710000000001</v>
      </c>
      <c r="Y8741">
        <v>-4.1148520000000001E-2</v>
      </c>
      <c r="Z8741">
        <v>-4.8808770000000001E-2</v>
      </c>
      <c r="AA8741">
        <v>0.99796019999999996</v>
      </c>
      <c r="AB8741">
        <v>35</v>
      </c>
      <c r="AC8741">
        <v>0.129500000000007</v>
      </c>
      <c r="AD8741">
        <v>-1.1194355247849901</v>
      </c>
      <c r="AE8741">
        <v>17.205490000000001</v>
      </c>
      <c r="AF8741">
        <v>-0.72010979921757401</v>
      </c>
      <c r="AG8741">
        <v>-1.1194355247849901</v>
      </c>
      <c r="AH8741">
        <v>17.1183133044605</v>
      </c>
      <c r="AI8741">
        <v>93.738178080076395</v>
      </c>
      <c r="AJ8741">
        <v>92.408820301174202</v>
      </c>
      <c r="AK8741">
        <v>17.169983820806301</v>
      </c>
      <c r="AL8741">
        <v>96.605326408327201</v>
      </c>
      <c r="AM8741">
        <v>92.959647942943107</v>
      </c>
      <c r="AN8741">
        <v>1.0000000237443301</v>
      </c>
    </row>
    <row r="8742" spans="1:40" x14ac:dyDescent="0.25">
      <c r="A8742" t="str">
        <f>"20190303154349198"</f>
        <v>20190303154349198</v>
      </c>
      <c r="B8742" t="str">
        <f>"1551599029188750"</f>
        <v>1551599029188750</v>
      </c>
      <c r="C8742" t="s">
        <v>40</v>
      </c>
      <c r="D8742">
        <v>6.0173730000000001</v>
      </c>
      <c r="E8742">
        <v>0.50398670000000001</v>
      </c>
      <c r="F8742" t="s">
        <v>41</v>
      </c>
      <c r="G8742">
        <v>-187.9332</v>
      </c>
      <c r="H8742" s="1">
        <v>-3.9250929999999999E-6</v>
      </c>
      <c r="I8742">
        <v>87.92765</v>
      </c>
      <c r="J8742">
        <v>-188.0684</v>
      </c>
      <c r="K8742">
        <v>1.11955</v>
      </c>
      <c r="L8742">
        <v>70.163820000000001</v>
      </c>
      <c r="M8742">
        <v>5.0506219999999998E-2</v>
      </c>
      <c r="N8742">
        <v>-1.4722030000000001E-2</v>
      </c>
      <c r="O8742">
        <v>0.99861520000000004</v>
      </c>
      <c r="P8742">
        <v>-7.1107250000000005E-4</v>
      </c>
      <c r="Q8742">
        <v>-0.1285453</v>
      </c>
      <c r="R8742">
        <v>0.99170340000000001</v>
      </c>
      <c r="S8742">
        <v>2.555847E-2</v>
      </c>
      <c r="T8742">
        <v>-0.18533640000000001</v>
      </c>
      <c r="U8742">
        <v>3.0013730000000001</v>
      </c>
      <c r="V8742">
        <v>-5.1104089999999998E-2</v>
      </c>
      <c r="W8742">
        <v>-0.113816</v>
      </c>
      <c r="X8742">
        <v>0.99218660000000003</v>
      </c>
      <c r="Y8742">
        <v>-4.1991109999999998E-2</v>
      </c>
      <c r="Z8742">
        <v>-4.6789360000000002E-2</v>
      </c>
      <c r="AA8742">
        <v>0.99802179999999996</v>
      </c>
      <c r="AB8742">
        <v>35</v>
      </c>
      <c r="AC8742">
        <v>0.13519999999999699</v>
      </c>
      <c r="AD8742">
        <v>-1.119553925093</v>
      </c>
      <c r="AE8742">
        <v>17.763829999999999</v>
      </c>
      <c r="AF8742">
        <v>-0.75923819328342501</v>
      </c>
      <c r="AG8742">
        <v>-1.119553925093</v>
      </c>
      <c r="AH8742">
        <v>17.677769851220301</v>
      </c>
      <c r="AI8742">
        <v>93.620440694391803</v>
      </c>
      <c r="AJ8742">
        <v>92.459270977725396</v>
      </c>
      <c r="AK8742">
        <v>17.729449809231099</v>
      </c>
      <c r="AL8742">
        <v>96.535338595738196</v>
      </c>
      <c r="AM8742">
        <v>92.948501311082595</v>
      </c>
      <c r="AN8742">
        <v>0.99999997954514397</v>
      </c>
    </row>
    <row r="8743" spans="1:40" x14ac:dyDescent="0.25">
      <c r="A8743" t="str">
        <f>"20190303154349220"</f>
        <v>20190303154349220</v>
      </c>
      <c r="B8743" t="str">
        <f>"1551599029209247"</f>
        <v>1551599029209247</v>
      </c>
      <c r="C8743" t="s">
        <v>40</v>
      </c>
      <c r="D8743">
        <v>6.0423</v>
      </c>
      <c r="E8743">
        <v>0.50394319999999904</v>
      </c>
      <c r="F8743" t="s">
        <v>41</v>
      </c>
      <c r="G8743">
        <v>-187.8922</v>
      </c>
      <c r="H8743" s="1">
        <v>-4.2141159999999996E-6</v>
      </c>
      <c r="I8743">
        <v>88.584419999999994</v>
      </c>
      <c r="J8743">
        <v>-188.0496</v>
      </c>
      <c r="K8743">
        <v>1.119669</v>
      </c>
      <c r="L8743">
        <v>70.518649999999994</v>
      </c>
      <c r="M8743">
        <v>5.1301890000000003E-2</v>
      </c>
      <c r="N8743">
        <v>-1.471655E-2</v>
      </c>
      <c r="O8743">
        <v>0.99857470000000004</v>
      </c>
      <c r="P8743">
        <v>8.8056579999999998E-4</v>
      </c>
      <c r="Q8743">
        <v>-0.1283193</v>
      </c>
      <c r="R8743">
        <v>0.99173250000000002</v>
      </c>
      <c r="S8743">
        <v>2.8717039999999999E-2</v>
      </c>
      <c r="T8743">
        <v>-0.182421</v>
      </c>
      <c r="U8743">
        <v>3.001465</v>
      </c>
      <c r="V8743">
        <v>-5.0270679999999998E-2</v>
      </c>
      <c r="W8743">
        <v>-0.1136115</v>
      </c>
      <c r="X8743">
        <v>0.99225260000000004</v>
      </c>
      <c r="Y8743">
        <v>-4.1737299999999998E-2</v>
      </c>
      <c r="Z8743">
        <v>-4.5825400000000002E-2</v>
      </c>
      <c r="AA8743">
        <v>0.9980772</v>
      </c>
      <c r="AB8743">
        <v>35</v>
      </c>
      <c r="AC8743">
        <v>0.15739999999999499</v>
      </c>
      <c r="AD8743">
        <v>-1.119673214116</v>
      </c>
      <c r="AE8743">
        <v>18.065770000000001</v>
      </c>
      <c r="AF8743">
        <v>-0.76677077017775996</v>
      </c>
      <c r="AG8743">
        <v>-1.119673214116</v>
      </c>
      <c r="AH8743">
        <v>17.980987708202601</v>
      </c>
      <c r="AI8743">
        <v>93.559971226872307</v>
      </c>
      <c r="AJ8743">
        <v>92.4418084662246</v>
      </c>
      <c r="AK8743">
        <v>18.032124791131601</v>
      </c>
      <c r="AL8743">
        <v>96.523545185076699</v>
      </c>
      <c r="AM8743">
        <v>92.900307081553194</v>
      </c>
      <c r="AN8743">
        <v>0.99999996820333503</v>
      </c>
    </row>
    <row r="8744" spans="1:40" x14ac:dyDescent="0.25">
      <c r="A8744" t="str">
        <f>"20190303154349242"</f>
        <v>20190303154349242</v>
      </c>
      <c r="B8744" t="str">
        <f>"1551599029238526"</f>
        <v>1551599029238526</v>
      </c>
      <c r="C8744" t="s">
        <v>40</v>
      </c>
      <c r="D8744">
        <v>5.9694539999999998</v>
      </c>
      <c r="E8744">
        <v>0.50395519999999905</v>
      </c>
      <c r="F8744" t="s">
        <v>41</v>
      </c>
      <c r="G8744">
        <v>-187.8451</v>
      </c>
      <c r="H8744" s="1">
        <v>-4.3479100000000002E-6</v>
      </c>
      <c r="I8744">
        <v>88.876829999999998</v>
      </c>
      <c r="J8744">
        <v>-188.0309</v>
      </c>
      <c r="K8744">
        <v>1.1197790000000001</v>
      </c>
      <c r="L8744">
        <v>70.867069999999998</v>
      </c>
      <c r="M8744">
        <v>5.1967529999999998E-2</v>
      </c>
      <c r="N8744">
        <v>-1.4711200000000001E-2</v>
      </c>
      <c r="O8744">
        <v>0.99854039999999999</v>
      </c>
      <c r="P8744">
        <v>2.9266129999999998E-3</v>
      </c>
      <c r="Q8744">
        <v>-0.12887489999999999</v>
      </c>
      <c r="R8744">
        <v>0.99165650000000005</v>
      </c>
      <c r="S8744">
        <v>3.3432009999999998E-2</v>
      </c>
      <c r="T8744">
        <v>-0.1830512</v>
      </c>
      <c r="U8744">
        <v>3.001312</v>
      </c>
      <c r="V8744">
        <v>-4.8852680000000002E-2</v>
      </c>
      <c r="W8744">
        <v>-0.1141894</v>
      </c>
      <c r="X8744">
        <v>0.9922571</v>
      </c>
      <c r="Y8744">
        <v>-4.0835589999999998E-2</v>
      </c>
      <c r="Z8744">
        <v>-4.6040449999999997E-2</v>
      </c>
      <c r="AA8744">
        <v>0.99810460000000001</v>
      </c>
      <c r="AB8744">
        <v>35</v>
      </c>
      <c r="AC8744">
        <v>0.18579999999999999</v>
      </c>
      <c r="AD8744">
        <v>-1.1197833479099999</v>
      </c>
      <c r="AE8744">
        <v>18.00976</v>
      </c>
      <c r="AF8744">
        <v>-0.74758536664462205</v>
      </c>
      <c r="AG8744">
        <v>-1.1197833479099999</v>
      </c>
      <c r="AH8744">
        <v>17.925783943015599</v>
      </c>
      <c r="AI8744">
        <v>93.571397233681907</v>
      </c>
      <c r="AJ8744">
        <v>92.388106397637898</v>
      </c>
      <c r="AK8744">
        <v>17.976276828040799</v>
      </c>
      <c r="AL8744">
        <v>96.556873247222399</v>
      </c>
      <c r="AM8744">
        <v>92.818618333220002</v>
      </c>
      <c r="AN8744">
        <v>0.99999997795797602</v>
      </c>
    </row>
    <row r="8745" spans="1:40" x14ac:dyDescent="0.25">
      <c r="A8745" t="str">
        <f>"20190303154349264"</f>
        <v>20190303154349264</v>
      </c>
      <c r="B8745" t="str">
        <f>"1551599029259023"</f>
        <v>1551599029259023</v>
      </c>
      <c r="C8745" t="s">
        <v>40</v>
      </c>
      <c r="D8745">
        <v>5.9790010000000002</v>
      </c>
      <c r="E8745">
        <v>0.50419499999999995</v>
      </c>
      <c r="F8745" t="s">
        <v>41</v>
      </c>
      <c r="G8745">
        <v>-187.79150000000001</v>
      </c>
      <c r="H8745" s="1">
        <v>-4.3921529999999998E-6</v>
      </c>
      <c r="I8745">
        <v>88.957800000000006</v>
      </c>
      <c r="J8745">
        <v>-188.0121</v>
      </c>
      <c r="K8745">
        <v>1.1199059999999901</v>
      </c>
      <c r="L8745">
        <v>71.216709999999907</v>
      </c>
      <c r="M8745">
        <v>5.2507440000000002E-2</v>
      </c>
      <c r="N8745">
        <v>-1.470602E-2</v>
      </c>
      <c r="O8745">
        <v>0.99851230000000002</v>
      </c>
      <c r="P8745">
        <v>5.6048069999999998E-3</v>
      </c>
      <c r="Q8745">
        <v>-0.12890989999999999</v>
      </c>
      <c r="R8745">
        <v>0.99164039999999998</v>
      </c>
      <c r="S8745">
        <v>3.9718629999999998E-2</v>
      </c>
      <c r="T8745">
        <v>-0.185755</v>
      </c>
      <c r="U8745">
        <v>3.0009769999999998</v>
      </c>
      <c r="V8745">
        <v>-4.6680039999999999E-2</v>
      </c>
      <c r="W8745">
        <v>-0.114245899999999</v>
      </c>
      <c r="X8745">
        <v>0.99235519999999999</v>
      </c>
      <c r="Y8745">
        <v>-3.9285149999999998E-2</v>
      </c>
      <c r="Z8745">
        <v>-4.6946160000000001E-2</v>
      </c>
      <c r="AA8745">
        <v>0.99812460000000003</v>
      </c>
      <c r="AB8745">
        <v>35</v>
      </c>
      <c r="AC8745">
        <v>0.22059999999999</v>
      </c>
      <c r="AD8745">
        <v>-1.11991039215299</v>
      </c>
      <c r="AE8745">
        <v>17.74109</v>
      </c>
      <c r="AF8745">
        <v>-0.70852141405379698</v>
      </c>
      <c r="AG8745">
        <v>-1.11991039215299</v>
      </c>
      <c r="AH8745">
        <v>17.657843843541901</v>
      </c>
      <c r="AI8745">
        <v>93.626089679757499</v>
      </c>
      <c r="AJ8745">
        <v>92.297761930961002</v>
      </c>
      <c r="AK8745">
        <v>17.707502677778599</v>
      </c>
      <c r="AL8745">
        <v>96.560131655513899</v>
      </c>
      <c r="AM8745">
        <v>92.693188080029998</v>
      </c>
      <c r="AN8745">
        <v>0.99999999738412504</v>
      </c>
    </row>
    <row r="8746" spans="1:40" x14ac:dyDescent="0.25">
      <c r="A8746" t="str">
        <f>"20190303154349300"</f>
        <v>20190303154349300</v>
      </c>
      <c r="B8746" t="str">
        <f>"1551599029289280"</f>
        <v>1551599029289280</v>
      </c>
      <c r="C8746" t="s">
        <v>40</v>
      </c>
      <c r="D8746">
        <v>6.0769859999999998</v>
      </c>
      <c r="E8746">
        <v>0.50420949999999998</v>
      </c>
      <c r="F8746" t="s">
        <v>41</v>
      </c>
      <c r="G8746">
        <v>-187.70949999999999</v>
      </c>
      <c r="H8746" s="1">
        <v>-4.625638E-6</v>
      </c>
      <c r="I8746">
        <v>89.468149999999994</v>
      </c>
      <c r="J8746">
        <v>-187.98249999999999</v>
      </c>
      <c r="K8746">
        <v>1.120117</v>
      </c>
      <c r="L8746">
        <v>71.765259999999998</v>
      </c>
      <c r="M8746">
        <v>5.3071319999999998E-2</v>
      </c>
      <c r="N8746">
        <v>-1.469814E-2</v>
      </c>
      <c r="O8746">
        <v>0.99848250000000005</v>
      </c>
      <c r="P8746">
        <v>7.9311480000000007E-3</v>
      </c>
      <c r="Q8746">
        <v>-0.12880730000000001</v>
      </c>
      <c r="R8746">
        <v>0.99163789999999996</v>
      </c>
      <c r="S8746">
        <v>4.9758910000000003E-2</v>
      </c>
      <c r="T8746">
        <v>-0.1841458</v>
      </c>
      <c r="U8746">
        <v>3.0010680000000001</v>
      </c>
      <c r="V8746">
        <v>-4.4860440000000001E-2</v>
      </c>
      <c r="W8746">
        <v>-0.11417480000000001</v>
      </c>
      <c r="X8746">
        <v>0.99244730000000003</v>
      </c>
      <c r="Y8746">
        <v>-3.651248E-2</v>
      </c>
      <c r="Z8746">
        <v>-4.6420219999999998E-2</v>
      </c>
      <c r="AA8746">
        <v>0.99825450000000004</v>
      </c>
      <c r="AB8746">
        <v>35</v>
      </c>
      <c r="AC8746">
        <v>0.27299999999999602</v>
      </c>
      <c r="AD8746">
        <v>-1.120121625638</v>
      </c>
      <c r="AE8746">
        <v>17.702889999999901</v>
      </c>
      <c r="AF8746">
        <v>-0.66434302348284802</v>
      </c>
      <c r="AG8746">
        <v>-1.120121625638</v>
      </c>
      <c r="AH8746">
        <v>17.621893556642402</v>
      </c>
      <c r="AI8746">
        <v>93.634492464703499</v>
      </c>
      <c r="AJ8746">
        <v>92.159020732434001</v>
      </c>
      <c r="AK8746">
        <v>17.669950668598599</v>
      </c>
      <c r="AL8746">
        <v>96.556031118480306</v>
      </c>
      <c r="AM8746">
        <v>92.588112700599396</v>
      </c>
      <c r="AN8746">
        <v>0.99999999365466097</v>
      </c>
    </row>
    <row r="8747" spans="1:40" x14ac:dyDescent="0.25">
      <c r="A8747" t="str">
        <f>"20190303154349321"</f>
        <v>20190303154349321</v>
      </c>
      <c r="B8747" t="str">
        <f>"1551599029319066"</f>
        <v>1551599029319066</v>
      </c>
      <c r="C8747" t="s">
        <v>40</v>
      </c>
      <c r="D8747">
        <v>6.0817410000000001</v>
      </c>
      <c r="E8747">
        <v>0.50415859999999901</v>
      </c>
      <c r="F8747" t="s">
        <v>41</v>
      </c>
      <c r="G8747">
        <v>-187.6371</v>
      </c>
      <c r="H8747" s="1">
        <v>-7.4590179999999999E-7</v>
      </c>
      <c r="I8747">
        <v>89.992490000000004</v>
      </c>
      <c r="J8747">
        <v>-187.9639</v>
      </c>
      <c r="K8747">
        <v>1.1202449999999999</v>
      </c>
      <c r="L8747">
        <v>72.109740000000002</v>
      </c>
      <c r="M8747">
        <v>5.3258229999999997E-2</v>
      </c>
      <c r="N8747">
        <v>-1.4693370000000001E-2</v>
      </c>
      <c r="O8747">
        <v>0.99847269999999999</v>
      </c>
      <c r="P8747">
        <v>7.9336679999999996E-3</v>
      </c>
      <c r="Q8747">
        <v>-0.12850610000000001</v>
      </c>
      <c r="R8747">
        <v>0.99167700000000003</v>
      </c>
      <c r="S8747">
        <v>5.6854250000000002E-2</v>
      </c>
      <c r="T8747">
        <v>-0.18441340000000001</v>
      </c>
      <c r="U8747">
        <v>3.0008849999999998</v>
      </c>
      <c r="V8747">
        <v>-4.5010500000000002E-2</v>
      </c>
      <c r="W8747">
        <v>-0.11389150000000001</v>
      </c>
      <c r="X8747">
        <v>0.9924731</v>
      </c>
      <c r="Y8747">
        <v>-3.4340200000000001E-2</v>
      </c>
      <c r="Z8747">
        <v>-4.6518339999999998E-2</v>
      </c>
      <c r="AA8747">
        <v>0.99832699999999996</v>
      </c>
      <c r="AB8747">
        <v>35</v>
      </c>
      <c r="AC8747">
        <v>0.32679999999999099</v>
      </c>
      <c r="AD8747">
        <v>-1.1202457459018</v>
      </c>
      <c r="AE8747">
        <v>17.882750000000001</v>
      </c>
      <c r="AF8747">
        <v>-0.62372347326830402</v>
      </c>
      <c r="AG8747">
        <v>-1.1202457459018</v>
      </c>
      <c r="AH8747">
        <v>17.8049236512047</v>
      </c>
      <c r="AI8747">
        <v>93.597974786960805</v>
      </c>
      <c r="AJ8747">
        <v>92.006305431975903</v>
      </c>
      <c r="AK8747">
        <v>17.851030438816299</v>
      </c>
      <c r="AL8747">
        <v>96.539692365473002</v>
      </c>
      <c r="AM8747">
        <v>92.596690800313198</v>
      </c>
      <c r="AN8747">
        <v>1.0000000365530499</v>
      </c>
    </row>
    <row r="8748" spans="1:40" x14ac:dyDescent="0.25">
      <c r="A8748" t="str">
        <f>"20190303154349344"</f>
        <v>20190303154349344</v>
      </c>
      <c r="B8748" t="str">
        <f>"1551599029338586"</f>
        <v>1551599029338586</v>
      </c>
      <c r="C8748" t="s">
        <v>40</v>
      </c>
      <c r="D8748">
        <v>6.0646529999999998</v>
      </c>
      <c r="E8748">
        <v>0.50417820000000002</v>
      </c>
      <c r="F8748" t="s">
        <v>41</v>
      </c>
      <c r="G8748">
        <v>-187.62139999999999</v>
      </c>
      <c r="H8748" s="1">
        <v>-8.9706879999999996E-7</v>
      </c>
      <c r="I8748">
        <v>90.424369999999996</v>
      </c>
      <c r="J8748">
        <v>-187.94550000000001</v>
      </c>
      <c r="K8748">
        <v>1.1203620000000001</v>
      </c>
      <c r="L8748">
        <v>72.451899999999995</v>
      </c>
      <c r="M8748">
        <v>5.3342140000000003E-2</v>
      </c>
      <c r="N8748">
        <v>-1.468876E-2</v>
      </c>
      <c r="O8748">
        <v>0.99846829999999998</v>
      </c>
      <c r="P8748">
        <v>6.92832E-3</v>
      </c>
      <c r="Q8748">
        <v>-0.12848370000000001</v>
      </c>
      <c r="R8748">
        <v>0.9916874</v>
      </c>
      <c r="S8748">
        <v>5.6121829999999998E-2</v>
      </c>
      <c r="T8748">
        <v>-0.1835581</v>
      </c>
      <c r="U8748">
        <v>3.0009459999999999</v>
      </c>
      <c r="V8748">
        <v>-4.606586E-2</v>
      </c>
      <c r="W8748">
        <v>-0.1138861</v>
      </c>
      <c r="X8748">
        <v>0.99242529999999995</v>
      </c>
      <c r="Y8748">
        <v>-3.4667780000000002E-2</v>
      </c>
      <c r="Z8748">
        <v>-4.6238059999999997E-2</v>
      </c>
      <c r="AA8748">
        <v>0.99832869999999996</v>
      </c>
      <c r="AB8748">
        <v>35</v>
      </c>
      <c r="AC8748">
        <v>0.32410000000001499</v>
      </c>
      <c r="AD8748">
        <v>-1.1203628970688</v>
      </c>
      <c r="AE8748">
        <v>17.972470000000001</v>
      </c>
      <c r="AF8748">
        <v>-0.63269707399785402</v>
      </c>
      <c r="AG8748">
        <v>-1.1203628970688</v>
      </c>
      <c r="AH8748">
        <v>17.894651160704399</v>
      </c>
      <c r="AI8748">
        <v>93.580313338319399</v>
      </c>
      <c r="AJ8748">
        <v>92.024950209531596</v>
      </c>
      <c r="AK8748">
        <v>17.9408488866016</v>
      </c>
      <c r="AL8748">
        <v>96.539380908487303</v>
      </c>
      <c r="AM8748">
        <v>92.6576168698505</v>
      </c>
      <c r="AN8748">
        <v>1.00000004165541</v>
      </c>
    </row>
    <row r="8749" spans="1:40" x14ac:dyDescent="0.25">
      <c r="A8749" t="str">
        <f>"20190303154349366"</f>
        <v>20190303154349366</v>
      </c>
      <c r="B8749" t="str">
        <f>"1551599029359082"</f>
        <v>1551599029359082</v>
      </c>
      <c r="C8749" t="s">
        <v>40</v>
      </c>
      <c r="D8749">
        <v>6.1446529999999999</v>
      </c>
      <c r="E8749">
        <v>0.50416799999999995</v>
      </c>
      <c r="F8749" t="s">
        <v>41</v>
      </c>
      <c r="G8749">
        <v>-187.6207</v>
      </c>
      <c r="H8749" s="1">
        <v>-1.0370669999999999E-6</v>
      </c>
      <c r="I8749">
        <v>90.835210000000004</v>
      </c>
      <c r="J8749">
        <v>-187.92689999999999</v>
      </c>
      <c r="K8749">
        <v>1.1204719999999999</v>
      </c>
      <c r="L8749">
        <v>72.799409999999995</v>
      </c>
      <c r="M8749">
        <v>5.3301939999999999E-2</v>
      </c>
      <c r="N8749">
        <v>-1.468414E-2</v>
      </c>
      <c r="O8749">
        <v>0.99847050000000004</v>
      </c>
      <c r="P8749">
        <v>5.7005780000000004E-3</v>
      </c>
      <c r="Q8749">
        <v>-0.12828210000000001</v>
      </c>
      <c r="R8749">
        <v>0.99172130000000003</v>
      </c>
      <c r="S8749">
        <v>5.3024290000000002E-2</v>
      </c>
      <c r="T8749">
        <v>-0.18289900000000001</v>
      </c>
      <c r="U8749">
        <v>3.0010680000000001</v>
      </c>
      <c r="V8749">
        <v>-4.7221970000000002E-2</v>
      </c>
      <c r="W8749">
        <v>-0.1137021</v>
      </c>
      <c r="X8749">
        <v>0.99239200000000005</v>
      </c>
      <c r="Y8749">
        <v>-3.5657700000000001E-2</v>
      </c>
      <c r="Z8749">
        <v>-4.6021489999999998E-2</v>
      </c>
      <c r="AA8749">
        <v>0.99830379999999996</v>
      </c>
      <c r="AB8749">
        <v>35</v>
      </c>
      <c r="AC8749">
        <v>0.30619999999998898</v>
      </c>
      <c r="AD8749">
        <v>-1.120473037067</v>
      </c>
      <c r="AE8749">
        <v>18.035799999999998</v>
      </c>
      <c r="AF8749">
        <v>-0.65316197902700202</v>
      </c>
      <c r="AG8749">
        <v>-1.120473037067</v>
      </c>
      <c r="AH8749">
        <v>17.957192365126101</v>
      </c>
      <c r="AI8749">
        <v>93.568096370829494</v>
      </c>
      <c r="AJ8749">
        <v>92.0831170675999</v>
      </c>
      <c r="AK8749">
        <v>18.0039672860118</v>
      </c>
      <c r="AL8749">
        <v>96.528769950205401</v>
      </c>
      <c r="AM8749">
        <v>92.724306823583305</v>
      </c>
      <c r="AN8749">
        <v>0.99999998182954497</v>
      </c>
    </row>
    <row r="8750" spans="1:40" x14ac:dyDescent="0.25">
      <c r="A8750" t="str">
        <f>"20190303154349387"</f>
        <v>20190303154349387</v>
      </c>
      <c r="B8750" t="str">
        <f>"1551599029378602"</f>
        <v>1551599029378602</v>
      </c>
      <c r="C8750" t="s">
        <v>40</v>
      </c>
      <c r="D8750">
        <v>6.1664580000000004</v>
      </c>
      <c r="E8750">
        <v>0.50433620000000001</v>
      </c>
      <c r="F8750" t="s">
        <v>41</v>
      </c>
      <c r="G8750">
        <v>-187.62459999999999</v>
      </c>
      <c r="H8750" s="1">
        <v>-1.1512380000000001E-6</v>
      </c>
      <c r="I8750">
        <v>91.173749999999998</v>
      </c>
      <c r="J8750">
        <v>-187.90960000000001</v>
      </c>
      <c r="K8750">
        <v>1.120587</v>
      </c>
      <c r="L8750">
        <v>73.125460000000004</v>
      </c>
      <c r="M8750">
        <v>5.3145709999999999E-2</v>
      </c>
      <c r="N8750">
        <v>-1.4679960000000001E-2</v>
      </c>
      <c r="O8750">
        <v>0.9984788</v>
      </c>
      <c r="P8750">
        <v>4.2877339999999996E-3</v>
      </c>
      <c r="Q8750">
        <v>-0.12753349999999999</v>
      </c>
      <c r="R8750">
        <v>0.99182499999999996</v>
      </c>
      <c r="S8750">
        <v>4.9377440000000002E-2</v>
      </c>
      <c r="T8750">
        <v>-0.183006</v>
      </c>
      <c r="U8750">
        <v>3.0010680000000001</v>
      </c>
      <c r="V8750">
        <v>-4.8452099999999998E-2</v>
      </c>
      <c r="W8750">
        <v>-0.1129698</v>
      </c>
      <c r="X8750">
        <v>0.99241639999999998</v>
      </c>
      <c r="Y8750">
        <v>-3.6713530000000001E-2</v>
      </c>
      <c r="Z8750">
        <v>-4.6060799999999999E-2</v>
      </c>
      <c r="AA8750">
        <v>0.99826380000000003</v>
      </c>
      <c r="AB8750">
        <v>35</v>
      </c>
      <c r="AC8750">
        <v>0.28500000000002501</v>
      </c>
      <c r="AD8750">
        <v>-1.120588151238</v>
      </c>
      <c r="AE8750">
        <v>18.048289999999898</v>
      </c>
      <c r="AF8750">
        <v>-0.67210517799123404</v>
      </c>
      <c r="AG8750">
        <v>-1.120588151238</v>
      </c>
      <c r="AH8750">
        <v>17.968674973497301</v>
      </c>
      <c r="AI8750">
        <v>93.566052422271994</v>
      </c>
      <c r="AJ8750">
        <v>92.142108210698296</v>
      </c>
      <c r="AK8750">
        <v>18.016123985979</v>
      </c>
      <c r="AL8750">
        <v>96.486539730530197</v>
      </c>
      <c r="AM8750">
        <v>92.795095146500202</v>
      </c>
      <c r="AN8750">
        <v>1.0000000463476999</v>
      </c>
    </row>
    <row r="8751" spans="1:40" x14ac:dyDescent="0.25">
      <c r="A8751" t="str">
        <f>"20190303154349411"</f>
        <v>20190303154349411</v>
      </c>
      <c r="B8751" t="str">
        <f>"1551599029398629"</f>
        <v>1551599029398629</v>
      </c>
      <c r="C8751" t="s">
        <v>40</v>
      </c>
      <c r="D8751">
        <v>6.1655639999999998</v>
      </c>
      <c r="E8751">
        <v>0.50445850000000003</v>
      </c>
      <c r="F8751" t="s">
        <v>41</v>
      </c>
      <c r="G8751">
        <v>-187.62540000000001</v>
      </c>
      <c r="H8751" s="1">
        <v>-1.2922080000000001E-6</v>
      </c>
      <c r="I8751">
        <v>91.588650000000001</v>
      </c>
      <c r="J8751">
        <v>-187.89009999999999</v>
      </c>
      <c r="K8751">
        <v>1.1207199999999999</v>
      </c>
      <c r="L8751">
        <v>73.495480000000001</v>
      </c>
      <c r="M8751">
        <v>5.2839249999999997E-2</v>
      </c>
      <c r="N8751">
        <v>-1.4675489999999999E-2</v>
      </c>
      <c r="O8751">
        <v>0.99849520000000003</v>
      </c>
      <c r="P8751">
        <v>2.5742249999999999E-3</v>
      </c>
      <c r="Q8751">
        <v>-0.12806619999999999</v>
      </c>
      <c r="R8751">
        <v>0.99176229999999999</v>
      </c>
      <c r="S8751">
        <v>4.6188350000000003E-2</v>
      </c>
      <c r="T8751">
        <v>-0.182146</v>
      </c>
      <c r="U8751">
        <v>3.001099</v>
      </c>
      <c r="V8751">
        <v>-4.982027E-2</v>
      </c>
      <c r="W8751">
        <v>-0.11352429999999999</v>
      </c>
      <c r="X8751">
        <v>0.99228530000000004</v>
      </c>
      <c r="Y8751">
        <v>-3.7466939999999997E-2</v>
      </c>
      <c r="Z8751">
        <v>-4.5780830000000002E-2</v>
      </c>
      <c r="AA8751">
        <v>0.99824860000000004</v>
      </c>
      <c r="AB8751">
        <v>35</v>
      </c>
      <c r="AC8751">
        <v>0.26469999999997601</v>
      </c>
      <c r="AD8751">
        <v>-1.1207212922079901</v>
      </c>
      <c r="AE8751">
        <v>18.093170000000001</v>
      </c>
      <c r="AF8751">
        <v>-0.68915876823906697</v>
      </c>
      <c r="AG8751">
        <v>-1.1207212922079901</v>
      </c>
      <c r="AH8751">
        <v>18.012780878450499</v>
      </c>
      <c r="AI8751">
        <v>93.557650008148499</v>
      </c>
      <c r="AJ8751">
        <v>92.191035339375802</v>
      </c>
      <c r="AK8751">
        <v>18.0607649615879</v>
      </c>
      <c r="AL8751">
        <v>96.518516438031895</v>
      </c>
      <c r="AM8751">
        <v>92.874270423070698</v>
      </c>
      <c r="AN8751">
        <v>0.99999997129472595</v>
      </c>
    </row>
    <row r="8752" spans="1:40" x14ac:dyDescent="0.25">
      <c r="A8752" t="str">
        <f>"20190303154349432"</f>
        <v>20190303154349432</v>
      </c>
      <c r="B8752" t="str">
        <f>"1551599029428885"</f>
        <v>1551599029428885</v>
      </c>
      <c r="C8752" t="s">
        <v>40</v>
      </c>
      <c r="D8752">
        <v>6.1919040000000001</v>
      </c>
      <c r="E8752">
        <v>0.50458190000000003</v>
      </c>
      <c r="F8752" t="s">
        <v>41</v>
      </c>
      <c r="G8752">
        <v>-187.63720000000001</v>
      </c>
      <c r="H8752" s="1">
        <v>-1.307975E-6</v>
      </c>
      <c r="I8752">
        <v>91.644210000000001</v>
      </c>
      <c r="J8752">
        <v>-187.87200000000001</v>
      </c>
      <c r="K8752">
        <v>1.1208359999999999</v>
      </c>
      <c r="L8752">
        <v>73.843319999999906</v>
      </c>
      <c r="M8752">
        <v>5.2436160000000002E-2</v>
      </c>
      <c r="N8752">
        <v>-1.4671460000000001E-2</v>
      </c>
      <c r="O8752">
        <v>0.99851650000000003</v>
      </c>
      <c r="P8752">
        <v>9.9809789999999996E-4</v>
      </c>
      <c r="Q8752">
        <v>-0.12819710000000001</v>
      </c>
      <c r="R8752">
        <v>0.99174819999999997</v>
      </c>
      <c r="S8752">
        <v>4.1809079999999998E-2</v>
      </c>
      <c r="T8752">
        <v>-0.1853089</v>
      </c>
      <c r="U8752">
        <v>3.0008539999999999</v>
      </c>
      <c r="V8752">
        <v>-5.0961079999999999E-2</v>
      </c>
      <c r="W8752">
        <v>-0.1136752</v>
      </c>
      <c r="X8752">
        <v>0.99221009999999998</v>
      </c>
      <c r="Y8752">
        <v>-3.8518539999999997E-2</v>
      </c>
      <c r="Z8752">
        <v>-4.6836860000000001E-2</v>
      </c>
      <c r="AA8752">
        <v>0.99815960000000004</v>
      </c>
      <c r="AB8752">
        <v>35</v>
      </c>
      <c r="AC8752">
        <v>0.234800000000007</v>
      </c>
      <c r="AD8752">
        <v>-1.120837307975</v>
      </c>
      <c r="AE8752">
        <v>17.800889999999999</v>
      </c>
      <c r="AF8752">
        <v>-0.69627389676335705</v>
      </c>
      <c r="AG8752">
        <v>-1.120837307975</v>
      </c>
      <c r="AH8752">
        <v>17.7184741657472</v>
      </c>
      <c r="AI8752">
        <v>93.616816127452196</v>
      </c>
      <c r="AJ8752">
        <v>92.250365328742006</v>
      </c>
      <c r="AK8752">
        <v>17.767537825273202</v>
      </c>
      <c r="AL8752">
        <v>96.527218630229697</v>
      </c>
      <c r="AM8752">
        <v>92.940195188986493</v>
      </c>
      <c r="AN8752">
        <v>0.99999998265590795</v>
      </c>
    </row>
    <row r="8753" spans="1:40" x14ac:dyDescent="0.25">
      <c r="A8753" t="str">
        <f>"20190303154349454"</f>
        <v>20190303154349454</v>
      </c>
      <c r="B8753" t="str">
        <f>"1551599029448405"</f>
        <v>1551599029448405</v>
      </c>
      <c r="C8753" t="s">
        <v>40</v>
      </c>
      <c r="D8753">
        <v>6.1808839999999998</v>
      </c>
      <c r="E8753">
        <v>0.50467209999999996</v>
      </c>
      <c r="F8753" t="s">
        <v>41</v>
      </c>
      <c r="G8753">
        <v>-187.64400000000001</v>
      </c>
      <c r="H8753" s="1">
        <v>-1.336428E-6</v>
      </c>
      <c r="I8753">
        <v>91.733090000000004</v>
      </c>
      <c r="J8753">
        <v>-187.8554</v>
      </c>
      <c r="K8753">
        <v>1.1209480000000001</v>
      </c>
      <c r="L8753">
        <v>74.167389999999997</v>
      </c>
      <c r="M8753">
        <v>5.1966119999999998E-2</v>
      </c>
      <c r="N8753">
        <v>-1.466781E-2</v>
      </c>
      <c r="O8753">
        <v>0.99854109999999996</v>
      </c>
      <c r="P8753">
        <v>5.7973669999999999E-4</v>
      </c>
      <c r="Q8753">
        <v>-0.12842339999999999</v>
      </c>
      <c r="R8753">
        <v>0.99171920000000002</v>
      </c>
      <c r="S8753">
        <v>3.8253780000000001E-2</v>
      </c>
      <c r="T8753">
        <v>-0.18799560000000001</v>
      </c>
      <c r="U8753">
        <v>3.00061</v>
      </c>
      <c r="V8753">
        <v>-5.0882530000000002E-2</v>
      </c>
      <c r="W8753">
        <v>-0.1139182</v>
      </c>
      <c r="X8753">
        <v>0.99218620000000002</v>
      </c>
      <c r="Y8753">
        <v>-3.9229350000000003E-2</v>
      </c>
      <c r="Z8753">
        <v>-4.7735619999999999E-2</v>
      </c>
      <c r="AA8753">
        <v>0.99808940000000002</v>
      </c>
      <c r="AB8753">
        <v>35</v>
      </c>
      <c r="AC8753">
        <v>0.21139999999999701</v>
      </c>
      <c r="AD8753">
        <v>-1.1209493364280001</v>
      </c>
      <c r="AE8753">
        <v>17.5657</v>
      </c>
      <c r="AF8753">
        <v>-0.69895923384865999</v>
      </c>
      <c r="AG8753">
        <v>-1.1209493364280001</v>
      </c>
      <c r="AH8753">
        <v>17.4817668842804</v>
      </c>
      <c r="AI8753">
        <v>93.6659222115278</v>
      </c>
      <c r="AJ8753">
        <v>92.289590935568199</v>
      </c>
      <c r="AK8753">
        <v>17.531607023366199</v>
      </c>
      <c r="AL8753">
        <v>96.541232938225406</v>
      </c>
      <c r="AM8753">
        <v>92.935741778351002</v>
      </c>
      <c r="AN8753">
        <v>0.99999992181043695</v>
      </c>
    </row>
    <row r="8754" spans="1:40" x14ac:dyDescent="0.25">
      <c r="A8754" t="str">
        <f>"20190303154349477"</f>
        <v>20190303154349477</v>
      </c>
      <c r="B8754" t="str">
        <f>"1551599029468902"</f>
        <v>1551599029468902</v>
      </c>
      <c r="C8754" t="s">
        <v>40</v>
      </c>
      <c r="D8754">
        <v>6.1734070000000001</v>
      </c>
      <c r="E8754">
        <v>0.5047876</v>
      </c>
      <c r="F8754" t="s">
        <v>41</v>
      </c>
      <c r="G8754">
        <v>-187.6327</v>
      </c>
      <c r="H8754" s="1">
        <v>-1.380978E-6</v>
      </c>
      <c r="I8754">
        <v>91.855189999999993</v>
      </c>
      <c r="J8754">
        <v>-187.8374</v>
      </c>
      <c r="K8754">
        <v>1.1210519999999999</v>
      </c>
      <c r="L8754">
        <v>74.523589999999999</v>
      </c>
      <c r="M8754">
        <v>5.1357760000000002E-2</v>
      </c>
      <c r="N8754">
        <v>-1.4663870000000001E-2</v>
      </c>
      <c r="O8754">
        <v>0.99857260000000003</v>
      </c>
      <c r="P8754">
        <v>-4.2894740000000003E-4</v>
      </c>
      <c r="Q8754">
        <v>-0.12720229999999999</v>
      </c>
      <c r="R8754">
        <v>0.99187669999999994</v>
      </c>
      <c r="S8754">
        <v>3.7780759999999997E-2</v>
      </c>
      <c r="T8754">
        <v>-0.1901476</v>
      </c>
      <c r="U8754">
        <v>3.000397</v>
      </c>
      <c r="V8754">
        <v>-5.1267649999999998E-2</v>
      </c>
      <c r="W8754">
        <v>-0.1127119</v>
      </c>
      <c r="X8754">
        <v>0.99230419999999997</v>
      </c>
      <c r="Y8754">
        <v>-3.8777510000000001E-2</v>
      </c>
      <c r="Z8754">
        <v>-4.845932E-2</v>
      </c>
      <c r="AA8754">
        <v>0.99807210000000002</v>
      </c>
      <c r="AB8754">
        <v>35</v>
      </c>
      <c r="AC8754">
        <v>0.20470000000000199</v>
      </c>
      <c r="AD8754">
        <v>-1.1210533809779999</v>
      </c>
      <c r="AE8754">
        <v>17.331600000000002</v>
      </c>
      <c r="AF8754">
        <v>-0.68292127995937901</v>
      </c>
      <c r="AG8754">
        <v>-1.1210533809779999</v>
      </c>
      <c r="AH8754">
        <v>17.247087938539099</v>
      </c>
      <c r="AI8754">
        <v>93.716065866246893</v>
      </c>
      <c r="AJ8754">
        <v>92.267517680691299</v>
      </c>
      <c r="AK8754">
        <v>17.296970385513301</v>
      </c>
      <c r="AL8754">
        <v>96.471668565848503</v>
      </c>
      <c r="AM8754">
        <v>92.957571409529805</v>
      </c>
      <c r="AN8754">
        <v>0.99999998483788599</v>
      </c>
    </row>
    <row r="8755" spans="1:40" x14ac:dyDescent="0.25">
      <c r="A8755" t="str">
        <f>"20190303154349500"</f>
        <v>20190303154349500</v>
      </c>
      <c r="B8755" t="str">
        <f>"1551599029488421"</f>
        <v>1551599029488421</v>
      </c>
      <c r="C8755" t="s">
        <v>40</v>
      </c>
      <c r="D8755">
        <v>6.1795200000000001</v>
      </c>
      <c r="E8755">
        <v>0.50488889999999997</v>
      </c>
      <c r="F8755" t="s">
        <v>41</v>
      </c>
      <c r="G8755">
        <v>-187.62549999999999</v>
      </c>
      <c r="H8755" s="1">
        <v>-1.6117259999999901E-6</v>
      </c>
      <c r="I8755">
        <v>92.407929999999993</v>
      </c>
      <c r="J8755">
        <v>-187.81950000000001</v>
      </c>
      <c r="K8755">
        <v>1.121135</v>
      </c>
      <c r="L8755">
        <v>74.885619999999903</v>
      </c>
      <c r="M8755">
        <v>5.0652929999999999E-2</v>
      </c>
      <c r="N8755">
        <v>-1.465997E-2</v>
      </c>
      <c r="O8755">
        <v>0.99860870000000002</v>
      </c>
      <c r="P8755">
        <v>-1.409425E-3</v>
      </c>
      <c r="Q8755">
        <v>-0.12669439999999901</v>
      </c>
      <c r="R8755">
        <v>0.99194079999999996</v>
      </c>
      <c r="S8755">
        <v>3.5552979999999998E-2</v>
      </c>
      <c r="T8755">
        <v>-0.1880792</v>
      </c>
      <c r="U8755">
        <v>3.0004580000000001</v>
      </c>
      <c r="V8755">
        <v>-5.1529369999999998E-2</v>
      </c>
      <c r="W8755">
        <v>-0.11221780000000001</v>
      </c>
      <c r="X8755">
        <v>0.99234659999999997</v>
      </c>
      <c r="Y8755">
        <v>-3.8813189999999997E-2</v>
      </c>
      <c r="Z8755">
        <v>-4.7781009999999999E-2</v>
      </c>
      <c r="AA8755">
        <v>0.99810339999999997</v>
      </c>
      <c r="AB8755">
        <v>35</v>
      </c>
      <c r="AC8755">
        <v>0.19400000000001599</v>
      </c>
      <c r="AD8755">
        <v>-1.121136611726</v>
      </c>
      <c r="AE8755">
        <v>17.522310000000001</v>
      </c>
      <c r="AF8755">
        <v>-0.69107201909444604</v>
      </c>
      <c r="AG8755">
        <v>-1.121136611726</v>
      </c>
      <c r="AH8755">
        <v>17.438258520745901</v>
      </c>
      <c r="AI8755">
        <v>93.675707292690802</v>
      </c>
      <c r="AJ8755">
        <v>92.269423929605793</v>
      </c>
      <c r="AK8755">
        <v>17.487921205051599</v>
      </c>
      <c r="AL8755">
        <v>96.443178241147194</v>
      </c>
      <c r="AM8755">
        <v>92.972515938044694</v>
      </c>
      <c r="AN8755">
        <v>0.99999994257049596</v>
      </c>
    </row>
    <row r="8756" spans="1:40" x14ac:dyDescent="0.25">
      <c r="A8756" t="str">
        <f>"20190303154349523"</f>
        <v>20190303154349523</v>
      </c>
      <c r="B8756" t="str">
        <f>"1551599029518678"</f>
        <v>1551599029518678</v>
      </c>
      <c r="C8756" t="s">
        <v>40</v>
      </c>
      <c r="D8756">
        <v>6.1587019999999999</v>
      </c>
      <c r="E8756">
        <v>0.50506819999999997</v>
      </c>
      <c r="F8756" t="s">
        <v>41</v>
      </c>
      <c r="G8756">
        <v>-187.61940000000001</v>
      </c>
      <c r="H8756" s="1">
        <v>-1.7681379999999901E-6</v>
      </c>
      <c r="I8756">
        <v>92.769990000000007</v>
      </c>
      <c r="J8756">
        <v>-187.8022</v>
      </c>
      <c r="K8756">
        <v>1.121194</v>
      </c>
      <c r="L8756">
        <v>75.242069999999998</v>
      </c>
      <c r="M8756">
        <v>4.9904410000000003E-2</v>
      </c>
      <c r="N8756">
        <v>-1.4655990000000001E-2</v>
      </c>
      <c r="O8756">
        <v>0.99864640000000005</v>
      </c>
      <c r="P8756">
        <v>-2.6149559999999999E-3</v>
      </c>
      <c r="Q8756">
        <v>-0.12697269999999999</v>
      </c>
      <c r="R8756">
        <v>0.99190279999999997</v>
      </c>
      <c r="S8756">
        <v>3.3569340000000003E-2</v>
      </c>
      <c r="T8756">
        <v>-0.18808910000000001</v>
      </c>
      <c r="U8756">
        <v>3.000397</v>
      </c>
      <c r="V8756">
        <v>-5.197102E-2</v>
      </c>
      <c r="W8756">
        <v>-0.1125096</v>
      </c>
      <c r="X8756">
        <v>0.99229060000000002</v>
      </c>
      <c r="Y8756">
        <v>-3.8723819999999999E-2</v>
      </c>
      <c r="Z8756">
        <v>-4.7793099999999998E-2</v>
      </c>
      <c r="AA8756">
        <v>0.99810639999999995</v>
      </c>
      <c r="AB8756">
        <v>35</v>
      </c>
      <c r="AC8756">
        <v>0.182799999999986</v>
      </c>
      <c r="AD8756">
        <v>-1.121195768138</v>
      </c>
      <c r="AE8756">
        <v>17.527920000000002</v>
      </c>
      <c r="AF8756">
        <v>-0.68942174628068598</v>
      </c>
      <c r="AG8756">
        <v>-1.121195768138</v>
      </c>
      <c r="AH8756">
        <v>17.4438321027699</v>
      </c>
      <c r="AI8756">
        <v>93.6747449513352</v>
      </c>
      <c r="AJ8756">
        <v>92.263287580032198</v>
      </c>
      <c r="AK8756">
        <v>17.493417639911399</v>
      </c>
      <c r="AL8756">
        <v>96.460003227904394</v>
      </c>
      <c r="AM8756">
        <v>92.998115499801202</v>
      </c>
      <c r="AN8756">
        <v>1.0000000159301801</v>
      </c>
    </row>
    <row r="8757" spans="1:40" x14ac:dyDescent="0.25">
      <c r="A8757" t="str">
        <f>"20190303154349544"</f>
        <v>20190303154349544</v>
      </c>
      <c r="B8757" t="str">
        <f>"1551599029539173"</f>
        <v>1551599029539173</v>
      </c>
      <c r="C8757" t="s">
        <v>40</v>
      </c>
      <c r="D8757">
        <v>6.1426049999999996</v>
      </c>
      <c r="E8757">
        <v>0.50518609999999997</v>
      </c>
      <c r="F8757" t="s">
        <v>41</v>
      </c>
      <c r="G8757">
        <v>-187.6174</v>
      </c>
      <c r="H8757" s="1">
        <v>-1.796322E-6</v>
      </c>
      <c r="I8757">
        <v>92.834860000000006</v>
      </c>
      <c r="J8757">
        <v>-187.78710000000001</v>
      </c>
      <c r="K8757">
        <v>1.1212329999999999</v>
      </c>
      <c r="L8757">
        <v>75.556519999999907</v>
      </c>
      <c r="M8757">
        <v>4.9213229999999997E-2</v>
      </c>
      <c r="N8757">
        <v>-1.4652429999999999E-2</v>
      </c>
      <c r="O8757">
        <v>0.99868080000000004</v>
      </c>
      <c r="P8757">
        <v>-3.3645210000000001E-3</v>
      </c>
      <c r="Q8757">
        <v>-0.1271716</v>
      </c>
      <c r="R8757">
        <v>0.99187510000000001</v>
      </c>
      <c r="S8757">
        <v>3.15094E-2</v>
      </c>
      <c r="T8757">
        <v>-0.1911969</v>
      </c>
      <c r="U8757">
        <v>3.000092</v>
      </c>
      <c r="V8757">
        <v>-5.2020410000000003E-2</v>
      </c>
      <c r="W8757">
        <v>-0.1127181</v>
      </c>
      <c r="X8757">
        <v>0.99226429999999999</v>
      </c>
      <c r="Y8757">
        <v>-3.871658E-2</v>
      </c>
      <c r="Z8757">
        <v>-4.8834420000000003E-2</v>
      </c>
      <c r="AA8757">
        <v>0.99805619999999995</v>
      </c>
      <c r="AB8757">
        <v>35</v>
      </c>
      <c r="AC8757">
        <v>0.16970000000000501</v>
      </c>
      <c r="AD8757">
        <v>-1.121234796322</v>
      </c>
      <c r="AE8757">
        <v>17.27834</v>
      </c>
      <c r="AF8757">
        <v>-0.67806481446849598</v>
      </c>
      <c r="AG8757">
        <v>-1.121234796322</v>
      </c>
      <c r="AH8757">
        <v>17.193356744204898</v>
      </c>
      <c r="AI8757">
        <v>93.728271112336003</v>
      </c>
      <c r="AJ8757">
        <v>92.258437946275606</v>
      </c>
      <c r="AK8757">
        <v>17.243214766817701</v>
      </c>
      <c r="AL8757">
        <v>96.472026193343495</v>
      </c>
      <c r="AM8757">
        <v>93.001038910457098</v>
      </c>
      <c r="AN8757">
        <v>0.99999996708933303</v>
      </c>
    </row>
    <row r="8758" spans="1:40" x14ac:dyDescent="0.25">
      <c r="A8758" t="str">
        <f>"20190303154349566"</f>
        <v>20190303154349566</v>
      </c>
      <c r="B8758" t="str">
        <f>"1551599029558695"</f>
        <v>1551599029558695</v>
      </c>
      <c r="C8758" t="s">
        <v>40</v>
      </c>
      <c r="D8758">
        <v>6.1330650000000002</v>
      </c>
      <c r="E8758">
        <v>0.50532969999999999</v>
      </c>
      <c r="F8758" t="s">
        <v>41</v>
      </c>
      <c r="G8758">
        <v>-187.613</v>
      </c>
      <c r="H8758" s="1">
        <v>-1.856294E-6</v>
      </c>
      <c r="I8758">
        <v>92.972849999999994</v>
      </c>
      <c r="J8758">
        <v>-187.77070000000001</v>
      </c>
      <c r="K8758">
        <v>1.1212690000000001</v>
      </c>
      <c r="L8758">
        <v>75.904539999999997</v>
      </c>
      <c r="M8758">
        <v>4.8427820000000003E-2</v>
      </c>
      <c r="N8758">
        <v>-1.464845E-2</v>
      </c>
      <c r="O8758">
        <v>0.99871929999999998</v>
      </c>
      <c r="P8758">
        <v>-5.0645109999999998E-3</v>
      </c>
      <c r="Q8758">
        <v>-0.12748579999999901</v>
      </c>
      <c r="R8758">
        <v>0.99182749999999997</v>
      </c>
      <c r="S8758">
        <v>2.998352E-2</v>
      </c>
      <c r="T8758">
        <v>-0.1931292</v>
      </c>
      <c r="U8758">
        <v>2.999908</v>
      </c>
      <c r="V8758">
        <v>-5.2926389999999997E-2</v>
      </c>
      <c r="W8758">
        <v>-0.11304359999999999</v>
      </c>
      <c r="X8758">
        <v>0.99217940000000004</v>
      </c>
      <c r="Y8758">
        <v>-3.8438E-2</v>
      </c>
      <c r="Z8758">
        <v>-4.9485510000000003E-2</v>
      </c>
      <c r="AA8758">
        <v>0.99803489999999995</v>
      </c>
      <c r="AB8758">
        <v>35</v>
      </c>
      <c r="AC8758">
        <v>0.157700000000005</v>
      </c>
      <c r="AD8758">
        <v>-1.1212708562939999</v>
      </c>
      <c r="AE8758">
        <v>17.068309999999901</v>
      </c>
      <c r="AF8758">
        <v>-0.666279640203572</v>
      </c>
      <c r="AG8758">
        <v>-1.1212708562939999</v>
      </c>
      <c r="AH8758">
        <v>16.9826332789604</v>
      </c>
      <c r="AI8758">
        <v>93.774550524670403</v>
      </c>
      <c r="AJ8758">
        <v>92.246733007562895</v>
      </c>
      <c r="AK8758">
        <v>17.032645419305201</v>
      </c>
      <c r="AL8758">
        <v>96.490795656642504</v>
      </c>
      <c r="AM8758">
        <v>93.053467295182003</v>
      </c>
      <c r="AN8758">
        <v>1.00000001002187</v>
      </c>
    </row>
    <row r="8759" spans="1:40" x14ac:dyDescent="0.25">
      <c r="A8759" t="str">
        <f>"20190303154349587"</f>
        <v>20190303154349587</v>
      </c>
      <c r="B8759" t="str">
        <f>"1551599029579189"</f>
        <v>1551599029579189</v>
      </c>
      <c r="C8759" t="s">
        <v>40</v>
      </c>
      <c r="D8759">
        <v>6.1103990000000001</v>
      </c>
      <c r="E8759">
        <v>0.50546049999999998</v>
      </c>
      <c r="F8759" t="s">
        <v>41</v>
      </c>
      <c r="G8759">
        <v>-187.62180000000001</v>
      </c>
      <c r="H8759" s="1">
        <v>-1.9181119999999998E-6</v>
      </c>
      <c r="I8759">
        <v>93.120599999999996</v>
      </c>
      <c r="J8759">
        <v>-187.7551</v>
      </c>
      <c r="K8759">
        <v>1.121294</v>
      </c>
      <c r="L8759">
        <v>76.242890000000003</v>
      </c>
      <c r="M8759">
        <v>4.7654309999999998E-2</v>
      </c>
      <c r="N8759">
        <v>-1.4644590000000001E-2</v>
      </c>
      <c r="O8759">
        <v>0.99875650000000005</v>
      </c>
      <c r="P8759">
        <v>-6.5930669999999898E-3</v>
      </c>
      <c r="Q8759">
        <v>-0.1282066</v>
      </c>
      <c r="R8759">
        <v>0.99172559999999998</v>
      </c>
      <c r="S8759">
        <v>2.5939940000000002E-2</v>
      </c>
      <c r="T8759">
        <v>-0.19537209999999999</v>
      </c>
      <c r="U8759">
        <v>2.9997560000000001</v>
      </c>
      <c r="V8759">
        <v>-5.3672690000000002E-2</v>
      </c>
      <c r="W8759">
        <v>-0.1137746</v>
      </c>
      <c r="X8759">
        <v>0.99205569999999998</v>
      </c>
      <c r="Y8759">
        <v>-3.9008559999999998E-2</v>
      </c>
      <c r="Z8759">
        <v>-5.0237440000000001E-2</v>
      </c>
      <c r="AA8759">
        <v>0.99797519999999995</v>
      </c>
      <c r="AB8759">
        <v>35</v>
      </c>
      <c r="AC8759">
        <v>0.13329999999999101</v>
      </c>
      <c r="AD8759">
        <v>-1.1212959181119999</v>
      </c>
      <c r="AE8759">
        <v>16.877709999999901</v>
      </c>
      <c r="AF8759">
        <v>-0.66828389065763505</v>
      </c>
      <c r="AG8759">
        <v>-1.1212959181119999</v>
      </c>
      <c r="AH8759">
        <v>16.790777270273299</v>
      </c>
      <c r="AI8759">
        <v>93.8175525810979</v>
      </c>
      <c r="AJ8759">
        <v>92.279206424914605</v>
      </c>
      <c r="AK8759">
        <v>16.841440236345999</v>
      </c>
      <c r="AL8759">
        <v>96.532951139576795</v>
      </c>
      <c r="AM8759">
        <v>93.096825511175396</v>
      </c>
      <c r="AN8759">
        <v>0.99999996457974205</v>
      </c>
    </row>
    <row r="8760" spans="1:40" x14ac:dyDescent="0.25">
      <c r="A8760" t="str">
        <f>"20190303154349610"</f>
        <v>20190303154349610</v>
      </c>
      <c r="B8760" t="str">
        <f>"1551599029598709"</f>
        <v>1551599029598709</v>
      </c>
      <c r="C8760" t="s">
        <v>40</v>
      </c>
      <c r="D8760">
        <v>6.1270619999999996</v>
      </c>
      <c r="E8760">
        <v>0.50555430000000001</v>
      </c>
      <c r="F8760" t="s">
        <v>41</v>
      </c>
      <c r="G8760">
        <v>-187.6293</v>
      </c>
      <c r="H8760" s="1">
        <v>-1.9284E-6</v>
      </c>
      <c r="I8760">
        <v>93.147679999999994</v>
      </c>
      <c r="J8760">
        <v>-187.73939999999999</v>
      </c>
      <c r="K8760">
        <v>1.1213139999999999</v>
      </c>
      <c r="L8760">
        <v>76.587459999999993</v>
      </c>
      <c r="M8760">
        <v>4.6863099999999998E-2</v>
      </c>
      <c r="N8760">
        <v>-1.464061E-2</v>
      </c>
      <c r="O8760">
        <v>0.99879399999999996</v>
      </c>
      <c r="P8760">
        <v>-7.5807950000000004E-3</v>
      </c>
      <c r="Q8760">
        <v>-0.12838469999999999</v>
      </c>
      <c r="R8760">
        <v>0.99169549999999995</v>
      </c>
      <c r="S8760">
        <v>2.2308350000000001E-2</v>
      </c>
      <c r="T8760">
        <v>-0.19895389999999999</v>
      </c>
      <c r="U8760">
        <v>2.9994510000000001</v>
      </c>
      <c r="V8760">
        <v>-5.3867850000000002E-2</v>
      </c>
      <c r="W8760">
        <v>-0.11396000000000001</v>
      </c>
      <c r="X8760">
        <v>0.99202389999999996</v>
      </c>
      <c r="Y8760">
        <v>-3.9424189999999998E-2</v>
      </c>
      <c r="Z8760">
        <v>-5.1435979999999999E-2</v>
      </c>
      <c r="AA8760">
        <v>0.99789779999999995</v>
      </c>
      <c r="AB8760">
        <v>35</v>
      </c>
      <c r="AC8760">
        <v>0.110099999999988</v>
      </c>
      <c r="AD8760">
        <v>-1.1213159283999901</v>
      </c>
      <c r="AE8760">
        <v>16.560220000000001</v>
      </c>
      <c r="AF8760">
        <v>-0.66312724683164503</v>
      </c>
      <c r="AG8760">
        <v>-1.1213159283999901</v>
      </c>
      <c r="AH8760">
        <v>16.471665375355901</v>
      </c>
      <c r="AI8760">
        <v>93.8912846432778</v>
      </c>
      <c r="AJ8760">
        <v>92.305406587525297</v>
      </c>
      <c r="AK8760">
        <v>16.523100417127299</v>
      </c>
      <c r="AL8760">
        <v>96.543642938999895</v>
      </c>
      <c r="AM8760">
        <v>93.1081633191706</v>
      </c>
      <c r="AN8760">
        <v>1.0000000225174099</v>
      </c>
    </row>
    <row r="8761" spans="1:40" x14ac:dyDescent="0.25">
      <c r="A8761" t="str">
        <f>"20190303154349633"</f>
        <v>20190303154349633</v>
      </c>
      <c r="B8761" t="str">
        <f>"1551599029628966"</f>
        <v>1551599029628966</v>
      </c>
      <c r="C8761" t="s">
        <v>40</v>
      </c>
      <c r="D8761">
        <v>6.0944890000000003</v>
      </c>
      <c r="E8761">
        <v>0.50570340000000003</v>
      </c>
      <c r="F8761" t="s">
        <v>41</v>
      </c>
      <c r="G8761">
        <v>-187.62729999999999</v>
      </c>
      <c r="H8761" s="1">
        <v>-2.0067129999999999E-6</v>
      </c>
      <c r="I8761">
        <v>93.329390000000004</v>
      </c>
      <c r="J8761">
        <v>-187.72370000000001</v>
      </c>
      <c r="K8761">
        <v>1.121335</v>
      </c>
      <c r="L8761">
        <v>76.939059999999998</v>
      </c>
      <c r="M8761">
        <v>4.6056189999999997E-2</v>
      </c>
      <c r="N8761">
        <v>-1.463658E-2</v>
      </c>
      <c r="O8761">
        <v>0.99883160000000004</v>
      </c>
      <c r="P8761">
        <v>-8.1294780000000007E-3</v>
      </c>
      <c r="Q8761">
        <v>-0.1286562</v>
      </c>
      <c r="R8761">
        <v>0.99165590000000003</v>
      </c>
      <c r="S8761">
        <v>2.0080569999999999E-2</v>
      </c>
      <c r="T8761">
        <v>-0.20088049999999999</v>
      </c>
      <c r="U8761">
        <v>2.9992679999999998</v>
      </c>
      <c r="V8761">
        <v>-5.3609749999999998E-2</v>
      </c>
      <c r="W8761">
        <v>-0.11423709999999999</v>
      </c>
      <c r="X8761">
        <v>0.99200600000000005</v>
      </c>
      <c r="Y8761">
        <v>-3.9357749999999997E-2</v>
      </c>
      <c r="Z8761">
        <v>-5.2085109999999997E-2</v>
      </c>
      <c r="AA8761">
        <v>0.9978667</v>
      </c>
      <c r="AB8761">
        <v>35</v>
      </c>
      <c r="AC8761">
        <v>9.6400000000016903E-2</v>
      </c>
      <c r="AD8761">
        <v>-1.121337006713</v>
      </c>
      <c r="AE8761">
        <v>16.390329999999999</v>
      </c>
      <c r="AF8761">
        <v>-0.65559093290450798</v>
      </c>
      <c r="AG8761">
        <v>-1.121337006713</v>
      </c>
      <c r="AH8761">
        <v>16.3010785965065</v>
      </c>
      <c r="AI8761">
        <v>93.931959051607194</v>
      </c>
      <c r="AJ8761">
        <v>92.303059946041301</v>
      </c>
      <c r="AK8761">
        <v>16.3527477679872</v>
      </c>
      <c r="AL8761">
        <v>96.559624032446393</v>
      </c>
      <c r="AM8761">
        <v>93.093355703359904</v>
      </c>
      <c r="AN8761">
        <v>1.00000001217373</v>
      </c>
    </row>
    <row r="8762" spans="1:40" x14ac:dyDescent="0.25">
      <c r="A8762" t="str">
        <f>"20190303154349655"</f>
        <v>20190303154349655</v>
      </c>
      <c r="B8762" t="str">
        <f>"1551599029648485"</f>
        <v>1551599029648485</v>
      </c>
      <c r="C8762" t="s">
        <v>40</v>
      </c>
      <c r="D8762">
        <v>6.0794319999999997</v>
      </c>
      <c r="E8762">
        <v>0.50580199999999997</v>
      </c>
      <c r="F8762" t="s">
        <v>41</v>
      </c>
      <c r="G8762">
        <v>-187.61449999999999</v>
      </c>
      <c r="H8762" s="1">
        <v>-2.0781480000000001E-6</v>
      </c>
      <c r="I8762">
        <v>93.490600000000001</v>
      </c>
      <c r="J8762">
        <v>-187.70910000000001</v>
      </c>
      <c r="K8762">
        <v>1.121351</v>
      </c>
      <c r="L8762">
        <v>77.271819999999906</v>
      </c>
      <c r="M8762">
        <v>4.5293960000000001E-2</v>
      </c>
      <c r="N8762">
        <v>-1.46328E-2</v>
      </c>
      <c r="O8762">
        <v>0.99886649999999999</v>
      </c>
      <c r="P8762">
        <v>-8.3191619999999997E-3</v>
      </c>
      <c r="Q8762">
        <v>-0.12826460000000001</v>
      </c>
      <c r="R8762">
        <v>0.99170510000000001</v>
      </c>
      <c r="S8762">
        <v>1.979065E-2</v>
      </c>
      <c r="T8762">
        <v>-0.20318059999999999</v>
      </c>
      <c r="U8762">
        <v>2.9990540000000001</v>
      </c>
      <c r="V8762">
        <v>-5.3044019999999997E-2</v>
      </c>
      <c r="W8762">
        <v>-0.11384850000000001</v>
      </c>
      <c r="X8762">
        <v>0.99208099999999999</v>
      </c>
      <c r="Y8762">
        <v>-3.8691669999999997E-2</v>
      </c>
      <c r="Z8762">
        <v>-5.2858870000000002E-2</v>
      </c>
      <c r="AA8762">
        <v>0.99785210000000002</v>
      </c>
      <c r="AB8762">
        <v>34</v>
      </c>
      <c r="AC8762">
        <v>9.4600000000014006E-2</v>
      </c>
      <c r="AD8762">
        <v>-1.1213530781479999</v>
      </c>
      <c r="AE8762">
        <v>16.218779999999999</v>
      </c>
      <c r="AF8762">
        <v>-0.637142977132234</v>
      </c>
      <c r="AG8762">
        <v>-1.1213530781479999</v>
      </c>
      <c r="AH8762">
        <v>16.129317245458299</v>
      </c>
      <c r="AI8762">
        <v>93.973866665401204</v>
      </c>
      <c r="AJ8762">
        <v>92.262131291722199</v>
      </c>
      <c r="AK8762">
        <v>16.180799074947501</v>
      </c>
      <c r="AL8762">
        <v>96.537213218271603</v>
      </c>
      <c r="AM8762">
        <v>93.060543758903705</v>
      </c>
      <c r="AN8762">
        <v>0.99999992978550201</v>
      </c>
    </row>
    <row r="8763" spans="1:40" x14ac:dyDescent="0.25">
      <c r="A8763" t="str">
        <f>"20190303154349677"</f>
        <v>20190303154349677</v>
      </c>
      <c r="B8763" t="str">
        <f>"1551599029668992"</f>
        <v>1551599029668992</v>
      </c>
      <c r="C8763" t="s">
        <v>40</v>
      </c>
      <c r="D8763">
        <v>6.0954470000000001</v>
      </c>
      <c r="E8763">
        <v>0.50589200000000001</v>
      </c>
      <c r="F8763" t="s">
        <v>41</v>
      </c>
      <c r="G8763">
        <v>-187.5984</v>
      </c>
      <c r="H8763" s="1">
        <v>-2.2266469999999998E-6</v>
      </c>
      <c r="I8763">
        <v>93.830100000000002</v>
      </c>
      <c r="J8763">
        <v>-187.6944</v>
      </c>
      <c r="K8763">
        <v>1.121364</v>
      </c>
      <c r="L8763">
        <v>77.612399999999994</v>
      </c>
      <c r="M8763">
        <v>4.451546E-2</v>
      </c>
      <c r="N8763">
        <v>-1.4629E-2</v>
      </c>
      <c r="O8763">
        <v>0.99890159999999995</v>
      </c>
      <c r="P8763">
        <v>-8.2802199999999996E-3</v>
      </c>
      <c r="Q8763">
        <v>-0.12776319999999999</v>
      </c>
      <c r="R8763">
        <v>0.99177009999999999</v>
      </c>
      <c r="S8763">
        <v>2.005005E-2</v>
      </c>
      <c r="T8763">
        <v>-0.20309659999999999</v>
      </c>
      <c r="U8763">
        <v>2.998993</v>
      </c>
      <c r="V8763">
        <v>-5.223477E-2</v>
      </c>
      <c r="W8763">
        <v>-0.1133488</v>
      </c>
      <c r="X8763">
        <v>0.99218119999999999</v>
      </c>
      <c r="Y8763">
        <v>-3.782696E-2</v>
      </c>
      <c r="Z8763">
        <v>-5.2840909999999998E-2</v>
      </c>
      <c r="AA8763">
        <v>0.99788619999999995</v>
      </c>
      <c r="AB8763">
        <v>34</v>
      </c>
      <c r="AC8763">
        <v>9.6000000000003596E-2</v>
      </c>
      <c r="AD8763">
        <v>-1.1213662266469999</v>
      </c>
      <c r="AE8763">
        <v>16.217700000000001</v>
      </c>
      <c r="AF8763">
        <v>-0.62313173675853495</v>
      </c>
      <c r="AG8763">
        <v>-1.1213662266469999</v>
      </c>
      <c r="AH8763">
        <v>16.128785213786401</v>
      </c>
      <c r="AI8763">
        <v>93.974177816869798</v>
      </c>
      <c r="AJ8763">
        <v>92.212508266586596</v>
      </c>
      <c r="AK8763">
        <v>16.1797239731732</v>
      </c>
      <c r="AL8763">
        <v>96.508395660007807</v>
      </c>
      <c r="AM8763">
        <v>93.013634437781704</v>
      </c>
      <c r="AN8763">
        <v>0.99999997764591597</v>
      </c>
    </row>
    <row r="8764" spans="1:40" x14ac:dyDescent="0.25">
      <c r="A8764" t="str">
        <f>"20190303154349701"</f>
        <v>20190303154349701</v>
      </c>
      <c r="B8764" t="str">
        <f>"1551599029699238"</f>
        <v>1551599029699238</v>
      </c>
      <c r="C8764" t="s">
        <v>40</v>
      </c>
      <c r="D8764">
        <v>6.0871899999999997</v>
      </c>
      <c r="E8764">
        <v>0.50603560000000003</v>
      </c>
      <c r="F8764" t="s">
        <v>41</v>
      </c>
      <c r="G8764">
        <v>-187.57900000000001</v>
      </c>
      <c r="H8764" s="1">
        <v>-2.3839070000000001E-6</v>
      </c>
      <c r="I8764">
        <v>94.188680000000005</v>
      </c>
      <c r="J8764">
        <v>-187.679</v>
      </c>
      <c r="K8764">
        <v>1.1213679999999999</v>
      </c>
      <c r="L8764">
        <v>77.978880000000004</v>
      </c>
      <c r="M8764">
        <v>4.3677059999999997E-2</v>
      </c>
      <c r="N8764">
        <v>-1.4625010000000001E-2</v>
      </c>
      <c r="O8764">
        <v>0.99893860000000001</v>
      </c>
      <c r="P8764">
        <v>-8.5516749999999999E-3</v>
      </c>
      <c r="Q8764">
        <v>-0.12760450000000001</v>
      </c>
      <c r="R8764">
        <v>0.99178829999999996</v>
      </c>
      <c r="S8764">
        <v>2.087402E-2</v>
      </c>
      <c r="T8764">
        <v>-0.20287430000000001</v>
      </c>
      <c r="U8764">
        <v>2.9989319999999999</v>
      </c>
      <c r="V8764">
        <v>-5.1674560000000001E-2</v>
      </c>
      <c r="W8764">
        <v>-0.11319319999999999</v>
      </c>
      <c r="X8764">
        <v>0.99222829999999995</v>
      </c>
      <c r="Y8764">
        <v>-3.6714610000000002E-2</v>
      </c>
      <c r="Z8764">
        <v>-5.2777829999999998E-2</v>
      </c>
      <c r="AA8764">
        <v>0.99793109999999996</v>
      </c>
      <c r="AB8764">
        <v>34</v>
      </c>
      <c r="AC8764">
        <v>9.9999999999994302E-2</v>
      </c>
      <c r="AD8764">
        <v>-1.1213703839069999</v>
      </c>
      <c r="AE8764">
        <v>16.209800000000001</v>
      </c>
      <c r="AF8764">
        <v>-0.60527110270510498</v>
      </c>
      <c r="AG8764">
        <v>-1.1213703839069999</v>
      </c>
      <c r="AH8764">
        <v>16.121546396088998</v>
      </c>
      <c r="AI8764">
        <v>93.976135641055507</v>
      </c>
      <c r="AJ8764">
        <v>92.150116259506106</v>
      </c>
      <c r="AK8764">
        <v>16.1718299164604</v>
      </c>
      <c r="AL8764">
        <v>96.499422672260394</v>
      </c>
      <c r="AM8764">
        <v>92.981231022564401</v>
      </c>
      <c r="AN8764">
        <v>0.99999997999916101</v>
      </c>
    </row>
    <row r="8765" spans="1:40" x14ac:dyDescent="0.25">
      <c r="A8765" t="str">
        <f>"20190303154349723"</f>
        <v>20190303154349723</v>
      </c>
      <c r="B8765" t="str">
        <f>"1551599029718757"</f>
        <v>1551599029718757</v>
      </c>
      <c r="C8765" t="s">
        <v>40</v>
      </c>
      <c r="D8765">
        <v>6.0870139999999999</v>
      </c>
      <c r="E8765">
        <v>0.50612900000000005</v>
      </c>
      <c r="F8765" t="s">
        <v>41</v>
      </c>
      <c r="G8765">
        <v>-187.56209999999999</v>
      </c>
      <c r="H8765" s="1">
        <v>-2.5182869999999999E-6</v>
      </c>
      <c r="I8765">
        <v>94.494910000000004</v>
      </c>
      <c r="J8765">
        <v>-187.66480000000001</v>
      </c>
      <c r="K8765">
        <v>1.1213709999999999</v>
      </c>
      <c r="L8765">
        <v>78.321529999999996</v>
      </c>
      <c r="M8765">
        <v>4.2891650000000003E-2</v>
      </c>
      <c r="N8765">
        <v>-1.462129E-2</v>
      </c>
      <c r="O8765">
        <v>0.99897270000000005</v>
      </c>
      <c r="P8765">
        <v>-8.7550530000000005E-3</v>
      </c>
      <c r="Q8765">
        <v>-0.12746379999999999</v>
      </c>
      <c r="R8765">
        <v>0.99180460000000004</v>
      </c>
      <c r="S8765">
        <v>2.1224980000000001E-2</v>
      </c>
      <c r="T8765">
        <v>-0.20360900000000001</v>
      </c>
      <c r="U8765">
        <v>2.99884</v>
      </c>
      <c r="V8765">
        <v>-5.1098610000000003E-2</v>
      </c>
      <c r="W8765">
        <v>-0.11305510000000001</v>
      </c>
      <c r="X8765">
        <v>0.99227390000000004</v>
      </c>
      <c r="Y8765">
        <v>-3.5812469999999999E-2</v>
      </c>
      <c r="Z8765">
        <v>-5.3031219999999997E-2</v>
      </c>
      <c r="AA8765">
        <v>0.99795049999999996</v>
      </c>
      <c r="AB8765">
        <v>34</v>
      </c>
      <c r="AC8765">
        <v>0.10270000000002701</v>
      </c>
      <c r="AD8765">
        <v>-1.1213735182869999</v>
      </c>
      <c r="AE8765">
        <v>16.173379999999899</v>
      </c>
      <c r="AF8765">
        <v>-0.5883434576555</v>
      </c>
      <c r="AG8765">
        <v>-1.1213735182869999</v>
      </c>
      <c r="AH8765">
        <v>16.085573711392598</v>
      </c>
      <c r="AI8765">
        <v>93.985152449348703</v>
      </c>
      <c r="AJ8765">
        <v>92.094707813250494</v>
      </c>
      <c r="AK8765">
        <v>16.135343448973298</v>
      </c>
      <c r="AL8765">
        <v>96.491458821849605</v>
      </c>
      <c r="AM8765">
        <v>92.947926771771606</v>
      </c>
      <c r="AN8765">
        <v>1.00000000810057</v>
      </c>
    </row>
    <row r="8766" spans="1:40" x14ac:dyDescent="0.25">
      <c r="A8766" t="str">
        <f>"20190303154349744"</f>
        <v>20190303154349744</v>
      </c>
      <c r="B8766" t="str">
        <f>"1551599029739254"</f>
        <v>1551599029739254</v>
      </c>
      <c r="C8766" t="s">
        <v>40</v>
      </c>
      <c r="D8766">
        <v>6.1184089999999998</v>
      </c>
      <c r="E8766">
        <v>0.50621720000000003</v>
      </c>
      <c r="F8766" t="s">
        <v>41</v>
      </c>
      <c r="G8766">
        <v>-187.5479</v>
      </c>
      <c r="H8766" s="1">
        <v>-2.6539959999999998E-6</v>
      </c>
      <c r="I8766">
        <v>94.805409999999995</v>
      </c>
      <c r="J8766">
        <v>-187.65170000000001</v>
      </c>
      <c r="K8766">
        <v>1.121372</v>
      </c>
      <c r="L8766">
        <v>78.643190000000004</v>
      </c>
      <c r="M8766">
        <v>4.2153160000000002E-2</v>
      </c>
      <c r="N8766">
        <v>-1.4617929999999999E-2</v>
      </c>
      <c r="O8766">
        <v>0.99900420000000001</v>
      </c>
      <c r="P8766">
        <v>-8.9655869999999901E-3</v>
      </c>
      <c r="Q8766">
        <v>-0.12787699999999999</v>
      </c>
      <c r="R8766">
        <v>0.99174949999999995</v>
      </c>
      <c r="S8766">
        <v>2.1255489999999998E-2</v>
      </c>
      <c r="T8766">
        <v>-0.2040004</v>
      </c>
      <c r="U8766">
        <v>2.9987490000000001</v>
      </c>
      <c r="V8766">
        <v>-5.0572890000000002E-2</v>
      </c>
      <c r="W8766">
        <v>-0.1134713</v>
      </c>
      <c r="X8766">
        <v>0.9922533</v>
      </c>
      <c r="Y8766">
        <v>-3.5063799999999999E-2</v>
      </c>
      <c r="Z8766">
        <v>-5.3170189999999999E-2</v>
      </c>
      <c r="AA8766">
        <v>0.99796969999999996</v>
      </c>
      <c r="AB8766">
        <v>34</v>
      </c>
      <c r="AC8766">
        <v>0.103800000000006</v>
      </c>
      <c r="AD8766">
        <v>-1.1213746539959999</v>
      </c>
      <c r="AE8766">
        <v>16.162219999999898</v>
      </c>
      <c r="AF8766">
        <v>-0.57488639425633203</v>
      </c>
      <c r="AG8766">
        <v>-1.1213746539959999</v>
      </c>
      <c r="AH8766">
        <v>16.074847334650201</v>
      </c>
      <c r="AI8766">
        <v>93.987923797706898</v>
      </c>
      <c r="AJ8766">
        <v>92.048201850389503</v>
      </c>
      <c r="AK8766">
        <v>16.124164856303</v>
      </c>
      <c r="AL8766">
        <v>96.515459940111995</v>
      </c>
      <c r="AM8766">
        <v>92.917710635603896</v>
      </c>
      <c r="AN8766">
        <v>0.99999998224376496</v>
      </c>
    </row>
    <row r="8767" spans="1:40" x14ac:dyDescent="0.25">
      <c r="A8767" t="str">
        <f>"20190303154349768"</f>
        <v>20190303154349768</v>
      </c>
      <c r="B8767" t="str">
        <f>"1551599029758773"</f>
        <v>1551599029758773</v>
      </c>
      <c r="C8767" t="s">
        <v>40</v>
      </c>
      <c r="D8767">
        <v>6.0050949999999998</v>
      </c>
      <c r="E8767">
        <v>0.50621400000000005</v>
      </c>
      <c r="F8767" t="s">
        <v>41</v>
      </c>
      <c r="G8767">
        <v>-187.53649999999999</v>
      </c>
      <c r="H8767" s="1">
        <v>-2.7169760000000002E-6</v>
      </c>
      <c r="I8767">
        <v>94.947469999999996</v>
      </c>
      <c r="J8767">
        <v>-187.63749999999999</v>
      </c>
      <c r="K8767">
        <v>1.12137</v>
      </c>
      <c r="L8767">
        <v>78.999969999999905</v>
      </c>
      <c r="M8767">
        <v>4.1332979999999998E-2</v>
      </c>
      <c r="N8767">
        <v>-1.4614149999999999E-2</v>
      </c>
      <c r="O8767">
        <v>0.99903850000000005</v>
      </c>
      <c r="P8767">
        <v>-9.6923219999999997E-3</v>
      </c>
      <c r="Q8767">
        <v>-0.12817229999999999</v>
      </c>
      <c r="R8767">
        <v>0.99170449999999999</v>
      </c>
      <c r="S8767">
        <v>2.1194459999999998E-2</v>
      </c>
      <c r="T8767">
        <v>-0.2062351</v>
      </c>
      <c r="U8767">
        <v>2.9985659999999998</v>
      </c>
      <c r="V8767">
        <v>-5.048267E-2</v>
      </c>
      <c r="W8767">
        <v>-0.113771</v>
      </c>
      <c r="X8767">
        <v>0.99222359999999998</v>
      </c>
      <c r="Y8767">
        <v>-3.4263769999999999E-2</v>
      </c>
      <c r="Z8767">
        <v>-5.3921999999999998E-2</v>
      </c>
      <c r="AA8767">
        <v>0.99795710000000004</v>
      </c>
      <c r="AB8767">
        <v>34</v>
      </c>
      <c r="AC8767">
        <v>0.10099999999999899</v>
      </c>
      <c r="AD8767">
        <v>-1.1213727169759999</v>
      </c>
      <c r="AE8767">
        <v>15.9475</v>
      </c>
      <c r="AF8767">
        <v>-0.55556761243889896</v>
      </c>
      <c r="AG8767">
        <v>-1.1213727169759999</v>
      </c>
      <c r="AH8767">
        <v>15.859630444655799</v>
      </c>
      <c r="AI8767">
        <v>94.041959592376799</v>
      </c>
      <c r="AJ8767">
        <v>92.006267968578996</v>
      </c>
      <c r="AK8767">
        <v>15.9089286246253</v>
      </c>
      <c r="AL8767">
        <v>96.5327432522717</v>
      </c>
      <c r="AM8767">
        <v>92.912601556730294</v>
      </c>
      <c r="AN8767">
        <v>1.0000000064041401</v>
      </c>
    </row>
    <row r="8768" spans="1:40" x14ac:dyDescent="0.25">
      <c r="A8768" t="str">
        <f>"20190303154349790"</f>
        <v>20190303154349790</v>
      </c>
      <c r="B8768" t="str">
        <f>"1551599029779269"</f>
        <v>1551599029779269</v>
      </c>
      <c r="C8768" t="s">
        <v>40</v>
      </c>
      <c r="D8768">
        <v>5.9676640000000001</v>
      </c>
      <c r="E8768">
        <v>0.4945388</v>
      </c>
      <c r="F8768" t="s">
        <v>41</v>
      </c>
      <c r="G8768">
        <v>-187.53229999999999</v>
      </c>
      <c r="H8768" s="1">
        <v>-2.8516439999999999E-6</v>
      </c>
      <c r="I8768">
        <v>95.259680000000003</v>
      </c>
      <c r="J8768">
        <v>-187.62430000000001</v>
      </c>
      <c r="K8768">
        <v>1.121372</v>
      </c>
      <c r="L8768">
        <v>79.338409999999996</v>
      </c>
      <c r="M8768">
        <v>4.0553329999999999E-2</v>
      </c>
      <c r="N8768">
        <v>-1.4610389999999999E-2</v>
      </c>
      <c r="O8768">
        <v>0.99907049999999997</v>
      </c>
      <c r="P8768">
        <v>-1.061433E-2</v>
      </c>
      <c r="Q8768">
        <v>-0.1286117</v>
      </c>
      <c r="R8768">
        <v>0.99163820000000003</v>
      </c>
      <c r="S8768">
        <v>1.9393919999999999E-2</v>
      </c>
      <c r="T8768">
        <v>-0.20680009999999999</v>
      </c>
      <c r="U8768">
        <v>2.9985659999999998</v>
      </c>
      <c r="V8768">
        <v>-5.0627680000000001E-2</v>
      </c>
      <c r="W8768">
        <v>-0.11421539999999999</v>
      </c>
      <c r="X8768">
        <v>0.99216510000000002</v>
      </c>
      <c r="Y8768">
        <v>-3.4083200000000001E-2</v>
      </c>
      <c r="Z8768">
        <v>-5.411618E-2</v>
      </c>
      <c r="AA8768">
        <v>0.99795279999999997</v>
      </c>
      <c r="AB8768">
        <v>34</v>
      </c>
      <c r="AC8768">
        <v>9.2000000000012905E-2</v>
      </c>
      <c r="AD8768">
        <v>-1.1213748516439901</v>
      </c>
      <c r="AE8768">
        <v>15.92127</v>
      </c>
      <c r="AF8768">
        <v>-0.55107154001561898</v>
      </c>
      <c r="AG8768">
        <v>-1.1213748516439901</v>
      </c>
      <c r="AH8768">
        <v>15.833358769584899</v>
      </c>
      <c r="AI8768">
        <v>94.048683437091299</v>
      </c>
      <c r="AJ8768">
        <v>91.993344184209604</v>
      </c>
      <c r="AK8768">
        <v>15.8825820106966</v>
      </c>
      <c r="AL8768">
        <v>96.558372914915495</v>
      </c>
      <c r="AM8768">
        <v>92.921125378962401</v>
      </c>
      <c r="AN8768">
        <v>0.99999995261867503</v>
      </c>
    </row>
    <row r="8769" spans="1:40" x14ac:dyDescent="0.25">
      <c r="A8769" t="str">
        <f>"20190303154349817"</f>
        <v>20190303154349817</v>
      </c>
      <c r="B8769" t="str">
        <f>"1551599029808550"</f>
        <v>1551599029808550</v>
      </c>
      <c r="C8769" t="s">
        <v>40</v>
      </c>
      <c r="D8769">
        <v>5.9770849999999998</v>
      </c>
      <c r="E8769">
        <v>0.49390709999999999</v>
      </c>
      <c r="F8769" t="s">
        <v>41</v>
      </c>
      <c r="G8769">
        <v>-188.08869999999999</v>
      </c>
      <c r="H8769" s="1">
        <v>-3.7050629999999999E-6</v>
      </c>
      <c r="I8769">
        <v>97.479069999999993</v>
      </c>
      <c r="J8769">
        <v>-187.6087</v>
      </c>
      <c r="K8769">
        <v>1.1213709999999999</v>
      </c>
      <c r="L8769">
        <v>79.745329999999996</v>
      </c>
      <c r="M8769">
        <v>3.9611430000000003E-2</v>
      </c>
      <c r="N8769">
        <v>-1.460579E-2</v>
      </c>
      <c r="O8769">
        <v>0.99910840000000001</v>
      </c>
      <c r="P8769">
        <v>-1.1749570000000001E-2</v>
      </c>
      <c r="Q8769">
        <v>-0.12915969999999999</v>
      </c>
      <c r="R8769">
        <v>0.99155420000000005</v>
      </c>
      <c r="S8769">
        <v>-7.6812740000000004E-2</v>
      </c>
      <c r="T8769">
        <v>-0.1854731</v>
      </c>
      <c r="U8769">
        <v>3.0004270000000002</v>
      </c>
      <c r="V8769">
        <v>-5.0823590000000002E-2</v>
      </c>
      <c r="W8769">
        <v>-0.1147696</v>
      </c>
      <c r="X8769">
        <v>0.99209119999999995</v>
      </c>
      <c r="Y8769">
        <v>-6.5110130000000002E-2</v>
      </c>
      <c r="Z8769">
        <v>-4.6957730000000003E-2</v>
      </c>
      <c r="AA8769">
        <v>0.99677260000000001</v>
      </c>
      <c r="AB8769">
        <v>34</v>
      </c>
      <c r="AC8769">
        <v>-0.47999999999998899</v>
      </c>
      <c r="AD8769">
        <v>-1.1213747050630001</v>
      </c>
      <c r="AE8769">
        <v>17.733739999999901</v>
      </c>
      <c r="AF8769">
        <v>-1.17745230304689</v>
      </c>
      <c r="AG8769">
        <v>-1.1213747050630001</v>
      </c>
      <c r="AH8769">
        <v>17.6303593639844</v>
      </c>
      <c r="AI8769">
        <v>93.631313920725702</v>
      </c>
      <c r="AJ8769">
        <v>93.820853101073197</v>
      </c>
      <c r="AK8769">
        <v>17.705181344971798</v>
      </c>
      <c r="AL8769">
        <v>96.590335955462393</v>
      </c>
      <c r="AM8769">
        <v>92.932627391172403</v>
      </c>
      <c r="AN8769">
        <v>1.00000002375104</v>
      </c>
    </row>
    <row r="8770" spans="1:40" x14ac:dyDescent="0.25">
      <c r="A8770" t="str">
        <f>"20190303154349833"</f>
        <v>20190303154349833</v>
      </c>
      <c r="B8770" t="str">
        <f>"1551599029829046"</f>
        <v>1551599029829046</v>
      </c>
      <c r="C8770" t="s">
        <v>40</v>
      </c>
      <c r="D8770">
        <v>5.9635740000000004</v>
      </c>
      <c r="E8770">
        <v>0.49394539999999998</v>
      </c>
      <c r="F8770" t="s">
        <v>41</v>
      </c>
      <c r="G8770">
        <v>-188.1311</v>
      </c>
      <c r="H8770" s="1">
        <v>-3.9940299999999998E-6</v>
      </c>
      <c r="I8770">
        <v>98.170180000000002</v>
      </c>
      <c r="J8770">
        <v>-187.59899999999999</v>
      </c>
      <c r="K8770">
        <v>1.121375</v>
      </c>
      <c r="L8770">
        <v>80.005459999999999</v>
      </c>
      <c r="M8770">
        <v>3.9003879999999998E-2</v>
      </c>
      <c r="N8770">
        <v>-1.4602820000000001E-2</v>
      </c>
      <c r="O8770">
        <v>0.99913229999999997</v>
      </c>
      <c r="P8770">
        <v>-1.2566920000000001E-2</v>
      </c>
      <c r="Q8770">
        <v>-0.1300751</v>
      </c>
      <c r="R8770">
        <v>0.99142450000000004</v>
      </c>
      <c r="S8770">
        <v>-8.5067749999999998E-2</v>
      </c>
      <c r="T8770">
        <v>-0.18263270000000001</v>
      </c>
      <c r="U8770">
        <v>3.0007630000000001</v>
      </c>
      <c r="V8770">
        <v>-5.1030510000000001E-2</v>
      </c>
      <c r="W8770">
        <v>-0.1156904</v>
      </c>
      <c r="X8770">
        <v>0.99197360000000001</v>
      </c>
      <c r="Y8770">
        <v>-6.7240980000000006E-2</v>
      </c>
      <c r="Z8770">
        <v>-4.6009080000000001E-2</v>
      </c>
      <c r="AA8770">
        <v>0.99667539999999999</v>
      </c>
      <c r="AB8770">
        <v>34</v>
      </c>
      <c r="AC8770">
        <v>-0.53209999999998503</v>
      </c>
      <c r="AD8770">
        <v>-1.1213789940300001</v>
      </c>
      <c r="AE8770">
        <v>18.164719999999999</v>
      </c>
      <c r="AF8770">
        <v>-1.2355603894623799</v>
      </c>
      <c r="AG8770">
        <v>-1.1213789940300001</v>
      </c>
      <c r="AH8770">
        <v>18.061364405188701</v>
      </c>
      <c r="AI8770">
        <v>93.544509449959406</v>
      </c>
      <c r="AJ8770">
        <v>93.913451487128</v>
      </c>
      <c r="AK8770">
        <v>18.138274022113499</v>
      </c>
      <c r="AL8770">
        <v>96.643447838656897</v>
      </c>
      <c r="AM8770">
        <v>92.944894604403899</v>
      </c>
      <c r="AN8770">
        <v>1.00000000234999</v>
      </c>
    </row>
    <row r="8771" spans="1:40" x14ac:dyDescent="0.25">
      <c r="A8771" t="str">
        <f>"20190303154349857"</f>
        <v>20190303154349857</v>
      </c>
      <c r="B8771" t="str">
        <f>"1551599029848567"</f>
        <v>1551599029848567</v>
      </c>
      <c r="C8771" t="s">
        <v>40</v>
      </c>
      <c r="D8771">
        <v>5.9763599999999997</v>
      </c>
      <c r="E8771">
        <v>0.49403560000000002</v>
      </c>
      <c r="F8771" t="s">
        <v>41</v>
      </c>
      <c r="G8771">
        <v>-188.12690000000001</v>
      </c>
      <c r="H8771" s="1">
        <v>-4.0100060000000003E-6</v>
      </c>
      <c r="I8771">
        <v>98.205680000000001</v>
      </c>
      <c r="J8771">
        <v>-187.5865</v>
      </c>
      <c r="K8771">
        <v>1.1213759999999999</v>
      </c>
      <c r="L8771">
        <v>80.346159999999998</v>
      </c>
      <c r="M8771">
        <v>3.8202769999999997E-2</v>
      </c>
      <c r="N8771">
        <v>-1.4598949999999999E-2</v>
      </c>
      <c r="O8771">
        <v>0.99916329999999998</v>
      </c>
      <c r="P8771">
        <v>-1.3192880000000001E-2</v>
      </c>
      <c r="Q8771">
        <v>-0.13050809999999999</v>
      </c>
      <c r="R8771">
        <v>0.99135949999999995</v>
      </c>
      <c r="S8771">
        <v>-8.702087E-2</v>
      </c>
      <c r="T8771">
        <v>-0.18487619999999999</v>
      </c>
      <c r="U8771">
        <v>3.0005799999999998</v>
      </c>
      <c r="V8771">
        <v>-5.0857609999999998E-2</v>
      </c>
      <c r="W8771">
        <v>-0.1161281</v>
      </c>
      <c r="X8771">
        <v>0.99193129999999996</v>
      </c>
      <c r="Y8771">
        <v>-6.7089659999999995E-2</v>
      </c>
      <c r="Z8771">
        <v>-4.6761469999999999E-2</v>
      </c>
      <c r="AA8771">
        <v>0.99665060000000005</v>
      </c>
      <c r="AB8771">
        <v>34</v>
      </c>
      <c r="AC8771">
        <v>-0.54040000000000499</v>
      </c>
      <c r="AD8771">
        <v>-1.1213800100059901</v>
      </c>
      <c r="AE8771">
        <v>17.85952</v>
      </c>
      <c r="AF8771">
        <v>-1.21756552359758</v>
      </c>
      <c r="AG8771">
        <v>-1.1213800100059901</v>
      </c>
      <c r="AH8771">
        <v>17.755895254236499</v>
      </c>
      <c r="AI8771">
        <v>93.605292247912999</v>
      </c>
      <c r="AJ8771">
        <v>93.922772052528103</v>
      </c>
      <c r="AK8771">
        <v>17.832884657578902</v>
      </c>
      <c r="AL8771">
        <v>96.668696611561998</v>
      </c>
      <c r="AM8771">
        <v>92.935059216498303</v>
      </c>
      <c r="AN8771">
        <v>0.999999968012105</v>
      </c>
    </row>
    <row r="8772" spans="1:40" x14ac:dyDescent="0.25">
      <c r="A8772" t="str">
        <f>"20190303154349879"</f>
        <v>20190303154349879</v>
      </c>
      <c r="B8772" t="str">
        <f>"1551599029869065"</f>
        <v>1551599029869065</v>
      </c>
      <c r="C8772" t="s">
        <v>40</v>
      </c>
      <c r="D8772">
        <v>5.9675200000000004</v>
      </c>
      <c r="E8772">
        <v>0.49412200000000001</v>
      </c>
      <c r="F8772" t="s">
        <v>41</v>
      </c>
      <c r="G8772">
        <v>-188.11930000000001</v>
      </c>
      <c r="H8772" s="1">
        <v>-4.1492150000000002E-6</v>
      </c>
      <c r="I8772">
        <v>98.527069999999995</v>
      </c>
      <c r="J8772">
        <v>-187.57409999999999</v>
      </c>
      <c r="K8772">
        <v>1.121383</v>
      </c>
      <c r="L8772">
        <v>80.693299999999994</v>
      </c>
      <c r="M8772">
        <v>3.7367619999999997E-2</v>
      </c>
      <c r="N8772">
        <v>-1.459512E-2</v>
      </c>
      <c r="O8772">
        <v>0.99919500000000006</v>
      </c>
      <c r="P8772">
        <v>-1.3644679999999999E-2</v>
      </c>
      <c r="Q8772">
        <v>-0.13044310000000001</v>
      </c>
      <c r="R8772">
        <v>0.99136190000000002</v>
      </c>
      <c r="S8772">
        <v>-8.7936399999999998E-2</v>
      </c>
      <c r="T8772">
        <v>-0.18507470000000001</v>
      </c>
      <c r="U8772">
        <v>3.00061</v>
      </c>
      <c r="V8772">
        <v>-5.0479110000000001E-2</v>
      </c>
      <c r="W8772">
        <v>-0.11606710000000001</v>
      </c>
      <c r="X8772">
        <v>0.9919578</v>
      </c>
      <c r="Y8772">
        <v>-6.6559399999999894E-2</v>
      </c>
      <c r="Z8772">
        <v>-4.6834170000000001E-2</v>
      </c>
      <c r="AA8772">
        <v>0.99668270000000003</v>
      </c>
      <c r="AB8772">
        <v>34</v>
      </c>
      <c r="AC8772">
        <v>-0.545200000000022</v>
      </c>
      <c r="AD8772">
        <v>-1.121387149215</v>
      </c>
      <c r="AE8772">
        <v>17.833770000000001</v>
      </c>
      <c r="AF8772">
        <v>-1.2065296384050901</v>
      </c>
      <c r="AG8772">
        <v>-1.121387149215</v>
      </c>
      <c r="AH8772">
        <v>17.730896411166601</v>
      </c>
      <c r="AI8772">
        <v>93.610513565405</v>
      </c>
      <c r="AJ8772">
        <v>93.892789882389707</v>
      </c>
      <c r="AK8772">
        <v>17.807243201862999</v>
      </c>
      <c r="AL8772">
        <v>96.6651775957327</v>
      </c>
      <c r="AM8772">
        <v>92.913175562850896</v>
      </c>
      <c r="AN8772">
        <v>0.99999999461482103</v>
      </c>
    </row>
    <row r="8773" spans="1:40" x14ac:dyDescent="0.25">
      <c r="A8773" t="str">
        <f>"20190303154349903"</f>
        <v>20190303154349903</v>
      </c>
      <c r="B8773" t="str">
        <f>"1551599029899317"</f>
        <v>1551599029899317</v>
      </c>
      <c r="C8773" t="s">
        <v>40</v>
      </c>
      <c r="D8773">
        <v>6.0034020000000003</v>
      </c>
      <c r="E8773">
        <v>0.49441400000000002</v>
      </c>
      <c r="F8773" t="s">
        <v>41</v>
      </c>
      <c r="G8773">
        <v>-188.11160000000001</v>
      </c>
      <c r="H8773" s="1">
        <v>-4.3131100000000001E-6</v>
      </c>
      <c r="I8773">
        <v>98.905910000000006</v>
      </c>
      <c r="J8773">
        <v>-187.56200000000001</v>
      </c>
      <c r="K8773">
        <v>1.121399</v>
      </c>
      <c r="L8773">
        <v>81.041929999999994</v>
      </c>
      <c r="M8773">
        <v>3.6508789999999999E-2</v>
      </c>
      <c r="N8773">
        <v>-1.4591369999999999E-2</v>
      </c>
      <c r="O8773">
        <v>0.99922679999999997</v>
      </c>
      <c r="P8773">
        <v>-1.371355E-2</v>
      </c>
      <c r="Q8773">
        <v>-0.13029949999999901</v>
      </c>
      <c r="R8773">
        <v>0.99137989999999998</v>
      </c>
      <c r="S8773">
        <v>-8.8546749999999994E-2</v>
      </c>
      <c r="T8773">
        <v>-0.18475369999999999</v>
      </c>
      <c r="U8773">
        <v>3.00061</v>
      </c>
      <c r="V8773">
        <v>-4.969378E-2</v>
      </c>
      <c r="W8773">
        <v>-0.1159266</v>
      </c>
      <c r="X8773">
        <v>0.9920139</v>
      </c>
      <c r="Y8773">
        <v>-6.590493E-2</v>
      </c>
      <c r="Z8773">
        <v>-4.673592E-2</v>
      </c>
      <c r="AA8773">
        <v>0.99673080000000003</v>
      </c>
      <c r="AB8773">
        <v>34</v>
      </c>
      <c r="AC8773">
        <v>-0.54959999999999798</v>
      </c>
      <c r="AD8773">
        <v>-1.1214033131100001</v>
      </c>
      <c r="AE8773">
        <v>17.863979999999898</v>
      </c>
      <c r="AF8773">
        <v>-1.1967836172380599</v>
      </c>
      <c r="AG8773">
        <v>-1.1214033131100001</v>
      </c>
      <c r="AH8773">
        <v>17.762072929936</v>
      </c>
      <c r="AI8773">
        <v>93.6044067106683</v>
      </c>
      <c r="AJ8773">
        <v>93.854683226294497</v>
      </c>
      <c r="AK8773">
        <v>17.8376307615532</v>
      </c>
      <c r="AL8773">
        <v>96.657072704633606</v>
      </c>
      <c r="AM8773">
        <v>92.867768107144798</v>
      </c>
      <c r="AN8773">
        <v>1.0000000130757201</v>
      </c>
    </row>
    <row r="8774" spans="1:40" x14ac:dyDescent="0.25">
      <c r="A8774" t="str">
        <f>"20190303154349924"</f>
        <v>20190303154349924</v>
      </c>
      <c r="B8774" t="str">
        <f>"1551599029918837"</f>
        <v>1551599029918837</v>
      </c>
      <c r="C8774" t="s">
        <v>40</v>
      </c>
      <c r="D8774">
        <v>5.9806759999999999</v>
      </c>
      <c r="E8774">
        <v>0.49446800000000002</v>
      </c>
      <c r="F8774" t="s">
        <v>41</v>
      </c>
      <c r="G8774">
        <v>-188.0772</v>
      </c>
      <c r="H8774" s="1">
        <v>-4.3459119999999997E-6</v>
      </c>
      <c r="I8774">
        <v>98.968149999999994</v>
      </c>
      <c r="J8774">
        <v>-187.5506</v>
      </c>
      <c r="K8774">
        <v>1.1214109999999999</v>
      </c>
      <c r="L8774">
        <v>81.376710000000003</v>
      </c>
      <c r="M8774">
        <v>3.5657500000000002E-2</v>
      </c>
      <c r="N8774">
        <v>-1.4587940000000001E-2</v>
      </c>
      <c r="O8774">
        <v>0.99925759999999997</v>
      </c>
      <c r="P8774">
        <v>-1.3164550000000001E-2</v>
      </c>
      <c r="Q8774">
        <v>-0.13101479999999999</v>
      </c>
      <c r="R8774">
        <v>0.99129299999999998</v>
      </c>
      <c r="S8774">
        <v>-8.6227419999999999E-2</v>
      </c>
      <c r="T8774">
        <v>-0.18768319999999999</v>
      </c>
      <c r="U8774">
        <v>3.0002140000000002</v>
      </c>
      <c r="V8774">
        <v>-4.8292309999999998E-2</v>
      </c>
      <c r="W8774">
        <v>-0.11664529999999999</v>
      </c>
      <c r="X8774">
        <v>0.99199890000000002</v>
      </c>
      <c r="Y8774">
        <v>-6.4287880000000006E-2</v>
      </c>
      <c r="Z8774">
        <v>-4.7724049999999997E-2</v>
      </c>
      <c r="AA8774">
        <v>0.99678960000000005</v>
      </c>
      <c r="AB8774">
        <v>34</v>
      </c>
      <c r="AC8774">
        <v>-0.52660000000000196</v>
      </c>
      <c r="AD8774">
        <v>-1.121415345912</v>
      </c>
      <c r="AE8774">
        <v>17.591439999999899</v>
      </c>
      <c r="AF8774">
        <v>-1.1489337345478801</v>
      </c>
      <c r="AG8774">
        <v>-1.121415345912</v>
      </c>
      <c r="AH8774">
        <v>17.490457701661501</v>
      </c>
      <c r="AI8774">
        <v>93.660677447424007</v>
      </c>
      <c r="AJ8774">
        <v>93.758312894657493</v>
      </c>
      <c r="AK8774">
        <v>17.563989629866001</v>
      </c>
      <c r="AL8774">
        <v>96.698532236403693</v>
      </c>
      <c r="AM8774">
        <v>92.787062401128495</v>
      </c>
      <c r="AN8774">
        <v>1.0000000454092099</v>
      </c>
    </row>
    <row r="8775" spans="1:40" x14ac:dyDescent="0.25">
      <c r="A8775" t="str">
        <f>"20190303154349946"</f>
        <v>20190303154349946</v>
      </c>
      <c r="B8775" t="str">
        <f>"1551599029939335"</f>
        <v>1551599029939335</v>
      </c>
      <c r="C8775" t="s">
        <v>40</v>
      </c>
      <c r="D8775">
        <v>5.991193</v>
      </c>
      <c r="E8775">
        <v>0.49450189999999999</v>
      </c>
      <c r="F8775" t="s">
        <v>41</v>
      </c>
      <c r="G8775">
        <v>-188.04589999999999</v>
      </c>
      <c r="H8775" s="1">
        <v>-4.3961689999999997E-6</v>
      </c>
      <c r="I8775">
        <v>99.072360000000003</v>
      </c>
      <c r="J8775">
        <v>-187.53989999999999</v>
      </c>
      <c r="K8775">
        <v>1.121432</v>
      </c>
      <c r="L8775">
        <v>81.700739999999996</v>
      </c>
      <c r="M8775">
        <v>3.479848E-2</v>
      </c>
      <c r="N8775">
        <v>-1.4584690000000001E-2</v>
      </c>
      <c r="O8775">
        <v>0.99928790000000001</v>
      </c>
      <c r="P8775">
        <v>-1.203627E-2</v>
      </c>
      <c r="Q8775">
        <v>-0.1315742</v>
      </c>
      <c r="R8775">
        <v>0.99123320000000004</v>
      </c>
      <c r="S8775">
        <v>-8.3969119999999994E-2</v>
      </c>
      <c r="T8775">
        <v>-0.19012490000000001</v>
      </c>
      <c r="U8775">
        <v>3.0001220000000002</v>
      </c>
      <c r="V8775">
        <v>-4.630339E-2</v>
      </c>
      <c r="W8775">
        <v>-0.11720650000000001</v>
      </c>
      <c r="X8775">
        <v>0.99202749999999995</v>
      </c>
      <c r="Y8775">
        <v>-6.2680520000000003E-2</v>
      </c>
      <c r="Z8775">
        <v>-4.8544259999999999E-2</v>
      </c>
      <c r="AA8775">
        <v>0.99685230000000002</v>
      </c>
      <c r="AB8775">
        <v>34</v>
      </c>
      <c r="AC8775">
        <v>-0.50600000000000001</v>
      </c>
      <c r="AD8775">
        <v>-1.1214363961689999</v>
      </c>
      <c r="AE8775">
        <v>17.37162</v>
      </c>
      <c r="AF8775">
        <v>-1.10565990619239</v>
      </c>
      <c r="AG8775">
        <v>-1.1214363961689999</v>
      </c>
      <c r="AH8775">
        <v>17.271569629195799</v>
      </c>
      <c r="AI8775">
        <v>93.707410636486401</v>
      </c>
      <c r="AJ8775">
        <v>93.662858825135103</v>
      </c>
      <c r="AK8775">
        <v>17.343218296353601</v>
      </c>
      <c r="AL8775">
        <v>96.730909258057395</v>
      </c>
      <c r="AM8775">
        <v>92.672370206705807</v>
      </c>
      <c r="AN8775">
        <v>0.99999996416199499</v>
      </c>
    </row>
    <row r="8776" spans="1:40" x14ac:dyDescent="0.25">
      <c r="A8776" t="str">
        <f>"20190303154349968"</f>
        <v>20190303154349968</v>
      </c>
      <c r="B8776" t="str">
        <f>"1551599029958857"</f>
        <v>1551599029958857</v>
      </c>
      <c r="C8776" t="s">
        <v>40</v>
      </c>
      <c r="D8776">
        <v>6.0074680000000003</v>
      </c>
      <c r="E8776">
        <v>0.49449549999999998</v>
      </c>
      <c r="F8776" t="s">
        <v>41</v>
      </c>
      <c r="G8776">
        <v>-188.0076</v>
      </c>
      <c r="H8776" s="1">
        <v>-4.4677200000000001E-6</v>
      </c>
      <c r="I8776">
        <v>99.223330000000004</v>
      </c>
      <c r="J8776">
        <v>-187.5291</v>
      </c>
      <c r="K8776">
        <v>1.1214660000000001</v>
      </c>
      <c r="L8776">
        <v>82.038480000000007</v>
      </c>
      <c r="M8776">
        <v>3.3857239999999997E-2</v>
      </c>
      <c r="N8776">
        <v>-1.4581419999999999E-2</v>
      </c>
      <c r="O8776">
        <v>0.99932030000000005</v>
      </c>
      <c r="P8776">
        <v>-1.200588E-2</v>
      </c>
      <c r="Q8776">
        <v>-0.1317151</v>
      </c>
      <c r="R8776">
        <v>0.99121490000000001</v>
      </c>
      <c r="S8776">
        <v>-8.0078129999999997E-2</v>
      </c>
      <c r="T8776">
        <v>-0.19200229999999999</v>
      </c>
      <c r="U8776">
        <v>3.0000610000000001</v>
      </c>
      <c r="V8776">
        <v>-4.5329550000000003E-2</v>
      </c>
      <c r="W8776">
        <v>-0.117352</v>
      </c>
      <c r="X8776">
        <v>0.99205529999999997</v>
      </c>
      <c r="Y8776">
        <v>-6.044915E-2</v>
      </c>
      <c r="Z8776">
        <v>-4.917916E-2</v>
      </c>
      <c r="AA8776">
        <v>0.99695900000000004</v>
      </c>
      <c r="AB8776">
        <v>34</v>
      </c>
      <c r="AC8776">
        <v>-0.47849999999999598</v>
      </c>
      <c r="AD8776">
        <v>-1.12147046772</v>
      </c>
      <c r="AE8776">
        <v>17.184849999999901</v>
      </c>
      <c r="AF8776">
        <v>-1.0556268751168301</v>
      </c>
      <c r="AG8776">
        <v>-1.12147046772</v>
      </c>
      <c r="AH8776">
        <v>17.086083732044301</v>
      </c>
      <c r="AI8776">
        <v>93.748180528309703</v>
      </c>
      <c r="AJ8776">
        <v>93.535402523676694</v>
      </c>
      <c r="AK8776">
        <v>17.155357804716999</v>
      </c>
      <c r="AL8776">
        <v>96.739303555632006</v>
      </c>
      <c r="AM8776">
        <v>92.616171378410399</v>
      </c>
      <c r="AN8776">
        <v>0.99999998913264598</v>
      </c>
    </row>
    <row r="8777" spans="1:40" x14ac:dyDescent="0.25">
      <c r="A8777" t="str">
        <f>"20190303154349991"</f>
        <v>20190303154349991</v>
      </c>
      <c r="B8777" t="str">
        <f>"1551599029989110"</f>
        <v>1551599029989110</v>
      </c>
      <c r="C8777" t="s">
        <v>40</v>
      </c>
      <c r="D8777">
        <v>6.0011530000000004</v>
      </c>
      <c r="E8777">
        <v>0.49415920000000002</v>
      </c>
      <c r="F8777" t="s">
        <v>41</v>
      </c>
      <c r="G8777">
        <v>-187.99600000000001</v>
      </c>
      <c r="H8777" s="1">
        <v>-4.6087999999999998E-6</v>
      </c>
      <c r="I8777">
        <v>99.547380000000004</v>
      </c>
      <c r="J8777">
        <v>-187.51849999999999</v>
      </c>
      <c r="K8777">
        <v>1.1215079999999999</v>
      </c>
      <c r="L8777">
        <v>82.383480000000006</v>
      </c>
      <c r="M8777">
        <v>3.2841040000000002E-2</v>
      </c>
      <c r="N8777">
        <v>-1.4578249999999999E-2</v>
      </c>
      <c r="O8777">
        <v>0.99935419999999997</v>
      </c>
      <c r="P8777">
        <v>-1.261492E-2</v>
      </c>
      <c r="Q8777">
        <v>-0.13168270000000001</v>
      </c>
      <c r="R8777">
        <v>0.99121170000000003</v>
      </c>
      <c r="S8777">
        <v>-8.0001829999999996E-2</v>
      </c>
      <c r="T8777">
        <v>-0.1921602</v>
      </c>
      <c r="U8777">
        <v>3.000092</v>
      </c>
      <c r="V8777">
        <v>-4.4920019999999998E-2</v>
      </c>
      <c r="W8777">
        <v>-0.1173261</v>
      </c>
      <c r="X8777">
        <v>0.99207699999999999</v>
      </c>
      <c r="Y8777">
        <v>-5.940902E-2</v>
      </c>
      <c r="Z8777">
        <v>-4.9239419999999999E-2</v>
      </c>
      <c r="AA8777">
        <v>0.99701859999999998</v>
      </c>
      <c r="AB8777">
        <v>34</v>
      </c>
      <c r="AC8777">
        <v>-0.47749999999999199</v>
      </c>
      <c r="AD8777">
        <v>-1.1215126088</v>
      </c>
      <c r="AE8777">
        <v>17.163899999999899</v>
      </c>
      <c r="AF8777">
        <v>-1.0365604790052001</v>
      </c>
      <c r="AG8777">
        <v>-1.1215126088</v>
      </c>
      <c r="AH8777">
        <v>17.066148880565098</v>
      </c>
      <c r="AI8777">
        <v>93.752925524998702</v>
      </c>
      <c r="AJ8777">
        <v>93.475750160253895</v>
      </c>
      <c r="AK8777">
        <v>17.134342291782001</v>
      </c>
      <c r="AL8777">
        <v>96.737809212713202</v>
      </c>
      <c r="AM8777">
        <v>92.592511332716597</v>
      </c>
      <c r="AN8777">
        <v>0.99999999793350502</v>
      </c>
    </row>
    <row r="8778" spans="1:40" x14ac:dyDescent="0.25">
      <c r="A8778" t="str">
        <f>"20190303154350013"</f>
        <v>20190303154350013</v>
      </c>
      <c r="B8778" t="str">
        <f>"1551599030008630"</f>
        <v>1551599030008630</v>
      </c>
      <c r="C8778" t="s">
        <v>40</v>
      </c>
      <c r="D8778">
        <v>6.048089</v>
      </c>
      <c r="E8778">
        <v>0.4941025</v>
      </c>
      <c r="F8778" t="s">
        <v>41</v>
      </c>
      <c r="G8778">
        <v>-188.01349999999999</v>
      </c>
      <c r="H8778" s="1">
        <v>-6.3697019999999905E-7</v>
      </c>
      <c r="I8778">
        <v>99.966610000000003</v>
      </c>
      <c r="J8778">
        <v>-187.5086</v>
      </c>
      <c r="K8778">
        <v>1.121551</v>
      </c>
      <c r="L8778">
        <v>82.715639999999993</v>
      </c>
      <c r="M8778">
        <v>3.1804159999999998E-2</v>
      </c>
      <c r="N8778">
        <v>-1.4575360000000001E-2</v>
      </c>
      <c r="O8778">
        <v>0.9993879</v>
      </c>
      <c r="P8778">
        <v>-1.352312E-2</v>
      </c>
      <c r="Q8778">
        <v>-0.13091349999999999</v>
      </c>
      <c r="R8778">
        <v>0.99130149999999995</v>
      </c>
      <c r="S8778">
        <v>-8.4457400000000002E-2</v>
      </c>
      <c r="T8778">
        <v>-0.19135559999999999</v>
      </c>
      <c r="U8778">
        <v>3.000092</v>
      </c>
      <c r="V8778">
        <v>-4.4792560000000002E-2</v>
      </c>
      <c r="W8778">
        <v>-0.1165629</v>
      </c>
      <c r="X8778">
        <v>0.99217270000000002</v>
      </c>
      <c r="Y8778">
        <v>-5.9853139999999999E-2</v>
      </c>
      <c r="Z8778">
        <v>-4.8976930000000002E-2</v>
      </c>
      <c r="AA8778">
        <v>0.99700489999999997</v>
      </c>
      <c r="AB8778">
        <v>34</v>
      </c>
      <c r="AC8778">
        <v>-0.50489999999999202</v>
      </c>
      <c r="AD8778">
        <v>-1.1215516369702001</v>
      </c>
      <c r="AE8778">
        <v>17.250969999999899</v>
      </c>
      <c r="AF8778">
        <v>-1.04892558917134</v>
      </c>
      <c r="AG8778">
        <v>-1.1215516369702001</v>
      </c>
      <c r="AH8778">
        <v>17.153738262607799</v>
      </c>
      <c r="AI8778">
        <v>93.733853628574806</v>
      </c>
      <c r="AJ8778">
        <v>93.499194738250594</v>
      </c>
      <c r="AK8778">
        <v>17.222336059549601</v>
      </c>
      <c r="AL8778">
        <v>96.693779112020806</v>
      </c>
      <c r="AM8778">
        <v>92.584916093995602</v>
      </c>
      <c r="AN8778">
        <v>0.99999997485652603</v>
      </c>
    </row>
    <row r="8779" spans="1:40" x14ac:dyDescent="0.25">
      <c r="A8779" t="str">
        <f>"20190303154350035"</f>
        <v>20190303154350035</v>
      </c>
      <c r="B8779" t="str">
        <f>"1551599030029126"</f>
        <v>1551599030029126</v>
      </c>
      <c r="C8779" t="s">
        <v>40</v>
      </c>
      <c r="D8779">
        <v>6.0647359999999999</v>
      </c>
      <c r="E8779">
        <v>0.49408920000000001</v>
      </c>
      <c r="F8779" t="s">
        <v>41</v>
      </c>
      <c r="G8779">
        <v>-188.03</v>
      </c>
      <c r="H8779" s="1">
        <v>-8.3708469999999903E-7</v>
      </c>
      <c r="I8779">
        <v>100.5676</v>
      </c>
      <c r="J8779">
        <v>-187.49889999999999</v>
      </c>
      <c r="K8779">
        <v>1.1216090000000001</v>
      </c>
      <c r="L8779">
        <v>83.054689999999994</v>
      </c>
      <c r="M8779">
        <v>3.0683160000000001E-2</v>
      </c>
      <c r="N8779">
        <v>-1.4572440000000001E-2</v>
      </c>
      <c r="O8779">
        <v>0.9994229</v>
      </c>
      <c r="P8779">
        <v>-1.4716899999999899E-2</v>
      </c>
      <c r="Q8779">
        <v>-0.13078909999999999</v>
      </c>
      <c r="R8779">
        <v>0.99130099999999999</v>
      </c>
      <c r="S8779">
        <v>-8.7631230000000004E-2</v>
      </c>
      <c r="T8779">
        <v>-0.18849070000000001</v>
      </c>
      <c r="U8779">
        <v>3.0002439999999999</v>
      </c>
      <c r="V8779">
        <v>-4.486035E-2</v>
      </c>
      <c r="W8779">
        <v>-0.11644690000000001</v>
      </c>
      <c r="X8779">
        <v>0.99218329999999999</v>
      </c>
      <c r="Y8779">
        <v>-5.9787699999999902E-2</v>
      </c>
      <c r="Z8779">
        <v>-4.8030919999999998E-2</v>
      </c>
      <c r="AA8779">
        <v>0.99705489999999997</v>
      </c>
      <c r="AB8779">
        <v>34</v>
      </c>
      <c r="AC8779">
        <v>-0.53110000000000901</v>
      </c>
      <c r="AD8779">
        <v>-1.1216098370847001</v>
      </c>
      <c r="AE8779">
        <v>17.512909999999899</v>
      </c>
      <c r="AF8779">
        <v>-1.0638985683101401</v>
      </c>
      <c r="AG8779">
        <v>-1.1216098370847001</v>
      </c>
      <c r="AH8779">
        <v>17.416990790496499</v>
      </c>
      <c r="AI8779">
        <v>93.677778357394402</v>
      </c>
      <c r="AJ8779">
        <v>93.495509223721996</v>
      </c>
      <c r="AK8779">
        <v>17.485464162742101</v>
      </c>
      <c r="AL8779">
        <v>96.687086953029905</v>
      </c>
      <c r="AM8779">
        <v>92.588795221894998</v>
      </c>
      <c r="AN8779">
        <v>1.00000001616031</v>
      </c>
    </row>
    <row r="8780" spans="1:40" x14ac:dyDescent="0.25">
      <c r="A8780" t="str">
        <f>"20190303154350057"</f>
        <v>20190303154350057</v>
      </c>
      <c r="B8780" t="str">
        <f>"1551599030048649"</f>
        <v>1551599030048649</v>
      </c>
      <c r="C8780" t="s">
        <v>40</v>
      </c>
      <c r="D8780">
        <v>6.0723520000000004</v>
      </c>
      <c r="E8780">
        <v>0.49406929999999999</v>
      </c>
      <c r="F8780" t="s">
        <v>41</v>
      </c>
      <c r="G8780">
        <v>-188.04239999999999</v>
      </c>
      <c r="H8780" s="1">
        <v>-9.5695189999999991E-7</v>
      </c>
      <c r="I8780">
        <v>100.9295</v>
      </c>
      <c r="J8780">
        <v>-187.49010000000001</v>
      </c>
      <c r="K8780">
        <v>1.121659</v>
      </c>
      <c r="L8780">
        <v>83.379519999999999</v>
      </c>
      <c r="M8780">
        <v>2.9544669999999999E-2</v>
      </c>
      <c r="N8780">
        <v>-1.4569729999999999E-2</v>
      </c>
      <c r="O8780">
        <v>0.99945729999999999</v>
      </c>
      <c r="P8780">
        <v>-1.5678319999999999E-2</v>
      </c>
      <c r="Q8780">
        <v>-0.1310624</v>
      </c>
      <c r="R8780">
        <v>0.99125019999999997</v>
      </c>
      <c r="S8780">
        <v>-9.1217039999999999E-2</v>
      </c>
      <c r="T8780">
        <v>-0.18825169999999999</v>
      </c>
      <c r="U8780">
        <v>3.0001220000000002</v>
      </c>
      <c r="V8780">
        <v>-4.4677670000000003E-2</v>
      </c>
      <c r="W8780">
        <v>-0.116728</v>
      </c>
      <c r="X8780">
        <v>0.99215850000000005</v>
      </c>
      <c r="Y8780">
        <v>-5.9842569999999998E-2</v>
      </c>
      <c r="Z8780">
        <v>-4.7959050000000003E-2</v>
      </c>
      <c r="AA8780">
        <v>0.99705509999999997</v>
      </c>
      <c r="AB8780">
        <v>34</v>
      </c>
      <c r="AC8780">
        <v>-0.55229999999997403</v>
      </c>
      <c r="AD8780">
        <v>-1.1216599569518999</v>
      </c>
      <c r="AE8780">
        <v>17.549980000000001</v>
      </c>
      <c r="AF8780">
        <v>-1.0662710645004501</v>
      </c>
      <c r="AG8780">
        <v>-1.1216599569518999</v>
      </c>
      <c r="AH8780">
        <v>17.454769434710201</v>
      </c>
      <c r="AI8780">
        <v>93.670002760825895</v>
      </c>
      <c r="AJ8780">
        <v>93.495721230525703</v>
      </c>
      <c r="AK8780">
        <v>17.523242595504801</v>
      </c>
      <c r="AL8780">
        <v>96.703303463041493</v>
      </c>
      <c r="AM8780">
        <v>92.5783317623074</v>
      </c>
      <c r="AN8780">
        <v>1.0000000046514299</v>
      </c>
    </row>
    <row r="8781" spans="1:40" x14ac:dyDescent="0.25">
      <c r="A8781" t="str">
        <f>"20190303154350079"</f>
        <v>20190303154350079</v>
      </c>
      <c r="B8781" t="str">
        <f>"1551599030069141"</f>
        <v>1551599030069141</v>
      </c>
      <c r="C8781" t="s">
        <v>40</v>
      </c>
      <c r="D8781">
        <v>6.0910279999999997</v>
      </c>
      <c r="E8781">
        <v>0.49404880000000001</v>
      </c>
      <c r="F8781" t="s">
        <v>41</v>
      </c>
      <c r="G8781">
        <v>-188.04929999999999</v>
      </c>
      <c r="H8781" s="1">
        <v>-1.043192E-6</v>
      </c>
      <c r="I8781">
        <v>101.1884</v>
      </c>
      <c r="J8781">
        <v>-187.48150000000001</v>
      </c>
      <c r="K8781">
        <v>1.121699</v>
      </c>
      <c r="L8781">
        <v>83.71481</v>
      </c>
      <c r="M8781">
        <v>2.8314929999999999E-2</v>
      </c>
      <c r="N8781">
        <v>-1.456699E-2</v>
      </c>
      <c r="O8781">
        <v>0.99949290000000002</v>
      </c>
      <c r="P8781">
        <v>-1.650399E-2</v>
      </c>
      <c r="Q8781">
        <v>-0.1319178</v>
      </c>
      <c r="R8781">
        <v>0.99112330000000004</v>
      </c>
      <c r="S8781">
        <v>-9.4207760000000001E-2</v>
      </c>
      <c r="T8781">
        <v>-0.1889498</v>
      </c>
      <c r="U8781">
        <v>3</v>
      </c>
      <c r="V8781">
        <v>-4.4265789999999999E-2</v>
      </c>
      <c r="W8781">
        <v>-0.1175914</v>
      </c>
      <c r="X8781">
        <v>0.99207500000000004</v>
      </c>
      <c r="Y8781">
        <v>-5.9608319999999999E-2</v>
      </c>
      <c r="Z8781">
        <v>-4.8198320000000003E-2</v>
      </c>
      <c r="AA8781">
        <v>0.99705759999999999</v>
      </c>
      <c r="AB8781">
        <v>34</v>
      </c>
      <c r="AC8781">
        <v>-0.56779999999997699</v>
      </c>
      <c r="AD8781">
        <v>-1.1217000431919999</v>
      </c>
      <c r="AE8781">
        <v>17.473589999999898</v>
      </c>
      <c r="AF8781">
        <v>-1.0580328560213299</v>
      </c>
      <c r="AG8781">
        <v>-1.1217000431919999</v>
      </c>
      <c r="AH8781">
        <v>17.378962637499601</v>
      </c>
      <c r="AI8781">
        <v>93.686144952144403</v>
      </c>
      <c r="AJ8781">
        <v>93.483872421093807</v>
      </c>
      <c r="AK8781">
        <v>17.447234361552098</v>
      </c>
      <c r="AL8781">
        <v>96.753115713823107</v>
      </c>
      <c r="AM8781">
        <v>92.554808682789201</v>
      </c>
      <c r="AN8781">
        <v>1.0000000015716399</v>
      </c>
    </row>
    <row r="8782" spans="1:40" x14ac:dyDescent="0.25">
      <c r="A8782" t="str">
        <f>"20190303154350104"</f>
        <v>20190303154350104</v>
      </c>
      <c r="B8782" t="str">
        <f>"1551599030099398"</f>
        <v>1551599030099398</v>
      </c>
      <c r="C8782" t="s">
        <v>40</v>
      </c>
      <c r="D8782">
        <v>6.1156790000000001</v>
      </c>
      <c r="E8782">
        <v>0.49402509999999999</v>
      </c>
      <c r="F8782" t="s">
        <v>41</v>
      </c>
      <c r="G8782">
        <v>-188.04820000000001</v>
      </c>
      <c r="H8782" s="1">
        <v>-1.074813E-6</v>
      </c>
      <c r="I8782">
        <v>101.2804</v>
      </c>
      <c r="J8782">
        <v>-187.47280000000001</v>
      </c>
      <c r="K8782">
        <v>1.1217440000000001</v>
      </c>
      <c r="L8782">
        <v>84.069400000000002</v>
      </c>
      <c r="M8782">
        <v>2.696861E-2</v>
      </c>
      <c r="N8782">
        <v>-1.456401E-2</v>
      </c>
      <c r="O8782">
        <v>0.99953020000000004</v>
      </c>
      <c r="P8782">
        <v>-1.68424E-2</v>
      </c>
      <c r="Q8782">
        <v>-0.1328155</v>
      </c>
      <c r="R8782">
        <v>0.99099769999999998</v>
      </c>
      <c r="S8782">
        <v>-9.6786499999999998E-2</v>
      </c>
      <c r="T8782">
        <v>-0.1915578</v>
      </c>
      <c r="U8782">
        <v>2.9997560000000001</v>
      </c>
      <c r="V8782">
        <v>-4.3253E-2</v>
      </c>
      <c r="W8782">
        <v>-0.11849460000000001</v>
      </c>
      <c r="X8782">
        <v>0.99201220000000001</v>
      </c>
      <c r="Y8782">
        <v>-5.9121069999999998E-2</v>
      </c>
      <c r="Z8782">
        <v>-4.9073510000000001E-2</v>
      </c>
      <c r="AA8782">
        <v>0.99704380000000004</v>
      </c>
      <c r="AB8782">
        <v>34</v>
      </c>
      <c r="AC8782">
        <v>-0.57540000000000102</v>
      </c>
      <c r="AD8782">
        <v>-1.121745074813</v>
      </c>
      <c r="AE8782">
        <v>17.210999999999999</v>
      </c>
      <c r="AF8782">
        <v>-1.0350049362535101</v>
      </c>
      <c r="AG8782">
        <v>-1.121745074813</v>
      </c>
      <c r="AH8782">
        <v>17.1165906210637</v>
      </c>
      <c r="AI8782">
        <v>93.7427315342605</v>
      </c>
      <c r="AJ8782">
        <v>93.460344298749902</v>
      </c>
      <c r="AK8782">
        <v>17.1845052800487</v>
      </c>
      <c r="AL8782">
        <v>96.805229639197407</v>
      </c>
      <c r="AM8782">
        <v>92.4965879646182</v>
      </c>
      <c r="AN8782">
        <v>0.99999999859349997</v>
      </c>
    </row>
    <row r="8783" spans="1:40" x14ac:dyDescent="0.25">
      <c r="A8783" t="str">
        <f>"20190303154350125"</f>
        <v>20190303154350125</v>
      </c>
      <c r="B8783" t="str">
        <f>"1551599030118917"</f>
        <v>1551599030118917</v>
      </c>
      <c r="C8783" t="s">
        <v>40</v>
      </c>
      <c r="D8783">
        <v>6.9311639999999999</v>
      </c>
      <c r="E8783">
        <v>0.49394569999999999</v>
      </c>
      <c r="F8783" t="s">
        <v>41</v>
      </c>
      <c r="G8783">
        <v>-188.03739999999999</v>
      </c>
      <c r="H8783" s="1">
        <v>-1.1049049999999999E-6</v>
      </c>
      <c r="I8783">
        <v>101.3603</v>
      </c>
      <c r="J8783">
        <v>-187.46530000000001</v>
      </c>
      <c r="K8783">
        <v>1.121766</v>
      </c>
      <c r="L8783">
        <v>84.396240000000006</v>
      </c>
      <c r="M8783">
        <v>2.5697339999999999E-2</v>
      </c>
      <c r="N8783">
        <v>-1.456111E-2</v>
      </c>
      <c r="O8783">
        <v>0.99956369999999894</v>
      </c>
      <c r="P8783">
        <v>-1.7639229999999999E-2</v>
      </c>
      <c r="Q8783">
        <v>-0.13253400000000001</v>
      </c>
      <c r="R8783">
        <v>0.9910215</v>
      </c>
      <c r="S8783">
        <v>-9.7930909999999996E-2</v>
      </c>
      <c r="T8783">
        <v>-0.1945925</v>
      </c>
      <c r="U8783">
        <v>2.9995120000000002</v>
      </c>
      <c r="V8783">
        <v>-4.2783759999999997E-2</v>
      </c>
      <c r="W8783">
        <v>-0.1182169</v>
      </c>
      <c r="X8783">
        <v>0.99206570000000005</v>
      </c>
      <c r="Y8783">
        <v>-5.8232480000000003E-2</v>
      </c>
      <c r="Z8783">
        <v>-5.0090950000000002E-2</v>
      </c>
      <c r="AA8783">
        <v>0.99704559999999998</v>
      </c>
      <c r="AB8783">
        <v>34</v>
      </c>
      <c r="AC8783">
        <v>-0.57209999999997696</v>
      </c>
      <c r="AD8783">
        <v>-1.121767104905</v>
      </c>
      <c r="AE8783">
        <v>16.9640599999999</v>
      </c>
      <c r="AF8783">
        <v>-1.0035054763333799</v>
      </c>
      <c r="AG8783">
        <v>-1.121767104905</v>
      </c>
      <c r="AH8783">
        <v>16.870070447037101</v>
      </c>
      <c r="AI8783">
        <v>93.797561641499698</v>
      </c>
      <c r="AJ8783">
        <v>93.404191887519303</v>
      </c>
      <c r="AK8783">
        <v>16.9370794875231</v>
      </c>
      <c r="AL8783">
        <v>96.789205833403997</v>
      </c>
      <c r="AM8783">
        <v>92.469403866161898</v>
      </c>
      <c r="AN8783">
        <v>1.00000001934091</v>
      </c>
    </row>
    <row r="8784" spans="1:40" x14ac:dyDescent="0.25">
      <c r="A8784" t="str">
        <f>"20190303154350147"</f>
        <v>20190303154350147</v>
      </c>
      <c r="B8784" t="str">
        <f>"1551599030138438"</f>
        <v>1551599030138438</v>
      </c>
      <c r="C8784" t="s">
        <v>40</v>
      </c>
      <c r="D8784">
        <v>6.096781</v>
      </c>
      <c r="E8784">
        <v>0.49791839999999998</v>
      </c>
      <c r="F8784" t="s">
        <v>41</v>
      </c>
      <c r="G8784">
        <v>-188.05009999999999</v>
      </c>
      <c r="H8784" s="1">
        <v>-1.2479670000000001E-6</v>
      </c>
      <c r="I8784">
        <v>101.73560000000001</v>
      </c>
      <c r="J8784">
        <v>-187.45840000000001</v>
      </c>
      <c r="K8784">
        <v>1.121785</v>
      </c>
      <c r="L8784">
        <v>84.715669999999903</v>
      </c>
      <c r="M8784">
        <v>2.4435829999999999E-2</v>
      </c>
      <c r="N8784">
        <v>-1.4558120000000001E-2</v>
      </c>
      <c r="O8784">
        <v>0.99959540000000002</v>
      </c>
      <c r="P8784">
        <v>-1.893485E-2</v>
      </c>
      <c r="Q8784">
        <v>-0.13249369999999999</v>
      </c>
      <c r="R8784">
        <v>0.99100299999999997</v>
      </c>
      <c r="S8784">
        <v>-0.1011658</v>
      </c>
      <c r="T8784">
        <v>-0.19404730000000001</v>
      </c>
      <c r="U8784">
        <v>2.9994200000000002</v>
      </c>
      <c r="V8784">
        <v>-4.2822730000000003E-2</v>
      </c>
      <c r="W8784">
        <v>-0.1181817</v>
      </c>
      <c r="X8784">
        <v>0.99206819999999896</v>
      </c>
      <c r="Y8784">
        <v>-5.8048210000000003E-2</v>
      </c>
      <c r="Z8784">
        <v>-4.991781E-2</v>
      </c>
      <c r="AA8784">
        <v>0.99706499999999998</v>
      </c>
      <c r="AB8784">
        <v>34</v>
      </c>
      <c r="AC8784">
        <v>-0.59169999999997402</v>
      </c>
      <c r="AD8784">
        <v>-1.121786247967</v>
      </c>
      <c r="AE8784">
        <v>17.019929999999999</v>
      </c>
      <c r="AF8784">
        <v>-1.00311107074459</v>
      </c>
      <c r="AG8784">
        <v>-1.121786247967</v>
      </c>
      <c r="AH8784">
        <v>16.9269421792679</v>
      </c>
      <c r="AI8784">
        <v>93.7849538366453</v>
      </c>
      <c r="AJ8784">
        <v>93.391450783035395</v>
      </c>
      <c r="AK8784">
        <v>16.993704944674601</v>
      </c>
      <c r="AL8784">
        <v>96.787174868724193</v>
      </c>
      <c r="AM8784">
        <v>92.471644137471003</v>
      </c>
      <c r="AN8784">
        <v>1.00000000693539</v>
      </c>
    </row>
    <row r="8785" spans="1:40" x14ac:dyDescent="0.25">
      <c r="A8785" t="str">
        <f>"20190303154350169"</f>
        <v>20190303154350169</v>
      </c>
      <c r="B8785" t="str">
        <f>"1551599030158934"</f>
        <v>1551599030158934</v>
      </c>
      <c r="C8785" t="s">
        <v>40</v>
      </c>
      <c r="D8785">
        <v>6.1017979999999996</v>
      </c>
      <c r="E8785">
        <v>0.49816579999999999</v>
      </c>
      <c r="F8785" t="s">
        <v>41</v>
      </c>
      <c r="G8785">
        <v>-187.99629999999999</v>
      </c>
      <c r="H8785" s="1">
        <v>-3.3678979999999999E-6</v>
      </c>
      <c r="I8785">
        <v>106.6549</v>
      </c>
      <c r="J8785">
        <v>-187.45160000000001</v>
      </c>
      <c r="K8785">
        <v>1.1218030000000001</v>
      </c>
      <c r="L8785">
        <v>85.050290000000004</v>
      </c>
      <c r="M8785">
        <v>2.3102609999999999E-2</v>
      </c>
      <c r="N8785">
        <v>-1.4554910000000001E-2</v>
      </c>
      <c r="O8785">
        <v>0.99962709999999999</v>
      </c>
      <c r="P8785">
        <v>-2.0746560000000001E-2</v>
      </c>
      <c r="Q8785">
        <v>-0.13235379999999899</v>
      </c>
      <c r="R8785">
        <v>0.99098540000000002</v>
      </c>
      <c r="S8785">
        <v>-7.3684689999999997E-2</v>
      </c>
      <c r="T8785">
        <v>-0.15366459999999901</v>
      </c>
      <c r="U8785">
        <v>3.00528</v>
      </c>
      <c r="V8785">
        <v>-4.3309729999999998E-2</v>
      </c>
      <c r="W8785">
        <v>-0.1180479</v>
      </c>
      <c r="X8785">
        <v>0.99206300000000003</v>
      </c>
      <c r="Y8785">
        <v>-4.7563569999999999E-2</v>
      </c>
      <c r="Z8785">
        <v>-3.6462399999999999E-2</v>
      </c>
      <c r="AA8785">
        <v>0.99820249999999999</v>
      </c>
      <c r="AB8785">
        <v>33</v>
      </c>
      <c r="AC8785">
        <v>-0.54469999999997698</v>
      </c>
      <c r="AD8785">
        <v>-1.1218063678979999</v>
      </c>
      <c r="AE8785">
        <v>21.604609999999902</v>
      </c>
      <c r="AF8785">
        <v>-1.04092566360963</v>
      </c>
      <c r="AG8785">
        <v>-1.1218063678979999</v>
      </c>
      <c r="AH8785">
        <v>21.52825078919</v>
      </c>
      <c r="AI8785">
        <v>92.9794288174363</v>
      </c>
      <c r="AJ8785">
        <v>92.768187506365194</v>
      </c>
      <c r="AK8785">
        <v>21.5825753284097</v>
      </c>
      <c r="AL8785">
        <v>96.779454578301696</v>
      </c>
      <c r="AM8785">
        <v>92.499730454984302</v>
      </c>
      <c r="AN8785">
        <v>1.0000000176880399</v>
      </c>
    </row>
    <row r="8786" spans="1:40" x14ac:dyDescent="0.25">
      <c r="A8786" t="str">
        <f>"20190303154350191"</f>
        <v>20190303154350191</v>
      </c>
      <c r="B8786" t="str">
        <f>"1551599030178457"</f>
        <v>1551599030178457</v>
      </c>
      <c r="C8786" t="s">
        <v>40</v>
      </c>
      <c r="D8786">
        <v>6.1815810000000004</v>
      </c>
      <c r="E8786">
        <v>0.49803989999999998</v>
      </c>
      <c r="F8786" t="s">
        <v>41</v>
      </c>
      <c r="G8786">
        <v>-188.01849999999999</v>
      </c>
      <c r="H8786" s="1">
        <v>-3.5835859999999999E-6</v>
      </c>
      <c r="I8786">
        <v>107.1669</v>
      </c>
      <c r="J8786">
        <v>-187.44540000000001</v>
      </c>
      <c r="K8786">
        <v>1.1218109999999999</v>
      </c>
      <c r="L8786">
        <v>85.375489999999999</v>
      </c>
      <c r="M8786">
        <v>2.18023E-2</v>
      </c>
      <c r="N8786">
        <v>-1.4551710000000001E-2</v>
      </c>
      <c r="O8786">
        <v>0.9996564</v>
      </c>
      <c r="P8786">
        <v>-2.1889800000000001E-2</v>
      </c>
      <c r="Q8786">
        <v>-0.13262009999999999</v>
      </c>
      <c r="R8786">
        <v>0.99092519999999995</v>
      </c>
      <c r="S8786">
        <v>-7.704163E-2</v>
      </c>
      <c r="T8786">
        <v>-0.1524365</v>
      </c>
      <c r="U8786">
        <v>3.0053100000000001</v>
      </c>
      <c r="V8786">
        <v>-4.3159780000000002E-2</v>
      </c>
      <c r="W8786">
        <v>-0.1183183</v>
      </c>
      <c r="X8786">
        <v>0.99203730000000001</v>
      </c>
      <c r="Y8786">
        <v>-4.7378919999999998E-2</v>
      </c>
      <c r="Z8786">
        <v>-3.6060019999999998E-2</v>
      </c>
      <c r="AA8786">
        <v>0.9982259</v>
      </c>
      <c r="AB8786">
        <v>33</v>
      </c>
      <c r="AC8786">
        <v>-0.57309999999998196</v>
      </c>
      <c r="AD8786">
        <v>-1.1218145835860001</v>
      </c>
      <c r="AE8786">
        <v>21.791409999999999</v>
      </c>
      <c r="AF8786">
        <v>-1.0453484898021901</v>
      </c>
      <c r="AG8786">
        <v>-1.1218145835860001</v>
      </c>
      <c r="AH8786">
        <v>21.716221294668301</v>
      </c>
      <c r="AI8786">
        <v>92.953737532718606</v>
      </c>
      <c r="AJ8786">
        <v>92.755905774921402</v>
      </c>
      <c r="AK8786">
        <v>21.770289128628601</v>
      </c>
      <c r="AL8786">
        <v>96.795056849726095</v>
      </c>
      <c r="AM8786">
        <v>92.491151087028996</v>
      </c>
      <c r="AN8786">
        <v>0.99999999565791398</v>
      </c>
    </row>
    <row r="8787" spans="1:40" x14ac:dyDescent="0.25">
      <c r="A8787" t="str">
        <f>"20190303154350213"</f>
        <v>20190303154350213</v>
      </c>
      <c r="B8787" t="str">
        <f>"1551599030208713"</f>
        <v>1551599030208713</v>
      </c>
      <c r="C8787" t="s">
        <v>40</v>
      </c>
      <c r="D8787">
        <v>6.1344750000000001</v>
      </c>
      <c r="E8787">
        <v>0.49804379999999998</v>
      </c>
      <c r="F8787" t="s">
        <v>41</v>
      </c>
      <c r="G8787">
        <v>-188.03120000000001</v>
      </c>
      <c r="H8787" s="1">
        <v>-3.559585E-6</v>
      </c>
      <c r="I8787">
        <v>107.11620000000001</v>
      </c>
      <c r="J8787">
        <v>-187.43950000000001</v>
      </c>
      <c r="K8787">
        <v>1.121818</v>
      </c>
      <c r="L8787">
        <v>85.708919999999907</v>
      </c>
      <c r="M8787">
        <v>2.0468610000000002E-2</v>
      </c>
      <c r="N8787">
        <v>-1.4548439999999999E-2</v>
      </c>
      <c r="O8787">
        <v>0.99968460000000003</v>
      </c>
      <c r="P8787">
        <v>-2.3101449999999999E-2</v>
      </c>
      <c r="Q8787">
        <v>-0.1332207</v>
      </c>
      <c r="R8787">
        <v>0.99081710000000001</v>
      </c>
      <c r="S8787">
        <v>-8.0963129999999994E-2</v>
      </c>
      <c r="T8787">
        <v>-0.15505459999999999</v>
      </c>
      <c r="U8787">
        <v>3.0049440000000001</v>
      </c>
      <c r="V8787">
        <v>-4.3044069999999997E-2</v>
      </c>
      <c r="W8787">
        <v>-0.1189235</v>
      </c>
      <c r="X8787">
        <v>0.99196989999999996</v>
      </c>
      <c r="Y8787">
        <v>-4.7350070000000001E-2</v>
      </c>
      <c r="Z8787">
        <v>-3.6938279999999997E-2</v>
      </c>
      <c r="AA8787">
        <v>0.9981951</v>
      </c>
      <c r="AB8787">
        <v>33</v>
      </c>
      <c r="AC8787">
        <v>-0.591700000000002</v>
      </c>
      <c r="AD8787">
        <v>-1.1218215595850001</v>
      </c>
      <c r="AE8787">
        <v>21.40728</v>
      </c>
      <c r="AF8787">
        <v>-1.0269815775339799</v>
      </c>
      <c r="AG8787">
        <v>-1.1218215595850001</v>
      </c>
      <c r="AH8787">
        <v>21.332144987715399</v>
      </c>
      <c r="AI8787">
        <v>93.006839452880001</v>
      </c>
      <c r="AJ8787">
        <v>92.756230755671794</v>
      </c>
      <c r="AK8787">
        <v>21.386294315496901</v>
      </c>
      <c r="AL8787">
        <v>96.829979223564806</v>
      </c>
      <c r="AM8787">
        <v>92.484649368087702</v>
      </c>
      <c r="AN8787">
        <v>0.99999993666021003</v>
      </c>
    </row>
    <row r="8788" spans="1:40" x14ac:dyDescent="0.25">
      <c r="A8788" t="str">
        <f>"20190303154350235"</f>
        <v>20190303154350235</v>
      </c>
      <c r="B8788" t="str">
        <f>"1551599030229210"</f>
        <v>1551599030229210</v>
      </c>
      <c r="C8788" t="s">
        <v>40</v>
      </c>
      <c r="D8788">
        <v>6.1556610000000003</v>
      </c>
      <c r="E8788">
        <v>0.49822309999999997</v>
      </c>
      <c r="F8788" t="s">
        <v>41</v>
      </c>
      <c r="G8788">
        <v>-188.03309999999999</v>
      </c>
      <c r="H8788" s="1">
        <v>-3.400444E-6</v>
      </c>
      <c r="I8788">
        <v>106.746</v>
      </c>
      <c r="J8788">
        <v>-187.4341</v>
      </c>
      <c r="K8788">
        <v>1.1218269999999999</v>
      </c>
      <c r="L8788">
        <v>86.038569999999893</v>
      </c>
      <c r="M8788">
        <v>1.915145E-2</v>
      </c>
      <c r="N8788">
        <v>-1.454514E-2</v>
      </c>
      <c r="O8788">
        <v>0.99971080000000001</v>
      </c>
      <c r="P8788">
        <v>-2.4035620000000001E-2</v>
      </c>
      <c r="Q8788">
        <v>-0.1333239</v>
      </c>
      <c r="R8788">
        <v>0.99078100000000002</v>
      </c>
      <c r="S8788">
        <v>-8.4777829999999998E-2</v>
      </c>
      <c r="T8788">
        <v>-0.1602055</v>
      </c>
      <c r="U8788">
        <v>3.0042719999999998</v>
      </c>
      <c r="V8788">
        <v>-4.2671729999999998E-2</v>
      </c>
      <c r="W8788">
        <v>-0.11902939999999999</v>
      </c>
      <c r="X8788">
        <v>0.99197329999999995</v>
      </c>
      <c r="Y8788">
        <v>-4.730409E-2</v>
      </c>
      <c r="Z8788">
        <v>-3.8661139999999997E-2</v>
      </c>
      <c r="AA8788">
        <v>0.99813209999999997</v>
      </c>
      <c r="AB8788">
        <v>33</v>
      </c>
      <c r="AC8788">
        <v>-0.59899999999998899</v>
      </c>
      <c r="AD8788">
        <v>-1.1218304004440001</v>
      </c>
      <c r="AE8788">
        <v>20.707429999999999</v>
      </c>
      <c r="AF8788">
        <v>-0.99259857896863202</v>
      </c>
      <c r="AG8788">
        <v>-1.1218304004440001</v>
      </c>
      <c r="AH8788">
        <v>20.631655967026902</v>
      </c>
      <c r="AI8788">
        <v>93.108760361066899</v>
      </c>
      <c r="AJ8788">
        <v>92.754402822201698</v>
      </c>
      <c r="AK8788">
        <v>20.6859610201723</v>
      </c>
      <c r="AL8788">
        <v>96.836090152908</v>
      </c>
      <c r="AM8788">
        <v>92.463174798545893</v>
      </c>
      <c r="AN8788">
        <v>0.99999995125922003</v>
      </c>
    </row>
    <row r="8789" spans="1:40" x14ac:dyDescent="0.25">
      <c r="A8789" t="str">
        <f>"20190303154350259"</f>
        <v>20190303154350259</v>
      </c>
      <c r="B8789" t="str">
        <f>"1551599030248732"</f>
        <v>1551599030248732</v>
      </c>
      <c r="C8789" t="s">
        <v>40</v>
      </c>
      <c r="D8789">
        <v>6.1160399999999999</v>
      </c>
      <c r="E8789">
        <v>0.4982626</v>
      </c>
      <c r="F8789" t="s">
        <v>41</v>
      </c>
      <c r="G8789">
        <v>-188.03700000000001</v>
      </c>
      <c r="H8789" s="1">
        <v>-3.5260350000000001E-6</v>
      </c>
      <c r="I8789">
        <v>107.04040000000001</v>
      </c>
      <c r="J8789">
        <v>-187.4288</v>
      </c>
      <c r="K8789">
        <v>1.1218319999999999</v>
      </c>
      <c r="L8789">
        <v>86.387789999999995</v>
      </c>
      <c r="M8789">
        <v>1.775821E-2</v>
      </c>
      <c r="N8789">
        <v>-1.4541500000000001E-2</v>
      </c>
      <c r="O8789">
        <v>0.99973650000000003</v>
      </c>
      <c r="P8789">
        <v>-2.5139760000000001E-2</v>
      </c>
      <c r="Q8789">
        <v>-0.13320170000000001</v>
      </c>
      <c r="R8789">
        <v>0.99077000000000004</v>
      </c>
      <c r="S8789">
        <v>-8.6242680000000002E-2</v>
      </c>
      <c r="T8789">
        <v>-0.160472799999999</v>
      </c>
      <c r="U8789">
        <v>3.0042110000000002</v>
      </c>
      <c r="V8789">
        <v>-4.2394679999999997E-2</v>
      </c>
      <c r="W8789">
        <v>-0.11890969999999999</v>
      </c>
      <c r="X8789">
        <v>0.99199959999999998</v>
      </c>
      <c r="Y8789">
        <v>-4.639919E-2</v>
      </c>
      <c r="Z8789">
        <v>-3.8757470000000002E-2</v>
      </c>
      <c r="AA8789">
        <v>0.99817080000000002</v>
      </c>
      <c r="AB8789">
        <v>33</v>
      </c>
      <c r="AC8789">
        <v>-0.60820000000000995</v>
      </c>
      <c r="AD8789">
        <v>-1.1218355260349999</v>
      </c>
      <c r="AE8789">
        <v>20.652609999999999</v>
      </c>
      <c r="AF8789">
        <v>-0.97203068639947299</v>
      </c>
      <c r="AG8789">
        <v>-1.1218355260349999</v>
      </c>
      <c r="AH8789">
        <v>20.5778866829042</v>
      </c>
      <c r="AI8789">
        <v>93.117010951954796</v>
      </c>
      <c r="AJ8789">
        <v>92.704451107336993</v>
      </c>
      <c r="AK8789">
        <v>20.6313542681333</v>
      </c>
      <c r="AL8789">
        <v>96.829182346612001</v>
      </c>
      <c r="AM8789">
        <v>92.447137121774702</v>
      </c>
      <c r="AN8789">
        <v>1.00000001602327</v>
      </c>
    </row>
    <row r="8790" spans="1:40" x14ac:dyDescent="0.25">
      <c r="A8790" t="str">
        <f>"20190303154350279"</f>
        <v>20190303154350279</v>
      </c>
      <c r="B8790" t="str">
        <f>"1551599030269225"</f>
        <v>1551599030269225</v>
      </c>
      <c r="C8790" t="s">
        <v>40</v>
      </c>
      <c r="D8790">
        <v>6.1476519999999999</v>
      </c>
      <c r="E8790">
        <v>0.49826710000000002</v>
      </c>
      <c r="F8790" t="s">
        <v>41</v>
      </c>
      <c r="G8790">
        <v>-188.05119999999999</v>
      </c>
      <c r="H8790" s="1">
        <v>-3.6719980000000001E-6</v>
      </c>
      <c r="I8790">
        <v>107.3865</v>
      </c>
      <c r="J8790">
        <v>-187.4246</v>
      </c>
      <c r="K8790">
        <v>1.121831</v>
      </c>
      <c r="L8790">
        <v>86.69699</v>
      </c>
      <c r="M8790">
        <v>1.6525620000000001E-2</v>
      </c>
      <c r="N8790">
        <v>-1.4538270000000001E-2</v>
      </c>
      <c r="O8790">
        <v>0.99975780000000003</v>
      </c>
      <c r="P8790">
        <v>-2.5608240000000001E-2</v>
      </c>
      <c r="Q8790">
        <v>-0.13329260000000001</v>
      </c>
      <c r="R8790">
        <v>0.99074580000000001</v>
      </c>
      <c r="S8790">
        <v>-8.9035030000000001E-2</v>
      </c>
      <c r="T8790">
        <v>-0.16049229999999901</v>
      </c>
      <c r="U8790">
        <v>3.0041199999999999</v>
      </c>
      <c r="V8790">
        <v>-4.1642110000000003E-2</v>
      </c>
      <c r="W8790">
        <v>-0.1190015</v>
      </c>
      <c r="X8790">
        <v>0.99202040000000002</v>
      </c>
      <c r="Y8790">
        <v>-4.6095650000000002E-2</v>
      </c>
      <c r="Z8790">
        <v>-3.8770279999999997E-2</v>
      </c>
      <c r="AA8790">
        <v>0.99818439999999997</v>
      </c>
      <c r="AB8790">
        <v>33</v>
      </c>
      <c r="AC8790">
        <v>-0.62659999999999605</v>
      </c>
      <c r="AD8790">
        <v>-1.1218346719979999</v>
      </c>
      <c r="AE8790">
        <v>20.689509999999999</v>
      </c>
      <c r="AF8790">
        <v>-0.96562112445613202</v>
      </c>
      <c r="AG8790">
        <v>-1.1218346719979999</v>
      </c>
      <c r="AH8790">
        <v>20.615771833075801</v>
      </c>
      <c r="AI8790">
        <v>93.111349752037697</v>
      </c>
      <c r="AJ8790">
        <v>92.681714222574996</v>
      </c>
      <c r="AK8790">
        <v>20.668840931719799</v>
      </c>
      <c r="AL8790">
        <v>96.834480178581501</v>
      </c>
      <c r="AM8790">
        <v>92.403697791801306</v>
      </c>
      <c r="AN8790">
        <v>0.99999994817182902</v>
      </c>
    </row>
    <row r="8791" spans="1:40" x14ac:dyDescent="0.25">
      <c r="A8791" t="str">
        <f>"20190303154350304"</f>
        <v>20190303154350304</v>
      </c>
      <c r="B8791" t="str">
        <f>"1551599030298505"</f>
        <v>1551599030298505</v>
      </c>
      <c r="C8791" t="s">
        <v>40</v>
      </c>
      <c r="D8791">
        <v>6.3915660000000001</v>
      </c>
      <c r="E8791">
        <v>0.49872430000000001</v>
      </c>
      <c r="F8791" t="s">
        <v>41</v>
      </c>
      <c r="G8791">
        <v>-188.04660000000001</v>
      </c>
      <c r="H8791" s="1">
        <v>-3.6569289999999998E-6</v>
      </c>
      <c r="I8791">
        <v>107.3494</v>
      </c>
      <c r="J8791">
        <v>-187.4203</v>
      </c>
      <c r="K8791">
        <v>1.121831</v>
      </c>
      <c r="L8791">
        <v>87.046779999999998</v>
      </c>
      <c r="M8791">
        <v>1.5132E-2</v>
      </c>
      <c r="N8791">
        <v>-1.453465E-2</v>
      </c>
      <c r="O8791">
        <v>0.99977990000000005</v>
      </c>
      <c r="P8791">
        <v>-2.6767289999999999E-2</v>
      </c>
      <c r="Q8791">
        <v>-0.13385279999999899</v>
      </c>
      <c r="R8791">
        <v>0.99063959999999995</v>
      </c>
      <c r="S8791">
        <v>-9.0454099999999996E-2</v>
      </c>
      <c r="T8791">
        <v>-0.16316129999999901</v>
      </c>
      <c r="U8791">
        <v>3.0037229999999999</v>
      </c>
      <c r="V8791">
        <v>-4.1417429999999998E-2</v>
      </c>
      <c r="W8791">
        <v>-0.11956559999999999</v>
      </c>
      <c r="X8791">
        <v>0.99196200000000001</v>
      </c>
      <c r="Y8791">
        <v>-4.5177349999999998E-2</v>
      </c>
      <c r="Z8791">
        <v>-3.9668179999999997E-2</v>
      </c>
      <c r="AA8791">
        <v>0.9981911</v>
      </c>
      <c r="AB8791">
        <v>33</v>
      </c>
      <c r="AC8791">
        <v>-0.62630000000001396</v>
      </c>
      <c r="AD8791">
        <v>-1.1218346569290001</v>
      </c>
      <c r="AE8791">
        <v>20.302620000000001</v>
      </c>
      <c r="AF8791">
        <v>-0.93064124460085096</v>
      </c>
      <c r="AG8791">
        <v>-1.1218346569290001</v>
      </c>
      <c r="AH8791">
        <v>20.229112220854599</v>
      </c>
      <c r="AI8791">
        <v>93.170822128322598</v>
      </c>
      <c r="AJ8791">
        <v>92.634037755422099</v>
      </c>
      <c r="AK8791">
        <v>20.2815578141218</v>
      </c>
      <c r="AL8791">
        <v>96.867032980590807</v>
      </c>
      <c r="AM8791">
        <v>92.390884317208105</v>
      </c>
      <c r="AN8791">
        <v>0.99999997282758202</v>
      </c>
    </row>
    <row r="8792" spans="1:40" x14ac:dyDescent="0.25">
      <c r="A8792" t="str">
        <f>"20190303154350328"</f>
        <v>20190303154350328</v>
      </c>
      <c r="B8792" t="str">
        <f>"1551599030319101"</f>
        <v>1551599030319101</v>
      </c>
      <c r="C8792" t="s">
        <v>40</v>
      </c>
      <c r="D8792">
        <v>6.3106400000000002</v>
      </c>
      <c r="E8792">
        <v>0.53190709999999997</v>
      </c>
      <c r="F8792" t="s">
        <v>41</v>
      </c>
      <c r="G8792">
        <v>-188.01169999999999</v>
      </c>
      <c r="H8792" s="1">
        <v>-3.336301E-6</v>
      </c>
      <c r="I8792">
        <v>106.58759999999999</v>
      </c>
      <c r="J8792">
        <v>-187.41640000000001</v>
      </c>
      <c r="K8792">
        <v>1.1218189999999999</v>
      </c>
      <c r="L8792">
        <v>87.405760000000001</v>
      </c>
      <c r="M8792">
        <v>1.370154E-2</v>
      </c>
      <c r="N8792">
        <v>-1.4530950000000001E-2</v>
      </c>
      <c r="O8792">
        <v>0.99980060000000004</v>
      </c>
      <c r="P8792">
        <v>-2.863593E-2</v>
      </c>
      <c r="Q8792">
        <v>-0.1346937</v>
      </c>
      <c r="R8792">
        <v>0.99047339999999995</v>
      </c>
      <c r="S8792">
        <v>-9.0866089999999997E-2</v>
      </c>
      <c r="T8792">
        <v>-0.1723779</v>
      </c>
      <c r="U8792">
        <v>3.0025940000000002</v>
      </c>
      <c r="V8792">
        <v>-4.1864829999999999E-2</v>
      </c>
      <c r="W8792">
        <v>-0.1204132</v>
      </c>
      <c r="X8792">
        <v>0.99184070000000002</v>
      </c>
      <c r="Y8792">
        <v>-4.3891960000000001E-2</v>
      </c>
      <c r="Z8792">
        <v>-4.2750429999999999E-2</v>
      </c>
      <c r="AA8792">
        <v>0.99812120000000004</v>
      </c>
      <c r="AB8792">
        <v>33</v>
      </c>
      <c r="AC8792">
        <v>-0.59529999999997996</v>
      </c>
      <c r="AD8792">
        <v>-1.121822336301</v>
      </c>
      <c r="AE8792">
        <v>19.181839999999902</v>
      </c>
      <c r="AF8792">
        <v>-0.85517044262589703</v>
      </c>
      <c r="AG8792">
        <v>-1.121822336301</v>
      </c>
      <c r="AH8792">
        <v>19.106593705405299</v>
      </c>
      <c r="AI8792">
        <v>93.356847144529894</v>
      </c>
      <c r="AJ8792">
        <v>92.562726705212199</v>
      </c>
      <c r="AK8792">
        <v>19.1585940210548</v>
      </c>
      <c r="AL8792">
        <v>96.915950196821996</v>
      </c>
      <c r="AM8792">
        <v>92.416975911344494</v>
      </c>
      <c r="AN8792">
        <v>0.99999998845082905</v>
      </c>
    </row>
    <row r="8793" spans="1:40" x14ac:dyDescent="0.25">
      <c r="A8793" t="str">
        <f>"20190303154350361"</f>
        <v>20190303154350361</v>
      </c>
      <c r="B8793" t="str">
        <f>"1551599030348381"</f>
        <v>1551599030348381</v>
      </c>
      <c r="C8793" t="s">
        <v>40</v>
      </c>
      <c r="D8793">
        <v>6.3269219999999997</v>
      </c>
      <c r="E8793">
        <v>0.53275150000000004</v>
      </c>
      <c r="F8793" t="s">
        <v>42</v>
      </c>
      <c r="G8793">
        <v>-187.36920000000001</v>
      </c>
      <c r="H8793">
        <v>1.0400049999999901</v>
      </c>
      <c r="I8793">
        <v>88.245249999999999</v>
      </c>
      <c r="J8793">
        <v>-187.41200000000001</v>
      </c>
      <c r="K8793">
        <v>1.1218159999999999</v>
      </c>
      <c r="L8793">
        <v>87.877809999999997</v>
      </c>
      <c r="M8793">
        <v>1.181981E-2</v>
      </c>
      <c r="N8793">
        <v>-1.452606E-2</v>
      </c>
      <c r="O8793">
        <v>0.99982459999999995</v>
      </c>
      <c r="P8793">
        <v>-3.1160170000000001E-2</v>
      </c>
      <c r="Q8793">
        <v>-0.13489590000000001</v>
      </c>
      <c r="R8793">
        <v>0.99036970000000002</v>
      </c>
      <c r="S8793">
        <v>0.1681213</v>
      </c>
      <c r="T8793">
        <v>-0.29185559999999899</v>
      </c>
      <c r="U8793">
        <v>2.9940190000000002</v>
      </c>
      <c r="V8793">
        <v>-4.2524430000000002E-2</v>
      </c>
      <c r="W8793">
        <v>-0.1206226</v>
      </c>
      <c r="X8793">
        <v>0.99178719999999998</v>
      </c>
      <c r="Y8793">
        <v>4.403112E-2</v>
      </c>
      <c r="Z8793">
        <v>-8.2423919999999998E-2</v>
      </c>
      <c r="AA8793">
        <v>0.99562419999999996</v>
      </c>
      <c r="AB8793">
        <v>33</v>
      </c>
      <c r="AC8793">
        <v>4.2799999999999699E-2</v>
      </c>
      <c r="AD8793">
        <v>-8.1810999999999995E-2</v>
      </c>
      <c r="AE8793">
        <v>0.36744000000000199</v>
      </c>
      <c r="AF8793">
        <v>3.66604190355765E-2</v>
      </c>
      <c r="AG8793">
        <v>-8.1810999999999995E-2</v>
      </c>
      <c r="AH8793">
        <v>0.35076438190704201</v>
      </c>
      <c r="AI8793">
        <v>103.06007200734101</v>
      </c>
      <c r="AJ8793">
        <v>84.033348671839093</v>
      </c>
      <c r="AK8793">
        <v>0.36203960786009798</v>
      </c>
      <c r="AL8793">
        <v>96.928035983320896</v>
      </c>
      <c r="AM8793">
        <v>92.455142535556007</v>
      </c>
      <c r="AN8793">
        <v>0.99999999443071197</v>
      </c>
    </row>
    <row r="8794" spans="1:40" x14ac:dyDescent="0.25">
      <c r="A8794" t="str">
        <f>"20190303154350393"</f>
        <v>20190303154350393</v>
      </c>
      <c r="B8794" t="str">
        <f>"1551599030388396"</f>
        <v>1551599030388396</v>
      </c>
      <c r="C8794" t="s">
        <v>40</v>
      </c>
      <c r="D8794">
        <v>6.3296000000000001</v>
      </c>
      <c r="E8794">
        <v>0.5335879</v>
      </c>
      <c r="F8794" t="s">
        <v>42</v>
      </c>
      <c r="G8794">
        <v>-187.3587</v>
      </c>
      <c r="H8794">
        <v>1.0270280000000001</v>
      </c>
      <c r="I8794">
        <v>88.828299999999999</v>
      </c>
      <c r="J8794">
        <v>-187.4085</v>
      </c>
      <c r="K8794">
        <v>1.1218090000000001</v>
      </c>
      <c r="L8794">
        <v>88.355590000000007</v>
      </c>
      <c r="M8794">
        <v>9.914984E-3</v>
      </c>
      <c r="N8794">
        <v>-1.4521040000000001E-2</v>
      </c>
      <c r="O8794">
        <v>0.9998454</v>
      </c>
      <c r="P8794">
        <v>-3.4108649999999997E-2</v>
      </c>
      <c r="Q8794">
        <v>-0.13407820000000001</v>
      </c>
      <c r="R8794">
        <v>0.99038360000000003</v>
      </c>
      <c r="S8794">
        <v>0.16737369999999999</v>
      </c>
      <c r="T8794">
        <v>-0.29859530000000001</v>
      </c>
      <c r="U8794">
        <v>2.9937740000000002</v>
      </c>
      <c r="V8794">
        <v>-4.3589950000000002E-2</v>
      </c>
      <c r="W8794">
        <v>-0.11981169999999999</v>
      </c>
      <c r="X8794">
        <v>0.99183920000000003</v>
      </c>
      <c r="Y8794">
        <v>4.567848E-2</v>
      </c>
      <c r="Z8794">
        <v>-8.4654779999999999E-2</v>
      </c>
      <c r="AA8794">
        <v>0.99536279999999999</v>
      </c>
      <c r="AB8794">
        <v>33</v>
      </c>
      <c r="AC8794">
        <v>4.9800000000004702E-2</v>
      </c>
      <c r="AD8794">
        <v>-9.4780999999999893E-2</v>
      </c>
      <c r="AE8794">
        <v>0.47270999999999203</v>
      </c>
      <c r="AF8794">
        <v>4.3385101586736897E-2</v>
      </c>
      <c r="AG8794">
        <v>-9.4780999999999893E-2</v>
      </c>
      <c r="AH8794">
        <v>0.45508581953813398</v>
      </c>
      <c r="AI8794">
        <v>101.71321381576399</v>
      </c>
      <c r="AJ8794">
        <v>84.554228702920398</v>
      </c>
      <c r="AK8794">
        <v>0.46687129719590398</v>
      </c>
      <c r="AL8794">
        <v>96.881235636450299</v>
      </c>
      <c r="AM8794">
        <v>92.516450302665604</v>
      </c>
      <c r="AN8794">
        <v>0.99999996292726501</v>
      </c>
    </row>
    <row r="8795" spans="1:40" x14ac:dyDescent="0.25">
      <c r="A8795" t="str">
        <f>"20190303154350414"</f>
        <v>20190303154350414</v>
      </c>
      <c r="B8795" t="str">
        <f>"1551599030408893"</f>
        <v>1551599030408893</v>
      </c>
      <c r="C8795" t="s">
        <v>40</v>
      </c>
      <c r="D8795">
        <v>6.3237880000000004</v>
      </c>
      <c r="E8795">
        <v>0.53360830000000004</v>
      </c>
      <c r="F8795" t="s">
        <v>42</v>
      </c>
      <c r="G8795">
        <v>-187.3657</v>
      </c>
      <c r="H8795">
        <v>1.0445759999999999</v>
      </c>
      <c r="I8795">
        <v>89.132850000000005</v>
      </c>
      <c r="J8795">
        <v>-187.4066</v>
      </c>
      <c r="K8795">
        <v>1.1218170000000001</v>
      </c>
      <c r="L8795">
        <v>88.677980000000005</v>
      </c>
      <c r="M8795">
        <v>8.6292950000000004E-3</v>
      </c>
      <c r="N8795">
        <v>-1.4517759999999999E-2</v>
      </c>
      <c r="O8795">
        <v>0.99985740000000001</v>
      </c>
      <c r="P8795">
        <v>-3.517497E-2</v>
      </c>
      <c r="Q8795">
        <v>-0.133341299999999</v>
      </c>
      <c r="R8795">
        <v>0.99044580000000004</v>
      </c>
      <c r="S8795">
        <v>0.16497800000000001</v>
      </c>
      <c r="T8795">
        <v>-0.29757270000000002</v>
      </c>
      <c r="U8795">
        <v>2.994507</v>
      </c>
      <c r="V8795">
        <v>-4.33862E-2</v>
      </c>
      <c r="W8795">
        <v>-0.1190758</v>
      </c>
      <c r="X8795">
        <v>0.99193679999999995</v>
      </c>
      <c r="Y8795">
        <v>4.615698E-2</v>
      </c>
      <c r="Z8795">
        <v>-8.4299849999999996E-2</v>
      </c>
      <c r="AA8795">
        <v>0.9953708</v>
      </c>
      <c r="AB8795">
        <v>33</v>
      </c>
      <c r="AC8795">
        <v>4.0899999999993497E-2</v>
      </c>
      <c r="AD8795">
        <v>-7.7241000000000101E-2</v>
      </c>
      <c r="AE8795">
        <v>0.454869999999999</v>
      </c>
      <c r="AF8795">
        <v>3.5944699943459599E-2</v>
      </c>
      <c r="AG8795">
        <v>-7.7241000000000101E-2</v>
      </c>
      <c r="AH8795">
        <v>0.44254748519905102</v>
      </c>
      <c r="AI8795">
        <v>99.868658583057993</v>
      </c>
      <c r="AJ8795">
        <v>85.356501434369306</v>
      </c>
      <c r="AK8795">
        <v>0.45067335198681302</v>
      </c>
      <c r="AL8795">
        <v>96.838767303893405</v>
      </c>
      <c r="AM8795">
        <v>92.504456686224302</v>
      </c>
      <c r="AN8795">
        <v>1.00000001184516</v>
      </c>
    </row>
    <row r="8796" spans="1:40" x14ac:dyDescent="0.25">
      <c r="A8796" t="str">
        <f>"20190303154350438"</f>
        <v>20190303154350438</v>
      </c>
      <c r="B8796" t="str">
        <f>"1551599030428413"</f>
        <v>1551599030428413</v>
      </c>
      <c r="C8796" t="s">
        <v>40</v>
      </c>
      <c r="D8796">
        <v>6.3364580000000004</v>
      </c>
      <c r="E8796">
        <v>0.53392930000000005</v>
      </c>
      <c r="F8796" t="s">
        <v>42</v>
      </c>
      <c r="G8796">
        <v>-187.36590000000001</v>
      </c>
      <c r="H8796">
        <v>1.0465679999999999</v>
      </c>
      <c r="I8796">
        <v>89.428700000000006</v>
      </c>
      <c r="J8796">
        <v>-187.40520000000001</v>
      </c>
      <c r="K8796">
        <v>1.1218170000000001</v>
      </c>
      <c r="L8796">
        <v>89.021550000000005</v>
      </c>
      <c r="M8796">
        <v>7.2583049999999996E-3</v>
      </c>
      <c r="N8796">
        <v>-1.451413E-2</v>
      </c>
      <c r="O8796">
        <v>0.99986830000000004</v>
      </c>
      <c r="P8796">
        <v>-3.6129630000000003E-2</v>
      </c>
      <c r="Q8796">
        <v>-0.13341249999999999</v>
      </c>
      <c r="R8796">
        <v>0.9904018</v>
      </c>
      <c r="S8796">
        <v>0.161987299999999</v>
      </c>
      <c r="T8796">
        <v>-0.30020429999999998</v>
      </c>
      <c r="U8796">
        <v>2.9942929999999999</v>
      </c>
      <c r="V8796">
        <v>-4.298329E-2</v>
      </c>
      <c r="W8796">
        <v>-0.11914909999999999</v>
      </c>
      <c r="X8796">
        <v>0.99194550000000004</v>
      </c>
      <c r="Y8796">
        <v>4.653471E-2</v>
      </c>
      <c r="Z8796">
        <v>-8.5179190000000002E-2</v>
      </c>
      <c r="AA8796">
        <v>0.99527840000000001</v>
      </c>
      <c r="AB8796">
        <v>33</v>
      </c>
      <c r="AC8796">
        <v>3.9299999999997198E-2</v>
      </c>
      <c r="AD8796">
        <v>-7.5249000000000094E-2</v>
      </c>
      <c r="AE8796">
        <v>0.40715000000000101</v>
      </c>
      <c r="AF8796">
        <v>3.5153736929282302E-2</v>
      </c>
      <c r="AG8796">
        <v>-7.5249000000000094E-2</v>
      </c>
      <c r="AH8796">
        <v>0.39408756698189301</v>
      </c>
      <c r="AI8796">
        <v>100.768456330734</v>
      </c>
      <c r="AJ8796">
        <v>84.902544601844198</v>
      </c>
      <c r="AK8796">
        <v>0.40274459359599202</v>
      </c>
      <c r="AL8796">
        <v>96.842997464401193</v>
      </c>
      <c r="AM8796">
        <v>92.481206283645307</v>
      </c>
      <c r="AN8796">
        <v>0.99999997311014099</v>
      </c>
    </row>
    <row r="8797" spans="1:40" x14ac:dyDescent="0.25">
      <c r="A8797" t="str">
        <f>"20190303154350458"</f>
        <v>20190303154350458</v>
      </c>
      <c r="B8797" t="str">
        <f>"1551599030448911"</f>
        <v>1551599030448911</v>
      </c>
      <c r="C8797" t="s">
        <v>40</v>
      </c>
      <c r="D8797">
        <v>6.347029</v>
      </c>
      <c r="E8797">
        <v>0.53433710000000001</v>
      </c>
      <c r="F8797" t="s">
        <v>42</v>
      </c>
      <c r="G8797">
        <v>-187.35210000000001</v>
      </c>
      <c r="H8797">
        <v>1.0233369999999999</v>
      </c>
      <c r="I8797">
        <v>90.001619999999903</v>
      </c>
      <c r="J8797">
        <v>-187.4042</v>
      </c>
      <c r="K8797">
        <v>1.1218170000000001</v>
      </c>
      <c r="L8797">
        <v>89.332459999999998</v>
      </c>
      <c r="M8797">
        <v>6.0154179999999998E-3</v>
      </c>
      <c r="N8797">
        <v>-1.451061E-2</v>
      </c>
      <c r="O8797">
        <v>0.9998766</v>
      </c>
      <c r="P8797">
        <v>-3.6641460000000001E-2</v>
      </c>
      <c r="Q8797">
        <v>-0.13363340000000001</v>
      </c>
      <c r="R8797">
        <v>0.99035320000000004</v>
      </c>
      <c r="S8797">
        <v>0.16178890000000001</v>
      </c>
      <c r="T8797">
        <v>-0.30095519999999998</v>
      </c>
      <c r="U8797">
        <v>2.9944459999999999</v>
      </c>
      <c r="V8797">
        <v>-4.2264139999999999E-2</v>
      </c>
      <c r="W8797">
        <v>-0.1193713</v>
      </c>
      <c r="X8797">
        <v>0.99194970000000005</v>
      </c>
      <c r="Y8797">
        <v>4.7705709999999998E-2</v>
      </c>
      <c r="Z8797">
        <v>-8.5422849999999995E-2</v>
      </c>
      <c r="AA8797">
        <v>0.99520209999999998</v>
      </c>
      <c r="AB8797">
        <v>33</v>
      </c>
      <c r="AC8797">
        <v>5.2099999999995802E-2</v>
      </c>
      <c r="AD8797">
        <v>-9.8479999999999901E-2</v>
      </c>
      <c r="AE8797">
        <v>0.66915999999998999</v>
      </c>
      <c r="AF8797">
        <v>4.7060225614254603E-2</v>
      </c>
      <c r="AG8797">
        <v>-9.8479999999999901E-2</v>
      </c>
      <c r="AH8797">
        <v>0.65535264465271004</v>
      </c>
      <c r="AI8797">
        <v>98.524282048215696</v>
      </c>
      <c r="AJ8797">
        <v>85.8926968431484</v>
      </c>
      <c r="AK8797">
        <v>0.66437945790652297</v>
      </c>
      <c r="AL8797">
        <v>96.855820012486902</v>
      </c>
      <c r="AM8797">
        <v>92.439733689622798</v>
      </c>
      <c r="AN8797">
        <v>0.99999998606185903</v>
      </c>
    </row>
    <row r="8798" spans="1:40" x14ac:dyDescent="0.25">
      <c r="A8798" t="str">
        <f>"20190303154350482"</f>
        <v>20190303154350482</v>
      </c>
      <c r="B8798" t="str">
        <f>"1551599030479164"</f>
        <v>1551599030479164</v>
      </c>
      <c r="C8798" t="s">
        <v>40</v>
      </c>
      <c r="D8798">
        <v>6.3330460000000004</v>
      </c>
      <c r="E8798">
        <v>0.53487150000000006</v>
      </c>
      <c r="F8798" t="s">
        <v>42</v>
      </c>
      <c r="G8798">
        <v>-187.35169999999999</v>
      </c>
      <c r="H8798">
        <v>1.024586</v>
      </c>
      <c r="I8798">
        <v>90.295159999999996</v>
      </c>
      <c r="J8798">
        <v>-187.40360000000001</v>
      </c>
      <c r="K8798">
        <v>1.121826</v>
      </c>
      <c r="L8798">
        <v>89.659790000000001</v>
      </c>
      <c r="M8798">
        <v>4.7044890000000001E-3</v>
      </c>
      <c r="N8798">
        <v>-1.450686E-2</v>
      </c>
      <c r="O8798">
        <v>0.99988370000000004</v>
      </c>
      <c r="P8798">
        <v>-3.6854890000000001E-2</v>
      </c>
      <c r="Q8798">
        <v>-0.1334775</v>
      </c>
      <c r="R8798">
        <v>0.99036630000000003</v>
      </c>
      <c r="S8798">
        <v>0.16325379999999901</v>
      </c>
      <c r="T8798">
        <v>-0.30244310000000002</v>
      </c>
      <c r="U8798">
        <v>2.9944459999999999</v>
      </c>
      <c r="V8798">
        <v>-4.1180309999999998E-2</v>
      </c>
      <c r="W8798">
        <v>-0.119215</v>
      </c>
      <c r="X8798">
        <v>0.99201410000000001</v>
      </c>
      <c r="Y8798">
        <v>4.9496680000000001E-2</v>
      </c>
      <c r="Z8798">
        <v>-8.5910920000000002E-2</v>
      </c>
      <c r="AA8798">
        <v>0.99507250000000003</v>
      </c>
      <c r="AB8798">
        <v>33</v>
      </c>
      <c r="AC8798">
        <v>5.1900000000017599E-2</v>
      </c>
      <c r="AD8798">
        <v>-9.7239999999999993E-2</v>
      </c>
      <c r="AE8798">
        <v>0.635369999999994</v>
      </c>
      <c r="AF8798">
        <v>4.77978860295767E-2</v>
      </c>
      <c r="AG8798">
        <v>-9.7239999999999993E-2</v>
      </c>
      <c r="AH8798">
        <v>0.62115449020633695</v>
      </c>
      <c r="AI8798">
        <v>98.871473583755105</v>
      </c>
      <c r="AJ8798">
        <v>85.599756741228006</v>
      </c>
      <c r="AK8798">
        <v>0.63053402462705399</v>
      </c>
      <c r="AL8798">
        <v>96.846800146729095</v>
      </c>
      <c r="AM8798">
        <v>92.3770872455041</v>
      </c>
      <c r="AN8798">
        <v>1.0000000043777499</v>
      </c>
    </row>
    <row r="8799" spans="1:40" x14ac:dyDescent="0.25">
      <c r="A8799" t="str">
        <f>"20190303154350505"</f>
        <v>20190303154350505</v>
      </c>
      <c r="B8799" t="str">
        <f>"1551599030498685"</f>
        <v>1551599030498685</v>
      </c>
      <c r="C8799" t="s">
        <v>40</v>
      </c>
      <c r="D8799">
        <v>6.3354949999999999</v>
      </c>
      <c r="E8799">
        <v>0.53511750000000002</v>
      </c>
      <c r="F8799" t="s">
        <v>42</v>
      </c>
      <c r="G8799">
        <v>-187.35169999999999</v>
      </c>
      <c r="H8799">
        <v>1.02766</v>
      </c>
      <c r="I8799">
        <v>90.589269999999999</v>
      </c>
      <c r="J8799">
        <v>-187.40350000000001</v>
      </c>
      <c r="K8799">
        <v>1.121829</v>
      </c>
      <c r="L8799">
        <v>90.007199999999997</v>
      </c>
      <c r="M8799">
        <v>3.3107060000000001E-3</v>
      </c>
      <c r="N8799">
        <v>-1.450299E-2</v>
      </c>
      <c r="O8799">
        <v>0.99988940000000004</v>
      </c>
      <c r="P8799">
        <v>-3.7338389999999999E-2</v>
      </c>
      <c r="Q8799">
        <v>-0.13338720000000001</v>
      </c>
      <c r="R8799">
        <v>0.99036040000000003</v>
      </c>
      <c r="S8799">
        <v>0.167007399999999</v>
      </c>
      <c r="T8799">
        <v>-0.30340800000000001</v>
      </c>
      <c r="U8799">
        <v>2.994507</v>
      </c>
      <c r="V8799">
        <v>-4.0283859999999998E-2</v>
      </c>
      <c r="W8799">
        <v>-0.1191252</v>
      </c>
      <c r="X8799">
        <v>0.99206170000000005</v>
      </c>
      <c r="Y8799">
        <v>5.2127369999999999E-2</v>
      </c>
      <c r="Z8799">
        <v>-8.622022E-2</v>
      </c>
      <c r="AA8799">
        <v>0.9949114</v>
      </c>
      <c r="AB8799">
        <v>33</v>
      </c>
      <c r="AC8799">
        <v>5.1800000000014203E-2</v>
      </c>
      <c r="AD8799">
        <v>-9.41690000000001E-2</v>
      </c>
      <c r="AE8799">
        <v>0.58207000000000098</v>
      </c>
      <c r="AF8799">
        <v>4.8610139675227003E-2</v>
      </c>
      <c r="AG8799">
        <v>-9.41690000000001E-2</v>
      </c>
      <c r="AH8799">
        <v>0.56750140985543995</v>
      </c>
      <c r="AI8799">
        <v>99.387832015284005</v>
      </c>
      <c r="AJ8799">
        <v>85.104198786452997</v>
      </c>
      <c r="AK8799">
        <v>0.57731152459322799</v>
      </c>
      <c r="AL8799">
        <v>96.841618021317601</v>
      </c>
      <c r="AM8799">
        <v>92.325286658929102</v>
      </c>
      <c r="AN8799">
        <v>1.0000000096292101</v>
      </c>
    </row>
    <row r="8800" spans="1:40" x14ac:dyDescent="0.25">
      <c r="A8800" t="str">
        <f>"20190303154350527"</f>
        <v>20190303154350527</v>
      </c>
      <c r="B8800" t="str">
        <f>"1551599030519181"</f>
        <v>1551599030519181</v>
      </c>
      <c r="C8800" t="s">
        <v>40</v>
      </c>
      <c r="D8800">
        <v>6.3365450000000001</v>
      </c>
      <c r="E8800">
        <v>0.53545900000000002</v>
      </c>
      <c r="F8800" t="s">
        <v>42</v>
      </c>
      <c r="G8800">
        <v>-187.3544</v>
      </c>
      <c r="H8800">
        <v>1.0326329999999999</v>
      </c>
      <c r="I8800">
        <v>90.884020000000007</v>
      </c>
      <c r="J8800">
        <v>-187.40369999999999</v>
      </c>
      <c r="K8800">
        <v>1.121831</v>
      </c>
      <c r="L8800">
        <v>90.328059999999994</v>
      </c>
      <c r="M8800">
        <v>2.0209820000000002E-3</v>
      </c>
      <c r="N8800">
        <v>-1.4499379999999999E-2</v>
      </c>
      <c r="O8800">
        <v>0.99989280000000003</v>
      </c>
      <c r="P8800">
        <v>-3.8277560000000002E-2</v>
      </c>
      <c r="Q8800">
        <v>-0.13342670000000001</v>
      </c>
      <c r="R8800">
        <v>0.99031919999999996</v>
      </c>
      <c r="S8800">
        <v>0.1674805</v>
      </c>
      <c r="T8800">
        <v>-0.30463220000000002</v>
      </c>
      <c r="U8800">
        <v>2.9944760000000001</v>
      </c>
      <c r="V8800">
        <v>-3.9945429999999997E-2</v>
      </c>
      <c r="W8800">
        <v>-0.1191671</v>
      </c>
      <c r="X8800">
        <v>0.99207029999999996</v>
      </c>
      <c r="Y8800">
        <v>5.3569350000000002E-2</v>
      </c>
      <c r="Z8800">
        <v>-8.6623069999999996E-2</v>
      </c>
      <c r="AA8800">
        <v>0.99479989999999996</v>
      </c>
      <c r="AB8800">
        <v>33</v>
      </c>
      <c r="AC8800">
        <v>4.9299999999988103E-2</v>
      </c>
      <c r="AD8800">
        <v>-8.9198000000000097E-2</v>
      </c>
      <c r="AE8800">
        <v>0.55595999999999801</v>
      </c>
      <c r="AF8800">
        <v>4.6976416636526797E-2</v>
      </c>
      <c r="AG8800">
        <v>-8.9198000000000097E-2</v>
      </c>
      <c r="AH8800">
        <v>0.54221043556014203</v>
      </c>
      <c r="AI8800">
        <v>99.307691093738399</v>
      </c>
      <c r="AJ8800">
        <v>85.048331968993807</v>
      </c>
      <c r="AK8800">
        <v>0.55150269569089805</v>
      </c>
      <c r="AL8800">
        <v>96.844036295583606</v>
      </c>
      <c r="AM8800">
        <v>92.305752827652299</v>
      </c>
      <c r="AN8800">
        <v>0.99999995762119098</v>
      </c>
    </row>
    <row r="8801" spans="1:40" x14ac:dyDescent="0.25">
      <c r="A8801" t="str">
        <f>"20190303154350549"</f>
        <v>20190303154350549</v>
      </c>
      <c r="B8801" t="str">
        <f>"1551599030538701"</f>
        <v>1551599030538701</v>
      </c>
      <c r="C8801" t="s">
        <v>40</v>
      </c>
      <c r="D8801">
        <v>6.3435100000000002</v>
      </c>
      <c r="E8801">
        <v>0.535659</v>
      </c>
      <c r="F8801" t="s">
        <v>42</v>
      </c>
      <c r="G8801">
        <v>-187.3562</v>
      </c>
      <c r="H8801">
        <v>1.035369</v>
      </c>
      <c r="I8801">
        <v>91.177310000000006</v>
      </c>
      <c r="J8801">
        <v>-187.40440000000001</v>
      </c>
      <c r="K8801">
        <v>1.1218360000000001</v>
      </c>
      <c r="L8801">
        <v>90.645480000000006</v>
      </c>
      <c r="M8801">
        <v>7.4329289999999998E-4</v>
      </c>
      <c r="N8801">
        <v>-1.449582E-2</v>
      </c>
      <c r="O8801">
        <v>0.99989470000000003</v>
      </c>
      <c r="P8801">
        <v>-3.8598109999999998E-2</v>
      </c>
      <c r="Q8801">
        <v>-0.13316040000000001</v>
      </c>
      <c r="R8801">
        <v>0.99034259999999996</v>
      </c>
      <c r="S8801">
        <v>0.16735839999999999</v>
      </c>
      <c r="T8801">
        <v>-0.3049692</v>
      </c>
      <c r="U8801">
        <v>2.9946899999999999</v>
      </c>
      <c r="V8801">
        <v>-3.9001969999999997E-2</v>
      </c>
      <c r="W8801">
        <v>-0.11890050000000001</v>
      </c>
      <c r="X8801">
        <v>0.99213989999999996</v>
      </c>
      <c r="Y8801">
        <v>5.479933E-2</v>
      </c>
      <c r="Z8801">
        <v>-8.6726789999999998E-2</v>
      </c>
      <c r="AA8801">
        <v>0.99472389999999999</v>
      </c>
      <c r="AB8801">
        <v>33</v>
      </c>
      <c r="AC8801">
        <v>4.8200000000008403E-2</v>
      </c>
      <c r="AD8801">
        <v>-8.6467000000000002E-2</v>
      </c>
      <c r="AE8801">
        <v>0.53182999999998504</v>
      </c>
      <c r="AF8801">
        <v>4.6583310348281198E-2</v>
      </c>
      <c r="AG8801">
        <v>-8.6467000000000002E-2</v>
      </c>
      <c r="AH8801">
        <v>0.51827739642038095</v>
      </c>
      <c r="AI8801">
        <v>99.434382691023103</v>
      </c>
      <c r="AJ8801">
        <v>84.863996769782005</v>
      </c>
      <c r="AK8801">
        <v>0.52750166495689199</v>
      </c>
      <c r="AL8801">
        <v>96.828651350419605</v>
      </c>
      <c r="AM8801">
        <v>92.251192835008794</v>
      </c>
      <c r="AN8801">
        <v>1.00000003186807</v>
      </c>
    </row>
    <row r="8802" spans="1:40" x14ac:dyDescent="0.25">
      <c r="A8802" t="str">
        <f>"20190303154350571"</f>
        <v>20190303154350571</v>
      </c>
      <c r="B8802" t="str">
        <f>"1551599030568956"</f>
        <v>1551599030568956</v>
      </c>
      <c r="C8802" t="s">
        <v>40</v>
      </c>
      <c r="D8802">
        <v>6.3258749999999999</v>
      </c>
      <c r="E8802">
        <v>0.53599659999999905</v>
      </c>
      <c r="F8802" t="s">
        <v>42</v>
      </c>
      <c r="G8802">
        <v>-187.35820000000001</v>
      </c>
      <c r="H8802">
        <v>1.0378559999999999</v>
      </c>
      <c r="I8802">
        <v>91.470119999999994</v>
      </c>
      <c r="J8802">
        <v>-187.40559999999999</v>
      </c>
      <c r="K8802">
        <v>1.1218399999999999</v>
      </c>
      <c r="L8802">
        <v>90.974729999999994</v>
      </c>
      <c r="M8802">
        <v>-5.8396169999999897E-4</v>
      </c>
      <c r="N8802">
        <v>-1.4492120000000001E-2</v>
      </c>
      <c r="O8802">
        <v>0.99989479999999997</v>
      </c>
      <c r="P8802">
        <v>-3.9235930000000002E-2</v>
      </c>
      <c r="Q8802">
        <v>-0.1322479</v>
      </c>
      <c r="R8802">
        <v>0.99043979999999998</v>
      </c>
      <c r="S8802">
        <v>0.16795350000000001</v>
      </c>
      <c r="T8802">
        <v>-0.30499670000000001</v>
      </c>
      <c r="U8802">
        <v>2.9947810000000001</v>
      </c>
      <c r="V8802">
        <v>-3.8328229999999998E-2</v>
      </c>
      <c r="W8802">
        <v>-0.1179876</v>
      </c>
      <c r="X8802">
        <v>0.99227509999999997</v>
      </c>
      <c r="Y8802">
        <v>5.6318689999999998E-2</v>
      </c>
      <c r="Z8802">
        <v>-8.6731069999999993E-2</v>
      </c>
      <c r="AA8802">
        <v>0.99463860000000004</v>
      </c>
      <c r="AB8802">
        <v>33</v>
      </c>
      <c r="AC8802">
        <v>4.7399999999981901E-2</v>
      </c>
      <c r="AD8802">
        <v>-8.3984000000000003E-2</v>
      </c>
      <c r="AE8802">
        <v>0.49538999999998601</v>
      </c>
      <c r="AF8802">
        <v>4.63687274714214E-2</v>
      </c>
      <c r="AG8802">
        <v>-8.3984000000000003E-2</v>
      </c>
      <c r="AH8802">
        <v>0.48164496086160202</v>
      </c>
      <c r="AI8802">
        <v>99.846540575594801</v>
      </c>
      <c r="AJ8802">
        <v>84.500990943561106</v>
      </c>
      <c r="AK8802">
        <v>0.49110613869783099</v>
      </c>
      <c r="AL8802">
        <v>96.775975444914394</v>
      </c>
      <c r="AM8802">
        <v>92.212042420238504</v>
      </c>
      <c r="AN8802">
        <v>1.0000000005243499</v>
      </c>
    </row>
    <row r="8803" spans="1:40" x14ac:dyDescent="0.25">
      <c r="A8803" t="str">
        <f>"20190303154350594"</f>
        <v>20190303154350594</v>
      </c>
      <c r="B8803" t="str">
        <f>"1551599030588477"</f>
        <v>1551599030588477</v>
      </c>
      <c r="C8803" t="s">
        <v>40</v>
      </c>
      <c r="D8803">
        <v>6.3645849999999999</v>
      </c>
      <c r="E8803">
        <v>0.53607019999999905</v>
      </c>
      <c r="F8803" t="s">
        <v>42</v>
      </c>
      <c r="G8803">
        <v>-187.36099999999999</v>
      </c>
      <c r="H8803">
        <v>1.041995</v>
      </c>
      <c r="I8803">
        <v>91.763400000000004</v>
      </c>
      <c r="J8803">
        <v>-187.40710000000001</v>
      </c>
      <c r="K8803">
        <v>1.1218360000000001</v>
      </c>
      <c r="L8803">
        <v>91.291049999999998</v>
      </c>
      <c r="M8803">
        <v>-1.8602499999999999E-3</v>
      </c>
      <c r="N8803">
        <v>-1.448868E-2</v>
      </c>
      <c r="O8803">
        <v>0.99989329999999998</v>
      </c>
      <c r="P8803">
        <v>-3.9084279999999999E-2</v>
      </c>
      <c r="Q8803">
        <v>-0.13187499999999999</v>
      </c>
      <c r="R8803">
        <v>0.99049560000000003</v>
      </c>
      <c r="S8803">
        <v>0.16888429999999999</v>
      </c>
      <c r="T8803">
        <v>-0.30332229999999999</v>
      </c>
      <c r="U8803">
        <v>2.9951479999999999</v>
      </c>
      <c r="V8803">
        <v>-3.6913689999999999E-2</v>
      </c>
      <c r="W8803">
        <v>-0.11761249999999999</v>
      </c>
      <c r="X8803">
        <v>0.99237319999999996</v>
      </c>
      <c r="Y8803">
        <v>5.7896019999999999E-2</v>
      </c>
      <c r="Z8803">
        <v>-8.6165710000000006E-2</v>
      </c>
      <c r="AA8803">
        <v>0.99459710000000001</v>
      </c>
      <c r="AB8803">
        <v>33</v>
      </c>
      <c r="AC8803">
        <v>4.6100000000023997E-2</v>
      </c>
      <c r="AD8803">
        <v>-7.9840999999999995E-2</v>
      </c>
      <c r="AE8803">
        <v>0.47235000000000499</v>
      </c>
      <c r="AF8803">
        <v>4.5685734249374998E-2</v>
      </c>
      <c r="AG8803">
        <v>-7.9840999999999995E-2</v>
      </c>
      <c r="AH8803">
        <v>0.45926558647385302</v>
      </c>
      <c r="AI8803">
        <v>99.814528636376096</v>
      </c>
      <c r="AJ8803">
        <v>84.319155038816007</v>
      </c>
      <c r="AK8803">
        <v>0.46838728688349002</v>
      </c>
      <c r="AL8803">
        <v>96.754333490599905</v>
      </c>
      <c r="AM8803">
        <v>92.130271134643294</v>
      </c>
      <c r="AN8803">
        <v>0.99999994437195106</v>
      </c>
    </row>
    <row r="8804" spans="1:40" x14ac:dyDescent="0.25">
      <c r="A8804" t="str">
        <f>"20190303154350614"</f>
        <v>20190303154350614</v>
      </c>
      <c r="B8804" t="str">
        <f>"1551599030608974"</f>
        <v>1551599030608974</v>
      </c>
      <c r="C8804" t="s">
        <v>40</v>
      </c>
      <c r="D8804">
        <v>6.1804649999999999</v>
      </c>
      <c r="E8804">
        <v>0.53514399999999995</v>
      </c>
      <c r="F8804" t="s">
        <v>42</v>
      </c>
      <c r="G8804">
        <v>-187.36359999999999</v>
      </c>
      <c r="H8804">
        <v>1.0445599999999999</v>
      </c>
      <c r="I8804">
        <v>92.056229999999999</v>
      </c>
      <c r="J8804">
        <v>-187.40899999999999</v>
      </c>
      <c r="K8804">
        <v>1.1218410000000001</v>
      </c>
      <c r="L8804">
        <v>91.607910000000004</v>
      </c>
      <c r="M8804">
        <v>-3.1396800000000002E-3</v>
      </c>
      <c r="N8804">
        <v>-1.448519E-2</v>
      </c>
      <c r="O8804">
        <v>0.9998901</v>
      </c>
      <c r="P8804">
        <v>-3.974594E-2</v>
      </c>
      <c r="Q8804">
        <v>-0.13088519999999901</v>
      </c>
      <c r="R8804">
        <v>0.99060049999999999</v>
      </c>
      <c r="S8804">
        <v>0.1700439</v>
      </c>
      <c r="T8804">
        <v>-0.30252329999999999</v>
      </c>
      <c r="U8804">
        <v>2.995209</v>
      </c>
      <c r="V8804">
        <v>-3.6310839999999997E-2</v>
      </c>
      <c r="W8804">
        <v>-0.1166222</v>
      </c>
      <c r="X8804">
        <v>0.99251230000000001</v>
      </c>
      <c r="Y8804">
        <v>5.9556110000000002E-2</v>
      </c>
      <c r="Z8804">
        <v>-8.5897479999999998E-2</v>
      </c>
      <c r="AA8804">
        <v>0.99452229999999997</v>
      </c>
      <c r="AB8804">
        <v>33</v>
      </c>
      <c r="AC8804">
        <v>4.5400000000029202E-2</v>
      </c>
      <c r="AD8804">
        <v>-7.72810000000001E-2</v>
      </c>
      <c r="AE8804">
        <v>0.448319999999995</v>
      </c>
      <c r="AF8804">
        <v>4.5470096697306298E-2</v>
      </c>
      <c r="AG8804">
        <v>-7.72810000000001E-2</v>
      </c>
      <c r="AH8804">
        <v>0.43536973554157399</v>
      </c>
      <c r="AI8804">
        <v>100.012189258239</v>
      </c>
      <c r="AJ8804">
        <v>84.037634031212505</v>
      </c>
      <c r="AK8804">
        <v>0.44450724322580198</v>
      </c>
      <c r="AL8804">
        <v>96.697200316984507</v>
      </c>
      <c r="AM8804">
        <v>92.095218803714303</v>
      </c>
      <c r="AN8804">
        <v>0.99999994014281601</v>
      </c>
    </row>
    <row r="8805" spans="1:40" x14ac:dyDescent="0.25">
      <c r="A8805" t="str">
        <f>"20190303154350638"</f>
        <v>20190303154350638</v>
      </c>
      <c r="B8805" t="str">
        <f>"1551599030628493"</f>
        <v>1551599030628493</v>
      </c>
      <c r="C8805" t="s">
        <v>40</v>
      </c>
      <c r="D8805">
        <v>6.291747</v>
      </c>
      <c r="E8805">
        <v>0.50778449999999997</v>
      </c>
      <c r="F8805" t="s">
        <v>42</v>
      </c>
      <c r="G8805">
        <v>-187.3691</v>
      </c>
      <c r="H8805">
        <v>1.0479459999999901</v>
      </c>
      <c r="I8805">
        <v>92.350059999999999</v>
      </c>
      <c r="J8805">
        <v>-187.41139999999999</v>
      </c>
      <c r="K8805">
        <v>1.121842</v>
      </c>
      <c r="L8805">
        <v>91.932980000000001</v>
      </c>
      <c r="M8805">
        <v>-4.4526619999999996E-3</v>
      </c>
      <c r="N8805">
        <v>-1.4481580000000001E-2</v>
      </c>
      <c r="O8805">
        <v>0.99988520000000003</v>
      </c>
      <c r="P8805">
        <v>-4.0014729999999998E-2</v>
      </c>
      <c r="Q8805">
        <v>-0.13048870000000001</v>
      </c>
      <c r="R8805">
        <v>0.99064200000000002</v>
      </c>
      <c r="S8805">
        <v>0.16050719999999999</v>
      </c>
      <c r="T8805">
        <v>-0.29835990000000001</v>
      </c>
      <c r="U8805">
        <v>2.9954830000000001</v>
      </c>
      <c r="V8805">
        <v>-3.5280760000000001E-2</v>
      </c>
      <c r="W8805">
        <v>-0.11622490000000001</v>
      </c>
      <c r="X8805">
        <v>0.99259609999999998</v>
      </c>
      <c r="Y8805">
        <v>5.771333E-2</v>
      </c>
      <c r="Z8805">
        <v>-8.4536020000000003E-2</v>
      </c>
      <c r="AA8805">
        <v>0.99474759999999995</v>
      </c>
      <c r="AB8805">
        <v>33</v>
      </c>
      <c r="AC8805">
        <v>4.2299999999983101E-2</v>
      </c>
      <c r="AD8805">
        <v>-7.38960000000001E-2</v>
      </c>
      <c r="AE8805">
        <v>0.41707999999999801</v>
      </c>
      <c r="AF8805">
        <v>4.2826226896426803E-2</v>
      </c>
      <c r="AG8805">
        <v>-7.38960000000001E-2</v>
      </c>
      <c r="AH8805">
        <v>0.40432462237989703</v>
      </c>
      <c r="AI8805">
        <v>100.300918269392</v>
      </c>
      <c r="AJ8805">
        <v>83.953751915788601</v>
      </c>
      <c r="AK8805">
        <v>0.413247026352072</v>
      </c>
      <c r="AL8805">
        <v>96.674280517242593</v>
      </c>
      <c r="AM8805">
        <v>92.035659837263395</v>
      </c>
      <c r="AN8805">
        <v>0.99999998857069805</v>
      </c>
    </row>
    <row r="8806" spans="1:40" x14ac:dyDescent="0.25">
      <c r="A8806" t="str">
        <f>"20190303154350660"</f>
        <v>20190303154350660</v>
      </c>
      <c r="B8806" t="str">
        <f>"1551599030648989"</f>
        <v>1551599030648989</v>
      </c>
      <c r="C8806" t="s">
        <v>40</v>
      </c>
      <c r="D8806">
        <v>6.1613600000000002</v>
      </c>
      <c r="E8806">
        <v>0.50799280000000002</v>
      </c>
      <c r="F8806" t="s">
        <v>42</v>
      </c>
      <c r="G8806">
        <v>-187.4306</v>
      </c>
      <c r="H8806">
        <v>1.0322739999999999</v>
      </c>
      <c r="I8806">
        <v>92.923209999999997</v>
      </c>
      <c r="J8806">
        <v>-187.4144</v>
      </c>
      <c r="K8806">
        <v>1.1218429999999999</v>
      </c>
      <c r="L8806">
        <v>92.264039999999994</v>
      </c>
      <c r="M8806">
        <v>-5.7901360000000004E-3</v>
      </c>
      <c r="N8806">
        <v>-1.447795E-2</v>
      </c>
      <c r="O8806">
        <v>0.99987839999999995</v>
      </c>
      <c r="P8806">
        <v>-3.9573079999999997E-2</v>
      </c>
      <c r="Q8806">
        <v>-0.13073460000000001</v>
      </c>
      <c r="R8806">
        <v>0.99062729999999999</v>
      </c>
      <c r="S8806">
        <v>-5.8441159999999999E-2</v>
      </c>
      <c r="T8806">
        <v>-0.27058939999999998</v>
      </c>
      <c r="U8806">
        <v>2.9903559999999998</v>
      </c>
      <c r="V8806">
        <v>-3.3513830000000001E-2</v>
      </c>
      <c r="W8806">
        <v>-0.1164688</v>
      </c>
      <c r="X8806">
        <v>0.99262879999999998</v>
      </c>
      <c r="Y8806">
        <v>-1.368306E-2</v>
      </c>
      <c r="Z8806">
        <v>-7.5676460000000001E-2</v>
      </c>
      <c r="AA8806">
        <v>0.99703850000000005</v>
      </c>
      <c r="AB8806">
        <v>33</v>
      </c>
      <c r="AC8806">
        <v>-1.6199999999997699E-2</v>
      </c>
      <c r="AD8806">
        <v>-8.9568999999999996E-2</v>
      </c>
      <c r="AE8806">
        <v>0.65916999999998804</v>
      </c>
      <c r="AF8806">
        <v>-1.21582917716231E-2</v>
      </c>
      <c r="AG8806">
        <v>-8.9568999999999996E-2</v>
      </c>
      <c r="AH8806">
        <v>0.64730821693975704</v>
      </c>
      <c r="AI8806">
        <v>97.876704830040396</v>
      </c>
      <c r="AJ8806">
        <v>91.076051380800806</v>
      </c>
      <c r="AK8806">
        <v>0.65358882911011595</v>
      </c>
      <c r="AL8806">
        <v>96.688350123981806</v>
      </c>
      <c r="AM8806">
        <v>91.933725767122596</v>
      </c>
      <c r="AN8806">
        <v>1.00000004638207</v>
      </c>
    </row>
    <row r="8807" spans="1:40" x14ac:dyDescent="0.25">
      <c r="A8807" t="str">
        <f>"20190303154350683"</f>
        <v>20190303154350683</v>
      </c>
      <c r="B8807" t="str">
        <f>"1551599030679245"</f>
        <v>1551599030679245</v>
      </c>
      <c r="C8807" t="s">
        <v>40</v>
      </c>
      <c r="D8807">
        <v>6.2793219999999996</v>
      </c>
      <c r="E8807">
        <v>0.50765130000000003</v>
      </c>
      <c r="F8807" t="s">
        <v>42</v>
      </c>
      <c r="G8807">
        <v>-187.43199999999999</v>
      </c>
      <c r="H8807">
        <v>1.0364610000000001</v>
      </c>
      <c r="I8807">
        <v>93.217460000000003</v>
      </c>
      <c r="J8807">
        <v>-187.4177</v>
      </c>
      <c r="K8807">
        <v>1.121842</v>
      </c>
      <c r="L8807">
        <v>92.592590000000001</v>
      </c>
      <c r="M8807">
        <v>-7.1177159999999996E-3</v>
      </c>
      <c r="N8807">
        <v>-1.447444E-2</v>
      </c>
      <c r="O8807">
        <v>0.99986989999999998</v>
      </c>
      <c r="P8807">
        <v>-3.9274160000000002E-2</v>
      </c>
      <c r="Q8807">
        <v>-0.1312924</v>
      </c>
      <c r="R8807">
        <v>0.99056540000000004</v>
      </c>
      <c r="S8807">
        <v>-5.5496219999999999E-2</v>
      </c>
      <c r="T8807">
        <v>-0.26785589999999998</v>
      </c>
      <c r="U8807">
        <v>2.9908139999999999</v>
      </c>
      <c r="V8807">
        <v>-3.1898599999999999E-2</v>
      </c>
      <c r="W8807">
        <v>-0.1170257</v>
      </c>
      <c r="X8807">
        <v>0.99261650000000001</v>
      </c>
      <c r="Y8807">
        <v>-1.137414E-2</v>
      </c>
      <c r="Z8807">
        <v>-7.4763479999999993E-2</v>
      </c>
      <c r="AA8807">
        <v>0.99713640000000003</v>
      </c>
      <c r="AB8807">
        <v>32</v>
      </c>
      <c r="AC8807">
        <v>-1.4300000000019899E-2</v>
      </c>
      <c r="AD8807">
        <v>-8.5380999999999901E-2</v>
      </c>
      <c r="AE8807">
        <v>0.62487000000000104</v>
      </c>
      <c r="AF8807">
        <v>-9.6710607811052608E-3</v>
      </c>
      <c r="AG8807">
        <v>-8.5380999999999901E-2</v>
      </c>
      <c r="AH8807">
        <v>0.61350779835996605</v>
      </c>
      <c r="AI8807">
        <v>97.921911414830404</v>
      </c>
      <c r="AJ8807">
        <v>90.903110078755006</v>
      </c>
      <c r="AK8807">
        <v>0.61949597514925303</v>
      </c>
      <c r="AL8807">
        <v>96.720477983105496</v>
      </c>
      <c r="AM8807">
        <v>91.840616585843705</v>
      </c>
      <c r="AN8807">
        <v>1.00000002560734</v>
      </c>
    </row>
    <row r="8808" spans="1:40" x14ac:dyDescent="0.25">
      <c r="A8808" t="str">
        <f>"20190303154350705"</f>
        <v>20190303154350705</v>
      </c>
      <c r="B8808" t="str">
        <f>"1551599030698765"</f>
        <v>1551599030698765</v>
      </c>
      <c r="C8808" t="s">
        <v>40</v>
      </c>
      <c r="D8808">
        <v>6.2606120000000001</v>
      </c>
      <c r="E8808">
        <v>0.50709029999999999</v>
      </c>
      <c r="F8808" t="s">
        <v>42</v>
      </c>
      <c r="G8808">
        <v>-187.43520000000001</v>
      </c>
      <c r="H8808">
        <v>1.0369489999999999</v>
      </c>
      <c r="I8808">
        <v>93.508799999999994</v>
      </c>
      <c r="J8808">
        <v>-187.4212</v>
      </c>
      <c r="K8808">
        <v>1.1218429999999999</v>
      </c>
      <c r="L8808">
        <v>92.906589999999994</v>
      </c>
      <c r="M8808">
        <v>-8.3868999999999992E-3</v>
      </c>
      <c r="N8808">
        <v>-1.4471039999999999E-2</v>
      </c>
      <c r="O8808">
        <v>0.99986010000000003</v>
      </c>
      <c r="P8808">
        <v>-3.8704130000000003E-2</v>
      </c>
      <c r="Q8808">
        <v>-0.1308879</v>
      </c>
      <c r="R8808">
        <v>0.99064140000000001</v>
      </c>
      <c r="S8808">
        <v>-5.7235719999999997E-2</v>
      </c>
      <c r="T8808">
        <v>-0.27703060000000002</v>
      </c>
      <c r="U8808">
        <v>2.9895939999999999</v>
      </c>
      <c r="V8808">
        <v>-3.0072049999999999E-2</v>
      </c>
      <c r="W8808">
        <v>-0.1166177</v>
      </c>
      <c r="X8808">
        <v>0.99272150000000003</v>
      </c>
      <c r="Y8808">
        <v>-1.068817E-2</v>
      </c>
      <c r="Z8808">
        <v>-7.7836000000000002E-2</v>
      </c>
      <c r="AA8808">
        <v>0.99690889999999999</v>
      </c>
      <c r="AB8808">
        <v>32</v>
      </c>
      <c r="AC8808">
        <v>-1.4000000000009999E-2</v>
      </c>
      <c r="AD8808">
        <v>-8.4893999999999997E-2</v>
      </c>
      <c r="AE8808">
        <v>0.60220999999998504</v>
      </c>
      <c r="AF8808">
        <v>-8.7740334403731794E-3</v>
      </c>
      <c r="AG8808">
        <v>-8.4893999999999997E-2</v>
      </c>
      <c r="AH8808">
        <v>0.59057620789065202</v>
      </c>
      <c r="AI8808">
        <v>98.179213069955907</v>
      </c>
      <c r="AJ8808">
        <v>90.851165517289402</v>
      </c>
      <c r="AK8808">
        <v>0.59671117990642297</v>
      </c>
      <c r="AL8808">
        <v>96.696940336431396</v>
      </c>
      <c r="AM8808">
        <v>91.735103758646204</v>
      </c>
      <c r="AN8808">
        <v>0.999999996353371</v>
      </c>
    </row>
    <row r="8809" spans="1:40" x14ac:dyDescent="0.25">
      <c r="A8809" t="str">
        <f>"20190303154350730"</f>
        <v>20190303154350730</v>
      </c>
      <c r="B8809" t="str">
        <f>"1551599030719261"</f>
        <v>1551599030719261</v>
      </c>
      <c r="C8809" t="s">
        <v>40</v>
      </c>
      <c r="D8809">
        <v>6.1416219999999999</v>
      </c>
      <c r="E8809">
        <v>0.50817159999999995</v>
      </c>
      <c r="F8809" t="s">
        <v>42</v>
      </c>
      <c r="G8809">
        <v>-187.43899999999999</v>
      </c>
      <c r="H8809">
        <v>1.0367569999999999</v>
      </c>
      <c r="I8809">
        <v>93.793869999999998</v>
      </c>
      <c r="J8809">
        <v>-187.42580000000001</v>
      </c>
      <c r="K8809">
        <v>1.121845</v>
      </c>
      <c r="L8809">
        <v>93.268519999999995</v>
      </c>
      <c r="M8809">
        <v>-9.8498370000000002E-3</v>
      </c>
      <c r="N8809">
        <v>-1.4467099999999899E-2</v>
      </c>
      <c r="O8809">
        <v>0.99984680000000004</v>
      </c>
      <c r="P8809">
        <v>-3.8882090000000001E-2</v>
      </c>
      <c r="Q8809">
        <v>-0.1301177</v>
      </c>
      <c r="R8809">
        <v>0.9907359</v>
      </c>
      <c r="S8809">
        <v>-5.9921259999999997E-2</v>
      </c>
      <c r="T8809">
        <v>-0.28654560000000001</v>
      </c>
      <c r="U8809">
        <v>2.9881289999999998</v>
      </c>
      <c r="V8809">
        <v>-2.880224E-2</v>
      </c>
      <c r="W8809">
        <v>-0.1158458</v>
      </c>
      <c r="X8809">
        <v>0.99284950000000005</v>
      </c>
      <c r="Y8809">
        <v>-1.0125169999999999E-2</v>
      </c>
      <c r="Z8809">
        <v>-8.1028299999999998E-2</v>
      </c>
      <c r="AA8809">
        <v>0.9966604</v>
      </c>
      <c r="AB8809">
        <v>32</v>
      </c>
      <c r="AC8809">
        <v>-1.32000000000118E-2</v>
      </c>
      <c r="AD8809">
        <v>-8.5087999999999997E-2</v>
      </c>
      <c r="AE8809">
        <v>0.52535000000000298</v>
      </c>
      <c r="AF8809">
        <v>-7.8192179250824601E-3</v>
      </c>
      <c r="AG8809">
        <v>-8.5087999999999997E-2</v>
      </c>
      <c r="AH8809">
        <v>0.51203117384105501</v>
      </c>
      <c r="AI8809">
        <v>99.4339636035225</v>
      </c>
      <c r="AJ8809">
        <v>90.874894710254594</v>
      </c>
      <c r="AK8809">
        <v>0.51911177110330298</v>
      </c>
      <c r="AL8809">
        <v>96.652412063803098</v>
      </c>
      <c r="AM8809">
        <v>91.661665839847601</v>
      </c>
      <c r="AN8809">
        <v>0.99999997402845298</v>
      </c>
    </row>
    <row r="8810" spans="1:40" x14ac:dyDescent="0.25">
      <c r="A8810" t="str">
        <f>"20190303154350750"</f>
        <v>20190303154350750</v>
      </c>
      <c r="B8810" t="str">
        <f>"1551599030738780"</f>
        <v>1551599030738780</v>
      </c>
      <c r="C8810" t="s">
        <v>40</v>
      </c>
      <c r="D8810">
        <v>6.2863980000000002</v>
      </c>
      <c r="E8810">
        <v>0.50776709999999903</v>
      </c>
      <c r="F8810" t="s">
        <v>41</v>
      </c>
      <c r="G8810">
        <v>-187.63990000000001</v>
      </c>
      <c r="H8810" s="1">
        <v>-2.9657420000000001E-6</v>
      </c>
      <c r="I8810">
        <v>105.5701</v>
      </c>
      <c r="J8810">
        <v>-187.43010000000001</v>
      </c>
      <c r="K8810">
        <v>1.1218520000000001</v>
      </c>
      <c r="L8810">
        <v>93.566890000000001</v>
      </c>
      <c r="M8810">
        <v>-1.1056369999999999E-2</v>
      </c>
      <c r="N8810">
        <v>-1.446395E-2</v>
      </c>
      <c r="O8810">
        <v>0.99983420000000001</v>
      </c>
      <c r="P8810">
        <v>-3.8210139999999997E-2</v>
      </c>
      <c r="Q8810">
        <v>-0.12920609999999999</v>
      </c>
      <c r="R8810">
        <v>0.99088129999999996</v>
      </c>
      <c r="S8810">
        <v>-5.2032469999999997E-2</v>
      </c>
      <c r="T8810">
        <v>-0.27269260000000001</v>
      </c>
      <c r="U8810">
        <v>2.9902039999999999</v>
      </c>
      <c r="V8810">
        <v>-2.6935980000000002E-2</v>
      </c>
      <c r="W8810">
        <v>-0.1149297</v>
      </c>
      <c r="X8810">
        <v>0.99300840000000001</v>
      </c>
      <c r="Y8810">
        <v>-6.2857529999999998E-3</v>
      </c>
      <c r="Z8810">
        <v>-7.6390150000000004E-2</v>
      </c>
      <c r="AA8810">
        <v>0.99705820000000001</v>
      </c>
      <c r="AB8810">
        <v>32</v>
      </c>
      <c r="AC8810">
        <v>-0.20980000000000101</v>
      </c>
      <c r="AD8810">
        <v>-1.1218549657420001</v>
      </c>
      <c r="AE8810">
        <v>12.0032099999999</v>
      </c>
      <c r="AF8810">
        <v>-7.6394226329914799E-2</v>
      </c>
      <c r="AG8810">
        <v>-1.1218549657420001</v>
      </c>
      <c r="AH8810">
        <v>11.900869927283299</v>
      </c>
      <c r="AI8810">
        <v>95.385056462102696</v>
      </c>
      <c r="AJ8810">
        <v>90.367788796549206</v>
      </c>
      <c r="AK8810">
        <v>11.953873835209</v>
      </c>
      <c r="AL8810">
        <v>96.599570053601397</v>
      </c>
      <c r="AM8810">
        <v>91.553803184016601</v>
      </c>
      <c r="AN8810">
        <v>1.0000000327156</v>
      </c>
    </row>
    <row r="8811" spans="1:40" x14ac:dyDescent="0.25">
      <c r="A8811" t="str">
        <f>"20190303154350772"</f>
        <v>20190303154350772</v>
      </c>
      <c r="B8811" t="str">
        <f>"1551599030769036"</f>
        <v>1551599030769036</v>
      </c>
      <c r="C8811" t="s">
        <v>40</v>
      </c>
      <c r="D8811">
        <v>6.17394</v>
      </c>
      <c r="E8811">
        <v>0.50824510000000001</v>
      </c>
      <c r="F8811" t="s">
        <v>41</v>
      </c>
      <c r="G8811">
        <v>-187.6447</v>
      </c>
      <c r="H8811" s="1">
        <v>-2.994182E-6</v>
      </c>
      <c r="I8811">
        <v>105.6384</v>
      </c>
      <c r="J8811">
        <v>-187.4349</v>
      </c>
      <c r="K8811">
        <v>1.1218520000000001</v>
      </c>
      <c r="L8811">
        <v>93.885379999999998</v>
      </c>
      <c r="M8811">
        <v>-1.234438E-2</v>
      </c>
      <c r="N8811">
        <v>-1.446062E-2</v>
      </c>
      <c r="O8811">
        <v>0.99981920000000002</v>
      </c>
      <c r="P8811">
        <v>-3.7547219999999999E-2</v>
      </c>
      <c r="Q8811">
        <v>-0.1289846</v>
      </c>
      <c r="R8811">
        <v>0.99093549999999997</v>
      </c>
      <c r="S8811">
        <v>-5.3146359999999997E-2</v>
      </c>
      <c r="T8811">
        <v>-0.27781</v>
      </c>
      <c r="U8811">
        <v>2.9893190000000001</v>
      </c>
      <c r="V8811">
        <v>-2.4996640000000001E-2</v>
      </c>
      <c r="W8811">
        <v>-0.1147049</v>
      </c>
      <c r="X8811">
        <v>0.99308510000000005</v>
      </c>
      <c r="Y8811">
        <v>-5.372351E-3</v>
      </c>
      <c r="Z8811">
        <v>-7.8110319999999997E-2</v>
      </c>
      <c r="AA8811">
        <v>0.99693019999999999</v>
      </c>
      <c r="AB8811">
        <v>32</v>
      </c>
      <c r="AC8811">
        <v>-0.20980000000000101</v>
      </c>
      <c r="AD8811">
        <v>-1.121854994182</v>
      </c>
      <c r="AE8811">
        <v>11.753019999999999</v>
      </c>
      <c r="AF8811">
        <v>-6.4101237317112494E-2</v>
      </c>
      <c r="AG8811">
        <v>-1.121854994182</v>
      </c>
      <c r="AH8811">
        <v>11.648615621192199</v>
      </c>
      <c r="AI8811">
        <v>95.500993691658607</v>
      </c>
      <c r="AJ8811">
        <v>90.315290108922397</v>
      </c>
      <c r="AK8811">
        <v>11.702688301705701</v>
      </c>
      <c r="AL8811">
        <v>96.586604226374504</v>
      </c>
      <c r="AM8811">
        <v>91.441870012116595</v>
      </c>
      <c r="AN8811">
        <v>1.0000000309686501</v>
      </c>
    </row>
    <row r="8812" spans="1:40" x14ac:dyDescent="0.25">
      <c r="A8812" t="str">
        <f>"20190303154350794"</f>
        <v>20190303154350794</v>
      </c>
      <c r="B8812" t="str">
        <f>"1551599030788557"</f>
        <v>1551599030788557</v>
      </c>
      <c r="C8812" t="s">
        <v>40</v>
      </c>
      <c r="D8812">
        <v>6.1748589999999997</v>
      </c>
      <c r="E8812">
        <v>0.50873059999999903</v>
      </c>
      <c r="F8812" t="s">
        <v>41</v>
      </c>
      <c r="G8812">
        <v>-187.62899999999999</v>
      </c>
      <c r="H8812" s="1">
        <v>-3.2157599999999902E-6</v>
      </c>
      <c r="I8812">
        <v>106.1484</v>
      </c>
      <c r="J8812">
        <v>-187.4401</v>
      </c>
      <c r="K8812">
        <v>1.1218490000000001</v>
      </c>
      <c r="L8812">
        <v>94.199010000000001</v>
      </c>
      <c r="M8812">
        <v>-1.36131E-2</v>
      </c>
      <c r="N8812">
        <v>-1.4457289999999999E-2</v>
      </c>
      <c r="O8812">
        <v>0.99980279999999999</v>
      </c>
      <c r="P8812">
        <v>-3.7138930000000001E-2</v>
      </c>
      <c r="Q8812">
        <v>-0.128692</v>
      </c>
      <c r="R8812">
        <v>0.99098889999999995</v>
      </c>
      <c r="S8812">
        <v>-4.7317499999999998E-2</v>
      </c>
      <c r="T8812">
        <v>-0.27353820000000001</v>
      </c>
      <c r="U8812">
        <v>2.9900509999999998</v>
      </c>
      <c r="V8812">
        <v>-2.3331020000000001E-2</v>
      </c>
      <c r="W8812">
        <v>-0.1144097</v>
      </c>
      <c r="X8812">
        <v>0.99315969999999998</v>
      </c>
      <c r="Y8812">
        <v>-2.160435E-3</v>
      </c>
      <c r="Z8812">
        <v>-7.6678819999999995E-2</v>
      </c>
      <c r="AA8812">
        <v>0.99705350000000004</v>
      </c>
      <c r="AB8812">
        <v>32</v>
      </c>
      <c r="AC8812">
        <v>-0.188900000000018</v>
      </c>
      <c r="AD8812">
        <v>-1.1218522157599999</v>
      </c>
      <c r="AE8812">
        <v>11.9493899999999</v>
      </c>
      <c r="AF8812">
        <v>-2.5968414258884999E-2</v>
      </c>
      <c r="AG8812">
        <v>-1.1218522157599999</v>
      </c>
      <c r="AH8812">
        <v>11.8464640140635</v>
      </c>
      <c r="AI8812">
        <v>95.409726109130901</v>
      </c>
      <c r="AJ8812">
        <v>90.125596815448304</v>
      </c>
      <c r="AK8812">
        <v>11.8994931147947</v>
      </c>
      <c r="AL8812">
        <v>96.569578281563807</v>
      </c>
      <c r="AM8812">
        <v>91.3457283413873</v>
      </c>
      <c r="AN8812">
        <v>1.0000000528262001</v>
      </c>
    </row>
    <row r="8813" spans="1:40" x14ac:dyDescent="0.25">
      <c r="A8813" t="str">
        <f>"20190303154350819"</f>
        <v>20190303154350819</v>
      </c>
      <c r="B8813" t="str">
        <f>"1551599030808353"</f>
        <v>1551599030808353</v>
      </c>
      <c r="C8813" t="s">
        <v>40</v>
      </c>
      <c r="D8813">
        <v>6.2014129999999996</v>
      </c>
      <c r="E8813">
        <v>0.50903129999999996</v>
      </c>
      <c r="F8813" t="s">
        <v>41</v>
      </c>
      <c r="G8813">
        <v>-187.6165</v>
      </c>
      <c r="H8813" s="1">
        <v>-3.460795E-6</v>
      </c>
      <c r="I8813">
        <v>106.7144</v>
      </c>
      <c r="J8813">
        <v>-187.4461</v>
      </c>
      <c r="K8813">
        <v>1.121848</v>
      </c>
      <c r="L8813">
        <v>94.533810000000003</v>
      </c>
      <c r="M8813">
        <v>-1.496695E-2</v>
      </c>
      <c r="N8813">
        <v>-1.445371E-2</v>
      </c>
      <c r="O8813">
        <v>0.99978350000000005</v>
      </c>
      <c r="P8813">
        <v>-3.6754460000000003E-2</v>
      </c>
      <c r="Q8813">
        <v>-0.1287131</v>
      </c>
      <c r="R8813">
        <v>0.99100049999999995</v>
      </c>
      <c r="S8813">
        <v>-4.2160030000000001E-2</v>
      </c>
      <c r="T8813">
        <v>-0.26809490000000002</v>
      </c>
      <c r="U8813">
        <v>2.990875</v>
      </c>
      <c r="V8813">
        <v>-2.1604760000000001E-2</v>
      </c>
      <c r="W8813">
        <v>-0.1144289</v>
      </c>
      <c r="X8813">
        <v>0.99319650000000004</v>
      </c>
      <c r="Y8813">
        <v>9.1268100000000004E-4</v>
      </c>
      <c r="Z8813">
        <v>-7.4856450000000005E-2</v>
      </c>
      <c r="AA8813">
        <v>0.99719389999999997</v>
      </c>
      <c r="AB8813">
        <v>32</v>
      </c>
      <c r="AC8813">
        <v>-0.1704</v>
      </c>
      <c r="AD8813">
        <v>-1.1218514607950001</v>
      </c>
      <c r="AE8813">
        <v>12.180589999999899</v>
      </c>
      <c r="AF8813">
        <v>1.1843971828898001E-2</v>
      </c>
      <c r="AG8813">
        <v>-1.1218514607950001</v>
      </c>
      <c r="AH8813">
        <v>12.079330709198601</v>
      </c>
      <c r="AI8813">
        <v>95.306044435705104</v>
      </c>
      <c r="AJ8813">
        <v>89.943820614127404</v>
      </c>
      <c r="AK8813">
        <v>12.1313198524293</v>
      </c>
      <c r="AL8813">
        <v>96.570685894396604</v>
      </c>
      <c r="AM8813">
        <v>91.246144520304199</v>
      </c>
      <c r="AN8813">
        <v>1.00000001321105</v>
      </c>
    </row>
    <row r="8814" spans="1:40" x14ac:dyDescent="0.25">
      <c r="A8814" t="str">
        <f>"20190303154350839"</f>
        <v>20190303154350839</v>
      </c>
      <c r="B8814" t="str">
        <f>"1551599030828849"</f>
        <v>1551599030828849</v>
      </c>
      <c r="C8814" t="s">
        <v>40</v>
      </c>
      <c r="D8814">
        <v>6.18248</v>
      </c>
      <c r="E8814">
        <v>0.50929650000000004</v>
      </c>
      <c r="F8814" t="s">
        <v>42</v>
      </c>
      <c r="G8814">
        <v>-187.45859999999999</v>
      </c>
      <c r="H8814">
        <v>1.03521</v>
      </c>
      <c r="I8814">
        <v>95.516009999999994</v>
      </c>
      <c r="J8814">
        <v>-187.4521</v>
      </c>
      <c r="K8814">
        <v>1.12185</v>
      </c>
      <c r="L8814">
        <v>94.844269999999995</v>
      </c>
      <c r="M8814">
        <v>-1.6219279999999999E-2</v>
      </c>
      <c r="N8814">
        <v>-1.445663E-2</v>
      </c>
      <c r="O8814">
        <v>0.99976399999999999</v>
      </c>
      <c r="P8814">
        <v>-3.612489E-2</v>
      </c>
      <c r="Q8814">
        <v>-0.12845799999999999</v>
      </c>
      <c r="R8814">
        <v>0.99105679999999996</v>
      </c>
      <c r="S8814">
        <v>-3.8528439999999997E-2</v>
      </c>
      <c r="T8814">
        <v>-0.26396120000000001</v>
      </c>
      <c r="U8814">
        <v>2.9915159999999998</v>
      </c>
      <c r="V8814">
        <v>-1.973463E-2</v>
      </c>
      <c r="W8814">
        <v>-0.11416469999999999</v>
      </c>
      <c r="X8814">
        <v>0.99326579999999998</v>
      </c>
      <c r="Y8814">
        <v>3.3754869999999999E-3</v>
      </c>
      <c r="Z8814">
        <v>-7.3465559999999999E-2</v>
      </c>
      <c r="AA8814">
        <v>0.99729199999999996</v>
      </c>
      <c r="AB8814">
        <v>32</v>
      </c>
      <c r="AC8814">
        <v>-6.4999999999883996E-3</v>
      </c>
      <c r="AD8814">
        <v>-8.6639999999999995E-2</v>
      </c>
      <c r="AE8814">
        <v>0.671739999999999</v>
      </c>
      <c r="AF8814">
        <v>4.3251877127083302E-3</v>
      </c>
      <c r="AG8814">
        <v>-8.6639999999999995E-2</v>
      </c>
      <c r="AH8814">
        <v>0.66076594879463202</v>
      </c>
      <c r="AI8814">
        <v>97.469881089004005</v>
      </c>
      <c r="AJ8814">
        <v>89.624963328158799</v>
      </c>
      <c r="AK8814">
        <v>0.66643592035185295</v>
      </c>
      <c r="AL8814">
        <v>96.555448633873496</v>
      </c>
      <c r="AM8814">
        <v>91.138227310443</v>
      </c>
      <c r="AN8814">
        <v>0.99999999189848299</v>
      </c>
    </row>
    <row r="8815" spans="1:40" x14ac:dyDescent="0.25">
      <c r="A8815" t="str">
        <f>"20190303154350862"</f>
        <v>20190303154350862</v>
      </c>
      <c r="B8815" t="str">
        <f>"1551599030859105"</f>
        <v>1551599030859105</v>
      </c>
      <c r="C8815" t="s">
        <v>40</v>
      </c>
      <c r="D8815">
        <v>6.228199</v>
      </c>
      <c r="E8815">
        <v>0.50891019999999998</v>
      </c>
      <c r="F8815" t="s">
        <v>42</v>
      </c>
      <c r="G8815">
        <v>-187.46299999999999</v>
      </c>
      <c r="H8815">
        <v>1.03834</v>
      </c>
      <c r="I8815">
        <v>95.804649999999995</v>
      </c>
      <c r="J8815">
        <v>-187.45859999999999</v>
      </c>
      <c r="K8815">
        <v>1.1218549999999901</v>
      </c>
      <c r="L8815">
        <v>95.160679999999999</v>
      </c>
      <c r="M8815">
        <v>-1.748622E-2</v>
      </c>
      <c r="N8815">
        <v>-1.449831E-2</v>
      </c>
      <c r="O8815">
        <v>0.99974200000000002</v>
      </c>
      <c r="P8815">
        <v>-3.595251E-2</v>
      </c>
      <c r="Q8815">
        <v>-0.12767290000000001</v>
      </c>
      <c r="R8815">
        <v>0.9911645</v>
      </c>
      <c r="S8815">
        <v>-3.4622189999999997E-2</v>
      </c>
      <c r="T8815">
        <v>-0.26027630000000002</v>
      </c>
      <c r="U8815">
        <v>2.9920650000000002</v>
      </c>
      <c r="V8815">
        <v>-1.8307440000000001E-2</v>
      </c>
      <c r="W8815">
        <v>-0.1133323</v>
      </c>
      <c r="X8815">
        <v>0.99338850000000001</v>
      </c>
      <c r="Y8815">
        <v>5.9439380000000002E-3</v>
      </c>
      <c r="Z8815">
        <v>-7.2186689999999998E-2</v>
      </c>
      <c r="AA8815">
        <v>0.99737339999999997</v>
      </c>
      <c r="AB8815">
        <v>32</v>
      </c>
      <c r="AC8815">
        <v>-4.4000000000039502E-3</v>
      </c>
      <c r="AD8815">
        <v>-8.3514999999999701E-2</v>
      </c>
      <c r="AE8815">
        <v>0.64396999999999505</v>
      </c>
      <c r="AF8815">
        <v>6.7489527656084403E-3</v>
      </c>
      <c r="AG8815">
        <v>-8.3514999999999701E-2</v>
      </c>
      <c r="AH8815">
        <v>0.63329759219231196</v>
      </c>
      <c r="AI8815">
        <v>97.512009618499604</v>
      </c>
      <c r="AJ8815">
        <v>89.389431008542203</v>
      </c>
      <c r="AK8815">
        <v>0.63881620507389503</v>
      </c>
      <c r="AL8815">
        <v>96.507443725998598</v>
      </c>
      <c r="AM8815">
        <v>91.055800743115995</v>
      </c>
      <c r="AN8815">
        <v>1.00000004225744</v>
      </c>
    </row>
    <row r="8816" spans="1:40" x14ac:dyDescent="0.25">
      <c r="A8816" t="str">
        <f>"20190303154350884"</f>
        <v>20190303154350884</v>
      </c>
      <c r="B8816" t="str">
        <f>"1551599030878626"</f>
        <v>1551599030878626</v>
      </c>
      <c r="C8816" t="s">
        <v>40</v>
      </c>
      <c r="D8816">
        <v>6.2376659999999999</v>
      </c>
      <c r="E8816">
        <v>0.50885190000000002</v>
      </c>
      <c r="F8816" t="s">
        <v>42</v>
      </c>
      <c r="G8816">
        <v>-187.4701</v>
      </c>
      <c r="H8816">
        <v>1.0393840000000001</v>
      </c>
      <c r="I8816">
        <v>96.091399999999993</v>
      </c>
      <c r="J8816">
        <v>-187.46549999999999</v>
      </c>
      <c r="K8816">
        <v>1.121893</v>
      </c>
      <c r="L8816">
        <v>95.477720000000005</v>
      </c>
      <c r="M8816">
        <v>-1.8746260000000001E-2</v>
      </c>
      <c r="N8816">
        <v>-1.4624420000000001E-2</v>
      </c>
      <c r="O8816">
        <v>0.99971730000000003</v>
      </c>
      <c r="P8816">
        <v>-3.6873280000000001E-2</v>
      </c>
      <c r="Q8816">
        <v>-0.128208399999999</v>
      </c>
      <c r="R8816">
        <v>0.99106150000000004</v>
      </c>
      <c r="S8816">
        <v>-3.7307739999999999E-2</v>
      </c>
      <c r="T8816">
        <v>-0.265105599999999</v>
      </c>
      <c r="U8816">
        <v>2.991241</v>
      </c>
      <c r="V8816">
        <v>-1.7981170000000001E-2</v>
      </c>
      <c r="W8816">
        <v>-0.1137421</v>
      </c>
      <c r="X8816">
        <v>0.9933476</v>
      </c>
      <c r="Y8816">
        <v>6.3068159999999998E-3</v>
      </c>
      <c r="Z8816">
        <v>-7.3678660000000007E-2</v>
      </c>
      <c r="AA8816">
        <v>0.99726210000000004</v>
      </c>
      <c r="AB8816">
        <v>32</v>
      </c>
      <c r="AC8816">
        <v>-4.6000000000105904E-3</v>
      </c>
      <c r="AD8816">
        <v>-8.2508999999999902E-2</v>
      </c>
      <c r="AE8816">
        <v>0.613680000000002</v>
      </c>
      <c r="AF8816">
        <v>6.7836253654628698E-3</v>
      </c>
      <c r="AG8816">
        <v>-8.2508999999999902E-2</v>
      </c>
      <c r="AH8816">
        <v>0.60276303577845303</v>
      </c>
      <c r="AI8816">
        <v>97.793982720208902</v>
      </c>
      <c r="AJ8816">
        <v>89.3552081465225</v>
      </c>
      <c r="AK8816">
        <v>0.608421753354493</v>
      </c>
      <c r="AL8816">
        <v>96.531076488904802</v>
      </c>
      <c r="AM8816">
        <v>91.0370313955207</v>
      </c>
      <c r="AN8816">
        <v>1.00000002110636</v>
      </c>
    </row>
    <row r="8817" spans="1:40" x14ac:dyDescent="0.25">
      <c r="A8817" t="str">
        <f>"20190303154350906"</f>
        <v>20190303154350906</v>
      </c>
      <c r="B8817" t="str">
        <f>"1551599030899121"</f>
        <v>1551599030899121</v>
      </c>
      <c r="C8817" t="s">
        <v>40</v>
      </c>
      <c r="D8817">
        <v>6.2178719999999998</v>
      </c>
      <c r="E8817">
        <v>0.50878760000000001</v>
      </c>
      <c r="F8817" t="s">
        <v>42</v>
      </c>
      <c r="G8817">
        <v>-187.4776</v>
      </c>
      <c r="H8817">
        <v>1.0408949999999999</v>
      </c>
      <c r="I8817">
        <v>96.377610000000004</v>
      </c>
      <c r="J8817">
        <v>-187.4727</v>
      </c>
      <c r="K8817">
        <v>1.1219619999999999</v>
      </c>
      <c r="L8817">
        <v>95.791049999999998</v>
      </c>
      <c r="M8817">
        <v>-1.9972279999999999E-2</v>
      </c>
      <c r="N8817">
        <v>-1.496255E-2</v>
      </c>
      <c r="O8817">
        <v>0.99968860000000004</v>
      </c>
      <c r="P8817">
        <v>-3.7281170000000002E-2</v>
      </c>
      <c r="Q8817">
        <v>-0.12797249999999999</v>
      </c>
      <c r="R8817">
        <v>0.99107679999999998</v>
      </c>
      <c r="S8817">
        <v>-4.0771479999999999E-2</v>
      </c>
      <c r="T8817">
        <v>-0.26929039999999999</v>
      </c>
      <c r="U8817">
        <v>2.990723</v>
      </c>
      <c r="V8817">
        <v>-1.717896E-2</v>
      </c>
      <c r="W8817">
        <v>-0.1131667</v>
      </c>
      <c r="X8817">
        <v>0.99342750000000002</v>
      </c>
      <c r="Y8817">
        <v>6.3771459999999898E-3</v>
      </c>
      <c r="Z8817">
        <v>-7.4737029999999996E-2</v>
      </c>
      <c r="AA8817">
        <v>0.99718289999999998</v>
      </c>
      <c r="AB8817">
        <v>32</v>
      </c>
      <c r="AC8817">
        <v>-4.8999999999921303E-3</v>
      </c>
      <c r="AD8817">
        <v>-8.1067E-2</v>
      </c>
      <c r="AE8817">
        <v>0.58656000000000497</v>
      </c>
      <c r="AF8817">
        <v>6.6894607499024599E-3</v>
      </c>
      <c r="AG8817">
        <v>-8.1067E-2</v>
      </c>
      <c r="AH8817">
        <v>0.57554789448065002</v>
      </c>
      <c r="AI8817">
        <v>98.016940913930995</v>
      </c>
      <c r="AJ8817">
        <v>89.334094322270303</v>
      </c>
      <c r="AK8817">
        <v>0.58126756852178996</v>
      </c>
      <c r="AL8817">
        <v>96.497894330832196</v>
      </c>
      <c r="AM8817">
        <v>90.990695154491505</v>
      </c>
      <c r="AN8817">
        <v>1.00000000820591</v>
      </c>
    </row>
    <row r="8818" spans="1:40" x14ac:dyDescent="0.25">
      <c r="A8818" t="str">
        <f>"20190303154350930"</f>
        <v>20190303154350930</v>
      </c>
      <c r="B8818" t="str">
        <f>"1551599030918641"</f>
        <v>1551599030918641</v>
      </c>
      <c r="C8818" t="s">
        <v>40</v>
      </c>
      <c r="D8818">
        <v>6.2263909999999996</v>
      </c>
      <c r="E8818">
        <v>0.50862850000000004</v>
      </c>
      <c r="F8818" t="s">
        <v>42</v>
      </c>
      <c r="G8818">
        <v>-187.48500000000001</v>
      </c>
      <c r="H8818">
        <v>1.0426839999999999</v>
      </c>
      <c r="I8818">
        <v>96.665109999999999</v>
      </c>
      <c r="J8818">
        <v>-187.48099999999999</v>
      </c>
      <c r="K8818">
        <v>1.122072</v>
      </c>
      <c r="L8818">
        <v>96.134119999999996</v>
      </c>
      <c r="M8818">
        <v>-2.128122E-2</v>
      </c>
      <c r="N8818">
        <v>-1.557765E-2</v>
      </c>
      <c r="O8818">
        <v>0.99965210000000004</v>
      </c>
      <c r="P8818">
        <v>-3.6876699999999998E-2</v>
      </c>
      <c r="Q8818">
        <v>-0.12814039999999999</v>
      </c>
      <c r="R8818">
        <v>0.99107020000000001</v>
      </c>
      <c r="S8818">
        <v>-4.2297359999999999E-2</v>
      </c>
      <c r="T8818">
        <v>-0.2712619</v>
      </c>
      <c r="U8818">
        <v>2.9903870000000001</v>
      </c>
      <c r="V8818">
        <v>-1.548767E-2</v>
      </c>
      <c r="W8818">
        <v>-0.1127174</v>
      </c>
      <c r="X8818">
        <v>0.99350640000000001</v>
      </c>
      <c r="Y8818">
        <v>7.1755619999999999E-3</v>
      </c>
      <c r="Z8818">
        <v>-7.4781539999999994E-2</v>
      </c>
      <c r="AA8818">
        <v>0.99717409999999995</v>
      </c>
      <c r="AB8818">
        <v>32</v>
      </c>
      <c r="AC8818">
        <v>-4.0000000000190898E-3</v>
      </c>
      <c r="AD8818">
        <v>-7.9388E-2</v>
      </c>
      <c r="AE8818">
        <v>0.53099000000000196</v>
      </c>
      <c r="AF8818">
        <v>7.1427400733693903E-3</v>
      </c>
      <c r="AG8818">
        <v>-7.9388E-2</v>
      </c>
      <c r="AH8818">
        <v>0.51934652553562599</v>
      </c>
      <c r="AI8818">
        <v>98.690223148283494</v>
      </c>
      <c r="AJ8818">
        <v>89.212042365739293</v>
      </c>
      <c r="AK8818">
        <v>0.52542771802188204</v>
      </c>
      <c r="AL8818">
        <v>96.471985462323403</v>
      </c>
      <c r="AM8818">
        <v>90.893105725617104</v>
      </c>
      <c r="AN8818">
        <v>1.0000000235128701</v>
      </c>
    </row>
    <row r="8819" spans="1:40" x14ac:dyDescent="0.25">
      <c r="A8819" t="str">
        <f>"20190303154350952"</f>
        <v>20190303154350952</v>
      </c>
      <c r="B8819" t="str">
        <f>"1551599030948897"</f>
        <v>1551599030948897</v>
      </c>
      <c r="C8819" t="s">
        <v>40</v>
      </c>
      <c r="D8819">
        <v>6.1861810000000004</v>
      </c>
      <c r="E8819">
        <v>0.50874359999999996</v>
      </c>
      <c r="F8819" t="s">
        <v>41</v>
      </c>
      <c r="G8819">
        <v>-187.65299999999999</v>
      </c>
      <c r="H8819" s="1">
        <v>-4.1587880000000004E-6</v>
      </c>
      <c r="I8819">
        <v>108.3566</v>
      </c>
      <c r="J8819">
        <v>-187.48869999999999</v>
      </c>
      <c r="K8819">
        <v>1.1221699999999999</v>
      </c>
      <c r="L8819">
        <v>96.439059999999998</v>
      </c>
      <c r="M8819">
        <v>-2.238571E-2</v>
      </c>
      <c r="N8819">
        <v>-1.625269E-2</v>
      </c>
      <c r="O8819">
        <v>0.99961730000000004</v>
      </c>
      <c r="P8819">
        <v>-3.6667810000000002E-2</v>
      </c>
      <c r="Q8819">
        <v>-0.12827330000000001</v>
      </c>
      <c r="R8819">
        <v>0.99106079999999996</v>
      </c>
      <c r="S8819">
        <v>-4.2083740000000001E-2</v>
      </c>
      <c r="T8819">
        <v>-0.27449179999999901</v>
      </c>
      <c r="U8819">
        <v>2.98996</v>
      </c>
      <c r="V8819">
        <v>-1.419569E-2</v>
      </c>
      <c r="W8819">
        <v>-0.1121747</v>
      </c>
      <c r="X8819">
        <v>0.99358709999999995</v>
      </c>
      <c r="Y8819">
        <v>8.3489129999999995E-3</v>
      </c>
      <c r="Z8819">
        <v>-7.518553E-2</v>
      </c>
      <c r="AA8819">
        <v>0.99713459999999998</v>
      </c>
      <c r="AB8819">
        <v>32</v>
      </c>
      <c r="AC8819">
        <v>-0.164299999999997</v>
      </c>
      <c r="AD8819">
        <v>-1.1221741587880001</v>
      </c>
      <c r="AE8819">
        <v>11.917540000000001</v>
      </c>
      <c r="AF8819">
        <v>0.101657849678686</v>
      </c>
      <c r="AG8819">
        <v>-1.1221741587880001</v>
      </c>
      <c r="AH8819">
        <v>11.8135078610312</v>
      </c>
      <c r="AI8819">
        <v>95.426088453384693</v>
      </c>
      <c r="AJ8819">
        <v>89.506969306111898</v>
      </c>
      <c r="AK8819">
        <v>11.8671216874059</v>
      </c>
      <c r="AL8819">
        <v>96.440692710335298</v>
      </c>
      <c r="AM8819">
        <v>90.818547048892995</v>
      </c>
      <c r="AN8819">
        <v>1.0000000031105301</v>
      </c>
    </row>
    <row r="8820" spans="1:40" x14ac:dyDescent="0.25">
      <c r="A8820" t="str">
        <f>"20190303154350974"</f>
        <v>20190303154350974</v>
      </c>
      <c r="B8820" t="str">
        <f>"1551599030969393"</f>
        <v>1551599030969393</v>
      </c>
      <c r="C8820" t="s">
        <v>40</v>
      </c>
      <c r="D8820">
        <v>6.1498679999999997</v>
      </c>
      <c r="E8820">
        <v>0.50889410000000002</v>
      </c>
      <c r="F8820" t="s">
        <v>41</v>
      </c>
      <c r="G8820">
        <v>-187.65379999999999</v>
      </c>
      <c r="H8820" s="1">
        <v>-4.2874590000000004E-6</v>
      </c>
      <c r="I8820">
        <v>108.6568</v>
      </c>
      <c r="J8820">
        <v>-187.4966</v>
      </c>
      <c r="K8820">
        <v>1.122247</v>
      </c>
      <c r="L8820">
        <v>96.738740000000007</v>
      </c>
      <c r="M8820">
        <v>-2.3374389999999998E-2</v>
      </c>
      <c r="N8820">
        <v>-1.6973559999999999E-2</v>
      </c>
      <c r="O8820">
        <v>0.99958270000000005</v>
      </c>
      <c r="P8820">
        <v>-3.6462809999999998E-2</v>
      </c>
      <c r="Q8820">
        <v>-0.12830139999999901</v>
      </c>
      <c r="R8820">
        <v>0.99106470000000002</v>
      </c>
      <c r="S8820">
        <v>-4.040527E-2</v>
      </c>
      <c r="T8820">
        <v>-0.2746267</v>
      </c>
      <c r="U8820">
        <v>2.990021</v>
      </c>
      <c r="V8820">
        <v>-1.3025999999999999E-2</v>
      </c>
      <c r="W8820">
        <v>-0.1114816</v>
      </c>
      <c r="X8820">
        <v>0.99368109999999998</v>
      </c>
      <c r="Y8820">
        <v>9.8956430000000008E-3</v>
      </c>
      <c r="Z8820">
        <v>-7.4506069999999994E-2</v>
      </c>
      <c r="AA8820">
        <v>0.99717149999999999</v>
      </c>
      <c r="AB8820">
        <v>32</v>
      </c>
      <c r="AC8820">
        <v>-0.15719999999998799</v>
      </c>
      <c r="AD8820">
        <v>-1.122251287459</v>
      </c>
      <c r="AE8820">
        <v>11.918059999999899</v>
      </c>
      <c r="AF8820">
        <v>0.12039315578939</v>
      </c>
      <c r="AG8820">
        <v>-1.122251287459</v>
      </c>
      <c r="AH8820">
        <v>11.813745390443501</v>
      </c>
      <c r="AI8820">
        <v>95.426270339270403</v>
      </c>
      <c r="AJ8820">
        <v>89.416122432182107</v>
      </c>
      <c r="AK8820">
        <v>11.8675407146717</v>
      </c>
      <c r="AL8820">
        <v>96.400730516573205</v>
      </c>
      <c r="AM8820">
        <v>90.751037810731603</v>
      </c>
      <c r="AN8820">
        <v>0.99999997615588399</v>
      </c>
    </row>
    <row r="8821" spans="1:40" x14ac:dyDescent="0.25">
      <c r="A8821" t="str">
        <f>"20190303154350996"</f>
        <v>20190303154350996</v>
      </c>
      <c r="B8821" t="str">
        <f>"1551599030988913"</f>
        <v>1551599030988913</v>
      </c>
      <c r="C8821" t="s">
        <v>40</v>
      </c>
      <c r="D8821">
        <v>6.1660389999999996</v>
      </c>
      <c r="E8821">
        <v>0.50878970000000001</v>
      </c>
      <c r="F8821" t="s">
        <v>41</v>
      </c>
      <c r="G8821">
        <v>-187.655</v>
      </c>
      <c r="H8821" s="1">
        <v>-4.4365580000000001E-6</v>
      </c>
      <c r="I8821">
        <v>109.00490000000001</v>
      </c>
      <c r="J8821">
        <v>-187.50489999999999</v>
      </c>
      <c r="K8821">
        <v>1.122282</v>
      </c>
      <c r="L8821">
        <v>97.048460000000006</v>
      </c>
      <c r="M8821">
        <v>-2.4261100000000001E-2</v>
      </c>
      <c r="N8821">
        <v>-1.774678E-2</v>
      </c>
      <c r="O8821">
        <v>0.99954810000000005</v>
      </c>
      <c r="P8821">
        <v>-3.6372979999999999E-2</v>
      </c>
      <c r="Q8821">
        <v>-0.1291988</v>
      </c>
      <c r="R8821">
        <v>0.99095140000000004</v>
      </c>
      <c r="S8821">
        <v>-3.8620000000000002E-2</v>
      </c>
      <c r="T8821">
        <v>-0.27357949999999998</v>
      </c>
      <c r="U8821">
        <v>2.9902039999999999</v>
      </c>
      <c r="V8821">
        <v>-1.2081959999999999E-2</v>
      </c>
      <c r="W8821">
        <v>-0.1116075</v>
      </c>
      <c r="X8821">
        <v>0.99367890000000003</v>
      </c>
      <c r="Y8821">
        <v>1.137611E-2</v>
      </c>
      <c r="Z8821">
        <v>-7.3379949999999999E-2</v>
      </c>
      <c r="AA8821">
        <v>0.99723919999999999</v>
      </c>
      <c r="AB8821">
        <v>31</v>
      </c>
      <c r="AC8821">
        <v>-0.150100000000009</v>
      </c>
      <c r="AD8821">
        <v>-1.1222864365580001</v>
      </c>
      <c r="AE8821">
        <v>11.956440000000001</v>
      </c>
      <c r="AF8821">
        <v>0.138843184650113</v>
      </c>
      <c r="AG8821">
        <v>-1.1222864365580001</v>
      </c>
      <c r="AH8821">
        <v>11.85215405876</v>
      </c>
      <c r="AI8821">
        <v>95.408868836609201</v>
      </c>
      <c r="AJ8821">
        <v>89.328833848561899</v>
      </c>
      <c r="AK8821">
        <v>11.9059800146056</v>
      </c>
      <c r="AL8821">
        <v>96.407989316660107</v>
      </c>
      <c r="AM8821">
        <v>90.696614576552804</v>
      </c>
      <c r="AN8821">
        <v>0.99999998205944995</v>
      </c>
    </row>
    <row r="8822" spans="1:40" x14ac:dyDescent="0.25">
      <c r="A8822" t="str">
        <f>"20190303154351017"</f>
        <v>20190303154351017</v>
      </c>
      <c r="B8822" t="str">
        <f>"1551599031008930"</f>
        <v>1551599031008930</v>
      </c>
      <c r="C8822" t="s">
        <v>40</v>
      </c>
      <c r="D8822">
        <v>6.0822989999999999</v>
      </c>
      <c r="E8822">
        <v>0.50878400000000001</v>
      </c>
      <c r="F8822" t="s">
        <v>42</v>
      </c>
      <c r="G8822">
        <v>-187.51779999999999</v>
      </c>
      <c r="H8822">
        <v>1.0297449999999999</v>
      </c>
      <c r="I8822">
        <v>98.044409999999999</v>
      </c>
      <c r="J8822">
        <v>-187.51300000000001</v>
      </c>
      <c r="K8822">
        <v>1.1222540000000001</v>
      </c>
      <c r="L8822">
        <v>97.346130000000002</v>
      </c>
      <c r="M8822">
        <v>-2.494963E-2</v>
      </c>
      <c r="N8822">
        <v>-1.8489189999999999E-2</v>
      </c>
      <c r="O8822">
        <v>0.99951769999999995</v>
      </c>
      <c r="P8822">
        <v>-3.6335369999999999E-2</v>
      </c>
      <c r="Q8822">
        <v>-0.1312517</v>
      </c>
      <c r="R8822">
        <v>0.99068299999999998</v>
      </c>
      <c r="S8822">
        <v>-3.9047239999999997E-2</v>
      </c>
      <c r="T8822">
        <v>-0.27781630000000002</v>
      </c>
      <c r="U8822">
        <v>2.9897459999999998</v>
      </c>
      <c r="V8822">
        <v>-1.1398419999999999E-2</v>
      </c>
      <c r="W8822">
        <v>-0.1129221</v>
      </c>
      <c r="X8822">
        <v>0.99353840000000004</v>
      </c>
      <c r="Y8822">
        <v>1.1920200000000001E-2</v>
      </c>
      <c r="Z8822">
        <v>-7.4051420000000007E-2</v>
      </c>
      <c r="AA8822">
        <v>0.99718320000000005</v>
      </c>
      <c r="AB8822">
        <v>31</v>
      </c>
      <c r="AC8822">
        <v>-4.7999999999888097E-3</v>
      </c>
      <c r="AD8822">
        <v>-9.2508999999999897E-2</v>
      </c>
      <c r="AE8822">
        <v>0.69827999999999601</v>
      </c>
      <c r="AF8822">
        <v>1.24085260122191E-2</v>
      </c>
      <c r="AG8822">
        <v>-9.2508999999999897E-2</v>
      </c>
      <c r="AH8822">
        <v>0.68614026631174696</v>
      </c>
      <c r="AI8822">
        <v>97.677371248945605</v>
      </c>
      <c r="AJ8822">
        <v>88.963945545190498</v>
      </c>
      <c r="AK8822">
        <v>0.69245963900660001</v>
      </c>
      <c r="AL8822">
        <v>96.483789823711106</v>
      </c>
      <c r="AM8822">
        <v>90.657299917797403</v>
      </c>
      <c r="AN8822">
        <v>0.99999993846073099</v>
      </c>
    </row>
    <row r="8823" spans="1:40" x14ac:dyDescent="0.25">
      <c r="A8823" t="str">
        <f>"20190303154351040"</f>
        <v>20190303154351040</v>
      </c>
      <c r="B8823" t="str">
        <f>"1551599031028450"</f>
        <v>1551599031028450</v>
      </c>
      <c r="C8823" t="s">
        <v>40</v>
      </c>
      <c r="D8823">
        <v>6.0752810000000004</v>
      </c>
      <c r="E8823">
        <v>0.50887190000000004</v>
      </c>
      <c r="F8823" t="s">
        <v>42</v>
      </c>
      <c r="G8823">
        <v>-187.5257</v>
      </c>
      <c r="H8823">
        <v>1.0299039999999999</v>
      </c>
      <c r="I8823">
        <v>98.317459999999997</v>
      </c>
      <c r="J8823">
        <v>-187.5215</v>
      </c>
      <c r="K8823">
        <v>1.12219</v>
      </c>
      <c r="L8823">
        <v>97.65137</v>
      </c>
      <c r="M8823">
        <v>-2.5517649999999999E-2</v>
      </c>
      <c r="N8823">
        <v>-1.9215779999999998E-2</v>
      </c>
      <c r="O8823">
        <v>0.99948970000000004</v>
      </c>
      <c r="P8823">
        <v>-3.6183140000000003E-2</v>
      </c>
      <c r="Q8823">
        <v>-0.13305910000000001</v>
      </c>
      <c r="R8823">
        <v>0.99044739999999998</v>
      </c>
      <c r="S8823">
        <v>-3.8955690000000001E-2</v>
      </c>
      <c r="T8823">
        <v>-0.28420669999999998</v>
      </c>
      <c r="U8823">
        <v>2.9891359999999998</v>
      </c>
      <c r="V8823">
        <v>-1.0725299999999899E-2</v>
      </c>
      <c r="W8823">
        <v>-0.1140066</v>
      </c>
      <c r="X8823">
        <v>0.99342209999999997</v>
      </c>
      <c r="Y8823">
        <v>1.2516599999999999E-2</v>
      </c>
      <c r="Z8823">
        <v>-7.5455389999999997E-2</v>
      </c>
      <c r="AA8823">
        <v>0.99707060000000003</v>
      </c>
      <c r="AB8823">
        <v>31</v>
      </c>
      <c r="AC8823">
        <v>-4.1999999999973101E-3</v>
      </c>
      <c r="AD8823">
        <v>-9.2285999999999799E-2</v>
      </c>
      <c r="AE8823">
        <v>0.66608999999999696</v>
      </c>
      <c r="AF8823">
        <v>1.25604597975851E-2</v>
      </c>
      <c r="AG8823">
        <v>-9.2285999999999799E-2</v>
      </c>
      <c r="AH8823">
        <v>0.65343747126624196</v>
      </c>
      <c r="AI8823">
        <v>98.037340646394398</v>
      </c>
      <c r="AJ8823">
        <v>88.898788712801405</v>
      </c>
      <c r="AK8823">
        <v>0.66004166520087704</v>
      </c>
      <c r="AL8823">
        <v>96.546330566995294</v>
      </c>
      <c r="AM8823">
        <v>90.618559371341505</v>
      </c>
      <c r="AN8823">
        <v>1.0000000028360301</v>
      </c>
    </row>
    <row r="8824" spans="1:40" x14ac:dyDescent="0.25">
      <c r="A8824" t="str">
        <f>"20190303154351063"</f>
        <v>20190303154351063</v>
      </c>
      <c r="B8824" t="str">
        <f>"1551599031058706"</f>
        <v>1551599031058706</v>
      </c>
      <c r="C8824" t="s">
        <v>40</v>
      </c>
      <c r="D8824">
        <v>6.0468570000000001</v>
      </c>
      <c r="E8824">
        <v>0.50901109999999905</v>
      </c>
      <c r="F8824" t="s">
        <v>42</v>
      </c>
      <c r="G8824">
        <v>-187.53319999999999</v>
      </c>
      <c r="H8824">
        <v>1.031758</v>
      </c>
      <c r="I8824">
        <v>98.589519999999993</v>
      </c>
      <c r="J8824">
        <v>-187.5301</v>
      </c>
      <c r="K8824">
        <v>1.1221030000000001</v>
      </c>
      <c r="L8824">
        <v>97.963440000000006</v>
      </c>
      <c r="M8824">
        <v>-2.5926569999999999E-2</v>
      </c>
      <c r="N8824">
        <v>-1.9903850000000001E-2</v>
      </c>
      <c r="O8824">
        <v>0.99946570000000001</v>
      </c>
      <c r="P8824">
        <v>-3.6134550000000001E-2</v>
      </c>
      <c r="Q8824">
        <v>-0.13460440000000001</v>
      </c>
      <c r="R8824">
        <v>0.99024029999999996</v>
      </c>
      <c r="S8824">
        <v>-3.7872309999999999E-2</v>
      </c>
      <c r="T8824">
        <v>-0.28814770000000001</v>
      </c>
      <c r="U8824">
        <v>2.9888309999999998</v>
      </c>
      <c r="V8824">
        <v>-1.0317359999999999E-2</v>
      </c>
      <c r="W8824">
        <v>-0.1148675</v>
      </c>
      <c r="X8824">
        <v>0.99332730000000002</v>
      </c>
      <c r="Y8824">
        <v>1.328504E-2</v>
      </c>
      <c r="Z8824">
        <v>-7.6079149999999998E-2</v>
      </c>
      <c r="AA8824">
        <v>0.99701329999999999</v>
      </c>
      <c r="AB8824">
        <v>31</v>
      </c>
      <c r="AC8824">
        <v>-3.0999999999892199E-3</v>
      </c>
      <c r="AD8824">
        <v>-9.0345000000000106E-2</v>
      </c>
      <c r="AE8824">
        <v>0.62607999999998698</v>
      </c>
      <c r="AF8824">
        <v>1.2868409783182801E-2</v>
      </c>
      <c r="AG8824">
        <v>-9.0345000000000106E-2</v>
      </c>
      <c r="AH8824">
        <v>0.61318172273847404</v>
      </c>
      <c r="AI8824">
        <v>98.379726483040201</v>
      </c>
      <c r="AJ8824">
        <v>88.7977506040599</v>
      </c>
      <c r="AK8824">
        <v>0.61993519023835997</v>
      </c>
      <c r="AL8824">
        <v>96.595982331126905</v>
      </c>
      <c r="AM8824">
        <v>90.595090789404097</v>
      </c>
      <c r="AN8824">
        <v>1.0000000576994501</v>
      </c>
    </row>
    <row r="8825" spans="1:40" x14ac:dyDescent="0.25">
      <c r="A8825" t="str">
        <f>"20190303154351085"</f>
        <v>20190303154351085</v>
      </c>
      <c r="B8825" t="str">
        <f>"1551599031079202"</f>
        <v>1551599031079202</v>
      </c>
      <c r="C8825" t="s">
        <v>40</v>
      </c>
      <c r="D8825">
        <v>6.0154610000000002</v>
      </c>
      <c r="E8825">
        <v>0.50913599999999903</v>
      </c>
      <c r="F8825" t="s">
        <v>42</v>
      </c>
      <c r="G8825">
        <v>-187.5411</v>
      </c>
      <c r="H8825">
        <v>1.03471</v>
      </c>
      <c r="I8825">
        <v>98.861339999999998</v>
      </c>
      <c r="J8825">
        <v>-187.53809999999999</v>
      </c>
      <c r="K8825">
        <v>1.1220000000000001</v>
      </c>
      <c r="L8825">
        <v>98.253330000000005</v>
      </c>
      <c r="M8825">
        <v>-2.6131620000000001E-2</v>
      </c>
      <c r="N8825">
        <v>-2.0487120000000001E-2</v>
      </c>
      <c r="O8825">
        <v>0.99944849999999996</v>
      </c>
      <c r="P8825">
        <v>-3.5934420000000002E-2</v>
      </c>
      <c r="Q8825">
        <v>-0.13542670000000001</v>
      </c>
      <c r="R8825">
        <v>0.99013549999999995</v>
      </c>
      <c r="S8825">
        <v>-3.6666869999999997E-2</v>
      </c>
      <c r="T8825">
        <v>-0.29091020000000001</v>
      </c>
      <c r="U8825">
        <v>2.9887079999999999</v>
      </c>
      <c r="V8825">
        <v>-9.9580469999999994E-3</v>
      </c>
      <c r="W8825">
        <v>-0.1151083</v>
      </c>
      <c r="X8825">
        <v>0.99330309999999999</v>
      </c>
      <c r="Y8825">
        <v>1.3890960000000001E-2</v>
      </c>
      <c r="Z8825">
        <v>-7.6412949999999993E-2</v>
      </c>
      <c r="AA8825">
        <v>0.99697950000000002</v>
      </c>
      <c r="AB8825">
        <v>30</v>
      </c>
      <c r="AC8825">
        <v>-3.0000000000143202E-3</v>
      </c>
      <c r="AD8825">
        <v>-8.7290000000000006E-2</v>
      </c>
      <c r="AE8825">
        <v>0.60800999999999294</v>
      </c>
      <c r="AF8825">
        <v>1.2632284683636899E-2</v>
      </c>
      <c r="AG8825">
        <v>-8.7290000000000006E-2</v>
      </c>
      <c r="AH8825">
        <v>0.59560474510188499</v>
      </c>
      <c r="AI8825">
        <v>98.335887863878696</v>
      </c>
      <c r="AJ8825">
        <v>88.784986002943697</v>
      </c>
      <c r="AK8825">
        <v>0.60209976839740598</v>
      </c>
      <c r="AL8825">
        <v>96.609871226187707</v>
      </c>
      <c r="AM8825">
        <v>90.574381527714195</v>
      </c>
      <c r="AN8825">
        <v>1.00000006594927</v>
      </c>
    </row>
    <row r="8826" spans="1:40" x14ac:dyDescent="0.25">
      <c r="A8826" t="str">
        <f>"20190303154351107"</f>
        <v>20190303154351107</v>
      </c>
      <c r="B8826" t="str">
        <f>"1551599031098723"</f>
        <v>1551599031098723</v>
      </c>
      <c r="C8826" t="s">
        <v>40</v>
      </c>
      <c r="D8826">
        <v>5.9819680000000002</v>
      </c>
      <c r="E8826">
        <v>0.50926859999999996</v>
      </c>
      <c r="F8826" t="s">
        <v>42</v>
      </c>
      <c r="G8826">
        <v>-187.54830000000001</v>
      </c>
      <c r="H8826">
        <v>1.0363199999999999</v>
      </c>
      <c r="I8826">
        <v>99.130260000000007</v>
      </c>
      <c r="J8826">
        <v>-187.54599999999999</v>
      </c>
      <c r="K8826">
        <v>1.1218680000000001</v>
      </c>
      <c r="L8826">
        <v>98.549220000000005</v>
      </c>
      <c r="M8826">
        <v>-2.6138910000000001E-2</v>
      </c>
      <c r="N8826">
        <v>-2.1021080000000001E-2</v>
      </c>
      <c r="O8826">
        <v>0.99943729999999997</v>
      </c>
      <c r="P8826">
        <v>-3.6120810000000003E-2</v>
      </c>
      <c r="Q8826">
        <v>-0.135180299999999</v>
      </c>
      <c r="R8826">
        <v>0.9901624</v>
      </c>
      <c r="S8826">
        <v>-3.515625E-2</v>
      </c>
      <c r="T8826">
        <v>-0.29203570000000001</v>
      </c>
      <c r="U8826">
        <v>2.9886780000000002</v>
      </c>
      <c r="V8826">
        <v>-1.0183009999999999E-2</v>
      </c>
      <c r="W8826">
        <v>-0.11432680000000001</v>
      </c>
      <c r="X8826">
        <v>0.99339100000000002</v>
      </c>
      <c r="Y8826">
        <v>1.4400919999999999E-2</v>
      </c>
      <c r="Z8826">
        <v>-7.6252990000000007E-2</v>
      </c>
      <c r="AA8826">
        <v>0.99698450000000005</v>
      </c>
      <c r="AB8826">
        <v>30</v>
      </c>
      <c r="AC8826">
        <v>-2.3000000000195E-3</v>
      </c>
      <c r="AD8826">
        <v>-8.5547999999999902E-2</v>
      </c>
      <c r="AE8826">
        <v>0.581040000000001</v>
      </c>
      <c r="AF8826">
        <v>1.2618365508194399E-2</v>
      </c>
      <c r="AG8826">
        <v>-8.5547999999999902E-2</v>
      </c>
      <c r="AH8826">
        <v>0.56857643644948697</v>
      </c>
      <c r="AI8826">
        <v>98.554463707811607</v>
      </c>
      <c r="AJ8826">
        <v>88.728648636230702</v>
      </c>
      <c r="AK8826">
        <v>0.57511463860494405</v>
      </c>
      <c r="AL8826">
        <v>96.564797471582196</v>
      </c>
      <c r="AM8826">
        <v>90.587304557149395</v>
      </c>
      <c r="AN8826">
        <v>0.99999999488594904</v>
      </c>
    </row>
    <row r="8827" spans="1:40" x14ac:dyDescent="0.25">
      <c r="A8827" t="str">
        <f>"20190303154351131"</f>
        <v>20190303154351131</v>
      </c>
      <c r="B8827" t="str">
        <f>"1551599031118749"</f>
        <v>1551599031118749</v>
      </c>
      <c r="C8827" t="s">
        <v>40</v>
      </c>
      <c r="D8827">
        <v>5.9505730000000003</v>
      </c>
      <c r="E8827">
        <v>0.50942200000000004</v>
      </c>
      <c r="F8827" t="s">
        <v>42</v>
      </c>
      <c r="G8827">
        <v>-187.5558</v>
      </c>
      <c r="H8827">
        <v>1.0395449999999999</v>
      </c>
      <c r="I8827">
        <v>99.398870000000002</v>
      </c>
      <c r="J8827">
        <v>-187.55449999999999</v>
      </c>
      <c r="K8827">
        <v>1.121678</v>
      </c>
      <c r="L8827">
        <v>98.875550000000004</v>
      </c>
      <c r="M8827">
        <v>-2.5894009999999999E-2</v>
      </c>
      <c r="N8827">
        <v>-2.151728E-2</v>
      </c>
      <c r="O8827">
        <v>0.99943309999999996</v>
      </c>
      <c r="P8827">
        <v>-3.6131749999999997E-2</v>
      </c>
      <c r="Q8827">
        <v>-0.1350954</v>
      </c>
      <c r="R8827">
        <v>0.99017359999999999</v>
      </c>
      <c r="S8827">
        <v>-3.4667969999999999E-2</v>
      </c>
      <c r="T8827">
        <v>-0.28960649999999999</v>
      </c>
      <c r="U8827">
        <v>2.9890140000000001</v>
      </c>
      <c r="V8827">
        <v>-1.0494450000000001E-2</v>
      </c>
      <c r="W8827">
        <v>-0.11374330000000001</v>
      </c>
      <c r="X8827">
        <v>0.99345479999999997</v>
      </c>
      <c r="Y8827">
        <v>1.4318910000000001E-2</v>
      </c>
      <c r="Z8827">
        <v>-7.4946009999999993E-2</v>
      </c>
      <c r="AA8827">
        <v>0.99708479999999999</v>
      </c>
      <c r="AB8827">
        <v>30</v>
      </c>
      <c r="AC8827">
        <v>-1.3000000000147299E-3</v>
      </c>
      <c r="AD8827">
        <v>-8.2132999999999998E-2</v>
      </c>
      <c r="AE8827">
        <v>0.52331999999999801</v>
      </c>
      <c r="AF8827">
        <v>1.1959833872632801E-2</v>
      </c>
      <c r="AG8827">
        <v>-8.2132999999999998E-2</v>
      </c>
      <c r="AH8827">
        <v>0.51060103928552203</v>
      </c>
      <c r="AI8827">
        <v>99.135601697653897</v>
      </c>
      <c r="AJ8827">
        <v>88.658203420851194</v>
      </c>
      <c r="AK8827">
        <v>0.51730289834362697</v>
      </c>
      <c r="AL8827">
        <v>96.5311454659752</v>
      </c>
      <c r="AM8827">
        <v>90.605226658546101</v>
      </c>
      <c r="AN8827">
        <v>1.00000005570936</v>
      </c>
    </row>
    <row r="8828" spans="1:40" x14ac:dyDescent="0.25">
      <c r="A8828" t="str">
        <f>"20190303154351152"</f>
        <v>20190303154351152</v>
      </c>
      <c r="B8828" t="str">
        <f>"1551599031149005"</f>
        <v>1551599031149005</v>
      </c>
      <c r="C8828" t="s">
        <v>40</v>
      </c>
      <c r="D8828">
        <v>5.9581809999999997</v>
      </c>
      <c r="E8828">
        <v>0.50959769999999904</v>
      </c>
      <c r="F8828" t="s">
        <v>41</v>
      </c>
      <c r="G8828">
        <v>-187.68610000000001</v>
      </c>
      <c r="H8828" s="1">
        <v>-9.1829870000000001E-7</v>
      </c>
      <c r="I8828">
        <v>110.53740000000001</v>
      </c>
      <c r="J8828">
        <v>-187.56139999999999</v>
      </c>
      <c r="K8828">
        <v>1.121483</v>
      </c>
      <c r="L8828">
        <v>99.155940000000001</v>
      </c>
      <c r="M8828">
        <v>-2.5448309999999998E-2</v>
      </c>
      <c r="N8828">
        <v>-2.183274E-2</v>
      </c>
      <c r="O8828">
        <v>0.99943769999999998</v>
      </c>
      <c r="P8828">
        <v>-3.6399819999999999E-2</v>
      </c>
      <c r="Q8828">
        <v>-0.13525319999999999</v>
      </c>
      <c r="R8828">
        <v>0.99014219999999997</v>
      </c>
      <c r="S8828">
        <v>-3.3737179999999999E-2</v>
      </c>
      <c r="T8828">
        <v>-0.28752430000000001</v>
      </c>
      <c r="U8828">
        <v>2.9893190000000001</v>
      </c>
      <c r="V8828">
        <v>-1.1258290000000001E-2</v>
      </c>
      <c r="W8828">
        <v>-0.1135829</v>
      </c>
      <c r="X8828">
        <v>0.99346469999999998</v>
      </c>
      <c r="Y8828">
        <v>1.4183899999999999E-2</v>
      </c>
      <c r="Z8828">
        <v>-7.3935639999999997E-2</v>
      </c>
      <c r="AA8828">
        <v>0.9971622</v>
      </c>
      <c r="AB8828">
        <v>30</v>
      </c>
      <c r="AC8828">
        <v>-0.124700000000018</v>
      </c>
      <c r="AD8828">
        <v>-1.1214839182987</v>
      </c>
      <c r="AE8828">
        <v>11.381460000000001</v>
      </c>
      <c r="AF8828">
        <v>0.16346146834047801</v>
      </c>
      <c r="AG8828">
        <v>-1.1214839182987</v>
      </c>
      <c r="AH8828">
        <v>11.2715203968119</v>
      </c>
      <c r="AI8828">
        <v>95.681471098695596</v>
      </c>
      <c r="AJ8828">
        <v>89.169145294533706</v>
      </c>
      <c r="AK8828">
        <v>11.328354597485999</v>
      </c>
      <c r="AL8828">
        <v>96.521895855926303</v>
      </c>
      <c r="AM8828">
        <v>90.649268052150404</v>
      </c>
      <c r="AN8828">
        <v>0.99999996720611095</v>
      </c>
    </row>
    <row r="8829" spans="1:40" x14ac:dyDescent="0.25">
      <c r="A8829" t="str">
        <f>"20190303154351174"</f>
        <v>20190303154351174</v>
      </c>
      <c r="B8829" t="str">
        <f>"1551599031168526"</f>
        <v>1551599031168526</v>
      </c>
      <c r="C8829" t="s">
        <v>40</v>
      </c>
      <c r="D8829">
        <v>6.0997089999999998</v>
      </c>
      <c r="E8829">
        <v>0.50978889999999999</v>
      </c>
      <c r="F8829" t="s">
        <v>41</v>
      </c>
      <c r="G8829">
        <v>-187.691</v>
      </c>
      <c r="H8829" s="1">
        <v>-1.03466E-6</v>
      </c>
      <c r="I8829">
        <v>110.8831</v>
      </c>
      <c r="J8829">
        <v>-187.56800000000001</v>
      </c>
      <c r="K8829">
        <v>1.1212610000000001</v>
      </c>
      <c r="L8829">
        <v>99.43665</v>
      </c>
      <c r="M8829">
        <v>-2.477335E-2</v>
      </c>
      <c r="N8829">
        <v>-2.2023859999999999E-2</v>
      </c>
      <c r="O8829">
        <v>0.99945039999999996</v>
      </c>
      <c r="P8829">
        <v>-3.542087E-2</v>
      </c>
      <c r="Q8829">
        <v>-0.13620289999999999</v>
      </c>
      <c r="R8829">
        <v>0.99004749999999997</v>
      </c>
      <c r="S8829">
        <v>-3.303528E-2</v>
      </c>
      <c r="T8829">
        <v>-0.28589789999999998</v>
      </c>
      <c r="U8829">
        <v>2.9895939999999999</v>
      </c>
      <c r="V8829">
        <v>-1.100625E-2</v>
      </c>
      <c r="W8829">
        <v>-0.1143402</v>
      </c>
      <c r="X8829">
        <v>0.99338070000000001</v>
      </c>
      <c r="Y8829">
        <v>1.3743719999999999E-2</v>
      </c>
      <c r="Z8829">
        <v>-7.3201639999999998E-2</v>
      </c>
      <c r="AA8829">
        <v>0.99722250000000001</v>
      </c>
      <c r="AB8829">
        <v>29</v>
      </c>
      <c r="AC8829">
        <v>-0.12299999999999001</v>
      </c>
      <c r="AD8829">
        <v>-1.12126203466</v>
      </c>
      <c r="AE8829">
        <v>11.44645</v>
      </c>
      <c r="AF8829">
        <v>0.15914656325166199</v>
      </c>
      <c r="AG8829">
        <v>-1.12126203466</v>
      </c>
      <c r="AH8829">
        <v>11.337208292837399</v>
      </c>
      <c r="AI8829">
        <v>95.6476929310125</v>
      </c>
      <c r="AJ8829">
        <v>89.195760781937494</v>
      </c>
      <c r="AK8829">
        <v>11.3936319079627</v>
      </c>
      <c r="AL8829">
        <v>96.565570157076294</v>
      </c>
      <c r="AM8829">
        <v>90.634787721469905</v>
      </c>
      <c r="AN8829">
        <v>1.0000000170037899</v>
      </c>
    </row>
    <row r="8830" spans="1:40" x14ac:dyDescent="0.25">
      <c r="A8830" t="str">
        <f>"20190303154351197"</f>
        <v>20190303154351197</v>
      </c>
      <c r="B8830" t="str">
        <f>"1551599031189022"</f>
        <v>1551599031189022</v>
      </c>
      <c r="C8830" t="s">
        <v>40</v>
      </c>
      <c r="D8830">
        <v>6.0683809999999996</v>
      </c>
      <c r="E8830">
        <v>0.52758859999999996</v>
      </c>
      <c r="F8830" t="s">
        <v>41</v>
      </c>
      <c r="G8830">
        <v>-187.67930000000001</v>
      </c>
      <c r="H8830" s="1">
        <v>-1.0995889999999999E-6</v>
      </c>
      <c r="I8830">
        <v>111.06480000000001</v>
      </c>
      <c r="J8830">
        <v>-187.5744</v>
      </c>
      <c r="K8830">
        <v>1.1210199999999999</v>
      </c>
      <c r="L8830">
        <v>99.731930000000006</v>
      </c>
      <c r="M8830">
        <v>-2.3817439999999999E-2</v>
      </c>
      <c r="N8830">
        <v>-2.2083740000000001E-2</v>
      </c>
      <c r="O8830">
        <v>0.99947240000000004</v>
      </c>
      <c r="P8830">
        <v>-3.4076199999999897E-2</v>
      </c>
      <c r="Q8830">
        <v>-0.1366918</v>
      </c>
      <c r="R8830">
        <v>0.9900274</v>
      </c>
      <c r="S8830">
        <v>-2.862549E-2</v>
      </c>
      <c r="T8830">
        <v>-0.28826439999999998</v>
      </c>
      <c r="U8830">
        <v>2.989471</v>
      </c>
      <c r="V8830">
        <v>-1.0665620000000001E-2</v>
      </c>
      <c r="W8830">
        <v>-0.1147662</v>
      </c>
      <c r="X8830">
        <v>0.99333519999999997</v>
      </c>
      <c r="Y8830">
        <v>1.4257479999999999E-2</v>
      </c>
      <c r="Z8830">
        <v>-7.3930839999999998E-2</v>
      </c>
      <c r="AA8830">
        <v>0.99716139999999998</v>
      </c>
      <c r="AB8830">
        <v>29</v>
      </c>
      <c r="AC8830">
        <v>-0.104900000000014</v>
      </c>
      <c r="AD8830">
        <v>-1.121021099589</v>
      </c>
      <c r="AE8830">
        <v>11.33287</v>
      </c>
      <c r="AF8830">
        <v>0.16351574446390199</v>
      </c>
      <c r="AG8830">
        <v>-1.121021099589</v>
      </c>
      <c r="AH8830">
        <v>11.222354605282099</v>
      </c>
      <c r="AI8830">
        <v>95.703853091421493</v>
      </c>
      <c r="AJ8830">
        <v>89.165228736945593</v>
      </c>
      <c r="AK8830">
        <v>11.279391321835901</v>
      </c>
      <c r="AL8830">
        <v>96.590140488941699</v>
      </c>
      <c r="AM8830">
        <v>90.615171524911503</v>
      </c>
      <c r="AN8830">
        <v>0.999999927835729</v>
      </c>
    </row>
    <row r="8831" spans="1:40" x14ac:dyDescent="0.25">
      <c r="A8831" t="str">
        <f>"20190303154351218"</f>
        <v>20190303154351218</v>
      </c>
      <c r="B8831" t="str">
        <f>"1551599031208545"</f>
        <v>1551599031208545</v>
      </c>
      <c r="C8831" t="s">
        <v>40</v>
      </c>
      <c r="D8831">
        <v>6.0586370000000001</v>
      </c>
      <c r="E8831">
        <v>0.52915690000000004</v>
      </c>
      <c r="F8831" t="s">
        <v>42</v>
      </c>
      <c r="G8831">
        <v>-187.5368</v>
      </c>
      <c r="H8831">
        <v>1.01624</v>
      </c>
      <c r="I8831">
        <v>100.6897</v>
      </c>
      <c r="J8831">
        <v>-187.5797</v>
      </c>
      <c r="K8831">
        <v>1.120798</v>
      </c>
      <c r="L8831">
        <v>100.0005</v>
      </c>
      <c r="M8831">
        <v>-2.2758049999999998E-2</v>
      </c>
      <c r="N8831">
        <v>-2.2006520000000002E-2</v>
      </c>
      <c r="O8831">
        <v>0.99949880000000002</v>
      </c>
      <c r="P8831">
        <v>-3.2633339999999997E-2</v>
      </c>
      <c r="Q8831">
        <v>-0.1375605</v>
      </c>
      <c r="R8831">
        <v>0.98995569999999999</v>
      </c>
      <c r="S8831">
        <v>0.1171722</v>
      </c>
      <c r="T8831">
        <v>-0.32703470000000001</v>
      </c>
      <c r="U8831">
        <v>2.9891049999999999</v>
      </c>
      <c r="V8831">
        <v>-1.032013E-2</v>
      </c>
      <c r="W8831">
        <v>-0.1157107</v>
      </c>
      <c r="X8831">
        <v>0.99322929999999998</v>
      </c>
      <c r="Y8831">
        <v>6.166895E-2</v>
      </c>
      <c r="Z8831">
        <v>-8.666082E-2</v>
      </c>
      <c r="AA8831">
        <v>0.99432730000000003</v>
      </c>
      <c r="AB8831">
        <v>29</v>
      </c>
      <c r="AC8831">
        <v>4.2900000000002998E-2</v>
      </c>
      <c r="AD8831">
        <v>-0.104557999999999</v>
      </c>
      <c r="AE8831">
        <v>0.68919999999999904</v>
      </c>
      <c r="AF8831">
        <v>5.7264632402880197E-2</v>
      </c>
      <c r="AG8831">
        <v>-0.104557999999999</v>
      </c>
      <c r="AH8831">
        <v>0.672623707050648</v>
      </c>
      <c r="AI8831">
        <v>98.804447964623407</v>
      </c>
      <c r="AJ8831">
        <v>85.133788958500006</v>
      </c>
      <c r="AK8831">
        <v>0.68310633489581496</v>
      </c>
      <c r="AL8831">
        <v>96.644619111210702</v>
      </c>
      <c r="AM8831">
        <v>90.595309275592399</v>
      </c>
      <c r="AN8831">
        <v>0.99999995677809705</v>
      </c>
    </row>
    <row r="8832" spans="1:40" x14ac:dyDescent="0.25">
      <c r="A8832" t="str">
        <f>"20190303154351241"</f>
        <v>20190303154351241</v>
      </c>
      <c r="B8832" t="str">
        <f>"1551599031238797"</f>
        <v>1551599031238797</v>
      </c>
      <c r="C8832" t="s">
        <v>40</v>
      </c>
      <c r="D8832">
        <v>5.9989109999999997</v>
      </c>
      <c r="E8832">
        <v>0.53068669999999996</v>
      </c>
      <c r="F8832" t="s">
        <v>42</v>
      </c>
      <c r="G8832">
        <v>-187.53720000000001</v>
      </c>
      <c r="H8832">
        <v>1.016929</v>
      </c>
      <c r="I8832">
        <v>100.94759999999999</v>
      </c>
      <c r="J8832">
        <v>-187.58510000000001</v>
      </c>
      <c r="K8832">
        <v>1.1205780000000001</v>
      </c>
      <c r="L8832">
        <v>100.2997</v>
      </c>
      <c r="M8832">
        <v>-2.1419549999999999E-2</v>
      </c>
      <c r="N8832">
        <v>-2.177631E-2</v>
      </c>
      <c r="O8832">
        <v>0.99953340000000002</v>
      </c>
      <c r="P8832">
        <v>-3.1143810000000001E-2</v>
      </c>
      <c r="Q8832">
        <v>-0.13840649999999999</v>
      </c>
      <c r="R8832">
        <v>0.98988569999999998</v>
      </c>
      <c r="S8832">
        <v>0.13395689999999999</v>
      </c>
      <c r="T8832">
        <v>-0.3278276</v>
      </c>
      <c r="U8832">
        <v>2.9893190000000001</v>
      </c>
      <c r="V8832">
        <v>-1.019807E-2</v>
      </c>
      <c r="W8832">
        <v>-0.11678479999999999</v>
      </c>
      <c r="X8832">
        <v>0.99310489999999996</v>
      </c>
      <c r="Y8832">
        <v>6.5895129999999996E-2</v>
      </c>
      <c r="Z8832">
        <v>-8.7119970000000005E-2</v>
      </c>
      <c r="AA8832">
        <v>0.99401609999999996</v>
      </c>
      <c r="AB8832">
        <v>29</v>
      </c>
      <c r="AC8832">
        <v>4.7899999999998499E-2</v>
      </c>
      <c r="AD8832">
        <v>-0.10364899999999901</v>
      </c>
      <c r="AE8832">
        <v>0.64789999999999204</v>
      </c>
      <c r="AF8832">
        <v>6.0236788097903303E-2</v>
      </c>
      <c r="AG8832">
        <v>-0.10364899999999901</v>
      </c>
      <c r="AH8832">
        <v>0.63067224939230304</v>
      </c>
      <c r="AI8832">
        <v>99.291408510992895</v>
      </c>
      <c r="AJ8832">
        <v>84.544114030718205</v>
      </c>
      <c r="AK8832">
        <v>0.64196500838822901</v>
      </c>
      <c r="AL8832">
        <v>96.706580196484296</v>
      </c>
      <c r="AM8832">
        <v>90.588342513615501</v>
      </c>
      <c r="AN8832">
        <v>1.00000001627338</v>
      </c>
    </row>
    <row r="8833" spans="1:40" x14ac:dyDescent="0.25">
      <c r="A8833" t="str">
        <f>"20190303154351263"</f>
        <v>20190303154351263</v>
      </c>
      <c r="B8833" t="str">
        <f>"1551599031259294"</f>
        <v>1551599031259294</v>
      </c>
      <c r="C8833" t="s">
        <v>40</v>
      </c>
      <c r="D8833">
        <v>5.9442659999999998</v>
      </c>
      <c r="E8833">
        <v>0.53143769999999901</v>
      </c>
      <c r="F8833" t="s">
        <v>42</v>
      </c>
      <c r="G8833">
        <v>-187.53919999999999</v>
      </c>
      <c r="H8833">
        <v>1.020594</v>
      </c>
      <c r="I8833">
        <v>101.206</v>
      </c>
      <c r="J8833">
        <v>-187.58969999999999</v>
      </c>
      <c r="K8833">
        <v>1.120422</v>
      </c>
      <c r="L8833">
        <v>100.581</v>
      </c>
      <c r="M8833">
        <v>-2.0064740000000001E-2</v>
      </c>
      <c r="N8833">
        <v>-2.1475379999999999E-2</v>
      </c>
      <c r="O8833">
        <v>0.99956800000000001</v>
      </c>
      <c r="P8833">
        <v>-2.907918E-2</v>
      </c>
      <c r="Q8833">
        <v>-0.1404166</v>
      </c>
      <c r="R8833">
        <v>0.98966540000000003</v>
      </c>
      <c r="S8833">
        <v>0.1507568</v>
      </c>
      <c r="T8833">
        <v>-0.32975640000000001</v>
      </c>
      <c r="U8833">
        <v>2.9892880000000002</v>
      </c>
      <c r="V8833">
        <v>-9.5097359999999995E-3</v>
      </c>
      <c r="W8833">
        <v>-0.1190991</v>
      </c>
      <c r="X8833">
        <v>0.99283679999999996</v>
      </c>
      <c r="Y8833">
        <v>7.0107230000000006E-2</v>
      </c>
      <c r="Z8833">
        <v>-8.8028789999999996E-2</v>
      </c>
      <c r="AA8833">
        <v>0.99364779999999997</v>
      </c>
      <c r="AB8833">
        <v>29</v>
      </c>
      <c r="AC8833">
        <v>5.0499999999999497E-2</v>
      </c>
      <c r="AD8833">
        <v>-9.9828E-2</v>
      </c>
      <c r="AE8833">
        <v>0.625</v>
      </c>
      <c r="AF8833">
        <v>6.1475005957693098E-2</v>
      </c>
      <c r="AG8833">
        <v>-9.9828E-2</v>
      </c>
      <c r="AH8833">
        <v>0.60843880122675098</v>
      </c>
      <c r="AI8833">
        <v>99.271260088941801</v>
      </c>
      <c r="AJ8833">
        <v>84.230569179542101</v>
      </c>
      <c r="AK8833">
        <v>0.61963100372701196</v>
      </c>
      <c r="AL8833">
        <v>96.840112143998596</v>
      </c>
      <c r="AM8833">
        <v>90.548782111102099</v>
      </c>
      <c r="AN8833">
        <v>0.99999997106691896</v>
      </c>
    </row>
    <row r="8834" spans="1:40" x14ac:dyDescent="0.25">
      <c r="A8834" t="str">
        <f>"20190303154351285"</f>
        <v>20190303154351285</v>
      </c>
      <c r="B8834" t="str">
        <f>"1551599031278815"</f>
        <v>1551599031278815</v>
      </c>
      <c r="C8834" t="s">
        <v>40</v>
      </c>
      <c r="D8834">
        <v>5.9750050000000003</v>
      </c>
      <c r="E8834">
        <v>0.53180090000000002</v>
      </c>
      <c r="F8834" t="s">
        <v>42</v>
      </c>
      <c r="G8834">
        <v>-187.54159999999999</v>
      </c>
      <c r="H8834">
        <v>1.021136</v>
      </c>
      <c r="I8834">
        <v>101.46210000000001</v>
      </c>
      <c r="J8834">
        <v>-187.59389999999999</v>
      </c>
      <c r="K8834">
        <v>1.1202829999999999</v>
      </c>
      <c r="L8834">
        <v>100.87179999999999</v>
      </c>
      <c r="M8834">
        <v>-1.860479E-2</v>
      </c>
      <c r="N8834">
        <v>-2.1058540000000001E-2</v>
      </c>
      <c r="O8834">
        <v>0.99960510000000002</v>
      </c>
      <c r="P8834">
        <v>-2.669784E-2</v>
      </c>
      <c r="Q8834">
        <v>-0.141613299999999</v>
      </c>
      <c r="R8834">
        <v>0.98956200000000005</v>
      </c>
      <c r="S8834">
        <v>0.162796</v>
      </c>
      <c r="T8834">
        <v>-0.33672929999999901</v>
      </c>
      <c r="U8834">
        <v>2.9883419999999998</v>
      </c>
      <c r="V8834">
        <v>-8.594338E-3</v>
      </c>
      <c r="W8834">
        <v>-0.12071419999999999</v>
      </c>
      <c r="X8834">
        <v>0.99265009999999998</v>
      </c>
      <c r="Y8834">
        <v>7.2641460000000005E-2</v>
      </c>
      <c r="Z8834">
        <v>-9.075192E-2</v>
      </c>
      <c r="AA8834">
        <v>0.99322069999999996</v>
      </c>
      <c r="AB8834">
        <v>29</v>
      </c>
      <c r="AC8834">
        <v>5.23000000000024E-2</v>
      </c>
      <c r="AD8834">
        <v>-9.9146999999999805E-2</v>
      </c>
      <c r="AE8834">
        <v>0.59030000000001304</v>
      </c>
      <c r="AF8834">
        <v>6.1552863716566902E-2</v>
      </c>
      <c r="AG8834">
        <v>-9.9146999999999805E-2</v>
      </c>
      <c r="AH8834">
        <v>0.57318066028657</v>
      </c>
      <c r="AI8834">
        <v>99.758714346437202</v>
      </c>
      <c r="AJ8834">
        <v>83.870596818676503</v>
      </c>
      <c r="AK8834">
        <v>0.58494012682261598</v>
      </c>
      <c r="AL8834">
        <v>96.933322864075706</v>
      </c>
      <c r="AM8834">
        <v>90.496052931101602</v>
      </c>
      <c r="AN8834">
        <v>1.00000000087865</v>
      </c>
    </row>
    <row r="8835" spans="1:40" x14ac:dyDescent="0.25">
      <c r="A8835" t="str">
        <f>"20190303154351308"</f>
        <v>20190303154351308</v>
      </c>
      <c r="B8835" t="str">
        <f>"1551599031299309"</f>
        <v>1551599031299309</v>
      </c>
      <c r="C8835" t="s">
        <v>40</v>
      </c>
      <c r="D8835">
        <v>3.8987660000000002</v>
      </c>
      <c r="E8835">
        <v>0.53192299999999904</v>
      </c>
      <c r="F8835" t="s">
        <v>42</v>
      </c>
      <c r="G8835">
        <v>-187.54470000000001</v>
      </c>
      <c r="H8835">
        <v>1.0237240000000001</v>
      </c>
      <c r="I8835">
        <v>101.7187</v>
      </c>
      <c r="J8835">
        <v>-187.5975</v>
      </c>
      <c r="K8835">
        <v>1.1201680000000001</v>
      </c>
      <c r="L8835">
        <v>101.1537</v>
      </c>
      <c r="M8835">
        <v>-1.7170669999999999E-2</v>
      </c>
      <c r="N8835">
        <v>-2.0528000000000001E-2</v>
      </c>
      <c r="O8835">
        <v>0.99964180000000002</v>
      </c>
      <c r="P8835">
        <v>-2.4169199999999998E-2</v>
      </c>
      <c r="Q8835">
        <v>-0.1411348</v>
      </c>
      <c r="R8835">
        <v>0.98969529999999994</v>
      </c>
      <c r="S8835">
        <v>0.1729126</v>
      </c>
      <c r="T8835">
        <v>-0.340626599999999</v>
      </c>
      <c r="U8835">
        <v>2.9875790000000002</v>
      </c>
      <c r="V8835">
        <v>-7.4904769999999997E-3</v>
      </c>
      <c r="W8835">
        <v>-0.1207636</v>
      </c>
      <c r="X8835">
        <v>0.99265300000000001</v>
      </c>
      <c r="Y8835">
        <v>7.456633E-2</v>
      </c>
      <c r="Z8835">
        <v>-9.2574249999999997E-2</v>
      </c>
      <c r="AA8835">
        <v>0.99290979999999995</v>
      </c>
      <c r="AB8835">
        <v>29</v>
      </c>
      <c r="AC8835">
        <v>5.2799999999990598E-2</v>
      </c>
      <c r="AD8835">
        <v>-9.6443999999999905E-2</v>
      </c>
      <c r="AE8835">
        <v>0.56499999999999695</v>
      </c>
      <c r="AF8835">
        <v>6.0741158046703603E-2</v>
      </c>
      <c r="AG8835">
        <v>-9.6443999999999905E-2</v>
      </c>
      <c r="AH8835">
        <v>0.54817563554065296</v>
      </c>
      <c r="AI8835">
        <v>99.918800686875002</v>
      </c>
      <c r="AJ8835">
        <v>83.677076335435004</v>
      </c>
      <c r="AK8835">
        <v>0.55989950957047097</v>
      </c>
      <c r="AL8835">
        <v>96.936174375158899</v>
      </c>
      <c r="AM8835">
        <v>90.432340982293596</v>
      </c>
      <c r="AN8835">
        <v>0.99999996636982302</v>
      </c>
    </row>
    <row r="8836" spans="1:40" x14ac:dyDescent="0.25">
      <c r="A8836" t="str">
        <f>"20190303154351334"</f>
        <v>20190303154351334</v>
      </c>
      <c r="B8836" t="str">
        <f>"1551599031328590"</f>
        <v>1551599031328590</v>
      </c>
      <c r="C8836" t="s">
        <v>40</v>
      </c>
      <c r="D8836">
        <v>5.9378950000000001</v>
      </c>
      <c r="E8836">
        <v>0.53269049999999996</v>
      </c>
      <c r="F8836" t="s">
        <v>42</v>
      </c>
      <c r="G8836">
        <v>-187.54759999999999</v>
      </c>
      <c r="H8836">
        <v>1.0269649999999999</v>
      </c>
      <c r="I8836">
        <v>101.9753</v>
      </c>
      <c r="J8836">
        <v>-187.60120000000001</v>
      </c>
      <c r="K8836">
        <v>1.1200699999999999</v>
      </c>
      <c r="L8836">
        <v>101.47490000000001</v>
      </c>
      <c r="M8836">
        <v>-1.5555889999999999E-2</v>
      </c>
      <c r="N8836">
        <v>-1.983443E-2</v>
      </c>
      <c r="O8836">
        <v>0.99968219999999997</v>
      </c>
      <c r="P8836">
        <v>-2.2041970000000001E-2</v>
      </c>
      <c r="Q8836">
        <v>-0.13809759999999999</v>
      </c>
      <c r="R8836">
        <v>0.99017330000000003</v>
      </c>
      <c r="S8836">
        <v>0.1815948</v>
      </c>
      <c r="T8836">
        <v>-0.33888689999999999</v>
      </c>
      <c r="U8836">
        <v>2.9873349999999999</v>
      </c>
      <c r="V8836">
        <v>-6.9481279999999996E-3</v>
      </c>
      <c r="W8836">
        <v>-0.1184085</v>
      </c>
      <c r="X8836">
        <v>0.99294070000000001</v>
      </c>
      <c r="Y8836">
        <v>7.5837630000000003E-2</v>
      </c>
      <c r="Z8836">
        <v>-9.2693339999999999E-2</v>
      </c>
      <c r="AA8836">
        <v>0.99280239999999997</v>
      </c>
      <c r="AB8836">
        <v>29</v>
      </c>
      <c r="AC8836">
        <v>5.3600000000017099E-2</v>
      </c>
      <c r="AD8836">
        <v>-9.3105000000000201E-2</v>
      </c>
      <c r="AE8836">
        <v>0.50039999999999896</v>
      </c>
      <c r="AF8836">
        <v>5.9347964241489498E-2</v>
      </c>
      <c r="AG8836">
        <v>-9.3105000000000201E-2</v>
      </c>
      <c r="AH8836">
        <v>0.48297513197618303</v>
      </c>
      <c r="AI8836">
        <v>100.83176184566</v>
      </c>
      <c r="AJ8836">
        <v>82.9946153545405</v>
      </c>
      <c r="AK8836">
        <v>0.49543485948409</v>
      </c>
      <c r="AL8836">
        <v>96.8002612026186</v>
      </c>
      <c r="AM8836">
        <v>90.400922142107305</v>
      </c>
      <c r="AN8836">
        <v>1.00000004153572</v>
      </c>
    </row>
    <row r="8837" spans="1:40" x14ac:dyDescent="0.25">
      <c r="A8837" t="str">
        <f>"20190303154351354"</f>
        <v>20190303154351354</v>
      </c>
      <c r="B8837" t="str">
        <f>"1551599031349086"</f>
        <v>1551599031349086</v>
      </c>
      <c r="C8837" t="s">
        <v>40</v>
      </c>
      <c r="D8837">
        <v>6.2161749999999998</v>
      </c>
      <c r="E8837">
        <v>0.53285519999999997</v>
      </c>
      <c r="F8837" t="s">
        <v>42</v>
      </c>
      <c r="G8837">
        <v>-187.55179999999999</v>
      </c>
      <c r="H8837">
        <v>1.036915</v>
      </c>
      <c r="I8837">
        <v>102.2349</v>
      </c>
      <c r="J8837">
        <v>-187.60400000000001</v>
      </c>
      <c r="K8837">
        <v>1.120026</v>
      </c>
      <c r="L8837">
        <v>101.7444</v>
      </c>
      <c r="M8837">
        <v>-1.424315E-2</v>
      </c>
      <c r="N8837">
        <v>-1.9252269999999998E-2</v>
      </c>
      <c r="O8837">
        <v>0.99971319999999997</v>
      </c>
      <c r="P8837">
        <v>-2.046576E-2</v>
      </c>
      <c r="Q8837">
        <v>-0.13540139999999901</v>
      </c>
      <c r="R8837">
        <v>0.9905794</v>
      </c>
      <c r="S8837">
        <v>0.194046</v>
      </c>
      <c r="T8837">
        <v>-0.32694210000000001</v>
      </c>
      <c r="U8837">
        <v>2.9884949999999999</v>
      </c>
      <c r="V8837">
        <v>-6.6543619999999996E-3</v>
      </c>
      <c r="W8837">
        <v>-0.1162847</v>
      </c>
      <c r="X8837">
        <v>0.99319360000000001</v>
      </c>
      <c r="Y8837">
        <v>7.8647640000000005E-2</v>
      </c>
      <c r="Z8837">
        <v>-8.9286329999999997E-2</v>
      </c>
      <c r="AA8837">
        <v>0.992896</v>
      </c>
      <c r="AB8837">
        <v>29</v>
      </c>
      <c r="AC8837">
        <v>5.2200000000027502E-2</v>
      </c>
      <c r="AD8837">
        <v>-8.3110999999999893E-2</v>
      </c>
      <c r="AE8837">
        <v>0.49049999999999699</v>
      </c>
      <c r="AF8837">
        <v>5.75485259799383E-2</v>
      </c>
      <c r="AG8837">
        <v>-8.3110999999999893E-2</v>
      </c>
      <c r="AH8837">
        <v>0.47618815608544002</v>
      </c>
      <c r="AI8837">
        <v>99.830218015266098</v>
      </c>
      <c r="AJ8837">
        <v>83.109080554425802</v>
      </c>
      <c r="AK8837">
        <v>0.48680019634292998</v>
      </c>
      <c r="AL8837">
        <v>96.6777303234078</v>
      </c>
      <c r="AM8837">
        <v>90.383873952815406</v>
      </c>
      <c r="AN8837">
        <v>0.99999996953433801</v>
      </c>
    </row>
    <row r="8838" spans="1:40" x14ac:dyDescent="0.25">
      <c r="A8838" t="str">
        <f>"20190303154351376"</f>
        <v>20190303154351376</v>
      </c>
      <c r="B8838" t="str">
        <f>"1551599031368606"</f>
        <v>1551599031368606</v>
      </c>
      <c r="C8838" t="s">
        <v>40</v>
      </c>
      <c r="D8838">
        <v>5.8549740000000003</v>
      </c>
      <c r="E8838">
        <v>0.53727720000000001</v>
      </c>
      <c r="F8838" t="s">
        <v>42</v>
      </c>
      <c r="G8838">
        <v>-187.554</v>
      </c>
      <c r="H8838">
        <v>1.0407040000000001</v>
      </c>
      <c r="I8838">
        <v>102.49160000000001</v>
      </c>
      <c r="J8838">
        <v>-187.60640000000001</v>
      </c>
      <c r="K8838">
        <v>1.120009</v>
      </c>
      <c r="L8838">
        <v>102.01519999999999</v>
      </c>
      <c r="M8838">
        <v>-1.297395E-2</v>
      </c>
      <c r="N8838">
        <v>-1.869765E-2</v>
      </c>
      <c r="O8838">
        <v>0.99974099999999999</v>
      </c>
      <c r="P8838">
        <v>-1.896231E-2</v>
      </c>
      <c r="Q8838">
        <v>-0.13417970000000001</v>
      </c>
      <c r="R8838">
        <v>0.99077559999999998</v>
      </c>
      <c r="S8838">
        <v>0.20004269999999999</v>
      </c>
      <c r="T8838">
        <v>-0.31732569999999999</v>
      </c>
      <c r="U8838">
        <v>2.9892880000000002</v>
      </c>
      <c r="V8838">
        <v>-6.3943910000000001E-3</v>
      </c>
      <c r="W8838">
        <v>-0.1156123</v>
      </c>
      <c r="X8838">
        <v>0.99327390000000004</v>
      </c>
      <c r="Y8838">
        <v>7.9368430000000004E-2</v>
      </c>
      <c r="Z8838">
        <v>-8.6645079999999999E-2</v>
      </c>
      <c r="AA8838">
        <v>0.99307259999999997</v>
      </c>
      <c r="AB8838">
        <v>28</v>
      </c>
      <c r="AC8838">
        <v>5.2400000000005699E-2</v>
      </c>
      <c r="AD8838">
        <v>-7.9304999999999903E-2</v>
      </c>
      <c r="AE8838">
        <v>0.47640000000001198</v>
      </c>
      <c r="AF8838">
        <v>5.7016345555366603E-2</v>
      </c>
      <c r="AG8838">
        <v>-7.9304999999999903E-2</v>
      </c>
      <c r="AH8838">
        <v>0.46300287172689197</v>
      </c>
      <c r="AI8838">
        <v>99.648039380713399</v>
      </c>
      <c r="AJ8838">
        <v>82.979673411591193</v>
      </c>
      <c r="AK8838">
        <v>0.47319320146514998</v>
      </c>
      <c r="AL8838">
        <v>96.638942382583494</v>
      </c>
      <c r="AM8838">
        <v>90.368847460600804</v>
      </c>
      <c r="AN8838">
        <v>1.00000006628437</v>
      </c>
    </row>
    <row r="8839" spans="1:40" x14ac:dyDescent="0.25">
      <c r="A8839" t="str">
        <f>"20190303154351398"</f>
        <v>20190303154351398</v>
      </c>
      <c r="B8839" t="str">
        <f>"1551599031389102"</f>
        <v>1551599031389102</v>
      </c>
      <c r="C8839" t="s">
        <v>40</v>
      </c>
      <c r="D8839">
        <v>5.8634040000000001</v>
      </c>
      <c r="E8839">
        <v>0.5367208</v>
      </c>
      <c r="F8839" t="s">
        <v>41</v>
      </c>
      <c r="G8839">
        <v>-186.501</v>
      </c>
      <c r="H8839" s="1">
        <v>-3.2917819999999999E-6</v>
      </c>
      <c r="I8839">
        <v>115.8592</v>
      </c>
      <c r="J8839">
        <v>-187.6087</v>
      </c>
      <c r="K8839">
        <v>1.1200019999999999</v>
      </c>
      <c r="L8839">
        <v>102.3005</v>
      </c>
      <c r="M8839">
        <v>-1.1706940000000001E-2</v>
      </c>
      <c r="N8839">
        <v>-1.815462E-2</v>
      </c>
      <c r="O8839">
        <v>0.99976659999999995</v>
      </c>
      <c r="P8839">
        <v>-1.6663750000000001E-2</v>
      </c>
      <c r="Q8839">
        <v>-0.1349631</v>
      </c>
      <c r="R8839">
        <v>0.99071050000000005</v>
      </c>
      <c r="S8839">
        <v>0.23951720000000001</v>
      </c>
      <c r="T8839">
        <v>-0.2426789</v>
      </c>
      <c r="U8839">
        <v>2.9996640000000001</v>
      </c>
      <c r="V8839">
        <v>-5.3411469999999897E-3</v>
      </c>
      <c r="W8839">
        <v>-0.11694019999999999</v>
      </c>
      <c r="X8839">
        <v>0.99312460000000002</v>
      </c>
      <c r="Y8839">
        <v>9.102507E-2</v>
      </c>
      <c r="Z8839">
        <v>-6.2218540000000003E-2</v>
      </c>
      <c r="AA8839">
        <v>0.99390299999999998</v>
      </c>
      <c r="AB8839">
        <v>28</v>
      </c>
      <c r="AC8839">
        <v>1.1077000000000199</v>
      </c>
      <c r="AD8839">
        <v>-1.120005291782</v>
      </c>
      <c r="AE8839">
        <v>13.5587</v>
      </c>
      <c r="AF8839">
        <v>1.2578551192518901</v>
      </c>
      <c r="AG8839">
        <v>-1.120005291782</v>
      </c>
      <c r="AH8839">
        <v>13.453609225048099</v>
      </c>
      <c r="AI8839">
        <v>94.738297434957502</v>
      </c>
      <c r="AJ8839">
        <v>84.658616529754994</v>
      </c>
      <c r="AK8839">
        <v>13.5586213360705</v>
      </c>
      <c r="AL8839">
        <v>96.715545467291903</v>
      </c>
      <c r="AM8839">
        <v>90.308140821803605</v>
      </c>
      <c r="AN8839">
        <v>1.0000000046762301</v>
      </c>
    </row>
    <row r="8840" spans="1:40" x14ac:dyDescent="0.25">
      <c r="A8840" t="str">
        <f>"20190303154351430"</f>
        <v>20190303154351430</v>
      </c>
      <c r="B8840" t="str">
        <f>"1551599031419357"</f>
        <v>1551599031419357</v>
      </c>
      <c r="C8840" t="s">
        <v>40</v>
      </c>
      <c r="D8840">
        <v>5.8340110000000003</v>
      </c>
      <c r="E8840">
        <v>0.5366959</v>
      </c>
      <c r="F8840" t="s">
        <v>42</v>
      </c>
      <c r="G8840">
        <v>-187.5317</v>
      </c>
      <c r="H8840">
        <v>1.039873</v>
      </c>
      <c r="I8840">
        <v>103.2521</v>
      </c>
      <c r="J8840">
        <v>-187.61150000000001</v>
      </c>
      <c r="K8840">
        <v>1.120036</v>
      </c>
      <c r="L8840">
        <v>102.7084</v>
      </c>
      <c r="M8840">
        <v>-1.003073E-2</v>
      </c>
      <c r="N8840">
        <v>-1.7456050000000001E-2</v>
      </c>
      <c r="O8840">
        <v>0.9997973</v>
      </c>
      <c r="P8840">
        <v>-1.332679E-2</v>
      </c>
      <c r="Q8840">
        <v>-0.13692079999999901</v>
      </c>
      <c r="R8840">
        <v>0.99049229999999999</v>
      </c>
      <c r="S8840">
        <v>0.24214169999999999</v>
      </c>
      <c r="T8840">
        <v>-0.25244919999999998</v>
      </c>
      <c r="U8840">
        <v>2.9978030000000002</v>
      </c>
      <c r="V8840">
        <v>-3.650791E-3</v>
      </c>
      <c r="W8840">
        <v>-0.1196007</v>
      </c>
      <c r="X8840">
        <v>0.99281540000000001</v>
      </c>
      <c r="Y8840">
        <v>9.0250049999999998E-2</v>
      </c>
      <c r="Z8840">
        <v>-6.618723E-2</v>
      </c>
      <c r="AA8840">
        <v>0.99371739999999997</v>
      </c>
      <c r="AB8840">
        <v>28</v>
      </c>
      <c r="AC8840">
        <v>7.9800000000005797E-2</v>
      </c>
      <c r="AD8840">
        <v>-8.0162999999999901E-2</v>
      </c>
      <c r="AE8840">
        <v>0.54370000000000096</v>
      </c>
      <c r="AF8840">
        <v>8.3474186840924697E-2</v>
      </c>
      <c r="AG8840">
        <v>-8.0162999999999901E-2</v>
      </c>
      <c r="AH8840">
        <v>0.53156042255697</v>
      </c>
      <c r="AI8840">
        <v>98.473666559563199</v>
      </c>
      <c r="AJ8840">
        <v>81.075378150329101</v>
      </c>
      <c r="AK8840">
        <v>0.54401335394151695</v>
      </c>
      <c r="AL8840">
        <v>96.869058154361795</v>
      </c>
      <c r="AM8840">
        <v>90.210687680085897</v>
      </c>
      <c r="AN8840">
        <v>1.00000003709628</v>
      </c>
    </row>
    <row r="8841" spans="1:40" x14ac:dyDescent="0.25">
      <c r="A8841" t="str">
        <f>"20190303154351453"</f>
        <v>20190303154351453</v>
      </c>
      <c r="B8841" t="str">
        <f>"1551599031448638"</f>
        <v>1551599031448638</v>
      </c>
      <c r="C8841" t="s">
        <v>40</v>
      </c>
      <c r="D8841">
        <v>5.8421589999999997</v>
      </c>
      <c r="E8841">
        <v>0.53630180000000005</v>
      </c>
      <c r="F8841" t="s">
        <v>42</v>
      </c>
      <c r="G8841">
        <v>-187.54390000000001</v>
      </c>
      <c r="H8841">
        <v>1.049469</v>
      </c>
      <c r="I8841">
        <v>103.5133</v>
      </c>
      <c r="J8841">
        <v>-187.6131</v>
      </c>
      <c r="K8841">
        <v>1.120069</v>
      </c>
      <c r="L8841">
        <v>102.994</v>
      </c>
      <c r="M8841">
        <v>-8.9433910000000002E-3</v>
      </c>
      <c r="N8841">
        <v>-1.7023770000000001E-2</v>
      </c>
      <c r="O8841">
        <v>0.99981509999999996</v>
      </c>
      <c r="P8841">
        <v>-1.165305E-2</v>
      </c>
      <c r="Q8841">
        <v>-0.13681090000000001</v>
      </c>
      <c r="R8841">
        <v>0.99052859999999998</v>
      </c>
      <c r="S8841">
        <v>0.25195309999999999</v>
      </c>
      <c r="T8841">
        <v>-0.2626407</v>
      </c>
      <c r="U8841">
        <v>2.9958800000000001</v>
      </c>
      <c r="V8841">
        <v>-3.0399709999999998E-3</v>
      </c>
      <c r="W8841">
        <v>-0.1199215</v>
      </c>
      <c r="X8841">
        <v>0.99277870000000001</v>
      </c>
      <c r="Y8841">
        <v>9.2426129999999995E-2</v>
      </c>
      <c r="Z8841">
        <v>-7.0009950000000001E-2</v>
      </c>
      <c r="AA8841">
        <v>0.99325529999999995</v>
      </c>
      <c r="AB8841">
        <v>28</v>
      </c>
      <c r="AC8841">
        <v>6.9199999999995002E-2</v>
      </c>
      <c r="AD8841">
        <v>-7.0599999999999996E-2</v>
      </c>
      <c r="AE8841">
        <v>0.51930000000000098</v>
      </c>
      <c r="AF8841">
        <v>7.2525113095194202E-2</v>
      </c>
      <c r="AG8841">
        <v>-7.0599999999999996E-2</v>
      </c>
      <c r="AH8841">
        <v>0.50940911305902603</v>
      </c>
      <c r="AI8841">
        <v>97.812675504037401</v>
      </c>
      <c r="AJ8841">
        <v>81.897193241623597</v>
      </c>
      <c r="AK8841">
        <v>0.51936682267647205</v>
      </c>
      <c r="AL8841">
        <v>96.887572301285203</v>
      </c>
      <c r="AM8841">
        <v>90.1754438967737</v>
      </c>
      <c r="AN8841">
        <v>0.99999997737980995</v>
      </c>
    </row>
    <row r="8842" spans="1:40" x14ac:dyDescent="0.25">
      <c r="A8842" t="str">
        <f>"20190303154351474"</f>
        <v>20190303154351474</v>
      </c>
      <c r="B8842" t="str">
        <f>"1551599031469134"</f>
        <v>1551599031469134</v>
      </c>
      <c r="C8842" t="s">
        <v>40</v>
      </c>
      <c r="D8842">
        <v>5.7906890000000004</v>
      </c>
      <c r="E8842">
        <v>0.5346746</v>
      </c>
      <c r="F8842" t="s">
        <v>42</v>
      </c>
      <c r="G8842">
        <v>-187.54750000000001</v>
      </c>
      <c r="H8842">
        <v>1.0502450000000001</v>
      </c>
      <c r="I8842">
        <v>103.7666</v>
      </c>
      <c r="J8842">
        <v>-187.61449999999999</v>
      </c>
      <c r="K8842">
        <v>1.1201159999999999</v>
      </c>
      <c r="L8842">
        <v>103.2666</v>
      </c>
      <c r="M8842">
        <v>-7.9900100000000005E-3</v>
      </c>
      <c r="N8842">
        <v>-1.665645E-2</v>
      </c>
      <c r="O8842">
        <v>0.99982939999999998</v>
      </c>
      <c r="P8842">
        <v>-9.9719100000000005E-3</v>
      </c>
      <c r="Q8842">
        <v>-0.1363962</v>
      </c>
      <c r="R8842">
        <v>0.99060420000000005</v>
      </c>
      <c r="S8842">
        <v>0.25392150000000002</v>
      </c>
      <c r="T8842">
        <v>-0.27062639999999999</v>
      </c>
      <c r="U8842">
        <v>2.9942929999999999</v>
      </c>
      <c r="V8842">
        <v>-2.288235E-3</v>
      </c>
      <c r="W8842">
        <v>-0.1198724</v>
      </c>
      <c r="X8842">
        <v>0.99278659999999996</v>
      </c>
      <c r="Y8842">
        <v>9.2150689999999993E-2</v>
      </c>
      <c r="Z8842">
        <v>-7.3051359999999996E-2</v>
      </c>
      <c r="AA8842">
        <v>0.99306179999999999</v>
      </c>
      <c r="AB8842">
        <v>28</v>
      </c>
      <c r="AC8842">
        <v>6.6999999999978799E-2</v>
      </c>
      <c r="AD8842">
        <v>-6.9870999999999794E-2</v>
      </c>
      <c r="AE8842">
        <v>0.5</v>
      </c>
      <c r="AF8842">
        <v>6.9657160722345193E-2</v>
      </c>
      <c r="AG8842">
        <v>-6.9870999999999794E-2</v>
      </c>
      <c r="AH8842">
        <v>0.49004786091519198</v>
      </c>
      <c r="AI8842">
        <v>98.034842611894405</v>
      </c>
      <c r="AJ8842">
        <v>81.909967709920707</v>
      </c>
      <c r="AK8842">
        <v>0.499880968499956</v>
      </c>
      <c r="AL8842">
        <v>96.884738960157705</v>
      </c>
      <c r="AM8842">
        <v>90.132058567140902</v>
      </c>
      <c r="AN8842">
        <v>0.99999993072036497</v>
      </c>
    </row>
    <row r="8843" spans="1:40" x14ac:dyDescent="0.25">
      <c r="A8843" t="str">
        <f>"20190303154351499"</f>
        <v>20190303154351499</v>
      </c>
      <c r="B8843" t="str">
        <f>"1551599031488657"</f>
        <v>1551599031488657</v>
      </c>
      <c r="C8843" t="s">
        <v>40</v>
      </c>
      <c r="D8843">
        <v>5.7843239999999998</v>
      </c>
      <c r="E8843">
        <v>0.53473689999999996</v>
      </c>
      <c r="F8843" t="s">
        <v>42</v>
      </c>
      <c r="G8843">
        <v>-187.553</v>
      </c>
      <c r="H8843">
        <v>1.043345</v>
      </c>
      <c r="I8843">
        <v>104.0127</v>
      </c>
      <c r="J8843">
        <v>-187.6157</v>
      </c>
      <c r="K8843">
        <v>1.1201840000000001</v>
      </c>
      <c r="L8843">
        <v>103.5656</v>
      </c>
      <c r="M8843">
        <v>-7.0461029999999997E-3</v>
      </c>
      <c r="N8843">
        <v>-1.630202E-2</v>
      </c>
      <c r="O8843">
        <v>0.99984229999999996</v>
      </c>
      <c r="P8843">
        <v>-9.5424069999999993E-3</v>
      </c>
      <c r="Q8843">
        <v>-0.13537759999999999</v>
      </c>
      <c r="R8843">
        <v>0.99074810000000002</v>
      </c>
      <c r="S8843">
        <v>0.24617</v>
      </c>
      <c r="T8843">
        <v>-0.30749480000000001</v>
      </c>
      <c r="U8843">
        <v>2.9885860000000002</v>
      </c>
      <c r="V8843">
        <v>-2.7727450000000001E-3</v>
      </c>
      <c r="W8843">
        <v>-0.1192029</v>
      </c>
      <c r="X8843">
        <v>0.99286600000000003</v>
      </c>
      <c r="Y8843">
        <v>8.8724940000000002E-2</v>
      </c>
      <c r="Z8843">
        <v>-8.573799E-2</v>
      </c>
      <c r="AA8843">
        <v>0.99235930000000006</v>
      </c>
      <c r="AB8843">
        <v>28</v>
      </c>
      <c r="AC8843">
        <v>6.2700000000006598E-2</v>
      </c>
      <c r="AD8843">
        <v>-7.6839000000000102E-2</v>
      </c>
      <c r="AE8843">
        <v>0.447099999999991</v>
      </c>
      <c r="AF8843">
        <v>6.3995450535344903E-2</v>
      </c>
      <c r="AG8843">
        <v>-7.6839000000000102E-2</v>
      </c>
      <c r="AH8843">
        <v>0.43407346219651599</v>
      </c>
      <c r="AI8843">
        <v>99.933218202066399</v>
      </c>
      <c r="AJ8843">
        <v>81.6132983305843</v>
      </c>
      <c r="AK8843">
        <v>0.44544294830369902</v>
      </c>
      <c r="AL8843">
        <v>96.846102216487694</v>
      </c>
      <c r="AM8843">
        <v>90.160007667870602</v>
      </c>
      <c r="AN8843">
        <v>0.99999995671962105</v>
      </c>
    </row>
    <row r="8844" spans="1:40" x14ac:dyDescent="0.25">
      <c r="A8844" t="str">
        <f>"20190303154351520"</f>
        <v>20190303154351520</v>
      </c>
      <c r="B8844" t="str">
        <f>"1551599031509149"</f>
        <v>1551599031509149</v>
      </c>
      <c r="C8844" t="s">
        <v>40</v>
      </c>
      <c r="D8844">
        <v>5.8054769999999998</v>
      </c>
      <c r="E8844">
        <v>0.53519949999999905</v>
      </c>
      <c r="F8844" t="s">
        <v>42</v>
      </c>
      <c r="G8844">
        <v>-187.53749999999999</v>
      </c>
      <c r="H8844">
        <v>1.0269699999999999</v>
      </c>
      <c r="I8844">
        <v>104.5081</v>
      </c>
      <c r="J8844">
        <v>-187.61680000000001</v>
      </c>
      <c r="K8844">
        <v>1.1202559999999999</v>
      </c>
      <c r="L8844">
        <v>103.8498</v>
      </c>
      <c r="M8844">
        <v>-6.2375169999999997E-3</v>
      </c>
      <c r="N8844">
        <v>-1.6006869999999999E-2</v>
      </c>
      <c r="O8844">
        <v>0.99985239999999997</v>
      </c>
      <c r="P8844">
        <v>-9.8052020000000007E-3</v>
      </c>
      <c r="Q8844">
        <v>-0.13456389999999999</v>
      </c>
      <c r="R8844">
        <v>0.99085639999999997</v>
      </c>
      <c r="S8844">
        <v>0.24798580000000001</v>
      </c>
      <c r="T8844">
        <v>-0.2956954</v>
      </c>
      <c r="U8844">
        <v>2.9899900000000001</v>
      </c>
      <c r="V8844">
        <v>-3.8164359999999999E-3</v>
      </c>
      <c r="W8844">
        <v>-0.1186794</v>
      </c>
      <c r="X8844">
        <v>0.99292530000000001</v>
      </c>
      <c r="Y8844">
        <v>8.8509959999999999E-2</v>
      </c>
      <c r="Z8844">
        <v>-8.2106289999999998E-2</v>
      </c>
      <c r="AA8844">
        <v>0.9926855</v>
      </c>
      <c r="AB8844">
        <v>28</v>
      </c>
      <c r="AC8844">
        <v>7.9300000000017606E-2</v>
      </c>
      <c r="AD8844">
        <v>-9.3285999999999702E-2</v>
      </c>
      <c r="AE8844">
        <v>0.658299999999997</v>
      </c>
      <c r="AF8844">
        <v>8.1786282021130599E-2</v>
      </c>
      <c r="AG8844">
        <v>-9.3285999999999702E-2</v>
      </c>
      <c r="AH8844">
        <v>0.64502501709950499</v>
      </c>
      <c r="AI8844">
        <v>98.164798370323197</v>
      </c>
      <c r="AJ8844">
        <v>82.773713159411102</v>
      </c>
      <c r="AK8844">
        <v>0.65684743008331603</v>
      </c>
      <c r="AL8844">
        <v>96.815893078245097</v>
      </c>
      <c r="AM8844">
        <v>90.220222607655998</v>
      </c>
      <c r="AN8844">
        <v>1.0000000082740901</v>
      </c>
    </row>
    <row r="8845" spans="1:40" x14ac:dyDescent="0.25">
      <c r="A8845" t="str">
        <f>"20190303154351544"</f>
        <v>20190303154351544</v>
      </c>
      <c r="B8845" t="str">
        <f>"1551599031539405"</f>
        <v>1551599031539405</v>
      </c>
      <c r="C8845" t="s">
        <v>40</v>
      </c>
      <c r="D8845">
        <v>5.7801260000000001</v>
      </c>
      <c r="E8845">
        <v>0.54363950000000005</v>
      </c>
      <c r="F8845" t="s">
        <v>42</v>
      </c>
      <c r="G8845">
        <v>-187.5402</v>
      </c>
      <c r="H8845">
        <v>1.0305530000000001</v>
      </c>
      <c r="I8845">
        <v>104.7615</v>
      </c>
      <c r="J8845">
        <v>-187.61770000000001</v>
      </c>
      <c r="K8845">
        <v>1.120323</v>
      </c>
      <c r="L8845">
        <v>104.13590000000001</v>
      </c>
      <c r="M8845">
        <v>-5.4940869999999999E-3</v>
      </c>
      <c r="N8845">
        <v>-1.574646E-2</v>
      </c>
      <c r="O8845">
        <v>0.99986090000000005</v>
      </c>
      <c r="P8845">
        <v>-1.003451E-2</v>
      </c>
      <c r="Q8845">
        <v>-0.13355919999999999</v>
      </c>
      <c r="R8845">
        <v>0.99099000000000004</v>
      </c>
      <c r="S8845">
        <v>0.25067139999999999</v>
      </c>
      <c r="T8845">
        <v>-0.2942282</v>
      </c>
      <c r="U8845">
        <v>2.9902039999999999</v>
      </c>
      <c r="V8845">
        <v>-4.7623689999999998E-3</v>
      </c>
      <c r="W8845">
        <v>-0.11793049999999999</v>
      </c>
      <c r="X8845">
        <v>0.99301039999999996</v>
      </c>
      <c r="Y8845">
        <v>8.8652220000000004E-2</v>
      </c>
      <c r="Z8845">
        <v>-8.1873329999999994E-2</v>
      </c>
      <c r="AA8845">
        <v>0.99269209999999997</v>
      </c>
      <c r="AB8845">
        <v>28</v>
      </c>
      <c r="AC8845">
        <v>7.7500000000014696E-2</v>
      </c>
      <c r="AD8845">
        <v>-8.9769999999999905E-2</v>
      </c>
      <c r="AE8845">
        <v>0.62559999999999105</v>
      </c>
      <c r="AF8845">
        <v>7.9327641696585793E-2</v>
      </c>
      <c r="AG8845">
        <v>-8.9769999999999905E-2</v>
      </c>
      <c r="AH8845">
        <v>0.61273874889381097</v>
      </c>
      <c r="AI8845">
        <v>98.266861579858798</v>
      </c>
      <c r="AJ8845">
        <v>82.623287122009103</v>
      </c>
      <c r="AK8845">
        <v>0.62433989303351001</v>
      </c>
      <c r="AL8845">
        <v>96.772681070808403</v>
      </c>
      <c r="AM8845">
        <v>90.2747821696599</v>
      </c>
      <c r="AN8845">
        <v>0.99999996874844999</v>
      </c>
    </row>
    <row r="8846" spans="1:40" x14ac:dyDescent="0.25">
      <c r="A8846" t="str">
        <f>"20190303154351566"</f>
        <v>20190303154351566</v>
      </c>
      <c r="B8846" t="str">
        <f>"1551599031558927"</f>
        <v>1551599031558927</v>
      </c>
      <c r="C8846" t="s">
        <v>40</v>
      </c>
      <c r="D8846">
        <v>5.7290469999999996</v>
      </c>
      <c r="E8846">
        <v>0.54650240000000005</v>
      </c>
      <c r="F8846" t="s">
        <v>42</v>
      </c>
      <c r="G8846">
        <v>-187.52430000000001</v>
      </c>
      <c r="H8846">
        <v>1.03898</v>
      </c>
      <c r="I8846">
        <v>105.0172</v>
      </c>
      <c r="J8846">
        <v>-187.61840000000001</v>
      </c>
      <c r="K8846">
        <v>1.1203939999999999</v>
      </c>
      <c r="L8846">
        <v>104.4209</v>
      </c>
      <c r="M8846">
        <v>-4.8320200000000002E-3</v>
      </c>
      <c r="N8846">
        <v>-1.5519669999999999E-2</v>
      </c>
      <c r="O8846">
        <v>0.99986790000000003</v>
      </c>
      <c r="P8846">
        <v>-9.9199089999999993E-3</v>
      </c>
      <c r="Q8846">
        <v>-0.13249420000000001</v>
      </c>
      <c r="R8846">
        <v>0.99113419999999997</v>
      </c>
      <c r="S8846">
        <v>0.31723020000000002</v>
      </c>
      <c r="T8846">
        <v>-0.2762809</v>
      </c>
      <c r="U8846">
        <v>2.9932560000000001</v>
      </c>
      <c r="V8846">
        <v>-5.2851740000000001E-3</v>
      </c>
      <c r="W8846">
        <v>-0.1170887</v>
      </c>
      <c r="X8846">
        <v>0.99310739999999997</v>
      </c>
      <c r="Y8846">
        <v>0.10980040000000001</v>
      </c>
      <c r="Z8846">
        <v>-7.5908059999999999E-2</v>
      </c>
      <c r="AA8846">
        <v>0.99105089999999996</v>
      </c>
      <c r="AB8846">
        <v>28</v>
      </c>
      <c r="AC8846">
        <v>9.4099999999997394E-2</v>
      </c>
      <c r="AD8846">
        <v>-8.1414000000000097E-2</v>
      </c>
      <c r="AE8846">
        <v>0.59629999999999905</v>
      </c>
      <c r="AF8846">
        <v>9.5248203789071201E-2</v>
      </c>
      <c r="AG8846">
        <v>-8.1414000000000097E-2</v>
      </c>
      <c r="AH8846">
        <v>0.58519474486658296</v>
      </c>
      <c r="AI8846">
        <v>97.818725406013598</v>
      </c>
      <c r="AJ8846">
        <v>80.755418797810506</v>
      </c>
      <c r="AK8846">
        <v>0.59845914575726</v>
      </c>
      <c r="AL8846">
        <v>96.724112761729799</v>
      </c>
      <c r="AM8846">
        <v>90.304916976170801</v>
      </c>
      <c r="AN8846">
        <v>1.00000000233333</v>
      </c>
    </row>
    <row r="8847" spans="1:40" x14ac:dyDescent="0.25">
      <c r="A8847" t="str">
        <f>"20190303154351588"</f>
        <v>20190303154351588</v>
      </c>
      <c r="B8847" t="str">
        <f>"1551599031579422"</f>
        <v>1551599031579422</v>
      </c>
      <c r="C8847" t="s">
        <v>40</v>
      </c>
      <c r="D8847">
        <v>5.767779</v>
      </c>
      <c r="E8847">
        <v>0.54861979999999999</v>
      </c>
      <c r="F8847" t="s">
        <v>42</v>
      </c>
      <c r="G8847">
        <v>-187.5215</v>
      </c>
      <c r="H8847">
        <v>1.045029</v>
      </c>
      <c r="I8847">
        <v>105.2732</v>
      </c>
      <c r="J8847">
        <v>-187.6191</v>
      </c>
      <c r="K8847">
        <v>1.120466</v>
      </c>
      <c r="L8847">
        <v>104.68980000000001</v>
      </c>
      <c r="M8847">
        <v>-4.297225E-3</v>
      </c>
      <c r="N8847">
        <v>-1.533229E-2</v>
      </c>
      <c r="O8847">
        <v>0.99987320000000002</v>
      </c>
      <c r="P8847">
        <v>-9.505777E-3</v>
      </c>
      <c r="Q8847">
        <v>-0.1308163</v>
      </c>
      <c r="R8847">
        <v>0.9913611</v>
      </c>
      <c r="S8847">
        <v>0.34016420000000003</v>
      </c>
      <c r="T8847">
        <v>-0.26480690000000001</v>
      </c>
      <c r="U8847">
        <v>2.9948429999999999</v>
      </c>
      <c r="V8847">
        <v>-5.379885E-3</v>
      </c>
      <c r="W8847">
        <v>-0.1155943</v>
      </c>
      <c r="X8847">
        <v>0.993282</v>
      </c>
      <c r="Y8847">
        <v>0.1167401</v>
      </c>
      <c r="Z8847">
        <v>-7.2208919999999996E-2</v>
      </c>
      <c r="AA8847">
        <v>0.99053400000000003</v>
      </c>
      <c r="AB8847">
        <v>28</v>
      </c>
      <c r="AC8847">
        <v>9.7599999999999895E-2</v>
      </c>
      <c r="AD8847">
        <v>-7.5436999999999907E-2</v>
      </c>
      <c r="AE8847">
        <v>0.58339999999999703</v>
      </c>
      <c r="AF8847">
        <v>9.8504245084216804E-2</v>
      </c>
      <c r="AG8847">
        <v>-7.5436999999999907E-2</v>
      </c>
      <c r="AH8847">
        <v>0.57364494762072105</v>
      </c>
      <c r="AI8847">
        <v>97.384809113666805</v>
      </c>
      <c r="AJ8847">
        <v>80.256401682002803</v>
      </c>
      <c r="AK8847">
        <v>0.58690915242428399</v>
      </c>
      <c r="AL8847">
        <v>96.637904149707595</v>
      </c>
      <c r="AM8847">
        <v>90.310326463780498</v>
      </c>
      <c r="AN8847">
        <v>1.0000000584395401</v>
      </c>
    </row>
    <row r="8848" spans="1:40" x14ac:dyDescent="0.25">
      <c r="A8848" t="str">
        <f>"20190303154351609"</f>
        <v>20190303154351609</v>
      </c>
      <c r="B8848" t="str">
        <f>"1551599031598946"</f>
        <v>1551599031598946</v>
      </c>
      <c r="C8848" t="s">
        <v>40</v>
      </c>
      <c r="D8848">
        <v>5.7425499999999996</v>
      </c>
      <c r="E8848">
        <v>0.55004679999999995</v>
      </c>
      <c r="F8848" t="s">
        <v>42</v>
      </c>
      <c r="G8848">
        <v>-187.5188</v>
      </c>
      <c r="H8848">
        <v>1.0482359999999999</v>
      </c>
      <c r="I8848">
        <v>105.5269</v>
      </c>
      <c r="J8848">
        <v>-187.61969999999999</v>
      </c>
      <c r="K8848">
        <v>1.1205499999999999</v>
      </c>
      <c r="L8848">
        <v>104.9649</v>
      </c>
      <c r="M8848">
        <v>-3.8607289999999998E-3</v>
      </c>
      <c r="N8848">
        <v>-1.516442E-2</v>
      </c>
      <c r="O8848">
        <v>0.99987760000000003</v>
      </c>
      <c r="P8848">
        <v>-8.6008119999999993E-3</v>
      </c>
      <c r="Q8848">
        <v>-0.1285588</v>
      </c>
      <c r="R8848">
        <v>0.99166460000000001</v>
      </c>
      <c r="S8848">
        <v>0.35864259999999998</v>
      </c>
      <c r="T8848">
        <v>-0.25849429999999901</v>
      </c>
      <c r="U8848">
        <v>2.9954830000000001</v>
      </c>
      <c r="V8848">
        <v>-4.8828079999999998E-3</v>
      </c>
      <c r="W8848">
        <v>-0.1135009</v>
      </c>
      <c r="X8848">
        <v>0.99352589999999996</v>
      </c>
      <c r="Y8848">
        <v>0.1223248</v>
      </c>
      <c r="Z8848">
        <v>-7.022697E-2</v>
      </c>
      <c r="AA8848">
        <v>0.99000250000000001</v>
      </c>
      <c r="AB8848">
        <v>28</v>
      </c>
      <c r="AC8848">
        <v>0.10089999999999499</v>
      </c>
      <c r="AD8848">
        <v>-7.2313999999999698E-2</v>
      </c>
      <c r="AE8848">
        <v>0.56199999999999695</v>
      </c>
      <c r="AF8848">
        <v>0.10144213354512099</v>
      </c>
      <c r="AG8848">
        <v>-7.2313999999999698E-2</v>
      </c>
      <c r="AH8848">
        <v>0.55274047030773099</v>
      </c>
      <c r="AI8848">
        <v>97.332470181820398</v>
      </c>
      <c r="AJ8848">
        <v>79.600473962871504</v>
      </c>
      <c r="AK8848">
        <v>0.56660554936410401</v>
      </c>
      <c r="AL8848">
        <v>96.517166773806593</v>
      </c>
      <c r="AM8848">
        <v>90.281585047930903</v>
      </c>
      <c r="AN8848">
        <v>1.00000000504279</v>
      </c>
    </row>
    <row r="8849" spans="1:40" x14ac:dyDescent="0.25">
      <c r="A8849" t="str">
        <f>"20190303154351632"</f>
        <v>20190303154351632</v>
      </c>
      <c r="B8849" t="str">
        <f>"1551599031629198"</f>
        <v>1551599031629198</v>
      </c>
      <c r="C8849" t="s">
        <v>40</v>
      </c>
      <c r="D8849">
        <v>5.7815799999999999</v>
      </c>
      <c r="E8849">
        <v>0.55181939999999996</v>
      </c>
      <c r="F8849" t="s">
        <v>41</v>
      </c>
      <c r="G8849">
        <v>-185.94890000000001</v>
      </c>
      <c r="H8849" s="1">
        <v>-4.4811360000000003E-6</v>
      </c>
      <c r="I8849">
        <v>118.4034</v>
      </c>
      <c r="J8849">
        <v>-187.62029999999999</v>
      </c>
      <c r="K8849">
        <v>1.12066</v>
      </c>
      <c r="L8849">
        <v>105.2484</v>
      </c>
      <c r="M8849">
        <v>-3.545631E-3</v>
      </c>
      <c r="N8849">
        <v>-1.501363E-2</v>
      </c>
      <c r="O8849">
        <v>0.99988100000000002</v>
      </c>
      <c r="P8849">
        <v>-7.5190309999999998E-3</v>
      </c>
      <c r="Q8849">
        <v>-0.12696279999999999</v>
      </c>
      <c r="R8849">
        <v>0.99187899999999996</v>
      </c>
      <c r="S8849">
        <v>0.37248229999999999</v>
      </c>
      <c r="T8849">
        <v>-0.24982360000000001</v>
      </c>
      <c r="U8849">
        <v>2.9960629999999999</v>
      </c>
      <c r="V8849">
        <v>-4.0837909999999998E-3</v>
      </c>
      <c r="W8849">
        <v>-0.1120535</v>
      </c>
      <c r="X8849">
        <v>0.99369379999999996</v>
      </c>
      <c r="Y8849">
        <v>0.12651850000000001</v>
      </c>
      <c r="Z8849">
        <v>-6.7471180000000006E-2</v>
      </c>
      <c r="AA8849">
        <v>0.98966699999999996</v>
      </c>
      <c r="AB8849">
        <v>28</v>
      </c>
      <c r="AC8849">
        <v>1.67139999999997</v>
      </c>
      <c r="AD8849">
        <v>-1.120664481136</v>
      </c>
      <c r="AE8849">
        <v>13.154999999999999</v>
      </c>
      <c r="AF8849">
        <v>1.7058544553567201</v>
      </c>
      <c r="AG8849">
        <v>-1.120664481136</v>
      </c>
      <c r="AH8849">
        <v>13.0557473999178</v>
      </c>
      <c r="AI8849">
        <v>94.864914850744597</v>
      </c>
      <c r="AJ8849">
        <v>82.555945246841603</v>
      </c>
      <c r="AK8849">
        <v>13.214324366860399</v>
      </c>
      <c r="AL8849">
        <v>96.433704318501995</v>
      </c>
      <c r="AM8849">
        <v>90.235467577055005</v>
      </c>
      <c r="AN8849">
        <v>1.0000000161848099</v>
      </c>
    </row>
    <row r="8850" spans="1:40" x14ac:dyDescent="0.25">
      <c r="A8850" t="str">
        <f>"20190303154351654"</f>
        <v>20190303154351654</v>
      </c>
      <c r="B8850" t="str">
        <f>"1551599031648718"</f>
        <v>1551599031648718</v>
      </c>
      <c r="C8850" t="s">
        <v>40</v>
      </c>
      <c r="D8850">
        <v>5.8107879999999996</v>
      </c>
      <c r="E8850">
        <v>0.55274330000000005</v>
      </c>
      <c r="F8850" t="s">
        <v>41</v>
      </c>
      <c r="G8850">
        <v>-185.8185</v>
      </c>
      <c r="H8850" s="1">
        <v>-4.8007520000000002E-6</v>
      </c>
      <c r="I8850">
        <v>119.0945</v>
      </c>
      <c r="J8850">
        <v>-187.62090000000001</v>
      </c>
      <c r="K8850">
        <v>1.1207640000000001</v>
      </c>
      <c r="L8850">
        <v>105.51990000000001</v>
      </c>
      <c r="M8850">
        <v>-3.3710039999999999E-3</v>
      </c>
      <c r="N8850">
        <v>-1.4888230000000001E-2</v>
      </c>
      <c r="O8850">
        <v>0.99988350000000004</v>
      </c>
      <c r="P8850">
        <v>-5.9682869999999897E-3</v>
      </c>
      <c r="Q8850">
        <v>-0.12585940000000001</v>
      </c>
      <c r="R8850">
        <v>0.99203010000000003</v>
      </c>
      <c r="S8850">
        <v>0.38993840000000002</v>
      </c>
      <c r="T8850">
        <v>-0.24252699999999999</v>
      </c>
      <c r="U8850">
        <v>2.9964750000000002</v>
      </c>
      <c r="V8850">
        <v>-2.6763339999999998E-3</v>
      </c>
      <c r="W8850">
        <v>-0.1110744</v>
      </c>
      <c r="X8850">
        <v>0.99380849999999998</v>
      </c>
      <c r="Y8850">
        <v>0.13201949999999901</v>
      </c>
      <c r="Z8850">
        <v>-6.5132750000000003E-2</v>
      </c>
      <c r="AA8850">
        <v>0.98910489999999995</v>
      </c>
      <c r="AB8850">
        <v>28</v>
      </c>
      <c r="AC8850">
        <v>1.8024</v>
      </c>
      <c r="AD8850">
        <v>-1.12076880075199</v>
      </c>
      <c r="AE8850">
        <v>13.574599999999901</v>
      </c>
      <c r="AF8850">
        <v>1.83585707077989</v>
      </c>
      <c r="AG8850">
        <v>-1.12076880075199</v>
      </c>
      <c r="AH8850">
        <v>13.478160622611201</v>
      </c>
      <c r="AI8850">
        <v>94.710167083911898</v>
      </c>
      <c r="AJ8850">
        <v>82.243489479621303</v>
      </c>
      <c r="AK8850">
        <v>13.648710842346199</v>
      </c>
      <c r="AL8850">
        <v>96.377253652408797</v>
      </c>
      <c r="AM8850">
        <v>90.154297605699497</v>
      </c>
      <c r="AN8850">
        <v>1.0000000098856401</v>
      </c>
    </row>
    <row r="8851" spans="1:40" x14ac:dyDescent="0.25">
      <c r="A8851" t="str">
        <f>"20190303154351677"</f>
        <v>20190303154351677</v>
      </c>
      <c r="B8851" t="str">
        <f>"1551599031669214"</f>
        <v>1551599031669214</v>
      </c>
      <c r="C8851" t="s">
        <v>40</v>
      </c>
      <c r="D8851">
        <v>5.8082799999999999</v>
      </c>
      <c r="E8851">
        <v>0.55353580000000002</v>
      </c>
      <c r="F8851" t="s">
        <v>41</v>
      </c>
      <c r="G8851">
        <v>-185.74279999999999</v>
      </c>
      <c r="H8851" s="1">
        <v>-4.9964119999999996E-6</v>
      </c>
      <c r="I8851">
        <v>119.5192</v>
      </c>
      <c r="J8851">
        <v>-187.62180000000001</v>
      </c>
      <c r="K8851">
        <v>1.1208769999999999</v>
      </c>
      <c r="L8851">
        <v>105.8</v>
      </c>
      <c r="M8851">
        <v>-3.3236810000000002E-3</v>
      </c>
      <c r="N8851">
        <v>-1.477588E-2</v>
      </c>
      <c r="O8851">
        <v>0.99988529999999998</v>
      </c>
      <c r="P8851">
        <v>-3.4516989999999999E-3</v>
      </c>
      <c r="Q8851">
        <v>-0.12710080000000001</v>
      </c>
      <c r="R8851">
        <v>0.99188379999999998</v>
      </c>
      <c r="S8851">
        <v>0.40196229999999999</v>
      </c>
      <c r="T8851">
        <v>-0.2398632</v>
      </c>
      <c r="U8851">
        <v>2.9960939999999998</v>
      </c>
      <c r="V8851">
        <v>-1.7798029999999999E-4</v>
      </c>
      <c r="W8851">
        <v>-0.1124308</v>
      </c>
      <c r="X8851">
        <v>0.99365959999999998</v>
      </c>
      <c r="Y8851">
        <v>0.13589479999999901</v>
      </c>
      <c r="Z8851">
        <v>-6.4339510000000003E-2</v>
      </c>
      <c r="AA8851">
        <v>0.98863190000000001</v>
      </c>
      <c r="AB8851">
        <v>28</v>
      </c>
      <c r="AC8851">
        <v>1.87900000000001</v>
      </c>
      <c r="AD8851">
        <v>-1.120881996412</v>
      </c>
      <c r="AE8851">
        <v>13.719200000000001</v>
      </c>
      <c r="AF8851">
        <v>1.9120645019287199</v>
      </c>
      <c r="AG8851">
        <v>-1.120881996412</v>
      </c>
      <c r="AH8851">
        <v>13.6236128977388</v>
      </c>
      <c r="AI8851">
        <v>94.657964872175299</v>
      </c>
      <c r="AJ8851">
        <v>82.010761985345596</v>
      </c>
      <c r="AK8851">
        <v>13.8027242056361</v>
      </c>
      <c r="AL8851">
        <v>96.455459214562595</v>
      </c>
      <c r="AM8851">
        <v>90.010262588835602</v>
      </c>
      <c r="AN8851">
        <v>1.00000005856889</v>
      </c>
    </row>
    <row r="8852" spans="1:40" x14ac:dyDescent="0.25">
      <c r="A8852" t="str">
        <f>"20190303154351699"</f>
        <v>20190303154351699</v>
      </c>
      <c r="B8852" t="str">
        <f>"1551599031688737"</f>
        <v>1551599031688737</v>
      </c>
      <c r="C8852" t="s">
        <v>40</v>
      </c>
      <c r="D8852">
        <v>5.794244</v>
      </c>
      <c r="E8852">
        <v>0.55418500000000004</v>
      </c>
      <c r="F8852" t="s">
        <v>42</v>
      </c>
      <c r="G8852">
        <v>-187.4854</v>
      </c>
      <c r="H8852">
        <v>1.040586</v>
      </c>
      <c r="I8852">
        <v>106.77970000000001</v>
      </c>
      <c r="J8852">
        <v>-187.62270000000001</v>
      </c>
      <c r="K8852">
        <v>1.1209769999999999</v>
      </c>
      <c r="L8852">
        <v>106.0831</v>
      </c>
      <c r="M8852">
        <v>-3.422006E-3</v>
      </c>
      <c r="N8852">
        <v>-1.467834E-2</v>
      </c>
      <c r="O8852">
        <v>0.99988639999999995</v>
      </c>
      <c r="P8852">
        <v>-1.9251590000000001E-3</v>
      </c>
      <c r="Q8852">
        <v>-0.1280163</v>
      </c>
      <c r="R8852">
        <v>0.99177020000000005</v>
      </c>
      <c r="S8852">
        <v>0.41641240000000002</v>
      </c>
      <c r="T8852">
        <v>-0.2454655</v>
      </c>
      <c r="U8852">
        <v>2.9945369999999998</v>
      </c>
      <c r="V8852">
        <v>1.4734749999999999E-3</v>
      </c>
      <c r="W8852">
        <v>-0.1134449</v>
      </c>
      <c r="X8852">
        <v>0.99354319999999896</v>
      </c>
      <c r="Y8852">
        <v>0.1407196</v>
      </c>
      <c r="Z8852">
        <v>-6.6261490000000006E-2</v>
      </c>
      <c r="AA8852">
        <v>0.98782959999999997</v>
      </c>
      <c r="AB8852">
        <v>28</v>
      </c>
      <c r="AC8852">
        <v>0.13730000000001</v>
      </c>
      <c r="AD8852">
        <v>-8.0391000000000101E-2</v>
      </c>
      <c r="AE8852">
        <v>0.69660000000000299</v>
      </c>
      <c r="AF8852">
        <v>0.137915119059941</v>
      </c>
      <c r="AG8852">
        <v>-8.0391000000000101E-2</v>
      </c>
      <c r="AH8852">
        <v>0.68731450062120802</v>
      </c>
      <c r="AI8852">
        <v>96.541988949339299</v>
      </c>
      <c r="AJ8852">
        <v>78.653824243425206</v>
      </c>
      <c r="AK8852">
        <v>0.70560932229563</v>
      </c>
      <c r="AL8852">
        <v>96.513937362601894</v>
      </c>
      <c r="AM8852">
        <v>89.915027512821695</v>
      </c>
      <c r="AN8852">
        <v>1.00000000336541</v>
      </c>
    </row>
    <row r="8853" spans="1:40" x14ac:dyDescent="0.25">
      <c r="A8853" t="str">
        <f>"20190303154351720"</f>
        <v>20190303154351720</v>
      </c>
      <c r="B8853" t="str">
        <f>"1551599031709230"</f>
        <v>1551599031709230</v>
      </c>
      <c r="C8853" t="s">
        <v>40</v>
      </c>
      <c r="D8853">
        <v>5.8340459999999998</v>
      </c>
      <c r="E8853">
        <v>0.55456930000000004</v>
      </c>
      <c r="F8853" t="s">
        <v>41</v>
      </c>
      <c r="G8853">
        <v>-185.71190000000001</v>
      </c>
      <c r="H8853" s="1">
        <v>-4.9976210000000002E-6</v>
      </c>
      <c r="I8853">
        <v>119.5093</v>
      </c>
      <c r="J8853">
        <v>-187.62379999999999</v>
      </c>
      <c r="K8853">
        <v>1.1210580000000001</v>
      </c>
      <c r="L8853">
        <v>106.3565</v>
      </c>
      <c r="M8853">
        <v>-3.6185330000000002E-3</v>
      </c>
      <c r="N8853">
        <v>-1.4596329999999999E-2</v>
      </c>
      <c r="O8853">
        <v>0.99988690000000002</v>
      </c>
      <c r="P8853">
        <v>-1.3299099999999999E-3</v>
      </c>
      <c r="Q8853">
        <v>-0.12797549999999999</v>
      </c>
      <c r="R8853">
        <v>0.9917764</v>
      </c>
      <c r="S8853">
        <v>0.4260254</v>
      </c>
      <c r="T8853">
        <v>-0.24993170000000001</v>
      </c>
      <c r="U8853">
        <v>2.9934690000000002</v>
      </c>
      <c r="V8853">
        <v>2.2860670000000001E-3</v>
      </c>
      <c r="W8853">
        <v>-0.11348510000000001</v>
      </c>
      <c r="X8853">
        <v>0.99353709999999995</v>
      </c>
      <c r="Y8853">
        <v>0.1440543</v>
      </c>
      <c r="Z8853">
        <v>-6.779744E-2</v>
      </c>
      <c r="AA8853">
        <v>0.98724460000000003</v>
      </c>
      <c r="AB8853">
        <v>28</v>
      </c>
      <c r="AC8853">
        <v>1.91189999999997</v>
      </c>
      <c r="AD8853">
        <v>-1.12106299762099</v>
      </c>
      <c r="AE8853">
        <v>13.152799999999999</v>
      </c>
      <c r="AF8853">
        <v>1.9456441617047899</v>
      </c>
      <c r="AG8853">
        <v>-1.12106299762099</v>
      </c>
      <c r="AH8853">
        <v>13.0529301528651</v>
      </c>
      <c r="AI8853">
        <v>94.855471742848593</v>
      </c>
      <c r="AJ8853">
        <v>81.522024490493493</v>
      </c>
      <c r="AK8853">
        <v>13.2446705894932</v>
      </c>
      <c r="AL8853">
        <v>96.516255439822203</v>
      </c>
      <c r="AM8853">
        <v>89.868166211778501</v>
      </c>
      <c r="AN8853">
        <v>1.0000000315503701</v>
      </c>
    </row>
    <row r="8854" spans="1:40" x14ac:dyDescent="0.25">
      <c r="A8854" t="str">
        <f>"20190303154351744"</f>
        <v>20190303154351744</v>
      </c>
      <c r="B8854" t="str">
        <f>"1551599031738510"</f>
        <v>1551599031738510</v>
      </c>
      <c r="C8854" t="s">
        <v>40</v>
      </c>
      <c r="D8854">
        <v>5.6673629999999999</v>
      </c>
      <c r="E8854">
        <v>0.51603069999999995</v>
      </c>
      <c r="F8854" t="s">
        <v>57</v>
      </c>
      <c r="G8854">
        <v>-185.6996</v>
      </c>
      <c r="H8854" s="1">
        <v>-1.1660280000000001E-6</v>
      </c>
      <c r="I8854">
        <v>119.7285</v>
      </c>
      <c r="J8854">
        <v>-187.625</v>
      </c>
      <c r="K8854">
        <v>1.1211230000000001</v>
      </c>
      <c r="L8854">
        <v>106.6401</v>
      </c>
      <c r="M8854">
        <v>-3.9024979999999999E-3</v>
      </c>
      <c r="N8854">
        <v>-1.452236E-2</v>
      </c>
      <c r="O8854">
        <v>0.99988690000000002</v>
      </c>
      <c r="P8854">
        <v>-7.6458099999999996E-4</v>
      </c>
      <c r="Q8854">
        <v>-0.12709899999999999</v>
      </c>
      <c r="R8854">
        <v>0.99188969999999999</v>
      </c>
      <c r="S8854">
        <v>0.43069459999999998</v>
      </c>
      <c r="T8854">
        <v>-0.25092769999999998</v>
      </c>
      <c r="U8854">
        <v>2.9930569999999999</v>
      </c>
      <c r="V8854">
        <v>3.1507789999999998E-3</v>
      </c>
      <c r="W8854">
        <v>-0.1126798</v>
      </c>
      <c r="X8854">
        <v>0.99362640000000002</v>
      </c>
      <c r="Y8854">
        <v>0.145858399999999</v>
      </c>
      <c r="Z8854">
        <v>-6.8188289999999999E-2</v>
      </c>
      <c r="AA8854">
        <v>0.98695270000000002</v>
      </c>
      <c r="AB8854">
        <v>28</v>
      </c>
      <c r="AC8854">
        <v>1.92539999999999</v>
      </c>
      <c r="AD8854">
        <v>-1.12112416602799</v>
      </c>
      <c r="AE8854">
        <v>13.088399999999901</v>
      </c>
      <c r="AF8854">
        <v>1.9623747029223</v>
      </c>
      <c r="AG8854">
        <v>-1.12112416602799</v>
      </c>
      <c r="AH8854">
        <v>12.9875113262698</v>
      </c>
      <c r="AI8854">
        <v>94.878623001134699</v>
      </c>
      <c r="AJ8854">
        <v>81.407770881283199</v>
      </c>
      <c r="AK8854">
        <v>13.1826888122381</v>
      </c>
      <c r="AL8854">
        <v>96.4698171968259</v>
      </c>
      <c r="AM8854">
        <v>89.818316286878598</v>
      </c>
      <c r="AN8854">
        <v>1.0000000437566501</v>
      </c>
    </row>
    <row r="8855" spans="1:40" x14ac:dyDescent="0.25">
      <c r="A8855" t="str">
        <f>"20190303154351766"</f>
        <v>20190303154351766</v>
      </c>
      <c r="B8855" t="str">
        <f>"1551599031759006"</f>
        <v>1551599031759006</v>
      </c>
      <c r="C8855" t="s">
        <v>40</v>
      </c>
      <c r="D8855">
        <v>5.6816599999999999</v>
      </c>
      <c r="E8855">
        <v>0.50820549999999998</v>
      </c>
      <c r="F8855" t="s">
        <v>42</v>
      </c>
      <c r="G8855">
        <v>-187.5882</v>
      </c>
      <c r="H8855">
        <v>1.0481389999999999</v>
      </c>
      <c r="I8855">
        <v>107.5197</v>
      </c>
      <c r="J8855">
        <v>-187.62639999999999</v>
      </c>
      <c r="K8855">
        <v>1.1211629999999999</v>
      </c>
      <c r="L8855">
        <v>106.91630000000001</v>
      </c>
      <c r="M8855">
        <v>-4.2271449999999999E-3</v>
      </c>
      <c r="N8855">
        <v>-1.4459629999999999E-2</v>
      </c>
      <c r="O8855">
        <v>0.99988650000000001</v>
      </c>
      <c r="P8855">
        <v>-8.3503530000000002E-4</v>
      </c>
      <c r="Q8855">
        <v>-0.12641869999999999</v>
      </c>
      <c r="R8855">
        <v>0.99197659999999999</v>
      </c>
      <c r="S8855">
        <v>0.12503049999999999</v>
      </c>
      <c r="T8855">
        <v>-0.24835289999999999</v>
      </c>
      <c r="U8855">
        <v>2.9927980000000001</v>
      </c>
      <c r="V8855">
        <v>3.413948E-3</v>
      </c>
      <c r="W8855">
        <v>-0.1120603</v>
      </c>
      <c r="X8855">
        <v>0.99369560000000001</v>
      </c>
      <c r="Y8855">
        <v>4.5834779999999999E-2</v>
      </c>
      <c r="Z8855">
        <v>-6.8198869999999995E-2</v>
      </c>
      <c r="AA8855">
        <v>0.99661829999999996</v>
      </c>
      <c r="AB8855">
        <v>28</v>
      </c>
      <c r="AC8855">
        <v>3.8199999999989097E-2</v>
      </c>
      <c r="AD8855">
        <v>-7.3023999999999895E-2</v>
      </c>
      <c r="AE8855">
        <v>0.60339999999999305</v>
      </c>
      <c r="AF8855">
        <v>4.0164678863762703E-2</v>
      </c>
      <c r="AG8855">
        <v>-7.3023999999999895E-2</v>
      </c>
      <c r="AH8855">
        <v>0.59455991870107106</v>
      </c>
      <c r="AI8855">
        <v>96.986249840864502</v>
      </c>
      <c r="AJ8855">
        <v>86.135333947493194</v>
      </c>
      <c r="AK8855">
        <v>0.60037255344498697</v>
      </c>
      <c r="AL8855">
        <v>96.434096144088898</v>
      </c>
      <c r="AM8855">
        <v>89.803154967897498</v>
      </c>
      <c r="AN8855">
        <v>1.0000000556681901</v>
      </c>
    </row>
    <row r="8856" spans="1:40" x14ac:dyDescent="0.25">
      <c r="A8856" t="str">
        <f>"20190303154351789"</f>
        <v>20190303154351789</v>
      </c>
      <c r="B8856" t="str">
        <f>"1551599031778526"</f>
        <v>1551599031778526</v>
      </c>
      <c r="C8856" t="s">
        <v>40</v>
      </c>
      <c r="D8856">
        <v>5.6738790000000003</v>
      </c>
      <c r="E8856">
        <v>0.50474149999999995</v>
      </c>
      <c r="F8856" t="s">
        <v>57</v>
      </c>
      <c r="G8856">
        <v>-187.30090000000001</v>
      </c>
      <c r="H8856" s="1">
        <v>-1.9717940000000002E-6</v>
      </c>
      <c r="I8856">
        <v>122.53830000000001</v>
      </c>
      <c r="J8856">
        <v>-187.62790000000001</v>
      </c>
      <c r="K8856">
        <v>1.121183</v>
      </c>
      <c r="L8856">
        <v>107.1942</v>
      </c>
      <c r="M8856">
        <v>-4.5729769999999998E-3</v>
      </c>
      <c r="N8856">
        <v>-1.440466E-2</v>
      </c>
      <c r="O8856">
        <v>0.99988580000000005</v>
      </c>
      <c r="P8856">
        <v>-1.048995E-3</v>
      </c>
      <c r="Q8856">
        <v>-0.12616749999999999</v>
      </c>
      <c r="R8856">
        <v>0.99200840000000001</v>
      </c>
      <c r="S8856">
        <v>6.2438960000000002E-2</v>
      </c>
      <c r="T8856">
        <v>-0.21508279999999999</v>
      </c>
      <c r="U8856">
        <v>2.996902</v>
      </c>
      <c r="V8856">
        <v>3.5493730000000002E-3</v>
      </c>
      <c r="W8856">
        <v>-0.11186309999999999</v>
      </c>
      <c r="X8856">
        <v>0.99371730000000003</v>
      </c>
      <c r="Y8856">
        <v>2.5352389999999999E-2</v>
      </c>
      <c r="Z8856">
        <v>-5.7188070000000001E-2</v>
      </c>
      <c r="AA8856">
        <v>0.99804150000000003</v>
      </c>
      <c r="AB8856">
        <v>28</v>
      </c>
      <c r="AC8856">
        <v>0.32699999999999801</v>
      </c>
      <c r="AD8856">
        <v>-1.1211849717939999</v>
      </c>
      <c r="AE8856">
        <v>15.344099999999999</v>
      </c>
      <c r="AF8856">
        <v>0.39506373181318999</v>
      </c>
      <c r="AG8856">
        <v>-1.1211849717939999</v>
      </c>
      <c r="AH8856">
        <v>15.2610003075048</v>
      </c>
      <c r="AI8856">
        <v>94.200417019923407</v>
      </c>
      <c r="AJ8856">
        <v>88.517107024387997</v>
      </c>
      <c r="AK8856">
        <v>15.3072290594619</v>
      </c>
      <c r="AL8856">
        <v>96.422726210235695</v>
      </c>
      <c r="AM8856">
        <v>89.7953510238831</v>
      </c>
      <c r="AN8856">
        <v>1.00000001175479</v>
      </c>
    </row>
    <row r="8857" spans="1:40" x14ac:dyDescent="0.25">
      <c r="A8857" t="str">
        <f>"20190303154351810"</f>
        <v>20190303154351810</v>
      </c>
      <c r="B8857" t="str">
        <f>"1551599031799025"</f>
        <v>1551599031799025</v>
      </c>
      <c r="C8857" t="s">
        <v>40</v>
      </c>
      <c r="D8857">
        <v>5.6566510000000001</v>
      </c>
      <c r="E8857">
        <v>0.50283529999999999</v>
      </c>
      <c r="F8857" t="s">
        <v>57</v>
      </c>
      <c r="G8857">
        <v>-187.4366</v>
      </c>
      <c r="H8857" s="1">
        <v>-2.7033250000000001E-6</v>
      </c>
      <c r="I8857">
        <v>123.9072</v>
      </c>
      <c r="J8857">
        <v>-187.6294</v>
      </c>
      <c r="K8857">
        <v>1.121184</v>
      </c>
      <c r="L8857">
        <v>107.46120000000001</v>
      </c>
      <c r="M8857">
        <v>-4.8956479999999998E-3</v>
      </c>
      <c r="N8857">
        <v>-1.435849E-2</v>
      </c>
      <c r="O8857">
        <v>0.99988489999999997</v>
      </c>
      <c r="P8857">
        <v>-1.179058E-3</v>
      </c>
      <c r="Q8857">
        <v>-0.12590219999999999</v>
      </c>
      <c r="R8857">
        <v>0.99204190000000003</v>
      </c>
      <c r="S8857">
        <v>3.4317019999999997E-2</v>
      </c>
      <c r="T8857">
        <v>-0.20116149999999999</v>
      </c>
      <c r="U8857">
        <v>2.9986269999999999</v>
      </c>
      <c r="V8857">
        <v>3.7403079999999999E-3</v>
      </c>
      <c r="W8857">
        <v>-0.1116431</v>
      </c>
      <c r="X8857">
        <v>0.99374130000000005</v>
      </c>
      <c r="Y8857">
        <v>1.6313810000000002E-2</v>
      </c>
      <c r="Z8857">
        <v>-5.2592680000000003E-2</v>
      </c>
      <c r="AA8857">
        <v>0.9984828</v>
      </c>
      <c r="AB8857">
        <v>28</v>
      </c>
      <c r="AC8857">
        <v>0.192800000000005</v>
      </c>
      <c r="AD8857">
        <v>-1.121186703325</v>
      </c>
      <c r="AE8857">
        <v>16.445999999999898</v>
      </c>
      <c r="AF8857">
        <v>0.27205556828903898</v>
      </c>
      <c r="AG8857">
        <v>-1.121186703325</v>
      </c>
      <c r="AH8857">
        <v>16.368792600266101</v>
      </c>
      <c r="AI8857">
        <v>93.917836713454093</v>
      </c>
      <c r="AJ8857">
        <v>89.047809989397805</v>
      </c>
      <c r="AK8857">
        <v>16.409401117849399</v>
      </c>
      <c r="AL8857">
        <v>96.410041942125702</v>
      </c>
      <c r="AM8857">
        <v>89.784347444856806</v>
      </c>
      <c r="AN8857">
        <v>0.99999997150361697</v>
      </c>
    </row>
    <row r="8858" spans="1:40" x14ac:dyDescent="0.25">
      <c r="A8858" t="str">
        <f>"20190303154351833"</f>
        <v>20190303154351833</v>
      </c>
      <c r="B8858" t="str">
        <f>"1551599031829278"</f>
        <v>1551599031829278</v>
      </c>
      <c r="C8858" t="s">
        <v>40</v>
      </c>
      <c r="D8858">
        <v>5.7419539999999998</v>
      </c>
      <c r="E8858">
        <v>0.50150039999999996</v>
      </c>
      <c r="F8858" t="s">
        <v>57</v>
      </c>
      <c r="G8858">
        <v>-187.51900000000001</v>
      </c>
      <c r="H8858" s="1">
        <v>-3.156922E-6</v>
      </c>
      <c r="I8858">
        <v>124.9102</v>
      </c>
      <c r="J8858">
        <v>-187.6311</v>
      </c>
      <c r="K8858">
        <v>1.121156</v>
      </c>
      <c r="L8858">
        <v>107.7409</v>
      </c>
      <c r="M8858">
        <v>-5.1974719999999999E-3</v>
      </c>
      <c r="N8858">
        <v>-1.431616E-2</v>
      </c>
      <c r="O8858">
        <v>0.999884</v>
      </c>
      <c r="P8858">
        <v>-8.5691079999999995E-4</v>
      </c>
      <c r="Q8858">
        <v>-0.1267759</v>
      </c>
      <c r="R8858">
        <v>0.99193100000000001</v>
      </c>
      <c r="S8858">
        <v>1.8981930000000001E-2</v>
      </c>
      <c r="T8858">
        <v>-0.19274140000000001</v>
      </c>
      <c r="U8858">
        <v>2.9996339999999999</v>
      </c>
      <c r="V8858">
        <v>4.3572400000000001E-3</v>
      </c>
      <c r="W8858">
        <v>-0.1125602</v>
      </c>
      <c r="X8858">
        <v>0.99363539999999995</v>
      </c>
      <c r="Y8858">
        <v>1.151144E-2</v>
      </c>
      <c r="Z8858">
        <v>-4.9825170000000002E-2</v>
      </c>
      <c r="AA8858">
        <v>0.99869160000000001</v>
      </c>
      <c r="AB8858">
        <v>28</v>
      </c>
      <c r="AC8858">
        <v>0.11209999999999801</v>
      </c>
      <c r="AD8858">
        <v>-1.1211591569220001</v>
      </c>
      <c r="AE8858">
        <v>17.1693</v>
      </c>
      <c r="AF8858">
        <v>0.20048971291742901</v>
      </c>
      <c r="AG8858">
        <v>-1.1211591569220001</v>
      </c>
      <c r="AH8858">
        <v>17.095590817990299</v>
      </c>
      <c r="AI8858">
        <v>93.751928352628198</v>
      </c>
      <c r="AJ8858">
        <v>89.328090621900301</v>
      </c>
      <c r="AK8858">
        <v>17.1334882436791</v>
      </c>
      <c r="AL8858">
        <v>96.462920732063495</v>
      </c>
      <c r="AM8858">
        <v>89.748751038744601</v>
      </c>
      <c r="AN8858">
        <v>1.0000000461487999</v>
      </c>
    </row>
    <row r="8859" spans="1:40" x14ac:dyDescent="0.25">
      <c r="A8859" t="str">
        <f>"20190303154351854"</f>
        <v>20190303154351854</v>
      </c>
      <c r="B8859" t="str">
        <f>"1551599031848798"</f>
        <v>1551599031848798</v>
      </c>
      <c r="C8859" t="s">
        <v>40</v>
      </c>
      <c r="D8859">
        <v>5.6971160000000003</v>
      </c>
      <c r="E8859">
        <v>0.50083710000000004</v>
      </c>
      <c r="F8859" t="s">
        <v>57</v>
      </c>
      <c r="G8859">
        <v>-187.57470000000001</v>
      </c>
      <c r="H8859" s="1">
        <v>-3.2954580000000002E-6</v>
      </c>
      <c r="I8859">
        <v>125.4735</v>
      </c>
      <c r="J8859">
        <v>-187.6328</v>
      </c>
      <c r="K8859">
        <v>1.1211120000000001</v>
      </c>
      <c r="L8859">
        <v>108.0124</v>
      </c>
      <c r="M8859">
        <v>-5.43408E-3</v>
      </c>
      <c r="N8859">
        <v>-1.4280360000000001E-2</v>
      </c>
      <c r="O8859">
        <v>0.99988319999999997</v>
      </c>
      <c r="P8859">
        <v>-2.153244E-4</v>
      </c>
      <c r="Q8859">
        <v>-0.12854849999999901</v>
      </c>
      <c r="R8859">
        <v>0.99170320000000001</v>
      </c>
      <c r="S8859">
        <v>9.5367430000000003E-3</v>
      </c>
      <c r="T8859">
        <v>-0.18968689999999999</v>
      </c>
      <c r="U8859">
        <v>3.0001530000000001</v>
      </c>
      <c r="V8859">
        <v>5.2236469999999997E-3</v>
      </c>
      <c r="W8859">
        <v>-0.1143715</v>
      </c>
      <c r="X8859">
        <v>0.99342430000000004</v>
      </c>
      <c r="Y8859">
        <v>8.6047439999999992E-3</v>
      </c>
      <c r="Z8859">
        <v>-4.8838579999999999E-2</v>
      </c>
      <c r="AA8859">
        <v>0.99876960000000004</v>
      </c>
      <c r="AB8859">
        <v>28</v>
      </c>
      <c r="AC8859">
        <v>5.8099999999996002E-2</v>
      </c>
      <c r="AD8859">
        <v>-1.1211152954579999</v>
      </c>
      <c r="AE8859">
        <v>17.461099999999998</v>
      </c>
      <c r="AF8859">
        <v>0.15236572279279301</v>
      </c>
      <c r="AG8859">
        <v>-1.1211152954579999</v>
      </c>
      <c r="AH8859">
        <v>17.3888422244402</v>
      </c>
      <c r="AI8859">
        <v>93.688798566588304</v>
      </c>
      <c r="AJ8859">
        <v>89.4979717835038</v>
      </c>
      <c r="AK8859">
        <v>17.425611860869299</v>
      </c>
      <c r="AL8859">
        <v>96.567375580533096</v>
      </c>
      <c r="AM8859">
        <v>89.698728762285</v>
      </c>
      <c r="AN8859">
        <v>0.99999998316535998</v>
      </c>
    </row>
    <row r="8860" spans="1:40" x14ac:dyDescent="0.25">
      <c r="A8860" t="str">
        <f>"20190303154351878"</f>
        <v>20190303154351878</v>
      </c>
      <c r="B8860" t="str">
        <f>"1551599031869294"</f>
        <v>1551599031869294</v>
      </c>
      <c r="C8860" t="s">
        <v>40</v>
      </c>
      <c r="D8860">
        <v>5.6930690000000004</v>
      </c>
      <c r="E8860">
        <v>0.50032449999999995</v>
      </c>
      <c r="F8860" t="s">
        <v>57</v>
      </c>
      <c r="G8860">
        <v>-187.595</v>
      </c>
      <c r="H8860" s="1">
        <v>-3.2359499999999999E-6</v>
      </c>
      <c r="I8860">
        <v>125.25530000000001</v>
      </c>
      <c r="J8860">
        <v>-187.6344</v>
      </c>
      <c r="K8860">
        <v>1.121051</v>
      </c>
      <c r="L8860">
        <v>108.2884</v>
      </c>
      <c r="M8860">
        <v>-5.5975759999999999E-3</v>
      </c>
      <c r="N8860">
        <v>-1.4248780000000001E-2</v>
      </c>
      <c r="O8860">
        <v>0.99988279999999996</v>
      </c>
      <c r="P8860">
        <v>7.3053660000000004E-4</v>
      </c>
      <c r="Q8860">
        <v>-0.13112379999999901</v>
      </c>
      <c r="R8860">
        <v>0.99136570000000002</v>
      </c>
      <c r="S8860">
        <v>6.5612789999999997E-3</v>
      </c>
      <c r="T8860">
        <v>-0.19504560000000001</v>
      </c>
      <c r="U8860">
        <v>2.9998170000000002</v>
      </c>
      <c r="V8860">
        <v>6.3166899999999998E-3</v>
      </c>
      <c r="W8860">
        <v>-0.116983</v>
      </c>
      <c r="X8860">
        <v>0.99311380000000005</v>
      </c>
      <c r="Y8860">
        <v>7.7781179999999997E-3</v>
      </c>
      <c r="Z8860">
        <v>-5.0654150000000002E-2</v>
      </c>
      <c r="AA8860">
        <v>0.99868599999999996</v>
      </c>
      <c r="AB8860">
        <v>28</v>
      </c>
      <c r="AC8860">
        <v>3.9400000000000497E-2</v>
      </c>
      <c r="AD8860">
        <v>-1.12105423595</v>
      </c>
      <c r="AE8860">
        <v>16.966899999999999</v>
      </c>
      <c r="AF8860">
        <v>0.13379842561355099</v>
      </c>
      <c r="AG8860">
        <v>-1.12105423595</v>
      </c>
      <c r="AH8860">
        <v>16.892666607309</v>
      </c>
      <c r="AI8860">
        <v>93.796654856083805</v>
      </c>
      <c r="AJ8860">
        <v>89.546198065209794</v>
      </c>
      <c r="AK8860">
        <v>16.930352911984102</v>
      </c>
      <c r="AL8860">
        <v>96.718014899413504</v>
      </c>
      <c r="AM8860">
        <v>89.6355757043913</v>
      </c>
      <c r="AN8860">
        <v>0.99999997130599705</v>
      </c>
    </row>
    <row r="8861" spans="1:40" x14ac:dyDescent="0.25">
      <c r="A8861" t="str">
        <f>"20190303154351899"</f>
        <v>20190303154351899</v>
      </c>
      <c r="B8861" t="str">
        <f>"1551599031888814"</f>
        <v>1551599031888814</v>
      </c>
      <c r="C8861" t="s">
        <v>40</v>
      </c>
      <c r="D8861">
        <v>5.6598600000000001</v>
      </c>
      <c r="E8861">
        <v>0.49985940000000001</v>
      </c>
      <c r="F8861" t="s">
        <v>57</v>
      </c>
      <c r="G8861">
        <v>-187.60489999999999</v>
      </c>
      <c r="H8861" s="1">
        <v>-3.124037E-6</v>
      </c>
      <c r="I8861">
        <v>124.8297</v>
      </c>
      <c r="J8861">
        <v>-187.6361</v>
      </c>
      <c r="K8861">
        <v>1.120989</v>
      </c>
      <c r="L8861">
        <v>108.5612</v>
      </c>
      <c r="M8861">
        <v>-5.6909769999999998E-3</v>
      </c>
      <c r="N8861">
        <v>-1.422172E-2</v>
      </c>
      <c r="O8861">
        <v>0.99988270000000001</v>
      </c>
      <c r="P8861">
        <v>1.8977169999999999E-3</v>
      </c>
      <c r="Q8861">
        <v>-0.1324515</v>
      </c>
      <c r="R8861">
        <v>0.9911877</v>
      </c>
      <c r="S8861">
        <v>5.3558349999999998E-3</v>
      </c>
      <c r="T8861">
        <v>-0.20326810000000001</v>
      </c>
      <c r="U8861">
        <v>2.9992369999999999</v>
      </c>
      <c r="V8861">
        <v>7.5609469999999897E-3</v>
      </c>
      <c r="W8861">
        <v>-0.11834069999999999</v>
      </c>
      <c r="X8861">
        <v>0.99294420000000005</v>
      </c>
      <c r="Y8861">
        <v>7.4703410000000001E-3</v>
      </c>
      <c r="Z8861">
        <v>-5.3419420000000002E-2</v>
      </c>
      <c r="AA8861">
        <v>0.99854419999999999</v>
      </c>
      <c r="AB8861">
        <v>28</v>
      </c>
      <c r="AC8861">
        <v>3.1200000000012499E-2</v>
      </c>
      <c r="AD8861">
        <v>-1.120992124037</v>
      </c>
      <c r="AE8861">
        <v>16.2685</v>
      </c>
      <c r="AF8861">
        <v>0.12320752918597599</v>
      </c>
      <c r="AG8861">
        <v>-1.120992124037</v>
      </c>
      <c r="AH8861">
        <v>16.1911835737044</v>
      </c>
      <c r="AI8861">
        <v>93.960423036449001</v>
      </c>
      <c r="AJ8861">
        <v>89.564013640936196</v>
      </c>
      <c r="AK8861">
        <v>16.2304106218788</v>
      </c>
      <c r="AL8861">
        <v>96.796349758057303</v>
      </c>
      <c r="AM8861">
        <v>89.563719714029006</v>
      </c>
      <c r="AN8861">
        <v>0.99999993675483101</v>
      </c>
    </row>
    <row r="8862" spans="1:40" x14ac:dyDescent="0.25">
      <c r="A8862" t="str">
        <f>"20190303154351922"</f>
        <v>20190303154351922</v>
      </c>
      <c r="B8862" t="str">
        <f>"1551599031919070"</f>
        <v>1551599031919070</v>
      </c>
      <c r="C8862" t="s">
        <v>40</v>
      </c>
      <c r="D8862">
        <v>5.7133330000000004</v>
      </c>
      <c r="E8862">
        <v>0.49932690000000002</v>
      </c>
      <c r="F8862" t="s">
        <v>57</v>
      </c>
      <c r="G8862">
        <v>-187.6061</v>
      </c>
      <c r="H8862" s="1">
        <v>-3.081114E-6</v>
      </c>
      <c r="I8862">
        <v>124.66500000000001</v>
      </c>
      <c r="J8862">
        <v>-187.6377</v>
      </c>
      <c r="K8862">
        <v>1.1209359999999999</v>
      </c>
      <c r="L8862">
        <v>108.84010000000001</v>
      </c>
      <c r="M8862">
        <v>-5.7311519999999998E-3</v>
      </c>
      <c r="N8862">
        <v>-1.419728E-2</v>
      </c>
      <c r="O8862">
        <v>0.99988279999999996</v>
      </c>
      <c r="P8862">
        <v>2.7322169999999999E-3</v>
      </c>
      <c r="Q8862">
        <v>-0.13245179999999901</v>
      </c>
      <c r="R8862">
        <v>0.99118569999999995</v>
      </c>
      <c r="S8862">
        <v>5.5847170000000003E-3</v>
      </c>
      <c r="T8862">
        <v>-0.2087444</v>
      </c>
      <c r="U8862">
        <v>2.998764</v>
      </c>
      <c r="V8862">
        <v>8.4224030000000002E-3</v>
      </c>
      <c r="W8862">
        <v>-0.1183661</v>
      </c>
      <c r="X8862">
        <v>0.99293430000000005</v>
      </c>
      <c r="Y8862">
        <v>7.5866650000000002E-3</v>
      </c>
      <c r="Z8862">
        <v>-5.5269249999999999E-2</v>
      </c>
      <c r="AA8862">
        <v>0.99844259999999996</v>
      </c>
      <c r="AB8862">
        <v>28</v>
      </c>
      <c r="AC8862">
        <v>3.1599999999997401E-2</v>
      </c>
      <c r="AD8862">
        <v>-1.1209390811139901</v>
      </c>
      <c r="AE8862">
        <v>15.8249</v>
      </c>
      <c r="AF8862">
        <v>0.121692944470667</v>
      </c>
      <c r="AG8862">
        <v>-1.1209390811139901</v>
      </c>
      <c r="AH8862">
        <v>15.7454573778521</v>
      </c>
      <c r="AI8862">
        <v>94.071967897330495</v>
      </c>
      <c r="AJ8862">
        <v>89.557183184891599</v>
      </c>
      <c r="AK8862">
        <v>15.785776561007699</v>
      </c>
      <c r="AL8862">
        <v>96.797814958385402</v>
      </c>
      <c r="AM8862">
        <v>89.514009565225393</v>
      </c>
      <c r="AN8862">
        <v>0.99999999730899702</v>
      </c>
    </row>
    <row r="8863" spans="1:40" x14ac:dyDescent="0.25">
      <c r="A8863" t="str">
        <f>"20190303154351946"</f>
        <v>20190303154351946</v>
      </c>
      <c r="B8863" t="str">
        <f>"1551599031938591"</f>
        <v>1551599031938591</v>
      </c>
      <c r="C8863" t="s">
        <v>40</v>
      </c>
      <c r="D8863">
        <v>5.7387560000000004</v>
      </c>
      <c r="E8863">
        <v>0.49892839999999999</v>
      </c>
      <c r="F8863" t="s">
        <v>57</v>
      </c>
      <c r="G8863">
        <v>-187.61840000000001</v>
      </c>
      <c r="H8863" s="1">
        <v>-3.1342509999999999E-6</v>
      </c>
      <c r="I8863">
        <v>124.8762</v>
      </c>
      <c r="J8863">
        <v>-187.63939999999999</v>
      </c>
      <c r="K8863">
        <v>1.120892</v>
      </c>
      <c r="L8863">
        <v>109.1249</v>
      </c>
      <c r="M8863">
        <v>-5.7203219999999999E-3</v>
      </c>
      <c r="N8863">
        <v>-1.4175159999999999E-2</v>
      </c>
      <c r="O8863">
        <v>0.99988319999999997</v>
      </c>
      <c r="P8863">
        <v>5.1156270000000002E-3</v>
      </c>
      <c r="Q8863">
        <v>-0.13278119999999999</v>
      </c>
      <c r="R8863">
        <v>0.99113220000000002</v>
      </c>
      <c r="S8863">
        <v>3.6163329999999998E-3</v>
      </c>
      <c r="T8863">
        <v>-0.2096103</v>
      </c>
      <c r="U8863">
        <v>2.998672</v>
      </c>
      <c r="V8863">
        <v>1.0784480000000001E-2</v>
      </c>
      <c r="W8863">
        <v>-0.1187192</v>
      </c>
      <c r="X8863">
        <v>0.99286929999999995</v>
      </c>
      <c r="Y8863">
        <v>6.9208639999999997E-3</v>
      </c>
      <c r="Z8863">
        <v>-5.5580619999999997E-2</v>
      </c>
      <c r="AA8863">
        <v>0.99843020000000005</v>
      </c>
      <c r="AB8863">
        <v>28</v>
      </c>
      <c r="AC8863">
        <v>2.0999999999986502E-2</v>
      </c>
      <c r="AD8863">
        <v>-1.1208951342510001</v>
      </c>
      <c r="AE8863">
        <v>15.751300000000001</v>
      </c>
      <c r="AF8863">
        <v>0.110551379160845</v>
      </c>
      <c r="AG8863">
        <v>-1.1208951342510001</v>
      </c>
      <c r="AH8863">
        <v>15.671560823577799</v>
      </c>
      <c r="AI8863">
        <v>94.090963996011197</v>
      </c>
      <c r="AJ8863">
        <v>89.595826959932396</v>
      </c>
      <c r="AK8863">
        <v>15.711984157213299</v>
      </c>
      <c r="AL8863">
        <v>96.818189742222003</v>
      </c>
      <c r="AM8863">
        <v>89.377681544303996</v>
      </c>
      <c r="AN8863">
        <v>1.00000000017</v>
      </c>
    </row>
    <row r="8864" spans="1:40" x14ac:dyDescent="0.25">
      <c r="A8864" t="str">
        <f>"20190303154351967"</f>
        <v>20190303154351967</v>
      </c>
      <c r="B8864" t="str">
        <f>"1551599031959086"</f>
        <v>1551599031959086</v>
      </c>
      <c r="C8864" t="s">
        <v>40</v>
      </c>
      <c r="D8864">
        <v>5.7231170000000002</v>
      </c>
      <c r="E8864">
        <v>0.49854910000000002</v>
      </c>
      <c r="F8864" t="s">
        <v>57</v>
      </c>
      <c r="G8864">
        <v>-187.59970000000001</v>
      </c>
      <c r="H8864" s="1">
        <v>-3.1699700000000002E-6</v>
      </c>
      <c r="I8864">
        <v>125.00369999999999</v>
      </c>
      <c r="J8864">
        <v>-187.64089999999999</v>
      </c>
      <c r="K8864">
        <v>1.120857</v>
      </c>
      <c r="L8864">
        <v>109.399</v>
      </c>
      <c r="M8864">
        <v>-5.6661309999999996E-3</v>
      </c>
      <c r="N8864">
        <v>-1.41564E-2</v>
      </c>
      <c r="O8864">
        <v>0.99988370000000004</v>
      </c>
      <c r="P8864">
        <v>8.322065E-3</v>
      </c>
      <c r="Q8864">
        <v>-0.1323848</v>
      </c>
      <c r="R8864">
        <v>0.99116340000000003</v>
      </c>
      <c r="S8864">
        <v>7.492065E-3</v>
      </c>
      <c r="T8864">
        <v>-0.21166309999999999</v>
      </c>
      <c r="U8864">
        <v>2.998459</v>
      </c>
      <c r="V8864">
        <v>1.392907E-2</v>
      </c>
      <c r="W8864">
        <v>-0.1183423</v>
      </c>
      <c r="X8864">
        <v>0.99287519999999996</v>
      </c>
      <c r="Y8864">
        <v>8.1564189999999998E-3</v>
      </c>
      <c r="Z8864">
        <v>-5.6284029999999999E-2</v>
      </c>
      <c r="AA8864">
        <v>0.99838150000000003</v>
      </c>
      <c r="AB8864">
        <v>27</v>
      </c>
      <c r="AC8864">
        <v>4.1199999999975E-2</v>
      </c>
      <c r="AD8864">
        <v>-1.12086016997</v>
      </c>
      <c r="AE8864">
        <v>15.6046999999999</v>
      </c>
      <c r="AF8864">
        <v>0.12896113092725001</v>
      </c>
      <c r="AG8864">
        <v>-1.12086016997</v>
      </c>
      <c r="AH8864">
        <v>15.5241227075864</v>
      </c>
      <c r="AI8864">
        <v>94.129515571204905</v>
      </c>
      <c r="AJ8864">
        <v>89.524046627115894</v>
      </c>
      <c r="AK8864">
        <v>15.5650680799704</v>
      </c>
      <c r="AL8864">
        <v>96.796441369126597</v>
      </c>
      <c r="AM8864">
        <v>89.196248861606193</v>
      </c>
      <c r="AN8864">
        <v>1.0000000408676899</v>
      </c>
    </row>
    <row r="8865" spans="1:40" x14ac:dyDescent="0.25">
      <c r="A8865" t="str">
        <f>"20190303154351989"</f>
        <v>20190303154351989</v>
      </c>
      <c r="B8865" t="str">
        <f>"1551599031978609"</f>
        <v>1551599031978609</v>
      </c>
      <c r="C8865" t="s">
        <v>40</v>
      </c>
      <c r="D8865">
        <v>5.6831559999999897</v>
      </c>
      <c r="E8865">
        <v>0.49819649999999999</v>
      </c>
      <c r="F8865" t="s">
        <v>57</v>
      </c>
      <c r="G8865">
        <v>-187.56290000000001</v>
      </c>
      <c r="H8865" s="1">
        <v>-3.2600359999999999E-6</v>
      </c>
      <c r="I8865">
        <v>125.3308</v>
      </c>
      <c r="J8865">
        <v>-187.64230000000001</v>
      </c>
      <c r="K8865">
        <v>1.12083</v>
      </c>
      <c r="L8865">
        <v>109.6598</v>
      </c>
      <c r="M8865">
        <v>-5.5862219999999897E-3</v>
      </c>
      <c r="N8865">
        <v>-1.414058E-2</v>
      </c>
      <c r="O8865">
        <v>0.99988440000000001</v>
      </c>
      <c r="P8865">
        <v>1.244259E-2</v>
      </c>
      <c r="Q8865">
        <v>-0.13158599999999901</v>
      </c>
      <c r="R8865">
        <v>0.99122670000000002</v>
      </c>
      <c r="S8865">
        <v>1.467896E-2</v>
      </c>
      <c r="T8865">
        <v>-0.210951</v>
      </c>
      <c r="U8865">
        <v>2.9984280000000001</v>
      </c>
      <c r="V8865">
        <v>1.7963960000000001E-2</v>
      </c>
      <c r="W8865">
        <v>-0.11756</v>
      </c>
      <c r="X8865">
        <v>0.99290330000000004</v>
      </c>
      <c r="Y8865">
        <v>1.0468170000000001E-2</v>
      </c>
      <c r="Z8865">
        <v>-5.6063469999999997E-2</v>
      </c>
      <c r="AA8865">
        <v>0.99837229999999999</v>
      </c>
      <c r="AB8865">
        <v>27</v>
      </c>
      <c r="AC8865">
        <v>7.9399999999992504E-2</v>
      </c>
      <c r="AD8865">
        <v>-1.120833260036</v>
      </c>
      <c r="AE8865">
        <v>15.6709999999999</v>
      </c>
      <c r="AF8865">
        <v>0.16609953909343</v>
      </c>
      <c r="AG8865">
        <v>-1.120833260036</v>
      </c>
      <c r="AH8865">
        <v>15.5905602877554</v>
      </c>
      <c r="AI8865">
        <v>94.111789012785195</v>
      </c>
      <c r="AJ8865">
        <v>89.389602275281703</v>
      </c>
      <c r="AK8865">
        <v>15.6316802148657</v>
      </c>
      <c r="AL8865">
        <v>96.751304001347293</v>
      </c>
      <c r="AM8865">
        <v>88.963497442514694</v>
      </c>
      <c r="AN8865">
        <v>1.0000000103048801</v>
      </c>
    </row>
    <row r="8866" spans="1:40" x14ac:dyDescent="0.25">
      <c r="A8866" t="str">
        <f>"20190303154352011"</f>
        <v>20190303154352011</v>
      </c>
      <c r="B8866" t="str">
        <f>"1551599032008862"</f>
        <v>1551599032008862</v>
      </c>
      <c r="C8866" t="s">
        <v>40</v>
      </c>
      <c r="D8866">
        <v>5.6789759999999996</v>
      </c>
      <c r="E8866">
        <v>0.49751109999999998</v>
      </c>
      <c r="F8866" t="s">
        <v>57</v>
      </c>
      <c r="G8866">
        <v>-187.51050000000001</v>
      </c>
      <c r="H8866" s="1">
        <v>-3.3676810000000001E-6</v>
      </c>
      <c r="I8866">
        <v>125.71720000000001</v>
      </c>
      <c r="J8866">
        <v>-187.6438</v>
      </c>
      <c r="K8866">
        <v>1.120811</v>
      </c>
      <c r="L8866">
        <v>109.9335</v>
      </c>
      <c r="M8866">
        <v>-5.4871349999999998E-3</v>
      </c>
      <c r="N8866">
        <v>-1.4125820000000001E-2</v>
      </c>
      <c r="O8866">
        <v>0.99988509999999997</v>
      </c>
      <c r="P8866">
        <v>1.6922799999999901E-2</v>
      </c>
      <c r="Q8866">
        <v>-0.13013930000000001</v>
      </c>
      <c r="R8866">
        <v>0.99135130000000005</v>
      </c>
      <c r="S8866">
        <v>2.4612430000000001E-2</v>
      </c>
      <c r="T8866">
        <v>-0.20929800000000001</v>
      </c>
      <c r="U8866">
        <v>2.998459</v>
      </c>
      <c r="V8866">
        <v>2.2341E-2</v>
      </c>
      <c r="W8866">
        <v>-0.11612840000000001</v>
      </c>
      <c r="X8866">
        <v>0.9929829</v>
      </c>
      <c r="Y8866">
        <v>1.367469E-2</v>
      </c>
      <c r="Z8866">
        <v>-5.5527640000000003E-2</v>
      </c>
      <c r="AA8866">
        <v>0.99836349999999996</v>
      </c>
      <c r="AB8866">
        <v>27</v>
      </c>
      <c r="AC8866">
        <v>0.13329999999999101</v>
      </c>
      <c r="AD8866">
        <v>-1.1208143676809901</v>
      </c>
      <c r="AE8866">
        <v>15.7837</v>
      </c>
      <c r="AF8866">
        <v>0.21881064987145199</v>
      </c>
      <c r="AG8866">
        <v>-1.1208143676809901</v>
      </c>
      <c r="AH8866">
        <v>15.703550623631999</v>
      </c>
      <c r="AI8866">
        <v>94.082071612429203</v>
      </c>
      <c r="AJ8866">
        <v>89.201701845022299</v>
      </c>
      <c r="AK8866">
        <v>15.7450184228622</v>
      </c>
      <c r="AL8866">
        <v>96.668713819458603</v>
      </c>
      <c r="AM8866">
        <v>88.711126757926905</v>
      </c>
      <c r="AN8866">
        <v>0.99999998262998402</v>
      </c>
    </row>
    <row r="8867" spans="1:40" x14ac:dyDescent="0.25">
      <c r="A8867" t="str">
        <f>"20190303154352034"</f>
        <v>20190303154352034</v>
      </c>
      <c r="B8867" t="str">
        <f>"1551599032029358"</f>
        <v>1551599032029358</v>
      </c>
      <c r="C8867" t="s">
        <v>40</v>
      </c>
      <c r="D8867">
        <v>5.9506170000000003</v>
      </c>
      <c r="E8867">
        <v>0.4977085</v>
      </c>
      <c r="F8867" t="s">
        <v>57</v>
      </c>
      <c r="G8867">
        <v>-187.4639</v>
      </c>
      <c r="H8867" s="1">
        <v>-3.5871520000000001E-6</v>
      </c>
      <c r="I8867">
        <v>126.2779</v>
      </c>
      <c r="J8867">
        <v>-187.64519999999999</v>
      </c>
      <c r="K8867">
        <v>1.120803</v>
      </c>
      <c r="L8867">
        <v>110.2072</v>
      </c>
      <c r="M8867">
        <v>-5.3803459999999899E-3</v>
      </c>
      <c r="N8867">
        <v>-1.4112609999999999E-2</v>
      </c>
      <c r="O8867">
        <v>0.99988589999999999</v>
      </c>
      <c r="P8867">
        <v>2.084973E-2</v>
      </c>
      <c r="Q8867">
        <v>-0.1288425</v>
      </c>
      <c r="R8867">
        <v>0.99144580000000004</v>
      </c>
      <c r="S8867">
        <v>3.2989499999999998E-2</v>
      </c>
      <c r="T8867">
        <v>-0.2056296</v>
      </c>
      <c r="U8867">
        <v>2.9986269999999999</v>
      </c>
      <c r="V8867">
        <v>2.6158839999999999E-2</v>
      </c>
      <c r="W8867">
        <v>-0.1148454</v>
      </c>
      <c r="X8867">
        <v>0.99303889999999995</v>
      </c>
      <c r="Y8867">
        <v>1.6355479999999999E-2</v>
      </c>
      <c r="Z8867">
        <v>-5.4319020000000003E-2</v>
      </c>
      <c r="AA8867">
        <v>0.99838970000000005</v>
      </c>
      <c r="AB8867">
        <v>27</v>
      </c>
      <c r="AC8867">
        <v>0.18129999999999299</v>
      </c>
      <c r="AD8867">
        <v>-1.1208065871520001</v>
      </c>
      <c r="AE8867">
        <v>16.070699999999999</v>
      </c>
      <c r="AF8867">
        <v>0.26647594805941599</v>
      </c>
      <c r="AG8867">
        <v>-1.1208065871520001</v>
      </c>
      <c r="AH8867">
        <v>15.991718293441901</v>
      </c>
      <c r="AI8867">
        <v>94.008560936083299</v>
      </c>
      <c r="AJ8867">
        <v>89.045347474181099</v>
      </c>
      <c r="AK8867">
        <v>16.033161597560898</v>
      </c>
      <c r="AL8867">
        <v>96.594708015436098</v>
      </c>
      <c r="AM8867">
        <v>88.491051461521707</v>
      </c>
      <c r="AN8867">
        <v>1.0000000038622501</v>
      </c>
    </row>
    <row r="8868" spans="1:40" x14ac:dyDescent="0.25">
      <c r="A8868" t="str">
        <f>"20190303154352056"</f>
        <v>20190303154352056</v>
      </c>
      <c r="B8868" t="str">
        <f>"1551599032048879"</f>
        <v>1551599032048879</v>
      </c>
      <c r="C8868" t="s">
        <v>40</v>
      </c>
      <c r="D8868">
        <v>5.756456</v>
      </c>
      <c r="E8868">
        <v>0.53954709999999995</v>
      </c>
      <c r="F8868" t="s">
        <v>57</v>
      </c>
      <c r="G8868">
        <v>-187.38550000000001</v>
      </c>
      <c r="H8868" s="1">
        <v>-3.8712500000000004E-6</v>
      </c>
      <c r="I8868">
        <v>126.9402</v>
      </c>
      <c r="J8868">
        <v>-187.6465</v>
      </c>
      <c r="K8868">
        <v>1.120798</v>
      </c>
      <c r="L8868">
        <v>110.4759</v>
      </c>
      <c r="M8868">
        <v>-5.271754E-3</v>
      </c>
      <c r="N8868">
        <v>-1.4100970000000001E-2</v>
      </c>
      <c r="O8868">
        <v>0.99988670000000002</v>
      </c>
      <c r="P8868">
        <v>2.5744360000000001E-2</v>
      </c>
      <c r="Q8868">
        <v>-0.12800139999999999</v>
      </c>
      <c r="R8868">
        <v>0.99143979999999998</v>
      </c>
      <c r="S8868">
        <v>4.653931E-2</v>
      </c>
      <c r="T8868">
        <v>-0.2008655</v>
      </c>
      <c r="U8868">
        <v>2.9987949999999999</v>
      </c>
      <c r="V8868">
        <v>3.0943849999999998E-2</v>
      </c>
      <c r="W8868">
        <v>-0.11401790000000001</v>
      </c>
      <c r="X8868">
        <v>0.99299669999999896</v>
      </c>
      <c r="Y8868">
        <v>2.0755429999999998E-2</v>
      </c>
      <c r="Z8868">
        <v>-5.274305E-2</v>
      </c>
      <c r="AA8868">
        <v>0.99839239999999996</v>
      </c>
      <c r="AB8868">
        <v>27</v>
      </c>
      <c r="AC8868">
        <v>0.26099999999999501</v>
      </c>
      <c r="AD8868">
        <v>-1.1208018712500001</v>
      </c>
      <c r="AE8868">
        <v>16.464300000000001</v>
      </c>
      <c r="AF8868">
        <v>0.34619681163605698</v>
      </c>
      <c r="AG8868">
        <v>-1.1208018712500001</v>
      </c>
      <c r="AH8868">
        <v>16.386775223425701</v>
      </c>
      <c r="AI8868">
        <v>93.911880040289702</v>
      </c>
      <c r="AJ8868">
        <v>88.789715144703393</v>
      </c>
      <c r="AK8868">
        <v>16.428708144283998</v>
      </c>
      <c r="AL8868">
        <v>96.546982114385202</v>
      </c>
      <c r="AM8868">
        <v>88.215121509639999</v>
      </c>
      <c r="AN8868">
        <v>1.00000002479206</v>
      </c>
    </row>
    <row r="8869" spans="1:40" x14ac:dyDescent="0.25">
      <c r="A8869" t="str">
        <f>"20190303154352078"</f>
        <v>20190303154352078</v>
      </c>
      <c r="B8869" t="str">
        <f>"1551599032069378"</f>
        <v>1551599032069378</v>
      </c>
      <c r="C8869" t="s">
        <v>40</v>
      </c>
      <c r="D8869">
        <v>5.6480620000000004</v>
      </c>
      <c r="E8869">
        <v>0.60824460000000002</v>
      </c>
      <c r="F8869" t="s">
        <v>57</v>
      </c>
      <c r="G8869">
        <v>-185.5179</v>
      </c>
      <c r="H8869" s="1">
        <v>-3.8728210000000004E-6</v>
      </c>
      <c r="I8869">
        <v>126.5938</v>
      </c>
      <c r="J8869">
        <v>-187.64779999999999</v>
      </c>
      <c r="K8869">
        <v>1.120789</v>
      </c>
      <c r="L8869">
        <v>110.749</v>
      </c>
      <c r="M8869">
        <v>-5.1597350000000004E-3</v>
      </c>
      <c r="N8869">
        <v>-1.4090449999999999E-2</v>
      </c>
      <c r="O8869">
        <v>0.99988739999999998</v>
      </c>
      <c r="P8869">
        <v>3.0714999999999999E-2</v>
      </c>
      <c r="Q8869">
        <v>-0.12805559999999999</v>
      </c>
      <c r="R8869">
        <v>0.99129120000000004</v>
      </c>
      <c r="S8869">
        <v>0.39472960000000001</v>
      </c>
      <c r="T8869">
        <v>-0.20783660000000001</v>
      </c>
      <c r="U8869">
        <v>2.9888309999999998</v>
      </c>
      <c r="V8869">
        <v>3.5801970000000002E-2</v>
      </c>
      <c r="W8869">
        <v>-0.1140864</v>
      </c>
      <c r="X8869">
        <v>0.99282550000000003</v>
      </c>
      <c r="Y8869">
        <v>0.13577030000000001</v>
      </c>
      <c r="Z8869">
        <v>-5.4682330000000001E-2</v>
      </c>
      <c r="AA8869">
        <v>0.98923019999999995</v>
      </c>
      <c r="AB8869">
        <v>27</v>
      </c>
      <c r="AC8869">
        <v>2.1298999999999899</v>
      </c>
      <c r="AD8869">
        <v>-1.1207928728209999</v>
      </c>
      <c r="AE8869">
        <v>15.844799999999999</v>
      </c>
      <c r="AF8869">
        <v>2.20081829838829</v>
      </c>
      <c r="AG8869">
        <v>-1.1207928728209999</v>
      </c>
      <c r="AH8869">
        <v>15.756160929122</v>
      </c>
      <c r="AI8869">
        <v>94.0298120510964</v>
      </c>
      <c r="AJ8869">
        <v>82.048380655279203</v>
      </c>
      <c r="AK8869">
        <v>15.9485543254139</v>
      </c>
      <c r="AL8869">
        <v>96.550932944245005</v>
      </c>
      <c r="AM8869">
        <v>87.934769685362298</v>
      </c>
      <c r="AN8869">
        <v>0.99999998058554496</v>
      </c>
    </row>
    <row r="8870" spans="1:40" x14ac:dyDescent="0.25">
      <c r="A8870" t="str">
        <f>"20190303154352100"</f>
        <v>20190303154352100</v>
      </c>
      <c r="B8870" t="str">
        <f>"1551599032088898"</f>
        <v>1551599032088898</v>
      </c>
      <c r="C8870" t="s">
        <v>40</v>
      </c>
      <c r="D8870">
        <v>5.8536630000000001</v>
      </c>
      <c r="E8870">
        <v>0.60235479999999997</v>
      </c>
      <c r="F8870" t="s">
        <v>57</v>
      </c>
      <c r="G8870">
        <v>-181.01580000000001</v>
      </c>
      <c r="H8870" s="1">
        <v>-5.9441380000000002E-6</v>
      </c>
      <c r="I8870">
        <v>131.3467</v>
      </c>
      <c r="J8870">
        <v>-187.6491</v>
      </c>
      <c r="K8870">
        <v>1.1207720000000001</v>
      </c>
      <c r="L8870">
        <v>111.0184</v>
      </c>
      <c r="M8870">
        <v>-5.0518510000000004E-3</v>
      </c>
      <c r="N8870">
        <v>-1.4081099999999999E-2</v>
      </c>
      <c r="O8870">
        <v>0.99988809999999995</v>
      </c>
      <c r="P8870">
        <v>3.590235E-2</v>
      </c>
      <c r="Q8870">
        <v>-0.1288492</v>
      </c>
      <c r="R8870">
        <v>0.99101410000000001</v>
      </c>
      <c r="S8870">
        <v>0.95812989999999998</v>
      </c>
      <c r="T8870">
        <v>-0.1619216</v>
      </c>
      <c r="U8870">
        <v>2.9757539999999998</v>
      </c>
      <c r="V8870">
        <v>4.0881019999999997E-2</v>
      </c>
      <c r="W8870">
        <v>-0.1148945</v>
      </c>
      <c r="X8870">
        <v>0.99253610000000003</v>
      </c>
      <c r="Y8870">
        <v>0.31093159999999997</v>
      </c>
      <c r="Z8870">
        <v>-3.7605609999999998E-2</v>
      </c>
      <c r="AA8870">
        <v>0.94968799999999998</v>
      </c>
      <c r="AB8870">
        <v>27</v>
      </c>
      <c r="AC8870">
        <v>6.6332999999999904</v>
      </c>
      <c r="AD8870">
        <v>-1.1207779441379999</v>
      </c>
      <c r="AE8870">
        <v>20.328299999999999</v>
      </c>
      <c r="AF8870">
        <v>6.7174666583468996</v>
      </c>
      <c r="AG8870">
        <v>-1.1207779441379999</v>
      </c>
      <c r="AH8870">
        <v>20.238925861136401</v>
      </c>
      <c r="AI8870">
        <v>93.008582631991899</v>
      </c>
      <c r="AJ8870">
        <v>71.638568207289694</v>
      </c>
      <c r="AK8870">
        <v>21.3540305684581</v>
      </c>
      <c r="AL8870">
        <v>96.597540295753006</v>
      </c>
      <c r="AM8870">
        <v>87.641409024973896</v>
      </c>
      <c r="AN8870">
        <v>0.99999995686484899</v>
      </c>
    </row>
    <row r="8871" spans="1:40" x14ac:dyDescent="0.25">
      <c r="A8871" t="str">
        <f>"20190303154352122"</f>
        <v>20190303154352122</v>
      </c>
      <c r="B8871" t="str">
        <f>"1551599032119143"</f>
        <v>1551599032119143</v>
      </c>
      <c r="C8871" t="s">
        <v>40</v>
      </c>
      <c r="D8871">
        <v>5.7886519999999999</v>
      </c>
      <c r="E8871">
        <v>0.59986779999999995</v>
      </c>
      <c r="F8871" t="s">
        <v>57</v>
      </c>
      <c r="G8871">
        <v>-183.69460000000001</v>
      </c>
      <c r="H8871" s="1">
        <v>-3.0915649999999999E-6</v>
      </c>
      <c r="I8871">
        <v>123.66500000000001</v>
      </c>
      <c r="J8871">
        <v>-187.65029999999999</v>
      </c>
      <c r="K8871">
        <v>1.1207780000000001</v>
      </c>
      <c r="L8871">
        <v>111.2732</v>
      </c>
      <c r="M8871">
        <v>-4.9618509999999998E-3</v>
      </c>
      <c r="N8871">
        <v>-1.4073169999999999E-2</v>
      </c>
      <c r="O8871">
        <v>0.99988869999999996</v>
      </c>
      <c r="P8871">
        <v>3.9935680000000001E-2</v>
      </c>
      <c r="Q8871">
        <v>-0.12934289999999901</v>
      </c>
      <c r="R8871">
        <v>0.99079539999999999</v>
      </c>
      <c r="S8871">
        <v>0.92543030000000004</v>
      </c>
      <c r="T8871">
        <v>-0.2622855</v>
      </c>
      <c r="U8871">
        <v>2.9595639999999999</v>
      </c>
      <c r="V8871">
        <v>4.4825530000000002E-2</v>
      </c>
      <c r="W8871">
        <v>-0.1153996</v>
      </c>
      <c r="X8871">
        <v>0.99230719999999994</v>
      </c>
      <c r="Y8871">
        <v>0.30223260000000002</v>
      </c>
      <c r="Z8871">
        <v>-7.0177059999999999E-2</v>
      </c>
      <c r="AA8871">
        <v>0.95064749999999998</v>
      </c>
      <c r="AB8871">
        <v>27</v>
      </c>
      <c r="AC8871">
        <v>3.95569999999997</v>
      </c>
      <c r="AD8871">
        <v>-1.1207810915650001</v>
      </c>
      <c r="AE8871">
        <v>12.3918</v>
      </c>
      <c r="AF8871">
        <v>3.98754066999139</v>
      </c>
      <c r="AG8871">
        <v>-1.1207810915650001</v>
      </c>
      <c r="AH8871">
        <v>12.2808464989177</v>
      </c>
      <c r="AI8871">
        <v>94.960926796274194</v>
      </c>
      <c r="AJ8871">
        <v>72.011598205889996</v>
      </c>
      <c r="AK8871">
        <v>12.9605486604551</v>
      </c>
      <c r="AL8871">
        <v>96.626673976974402</v>
      </c>
      <c r="AM8871">
        <v>87.4135339847696</v>
      </c>
      <c r="AN8871">
        <v>0.99999998749589003</v>
      </c>
    </row>
    <row r="8872" spans="1:40" x14ac:dyDescent="0.25">
      <c r="A8872" t="str">
        <f>"20190303154352147"</f>
        <v>20190303154352147</v>
      </c>
      <c r="B8872" t="str">
        <f>"1551599032138664"</f>
        <v>1551599032138664</v>
      </c>
      <c r="C8872" t="s">
        <v>40</v>
      </c>
      <c r="D8872">
        <v>5.7857089999999998</v>
      </c>
      <c r="E8872">
        <v>0.59933449999999999</v>
      </c>
      <c r="F8872" t="s">
        <v>57</v>
      </c>
      <c r="G8872">
        <v>-184.39580000000001</v>
      </c>
      <c r="H8872" s="1">
        <v>-2.106238E-6</v>
      </c>
      <c r="I8872">
        <v>121.74290000000001</v>
      </c>
      <c r="J8872">
        <v>-187.65170000000001</v>
      </c>
      <c r="K8872">
        <v>1.1208009999999999</v>
      </c>
      <c r="L8872">
        <v>111.58450000000001</v>
      </c>
      <c r="M8872">
        <v>-4.8819919999999999E-3</v>
      </c>
      <c r="N8872">
        <v>-1.406434E-2</v>
      </c>
      <c r="O8872">
        <v>0.99988920000000003</v>
      </c>
      <c r="P8872">
        <v>4.2925159999999997E-2</v>
      </c>
      <c r="Q8872">
        <v>-0.1283337</v>
      </c>
      <c r="R8872">
        <v>0.99080159999999995</v>
      </c>
      <c r="S8872">
        <v>0.91690059999999995</v>
      </c>
      <c r="T8872">
        <v>-0.31576409999999899</v>
      </c>
      <c r="U8872">
        <v>2.9496920000000002</v>
      </c>
      <c r="V8872">
        <v>4.7740890000000001E-2</v>
      </c>
      <c r="W8872">
        <v>-0.1143981</v>
      </c>
      <c r="X8872">
        <v>0.99228720000000004</v>
      </c>
      <c r="Y8872">
        <v>0.30011280000000001</v>
      </c>
      <c r="Z8872">
        <v>-8.7607770000000001E-2</v>
      </c>
      <c r="AA8872">
        <v>0.94987220000000006</v>
      </c>
      <c r="AB8872">
        <v>27</v>
      </c>
      <c r="AC8872">
        <v>3.2558999999999898</v>
      </c>
      <c r="AD8872">
        <v>-1.1208031062379999</v>
      </c>
      <c r="AE8872">
        <v>10.1584</v>
      </c>
      <c r="AF8872">
        <v>3.2693679688262001</v>
      </c>
      <c r="AG8872">
        <v>-1.1208031062379999</v>
      </c>
      <c r="AH8872">
        <v>10.0316403308529</v>
      </c>
      <c r="AI8872">
        <v>96.063657990613194</v>
      </c>
      <c r="AJ8872">
        <v>71.948919751819105</v>
      </c>
      <c r="AK8872">
        <v>10.610314521546201</v>
      </c>
      <c r="AL8872">
        <v>96.568909589526598</v>
      </c>
      <c r="AM8872">
        <v>87.245511308073802</v>
      </c>
      <c r="AN8872">
        <v>1.00000000257272</v>
      </c>
    </row>
    <row r="8873" spans="1:40" x14ac:dyDescent="0.25">
      <c r="A8873" t="str">
        <f>"20190303154352169"</f>
        <v>20190303154352169</v>
      </c>
      <c r="B8873" t="str">
        <f>"1551599032159159"</f>
        <v>1551599032159159</v>
      </c>
      <c r="C8873" t="s">
        <v>40</v>
      </c>
      <c r="D8873">
        <v>5.7486550000000003</v>
      </c>
      <c r="E8873">
        <v>0.59898499999999999</v>
      </c>
      <c r="F8873" t="s">
        <v>57</v>
      </c>
      <c r="G8873">
        <v>-184.48390000000001</v>
      </c>
      <c r="H8873" s="1">
        <v>-2.0743089999999998E-6</v>
      </c>
      <c r="I8873">
        <v>121.7141</v>
      </c>
      <c r="J8873">
        <v>-187.65299999999999</v>
      </c>
      <c r="K8873">
        <v>1.1208229999999999</v>
      </c>
      <c r="L8873">
        <v>111.85639999999999</v>
      </c>
      <c r="M8873">
        <v>-4.8381020000000004E-3</v>
      </c>
      <c r="N8873">
        <v>-1.405724E-2</v>
      </c>
      <c r="O8873">
        <v>0.99988949999999999</v>
      </c>
      <c r="P8873">
        <v>4.53801E-2</v>
      </c>
      <c r="Q8873">
        <v>-0.1260693</v>
      </c>
      <c r="R8873">
        <v>0.9909829</v>
      </c>
      <c r="S8873">
        <v>0.92121889999999995</v>
      </c>
      <c r="T8873">
        <v>-0.3259339</v>
      </c>
      <c r="U8873">
        <v>2.9457089999999999</v>
      </c>
      <c r="V8873">
        <v>5.0159040000000002E-2</v>
      </c>
      <c r="W8873">
        <v>-0.1121366</v>
      </c>
      <c r="X8873">
        <v>0.99242600000000003</v>
      </c>
      <c r="Y8873">
        <v>0.30160589999999998</v>
      </c>
      <c r="Z8873">
        <v>-9.0941750000000002E-2</v>
      </c>
      <c r="AA8873">
        <v>0.94908559999999997</v>
      </c>
      <c r="AB8873">
        <v>27</v>
      </c>
      <c r="AC8873">
        <v>3.1690999999999798</v>
      </c>
      <c r="AD8873">
        <v>-1.12082507430899</v>
      </c>
      <c r="AE8873">
        <v>9.8576999999999995</v>
      </c>
      <c r="AF8873">
        <v>3.1795064282147401</v>
      </c>
      <c r="AG8873">
        <v>-1.12082507430899</v>
      </c>
      <c r="AH8873">
        <v>9.7282661950699101</v>
      </c>
      <c r="AI8873">
        <v>96.249704915271707</v>
      </c>
      <c r="AJ8873">
        <v>71.900963614467898</v>
      </c>
      <c r="AK8873">
        <v>10.2958570860515</v>
      </c>
      <c r="AL8873">
        <v>96.438496185733499</v>
      </c>
      <c r="AM8873">
        <v>87.106627663545495</v>
      </c>
      <c r="AN8873">
        <v>0.99999995591463897</v>
      </c>
    </row>
    <row r="8874" spans="1:40" x14ac:dyDescent="0.25">
      <c r="A8874" t="str">
        <f>"20190303154352190"</f>
        <v>20190303154352190</v>
      </c>
      <c r="B8874" t="str">
        <f>"1551599032178679"</f>
        <v>1551599032178679</v>
      </c>
      <c r="C8874" t="s">
        <v>40</v>
      </c>
      <c r="D8874">
        <v>5.756316</v>
      </c>
      <c r="E8874">
        <v>0.59845890000000002</v>
      </c>
      <c r="F8874" t="s">
        <v>57</v>
      </c>
      <c r="G8874">
        <v>-184.483</v>
      </c>
      <c r="H8874" s="1">
        <v>-2.1405099999999999E-6</v>
      </c>
      <c r="I8874">
        <v>121.938</v>
      </c>
      <c r="J8874">
        <v>-187.6541</v>
      </c>
      <c r="K8874">
        <v>1.1208389999999999</v>
      </c>
      <c r="L8874">
        <v>112.1035</v>
      </c>
      <c r="M8874">
        <v>-4.8156509999999998E-3</v>
      </c>
      <c r="N8874">
        <v>-1.4051320000000001E-2</v>
      </c>
      <c r="O8874">
        <v>0.99988969999999999</v>
      </c>
      <c r="P8874">
        <v>4.7898419999999997E-2</v>
      </c>
      <c r="Q8874">
        <v>-0.1248605</v>
      </c>
      <c r="R8874">
        <v>0.9910175</v>
      </c>
      <c r="S8874">
        <v>0.92546079999999997</v>
      </c>
      <c r="T8874">
        <v>-0.32722119999999999</v>
      </c>
      <c r="U8874">
        <v>2.943298</v>
      </c>
      <c r="V8874">
        <v>5.2660029999999997E-2</v>
      </c>
      <c r="W8874">
        <v>-0.11093160000000001</v>
      </c>
      <c r="X8874">
        <v>0.99243190000000003</v>
      </c>
      <c r="Y8874">
        <v>0.30303649999999999</v>
      </c>
      <c r="Z8874">
        <v>-9.1392950000000001E-2</v>
      </c>
      <c r="AA8874">
        <v>0.9485865</v>
      </c>
      <c r="AB8874">
        <v>27</v>
      </c>
      <c r="AC8874">
        <v>3.1710999999999898</v>
      </c>
      <c r="AD8874">
        <v>-1.1208411405099901</v>
      </c>
      <c r="AE8874">
        <v>9.8344999999999896</v>
      </c>
      <c r="AF8874">
        <v>3.18100005044252</v>
      </c>
      <c r="AG8874">
        <v>-1.1208411405099901</v>
      </c>
      <c r="AH8874">
        <v>9.7049262156803202</v>
      </c>
      <c r="AI8874">
        <v>96.262978238869707</v>
      </c>
      <c r="AJ8874">
        <v>71.852320991063905</v>
      </c>
      <c r="AK8874">
        <v>10.274270730079699</v>
      </c>
      <c r="AL8874">
        <v>96.369021081459607</v>
      </c>
      <c r="AM8874">
        <v>86.962642405955506</v>
      </c>
      <c r="AN8874">
        <v>0.99999998738788498</v>
      </c>
    </row>
    <row r="8875" spans="1:40" x14ac:dyDescent="0.25">
      <c r="A8875" t="str">
        <f>"20190303154352211"</f>
        <v>20190303154352211</v>
      </c>
      <c r="B8875" t="str">
        <f>"1551599032208936"</f>
        <v>1551599032208936</v>
      </c>
      <c r="C8875" t="s">
        <v>40</v>
      </c>
      <c r="D8875">
        <v>5.7132209999999999</v>
      </c>
      <c r="E8875">
        <v>0.59861549999999997</v>
      </c>
      <c r="F8875" t="s">
        <v>57</v>
      </c>
      <c r="G8875">
        <v>-184.4992</v>
      </c>
      <c r="H8875" s="1">
        <v>-2.1830530000000001E-6</v>
      </c>
      <c r="I8875">
        <v>122.0971</v>
      </c>
      <c r="J8875">
        <v>-187.65539999999999</v>
      </c>
      <c r="K8875">
        <v>1.12083</v>
      </c>
      <c r="L8875">
        <v>112.3694</v>
      </c>
      <c r="M8875">
        <v>-4.7986920000000002E-3</v>
      </c>
      <c r="N8875">
        <v>-1.4045459999999999E-2</v>
      </c>
      <c r="O8875">
        <v>0.9998899</v>
      </c>
      <c r="P8875">
        <v>5.1351399999999998E-2</v>
      </c>
      <c r="Q8875">
        <v>-0.12653059999999999</v>
      </c>
      <c r="R8875">
        <v>0.99063270000000003</v>
      </c>
      <c r="S8875">
        <v>0.92839050000000001</v>
      </c>
      <c r="T8875">
        <v>-0.32982470000000003</v>
      </c>
      <c r="U8875">
        <v>2.9407809999999999</v>
      </c>
      <c r="V8875">
        <v>5.6097019999999997E-2</v>
      </c>
      <c r="W8875">
        <v>-0.1126117</v>
      </c>
      <c r="X8875">
        <v>0.99205429999999994</v>
      </c>
      <c r="Y8875">
        <v>0.30408469999999999</v>
      </c>
      <c r="Z8875">
        <v>-9.2280920000000002E-2</v>
      </c>
      <c r="AA8875">
        <v>0.94816489999999998</v>
      </c>
      <c r="AB8875">
        <v>27</v>
      </c>
      <c r="AC8875">
        <v>3.1561999999999801</v>
      </c>
      <c r="AD8875">
        <v>-1.1208321830529999</v>
      </c>
      <c r="AE8875">
        <v>9.7277000000000005</v>
      </c>
      <c r="AF8875">
        <v>3.1648345339334498</v>
      </c>
      <c r="AG8875">
        <v>-1.1208321830529999</v>
      </c>
      <c r="AH8875">
        <v>9.5971658641370095</v>
      </c>
      <c r="AI8875">
        <v>96.328964152034402</v>
      </c>
      <c r="AJ8875">
        <v>71.749117799249802</v>
      </c>
      <c r="AK8875">
        <v>10.1674989566511</v>
      </c>
      <c r="AL8875">
        <v>96.465890629555403</v>
      </c>
      <c r="AM8875">
        <v>86.763581043651399</v>
      </c>
      <c r="AN8875">
        <v>1.00000000238913</v>
      </c>
    </row>
    <row r="8876" spans="1:40" x14ac:dyDescent="0.25">
      <c r="A8876" t="str">
        <f>"20190303154352234"</f>
        <v>20190303154352234</v>
      </c>
      <c r="B8876" t="str">
        <f>"1551599032229431"</f>
        <v>1551599032229431</v>
      </c>
      <c r="C8876" t="s">
        <v>40</v>
      </c>
      <c r="D8876">
        <v>5.6761759999999999</v>
      </c>
      <c r="E8876">
        <v>0.59891870000000003</v>
      </c>
      <c r="F8876" t="s">
        <v>57</v>
      </c>
      <c r="G8876">
        <v>-184.52629999999999</v>
      </c>
      <c r="H8876" s="1">
        <v>-2.1903870000000001E-6</v>
      </c>
      <c r="I8876">
        <v>122.1465</v>
      </c>
      <c r="J8876">
        <v>-187.6566</v>
      </c>
      <c r="K8876">
        <v>1.1207940000000001</v>
      </c>
      <c r="L8876">
        <v>112.63890000000001</v>
      </c>
      <c r="M8876">
        <v>-4.7656440000000003E-3</v>
      </c>
      <c r="N8876">
        <v>-1.4039909999999999E-2</v>
      </c>
      <c r="O8876">
        <v>0.9998901</v>
      </c>
      <c r="P8876">
        <v>5.5158659999999998E-2</v>
      </c>
      <c r="Q8876">
        <v>-0.12911329999999999</v>
      </c>
      <c r="R8876">
        <v>0.99009460000000005</v>
      </c>
      <c r="S8876">
        <v>0.93984990000000002</v>
      </c>
      <c r="T8876">
        <v>-0.33665260000000002</v>
      </c>
      <c r="U8876">
        <v>2.9366460000000001</v>
      </c>
      <c r="V8876">
        <v>5.9866929999999999E-2</v>
      </c>
      <c r="W8876">
        <v>-0.1152088</v>
      </c>
      <c r="X8876">
        <v>0.99153559999999996</v>
      </c>
      <c r="Y8876">
        <v>0.30772339999999998</v>
      </c>
      <c r="Z8876">
        <v>-9.4479770000000005E-2</v>
      </c>
      <c r="AA8876">
        <v>0.94677339999999999</v>
      </c>
      <c r="AB8876">
        <v>27</v>
      </c>
      <c r="AC8876">
        <v>3.1303000000000001</v>
      </c>
      <c r="AD8876">
        <v>-1.1207961903870001</v>
      </c>
      <c r="AE8876">
        <v>9.5075999999999894</v>
      </c>
      <c r="AF8876">
        <v>3.1362575621946802</v>
      </c>
      <c r="AG8876">
        <v>-1.1207961903870001</v>
      </c>
      <c r="AH8876">
        <v>9.3750321148289704</v>
      </c>
      <c r="AI8876">
        <v>96.468308482770297</v>
      </c>
      <c r="AJ8876">
        <v>71.503211513478007</v>
      </c>
      <c r="AK8876">
        <v>9.9490463236877105</v>
      </c>
      <c r="AL8876">
        <v>96.615668578254201</v>
      </c>
      <c r="AM8876">
        <v>86.544790381753003</v>
      </c>
      <c r="AN8876">
        <v>0.99999998148621205</v>
      </c>
    </row>
    <row r="8877" spans="1:40" x14ac:dyDescent="0.25">
      <c r="A8877" t="str">
        <f>"20190303154352257"</f>
        <v>20190303154352257</v>
      </c>
      <c r="B8877" t="str">
        <f>"1551599032248950"</f>
        <v>1551599032248950</v>
      </c>
      <c r="C8877" t="s">
        <v>40</v>
      </c>
      <c r="D8877">
        <v>5.6933600000000002</v>
      </c>
      <c r="E8877">
        <v>0.59880159999999905</v>
      </c>
      <c r="F8877" t="s">
        <v>57</v>
      </c>
      <c r="G8877">
        <v>-184.5591</v>
      </c>
      <c r="H8877" s="1">
        <v>-2.1860759999999999E-6</v>
      </c>
      <c r="I8877">
        <v>122.1614</v>
      </c>
      <c r="J8877">
        <v>-187.65790000000001</v>
      </c>
      <c r="K8877">
        <v>1.120746</v>
      </c>
      <c r="L8877">
        <v>112.9151</v>
      </c>
      <c r="M8877">
        <v>-4.6814739999999997E-3</v>
      </c>
      <c r="N8877">
        <v>-1.4034690000000001E-2</v>
      </c>
      <c r="O8877">
        <v>0.99989059999999996</v>
      </c>
      <c r="P8877">
        <v>5.9386870000000001E-2</v>
      </c>
      <c r="Q8877">
        <v>-0.1299015</v>
      </c>
      <c r="R8877">
        <v>0.98974680000000004</v>
      </c>
      <c r="S8877">
        <v>0.95372009999999996</v>
      </c>
      <c r="T8877">
        <v>-0.34508169999999999</v>
      </c>
      <c r="U8877">
        <v>2.9319000000000002</v>
      </c>
      <c r="V8877">
        <v>6.4001119999999995E-2</v>
      </c>
      <c r="W8877">
        <v>-0.1160125</v>
      </c>
      <c r="X8877">
        <v>0.99118360000000005</v>
      </c>
      <c r="Y8877">
        <v>0.31205070000000001</v>
      </c>
      <c r="Z8877">
        <v>-9.7180840000000004E-2</v>
      </c>
      <c r="AA8877">
        <v>0.94508210000000004</v>
      </c>
      <c r="AB8877">
        <v>27</v>
      </c>
      <c r="AC8877">
        <v>3.09880000000001</v>
      </c>
      <c r="AD8877">
        <v>-1.120748186076</v>
      </c>
      <c r="AE8877">
        <v>9.2462999999999997</v>
      </c>
      <c r="AF8877">
        <v>3.1010960212597198</v>
      </c>
      <c r="AG8877">
        <v>-1.120748186076</v>
      </c>
      <c r="AH8877">
        <v>9.1113437904808503</v>
      </c>
      <c r="AI8877">
        <v>96.641946831700395</v>
      </c>
      <c r="AJ8877">
        <v>71.203710453352002</v>
      </c>
      <c r="AK8877">
        <v>9.6896573054984394</v>
      </c>
      <c r="AL8877">
        <v>96.662028025279</v>
      </c>
      <c r="AM8877">
        <v>86.305517503868302</v>
      </c>
      <c r="AN8877">
        <v>0.99999998621323205</v>
      </c>
    </row>
    <row r="8878" spans="1:40" x14ac:dyDescent="0.25">
      <c r="A8878" t="str">
        <f>"20190303154352279"</f>
        <v>20190303154352279</v>
      </c>
      <c r="B8878" t="str">
        <f>"1551599032269455"</f>
        <v>1551599032269455</v>
      </c>
      <c r="C8878" t="s">
        <v>40</v>
      </c>
      <c r="D8878">
        <v>5.686083</v>
      </c>
      <c r="E8878">
        <v>0.59880429999999996</v>
      </c>
      <c r="F8878" t="s">
        <v>57</v>
      </c>
      <c r="G8878">
        <v>-184.57069999999999</v>
      </c>
      <c r="H8878" s="1">
        <v>-2.2172379999999999E-6</v>
      </c>
      <c r="I8878">
        <v>122.2778</v>
      </c>
      <c r="J8878">
        <v>-187.65889999999999</v>
      </c>
      <c r="K8878">
        <v>1.120698</v>
      </c>
      <c r="L8878">
        <v>113.1752</v>
      </c>
      <c r="M8878">
        <v>-4.5337820000000001E-3</v>
      </c>
      <c r="N8878">
        <v>-1.403017E-2</v>
      </c>
      <c r="O8878">
        <v>0.99989130000000004</v>
      </c>
      <c r="P8878">
        <v>6.3462480000000002E-2</v>
      </c>
      <c r="Q8878">
        <v>-0.1295422</v>
      </c>
      <c r="R8878">
        <v>0.989541</v>
      </c>
      <c r="S8878">
        <v>0.96517940000000002</v>
      </c>
      <c r="T8878">
        <v>-0.35039520000000002</v>
      </c>
      <c r="U8878">
        <v>2.9271850000000001</v>
      </c>
      <c r="V8878">
        <v>6.7915530000000002E-2</v>
      </c>
      <c r="W8878">
        <v>-0.1156697</v>
      </c>
      <c r="X8878">
        <v>0.99096320000000004</v>
      </c>
      <c r="Y8878">
        <v>0.31563629999999998</v>
      </c>
      <c r="Z8878">
        <v>-9.891279E-2</v>
      </c>
      <c r="AA8878">
        <v>0.94371070000000001</v>
      </c>
      <c r="AB8878">
        <v>27</v>
      </c>
      <c r="AC8878">
        <v>3.0882000000000001</v>
      </c>
      <c r="AD8878">
        <v>-1.1207002172380001</v>
      </c>
      <c r="AE8878">
        <v>9.10259999999999</v>
      </c>
      <c r="AF8878">
        <v>3.0874717402496898</v>
      </c>
      <c r="AG8878">
        <v>-1.1207002172380001</v>
      </c>
      <c r="AH8878">
        <v>8.9666154601039292</v>
      </c>
      <c r="AI8878">
        <v>96.739749096899303</v>
      </c>
      <c r="AJ8878">
        <v>70.999894661990695</v>
      </c>
      <c r="AK8878">
        <v>9.5492745029731196</v>
      </c>
      <c r="AL8878">
        <v>96.6422536071601</v>
      </c>
      <c r="AM8878">
        <v>86.079372198680403</v>
      </c>
      <c r="AN8878">
        <v>1.00000003123375</v>
      </c>
    </row>
    <row r="8879" spans="1:40" x14ac:dyDescent="0.25">
      <c r="A8879" t="str">
        <f>"20190303154352302"</f>
        <v>20190303154352302</v>
      </c>
      <c r="B8879" t="str">
        <f>"1551599032298727"</f>
        <v>1551599032298727</v>
      </c>
      <c r="C8879" t="s">
        <v>40</v>
      </c>
      <c r="D8879">
        <v>5.7240729999999997</v>
      </c>
      <c r="E8879">
        <v>0.59860959999999996</v>
      </c>
      <c r="F8879" t="s">
        <v>57</v>
      </c>
      <c r="G8879">
        <v>-184.5333</v>
      </c>
      <c r="H8879" s="1">
        <v>-2.3509589999999999E-6</v>
      </c>
      <c r="I8879">
        <v>122.527</v>
      </c>
      <c r="J8879">
        <v>-187.65989999999999</v>
      </c>
      <c r="K8879">
        <v>1.12063</v>
      </c>
      <c r="L8879">
        <v>113.453</v>
      </c>
      <c r="M8879">
        <v>-4.2994060000000004E-3</v>
      </c>
      <c r="N8879">
        <v>-1.402575E-2</v>
      </c>
      <c r="O8879">
        <v>0.99989240000000001</v>
      </c>
      <c r="P8879">
        <v>6.8384829999999994E-2</v>
      </c>
      <c r="Q8879">
        <v>-0.12960769999999999</v>
      </c>
      <c r="R8879">
        <v>0.98920439999999998</v>
      </c>
      <c r="S8879">
        <v>0.97700500000000001</v>
      </c>
      <c r="T8879">
        <v>-0.35030600000000001</v>
      </c>
      <c r="U8879">
        <v>2.923187</v>
      </c>
      <c r="V8879">
        <v>7.2587589999999994E-2</v>
      </c>
      <c r="W8879">
        <v>-0.1157562</v>
      </c>
      <c r="X8879">
        <v>0.9906218</v>
      </c>
      <c r="Y8879">
        <v>0.31923119999999999</v>
      </c>
      <c r="Z8879">
        <v>-9.8895200000000003E-2</v>
      </c>
      <c r="AA8879">
        <v>0.94250259999999997</v>
      </c>
      <c r="AB8879">
        <v>27</v>
      </c>
      <c r="AC8879">
        <v>3.1265999999999901</v>
      </c>
      <c r="AD8879">
        <v>-1.1206323509589999</v>
      </c>
      <c r="AE8879">
        <v>9.0740000000000105</v>
      </c>
      <c r="AF8879">
        <v>3.12301042351194</v>
      </c>
      <c r="AG8879">
        <v>-1.1206323509589999</v>
      </c>
      <c r="AH8879">
        <v>8.9386084458450092</v>
      </c>
      <c r="AI8879">
        <v>96.749791924437403</v>
      </c>
      <c r="AJ8879">
        <v>70.741381460117495</v>
      </c>
      <c r="AK8879">
        <v>9.5345546261748293</v>
      </c>
      <c r="AL8879">
        <v>96.6472433948054</v>
      </c>
      <c r="AM8879">
        <v>85.809154396030706</v>
      </c>
      <c r="AN8879">
        <v>1.00000000334784</v>
      </c>
    </row>
    <row r="8880" spans="1:40" x14ac:dyDescent="0.25">
      <c r="A8880" t="str">
        <f>"20190303154352325"</f>
        <v>20190303154352325</v>
      </c>
      <c r="B8880" t="str">
        <f>"1551599032319223"</f>
        <v>1551599032319223</v>
      </c>
      <c r="C8880" t="s">
        <v>40</v>
      </c>
      <c r="D8880">
        <v>5.7103729999999997</v>
      </c>
      <c r="E8880">
        <v>0.59853069999999997</v>
      </c>
      <c r="F8880" t="s">
        <v>57</v>
      </c>
      <c r="G8880">
        <v>-184.53540000000001</v>
      </c>
      <c r="H8880" s="1">
        <v>-2.4247900000000002E-6</v>
      </c>
      <c r="I8880">
        <v>122.6622</v>
      </c>
      <c r="J8880">
        <v>-187.66079999999999</v>
      </c>
      <c r="K8880">
        <v>1.1205480000000001</v>
      </c>
      <c r="L8880">
        <v>113.726</v>
      </c>
      <c r="M8880">
        <v>-3.969078E-3</v>
      </c>
      <c r="N8880">
        <v>-1.40217E-2</v>
      </c>
      <c r="O8880">
        <v>0.99989380000000005</v>
      </c>
      <c r="P8880">
        <v>7.3703199999999996E-2</v>
      </c>
      <c r="Q8880">
        <v>-0.13224369999999999</v>
      </c>
      <c r="R8880">
        <v>0.9884733</v>
      </c>
      <c r="S8880">
        <v>0.9899597</v>
      </c>
      <c r="T8880">
        <v>-0.35505140000000002</v>
      </c>
      <c r="U8880">
        <v>2.917786</v>
      </c>
      <c r="V8880">
        <v>7.7556509999999995E-2</v>
      </c>
      <c r="W8880">
        <v>-0.1184207</v>
      </c>
      <c r="X8880">
        <v>0.98993010000000004</v>
      </c>
      <c r="Y8880">
        <v>0.3231405</v>
      </c>
      <c r="Z8880">
        <v>-0.1004526</v>
      </c>
      <c r="AA8880">
        <v>0.94100450000000002</v>
      </c>
      <c r="AB8880">
        <v>27</v>
      </c>
      <c r="AC8880">
        <v>3.12539999999998</v>
      </c>
      <c r="AD8880">
        <v>-1.12055042478999</v>
      </c>
      <c r="AE8880">
        <v>8.9361999999999995</v>
      </c>
      <c r="AF8880">
        <v>3.1171755747669301</v>
      </c>
      <c r="AG8880">
        <v>-1.12055042478999</v>
      </c>
      <c r="AH8880">
        <v>8.80042902961012</v>
      </c>
      <c r="AI8880">
        <v>96.844033746073293</v>
      </c>
      <c r="AJ8880">
        <v>70.495486527398299</v>
      </c>
      <c r="AK8880">
        <v>9.4031892421467997</v>
      </c>
      <c r="AL8880">
        <v>96.800965183659699</v>
      </c>
      <c r="AM8880">
        <v>85.520287450590303</v>
      </c>
      <c r="AN8880">
        <v>1.0000000386589301</v>
      </c>
    </row>
    <row r="8881" spans="1:40" x14ac:dyDescent="0.25">
      <c r="A8881" t="str">
        <f>"20190303154352348"</f>
        <v>20190303154352348</v>
      </c>
      <c r="B8881" t="str">
        <f>"1551599032338743"</f>
        <v>1551599032338743</v>
      </c>
      <c r="C8881" t="s">
        <v>40</v>
      </c>
      <c r="D8881">
        <v>5.7305630000000001</v>
      </c>
      <c r="E8881">
        <v>0.59839790000000004</v>
      </c>
      <c r="F8881" t="s">
        <v>57</v>
      </c>
      <c r="G8881">
        <v>-184.5761</v>
      </c>
      <c r="H8881" s="1">
        <v>-2.4185199999999999E-6</v>
      </c>
      <c r="I8881">
        <v>122.6611</v>
      </c>
      <c r="J8881">
        <v>-187.66139999999999</v>
      </c>
      <c r="K8881">
        <v>1.1204499999999999</v>
      </c>
      <c r="L8881">
        <v>114.0052</v>
      </c>
      <c r="M8881">
        <v>-3.4988850000000002E-3</v>
      </c>
      <c r="N8881">
        <v>-1.40179E-2</v>
      </c>
      <c r="O8881">
        <v>0.9998956</v>
      </c>
      <c r="P8881">
        <v>7.8809270000000001E-2</v>
      </c>
      <c r="Q8881">
        <v>-0.1351166</v>
      </c>
      <c r="R8881">
        <v>0.98769050000000003</v>
      </c>
      <c r="S8881">
        <v>1.0050349999999999</v>
      </c>
      <c r="T8881">
        <v>-0.3650911</v>
      </c>
      <c r="U8881">
        <v>2.9112089999999999</v>
      </c>
      <c r="V8881">
        <v>8.2170080000000006E-2</v>
      </c>
      <c r="W8881">
        <v>-0.1213263</v>
      </c>
      <c r="X8881">
        <v>0.98920580000000002</v>
      </c>
      <c r="Y8881">
        <v>0.32757890000000001</v>
      </c>
      <c r="Z8881">
        <v>-0.1037122</v>
      </c>
      <c r="AA8881">
        <v>0.93911440000000002</v>
      </c>
      <c r="AB8881">
        <v>27</v>
      </c>
      <c r="AC8881">
        <v>3.0852999999999802</v>
      </c>
      <c r="AD8881">
        <v>-1.12045241852</v>
      </c>
      <c r="AE8881">
        <v>8.6559000000000008</v>
      </c>
      <c r="AF8881">
        <v>3.0699298242265298</v>
      </c>
      <c r="AG8881">
        <v>-1.12045241852</v>
      </c>
      <c r="AH8881">
        <v>8.5184087199057199</v>
      </c>
      <c r="AI8881">
        <v>97.054064925827603</v>
      </c>
      <c r="AJ8881">
        <v>70.181460501444505</v>
      </c>
      <c r="AK8881">
        <v>9.1237694987986604</v>
      </c>
      <c r="AL8881">
        <v>96.968652916947406</v>
      </c>
      <c r="AM8881">
        <v>85.251529181604198</v>
      </c>
      <c r="AN8881">
        <v>1.0000000539362599</v>
      </c>
    </row>
    <row r="8882" spans="1:40" x14ac:dyDescent="0.25">
      <c r="A8882" t="str">
        <f>"20190303154352371"</f>
        <v>20190303154352371</v>
      </c>
      <c r="B8882" t="str">
        <f>"1551599032359241"</f>
        <v>1551599032359241</v>
      </c>
      <c r="C8882" t="s">
        <v>40</v>
      </c>
      <c r="D8882">
        <v>5.7338879999999897</v>
      </c>
      <c r="E8882">
        <v>0.59831299999999998</v>
      </c>
      <c r="F8882" t="s">
        <v>57</v>
      </c>
      <c r="G8882">
        <v>-184.63140000000001</v>
      </c>
      <c r="H8882" s="1">
        <v>-2.4001379999999999E-6</v>
      </c>
      <c r="I8882">
        <v>122.6417</v>
      </c>
      <c r="J8882">
        <v>-187.6617</v>
      </c>
      <c r="K8882">
        <v>1.120336</v>
      </c>
      <c r="L8882">
        <v>114.27889999999999</v>
      </c>
      <c r="M8882">
        <v>-2.8834020000000002E-3</v>
      </c>
      <c r="N8882">
        <v>-1.4014749999999999E-2</v>
      </c>
      <c r="O8882">
        <v>0.9998977</v>
      </c>
      <c r="P8882">
        <v>8.3229990000000004E-2</v>
      </c>
      <c r="Q8882">
        <v>-0.137575799999999</v>
      </c>
      <c r="R8882">
        <v>0.98698819999999998</v>
      </c>
      <c r="S8882">
        <v>1.019012</v>
      </c>
      <c r="T8882">
        <v>-0.37682100000000002</v>
      </c>
      <c r="U8882">
        <v>2.904541</v>
      </c>
      <c r="V8882">
        <v>8.5949230000000001E-2</v>
      </c>
      <c r="W8882">
        <v>-0.1238214</v>
      </c>
      <c r="X8882">
        <v>0.98857519999999999</v>
      </c>
      <c r="Y8882">
        <v>0.33154280000000003</v>
      </c>
      <c r="Z8882">
        <v>-0.10752630000000001</v>
      </c>
      <c r="AA8882">
        <v>0.93729260000000003</v>
      </c>
      <c r="AB8882">
        <v>27</v>
      </c>
      <c r="AC8882">
        <v>3.03029999999998</v>
      </c>
      <c r="AD8882">
        <v>-1.1203384001379999</v>
      </c>
      <c r="AE8882">
        <v>8.3628</v>
      </c>
      <c r="AF8882">
        <v>3.0067042666374602</v>
      </c>
      <c r="AG8882">
        <v>-1.1203384001379999</v>
      </c>
      <c r="AH8882">
        <v>8.22356687940405</v>
      </c>
      <c r="AI8882">
        <v>97.291440506647504</v>
      </c>
      <c r="AJ8882">
        <v>69.916553946778293</v>
      </c>
      <c r="AK8882">
        <v>8.8273711204339307</v>
      </c>
      <c r="AL8882">
        <v>97.112698450666002</v>
      </c>
      <c r="AM8882">
        <v>85.0310548656972</v>
      </c>
      <c r="AN8882">
        <v>0.99999996764529597</v>
      </c>
    </row>
    <row r="8883" spans="1:40" x14ac:dyDescent="0.25">
      <c r="A8883" t="str">
        <f>"20190303154352391"</f>
        <v>20190303154352391</v>
      </c>
      <c r="B8883" t="str">
        <f>"1551599032378761"</f>
        <v>1551599032378761</v>
      </c>
      <c r="C8883" t="s">
        <v>40</v>
      </c>
      <c r="D8883">
        <v>5.7534159999999996</v>
      </c>
      <c r="E8883">
        <v>0.59818490000000002</v>
      </c>
      <c r="F8883" t="s">
        <v>57</v>
      </c>
      <c r="G8883">
        <v>-184.66309999999999</v>
      </c>
      <c r="H8883" s="1">
        <v>-2.4324120000000001E-6</v>
      </c>
      <c r="I8883">
        <v>122.7086</v>
      </c>
      <c r="J8883">
        <v>-187.6617</v>
      </c>
      <c r="K8883">
        <v>1.12022</v>
      </c>
      <c r="L8883">
        <v>114.5209</v>
      </c>
      <c r="M8883">
        <v>-2.1892169999999998E-3</v>
      </c>
      <c r="N8883">
        <v>-1.401257E-2</v>
      </c>
      <c r="O8883">
        <v>0.99989939999999999</v>
      </c>
      <c r="P8883">
        <v>8.8646699999999995E-2</v>
      </c>
      <c r="Q8883">
        <v>-0.13899339999999999</v>
      </c>
      <c r="R8883">
        <v>0.98631769999999996</v>
      </c>
      <c r="S8883">
        <v>1.0311889999999999</v>
      </c>
      <c r="T8883">
        <v>-0.38527539999999999</v>
      </c>
      <c r="U8883">
        <v>2.898895</v>
      </c>
      <c r="V8883">
        <v>9.0644550000000004E-2</v>
      </c>
      <c r="W8883">
        <v>-0.12527859999999999</v>
      </c>
      <c r="X8883">
        <v>0.98797210000000002</v>
      </c>
      <c r="Y8883">
        <v>0.3348448</v>
      </c>
      <c r="Z8883">
        <v>-0.1102828</v>
      </c>
      <c r="AA8883">
        <v>0.93579730000000005</v>
      </c>
      <c r="AB8883">
        <v>27</v>
      </c>
      <c r="AC8883">
        <v>2.9986000000000099</v>
      </c>
      <c r="AD8883">
        <v>-1.120222432412</v>
      </c>
      <c r="AE8883">
        <v>8.1876999999999995</v>
      </c>
      <c r="AF8883">
        <v>2.9675391103025799</v>
      </c>
      <c r="AG8883">
        <v>-1.120222432412</v>
      </c>
      <c r="AH8883">
        <v>8.04827595785477</v>
      </c>
      <c r="AI8883">
        <v>97.440345427528797</v>
      </c>
      <c r="AJ8883">
        <v>69.760193530187294</v>
      </c>
      <c r="AK8883">
        <v>8.6507764138855006</v>
      </c>
      <c r="AL8883">
        <v>97.196844741648405</v>
      </c>
      <c r="AM8883">
        <v>84.757897809242095</v>
      </c>
      <c r="AN8883">
        <v>1.00000001622053</v>
      </c>
    </row>
    <row r="8884" spans="1:40" x14ac:dyDescent="0.25">
      <c r="A8884" t="str">
        <f>"20190303154352413"</f>
        <v>20190303154352413</v>
      </c>
      <c r="B8884" t="str">
        <f>"1551599032409015"</f>
        <v>1551599032409015</v>
      </c>
      <c r="C8884" t="s">
        <v>40</v>
      </c>
      <c r="D8884">
        <v>5.8505969999999996</v>
      </c>
      <c r="E8884">
        <v>0.59797469999999997</v>
      </c>
      <c r="F8884" t="s">
        <v>57</v>
      </c>
      <c r="G8884">
        <v>-184.64340000000001</v>
      </c>
      <c r="H8884" s="1">
        <v>-2.5228280000000001E-6</v>
      </c>
      <c r="I8884">
        <v>122.8685</v>
      </c>
      <c r="J8884">
        <v>-187.66139999999999</v>
      </c>
      <c r="K8884">
        <v>1.1200760000000001</v>
      </c>
      <c r="L8884">
        <v>114.7811</v>
      </c>
      <c r="M8884">
        <v>-1.2751850000000001E-3</v>
      </c>
      <c r="N8884">
        <v>-1.4010959999999999E-2</v>
      </c>
      <c r="O8884">
        <v>0.99990109999999999</v>
      </c>
      <c r="P8884">
        <v>9.4254690000000002E-2</v>
      </c>
      <c r="Q8884">
        <v>-0.1394225</v>
      </c>
      <c r="R8884">
        <v>0.98573699999999997</v>
      </c>
      <c r="S8884">
        <v>1.0460050000000001</v>
      </c>
      <c r="T8884">
        <v>-0.3882176</v>
      </c>
      <c r="U8884">
        <v>2.8929140000000002</v>
      </c>
      <c r="V8884">
        <v>9.5307719999999999E-2</v>
      </c>
      <c r="W8884">
        <v>-0.12575430000000001</v>
      </c>
      <c r="X8884">
        <v>0.98747269999999998</v>
      </c>
      <c r="Y8884">
        <v>0.33879419999999999</v>
      </c>
      <c r="Z8884">
        <v>-0.1112668</v>
      </c>
      <c r="AA8884">
        <v>0.93425809999999998</v>
      </c>
      <c r="AB8884">
        <v>27</v>
      </c>
      <c r="AC8884">
        <v>3.01799999999997</v>
      </c>
      <c r="AD8884">
        <v>-1.1200785228279999</v>
      </c>
      <c r="AE8884">
        <v>8.0874000000000006</v>
      </c>
      <c r="AF8884">
        <v>2.9781689543008301</v>
      </c>
      <c r="AG8884">
        <v>-1.1200785228279999</v>
      </c>
      <c r="AH8884">
        <v>7.9496978672372602</v>
      </c>
      <c r="AI8884">
        <v>97.516246282135199</v>
      </c>
      <c r="AJ8884">
        <v>69.462709437549293</v>
      </c>
      <c r="AK8884">
        <v>8.5628127620553798</v>
      </c>
      <c r="AL8884">
        <v>97.224317589175499</v>
      </c>
      <c r="AM8884">
        <v>84.4870700824723</v>
      </c>
      <c r="AN8884">
        <v>1.0000000193526799</v>
      </c>
    </row>
    <row r="8885" spans="1:40" x14ac:dyDescent="0.25">
      <c r="A8885" t="str">
        <f>"20190303154352435"</f>
        <v>20190303154352435</v>
      </c>
      <c r="B8885" t="str">
        <f>"1551599032429186"</f>
        <v>1551599032429186</v>
      </c>
      <c r="C8885" t="s">
        <v>40</v>
      </c>
      <c r="D8885">
        <v>5.5373199999999896</v>
      </c>
      <c r="E8885">
        <v>0.57271780000000005</v>
      </c>
      <c r="F8885" t="s">
        <v>57</v>
      </c>
      <c r="G8885">
        <v>-184.6103</v>
      </c>
      <c r="H8885" s="1">
        <v>-2.6457969999999999E-6</v>
      </c>
      <c r="I8885">
        <v>123.0844</v>
      </c>
      <c r="J8885">
        <v>-187.66050000000001</v>
      </c>
      <c r="K8885">
        <v>1.119915</v>
      </c>
      <c r="L8885">
        <v>115.0453</v>
      </c>
      <c r="M8885">
        <v>-1.5016589999999999E-4</v>
      </c>
      <c r="N8885">
        <v>-1.4010099999999999E-2</v>
      </c>
      <c r="O8885">
        <v>0.99990179999999995</v>
      </c>
      <c r="P8885">
        <v>0.1006909</v>
      </c>
      <c r="Q8885">
        <v>-0.13919690000000001</v>
      </c>
      <c r="R8885">
        <v>0.98513229999999996</v>
      </c>
      <c r="S8885">
        <v>1.060791</v>
      </c>
      <c r="T8885">
        <v>-0.38942500000000002</v>
      </c>
      <c r="U8885">
        <v>2.8868870000000002</v>
      </c>
      <c r="V8885">
        <v>0.1005885</v>
      </c>
      <c r="W8885">
        <v>-0.12558259999999999</v>
      </c>
      <c r="X8885">
        <v>0.98697060000000003</v>
      </c>
      <c r="Y8885">
        <v>0.34255859999999999</v>
      </c>
      <c r="Z8885">
        <v>-0.11170330000000001</v>
      </c>
      <c r="AA8885">
        <v>0.9328322</v>
      </c>
      <c r="AB8885">
        <v>27</v>
      </c>
      <c r="AC8885">
        <v>3.05020000000001</v>
      </c>
      <c r="AD8885">
        <v>-1.1199176457969999</v>
      </c>
      <c r="AE8885">
        <v>8.0390999999999995</v>
      </c>
      <c r="AF8885">
        <v>3.0005045876759202</v>
      </c>
      <c r="AG8885">
        <v>-1.1199176457969999</v>
      </c>
      <c r="AH8885">
        <v>7.9045435266188102</v>
      </c>
      <c r="AI8885">
        <v>97.545376850457004</v>
      </c>
      <c r="AJ8885">
        <v>69.213619122382994</v>
      </c>
      <c r="AK8885">
        <v>8.52871922847992</v>
      </c>
      <c r="AL8885">
        <v>97.214401427198197</v>
      </c>
      <c r="AM8885">
        <v>84.180712581507294</v>
      </c>
      <c r="AN8885">
        <v>1.0000000005096801</v>
      </c>
    </row>
    <row r="8886" spans="1:40" x14ac:dyDescent="0.25">
      <c r="A8886" t="str">
        <f>"20190303154352603"</f>
        <v>20190303154352603</v>
      </c>
      <c r="B8886" t="str">
        <f>"1551599032599173"</f>
        <v>1551599032599173</v>
      </c>
      <c r="C8886" t="s">
        <v>40</v>
      </c>
      <c r="D8886">
        <v>5.767169</v>
      </c>
      <c r="E8886">
        <v>0.55851419999999996</v>
      </c>
      <c r="F8886" t="s">
        <v>57</v>
      </c>
      <c r="G8886">
        <v>-185.0487</v>
      </c>
      <c r="H8886" s="1">
        <v>-2.9035869999999999E-6</v>
      </c>
      <c r="I8886">
        <v>123.666</v>
      </c>
      <c r="J8886">
        <v>-187.6336</v>
      </c>
      <c r="K8886">
        <v>1.118954</v>
      </c>
      <c r="L8886">
        <v>117.0341</v>
      </c>
      <c r="M8886">
        <v>1.472685E-2</v>
      </c>
      <c r="N8886">
        <v>-1.401753E-2</v>
      </c>
      <c r="O8886">
        <v>0.9997933</v>
      </c>
      <c r="P8886">
        <v>0.14212</v>
      </c>
      <c r="Q8886">
        <v>-0.13503029999999999</v>
      </c>
      <c r="R8886">
        <v>0.98059609999999997</v>
      </c>
      <c r="S8886">
        <v>0.87925719999999996</v>
      </c>
      <c r="T8886">
        <v>-0.37701649999999998</v>
      </c>
      <c r="U8886">
        <v>2.902145</v>
      </c>
      <c r="V8886">
        <v>0.12712780000000001</v>
      </c>
      <c r="W8886">
        <v>-0.1218038</v>
      </c>
      <c r="X8886">
        <v>0.98437920000000001</v>
      </c>
      <c r="Y8886">
        <v>0.27381609999999901</v>
      </c>
      <c r="Z8886">
        <v>-0.1097303</v>
      </c>
      <c r="AA8886">
        <v>0.95550199999999996</v>
      </c>
      <c r="AB8886">
        <v>26</v>
      </c>
      <c r="AC8886">
        <v>2.5849000000000002</v>
      </c>
      <c r="AD8886">
        <v>-1.118956903587</v>
      </c>
      <c r="AE8886">
        <v>6.6318999999999999</v>
      </c>
      <c r="AF8886">
        <v>2.4269649697337599</v>
      </c>
      <c r="AG8886">
        <v>-1.118956903587</v>
      </c>
      <c r="AH8886">
        <v>6.5084082626314297</v>
      </c>
      <c r="AI8886">
        <v>99.151122848027597</v>
      </c>
      <c r="AJ8886">
        <v>69.549672781259304</v>
      </c>
      <c r="AK8886">
        <v>7.0357374616659003</v>
      </c>
      <c r="AL8886">
        <v>96.996216267753795</v>
      </c>
      <c r="AM8886">
        <v>82.641258395886695</v>
      </c>
      <c r="AN8886">
        <v>1.00000002630995</v>
      </c>
    </row>
    <row r="8887" spans="1:40" x14ac:dyDescent="0.25">
      <c r="A8887" t="str">
        <f>"20190303154352626"</f>
        <v>20190303154352626</v>
      </c>
      <c r="B8887" t="str">
        <f>"1551599032619200"</f>
        <v>1551599032619200</v>
      </c>
      <c r="C8887" t="s">
        <v>40</v>
      </c>
      <c r="D8887">
        <v>5.6417820000000001</v>
      </c>
      <c r="E8887">
        <v>0.57830000000000004</v>
      </c>
      <c r="F8887" t="s">
        <v>57</v>
      </c>
      <c r="G8887">
        <v>-178.7465</v>
      </c>
      <c r="H8887" s="1">
        <v>-1.0095700000000001E-5</v>
      </c>
      <c r="I8887">
        <v>146.19200000000001</v>
      </c>
      <c r="J8887">
        <v>-187.6266</v>
      </c>
      <c r="K8887">
        <v>1.118868</v>
      </c>
      <c r="L8887">
        <v>117.3053</v>
      </c>
      <c r="M8887">
        <v>1.743014E-2</v>
      </c>
      <c r="N8887">
        <v>-1.401875E-2</v>
      </c>
      <c r="O8887">
        <v>0.99974980000000002</v>
      </c>
      <c r="P8887">
        <v>0.1490003</v>
      </c>
      <c r="Q8887">
        <v>-0.13347149999999999</v>
      </c>
      <c r="R8887">
        <v>0.97978790000000004</v>
      </c>
      <c r="S8887">
        <v>0.88853449999999901</v>
      </c>
      <c r="T8887">
        <v>-0.1118735</v>
      </c>
      <c r="U8887">
        <v>2.9151919999999998</v>
      </c>
      <c r="V8887">
        <v>0.1313452</v>
      </c>
      <c r="W8887">
        <v>-0.1202952</v>
      </c>
      <c r="X8887">
        <v>0.98401090000000002</v>
      </c>
      <c r="Y8887">
        <v>0.27466279999999998</v>
      </c>
      <c r="Z8887">
        <v>-2.2791840000000001E-2</v>
      </c>
      <c r="AA8887">
        <v>0.96127050000000003</v>
      </c>
      <c r="AB8887">
        <v>26</v>
      </c>
      <c r="AC8887">
        <v>8.8800999999999899</v>
      </c>
      <c r="AD8887">
        <v>-1.1188780957</v>
      </c>
      <c r="AE8887">
        <v>28.886700000000001</v>
      </c>
      <c r="AF8887">
        <v>8.3637375331896795</v>
      </c>
      <c r="AG8887">
        <v>-1.1188780957</v>
      </c>
      <c r="AH8887">
        <v>28.997359700750899</v>
      </c>
      <c r="AI8887">
        <v>92.123221373918298</v>
      </c>
      <c r="AJ8887">
        <v>73.910798837740998</v>
      </c>
      <c r="AK8887">
        <v>30.2001798559522</v>
      </c>
      <c r="AL8887">
        <v>96.909139890248795</v>
      </c>
      <c r="AM8887">
        <v>82.397133083488797</v>
      </c>
      <c r="AN8887">
        <v>0.999999974012444</v>
      </c>
    </row>
    <row r="8888" spans="1:40" x14ac:dyDescent="0.25">
      <c r="A8888" t="str">
        <f>"20190303154352646"</f>
        <v>20190303154352646</v>
      </c>
      <c r="B8888" t="str">
        <f>"1551599032638720"</f>
        <v>1551599032638720</v>
      </c>
      <c r="C8888" t="s">
        <v>40</v>
      </c>
      <c r="D8888">
        <v>5.7942559999999999</v>
      </c>
      <c r="E8888">
        <v>0.57766899999999999</v>
      </c>
      <c r="F8888" t="s">
        <v>57</v>
      </c>
      <c r="G8888">
        <v>-183.9434</v>
      </c>
      <c r="H8888" s="1">
        <v>-4.2461900000000003E-6</v>
      </c>
      <c r="I8888">
        <v>127.18729999999999</v>
      </c>
      <c r="J8888">
        <v>-187.61949999999999</v>
      </c>
      <c r="K8888">
        <v>1.1187959999999999</v>
      </c>
      <c r="L8888">
        <v>117.5528</v>
      </c>
      <c r="M8888">
        <v>2.000354E-2</v>
      </c>
      <c r="N8888">
        <v>-1.401968E-2</v>
      </c>
      <c r="O8888">
        <v>0.99970159999999997</v>
      </c>
      <c r="P8888">
        <v>0.15649379999999999</v>
      </c>
      <c r="Q8888">
        <v>-0.13286020000000001</v>
      </c>
      <c r="R8888">
        <v>0.97870210000000002</v>
      </c>
      <c r="S8888">
        <v>1.064468</v>
      </c>
      <c r="T8888">
        <v>-0.32335789999999998</v>
      </c>
      <c r="U8888">
        <v>2.8559420000000002</v>
      </c>
      <c r="V8888">
        <v>0.13631260000000001</v>
      </c>
      <c r="W8888">
        <v>-0.1197375</v>
      </c>
      <c r="X8888">
        <v>0.98340320000000003</v>
      </c>
      <c r="Y8888">
        <v>0.32868960000000003</v>
      </c>
      <c r="Z8888">
        <v>-9.1938850000000003E-2</v>
      </c>
      <c r="AA8888">
        <v>0.93995229999999996</v>
      </c>
      <c r="AB8888">
        <v>26</v>
      </c>
      <c r="AC8888">
        <v>3.6760999999999902</v>
      </c>
      <c r="AD8888">
        <v>-1.11880024619</v>
      </c>
      <c r="AE8888">
        <v>9.6344999999999796</v>
      </c>
      <c r="AF8888">
        <v>3.4421036781416099</v>
      </c>
      <c r="AG8888">
        <v>-1.11880024619</v>
      </c>
      <c r="AH8888">
        <v>9.5931910467436303</v>
      </c>
      <c r="AI8888">
        <v>96.264397452290694</v>
      </c>
      <c r="AJ8888">
        <v>70.261660436238998</v>
      </c>
      <c r="AK8888">
        <v>10.253248567223601</v>
      </c>
      <c r="AL8888">
        <v>96.8769530419288</v>
      </c>
      <c r="AM8888">
        <v>82.108338435831101</v>
      </c>
      <c r="AN8888">
        <v>1.0000000237976201</v>
      </c>
    </row>
    <row r="8889" spans="1:40" x14ac:dyDescent="0.25">
      <c r="A8889" t="str">
        <f>"20190303154352668"</f>
        <v>20190303154352668</v>
      </c>
      <c r="B8889" t="str">
        <f>"1551599032659216"</f>
        <v>1551599032659216</v>
      </c>
      <c r="C8889" t="s">
        <v>40</v>
      </c>
      <c r="D8889">
        <v>5.76485</v>
      </c>
      <c r="E8889">
        <v>0.57601829999999998</v>
      </c>
      <c r="F8889" t="s">
        <v>57</v>
      </c>
      <c r="G8889">
        <v>-183.5523</v>
      </c>
      <c r="H8889" s="1">
        <v>-4.6587379999999997E-6</v>
      </c>
      <c r="I8889">
        <v>128.27869999999999</v>
      </c>
      <c r="J8889">
        <v>-187.6112</v>
      </c>
      <c r="K8889">
        <v>1.1187199999999999</v>
      </c>
      <c r="L8889">
        <v>117.8124</v>
      </c>
      <c r="M8889">
        <v>2.2810779999999999E-2</v>
      </c>
      <c r="N8889">
        <v>-1.402106E-2</v>
      </c>
      <c r="O8889">
        <v>0.99964149999999996</v>
      </c>
      <c r="P8889">
        <v>0.16334489999999999</v>
      </c>
      <c r="Q8889">
        <v>-0.13367129999999999</v>
      </c>
      <c r="R8889">
        <v>0.97747150000000005</v>
      </c>
      <c r="S8889">
        <v>1.0814509999999999</v>
      </c>
      <c r="T8889">
        <v>-0.29748459999999899</v>
      </c>
      <c r="U8889">
        <v>2.8519739999999998</v>
      </c>
      <c r="V8889">
        <v>0.14040820000000001</v>
      </c>
      <c r="W8889">
        <v>-0.1206006</v>
      </c>
      <c r="X8889">
        <v>0.98272119999999996</v>
      </c>
      <c r="Y8889">
        <v>0.33164829999999901</v>
      </c>
      <c r="Z8889">
        <v>-8.3520899999999995E-2</v>
      </c>
      <c r="AA8889">
        <v>0.9396987</v>
      </c>
      <c r="AB8889">
        <v>26</v>
      </c>
      <c r="AC8889">
        <v>4.0588999999999897</v>
      </c>
      <c r="AD8889">
        <v>-1.118724658738</v>
      </c>
      <c r="AE8889">
        <v>10.466299999999899</v>
      </c>
      <c r="AF8889">
        <v>3.7815196918696801</v>
      </c>
      <c r="AG8889">
        <v>-1.118724658738</v>
      </c>
      <c r="AH8889">
        <v>10.452364579823101</v>
      </c>
      <c r="AI8889">
        <v>95.747265317341103</v>
      </c>
      <c r="AJ8889">
        <v>70.110582912700593</v>
      </c>
      <c r="AK8889">
        <v>11.1715424786199</v>
      </c>
      <c r="AL8889">
        <v>96.926766431283795</v>
      </c>
      <c r="AM8889">
        <v>81.868785923724502</v>
      </c>
      <c r="AN8889">
        <v>0.99999996213851905</v>
      </c>
    </row>
    <row r="8890" spans="1:40" x14ac:dyDescent="0.25">
      <c r="A8890" t="str">
        <f>"20190303154352691"</f>
        <v>20190303154352691</v>
      </c>
      <c r="B8890" t="str">
        <f>"1551599032688497"</f>
        <v>1551599032688497</v>
      </c>
      <c r="C8890" t="s">
        <v>40</v>
      </c>
      <c r="D8890">
        <v>5.8288379999999904</v>
      </c>
      <c r="E8890">
        <v>0.57399250000000002</v>
      </c>
      <c r="F8890" t="s">
        <v>57</v>
      </c>
      <c r="G8890">
        <v>-183.65719999999999</v>
      </c>
      <c r="H8890" s="1">
        <v>-4.5985869999999998E-6</v>
      </c>
      <c r="I8890">
        <v>128.1506</v>
      </c>
      <c r="J8890">
        <v>-187.60159999999999</v>
      </c>
      <c r="K8890">
        <v>1.118635</v>
      </c>
      <c r="L8890">
        <v>118.0869</v>
      </c>
      <c r="M8890">
        <v>2.589427E-2</v>
      </c>
      <c r="N8890">
        <v>-1.402316E-2</v>
      </c>
      <c r="O8890">
        <v>0.99956630000000002</v>
      </c>
      <c r="P8890">
        <v>0.17042789999999999</v>
      </c>
      <c r="Q8890">
        <v>-0.13448450000000001</v>
      </c>
      <c r="R8890">
        <v>0.97614970000000001</v>
      </c>
      <c r="S8890">
        <v>1.0881809999999901</v>
      </c>
      <c r="T8890">
        <v>-0.30788520000000003</v>
      </c>
      <c r="U8890">
        <v>2.8451840000000002</v>
      </c>
      <c r="V8890">
        <v>0.14446929999999999</v>
      </c>
      <c r="W8890">
        <v>-0.1214693</v>
      </c>
      <c r="X8890">
        <v>0.98202540000000005</v>
      </c>
      <c r="Y8890">
        <v>0.33130720000000002</v>
      </c>
      <c r="Z8890">
        <v>-8.707869E-2</v>
      </c>
      <c r="AA8890">
        <v>0.939496</v>
      </c>
      <c r="AB8890">
        <v>26</v>
      </c>
      <c r="AC8890">
        <v>3.9443999999999999</v>
      </c>
      <c r="AD8890">
        <v>-1.1186395985869999</v>
      </c>
      <c r="AE8890">
        <v>10.0636999999999</v>
      </c>
      <c r="AF8890">
        <v>3.6434369624122001</v>
      </c>
      <c r="AG8890">
        <v>-1.1186395985869999</v>
      </c>
      <c r="AH8890">
        <v>10.0547823288152</v>
      </c>
      <c r="AI8890">
        <v>95.971371951761</v>
      </c>
      <c r="AJ8890">
        <v>70.081579756624606</v>
      </c>
      <c r="AK8890">
        <v>10.7528896177006</v>
      </c>
      <c r="AL8890">
        <v>96.976907445444795</v>
      </c>
      <c r="AM8890">
        <v>81.631041412707404</v>
      </c>
      <c r="AN8890">
        <v>1.00000002786506</v>
      </c>
    </row>
    <row r="8891" spans="1:40" x14ac:dyDescent="0.25">
      <c r="A8891" t="str">
        <f>"20190303154352713"</f>
        <v>20190303154352713</v>
      </c>
      <c r="B8891" t="str">
        <f>"1551599032708993"</f>
        <v>1551599032708993</v>
      </c>
      <c r="C8891" t="s">
        <v>40</v>
      </c>
      <c r="D8891">
        <v>5.9077070000000003</v>
      </c>
      <c r="E8891">
        <v>0.57135599999999998</v>
      </c>
      <c r="F8891" t="s">
        <v>57</v>
      </c>
      <c r="G8891">
        <v>-183.66319999999999</v>
      </c>
      <c r="H8891" s="1">
        <v>-4.6705719999999999E-6</v>
      </c>
      <c r="I8891">
        <v>128.322</v>
      </c>
      <c r="J8891">
        <v>-187.59190000000001</v>
      </c>
      <c r="K8891">
        <v>1.118552</v>
      </c>
      <c r="L8891">
        <v>118.33669999999999</v>
      </c>
      <c r="M8891">
        <v>2.8805020000000001E-2</v>
      </c>
      <c r="N8891">
        <v>-1.402538E-2</v>
      </c>
      <c r="O8891">
        <v>0.9994866</v>
      </c>
      <c r="P8891">
        <v>0.1765236</v>
      </c>
      <c r="Q8891">
        <v>-0.1350701</v>
      </c>
      <c r="R8891">
        <v>0.97498490000000004</v>
      </c>
      <c r="S8891">
        <v>1.0927279999999999</v>
      </c>
      <c r="T8891">
        <v>-0.310370599999999</v>
      </c>
      <c r="U8891">
        <v>2.8397519999999998</v>
      </c>
      <c r="V8891">
        <v>0.14771519999999999</v>
      </c>
      <c r="W8891">
        <v>-0.1221047</v>
      </c>
      <c r="X8891">
        <v>0.98146359999999999</v>
      </c>
      <c r="Y8891">
        <v>0.33043990000000001</v>
      </c>
      <c r="Z8891">
        <v>-8.8047390000000003E-2</v>
      </c>
      <c r="AA8891">
        <v>0.93971119999999997</v>
      </c>
      <c r="AB8891">
        <v>26</v>
      </c>
      <c r="AC8891">
        <v>3.9287000000000201</v>
      </c>
      <c r="AD8891">
        <v>-1.118556670572</v>
      </c>
      <c r="AE8891">
        <v>9.9853000000000094</v>
      </c>
      <c r="AF8891">
        <v>3.6002921131411298</v>
      </c>
      <c r="AG8891">
        <v>-1.118556670572</v>
      </c>
      <c r="AH8891">
        <v>9.9858230796798697</v>
      </c>
      <c r="AI8891">
        <v>96.015334988813905</v>
      </c>
      <c r="AJ8891">
        <v>70.173720812176697</v>
      </c>
      <c r="AK8891">
        <v>10.673796648985499</v>
      </c>
      <c r="AL8891">
        <v>97.013585927005096</v>
      </c>
      <c r="AM8891">
        <v>81.440937625476195</v>
      </c>
      <c r="AN8891">
        <v>1.00000006809904</v>
      </c>
    </row>
    <row r="8892" spans="1:40" x14ac:dyDescent="0.25">
      <c r="A8892" t="str">
        <f>"20190303154352736"</f>
        <v>20190303154352736</v>
      </c>
      <c r="B8892" t="str">
        <f>"1551599032729019"</f>
        <v>1551599032729019</v>
      </c>
      <c r="C8892" t="s">
        <v>40</v>
      </c>
      <c r="D8892">
        <v>5.9067319999999999</v>
      </c>
      <c r="E8892">
        <v>0.56946140000000001</v>
      </c>
      <c r="F8892" t="s">
        <v>57</v>
      </c>
      <c r="G8892">
        <v>-183.81899999999999</v>
      </c>
      <c r="H8892" s="1">
        <v>-4.589016E-6</v>
      </c>
      <c r="I8892">
        <v>128.15020000000001</v>
      </c>
      <c r="J8892">
        <v>-187.58029999999999</v>
      </c>
      <c r="K8892">
        <v>1.1184639999999999</v>
      </c>
      <c r="L8892">
        <v>118.6118</v>
      </c>
      <c r="M8892">
        <v>3.2136089999999999E-2</v>
      </c>
      <c r="N8892">
        <v>-1.4028290000000001E-2</v>
      </c>
      <c r="O8892">
        <v>0.99938510000000003</v>
      </c>
      <c r="P8892">
        <v>0.183203</v>
      </c>
      <c r="Q8892">
        <v>-0.1355277</v>
      </c>
      <c r="R8892">
        <v>0.97368829999999995</v>
      </c>
      <c r="S8892">
        <v>1.08989</v>
      </c>
      <c r="T8892">
        <v>-0.3231213</v>
      </c>
      <c r="U8892">
        <v>2.8348689999999999</v>
      </c>
      <c r="V8892">
        <v>0.15113789999999999</v>
      </c>
      <c r="W8892">
        <v>-0.122618699999999</v>
      </c>
      <c r="X8892">
        <v>0.98087820000000003</v>
      </c>
      <c r="Y8892">
        <v>0.32686769999999998</v>
      </c>
      <c r="Z8892">
        <v>-9.2436270000000001E-2</v>
      </c>
      <c r="AA8892">
        <v>0.94053869999999895</v>
      </c>
      <c r="AB8892">
        <v>26</v>
      </c>
      <c r="AC8892">
        <v>3.7612999999999701</v>
      </c>
      <c r="AD8892">
        <v>-1.118468589016</v>
      </c>
      <c r="AE8892">
        <v>9.53840000000001</v>
      </c>
      <c r="AF8892">
        <v>3.4121965819944999</v>
      </c>
      <c r="AG8892">
        <v>-1.118468589016</v>
      </c>
      <c r="AH8892">
        <v>9.5408271287207693</v>
      </c>
      <c r="AI8892">
        <v>96.298962660413096</v>
      </c>
      <c r="AJ8892">
        <v>70.320837169068795</v>
      </c>
      <c r="AK8892">
        <v>10.194186568771601</v>
      </c>
      <c r="AL8892">
        <v>97.043259223790997</v>
      </c>
      <c r="AM8892">
        <v>81.240510690440203</v>
      </c>
      <c r="AN8892">
        <v>1.0000000268206599</v>
      </c>
    </row>
    <row r="8893" spans="1:40" x14ac:dyDescent="0.25">
      <c r="A8893" t="str">
        <f>"20190303154352760"</f>
        <v>20190303154352760</v>
      </c>
      <c r="B8893" t="str">
        <f>"1551599032748540"</f>
        <v>1551599032748540</v>
      </c>
      <c r="C8893" t="s">
        <v>40</v>
      </c>
      <c r="D8893">
        <v>5.8848909999999997</v>
      </c>
      <c r="E8893">
        <v>0.56791009999999997</v>
      </c>
      <c r="F8893" t="s">
        <v>57</v>
      </c>
      <c r="G8893">
        <v>-183.88390000000001</v>
      </c>
      <c r="H8893" s="1">
        <v>-4.5924749999999996E-6</v>
      </c>
      <c r="I8893">
        <v>128.16730000000001</v>
      </c>
      <c r="J8893">
        <v>-187.56780000000001</v>
      </c>
      <c r="K8893">
        <v>1.118377</v>
      </c>
      <c r="L8893">
        <v>118.88039999999999</v>
      </c>
      <c r="M8893">
        <v>3.553978E-2</v>
      </c>
      <c r="N8893">
        <v>-1.403152E-2</v>
      </c>
      <c r="O8893">
        <v>0.99926970000000004</v>
      </c>
      <c r="P8893">
        <v>0.1903067</v>
      </c>
      <c r="Q8893">
        <v>-0.13595839999999901</v>
      </c>
      <c r="R8893">
        <v>0.97226469999999998</v>
      </c>
      <c r="S8893">
        <v>1.0943909999999999</v>
      </c>
      <c r="T8893">
        <v>-0.3311402</v>
      </c>
      <c r="U8893">
        <v>2.8290709999999999</v>
      </c>
      <c r="V8893">
        <v>0.15492239999999999</v>
      </c>
      <c r="W8893">
        <v>-0.1231107</v>
      </c>
      <c r="X8893">
        <v>0.98022589999999998</v>
      </c>
      <c r="Y8893">
        <v>0.32549860000000003</v>
      </c>
      <c r="Z8893">
        <v>-9.5235459999999994E-2</v>
      </c>
      <c r="AA8893">
        <v>0.94073419999999996</v>
      </c>
      <c r="AB8893">
        <v>26</v>
      </c>
      <c r="AC8893">
        <v>3.6838999999999902</v>
      </c>
      <c r="AD8893">
        <v>-1.118381592475</v>
      </c>
      <c r="AE8893">
        <v>9.2869000000000099</v>
      </c>
      <c r="AF8893">
        <v>3.3100089037540199</v>
      </c>
      <c r="AG8893">
        <v>-1.118381592475</v>
      </c>
      <c r="AH8893">
        <v>9.29549152685283</v>
      </c>
      <c r="AI8893">
        <v>96.466476662775804</v>
      </c>
      <c r="AJ8893">
        <v>70.399818063715799</v>
      </c>
      <c r="AK8893">
        <v>9.93041283407244</v>
      </c>
      <c r="AL8893">
        <v>97.071664114130598</v>
      </c>
      <c r="AM8893">
        <v>81.018825418087502</v>
      </c>
      <c r="AN8893">
        <v>1.00000000475352</v>
      </c>
    </row>
    <row r="8894" spans="1:40" x14ac:dyDescent="0.25">
      <c r="A8894" t="str">
        <f>"20190303154352781"</f>
        <v>20190303154352781</v>
      </c>
      <c r="B8894" t="str">
        <f>"1551599032778795"</f>
        <v>1551599032778795</v>
      </c>
      <c r="C8894" t="s">
        <v>40</v>
      </c>
      <c r="D8894">
        <v>5.9294399999999996</v>
      </c>
      <c r="E8894">
        <v>0.56608819999999904</v>
      </c>
      <c r="F8894" t="s">
        <v>57</v>
      </c>
      <c r="G8894">
        <v>-183.9057</v>
      </c>
      <c r="H8894" s="1">
        <v>-4.6274010000000002E-6</v>
      </c>
      <c r="I8894">
        <v>128.25309999999999</v>
      </c>
      <c r="J8894">
        <v>-187.55449999999999</v>
      </c>
      <c r="K8894">
        <v>1.118301</v>
      </c>
      <c r="L8894">
        <v>119.146</v>
      </c>
      <c r="M8894">
        <v>3.9022059999999997E-2</v>
      </c>
      <c r="N8894">
        <v>-1.403475E-2</v>
      </c>
      <c r="O8894">
        <v>0.99913980000000002</v>
      </c>
      <c r="P8894">
        <v>0.1973858</v>
      </c>
      <c r="Q8894">
        <v>-0.13592969999999999</v>
      </c>
      <c r="R8894">
        <v>0.97085630000000001</v>
      </c>
      <c r="S8894">
        <v>1.102859</v>
      </c>
      <c r="T8894">
        <v>-0.33680650000000001</v>
      </c>
      <c r="U8894">
        <v>2.8226170000000002</v>
      </c>
      <c r="V8894">
        <v>0.158615899999999</v>
      </c>
      <c r="W8894">
        <v>-0.12314029999999999</v>
      </c>
      <c r="X8894">
        <v>0.97963129999999998</v>
      </c>
      <c r="Y8894">
        <v>0.32530569999999998</v>
      </c>
      <c r="Z8894">
        <v>-9.7245869999999998E-2</v>
      </c>
      <c r="AA8894">
        <v>0.94059530000000002</v>
      </c>
      <c r="AB8894">
        <v>26</v>
      </c>
      <c r="AC8894">
        <v>3.6487999999999898</v>
      </c>
      <c r="AD8894">
        <v>-1.1183056274009999</v>
      </c>
      <c r="AE8894">
        <v>9.1070999999999795</v>
      </c>
      <c r="AF8894">
        <v>3.2484013282473998</v>
      </c>
      <c r="AG8894">
        <v>-1.1183056274009999</v>
      </c>
      <c r="AH8894">
        <v>9.1240123763487393</v>
      </c>
      <c r="AI8894">
        <v>96.586631041893995</v>
      </c>
      <c r="AJ8894">
        <v>70.402860895639904</v>
      </c>
      <c r="AK8894">
        <v>9.7493753907315099</v>
      </c>
      <c r="AL8894">
        <v>97.073373031064193</v>
      </c>
      <c r="AM8894">
        <v>80.802835296272903</v>
      </c>
      <c r="AN8894">
        <v>1.00000001057829</v>
      </c>
    </row>
    <row r="8895" spans="1:40" x14ac:dyDescent="0.25">
      <c r="A8895" t="str">
        <f>"20190303154352803"</f>
        <v>20190303154352803</v>
      </c>
      <c r="B8895" t="str">
        <f>"1551599032799292"</f>
        <v>1551599032799292</v>
      </c>
      <c r="C8895" t="s">
        <v>40</v>
      </c>
      <c r="D8895">
        <v>5.9065130000000003</v>
      </c>
      <c r="E8895">
        <v>0.56530429999999998</v>
      </c>
      <c r="F8895" t="s">
        <v>57</v>
      </c>
      <c r="G8895">
        <v>-183.80840000000001</v>
      </c>
      <c r="H8895" s="1">
        <v>-4.8070400000000001E-6</v>
      </c>
      <c r="I8895">
        <v>128.6653</v>
      </c>
      <c r="J8895">
        <v>-187.54140000000001</v>
      </c>
      <c r="K8895">
        <v>1.118241</v>
      </c>
      <c r="L8895">
        <v>119.38720000000001</v>
      </c>
      <c r="M8895">
        <v>4.2294520000000002E-2</v>
      </c>
      <c r="N8895">
        <v>-1.4037559999999999E-2</v>
      </c>
      <c r="O8895">
        <v>0.99900659999999997</v>
      </c>
      <c r="P8895">
        <v>0.20337530000000001</v>
      </c>
      <c r="Q8895">
        <v>-0.13453660000000001</v>
      </c>
      <c r="R8895">
        <v>0.96981360000000005</v>
      </c>
      <c r="S8895">
        <v>1.1090549999999999</v>
      </c>
      <c r="T8895">
        <v>-0.331080599999999</v>
      </c>
      <c r="U8895">
        <v>2.818222</v>
      </c>
      <c r="V8895">
        <v>0.1614276</v>
      </c>
      <c r="W8895">
        <v>-0.1217932</v>
      </c>
      <c r="X8895">
        <v>0.9793404</v>
      </c>
      <c r="Y8895">
        <v>0.32456610000000002</v>
      </c>
      <c r="Z8895">
        <v>-9.5491859999999998E-2</v>
      </c>
      <c r="AA8895">
        <v>0.94103040000000004</v>
      </c>
      <c r="AB8895">
        <v>26</v>
      </c>
      <c r="AC8895">
        <v>3.7330000000000001</v>
      </c>
      <c r="AD8895">
        <v>-1.1182458070399901</v>
      </c>
      <c r="AE8895">
        <v>9.2780999999999896</v>
      </c>
      <c r="AF8895">
        <v>3.29599954784802</v>
      </c>
      <c r="AG8895">
        <v>-1.1182458070399901</v>
      </c>
      <c r="AH8895">
        <v>9.3112834936008593</v>
      </c>
      <c r="AI8895">
        <v>96.459081220480698</v>
      </c>
      <c r="AJ8895">
        <v>70.507102175163993</v>
      </c>
      <c r="AK8895">
        <v>9.9405275012234995</v>
      </c>
      <c r="AL8895">
        <v>96.995604306368904</v>
      </c>
      <c r="AM8895">
        <v>80.639930873096006</v>
      </c>
      <c r="AN8895">
        <v>1.0000000363400701</v>
      </c>
    </row>
    <row r="8896" spans="1:40" x14ac:dyDescent="0.25">
      <c r="A8896" t="str">
        <f>"20190303154352825"</f>
        <v>20190303154352825</v>
      </c>
      <c r="B8896" t="str">
        <f>"1551599032818811"</f>
        <v>1551599032818811</v>
      </c>
      <c r="C8896" t="s">
        <v>40</v>
      </c>
      <c r="D8896">
        <v>5.9905119999999998</v>
      </c>
      <c r="E8896">
        <v>0.56443379999999999</v>
      </c>
      <c r="F8896" t="s">
        <v>57</v>
      </c>
      <c r="G8896">
        <v>-183.738</v>
      </c>
      <c r="H8896" s="1">
        <v>-4.9258859999999997E-6</v>
      </c>
      <c r="I8896">
        <v>128.93709999999999</v>
      </c>
      <c r="J8896">
        <v>-187.52610000000001</v>
      </c>
      <c r="K8896">
        <v>1.1181639999999999</v>
      </c>
      <c r="L8896">
        <v>119.6512</v>
      </c>
      <c r="M8896">
        <v>4.601533E-2</v>
      </c>
      <c r="N8896">
        <v>-1.4041039999999999E-2</v>
      </c>
      <c r="O8896">
        <v>0.99884209999999995</v>
      </c>
      <c r="P8896">
        <v>0.21028060000000001</v>
      </c>
      <c r="Q8896">
        <v>-0.13252249999999999</v>
      </c>
      <c r="R8896">
        <v>0.96861750000000002</v>
      </c>
      <c r="S8896">
        <v>1.1202240000000001</v>
      </c>
      <c r="T8896">
        <v>-0.3293587</v>
      </c>
      <c r="U8896">
        <v>2.8127439999999999</v>
      </c>
      <c r="V8896">
        <v>0.16472629999999999</v>
      </c>
      <c r="W8896">
        <v>-0.1198337</v>
      </c>
      <c r="X8896">
        <v>0.97903280000000004</v>
      </c>
      <c r="Y8896">
        <v>0.32491679999999901</v>
      </c>
      <c r="Z8896">
        <v>-9.5022159999999994E-2</v>
      </c>
      <c r="AA8896">
        <v>0.94095689999999998</v>
      </c>
      <c r="AB8896">
        <v>26</v>
      </c>
      <c r="AC8896">
        <v>3.7881000000000098</v>
      </c>
      <c r="AD8896">
        <v>-1.1181689258859999</v>
      </c>
      <c r="AE8896">
        <v>9.2858999999999803</v>
      </c>
      <c r="AF8896">
        <v>3.3155346374981298</v>
      </c>
      <c r="AG8896">
        <v>-1.1181689258859999</v>
      </c>
      <c r="AH8896">
        <v>9.3343523747134292</v>
      </c>
      <c r="AI8896">
        <v>96.440362883863202</v>
      </c>
      <c r="AJ8896">
        <v>70.445110611063697</v>
      </c>
      <c r="AK8896">
        <v>9.9686110333679494</v>
      </c>
      <c r="AL8896">
        <v>96.882504712997999</v>
      </c>
      <c r="AM8896">
        <v>80.449204613815795</v>
      </c>
      <c r="AN8896">
        <v>1.0000000465215999</v>
      </c>
    </row>
    <row r="8897" spans="1:40" x14ac:dyDescent="0.25">
      <c r="A8897" t="str">
        <f>"20190303154352847"</f>
        <v>20190303154352847</v>
      </c>
      <c r="B8897" t="str">
        <f>"1551599032839307"</f>
        <v>1551599032839307</v>
      </c>
      <c r="C8897" t="s">
        <v>40</v>
      </c>
      <c r="D8897">
        <v>6.0122600000000004</v>
      </c>
      <c r="E8897">
        <v>0.56357049999999997</v>
      </c>
      <c r="F8897" t="s">
        <v>57</v>
      </c>
      <c r="G8897">
        <v>-183.65049999999999</v>
      </c>
      <c r="H8897" s="1">
        <v>-5.0614590000000001E-6</v>
      </c>
      <c r="I8897">
        <v>129.24629999999999</v>
      </c>
      <c r="J8897">
        <v>-187.51060000000001</v>
      </c>
      <c r="K8897">
        <v>1.118082</v>
      </c>
      <c r="L8897">
        <v>119.9011</v>
      </c>
      <c r="M8897">
        <v>4.9681160000000002E-2</v>
      </c>
      <c r="N8897">
        <v>-1.404539E-2</v>
      </c>
      <c r="O8897">
        <v>0.99866630000000001</v>
      </c>
      <c r="P8897">
        <v>0.2168195</v>
      </c>
      <c r="Q8897">
        <v>-0.1306988</v>
      </c>
      <c r="R8897">
        <v>0.96742300000000003</v>
      </c>
      <c r="S8897">
        <v>1.1335599999999999</v>
      </c>
      <c r="T8897">
        <v>-0.32704159999999999</v>
      </c>
      <c r="U8897">
        <v>2.8063509999999998</v>
      </c>
      <c r="V8897">
        <v>0.1677138</v>
      </c>
      <c r="W8897">
        <v>-0.11806560000000001</v>
      </c>
      <c r="X8897">
        <v>0.97874030000000001</v>
      </c>
      <c r="Y8897">
        <v>0.32605959999999901</v>
      </c>
      <c r="Z8897">
        <v>-9.4355960000000003E-2</v>
      </c>
      <c r="AA8897">
        <v>0.94062860000000004</v>
      </c>
      <c r="AB8897">
        <v>26</v>
      </c>
      <c r="AC8897">
        <v>3.8601000000000099</v>
      </c>
      <c r="AD8897">
        <v>-1.1180870614589999</v>
      </c>
      <c r="AE8897">
        <v>9.3451999999999895</v>
      </c>
      <c r="AF8897">
        <v>3.35004142653729</v>
      </c>
      <c r="AG8897">
        <v>-1.1180870614589999</v>
      </c>
      <c r="AH8897">
        <v>9.4103795611511405</v>
      </c>
      <c r="AI8897">
        <v>96.386704537752493</v>
      </c>
      <c r="AJ8897">
        <v>70.404560667681594</v>
      </c>
      <c r="AK8897">
        <v>10.051275527088499</v>
      </c>
      <c r="AL8897">
        <v>96.780476045991904</v>
      </c>
      <c r="AM8897">
        <v>80.276416630101707</v>
      </c>
      <c r="AN8897">
        <v>0.99999998972894499</v>
      </c>
    </row>
    <row r="8898" spans="1:40" x14ac:dyDescent="0.25">
      <c r="A8898" t="str">
        <f>"20190303154352870"</f>
        <v>20190303154352870</v>
      </c>
      <c r="B8898" t="str">
        <f>"1551599032858828"</f>
        <v>1551599032858828</v>
      </c>
      <c r="C8898" t="s">
        <v>40</v>
      </c>
      <c r="D8898">
        <v>6.0085030000000001</v>
      </c>
      <c r="E8898">
        <v>0.56273879999999998</v>
      </c>
      <c r="F8898" t="s">
        <v>57</v>
      </c>
      <c r="G8898">
        <v>-183.5839</v>
      </c>
      <c r="H8898" s="1">
        <v>-5.1723849999999996E-6</v>
      </c>
      <c r="I8898">
        <v>129.4999</v>
      </c>
      <c r="J8898">
        <v>-187.4922</v>
      </c>
      <c r="K8898">
        <v>1.1179680000000001</v>
      </c>
      <c r="L8898">
        <v>120.17570000000001</v>
      </c>
      <c r="M8898">
        <v>5.3881650000000003E-2</v>
      </c>
      <c r="N8898">
        <v>-1.405149E-2</v>
      </c>
      <c r="O8898">
        <v>0.99844840000000001</v>
      </c>
      <c r="P8898">
        <v>0.22483359999999999</v>
      </c>
      <c r="Q8898">
        <v>-0.13019420000000001</v>
      </c>
      <c r="R8898">
        <v>0.96565999999999996</v>
      </c>
      <c r="S8898">
        <v>1.1455379999999999</v>
      </c>
      <c r="T8898">
        <v>-0.32617750000000001</v>
      </c>
      <c r="U8898">
        <v>2.8002319999999998</v>
      </c>
      <c r="V8898">
        <v>0.1716702</v>
      </c>
      <c r="W8898">
        <v>-0.1176382</v>
      </c>
      <c r="X8898">
        <v>0.97810560000000002</v>
      </c>
      <c r="Y8898">
        <v>0.32625789999999999</v>
      </c>
      <c r="Z8898">
        <v>-9.4173839999999995E-2</v>
      </c>
      <c r="AA8898">
        <v>0.94057800000000003</v>
      </c>
      <c r="AB8898">
        <v>26</v>
      </c>
      <c r="AC8898">
        <v>3.9082999999999899</v>
      </c>
      <c r="AD8898">
        <v>-1.1179731723849999</v>
      </c>
      <c r="AE8898">
        <v>9.3241999999999905</v>
      </c>
      <c r="AF8898">
        <v>3.35909437761017</v>
      </c>
      <c r="AG8898">
        <v>-1.1179731723849999</v>
      </c>
      <c r="AH8898">
        <v>9.4062417696045202</v>
      </c>
      <c r="AI8898">
        <v>96.386602821149907</v>
      </c>
      <c r="AJ8898">
        <v>70.347676053611806</v>
      </c>
      <c r="AK8898">
        <v>10.050411100055401</v>
      </c>
      <c r="AL8898">
        <v>96.755816015328094</v>
      </c>
      <c r="AM8898">
        <v>80.045240386884501</v>
      </c>
      <c r="AN8898">
        <v>0.99999998420931901</v>
      </c>
    </row>
    <row r="8899" spans="1:40" x14ac:dyDescent="0.25">
      <c r="A8899" t="str">
        <f>"20190303154352892"</f>
        <v>20190303154352892</v>
      </c>
      <c r="B8899" t="str">
        <f>"1551599032889084"</f>
        <v>1551599032889084</v>
      </c>
      <c r="C8899" t="s">
        <v>40</v>
      </c>
      <c r="D8899">
        <v>6.0535940000000004</v>
      </c>
      <c r="E8899">
        <v>0.56163129999999994</v>
      </c>
      <c r="F8899" t="s">
        <v>57</v>
      </c>
      <c r="G8899">
        <v>-183.55340000000001</v>
      </c>
      <c r="H8899" s="1">
        <v>-5.2301659999999998E-6</v>
      </c>
      <c r="I8899">
        <v>129.6378</v>
      </c>
      <c r="J8899">
        <v>-187.47409999999999</v>
      </c>
      <c r="K8899">
        <v>1.1178440000000001</v>
      </c>
      <c r="L8899">
        <v>120.4302</v>
      </c>
      <c r="M8899">
        <v>5.7952370000000003E-2</v>
      </c>
      <c r="N8899">
        <v>-1.4058269999999999E-2</v>
      </c>
      <c r="O8899">
        <v>0.99822040000000001</v>
      </c>
      <c r="P8899">
        <v>0.2323876</v>
      </c>
      <c r="Q8899">
        <v>-0.12957439999999901</v>
      </c>
      <c r="R8899">
        <v>0.96395359999999997</v>
      </c>
      <c r="S8899">
        <v>1.1621090000000001</v>
      </c>
      <c r="T8899">
        <v>-0.32984170000000002</v>
      </c>
      <c r="U8899">
        <v>2.7916409999999998</v>
      </c>
      <c r="V8899">
        <v>0.1752977</v>
      </c>
      <c r="W8899">
        <v>-0.1170962</v>
      </c>
      <c r="X8899">
        <v>0.97752709999999998</v>
      </c>
      <c r="Y8899">
        <v>0.32813530000000002</v>
      </c>
      <c r="Z8899">
        <v>-9.5495739999999996E-2</v>
      </c>
      <c r="AA8899">
        <v>0.9397913</v>
      </c>
      <c r="AB8899">
        <v>26</v>
      </c>
      <c r="AC8899">
        <v>3.9206999999999801</v>
      </c>
      <c r="AD8899">
        <v>-1.1178492301659999</v>
      </c>
      <c r="AE8899">
        <v>9.2075999999999993</v>
      </c>
      <c r="AF8899">
        <v>3.3387964785621298</v>
      </c>
      <c r="AG8899">
        <v>-1.1178492301659999</v>
      </c>
      <c r="AH8899">
        <v>9.3032820764702393</v>
      </c>
      <c r="AI8899">
        <v>96.452384804036299</v>
      </c>
      <c r="AJ8899">
        <v>70.257763943936695</v>
      </c>
      <c r="AK8899">
        <v>9.9472712952353994</v>
      </c>
      <c r="AL8899">
        <v>96.724545354404995</v>
      </c>
      <c r="AM8899">
        <v>79.833340955863207</v>
      </c>
      <c r="AN8899">
        <v>1.00000001745706</v>
      </c>
    </row>
    <row r="8900" spans="1:40" x14ac:dyDescent="0.25">
      <c r="A8900" t="str">
        <f>"20190303154352914"</f>
        <v>20190303154352914</v>
      </c>
      <c r="B8900" t="str">
        <f>"1551599032908605"</f>
        <v>1551599032908605</v>
      </c>
      <c r="C8900" t="s">
        <v>40</v>
      </c>
      <c r="D8900">
        <v>6.0696190000000003</v>
      </c>
      <c r="E8900">
        <v>0.56121330000000003</v>
      </c>
      <c r="F8900" t="s">
        <v>57</v>
      </c>
      <c r="G8900">
        <v>-183.55359999999999</v>
      </c>
      <c r="H8900" s="1">
        <v>-5.254945E-6</v>
      </c>
      <c r="I8900">
        <v>129.71530000000001</v>
      </c>
      <c r="J8900">
        <v>-187.4547</v>
      </c>
      <c r="K8900">
        <v>1.117713</v>
      </c>
      <c r="L8900">
        <v>120.6842</v>
      </c>
      <c r="M8900">
        <v>6.2205169999999997E-2</v>
      </c>
      <c r="N8900">
        <v>-1.406608E-2</v>
      </c>
      <c r="O8900">
        <v>0.99796430000000003</v>
      </c>
      <c r="P8900">
        <v>0.24077460000000001</v>
      </c>
      <c r="Q8900">
        <v>-0.12798660000000001</v>
      </c>
      <c r="R8900">
        <v>0.96210549999999995</v>
      </c>
      <c r="S8900">
        <v>1.1754</v>
      </c>
      <c r="T8900">
        <v>-0.33514369999999999</v>
      </c>
      <c r="U8900">
        <v>2.7837679999999998</v>
      </c>
      <c r="V8900">
        <v>0.17959800000000001</v>
      </c>
      <c r="W8900">
        <v>-0.1155978</v>
      </c>
      <c r="X8900">
        <v>0.97692460000000003</v>
      </c>
      <c r="Y8900">
        <v>0.32879509999999901</v>
      </c>
      <c r="Z8900">
        <v>-9.7371700000000005E-2</v>
      </c>
      <c r="AA8900">
        <v>0.93936819999999999</v>
      </c>
      <c r="AB8900">
        <v>26</v>
      </c>
      <c r="AC8900">
        <v>3.9011000000000098</v>
      </c>
      <c r="AD8900">
        <v>-1.117718254945</v>
      </c>
      <c r="AE8900">
        <v>9.0311000000000092</v>
      </c>
      <c r="AF8900">
        <v>3.2892470435582002</v>
      </c>
      <c r="AG8900">
        <v>-1.117718254945</v>
      </c>
      <c r="AH8900">
        <v>9.1383354542052704</v>
      </c>
      <c r="AI8900">
        <v>96.564891592592303</v>
      </c>
      <c r="AJ8900">
        <v>70.204197118559094</v>
      </c>
      <c r="AK8900">
        <v>9.7763804695080605</v>
      </c>
      <c r="AL8900">
        <v>96.6381065378378</v>
      </c>
      <c r="AM8900">
        <v>79.583048547217999</v>
      </c>
      <c r="AN8900">
        <v>0.99999998352699904</v>
      </c>
    </row>
    <row r="8901" spans="1:40" x14ac:dyDescent="0.25">
      <c r="A8901" t="str">
        <f>"20190303154352937"</f>
        <v>20190303154352937</v>
      </c>
      <c r="B8901" t="str">
        <f>"1551599032929099"</f>
        <v>1551599032929099</v>
      </c>
      <c r="C8901" t="s">
        <v>40</v>
      </c>
      <c r="D8901">
        <v>5.6909359999999998</v>
      </c>
      <c r="E8901">
        <v>0.60007659999999996</v>
      </c>
      <c r="F8901" t="s">
        <v>57</v>
      </c>
      <c r="G8901">
        <v>-183.4444</v>
      </c>
      <c r="H8901" s="1">
        <v>-5.3480320000000003E-6</v>
      </c>
      <c r="I8901">
        <v>129.98650000000001</v>
      </c>
      <c r="J8901">
        <v>-187.43270000000001</v>
      </c>
      <c r="K8901">
        <v>1.1175679999999999</v>
      </c>
      <c r="L8901">
        <v>120.9525</v>
      </c>
      <c r="M8901">
        <v>6.6933820000000005E-2</v>
      </c>
      <c r="N8901">
        <v>-1.407595E-2</v>
      </c>
      <c r="O8901">
        <v>0.99765809999999999</v>
      </c>
      <c r="P8901">
        <v>0.24866830000000001</v>
      </c>
      <c r="Q8901">
        <v>-0.1269585</v>
      </c>
      <c r="R8901">
        <v>0.96023210000000003</v>
      </c>
      <c r="S8901">
        <v>1.1961059999999999</v>
      </c>
      <c r="T8901">
        <v>-0.33337149999999999</v>
      </c>
      <c r="U8901">
        <v>2.7744900000000001</v>
      </c>
      <c r="V8901">
        <v>0.1829412</v>
      </c>
      <c r="W8901">
        <v>-0.1146597</v>
      </c>
      <c r="X8901">
        <v>0.97641469999999997</v>
      </c>
      <c r="Y8901">
        <v>0.33139259999999998</v>
      </c>
      <c r="Z8901">
        <v>-9.6876870000000004E-2</v>
      </c>
      <c r="AA8901">
        <v>0.93850610000000001</v>
      </c>
      <c r="AB8901">
        <v>26</v>
      </c>
      <c r="AC8901">
        <v>3.9883000000000002</v>
      </c>
      <c r="AD8901">
        <v>-1.117573348032</v>
      </c>
      <c r="AE8901">
        <v>9.0340000000000007</v>
      </c>
      <c r="AF8901">
        <v>3.3319406993295</v>
      </c>
      <c r="AG8901">
        <v>-1.117573348032</v>
      </c>
      <c r="AH8901">
        <v>9.1633566551648897</v>
      </c>
      <c r="AI8901">
        <v>96.538652332558698</v>
      </c>
      <c r="AJ8901">
        <v>70.017937194463897</v>
      </c>
      <c r="AK8901">
        <v>9.8141685435819994</v>
      </c>
      <c r="AL8901">
        <v>96.583997475573398</v>
      </c>
      <c r="AM8901">
        <v>79.388085865163305</v>
      </c>
      <c r="AN8901">
        <v>0.99999999791881</v>
      </c>
    </row>
    <row r="8902" spans="1:40" x14ac:dyDescent="0.25">
      <c r="A8902" t="str">
        <f>"20190303154352960"</f>
        <v>20190303154352960</v>
      </c>
      <c r="B8902" t="str">
        <f>"1551599032948620"</f>
        <v>1551599032948620</v>
      </c>
      <c r="C8902" t="s">
        <v>40</v>
      </c>
      <c r="D8902">
        <v>6.3348240000000002</v>
      </c>
      <c r="E8902">
        <v>0.60850780000000004</v>
      </c>
      <c r="F8902" t="s">
        <v>57</v>
      </c>
      <c r="G8902">
        <v>-181.2518</v>
      </c>
      <c r="H8902" s="1">
        <v>-6.1224680000000002E-6</v>
      </c>
      <c r="I8902">
        <v>131.916</v>
      </c>
      <c r="J8902">
        <v>-187.40960000000001</v>
      </c>
      <c r="K8902">
        <v>1.1174090000000001</v>
      </c>
      <c r="L8902">
        <v>121.215</v>
      </c>
      <c r="M8902">
        <v>7.1806460000000003E-2</v>
      </c>
      <c r="N8902">
        <v>-1.4087529999999999E-2</v>
      </c>
      <c r="O8902">
        <v>0.99731910000000001</v>
      </c>
      <c r="P8902">
        <v>0.25581870000000001</v>
      </c>
      <c r="Q8902">
        <v>-0.12812519999999999</v>
      </c>
      <c r="R8902">
        <v>0.95819659999999995</v>
      </c>
      <c r="S8902">
        <v>1.5190889999999999</v>
      </c>
      <c r="T8902">
        <v>-0.27466960000000001</v>
      </c>
      <c r="U8902">
        <v>2.6945190000000001</v>
      </c>
      <c r="V8902">
        <v>0.18540309999999999</v>
      </c>
      <c r="W8902">
        <v>-0.115913</v>
      </c>
      <c r="X8902">
        <v>0.97580219999999995</v>
      </c>
      <c r="Y8902">
        <v>0.42558109999999999</v>
      </c>
      <c r="Z8902">
        <v>-7.5867489999999996E-2</v>
      </c>
      <c r="AA8902">
        <v>0.90173440000000005</v>
      </c>
      <c r="AB8902">
        <v>26</v>
      </c>
      <c r="AC8902">
        <v>6.1577999999999999</v>
      </c>
      <c r="AD8902">
        <v>-1.117415122468</v>
      </c>
      <c r="AE8902">
        <v>10.700999999999899</v>
      </c>
      <c r="AF8902">
        <v>5.3297654966854697</v>
      </c>
      <c r="AG8902">
        <v>-1.117415122468</v>
      </c>
      <c r="AH8902">
        <v>11.025271904126001</v>
      </c>
      <c r="AI8902">
        <v>95.213676472759502</v>
      </c>
      <c r="AJ8902">
        <v>64.200249321043302</v>
      </c>
      <c r="AK8902">
        <v>12.2968141144562</v>
      </c>
      <c r="AL8902">
        <v>96.656288058147396</v>
      </c>
      <c r="AM8902">
        <v>79.241994262145099</v>
      </c>
      <c r="AN8902">
        <v>1.00000003329172</v>
      </c>
    </row>
    <row r="8903" spans="1:40" x14ac:dyDescent="0.25">
      <c r="A8903" t="str">
        <f>"20190303154352982"</f>
        <v>20190303154352982</v>
      </c>
      <c r="B8903" t="str">
        <f>"1551599032978876"</f>
        <v>1551599032978876</v>
      </c>
      <c r="C8903" t="s">
        <v>40</v>
      </c>
      <c r="D8903">
        <v>6.2271720000000004</v>
      </c>
      <c r="E8903">
        <v>0.66876539999999995</v>
      </c>
      <c r="F8903" t="s">
        <v>57</v>
      </c>
      <c r="G8903">
        <v>-182.29060000000001</v>
      </c>
      <c r="H8903" s="1">
        <v>-5.3202460000000003E-6</v>
      </c>
      <c r="I8903">
        <v>129.69030000000001</v>
      </c>
      <c r="J8903">
        <v>-187.38509999999999</v>
      </c>
      <c r="K8903">
        <v>1.1172690000000001</v>
      </c>
      <c r="L8903">
        <v>121.47629999999999</v>
      </c>
      <c r="M8903">
        <v>7.6859380000000005E-2</v>
      </c>
      <c r="N8903">
        <v>-1.4099499999999999E-2</v>
      </c>
      <c r="O8903">
        <v>0.9969422</v>
      </c>
      <c r="P8903">
        <v>0.2653586</v>
      </c>
      <c r="Q8903">
        <v>-0.12924359999999999</v>
      </c>
      <c r="R8903">
        <v>0.95544799999999996</v>
      </c>
      <c r="S8903">
        <v>1.60408</v>
      </c>
      <c r="T8903">
        <v>-0.35015109999999999</v>
      </c>
      <c r="U8903">
        <v>2.6558069999999998</v>
      </c>
      <c r="V8903">
        <v>0.190138</v>
      </c>
      <c r="W8903">
        <v>-0.1171392</v>
      </c>
      <c r="X8903">
        <v>0.97474400000000005</v>
      </c>
      <c r="Y8903">
        <v>0.44672450000000002</v>
      </c>
      <c r="Z8903">
        <v>-0.1001336</v>
      </c>
      <c r="AA8903">
        <v>0.88905040000000002</v>
      </c>
      <c r="AB8903">
        <v>26</v>
      </c>
      <c r="AC8903">
        <v>5.0944999999999796</v>
      </c>
      <c r="AD8903">
        <v>-1.117274320246</v>
      </c>
      <c r="AE8903">
        <v>8.2140000000000093</v>
      </c>
      <c r="AF8903">
        <v>4.3893916055400597</v>
      </c>
      <c r="AG8903">
        <v>-1.117274320246</v>
      </c>
      <c r="AH8903">
        <v>8.4681476929606507</v>
      </c>
      <c r="AI8903">
        <v>96.681034592163996</v>
      </c>
      <c r="AJ8903">
        <v>62.600422575496303</v>
      </c>
      <c r="AK8903">
        <v>9.60336326102796</v>
      </c>
      <c r="AL8903">
        <v>96.727026544843199</v>
      </c>
      <c r="AM8903">
        <v>78.962228063421605</v>
      </c>
      <c r="AN8903">
        <v>0.99999995837831901</v>
      </c>
    </row>
    <row r="8904" spans="1:40" x14ac:dyDescent="0.25">
      <c r="A8904" t="str">
        <f>"20190303154353004"</f>
        <v>20190303154353004</v>
      </c>
      <c r="B8904" t="str">
        <f>"1551599032999372"</f>
        <v>1551599032999372</v>
      </c>
      <c r="C8904" t="s">
        <v>40</v>
      </c>
      <c r="D8904">
        <v>6.1474310000000001</v>
      </c>
      <c r="E8904">
        <v>0.67112269999999996</v>
      </c>
      <c r="F8904" t="s">
        <v>57</v>
      </c>
      <c r="G8904">
        <v>-182.04650000000001</v>
      </c>
      <c r="H8904" s="1">
        <v>-4.6820960000000003E-6</v>
      </c>
      <c r="I8904">
        <v>127.8488</v>
      </c>
      <c r="J8904">
        <v>-187.36109999999999</v>
      </c>
      <c r="K8904">
        <v>1.117146</v>
      </c>
      <c r="L8904">
        <v>121.7179</v>
      </c>
      <c r="M8904">
        <v>8.1719990000000006E-2</v>
      </c>
      <c r="N8904">
        <v>-1.411013E-2</v>
      </c>
      <c r="O8904">
        <v>0.99655539999999998</v>
      </c>
      <c r="P8904">
        <v>0.27553709999999998</v>
      </c>
      <c r="Q8904">
        <v>-0.12857099999999999</v>
      </c>
      <c r="R8904">
        <v>0.95265350000000004</v>
      </c>
      <c r="S8904">
        <v>2.093658</v>
      </c>
      <c r="T8904">
        <v>-0.43816480000000002</v>
      </c>
      <c r="U8904">
        <v>2.4991300000000001</v>
      </c>
      <c r="V8904">
        <v>0.19573409999999999</v>
      </c>
      <c r="W8904">
        <v>-0.116578</v>
      </c>
      <c r="X8904">
        <v>0.97370310000000004</v>
      </c>
      <c r="Y8904">
        <v>0.57205499999999998</v>
      </c>
      <c r="Z8904">
        <v>-0.1226227</v>
      </c>
      <c r="AA8904">
        <v>0.81099739999999998</v>
      </c>
      <c r="AB8904">
        <v>26</v>
      </c>
      <c r="AC8904">
        <v>5.31459999999998</v>
      </c>
      <c r="AD8904">
        <v>-1.117150682096</v>
      </c>
      <c r="AE8904">
        <v>6.1308999999999898</v>
      </c>
      <c r="AF8904">
        <v>4.7065299506324303</v>
      </c>
      <c r="AG8904">
        <v>-1.117150682096</v>
      </c>
      <c r="AH8904">
        <v>6.4229789209909001</v>
      </c>
      <c r="AI8904">
        <v>97.986261506356996</v>
      </c>
      <c r="AJ8904">
        <v>53.767367797014998</v>
      </c>
      <c r="AK8904">
        <v>8.0407778256957894</v>
      </c>
      <c r="AL8904">
        <v>96.694650065067606</v>
      </c>
      <c r="AM8904">
        <v>78.633867499054304</v>
      </c>
      <c r="AN8904">
        <v>0.999999997468209</v>
      </c>
    </row>
    <row r="8905" spans="1:40" x14ac:dyDescent="0.25">
      <c r="A8905" t="str">
        <f>"20190303154353016"</f>
        <v>20190303154353016</v>
      </c>
      <c r="B8905" t="str">
        <f>"1551599033009132"</f>
        <v>1551599033009132</v>
      </c>
      <c r="C8905" t="s">
        <v>40</v>
      </c>
      <c r="D8905">
        <v>6.1900120000000003</v>
      </c>
      <c r="E8905">
        <v>0.67175790000000002</v>
      </c>
      <c r="F8905" t="s">
        <v>57</v>
      </c>
      <c r="G8905">
        <v>-181.8897</v>
      </c>
      <c r="H8905" s="1">
        <v>-4.75404E-6</v>
      </c>
      <c r="I8905">
        <v>128.04169999999999</v>
      </c>
      <c r="J8905">
        <v>-187.34520000000001</v>
      </c>
      <c r="K8905">
        <v>1.1170709999999999</v>
      </c>
      <c r="L8905">
        <v>121.87179999999999</v>
      </c>
      <c r="M8905">
        <v>8.4899760000000005E-2</v>
      </c>
      <c r="N8905">
        <v>-1.4116790000000001E-2</v>
      </c>
      <c r="O8905">
        <v>0.99628950000000005</v>
      </c>
      <c r="P8905">
        <v>0.28119909999999998</v>
      </c>
      <c r="Q8905">
        <v>-0.12815289999999999</v>
      </c>
      <c r="R8905">
        <v>0.95105410000000001</v>
      </c>
      <c r="S8905">
        <v>2.1385190000000001</v>
      </c>
      <c r="T8905">
        <v>-0.43663879999999999</v>
      </c>
      <c r="U8905">
        <v>2.4716490000000002</v>
      </c>
      <c r="V8905">
        <v>0.1983897</v>
      </c>
      <c r="W8905">
        <v>-0.1162222</v>
      </c>
      <c r="X8905">
        <v>0.97320810000000002</v>
      </c>
      <c r="Y8905">
        <v>0.5823583</v>
      </c>
      <c r="Z8905">
        <v>-0.1220195</v>
      </c>
      <c r="AA8905">
        <v>0.80372259999999995</v>
      </c>
      <c r="AB8905">
        <v>26</v>
      </c>
      <c r="AC8905">
        <v>5.4554999999999998</v>
      </c>
      <c r="AD8905">
        <v>-1.11707575404</v>
      </c>
      <c r="AE8905">
        <v>6.1698999999999904</v>
      </c>
      <c r="AF8905">
        <v>4.8231923956713798</v>
      </c>
      <c r="AG8905">
        <v>-1.11707575404</v>
      </c>
      <c r="AH8905">
        <v>6.4914145929146798</v>
      </c>
      <c r="AI8905">
        <v>97.864504823733995</v>
      </c>
      <c r="AJ8905">
        <v>53.387245303133803</v>
      </c>
      <c r="AK8905">
        <v>8.1639149029759004</v>
      </c>
      <c r="AL8905">
        <v>96.674124422504804</v>
      </c>
      <c r="AM8905">
        <v>78.478051389294393</v>
      </c>
      <c r="AN8905">
        <v>1.0000000393722599</v>
      </c>
    </row>
    <row r="8906" spans="1:40" x14ac:dyDescent="0.25">
      <c r="A8906" t="str">
        <f>"20190303154353037"</f>
        <v>20190303154353037</v>
      </c>
      <c r="B8906" t="str">
        <f>"1551599033028655"</f>
        <v>1551599033028655</v>
      </c>
      <c r="C8906" t="s">
        <v>40</v>
      </c>
      <c r="D8906">
        <v>5.713819</v>
      </c>
      <c r="E8906">
        <v>0.674122</v>
      </c>
      <c r="F8906" t="s">
        <v>57</v>
      </c>
      <c r="G8906">
        <v>-181.81780000000001</v>
      </c>
      <c r="H8906" s="1">
        <v>-4.7965029999999996E-6</v>
      </c>
      <c r="I8906">
        <v>128.16669999999999</v>
      </c>
      <c r="J8906">
        <v>-187.31979999999999</v>
      </c>
      <c r="K8906">
        <v>1.1169549999999999</v>
      </c>
      <c r="L8906">
        <v>122.1054</v>
      </c>
      <c r="M8906">
        <v>8.9910439999999994E-2</v>
      </c>
      <c r="N8906">
        <v>-1.4128470000000001E-2</v>
      </c>
      <c r="O8906">
        <v>0.9958496</v>
      </c>
      <c r="P8906">
        <v>0.2913654</v>
      </c>
      <c r="Q8906">
        <v>-0.12688849999999999</v>
      </c>
      <c r="R8906">
        <v>0.94815899999999997</v>
      </c>
      <c r="S8906">
        <v>2.1579739999999998</v>
      </c>
      <c r="T8906">
        <v>-0.43611840000000002</v>
      </c>
      <c r="U8906">
        <v>2.4575650000000002</v>
      </c>
      <c r="V8906">
        <v>0.20386099999999999</v>
      </c>
      <c r="W8906">
        <v>-0.1150733</v>
      </c>
      <c r="X8906">
        <v>0.97221340000000001</v>
      </c>
      <c r="Y8906">
        <v>0.58417129999999995</v>
      </c>
      <c r="Z8906">
        <v>-0.1219624</v>
      </c>
      <c r="AA8906">
        <v>0.80241450000000003</v>
      </c>
      <c r="AB8906">
        <v>26</v>
      </c>
      <c r="AC8906">
        <v>5.5019999999999802</v>
      </c>
      <c r="AD8906">
        <v>-1.11695979650299</v>
      </c>
      <c r="AE8906">
        <v>6.0612999999999797</v>
      </c>
      <c r="AF8906">
        <v>4.8444896869829499</v>
      </c>
      <c r="AG8906">
        <v>-1.11695979650299</v>
      </c>
      <c r="AH8906">
        <v>6.4121037869289399</v>
      </c>
      <c r="AI8906">
        <v>97.912684230857806</v>
      </c>
      <c r="AJ8906">
        <v>52.928126662747701</v>
      </c>
      <c r="AK8906">
        <v>8.1136770017444402</v>
      </c>
      <c r="AL8906">
        <v>96.607852675212101</v>
      </c>
      <c r="AM8906">
        <v>78.157370479293704</v>
      </c>
      <c r="AN8906">
        <v>1.0000000334167201</v>
      </c>
    </row>
    <row r="8907" spans="1:40" x14ac:dyDescent="0.25">
      <c r="A8907" t="str">
        <f>"20190303154353048"</f>
        <v>20190303154353048</v>
      </c>
      <c r="B8907" t="str">
        <f>"1551599033039388"</f>
        <v>1551599033039388</v>
      </c>
      <c r="C8907" t="s">
        <v>40</v>
      </c>
      <c r="D8907">
        <v>6.1467640000000001</v>
      </c>
      <c r="E8907">
        <v>0.6743962</v>
      </c>
      <c r="F8907" t="s">
        <v>57</v>
      </c>
      <c r="G8907">
        <v>-180.1301</v>
      </c>
      <c r="H8907" s="1">
        <v>-5.5772119999999899E-6</v>
      </c>
      <c r="I8907">
        <v>130.07490000000001</v>
      </c>
      <c r="J8907">
        <v>-187.30500000000001</v>
      </c>
      <c r="K8907">
        <v>1.116878</v>
      </c>
      <c r="L8907">
        <v>122.2354</v>
      </c>
      <c r="M8907">
        <v>9.2801709999999996E-2</v>
      </c>
      <c r="N8907">
        <v>-1.413624E-2</v>
      </c>
      <c r="O8907">
        <v>0.99558420000000003</v>
      </c>
      <c r="P8907">
        <v>0.29708420000000002</v>
      </c>
      <c r="Q8907">
        <v>-0.12627559999999999</v>
      </c>
      <c r="R8907">
        <v>0.94646470000000005</v>
      </c>
      <c r="S8907">
        <v>2.202515</v>
      </c>
      <c r="T8907">
        <v>-0.34217360000000002</v>
      </c>
      <c r="U8907">
        <v>2.4414220000000002</v>
      </c>
      <c r="V8907">
        <v>0.20687749999999999</v>
      </c>
      <c r="W8907">
        <v>-0.1145282</v>
      </c>
      <c r="X8907">
        <v>0.97164030000000001</v>
      </c>
      <c r="Y8907">
        <v>0.59475919999999904</v>
      </c>
      <c r="Z8907">
        <v>-9.2670310000000006E-2</v>
      </c>
      <c r="AA8907">
        <v>0.798544699999999</v>
      </c>
      <c r="AB8907">
        <v>26</v>
      </c>
      <c r="AC8907">
        <v>7.1749000000000001</v>
      </c>
      <c r="AD8907">
        <v>-1.116883577212</v>
      </c>
      <c r="AE8907">
        <v>7.8395000000000099</v>
      </c>
      <c r="AF8907">
        <v>6.34624303582493</v>
      </c>
      <c r="AG8907">
        <v>-1.116883577212</v>
      </c>
      <c r="AH8907">
        <v>8.3790229850017894</v>
      </c>
      <c r="AI8907">
        <v>96.065360153853405</v>
      </c>
      <c r="AJ8907">
        <v>52.859837880063701</v>
      </c>
      <c r="AK8907">
        <v>10.5702533450239</v>
      </c>
      <c r="AL8907">
        <v>96.576413496610598</v>
      </c>
      <c r="AM8907">
        <v>77.980312388817097</v>
      </c>
      <c r="AN8907">
        <v>0.99999994059278796</v>
      </c>
    </row>
    <row r="8908" spans="1:40" x14ac:dyDescent="0.25">
      <c r="A8908" t="str">
        <f>"20190303154353063"</f>
        <v>20190303154353063</v>
      </c>
      <c r="B8908" t="str">
        <f>"1551599033058908"</f>
        <v>1551599033058908</v>
      </c>
      <c r="C8908" t="s">
        <v>40</v>
      </c>
      <c r="D8908">
        <v>6.328265</v>
      </c>
      <c r="E8908">
        <v>0.67518080000000003</v>
      </c>
      <c r="F8908" t="s">
        <v>57</v>
      </c>
      <c r="G8908">
        <v>-180.26669999999999</v>
      </c>
      <c r="H8908" s="1">
        <v>-5.5144359999999901E-6</v>
      </c>
      <c r="I8908">
        <v>129.9297</v>
      </c>
      <c r="J8908">
        <v>-187.286</v>
      </c>
      <c r="K8908">
        <v>1.1167849999999999</v>
      </c>
      <c r="L8908">
        <v>122.3972</v>
      </c>
      <c r="M8908">
        <v>9.6459729999999994E-2</v>
      </c>
      <c r="N8908">
        <v>-1.414632E-2</v>
      </c>
      <c r="O8908">
        <v>0.99523629999999996</v>
      </c>
      <c r="P8908">
        <v>0.30361719999999998</v>
      </c>
      <c r="Q8908">
        <v>-0.12598670000000001</v>
      </c>
      <c r="R8908">
        <v>0.94442780000000004</v>
      </c>
      <c r="S8908">
        <v>2.2192379999999998</v>
      </c>
      <c r="T8908">
        <v>-0.35216619999999998</v>
      </c>
      <c r="U8908">
        <v>2.4261020000000002</v>
      </c>
      <c r="V8908">
        <v>0.20998610000000001</v>
      </c>
      <c r="W8908">
        <v>-0.1143185</v>
      </c>
      <c r="X8908">
        <v>0.97099800000000003</v>
      </c>
      <c r="Y8908">
        <v>0.59710319999999995</v>
      </c>
      <c r="Z8908">
        <v>-9.5870090000000005E-2</v>
      </c>
      <c r="AA8908">
        <v>0.79641490000000004</v>
      </c>
      <c r="AB8908">
        <v>26</v>
      </c>
      <c r="AC8908">
        <v>7.0192999999999799</v>
      </c>
      <c r="AD8908">
        <v>-1.116790514436</v>
      </c>
      <c r="AE8908">
        <v>7.53249999999999</v>
      </c>
      <c r="AF8908">
        <v>6.1871132114276302</v>
      </c>
      <c r="AG8908">
        <v>-1.116790514436</v>
      </c>
      <c r="AH8908">
        <v>8.0794589976852507</v>
      </c>
      <c r="AI8908">
        <v>96.262792077091603</v>
      </c>
      <c r="AJ8908">
        <v>52.555717761793701</v>
      </c>
      <c r="AK8908">
        <v>10.237443462087199</v>
      </c>
      <c r="AL8908">
        <v>96.564318752202894</v>
      </c>
      <c r="AM8908">
        <v>77.797243360906705</v>
      </c>
      <c r="AN8908">
        <v>0.99999999881973001</v>
      </c>
    </row>
    <row r="8909" spans="1:40" x14ac:dyDescent="0.25">
      <c r="A8909" t="str">
        <f>"20190303154353075"</f>
        <v>20190303154353075</v>
      </c>
      <c r="B8909" t="str">
        <f>"1551599033068667"</f>
        <v>1551599033068667</v>
      </c>
      <c r="C8909" t="s">
        <v>40</v>
      </c>
      <c r="D8909">
        <v>6.1836060000000002</v>
      </c>
      <c r="E8909">
        <v>0.6749349</v>
      </c>
      <c r="F8909" t="s">
        <v>57</v>
      </c>
      <c r="G8909">
        <v>-180.51650000000001</v>
      </c>
      <c r="H8909" s="1">
        <v>-5.4147269999999997E-6</v>
      </c>
      <c r="I8909">
        <v>129.66370000000001</v>
      </c>
      <c r="J8909">
        <v>-187.268</v>
      </c>
      <c r="K8909">
        <v>1.116695</v>
      </c>
      <c r="L8909">
        <v>122.5468</v>
      </c>
      <c r="M8909">
        <v>9.9900569999999994E-2</v>
      </c>
      <c r="N8909">
        <v>-1.415598E-2</v>
      </c>
      <c r="O8909">
        <v>0.99489669999999997</v>
      </c>
      <c r="P8909">
        <v>0.31011329999999998</v>
      </c>
      <c r="Q8909">
        <v>-0.12577859999999999</v>
      </c>
      <c r="R8909">
        <v>0.94234260000000003</v>
      </c>
      <c r="S8909">
        <v>2.2418520000000002</v>
      </c>
      <c r="T8909">
        <v>-0.3698477</v>
      </c>
      <c r="U8909">
        <v>2.4064640000000002</v>
      </c>
      <c r="V8909">
        <v>0.2132812</v>
      </c>
      <c r="W8909">
        <v>-0.1141913</v>
      </c>
      <c r="X8909">
        <v>0.97029449999999995</v>
      </c>
      <c r="Y8909">
        <v>0.60118539999999998</v>
      </c>
      <c r="Z8909">
        <v>-0.1014135</v>
      </c>
      <c r="AA8909">
        <v>0.79264840000000003</v>
      </c>
      <c r="AB8909">
        <v>26</v>
      </c>
      <c r="AC8909">
        <v>6.7514999999999903</v>
      </c>
      <c r="AD8909">
        <v>-1.1167004147270001</v>
      </c>
      <c r="AE8909">
        <v>7.1169000000000002</v>
      </c>
      <c r="AF8909">
        <v>5.9298240441863799</v>
      </c>
      <c r="AG8909">
        <v>-1.1167004147270001</v>
      </c>
      <c r="AH8909">
        <v>7.6566192740622698</v>
      </c>
      <c r="AI8909">
        <v>96.577714164841495</v>
      </c>
      <c r="AJ8909">
        <v>52.2432824861759</v>
      </c>
      <c r="AK8909">
        <v>9.7485204887308097</v>
      </c>
      <c r="AL8909">
        <v>96.556982878384105</v>
      </c>
      <c r="AM8909">
        <v>77.6029223719584</v>
      </c>
      <c r="AN8909">
        <v>0.99999996999968899</v>
      </c>
    </row>
    <row r="8910" spans="1:40" x14ac:dyDescent="0.25">
      <c r="A8910" t="str">
        <f>"20190303154353094"</f>
        <v>20190303154353094</v>
      </c>
      <c r="B8910" t="str">
        <f>"1551599033089164"</f>
        <v>1551599033089164</v>
      </c>
      <c r="C8910" t="s">
        <v>40</v>
      </c>
      <c r="D8910">
        <v>6.4443960000000002</v>
      </c>
      <c r="E8910">
        <v>0.67485200000000001</v>
      </c>
      <c r="F8910" t="s">
        <v>57</v>
      </c>
      <c r="G8910">
        <v>-180.56110000000001</v>
      </c>
      <c r="H8910" s="1">
        <v>-5.4088309999999996E-6</v>
      </c>
      <c r="I8910">
        <v>129.6534</v>
      </c>
      <c r="J8910">
        <v>-187.24270000000001</v>
      </c>
      <c r="K8910">
        <v>1.116568</v>
      </c>
      <c r="L8910">
        <v>122.7466</v>
      </c>
      <c r="M8910">
        <v>0.1046792</v>
      </c>
      <c r="N8910">
        <v>-1.417004E-2</v>
      </c>
      <c r="O8910">
        <v>0.99440510000000004</v>
      </c>
      <c r="P8910">
        <v>0.32204319999999997</v>
      </c>
      <c r="Q8910">
        <v>-0.1247883</v>
      </c>
      <c r="R8910">
        <v>0.93846479999999999</v>
      </c>
      <c r="S8910">
        <v>2.2563780000000002</v>
      </c>
      <c r="T8910">
        <v>-0.37568869999999999</v>
      </c>
      <c r="U8910">
        <v>2.3908689999999999</v>
      </c>
      <c r="V8910">
        <v>0.22086819999999999</v>
      </c>
      <c r="W8910">
        <v>-0.11335770000000001</v>
      </c>
      <c r="X8910">
        <v>0.96869360000000004</v>
      </c>
      <c r="Y8910">
        <v>0.60233749999999997</v>
      </c>
      <c r="Z8910">
        <v>-0.1034132</v>
      </c>
      <c r="AA8910">
        <v>0.79151450000000001</v>
      </c>
      <c r="AB8910">
        <v>26</v>
      </c>
      <c r="AC8910">
        <v>6.6816000000000004</v>
      </c>
      <c r="AD8910">
        <v>-1.116573408831</v>
      </c>
      <c r="AE8910">
        <v>6.9067999999999996</v>
      </c>
      <c r="AF8910">
        <v>5.8429310149809996</v>
      </c>
      <c r="AG8910">
        <v>-1.116573408831</v>
      </c>
      <c r="AH8910">
        <v>7.4675263846495996</v>
      </c>
      <c r="AI8910">
        <v>96.716226731249293</v>
      </c>
      <c r="AJ8910">
        <v>51.9587633904355</v>
      </c>
      <c r="AK8910">
        <v>9.5472786346986496</v>
      </c>
      <c r="AL8910">
        <v>96.508908686953603</v>
      </c>
      <c r="AM8910">
        <v>77.155776476939806</v>
      </c>
      <c r="AN8910">
        <v>1.00000001030074</v>
      </c>
    </row>
    <row r="8911" spans="1:40" x14ac:dyDescent="0.25">
      <c r="A8911" t="str">
        <f>"20190303154353106"</f>
        <v>20190303154353106</v>
      </c>
      <c r="B8911" t="str">
        <f>"1551599033098924"</f>
        <v>1551599033098924</v>
      </c>
      <c r="C8911" t="s">
        <v>40</v>
      </c>
      <c r="D8911">
        <v>6.18743</v>
      </c>
      <c r="E8911">
        <v>0.67442489999999999</v>
      </c>
      <c r="F8911" t="s">
        <v>57</v>
      </c>
      <c r="G8911">
        <v>-180.5992</v>
      </c>
      <c r="H8911" s="1">
        <v>-5.3914739999999997E-6</v>
      </c>
      <c r="I8911">
        <v>129.60849999999999</v>
      </c>
      <c r="J8911">
        <v>-187.2225</v>
      </c>
      <c r="K8911">
        <v>1.116466</v>
      </c>
      <c r="L8911">
        <v>122.8995</v>
      </c>
      <c r="M8911">
        <v>0.10846069999999999</v>
      </c>
      <c r="N8911">
        <v>-1.4181819999999999E-2</v>
      </c>
      <c r="O8911">
        <v>0.99399950000000004</v>
      </c>
      <c r="P8911">
        <v>0.32997009999999899</v>
      </c>
      <c r="Q8911">
        <v>-0.1239522</v>
      </c>
      <c r="R8911">
        <v>0.93581809999999999</v>
      </c>
      <c r="S8911">
        <v>2.2859950000000002</v>
      </c>
      <c r="T8911">
        <v>-0.38421070000000002</v>
      </c>
      <c r="U8911">
        <v>2.3611759999999999</v>
      </c>
      <c r="V8911">
        <v>0.2253338</v>
      </c>
      <c r="W8911">
        <v>-0.1126302</v>
      </c>
      <c r="X8911">
        <v>0.96774950000000004</v>
      </c>
      <c r="Y8911">
        <v>0.60916429999999999</v>
      </c>
      <c r="Z8911">
        <v>-0.1062531</v>
      </c>
      <c r="AA8911">
        <v>0.78589390000000003</v>
      </c>
      <c r="AB8911">
        <v>26</v>
      </c>
      <c r="AC8911">
        <v>6.6233000000000004</v>
      </c>
      <c r="AD8911">
        <v>-1.1164713914740001</v>
      </c>
      <c r="AE8911">
        <v>6.7089999999999801</v>
      </c>
      <c r="AF8911">
        <v>5.7754833733746498</v>
      </c>
      <c r="AG8911">
        <v>-1.1164713914740001</v>
      </c>
      <c r="AH8911">
        <v>7.2856737010892303</v>
      </c>
      <c r="AI8911">
        <v>96.847705049437707</v>
      </c>
      <c r="AJ8911">
        <v>51.595510551618702</v>
      </c>
      <c r="AK8911">
        <v>9.3639605852892291</v>
      </c>
      <c r="AL8911">
        <v>96.466957474718598</v>
      </c>
      <c r="AM8911">
        <v>76.892618231853405</v>
      </c>
      <c r="AN8911">
        <v>0.99999998906236398</v>
      </c>
    </row>
    <row r="8912" spans="1:40" x14ac:dyDescent="0.25">
      <c r="A8912" t="str">
        <f>"20190303154353120"</f>
        <v>20190303154353120</v>
      </c>
      <c r="B8912" t="str">
        <f>"1551599033108685"</f>
        <v>1551599033108685</v>
      </c>
      <c r="C8912" t="s">
        <v>40</v>
      </c>
      <c r="D8912">
        <v>6.1975490000000004</v>
      </c>
      <c r="E8912">
        <v>0.67398449999999999</v>
      </c>
      <c r="F8912" t="s">
        <v>57</v>
      </c>
      <c r="G8912">
        <v>-180.57570000000001</v>
      </c>
      <c r="H8912" s="1">
        <v>-5.4105540000000003E-6</v>
      </c>
      <c r="I8912">
        <v>129.66139999999999</v>
      </c>
      <c r="J8912">
        <v>-187.20160000000001</v>
      </c>
      <c r="K8912">
        <v>1.116363</v>
      </c>
      <c r="L8912">
        <v>123.0531</v>
      </c>
      <c r="M8912">
        <v>0.1123386</v>
      </c>
      <c r="N8912">
        <v>-1.4194210000000001E-2</v>
      </c>
      <c r="O8912">
        <v>0.99356860000000002</v>
      </c>
      <c r="P8912">
        <v>0.33781840000000002</v>
      </c>
      <c r="Q8912">
        <v>-0.1223904</v>
      </c>
      <c r="R8912">
        <v>0.93321989999999999</v>
      </c>
      <c r="S8912">
        <v>2.302689</v>
      </c>
      <c r="T8912">
        <v>-0.38679000000000002</v>
      </c>
      <c r="U8912">
        <v>2.34259</v>
      </c>
      <c r="V8912">
        <v>0.22963810000000001</v>
      </c>
      <c r="W8912">
        <v>-0.1111782</v>
      </c>
      <c r="X8912">
        <v>0.96690520000000002</v>
      </c>
      <c r="Y8912">
        <v>0.61196099999999998</v>
      </c>
      <c r="Z8912">
        <v>-0.1072544</v>
      </c>
      <c r="AA8912">
        <v>0.78358169999999905</v>
      </c>
      <c r="AB8912">
        <v>26</v>
      </c>
      <c r="AC8912">
        <v>6.6258999999999997</v>
      </c>
      <c r="AD8912">
        <v>-1.1163684105539999</v>
      </c>
      <c r="AE8912">
        <v>6.6082999999999803</v>
      </c>
      <c r="AF8912">
        <v>5.7595409330835299</v>
      </c>
      <c r="AG8912">
        <v>-1.1163684105539999</v>
      </c>
      <c r="AH8912">
        <v>7.2082957838435799</v>
      </c>
      <c r="AI8912">
        <v>96.898874063867396</v>
      </c>
      <c r="AJ8912">
        <v>51.374598967357301</v>
      </c>
      <c r="AK8912">
        <v>9.2939829080607197</v>
      </c>
      <c r="AL8912">
        <v>96.383238355747196</v>
      </c>
      <c r="AM8912">
        <v>76.639887290369302</v>
      </c>
      <c r="AN8912">
        <v>0.99999995745694403</v>
      </c>
    </row>
    <row r="8913" spans="1:40" x14ac:dyDescent="0.25">
      <c r="A8913" t="str">
        <f>"20190303154353133"</f>
        <v>20190303154353133</v>
      </c>
      <c r="B8913" t="str">
        <f>"1551599033129181"</f>
        <v>1551599033129181</v>
      </c>
      <c r="C8913" t="s">
        <v>40</v>
      </c>
      <c r="D8913">
        <v>6.1339750000000004</v>
      </c>
      <c r="E8913">
        <v>0.67368450000000002</v>
      </c>
      <c r="F8913" t="s">
        <v>57</v>
      </c>
      <c r="G8913">
        <v>-180.4973</v>
      </c>
      <c r="H8913" s="1">
        <v>-5.450784E-6</v>
      </c>
      <c r="I8913">
        <v>129.773</v>
      </c>
      <c r="J8913">
        <v>-187.18029999999999</v>
      </c>
      <c r="K8913">
        <v>1.1162609999999999</v>
      </c>
      <c r="L8913">
        <v>123.20529999999999</v>
      </c>
      <c r="M8913">
        <v>0.1162914</v>
      </c>
      <c r="N8913">
        <v>-1.420777E-2</v>
      </c>
      <c r="O8913">
        <v>0.99311349999999998</v>
      </c>
      <c r="P8913">
        <v>0.34592990000000001</v>
      </c>
      <c r="Q8913">
        <v>-0.1207363</v>
      </c>
      <c r="R8913">
        <v>0.9304597</v>
      </c>
      <c r="S8913">
        <v>2.3191380000000001</v>
      </c>
      <c r="T8913">
        <v>-0.38617010000000002</v>
      </c>
      <c r="U8913">
        <v>2.3245239999999998</v>
      </c>
      <c r="V8913">
        <v>0.23415910000000001</v>
      </c>
      <c r="W8913">
        <v>-0.10964019999999999</v>
      </c>
      <c r="X8913">
        <v>0.96599610000000002</v>
      </c>
      <c r="Y8913">
        <v>0.61464370000000002</v>
      </c>
      <c r="Z8913">
        <v>-0.1072567</v>
      </c>
      <c r="AA8913">
        <v>0.78147880000000003</v>
      </c>
      <c r="AB8913">
        <v>26</v>
      </c>
      <c r="AC8913">
        <v>6.6829999999999901</v>
      </c>
      <c r="AD8913">
        <v>-1.1162664507840001</v>
      </c>
      <c r="AE8913">
        <v>6.5677000000000003</v>
      </c>
      <c r="AF8913">
        <v>5.7916067620294198</v>
      </c>
      <c r="AG8913">
        <v>-1.1162664507840001</v>
      </c>
      <c r="AH8913">
        <v>7.1982239947359998</v>
      </c>
      <c r="AI8913">
        <v>96.889227776855407</v>
      </c>
      <c r="AJ8913">
        <v>51.1802514396296</v>
      </c>
      <c r="AK8913">
        <v>9.3060834056827506</v>
      </c>
      <c r="AL8913">
        <v>96.294575342634005</v>
      </c>
      <c r="AM8913">
        <v>76.374224862244404</v>
      </c>
      <c r="AN8913">
        <v>0.99999996139202896</v>
      </c>
    </row>
    <row r="8914" spans="1:40" x14ac:dyDescent="0.25">
      <c r="A8914" t="str">
        <f>"20190303154353148"</f>
        <v>20190303154353148</v>
      </c>
      <c r="B8914" t="str">
        <f>"1551599033138940"</f>
        <v>1551599033138940</v>
      </c>
      <c r="C8914" t="s">
        <v>40</v>
      </c>
      <c r="D8914">
        <v>6.4626260000000002</v>
      </c>
      <c r="E8914">
        <v>0.67364449999999998</v>
      </c>
      <c r="F8914" t="s">
        <v>57</v>
      </c>
      <c r="G8914">
        <v>-180.43049999999999</v>
      </c>
      <c r="H8914" s="1">
        <v>-5.4833690000000001E-6</v>
      </c>
      <c r="I8914">
        <v>129.86269999999999</v>
      </c>
      <c r="J8914">
        <v>-187.1549</v>
      </c>
      <c r="K8914">
        <v>1.116153</v>
      </c>
      <c r="L8914">
        <v>123.3781</v>
      </c>
      <c r="M8914">
        <v>0.1209233</v>
      </c>
      <c r="N8914">
        <v>-1.422475E-2</v>
      </c>
      <c r="O8914">
        <v>0.99255990000000005</v>
      </c>
      <c r="P8914">
        <v>0.35849300000000001</v>
      </c>
      <c r="Q8914">
        <v>-0.1178181</v>
      </c>
      <c r="R8914">
        <v>0.92606790000000005</v>
      </c>
      <c r="S8914">
        <v>2.3371430000000002</v>
      </c>
      <c r="T8914">
        <v>-0.38651170000000001</v>
      </c>
      <c r="U8914">
        <v>2.305161</v>
      </c>
      <c r="V8914">
        <v>0.2426566</v>
      </c>
      <c r="W8914">
        <v>-0.1069039</v>
      </c>
      <c r="X8914">
        <v>0.96420399999999995</v>
      </c>
      <c r="Y8914">
        <v>0.61724080000000003</v>
      </c>
      <c r="Z8914">
        <v>-0.10756110000000001</v>
      </c>
      <c r="AA8914">
        <v>0.77938719999999995</v>
      </c>
      <c r="AB8914">
        <v>26</v>
      </c>
      <c r="AC8914">
        <v>6.7244000000000002</v>
      </c>
      <c r="AD8914">
        <v>-1.1161584833689999</v>
      </c>
      <c r="AE8914">
        <v>6.4845999999999799</v>
      </c>
      <c r="AF8914">
        <v>5.8079144470080104</v>
      </c>
      <c r="AG8914">
        <v>-1.1161584833689999</v>
      </c>
      <c r="AH8914">
        <v>7.1481787615036501</v>
      </c>
      <c r="AI8914">
        <v>96.909798716639003</v>
      </c>
      <c r="AJ8914">
        <v>50.906048398077502</v>
      </c>
      <c r="AK8914">
        <v>9.2776149731583892</v>
      </c>
      <c r="AL8914">
        <v>96.136869431563994</v>
      </c>
      <c r="AM8914">
        <v>75.873994714103006</v>
      </c>
      <c r="AN8914">
        <v>1.0000000114873799</v>
      </c>
    </row>
    <row r="8915" spans="1:40" x14ac:dyDescent="0.25">
      <c r="A8915" t="str">
        <f>"20190303154353163"</f>
        <v>20190303154353163</v>
      </c>
      <c r="B8915" t="str">
        <f>"1551599033159436"</f>
        <v>1551599033159436</v>
      </c>
      <c r="C8915" t="s">
        <v>40</v>
      </c>
      <c r="D8915">
        <v>6.1030639999999998</v>
      </c>
      <c r="E8915">
        <v>0.67362819999999901</v>
      </c>
      <c r="F8915" t="s">
        <v>57</v>
      </c>
      <c r="G8915">
        <v>-180.15280000000001</v>
      </c>
      <c r="H8915" s="1">
        <v>-5.5856899999999999E-6</v>
      </c>
      <c r="I8915">
        <v>130.10489999999999</v>
      </c>
      <c r="J8915">
        <v>-187.131</v>
      </c>
      <c r="K8915">
        <v>1.1160429999999999</v>
      </c>
      <c r="L8915">
        <v>123.536</v>
      </c>
      <c r="M8915">
        <v>0.12526580000000001</v>
      </c>
      <c r="N8915">
        <v>-1.4240650000000001E-2</v>
      </c>
      <c r="O8915">
        <v>0.99202100000000004</v>
      </c>
      <c r="P8915">
        <v>0.36616120000000002</v>
      </c>
      <c r="Q8915">
        <v>-0.1167296</v>
      </c>
      <c r="R8915">
        <v>0.9232011</v>
      </c>
      <c r="S8915">
        <v>2.3679350000000001</v>
      </c>
      <c r="T8915">
        <v>-0.3774554</v>
      </c>
      <c r="U8915">
        <v>2.274826</v>
      </c>
      <c r="V8915">
        <v>0.24638930000000001</v>
      </c>
      <c r="W8915">
        <v>-0.1059287</v>
      </c>
      <c r="X8915">
        <v>0.96336469999999996</v>
      </c>
      <c r="Y8915">
        <v>0.62425430000000004</v>
      </c>
      <c r="Z8915">
        <v>-0.10493189999999999</v>
      </c>
      <c r="AA8915">
        <v>0.774142</v>
      </c>
      <c r="AB8915">
        <v>25</v>
      </c>
      <c r="AC8915">
        <v>6.9781999999999504</v>
      </c>
      <c r="AD8915">
        <v>-1.11604858569</v>
      </c>
      <c r="AE8915">
        <v>6.5688999999999798</v>
      </c>
      <c r="AF8915">
        <v>6.0186591147997799</v>
      </c>
      <c r="AG8915">
        <v>-1.11604858569</v>
      </c>
      <c r="AH8915">
        <v>7.2924694109357402</v>
      </c>
      <c r="AI8915">
        <v>96.7316511721192</v>
      </c>
      <c r="AJ8915">
        <v>50.466282209465398</v>
      </c>
      <c r="AK8915">
        <v>9.5210257900720201</v>
      </c>
      <c r="AL8915">
        <v>96.080675195936095</v>
      </c>
      <c r="AM8915">
        <v>75.653617195905795</v>
      </c>
      <c r="AN8915">
        <v>1.00000006092213</v>
      </c>
    </row>
    <row r="8916" spans="1:40" x14ac:dyDescent="0.25">
      <c r="A8916" t="str">
        <f>"20190303154353183"</f>
        <v>20190303154353183</v>
      </c>
      <c r="B8916" t="str">
        <f>"1551599033178955"</f>
        <v>1551599033178955</v>
      </c>
      <c r="C8916" t="s">
        <v>40</v>
      </c>
      <c r="D8916">
        <v>6.2837189999999996</v>
      </c>
      <c r="E8916">
        <v>0.67347509999999999</v>
      </c>
      <c r="F8916" t="s">
        <v>57</v>
      </c>
      <c r="G8916">
        <v>-180.0222</v>
      </c>
      <c r="H8916" s="1">
        <v>-5.6495870000000004E-6</v>
      </c>
      <c r="I8916">
        <v>130.25479999999999</v>
      </c>
      <c r="J8916">
        <v>-187.09389999999999</v>
      </c>
      <c r="K8916">
        <v>1.1158729999999999</v>
      </c>
      <c r="L8916">
        <v>123.7706</v>
      </c>
      <c r="M8916">
        <v>0.13195019999999999</v>
      </c>
      <c r="N8916">
        <v>-1.4265359999999999E-2</v>
      </c>
      <c r="O8916">
        <v>0.99115370000000003</v>
      </c>
      <c r="P8916">
        <v>0.37963010000000003</v>
      </c>
      <c r="Q8916">
        <v>-0.114495</v>
      </c>
      <c r="R8916">
        <v>0.91802609999999996</v>
      </c>
      <c r="S8916">
        <v>2.3865509999999999</v>
      </c>
      <c r="T8916">
        <v>-0.37467780000000001</v>
      </c>
      <c r="U8916">
        <v>2.25563</v>
      </c>
      <c r="V8916">
        <v>0.25391269999999999</v>
      </c>
      <c r="W8916">
        <v>-0.1038994</v>
      </c>
      <c r="X8916">
        <v>0.96163050000000005</v>
      </c>
      <c r="Y8916">
        <v>0.62536659999999999</v>
      </c>
      <c r="Z8916">
        <v>-0.10426729999999999</v>
      </c>
      <c r="AA8916">
        <v>0.77333369999999901</v>
      </c>
      <c r="AB8916">
        <v>25</v>
      </c>
      <c r="AC8916">
        <v>7.0716999999999901</v>
      </c>
      <c r="AD8916">
        <v>-1.1158786495869999</v>
      </c>
      <c r="AE8916">
        <v>6.48419999999998</v>
      </c>
      <c r="AF8916">
        <v>6.0720415543892301</v>
      </c>
      <c r="AG8916">
        <v>-1.1158786495869999</v>
      </c>
      <c r="AH8916">
        <v>7.2624627491510401</v>
      </c>
      <c r="AI8916">
        <v>96.722865849770301</v>
      </c>
      <c r="AJ8916">
        <v>50.101485132589197</v>
      </c>
      <c r="AK8916">
        <v>9.5319588218602895</v>
      </c>
      <c r="AL8916">
        <v>95.963760109313895</v>
      </c>
      <c r="AM8916">
        <v>75.208969204058107</v>
      </c>
      <c r="AN8916">
        <v>0.99999998153594905</v>
      </c>
    </row>
    <row r="8917" spans="1:40" x14ac:dyDescent="0.25">
      <c r="A8917" t="str">
        <f>"20190303154353205"</f>
        <v>20190303154353205</v>
      </c>
      <c r="B8917" t="str">
        <f>"1551599033199452"</f>
        <v>1551599033199452</v>
      </c>
      <c r="C8917" t="s">
        <v>40</v>
      </c>
      <c r="D8917">
        <v>6.0961489999999996</v>
      </c>
      <c r="E8917">
        <v>0.67325419999999903</v>
      </c>
      <c r="F8917" t="s">
        <v>57</v>
      </c>
      <c r="G8917">
        <v>-179.81440000000001</v>
      </c>
      <c r="H8917" s="1">
        <v>-5.6370980000000001E-6</v>
      </c>
      <c r="I8917">
        <v>130.45820000000001</v>
      </c>
      <c r="J8917">
        <v>-187.053</v>
      </c>
      <c r="K8917">
        <v>1.115691</v>
      </c>
      <c r="L8917">
        <v>124.01690000000001</v>
      </c>
      <c r="M8917">
        <v>0.1392632</v>
      </c>
      <c r="N8917">
        <v>-1.429355E-2</v>
      </c>
      <c r="O8917">
        <v>0.99015220000000004</v>
      </c>
      <c r="P8917">
        <v>0.39348480000000002</v>
      </c>
      <c r="Q8917">
        <v>-0.1111782</v>
      </c>
      <c r="R8917">
        <v>0.91258379999999995</v>
      </c>
      <c r="S8917">
        <v>2.4182739999999998</v>
      </c>
      <c r="T8917">
        <v>-0.37069370000000001</v>
      </c>
      <c r="U8917">
        <v>2.221603</v>
      </c>
      <c r="V8917">
        <v>0.2612873</v>
      </c>
      <c r="W8917">
        <v>-0.10079589999999999</v>
      </c>
      <c r="X8917">
        <v>0.9599839</v>
      </c>
      <c r="Y8917">
        <v>0.63064690000000001</v>
      </c>
      <c r="Z8917">
        <v>-0.1032993</v>
      </c>
      <c r="AA8917">
        <v>0.76916430000000002</v>
      </c>
      <c r="AB8917">
        <v>25</v>
      </c>
      <c r="AC8917">
        <v>7.2385999999999902</v>
      </c>
      <c r="AD8917">
        <v>-1.1156966370979999</v>
      </c>
      <c r="AE8917">
        <v>6.4412999999999903</v>
      </c>
      <c r="AF8917">
        <v>6.1888674575727096</v>
      </c>
      <c r="AG8917">
        <v>-1.1156966370979999</v>
      </c>
      <c r="AH8917">
        <v>7.2900402472463997</v>
      </c>
      <c r="AI8917">
        <v>96.654655191153296</v>
      </c>
      <c r="AJ8917">
        <v>49.670463609813297</v>
      </c>
      <c r="AK8917">
        <v>9.6276448937373402</v>
      </c>
      <c r="AL8917">
        <v>95.785003899518898</v>
      </c>
      <c r="AM8917">
        <v>74.774133057238103</v>
      </c>
      <c r="AN8917">
        <v>0.99999997742865399</v>
      </c>
    </row>
    <row r="8918" spans="1:40" x14ac:dyDescent="0.25">
      <c r="A8918" t="str">
        <f>"20190303154353217"</f>
        <v>20190303154353217</v>
      </c>
      <c r="B8918" t="str">
        <f>"1551599033209212"</f>
        <v>1551599033209212</v>
      </c>
      <c r="C8918" t="s">
        <v>40</v>
      </c>
      <c r="D8918">
        <v>6.3580719999999999</v>
      </c>
      <c r="E8918">
        <v>0.67310049999999999</v>
      </c>
      <c r="F8918" t="s">
        <v>57</v>
      </c>
      <c r="G8918">
        <v>-179.52549999999999</v>
      </c>
      <c r="H8918" s="1">
        <v>-5.5540079999999999E-6</v>
      </c>
      <c r="I8918">
        <v>130.73490000000001</v>
      </c>
      <c r="J8918">
        <v>-187.02979999999999</v>
      </c>
      <c r="K8918">
        <v>1.1155889999999999</v>
      </c>
      <c r="L8918">
        <v>124.152</v>
      </c>
      <c r="M8918">
        <v>0.143375799999999</v>
      </c>
      <c r="N8918">
        <v>-1.43096E-2</v>
      </c>
      <c r="O8918">
        <v>0.98956480000000002</v>
      </c>
      <c r="P8918">
        <v>0.40121279999999998</v>
      </c>
      <c r="Q8918">
        <v>-0.10921640000000001</v>
      </c>
      <c r="R8918">
        <v>0.90945039999999999</v>
      </c>
      <c r="S8918">
        <v>2.45018</v>
      </c>
      <c r="T8918">
        <v>-0.36315560000000002</v>
      </c>
      <c r="U8918">
        <v>2.1866759999999998</v>
      </c>
      <c r="V8918">
        <v>0.26539839999999998</v>
      </c>
      <c r="W8918">
        <v>-9.8955340000000003E-2</v>
      </c>
      <c r="X8918">
        <v>0.95904719999999999</v>
      </c>
      <c r="Y8918">
        <v>0.63864989999999999</v>
      </c>
      <c r="Z8918">
        <v>-0.10116029999999999</v>
      </c>
      <c r="AA8918">
        <v>0.76281909999999997</v>
      </c>
      <c r="AB8918">
        <v>25</v>
      </c>
      <c r="AC8918">
        <v>7.5042999999999997</v>
      </c>
      <c r="AD8918">
        <v>-1.1155945540079999</v>
      </c>
      <c r="AE8918">
        <v>6.5829000000000004</v>
      </c>
      <c r="AF8918">
        <v>6.4028592555056401</v>
      </c>
      <c r="AG8918">
        <v>-1.1155945540079999</v>
      </c>
      <c r="AH8918">
        <v>7.49728271609888</v>
      </c>
      <c r="AI8918">
        <v>96.455643636481298</v>
      </c>
      <c r="AJ8918">
        <v>49.501878533478802</v>
      </c>
      <c r="AK8918">
        <v>9.9222177954256594</v>
      </c>
      <c r="AL8918">
        <v>95.679017488955495</v>
      </c>
      <c r="AM8918">
        <v>74.531566533706695</v>
      </c>
      <c r="AN8918">
        <v>1.0000000009324499</v>
      </c>
    </row>
    <row r="8919" spans="1:40" x14ac:dyDescent="0.25">
      <c r="A8919" t="str">
        <f>"20190303154353228"</f>
        <v>20190303154353228</v>
      </c>
      <c r="B8919" t="str">
        <f>"1551599033218973"</f>
        <v>1551599033218973</v>
      </c>
      <c r="C8919" t="s">
        <v>40</v>
      </c>
      <c r="D8919">
        <v>6.3798349999999999</v>
      </c>
      <c r="E8919">
        <v>0.67295229999999995</v>
      </c>
      <c r="F8919" t="s">
        <v>57</v>
      </c>
      <c r="G8919">
        <v>-179.36680000000001</v>
      </c>
      <c r="H8919" s="1">
        <v>-5.5061779999999997E-6</v>
      </c>
      <c r="I8919">
        <v>130.88059999999999</v>
      </c>
      <c r="J8919">
        <v>-187.00489999999999</v>
      </c>
      <c r="K8919">
        <v>1.1154809999999999</v>
      </c>
      <c r="L8919">
        <v>124.29049999999999</v>
      </c>
      <c r="M8919">
        <v>0.14774670000000001</v>
      </c>
      <c r="N8919">
        <v>-1.432778E-2</v>
      </c>
      <c r="O8919">
        <v>0.98892150000000001</v>
      </c>
      <c r="P8919">
        <v>0.40938669999999999</v>
      </c>
      <c r="Q8919">
        <v>-0.10718279999999999</v>
      </c>
      <c r="R8919">
        <v>0.9060433</v>
      </c>
      <c r="S8919">
        <v>2.4677579999999999</v>
      </c>
      <c r="T8919">
        <v>-0.35926130000000001</v>
      </c>
      <c r="U8919">
        <v>2.1668699999999999</v>
      </c>
      <c r="V8919">
        <v>0.2697505</v>
      </c>
      <c r="W8919">
        <v>-9.7052650000000004E-2</v>
      </c>
      <c r="X8919">
        <v>0.95802679999999996</v>
      </c>
      <c r="Y8919">
        <v>0.64149400000000001</v>
      </c>
      <c r="Z8919">
        <v>-0.10009940000000001</v>
      </c>
      <c r="AA8919">
        <v>0.7605693</v>
      </c>
      <c r="AB8919">
        <v>25</v>
      </c>
      <c r="AC8919">
        <v>7.6380999999999801</v>
      </c>
      <c r="AD8919">
        <v>-1.1154865061779999</v>
      </c>
      <c r="AE8919">
        <v>6.5900999999999899</v>
      </c>
      <c r="AF8919">
        <v>6.5010051305482301</v>
      </c>
      <c r="AG8919">
        <v>-1.1154865061779999</v>
      </c>
      <c r="AH8919">
        <v>7.5540194701763701</v>
      </c>
      <c r="AI8919">
        <v>96.386326254301807</v>
      </c>
      <c r="AJ8919">
        <v>49.284643504110797</v>
      </c>
      <c r="AK8919">
        <v>10.0284888197915</v>
      </c>
      <c r="AL8919">
        <v>95.569474313709094</v>
      </c>
      <c r="AM8919">
        <v>74.274434217662701</v>
      </c>
      <c r="AN8919">
        <v>0.99999994932025404</v>
      </c>
    </row>
    <row r="8920" spans="1:40" x14ac:dyDescent="0.25">
      <c r="A8920" t="str">
        <f>"20190303154353241"</f>
        <v>20190303154353241</v>
      </c>
      <c r="B8920" t="str">
        <f>"1551599033238492"</f>
        <v>1551599033238492</v>
      </c>
      <c r="C8920" t="s">
        <v>40</v>
      </c>
      <c r="D8920">
        <v>6.0654510000000004</v>
      </c>
      <c r="E8920">
        <v>0.67255180000000003</v>
      </c>
      <c r="F8920" t="s">
        <v>57</v>
      </c>
      <c r="G8920">
        <v>-179.20920000000001</v>
      </c>
      <c r="H8920" s="1">
        <v>-5.4536889999999999E-6</v>
      </c>
      <c r="I8920">
        <v>131.01910000000001</v>
      </c>
      <c r="J8920">
        <v>-186.9802</v>
      </c>
      <c r="K8920">
        <v>1.1153690000000001</v>
      </c>
      <c r="L8920">
        <v>124.4251</v>
      </c>
      <c r="M8920">
        <v>0.15207229999999999</v>
      </c>
      <c r="N8920">
        <v>-1.4345979999999999E-2</v>
      </c>
      <c r="O8920">
        <v>0.98826530000000001</v>
      </c>
      <c r="P8920">
        <v>0.41750789999999999</v>
      </c>
      <c r="Q8920">
        <v>-0.1045451</v>
      </c>
      <c r="R8920">
        <v>0.90263919999999997</v>
      </c>
      <c r="S8920">
        <v>2.4860229999999999</v>
      </c>
      <c r="T8920">
        <v>-0.35572599999999999</v>
      </c>
      <c r="U8920">
        <v>2.145737</v>
      </c>
      <c r="V8920">
        <v>0.27411410000000003</v>
      </c>
      <c r="W8920">
        <v>-9.4548649999999998E-2</v>
      </c>
      <c r="X8920">
        <v>0.95703819999999995</v>
      </c>
      <c r="Y8920">
        <v>0.64468819999999905</v>
      </c>
      <c r="Z8920">
        <v>-9.9156250000000001E-2</v>
      </c>
      <c r="AA8920">
        <v>0.75798759999999998</v>
      </c>
      <c r="AB8920">
        <v>25</v>
      </c>
      <c r="AC8920">
        <v>7.7709999999999804</v>
      </c>
      <c r="AD8920">
        <v>-1.115374453689</v>
      </c>
      <c r="AE8920">
        <v>6.5940000000000003</v>
      </c>
      <c r="AF8920">
        <v>6.5986980416214696</v>
      </c>
      <c r="AG8920">
        <v>-1.115374453689</v>
      </c>
      <c r="AH8920">
        <v>7.6080443255676897</v>
      </c>
      <c r="AI8920">
        <v>96.319812578993407</v>
      </c>
      <c r="AJ8920">
        <v>49.063864169690497</v>
      </c>
      <c r="AK8920">
        <v>10.132581826772601</v>
      </c>
      <c r="AL8920">
        <v>95.425342151241196</v>
      </c>
      <c r="AM8920">
        <v>74.017271503621004</v>
      </c>
      <c r="AN8920">
        <v>1.0000000516474301</v>
      </c>
    </row>
    <row r="8921" spans="1:40" x14ac:dyDescent="0.25">
      <c r="A8921" t="str">
        <f>"20190303154353254"</f>
        <v>20190303154353254</v>
      </c>
      <c r="B8921" t="str">
        <f>"1551599033249228"</f>
        <v>1551599033249228</v>
      </c>
      <c r="C8921" t="s">
        <v>40</v>
      </c>
      <c r="D8921">
        <v>6.3549639999999998</v>
      </c>
      <c r="E8921">
        <v>0.67229530000000004</v>
      </c>
      <c r="F8921" t="s">
        <v>57</v>
      </c>
      <c r="G8921">
        <v>-179.0677</v>
      </c>
      <c r="H8921" s="1">
        <v>-5.4052880000000002E-6</v>
      </c>
      <c r="I8921">
        <v>131.14599999999999</v>
      </c>
      <c r="J8921">
        <v>-186.9513</v>
      </c>
      <c r="K8921">
        <v>1.11524</v>
      </c>
      <c r="L8921">
        <v>124.5782</v>
      </c>
      <c r="M8921">
        <v>0.15710789999999999</v>
      </c>
      <c r="N8921">
        <v>-1.4367649999999999E-2</v>
      </c>
      <c r="O8921">
        <v>0.98747689999999999</v>
      </c>
      <c r="P8921">
        <v>0.4260774</v>
      </c>
      <c r="Q8921">
        <v>-0.1028097</v>
      </c>
      <c r="R8921">
        <v>0.89882609999999996</v>
      </c>
      <c r="S8921">
        <v>2.5022129999999998</v>
      </c>
      <c r="T8921">
        <v>-0.35271999999999998</v>
      </c>
      <c r="U8921">
        <v>2.125381</v>
      </c>
      <c r="V8921">
        <v>0.2782927</v>
      </c>
      <c r="W8921">
        <v>-9.2960039999999994E-2</v>
      </c>
      <c r="X8921">
        <v>0.95598729999999998</v>
      </c>
      <c r="Y8921">
        <v>0.64686350000000004</v>
      </c>
      <c r="Z8921">
        <v>-9.8408889999999999E-2</v>
      </c>
      <c r="AA8921">
        <v>0.7562297</v>
      </c>
      <c r="AB8921">
        <v>25</v>
      </c>
      <c r="AC8921">
        <v>7.8836000000000004</v>
      </c>
      <c r="AD8921">
        <v>-1.1152454052879901</v>
      </c>
      <c r="AE8921">
        <v>6.5678000000000099</v>
      </c>
      <c r="AF8921">
        <v>6.6748657553715898</v>
      </c>
      <c r="AG8921">
        <v>-1.1152454052879901</v>
      </c>
      <c r="AH8921">
        <v>7.6347339665871301</v>
      </c>
      <c r="AI8921">
        <v>96.275727146631397</v>
      </c>
      <c r="AJ8921">
        <v>48.837572975290797</v>
      </c>
      <c r="AK8921">
        <v>10.202292286873901</v>
      </c>
      <c r="AL8921">
        <v>95.333918783212397</v>
      </c>
      <c r="AM8921">
        <v>73.7694569551944</v>
      </c>
      <c r="AN8921">
        <v>1.0000000568356799</v>
      </c>
    </row>
    <row r="8922" spans="1:40" x14ac:dyDescent="0.25">
      <c r="A8922" t="str">
        <f>"20190303154353266"</f>
        <v>20190303154353266</v>
      </c>
      <c r="B8922" t="str">
        <f>"1551599033258988"</f>
        <v>1551599033258988</v>
      </c>
      <c r="C8922" t="s">
        <v>40</v>
      </c>
      <c r="D8922">
        <v>6.0668550000000003</v>
      </c>
      <c r="E8922">
        <v>0.67200850000000001</v>
      </c>
      <c r="F8922" t="s">
        <v>57</v>
      </c>
      <c r="G8922">
        <v>-178.91229999999999</v>
      </c>
      <c r="H8922" s="1">
        <v>-5.3523659999999899E-6</v>
      </c>
      <c r="I8922">
        <v>131.28579999999999</v>
      </c>
      <c r="J8922">
        <v>-186.92439999999999</v>
      </c>
      <c r="K8922">
        <v>1.115105</v>
      </c>
      <c r="L8922">
        <v>124.7148</v>
      </c>
      <c r="M8922">
        <v>0.16178779999999901</v>
      </c>
      <c r="N8922">
        <v>-1.4390460000000001E-2</v>
      </c>
      <c r="O8922">
        <v>0.98672059999999995</v>
      </c>
      <c r="P8922">
        <v>0.43459619999999999</v>
      </c>
      <c r="Q8922">
        <v>-0.1019383</v>
      </c>
      <c r="R8922">
        <v>0.89483780000000002</v>
      </c>
      <c r="S8922">
        <v>2.5203859999999998</v>
      </c>
      <c r="T8922">
        <v>-0.34964899999999999</v>
      </c>
      <c r="U8922">
        <v>2.102951</v>
      </c>
      <c r="V8922">
        <v>0.28279539999999997</v>
      </c>
      <c r="W8922">
        <v>-9.2245709999999995E-2</v>
      </c>
      <c r="X8922">
        <v>0.95473430000000004</v>
      </c>
      <c r="Y8922">
        <v>0.64996719999999997</v>
      </c>
      <c r="Z8922">
        <v>-9.762651E-2</v>
      </c>
      <c r="AA8922">
        <v>0.75366560000000005</v>
      </c>
      <c r="AB8922">
        <v>25</v>
      </c>
      <c r="AC8922">
        <v>8.0121000000000002</v>
      </c>
      <c r="AD8922">
        <v>-1.115110352366</v>
      </c>
      <c r="AE8922">
        <v>6.57099999999999</v>
      </c>
      <c r="AF8922">
        <v>6.7649604618421</v>
      </c>
      <c r="AG8922">
        <v>-1.115110352366</v>
      </c>
      <c r="AH8922">
        <v>7.6917292890886699</v>
      </c>
      <c r="AI8922">
        <v>96.212826375523207</v>
      </c>
      <c r="AJ8922">
        <v>48.668016770468498</v>
      </c>
      <c r="AK8922">
        <v>10.3039245244161</v>
      </c>
      <c r="AL8922">
        <v>95.292814123745501</v>
      </c>
      <c r="AM8922">
        <v>73.500539785456596</v>
      </c>
      <c r="AN8922">
        <v>1.0000000464355201</v>
      </c>
    </row>
    <row r="8923" spans="1:40" x14ac:dyDescent="0.25">
      <c r="A8923" t="str">
        <f>"20190303154353283"</f>
        <v>20190303154353283</v>
      </c>
      <c r="B8923" t="str">
        <f>"1551599033278508"</f>
        <v>1551599033278508</v>
      </c>
      <c r="C8923" t="s">
        <v>40</v>
      </c>
      <c r="D8923">
        <v>6.0705159999999996</v>
      </c>
      <c r="E8923">
        <v>0.67145279999999996</v>
      </c>
      <c r="F8923" t="s">
        <v>57</v>
      </c>
      <c r="G8923">
        <v>-178.8237</v>
      </c>
      <c r="H8923" s="1">
        <v>-5.3174210000000001E-6</v>
      </c>
      <c r="I8923">
        <v>131.35299999999901</v>
      </c>
      <c r="J8923">
        <v>-186.88829999999999</v>
      </c>
      <c r="K8923">
        <v>1.114911</v>
      </c>
      <c r="L8923">
        <v>124.8935</v>
      </c>
      <c r="M8923">
        <v>0.16806779999999999</v>
      </c>
      <c r="N8923">
        <v>-1.442267E-2</v>
      </c>
      <c r="O8923">
        <v>0.98566989999999999</v>
      </c>
      <c r="P8923">
        <v>0.44862259999999998</v>
      </c>
      <c r="Q8923">
        <v>-0.1018725</v>
      </c>
      <c r="R8923">
        <v>0.88789629999999997</v>
      </c>
      <c r="S8923">
        <v>2.538284</v>
      </c>
      <c r="T8923">
        <v>-0.34940919999999998</v>
      </c>
      <c r="U8923">
        <v>2.0800019999999999</v>
      </c>
      <c r="V8923">
        <v>0.29166700000000001</v>
      </c>
      <c r="W8923">
        <v>-9.2457419999999998E-2</v>
      </c>
      <c r="X8923">
        <v>0.95204100000000003</v>
      </c>
      <c r="Y8923">
        <v>0.65181519999999904</v>
      </c>
      <c r="Z8923">
        <v>-9.7762089999999996E-2</v>
      </c>
      <c r="AA8923">
        <v>0.7520502</v>
      </c>
      <c r="AB8923">
        <v>25</v>
      </c>
      <c r="AC8923">
        <v>8.0645999999999791</v>
      </c>
      <c r="AD8923">
        <v>-1.1149163174209999</v>
      </c>
      <c r="AE8923">
        <v>6.45949999999997</v>
      </c>
      <c r="AF8923">
        <v>6.78511469190593</v>
      </c>
      <c r="AG8923">
        <v>-1.1149163174209999</v>
      </c>
      <c r="AH8923">
        <v>7.6342523473681796</v>
      </c>
      <c r="AI8923">
        <v>96.229681441170897</v>
      </c>
      <c r="AJ8923">
        <v>48.370181280785502</v>
      </c>
      <c r="AK8923">
        <v>10.2743675562277</v>
      </c>
      <c r="AL8923">
        <v>95.304996310231203</v>
      </c>
      <c r="AM8923">
        <v>72.967046176746393</v>
      </c>
      <c r="AN8923">
        <v>1.0000000395415201</v>
      </c>
    </row>
    <row r="8924" spans="1:40" x14ac:dyDescent="0.25">
      <c r="A8924" t="str">
        <f>"20190303154353296"</f>
        <v>20190303154353296</v>
      </c>
      <c r="B8924" t="str">
        <f>"1551599033289244"</f>
        <v>1551599033289244</v>
      </c>
      <c r="C8924" t="s">
        <v>40</v>
      </c>
      <c r="D8924">
        <v>6.4054690000000001</v>
      </c>
      <c r="E8924">
        <v>0.67111089999999995</v>
      </c>
      <c r="F8924" t="s">
        <v>57</v>
      </c>
      <c r="G8924">
        <v>-178.76679999999999</v>
      </c>
      <c r="H8924" s="1">
        <v>-5.2785990000000003E-6</v>
      </c>
      <c r="I8924">
        <v>131.35299999999901</v>
      </c>
      <c r="J8924">
        <v>-186.85720000000001</v>
      </c>
      <c r="K8924">
        <v>1.1147320000000001</v>
      </c>
      <c r="L8924">
        <v>125.0427</v>
      </c>
      <c r="M8924">
        <v>0.173460999999999</v>
      </c>
      <c r="N8924">
        <v>-1.4451800000000001E-2</v>
      </c>
      <c r="O8924">
        <v>0.98473469999999996</v>
      </c>
      <c r="P8924">
        <v>0.4574685</v>
      </c>
      <c r="Q8924">
        <v>-0.1025089</v>
      </c>
      <c r="R8924">
        <v>0.88329749999999996</v>
      </c>
      <c r="S8924">
        <v>2.5667270000000002</v>
      </c>
      <c r="T8924">
        <v>-0.35235880000000003</v>
      </c>
      <c r="U8924">
        <v>2.0414729999999999</v>
      </c>
      <c r="V8924">
        <v>0.29591719999999999</v>
      </c>
      <c r="W8924">
        <v>-9.3280020000000005E-2</v>
      </c>
      <c r="X8924">
        <v>0.9506481</v>
      </c>
      <c r="Y8924">
        <v>0.658520199999999</v>
      </c>
      <c r="Z8924">
        <v>-9.899898E-2</v>
      </c>
      <c r="AA8924">
        <v>0.74602309999999905</v>
      </c>
      <c r="AB8924">
        <v>25</v>
      </c>
      <c r="AC8924">
        <v>8.0904000000000096</v>
      </c>
      <c r="AD8924">
        <v>-1.114737278599</v>
      </c>
      <c r="AE8924">
        <v>6.3102999999999803</v>
      </c>
      <c r="AF8924">
        <v>6.7928430327543001</v>
      </c>
      <c r="AG8924">
        <v>-1.114737278599</v>
      </c>
      <c r="AH8924">
        <v>7.5292618843969299</v>
      </c>
      <c r="AI8924">
        <v>96.273208137960097</v>
      </c>
      <c r="AJ8924">
        <v>47.943461644473899</v>
      </c>
      <c r="AK8924">
        <v>10.201722412993201</v>
      </c>
      <c r="AL8924">
        <v>95.352332703140206</v>
      </c>
      <c r="AM8924">
        <v>72.709709080122195</v>
      </c>
      <c r="AN8924">
        <v>0.99999998071032503</v>
      </c>
    </row>
    <row r="8925" spans="1:40" x14ac:dyDescent="0.25">
      <c r="A8925" t="str">
        <f>"20190303154353308"</f>
        <v>20190303154353308</v>
      </c>
      <c r="B8925" t="str">
        <f>"1551599033299004"</f>
        <v>1551599033299004</v>
      </c>
      <c r="C8925" t="s">
        <v>40</v>
      </c>
      <c r="D8925">
        <v>6.2998649999999996</v>
      </c>
      <c r="E8925">
        <v>0.67078019999999905</v>
      </c>
      <c r="F8925" t="s">
        <v>57</v>
      </c>
      <c r="G8925">
        <v>-178.77180000000001</v>
      </c>
      <c r="H8925" s="1">
        <v>-5.281018E-6</v>
      </c>
      <c r="I8925">
        <v>131.3503</v>
      </c>
      <c r="J8925">
        <v>-186.8262</v>
      </c>
      <c r="K8925">
        <v>1.1145480000000001</v>
      </c>
      <c r="L8925">
        <v>125.1849</v>
      </c>
      <c r="M8925">
        <v>0.17883489999999999</v>
      </c>
      <c r="N8925">
        <v>-1.448549E-2</v>
      </c>
      <c r="O8925">
        <v>0.98377250000000005</v>
      </c>
      <c r="P8925">
        <v>0.46596460000000001</v>
      </c>
      <c r="Q8925">
        <v>-0.10239139999999999</v>
      </c>
      <c r="R8925">
        <v>0.8788589</v>
      </c>
      <c r="S8925">
        <v>2.5847020000000001</v>
      </c>
      <c r="T8925">
        <v>-0.35635169999999999</v>
      </c>
      <c r="U8925">
        <v>2.0163730000000002</v>
      </c>
      <c r="V8925">
        <v>0.29984270000000002</v>
      </c>
      <c r="W8925">
        <v>-9.3342850000000005E-2</v>
      </c>
      <c r="X8925">
        <v>0.94941109999999895</v>
      </c>
      <c r="Y8925">
        <v>0.66131870000000004</v>
      </c>
      <c r="Z8925">
        <v>-0.1004824</v>
      </c>
      <c r="AA8925">
        <v>0.74334429999999996</v>
      </c>
      <c r="AB8925">
        <v>25</v>
      </c>
      <c r="AC8925">
        <v>8.0543999999999798</v>
      </c>
      <c r="AD8925">
        <v>-1.1145532810180001</v>
      </c>
      <c r="AE8925">
        <v>6.1654</v>
      </c>
      <c r="AF8925">
        <v>6.74044061852877</v>
      </c>
      <c r="AG8925">
        <v>-1.1145532810180001</v>
      </c>
      <c r="AH8925">
        <v>7.4169940541875103</v>
      </c>
      <c r="AI8925">
        <v>96.345673959683396</v>
      </c>
      <c r="AJ8925">
        <v>47.735960986058998</v>
      </c>
      <c r="AK8925">
        <v>10.084025463473999</v>
      </c>
      <c r="AL8925">
        <v>95.355948351436595</v>
      </c>
      <c r="AM8925">
        <v>72.472858422316406</v>
      </c>
      <c r="AN8925">
        <v>0.99999998459631101</v>
      </c>
    </row>
    <row r="8926" spans="1:40" x14ac:dyDescent="0.25">
      <c r="A8926" t="str">
        <f>"20190303154353323"</f>
        <v>20190303154353323</v>
      </c>
      <c r="B8926" t="str">
        <f>"1551599033318526"</f>
        <v>1551599033318526</v>
      </c>
      <c r="C8926" t="s">
        <v>40</v>
      </c>
      <c r="D8926">
        <v>5.8766080000000001</v>
      </c>
      <c r="E8926">
        <v>0.6704542</v>
      </c>
      <c r="F8926" t="s">
        <v>57</v>
      </c>
      <c r="G8926">
        <v>-178.74080000000001</v>
      </c>
      <c r="H8926" s="1">
        <v>-5.2700329999999998E-6</v>
      </c>
      <c r="I8926">
        <v>131.37719999999999</v>
      </c>
      <c r="J8926">
        <v>-186.7928</v>
      </c>
      <c r="K8926">
        <v>1.1143590000000001</v>
      </c>
      <c r="L8926">
        <v>125.3343</v>
      </c>
      <c r="M8926">
        <v>0.1846033</v>
      </c>
      <c r="N8926">
        <v>-1.452181E-2</v>
      </c>
      <c r="O8926">
        <v>0.98270579999999996</v>
      </c>
      <c r="P8926">
        <v>0.47560649999999999</v>
      </c>
      <c r="Q8926">
        <v>-0.1019823</v>
      </c>
      <c r="R8926">
        <v>0.87372649999999996</v>
      </c>
      <c r="S8926">
        <v>2.6015630000000001</v>
      </c>
      <c r="T8926">
        <v>-0.35861609999999899</v>
      </c>
      <c r="U8926">
        <v>1.9924010000000001</v>
      </c>
      <c r="V8926">
        <v>0.30466120000000002</v>
      </c>
      <c r="W8926">
        <v>-9.3141440000000006E-2</v>
      </c>
      <c r="X8926">
        <v>0.94789570000000001</v>
      </c>
      <c r="Y8926">
        <v>0.66349689999999995</v>
      </c>
      <c r="Z8926">
        <v>-0.1014188</v>
      </c>
      <c r="AA8926">
        <v>0.74127339999999997</v>
      </c>
      <c r="AB8926">
        <v>25</v>
      </c>
      <c r="AC8926">
        <v>8.0519999999999907</v>
      </c>
      <c r="AD8926">
        <v>-1.1143642700329901</v>
      </c>
      <c r="AE8926">
        <v>6.04289999999998</v>
      </c>
      <c r="AF8926">
        <v>6.7156413875056504</v>
      </c>
      <c r="AG8926">
        <v>-1.1143642700329901</v>
      </c>
      <c r="AH8926">
        <v>7.3357208935924998</v>
      </c>
      <c r="AI8926">
        <v>96.393170147816306</v>
      </c>
      <c r="AJ8926">
        <v>47.526794366756199</v>
      </c>
      <c r="AK8926">
        <v>10.007719420557001</v>
      </c>
      <c r="AL8926">
        <v>95.344357743876998</v>
      </c>
      <c r="AM8926">
        <v>72.182182726560995</v>
      </c>
      <c r="AN8926">
        <v>1.0000000163545999</v>
      </c>
    </row>
    <row r="8927" spans="1:40" x14ac:dyDescent="0.25">
      <c r="A8927" t="str">
        <f>"20190303154353339"</f>
        <v>20190303154353339</v>
      </c>
      <c r="B8927" t="str">
        <f>"1551599033329259"</f>
        <v>1551599033329259</v>
      </c>
      <c r="C8927" t="s">
        <v>40</v>
      </c>
      <c r="D8927">
        <v>6.3550190000000004</v>
      </c>
      <c r="E8927">
        <v>0.67001089999999996</v>
      </c>
      <c r="F8927" t="s">
        <v>57</v>
      </c>
      <c r="G8927">
        <v>-178.6996</v>
      </c>
      <c r="H8927" s="1">
        <v>-5.251123E-6</v>
      </c>
      <c r="I8927">
        <v>131.40129999999999</v>
      </c>
      <c r="J8927">
        <v>-186.75129999999999</v>
      </c>
      <c r="K8927">
        <v>1.1141620000000001</v>
      </c>
      <c r="L8927">
        <v>125.5137</v>
      </c>
      <c r="M8927">
        <v>0.19173989999999999</v>
      </c>
      <c r="N8927">
        <v>-1.4567480000000001E-2</v>
      </c>
      <c r="O8927">
        <v>0.98133769999999998</v>
      </c>
      <c r="P8927">
        <v>0.49047790000000002</v>
      </c>
      <c r="Q8927">
        <v>-9.8224030000000004E-2</v>
      </c>
      <c r="R8927">
        <v>0.86590040000000001</v>
      </c>
      <c r="S8927">
        <v>2.6209410000000002</v>
      </c>
      <c r="T8927">
        <v>-0.3608809</v>
      </c>
      <c r="U8927">
        <v>1.9647520000000001</v>
      </c>
      <c r="V8927">
        <v>0.3138784</v>
      </c>
      <c r="W8927">
        <v>-8.9708369999999996E-2</v>
      </c>
      <c r="X8927">
        <v>0.94521580000000005</v>
      </c>
      <c r="Y8927">
        <v>0.66563369999999999</v>
      </c>
      <c r="Z8927">
        <v>-0.1023857</v>
      </c>
      <c r="AA8927">
        <v>0.73922189999999999</v>
      </c>
      <c r="AB8927">
        <v>25</v>
      </c>
      <c r="AC8927">
        <v>8.0516999999999808</v>
      </c>
      <c r="AD8927">
        <v>-1.1141672511229901</v>
      </c>
      <c r="AE8927">
        <v>5.8875999999999902</v>
      </c>
      <c r="AF8927">
        <v>6.6897996978552197</v>
      </c>
      <c r="AG8927">
        <v>-1.1141672511229901</v>
      </c>
      <c r="AH8927">
        <v>7.2320988207315899</v>
      </c>
      <c r="AI8927">
        <v>96.452365200266897</v>
      </c>
      <c r="AJ8927">
        <v>47.230712282499297</v>
      </c>
      <c r="AK8927">
        <v>9.91453690364437</v>
      </c>
      <c r="AL8927">
        <v>95.146829670778104</v>
      </c>
      <c r="AM8927">
        <v>71.630188976469697</v>
      </c>
      <c r="AN8927">
        <v>1.0000000751021201</v>
      </c>
    </row>
    <row r="8928" spans="1:40" x14ac:dyDescent="0.25">
      <c r="A8928" t="str">
        <f>"20190303154353362"</f>
        <v>20190303154353362</v>
      </c>
      <c r="B8928" t="str">
        <f>"1551599033358541"</f>
        <v>1551599033358541</v>
      </c>
      <c r="C8928" t="s">
        <v>40</v>
      </c>
      <c r="D8928">
        <v>6.0256619999999996</v>
      </c>
      <c r="E8928">
        <v>0.66834490000000002</v>
      </c>
      <c r="F8928" t="s">
        <v>57</v>
      </c>
      <c r="G8928">
        <v>-178.28460000000001</v>
      </c>
      <c r="H8928" s="1">
        <v>-5.0645889999999997E-6</v>
      </c>
      <c r="I8928">
        <v>131.6557</v>
      </c>
      <c r="J8928">
        <v>-186.68690000000001</v>
      </c>
      <c r="K8928">
        <v>1.1138349999999999</v>
      </c>
      <c r="L8928">
        <v>125.77760000000001</v>
      </c>
      <c r="M8928">
        <v>0.20280020000000001</v>
      </c>
      <c r="N8928">
        <v>-1.464004E-2</v>
      </c>
      <c r="O8928">
        <v>0.9791107</v>
      </c>
      <c r="P8928">
        <v>0.50911850000000003</v>
      </c>
      <c r="Q8928">
        <v>-9.3429810000000002E-2</v>
      </c>
      <c r="R8928">
        <v>0.85561039999999899</v>
      </c>
      <c r="S8928">
        <v>2.6512150000000001</v>
      </c>
      <c r="T8928">
        <v>-0.34888330000000001</v>
      </c>
      <c r="U8928">
        <v>1.9232940000000001</v>
      </c>
      <c r="V8928">
        <v>0.32355289999999998</v>
      </c>
      <c r="W8928">
        <v>-8.5331840000000006E-2</v>
      </c>
      <c r="X8928">
        <v>0.94235449999999998</v>
      </c>
      <c r="Y8928">
        <v>0.66912910000000003</v>
      </c>
      <c r="Z8928">
        <v>-9.8896899999999996E-2</v>
      </c>
      <c r="AA8928">
        <v>0.73653630000000003</v>
      </c>
      <c r="AB8928">
        <v>25</v>
      </c>
      <c r="AC8928">
        <v>8.4022999999999897</v>
      </c>
      <c r="AD8928">
        <v>-1.1138400645890001</v>
      </c>
      <c r="AE8928">
        <v>5.8780999999999803</v>
      </c>
      <c r="AF8928">
        <v>6.9534147974796303</v>
      </c>
      <c r="AG8928">
        <v>-1.1138400645890001</v>
      </c>
      <c r="AH8928">
        <v>7.37310525676883</v>
      </c>
      <c r="AI8928">
        <v>96.2718258503253</v>
      </c>
      <c r="AJ8928">
        <v>46.677980190166302</v>
      </c>
      <c r="AK8928">
        <v>10.1957490241121</v>
      </c>
      <c r="AL8928">
        <v>94.895107217588105</v>
      </c>
      <c r="AM8928">
        <v>71.050336793936594</v>
      </c>
      <c r="AN8928">
        <v>1.0000000028432201</v>
      </c>
    </row>
    <row r="8929" spans="1:40" x14ac:dyDescent="0.25">
      <c r="A8929" t="str">
        <f>"20190303154353383"</f>
        <v>20190303154353383</v>
      </c>
      <c r="B8929" t="str">
        <f>"1551599033379037"</f>
        <v>1551599033379037</v>
      </c>
      <c r="C8929" t="s">
        <v>40</v>
      </c>
      <c r="D8929">
        <v>5.592333</v>
      </c>
      <c r="E8929">
        <v>0.66742619999999997</v>
      </c>
      <c r="F8929" t="s">
        <v>57</v>
      </c>
      <c r="G8929">
        <v>-177.9999</v>
      </c>
      <c r="H8929" s="1">
        <v>-4.9430260000000002E-6</v>
      </c>
      <c r="I8929">
        <v>131.84719999999999</v>
      </c>
      <c r="J8929">
        <v>-186.62520000000001</v>
      </c>
      <c r="K8929">
        <v>1.113505</v>
      </c>
      <c r="L8929">
        <v>126.017</v>
      </c>
      <c r="M8929">
        <v>0.21333959999999999</v>
      </c>
      <c r="N8929">
        <v>-1.471182E-2</v>
      </c>
      <c r="O8929">
        <v>0.97686729999999999</v>
      </c>
      <c r="P8929">
        <v>0.52745369999999903</v>
      </c>
      <c r="Q8929">
        <v>-9.2941910000000003E-2</v>
      </c>
      <c r="R8929">
        <v>0.84448469999999998</v>
      </c>
      <c r="S8929">
        <v>2.6811829999999999</v>
      </c>
      <c r="T8929">
        <v>-0.34377649999999998</v>
      </c>
      <c r="U8929">
        <v>1.8733519999999999</v>
      </c>
      <c r="V8929">
        <v>0.3336189</v>
      </c>
      <c r="W8929">
        <v>-8.5270449999999998E-2</v>
      </c>
      <c r="X8929">
        <v>0.9388436</v>
      </c>
      <c r="Y8929">
        <v>0.67430310000000004</v>
      </c>
      <c r="Z8929">
        <v>-9.7746680000000002E-2</v>
      </c>
      <c r="AA8929">
        <v>0.73195690000000002</v>
      </c>
      <c r="AB8929">
        <v>25</v>
      </c>
      <c r="AC8929">
        <v>8.62530000000001</v>
      </c>
      <c r="AD8929">
        <v>-1.113509943026</v>
      </c>
      <c r="AE8929">
        <v>5.8301999999999703</v>
      </c>
      <c r="AF8929">
        <v>7.1015002077468097</v>
      </c>
      <c r="AG8929">
        <v>-1.113509943026</v>
      </c>
      <c r="AH8929">
        <v>7.4510288078051401</v>
      </c>
      <c r="AI8929">
        <v>96.174224201230601</v>
      </c>
      <c r="AJ8929">
        <v>46.375888955229499</v>
      </c>
      <c r="AK8929">
        <v>10.353213988350999</v>
      </c>
      <c r="AL8929">
        <v>94.891577159659406</v>
      </c>
      <c r="AM8929">
        <v>70.437285713770393</v>
      </c>
      <c r="AN8929">
        <v>0.99999996267068503</v>
      </c>
    </row>
    <row r="8930" spans="1:40" x14ac:dyDescent="0.25">
      <c r="A8930" t="str">
        <f>"20190303154353398"</f>
        <v>20190303154353398</v>
      </c>
      <c r="B8930" t="str">
        <f>"1551599033388796"</f>
        <v>1551599033388796</v>
      </c>
      <c r="C8930" t="s">
        <v>40</v>
      </c>
      <c r="D8930">
        <v>6.0593949999999897</v>
      </c>
      <c r="E8930">
        <v>0.66682299999999906</v>
      </c>
      <c r="F8930" t="s">
        <v>57</v>
      </c>
      <c r="G8930">
        <v>-177.6086</v>
      </c>
      <c r="H8930" s="1">
        <v>-4.7567889999999998E-6</v>
      </c>
      <c r="I8930">
        <v>132.05969999999999</v>
      </c>
      <c r="J8930">
        <v>-186.58320000000001</v>
      </c>
      <c r="K8930">
        <v>1.1132869999999999</v>
      </c>
      <c r="L8930">
        <v>126.17400000000001</v>
      </c>
      <c r="M8930">
        <v>0.22049299999999999</v>
      </c>
      <c r="N8930">
        <v>-1.476156E-2</v>
      </c>
      <c r="O8930">
        <v>0.97527680000000005</v>
      </c>
      <c r="P8930">
        <v>0.53850439999999999</v>
      </c>
      <c r="Q8930">
        <v>-9.3710409999999994E-2</v>
      </c>
      <c r="R8930">
        <v>0.83739569999999997</v>
      </c>
      <c r="S8930">
        <v>2.7152099999999999</v>
      </c>
      <c r="T8930">
        <v>-0.33531630000000001</v>
      </c>
      <c r="U8930">
        <v>1.8196870000000001</v>
      </c>
      <c r="V8930">
        <v>0.33902110000000002</v>
      </c>
      <c r="W8930">
        <v>-8.6298230000000004E-2</v>
      </c>
      <c r="X8930">
        <v>0.93681230000000004</v>
      </c>
      <c r="Y8930">
        <v>0.68327419999999905</v>
      </c>
      <c r="Z8930">
        <v>-9.5441090000000006E-2</v>
      </c>
      <c r="AA8930">
        <v>0.72389729999999997</v>
      </c>
      <c r="AB8930">
        <v>25</v>
      </c>
      <c r="AC8930">
        <v>8.9746000000000095</v>
      </c>
      <c r="AD8930">
        <v>-1.1132917567889999</v>
      </c>
      <c r="AE8930">
        <v>5.8856999999999999</v>
      </c>
      <c r="AF8930">
        <v>7.3764042829895899</v>
      </c>
      <c r="AG8930">
        <v>-1.1132917567889999</v>
      </c>
      <c r="AH8930">
        <v>7.6376812845100304</v>
      </c>
      <c r="AI8930">
        <v>95.985467938198994</v>
      </c>
      <c r="AJ8930">
        <v>45.9969677160584</v>
      </c>
      <c r="AK8930">
        <v>10.676372702636201</v>
      </c>
      <c r="AL8930">
        <v>94.950682372946204</v>
      </c>
      <c r="AM8930">
        <v>70.105419438450795</v>
      </c>
      <c r="AN8930">
        <v>0.99999998808881596</v>
      </c>
    </row>
    <row r="8931" spans="1:40" x14ac:dyDescent="0.25">
      <c r="A8931" t="str">
        <f>"20190303154353417"</f>
        <v>20190303154353417</v>
      </c>
      <c r="B8931" t="str">
        <f>"1551599033409292"</f>
        <v>1551599033409292</v>
      </c>
      <c r="C8931" t="s">
        <v>40</v>
      </c>
      <c r="D8931">
        <v>6.0845520000000004</v>
      </c>
      <c r="E8931">
        <v>0.66549780000000003</v>
      </c>
      <c r="F8931" t="s">
        <v>57</v>
      </c>
      <c r="G8931">
        <v>-177.62260000000001</v>
      </c>
      <c r="H8931" s="1">
        <v>-4.7533139999999998E-6</v>
      </c>
      <c r="I8931">
        <v>132.02549999999999</v>
      </c>
      <c r="J8931">
        <v>-186.5273</v>
      </c>
      <c r="K8931">
        <v>1.1129979999999999</v>
      </c>
      <c r="L8931">
        <v>126.3742</v>
      </c>
      <c r="M8931">
        <v>0.22995570000000001</v>
      </c>
      <c r="N8931">
        <v>-1.4829149999999999E-2</v>
      </c>
      <c r="O8931">
        <v>0.97308810000000001</v>
      </c>
      <c r="P8931">
        <v>0.55643359999999997</v>
      </c>
      <c r="Q8931">
        <v>-9.4848859999999993E-2</v>
      </c>
      <c r="R8931">
        <v>0.82546070000000005</v>
      </c>
      <c r="S8931">
        <v>2.734772</v>
      </c>
      <c r="T8931">
        <v>-0.33977469999999999</v>
      </c>
      <c r="U8931">
        <v>1.785873</v>
      </c>
      <c r="V8931">
        <v>0.35002909999999998</v>
      </c>
      <c r="W8931">
        <v>-8.7879289999999999E-2</v>
      </c>
      <c r="X8931">
        <v>0.93260759999999998</v>
      </c>
      <c r="Y8931">
        <v>0.68470580000000003</v>
      </c>
      <c r="Z8931">
        <v>-9.7172480000000006E-2</v>
      </c>
      <c r="AA8931">
        <v>0.72231259999999997</v>
      </c>
      <c r="AB8931">
        <v>25</v>
      </c>
      <c r="AC8931">
        <v>8.9046999999999894</v>
      </c>
      <c r="AD8931">
        <v>-1.1130027533139999</v>
      </c>
      <c r="AE8931">
        <v>5.6512999999999902</v>
      </c>
      <c r="AF8931">
        <v>7.2851841307321701</v>
      </c>
      <c r="AG8931">
        <v>-1.1130027533139999</v>
      </c>
      <c r="AH8931">
        <v>7.4645963163884197</v>
      </c>
      <c r="AI8931">
        <v>96.090822049939106</v>
      </c>
      <c r="AJ8931">
        <v>45.696895397102203</v>
      </c>
      <c r="AK8931">
        <v>10.4896559101905</v>
      </c>
      <c r="AL8931">
        <v>95.041615693555102</v>
      </c>
      <c r="AM8931">
        <v>69.427730639073701</v>
      </c>
      <c r="AN8931">
        <v>1.0000000380177301</v>
      </c>
    </row>
    <row r="8932" spans="1:40" x14ac:dyDescent="0.25">
      <c r="A8932" t="str">
        <f>"20190303154353427"</f>
        <v>20190303154353427</v>
      </c>
      <c r="B8932" t="str">
        <f>"1551599033419052"</f>
        <v>1551599033419052</v>
      </c>
      <c r="C8932" t="s">
        <v>40</v>
      </c>
      <c r="D8932">
        <v>6.0566490000000002</v>
      </c>
      <c r="E8932">
        <v>0.66483139999999996</v>
      </c>
      <c r="F8932" t="s">
        <v>57</v>
      </c>
      <c r="G8932">
        <v>-177.7681</v>
      </c>
      <c r="H8932" s="1">
        <v>-4.7902499999999996E-6</v>
      </c>
      <c r="I8932">
        <v>131.8612</v>
      </c>
      <c r="J8932">
        <v>-186.48949999999999</v>
      </c>
      <c r="K8932">
        <v>1.1128169999999999</v>
      </c>
      <c r="L8932">
        <v>126.50360000000001</v>
      </c>
      <c r="M8932">
        <v>0.23633170000000001</v>
      </c>
      <c r="N8932">
        <v>-1.4877029999999999E-2</v>
      </c>
      <c r="O8932">
        <v>0.97155849999999999</v>
      </c>
      <c r="P8932">
        <v>0.56645610000000002</v>
      </c>
      <c r="Q8932">
        <v>-9.4049859999999999E-2</v>
      </c>
      <c r="R8932">
        <v>0.81870759999999998</v>
      </c>
      <c r="S8932">
        <v>2.7635040000000002</v>
      </c>
      <c r="T8932">
        <v>-0.35114970000000001</v>
      </c>
      <c r="U8932">
        <v>1.7311399999999999</v>
      </c>
      <c r="V8932">
        <v>0.35522500000000001</v>
      </c>
      <c r="W8932">
        <v>-8.732434E-2</v>
      </c>
      <c r="X8932">
        <v>0.93069310000000005</v>
      </c>
      <c r="Y8932">
        <v>0.69316140000000004</v>
      </c>
      <c r="Z8932">
        <v>-0.101337</v>
      </c>
      <c r="AA8932">
        <v>0.71362320000000001</v>
      </c>
      <c r="AB8932">
        <v>25</v>
      </c>
      <c r="AC8932">
        <v>8.7213999999999796</v>
      </c>
      <c r="AD8932">
        <v>-1.1128217902499999</v>
      </c>
      <c r="AE8932">
        <v>5.3575999999999899</v>
      </c>
      <c r="AF8932">
        <v>7.1237725534249101</v>
      </c>
      <c r="AG8932">
        <v>-1.1128217902499999</v>
      </c>
      <c r="AH8932">
        <v>7.1822731349844204</v>
      </c>
      <c r="AI8932">
        <v>96.277652591198006</v>
      </c>
      <c r="AJ8932">
        <v>45.2342937952792</v>
      </c>
      <c r="AK8932">
        <v>10.177011109127401</v>
      </c>
      <c r="AL8932">
        <v>95.009696913843001</v>
      </c>
      <c r="AM8932">
        <v>69.109249071277404</v>
      </c>
      <c r="AN8932">
        <v>0.99999999368452197</v>
      </c>
    </row>
    <row r="8933" spans="1:40" x14ac:dyDescent="0.25">
      <c r="A8933" t="str">
        <f>"20190303154353439"</f>
        <v>20190303154353439</v>
      </c>
      <c r="B8933" t="str">
        <f>"1551599033428812"</f>
        <v>1551599033428812</v>
      </c>
      <c r="C8933" t="s">
        <v>40</v>
      </c>
      <c r="D8933">
        <v>6.0796469999999996</v>
      </c>
      <c r="E8933">
        <v>0.66413719999999998</v>
      </c>
      <c r="F8933" t="s">
        <v>57</v>
      </c>
      <c r="G8933">
        <v>-177.72299999999899</v>
      </c>
      <c r="H8933" s="1">
        <v>-4.761029E-6</v>
      </c>
      <c r="I8933">
        <v>131.86529999999999</v>
      </c>
      <c r="J8933">
        <v>-186.45259999999999</v>
      </c>
      <c r="K8933">
        <v>1.1126480000000001</v>
      </c>
      <c r="L8933">
        <v>126.6279</v>
      </c>
      <c r="M8933">
        <v>0.24253359999999999</v>
      </c>
      <c r="N8933">
        <v>-1.4923209999999999E-2</v>
      </c>
      <c r="O8933">
        <v>0.97002820000000001</v>
      </c>
      <c r="P8933">
        <v>0.57622280000000003</v>
      </c>
      <c r="Q8933">
        <v>-9.2855930000000003E-2</v>
      </c>
      <c r="R8933">
        <v>0.81200069999999902</v>
      </c>
      <c r="S8933">
        <v>2.7800449999999999</v>
      </c>
      <c r="T8933">
        <v>-0.35290009999999999</v>
      </c>
      <c r="U8933">
        <v>1.700302</v>
      </c>
      <c r="V8933">
        <v>0.36036829999999997</v>
      </c>
      <c r="W8933">
        <v>-8.6372829999999998E-2</v>
      </c>
      <c r="X8933">
        <v>0.92880269999999998</v>
      </c>
      <c r="Y8933">
        <v>0.6961446</v>
      </c>
      <c r="Z8933">
        <v>-0.10217660000000001</v>
      </c>
      <c r="AA8933">
        <v>0.71059319999999904</v>
      </c>
      <c r="AB8933">
        <v>25</v>
      </c>
      <c r="AC8933">
        <v>8.7295999999999996</v>
      </c>
      <c r="AD8933">
        <v>-1.11265276102899</v>
      </c>
      <c r="AE8933">
        <v>5.2373999999999903</v>
      </c>
      <c r="AF8933">
        <v>7.1135390543656802</v>
      </c>
      <c r="AG8933">
        <v>-1.11265276102899</v>
      </c>
      <c r="AH8933">
        <v>7.1134741337237397</v>
      </c>
      <c r="AI8933">
        <v>96.311346160119996</v>
      </c>
      <c r="AJ8933">
        <v>44.9997385481592</v>
      </c>
      <c r="AK8933">
        <v>10.1213609902901</v>
      </c>
      <c r="AL8933">
        <v>94.954972516604499</v>
      </c>
      <c r="AM8933">
        <v>68.794130100241503</v>
      </c>
      <c r="AN8933">
        <v>1.0000000164671901</v>
      </c>
    </row>
    <row r="8934" spans="1:40" x14ac:dyDescent="0.25">
      <c r="A8934" t="str">
        <f>"20190303154353452"</f>
        <v>20190303154353452</v>
      </c>
      <c r="B8934" t="str">
        <f>"1551599033449308"</f>
        <v>1551599033449308</v>
      </c>
      <c r="C8934" t="s">
        <v>40</v>
      </c>
      <c r="D8934">
        <v>6.1293389999999999</v>
      </c>
      <c r="E8934">
        <v>0.66287940000000001</v>
      </c>
      <c r="F8934" t="s">
        <v>57</v>
      </c>
      <c r="G8934">
        <v>-177.63679999999999</v>
      </c>
      <c r="H8934" s="1">
        <v>-4.7132720000000003E-6</v>
      </c>
      <c r="I8934">
        <v>131.89449999999999</v>
      </c>
      <c r="J8934">
        <v>-186.4119</v>
      </c>
      <c r="K8934">
        <v>1.1124689999999999</v>
      </c>
      <c r="L8934">
        <v>126.7607</v>
      </c>
      <c r="M8934">
        <v>0.2493332</v>
      </c>
      <c r="N8934">
        <v>-1.497533E-2</v>
      </c>
      <c r="O8934">
        <v>0.968302</v>
      </c>
      <c r="P8934">
        <v>0.58614250000000001</v>
      </c>
      <c r="Q8934">
        <v>-9.1345300000000004E-2</v>
      </c>
      <c r="R8934">
        <v>0.80504229999999999</v>
      </c>
      <c r="S8934">
        <v>2.7957610000000002</v>
      </c>
      <c r="T8934">
        <v>-0.35285650000000002</v>
      </c>
      <c r="U8934">
        <v>1.67021199999999</v>
      </c>
      <c r="V8934">
        <v>0.36518489999999998</v>
      </c>
      <c r="W8934">
        <v>-8.5105780000000006E-2</v>
      </c>
      <c r="X8934">
        <v>0.92703670000000005</v>
      </c>
      <c r="Y8934">
        <v>0.69849869999999903</v>
      </c>
      <c r="Z8934">
        <v>-0.10243140000000001</v>
      </c>
      <c r="AA8934">
        <v>0.7082425</v>
      </c>
      <c r="AB8934">
        <v>25</v>
      </c>
      <c r="AC8934">
        <v>8.7751000000000001</v>
      </c>
      <c r="AD8934">
        <v>-1.112473713272</v>
      </c>
      <c r="AE8934">
        <v>5.1337999999999901</v>
      </c>
      <c r="AF8934">
        <v>7.1323277180643698</v>
      </c>
      <c r="AG8934">
        <v>-1.112473713272</v>
      </c>
      <c r="AH8934">
        <v>7.0750791824419199</v>
      </c>
      <c r="AI8934">
        <v>96.318925752067798</v>
      </c>
      <c r="AJ8934">
        <v>44.769128754818198</v>
      </c>
      <c r="AK8934">
        <v>10.1076427458836</v>
      </c>
      <c r="AL8934">
        <v>94.882107540777298</v>
      </c>
      <c r="AM8934">
        <v>68.499174308381996</v>
      </c>
      <c r="AN8934">
        <v>1.0000000240621501</v>
      </c>
    </row>
    <row r="8935" spans="1:40" x14ac:dyDescent="0.25">
      <c r="A8935" t="str">
        <f>"20190303154353464"</f>
        <v>20190303154353464</v>
      </c>
      <c r="B8935" t="str">
        <f>"1551599033459068"</f>
        <v>1551599033459068</v>
      </c>
      <c r="C8935" t="s">
        <v>40</v>
      </c>
      <c r="D8935">
        <v>6.055733</v>
      </c>
      <c r="E8935">
        <v>0.66279359999999998</v>
      </c>
      <c r="F8935" t="s">
        <v>57</v>
      </c>
      <c r="G8935">
        <v>-177.61879999999999</v>
      </c>
      <c r="H8935" s="1">
        <v>-4.7036659999999999E-6</v>
      </c>
      <c r="I8935">
        <v>131.9015</v>
      </c>
      <c r="J8935">
        <v>-186.3699</v>
      </c>
      <c r="K8935">
        <v>1.112285</v>
      </c>
      <c r="L8935">
        <v>126.89319999999999</v>
      </c>
      <c r="M8935">
        <v>0.25631140000000002</v>
      </c>
      <c r="N8935">
        <v>-1.5030190000000001E-2</v>
      </c>
      <c r="O8935">
        <v>0.96647740000000004</v>
      </c>
      <c r="P8935">
        <v>0.59581919999999899</v>
      </c>
      <c r="Q8935">
        <v>-8.9850620000000006E-2</v>
      </c>
      <c r="R8935">
        <v>0.79807669999999997</v>
      </c>
      <c r="S8935">
        <v>2.8080289999999999</v>
      </c>
      <c r="T8935">
        <v>-0.35526340000000001</v>
      </c>
      <c r="U8935">
        <v>1.6417079999999999</v>
      </c>
      <c r="V8935">
        <v>0.36962800000000001</v>
      </c>
      <c r="W8935">
        <v>-8.3849430000000003E-2</v>
      </c>
      <c r="X8935">
        <v>0.92538880000000001</v>
      </c>
      <c r="Y8935">
        <v>0.69996049999999999</v>
      </c>
      <c r="Z8935">
        <v>-0.10352500000000001</v>
      </c>
      <c r="AA8935">
        <v>0.70663849999999995</v>
      </c>
      <c r="AB8935">
        <v>25</v>
      </c>
      <c r="AC8935">
        <v>8.7510999999999992</v>
      </c>
      <c r="AD8935">
        <v>-1.112289703666</v>
      </c>
      <c r="AE8935">
        <v>5.0083000000000002</v>
      </c>
      <c r="AF8935">
        <v>7.0886031954076199</v>
      </c>
      <c r="AG8935">
        <v>-1.112289703666</v>
      </c>
      <c r="AH8935">
        <v>6.99904231229588</v>
      </c>
      <c r="AI8935">
        <v>96.371082229687602</v>
      </c>
      <c r="AJ8935">
        <v>44.6357523705041</v>
      </c>
      <c r="AK8935">
        <v>10.0235760552874</v>
      </c>
      <c r="AL8935">
        <v>94.809865824297702</v>
      </c>
      <c r="AM8935">
        <v>68.226752590326896</v>
      </c>
      <c r="AN8935">
        <v>1.0000000082303799</v>
      </c>
    </row>
    <row r="8936" spans="1:40" x14ac:dyDescent="0.25">
      <c r="A8936" t="str">
        <f>"20190303154353477"</f>
        <v>20190303154353477</v>
      </c>
      <c r="B8936" t="str">
        <f>"1551599033469197"</f>
        <v>1551599033469197</v>
      </c>
      <c r="C8936" t="s">
        <v>40</v>
      </c>
      <c r="D8936">
        <v>6.0018659999999997</v>
      </c>
      <c r="E8936">
        <v>0.66296909999999998</v>
      </c>
      <c r="F8936" t="s">
        <v>57</v>
      </c>
      <c r="G8936">
        <v>-177.42529999999999</v>
      </c>
      <c r="H8936" s="1">
        <v>-4.602693E-6</v>
      </c>
      <c r="I8936">
        <v>131.98330000000001</v>
      </c>
      <c r="J8936">
        <v>-186.3271</v>
      </c>
      <c r="K8936">
        <v>1.112096</v>
      </c>
      <c r="L8936">
        <v>127.0257</v>
      </c>
      <c r="M8936">
        <v>0.26338410000000001</v>
      </c>
      <c r="N8936">
        <v>-1.508491E-2</v>
      </c>
      <c r="O8936">
        <v>0.96457309999999996</v>
      </c>
      <c r="P8936">
        <v>0.60576859999999999</v>
      </c>
      <c r="Q8936">
        <v>-8.8285559999999999E-2</v>
      </c>
      <c r="R8936">
        <v>0.79072759999999997</v>
      </c>
      <c r="S8936">
        <v>2.8271030000000001</v>
      </c>
      <c r="T8936">
        <v>-0.35155879999999901</v>
      </c>
      <c r="U8936">
        <v>1.6088100000000001</v>
      </c>
      <c r="V8936">
        <v>0.3743766</v>
      </c>
      <c r="W8936">
        <v>-8.2537399999999997E-2</v>
      </c>
      <c r="X8936">
        <v>0.92359610000000003</v>
      </c>
      <c r="Y8936">
        <v>0.70310620000000001</v>
      </c>
      <c r="Z8936">
        <v>-0.10253710000000001</v>
      </c>
      <c r="AA8936">
        <v>0.70365319999999998</v>
      </c>
      <c r="AB8936">
        <v>25</v>
      </c>
      <c r="AC8936">
        <v>8.9017999999999997</v>
      </c>
      <c r="AD8936">
        <v>-1.112100602693</v>
      </c>
      <c r="AE8936">
        <v>4.95760000000001</v>
      </c>
      <c r="AF8936">
        <v>7.1957914818209003</v>
      </c>
      <c r="AG8936">
        <v>-1.112100602693</v>
      </c>
      <c r="AH8936">
        <v>7.0434649283389303</v>
      </c>
      <c r="AI8936">
        <v>96.302501378988396</v>
      </c>
      <c r="AJ8936">
        <v>44.387093295938797</v>
      </c>
      <c r="AK8936">
        <v>10.1304778266919</v>
      </c>
      <c r="AL8936">
        <v>94.734430534074903</v>
      </c>
      <c r="AM8936">
        <v>67.934990951844597</v>
      </c>
      <c r="AN8936">
        <v>1.0000000084807601</v>
      </c>
    </row>
    <row r="8937" spans="1:40" x14ac:dyDescent="0.25">
      <c r="A8937" t="str">
        <f>"20190303154353488"</f>
        <v>20190303154353488</v>
      </c>
      <c r="B8937" t="str">
        <f>"1551599033478997"</f>
        <v>1551599033478997</v>
      </c>
      <c r="C8937" t="s">
        <v>40</v>
      </c>
      <c r="D8937">
        <v>5.92903</v>
      </c>
      <c r="E8937">
        <v>0.66360200000000003</v>
      </c>
      <c r="F8937" t="s">
        <v>57</v>
      </c>
      <c r="G8937">
        <v>-177.19069999999999</v>
      </c>
      <c r="H8937" s="1">
        <v>-4.4765240000000001E-6</v>
      </c>
      <c r="I8937">
        <v>132.07239999999999</v>
      </c>
      <c r="J8937">
        <v>-186.28100000000001</v>
      </c>
      <c r="K8937">
        <v>1.111893</v>
      </c>
      <c r="L8937">
        <v>127.16249999999999</v>
      </c>
      <c r="M8937">
        <v>0.2709685</v>
      </c>
      <c r="N8937">
        <v>-1.5146710000000001E-2</v>
      </c>
      <c r="O8937">
        <v>0.96246900000000002</v>
      </c>
      <c r="P8937">
        <v>0.61623890000000003</v>
      </c>
      <c r="Q8937">
        <v>-8.7203299999999997E-2</v>
      </c>
      <c r="R8937">
        <v>0.78271659999999998</v>
      </c>
      <c r="S8937">
        <v>2.8482210000000001</v>
      </c>
      <c r="T8937">
        <v>-0.34669070000000002</v>
      </c>
      <c r="U8937">
        <v>1.573288</v>
      </c>
      <c r="V8937">
        <v>0.37933640000000002</v>
      </c>
      <c r="W8937">
        <v>-8.1723130000000005E-2</v>
      </c>
      <c r="X8937">
        <v>0.92164270000000004</v>
      </c>
      <c r="Y8937">
        <v>0.7065979</v>
      </c>
      <c r="Z8937">
        <v>-0.101149</v>
      </c>
      <c r="AA8937">
        <v>0.70034869999999905</v>
      </c>
      <c r="AB8937">
        <v>25</v>
      </c>
      <c r="AC8937">
        <v>9.0902999999999796</v>
      </c>
      <c r="AD8937">
        <v>-1.111897476524</v>
      </c>
      <c r="AE8937">
        <v>4.9098999999999897</v>
      </c>
      <c r="AF8937">
        <v>7.3346026440300101</v>
      </c>
      <c r="AG8937">
        <v>-1.111897476524</v>
      </c>
      <c r="AH8937">
        <v>7.1073165701758398</v>
      </c>
      <c r="AI8937">
        <v>96.213218708917097</v>
      </c>
      <c r="AJ8937">
        <v>44.098356832763002</v>
      </c>
      <c r="AK8937">
        <v>10.2735904518726</v>
      </c>
      <c r="AL8937">
        <v>94.687618091930204</v>
      </c>
      <c r="AM8937">
        <v>67.6285581508576</v>
      </c>
      <c r="AN8937">
        <v>1.00000002040262</v>
      </c>
    </row>
    <row r="8938" spans="1:40" x14ac:dyDescent="0.25">
      <c r="A8938" t="str">
        <f>"20190303154353500"</f>
        <v>20190303154353500</v>
      </c>
      <c r="B8938" t="str">
        <f>"1551599033488758"</f>
        <v>1551599033488758</v>
      </c>
      <c r="C8938" t="s">
        <v>40</v>
      </c>
      <c r="D8938">
        <v>5.9730720000000002</v>
      </c>
      <c r="E8938">
        <v>0.66386199999999995</v>
      </c>
      <c r="F8938" t="s">
        <v>57</v>
      </c>
      <c r="G8938">
        <v>-176.86080000000001</v>
      </c>
      <c r="H8938" s="1">
        <v>-4.2954929999999998E-6</v>
      </c>
      <c r="I8938">
        <v>132.1884</v>
      </c>
      <c r="J8938">
        <v>-186.2388</v>
      </c>
      <c r="K8938">
        <v>1.1117170000000001</v>
      </c>
      <c r="L8938">
        <v>127.28530000000001</v>
      </c>
      <c r="M8938">
        <v>0.277879299999999</v>
      </c>
      <c r="N8938">
        <v>-1.5202830000000001E-2</v>
      </c>
      <c r="O8938">
        <v>0.96049569999999995</v>
      </c>
      <c r="P8938">
        <v>0.62617389999999995</v>
      </c>
      <c r="Q8938">
        <v>-8.6215970000000003E-2</v>
      </c>
      <c r="R8938">
        <v>0.77490199999999998</v>
      </c>
      <c r="S8938">
        <v>2.87323</v>
      </c>
      <c r="T8938">
        <v>-0.33913700000000002</v>
      </c>
      <c r="U8938">
        <v>1.532913</v>
      </c>
      <c r="V8938">
        <v>0.38441189999999997</v>
      </c>
      <c r="W8938">
        <v>-8.0997120000000006E-2</v>
      </c>
      <c r="X8938">
        <v>0.91960149999999996</v>
      </c>
      <c r="Y8938">
        <v>0.71193450000000003</v>
      </c>
      <c r="Z8938">
        <v>-9.8862469999999994E-2</v>
      </c>
      <c r="AA8938">
        <v>0.69525209999999904</v>
      </c>
      <c r="AB8938">
        <v>25</v>
      </c>
      <c r="AC8938">
        <v>9.3779999999999806</v>
      </c>
      <c r="AD8938">
        <v>-1.111721295493</v>
      </c>
      <c r="AE8938">
        <v>4.9030999999999896</v>
      </c>
      <c r="AF8938">
        <v>7.5624804951183204</v>
      </c>
      <c r="AG8938">
        <v>-1.111721295493</v>
      </c>
      <c r="AH8938">
        <v>7.2363416179955697</v>
      </c>
      <c r="AI8938">
        <v>96.062835282582697</v>
      </c>
      <c r="AJ8938">
        <v>43.737510544566</v>
      </c>
      <c r="AK8938">
        <v>10.5257624659799</v>
      </c>
      <c r="AL8938">
        <v>94.645882605123901</v>
      </c>
      <c r="AM8938">
        <v>67.314092684897304</v>
      </c>
      <c r="AN8938">
        <v>0.99999998055607697</v>
      </c>
    </row>
    <row r="8939" spans="1:40" x14ac:dyDescent="0.25">
      <c r="A8939" t="str">
        <f>"20190303154353517"</f>
        <v>20190303154353517</v>
      </c>
      <c r="B8939" t="str">
        <f>"1551599033509253"</f>
        <v>1551599033509253</v>
      </c>
      <c r="C8939" t="s">
        <v>40</v>
      </c>
      <c r="D8939">
        <v>6.2450080000000003</v>
      </c>
      <c r="E8939">
        <v>0.66436790000000001</v>
      </c>
      <c r="F8939" t="s">
        <v>57</v>
      </c>
      <c r="G8939">
        <v>-176.68199999999999</v>
      </c>
      <c r="H8939" s="1">
        <v>-4.1867120000000004E-6</v>
      </c>
      <c r="I8939">
        <v>132.22309999999999</v>
      </c>
      <c r="J8939">
        <v>-186.1781</v>
      </c>
      <c r="K8939">
        <v>1.11148</v>
      </c>
      <c r="L8939">
        <v>127.4564</v>
      </c>
      <c r="M8939">
        <v>0.28771930000000001</v>
      </c>
      <c r="N8939">
        <v>-1.528347E-2</v>
      </c>
      <c r="O8939">
        <v>0.95759280000000002</v>
      </c>
      <c r="P8939">
        <v>0.64246250000000005</v>
      </c>
      <c r="Q8939">
        <v>-8.5413370000000002E-2</v>
      </c>
      <c r="R8939">
        <v>0.761542099999999</v>
      </c>
      <c r="S8939">
        <v>2.8941349999999999</v>
      </c>
      <c r="T8939">
        <v>-0.3366692</v>
      </c>
      <c r="U8939">
        <v>1.4953459999999901</v>
      </c>
      <c r="V8939">
        <v>0.39437990000000001</v>
      </c>
      <c r="W8939">
        <v>-8.0649559999999995E-2</v>
      </c>
      <c r="X8939">
        <v>0.91540160000000004</v>
      </c>
      <c r="Y8939">
        <v>0.7139974</v>
      </c>
      <c r="Z8939">
        <v>-9.8248740000000001E-2</v>
      </c>
      <c r="AA8939">
        <v>0.69322069999999902</v>
      </c>
      <c r="AB8939">
        <v>25</v>
      </c>
      <c r="AC8939">
        <v>9.4960999999999807</v>
      </c>
      <c r="AD8939">
        <v>-1.111484186712</v>
      </c>
      <c r="AE8939">
        <v>4.7666999999999797</v>
      </c>
      <c r="AF8939">
        <v>7.6392340794673999</v>
      </c>
      <c r="AG8939">
        <v>-1.111484186712</v>
      </c>
      <c r="AH8939">
        <v>7.2186303718067002</v>
      </c>
      <c r="AI8939">
        <v>96.036697345699096</v>
      </c>
      <c r="AJ8939">
        <v>43.378476051676699</v>
      </c>
      <c r="AK8939">
        <v>10.5689128515177</v>
      </c>
      <c r="AL8939">
        <v>94.625903555030504</v>
      </c>
      <c r="AM8939">
        <v>66.692308419183703</v>
      </c>
      <c r="AN8939">
        <v>0.99999997316738098</v>
      </c>
    </row>
    <row r="8940" spans="1:40" x14ac:dyDescent="0.25">
      <c r="A8940" t="str">
        <f>"20190303154353528"</f>
        <v>20190303154353528</v>
      </c>
      <c r="B8940" t="str">
        <f>"1551599033519014"</f>
        <v>1551599033519014</v>
      </c>
      <c r="C8940" t="s">
        <v>40</v>
      </c>
      <c r="D8940">
        <v>6.307804</v>
      </c>
      <c r="E8940">
        <v>0.66445159999999903</v>
      </c>
      <c r="F8940" t="s">
        <v>57</v>
      </c>
      <c r="G8940">
        <v>-176.53219999999999</v>
      </c>
      <c r="H8940" s="1">
        <v>-4.0651560000000001E-6</v>
      </c>
      <c r="I8940">
        <v>132.1722</v>
      </c>
      <c r="J8940">
        <v>-186.1327</v>
      </c>
      <c r="K8940">
        <v>1.11131</v>
      </c>
      <c r="L8940">
        <v>127.5793</v>
      </c>
      <c r="M8940">
        <v>0.29502509999999998</v>
      </c>
      <c r="N8940">
        <v>-1.534486E-2</v>
      </c>
      <c r="O8940">
        <v>0.9553663</v>
      </c>
      <c r="P8940">
        <v>0.65223100000000001</v>
      </c>
      <c r="Q8940">
        <v>-8.5368459999999993E-2</v>
      </c>
      <c r="R8940">
        <v>0.75319780000000003</v>
      </c>
      <c r="S8940">
        <v>2.9279630000000001</v>
      </c>
      <c r="T8940">
        <v>-0.33738240000000003</v>
      </c>
      <c r="U8940">
        <v>1.4314420000000001</v>
      </c>
      <c r="V8940">
        <v>0.39914719999999998</v>
      </c>
      <c r="W8940">
        <v>-8.0861370000000002E-2</v>
      </c>
      <c r="X8940">
        <v>0.91331430000000002</v>
      </c>
      <c r="Y8940">
        <v>0.72392800000000002</v>
      </c>
      <c r="Z8940">
        <v>-9.8848420000000006E-2</v>
      </c>
      <c r="AA8940">
        <v>0.68275710000000001</v>
      </c>
      <c r="AB8940">
        <v>25</v>
      </c>
      <c r="AC8940">
        <v>9.6005000000000091</v>
      </c>
      <c r="AD8940">
        <v>-1.1113140651560001</v>
      </c>
      <c r="AE8940">
        <v>4.5929000000000002</v>
      </c>
      <c r="AF8940">
        <v>7.7335679131146398</v>
      </c>
      <c r="AG8940">
        <v>-1.1113140651560001</v>
      </c>
      <c r="AH8940">
        <v>7.14325136648878</v>
      </c>
      <c r="AI8940">
        <v>96.025836558655001</v>
      </c>
      <c r="AJ8940">
        <v>42.727678795256999</v>
      </c>
      <c r="AK8940">
        <v>10.586270906368</v>
      </c>
      <c r="AL8940">
        <v>94.638078878714097</v>
      </c>
      <c r="AM8940">
        <v>66.393152431185499</v>
      </c>
      <c r="AN8940">
        <v>1.0000000295053</v>
      </c>
    </row>
    <row r="8941" spans="1:40" x14ac:dyDescent="0.25">
      <c r="A8941" t="str">
        <f>"20190303154353541"</f>
        <v>20190303154353541</v>
      </c>
      <c r="B8941" t="str">
        <f>"1551599033528773"</f>
        <v>1551599033528773</v>
      </c>
      <c r="C8941" t="s">
        <v>40</v>
      </c>
      <c r="D8941">
        <v>6.0823410000000004</v>
      </c>
      <c r="E8941">
        <v>0.66450129999999996</v>
      </c>
      <c r="F8941" t="s">
        <v>57</v>
      </c>
      <c r="G8941">
        <v>-176.48249999999999</v>
      </c>
      <c r="H8941" s="1">
        <v>-4.0197260000000001E-6</v>
      </c>
      <c r="I8941">
        <v>132.14179999999999</v>
      </c>
      <c r="J8941">
        <v>-186.08340000000001</v>
      </c>
      <c r="K8941">
        <v>1.11113</v>
      </c>
      <c r="L8941">
        <v>127.7099</v>
      </c>
      <c r="M8941">
        <v>0.3028882</v>
      </c>
      <c r="N8941">
        <v>-1.540938E-2</v>
      </c>
      <c r="O8941">
        <v>0.95290149999999996</v>
      </c>
      <c r="P8941">
        <v>0.66198710000000005</v>
      </c>
      <c r="Q8941">
        <v>-8.537517E-2</v>
      </c>
      <c r="R8941">
        <v>0.74463699999999999</v>
      </c>
      <c r="S8941">
        <v>2.9464869999999999</v>
      </c>
      <c r="T8941">
        <v>-0.33931650000000002</v>
      </c>
      <c r="U8941">
        <v>1.3930659999999999</v>
      </c>
      <c r="V8941">
        <v>0.40347119999999997</v>
      </c>
      <c r="W8941">
        <v>-8.1119510000000006E-2</v>
      </c>
      <c r="X8941">
        <v>0.91138940000000002</v>
      </c>
      <c r="Y8941">
        <v>0.72711349999999997</v>
      </c>
      <c r="Z8941">
        <v>-9.9714440000000001E-2</v>
      </c>
      <c r="AA8941">
        <v>0.67923699999999998</v>
      </c>
      <c r="AB8941">
        <v>25</v>
      </c>
      <c r="AC8941">
        <v>9.6009000000000206</v>
      </c>
      <c r="AD8941">
        <v>-1.111134019726</v>
      </c>
      <c r="AE8941">
        <v>4.4318999999999802</v>
      </c>
      <c r="AF8941">
        <v>7.7220084239544802</v>
      </c>
      <c r="AG8941">
        <v>-1.111134019726</v>
      </c>
      <c r="AH8941">
        <v>7.0541241813799402</v>
      </c>
      <c r="AI8941">
        <v>96.064209091031401</v>
      </c>
      <c r="AJ8941">
        <v>42.411980476647699</v>
      </c>
      <c r="AK8941">
        <v>10.5178277641224</v>
      </c>
      <c r="AL8941">
        <v>94.652918044002504</v>
      </c>
      <c r="AM8941">
        <v>66.1210745028974</v>
      </c>
      <c r="AN8941">
        <v>1.00000001128222</v>
      </c>
    </row>
    <row r="8942" spans="1:40" x14ac:dyDescent="0.25">
      <c r="A8942" t="str">
        <f>"20190303154353553"</f>
        <v>20190303154353553</v>
      </c>
      <c r="B8942" t="str">
        <f>"1551599033549270"</f>
        <v>1551599033549270</v>
      </c>
      <c r="C8942" t="s">
        <v>40</v>
      </c>
      <c r="D8942">
        <v>6.0616399999999997</v>
      </c>
      <c r="E8942">
        <v>0.66450690000000001</v>
      </c>
      <c r="F8942" t="s">
        <v>57</v>
      </c>
      <c r="G8942">
        <v>-176.3964</v>
      </c>
      <c r="H8942" s="1">
        <v>-3.9583580000000002E-6</v>
      </c>
      <c r="I8942">
        <v>132.13489999999999</v>
      </c>
      <c r="J8942">
        <v>-186.0324</v>
      </c>
      <c r="K8942">
        <v>1.1109549999999999</v>
      </c>
      <c r="L8942">
        <v>127.8417</v>
      </c>
      <c r="M8942">
        <v>0.31096499999999999</v>
      </c>
      <c r="N8942">
        <v>-1.547488E-2</v>
      </c>
      <c r="O8942">
        <v>0.95029540000000001</v>
      </c>
      <c r="P8942">
        <v>0.6712555</v>
      </c>
      <c r="Q8942">
        <v>-8.5678850000000001E-2</v>
      </c>
      <c r="R8942">
        <v>0.73625750000000001</v>
      </c>
      <c r="S8942">
        <v>2.964645</v>
      </c>
      <c r="T8942">
        <v>-0.34005340000000001</v>
      </c>
      <c r="U8942">
        <v>1.3542179999999999</v>
      </c>
      <c r="V8942">
        <v>0.40710380000000002</v>
      </c>
      <c r="W8942">
        <v>-8.1651940000000006E-2</v>
      </c>
      <c r="X8942">
        <v>0.90972500000000001</v>
      </c>
      <c r="Y8942">
        <v>0.73020669999999899</v>
      </c>
      <c r="Z8942">
        <v>-0.100189399999999</v>
      </c>
      <c r="AA8942">
        <v>0.67584040000000001</v>
      </c>
      <c r="AB8942">
        <v>25</v>
      </c>
      <c r="AC8942">
        <v>9.6359999999999904</v>
      </c>
      <c r="AD8942">
        <v>-1.110958958358</v>
      </c>
      <c r="AE8942">
        <v>4.2931999999999801</v>
      </c>
      <c r="AF8942">
        <v>7.7371370075483803</v>
      </c>
      <c r="AG8942">
        <v>-1.110958958358</v>
      </c>
      <c r="AH8942">
        <v>6.9994842949615501</v>
      </c>
      <c r="AI8942">
        <v>96.078003729621798</v>
      </c>
      <c r="AJ8942">
        <v>42.134408195272201</v>
      </c>
      <c r="AK8942">
        <v>10.4923924476805</v>
      </c>
      <c r="AL8942">
        <v>94.683525344775205</v>
      </c>
      <c r="AM8942">
        <v>65.891386368544403</v>
      </c>
      <c r="AN8942">
        <v>1.0000000594526</v>
      </c>
    </row>
    <row r="8943" spans="1:40" x14ac:dyDescent="0.25">
      <c r="A8943" t="str">
        <f>"20190303154353565"</f>
        <v>20190303154353565</v>
      </c>
      <c r="B8943" t="str">
        <f>"1551599033559029"</f>
        <v>1551599033559029</v>
      </c>
      <c r="C8943" t="s">
        <v>40</v>
      </c>
      <c r="D8943">
        <v>5.891845</v>
      </c>
      <c r="E8943">
        <v>0.66472019999999998</v>
      </c>
      <c r="F8943" t="s">
        <v>57</v>
      </c>
      <c r="G8943">
        <v>-176.3546</v>
      </c>
      <c r="H8943" s="1">
        <v>-3.922542E-6</v>
      </c>
      <c r="I8943">
        <v>132.1156</v>
      </c>
      <c r="J8943">
        <v>-185.98310000000001</v>
      </c>
      <c r="K8943">
        <v>1.1107990000000001</v>
      </c>
      <c r="L8943">
        <v>127.9645</v>
      </c>
      <c r="M8943">
        <v>0.31868020000000002</v>
      </c>
      <c r="N8943">
        <v>-1.553712E-2</v>
      </c>
      <c r="O8943">
        <v>0.94773499999999999</v>
      </c>
      <c r="P8943">
        <v>0.67970850000000005</v>
      </c>
      <c r="Q8943">
        <v>-8.6015309999999998E-2</v>
      </c>
      <c r="R8943">
        <v>0.7284214</v>
      </c>
      <c r="S8943">
        <v>2.98143</v>
      </c>
      <c r="T8943">
        <v>-0.34225090000000002</v>
      </c>
      <c r="U8943">
        <v>1.3166500000000001</v>
      </c>
      <c r="V8943">
        <v>0.41017399999999998</v>
      </c>
      <c r="W8943">
        <v>-8.2187220000000005E-2</v>
      </c>
      <c r="X8943">
        <v>0.90829649999999995</v>
      </c>
      <c r="Y8943">
        <v>0.73312010000000005</v>
      </c>
      <c r="Z8943">
        <v>-0.10114099999999999</v>
      </c>
      <c r="AA8943">
        <v>0.67253649999999998</v>
      </c>
      <c r="AB8943">
        <v>25</v>
      </c>
      <c r="AC8943">
        <v>9.6285000000000007</v>
      </c>
      <c r="AD8943">
        <v>-1.110802922542</v>
      </c>
      <c r="AE8943">
        <v>4.1510999999999996</v>
      </c>
      <c r="AF8943">
        <v>7.7167276221109997</v>
      </c>
      <c r="AG8943">
        <v>-1.110802922542</v>
      </c>
      <c r="AH8943">
        <v>6.9256713433243897</v>
      </c>
      <c r="AI8943">
        <v>96.114716647112701</v>
      </c>
      <c r="AJ8943">
        <v>41.907599136273397</v>
      </c>
      <c r="AK8943">
        <v>10.4281681939985</v>
      </c>
      <c r="AL8943">
        <v>94.7142983820615</v>
      </c>
      <c r="AM8943">
        <v>65.696730184850296</v>
      </c>
      <c r="AN8943">
        <v>0.99999999065978895</v>
      </c>
    </row>
    <row r="8944" spans="1:40" x14ac:dyDescent="0.25">
      <c r="A8944" t="str">
        <f>"20190303154353580"</f>
        <v>20190303154353580</v>
      </c>
      <c r="B8944" t="str">
        <f>"1551599033568789"</f>
        <v>1551599033568789</v>
      </c>
      <c r="C8944" t="s">
        <v>40</v>
      </c>
      <c r="D8944">
        <v>6.0850359999999997</v>
      </c>
      <c r="E8944">
        <v>0.66465779999999997</v>
      </c>
      <c r="F8944" t="s">
        <v>57</v>
      </c>
      <c r="G8944">
        <v>-176.1782</v>
      </c>
      <c r="H8944" s="1">
        <v>-3.816876E-6</v>
      </c>
      <c r="I8944">
        <v>132.1542</v>
      </c>
      <c r="J8944">
        <v>-185.9194</v>
      </c>
      <c r="K8944">
        <v>1.1106049999999901</v>
      </c>
      <c r="L8944">
        <v>128.1198</v>
      </c>
      <c r="M8944">
        <v>0.32857969999999997</v>
      </c>
      <c r="N8944">
        <v>-1.561508E-2</v>
      </c>
      <c r="O8944">
        <v>0.94434720000000005</v>
      </c>
      <c r="P8944">
        <v>0.68930440000000004</v>
      </c>
      <c r="Q8944">
        <v>-8.6305839999999995E-2</v>
      </c>
      <c r="R8944">
        <v>0.71931269999999903</v>
      </c>
      <c r="S8944">
        <v>2.9978639999999999</v>
      </c>
      <c r="T8944">
        <v>-0.33962799999999999</v>
      </c>
      <c r="U8944">
        <v>1.281021</v>
      </c>
      <c r="V8944">
        <v>0.41267009999999998</v>
      </c>
      <c r="W8944">
        <v>-8.2684789999999994E-2</v>
      </c>
      <c r="X8944">
        <v>0.90712000000000004</v>
      </c>
      <c r="Y8944">
        <v>0.73421130000000001</v>
      </c>
      <c r="Z8944">
        <v>-0.1004433</v>
      </c>
      <c r="AA8944">
        <v>0.67144979999999999</v>
      </c>
      <c r="AB8944">
        <v>25</v>
      </c>
      <c r="AC8944">
        <v>9.7411999999999903</v>
      </c>
      <c r="AD8944">
        <v>-1.11060881687599</v>
      </c>
      <c r="AE8944">
        <v>4.0343999999999998</v>
      </c>
      <c r="AF8944">
        <v>7.7880013588818802</v>
      </c>
      <c r="AG8944">
        <v>-1.11060881687599</v>
      </c>
      <c r="AH8944">
        <v>6.9345475539368397</v>
      </c>
      <c r="AI8944">
        <v>96.079294761053802</v>
      </c>
      <c r="AJ8944">
        <v>41.682324686141399</v>
      </c>
      <c r="AK8944">
        <v>10.4868663998298</v>
      </c>
      <c r="AL8944">
        <v>94.742904172915104</v>
      </c>
      <c r="AM8944">
        <v>65.538101853083106</v>
      </c>
      <c r="AN8944">
        <v>1.0000000401656699</v>
      </c>
    </row>
    <row r="8945" spans="1:40" x14ac:dyDescent="0.25">
      <c r="A8945" t="str">
        <f>"20190303154353597"</f>
        <v>20190303154353597</v>
      </c>
      <c r="B8945" t="str">
        <f>"1551599033589286"</f>
        <v>1551599033589286</v>
      </c>
      <c r="C8945" t="s">
        <v>40</v>
      </c>
      <c r="D8945">
        <v>6.0955219999999999</v>
      </c>
      <c r="E8945">
        <v>0.66438120000000001</v>
      </c>
      <c r="F8945" t="s">
        <v>57</v>
      </c>
      <c r="G8945">
        <v>-176.0684</v>
      </c>
      <c r="H8945" s="1">
        <v>-3.7503119999999998E-6</v>
      </c>
      <c r="I8945">
        <v>132.17609999999999</v>
      </c>
      <c r="J8945">
        <v>-185.8485</v>
      </c>
      <c r="K8945">
        <v>1.1103940000000001</v>
      </c>
      <c r="L8945">
        <v>128.2869</v>
      </c>
      <c r="M8945">
        <v>0.3394604</v>
      </c>
      <c r="N8945">
        <v>-1.5699520000000002E-2</v>
      </c>
      <c r="O8945">
        <v>0.94048940000000003</v>
      </c>
      <c r="P8945">
        <v>0.7018141</v>
      </c>
      <c r="Q8945">
        <v>-8.7155860000000002E-2</v>
      </c>
      <c r="R8945">
        <v>0.70700850000000004</v>
      </c>
      <c r="S8945">
        <v>3.0144039999999999</v>
      </c>
      <c r="T8945">
        <v>-0.33984760000000003</v>
      </c>
      <c r="U8945">
        <v>1.241241</v>
      </c>
      <c r="V8945">
        <v>0.41806290000000002</v>
      </c>
      <c r="W8945">
        <v>-8.3846260000000006E-2</v>
      </c>
      <c r="X8945">
        <v>0.90454040000000002</v>
      </c>
      <c r="Y8945">
        <v>0.73526829999999999</v>
      </c>
      <c r="Z8945">
        <v>-0.1007252</v>
      </c>
      <c r="AA8945">
        <v>0.67024989999999995</v>
      </c>
      <c r="AB8945">
        <v>25</v>
      </c>
      <c r="AC8945">
        <v>9.7800999999999991</v>
      </c>
      <c r="AD8945">
        <v>-1.1103977503119999</v>
      </c>
      <c r="AE8945">
        <v>3.8891999999999798</v>
      </c>
      <c r="AF8945">
        <v>7.79209236806307</v>
      </c>
      <c r="AG8945">
        <v>-1.1103977503119999</v>
      </c>
      <c r="AH8945">
        <v>6.9017484023611404</v>
      </c>
      <c r="AI8945">
        <v>96.088997345394205</v>
      </c>
      <c r="AJ8945">
        <v>41.532516041360701</v>
      </c>
      <c r="AK8945">
        <v>10.468228964147601</v>
      </c>
      <c r="AL8945">
        <v>94.809683307887397</v>
      </c>
      <c r="AM8945">
        <v>65.194438149177998</v>
      </c>
      <c r="AN8945">
        <v>1.00000005945227</v>
      </c>
    </row>
    <row r="8946" spans="1:40" x14ac:dyDescent="0.25">
      <c r="A8946" t="str">
        <f>"20190303154353617"</f>
        <v>20190303154353617</v>
      </c>
      <c r="B8946" t="str">
        <f>"1551599033608806"</f>
        <v>1551599033608806</v>
      </c>
      <c r="C8946" t="s">
        <v>40</v>
      </c>
      <c r="D8946">
        <v>6.1243540000000003</v>
      </c>
      <c r="E8946">
        <v>0.66388510000000001</v>
      </c>
      <c r="F8946" t="s">
        <v>57</v>
      </c>
      <c r="G8946">
        <v>-176.05439999999999</v>
      </c>
      <c r="H8946" s="1">
        <v>-3.7216180000000002E-6</v>
      </c>
      <c r="I8946">
        <v>132.1258</v>
      </c>
      <c r="J8946">
        <v>-185.75149999999999</v>
      </c>
      <c r="K8946">
        <v>1.1101299999999901</v>
      </c>
      <c r="L8946">
        <v>128.5051</v>
      </c>
      <c r="M8946">
        <v>0.35408849999999997</v>
      </c>
      <c r="N8946">
        <v>-1.5813730000000002E-2</v>
      </c>
      <c r="O8946">
        <v>0.93507819999999997</v>
      </c>
      <c r="P8946">
        <v>0.71677369999999996</v>
      </c>
      <c r="Q8946">
        <v>-8.8427710000000007E-2</v>
      </c>
      <c r="R8946">
        <v>0.69167630000000002</v>
      </c>
      <c r="S8946">
        <v>3.0339659999999999</v>
      </c>
      <c r="T8946">
        <v>-0.34397299999999997</v>
      </c>
      <c r="U8946">
        <v>1.1891940000000001</v>
      </c>
      <c r="V8946">
        <v>0.42325610000000002</v>
      </c>
      <c r="W8946">
        <v>-8.5453609999999999E-2</v>
      </c>
      <c r="X8946">
        <v>0.90197119999999997</v>
      </c>
      <c r="Y8946">
        <v>0.73603039999999997</v>
      </c>
      <c r="Z8946">
        <v>-0.1023705</v>
      </c>
      <c r="AA8946">
        <v>0.66916330000000002</v>
      </c>
      <c r="AB8946">
        <v>24</v>
      </c>
      <c r="AC8946">
        <v>9.6971000000000007</v>
      </c>
      <c r="AD8946">
        <v>-1.1101337216179901</v>
      </c>
      <c r="AE8946">
        <v>3.6206999999999998</v>
      </c>
      <c r="AF8946">
        <v>7.6979281896353804</v>
      </c>
      <c r="AG8946">
        <v>-1.1101337216179901</v>
      </c>
      <c r="AH8946">
        <v>6.7425668769251503</v>
      </c>
      <c r="AI8946">
        <v>96.191379741413698</v>
      </c>
      <c r="AJ8946">
        <v>41.214913826902901</v>
      </c>
      <c r="AK8946">
        <v>10.2933329579133</v>
      </c>
      <c r="AL8946">
        <v>94.902109491821506</v>
      </c>
      <c r="AM8946">
        <v>64.861364174279601</v>
      </c>
      <c r="AN8946">
        <v>1.0000000456393401</v>
      </c>
    </row>
    <row r="8947" spans="1:40" x14ac:dyDescent="0.25">
      <c r="A8947" t="str">
        <f>"20190303154353629"</f>
        <v>20190303154353629</v>
      </c>
      <c r="B8947" t="str">
        <f>"1551599033619542"</f>
        <v>1551599033619542</v>
      </c>
      <c r="C8947" t="s">
        <v>40</v>
      </c>
      <c r="D8947">
        <v>6.1066900000000004</v>
      </c>
      <c r="E8947">
        <v>0.66360520000000001</v>
      </c>
      <c r="F8947" t="s">
        <v>57</v>
      </c>
      <c r="G8947">
        <v>-176.1748</v>
      </c>
      <c r="H8947" s="1">
        <v>-3.7690779999999999E-6</v>
      </c>
      <c r="I8947">
        <v>132.03440000000001</v>
      </c>
      <c r="J8947">
        <v>-185.6944</v>
      </c>
      <c r="K8947">
        <v>1.109996</v>
      </c>
      <c r="L8947">
        <v>128.62860000000001</v>
      </c>
      <c r="M8947">
        <v>0.3625642</v>
      </c>
      <c r="N8947">
        <v>-1.5879549999999999E-2</v>
      </c>
      <c r="O8947">
        <v>0.93182359999999997</v>
      </c>
      <c r="P8947">
        <v>0.72459379999999995</v>
      </c>
      <c r="Q8947">
        <v>-8.8742360000000006E-2</v>
      </c>
      <c r="R8947">
        <v>0.68343880000000001</v>
      </c>
      <c r="S8947">
        <v>3.0552060000000001</v>
      </c>
      <c r="T8947">
        <v>-0.35415950000000002</v>
      </c>
      <c r="U8947">
        <v>1.125931</v>
      </c>
      <c r="V8947">
        <v>0.42529929999999999</v>
      </c>
      <c r="W8947">
        <v>-8.5919040000000002E-2</v>
      </c>
      <c r="X8947">
        <v>0.90096529999999997</v>
      </c>
      <c r="Y8947">
        <v>0.74317540000000004</v>
      </c>
      <c r="Z8947">
        <v>-0.1062394</v>
      </c>
      <c r="AA8947">
        <v>0.66060839999999998</v>
      </c>
      <c r="AB8947">
        <v>24</v>
      </c>
      <c r="AC8947">
        <v>9.5195999999999898</v>
      </c>
      <c r="AD8947">
        <v>-1.1099997690779999</v>
      </c>
      <c r="AE8947">
        <v>3.4058000000000002</v>
      </c>
      <c r="AF8947">
        <v>7.5457786510119602</v>
      </c>
      <c r="AG8947">
        <v>-1.1099997690779999</v>
      </c>
      <c r="AH8947">
        <v>6.5469939692584198</v>
      </c>
      <c r="AI8947">
        <v>96.340133555249295</v>
      </c>
      <c r="AJ8947">
        <v>40.946104912056903</v>
      </c>
      <c r="AK8947">
        <v>10.051567289280101</v>
      </c>
      <c r="AL8947">
        <v>94.928875212416699</v>
      </c>
      <c r="AM8947">
        <v>64.730417943836898</v>
      </c>
      <c r="AN8947">
        <v>1.0000000239095499</v>
      </c>
    </row>
    <row r="8948" spans="1:40" x14ac:dyDescent="0.25">
      <c r="A8948" t="str">
        <f>"20190303154353640"</f>
        <v>20190303154353640</v>
      </c>
      <c r="B8948" t="str">
        <f>"1551599033629302"</f>
        <v>1551599033629302</v>
      </c>
      <c r="C8948" t="s">
        <v>40</v>
      </c>
      <c r="D8948">
        <v>6.1165059999999896</v>
      </c>
      <c r="E8948">
        <v>0.66331929999999995</v>
      </c>
      <c r="F8948" t="s">
        <v>57</v>
      </c>
      <c r="G8948">
        <v>-176.20869999999999</v>
      </c>
      <c r="H8948" s="1">
        <v>-3.7820099999999998E-6</v>
      </c>
      <c r="I8948">
        <v>132.00749999999999</v>
      </c>
      <c r="J8948">
        <v>-185.6421</v>
      </c>
      <c r="K8948">
        <v>1.1098790000000001</v>
      </c>
      <c r="L8948">
        <v>128.7397</v>
      </c>
      <c r="M8948">
        <v>0.37024950000000001</v>
      </c>
      <c r="N8948">
        <v>-1.5937570000000002E-2</v>
      </c>
      <c r="O8948">
        <v>0.92879560000000005</v>
      </c>
      <c r="P8948">
        <v>0.73193869999999905</v>
      </c>
      <c r="Q8948">
        <v>-8.802488E-2</v>
      </c>
      <c r="R8948">
        <v>0.67566079999999995</v>
      </c>
      <c r="S8948">
        <v>3.0661619999999998</v>
      </c>
      <c r="T8948">
        <v>-0.35879729999999999</v>
      </c>
      <c r="U8948">
        <v>1.0921940000000001</v>
      </c>
      <c r="V8948">
        <v>0.4275504</v>
      </c>
      <c r="W8948">
        <v>-8.5347610000000004E-2</v>
      </c>
      <c r="X8948">
        <v>0.89995360000000002</v>
      </c>
      <c r="Y8948">
        <v>0.7446933</v>
      </c>
      <c r="Z8948">
        <v>-0.10799250000000001</v>
      </c>
      <c r="AA8948">
        <v>0.65861179999999997</v>
      </c>
      <c r="AB8948">
        <v>24</v>
      </c>
      <c r="AC8948">
        <v>9.4334000000000007</v>
      </c>
      <c r="AD8948">
        <v>-1.1098827820099999</v>
      </c>
      <c r="AE8948">
        <v>3.26779999999999</v>
      </c>
      <c r="AF8948">
        <v>7.4605499457421196</v>
      </c>
      <c r="AG8948">
        <v>-1.1098827820099999</v>
      </c>
      <c r="AH8948">
        <v>6.4489534670672803</v>
      </c>
      <c r="AI8948">
        <v>96.421461376833506</v>
      </c>
      <c r="AJ8948">
        <v>40.840373151970297</v>
      </c>
      <c r="AK8948">
        <v>9.92374153750057</v>
      </c>
      <c r="AL8948">
        <v>94.896013993131106</v>
      </c>
      <c r="AM8948">
        <v>64.588519102656306</v>
      </c>
      <c r="AN8948">
        <v>1.00000002061291</v>
      </c>
    </row>
    <row r="8949" spans="1:40" x14ac:dyDescent="0.25">
      <c r="A8949" t="str">
        <f>"20190303154353651"</f>
        <v>20190303154353651</v>
      </c>
      <c r="B8949" t="str">
        <f>"1551599033639062"</f>
        <v>1551599033639062</v>
      </c>
      <c r="C8949" t="s">
        <v>40</v>
      </c>
      <c r="D8949">
        <v>6.0969740000000003</v>
      </c>
      <c r="E8949">
        <v>0.66300349999999997</v>
      </c>
      <c r="F8949" t="s">
        <v>57</v>
      </c>
      <c r="G8949">
        <v>-176.13890000000001</v>
      </c>
      <c r="H8949" s="1">
        <v>-3.738113E-6</v>
      </c>
      <c r="I8949">
        <v>132.01740000000001</v>
      </c>
      <c r="J8949">
        <v>-185.58750000000001</v>
      </c>
      <c r="K8949">
        <v>1.1097729999999999</v>
      </c>
      <c r="L8949">
        <v>128.8527</v>
      </c>
      <c r="M8949">
        <v>0.37817529999999999</v>
      </c>
      <c r="N8949">
        <v>-1.5996219999999998E-2</v>
      </c>
      <c r="O8949">
        <v>0.92559579999999997</v>
      </c>
      <c r="P8949">
        <v>0.73903819999999998</v>
      </c>
      <c r="Q8949">
        <v>-8.7699390000000002E-2</v>
      </c>
      <c r="R8949">
        <v>0.66793069999999999</v>
      </c>
      <c r="S8949">
        <v>3.0761259999999999</v>
      </c>
      <c r="T8949">
        <v>-0.35926029999999998</v>
      </c>
      <c r="U8949">
        <v>1.0609740000000001</v>
      </c>
      <c r="V8949">
        <v>0.4293343</v>
      </c>
      <c r="W8949">
        <v>-8.5149649999999993E-2</v>
      </c>
      <c r="X8949">
        <v>0.89912269999999905</v>
      </c>
      <c r="Y8949">
        <v>0.745625599999999</v>
      </c>
      <c r="Z8949">
        <v>-0.10832650000000001</v>
      </c>
      <c r="AA8949">
        <v>0.65750120000000001</v>
      </c>
      <c r="AB8949">
        <v>24</v>
      </c>
      <c r="AC8949">
        <v>9.4486000000000008</v>
      </c>
      <c r="AD8949">
        <v>-1.1097767381129999</v>
      </c>
      <c r="AE8949">
        <v>3.1647000000000101</v>
      </c>
      <c r="AF8949">
        <v>7.4572398213172404</v>
      </c>
      <c r="AG8949">
        <v>-1.1097767381129999</v>
      </c>
      <c r="AH8949">
        <v>6.4236140406238897</v>
      </c>
      <c r="AI8949">
        <v>96.433183127411297</v>
      </c>
      <c r="AJ8949">
        <v>40.741378934446502</v>
      </c>
      <c r="AK8949">
        <v>9.9047891196126301</v>
      </c>
      <c r="AL8949">
        <v>94.884630299225705</v>
      </c>
      <c r="AM8949">
        <v>64.475358030668502</v>
      </c>
      <c r="AN8949">
        <v>1.00000001685345</v>
      </c>
    </row>
    <row r="8950" spans="1:40" x14ac:dyDescent="0.25">
      <c r="A8950" t="str">
        <f>"20190303154353662"</f>
        <v>20190303154353662</v>
      </c>
      <c r="B8950" t="str">
        <f>"1551599033659557"</f>
        <v>1551599033659557</v>
      </c>
      <c r="C8950" t="s">
        <v>40</v>
      </c>
      <c r="D8950">
        <v>6.0862759999999998</v>
      </c>
      <c r="E8950">
        <v>0.66233889999999995</v>
      </c>
      <c r="F8950" t="s">
        <v>57</v>
      </c>
      <c r="G8950">
        <v>-176.07810000000001</v>
      </c>
      <c r="H8950" s="1">
        <v>-3.7007540000000002E-6</v>
      </c>
      <c r="I8950">
        <v>132.0282</v>
      </c>
      <c r="J8950">
        <v>-185.5325</v>
      </c>
      <c r="K8950">
        <v>1.1096649999999999</v>
      </c>
      <c r="L8950">
        <v>128.96360000000001</v>
      </c>
      <c r="M8950">
        <v>0.38607089999999999</v>
      </c>
      <c r="N8950">
        <v>-1.6053250000000002E-2</v>
      </c>
      <c r="O8950">
        <v>0.92232939999999997</v>
      </c>
      <c r="P8950">
        <v>0.74584240000000002</v>
      </c>
      <c r="Q8950">
        <v>-8.6791599999999997E-2</v>
      </c>
      <c r="R8950">
        <v>0.66044399999999903</v>
      </c>
      <c r="S8950">
        <v>3.0854189999999999</v>
      </c>
      <c r="T8950">
        <v>-0.36007749999999999</v>
      </c>
      <c r="U8950">
        <v>1.030319</v>
      </c>
      <c r="V8950">
        <v>0.4308167</v>
      </c>
      <c r="W8950">
        <v>-8.4355079999999999E-2</v>
      </c>
      <c r="X8950">
        <v>0.89848830000000002</v>
      </c>
      <c r="Y8950">
        <v>0.74639719999999998</v>
      </c>
      <c r="Z8950">
        <v>-0.1087722</v>
      </c>
      <c r="AA8950">
        <v>0.65655149999999995</v>
      </c>
      <c r="AB8950">
        <v>24</v>
      </c>
      <c r="AC8950">
        <v>9.4543999999999908</v>
      </c>
      <c r="AD8950">
        <v>-1.10966870075399</v>
      </c>
      <c r="AE8950">
        <v>3.06459999999998</v>
      </c>
      <c r="AF8950">
        <v>7.4450789388318297</v>
      </c>
      <c r="AG8950">
        <v>-1.10966870075399</v>
      </c>
      <c r="AH8950">
        <v>6.3977199020213904</v>
      </c>
      <c r="AI8950">
        <v>96.4495256189592</v>
      </c>
      <c r="AJ8950">
        <v>40.673191840830299</v>
      </c>
      <c r="AK8950">
        <v>9.8788352033825806</v>
      </c>
      <c r="AL8950">
        <v>94.8389404009488</v>
      </c>
      <c r="AM8950">
        <v>64.382719704569297</v>
      </c>
      <c r="AN8950">
        <v>1.0000000168787899</v>
      </c>
    </row>
    <row r="8951" spans="1:40" x14ac:dyDescent="0.25">
      <c r="A8951" t="str">
        <f>"20190303154353674"</f>
        <v>20190303154353674</v>
      </c>
      <c r="B8951" t="str">
        <f>"1551599033669318"</f>
        <v>1551599033669318</v>
      </c>
      <c r="C8951" t="s">
        <v>40</v>
      </c>
      <c r="D8951">
        <v>6.3912890000000004</v>
      </c>
      <c r="E8951">
        <v>0.66205709999999995</v>
      </c>
      <c r="F8951" t="s">
        <v>57</v>
      </c>
      <c r="G8951">
        <v>-176.01779999999999</v>
      </c>
      <c r="H8951" s="1">
        <v>-3.6677870000000001E-6</v>
      </c>
      <c r="I8951">
        <v>132.0497</v>
      </c>
      <c r="J8951">
        <v>-185.4726</v>
      </c>
      <c r="K8951">
        <v>1.109553</v>
      </c>
      <c r="L8951">
        <v>129.08260000000001</v>
      </c>
      <c r="M8951">
        <v>0.394596</v>
      </c>
      <c r="N8951">
        <v>-1.6113019999999999E-2</v>
      </c>
      <c r="O8951">
        <v>0.91871349999999996</v>
      </c>
      <c r="P8951">
        <v>0.75254580000000004</v>
      </c>
      <c r="Q8951">
        <v>-8.6381609999999998E-2</v>
      </c>
      <c r="R8951">
        <v>0.65285000000000004</v>
      </c>
      <c r="S8951">
        <v>3.0922390000000002</v>
      </c>
      <c r="T8951">
        <v>-0.36063640000000002</v>
      </c>
      <c r="U8951">
        <v>1.0029600000000001</v>
      </c>
      <c r="V8951">
        <v>0.43163390000000001</v>
      </c>
      <c r="W8951">
        <v>-8.4040379999999998E-2</v>
      </c>
      <c r="X8951">
        <v>0.89812549999999902</v>
      </c>
      <c r="Y8951">
        <v>0.74592190000000003</v>
      </c>
      <c r="Z8951">
        <v>-0.10911659999999999</v>
      </c>
      <c r="AA8951">
        <v>0.65703429999999996</v>
      </c>
      <c r="AB8951">
        <v>24</v>
      </c>
      <c r="AC8951">
        <v>9.4548000000000005</v>
      </c>
      <c r="AD8951">
        <v>-1.1095566677869999</v>
      </c>
      <c r="AE8951">
        <v>2.9670999999999799</v>
      </c>
      <c r="AF8951">
        <v>7.4233537492017296</v>
      </c>
      <c r="AG8951">
        <v>-1.1095566677869999</v>
      </c>
      <c r="AH8951">
        <v>6.3776214045498696</v>
      </c>
      <c r="AI8951">
        <v>96.468204030901603</v>
      </c>
      <c r="AJ8951">
        <v>40.666844243505999</v>
      </c>
      <c r="AK8951">
        <v>9.8494340783920507</v>
      </c>
      <c r="AL8951">
        <v>94.820845190739604</v>
      </c>
      <c r="AM8951">
        <v>64.331330923189697</v>
      </c>
      <c r="AN8951">
        <v>1.0000000114250001</v>
      </c>
    </row>
    <row r="8952" spans="1:40" x14ac:dyDescent="0.25">
      <c r="A8952" t="str">
        <f>"20190303154353696"</f>
        <v>20190303154353696</v>
      </c>
      <c r="B8952" t="str">
        <f>"1551599033688838"</f>
        <v>1551599033688838</v>
      </c>
      <c r="C8952" t="s">
        <v>40</v>
      </c>
      <c r="D8952">
        <v>6.5219969999999998</v>
      </c>
      <c r="E8952">
        <v>0.66145589999999999</v>
      </c>
      <c r="F8952" t="s">
        <v>57</v>
      </c>
      <c r="G8952">
        <v>-175.92750000000001</v>
      </c>
      <c r="H8952" s="1">
        <v>-3.6170339999999999E-6</v>
      </c>
      <c r="I8952">
        <v>132.07830000000001</v>
      </c>
      <c r="J8952">
        <v>-185.36</v>
      </c>
      <c r="K8952">
        <v>1.109354</v>
      </c>
      <c r="L8952">
        <v>129.2972</v>
      </c>
      <c r="M8952">
        <v>0.41032669999999999</v>
      </c>
      <c r="N8952">
        <v>-1.622198E-2</v>
      </c>
      <c r="O8952">
        <v>0.91179429999999995</v>
      </c>
      <c r="P8952">
        <v>0.76523039999999998</v>
      </c>
      <c r="Q8952">
        <v>-8.5957270000000002E-2</v>
      </c>
      <c r="R8952">
        <v>0.637992</v>
      </c>
      <c r="S8952">
        <v>3.1008</v>
      </c>
      <c r="T8952">
        <v>-0.3604465</v>
      </c>
      <c r="U8952">
        <v>0.97319029999999995</v>
      </c>
      <c r="V8952">
        <v>0.43379289999999998</v>
      </c>
      <c r="W8952">
        <v>-8.3808709999999995E-2</v>
      </c>
      <c r="X8952">
        <v>0.89710630000000002</v>
      </c>
      <c r="Y8952">
        <v>0.74081090000000005</v>
      </c>
      <c r="Z8952">
        <v>-0.109014899999999</v>
      </c>
      <c r="AA8952">
        <v>0.66280839999999996</v>
      </c>
      <c r="AB8952">
        <v>24</v>
      </c>
      <c r="AC8952">
        <v>9.4324999999999992</v>
      </c>
      <c r="AD8952">
        <v>-1.109357617034</v>
      </c>
      <c r="AE8952">
        <v>2.7810999999999999</v>
      </c>
      <c r="AF8952">
        <v>7.3665758068439704</v>
      </c>
      <c r="AG8952">
        <v>-1.109357617034</v>
      </c>
      <c r="AH8952">
        <v>6.3265302604952796</v>
      </c>
      <c r="AI8952">
        <v>96.517473318194504</v>
      </c>
      <c r="AJ8952">
        <v>40.656498753365398</v>
      </c>
      <c r="AK8952">
        <v>9.7735407390266094</v>
      </c>
      <c r="AL8952">
        <v>94.807524795414494</v>
      </c>
      <c r="AM8952">
        <v>64.194058749374605</v>
      </c>
      <c r="AN8952">
        <v>0.99999994673098003</v>
      </c>
    </row>
    <row r="8953" spans="1:40" x14ac:dyDescent="0.25">
      <c r="A8953" t="str">
        <f>"20190303154353717"</f>
        <v>20190303154353717</v>
      </c>
      <c r="B8953" t="str">
        <f>"1551599033709333"</f>
        <v>1551599033709333</v>
      </c>
      <c r="C8953" t="s">
        <v>40</v>
      </c>
      <c r="D8953">
        <v>6.1216410000000003</v>
      </c>
      <c r="E8953">
        <v>0.66083819999999904</v>
      </c>
      <c r="F8953" t="s">
        <v>57</v>
      </c>
      <c r="G8953">
        <v>-175.8014</v>
      </c>
      <c r="H8953" s="1">
        <v>-3.5415349999999998E-6</v>
      </c>
      <c r="I8953">
        <v>132.10589999999999</v>
      </c>
      <c r="J8953">
        <v>-185.24719999999999</v>
      </c>
      <c r="K8953">
        <v>1.109151</v>
      </c>
      <c r="L8953">
        <v>129.5025</v>
      </c>
      <c r="M8953">
        <v>0.42572480000000001</v>
      </c>
      <c r="N8953">
        <v>-1.6329260000000002E-2</v>
      </c>
      <c r="O8953">
        <v>0.90470530000000005</v>
      </c>
      <c r="P8953">
        <v>0.77725059999999901</v>
      </c>
      <c r="Q8953">
        <v>-8.5948860000000002E-2</v>
      </c>
      <c r="R8953">
        <v>0.62329319999999999</v>
      </c>
      <c r="S8953">
        <v>3.1162869999999998</v>
      </c>
      <c r="T8953">
        <v>-0.36167339999999998</v>
      </c>
      <c r="U8953">
        <v>0.91569520000000004</v>
      </c>
      <c r="V8953">
        <v>0.435641</v>
      </c>
      <c r="W8953">
        <v>-8.3973069999999997E-2</v>
      </c>
      <c r="X8953">
        <v>0.89619499999999996</v>
      </c>
      <c r="Y8953">
        <v>0.74157769999999901</v>
      </c>
      <c r="Z8953">
        <v>-0.10966140000000001</v>
      </c>
      <c r="AA8953">
        <v>0.66184359999999998</v>
      </c>
      <c r="AB8953">
        <v>24</v>
      </c>
      <c r="AC8953">
        <v>9.4457999999999895</v>
      </c>
      <c r="AD8953">
        <v>-1.1091545415349999</v>
      </c>
      <c r="AE8953">
        <v>2.6033999999999899</v>
      </c>
      <c r="AF8953">
        <v>7.3442113839586103</v>
      </c>
      <c r="AG8953">
        <v>-1.1091545415349999</v>
      </c>
      <c r="AH8953">
        <v>6.2967801557210903</v>
      </c>
      <c r="AI8953">
        <v>96.540560829849497</v>
      </c>
      <c r="AJ8953">
        <v>40.609127293651298</v>
      </c>
      <c r="AK8953">
        <v>9.7374075080977196</v>
      </c>
      <c r="AL8953">
        <v>94.816974900946207</v>
      </c>
      <c r="AM8953">
        <v>64.075581861881403</v>
      </c>
      <c r="AN8953">
        <v>1.0000000176956101</v>
      </c>
    </row>
    <row r="8954" spans="1:40" x14ac:dyDescent="0.25">
      <c r="A8954" t="str">
        <f>"20190303154353728"</f>
        <v>20190303154353728</v>
      </c>
      <c r="B8954" t="str">
        <f>"1551599033719094"</f>
        <v>1551599033719094</v>
      </c>
      <c r="C8954" t="s">
        <v>40</v>
      </c>
      <c r="D8954">
        <v>6.3441000000000001</v>
      </c>
      <c r="E8954">
        <v>0.66051870000000001</v>
      </c>
      <c r="F8954" t="s">
        <v>57</v>
      </c>
      <c r="G8954">
        <v>-175.738</v>
      </c>
      <c r="H8954" s="1">
        <v>-3.5017350000000002E-6</v>
      </c>
      <c r="I8954">
        <v>132.11510000000001</v>
      </c>
      <c r="J8954">
        <v>-185.18190000000001</v>
      </c>
      <c r="K8954">
        <v>1.109048</v>
      </c>
      <c r="L8954">
        <v>129.61699999999999</v>
      </c>
      <c r="M8954">
        <v>0.43447459999999999</v>
      </c>
      <c r="N8954">
        <v>-1.6389979999999998E-2</v>
      </c>
      <c r="O8954">
        <v>0.90053499999999997</v>
      </c>
      <c r="P8954">
        <v>0.78412380000000004</v>
      </c>
      <c r="Q8954">
        <v>-8.5980940000000006E-2</v>
      </c>
      <c r="R8954">
        <v>0.61461960000000004</v>
      </c>
      <c r="S8954">
        <v>3.1298370000000002</v>
      </c>
      <c r="T8954">
        <v>-0.36506329999999998</v>
      </c>
      <c r="U8954">
        <v>0.85989380000000004</v>
      </c>
      <c r="V8954">
        <v>0.4368843</v>
      </c>
      <c r="W8954">
        <v>-8.4101629999999997E-2</v>
      </c>
      <c r="X8954">
        <v>0.89557739999999997</v>
      </c>
      <c r="Y8954">
        <v>0.746623699999999</v>
      </c>
      <c r="Z8954">
        <v>-0.11119320000000001</v>
      </c>
      <c r="AA8954">
        <v>0.65588809999999997</v>
      </c>
      <c r="AB8954">
        <v>24</v>
      </c>
      <c r="AC8954">
        <v>9.44390000000001</v>
      </c>
      <c r="AD8954">
        <v>-1.109051501735</v>
      </c>
      <c r="AE8954">
        <v>2.4980999999999902</v>
      </c>
      <c r="AF8954">
        <v>7.3257738805747499</v>
      </c>
      <c r="AG8954">
        <v>-1.109051501735</v>
      </c>
      <c r="AH8954">
        <v>6.2727628893482903</v>
      </c>
      <c r="AI8954">
        <v>96.5598745591344</v>
      </c>
      <c r="AJ8954">
        <v>40.5721025449674</v>
      </c>
      <c r="AK8954">
        <v>9.7079612920940797</v>
      </c>
      <c r="AL8954">
        <v>94.824367430803804</v>
      </c>
      <c r="AM8954">
        <v>63.995761373902802</v>
      </c>
      <c r="AN8954">
        <v>0.99999992757294998</v>
      </c>
    </row>
    <row r="8955" spans="1:40" x14ac:dyDescent="0.25">
      <c r="A8955" t="str">
        <f>"20190303154353740"</f>
        <v>20190303154353740</v>
      </c>
      <c r="B8955" t="str">
        <f>"1551599033728854"</f>
        <v>1551599033728854</v>
      </c>
      <c r="C8955" t="s">
        <v>40</v>
      </c>
      <c r="D8955">
        <v>6.3219890000000003</v>
      </c>
      <c r="E8955">
        <v>0.66015769999999996</v>
      </c>
      <c r="F8955" t="s">
        <v>57</v>
      </c>
      <c r="G8955">
        <v>-175.70359999999999</v>
      </c>
      <c r="H8955" s="1">
        <v>-3.478354E-6</v>
      </c>
      <c r="I8955">
        <v>132.11529999999999</v>
      </c>
      <c r="J8955">
        <v>-185.11609999999999</v>
      </c>
      <c r="K8955">
        <v>1.1089500000000001</v>
      </c>
      <c r="L8955">
        <v>129.7302</v>
      </c>
      <c r="M8955">
        <v>0.44318049999999998</v>
      </c>
      <c r="N8955">
        <v>-1.6448850000000001E-2</v>
      </c>
      <c r="O8955">
        <v>0.89628140000000001</v>
      </c>
      <c r="P8955">
        <v>0.79071590000000003</v>
      </c>
      <c r="Q8955">
        <v>-8.6076159999999999E-2</v>
      </c>
      <c r="R8955">
        <v>0.60610180000000002</v>
      </c>
      <c r="S8955">
        <v>3.1374659999999999</v>
      </c>
      <c r="T8955">
        <v>-0.36711290000000002</v>
      </c>
      <c r="U8955">
        <v>0.82698059999999995</v>
      </c>
      <c r="V8955">
        <v>0.43786079999999999</v>
      </c>
      <c r="W8955">
        <v>-8.4281850000000005E-2</v>
      </c>
      <c r="X8955">
        <v>0.89508349999999903</v>
      </c>
      <c r="Y8955">
        <v>0.74695900000000004</v>
      </c>
      <c r="Z8955">
        <v>-0.1119996</v>
      </c>
      <c r="AA8955">
        <v>0.65536890000000003</v>
      </c>
      <c r="AB8955">
        <v>24</v>
      </c>
      <c r="AC8955">
        <v>9.4124999999999908</v>
      </c>
      <c r="AD8955">
        <v>-1.108953478354</v>
      </c>
      <c r="AE8955">
        <v>2.3850999999999898</v>
      </c>
      <c r="AF8955">
        <v>7.2851944576338798</v>
      </c>
      <c r="AG8955">
        <v>-1.108953478354</v>
      </c>
      <c r="AH8955">
        <v>6.2287673078843504</v>
      </c>
      <c r="AI8955">
        <v>96.599616049675404</v>
      </c>
      <c r="AJ8955">
        <v>40.530106522448598</v>
      </c>
      <c r="AK8955">
        <v>9.6489055482195294</v>
      </c>
      <c r="AL8955">
        <v>94.834729760424494</v>
      </c>
      <c r="AM8955">
        <v>63.932845316367199</v>
      </c>
      <c r="AN8955">
        <v>0.99999999119415595</v>
      </c>
    </row>
    <row r="8956" spans="1:40" x14ac:dyDescent="0.25">
      <c r="A8956" t="str">
        <f>"20190303154353752"</f>
        <v>20190303154353752</v>
      </c>
      <c r="B8956" t="str">
        <f>"1551599033749350"</f>
        <v>1551599033749350</v>
      </c>
      <c r="C8956" t="s">
        <v>40</v>
      </c>
      <c r="D8956">
        <v>6.1565149999999997</v>
      </c>
      <c r="E8956">
        <v>0.65939599999999998</v>
      </c>
      <c r="F8956" t="s">
        <v>57</v>
      </c>
      <c r="G8956">
        <v>-175.70429999999999</v>
      </c>
      <c r="H8956" s="1">
        <v>-3.477018E-6</v>
      </c>
      <c r="I8956">
        <v>132.1104</v>
      </c>
      <c r="J8956">
        <v>-185.0479</v>
      </c>
      <c r="K8956">
        <v>1.10886</v>
      </c>
      <c r="L8956">
        <v>129.8449</v>
      </c>
      <c r="M8956">
        <v>0.45209450000000001</v>
      </c>
      <c r="N8956">
        <v>-1.6507839999999999E-2</v>
      </c>
      <c r="O8956">
        <v>0.89181730000000003</v>
      </c>
      <c r="P8956">
        <v>0.79745630000000001</v>
      </c>
      <c r="Q8956">
        <v>-8.6486789999999994E-2</v>
      </c>
      <c r="R8956">
        <v>0.59714630000000002</v>
      </c>
      <c r="S8956">
        <v>3.1442109999999999</v>
      </c>
      <c r="T8956">
        <v>-0.37046829999999997</v>
      </c>
      <c r="U8956">
        <v>0.79516600000000004</v>
      </c>
      <c r="V8956">
        <v>0.43895830000000002</v>
      </c>
      <c r="W8956">
        <v>-8.4780659999999994E-2</v>
      </c>
      <c r="X8956">
        <v>0.89449869999999898</v>
      </c>
      <c r="Y8956">
        <v>0.74680290000000005</v>
      </c>
      <c r="Z8956">
        <v>-0.11321829999999999</v>
      </c>
      <c r="AA8956">
        <v>0.65533739999999996</v>
      </c>
      <c r="AB8956">
        <v>24</v>
      </c>
      <c r="AC8956">
        <v>9.3436000000000092</v>
      </c>
      <c r="AD8956">
        <v>-1.1088634770179999</v>
      </c>
      <c r="AE8956">
        <v>2.2654999999999998</v>
      </c>
      <c r="AF8956">
        <v>7.2136042957980004</v>
      </c>
      <c r="AG8956">
        <v>-1.1088634770179999</v>
      </c>
      <c r="AH8956">
        <v>6.1634665167640303</v>
      </c>
      <c r="AI8956">
        <v>96.665840930962901</v>
      </c>
      <c r="AJ8956">
        <v>40.511325416855797</v>
      </c>
      <c r="AK8956">
        <v>9.5526951511231193</v>
      </c>
      <c r="AL8956">
        <v>94.8634119051803</v>
      </c>
      <c r="AM8956">
        <v>63.8613786675215</v>
      </c>
      <c r="AN8956">
        <v>1.0000000368752999</v>
      </c>
    </row>
    <row r="8957" spans="1:40" x14ac:dyDescent="0.25">
      <c r="A8957" t="str">
        <f>"20190303154353764"</f>
        <v>20190303154353764</v>
      </c>
      <c r="B8957" t="str">
        <f>"1551599033759109"</f>
        <v>1551599033759109</v>
      </c>
      <c r="C8957" t="s">
        <v>40</v>
      </c>
      <c r="D8957">
        <v>6.1708850000000002</v>
      </c>
      <c r="E8957">
        <v>0.65892890000000004</v>
      </c>
      <c r="F8957" t="s">
        <v>57</v>
      </c>
      <c r="G8957">
        <v>-175.7696</v>
      </c>
      <c r="H8957" s="1">
        <v>-3.516556E-6</v>
      </c>
      <c r="I8957">
        <v>132.09729999999999</v>
      </c>
      <c r="J8957">
        <v>-184.97819999999999</v>
      </c>
      <c r="K8957">
        <v>1.108762</v>
      </c>
      <c r="L8957">
        <v>129.9588</v>
      </c>
      <c r="M8957">
        <v>0.4610783</v>
      </c>
      <c r="N8957">
        <v>-1.6566029999999999E-2</v>
      </c>
      <c r="O8957">
        <v>0.88720480000000002</v>
      </c>
      <c r="P8957">
        <v>0.804374699999999</v>
      </c>
      <c r="Q8957">
        <v>-8.7095770000000003E-2</v>
      </c>
      <c r="R8957">
        <v>0.58770359999999999</v>
      </c>
      <c r="S8957">
        <v>3.1487579999999999</v>
      </c>
      <c r="T8957">
        <v>-0.3763109</v>
      </c>
      <c r="U8957">
        <v>0.76437379999999999</v>
      </c>
      <c r="V8957">
        <v>0.44037140000000002</v>
      </c>
      <c r="W8957">
        <v>-8.5491899999999996E-2</v>
      </c>
      <c r="X8957">
        <v>0.89373609999999903</v>
      </c>
      <c r="Y8957">
        <v>0.74615159999999903</v>
      </c>
      <c r="Z8957">
        <v>-0.1152908</v>
      </c>
      <c r="AA8957">
        <v>0.65571769999999996</v>
      </c>
      <c r="AB8957">
        <v>24</v>
      </c>
      <c r="AC8957">
        <v>9.2085999999999899</v>
      </c>
      <c r="AD8957">
        <v>-1.108765516556</v>
      </c>
      <c r="AE8957">
        <v>2.1384999999999899</v>
      </c>
      <c r="AF8957">
        <v>7.0873926391171898</v>
      </c>
      <c r="AG8957">
        <v>-1.108765516556</v>
      </c>
      <c r="AH8957">
        <v>6.0606482338370196</v>
      </c>
      <c r="AI8957">
        <v>96.780505049820107</v>
      </c>
      <c r="AJ8957">
        <v>40.5347739534851</v>
      </c>
      <c r="AK8957">
        <v>9.3910570441259704</v>
      </c>
      <c r="AL8957">
        <v>94.904311503160798</v>
      </c>
      <c r="AM8957">
        <v>63.769107294005003</v>
      </c>
      <c r="AN8957">
        <v>1.0000000256733801</v>
      </c>
    </row>
    <row r="8958" spans="1:40" x14ac:dyDescent="0.25">
      <c r="A8958" t="str">
        <f>"20190303154353778"</f>
        <v>20190303154353778</v>
      </c>
      <c r="B8958" t="str">
        <f>"1551599033768869"</f>
        <v>1551599033768869</v>
      </c>
      <c r="C8958" t="s">
        <v>40</v>
      </c>
      <c r="D8958">
        <v>6.1381180000000004</v>
      </c>
      <c r="E8958">
        <v>0.6585126</v>
      </c>
      <c r="F8958" t="s">
        <v>57</v>
      </c>
      <c r="G8958">
        <v>-175.78559999999999</v>
      </c>
      <c r="H8958" s="1">
        <v>-3.5232279999999999E-6</v>
      </c>
      <c r="I8958">
        <v>132.08619999999999</v>
      </c>
      <c r="J8958">
        <v>-184.90090000000001</v>
      </c>
      <c r="K8958">
        <v>1.1086549999999999</v>
      </c>
      <c r="L8958">
        <v>130.08269999999999</v>
      </c>
      <c r="M8958">
        <v>0.47092329999999999</v>
      </c>
      <c r="N8958">
        <v>-1.6628449999999999E-2</v>
      </c>
      <c r="O8958">
        <v>0.88201739999999995</v>
      </c>
      <c r="P8958">
        <v>0.81172390000000005</v>
      </c>
      <c r="Q8958">
        <v>-8.8117459999999995E-2</v>
      </c>
      <c r="R8958">
        <v>0.57735570000000003</v>
      </c>
      <c r="S8958">
        <v>3.154938</v>
      </c>
      <c r="T8958">
        <v>-0.3805308</v>
      </c>
      <c r="U8958">
        <v>0.73013309999999998</v>
      </c>
      <c r="V8958">
        <v>0.44171739999999998</v>
      </c>
      <c r="W8958">
        <v>-8.6621240000000002E-2</v>
      </c>
      <c r="X8958">
        <v>0.89296279999999995</v>
      </c>
      <c r="Y8958">
        <v>0.74565230000000005</v>
      </c>
      <c r="Z8958">
        <v>-0.1167791</v>
      </c>
      <c r="AA8958">
        <v>0.65602229999999995</v>
      </c>
      <c r="AB8958">
        <v>24</v>
      </c>
      <c r="AC8958">
        <v>9.1153000000000102</v>
      </c>
      <c r="AD8958">
        <v>-1.108658523228</v>
      </c>
      <c r="AE8958">
        <v>2.0034999999999998</v>
      </c>
      <c r="AF8958">
        <v>6.9985814494576104</v>
      </c>
      <c r="AG8958">
        <v>-1.108658523228</v>
      </c>
      <c r="AH8958">
        <v>5.9762352534538898</v>
      </c>
      <c r="AI8958">
        <v>96.869140784493098</v>
      </c>
      <c r="AJ8958">
        <v>40.494707326404097</v>
      </c>
      <c r="AK8958">
        <v>9.2695552121147298</v>
      </c>
      <c r="AL8958">
        <v>94.969258830277994</v>
      </c>
      <c r="AM8958">
        <v>63.680010916904102</v>
      </c>
      <c r="AN8958">
        <v>1.0000000314328601</v>
      </c>
    </row>
    <row r="8959" spans="1:40" x14ac:dyDescent="0.25">
      <c r="A8959" t="str">
        <f>"20190303154353791"</f>
        <v>20190303154353791</v>
      </c>
      <c r="B8959" t="str">
        <f>"1551599033789365"</f>
        <v>1551599033789365</v>
      </c>
      <c r="C8959" t="s">
        <v>40</v>
      </c>
      <c r="D8959">
        <v>6.1644300000000003</v>
      </c>
      <c r="E8959">
        <v>0.65813310000000003</v>
      </c>
      <c r="F8959" t="s">
        <v>57</v>
      </c>
      <c r="G8959">
        <v>-175.78399999999999</v>
      </c>
      <c r="H8959" s="1">
        <v>-3.5194740000000001E-6</v>
      </c>
      <c r="I8959">
        <v>132.07900000000001</v>
      </c>
      <c r="J8959">
        <v>-184.8168</v>
      </c>
      <c r="K8959">
        <v>1.108536</v>
      </c>
      <c r="L8959">
        <v>130.21340000000001</v>
      </c>
      <c r="M8959">
        <v>0.48148269999999999</v>
      </c>
      <c r="N8959">
        <v>-1.6696180000000001E-2</v>
      </c>
      <c r="O8959">
        <v>0.87629650000000003</v>
      </c>
      <c r="P8959">
        <v>0.81934490000000004</v>
      </c>
      <c r="Q8959">
        <v>-8.8793709999999998E-2</v>
      </c>
      <c r="R8959">
        <v>0.56638290000000002</v>
      </c>
      <c r="S8959">
        <v>3.1616970000000002</v>
      </c>
      <c r="T8959">
        <v>-0.38447730000000002</v>
      </c>
      <c r="U8959">
        <v>0.69230649999999905</v>
      </c>
      <c r="V8959">
        <v>0.44289640000000002</v>
      </c>
      <c r="W8959">
        <v>-8.7403599999999998E-2</v>
      </c>
      <c r="X8959">
        <v>0.89230229999999999</v>
      </c>
      <c r="Y8959">
        <v>0.74532069999999995</v>
      </c>
      <c r="Z8959">
        <v>-0.1181648</v>
      </c>
      <c r="AA8959">
        <v>0.65615089999999998</v>
      </c>
      <c r="AB8959">
        <v>24</v>
      </c>
      <c r="AC8959">
        <v>9.0327999999999804</v>
      </c>
      <c r="AD8959">
        <v>-1.108539519474</v>
      </c>
      <c r="AE8959">
        <v>1.8655999999999999</v>
      </c>
      <c r="AF8959">
        <v>6.9182024004324303</v>
      </c>
      <c r="AG8959">
        <v>-1.108539519474</v>
      </c>
      <c r="AH8959">
        <v>5.8995711738272796</v>
      </c>
      <c r="AI8959">
        <v>96.951377898352703</v>
      </c>
      <c r="AJ8959">
        <v>40.456241397589999</v>
      </c>
      <c r="AK8959">
        <v>9.1594390851535508</v>
      </c>
      <c r="AL8959">
        <v>95.014255563367499</v>
      </c>
      <c r="AM8959">
        <v>63.602385701751501</v>
      </c>
      <c r="AN8959">
        <v>1.0000000025055999</v>
      </c>
    </row>
    <row r="8960" spans="1:40" x14ac:dyDescent="0.25">
      <c r="A8960" t="str">
        <f>"20190303154353807"</f>
        <v>20190303154353807</v>
      </c>
      <c r="B8960" t="str">
        <f>"1551599033799126"</f>
        <v>1551599033799126</v>
      </c>
      <c r="C8960" t="s">
        <v>40</v>
      </c>
      <c r="D8960">
        <v>6.1754470000000001</v>
      </c>
      <c r="E8960">
        <v>0.61945039999999996</v>
      </c>
      <c r="F8960" t="s">
        <v>57</v>
      </c>
      <c r="G8960">
        <v>-175.71469999999999</v>
      </c>
      <c r="H8960" s="1">
        <v>-3.4748440000000001E-6</v>
      </c>
      <c r="I8960">
        <v>132.08609999999999</v>
      </c>
      <c r="J8960">
        <v>-184.7191</v>
      </c>
      <c r="K8960">
        <v>1.1084000000000001</v>
      </c>
      <c r="L8960">
        <v>130.3603</v>
      </c>
      <c r="M8960">
        <v>0.49353130000000001</v>
      </c>
      <c r="N8960">
        <v>-1.6775419999999999E-2</v>
      </c>
      <c r="O8960">
        <v>0.86956619999999996</v>
      </c>
      <c r="P8960">
        <v>0.82855469999999898</v>
      </c>
      <c r="Q8960">
        <v>-9.1307570000000005E-2</v>
      </c>
      <c r="R8960">
        <v>0.55241289999999998</v>
      </c>
      <c r="S8960">
        <v>3.1689449999999999</v>
      </c>
      <c r="T8960">
        <v>-0.38594519999999999</v>
      </c>
      <c r="U8960">
        <v>0.65199280000000004</v>
      </c>
      <c r="V8960">
        <v>0.44535849999999999</v>
      </c>
      <c r="W8960">
        <v>-9.0083730000000001E-2</v>
      </c>
      <c r="X8960">
        <v>0.89080910000000002</v>
      </c>
      <c r="Y8960">
        <v>0.74443599999999999</v>
      </c>
      <c r="Z8960">
        <v>-0.1186543</v>
      </c>
      <c r="AA8960">
        <v>0.65706640000000005</v>
      </c>
      <c r="AB8960">
        <v>24</v>
      </c>
      <c r="AC8960">
        <v>9.0044000000000004</v>
      </c>
      <c r="AD8960">
        <v>-1.1084034748439999</v>
      </c>
      <c r="AE8960">
        <v>1.72579999999999</v>
      </c>
      <c r="AF8960">
        <v>6.8786320697842598</v>
      </c>
      <c r="AG8960">
        <v>-1.1084034748439999</v>
      </c>
      <c r="AH8960">
        <v>5.8598418930272604</v>
      </c>
      <c r="AI8960">
        <v>96.993096267631103</v>
      </c>
      <c r="AJ8960">
        <v>40.427364725457601</v>
      </c>
      <c r="AK8960">
        <v>9.1039488369491703</v>
      </c>
      <c r="AL8960">
        <v>95.168423710169293</v>
      </c>
      <c r="AM8960">
        <v>63.437318376806402</v>
      </c>
      <c r="AN8960">
        <v>1.00000006228788</v>
      </c>
    </row>
    <row r="8961" spans="1:40" x14ac:dyDescent="0.25">
      <c r="A8961" t="str">
        <f>"20190303154353825"</f>
        <v>20190303154353825</v>
      </c>
      <c r="B8961" t="str">
        <f>"1551599033819622"</f>
        <v>1551599033819622</v>
      </c>
      <c r="C8961" t="s">
        <v>40</v>
      </c>
      <c r="D8961">
        <v>6.1741900000000003</v>
      </c>
      <c r="E8961">
        <v>0.61896909999999905</v>
      </c>
      <c r="F8961" t="s">
        <v>57</v>
      </c>
      <c r="G8961">
        <v>-178.03649999999999</v>
      </c>
      <c r="H8961" s="1">
        <v>-5.1186579999999999E-6</v>
      </c>
      <c r="I8961">
        <v>132.24420000000001</v>
      </c>
      <c r="J8961">
        <v>-184.61199999999999</v>
      </c>
      <c r="K8961">
        <v>1.1082540000000001</v>
      </c>
      <c r="L8961">
        <v>130.51650000000001</v>
      </c>
      <c r="M8961">
        <v>0.50652459999999999</v>
      </c>
      <c r="N8961">
        <v>-1.686228E-2</v>
      </c>
      <c r="O8961">
        <v>0.86206059999999995</v>
      </c>
      <c r="P8961">
        <v>0.83741969999999999</v>
      </c>
      <c r="Q8961">
        <v>-9.2215930000000002E-2</v>
      </c>
      <c r="R8961">
        <v>0.53872500000000001</v>
      </c>
      <c r="S8961">
        <v>3.0016940000000001</v>
      </c>
      <c r="T8961">
        <v>-0.4978689</v>
      </c>
      <c r="U8961">
        <v>0.84623719999999902</v>
      </c>
      <c r="V8961">
        <v>0.4464823</v>
      </c>
      <c r="W8961">
        <v>-9.1106560000000003E-2</v>
      </c>
      <c r="X8961">
        <v>0.890142199999999</v>
      </c>
      <c r="Y8961">
        <v>0.67873119999999998</v>
      </c>
      <c r="Z8961">
        <v>-0.15682009999999999</v>
      </c>
      <c r="AA8961">
        <v>0.71744779999999997</v>
      </c>
      <c r="AB8961">
        <v>24</v>
      </c>
      <c r="AC8961">
        <v>6.5754999999999999</v>
      </c>
      <c r="AD8961">
        <v>-1.108259118658</v>
      </c>
      <c r="AE8961">
        <v>1.72769999999999</v>
      </c>
      <c r="AF8961">
        <v>4.66994639180162</v>
      </c>
      <c r="AG8961">
        <v>-1.108259118658</v>
      </c>
      <c r="AH8961">
        <v>4.6959372259837497</v>
      </c>
      <c r="AI8961">
        <v>99.499985958503402</v>
      </c>
      <c r="AJ8961">
        <v>45.158998482449597</v>
      </c>
      <c r="AK8961">
        <v>6.7147944128446397</v>
      </c>
      <c r="AL8961">
        <v>95.227269900772001</v>
      </c>
      <c r="AM8961">
        <v>63.3623271506561</v>
      </c>
      <c r="AN8961">
        <v>0.99999999285458097</v>
      </c>
    </row>
    <row r="8962" spans="1:40" x14ac:dyDescent="0.25">
      <c r="A8962" t="str">
        <f>"20190303154353838"</f>
        <v>20190303154353838</v>
      </c>
      <c r="B8962" t="str">
        <f>"1551599033829382"</f>
        <v>1551599033829382</v>
      </c>
      <c r="C8962" t="s">
        <v>40</v>
      </c>
      <c r="D8962">
        <v>6.1697550000000003</v>
      </c>
      <c r="E8962">
        <v>0.61784380000000005</v>
      </c>
      <c r="F8962" t="s">
        <v>57</v>
      </c>
      <c r="G8962">
        <v>-177.8836</v>
      </c>
      <c r="H8962" s="1">
        <v>-5.0366320000000002E-6</v>
      </c>
      <c r="I8962">
        <v>132.30289999999999</v>
      </c>
      <c r="J8962">
        <v>-184.53120000000001</v>
      </c>
      <c r="K8962">
        <v>1.1081490000000001</v>
      </c>
      <c r="L8962">
        <v>130.63149999999999</v>
      </c>
      <c r="M8962">
        <v>0.51618509999999995</v>
      </c>
      <c r="N8962">
        <v>-1.6926960000000001E-2</v>
      </c>
      <c r="O8962">
        <v>0.85630980000000001</v>
      </c>
      <c r="P8962">
        <v>0.84401380000000004</v>
      </c>
      <c r="Q8962">
        <v>-9.3076249999999999E-2</v>
      </c>
      <c r="R8962">
        <v>0.52818330000000002</v>
      </c>
      <c r="S8962">
        <v>3.0131380000000001</v>
      </c>
      <c r="T8962">
        <v>-0.49630170000000001</v>
      </c>
      <c r="U8962">
        <v>0.80000309999999997</v>
      </c>
      <c r="V8962">
        <v>0.44750309999999999</v>
      </c>
      <c r="W8962">
        <v>-9.2059740000000001E-2</v>
      </c>
      <c r="X8962">
        <v>0.88953130000000002</v>
      </c>
      <c r="Y8962">
        <v>0.68158249999999998</v>
      </c>
      <c r="Z8962">
        <v>-0.1563957</v>
      </c>
      <c r="AA8962">
        <v>0.71483269999999899</v>
      </c>
      <c r="AB8962">
        <v>24</v>
      </c>
      <c r="AC8962">
        <v>6.6476000000000104</v>
      </c>
      <c r="AD8962">
        <v>-1.108154036632</v>
      </c>
      <c r="AE8962">
        <v>1.6714</v>
      </c>
      <c r="AF8962">
        <v>4.7073121302892602</v>
      </c>
      <c r="AG8962">
        <v>-1.108154036632</v>
      </c>
      <c r="AH8962">
        <v>4.7394518521814399</v>
      </c>
      <c r="AI8962">
        <v>99.419218779374503</v>
      </c>
      <c r="AJ8962">
        <v>45.194930593974</v>
      </c>
      <c r="AK8962">
        <v>6.7712034912575403</v>
      </c>
      <c r="AL8962">
        <v>95.282113662876796</v>
      </c>
      <c r="AM8962">
        <v>63.294064576365898</v>
      </c>
      <c r="AN8962">
        <v>0.99999997695908305</v>
      </c>
    </row>
    <row r="8963" spans="1:40" x14ac:dyDescent="0.25">
      <c r="A8963" t="str">
        <f>"20190303154353850"</f>
        <v>20190303154353850</v>
      </c>
      <c r="B8963" t="str">
        <f>"1551599033839142"</f>
        <v>1551599033839142</v>
      </c>
      <c r="C8963" t="s">
        <v>40</v>
      </c>
      <c r="D8963">
        <v>5.686445</v>
      </c>
      <c r="E8963">
        <v>0.61921660000000001</v>
      </c>
      <c r="F8963" t="s">
        <v>57</v>
      </c>
      <c r="G8963">
        <v>-177.81559999999999</v>
      </c>
      <c r="H8963" s="1">
        <v>-5.0061919999999901E-6</v>
      </c>
      <c r="I8963">
        <v>132.345</v>
      </c>
      <c r="J8963">
        <v>-184.4453</v>
      </c>
      <c r="K8963">
        <v>1.1080410000000001</v>
      </c>
      <c r="L8963">
        <v>130.74959999999999</v>
      </c>
      <c r="M8963">
        <v>0.52628180000000002</v>
      </c>
      <c r="N8963">
        <v>-1.6995150000000001E-2</v>
      </c>
      <c r="O8963">
        <v>0.85014040000000002</v>
      </c>
      <c r="P8963">
        <v>0.85146999999999995</v>
      </c>
      <c r="Q8963">
        <v>-9.3878719999999999E-2</v>
      </c>
      <c r="R8963">
        <v>0.51593180000000005</v>
      </c>
      <c r="S8963">
        <v>3.0176850000000002</v>
      </c>
      <c r="T8963">
        <v>-0.49794899999999997</v>
      </c>
      <c r="U8963">
        <v>0.76997380000000004</v>
      </c>
      <c r="V8963">
        <v>0.44970300000000002</v>
      </c>
      <c r="W8963">
        <v>-9.3001479999999997E-2</v>
      </c>
      <c r="X8963">
        <v>0.88832310000000003</v>
      </c>
      <c r="Y8963">
        <v>0.67986269999999904</v>
      </c>
      <c r="Z8963">
        <v>-0.15678249999999999</v>
      </c>
      <c r="AA8963">
        <v>0.71638389999999996</v>
      </c>
      <c r="AB8963">
        <v>24</v>
      </c>
      <c r="AC8963">
        <v>6.6297000000000104</v>
      </c>
      <c r="AD8963">
        <v>-1.1080460061920001</v>
      </c>
      <c r="AE8963">
        <v>1.5954000000000099</v>
      </c>
      <c r="AF8963">
        <v>4.6738280623782504</v>
      </c>
      <c r="AG8963">
        <v>-1.1080460061920001</v>
      </c>
      <c r="AH8963">
        <v>4.7214366510689203</v>
      </c>
      <c r="AI8963">
        <v>99.468944627044095</v>
      </c>
      <c r="AJ8963">
        <v>45.2903321978321</v>
      </c>
      <c r="AK8963">
        <v>6.7353098487426299</v>
      </c>
      <c r="AL8963">
        <v>95.336303772390906</v>
      </c>
      <c r="AM8963">
        <v>63.149729348148398</v>
      </c>
      <c r="AN8963">
        <v>0.99999999674240003</v>
      </c>
    </row>
    <row r="8964" spans="1:40" x14ac:dyDescent="0.25">
      <c r="A8964" t="str">
        <f>"20190303154353864"</f>
        <v>20190303154353864</v>
      </c>
      <c r="B8964" t="str">
        <f>"1551599033858662"</f>
        <v>1551599033858662</v>
      </c>
      <c r="C8964" t="s">
        <v>40</v>
      </c>
      <c r="D8964">
        <v>6.1588789999999998</v>
      </c>
      <c r="E8964">
        <v>0.61794199999999999</v>
      </c>
      <c r="F8964" t="s">
        <v>57</v>
      </c>
      <c r="G8964">
        <v>-176.46289999999999</v>
      </c>
      <c r="H8964" s="1">
        <v>-4.1990239999999998E-6</v>
      </c>
      <c r="I8964">
        <v>132.64940000000001</v>
      </c>
      <c r="J8964">
        <v>-184.357</v>
      </c>
      <c r="K8964">
        <v>1.1079399999999999</v>
      </c>
      <c r="L8964">
        <v>130.86799999999999</v>
      </c>
      <c r="M8964">
        <v>0.53651510000000002</v>
      </c>
      <c r="N8964">
        <v>-1.7063539999999999E-2</v>
      </c>
      <c r="O8964">
        <v>0.84371819999999897</v>
      </c>
      <c r="P8964">
        <v>0.85819409999999896</v>
      </c>
      <c r="Q8964">
        <v>-9.3940579999999996E-2</v>
      </c>
      <c r="R8964">
        <v>0.5046564</v>
      </c>
      <c r="S8964">
        <v>3.038589</v>
      </c>
      <c r="T8964">
        <v>-0.42178939999999998</v>
      </c>
      <c r="U8964">
        <v>0.7232056</v>
      </c>
      <c r="V8964">
        <v>0.45065529999999998</v>
      </c>
      <c r="W8964">
        <v>-9.3149449999999995E-2</v>
      </c>
      <c r="X8964">
        <v>0.88782479999999997</v>
      </c>
      <c r="Y8964">
        <v>0.68677929999999998</v>
      </c>
      <c r="Z8964">
        <v>-0.131297</v>
      </c>
      <c r="AA8964">
        <v>0.71490929999999997</v>
      </c>
      <c r="AB8964">
        <v>24</v>
      </c>
      <c r="AC8964">
        <v>7.8940999999999999</v>
      </c>
      <c r="AD8964">
        <v>-1.107944199024</v>
      </c>
      <c r="AE8964">
        <v>1.7814000000000101</v>
      </c>
      <c r="AF8964">
        <v>5.60050331670835</v>
      </c>
      <c r="AG8964">
        <v>-1.107944199024</v>
      </c>
      <c r="AH8964">
        <v>5.6335445060153999</v>
      </c>
      <c r="AI8964">
        <v>97.940076786583404</v>
      </c>
      <c r="AJ8964">
        <v>45.168515860756997</v>
      </c>
      <c r="AK8964">
        <v>8.0205985717942792</v>
      </c>
      <c r="AL8964">
        <v>95.344819056232595</v>
      </c>
      <c r="AM8964">
        <v>63.087884962574996</v>
      </c>
      <c r="AN8964">
        <v>0.99999994747421395</v>
      </c>
    </row>
    <row r="8965" spans="1:40" x14ac:dyDescent="0.25">
      <c r="A8965" t="str">
        <f>"20190303154353877"</f>
        <v>20190303154353877</v>
      </c>
      <c r="B8965" t="str">
        <f>"1551599033869397"</f>
        <v>1551599033869397</v>
      </c>
      <c r="C8965" t="s">
        <v>40</v>
      </c>
      <c r="D8965">
        <v>6.1467769999999904</v>
      </c>
      <c r="E8965">
        <v>0.61708509999999905</v>
      </c>
      <c r="F8965" t="s">
        <v>57</v>
      </c>
      <c r="G8965">
        <v>-176.55170000000001</v>
      </c>
      <c r="H8965" s="1">
        <v>-4.2563549999999998E-6</v>
      </c>
      <c r="I8965">
        <v>132.64099999999999</v>
      </c>
      <c r="J8965">
        <v>-184.27619999999999</v>
      </c>
      <c r="K8965">
        <v>1.10785</v>
      </c>
      <c r="L8965">
        <v>130.97460000000001</v>
      </c>
      <c r="M8965">
        <v>0.54576979999999997</v>
      </c>
      <c r="N8965">
        <v>-1.7124380000000002E-2</v>
      </c>
      <c r="O8965">
        <v>0.83776019999999896</v>
      </c>
      <c r="P8965">
        <v>0.86413989999999996</v>
      </c>
      <c r="Q8965">
        <v>-9.3266829999999995E-2</v>
      </c>
      <c r="R8965">
        <v>0.49453370000000002</v>
      </c>
      <c r="S8965">
        <v>3.042068</v>
      </c>
      <c r="T8965">
        <v>-0.43181229999999998</v>
      </c>
      <c r="U8965">
        <v>0.69100950000000005</v>
      </c>
      <c r="V8965">
        <v>0.45138109999999998</v>
      </c>
      <c r="W8965">
        <v>-9.2545840000000004E-2</v>
      </c>
      <c r="X8965">
        <v>0.88751919999999995</v>
      </c>
      <c r="Y8965">
        <v>0.68570209999999998</v>
      </c>
      <c r="Z8965">
        <v>-0.1345681</v>
      </c>
      <c r="AA8965">
        <v>0.7153349</v>
      </c>
      <c r="AB8965">
        <v>24</v>
      </c>
      <c r="AC8965">
        <v>7.7244999999999697</v>
      </c>
      <c r="AD8965">
        <v>-1.107854256355</v>
      </c>
      <c r="AE8965">
        <v>1.6663999999999799</v>
      </c>
      <c r="AF8965">
        <v>5.4553984631593204</v>
      </c>
      <c r="AG8965">
        <v>-1.107854256355</v>
      </c>
      <c r="AH8965">
        <v>5.5044757413161403</v>
      </c>
      <c r="AI8965">
        <v>98.135381723008507</v>
      </c>
      <c r="AJ8965">
        <v>45.256563356622799</v>
      </c>
      <c r="AK8965">
        <v>7.8286631446181696</v>
      </c>
      <c r="AL8965">
        <v>95.310084533348999</v>
      </c>
      <c r="AM8965">
        <v>63.0426840580337</v>
      </c>
      <c r="AN8965">
        <v>0.99999998015357705</v>
      </c>
    </row>
    <row r="8966" spans="1:40" x14ac:dyDescent="0.25">
      <c r="A8966" t="str">
        <f>"20190303154353887"</f>
        <v>20190303154353887</v>
      </c>
      <c r="B8966" t="str">
        <f>"1551599033879157"</f>
        <v>1551599033879157</v>
      </c>
      <c r="C8966" t="s">
        <v>40</v>
      </c>
      <c r="D8966">
        <v>6.1660149999999998</v>
      </c>
      <c r="E8966">
        <v>0.61619009999999996</v>
      </c>
      <c r="F8966" t="s">
        <v>57</v>
      </c>
      <c r="G8966">
        <v>-176.45769999999999</v>
      </c>
      <c r="H8966" s="1">
        <v>-4.2037000000000001E-6</v>
      </c>
      <c r="I8966">
        <v>132.6711</v>
      </c>
      <c r="J8966">
        <v>-184.1925</v>
      </c>
      <c r="K8966">
        <v>1.1077709999999901</v>
      </c>
      <c r="L8966">
        <v>131.08070000000001</v>
      </c>
      <c r="M8966">
        <v>0.55517450000000002</v>
      </c>
      <c r="N8966">
        <v>-1.7186170000000001E-2</v>
      </c>
      <c r="O8966">
        <v>0.83155630000000003</v>
      </c>
      <c r="P8966">
        <v>0.86988169999999898</v>
      </c>
      <c r="Q8966">
        <v>-9.2626940000000005E-2</v>
      </c>
      <c r="R8966">
        <v>0.48448530000000001</v>
      </c>
      <c r="S8966">
        <v>3.0467070000000001</v>
      </c>
      <c r="T8966">
        <v>-0.43171140000000002</v>
      </c>
      <c r="U8966">
        <v>0.66110230000000003</v>
      </c>
      <c r="V8966">
        <v>0.45172630000000003</v>
      </c>
      <c r="W8966">
        <v>-9.1956410000000002E-2</v>
      </c>
      <c r="X8966">
        <v>0.88740490000000005</v>
      </c>
      <c r="Y8966">
        <v>0.68451530000000005</v>
      </c>
      <c r="Z8966">
        <v>-0.13434670000000001</v>
      </c>
      <c r="AA8966">
        <v>0.71651219999999904</v>
      </c>
      <c r="AB8966">
        <v>24</v>
      </c>
      <c r="AC8966">
        <v>7.7347999999999999</v>
      </c>
      <c r="AD8966">
        <v>-1.1077752036999999</v>
      </c>
      <c r="AE8966">
        <v>1.5903999999999801</v>
      </c>
      <c r="AF8966">
        <v>5.44268081538715</v>
      </c>
      <c r="AG8966">
        <v>-1.1077752036999999</v>
      </c>
      <c r="AH8966">
        <v>5.5090827547647603</v>
      </c>
      <c r="AI8966">
        <v>98.140685615329403</v>
      </c>
      <c r="AJ8966">
        <v>45.347387362238599</v>
      </c>
      <c r="AK8966">
        <v>7.8230386141807102</v>
      </c>
      <c r="AL8966">
        <v>95.276167715475196</v>
      </c>
      <c r="AM8966">
        <v>63.021998159322202</v>
      </c>
      <c r="AN8966">
        <v>1.00000004399789</v>
      </c>
    </row>
    <row r="8967" spans="1:40" x14ac:dyDescent="0.25">
      <c r="A8967" t="str">
        <f>"20190303154353901"</f>
        <v>20190303154353901</v>
      </c>
      <c r="B8967" t="str">
        <f>"1551599033898678"</f>
        <v>1551599033898678</v>
      </c>
      <c r="C8967" t="s">
        <v>40</v>
      </c>
      <c r="D8967">
        <v>6.3999439999999996</v>
      </c>
      <c r="E8967">
        <v>0.61501969999999995</v>
      </c>
      <c r="F8967" t="s">
        <v>57</v>
      </c>
      <c r="G8967">
        <v>-176.39400000000001</v>
      </c>
      <c r="H8967" s="1">
        <v>-4.1696690000000003E-6</v>
      </c>
      <c r="I8967">
        <v>132.696</v>
      </c>
      <c r="J8967">
        <v>-184.10300000000001</v>
      </c>
      <c r="K8967">
        <v>1.1076889999999999</v>
      </c>
      <c r="L8967">
        <v>131.19229999999999</v>
      </c>
      <c r="M8967">
        <v>0.56510930000000004</v>
      </c>
      <c r="N8967">
        <v>-1.7250270000000002E-2</v>
      </c>
      <c r="O8967">
        <v>0.82483569999999995</v>
      </c>
      <c r="P8967">
        <v>0.87594030000000001</v>
      </c>
      <c r="Q8967">
        <v>-9.2275109999999994E-2</v>
      </c>
      <c r="R8967">
        <v>0.47351260000000001</v>
      </c>
      <c r="S8967">
        <v>3.0506739999999999</v>
      </c>
      <c r="T8967">
        <v>-0.43334410000000001</v>
      </c>
      <c r="U8967">
        <v>0.63188169999999899</v>
      </c>
      <c r="V8967">
        <v>0.45225910000000002</v>
      </c>
      <c r="W8967">
        <v>-9.1663819999999993E-2</v>
      </c>
      <c r="X8967">
        <v>0.887163699999999</v>
      </c>
      <c r="Y8967">
        <v>0.68254150000000002</v>
      </c>
      <c r="Z8967">
        <v>-0.13462180000000001</v>
      </c>
      <c r="AA8967">
        <v>0.71834119999999901</v>
      </c>
      <c r="AB8967">
        <v>24</v>
      </c>
      <c r="AC8967">
        <v>7.7089999999999703</v>
      </c>
      <c r="AD8967">
        <v>-1.107693169669</v>
      </c>
      <c r="AE8967">
        <v>1.5037</v>
      </c>
      <c r="AF8967">
        <v>5.4022743465544503</v>
      </c>
      <c r="AG8967">
        <v>-1.107693169669</v>
      </c>
      <c r="AH8967">
        <v>5.4884038160274402</v>
      </c>
      <c r="AI8967">
        <v>98.185027259177005</v>
      </c>
      <c r="AJ8967">
        <v>45.453117073053697</v>
      </c>
      <c r="AK8967">
        <v>7.7803681610420101</v>
      </c>
      <c r="AL8967">
        <v>95.259332725515605</v>
      </c>
      <c r="AM8967">
        <v>62.988382084565799</v>
      </c>
      <c r="AN8967">
        <v>0.99999999001374595</v>
      </c>
    </row>
    <row r="8968" spans="1:40" x14ac:dyDescent="0.25">
      <c r="A8968" t="str">
        <f>"20190303154353912"</f>
        <v>20190303154353912</v>
      </c>
      <c r="B8968" t="str">
        <f>"1551599033909415"</f>
        <v>1551599033909415</v>
      </c>
      <c r="C8968" t="s">
        <v>40</v>
      </c>
      <c r="D8968">
        <v>6.1970260000000001</v>
      </c>
      <c r="E8968">
        <v>0.61471299999999995</v>
      </c>
      <c r="F8968" t="s">
        <v>57</v>
      </c>
      <c r="G8968">
        <v>-176.46979999999999</v>
      </c>
      <c r="H8968" s="1">
        <v>-4.220919E-6</v>
      </c>
      <c r="I8968">
        <v>132.69479999999999</v>
      </c>
      <c r="J8968">
        <v>-184.02330000000001</v>
      </c>
      <c r="K8968">
        <v>1.1076189999999999</v>
      </c>
      <c r="L8968">
        <v>131.2894</v>
      </c>
      <c r="M8968">
        <v>0.57383200000000001</v>
      </c>
      <c r="N8968">
        <v>-1.7305830000000001E-2</v>
      </c>
      <c r="O8968">
        <v>0.81879019999999902</v>
      </c>
      <c r="P8968">
        <v>0.88121119999999997</v>
      </c>
      <c r="Q8968">
        <v>-9.159312E-2</v>
      </c>
      <c r="R8968">
        <v>0.46376450000000002</v>
      </c>
      <c r="S8968">
        <v>3.053299</v>
      </c>
      <c r="T8968">
        <v>-0.443077</v>
      </c>
      <c r="U8968">
        <v>0.60101319999999903</v>
      </c>
      <c r="V8968">
        <v>0.45275070000000001</v>
      </c>
      <c r="W8968">
        <v>-9.1031360000000006E-2</v>
      </c>
      <c r="X8968">
        <v>0.88697809999999899</v>
      </c>
      <c r="Y8968">
        <v>0.68144729999999998</v>
      </c>
      <c r="Z8968">
        <v>-0.1377042</v>
      </c>
      <c r="AA8968">
        <v>0.71879559999999998</v>
      </c>
      <c r="AB8968">
        <v>24</v>
      </c>
      <c r="AC8968">
        <v>7.5535000000000103</v>
      </c>
      <c r="AD8968">
        <v>-1.107623220919</v>
      </c>
      <c r="AE8968">
        <v>1.40539999999998</v>
      </c>
      <c r="AF8968">
        <v>5.2695566840552299</v>
      </c>
      <c r="AG8968">
        <v>-1.107623220919</v>
      </c>
      <c r="AH8968">
        <v>5.3742953879643096</v>
      </c>
      <c r="AI8968">
        <v>98.371511187647897</v>
      </c>
      <c r="AJ8968">
        <v>45.563789496343396</v>
      </c>
      <c r="AK8968">
        <v>7.6077662794728802</v>
      </c>
      <c r="AL8968">
        <v>95.222943098471603</v>
      </c>
      <c r="AM8968">
        <v>62.958333587839299</v>
      </c>
      <c r="AN8968">
        <v>1.00000002736677</v>
      </c>
    </row>
    <row r="8969" spans="1:40" x14ac:dyDescent="0.25">
      <c r="A8969" t="str">
        <f>"20190303154353925"</f>
        <v>20190303154353925</v>
      </c>
      <c r="B8969" t="str">
        <f>"1551599033919174"</f>
        <v>1551599033919174</v>
      </c>
      <c r="C8969" t="s">
        <v>40</v>
      </c>
      <c r="D8969">
        <v>6.1845049999999997</v>
      </c>
      <c r="E8969">
        <v>0.61397460000000004</v>
      </c>
      <c r="F8969" t="s">
        <v>57</v>
      </c>
      <c r="G8969">
        <v>-176.25110000000001</v>
      </c>
      <c r="H8969" s="1">
        <v>-4.0875869999999999E-6</v>
      </c>
      <c r="I8969">
        <v>132.73650000000001</v>
      </c>
      <c r="J8969">
        <v>-183.9408</v>
      </c>
      <c r="K8969">
        <v>1.1075489999999999</v>
      </c>
      <c r="L8969">
        <v>131.387</v>
      </c>
      <c r="M8969">
        <v>0.58272709999999905</v>
      </c>
      <c r="N8969">
        <v>-1.7362019999999999E-2</v>
      </c>
      <c r="O8969">
        <v>0.81248240000000005</v>
      </c>
      <c r="P8969">
        <v>0.88647770000000004</v>
      </c>
      <c r="Q8969">
        <v>-9.1378130000000002E-2</v>
      </c>
      <c r="R8969">
        <v>0.45366000000000001</v>
      </c>
      <c r="S8969">
        <v>3.059326</v>
      </c>
      <c r="T8969">
        <v>-0.43598779999999998</v>
      </c>
      <c r="U8969">
        <v>0.56959530000000003</v>
      </c>
      <c r="V8969">
        <v>0.45322750000000001</v>
      </c>
      <c r="W8969">
        <v>-9.0862620000000005E-2</v>
      </c>
      <c r="X8969">
        <v>0.88675179999999998</v>
      </c>
      <c r="Y8969">
        <v>0.68131960000000003</v>
      </c>
      <c r="Z8969">
        <v>-0.13511039999999999</v>
      </c>
      <c r="AA8969">
        <v>0.71940869999999901</v>
      </c>
      <c r="AB8969">
        <v>24</v>
      </c>
      <c r="AC8969">
        <v>7.6896999999999798</v>
      </c>
      <c r="AD8969">
        <v>-1.1075530875870001</v>
      </c>
      <c r="AE8969">
        <v>1.3494999999999999</v>
      </c>
      <c r="AF8969">
        <v>5.3544212059541696</v>
      </c>
      <c r="AG8969">
        <v>-1.1075530875870001</v>
      </c>
      <c r="AH8969">
        <v>5.4682341098507097</v>
      </c>
      <c r="AI8969">
        <v>98.234546153400402</v>
      </c>
      <c r="AJ8969">
        <v>45.602510057614303</v>
      </c>
      <c r="AK8969">
        <v>7.7329221237983496</v>
      </c>
      <c r="AL8969">
        <v>95.213235082050005</v>
      </c>
      <c r="AM8969">
        <v>62.927981124243303</v>
      </c>
      <c r="AN8969">
        <v>0.99999996863637597</v>
      </c>
    </row>
    <row r="8970" spans="1:40" x14ac:dyDescent="0.25">
      <c r="A8970" t="str">
        <f>"20190303154353937"</f>
        <v>20190303154353937</v>
      </c>
      <c r="B8970" t="str">
        <f>"1551599033928934"</f>
        <v>1551599033928934</v>
      </c>
      <c r="C8970" t="s">
        <v>40</v>
      </c>
      <c r="D8970">
        <v>6.1690300000000002</v>
      </c>
      <c r="E8970">
        <v>0.61321179999999997</v>
      </c>
      <c r="F8970" t="s">
        <v>57</v>
      </c>
      <c r="G8970">
        <v>-176.11840000000001</v>
      </c>
      <c r="H8970" s="1">
        <v>-4.0081440000000002E-6</v>
      </c>
      <c r="I8970">
        <v>132.76580000000001</v>
      </c>
      <c r="J8970">
        <v>-183.84870000000001</v>
      </c>
      <c r="K8970">
        <v>1.1074759999999999</v>
      </c>
      <c r="L8970">
        <v>131.49430000000001</v>
      </c>
      <c r="M8970">
        <v>0.59252759999999904</v>
      </c>
      <c r="N8970">
        <v>-1.7422819999999999E-2</v>
      </c>
      <c r="O8970">
        <v>0.80536169999999996</v>
      </c>
      <c r="P8970">
        <v>0.89195329999999995</v>
      </c>
      <c r="Q8970">
        <v>-9.1369809999999996E-2</v>
      </c>
      <c r="R8970">
        <v>0.4427989</v>
      </c>
      <c r="S8970">
        <v>3.0631870000000001</v>
      </c>
      <c r="T8970">
        <v>-0.4337087</v>
      </c>
      <c r="U8970">
        <v>0.53990169999999904</v>
      </c>
      <c r="V8970">
        <v>0.4533005</v>
      </c>
      <c r="W8970">
        <v>-9.0885999999999995E-2</v>
      </c>
      <c r="X8970">
        <v>0.886712099999999</v>
      </c>
      <c r="Y8970">
        <v>0.67958890000000005</v>
      </c>
      <c r="Z8970">
        <v>-0.13401569999999999</v>
      </c>
      <c r="AA8970">
        <v>0.721248</v>
      </c>
      <c r="AB8970">
        <v>24</v>
      </c>
      <c r="AC8970">
        <v>7.7302999999999997</v>
      </c>
      <c r="AD8970">
        <v>-1.1074800081439999</v>
      </c>
      <c r="AE8970">
        <v>1.2715000000000001</v>
      </c>
      <c r="AF8970">
        <v>5.3658868560345301</v>
      </c>
      <c r="AG8970">
        <v>-1.1074800081439999</v>
      </c>
      <c r="AH8970">
        <v>5.4954622663835799</v>
      </c>
      <c r="AI8970">
        <v>98.204948120198097</v>
      </c>
      <c r="AJ8970">
        <v>45.683503667742897</v>
      </c>
      <c r="AK8970">
        <v>7.7601133523582302</v>
      </c>
      <c r="AL8970">
        <v>95.214580172627507</v>
      </c>
      <c r="AM8970">
        <v>62.923201804279699</v>
      </c>
      <c r="AN8970">
        <v>0.99999997829132903</v>
      </c>
    </row>
    <row r="8971" spans="1:40" x14ac:dyDescent="0.25">
      <c r="A8971" t="str">
        <f>"20190303154353950"</f>
        <v>20190303154353950</v>
      </c>
      <c r="B8971" t="str">
        <f>"1551599033938694"</f>
        <v>1551599033938694</v>
      </c>
      <c r="C8971" t="s">
        <v>40</v>
      </c>
      <c r="D8971">
        <v>6.1693110000000004</v>
      </c>
      <c r="E8971">
        <v>0.61245190000000005</v>
      </c>
      <c r="F8971" t="s">
        <v>57</v>
      </c>
      <c r="G8971">
        <v>-175.98310000000001</v>
      </c>
      <c r="H8971" s="1">
        <v>-3.9275729999999998E-6</v>
      </c>
      <c r="I8971">
        <v>132.79669999999999</v>
      </c>
      <c r="J8971">
        <v>-183.74959999999999</v>
      </c>
      <c r="K8971">
        <v>1.1073980000000001</v>
      </c>
      <c r="L8971">
        <v>131.60570000000001</v>
      </c>
      <c r="M8971">
        <v>0.60287069999999998</v>
      </c>
      <c r="N8971">
        <v>-1.7486229999999998E-2</v>
      </c>
      <c r="O8971">
        <v>0.7976472</v>
      </c>
      <c r="P8971">
        <v>0.89794030000000002</v>
      </c>
      <c r="Q8971">
        <v>-9.1465420000000006E-2</v>
      </c>
      <c r="R8971">
        <v>0.43050830000000001</v>
      </c>
      <c r="S8971">
        <v>3.067062</v>
      </c>
      <c r="T8971">
        <v>-0.43184349999999999</v>
      </c>
      <c r="U8971">
        <v>0.50785829999999998</v>
      </c>
      <c r="V8971">
        <v>0.4540071</v>
      </c>
      <c r="W8971">
        <v>-9.1036599999999995E-2</v>
      </c>
      <c r="X8971">
        <v>0.88633510000000004</v>
      </c>
      <c r="Y8971">
        <v>0.67780699999999905</v>
      </c>
      <c r="Z8971">
        <v>-0.1330189</v>
      </c>
      <c r="AA8971">
        <v>0.72310699999999895</v>
      </c>
      <c r="AB8971">
        <v>24</v>
      </c>
      <c r="AC8971">
        <v>7.7664999999999704</v>
      </c>
      <c r="AD8971">
        <v>-1.1074019275729901</v>
      </c>
      <c r="AE8971">
        <v>1.1909999999999701</v>
      </c>
      <c r="AF8971">
        <v>5.3710555309957</v>
      </c>
      <c r="AG8971">
        <v>-1.1074019275729901</v>
      </c>
      <c r="AH8971">
        <v>5.5233394599975796</v>
      </c>
      <c r="AI8971">
        <v>98.179614477388</v>
      </c>
      <c r="AJ8971">
        <v>45.8008391672833</v>
      </c>
      <c r="AK8971">
        <v>7.7834346747819696</v>
      </c>
      <c r="AL8971">
        <v>95.223244674055294</v>
      </c>
      <c r="AM8971">
        <v>62.877130369164</v>
      </c>
      <c r="AN8971">
        <v>1.00000000944099</v>
      </c>
    </row>
    <row r="8972" spans="1:40" x14ac:dyDescent="0.25">
      <c r="A8972" t="str">
        <f>"20190303154353965"</f>
        <v>20190303154353965</v>
      </c>
      <c r="B8972" t="str">
        <f>"1551599033959191"</f>
        <v>1551599033959191</v>
      </c>
      <c r="C8972" t="s">
        <v>40</v>
      </c>
      <c r="D8972">
        <v>6.4588910000000004</v>
      </c>
      <c r="E8972">
        <v>0.61208830000000003</v>
      </c>
      <c r="F8972" t="s">
        <v>57</v>
      </c>
      <c r="G8972">
        <v>-175.83930000000001</v>
      </c>
      <c r="H8972" s="1">
        <v>-3.8384730000000001E-6</v>
      </c>
      <c r="I8972">
        <v>132.8203</v>
      </c>
      <c r="J8972">
        <v>-183.64930000000001</v>
      </c>
      <c r="K8972">
        <v>1.107327</v>
      </c>
      <c r="L8972">
        <v>131.71559999999999</v>
      </c>
      <c r="M8972">
        <v>0.61317580000000005</v>
      </c>
      <c r="N8972">
        <v>-1.7548080000000001E-2</v>
      </c>
      <c r="O8972">
        <v>0.7897516</v>
      </c>
      <c r="P8972">
        <v>0.90322389999999997</v>
      </c>
      <c r="Q8972">
        <v>-9.2277349999999994E-2</v>
      </c>
      <c r="R8972">
        <v>0.4191319</v>
      </c>
      <c r="S8972">
        <v>3.0711059999999999</v>
      </c>
      <c r="T8972">
        <v>-0.42993809999999899</v>
      </c>
      <c r="U8972">
        <v>0.47154239999999997</v>
      </c>
      <c r="V8972">
        <v>0.45358989999999999</v>
      </c>
      <c r="W8972">
        <v>-9.1853669999999998E-2</v>
      </c>
      <c r="X8972">
        <v>0.88646440000000004</v>
      </c>
      <c r="Y8972">
        <v>0.67695499999999997</v>
      </c>
      <c r="Z8972">
        <v>-0.13206419999999999</v>
      </c>
      <c r="AA8972">
        <v>0.72407940000000004</v>
      </c>
      <c r="AB8972">
        <v>24</v>
      </c>
      <c r="AC8972">
        <v>7.81</v>
      </c>
      <c r="AD8972">
        <v>-1.1073308384729901</v>
      </c>
      <c r="AE8972">
        <v>1.1047</v>
      </c>
      <c r="AF8972">
        <v>5.3852949344538699</v>
      </c>
      <c r="AG8972">
        <v>-1.1073308384729901</v>
      </c>
      <c r="AH8972">
        <v>5.5527773292727698</v>
      </c>
      <c r="AI8972">
        <v>98.146718551467501</v>
      </c>
      <c r="AJ8972">
        <v>45.877237258875702</v>
      </c>
      <c r="AK8972">
        <v>7.8141486539080898</v>
      </c>
      <c r="AL8972">
        <v>95.270256290581997</v>
      </c>
      <c r="AM8972">
        <v>62.901887616105597</v>
      </c>
      <c r="AN8972">
        <v>1.0000000132709099</v>
      </c>
    </row>
    <row r="8973" spans="1:40" x14ac:dyDescent="0.25">
      <c r="A8973" t="str">
        <f>"20190303154353986"</f>
        <v>20190303154353986</v>
      </c>
      <c r="B8973" t="str">
        <f>"1551599033978710"</f>
        <v>1551599033978710</v>
      </c>
      <c r="C8973" t="s">
        <v>40</v>
      </c>
      <c r="D8973">
        <v>6.1669409999999996</v>
      </c>
      <c r="E8973">
        <v>0.61279680000000003</v>
      </c>
      <c r="F8973" t="s">
        <v>57</v>
      </c>
      <c r="G8973">
        <v>-175.67179999999999</v>
      </c>
      <c r="H8973" s="1">
        <v>-3.7338729999999998E-6</v>
      </c>
      <c r="I8973">
        <v>132.84569999999999</v>
      </c>
      <c r="J8973">
        <v>-183.49279999999999</v>
      </c>
      <c r="K8973">
        <v>1.1072229999999901</v>
      </c>
      <c r="L8973">
        <v>131.88149999999999</v>
      </c>
      <c r="M8973">
        <v>0.62888440000000001</v>
      </c>
      <c r="N8973">
        <v>-1.7639700000000001E-2</v>
      </c>
      <c r="O8973">
        <v>0.77729869999999901</v>
      </c>
      <c r="P8973">
        <v>0.91100409999999998</v>
      </c>
      <c r="Q8973">
        <v>-9.3382599999999996E-2</v>
      </c>
      <c r="R8973">
        <v>0.40168569999999998</v>
      </c>
      <c r="S8973">
        <v>3.0756679999999998</v>
      </c>
      <c r="T8973">
        <v>-0.42692829999999898</v>
      </c>
      <c r="U8973">
        <v>0.43568420000000002</v>
      </c>
      <c r="V8973">
        <v>0.45272309999999999</v>
      </c>
      <c r="W8973">
        <v>-9.2949009999999999E-2</v>
      </c>
      <c r="X8973">
        <v>0.88679330000000001</v>
      </c>
      <c r="Y8973">
        <v>0.67097620000000002</v>
      </c>
      <c r="Z8973">
        <v>-0.1300859</v>
      </c>
      <c r="AA8973">
        <v>0.72997849999999997</v>
      </c>
      <c r="AB8973">
        <v>24</v>
      </c>
      <c r="AC8973">
        <v>7.82099999999999</v>
      </c>
      <c r="AD8973">
        <v>-1.10722673387299</v>
      </c>
      <c r="AE8973">
        <v>0.96420000000000505</v>
      </c>
      <c r="AF8973">
        <v>5.3677625098435398</v>
      </c>
      <c r="AG8973">
        <v>-1.10722673387299</v>
      </c>
      <c r="AH8973">
        <v>5.5591087600603402</v>
      </c>
      <c r="AI8973">
        <v>98.153910680094697</v>
      </c>
      <c r="AJ8973">
        <v>46.003234306462197</v>
      </c>
      <c r="AK8973">
        <v>7.8065687474372796</v>
      </c>
      <c r="AL8973">
        <v>95.333284150974904</v>
      </c>
      <c r="AM8973">
        <v>62.954913435532397</v>
      </c>
      <c r="AN8973">
        <v>1.00000004032923</v>
      </c>
    </row>
    <row r="8974" spans="1:40" x14ac:dyDescent="0.25">
      <c r="A8974" t="str">
        <f>"20190303154354002"</f>
        <v>20190303154354002</v>
      </c>
      <c r="B8974" t="str">
        <f>"1551599033999206"</f>
        <v>1551599033999206</v>
      </c>
      <c r="C8974" t="s">
        <v>40</v>
      </c>
      <c r="D8974">
        <v>6.14201</v>
      </c>
      <c r="E8974">
        <v>0.61347419999999997</v>
      </c>
      <c r="F8974" t="s">
        <v>57</v>
      </c>
      <c r="G8974">
        <v>-175.6191</v>
      </c>
      <c r="H8974" s="1">
        <v>-3.6913620000000001E-6</v>
      </c>
      <c r="I8974">
        <v>132.82839999999999</v>
      </c>
      <c r="J8974">
        <v>-183.374</v>
      </c>
      <c r="K8974">
        <v>1.1071530000000001</v>
      </c>
      <c r="L8974">
        <v>132.00309999999999</v>
      </c>
      <c r="M8974">
        <v>0.64053850000000001</v>
      </c>
      <c r="N8974">
        <v>-1.7705160000000001E-2</v>
      </c>
      <c r="O8974">
        <v>0.76772200000000002</v>
      </c>
      <c r="P8974">
        <v>0.91650810000000005</v>
      </c>
      <c r="Q8974">
        <v>-9.4734849999999995E-2</v>
      </c>
      <c r="R8974">
        <v>0.3886366</v>
      </c>
      <c r="S8974">
        <v>3.0850070000000001</v>
      </c>
      <c r="T8974">
        <v>-0.43382320000000002</v>
      </c>
      <c r="U8974">
        <v>0.37103269999999999</v>
      </c>
      <c r="V8974">
        <v>0.45184489999999999</v>
      </c>
      <c r="W8974">
        <v>-9.4279180000000004E-2</v>
      </c>
      <c r="X8974">
        <v>0.88710069999999996</v>
      </c>
      <c r="Y8974">
        <v>0.67485779999999995</v>
      </c>
      <c r="Z8974">
        <v>-0.1321118</v>
      </c>
      <c r="AA8974">
        <v>0.72602580000000005</v>
      </c>
      <c r="AB8974">
        <v>23</v>
      </c>
      <c r="AC8974">
        <v>7.7549000000000099</v>
      </c>
      <c r="AD8974">
        <v>-1.1071566913619999</v>
      </c>
      <c r="AE8974">
        <v>0.82529999999999804</v>
      </c>
      <c r="AF8974">
        <v>5.31862619853867</v>
      </c>
      <c r="AG8974">
        <v>-1.1071566913619999</v>
      </c>
      <c r="AH8974">
        <v>5.4911193048040197</v>
      </c>
      <c r="AI8974">
        <v>98.240749999124603</v>
      </c>
      <c r="AJ8974">
        <v>45.914201750315002</v>
      </c>
      <c r="AK8974">
        <v>7.7243751720511904</v>
      </c>
      <c r="AL8974">
        <v>95.409833581607202</v>
      </c>
      <c r="AM8974">
        <v>63.007973058306199</v>
      </c>
      <c r="AN8974">
        <v>1.00000001468898</v>
      </c>
    </row>
    <row r="8975" spans="1:40" x14ac:dyDescent="0.25">
      <c r="A8975" t="str">
        <f>"20190303154354019"</f>
        <v>20190303154354019</v>
      </c>
      <c r="B8975" t="str">
        <f>"1551599034008966"</f>
        <v>1551599034008966</v>
      </c>
      <c r="C8975" t="s">
        <v>40</v>
      </c>
      <c r="D8975">
        <v>6.0667099999999996</v>
      </c>
      <c r="E8975">
        <v>0.61373219999999995</v>
      </c>
      <c r="F8975" t="s">
        <v>57</v>
      </c>
      <c r="G8975">
        <v>-175.39320000000001</v>
      </c>
      <c r="H8975" s="1">
        <v>-3.539809E-6</v>
      </c>
      <c r="I8975">
        <v>132.83510000000001</v>
      </c>
      <c r="J8975">
        <v>-183.23230000000001</v>
      </c>
      <c r="K8975">
        <v>1.107073</v>
      </c>
      <c r="L8975">
        <v>132.1431</v>
      </c>
      <c r="M8975">
        <v>0.65410639999999998</v>
      </c>
      <c r="N8975">
        <v>-1.7778059999999998E-2</v>
      </c>
      <c r="O8975">
        <v>0.75619360000000002</v>
      </c>
      <c r="P8975">
        <v>0.92232159999999996</v>
      </c>
      <c r="Q8975">
        <v>-9.6419340000000006E-2</v>
      </c>
      <c r="R8975">
        <v>0.3742008</v>
      </c>
      <c r="S8975">
        <v>3.0922550000000002</v>
      </c>
      <c r="T8975">
        <v>-0.42898419999999998</v>
      </c>
      <c r="U8975">
        <v>0.3223877</v>
      </c>
      <c r="V8975">
        <v>0.44977689999999998</v>
      </c>
      <c r="W8975">
        <v>-9.5886659999999999E-2</v>
      </c>
      <c r="X8975">
        <v>0.88797890000000002</v>
      </c>
      <c r="Y8975">
        <v>0.67363479999999998</v>
      </c>
      <c r="Z8975">
        <v>-0.1297922</v>
      </c>
      <c r="AA8975">
        <v>0.72757819999999995</v>
      </c>
      <c r="AB8975">
        <v>23</v>
      </c>
      <c r="AC8975">
        <v>7.8391000000000002</v>
      </c>
      <c r="AD8975">
        <v>-1.1070765398089999</v>
      </c>
      <c r="AE8975">
        <v>0.69200000000000705</v>
      </c>
      <c r="AF8975">
        <v>5.3698306647737803</v>
      </c>
      <c r="AG8975">
        <v>-1.1070765398089999</v>
      </c>
      <c r="AH8975">
        <v>5.5421049065154602</v>
      </c>
      <c r="AI8975">
        <v>98.164059412653401</v>
      </c>
      <c r="AJ8975">
        <v>45.904492786254302</v>
      </c>
      <c r="AK8975">
        <v>7.7958724096898298</v>
      </c>
      <c r="AL8975">
        <v>95.5023545656408</v>
      </c>
      <c r="AM8975">
        <v>63.136985665098599</v>
      </c>
      <c r="AN8975">
        <v>1.0000000190923799</v>
      </c>
    </row>
    <row r="8976" spans="1:40" x14ac:dyDescent="0.25">
      <c r="A8976" t="str">
        <f>"20190303154354034"</f>
        <v>20190303154354034</v>
      </c>
      <c r="B8976" t="str">
        <f>"1551599034029462"</f>
        <v>1551599034029462</v>
      </c>
      <c r="C8976" t="s">
        <v>40</v>
      </c>
      <c r="D8976">
        <v>5.9358610000000001</v>
      </c>
      <c r="E8976">
        <v>0.61430499999999999</v>
      </c>
      <c r="F8976" t="s">
        <v>57</v>
      </c>
      <c r="G8976">
        <v>-175.16460000000001</v>
      </c>
      <c r="H8976" s="1">
        <v>-3.3899840000000001E-6</v>
      </c>
      <c r="I8976">
        <v>132.85130000000001</v>
      </c>
      <c r="J8976">
        <v>-183.11779999999999</v>
      </c>
      <c r="K8976">
        <v>1.107022</v>
      </c>
      <c r="L8976">
        <v>132.2527</v>
      </c>
      <c r="M8976">
        <v>0.66481800000000002</v>
      </c>
      <c r="N8976">
        <v>-1.7833020000000002E-2</v>
      </c>
      <c r="O8976">
        <v>0.74679249999999997</v>
      </c>
      <c r="P8976">
        <v>0.9269058</v>
      </c>
      <c r="Q8976">
        <v>-9.6835199999999996E-2</v>
      </c>
      <c r="R8976">
        <v>0.36258620000000003</v>
      </c>
      <c r="S8976">
        <v>3.0979160000000001</v>
      </c>
      <c r="T8976">
        <v>-0.42510779999999898</v>
      </c>
      <c r="U8976">
        <v>0.27192690000000003</v>
      </c>
      <c r="V8976">
        <v>0.44822139999999999</v>
      </c>
      <c r="W8976">
        <v>-9.623814E-2</v>
      </c>
      <c r="X8976">
        <v>0.88872709999999999</v>
      </c>
      <c r="Y8976">
        <v>0.6752937</v>
      </c>
      <c r="Z8976">
        <v>-0.12816269999999999</v>
      </c>
      <c r="AA8976">
        <v>0.72632830000000004</v>
      </c>
      <c r="AB8976">
        <v>23</v>
      </c>
      <c r="AC8976">
        <v>7.9531999999999803</v>
      </c>
      <c r="AD8976">
        <v>-1.1070253899839999</v>
      </c>
      <c r="AE8976">
        <v>0.59860000000000402</v>
      </c>
      <c r="AF8976">
        <v>5.4375546460619804</v>
      </c>
      <c r="AG8976">
        <v>-1.1070253899839999</v>
      </c>
      <c r="AH8976">
        <v>5.62696669672677</v>
      </c>
      <c r="AI8976">
        <v>98.052418385029597</v>
      </c>
      <c r="AJ8976">
        <v>45.980742936151898</v>
      </c>
      <c r="AK8976">
        <v>7.90286403457959</v>
      </c>
      <c r="AL8976">
        <v>95.522586388090403</v>
      </c>
      <c r="AM8976">
        <v>63.236323616686803</v>
      </c>
      <c r="AN8976">
        <v>1.00000003064151</v>
      </c>
    </row>
    <row r="8977" spans="1:40" x14ac:dyDescent="0.25">
      <c r="A8977" t="str">
        <f>"20190303154354048"</f>
        <v>20190303154354048</v>
      </c>
      <c r="B8977" t="str">
        <f>"1551599034039222"</f>
        <v>1551599034039222</v>
      </c>
      <c r="C8977" t="s">
        <v>40</v>
      </c>
      <c r="D8977">
        <v>5.8426900000000002</v>
      </c>
      <c r="E8977">
        <v>0.61505900000000002</v>
      </c>
      <c r="F8977" t="s">
        <v>57</v>
      </c>
      <c r="G8977">
        <v>-174.93199999999999</v>
      </c>
      <c r="H8977" s="1">
        <v>-3.2396240000000001E-6</v>
      </c>
      <c r="I8977">
        <v>132.857</v>
      </c>
      <c r="J8977">
        <v>-183.0121</v>
      </c>
      <c r="K8977">
        <v>1.1069850000000001</v>
      </c>
      <c r="L8977">
        <v>132.3503</v>
      </c>
      <c r="M8977">
        <v>0.67449700000000001</v>
      </c>
      <c r="N8977">
        <v>-1.7880190000000001E-2</v>
      </c>
      <c r="O8977">
        <v>0.73806110000000003</v>
      </c>
      <c r="P8977">
        <v>0.93102910000000005</v>
      </c>
      <c r="Q8977">
        <v>-9.6926609999999996E-2</v>
      </c>
      <c r="R8977">
        <v>0.35183809999999999</v>
      </c>
      <c r="S8977">
        <v>3.1030880000000001</v>
      </c>
      <c r="T8977">
        <v>-0.41965390000000002</v>
      </c>
      <c r="U8977">
        <v>0.22908020000000001</v>
      </c>
      <c r="V8977">
        <v>0.44690299999999999</v>
      </c>
      <c r="W8977">
        <v>-9.6269889999999997E-2</v>
      </c>
      <c r="X8977">
        <v>0.88938739999999905</v>
      </c>
      <c r="Y8977">
        <v>0.67614540000000001</v>
      </c>
      <c r="Z8977">
        <v>-0.12596289999999999</v>
      </c>
      <c r="AA8977">
        <v>0.72592060000000003</v>
      </c>
      <c r="AB8977">
        <v>23</v>
      </c>
      <c r="AC8977">
        <v>8.0800999999999803</v>
      </c>
      <c r="AD8977">
        <v>-1.1069882396240001</v>
      </c>
      <c r="AE8977">
        <v>0.50669999999999504</v>
      </c>
      <c r="AF8977">
        <v>5.5195452182910998</v>
      </c>
      <c r="AG8977">
        <v>-1.1069882396240001</v>
      </c>
      <c r="AH8977">
        <v>5.7180060163037698</v>
      </c>
      <c r="AI8977">
        <v>97.929684451695195</v>
      </c>
      <c r="AJ8977">
        <v>46.011767059616197</v>
      </c>
      <c r="AK8977">
        <v>8.0241133579924</v>
      </c>
      <c r="AL8977">
        <v>95.524413823534104</v>
      </c>
      <c r="AM8977">
        <v>63.321200643041301</v>
      </c>
      <c r="AN8977">
        <v>1.0000000652041801</v>
      </c>
    </row>
    <row r="8978" spans="1:40" x14ac:dyDescent="0.25">
      <c r="A8978" t="str">
        <f>"20190303154354061"</f>
        <v>20190303154354061</v>
      </c>
      <c r="B8978" t="str">
        <f>"1551599034048982"</f>
        <v>1551599034048982</v>
      </c>
      <c r="C8978" t="s">
        <v>40</v>
      </c>
      <c r="D8978">
        <v>6.1200289999999997</v>
      </c>
      <c r="E8978">
        <v>0.61465400000000003</v>
      </c>
      <c r="F8978" t="s">
        <v>57</v>
      </c>
      <c r="G8978">
        <v>-174.64169999999999</v>
      </c>
      <c r="H8978" s="1">
        <v>-3.110818E-6</v>
      </c>
      <c r="I8978">
        <v>132.85679999999999</v>
      </c>
      <c r="J8978">
        <v>-182.9014</v>
      </c>
      <c r="K8978">
        <v>1.1069469999999999</v>
      </c>
      <c r="L8978">
        <v>132.4503</v>
      </c>
      <c r="M8978">
        <v>0.68444939999999999</v>
      </c>
      <c r="N8978">
        <v>-1.7927060000000002E-2</v>
      </c>
      <c r="O8978">
        <v>0.72883999999999904</v>
      </c>
      <c r="P8978">
        <v>0.93505439999999995</v>
      </c>
      <c r="Q8978">
        <v>-9.6779480000000001E-2</v>
      </c>
      <c r="R8978">
        <v>0.34103830000000002</v>
      </c>
      <c r="S8978">
        <v>3.108368</v>
      </c>
      <c r="T8978">
        <v>-0.4110837</v>
      </c>
      <c r="U8978">
        <v>0.18809509999999999</v>
      </c>
      <c r="V8978">
        <v>0.44514199999999998</v>
      </c>
      <c r="W8978">
        <v>-9.6041849999999998E-2</v>
      </c>
      <c r="X8978">
        <v>0.89029469999999999</v>
      </c>
      <c r="Y8978">
        <v>0.67633399999999999</v>
      </c>
      <c r="Z8978">
        <v>-0.1226693</v>
      </c>
      <c r="AA8978">
        <v>0.72630879999999998</v>
      </c>
      <c r="AB8978">
        <v>23</v>
      </c>
      <c r="AC8978">
        <v>8.2597000000000094</v>
      </c>
      <c r="AD8978">
        <v>-1.106950110818</v>
      </c>
      <c r="AE8978">
        <v>0.40649999999999398</v>
      </c>
      <c r="AF8978">
        <v>5.6416101932192104</v>
      </c>
      <c r="AG8978">
        <v>-1.106950110818</v>
      </c>
      <c r="AH8978">
        <v>5.8458335243851103</v>
      </c>
      <c r="AI8978">
        <v>97.759030119379801</v>
      </c>
      <c r="AJ8978">
        <v>46.018494866013299</v>
      </c>
      <c r="AK8978">
        <v>8.1991995776965805</v>
      </c>
      <c r="AL8978">
        <v>95.511287381942196</v>
      </c>
      <c r="AM8978">
        <v>63.435224267138103</v>
      </c>
      <c r="AN8978">
        <v>1.0000000449817501</v>
      </c>
    </row>
    <row r="8979" spans="1:40" x14ac:dyDescent="0.25">
      <c r="A8979" t="str">
        <f>"20190303154354074"</f>
        <v>20190303154354074</v>
      </c>
      <c r="B8979" t="str">
        <f>"1551599034069481"</f>
        <v>1551599034069481</v>
      </c>
      <c r="C8979" t="s">
        <v>40</v>
      </c>
      <c r="D8979">
        <v>6.0914429999999999</v>
      </c>
      <c r="E8979">
        <v>0.61413039999999997</v>
      </c>
      <c r="F8979" t="s">
        <v>57</v>
      </c>
      <c r="G8979">
        <v>-174.56389999999999</v>
      </c>
      <c r="H8979" s="1">
        <v>-3.079755E-6</v>
      </c>
      <c r="I8979">
        <v>132.86580000000001</v>
      </c>
      <c r="J8979">
        <v>-182.79130000000001</v>
      </c>
      <c r="K8979">
        <v>1.1069150000000001</v>
      </c>
      <c r="L8979">
        <v>132.54740000000001</v>
      </c>
      <c r="M8979">
        <v>0.69415969999999905</v>
      </c>
      <c r="N8979">
        <v>-1.797112E-2</v>
      </c>
      <c r="O8979">
        <v>0.71959669999999998</v>
      </c>
      <c r="P8979">
        <v>0.93827169999999904</v>
      </c>
      <c r="Q8979">
        <v>-9.6694849999999999E-2</v>
      </c>
      <c r="R8979">
        <v>0.3321095</v>
      </c>
      <c r="S8979">
        <v>3.1091310000000001</v>
      </c>
      <c r="T8979">
        <v>-0.41279359999999998</v>
      </c>
      <c r="U8979">
        <v>0.15495300000000001</v>
      </c>
      <c r="V8979">
        <v>0.4417005</v>
      </c>
      <c r="W8979">
        <v>-9.5802490000000004E-2</v>
      </c>
      <c r="X8979">
        <v>0.89203290000000002</v>
      </c>
      <c r="Y8979">
        <v>0.67422530000000003</v>
      </c>
      <c r="Z8979">
        <v>-0.1225844</v>
      </c>
      <c r="AA8979">
        <v>0.72828110000000001</v>
      </c>
      <c r="AB8979">
        <v>23</v>
      </c>
      <c r="AC8979">
        <v>8.22740000000001</v>
      </c>
      <c r="AD8979">
        <v>-1.10691807975499</v>
      </c>
      <c r="AE8979">
        <v>0.31839999999999602</v>
      </c>
      <c r="AF8979">
        <v>5.5991111446710704</v>
      </c>
      <c r="AG8979">
        <v>-1.10691807975499</v>
      </c>
      <c r="AH8979">
        <v>5.8357329868380496</v>
      </c>
      <c r="AI8979">
        <v>97.793629209115494</v>
      </c>
      <c r="AJ8979">
        <v>46.185455449078802</v>
      </c>
      <c r="AK8979">
        <v>8.1627870693371705</v>
      </c>
      <c r="AL8979">
        <v>95.497509385304795</v>
      </c>
      <c r="AM8979">
        <v>63.657150479814902</v>
      </c>
      <c r="AN8979">
        <v>1.0000000717364199</v>
      </c>
    </row>
    <row r="8980" spans="1:40" x14ac:dyDescent="0.25">
      <c r="A8980" t="str">
        <f>"20190303154354089"</f>
        <v>20190303154354089</v>
      </c>
      <c r="B8980" t="str">
        <f>"1551599034079238"</f>
        <v>1551599034079238</v>
      </c>
      <c r="C8980" t="s">
        <v>40</v>
      </c>
      <c r="D8980">
        <v>6.042014</v>
      </c>
      <c r="E8980">
        <v>0.61397500000000005</v>
      </c>
      <c r="F8980" t="s">
        <v>57</v>
      </c>
      <c r="G8980">
        <v>-174.41810000000001</v>
      </c>
      <c r="H8980" s="1">
        <v>-3.026508E-6</v>
      </c>
      <c r="I8980">
        <v>132.89590000000001</v>
      </c>
      <c r="J8980">
        <v>-182.6696</v>
      </c>
      <c r="K8980">
        <v>1.106895</v>
      </c>
      <c r="L8980">
        <v>132.6506</v>
      </c>
      <c r="M8980">
        <v>0.7046403</v>
      </c>
      <c r="N8980">
        <v>-1.8016520000000001E-2</v>
      </c>
      <c r="O8980">
        <v>0.70933590000000002</v>
      </c>
      <c r="P8980">
        <v>0.94212510000000005</v>
      </c>
      <c r="Q8980">
        <v>-9.6856719999999993E-2</v>
      </c>
      <c r="R8980">
        <v>0.32096590000000003</v>
      </c>
      <c r="S8980">
        <v>3.1092219999999999</v>
      </c>
      <c r="T8980">
        <v>-0.41103390000000001</v>
      </c>
      <c r="U8980">
        <v>0.12940979999999999</v>
      </c>
      <c r="V8980">
        <v>0.43916939999999999</v>
      </c>
      <c r="W8980">
        <v>-9.5845479999999997E-2</v>
      </c>
      <c r="X8980">
        <v>0.89327699999999999</v>
      </c>
      <c r="Y8980">
        <v>0.66960450000000005</v>
      </c>
      <c r="Z8980">
        <v>-0.1211264</v>
      </c>
      <c r="AA8980">
        <v>0.73277440000000005</v>
      </c>
      <c r="AB8980">
        <v>23</v>
      </c>
      <c r="AC8980">
        <v>8.2514999999999894</v>
      </c>
      <c r="AD8980">
        <v>-1.106898026508</v>
      </c>
      <c r="AE8980">
        <v>0.24530000000001401</v>
      </c>
      <c r="AF8980">
        <v>5.5808214749082996</v>
      </c>
      <c r="AG8980">
        <v>-1.106898026508</v>
      </c>
      <c r="AH8980">
        <v>5.8835316850340798</v>
      </c>
      <c r="AI8980">
        <v>97.772642939500699</v>
      </c>
      <c r="AJ8980">
        <v>46.512513455514103</v>
      </c>
      <c r="AK8980">
        <v>8.1845425446194007</v>
      </c>
      <c r="AL8980">
        <v>95.499984543410093</v>
      </c>
      <c r="AM8980">
        <v>63.819490299356197</v>
      </c>
      <c r="AN8980">
        <v>0.99999995833089395</v>
      </c>
    </row>
    <row r="8981" spans="1:40" x14ac:dyDescent="0.25">
      <c r="A8981" t="str">
        <f>"20190303154354104"</f>
        <v>20190303154354104</v>
      </c>
      <c r="B8981" t="str">
        <f>"1551599034098758"</f>
        <v>1551599034098758</v>
      </c>
      <c r="C8981" t="s">
        <v>40</v>
      </c>
      <c r="D8981">
        <v>6.062233</v>
      </c>
      <c r="E8981">
        <v>0.61331559999999996</v>
      </c>
      <c r="F8981" t="s">
        <v>57</v>
      </c>
      <c r="G8981">
        <v>-174.2604</v>
      </c>
      <c r="H8981" s="1">
        <v>-2.9599709999999999E-6</v>
      </c>
      <c r="I8981">
        <v>132.90479999999999</v>
      </c>
      <c r="J8981">
        <v>-182.54949999999999</v>
      </c>
      <c r="K8981">
        <v>1.106867</v>
      </c>
      <c r="L8981">
        <v>132.74979999999999</v>
      </c>
      <c r="M8981">
        <v>0.71476839999999997</v>
      </c>
      <c r="N8981">
        <v>-1.8058910000000001E-2</v>
      </c>
      <c r="O8981">
        <v>0.69912810000000003</v>
      </c>
      <c r="P8981">
        <v>0.94564970000000004</v>
      </c>
      <c r="Q8981">
        <v>-9.7123829999999994E-2</v>
      </c>
      <c r="R8981">
        <v>0.31034450000000002</v>
      </c>
      <c r="S8981">
        <v>3.1101529999999999</v>
      </c>
      <c r="T8981">
        <v>-0.40938950000000002</v>
      </c>
      <c r="U8981">
        <v>9.4024659999999996E-2</v>
      </c>
      <c r="V8981">
        <v>0.43634669999999998</v>
      </c>
      <c r="W8981">
        <v>-9.5979910000000002E-2</v>
      </c>
      <c r="X8981">
        <v>0.89464489999999997</v>
      </c>
      <c r="Y8981">
        <v>0.6674793</v>
      </c>
      <c r="Z8981">
        <v>-0.1198702</v>
      </c>
      <c r="AA8981">
        <v>0.73491660000000003</v>
      </c>
      <c r="AB8981">
        <v>23</v>
      </c>
      <c r="AC8981">
        <v>8.2890999999999906</v>
      </c>
      <c r="AD8981">
        <v>-1.1068699599709999</v>
      </c>
      <c r="AE8981">
        <v>0.155000000000001</v>
      </c>
      <c r="AF8981">
        <v>5.5857157915037599</v>
      </c>
      <c r="AG8981">
        <v>-1.1068699599709999</v>
      </c>
      <c r="AH8981">
        <v>5.92846123723365</v>
      </c>
      <c r="AI8981">
        <v>97.738502503564504</v>
      </c>
      <c r="AJ8981">
        <v>46.705034603676403</v>
      </c>
      <c r="AK8981">
        <v>8.2202210829832705</v>
      </c>
      <c r="AL8981">
        <v>95.507722030249994</v>
      </c>
      <c r="AM8981">
        <v>64.000039987973395</v>
      </c>
      <c r="AN8981">
        <v>1.0000000414102499</v>
      </c>
    </row>
    <row r="8982" spans="1:40" x14ac:dyDescent="0.25">
      <c r="A8982" t="str">
        <f>"20190303154354119"</f>
        <v>20190303154354119</v>
      </c>
      <c r="B8982" t="str">
        <f>"1551599034109494"</f>
        <v>1551599034109494</v>
      </c>
      <c r="C8982" t="s">
        <v>40</v>
      </c>
      <c r="D8982">
        <v>5.9619269999999904</v>
      </c>
      <c r="E8982">
        <v>0.61313359999999995</v>
      </c>
      <c r="F8982" t="s">
        <v>57</v>
      </c>
      <c r="G8982">
        <v>-174.1918</v>
      </c>
      <c r="H8982" s="1">
        <v>-2.936002E-6</v>
      </c>
      <c r="I8982">
        <v>132.92189999999999</v>
      </c>
      <c r="J8982">
        <v>-182.41970000000001</v>
      </c>
      <c r="K8982">
        <v>1.10684</v>
      </c>
      <c r="L8982">
        <v>132.85399999999899</v>
      </c>
      <c r="M8982">
        <v>0.72546560000000004</v>
      </c>
      <c r="N8982">
        <v>-1.810202E-2</v>
      </c>
      <c r="O8982">
        <v>0.68802030000000003</v>
      </c>
      <c r="P8982">
        <v>0.94743049999999995</v>
      </c>
      <c r="Q8982">
        <v>-9.9062460000000005E-2</v>
      </c>
      <c r="R8982">
        <v>0.30424040000000002</v>
      </c>
      <c r="S8982">
        <v>3.1091310000000001</v>
      </c>
      <c r="T8982">
        <v>-0.41176459999999998</v>
      </c>
      <c r="U8982">
        <v>6.4010620000000004E-2</v>
      </c>
      <c r="V8982">
        <v>0.42811189999999999</v>
      </c>
      <c r="W8982">
        <v>-9.7554269999999998E-2</v>
      </c>
      <c r="X8982">
        <v>0.89844500000000005</v>
      </c>
      <c r="Y8982">
        <v>0.66311390000000003</v>
      </c>
      <c r="Z8982">
        <v>-0.1196517</v>
      </c>
      <c r="AA8982">
        <v>0.73889340000000003</v>
      </c>
      <c r="AB8982">
        <v>23</v>
      </c>
      <c r="AC8982">
        <v>8.2279</v>
      </c>
      <c r="AD8982">
        <v>-1.106842936002</v>
      </c>
      <c r="AE8982">
        <v>6.7900000000008703E-2</v>
      </c>
      <c r="AF8982">
        <v>5.51286624767841</v>
      </c>
      <c r="AG8982">
        <v>-1.106842936002</v>
      </c>
      <c r="AH8982">
        <v>5.9098213547060201</v>
      </c>
      <c r="AI8982">
        <v>97.7982983794071</v>
      </c>
      <c r="AJ8982">
        <v>46.990311217758901</v>
      </c>
      <c r="AK8982">
        <v>8.1573760483570101</v>
      </c>
      <c r="AL8982">
        <v>95.598351624066893</v>
      </c>
      <c r="AM8982">
        <v>64.522051836936399</v>
      </c>
      <c r="AN8982">
        <v>1.0000000262709201</v>
      </c>
    </row>
    <row r="8983" spans="1:40" x14ac:dyDescent="0.25">
      <c r="A8983" t="str">
        <f>"20190303154354131"</f>
        <v>20190303154354131</v>
      </c>
      <c r="B8983" t="str">
        <f>"1551599034129015"</f>
        <v>1551599034129015</v>
      </c>
      <c r="C8983" t="s">
        <v>40</v>
      </c>
      <c r="D8983">
        <v>5.5912519999999999</v>
      </c>
      <c r="E8983">
        <v>0.61301919999999899</v>
      </c>
      <c r="F8983" t="s">
        <v>57</v>
      </c>
      <c r="G8983">
        <v>-174.1514</v>
      </c>
      <c r="H8983" s="1">
        <v>-2.9387189999999998E-6</v>
      </c>
      <c r="I8983">
        <v>132.97620000000001</v>
      </c>
      <c r="J8983">
        <v>-182.30770000000001</v>
      </c>
      <c r="K8983">
        <v>1.1068229999999999</v>
      </c>
      <c r="L8983">
        <v>132.94110000000001</v>
      </c>
      <c r="M8983">
        <v>0.73448649999999904</v>
      </c>
      <c r="N8983">
        <v>-1.8136599999999999E-2</v>
      </c>
      <c r="O8983">
        <v>0.67838089999999995</v>
      </c>
      <c r="P8983">
        <v>0.94974250000000005</v>
      </c>
      <c r="Q8983">
        <v>-9.9898840000000003E-2</v>
      </c>
      <c r="R8983">
        <v>0.29666409999999999</v>
      </c>
      <c r="S8983">
        <v>3.108215</v>
      </c>
      <c r="T8983">
        <v>-0.41608410000000001</v>
      </c>
      <c r="U8983">
        <v>4.5928959999999998E-2</v>
      </c>
      <c r="V8983">
        <v>0.42333989999999999</v>
      </c>
      <c r="W8983">
        <v>-9.8172750000000003E-2</v>
      </c>
      <c r="X8983">
        <v>0.90063609999999905</v>
      </c>
      <c r="Y8983">
        <v>0.65745719999999996</v>
      </c>
      <c r="Z8983">
        <v>-0.1199438</v>
      </c>
      <c r="AA8983">
        <v>0.74388409999999905</v>
      </c>
      <c r="AB8983">
        <v>23</v>
      </c>
      <c r="AC8983">
        <v>8.1563000000000105</v>
      </c>
      <c r="AD8983">
        <v>-1.10682593871899</v>
      </c>
      <c r="AE8983">
        <v>3.5099999999999902E-2</v>
      </c>
      <c r="AF8983">
        <v>5.4086058963885</v>
      </c>
      <c r="AG8983">
        <v>-1.10682593871899</v>
      </c>
      <c r="AH8983">
        <v>5.9067224293499896</v>
      </c>
      <c r="AI8983">
        <v>97.868412806800904</v>
      </c>
      <c r="AJ8983">
        <v>47.520612740250598</v>
      </c>
      <c r="AK8983">
        <v>8.0850139924712501</v>
      </c>
      <c r="AL8983">
        <v>95.633959143161604</v>
      </c>
      <c r="AM8983">
        <v>64.824342631109801</v>
      </c>
      <c r="AN8983">
        <v>0.99999997219889003</v>
      </c>
    </row>
    <row r="8984" spans="1:40" x14ac:dyDescent="0.25">
      <c r="A8984" t="str">
        <f>"20190303154354144"</f>
        <v>20190303154354144</v>
      </c>
      <c r="B8984" t="str">
        <f>"1551599034138774"</f>
        <v>1551599034138774</v>
      </c>
      <c r="C8984" t="s">
        <v>40</v>
      </c>
      <c r="D8984">
        <v>5.6358410000000001</v>
      </c>
      <c r="E8984">
        <v>0.62737769999999904</v>
      </c>
      <c r="F8984" t="s">
        <v>57</v>
      </c>
      <c r="G8984">
        <v>-174.00309999999999</v>
      </c>
      <c r="H8984" s="1">
        <v>-2.8822090000000002E-6</v>
      </c>
      <c r="I8984">
        <v>133.00059999999999</v>
      </c>
      <c r="J8984">
        <v>-182.2098</v>
      </c>
      <c r="K8984">
        <v>1.106814</v>
      </c>
      <c r="L8984">
        <v>133.01490000000001</v>
      </c>
      <c r="M8984">
        <v>0.74220589999999997</v>
      </c>
      <c r="N8984">
        <v>-1.8164389999999999E-2</v>
      </c>
      <c r="O8984">
        <v>0.66992569999999996</v>
      </c>
      <c r="P8984">
        <v>0.95176830000000001</v>
      </c>
      <c r="Q8984">
        <v>-0.1002367</v>
      </c>
      <c r="R8984">
        <v>0.28998239999999997</v>
      </c>
      <c r="S8984">
        <v>3.1081850000000002</v>
      </c>
      <c r="T8984">
        <v>-0.4142556</v>
      </c>
      <c r="U8984">
        <v>2.2277829999999998E-2</v>
      </c>
      <c r="V8984">
        <v>0.41932619999999998</v>
      </c>
      <c r="W8984">
        <v>-9.8324270000000005E-2</v>
      </c>
      <c r="X8984">
        <v>0.90249539999999995</v>
      </c>
      <c r="Y8984">
        <v>0.65470530000000005</v>
      </c>
      <c r="Z8984">
        <v>-0.1186292</v>
      </c>
      <c r="AA8984">
        <v>0.74651730000000005</v>
      </c>
      <c r="AB8984">
        <v>23</v>
      </c>
      <c r="AC8984">
        <v>8.2067000000000103</v>
      </c>
      <c r="AD8984">
        <v>-1.1068168822090001</v>
      </c>
      <c r="AE8984">
        <v>-1.4300000000019899E-2</v>
      </c>
      <c r="AF8984">
        <v>5.4109805014191403</v>
      </c>
      <c r="AG8984">
        <v>-1.1068168822090001</v>
      </c>
      <c r="AH8984">
        <v>5.9738257972098898</v>
      </c>
      <c r="AI8984">
        <v>97.818976445799805</v>
      </c>
      <c r="AJ8984">
        <v>47.8303006769424</v>
      </c>
      <c r="AK8984">
        <v>8.1357450951275094</v>
      </c>
      <c r="AL8984">
        <v>95.642682447150193</v>
      </c>
      <c r="AM8984">
        <v>65.079017744957696</v>
      </c>
      <c r="AN8984">
        <v>1.0000000355493099</v>
      </c>
    </row>
    <row r="8985" spans="1:40" x14ac:dyDescent="0.25">
      <c r="A8985" t="str">
        <f>"20190303154354156"</f>
        <v>20190303154354156</v>
      </c>
      <c r="B8985" t="str">
        <f>"1551599034149510"</f>
        <v>1551599034149510</v>
      </c>
      <c r="C8985" t="s">
        <v>40</v>
      </c>
      <c r="D8985">
        <v>5.9905369999999998</v>
      </c>
      <c r="E8985">
        <v>0.61653809999999998</v>
      </c>
      <c r="F8985" t="s">
        <v>41</v>
      </c>
      <c r="G8985">
        <v>-159.95910000000001</v>
      </c>
      <c r="H8985" s="1">
        <v>-6.014802E-6</v>
      </c>
      <c r="I8985">
        <v>132.35560000000001</v>
      </c>
      <c r="J8985">
        <v>-182.09960000000001</v>
      </c>
      <c r="K8985">
        <v>1.1068020000000001</v>
      </c>
      <c r="L8985">
        <v>133.0967</v>
      </c>
      <c r="M8985">
        <v>0.75074669999999999</v>
      </c>
      <c r="N8985">
        <v>-1.8194220000000001E-2</v>
      </c>
      <c r="O8985">
        <v>0.66033969999999997</v>
      </c>
      <c r="P8985">
        <v>0.95434490000000005</v>
      </c>
      <c r="Q8985">
        <v>-9.9999350000000001E-2</v>
      </c>
      <c r="R8985">
        <v>0.28147119999999998</v>
      </c>
      <c r="S8985">
        <v>3.1640320000000002</v>
      </c>
      <c r="T8985">
        <v>-0.1573888</v>
      </c>
      <c r="U8985">
        <v>-9.375E-2</v>
      </c>
      <c r="V8985">
        <v>0.41582659999999999</v>
      </c>
      <c r="W8985">
        <v>-9.7918370000000005E-2</v>
      </c>
      <c r="X8985">
        <v>0.90415719999999999</v>
      </c>
      <c r="Y8985">
        <v>0.68107479999999998</v>
      </c>
      <c r="Z8985">
        <v>-4.085751E-2</v>
      </c>
      <c r="AA8985">
        <v>0.73107299999999997</v>
      </c>
      <c r="AB8985">
        <v>23</v>
      </c>
      <c r="AC8985">
        <v>22.140499999999999</v>
      </c>
      <c r="AD8985">
        <v>-1.1068080148019901</v>
      </c>
      <c r="AE8985">
        <v>-0.74109999999998799</v>
      </c>
      <c r="AF8985">
        <v>15.14134472246</v>
      </c>
      <c r="AG8985">
        <v>-1.1068080148019901</v>
      </c>
      <c r="AH8985">
        <v>16.095022362651999</v>
      </c>
      <c r="AI8985">
        <v>92.867373798031906</v>
      </c>
      <c r="AJ8985">
        <v>46.748754430806798</v>
      </c>
      <c r="AK8985">
        <v>22.125439856424698</v>
      </c>
      <c r="AL8985">
        <v>95.619313492344901</v>
      </c>
      <c r="AM8985">
        <v>65.3020528542215</v>
      </c>
      <c r="AN8985">
        <v>1.00000000538142</v>
      </c>
    </row>
    <row r="8986" spans="1:40" x14ac:dyDescent="0.25">
      <c r="A8986" t="str">
        <f>"20190303154354168"</f>
        <v>20190303154354168</v>
      </c>
      <c r="B8986" t="str">
        <f>"1551599034159270"</f>
        <v>1551599034159270</v>
      </c>
      <c r="C8986" t="s">
        <v>40</v>
      </c>
      <c r="D8986">
        <v>5.995018</v>
      </c>
      <c r="E8986">
        <v>0.6109118</v>
      </c>
      <c r="F8986" t="s">
        <v>41</v>
      </c>
      <c r="G8986">
        <v>-168.58750000000001</v>
      </c>
      <c r="H8986" s="1">
        <v>-2.3129010000000002E-6</v>
      </c>
      <c r="I8986">
        <v>132.90289999999999</v>
      </c>
      <c r="J8986">
        <v>-181.9992</v>
      </c>
      <c r="K8986">
        <v>1.1068</v>
      </c>
      <c r="L8986">
        <v>133.16829999999999</v>
      </c>
      <c r="M8986">
        <v>0.75834080000000004</v>
      </c>
      <c r="N8986">
        <v>-1.8218020000000001E-2</v>
      </c>
      <c r="O8986">
        <v>0.65160379999999996</v>
      </c>
      <c r="P8986">
        <v>0.95659150000000004</v>
      </c>
      <c r="Q8986">
        <v>-0.100255</v>
      </c>
      <c r="R8986">
        <v>0.27364559999999999</v>
      </c>
      <c r="S8986">
        <v>3.129883</v>
      </c>
      <c r="T8986">
        <v>-0.25637579999999999</v>
      </c>
      <c r="U8986">
        <v>-4.4891359999999998E-2</v>
      </c>
      <c r="V8986">
        <v>0.41274379999999999</v>
      </c>
      <c r="W8986">
        <v>-9.8024029999999998E-2</v>
      </c>
      <c r="X8986">
        <v>0.90555719999999995</v>
      </c>
      <c r="Y8986">
        <v>0.6588638</v>
      </c>
      <c r="Z8986">
        <v>-6.9975350000000006E-2</v>
      </c>
      <c r="AA8986">
        <v>0.74900059999999902</v>
      </c>
      <c r="AB8986">
        <v>23</v>
      </c>
      <c r="AC8986">
        <v>13.4116999999999</v>
      </c>
      <c r="AD8986">
        <v>-1.1068023129009901</v>
      </c>
      <c r="AE8986">
        <v>-0.26539999999999903</v>
      </c>
      <c r="AF8986">
        <v>8.8813993652182006</v>
      </c>
      <c r="AG8986">
        <v>-1.1068023129009901</v>
      </c>
      <c r="AH8986">
        <v>9.9317495998685601</v>
      </c>
      <c r="AI8986">
        <v>94.748696089086096</v>
      </c>
      <c r="AJ8986">
        <v>48.195542827527198</v>
      </c>
      <c r="AK8986">
        <v>13.3695144324253</v>
      </c>
      <c r="AL8986">
        <v>95.625396666623104</v>
      </c>
      <c r="AM8986">
        <v>65.496981956554905</v>
      </c>
      <c r="AN8986">
        <v>0.99999999868386003</v>
      </c>
    </row>
    <row r="8987" spans="1:40" x14ac:dyDescent="0.25">
      <c r="A8987" t="str">
        <f>"20190303154354180"</f>
        <v>20190303154354180</v>
      </c>
      <c r="B8987" t="str">
        <f>"1551599034169031"</f>
        <v>1551599034169031</v>
      </c>
      <c r="C8987" t="s">
        <v>40</v>
      </c>
      <c r="D8987">
        <v>6.0152140000000003</v>
      </c>
      <c r="E8987">
        <v>0.60736259999999997</v>
      </c>
      <c r="F8987" t="s">
        <v>57</v>
      </c>
      <c r="G8987">
        <v>-170.7218</v>
      </c>
      <c r="H8987" s="1">
        <v>-1.1308710000000001E-6</v>
      </c>
      <c r="I8987">
        <v>133.0591</v>
      </c>
      <c r="J8987">
        <v>-181.8931</v>
      </c>
      <c r="K8987">
        <v>1.106797</v>
      </c>
      <c r="L8987">
        <v>133.24270000000001</v>
      </c>
      <c r="M8987">
        <v>0.76623019999999997</v>
      </c>
      <c r="N8987">
        <v>-1.8241540000000001E-2</v>
      </c>
      <c r="O8987">
        <v>0.64230719999999997</v>
      </c>
      <c r="P8987">
        <v>0.95921270000000003</v>
      </c>
      <c r="Q8987">
        <v>-0.1007593</v>
      </c>
      <c r="R8987">
        <v>0.26411889999999999</v>
      </c>
      <c r="S8987">
        <v>3.1127470000000002</v>
      </c>
      <c r="T8987">
        <v>-0.30549359999999998</v>
      </c>
      <c r="U8987">
        <v>-3.0120850000000001E-2</v>
      </c>
      <c r="V8987">
        <v>0.41066009999999997</v>
      </c>
      <c r="W8987">
        <v>-9.842004E-2</v>
      </c>
      <c r="X8987">
        <v>0.90646119999999997</v>
      </c>
      <c r="Y8987">
        <v>0.64455689999999999</v>
      </c>
      <c r="Z8987">
        <v>-8.3755549999999998E-2</v>
      </c>
      <c r="AA8987">
        <v>0.75995489999999999</v>
      </c>
      <c r="AB8987">
        <v>23</v>
      </c>
      <c r="AC8987">
        <v>11.1713</v>
      </c>
      <c r="AD8987">
        <v>-1.106798130871</v>
      </c>
      <c r="AE8987">
        <v>-0.183600000000012</v>
      </c>
      <c r="AF8987">
        <v>7.24619517232113</v>
      </c>
      <c r="AG8987">
        <v>-1.106798130871</v>
      </c>
      <c r="AH8987">
        <v>8.3612141172983492</v>
      </c>
      <c r="AI8987">
        <v>95.712515098971906</v>
      </c>
      <c r="AJ8987">
        <v>49.086361858948301</v>
      </c>
      <c r="AK8987">
        <v>11.1194535878872</v>
      </c>
      <c r="AL8987">
        <v>95.648196243776297</v>
      </c>
      <c r="AM8987">
        <v>65.627733678781198</v>
      </c>
      <c r="AN8987">
        <v>1.00000006455552</v>
      </c>
    </row>
    <row r="8988" spans="1:40" x14ac:dyDescent="0.25">
      <c r="A8988" t="str">
        <f>"20190303154354195"</f>
        <v>20190303154354195</v>
      </c>
      <c r="B8988" t="str">
        <f>"1551599034189526"</f>
        <v>1551599034189526</v>
      </c>
      <c r="C8988" t="s">
        <v>40</v>
      </c>
      <c r="D8988">
        <v>5.9819309999999897</v>
      </c>
      <c r="E8988">
        <v>0.60279320000000003</v>
      </c>
      <c r="F8988" t="s">
        <v>57</v>
      </c>
      <c r="G8988">
        <v>-171.86709999999999</v>
      </c>
      <c r="H8988" s="1">
        <v>-1.8140159999999999E-6</v>
      </c>
      <c r="I8988">
        <v>133.12729999999999</v>
      </c>
      <c r="J8988">
        <v>-181.76050000000001</v>
      </c>
      <c r="K8988">
        <v>1.1067979999999999</v>
      </c>
      <c r="L8988">
        <v>133.3331</v>
      </c>
      <c r="M8988">
        <v>0.77585109999999902</v>
      </c>
      <c r="N8988">
        <v>-1.8267800000000001E-2</v>
      </c>
      <c r="O8988">
        <v>0.63065150000000003</v>
      </c>
      <c r="P8988">
        <v>0.96248359999999999</v>
      </c>
      <c r="Q8988">
        <v>-0.10166500000000001</v>
      </c>
      <c r="R8988">
        <v>0.25157459999999998</v>
      </c>
      <c r="S8988">
        <v>3.1014249999999999</v>
      </c>
      <c r="T8988">
        <v>-0.34237770000000001</v>
      </c>
      <c r="U8988">
        <v>-3.5705569999999999E-2</v>
      </c>
      <c r="V8988">
        <v>0.40870610000000002</v>
      </c>
      <c r="W8988">
        <v>-9.9217319999999998E-2</v>
      </c>
      <c r="X8988">
        <v>0.90725699999999998</v>
      </c>
      <c r="Y8988">
        <v>0.6330479</v>
      </c>
      <c r="Z8988">
        <v>-9.3511510000000006E-2</v>
      </c>
      <c r="AA8988">
        <v>0.76844380000000001</v>
      </c>
      <c r="AB8988">
        <v>23</v>
      </c>
      <c r="AC8988">
        <v>9.8934000000000104</v>
      </c>
      <c r="AD8988">
        <v>-1.106799814016</v>
      </c>
      <c r="AE8988">
        <v>-0.20580000000001</v>
      </c>
      <c r="AF8988">
        <v>6.3209503980159001</v>
      </c>
      <c r="AG8988">
        <v>-1.106799814016</v>
      </c>
      <c r="AH8988">
        <v>7.4540265108800101</v>
      </c>
      <c r="AI8988">
        <v>96.461080769042198</v>
      </c>
      <c r="AJ8988">
        <v>49.702341956978401</v>
      </c>
      <c r="AK8988">
        <v>9.8357476069379395</v>
      </c>
      <c r="AL8988">
        <v>95.694102028231697</v>
      </c>
      <c r="AM8988">
        <v>65.749127382929302</v>
      </c>
      <c r="AN8988">
        <v>1.0000000084070899</v>
      </c>
    </row>
    <row r="8989" spans="1:40" x14ac:dyDescent="0.25">
      <c r="A8989" t="str">
        <f>"20190303154354210"</f>
        <v>20190303154354210</v>
      </c>
      <c r="B8989" t="str">
        <f>"1551599034199286"</f>
        <v>1551599034199286</v>
      </c>
      <c r="C8989" t="s">
        <v>40</v>
      </c>
      <c r="D8989">
        <v>5.983155</v>
      </c>
      <c r="E8989">
        <v>0.60119919999999905</v>
      </c>
      <c r="F8989" t="s">
        <v>57</v>
      </c>
      <c r="G8989">
        <v>-172.83449999999999</v>
      </c>
      <c r="H8989" s="1">
        <v>-2.4018270000000001E-6</v>
      </c>
      <c r="I8989">
        <v>133.20930000000001</v>
      </c>
      <c r="J8989">
        <v>-181.6353</v>
      </c>
      <c r="K8989">
        <v>1.106789</v>
      </c>
      <c r="L8989">
        <v>133.41499999999999</v>
      </c>
      <c r="M8989">
        <v>0.78469250000000001</v>
      </c>
      <c r="N8989">
        <v>-1.828799E-2</v>
      </c>
      <c r="O8989">
        <v>0.61961540000000004</v>
      </c>
      <c r="P8989">
        <v>0.96496479999999996</v>
      </c>
      <c r="Q8989">
        <v>-0.10402160000000001</v>
      </c>
      <c r="R8989">
        <v>0.24087910000000001</v>
      </c>
      <c r="S8989">
        <v>3.0876769999999998</v>
      </c>
      <c r="T8989">
        <v>-0.38286350000000002</v>
      </c>
      <c r="U8989">
        <v>-4.2816159999999999E-2</v>
      </c>
      <c r="V8989">
        <v>0.40571370000000001</v>
      </c>
      <c r="W8989">
        <v>-0.1014245</v>
      </c>
      <c r="X8989">
        <v>0.90835540000000004</v>
      </c>
      <c r="Y8989">
        <v>0.62226179999999998</v>
      </c>
      <c r="Z8989">
        <v>-0.1041675</v>
      </c>
      <c r="AA8989">
        <v>0.77584759999999997</v>
      </c>
      <c r="AB8989">
        <v>23</v>
      </c>
      <c r="AC8989">
        <v>8.8008000000000095</v>
      </c>
      <c r="AD8989">
        <v>-1.106791401827</v>
      </c>
      <c r="AE8989">
        <v>-0.20569999999997801</v>
      </c>
      <c r="AF8989">
        <v>5.5280790770871802</v>
      </c>
      <c r="AG8989">
        <v>-1.106791401827</v>
      </c>
      <c r="AH8989">
        <v>6.6741029406710304</v>
      </c>
      <c r="AI8989">
        <v>97.278035739052896</v>
      </c>
      <c r="AJ8989">
        <v>50.365456705346602</v>
      </c>
      <c r="AK8989">
        <v>8.7366066382984808</v>
      </c>
      <c r="AL8989">
        <v>95.821205221770995</v>
      </c>
      <c r="AM8989">
        <v>65.932243149098795</v>
      </c>
      <c r="AN8989">
        <v>1.00000003413854</v>
      </c>
    </row>
    <row r="8990" spans="1:40" x14ac:dyDescent="0.25">
      <c r="A8990" t="str">
        <f>"20190303154354232"</f>
        <v>20190303154354232</v>
      </c>
      <c r="B8990" t="str">
        <f>"1551599034229149"</f>
        <v>1551599034229149</v>
      </c>
      <c r="C8990" t="s">
        <v>40</v>
      </c>
      <c r="D8990">
        <v>5.9271390000000004</v>
      </c>
      <c r="E8990">
        <v>0.59869030000000001</v>
      </c>
      <c r="F8990" t="s">
        <v>57</v>
      </c>
      <c r="G8990">
        <v>-173.15389999999999</v>
      </c>
      <c r="H8990" s="1">
        <v>-2.594642E-6</v>
      </c>
      <c r="I8990">
        <v>133.23519999999999</v>
      </c>
      <c r="J8990">
        <v>-181.43549999999999</v>
      </c>
      <c r="K8990">
        <v>1.1067929999999999</v>
      </c>
      <c r="L8990">
        <v>133.5412</v>
      </c>
      <c r="M8990">
        <v>0.79835310000000004</v>
      </c>
      <c r="N8990">
        <v>-1.8315089999999999E-2</v>
      </c>
      <c r="O8990">
        <v>0.60191110000000003</v>
      </c>
      <c r="P8990">
        <v>0.96902639999999995</v>
      </c>
      <c r="Q8990">
        <v>-0.1070504</v>
      </c>
      <c r="R8990">
        <v>0.2225491</v>
      </c>
      <c r="S8990">
        <v>3.0818789999999998</v>
      </c>
      <c r="T8990">
        <v>-0.40217710000000001</v>
      </c>
      <c r="U8990">
        <v>-6.5353389999999997E-2</v>
      </c>
      <c r="V8990">
        <v>0.40232289999999998</v>
      </c>
      <c r="W8990">
        <v>-0.1042698</v>
      </c>
      <c r="X8990">
        <v>0.90954060000000003</v>
      </c>
      <c r="Y8990">
        <v>0.60976219999999903</v>
      </c>
      <c r="Z8990">
        <v>-0.10757609999999999</v>
      </c>
      <c r="AA8990">
        <v>0.78524989999999995</v>
      </c>
      <c r="AB8990">
        <v>23</v>
      </c>
      <c r="AC8990">
        <v>8.2815999999999903</v>
      </c>
      <c r="AD8990">
        <v>-1.1067955946420001</v>
      </c>
      <c r="AE8990">
        <v>-0.30600000000001099</v>
      </c>
      <c r="AF8990">
        <v>5.1383096914623998</v>
      </c>
      <c r="AG8990">
        <v>-1.1067955946420001</v>
      </c>
      <c r="AH8990">
        <v>6.3158799697849304</v>
      </c>
      <c r="AI8990">
        <v>97.741119329076</v>
      </c>
      <c r="AJ8990">
        <v>50.869782408258402</v>
      </c>
      <c r="AK8990">
        <v>8.2169071289887299</v>
      </c>
      <c r="AL8990">
        <v>95.985098225177396</v>
      </c>
      <c r="AM8990">
        <v>66.138449901352104</v>
      </c>
      <c r="AN8990">
        <v>1.0000000050524001</v>
      </c>
    </row>
    <row r="8991" spans="1:40" x14ac:dyDescent="0.25">
      <c r="A8991" t="str">
        <f>"20190303154354245"</f>
        <v>20190303154354245</v>
      </c>
      <c r="B8991" t="str">
        <f>"1551599034238909"</f>
        <v>1551599034238909</v>
      </c>
      <c r="C8991" t="s">
        <v>40</v>
      </c>
      <c r="D8991">
        <v>5.8735809999999997</v>
      </c>
      <c r="E8991">
        <v>0.59777209999999903</v>
      </c>
      <c r="F8991" t="s">
        <v>57</v>
      </c>
      <c r="G8991">
        <v>-173.3109</v>
      </c>
      <c r="H8991" s="1">
        <v>-2.6752630000000001E-6</v>
      </c>
      <c r="I8991">
        <v>133.26410000000001</v>
      </c>
      <c r="J8991">
        <v>-181.30629999999999</v>
      </c>
      <c r="K8991">
        <v>1.1068089999999999</v>
      </c>
      <c r="L8991">
        <v>133.61920000000001</v>
      </c>
      <c r="M8991">
        <v>0.80688740000000003</v>
      </c>
      <c r="N8991">
        <v>-1.8328290000000001E-2</v>
      </c>
      <c r="O8991">
        <v>0.59042079999999997</v>
      </c>
      <c r="P8991">
        <v>0.97154700000000005</v>
      </c>
      <c r="Q8991">
        <v>-0.1086289</v>
      </c>
      <c r="R8991">
        <v>0.21046699999999999</v>
      </c>
      <c r="S8991">
        <v>3.073715</v>
      </c>
      <c r="T8991">
        <v>-0.41872530000000002</v>
      </c>
      <c r="U8991">
        <v>-0.1048279</v>
      </c>
      <c r="V8991">
        <v>0.40047919999999998</v>
      </c>
      <c r="W8991">
        <v>-0.10574169999999999</v>
      </c>
      <c r="X8991">
        <v>0.91018410000000005</v>
      </c>
      <c r="Y8991">
        <v>0.60784819999999995</v>
      </c>
      <c r="Z8991">
        <v>-0.11142340000000001</v>
      </c>
      <c r="AA8991">
        <v>0.78619680000000003</v>
      </c>
      <c r="AB8991">
        <v>23</v>
      </c>
      <c r="AC8991">
        <v>7.9953999999999796</v>
      </c>
      <c r="AD8991">
        <v>-1.1068116752629999</v>
      </c>
      <c r="AE8991">
        <v>-0.35509999999999298</v>
      </c>
      <c r="AF8991">
        <v>4.9140345685890301</v>
      </c>
      <c r="AG8991">
        <v>-1.1068116752629999</v>
      </c>
      <c r="AH8991">
        <v>6.1256227906282001</v>
      </c>
      <c r="AI8991">
        <v>98.022408098676294</v>
      </c>
      <c r="AJ8991">
        <v>51.2630727250327</v>
      </c>
      <c r="AK8991">
        <v>7.9307012551760003</v>
      </c>
      <c r="AL8991">
        <v>96.069900764574996</v>
      </c>
      <c r="AM8991">
        <v>66.250600648947398</v>
      </c>
      <c r="AN8991">
        <v>0.99999999632216996</v>
      </c>
    </row>
    <row r="8992" spans="1:40" x14ac:dyDescent="0.25">
      <c r="A8992" t="str">
        <f>"20190303154354260"</f>
        <v>20190303154354260</v>
      </c>
      <c r="B8992" t="str">
        <f>"1551599034248669"</f>
        <v>1551599034248669</v>
      </c>
      <c r="C8992" t="s">
        <v>40</v>
      </c>
      <c r="D8992">
        <v>5.9202700000000004</v>
      </c>
      <c r="E8992">
        <v>0.59720879999999998</v>
      </c>
      <c r="F8992" t="s">
        <v>57</v>
      </c>
      <c r="G8992">
        <v>-173.29820000000001</v>
      </c>
      <c r="H8992" s="1">
        <v>-2.6697769999999998E-6</v>
      </c>
      <c r="I8992">
        <v>133.2645</v>
      </c>
      <c r="J8992">
        <v>-181.1722</v>
      </c>
      <c r="K8992">
        <v>1.1068260000000001</v>
      </c>
      <c r="L8992">
        <v>133.69799999999901</v>
      </c>
      <c r="M8992">
        <v>0.81551370000000001</v>
      </c>
      <c r="N8992">
        <v>-1.8339540000000001E-2</v>
      </c>
      <c r="O8992">
        <v>0.57844719999999905</v>
      </c>
      <c r="P8992">
        <v>0.97398640000000003</v>
      </c>
      <c r="Q8992">
        <v>-0.1104195</v>
      </c>
      <c r="R8992">
        <v>0.19788410000000001</v>
      </c>
      <c r="S8992">
        <v>3.069855</v>
      </c>
      <c r="T8992">
        <v>-0.42429040000000001</v>
      </c>
      <c r="U8992">
        <v>-0.13598629999999901</v>
      </c>
      <c r="V8992">
        <v>0.39865020000000001</v>
      </c>
      <c r="W8992">
        <v>-0.1074246</v>
      </c>
      <c r="X8992">
        <v>0.91078970000000004</v>
      </c>
      <c r="Y8992">
        <v>0.60401609999999994</v>
      </c>
      <c r="Z8992">
        <v>-0.1117599</v>
      </c>
      <c r="AA8992">
        <v>0.7890971</v>
      </c>
      <c r="AB8992">
        <v>23</v>
      </c>
      <c r="AC8992">
        <v>7.8739999999999899</v>
      </c>
      <c r="AD8992">
        <v>-1.106828669777</v>
      </c>
      <c r="AE8992">
        <v>-0.43349999999998001</v>
      </c>
      <c r="AF8992">
        <v>4.8142062769791298</v>
      </c>
      <c r="AG8992">
        <v>-1.106828669777</v>
      </c>
      <c r="AH8992">
        <v>6.0524061912742297</v>
      </c>
      <c r="AI8992">
        <v>98.144855584845999</v>
      </c>
      <c r="AJ8992">
        <v>51.500550761666503</v>
      </c>
      <c r="AK8992">
        <v>7.8123794381558502</v>
      </c>
      <c r="AL8992">
        <v>96.166876510125903</v>
      </c>
      <c r="AM8992">
        <v>66.361134232548807</v>
      </c>
      <c r="AN8992">
        <v>0.99999995213564397</v>
      </c>
    </row>
    <row r="8993" spans="1:40" x14ac:dyDescent="0.25">
      <c r="A8993" t="str">
        <f>"20190303154354276"</f>
        <v>20190303154354276</v>
      </c>
      <c r="B8993" t="str">
        <f>"1551599034269164"</f>
        <v>1551599034269164</v>
      </c>
      <c r="C8993" t="s">
        <v>40</v>
      </c>
      <c r="D8993">
        <v>5.8854980000000001</v>
      </c>
      <c r="E8993">
        <v>0.59550209999999903</v>
      </c>
      <c r="F8993" t="s">
        <v>57</v>
      </c>
      <c r="G8993">
        <v>-173.29750000000001</v>
      </c>
      <c r="H8993" s="1">
        <v>-2.6667350000000001E-6</v>
      </c>
      <c r="I8993">
        <v>133.25739999999999</v>
      </c>
      <c r="J8993">
        <v>-181.02189999999999</v>
      </c>
      <c r="K8993">
        <v>1.1068450000000001</v>
      </c>
      <c r="L8993">
        <v>133.78309999999999</v>
      </c>
      <c r="M8993">
        <v>0.8248953</v>
      </c>
      <c r="N8993">
        <v>-1.8348840000000002E-2</v>
      </c>
      <c r="O8993">
        <v>0.56498780000000004</v>
      </c>
      <c r="P8993">
        <v>0.97596320000000003</v>
      </c>
      <c r="Q8993">
        <v>-0.1137808</v>
      </c>
      <c r="R8993">
        <v>0.18587619999999999</v>
      </c>
      <c r="S8993">
        <v>3.0661160000000001</v>
      </c>
      <c r="T8993">
        <v>-0.43095729999999999</v>
      </c>
      <c r="U8993">
        <v>-0.17153929999999901</v>
      </c>
      <c r="V8993">
        <v>0.3946036</v>
      </c>
      <c r="W8993">
        <v>-0.1105838</v>
      </c>
      <c r="X8993">
        <v>0.91217280000000001</v>
      </c>
      <c r="Y8993">
        <v>0.59996780000000005</v>
      </c>
      <c r="Z8993">
        <v>-0.1121646</v>
      </c>
      <c r="AA8993">
        <v>0.7921224</v>
      </c>
      <c r="AB8993">
        <v>23</v>
      </c>
      <c r="AC8993">
        <v>7.72439999999997</v>
      </c>
      <c r="AD8993">
        <v>-1.106847666735</v>
      </c>
      <c r="AE8993">
        <v>-0.52569999999999995</v>
      </c>
      <c r="AF8993">
        <v>4.7025361021017202</v>
      </c>
      <c r="AG8993">
        <v>-1.106847666735</v>
      </c>
      <c r="AH8993">
        <v>5.9541386665642904</v>
      </c>
      <c r="AI8993">
        <v>98.299961553284007</v>
      </c>
      <c r="AJ8993">
        <v>51.698573370765097</v>
      </c>
      <c r="AK8993">
        <v>7.66751099181492</v>
      </c>
      <c r="AL8993">
        <v>96.348970180475206</v>
      </c>
      <c r="AM8993">
        <v>66.606815548994803</v>
      </c>
      <c r="AN8993">
        <v>0.99999999750761903</v>
      </c>
    </row>
    <row r="8994" spans="1:40" x14ac:dyDescent="0.25">
      <c r="A8994" t="str">
        <f>"20190303154354290"</f>
        <v>20190303154354290</v>
      </c>
      <c r="B8994" t="str">
        <f>"1551599034278924"</f>
        <v>1551599034278924</v>
      </c>
      <c r="C8994" t="s">
        <v>40</v>
      </c>
      <c r="D8994">
        <v>5.8841000000000001</v>
      </c>
      <c r="E8994">
        <v>0.59437320000000005</v>
      </c>
      <c r="F8994" t="s">
        <v>57</v>
      </c>
      <c r="G8994">
        <v>-173.32980000000001</v>
      </c>
      <c r="H8994" s="1">
        <v>-2.6933839999999999E-6</v>
      </c>
      <c r="I8994">
        <v>133.28980000000001</v>
      </c>
      <c r="J8994">
        <v>-180.8828</v>
      </c>
      <c r="K8994">
        <v>1.1068709999999999</v>
      </c>
      <c r="L8994">
        <v>133.85839999999999</v>
      </c>
      <c r="M8994">
        <v>0.83329629999999999</v>
      </c>
      <c r="N8994">
        <v>-1.835322E-2</v>
      </c>
      <c r="O8994">
        <v>0.55252190000000001</v>
      </c>
      <c r="P8994">
        <v>0.97801309999999997</v>
      </c>
      <c r="Q8994">
        <v>-0.1149954</v>
      </c>
      <c r="R8994">
        <v>0.17397279999999901</v>
      </c>
      <c r="S8994">
        <v>3.0599370000000001</v>
      </c>
      <c r="T8994">
        <v>-0.44030930000000001</v>
      </c>
      <c r="U8994">
        <v>-0.19624330000000001</v>
      </c>
      <c r="V8994">
        <v>0.39189780000000002</v>
      </c>
      <c r="W8994">
        <v>-0.11164930000000001</v>
      </c>
      <c r="X8994">
        <v>0.91320900000000005</v>
      </c>
      <c r="Y8994">
        <v>0.59411669999999905</v>
      </c>
      <c r="Z8994">
        <v>-0.11323129999999999</v>
      </c>
      <c r="AA8994">
        <v>0.79636929999999995</v>
      </c>
      <c r="AB8994">
        <v>23</v>
      </c>
      <c r="AC8994">
        <v>7.5529999999999902</v>
      </c>
      <c r="AD8994">
        <v>-1.106873693384</v>
      </c>
      <c r="AE8994">
        <v>-0.56859999999997501</v>
      </c>
      <c r="AF8994">
        <v>4.5506139116982602</v>
      </c>
      <c r="AG8994">
        <v>-1.106873693384</v>
      </c>
      <c r="AH8994">
        <v>5.8556813057625199</v>
      </c>
      <c r="AI8994">
        <v>98.489001879755605</v>
      </c>
      <c r="AJ8994">
        <v>52.1482204514095</v>
      </c>
      <c r="AK8994">
        <v>7.4981504320134897</v>
      </c>
      <c r="AL8994">
        <v>96.410398810550802</v>
      </c>
      <c r="AM8994">
        <v>66.773719119536494</v>
      </c>
      <c r="AN8994">
        <v>1.0000000647581599</v>
      </c>
    </row>
    <row r="8995" spans="1:40" x14ac:dyDescent="0.25">
      <c r="A8995" t="str">
        <f>"20190303154354304"</f>
        <v>20190303154354304</v>
      </c>
      <c r="B8995" t="str">
        <f>"1551599034299420"</f>
        <v>1551599034299420</v>
      </c>
      <c r="C8995" t="s">
        <v>40</v>
      </c>
      <c r="D8995">
        <v>5.7279169999999997</v>
      </c>
      <c r="E8995">
        <v>0.565585</v>
      </c>
      <c r="F8995" t="s">
        <v>57</v>
      </c>
      <c r="G8995">
        <v>-173.2687</v>
      </c>
      <c r="H8995" s="1">
        <v>-2.6692339999999999E-6</v>
      </c>
      <c r="I8995">
        <v>133.29759999999999</v>
      </c>
      <c r="J8995">
        <v>-180.76079999999999</v>
      </c>
      <c r="K8995">
        <v>1.1069009999999999</v>
      </c>
      <c r="L8995">
        <v>133.92230000000001</v>
      </c>
      <c r="M8995">
        <v>0.84045729999999996</v>
      </c>
      <c r="N8995">
        <v>-1.8354740000000001E-2</v>
      </c>
      <c r="O8995">
        <v>0.54156680000000001</v>
      </c>
      <c r="P8995">
        <v>0.97956410000000005</v>
      </c>
      <c r="Q8995">
        <v>-0.11584419999999999</v>
      </c>
      <c r="R8995">
        <v>0.16442119999999999</v>
      </c>
      <c r="S8995">
        <v>3.0552670000000002</v>
      </c>
      <c r="T8995">
        <v>-0.4441504</v>
      </c>
      <c r="U8995">
        <v>-0.2250366</v>
      </c>
      <c r="V8995">
        <v>0.38878810000000003</v>
      </c>
      <c r="W8995">
        <v>-0.11233600000000001</v>
      </c>
      <c r="X8995">
        <v>0.91445310000000002</v>
      </c>
      <c r="Y8995">
        <v>0.59109590000000001</v>
      </c>
      <c r="Z8995">
        <v>-0.1130823</v>
      </c>
      <c r="AA8995">
        <v>0.79863509999999904</v>
      </c>
      <c r="AB8995">
        <v>23</v>
      </c>
      <c r="AC8995">
        <v>7.49209999999999</v>
      </c>
      <c r="AD8995">
        <v>-1.106903669234</v>
      </c>
      <c r="AE8995">
        <v>-0.62470000000001802</v>
      </c>
      <c r="AF8995">
        <v>4.4860337422312</v>
      </c>
      <c r="AG8995">
        <v>-1.106903669234</v>
      </c>
      <c r="AH8995">
        <v>5.8330334532011197</v>
      </c>
      <c r="AI8995">
        <v>98.554491218303298</v>
      </c>
      <c r="AJ8995">
        <v>52.437055375045503</v>
      </c>
      <c r="AK8995">
        <v>7.4413717643700599</v>
      </c>
      <c r="AL8995">
        <v>96.449993209490003</v>
      </c>
      <c r="AM8995">
        <v>66.966785021823995</v>
      </c>
      <c r="AN8995">
        <v>1.0000000178486099</v>
      </c>
    </row>
    <row r="8996" spans="1:40" x14ac:dyDescent="0.25">
      <c r="A8996" t="str">
        <f>"20190303154354320"</f>
        <v>20190303154354320</v>
      </c>
      <c r="B8996" t="str">
        <f>"1551599034309180"</f>
        <v>1551599034309180</v>
      </c>
      <c r="C8996" t="s">
        <v>40</v>
      </c>
      <c r="D8996">
        <v>5.7197559999999896</v>
      </c>
      <c r="E8996">
        <v>0.5628396</v>
      </c>
      <c r="F8996" t="s">
        <v>57</v>
      </c>
      <c r="G8996">
        <v>-171.22730000000001</v>
      </c>
      <c r="H8996" s="1">
        <v>-1.769132E-6</v>
      </c>
      <c r="I8996">
        <v>133.84970000000001</v>
      </c>
      <c r="J8996">
        <v>-180.6063</v>
      </c>
      <c r="K8996">
        <v>1.106948</v>
      </c>
      <c r="L8996">
        <v>134.00069999999999</v>
      </c>
      <c r="M8996">
        <v>0.84925859999999997</v>
      </c>
      <c r="N8996">
        <v>-1.8354059999999998E-2</v>
      </c>
      <c r="O8996">
        <v>0.52765790000000001</v>
      </c>
      <c r="P8996">
        <v>0.98113229999999996</v>
      </c>
      <c r="Q8996">
        <v>-0.1159304</v>
      </c>
      <c r="R8996">
        <v>0.15472449999999999</v>
      </c>
      <c r="S8996">
        <v>3.0249329999999999</v>
      </c>
      <c r="T8996">
        <v>-0.35121629999999998</v>
      </c>
      <c r="U8996">
        <v>-2.3056030000000002E-2</v>
      </c>
      <c r="V8996">
        <v>0.38279239999999998</v>
      </c>
      <c r="W8996">
        <v>-0.1121284</v>
      </c>
      <c r="X8996">
        <v>0.9170045</v>
      </c>
      <c r="Y8996">
        <v>0.52791160000000004</v>
      </c>
      <c r="Z8996">
        <v>-8.3956929999999999E-2</v>
      </c>
      <c r="AA8996">
        <v>0.84513939999999999</v>
      </c>
      <c r="AB8996">
        <v>23</v>
      </c>
      <c r="AC8996">
        <v>9.3789999999999907</v>
      </c>
      <c r="AD8996">
        <v>-1.106949769132</v>
      </c>
      <c r="AE8996">
        <v>-0.15099999999998201</v>
      </c>
      <c r="AF8996">
        <v>5.0082516097115803</v>
      </c>
      <c r="AG8996">
        <v>-1.106949769132</v>
      </c>
      <c r="AH8996">
        <v>7.7785243179149104</v>
      </c>
      <c r="AI8996">
        <v>96.823139282486807</v>
      </c>
      <c r="AJ8996">
        <v>57.224286331872101</v>
      </c>
      <c r="AK8996">
        <v>9.3173688636842993</v>
      </c>
      <c r="AL8996">
        <v>96.438022923375499</v>
      </c>
      <c r="AM8996">
        <v>67.342495440448303</v>
      </c>
      <c r="AN8996">
        <v>1.0000000263022799</v>
      </c>
    </row>
    <row r="8997" spans="1:40" x14ac:dyDescent="0.25">
      <c r="A8997" t="str">
        <f>"20190303154354343"</f>
        <v>20190303154354343</v>
      </c>
      <c r="B8997" t="str">
        <f>"1551599034339436"</f>
        <v>1551599034339436</v>
      </c>
      <c r="C8997" t="s">
        <v>40</v>
      </c>
      <c r="D8997">
        <v>5.7615259999999999</v>
      </c>
      <c r="E8997">
        <v>0.55831070000000005</v>
      </c>
      <c r="F8997" t="s">
        <v>57</v>
      </c>
      <c r="G8997">
        <v>-170.6174</v>
      </c>
      <c r="H8997" s="1">
        <v>-1.4437090000000001E-6</v>
      </c>
      <c r="I8997">
        <v>133.9</v>
      </c>
      <c r="J8997">
        <v>-180.3974</v>
      </c>
      <c r="K8997">
        <v>1.1070260000000001</v>
      </c>
      <c r="L8997">
        <v>134.10140000000001</v>
      </c>
      <c r="M8997">
        <v>0.86067399999999905</v>
      </c>
      <c r="N8997">
        <v>-1.8347160000000001E-2</v>
      </c>
      <c r="O8997">
        <v>0.508826</v>
      </c>
      <c r="P8997">
        <v>0.98351730000000004</v>
      </c>
      <c r="Q8997">
        <v>-0.1137098</v>
      </c>
      <c r="R8997">
        <v>0.1405844</v>
      </c>
      <c r="S8997">
        <v>3.0229189999999999</v>
      </c>
      <c r="T8997">
        <v>-0.334993599999999</v>
      </c>
      <c r="U8997">
        <v>-3.048706E-2</v>
      </c>
      <c r="V8997">
        <v>0.37603140000000002</v>
      </c>
      <c r="W8997">
        <v>-0.1095614</v>
      </c>
      <c r="X8997">
        <v>0.92010689999999995</v>
      </c>
      <c r="Y8997">
        <v>0.51200779999999901</v>
      </c>
      <c r="Z8997">
        <v>-7.7482999999999996E-2</v>
      </c>
      <c r="AA8997">
        <v>0.85547899999999999</v>
      </c>
      <c r="AB8997">
        <v>23</v>
      </c>
      <c r="AC8997">
        <v>9.7799999999999994</v>
      </c>
      <c r="AD8997">
        <v>-1.107027443709</v>
      </c>
      <c r="AE8997">
        <v>-0.20140000000000599</v>
      </c>
      <c r="AF8997">
        <v>5.0853945547357498</v>
      </c>
      <c r="AG8997">
        <v>-1.107027443709</v>
      </c>
      <c r="AH8997">
        <v>8.2111509185432094</v>
      </c>
      <c r="AI8997">
        <v>96.538615483455601</v>
      </c>
      <c r="AJ8997">
        <v>58.228913079389201</v>
      </c>
      <c r="AK8997">
        <v>9.7216123634690295</v>
      </c>
      <c r="AL8997">
        <v>96.290032758980203</v>
      </c>
      <c r="AM8997">
        <v>67.7710346614504</v>
      </c>
      <c r="AN8997">
        <v>1.0000000107917599</v>
      </c>
    </row>
    <row r="8998" spans="1:40" x14ac:dyDescent="0.25">
      <c r="A8998" t="str">
        <f>"20190303154354361"</f>
        <v>20190303154354361</v>
      </c>
      <c r="B8998" t="str">
        <f>"1551599034349196"</f>
        <v>1551599034349196</v>
      </c>
      <c r="C8998" t="s">
        <v>40</v>
      </c>
      <c r="D8998">
        <v>5.7879820000000004</v>
      </c>
      <c r="E8998">
        <v>0.5562009</v>
      </c>
      <c r="F8998" t="s">
        <v>41</v>
      </c>
      <c r="G8998">
        <v>-169.7672</v>
      </c>
      <c r="H8998" s="1">
        <v>-1.576144E-6</v>
      </c>
      <c r="I8998">
        <v>133.9693</v>
      </c>
      <c r="J8998">
        <v>-180.2269</v>
      </c>
      <c r="K8998">
        <v>1.1070960000000001</v>
      </c>
      <c r="L8998">
        <v>134.17959999999999</v>
      </c>
      <c r="M8998">
        <v>0.86959109999999995</v>
      </c>
      <c r="N8998">
        <v>-1.8337260000000001E-2</v>
      </c>
      <c r="O8998">
        <v>0.49343179999999998</v>
      </c>
      <c r="P8998">
        <v>0.98538269999999994</v>
      </c>
      <c r="Q8998">
        <v>-0.1134331</v>
      </c>
      <c r="R8998">
        <v>0.12709780000000001</v>
      </c>
      <c r="S8998">
        <v>3.0192869999999998</v>
      </c>
      <c r="T8998">
        <v>-0.31442740000000002</v>
      </c>
      <c r="U8998">
        <v>-3.7521359999999997E-2</v>
      </c>
      <c r="V8998">
        <v>0.37231399999999998</v>
      </c>
      <c r="W8998">
        <v>-0.1090821</v>
      </c>
      <c r="X8998">
        <v>0.92167429999999995</v>
      </c>
      <c r="Y8998">
        <v>0.49950640000000002</v>
      </c>
      <c r="Z8998">
        <v>-7.0691370000000003E-2</v>
      </c>
      <c r="AA8998">
        <v>0.8634212</v>
      </c>
      <c r="AB8998">
        <v>23</v>
      </c>
      <c r="AC8998">
        <v>10.4596999999999</v>
      </c>
      <c r="AD8998">
        <v>-1.1070975761439901</v>
      </c>
      <c r="AE8998">
        <v>-0.210299999999989</v>
      </c>
      <c r="AF8998">
        <v>5.2857306610100698</v>
      </c>
      <c r="AG8998">
        <v>-1.1070975761439901</v>
      </c>
      <c r="AH8998">
        <v>8.8938091829608705</v>
      </c>
      <c r="AI8998">
        <v>96.107851236356098</v>
      </c>
      <c r="AJ8998">
        <v>59.276318319060401</v>
      </c>
      <c r="AK8998">
        <v>10.4050206845909</v>
      </c>
      <c r="AL8998">
        <v>96.262404949695394</v>
      </c>
      <c r="AM8998">
        <v>68.003558684380494</v>
      </c>
      <c r="AN8998">
        <v>1.0000000672084399</v>
      </c>
    </row>
    <row r="8999" spans="1:40" x14ac:dyDescent="0.25">
      <c r="A8999" t="str">
        <f>"20190303154354377"</f>
        <v>20190303154354377</v>
      </c>
      <c r="B8999" t="str">
        <f>"1551599034368717"</f>
        <v>1551599034368717</v>
      </c>
      <c r="C8999" t="s">
        <v>40</v>
      </c>
      <c r="D8999">
        <v>5.7560169999999999</v>
      </c>
      <c r="E8999">
        <v>0.5530661</v>
      </c>
      <c r="F8999" t="s">
        <v>41</v>
      </c>
      <c r="G8999">
        <v>-169.74279999999999</v>
      </c>
      <c r="H8999" s="1">
        <v>-1.5873320000000001E-6</v>
      </c>
      <c r="I8999">
        <v>133.96250000000001</v>
      </c>
      <c r="J8999">
        <v>-180.07079999999999</v>
      </c>
      <c r="K8999">
        <v>1.107164</v>
      </c>
      <c r="L8999">
        <v>134.2482</v>
      </c>
      <c r="M8999">
        <v>0.87744709999999904</v>
      </c>
      <c r="N8999">
        <v>-1.8325060000000001E-2</v>
      </c>
      <c r="O8999">
        <v>0.47932330000000001</v>
      </c>
      <c r="P8999">
        <v>0.9862303</v>
      </c>
      <c r="Q8999">
        <v>-0.1137524</v>
      </c>
      <c r="R8999">
        <v>0.1200421</v>
      </c>
      <c r="S8999">
        <v>3.0159150000000001</v>
      </c>
      <c r="T8999">
        <v>-0.31847350000000002</v>
      </c>
      <c r="U8999">
        <v>-6.2454219999999998E-2</v>
      </c>
      <c r="V8999">
        <v>0.36402109999999999</v>
      </c>
      <c r="W8999">
        <v>-0.109019</v>
      </c>
      <c r="X8999">
        <v>0.92498840000000004</v>
      </c>
      <c r="Y8999">
        <v>0.49262830000000002</v>
      </c>
      <c r="Z8999">
        <v>-7.0308869999999996E-2</v>
      </c>
      <c r="AA8999">
        <v>0.86739500000000003</v>
      </c>
      <c r="AB8999">
        <v>23</v>
      </c>
      <c r="AC8999">
        <v>10.327999999999999</v>
      </c>
      <c r="AD8999">
        <v>-1.1071655873319901</v>
      </c>
      <c r="AE8999">
        <v>-0.28569999999999102</v>
      </c>
      <c r="AF8999">
        <v>5.1429538315283398</v>
      </c>
      <c r="AG8999">
        <v>-1.1071655873319901</v>
      </c>
      <c r="AH8999">
        <v>8.8254855005985995</v>
      </c>
      <c r="AI8999">
        <v>96.186134677249896</v>
      </c>
      <c r="AJ8999">
        <v>59.768980373598303</v>
      </c>
      <c r="AK8999">
        <v>10.2744821802502</v>
      </c>
      <c r="AL8999">
        <v>96.258768180504106</v>
      </c>
      <c r="AM8999">
        <v>68.518315285791203</v>
      </c>
      <c r="AN8999">
        <v>1.00000002187038</v>
      </c>
    </row>
    <row r="9000" spans="1:40" x14ac:dyDescent="0.25">
      <c r="A9000" t="str">
        <f>"20190303154354399"</f>
        <v>20190303154354399</v>
      </c>
      <c r="B9000" t="str">
        <f>"1551599034389213"</f>
        <v>1551599034389213</v>
      </c>
      <c r="C9000" t="s">
        <v>40</v>
      </c>
      <c r="D9000">
        <v>5.7440309999999997</v>
      </c>
      <c r="E9000">
        <v>0.55043450000000005</v>
      </c>
      <c r="F9000" t="s">
        <v>41</v>
      </c>
      <c r="G9000">
        <v>-169.75380000000001</v>
      </c>
      <c r="H9000" s="1">
        <v>-1.5612509999999999E-6</v>
      </c>
      <c r="I9000">
        <v>134.0446</v>
      </c>
      <c r="J9000">
        <v>-179.8552</v>
      </c>
      <c r="K9000">
        <v>1.107256</v>
      </c>
      <c r="L9000">
        <v>134.33750000000001</v>
      </c>
      <c r="M9000">
        <v>0.88780170000000003</v>
      </c>
      <c r="N9000">
        <v>-1.8301120000000001E-2</v>
      </c>
      <c r="O9000">
        <v>0.4598621</v>
      </c>
      <c r="P9000">
        <v>0.9873883</v>
      </c>
      <c r="Q9000">
        <v>-0.1152243</v>
      </c>
      <c r="R9000">
        <v>0.108570899999999</v>
      </c>
      <c r="S9000">
        <v>3.0118559999999999</v>
      </c>
      <c r="T9000">
        <v>-0.32321689999999997</v>
      </c>
      <c r="U9000">
        <v>-5.9448239999999999E-2</v>
      </c>
      <c r="V9000">
        <v>0.35428320000000002</v>
      </c>
      <c r="W9000">
        <v>-0.1100386</v>
      </c>
      <c r="X9000">
        <v>0.92864139999999995</v>
      </c>
      <c r="Y9000">
        <v>0.47255259999999999</v>
      </c>
      <c r="Z9000">
        <v>-6.8780090000000002E-2</v>
      </c>
      <c r="AA9000">
        <v>0.87861440000000002</v>
      </c>
      <c r="AB9000">
        <v>23</v>
      </c>
      <c r="AC9000">
        <v>10.1013999999999</v>
      </c>
      <c r="AD9000">
        <v>-1.1072575612510001</v>
      </c>
      <c r="AE9000">
        <v>-0.29290000000000299</v>
      </c>
      <c r="AF9000">
        <v>4.8479098551242501</v>
      </c>
      <c r="AG9000">
        <v>-1.1072575612510001</v>
      </c>
      <c r="AH9000">
        <v>8.7300208046195902</v>
      </c>
      <c r="AI9000">
        <v>96.327315202603799</v>
      </c>
      <c r="AJ9000">
        <v>60.9559373965878</v>
      </c>
      <c r="AK9000">
        <v>10.0469653388199</v>
      </c>
      <c r="AL9000">
        <v>96.3175409190886</v>
      </c>
      <c r="AM9000">
        <v>69.117796685740799</v>
      </c>
      <c r="AN9000">
        <v>0.99999996454307905</v>
      </c>
    </row>
    <row r="9001" spans="1:40" x14ac:dyDescent="0.25">
      <c r="A9001" t="str">
        <f>"20190303154354421"</f>
        <v>20190303154354421</v>
      </c>
      <c r="B9001" t="str">
        <f>"1551599034408732"</f>
        <v>1551599034408732</v>
      </c>
      <c r="C9001" t="s">
        <v>40</v>
      </c>
      <c r="D9001">
        <v>5.80307</v>
      </c>
      <c r="E9001">
        <v>0.54837709999999995</v>
      </c>
      <c r="F9001" t="s">
        <v>41</v>
      </c>
      <c r="G9001">
        <v>-169.80359999999999</v>
      </c>
      <c r="H9001" s="1">
        <v>-1.529734E-6</v>
      </c>
      <c r="I9001">
        <v>134.09119999999999</v>
      </c>
      <c r="J9001">
        <v>-179.6361</v>
      </c>
      <c r="K9001">
        <v>1.1073729999999999</v>
      </c>
      <c r="L9001">
        <v>134.42269999999999</v>
      </c>
      <c r="M9001">
        <v>0.89775649999999996</v>
      </c>
      <c r="N9001">
        <v>-1.8268949999999999E-2</v>
      </c>
      <c r="O9001">
        <v>0.44011309999999898</v>
      </c>
      <c r="P9001">
        <v>0.98858360000000001</v>
      </c>
      <c r="Q9001">
        <v>-0.1160692</v>
      </c>
      <c r="R9001">
        <v>9.6075980000000005E-2</v>
      </c>
      <c r="S9001">
        <v>3.007736</v>
      </c>
      <c r="T9001">
        <v>-0.33132410000000001</v>
      </c>
      <c r="U9001">
        <v>-7.369995E-2</v>
      </c>
      <c r="V9001">
        <v>0.34545199999999998</v>
      </c>
      <c r="W9001">
        <v>-0.1104666</v>
      </c>
      <c r="X9001">
        <v>0.93191210000000002</v>
      </c>
      <c r="Y9001">
        <v>0.45712829999999899</v>
      </c>
      <c r="Z9001">
        <v>-6.8154450000000005E-2</v>
      </c>
      <c r="AA9001">
        <v>0.88678559999999995</v>
      </c>
      <c r="AB9001">
        <v>22</v>
      </c>
      <c r="AC9001">
        <v>9.8325000000000102</v>
      </c>
      <c r="AD9001">
        <v>-1.1073745297340001</v>
      </c>
      <c r="AE9001">
        <v>-0.33150000000000501</v>
      </c>
      <c r="AF9001">
        <v>4.5679159557122802</v>
      </c>
      <c r="AG9001">
        <v>-1.1073745297340001</v>
      </c>
      <c r="AH9001">
        <v>8.5741104738272007</v>
      </c>
      <c r="AI9001">
        <v>96.502853303536</v>
      </c>
      <c r="AJ9001">
        <v>61.953235351990301</v>
      </c>
      <c r="AK9001">
        <v>9.7779090272382803</v>
      </c>
      <c r="AL9001">
        <v>96.342213334745097</v>
      </c>
      <c r="AM9001">
        <v>69.660679238295302</v>
      </c>
      <c r="AN9001">
        <v>1.00000005807298</v>
      </c>
    </row>
    <row r="9002" spans="1:40" x14ac:dyDescent="0.25">
      <c r="A9002" t="str">
        <f>"20190303154354443"</f>
        <v>20190303154354443</v>
      </c>
      <c r="B9002" t="str">
        <f>"1551599034439497"</f>
        <v>1551599034439497</v>
      </c>
      <c r="C9002" t="s">
        <v>40</v>
      </c>
      <c r="D9002">
        <v>5.7622179999999998</v>
      </c>
      <c r="E9002">
        <v>0.54647730000000005</v>
      </c>
      <c r="F9002" t="s">
        <v>41</v>
      </c>
      <c r="G9002">
        <v>-169.74250000000001</v>
      </c>
      <c r="H9002" s="1">
        <v>-1.5486369999999901E-6</v>
      </c>
      <c r="I9002">
        <v>134.10830000000001</v>
      </c>
      <c r="J9002">
        <v>-179.42529999999999</v>
      </c>
      <c r="K9002">
        <v>1.1074999999999999</v>
      </c>
      <c r="L9002">
        <v>134.49959999999999</v>
      </c>
      <c r="M9002">
        <v>0.90680039999999995</v>
      </c>
      <c r="N9002">
        <v>-1.822934E-2</v>
      </c>
      <c r="O9002">
        <v>0.42116589999999998</v>
      </c>
      <c r="P9002">
        <v>0.98959419999999998</v>
      </c>
      <c r="Q9002">
        <v>-0.1171726</v>
      </c>
      <c r="R9002">
        <v>8.3512660000000002E-2</v>
      </c>
      <c r="S9002">
        <v>3.0044249999999999</v>
      </c>
      <c r="T9002">
        <v>-0.33627889999999999</v>
      </c>
      <c r="U9002">
        <v>-9.5458979999999999E-2</v>
      </c>
      <c r="V9002">
        <v>0.33767069999999999</v>
      </c>
      <c r="W9002">
        <v>-0.11119809999999999</v>
      </c>
      <c r="X9002">
        <v>0.93467299999999998</v>
      </c>
      <c r="Y9002">
        <v>0.44488749999999999</v>
      </c>
      <c r="Z9002">
        <v>-6.6964919999999997E-2</v>
      </c>
      <c r="AA9002">
        <v>0.89307939999999997</v>
      </c>
      <c r="AB9002">
        <v>22</v>
      </c>
      <c r="AC9002">
        <v>9.6827999999999808</v>
      </c>
      <c r="AD9002">
        <v>-1.1075015486369999</v>
      </c>
      <c r="AE9002">
        <v>-0.391299999999972</v>
      </c>
      <c r="AF9002">
        <v>4.3764716113449396</v>
      </c>
      <c r="AG9002">
        <v>-1.1075015486369999</v>
      </c>
      <c r="AH9002">
        <v>8.5059006206909302</v>
      </c>
      <c r="AI9002">
        <v>96.604165961789704</v>
      </c>
      <c r="AJ9002">
        <v>62.773190431015998</v>
      </c>
      <c r="AK9002">
        <v>9.6296629647258101</v>
      </c>
      <c r="AL9002">
        <v>96.384384947066806</v>
      </c>
      <c r="AM9002">
        <v>70.136657445355894</v>
      </c>
      <c r="AN9002">
        <v>1.0000000680055401</v>
      </c>
    </row>
    <row r="9003" spans="1:40" x14ac:dyDescent="0.25">
      <c r="A9003" t="str">
        <f>"20190303154354465"</f>
        <v>20190303154354465</v>
      </c>
      <c r="B9003" t="str">
        <f>"1551599034459021"</f>
        <v>1551599034459021</v>
      </c>
      <c r="C9003" t="s">
        <v>40</v>
      </c>
      <c r="D9003">
        <v>5.7774229999999998</v>
      </c>
      <c r="E9003">
        <v>0.54587379999999996</v>
      </c>
      <c r="F9003" t="s">
        <v>41</v>
      </c>
      <c r="G9003">
        <v>-169.74879999999999</v>
      </c>
      <c r="H9003" s="1">
        <v>-1.5439839999999999E-6</v>
      </c>
      <c r="I9003">
        <v>134.11670000000001</v>
      </c>
      <c r="J9003">
        <v>-179.20160000000001</v>
      </c>
      <c r="K9003">
        <v>1.1076629999999901</v>
      </c>
      <c r="L9003">
        <v>134.57589999999999</v>
      </c>
      <c r="M9003">
        <v>0.91582669999999999</v>
      </c>
      <c r="N9003">
        <v>-1.8175239999999999E-2</v>
      </c>
      <c r="O9003">
        <v>0.40116220000000002</v>
      </c>
      <c r="P9003">
        <v>0.99079300000000003</v>
      </c>
      <c r="Q9003">
        <v>-0.1173664</v>
      </c>
      <c r="R9003">
        <v>6.7485820000000002E-2</v>
      </c>
      <c r="S9003">
        <v>3.0009000000000001</v>
      </c>
      <c r="T9003">
        <v>-0.34345969999999998</v>
      </c>
      <c r="U9003">
        <v>-0.1187286</v>
      </c>
      <c r="V9003">
        <v>0.33231870000000002</v>
      </c>
      <c r="W9003">
        <v>-0.1111017</v>
      </c>
      <c r="X9003">
        <v>0.93660060000000001</v>
      </c>
      <c r="Y9003">
        <v>0.43212319999999999</v>
      </c>
      <c r="Z9003">
        <v>-6.5999249999999995E-2</v>
      </c>
      <c r="AA9003">
        <v>0.89939619999999998</v>
      </c>
      <c r="AB9003">
        <v>22</v>
      </c>
      <c r="AC9003">
        <v>9.4528000000000194</v>
      </c>
      <c r="AD9003">
        <v>-1.1076645439839901</v>
      </c>
      <c r="AE9003">
        <v>-0.45919999999998101</v>
      </c>
      <c r="AF9003">
        <v>4.1564131702473901</v>
      </c>
      <c r="AG9003">
        <v>-1.1076645439839901</v>
      </c>
      <c r="AH9003">
        <v>8.3597964056947696</v>
      </c>
      <c r="AI9003">
        <v>96.766155006937197</v>
      </c>
      <c r="AJ9003">
        <v>63.563861506727498</v>
      </c>
      <c r="AK9003">
        <v>9.4015364238230994</v>
      </c>
      <c r="AL9003">
        <v>96.378827664064204</v>
      </c>
      <c r="AM9003">
        <v>70.464619095024204</v>
      </c>
      <c r="AN9003">
        <v>0.99999999501646997</v>
      </c>
    </row>
    <row r="9004" spans="1:40" x14ac:dyDescent="0.25">
      <c r="A9004" t="str">
        <f>"20190303154354481"</f>
        <v>20190303154354481</v>
      </c>
      <c r="B9004" t="str">
        <f>"1551599034468778"</f>
        <v>1551599034468778</v>
      </c>
      <c r="C9004" t="s">
        <v>40</v>
      </c>
      <c r="D9004">
        <v>5.7894889999999997</v>
      </c>
      <c r="E9004">
        <v>0.54557040000000001</v>
      </c>
      <c r="F9004" t="s">
        <v>41</v>
      </c>
      <c r="G9004">
        <v>-169.60429999999999</v>
      </c>
      <c r="H9004" s="1">
        <v>-1.6157189999999999E-6</v>
      </c>
      <c r="I9004">
        <v>134.0557</v>
      </c>
      <c r="J9004">
        <v>-179.048</v>
      </c>
      <c r="K9004">
        <v>1.1077969999999999</v>
      </c>
      <c r="L9004">
        <v>134.62540000000001</v>
      </c>
      <c r="M9004">
        <v>0.92168430000000001</v>
      </c>
      <c r="N9004">
        <v>-1.8129559999999999E-2</v>
      </c>
      <c r="O9004">
        <v>0.38751720000000001</v>
      </c>
      <c r="P9004">
        <v>0.99148080000000005</v>
      </c>
      <c r="Q9004">
        <v>-0.1178767</v>
      </c>
      <c r="R9004">
        <v>5.5419499999999997E-2</v>
      </c>
      <c r="S9004">
        <v>2.9979550000000001</v>
      </c>
      <c r="T9004">
        <v>-0.3460048</v>
      </c>
      <c r="U9004">
        <v>-0.16249079999999999</v>
      </c>
      <c r="V9004">
        <v>0.32981120000000003</v>
      </c>
      <c r="W9004">
        <v>-0.1114512</v>
      </c>
      <c r="X9004">
        <v>0.93744499999999997</v>
      </c>
      <c r="Y9004">
        <v>0.43186570000000002</v>
      </c>
      <c r="Z9004">
        <v>-6.5380880000000002E-2</v>
      </c>
      <c r="AA9004">
        <v>0.89956510000000001</v>
      </c>
      <c r="AB9004">
        <v>22</v>
      </c>
      <c r="AC9004">
        <v>9.4436999999999998</v>
      </c>
      <c r="AD9004">
        <v>-1.1077986157189901</v>
      </c>
      <c r="AE9004">
        <v>-0.56970000000001098</v>
      </c>
      <c r="AF9004">
        <v>4.1287589908337701</v>
      </c>
      <c r="AG9004">
        <v>-1.1077986157189901</v>
      </c>
      <c r="AH9004">
        <v>8.3699768368387399</v>
      </c>
      <c r="AI9004">
        <v>96.769229002568295</v>
      </c>
      <c r="AJ9004">
        <v>63.743705548967199</v>
      </c>
      <c r="AK9004">
        <v>9.3984243800009803</v>
      </c>
      <c r="AL9004">
        <v>96.398977887928993</v>
      </c>
      <c r="AM9004">
        <v>70.617146336522197</v>
      </c>
      <c r="AN9004">
        <v>0.99999996282593895</v>
      </c>
    </row>
    <row r="9005" spans="1:40" x14ac:dyDescent="0.25">
      <c r="A9005" t="str">
        <f>"20190303154354499"</f>
        <v>20190303154354499</v>
      </c>
      <c r="B9005" t="str">
        <f>"1551599034489274"</f>
        <v>1551599034489274</v>
      </c>
      <c r="C9005" t="s">
        <v>40</v>
      </c>
      <c r="D9005">
        <v>5.7951249999999996</v>
      </c>
      <c r="E9005">
        <v>0.54492469999999904</v>
      </c>
      <c r="F9005" t="s">
        <v>41</v>
      </c>
      <c r="G9005">
        <v>-169.5008</v>
      </c>
      <c r="H9005" s="1">
        <v>-1.6705189999999901E-6</v>
      </c>
      <c r="I9005">
        <v>133.9991</v>
      </c>
      <c r="J9005">
        <v>-178.87049999999999</v>
      </c>
      <c r="K9005">
        <v>1.1079760000000001</v>
      </c>
      <c r="L9005">
        <v>134.67959999999999</v>
      </c>
      <c r="M9005">
        <v>0.92810389999999998</v>
      </c>
      <c r="N9005">
        <v>-1.806572E-2</v>
      </c>
      <c r="O9005">
        <v>0.37188300000000002</v>
      </c>
      <c r="P9005">
        <v>0.99201269999999997</v>
      </c>
      <c r="Q9005">
        <v>-0.1182515</v>
      </c>
      <c r="R9005">
        <v>4.3905899999999998E-2</v>
      </c>
      <c r="S9005">
        <v>2.995422</v>
      </c>
      <c r="T9005">
        <v>-0.34756959999999998</v>
      </c>
      <c r="U9005">
        <v>-0.19648740000000001</v>
      </c>
      <c r="V9005">
        <v>0.324876</v>
      </c>
      <c r="W9005">
        <v>-0.1115522</v>
      </c>
      <c r="X9005">
        <v>0.93915479999999996</v>
      </c>
      <c r="Y9005">
        <v>0.42691170000000001</v>
      </c>
      <c r="Z9005">
        <v>-6.4027470000000003E-2</v>
      </c>
      <c r="AA9005">
        <v>0.90202380000000004</v>
      </c>
      <c r="AB9005">
        <v>22</v>
      </c>
      <c r="AC9005">
        <v>9.3696999999999893</v>
      </c>
      <c r="AD9005">
        <v>-1.1079776705190001</v>
      </c>
      <c r="AE9005">
        <v>-0.680499999999994</v>
      </c>
      <c r="AF9005">
        <v>4.0602010723895798</v>
      </c>
      <c r="AG9005">
        <v>-1.1079776705190001</v>
      </c>
      <c r="AH9005">
        <v>8.3285167285305093</v>
      </c>
      <c r="AI9005">
        <v>96.819108203886898</v>
      </c>
      <c r="AJ9005">
        <v>64.010493122435193</v>
      </c>
      <c r="AK9005">
        <v>9.3315078183546891</v>
      </c>
      <c r="AL9005">
        <v>96.404800683414393</v>
      </c>
      <c r="AM9005">
        <v>70.918279008279896</v>
      </c>
      <c r="AN9005">
        <v>1.00000002353193</v>
      </c>
    </row>
    <row r="9006" spans="1:40" x14ac:dyDescent="0.25">
      <c r="A9006" t="str">
        <f>"20190303154354521"</f>
        <v>20190303154354521</v>
      </c>
      <c r="B9006" t="str">
        <f>"1551599034508794"</f>
        <v>1551599034508794</v>
      </c>
      <c r="C9006" t="s">
        <v>40</v>
      </c>
      <c r="D9006">
        <v>5.79061</v>
      </c>
      <c r="E9006">
        <v>0.54414899999999999</v>
      </c>
      <c r="F9006" t="s">
        <v>41</v>
      </c>
      <c r="G9006">
        <v>-169.36359999999999</v>
      </c>
      <c r="H9006" s="1">
        <v>-1.7332289999999999E-6</v>
      </c>
      <c r="I9006">
        <v>133.9614</v>
      </c>
      <c r="J9006">
        <v>-178.65119999999999</v>
      </c>
      <c r="K9006">
        <v>1.1082529999999999</v>
      </c>
      <c r="L9006">
        <v>134.74209999999999</v>
      </c>
      <c r="M9006">
        <v>0.935504</v>
      </c>
      <c r="N9006">
        <v>-1.7965950000000001E-2</v>
      </c>
      <c r="O9006">
        <v>0.35285919999999998</v>
      </c>
      <c r="P9006">
        <v>0.99233850000000001</v>
      </c>
      <c r="Q9006">
        <v>-0.1191767</v>
      </c>
      <c r="R9006">
        <v>3.2583729999999998E-2</v>
      </c>
      <c r="S9006">
        <v>2.9925839999999999</v>
      </c>
      <c r="T9006">
        <v>-0.34877039999999998</v>
      </c>
      <c r="U9006">
        <v>-0.2260742</v>
      </c>
      <c r="V9006">
        <v>0.31643369999999998</v>
      </c>
      <c r="W9006">
        <v>-0.1120396</v>
      </c>
      <c r="X9006">
        <v>0.94197500000000001</v>
      </c>
      <c r="Y9006">
        <v>0.41750979999999999</v>
      </c>
      <c r="Z9006">
        <v>-6.196807E-2</v>
      </c>
      <c r="AA9006">
        <v>0.90655699999999995</v>
      </c>
      <c r="AB9006">
        <v>22</v>
      </c>
      <c r="AC9006">
        <v>9.2875999999999905</v>
      </c>
      <c r="AD9006">
        <v>-1.108254733229</v>
      </c>
      <c r="AE9006">
        <v>-0.78069999999999595</v>
      </c>
      <c r="AF9006">
        <v>3.9523283475299</v>
      </c>
      <c r="AG9006">
        <v>-1.108254733229</v>
      </c>
      <c r="AH9006">
        <v>8.2971550524342597</v>
      </c>
      <c r="AI9006">
        <v>96.875990601232402</v>
      </c>
      <c r="AJ9006">
        <v>64.5293256240452</v>
      </c>
      <c r="AK9006">
        <v>9.2569924859291302</v>
      </c>
      <c r="AL9006">
        <v>96.432902774060906</v>
      </c>
      <c r="AM9006">
        <v>71.431471948908595</v>
      </c>
      <c r="AN9006">
        <v>1.00000002954442</v>
      </c>
    </row>
    <row r="9007" spans="1:40" x14ac:dyDescent="0.25">
      <c r="A9007" t="str">
        <f>"20190303154354543"</f>
        <v>20190303154354543</v>
      </c>
      <c r="B9007" t="str">
        <f>"1551599034539049"</f>
        <v>1551599034539049</v>
      </c>
      <c r="C9007" t="s">
        <v>40</v>
      </c>
      <c r="D9007">
        <v>5.8007540000000004</v>
      </c>
      <c r="E9007">
        <v>0.53110429999999997</v>
      </c>
      <c r="F9007" t="s">
        <v>41</v>
      </c>
      <c r="G9007">
        <v>-169.24789999999999</v>
      </c>
      <c r="H9007" s="1">
        <v>-1.7826370000000001E-6</v>
      </c>
      <c r="I9007">
        <v>133.9426</v>
      </c>
      <c r="J9007">
        <v>-178.42679999999999</v>
      </c>
      <c r="K9007">
        <v>1.108582</v>
      </c>
      <c r="L9007">
        <v>134.80160000000001</v>
      </c>
      <c r="M9007">
        <v>0.94249970000000005</v>
      </c>
      <c r="N9007">
        <v>-1.7843189999999998E-2</v>
      </c>
      <c r="O9007">
        <v>0.33373019999999998</v>
      </c>
      <c r="P9007">
        <v>0.99250320000000003</v>
      </c>
      <c r="Q9007">
        <v>-0.121005</v>
      </c>
      <c r="R9007">
        <v>1.7176250000000001E-2</v>
      </c>
      <c r="S9007">
        <v>2.9891969999999999</v>
      </c>
      <c r="T9007">
        <v>-0.35230060000000002</v>
      </c>
      <c r="U9007">
        <v>-0.2541351</v>
      </c>
      <c r="V9007">
        <v>0.31183450000000001</v>
      </c>
      <c r="W9007">
        <v>-0.1135621</v>
      </c>
      <c r="X9007">
        <v>0.94332550000000004</v>
      </c>
      <c r="Y9007">
        <v>0.4076013</v>
      </c>
      <c r="Z9007">
        <v>-6.0244310000000002E-2</v>
      </c>
      <c r="AA9007">
        <v>0.91117049999999999</v>
      </c>
      <c r="AB9007">
        <v>22</v>
      </c>
      <c r="AC9007">
        <v>9.1789000000000005</v>
      </c>
      <c r="AD9007">
        <v>-1.108583782637</v>
      </c>
      <c r="AE9007">
        <v>-0.85900000000000798</v>
      </c>
      <c r="AF9007">
        <v>3.81828771792989</v>
      </c>
      <c r="AG9007">
        <v>-1.108583782637</v>
      </c>
      <c r="AH9007">
        <v>8.24652361689553</v>
      </c>
      <c r="AI9007">
        <v>96.955068981066105</v>
      </c>
      <c r="AJ9007">
        <v>65.155020747501396</v>
      </c>
      <c r="AK9007">
        <v>9.1549675512278998</v>
      </c>
      <c r="AL9007">
        <v>96.520695784222795</v>
      </c>
      <c r="AM9007">
        <v>71.707697141901903</v>
      </c>
      <c r="AN9007">
        <v>1.00000005244845</v>
      </c>
    </row>
    <row r="9008" spans="1:40" x14ac:dyDescent="0.25">
      <c r="A9008" t="str">
        <f>"20190303154354566"</f>
        <v>20190303154354566</v>
      </c>
      <c r="B9008" t="str">
        <f>"1551599034559549"</f>
        <v>1551599034559549</v>
      </c>
      <c r="C9008" t="s">
        <v>40</v>
      </c>
      <c r="D9008">
        <v>5.8357539999999997</v>
      </c>
      <c r="E9008">
        <v>0.52999819999999997</v>
      </c>
      <c r="F9008" t="s">
        <v>41</v>
      </c>
      <c r="G9008">
        <v>-169.0308</v>
      </c>
      <c r="H9008" s="1">
        <v>-1.801989E-6</v>
      </c>
      <c r="I9008">
        <v>134.1833</v>
      </c>
      <c r="J9008">
        <v>-178.19810000000001</v>
      </c>
      <c r="K9008">
        <v>1.1089560000000001</v>
      </c>
      <c r="L9008">
        <v>134.8578</v>
      </c>
      <c r="M9008">
        <v>0.94904049999999995</v>
      </c>
      <c r="N9008">
        <v>-1.770043E-2</v>
      </c>
      <c r="O9008">
        <v>0.3146564</v>
      </c>
      <c r="P9008">
        <v>0.99242030000000003</v>
      </c>
      <c r="Q9008">
        <v>-0.122863899999999</v>
      </c>
      <c r="R9008">
        <v>2.5193680000000001E-3</v>
      </c>
      <c r="S9008">
        <v>2.983139</v>
      </c>
      <c r="T9008">
        <v>-0.35196509999999998</v>
      </c>
      <c r="U9008">
        <v>-0.19631960000000001</v>
      </c>
      <c r="V9008">
        <v>0.30672569999999999</v>
      </c>
      <c r="W9008">
        <v>-0.1150853</v>
      </c>
      <c r="X9008">
        <v>0.94481459999999995</v>
      </c>
      <c r="Y9008">
        <v>0.37187330000000002</v>
      </c>
      <c r="Z9008">
        <v>-5.6109819999999998E-2</v>
      </c>
      <c r="AA9008">
        <v>0.92658620000000003</v>
      </c>
      <c r="AB9008">
        <v>22</v>
      </c>
      <c r="AC9008">
        <v>9.1673000000000098</v>
      </c>
      <c r="AD9008">
        <v>-1.1089578019890001</v>
      </c>
      <c r="AE9008">
        <v>-0.67449999999999399</v>
      </c>
      <c r="AF9008">
        <v>3.4746575187401798</v>
      </c>
      <c r="AG9008">
        <v>-1.1089578019890001</v>
      </c>
      <c r="AH9008">
        <v>8.3674484688900197</v>
      </c>
      <c r="AI9008">
        <v>96.978216956099502</v>
      </c>
      <c r="AJ9008">
        <v>67.448896237640795</v>
      </c>
      <c r="AK9008">
        <v>9.1278270228274891</v>
      </c>
      <c r="AL9008">
        <v>96.608545344519897</v>
      </c>
      <c r="AM9008">
        <v>72.014436611862607</v>
      </c>
      <c r="AN9008">
        <v>0.99999995484486803</v>
      </c>
    </row>
    <row r="9009" spans="1:40" x14ac:dyDescent="0.25">
      <c r="A9009" t="str">
        <f>"20190303154354587"</f>
        <v>20190303154354587</v>
      </c>
      <c r="B9009" t="str">
        <f>"1551599034579065"</f>
        <v>1551599034579065</v>
      </c>
      <c r="C9009" t="s">
        <v>40</v>
      </c>
      <c r="D9009">
        <v>5.8334260000000002</v>
      </c>
      <c r="E9009">
        <v>0.52915000000000001</v>
      </c>
      <c r="F9009" t="s">
        <v>41</v>
      </c>
      <c r="G9009">
        <v>-169.0882</v>
      </c>
      <c r="H9009" s="1">
        <v>-1.7889890000000001E-6</v>
      </c>
      <c r="I9009">
        <v>134.14940000000001</v>
      </c>
      <c r="J9009">
        <v>-177.9794</v>
      </c>
      <c r="K9009">
        <v>1.109367</v>
      </c>
      <c r="L9009">
        <v>134.90770000000001</v>
      </c>
      <c r="M9009">
        <v>0.9547504</v>
      </c>
      <c r="N9009">
        <v>-1.754826E-2</v>
      </c>
      <c r="O9009">
        <v>0.2968903</v>
      </c>
      <c r="P9009">
        <v>0.99229040000000002</v>
      </c>
      <c r="Q9009">
        <v>-0.1235009</v>
      </c>
      <c r="R9009">
        <v>-1.035086E-2</v>
      </c>
      <c r="S9009">
        <v>2.9786069999999998</v>
      </c>
      <c r="T9009">
        <v>-0.36258600000000002</v>
      </c>
      <c r="U9009">
        <v>-0.23162840000000001</v>
      </c>
      <c r="V9009">
        <v>0.3014249</v>
      </c>
      <c r="W9009">
        <v>-0.1153753</v>
      </c>
      <c r="X9009">
        <v>0.94648379999999999</v>
      </c>
      <c r="Y9009">
        <v>0.36543910000000002</v>
      </c>
      <c r="Z9009">
        <v>-5.576271E-2</v>
      </c>
      <c r="AA9009">
        <v>0.92916350000000003</v>
      </c>
      <c r="AB9009">
        <v>22</v>
      </c>
      <c r="AC9009">
        <v>8.8911999999999907</v>
      </c>
      <c r="AD9009">
        <v>-1.109368788989</v>
      </c>
      <c r="AE9009">
        <v>-0.75829999999999098</v>
      </c>
      <c r="AF9009">
        <v>3.3130117797593899</v>
      </c>
      <c r="AG9009">
        <v>-1.109368788989</v>
      </c>
      <c r="AH9009">
        <v>8.1392211370607601</v>
      </c>
      <c r="AI9009">
        <v>97.195053041194797</v>
      </c>
      <c r="AJ9009">
        <v>67.851570580425701</v>
      </c>
      <c r="AK9009">
        <v>8.8574074582116893</v>
      </c>
      <c r="AL9009">
        <v>96.625272197972194</v>
      </c>
      <c r="AM9009">
        <v>72.334982077369602</v>
      </c>
      <c r="AN9009">
        <v>1.00000000692627</v>
      </c>
    </row>
    <row r="9010" spans="1:40" x14ac:dyDescent="0.25">
      <c r="A9010" t="str">
        <f>"20190303154354611"</f>
        <v>20190303154354611</v>
      </c>
      <c r="B9010" t="str">
        <f>"1551599034599561"</f>
        <v>1551599034599561</v>
      </c>
      <c r="C9010" t="s">
        <v>40</v>
      </c>
      <c r="D9010">
        <v>5.7944879999999896</v>
      </c>
      <c r="E9010">
        <v>0.5284508</v>
      </c>
      <c r="F9010" t="s">
        <v>41</v>
      </c>
      <c r="G9010">
        <v>-168.84309999999999</v>
      </c>
      <c r="H9010" s="1">
        <v>-1.8965529999999999E-6</v>
      </c>
      <c r="I9010">
        <v>134.09880000000001</v>
      </c>
      <c r="J9010">
        <v>-177.75069999999999</v>
      </c>
      <c r="K9010">
        <v>1.1098410000000001</v>
      </c>
      <c r="L9010">
        <v>134.95599999999999</v>
      </c>
      <c r="M9010">
        <v>0.96016619999999997</v>
      </c>
      <c r="N9010">
        <v>-1.7371999999999999E-2</v>
      </c>
      <c r="O9010">
        <v>0.2788892</v>
      </c>
      <c r="P9010">
        <v>0.99229440000000002</v>
      </c>
      <c r="Q9010">
        <v>-0.1219573</v>
      </c>
      <c r="R9010">
        <v>-2.1867259999999999E-2</v>
      </c>
      <c r="S9010">
        <v>2.9755859999999998</v>
      </c>
      <c r="T9010">
        <v>-0.36130820000000002</v>
      </c>
      <c r="U9010">
        <v>-0.26345829999999998</v>
      </c>
      <c r="V9010">
        <v>0.29485020000000001</v>
      </c>
      <c r="W9010">
        <v>-0.1134259</v>
      </c>
      <c r="X9010">
        <v>0.94878759999999995</v>
      </c>
      <c r="Y9010">
        <v>0.35807929999999999</v>
      </c>
      <c r="Z9010">
        <v>-5.3329750000000002E-2</v>
      </c>
      <c r="AA9010">
        <v>0.93216690000000002</v>
      </c>
      <c r="AB9010">
        <v>22</v>
      </c>
      <c r="AC9010">
        <v>8.9076000000000004</v>
      </c>
      <c r="AD9010">
        <v>-1.1098428965530001</v>
      </c>
      <c r="AE9010">
        <v>-0.85720000000000596</v>
      </c>
      <c r="AF9010">
        <v>3.2576789552504</v>
      </c>
      <c r="AG9010">
        <v>-1.1098428965530001</v>
      </c>
      <c r="AH9010">
        <v>8.1890078597930795</v>
      </c>
      <c r="AI9010">
        <v>97.177461886476394</v>
      </c>
      <c r="AJ9010">
        <v>68.306783786516107</v>
      </c>
      <c r="AK9010">
        <v>8.8827964717347605</v>
      </c>
      <c r="AL9010">
        <v>96.512841741110293</v>
      </c>
      <c r="AM9010">
        <v>72.736571880745203</v>
      </c>
      <c r="AN9010">
        <v>0.99999999257230499</v>
      </c>
    </row>
    <row r="9011" spans="1:40" x14ac:dyDescent="0.25">
      <c r="A9011" t="str">
        <f>"20190303154354632"</f>
        <v>20190303154354632</v>
      </c>
      <c r="B9011" t="str">
        <f>"1551599034628841"</f>
        <v>1551599034628841</v>
      </c>
      <c r="C9011" t="s">
        <v>40</v>
      </c>
      <c r="D9011">
        <v>5.7329220000000003</v>
      </c>
      <c r="E9011">
        <v>0.5314584</v>
      </c>
      <c r="F9011" t="s">
        <v>41</v>
      </c>
      <c r="G9011">
        <v>-168.53960000000001</v>
      </c>
      <c r="H9011" s="1">
        <v>-2.0261360000000001E-6</v>
      </c>
      <c r="I9011">
        <v>134.04990000000001</v>
      </c>
      <c r="J9011">
        <v>-177.53</v>
      </c>
      <c r="K9011">
        <v>1.110344</v>
      </c>
      <c r="L9011">
        <v>134.9992</v>
      </c>
      <c r="M9011">
        <v>0.96486839999999996</v>
      </c>
      <c r="N9011">
        <v>-1.7185229999999999E-2</v>
      </c>
      <c r="O9011">
        <v>0.26217069999999998</v>
      </c>
      <c r="P9011">
        <v>0.99246619999999997</v>
      </c>
      <c r="Q9011">
        <v>-0.11887780000000001</v>
      </c>
      <c r="R9011">
        <v>-2.964261E-2</v>
      </c>
      <c r="S9011">
        <v>2.9728240000000001</v>
      </c>
      <c r="T9011">
        <v>-0.3581955</v>
      </c>
      <c r="U9011">
        <v>-0.29246519999999998</v>
      </c>
      <c r="V9011">
        <v>0.28612520000000002</v>
      </c>
      <c r="W9011">
        <v>-0.1098821</v>
      </c>
      <c r="X9011">
        <v>0.95187089999999996</v>
      </c>
      <c r="Y9011">
        <v>0.35118280000000002</v>
      </c>
      <c r="Z9011">
        <v>-5.0781989999999999E-2</v>
      </c>
      <c r="AA9011">
        <v>0.9349288</v>
      </c>
      <c r="AB9011">
        <v>22</v>
      </c>
      <c r="AC9011">
        <v>8.9903999999999904</v>
      </c>
      <c r="AD9011">
        <v>-1.1103460261360001</v>
      </c>
      <c r="AE9011">
        <v>-0.94929999999999304</v>
      </c>
      <c r="AF9011">
        <v>3.2248067231847699</v>
      </c>
      <c r="AG9011">
        <v>-1.1103460261360001</v>
      </c>
      <c r="AH9011">
        <v>8.3016889520832304</v>
      </c>
      <c r="AI9011">
        <v>97.106594833723406</v>
      </c>
      <c r="AJ9011">
        <v>68.771246937896095</v>
      </c>
      <c r="AK9011">
        <v>8.9749811229213492</v>
      </c>
      <c r="AL9011">
        <v>96.308519463356703</v>
      </c>
      <c r="AM9011">
        <v>73.269619076844094</v>
      </c>
      <c r="AN9011">
        <v>0.99999995812112896</v>
      </c>
    </row>
    <row r="9012" spans="1:40" x14ac:dyDescent="0.25">
      <c r="A9012" t="str">
        <f>"20190303154354655"</f>
        <v>20190303154354655</v>
      </c>
      <c r="B9012" t="str">
        <f>"1551599034649337"</f>
        <v>1551599034649337</v>
      </c>
      <c r="C9012" t="s">
        <v>40</v>
      </c>
      <c r="D9012">
        <v>5.7571180000000002</v>
      </c>
      <c r="E9012">
        <v>0.529120699999999</v>
      </c>
      <c r="F9012" t="s">
        <v>41</v>
      </c>
      <c r="G9012">
        <v>-163.50739999999999</v>
      </c>
      <c r="H9012" s="1">
        <v>-4.1500199999999998E-6</v>
      </c>
      <c r="I9012">
        <v>133.41239999999999</v>
      </c>
      <c r="J9012">
        <v>-177.30160000000001</v>
      </c>
      <c r="K9012">
        <v>1.1108659999999999</v>
      </c>
      <c r="L9012">
        <v>135.04060000000001</v>
      </c>
      <c r="M9012">
        <v>0.9692404</v>
      </c>
      <c r="N9012">
        <v>-1.6981619999999999E-2</v>
      </c>
      <c r="O9012">
        <v>0.2455299</v>
      </c>
      <c r="P9012">
        <v>0.99240390000000001</v>
      </c>
      <c r="Q9012">
        <v>-0.1175267</v>
      </c>
      <c r="R9012">
        <v>-3.6362609999999997E-2</v>
      </c>
      <c r="S9012">
        <v>2.984375</v>
      </c>
      <c r="T9012">
        <v>-0.23631179999999999</v>
      </c>
      <c r="U9012">
        <v>-0.33772279999999999</v>
      </c>
      <c r="V9012">
        <v>0.27640910000000002</v>
      </c>
      <c r="W9012">
        <v>-0.1080617</v>
      </c>
      <c r="X9012">
        <v>0.95494540000000006</v>
      </c>
      <c r="Y9012">
        <v>0.3512245</v>
      </c>
      <c r="Z9012">
        <v>-3.1934509999999999E-2</v>
      </c>
      <c r="AA9012">
        <v>0.93574650000000004</v>
      </c>
      <c r="AB9012">
        <v>22</v>
      </c>
      <c r="AC9012">
        <v>13.7942</v>
      </c>
      <c r="AD9012">
        <v>-1.11087015002</v>
      </c>
      <c r="AE9012">
        <v>-1.6282000000000201</v>
      </c>
      <c r="AF9012">
        <v>4.9341610994037701</v>
      </c>
      <c r="AG9012">
        <v>-1.11087015002</v>
      </c>
      <c r="AH9012">
        <v>12.8895483744269</v>
      </c>
      <c r="AI9012">
        <v>94.601704511413303</v>
      </c>
      <c r="AJ9012">
        <v>69.052991309000703</v>
      </c>
      <c r="AK9012">
        <v>13.846314872259899</v>
      </c>
      <c r="AL9012">
        <v>96.203592973176896</v>
      </c>
      <c r="AM9012">
        <v>73.856904790416607</v>
      </c>
      <c r="AN9012">
        <v>1.0000000192754299</v>
      </c>
    </row>
    <row r="9013" spans="1:40" x14ac:dyDescent="0.25">
      <c r="A9013" t="str">
        <f>"20190303154354677"</f>
        <v>20190303154354677</v>
      </c>
      <c r="B9013" t="str">
        <f>"1551599034668861"</f>
        <v>1551599034668861</v>
      </c>
      <c r="C9013" t="s">
        <v>40</v>
      </c>
      <c r="D9013">
        <v>5.7870030000000003</v>
      </c>
      <c r="E9013">
        <v>0.52751289999999995</v>
      </c>
      <c r="F9013" t="s">
        <v>41</v>
      </c>
      <c r="G9013">
        <v>-163.7818</v>
      </c>
      <c r="H9013" s="1">
        <v>-4.0043820000000001E-6</v>
      </c>
      <c r="I9013">
        <v>133.50219999999999</v>
      </c>
      <c r="J9013">
        <v>-177.08179999999999</v>
      </c>
      <c r="K9013">
        <v>1.111351</v>
      </c>
      <c r="L9013">
        <v>135.07730000000001</v>
      </c>
      <c r="M9013">
        <v>0.97299959999999996</v>
      </c>
      <c r="N9013">
        <v>-1.6784090000000002E-2</v>
      </c>
      <c r="O9013">
        <v>0.23019600000000001</v>
      </c>
      <c r="P9013">
        <v>0.9921468</v>
      </c>
      <c r="Q9013">
        <v>-0.1179302</v>
      </c>
      <c r="R9013">
        <v>-4.167858E-2</v>
      </c>
      <c r="S9013">
        <v>2.9815369999999999</v>
      </c>
      <c r="T9013">
        <v>-0.24498249999999999</v>
      </c>
      <c r="U9013">
        <v>-0.33926390000000001</v>
      </c>
      <c r="V9013">
        <v>0.26655780000000001</v>
      </c>
      <c r="W9013">
        <v>-0.10804759999999999</v>
      </c>
      <c r="X9013">
        <v>0.95774349999999997</v>
      </c>
      <c r="Y9013">
        <v>0.336937599999999</v>
      </c>
      <c r="Z9013">
        <v>-3.1513039999999999E-2</v>
      </c>
      <c r="AA9013">
        <v>0.94099940000000004</v>
      </c>
      <c r="AB9013">
        <v>22</v>
      </c>
      <c r="AC9013">
        <v>13.299999999999899</v>
      </c>
      <c r="AD9013">
        <v>-1.111355004382</v>
      </c>
      <c r="AE9013">
        <v>-1.5751000000000199</v>
      </c>
      <c r="AF9013">
        <v>4.5634028048206199</v>
      </c>
      <c r="AG9013">
        <v>-1.111355004382</v>
      </c>
      <c r="AH9013">
        <v>12.494052858138099</v>
      </c>
      <c r="AI9013">
        <v>94.776085132415503</v>
      </c>
      <c r="AJ9013">
        <v>69.935481198897307</v>
      </c>
      <c r="AK9013">
        <v>13.347700623207</v>
      </c>
      <c r="AL9013">
        <v>96.202780600511204</v>
      </c>
      <c r="AM9013">
        <v>74.447127543468397</v>
      </c>
      <c r="AN9013">
        <v>0.99999997819942399</v>
      </c>
    </row>
    <row r="9014" spans="1:40" x14ac:dyDescent="0.25">
      <c r="A9014" t="str">
        <f>"20190303154354700"</f>
        <v>20190303154354700</v>
      </c>
      <c r="B9014" t="str">
        <f>"1551599034689353"</f>
        <v>1551599034689353</v>
      </c>
      <c r="C9014" t="s">
        <v>40</v>
      </c>
      <c r="D9014">
        <v>5.7990909999999998</v>
      </c>
      <c r="E9014">
        <v>0.52590570000000003</v>
      </c>
      <c r="F9014" t="s">
        <v>41</v>
      </c>
      <c r="G9014">
        <v>-164.05269999999999</v>
      </c>
      <c r="H9014" s="1">
        <v>-3.8745720000000002E-6</v>
      </c>
      <c r="I9014">
        <v>133.57859999999999</v>
      </c>
      <c r="J9014">
        <v>-176.8535</v>
      </c>
      <c r="K9014">
        <v>1.1117919999999999</v>
      </c>
      <c r="L9014">
        <v>135.1123</v>
      </c>
      <c r="M9014">
        <v>0.9764931</v>
      </c>
      <c r="N9014">
        <v>-1.6585639999999999E-2</v>
      </c>
      <c r="O9014">
        <v>0.2149103</v>
      </c>
      <c r="P9014">
        <v>0.99157790000000001</v>
      </c>
      <c r="Q9014">
        <v>-0.1203187</v>
      </c>
      <c r="R9014">
        <v>-4.7926879999999998E-2</v>
      </c>
      <c r="S9014">
        <v>2.9791409999999998</v>
      </c>
      <c r="T9014">
        <v>-0.25411420000000001</v>
      </c>
      <c r="U9014">
        <v>-0.34268189999999998</v>
      </c>
      <c r="V9014">
        <v>0.25758160000000002</v>
      </c>
      <c r="W9014">
        <v>-0.1100922</v>
      </c>
      <c r="X9014">
        <v>0.95996429999999999</v>
      </c>
      <c r="Y9014">
        <v>0.32324809999999998</v>
      </c>
      <c r="Z9014">
        <v>-3.1040419999999999E-2</v>
      </c>
      <c r="AA9014">
        <v>0.94580500000000001</v>
      </c>
      <c r="AB9014">
        <v>22</v>
      </c>
      <c r="AC9014">
        <v>12.800800000000001</v>
      </c>
      <c r="AD9014">
        <v>-1.111795874572</v>
      </c>
      <c r="AE9014">
        <v>-1.5337000000000101</v>
      </c>
      <c r="AF9014">
        <v>4.2178875300834999</v>
      </c>
      <c r="AG9014">
        <v>-1.111795874572</v>
      </c>
      <c r="AH9014">
        <v>12.0821052675534</v>
      </c>
      <c r="AI9014">
        <v>94.965286068531</v>
      </c>
      <c r="AJ9014">
        <v>70.755801469934099</v>
      </c>
      <c r="AK9014">
        <v>12.845385668768101</v>
      </c>
      <c r="AL9014">
        <v>96.320630424098795</v>
      </c>
      <c r="AM9014">
        <v>74.979957782887396</v>
      </c>
      <c r="AN9014">
        <v>1.0000000152169399</v>
      </c>
    </row>
    <row r="9015" spans="1:40" x14ac:dyDescent="0.25">
      <c r="A9015" t="str">
        <f>"20190303154354722"</f>
        <v>20190303154354722</v>
      </c>
      <c r="B9015" t="str">
        <f>"1551599034718637"</f>
        <v>1551599034718637</v>
      </c>
      <c r="C9015" t="s">
        <v>40</v>
      </c>
      <c r="D9015">
        <v>5.9114009999999997</v>
      </c>
      <c r="E9015">
        <v>0.52296969999999998</v>
      </c>
      <c r="F9015" t="s">
        <v>41</v>
      </c>
      <c r="G9015">
        <v>-164.4821</v>
      </c>
      <c r="H9015" s="1">
        <v>-3.6873540000000001E-6</v>
      </c>
      <c r="I9015">
        <v>133.66239999999999</v>
      </c>
      <c r="J9015">
        <v>-176.6309</v>
      </c>
      <c r="K9015">
        <v>1.1121490000000001</v>
      </c>
      <c r="L9015">
        <v>135.1437</v>
      </c>
      <c r="M9015">
        <v>0.97955669999999995</v>
      </c>
      <c r="N9015">
        <v>-1.6404209999999999E-2</v>
      </c>
      <c r="O9015">
        <v>0.2004986</v>
      </c>
      <c r="P9015">
        <v>0.99065910000000001</v>
      </c>
      <c r="Q9015">
        <v>-0.1255127</v>
      </c>
      <c r="R9015">
        <v>-5.3304549999999999E-2</v>
      </c>
      <c r="S9015">
        <v>2.9761660000000001</v>
      </c>
      <c r="T9015">
        <v>-0.26746249999999999</v>
      </c>
      <c r="U9015">
        <v>-0.34880070000000002</v>
      </c>
      <c r="V9015">
        <v>0.2485059</v>
      </c>
      <c r="W9015">
        <v>-0.11501219999999999</v>
      </c>
      <c r="X9015">
        <v>0.96177800000000002</v>
      </c>
      <c r="Y9015">
        <v>0.31119950000000002</v>
      </c>
      <c r="Z9015">
        <v>-3.1077250000000001E-2</v>
      </c>
      <c r="AA9015">
        <v>0.94983640000000003</v>
      </c>
      <c r="AB9015">
        <v>22</v>
      </c>
      <c r="AC9015">
        <v>12.1487999999999</v>
      </c>
      <c r="AD9015">
        <v>-1.112152687354</v>
      </c>
      <c r="AE9015">
        <v>-1.4813000000000001</v>
      </c>
      <c r="AF9015">
        <v>3.8555203005416101</v>
      </c>
      <c r="AG9015">
        <v>-1.112152687354</v>
      </c>
      <c r="AH9015">
        <v>11.5099563091925</v>
      </c>
      <c r="AI9015">
        <v>95.234916917573599</v>
      </c>
      <c r="AJ9015">
        <v>71.480560646649494</v>
      </c>
      <c r="AK9015">
        <v>12.189381224139201</v>
      </c>
      <c r="AL9015">
        <v>96.604329025584306</v>
      </c>
      <c r="AM9015">
        <v>75.512664984998494</v>
      </c>
      <c r="AN9015">
        <v>0.99999995488382398</v>
      </c>
    </row>
    <row r="9016" spans="1:40" x14ac:dyDescent="0.25">
      <c r="A9016" t="str">
        <f>"20190303154354744"</f>
        <v>20190303154354744</v>
      </c>
      <c r="B9016" t="str">
        <f>"1551599034739144"</f>
        <v>1551599034739144</v>
      </c>
      <c r="C9016" t="s">
        <v>40</v>
      </c>
      <c r="D9016">
        <v>5.8695000000000004</v>
      </c>
      <c r="E9016">
        <v>0.52184419999999998</v>
      </c>
      <c r="F9016" t="s">
        <v>41</v>
      </c>
      <c r="G9016">
        <v>-165.88640000000001</v>
      </c>
      <c r="H9016" s="1">
        <v>-3.0830270000000001E-6</v>
      </c>
      <c r="I9016">
        <v>133.90690000000001</v>
      </c>
      <c r="J9016">
        <v>-176.40450000000001</v>
      </c>
      <c r="K9016">
        <v>1.1124670000000001</v>
      </c>
      <c r="L9016">
        <v>135.17269999999999</v>
      </c>
      <c r="M9016">
        <v>0.98234840000000001</v>
      </c>
      <c r="N9016">
        <v>-1.6231019999999999E-2</v>
      </c>
      <c r="O9016">
        <v>0.18635560000000001</v>
      </c>
      <c r="P9016">
        <v>0.99028629999999995</v>
      </c>
      <c r="Q9016">
        <v>-0.12654460000000001</v>
      </c>
      <c r="R9016">
        <v>-5.7617759999999997E-2</v>
      </c>
      <c r="S9016">
        <v>2.970917</v>
      </c>
      <c r="T9016">
        <v>-0.30751630000000002</v>
      </c>
      <c r="U9016">
        <v>-0.34196470000000001</v>
      </c>
      <c r="V9016">
        <v>0.2388749</v>
      </c>
      <c r="W9016">
        <v>-0.115787</v>
      </c>
      <c r="X9016">
        <v>0.96412249999999999</v>
      </c>
      <c r="Y9016">
        <v>0.2949987</v>
      </c>
      <c r="Z9016">
        <v>-3.3714630000000002E-2</v>
      </c>
      <c r="AA9016">
        <v>0.95490260000000005</v>
      </c>
      <c r="AB9016">
        <v>22</v>
      </c>
      <c r="AC9016">
        <v>10.5181</v>
      </c>
      <c r="AD9016">
        <v>-1.112470083027</v>
      </c>
      <c r="AE9016">
        <v>-1.2657999999999801</v>
      </c>
      <c r="AF9016">
        <v>3.1690401273084099</v>
      </c>
      <c r="AG9016">
        <v>-1.112470083027</v>
      </c>
      <c r="AH9016">
        <v>9.9877439646889794</v>
      </c>
      <c r="AI9016">
        <v>96.060246080394293</v>
      </c>
      <c r="AJ9016">
        <v>72.396137299585803</v>
      </c>
      <c r="AK9016">
        <v>10.5373352664847</v>
      </c>
      <c r="AL9016">
        <v>96.649019932641707</v>
      </c>
      <c r="AM9016">
        <v>76.084394145360505</v>
      </c>
      <c r="AN9016">
        <v>1.0000000211126201</v>
      </c>
    </row>
    <row r="9017" spans="1:40" x14ac:dyDescent="0.25">
      <c r="A9017" t="str">
        <f>"20190303154354767"</f>
        <v>20190303154354767</v>
      </c>
      <c r="B9017" t="str">
        <f>"1551599034758656"</f>
        <v>1551599034758656</v>
      </c>
      <c r="C9017" t="s">
        <v>40</v>
      </c>
      <c r="D9017">
        <v>5.8296580000000002</v>
      </c>
      <c r="E9017">
        <v>0.52148170000000005</v>
      </c>
      <c r="F9017" t="s">
        <v>41</v>
      </c>
      <c r="G9017">
        <v>-166.1465</v>
      </c>
      <c r="H9017" s="1">
        <v>-2.9645830000000001E-6</v>
      </c>
      <c r="I9017">
        <v>133.97669999999999</v>
      </c>
      <c r="J9017">
        <v>-176.18119999999999</v>
      </c>
      <c r="K9017">
        <v>1.1127880000000001</v>
      </c>
      <c r="L9017">
        <v>135.1986</v>
      </c>
      <c r="M9017">
        <v>0.98480009999999996</v>
      </c>
      <c r="N9017">
        <v>-1.606403E-2</v>
      </c>
      <c r="O9017">
        <v>0.17294679999999901</v>
      </c>
      <c r="P9017">
        <v>0.99048749999999997</v>
      </c>
      <c r="Q9017">
        <v>-0.1242905</v>
      </c>
      <c r="R9017">
        <v>-5.9043959999999999E-2</v>
      </c>
      <c r="S9017">
        <v>2.9681549999999999</v>
      </c>
      <c r="T9017">
        <v>-0.32189240000000002</v>
      </c>
      <c r="U9017">
        <v>-0.34605409999999998</v>
      </c>
      <c r="V9017">
        <v>0.22730620000000001</v>
      </c>
      <c r="W9017">
        <v>-0.1132353</v>
      </c>
      <c r="X9017">
        <v>0.96721749999999995</v>
      </c>
      <c r="Y9017">
        <v>0.28324949999999999</v>
      </c>
      <c r="Z9017">
        <v>-3.3401930000000003E-2</v>
      </c>
      <c r="AA9017">
        <v>0.95846439999999999</v>
      </c>
      <c r="AB9017">
        <v>22</v>
      </c>
      <c r="AC9017">
        <v>10.0346999999999</v>
      </c>
      <c r="AD9017">
        <v>-1.1127909645830001</v>
      </c>
      <c r="AE9017">
        <v>-1.2219</v>
      </c>
      <c r="AF9017">
        <v>2.90398580139632</v>
      </c>
      <c r="AG9017">
        <v>-1.1127909645830001</v>
      </c>
      <c r="AH9017">
        <v>9.5562965120233496</v>
      </c>
      <c r="AI9017">
        <v>96.357398384930093</v>
      </c>
      <c r="AJ9017">
        <v>73.096921153324203</v>
      </c>
      <c r="AK9017">
        <v>10.049589060816301</v>
      </c>
      <c r="AL9017">
        <v>96.501850191968202</v>
      </c>
      <c r="AM9017">
        <v>76.774882521618196</v>
      </c>
      <c r="AN9017">
        <v>1.00000001701538</v>
      </c>
    </row>
    <row r="9018" spans="1:40" x14ac:dyDescent="0.25">
      <c r="A9018" t="str">
        <f>"20190303154354788"</f>
        <v>20190303154354788</v>
      </c>
      <c r="B9018" t="str">
        <f>"1551599034779148"</f>
        <v>1551599034779148</v>
      </c>
      <c r="C9018" t="s">
        <v>40</v>
      </c>
      <c r="D9018">
        <v>5.8244049999999996</v>
      </c>
      <c r="E9018">
        <v>0.52129110000000001</v>
      </c>
      <c r="F9018" t="s">
        <v>41</v>
      </c>
      <c r="G9018">
        <v>-165.7516</v>
      </c>
      <c r="H9018" s="1">
        <v>-3.1158420000000002E-6</v>
      </c>
      <c r="I9018">
        <v>133.97810000000001</v>
      </c>
      <c r="J9018">
        <v>-175.9554</v>
      </c>
      <c r="K9018">
        <v>1.113173</v>
      </c>
      <c r="L9018">
        <v>135.22229999999999</v>
      </c>
      <c r="M9018">
        <v>0.98698980000000003</v>
      </c>
      <c r="N9018">
        <v>-1.589018E-2</v>
      </c>
      <c r="O9018">
        <v>0.1599959</v>
      </c>
      <c r="P9018">
        <v>0.99080119999999905</v>
      </c>
      <c r="Q9018">
        <v>-0.121606199999999</v>
      </c>
      <c r="R9018">
        <v>-5.9374879999999998E-2</v>
      </c>
      <c r="S9018">
        <v>2.968369</v>
      </c>
      <c r="T9018">
        <v>-0.31670989999999999</v>
      </c>
      <c r="U9018">
        <v>-0.34735110000000002</v>
      </c>
      <c r="V9018">
        <v>0.2151361</v>
      </c>
      <c r="W9018">
        <v>-0.110231</v>
      </c>
      <c r="X9018">
        <v>0.97034310000000001</v>
      </c>
      <c r="Y9018">
        <v>0.27125709999999997</v>
      </c>
      <c r="Z9018">
        <v>-3.097022E-2</v>
      </c>
      <c r="AA9018">
        <v>0.96200850000000004</v>
      </c>
      <c r="AB9018">
        <v>22</v>
      </c>
      <c r="AC9018">
        <v>10.203799999999999</v>
      </c>
      <c r="AD9018">
        <v>-1.1131761158419999</v>
      </c>
      <c r="AE9018">
        <v>-1.24419999999997</v>
      </c>
      <c r="AF9018">
        <v>2.8277780994028698</v>
      </c>
      <c r="AG9018">
        <v>-1.1131761158419999</v>
      </c>
      <c r="AH9018">
        <v>9.7587827526697701</v>
      </c>
      <c r="AI9018">
        <v>96.252510458845293</v>
      </c>
      <c r="AJ9018">
        <v>73.840129509908394</v>
      </c>
      <c r="AK9018">
        <v>10.22102396329</v>
      </c>
      <c r="AL9018">
        <v>96.328631407803897</v>
      </c>
      <c r="AM9018">
        <v>77.499087477565496</v>
      </c>
      <c r="AN9018">
        <v>1.0000000733009</v>
      </c>
    </row>
    <row r="9019" spans="1:40" x14ac:dyDescent="0.25">
      <c r="A9019" t="str">
        <f>"20190303154354812"</f>
        <v>20190303154354812</v>
      </c>
      <c r="B9019" t="str">
        <f>"1551599034809404"</f>
        <v>1551599034809404</v>
      </c>
      <c r="C9019" t="s">
        <v>40</v>
      </c>
      <c r="D9019">
        <v>5.8099369999999997</v>
      </c>
      <c r="E9019">
        <v>0.49696709999999999</v>
      </c>
      <c r="F9019" t="s">
        <v>41</v>
      </c>
      <c r="G9019">
        <v>-165.23769999999999</v>
      </c>
      <c r="H9019" s="1">
        <v>-3.3152189999999999E-6</v>
      </c>
      <c r="I9019">
        <v>133.97049999999999</v>
      </c>
      <c r="J9019">
        <v>-175.72540000000001</v>
      </c>
      <c r="K9019">
        <v>1.1136539999999999</v>
      </c>
      <c r="L9019">
        <v>135.24420000000001</v>
      </c>
      <c r="M9019">
        <v>0.98893589999999998</v>
      </c>
      <c r="N9019">
        <v>-1.570587E-2</v>
      </c>
      <c r="O9019">
        <v>0.14751059999999999</v>
      </c>
      <c r="P9019">
        <v>0.99069779999999996</v>
      </c>
      <c r="Q9019">
        <v>-0.1220075</v>
      </c>
      <c r="R9019">
        <v>-6.0270289999999997E-2</v>
      </c>
      <c r="S9019">
        <v>2.9692229999999999</v>
      </c>
      <c r="T9019">
        <v>-0.30839440000000001</v>
      </c>
      <c r="U9019">
        <v>-0.34680179999999999</v>
      </c>
      <c r="V9019">
        <v>0.20387230000000001</v>
      </c>
      <c r="W9019">
        <v>-0.1103186</v>
      </c>
      <c r="X9019">
        <v>0.97276200000000002</v>
      </c>
      <c r="Y9019">
        <v>0.2591193</v>
      </c>
      <c r="Z9019">
        <v>-2.8337439999999998E-2</v>
      </c>
      <c r="AA9019">
        <v>0.96542950000000005</v>
      </c>
      <c r="AB9019">
        <v>22</v>
      </c>
      <c r="AC9019">
        <v>10.4877</v>
      </c>
      <c r="AD9019">
        <v>-1.1136573152189999</v>
      </c>
      <c r="AE9019">
        <v>-1.27370000000001</v>
      </c>
      <c r="AF9019">
        <v>2.7761524215750302</v>
      </c>
      <c r="AG9019">
        <v>-1.1136573152189999</v>
      </c>
      <c r="AH9019">
        <v>10.0731035404898</v>
      </c>
      <c r="AI9019">
        <v>96.083832132103296</v>
      </c>
      <c r="AJ9019">
        <v>74.591766312409206</v>
      </c>
      <c r="AK9019">
        <v>10.5078384942378</v>
      </c>
      <c r="AL9019">
        <v>96.333681728985695</v>
      </c>
      <c r="AM9019">
        <v>78.163223246930897</v>
      </c>
      <c r="AN9019">
        <v>1.00000000842862</v>
      </c>
    </row>
    <row r="9020" spans="1:40" x14ac:dyDescent="0.25">
      <c r="A9020" t="str">
        <f>"20190303154354835"</f>
        <v>20190303154354835</v>
      </c>
      <c r="B9020" t="str">
        <f>"1551599034828924"</f>
        <v>1551599034828924</v>
      </c>
      <c r="C9020" t="s">
        <v>40</v>
      </c>
      <c r="D9020">
        <v>5.7791309999999996</v>
      </c>
      <c r="E9020">
        <v>0.49601050000000002</v>
      </c>
      <c r="F9020" t="s">
        <v>42</v>
      </c>
      <c r="G9020">
        <v>-174.95570000000001</v>
      </c>
      <c r="H9020">
        <v>1.021433</v>
      </c>
      <c r="I9020">
        <v>135.20359999999999</v>
      </c>
      <c r="J9020">
        <v>-175.50120000000001</v>
      </c>
      <c r="K9020">
        <v>1.114225</v>
      </c>
      <c r="L9020">
        <v>135.2636</v>
      </c>
      <c r="M9020">
        <v>0.99057260000000003</v>
      </c>
      <c r="N9020">
        <v>-1.552329E-2</v>
      </c>
      <c r="O9020">
        <v>0.13610630000000001</v>
      </c>
      <c r="P9020">
        <v>0.98998549999999996</v>
      </c>
      <c r="Q9020">
        <v>-0.1268637</v>
      </c>
      <c r="R9020">
        <v>-6.1921240000000002E-2</v>
      </c>
      <c r="S9020">
        <v>2.9748079999999999</v>
      </c>
      <c r="T9020">
        <v>-0.35610429999999998</v>
      </c>
      <c r="U9020">
        <v>-0.15653989999999901</v>
      </c>
      <c r="V9020">
        <v>0.19428719999999999</v>
      </c>
      <c r="W9020">
        <v>-0.11488470000000001</v>
      </c>
      <c r="X9020">
        <v>0.974194</v>
      </c>
      <c r="Y9020">
        <v>0.18576619999999999</v>
      </c>
      <c r="Z9020">
        <v>-2.6612489999999999E-2</v>
      </c>
      <c r="AA9020">
        <v>0.98223349999999998</v>
      </c>
      <c r="AB9020">
        <v>22</v>
      </c>
      <c r="AC9020">
        <v>0.54550000000000398</v>
      </c>
      <c r="AD9020">
        <v>-9.2791999999999999E-2</v>
      </c>
      <c r="AE9020">
        <v>-6.0000000000002197E-2</v>
      </c>
      <c r="AF9020">
        <v>0.129980359611474</v>
      </c>
      <c r="AG9020">
        <v>-9.2791999999999999E-2</v>
      </c>
      <c r="AH9020">
        <v>0.51746107902031402</v>
      </c>
      <c r="AI9020">
        <v>99.866129868060995</v>
      </c>
      <c r="AJ9020">
        <v>75.899674992326197</v>
      </c>
      <c r="AK9020">
        <v>0.541545212747371</v>
      </c>
      <c r="AL9020">
        <v>96.596974900863998</v>
      </c>
      <c r="AM9020">
        <v>78.721264706703494</v>
      </c>
      <c r="AN9020">
        <v>0.999999980006964</v>
      </c>
    </row>
    <row r="9021" spans="1:40" x14ac:dyDescent="0.25">
      <c r="A9021" t="str">
        <f>"20190303154354856"</f>
        <v>20190303154354856</v>
      </c>
      <c r="B9021" t="str">
        <f>"1551599034849420"</f>
        <v>1551599034849420</v>
      </c>
      <c r="C9021" t="s">
        <v>40</v>
      </c>
      <c r="D9021">
        <v>5.8674099999999996</v>
      </c>
      <c r="E9021">
        <v>0.49510749999999998</v>
      </c>
      <c r="F9021" t="s">
        <v>42</v>
      </c>
      <c r="G9021">
        <v>-174.75919999999999</v>
      </c>
      <c r="H9021">
        <v>1.019976</v>
      </c>
      <c r="I9021">
        <v>135.2252</v>
      </c>
      <c r="J9021">
        <v>-175.28710000000001</v>
      </c>
      <c r="K9021">
        <v>1.114857</v>
      </c>
      <c r="L9021">
        <v>135.2808</v>
      </c>
      <c r="M9021">
        <v>0.99190460000000003</v>
      </c>
      <c r="N9021">
        <v>-1.535093E-2</v>
      </c>
      <c r="O9021">
        <v>0.12605450000000001</v>
      </c>
      <c r="P9021">
        <v>0.98926570000000003</v>
      </c>
      <c r="Q9021">
        <v>-0.13180620000000001</v>
      </c>
      <c r="R9021">
        <v>-6.3092029999999993E-2</v>
      </c>
      <c r="S9021">
        <v>2.9723359999999999</v>
      </c>
      <c r="T9021">
        <v>-0.37754260000000001</v>
      </c>
      <c r="U9021">
        <v>-0.15391540000000001</v>
      </c>
      <c r="V9021">
        <v>0.1855928</v>
      </c>
      <c r="W9021">
        <v>-0.11954819999999999</v>
      </c>
      <c r="X9021">
        <v>0.97532739999999996</v>
      </c>
      <c r="Y9021">
        <v>0.17484949999999999</v>
      </c>
      <c r="Z9021">
        <v>-2.6390090000000001E-2</v>
      </c>
      <c r="AA9021">
        <v>0.98424140000000004</v>
      </c>
      <c r="AB9021">
        <v>22</v>
      </c>
      <c r="AC9021">
        <v>0.52790000000001602</v>
      </c>
      <c r="AD9021">
        <v>-9.4880999999999993E-2</v>
      </c>
      <c r="AE9021">
        <v>-5.5599999999998297E-2</v>
      </c>
      <c r="AF9021">
        <v>0.11794026705668401</v>
      </c>
      <c r="AG9021">
        <v>-9.4880999999999993E-2</v>
      </c>
      <c r="AH9021">
        <v>0.50068211298865395</v>
      </c>
      <c r="AI9021">
        <v>100.451023971848</v>
      </c>
      <c r="AJ9021">
        <v>76.745090773715901</v>
      </c>
      <c r="AK9021">
        <v>0.52306298762308301</v>
      </c>
      <c r="AL9021">
        <v>96.866028655420294</v>
      </c>
      <c r="AM9021">
        <v>79.226124530333195</v>
      </c>
      <c r="AN9021">
        <v>0.99999999836291897</v>
      </c>
    </row>
    <row r="9022" spans="1:40" x14ac:dyDescent="0.25">
      <c r="A9022" t="str">
        <f>"20190303154354879"</f>
        <v>20190303154354879</v>
      </c>
      <c r="B9022" t="str">
        <f>"1551599034868940"</f>
        <v>1551599034868940</v>
      </c>
      <c r="C9022" t="s">
        <v>40</v>
      </c>
      <c r="D9022">
        <v>5.8330320000000002</v>
      </c>
      <c r="E9022">
        <v>0.49443550000000003</v>
      </c>
      <c r="F9022" t="s">
        <v>42</v>
      </c>
      <c r="G9022">
        <v>-174.37389999999999</v>
      </c>
      <c r="H9022">
        <v>0.9930679</v>
      </c>
      <c r="I9022">
        <v>135.2345</v>
      </c>
      <c r="J9022">
        <v>-175.05850000000001</v>
      </c>
      <c r="K9022">
        <v>1.11557</v>
      </c>
      <c r="L9022">
        <v>135.2978</v>
      </c>
      <c r="M9022">
        <v>0.99309250000000004</v>
      </c>
      <c r="N9022">
        <v>-1.517223E-2</v>
      </c>
      <c r="O9022">
        <v>0.11634940000000001</v>
      </c>
      <c r="P9022">
        <v>0.98899110000000001</v>
      </c>
      <c r="Q9022">
        <v>-0.13385810000000001</v>
      </c>
      <c r="R9022">
        <v>-6.3076069999999998E-2</v>
      </c>
      <c r="S9022">
        <v>2.9701689999999998</v>
      </c>
      <c r="T9022">
        <v>-0.39595629999999998</v>
      </c>
      <c r="U9022">
        <v>-0.1504364</v>
      </c>
      <c r="V9022">
        <v>0.17619599999999999</v>
      </c>
      <c r="W9022">
        <v>-0.1213085</v>
      </c>
      <c r="X9022">
        <v>0.97685169999999999</v>
      </c>
      <c r="Y9022">
        <v>0.1640346</v>
      </c>
      <c r="Z9022">
        <v>-2.578853E-2</v>
      </c>
      <c r="AA9022">
        <v>0.98611740000000003</v>
      </c>
      <c r="AB9022">
        <v>22</v>
      </c>
      <c r="AC9022">
        <v>0.68460000000001697</v>
      </c>
      <c r="AD9022">
        <v>-0.1225021</v>
      </c>
      <c r="AE9022">
        <v>-6.3299999999998094E-2</v>
      </c>
      <c r="AF9022">
        <v>0.13814609433285799</v>
      </c>
      <c r="AG9022">
        <v>-0.1225021</v>
      </c>
      <c r="AH9022">
        <v>0.65188748307913502</v>
      </c>
      <c r="AI9022">
        <v>100.41674587481199</v>
      </c>
      <c r="AJ9022">
        <v>78.035060121627197</v>
      </c>
      <c r="AK9022">
        <v>0.67753110517457604</v>
      </c>
      <c r="AL9022">
        <v>96.967625748421995</v>
      </c>
      <c r="AM9022">
        <v>79.775421960487705</v>
      </c>
      <c r="AN9022">
        <v>1.00000001319057</v>
      </c>
    </row>
    <row r="9023" spans="1:40" x14ac:dyDescent="0.25">
      <c r="A9023" t="str">
        <f>"20190303154354902"</f>
        <v>20190303154354902</v>
      </c>
      <c r="B9023" t="str">
        <f>"1551599034889436"</f>
        <v>1551599034889436</v>
      </c>
      <c r="C9023" t="s">
        <v>40</v>
      </c>
      <c r="D9023">
        <v>5.8810330000000004</v>
      </c>
      <c r="E9023">
        <v>0.4942626</v>
      </c>
      <c r="F9023" t="s">
        <v>42</v>
      </c>
      <c r="G9023">
        <v>-174.17660000000001</v>
      </c>
      <c r="H9023">
        <v>0.99510379999999998</v>
      </c>
      <c r="I9023">
        <v>135.25450000000001</v>
      </c>
      <c r="J9023">
        <v>-174.83750000000001</v>
      </c>
      <c r="K9023">
        <v>1.1161890000000001</v>
      </c>
      <c r="L9023">
        <v>135.31319999999999</v>
      </c>
      <c r="M9023">
        <v>0.99405929999999998</v>
      </c>
      <c r="N9023">
        <v>-1.5011109999999999E-2</v>
      </c>
      <c r="O9023">
        <v>0.10780049999999999</v>
      </c>
      <c r="P9023">
        <v>0.98899309999999996</v>
      </c>
      <c r="Q9023">
        <v>-0.134178399999999</v>
      </c>
      <c r="R9023">
        <v>-6.2359310000000001E-2</v>
      </c>
      <c r="S9023">
        <v>2.9692989999999999</v>
      </c>
      <c r="T9023">
        <v>-0.40516869999999999</v>
      </c>
      <c r="U9023">
        <v>-0.14495849999999999</v>
      </c>
      <c r="V9023">
        <v>0.1672612</v>
      </c>
      <c r="W9023">
        <v>-0.12140189999999999</v>
      </c>
      <c r="X9023">
        <v>0.97840959999999999</v>
      </c>
      <c r="Y9023">
        <v>0.15379209999999999</v>
      </c>
      <c r="Z9023">
        <v>-2.4608410000000001E-2</v>
      </c>
      <c r="AA9023">
        <v>0.98779669999999997</v>
      </c>
      <c r="AB9023">
        <v>22</v>
      </c>
      <c r="AC9023">
        <v>0.66089999999999705</v>
      </c>
      <c r="AD9023">
        <v>-0.121085199999999</v>
      </c>
      <c r="AE9023">
        <v>-5.8699999999987498E-2</v>
      </c>
      <c r="AF9023">
        <v>0.12543376190581901</v>
      </c>
      <c r="AG9023">
        <v>-0.121085199999999</v>
      </c>
      <c r="AH9023">
        <v>0.62974602273629499</v>
      </c>
      <c r="AI9023">
        <v>100.678978406995</v>
      </c>
      <c r="AJ9023">
        <v>78.735167104007004</v>
      </c>
      <c r="AK9023">
        <v>0.65343347590789103</v>
      </c>
      <c r="AL9023">
        <v>96.973016847386603</v>
      </c>
      <c r="AM9023">
        <v>80.298942599322004</v>
      </c>
      <c r="AN9023">
        <v>1.0000000378606</v>
      </c>
    </row>
    <row r="9024" spans="1:40" x14ac:dyDescent="0.25">
      <c r="A9024" t="str">
        <f>"20190303154354923"</f>
        <v>20190303154354923</v>
      </c>
      <c r="B9024" t="str">
        <f>"1551599034918716"</f>
        <v>1551599034918716</v>
      </c>
      <c r="C9024" t="s">
        <v>40</v>
      </c>
      <c r="D9024">
        <v>5.8462170000000002</v>
      </c>
      <c r="E9024">
        <v>0.4938263</v>
      </c>
      <c r="F9024" t="s">
        <v>42</v>
      </c>
      <c r="G9024">
        <v>-173.97839999999999</v>
      </c>
      <c r="H9024">
        <v>0.99880420000000003</v>
      </c>
      <c r="I9024">
        <v>135.2722</v>
      </c>
      <c r="J9024">
        <v>-174.61940000000001</v>
      </c>
      <c r="K9024">
        <v>1.1167049999999901</v>
      </c>
      <c r="L9024">
        <v>135.32759999999999</v>
      </c>
      <c r="M9024">
        <v>0.99485599999999996</v>
      </c>
      <c r="N9024">
        <v>-1.486175E-2</v>
      </c>
      <c r="O9024">
        <v>0.1002034</v>
      </c>
      <c r="P9024">
        <v>0.98908910000000005</v>
      </c>
      <c r="Q9024">
        <v>-0.13358900000000001</v>
      </c>
      <c r="R9024">
        <v>-6.210458E-2</v>
      </c>
      <c r="S9024">
        <v>2.9694669999999999</v>
      </c>
      <c r="T9024">
        <v>-0.40548010000000001</v>
      </c>
      <c r="U9024">
        <v>-0.1414185</v>
      </c>
      <c r="V9024">
        <v>0.1597073</v>
      </c>
      <c r="W9024">
        <v>-0.12065380000000001</v>
      </c>
      <c r="X9024">
        <v>0.9797633</v>
      </c>
      <c r="Y9024">
        <v>0.14520259999999999</v>
      </c>
      <c r="Z9024">
        <v>-2.3067029999999999E-2</v>
      </c>
      <c r="AA9024">
        <v>0.98913300000000004</v>
      </c>
      <c r="AB9024">
        <v>22</v>
      </c>
      <c r="AC9024">
        <v>0.641000000000019</v>
      </c>
      <c r="AD9024">
        <v>-0.117900799999999</v>
      </c>
      <c r="AE9024">
        <v>-5.5399999999991602E-2</v>
      </c>
      <c r="AF9024">
        <v>0.115480696515184</v>
      </c>
      <c r="AG9024">
        <v>-0.117900799999999</v>
      </c>
      <c r="AH9024">
        <v>0.61168076914498903</v>
      </c>
      <c r="AI9024">
        <v>100.724952650462</v>
      </c>
      <c r="AJ9024">
        <v>79.308825857483896</v>
      </c>
      <c r="AK9024">
        <v>0.63355327577882303</v>
      </c>
      <c r="AL9024">
        <v>96.929837124672801</v>
      </c>
      <c r="AM9024">
        <v>80.7418700217994</v>
      </c>
      <c r="AN9024">
        <v>0.99999994257730795</v>
      </c>
    </row>
    <row r="9025" spans="1:40" x14ac:dyDescent="0.25">
      <c r="A9025" t="str">
        <f>"20190303154354946"</f>
        <v>20190303154354946</v>
      </c>
      <c r="B9025" t="str">
        <f>"1551599034939212"</f>
        <v>1551599034939212</v>
      </c>
      <c r="C9025" t="s">
        <v>40</v>
      </c>
      <c r="D9025">
        <v>5.8588149999999999</v>
      </c>
      <c r="E9025">
        <v>0.49353249999999999</v>
      </c>
      <c r="F9025" t="s">
        <v>42</v>
      </c>
      <c r="G9025">
        <v>-173.78039999999999</v>
      </c>
      <c r="H9025">
        <v>1.0022180000000001</v>
      </c>
      <c r="I9025">
        <v>135.28870000000001</v>
      </c>
      <c r="J9025">
        <v>-174.39859999999999</v>
      </c>
      <c r="K9025">
        <v>1.1171869999999999</v>
      </c>
      <c r="L9025">
        <v>135.34129999999999</v>
      </c>
      <c r="M9025">
        <v>0.99551809999999996</v>
      </c>
      <c r="N9025">
        <v>-1.4716750000000001E-2</v>
      </c>
      <c r="O9025">
        <v>9.3419070000000007E-2</v>
      </c>
      <c r="P9025">
        <v>0.98918019999999995</v>
      </c>
      <c r="Q9025">
        <v>-0.13284879999999999</v>
      </c>
      <c r="R9025">
        <v>-6.2239530000000001E-2</v>
      </c>
      <c r="S9025">
        <v>2.9697719999999999</v>
      </c>
      <c r="T9025">
        <v>-0.40506760000000003</v>
      </c>
      <c r="U9025">
        <v>-0.13722229999999999</v>
      </c>
      <c r="V9025">
        <v>0.15332570000000001</v>
      </c>
      <c r="W9025">
        <v>-0.1197952</v>
      </c>
      <c r="X9025">
        <v>0.98088750000000002</v>
      </c>
      <c r="Y9025">
        <v>0.13719189999999901</v>
      </c>
      <c r="Z9025">
        <v>-2.1623750000000001E-2</v>
      </c>
      <c r="AA9025">
        <v>0.99030839999999998</v>
      </c>
      <c r="AB9025">
        <v>22</v>
      </c>
      <c r="AC9025">
        <v>0.61820000000000097</v>
      </c>
      <c r="AD9025">
        <v>-0.114969</v>
      </c>
      <c r="AE9025">
        <v>-5.2599999999983903E-2</v>
      </c>
      <c r="AF9025">
        <v>0.1064718535447</v>
      </c>
      <c r="AG9025">
        <v>-0.114969</v>
      </c>
      <c r="AH9025">
        <v>0.590311650848243</v>
      </c>
      <c r="AI9025">
        <v>100.85013169198299</v>
      </c>
      <c r="AJ9025">
        <v>79.775743415129995</v>
      </c>
      <c r="AK9025">
        <v>0.61075524695693095</v>
      </c>
      <c r="AL9025">
        <v>96.880283321540105</v>
      </c>
      <c r="AM9025">
        <v>81.115804034309093</v>
      </c>
      <c r="AN9025">
        <v>0.99999997393988904</v>
      </c>
    </row>
    <row r="9026" spans="1:40" x14ac:dyDescent="0.25">
      <c r="A9026" t="str">
        <f>"20190303154354968"</f>
        <v>20190303154354968</v>
      </c>
      <c r="B9026" t="str">
        <f>"1551599034958733"</f>
        <v>1551599034958733</v>
      </c>
      <c r="C9026" t="s">
        <v>40</v>
      </c>
      <c r="D9026">
        <v>5.8536919999999997</v>
      </c>
      <c r="E9026">
        <v>0.49349549999999998</v>
      </c>
      <c r="F9026" t="s">
        <v>42</v>
      </c>
      <c r="G9026">
        <v>-173.58240000000001</v>
      </c>
      <c r="H9026">
        <v>1.006281</v>
      </c>
      <c r="I9026">
        <v>135.30410000000001</v>
      </c>
      <c r="J9026">
        <v>-174.17830000000001</v>
      </c>
      <c r="K9026">
        <v>1.11768</v>
      </c>
      <c r="L9026">
        <v>135.3544</v>
      </c>
      <c r="M9026">
        <v>0.99605339999999998</v>
      </c>
      <c r="N9026">
        <v>-1.4578219999999999E-2</v>
      </c>
      <c r="O9026">
        <v>8.7551329999999997E-2</v>
      </c>
      <c r="P9026">
        <v>0.98920940000000002</v>
      </c>
      <c r="Q9026">
        <v>-0.132735299999999</v>
      </c>
      <c r="R9026">
        <v>-6.2018799999999999E-2</v>
      </c>
      <c r="S9026">
        <v>2.9701230000000001</v>
      </c>
      <c r="T9026">
        <v>-0.40353549999999999</v>
      </c>
      <c r="U9026">
        <v>-0.13529969999999999</v>
      </c>
      <c r="V9026">
        <v>0.14747869999999999</v>
      </c>
      <c r="W9026">
        <v>-0.1195756</v>
      </c>
      <c r="X9026">
        <v>0.98181039999999997</v>
      </c>
      <c r="Y9026">
        <v>0.130832</v>
      </c>
      <c r="Z9026">
        <v>-2.035959E-2</v>
      </c>
      <c r="AA9026">
        <v>0.99119550000000001</v>
      </c>
      <c r="AB9026">
        <v>22</v>
      </c>
      <c r="AC9026">
        <v>0.59589999999999999</v>
      </c>
      <c r="AD9026">
        <v>-0.111399</v>
      </c>
      <c r="AE9026">
        <v>-5.0299999999992899E-2</v>
      </c>
      <c r="AF9026">
        <v>9.8853931578496396E-2</v>
      </c>
      <c r="AG9026">
        <v>-0.111399</v>
      </c>
      <c r="AH9026">
        <v>0.56944701809585496</v>
      </c>
      <c r="AI9026">
        <v>100.90962929103399</v>
      </c>
      <c r="AJ9026">
        <v>80.151805740664997</v>
      </c>
      <c r="AK9026">
        <v>0.58860151495539503</v>
      </c>
      <c r="AL9026">
        <v>96.867610054654705</v>
      </c>
      <c r="AM9026">
        <v>81.457412628043599</v>
      </c>
      <c r="AN9026">
        <v>0.99999997630860404</v>
      </c>
    </row>
    <row r="9027" spans="1:40" x14ac:dyDescent="0.25">
      <c r="A9027" t="str">
        <f>"20190303154354989"</f>
        <v>20190303154354989</v>
      </c>
      <c r="B9027" t="str">
        <f>"1551599034979229"</f>
        <v>1551599034979229</v>
      </c>
      <c r="C9027" t="s">
        <v>40</v>
      </c>
      <c r="D9027">
        <v>5.8144159999999996</v>
      </c>
      <c r="E9027">
        <v>0.49337619999999999</v>
      </c>
      <c r="F9027" t="s">
        <v>42</v>
      </c>
      <c r="G9027">
        <v>-173.38489999999999</v>
      </c>
      <c r="H9027">
        <v>1.0100750000000001</v>
      </c>
      <c r="I9027">
        <v>135.3184</v>
      </c>
      <c r="J9027">
        <v>-173.9599</v>
      </c>
      <c r="K9027">
        <v>1.118185</v>
      </c>
      <c r="L9027">
        <v>135.36699999999999</v>
      </c>
      <c r="M9027">
        <v>0.99648020000000004</v>
      </c>
      <c r="N9027">
        <v>-1.4450849999999999E-2</v>
      </c>
      <c r="O9027">
        <v>8.2574700000000001E-2</v>
      </c>
      <c r="P9027">
        <v>0.98897930000000001</v>
      </c>
      <c r="Q9027">
        <v>-0.13434649999999901</v>
      </c>
      <c r="R9027">
        <v>-6.2220869999999998E-2</v>
      </c>
      <c r="S9027">
        <v>2.9702760000000001</v>
      </c>
      <c r="T9027">
        <v>-0.40272249999999998</v>
      </c>
      <c r="U9027">
        <v>-0.13429260000000001</v>
      </c>
      <c r="V9027">
        <v>0.142904799999999</v>
      </c>
      <c r="W9027">
        <v>-0.1210865</v>
      </c>
      <c r="X9027">
        <v>0.98230150000000005</v>
      </c>
      <c r="Y9027">
        <v>0.1256379</v>
      </c>
      <c r="Z9027">
        <v>-1.9333550000000001E-2</v>
      </c>
      <c r="AA9027">
        <v>0.99188770000000004</v>
      </c>
      <c r="AB9027">
        <v>22</v>
      </c>
      <c r="AC9027">
        <v>0.57500000000001705</v>
      </c>
      <c r="AD9027">
        <v>-0.108109999999999</v>
      </c>
      <c r="AE9027">
        <v>-4.8600000000021702E-2</v>
      </c>
      <c r="AF9027">
        <v>9.2666811037743005E-2</v>
      </c>
      <c r="AG9027">
        <v>-0.108109999999999</v>
      </c>
      <c r="AH9027">
        <v>0.54972704193608102</v>
      </c>
      <c r="AI9027">
        <v>100.974876974653</v>
      </c>
      <c r="AJ9027">
        <v>80.431673615524801</v>
      </c>
      <c r="AK9027">
        <v>0.56786858568131604</v>
      </c>
      <c r="AL9027">
        <v>96.954811859689897</v>
      </c>
      <c r="AM9027">
        <v>81.722703073860799</v>
      </c>
      <c r="AN9027">
        <v>0.99999997962376896</v>
      </c>
    </row>
    <row r="9028" spans="1:40" x14ac:dyDescent="0.25">
      <c r="A9028" t="str">
        <f>"20190303154355013"</f>
        <v>20190303154355013</v>
      </c>
      <c r="B9028" t="str">
        <f>"1551599035009485"</f>
        <v>1551599035009485</v>
      </c>
      <c r="C9028" t="s">
        <v>40</v>
      </c>
      <c r="D9028">
        <v>5.8168449999999998</v>
      </c>
      <c r="E9028">
        <v>0.49316310000000002</v>
      </c>
      <c r="F9028" t="s">
        <v>42</v>
      </c>
      <c r="G9028">
        <v>-173.1885</v>
      </c>
      <c r="H9028">
        <v>1.012038</v>
      </c>
      <c r="I9028">
        <v>135.3321</v>
      </c>
      <c r="J9028">
        <v>-173.73849999999999</v>
      </c>
      <c r="K9028">
        <v>1.1187309999999999</v>
      </c>
      <c r="L9028">
        <v>135.37970000000001</v>
      </c>
      <c r="M9028">
        <v>0.99682300000000001</v>
      </c>
      <c r="N9028">
        <v>-1.4335489999999999E-2</v>
      </c>
      <c r="O9028">
        <v>7.8349470000000004E-2</v>
      </c>
      <c r="P9028">
        <v>0.98844829999999995</v>
      </c>
      <c r="Q9028">
        <v>-0.13847599999999999</v>
      </c>
      <c r="R9028">
        <v>-6.1602799999999999E-2</v>
      </c>
      <c r="S9028">
        <v>2.9694820000000002</v>
      </c>
      <c r="T9028">
        <v>-0.40854819999999997</v>
      </c>
      <c r="U9028">
        <v>-0.13403319999999999</v>
      </c>
      <c r="V9028">
        <v>0.13823440000000001</v>
      </c>
      <c r="W9028">
        <v>-0.12510560000000001</v>
      </c>
      <c r="X9028">
        <v>0.98246619999999996</v>
      </c>
      <c r="Y9028">
        <v>0.1213775</v>
      </c>
      <c r="Z9028">
        <v>-1.8783060000000001E-2</v>
      </c>
      <c r="AA9028">
        <v>0.99242870000000005</v>
      </c>
      <c r="AB9028">
        <v>22</v>
      </c>
      <c r="AC9028">
        <v>0.54999999999998295</v>
      </c>
      <c r="AD9028">
        <v>-0.106692999999999</v>
      </c>
      <c r="AE9028">
        <v>-4.76000000000169E-2</v>
      </c>
      <c r="AF9028">
        <v>8.7289886838663899E-2</v>
      </c>
      <c r="AG9028">
        <v>-0.106692999999999</v>
      </c>
      <c r="AH9028">
        <v>0.52497077131111403</v>
      </c>
      <c r="AI9028">
        <v>101.33656851914699</v>
      </c>
      <c r="AJ9028">
        <v>80.559474024375206</v>
      </c>
      <c r="AK9028">
        <v>0.54276811929616198</v>
      </c>
      <c r="AL9028">
        <v>97.1868541063116</v>
      </c>
      <c r="AM9028">
        <v>81.990976949032003</v>
      </c>
      <c r="AN9028">
        <v>0.99999999731858003</v>
      </c>
    </row>
    <row r="9029" spans="1:40" x14ac:dyDescent="0.25">
      <c r="A9029" t="str">
        <f>"20190303154355035"</f>
        <v>20190303154355035</v>
      </c>
      <c r="B9029" t="str">
        <f>"1551599035029005"</f>
        <v>1551599035029005</v>
      </c>
      <c r="C9029" t="s">
        <v>40</v>
      </c>
      <c r="D9029">
        <v>5.7956009999999996</v>
      </c>
      <c r="E9029">
        <v>0.4929288</v>
      </c>
      <c r="F9029" t="s">
        <v>42</v>
      </c>
      <c r="G9029">
        <v>-172.9933</v>
      </c>
      <c r="H9029">
        <v>1.012729</v>
      </c>
      <c r="I9029">
        <v>135.3468</v>
      </c>
      <c r="J9029">
        <v>-173.51650000000001</v>
      </c>
      <c r="K9029">
        <v>1.119299</v>
      </c>
      <c r="L9029">
        <v>135.39250000000001</v>
      </c>
      <c r="M9029">
        <v>0.99708540000000001</v>
      </c>
      <c r="N9029">
        <v>-1.4233890000000001E-2</v>
      </c>
      <c r="O9029">
        <v>7.4955309999999997E-2</v>
      </c>
      <c r="P9029">
        <v>0.98814329999999995</v>
      </c>
      <c r="Q9029">
        <v>-0.1399281</v>
      </c>
      <c r="R9029">
        <v>-6.3190330000000003E-2</v>
      </c>
      <c r="S9029">
        <v>2.967819</v>
      </c>
      <c r="T9029">
        <v>-0.42208410000000002</v>
      </c>
      <c r="U9029">
        <v>-0.13031010000000001</v>
      </c>
      <c r="V9029">
        <v>0.1366269</v>
      </c>
      <c r="W9029">
        <v>-0.12645419999999999</v>
      </c>
      <c r="X9029">
        <v>0.98251840000000001</v>
      </c>
      <c r="Y9029">
        <v>0.1167316</v>
      </c>
      <c r="Z9029">
        <v>-1.8627749999999998E-2</v>
      </c>
      <c r="AA9029">
        <v>0.9929888</v>
      </c>
      <c r="AB9029">
        <v>22</v>
      </c>
      <c r="AC9029">
        <v>0.523200000000002</v>
      </c>
      <c r="AD9029">
        <v>-0.10657</v>
      </c>
      <c r="AE9029">
        <v>-4.5700000000010697E-2</v>
      </c>
      <c r="AF9029">
        <v>8.1438761827871603E-2</v>
      </c>
      <c r="AG9029">
        <v>-0.10657</v>
      </c>
      <c r="AH9029">
        <v>0.49780496211324698</v>
      </c>
      <c r="AI9029">
        <v>101.9295252384</v>
      </c>
      <c r="AJ9029">
        <v>80.7089593239767</v>
      </c>
      <c r="AK9029">
        <v>0.51555719094260299</v>
      </c>
      <c r="AL9029">
        <v>97.264741821832303</v>
      </c>
      <c r="AM9029">
        <v>82.083339753842495</v>
      </c>
      <c r="AN9029">
        <v>0.99999999041990495</v>
      </c>
    </row>
    <row r="9030" spans="1:40" x14ac:dyDescent="0.25">
      <c r="A9030" t="str">
        <f>"20190303154355058"</f>
        <v>20190303154355058</v>
      </c>
      <c r="B9030" t="str">
        <f>"1551599035049501"</f>
        <v>1551599035049501</v>
      </c>
      <c r="C9030" t="s">
        <v>40</v>
      </c>
      <c r="D9030">
        <v>5.8018519999999896</v>
      </c>
      <c r="E9030">
        <v>0.49264429999999998</v>
      </c>
      <c r="F9030" t="s">
        <v>42</v>
      </c>
      <c r="G9030">
        <v>-172.7972</v>
      </c>
      <c r="H9030">
        <v>1.0158830000000001</v>
      </c>
      <c r="I9030">
        <v>135.36009999999999</v>
      </c>
      <c r="J9030">
        <v>-173.30279999999999</v>
      </c>
      <c r="K9030">
        <v>1.119828</v>
      </c>
      <c r="L9030">
        <v>135.40520000000001</v>
      </c>
      <c r="M9030">
        <v>0.99726090000000001</v>
      </c>
      <c r="N9030">
        <v>-1.414841E-2</v>
      </c>
      <c r="O9030">
        <v>7.2600330000000005E-2</v>
      </c>
      <c r="P9030">
        <v>0.98802380000000001</v>
      </c>
      <c r="Q9030">
        <v>-0.14186860000000001</v>
      </c>
      <c r="R9030">
        <v>-6.0681350000000002E-2</v>
      </c>
      <c r="S9030">
        <v>2.9670559999999999</v>
      </c>
      <c r="T9030">
        <v>-0.42650379999999899</v>
      </c>
      <c r="U9030">
        <v>-0.1333618</v>
      </c>
      <c r="V9030">
        <v>0.13196350000000001</v>
      </c>
      <c r="W9030">
        <v>-0.12827959999999999</v>
      </c>
      <c r="X9030">
        <v>0.98291910000000005</v>
      </c>
      <c r="Y9030">
        <v>0.1154105</v>
      </c>
      <c r="Z9030">
        <v>-1.842247E-2</v>
      </c>
      <c r="AA9030">
        <v>0.993147</v>
      </c>
      <c r="AB9030">
        <v>22</v>
      </c>
      <c r="AC9030">
        <v>0.50559999999998695</v>
      </c>
      <c r="AD9030">
        <v>-0.103944999999999</v>
      </c>
      <c r="AE9030">
        <v>-4.5100000000019201E-2</v>
      </c>
      <c r="AF9030">
        <v>7.8403692612853307E-2</v>
      </c>
      <c r="AG9030">
        <v>-0.103944999999999</v>
      </c>
      <c r="AH9030">
        <v>0.48082854847099799</v>
      </c>
      <c r="AI9030">
        <v>102.044095066132</v>
      </c>
      <c r="AJ9030">
        <v>80.738880791755605</v>
      </c>
      <c r="AK9030">
        <v>0.49814435163420001</v>
      </c>
      <c r="AL9030">
        <v>97.370188354992194</v>
      </c>
      <c r="AM9030">
        <v>82.353380578090807</v>
      </c>
      <c r="AN9030">
        <v>0.99999998912660903</v>
      </c>
    </row>
    <row r="9031" spans="1:40" x14ac:dyDescent="0.25">
      <c r="A9031" t="str">
        <f>"20190303154355079"</f>
        <v>20190303154355079</v>
      </c>
      <c r="B9031" t="str">
        <f>"1551599035069021"</f>
        <v>1551599035069021</v>
      </c>
      <c r="C9031" t="s">
        <v>40</v>
      </c>
      <c r="D9031">
        <v>5.7641799999999996</v>
      </c>
      <c r="E9031">
        <v>0.4924135</v>
      </c>
      <c r="F9031" t="s">
        <v>42</v>
      </c>
      <c r="G9031">
        <v>-172.42</v>
      </c>
      <c r="H9031">
        <v>0.99133789999999999</v>
      </c>
      <c r="I9031">
        <v>135.36840000000001</v>
      </c>
      <c r="J9031">
        <v>-173.08609999999999</v>
      </c>
      <c r="K9031">
        <v>1.120323</v>
      </c>
      <c r="L9031">
        <v>135.4186</v>
      </c>
      <c r="M9031">
        <v>0.99737319999999996</v>
      </c>
      <c r="N9031">
        <v>-1.407306E-2</v>
      </c>
      <c r="O9031">
        <v>7.1055469999999996E-2</v>
      </c>
      <c r="P9031">
        <v>0.98759450000000004</v>
      </c>
      <c r="Q9031">
        <v>-0.14605190000000001</v>
      </c>
      <c r="R9031">
        <v>-5.7671649999999998E-2</v>
      </c>
      <c r="S9031">
        <v>2.9667819999999998</v>
      </c>
      <c r="T9031">
        <v>-0.43181130000000001</v>
      </c>
      <c r="U9031">
        <v>-0.1234741</v>
      </c>
      <c r="V9031">
        <v>0.1275685</v>
      </c>
      <c r="W9031">
        <v>-0.13236510000000001</v>
      </c>
      <c r="X9031">
        <v>0.98295770000000005</v>
      </c>
      <c r="Y9031">
        <v>0.1105916</v>
      </c>
      <c r="Z9031">
        <v>-1.8071239999999999E-2</v>
      </c>
      <c r="AA9031">
        <v>0.99370159999999996</v>
      </c>
      <c r="AB9031">
        <v>22</v>
      </c>
      <c r="AC9031">
        <v>0.66610000000000003</v>
      </c>
      <c r="AD9031">
        <v>-0.12898509999999899</v>
      </c>
      <c r="AE9031">
        <v>-5.0199999999989503E-2</v>
      </c>
      <c r="AF9031">
        <v>9.3906464391767405E-2</v>
      </c>
      <c r="AG9031">
        <v>-0.12898509999999899</v>
      </c>
      <c r="AH9031">
        <v>0.63709426354421295</v>
      </c>
      <c r="AI9031">
        <v>101.326145075393</v>
      </c>
      <c r="AJ9031">
        <v>81.615088915901694</v>
      </c>
      <c r="AK9031">
        <v>0.65676836153815699</v>
      </c>
      <c r="AL9031">
        <v>97.606283542077406</v>
      </c>
      <c r="AM9031">
        <v>82.605469492655899</v>
      </c>
      <c r="AN9031">
        <v>1.00000004093977</v>
      </c>
    </row>
    <row r="9032" spans="1:40" x14ac:dyDescent="0.25">
      <c r="A9032" t="str">
        <f>"20190303154355102"</f>
        <v>20190303154355102</v>
      </c>
      <c r="B9032" t="str">
        <f>"1551599035099276"</f>
        <v>1551599035099276</v>
      </c>
      <c r="C9032" t="s">
        <v>40</v>
      </c>
      <c r="D9032">
        <v>5.7244250000000001</v>
      </c>
      <c r="E9032">
        <v>0.49215009999999998</v>
      </c>
      <c r="F9032" t="s">
        <v>42</v>
      </c>
      <c r="G9032">
        <v>-172.2268</v>
      </c>
      <c r="H9032">
        <v>0.99186750000000001</v>
      </c>
      <c r="I9032">
        <v>135.38579999999999</v>
      </c>
      <c r="J9032">
        <v>-172.8691</v>
      </c>
      <c r="K9032">
        <v>1.1207400000000001</v>
      </c>
      <c r="L9032">
        <v>135.43260000000001</v>
      </c>
      <c r="M9032">
        <v>0.99743419999999905</v>
      </c>
      <c r="N9032">
        <v>-1.4008369999999999E-2</v>
      </c>
      <c r="O9032">
        <v>7.0206519999999994E-2</v>
      </c>
      <c r="P9032">
        <v>0.98721300000000001</v>
      </c>
      <c r="Q9032">
        <v>-0.14975359999999999</v>
      </c>
      <c r="R9032">
        <v>-5.4633550000000003E-2</v>
      </c>
      <c r="S9032">
        <v>2.9655300000000002</v>
      </c>
      <c r="T9032">
        <v>-0.44334170000000001</v>
      </c>
      <c r="U9032">
        <v>-0.11262510000000001</v>
      </c>
      <c r="V9032">
        <v>0.1238151</v>
      </c>
      <c r="W9032">
        <v>-0.135996799999999</v>
      </c>
      <c r="X9032">
        <v>0.98294190000000004</v>
      </c>
      <c r="Y9032">
        <v>0.1060908</v>
      </c>
      <c r="Z9032">
        <v>-1.8083950000000001E-2</v>
      </c>
      <c r="AA9032">
        <v>0.99419199999999996</v>
      </c>
      <c r="AB9032">
        <v>22</v>
      </c>
      <c r="AC9032">
        <v>0.64230000000000498</v>
      </c>
      <c r="AD9032">
        <v>-0.1288725</v>
      </c>
      <c r="AE9032">
        <v>-4.6800000000018799E-2</v>
      </c>
      <c r="AF9032">
        <v>8.8248674352989706E-2</v>
      </c>
      <c r="AG9032">
        <v>-0.1288725</v>
      </c>
      <c r="AH9032">
        <v>0.61288597533372202</v>
      </c>
      <c r="AI9032">
        <v>101.75685609048899</v>
      </c>
      <c r="AJ9032">
        <v>81.806369168617096</v>
      </c>
      <c r="AK9032">
        <v>0.63247542920027899</v>
      </c>
      <c r="AL9032">
        <v>97.816263599080102</v>
      </c>
      <c r="AM9032">
        <v>82.820617830554298</v>
      </c>
      <c r="AN9032">
        <v>1.0000000436869201</v>
      </c>
    </row>
    <row r="9033" spans="1:40" x14ac:dyDescent="0.25">
      <c r="A9033" t="str">
        <f>"20190303154355124"</f>
        <v>20190303154355124</v>
      </c>
      <c r="B9033" t="str">
        <f>"1551599035118796"</f>
        <v>1551599035118796</v>
      </c>
      <c r="C9033" t="s">
        <v>40</v>
      </c>
      <c r="D9033">
        <v>5.7459499999999997</v>
      </c>
      <c r="E9033">
        <v>0.49212499999999998</v>
      </c>
      <c r="F9033" t="s">
        <v>42</v>
      </c>
      <c r="G9033">
        <v>-172.03360000000001</v>
      </c>
      <c r="H9033">
        <v>0.99317339999999998</v>
      </c>
      <c r="I9033">
        <v>135.40389999999999</v>
      </c>
      <c r="J9033">
        <v>-172.65599999999901</v>
      </c>
      <c r="K9033">
        <v>1.121105</v>
      </c>
      <c r="L9033">
        <v>135.4469</v>
      </c>
      <c r="M9033">
        <v>0.99744860000000002</v>
      </c>
      <c r="N9033">
        <v>-1.3953E-2</v>
      </c>
      <c r="O9033">
        <v>7.001251E-2</v>
      </c>
      <c r="P9033">
        <v>0.98704380000000003</v>
      </c>
      <c r="Q9033">
        <v>-0.1523659</v>
      </c>
      <c r="R9033">
        <v>-5.0290019999999998E-2</v>
      </c>
      <c r="S9033">
        <v>2.964569</v>
      </c>
      <c r="T9033">
        <v>-0.4527407</v>
      </c>
      <c r="U9033">
        <v>-0.10137939999999999</v>
      </c>
      <c r="V9033">
        <v>0.1193997</v>
      </c>
      <c r="W9033">
        <v>-0.13855770000000001</v>
      </c>
      <c r="X9033">
        <v>0.98313050000000002</v>
      </c>
      <c r="Y9033">
        <v>0.1021102</v>
      </c>
      <c r="Z9033">
        <v>-1.8119110000000001E-2</v>
      </c>
      <c r="AA9033">
        <v>0.99460800000000005</v>
      </c>
      <c r="AB9033">
        <v>22</v>
      </c>
      <c r="AC9033">
        <v>0.62239999999996998</v>
      </c>
      <c r="AD9033">
        <v>-0.12793160000000001</v>
      </c>
      <c r="AE9033">
        <v>-4.3000000000006297E-2</v>
      </c>
      <c r="AF9033">
        <v>8.2985104643406998E-2</v>
      </c>
      <c r="AG9033">
        <v>-0.12793160000000001</v>
      </c>
      <c r="AH9033">
        <v>0.59292987554430898</v>
      </c>
      <c r="AI9033">
        <v>102.06152404069201</v>
      </c>
      <c r="AJ9033">
        <v>82.032766356914195</v>
      </c>
      <c r="AK9033">
        <v>0.61222451697414604</v>
      </c>
      <c r="AL9033">
        <v>97.964394736439701</v>
      </c>
      <c r="AM9033">
        <v>83.075427265022896</v>
      </c>
      <c r="AN9033">
        <v>1.00000005230981</v>
      </c>
    </row>
    <row r="9034" spans="1:40" x14ac:dyDescent="0.25">
      <c r="A9034" t="str">
        <f>"20190303154355147"</f>
        <v>20190303154355147</v>
      </c>
      <c r="B9034" t="str">
        <f>"1551599035139292"</f>
        <v>1551599035139292</v>
      </c>
      <c r="C9034" t="s">
        <v>40</v>
      </c>
      <c r="D9034">
        <v>5.7147050000000004</v>
      </c>
      <c r="E9034">
        <v>0.49203380000000002</v>
      </c>
      <c r="F9034" t="s">
        <v>42</v>
      </c>
      <c r="G9034">
        <v>-171.8407</v>
      </c>
      <c r="H9034">
        <v>0.99483010000000005</v>
      </c>
      <c r="I9034">
        <v>135.42230000000001</v>
      </c>
      <c r="J9034">
        <v>-172.43719999999999</v>
      </c>
      <c r="K9034">
        <v>1.121442</v>
      </c>
      <c r="L9034">
        <v>135.4622</v>
      </c>
      <c r="M9034">
        <v>0.99741630000000003</v>
      </c>
      <c r="N9034">
        <v>-1.390428E-2</v>
      </c>
      <c r="O9034">
        <v>7.0480849999999998E-2</v>
      </c>
      <c r="P9034">
        <v>0.98714729999999995</v>
      </c>
      <c r="Q9034">
        <v>-0.15310409999999999</v>
      </c>
      <c r="R9034">
        <v>-4.5822880000000003E-2</v>
      </c>
      <c r="S9034">
        <v>2.9639739999999999</v>
      </c>
      <c r="T9034">
        <v>-0.45932529999999999</v>
      </c>
      <c r="U9034">
        <v>-8.8165279999999999E-2</v>
      </c>
      <c r="V9034">
        <v>0.1155274</v>
      </c>
      <c r="W9034">
        <v>-0.1392466</v>
      </c>
      <c r="X9034">
        <v>0.98349569999999997</v>
      </c>
      <c r="Y9034">
        <v>9.8141880000000001E-2</v>
      </c>
      <c r="Z9034">
        <v>-1.812099E-2</v>
      </c>
      <c r="AA9034">
        <v>0.99500750000000004</v>
      </c>
      <c r="AB9034">
        <v>22</v>
      </c>
      <c r="AC9034">
        <v>0.59649999999999104</v>
      </c>
      <c r="AD9034">
        <v>-0.1266119</v>
      </c>
      <c r="AE9034">
        <v>-3.9899999999988701E-2</v>
      </c>
      <c r="AF9034">
        <v>7.8333182423855896E-2</v>
      </c>
      <c r="AG9034">
        <v>-0.1266119</v>
      </c>
      <c r="AH9034">
        <v>0.56678208898388305</v>
      </c>
      <c r="AI9034">
        <v>102.47756415187</v>
      </c>
      <c r="AJ9034">
        <v>82.1311777373989</v>
      </c>
      <c r="AK9034">
        <v>0.58601074826592903</v>
      </c>
      <c r="AL9034">
        <v>98.004252642320296</v>
      </c>
      <c r="AM9034">
        <v>83.300390282642098</v>
      </c>
      <c r="AN9034">
        <v>0.99999999384040394</v>
      </c>
    </row>
    <row r="9035" spans="1:40" x14ac:dyDescent="0.25">
      <c r="A9035" t="str">
        <f>"20190303154355169"</f>
        <v>20190303154355169</v>
      </c>
      <c r="B9035" t="str">
        <f>"1551599035158812"</f>
        <v>1551599035158812</v>
      </c>
      <c r="C9035" t="s">
        <v>40</v>
      </c>
      <c r="D9035">
        <v>5.6798950000000001</v>
      </c>
      <c r="E9035">
        <v>0.49202000000000001</v>
      </c>
      <c r="F9035" t="s">
        <v>42</v>
      </c>
      <c r="G9035">
        <v>-171.64709999999999</v>
      </c>
      <c r="H9035">
        <v>0.99881889999999995</v>
      </c>
      <c r="I9035">
        <v>135.4425</v>
      </c>
      <c r="J9035">
        <v>-172.22640000000001</v>
      </c>
      <c r="K9035">
        <v>1.1217839999999999</v>
      </c>
      <c r="L9035">
        <v>135.4778</v>
      </c>
      <c r="M9035">
        <v>0.99733890000000003</v>
      </c>
      <c r="N9035">
        <v>-1.3867880000000001E-2</v>
      </c>
      <c r="O9035">
        <v>7.157587E-2</v>
      </c>
      <c r="P9035">
        <v>0.98721289999999995</v>
      </c>
      <c r="Q9035">
        <v>-0.15404860000000001</v>
      </c>
      <c r="R9035">
        <v>-4.0994370000000002E-2</v>
      </c>
      <c r="S9035">
        <v>2.9642490000000001</v>
      </c>
      <c r="T9035">
        <v>-0.46010760000000001</v>
      </c>
      <c r="U9035">
        <v>-7.3974609999999996E-2</v>
      </c>
      <c r="V9035">
        <v>0.1119134</v>
      </c>
      <c r="W9035">
        <v>-0.1401345</v>
      </c>
      <c r="X9035">
        <v>0.98378739999999998</v>
      </c>
      <c r="Y9035">
        <v>9.4501059999999998E-2</v>
      </c>
      <c r="Z9035">
        <v>-1.7998960000000001E-2</v>
      </c>
      <c r="AA9035">
        <v>0.99536199999999997</v>
      </c>
      <c r="AB9035">
        <v>22</v>
      </c>
      <c r="AC9035">
        <v>0.57930000000001702</v>
      </c>
      <c r="AD9035">
        <v>-0.12296509999999999</v>
      </c>
      <c r="AE9035">
        <v>-3.53000000000065E-2</v>
      </c>
      <c r="AF9035">
        <v>7.3383175096634806E-2</v>
      </c>
      <c r="AG9035">
        <v>-0.12296509999999999</v>
      </c>
      <c r="AH9035">
        <v>0.550571998235316</v>
      </c>
      <c r="AI9035">
        <v>102.482970863208</v>
      </c>
      <c r="AJ9035">
        <v>82.408058522376905</v>
      </c>
      <c r="AK9035">
        <v>0.56888929630122498</v>
      </c>
      <c r="AL9035">
        <v>98.055629515766299</v>
      </c>
      <c r="AM9035">
        <v>83.510062503089003</v>
      </c>
      <c r="AN9035">
        <v>0.99999996779428402</v>
      </c>
    </row>
    <row r="9036" spans="1:40" x14ac:dyDescent="0.25">
      <c r="A9036" t="str">
        <f>"20190303154355191"</f>
        <v>20190303154355191</v>
      </c>
      <c r="B9036" t="str">
        <f>"1551599035189068"</f>
        <v>1551599035189068</v>
      </c>
      <c r="C9036" t="s">
        <v>40</v>
      </c>
      <c r="D9036">
        <v>5.6944059999999999</v>
      </c>
      <c r="E9036">
        <v>0.4920369</v>
      </c>
      <c r="F9036" t="s">
        <v>42</v>
      </c>
      <c r="G9036">
        <v>-171.4546</v>
      </c>
      <c r="H9036">
        <v>1.0015459999999901</v>
      </c>
      <c r="I9036">
        <v>135.46209999999999</v>
      </c>
      <c r="J9036">
        <v>-172.01519999999999</v>
      </c>
      <c r="K9036">
        <v>1.1221680000000001</v>
      </c>
      <c r="L9036">
        <v>135.49440000000001</v>
      </c>
      <c r="M9036">
        <v>0.99721490000000002</v>
      </c>
      <c r="N9036">
        <v>-1.38435E-2</v>
      </c>
      <c r="O9036">
        <v>7.3287489999999997E-2</v>
      </c>
      <c r="P9036">
        <v>0.98749960000000003</v>
      </c>
      <c r="Q9036">
        <v>-0.1536419</v>
      </c>
      <c r="R9036">
        <v>-3.5197409999999998E-2</v>
      </c>
      <c r="S9036">
        <v>2.9642789999999999</v>
      </c>
      <c r="T9036">
        <v>-0.46212969999999998</v>
      </c>
      <c r="U9036">
        <v>-5.9402469999999999E-2</v>
      </c>
      <c r="V9036">
        <v>0.10796749999999999</v>
      </c>
      <c r="W9036">
        <v>-0.13965459999999999</v>
      </c>
      <c r="X9036">
        <v>0.98429650000000002</v>
      </c>
      <c r="Y9036">
        <v>9.1325340000000005E-2</v>
      </c>
      <c r="Z9036">
        <v>-1.8052410000000001E-2</v>
      </c>
      <c r="AA9036">
        <v>0.99565740000000003</v>
      </c>
      <c r="AB9036">
        <v>22</v>
      </c>
      <c r="AC9036">
        <v>0.56059999999999299</v>
      </c>
      <c r="AD9036">
        <v>-0.12062199999999999</v>
      </c>
      <c r="AE9036">
        <v>-3.2300000000020597E-2</v>
      </c>
      <c r="AF9036">
        <v>7.0068824621113093E-2</v>
      </c>
      <c r="AG9036">
        <v>-0.12062199999999999</v>
      </c>
      <c r="AH9036">
        <v>0.53216880347159801</v>
      </c>
      <c r="AI9036">
        <v>102.665202082856</v>
      </c>
      <c r="AJ9036">
        <v>82.499209183294496</v>
      </c>
      <c r="AK9036">
        <v>0.55014810956339399</v>
      </c>
      <c r="AL9036">
        <v>98.0278599849849</v>
      </c>
      <c r="AM9036">
        <v>83.740250472817195</v>
      </c>
      <c r="AN9036">
        <v>0.99999999413482998</v>
      </c>
    </row>
    <row r="9037" spans="1:40" x14ac:dyDescent="0.25">
      <c r="A9037" t="str">
        <f>"20190303154355214"</f>
        <v>20190303154355214</v>
      </c>
      <c r="B9037" t="str">
        <f>"1551599035209565"</f>
        <v>1551599035209565</v>
      </c>
      <c r="C9037" t="s">
        <v>40</v>
      </c>
      <c r="D9037">
        <v>5.6116760000000001</v>
      </c>
      <c r="E9037">
        <v>0.4920658</v>
      </c>
      <c r="F9037" t="s">
        <v>42</v>
      </c>
      <c r="G9037">
        <v>-171.2619</v>
      </c>
      <c r="H9037">
        <v>1.005906</v>
      </c>
      <c r="I9037">
        <v>135.4836</v>
      </c>
      <c r="J9037">
        <v>-171.80009999999999</v>
      </c>
      <c r="K9037">
        <v>1.122576</v>
      </c>
      <c r="L9037">
        <v>135.51240000000001</v>
      </c>
      <c r="M9037">
        <v>0.99704099999999996</v>
      </c>
      <c r="N9037">
        <v>-1.3829559999999999E-2</v>
      </c>
      <c r="O9037">
        <v>7.5619000000000006E-2</v>
      </c>
      <c r="P9037">
        <v>0.98779320000000004</v>
      </c>
      <c r="Q9037">
        <v>-0.15322949999999999</v>
      </c>
      <c r="R9037">
        <v>-2.8027779999999999E-2</v>
      </c>
      <c r="S9037">
        <v>2.9652560000000001</v>
      </c>
      <c r="T9037">
        <v>-0.45774340000000002</v>
      </c>
      <c r="U9037">
        <v>-4.2205810000000003E-2</v>
      </c>
      <c r="V9037">
        <v>0.1032714</v>
      </c>
      <c r="W9037">
        <v>-0.13916400000000001</v>
      </c>
      <c r="X9037">
        <v>0.98486969999999996</v>
      </c>
      <c r="Y9037">
        <v>8.7932739999999995E-2</v>
      </c>
      <c r="Z9037">
        <v>-1.7915070000000002E-2</v>
      </c>
      <c r="AA9037">
        <v>0.99596530000000005</v>
      </c>
      <c r="AB9037">
        <v>22</v>
      </c>
      <c r="AC9037">
        <v>0.53819999999998902</v>
      </c>
      <c r="AD9037">
        <v>-0.11667</v>
      </c>
      <c r="AE9037">
        <v>-2.8800000000018099E-2</v>
      </c>
      <c r="AF9037">
        <v>6.6312258193942403E-2</v>
      </c>
      <c r="AG9037">
        <v>-0.11667</v>
      </c>
      <c r="AH9037">
        <v>0.51055672111444705</v>
      </c>
      <c r="AI9037">
        <v>102.768255090379</v>
      </c>
      <c r="AJ9037">
        <v>82.599722150851903</v>
      </c>
      <c r="AK9037">
        <v>0.52789901492796498</v>
      </c>
      <c r="AL9037">
        <v>97.999473723350903</v>
      </c>
      <c r="AM9037">
        <v>84.013958304502694</v>
      </c>
      <c r="AN9037">
        <v>0.99999996346602404</v>
      </c>
    </row>
    <row r="9038" spans="1:40" x14ac:dyDescent="0.25">
      <c r="A9038" t="str">
        <f>"20190303154355236"</f>
        <v>20190303154355236</v>
      </c>
      <c r="B9038" t="str">
        <f>"1551599035229085"</f>
        <v>1551599035229085</v>
      </c>
      <c r="C9038" t="s">
        <v>40</v>
      </c>
      <c r="D9038">
        <v>5.6167699999999998</v>
      </c>
      <c r="E9038">
        <v>0.49207190000000001</v>
      </c>
      <c r="F9038" t="s">
        <v>42</v>
      </c>
      <c r="G9038">
        <v>-171.06960000000001</v>
      </c>
      <c r="H9038">
        <v>1.0106120000000001</v>
      </c>
      <c r="I9038">
        <v>135.50720000000001</v>
      </c>
      <c r="J9038">
        <v>-171.5857</v>
      </c>
      <c r="K9038">
        <v>1.1229450000000001</v>
      </c>
      <c r="L9038">
        <v>135.5317</v>
      </c>
      <c r="M9038">
        <v>0.99681850000000005</v>
      </c>
      <c r="N9038">
        <v>-1.382221E-2</v>
      </c>
      <c r="O9038">
        <v>7.8498040000000005E-2</v>
      </c>
      <c r="P9038">
        <v>0.98824460000000003</v>
      </c>
      <c r="Q9038">
        <v>-0.1515299</v>
      </c>
      <c r="R9038">
        <v>-2.028829E-2</v>
      </c>
      <c r="S9038">
        <v>2.9659580000000001</v>
      </c>
      <c r="T9038">
        <v>-0.45467259999999998</v>
      </c>
      <c r="U9038">
        <v>-2.082825E-2</v>
      </c>
      <c r="V9038">
        <v>9.8541139999999999E-2</v>
      </c>
      <c r="W9038">
        <v>-0.1373972</v>
      </c>
      <c r="X9038">
        <v>0.98560219999999998</v>
      </c>
      <c r="Y9038">
        <v>8.3679799999999999E-2</v>
      </c>
      <c r="Z9038">
        <v>-1.7833559999999998E-2</v>
      </c>
      <c r="AA9038">
        <v>0.99633309999999997</v>
      </c>
      <c r="AB9038">
        <v>22</v>
      </c>
      <c r="AC9038">
        <v>0.51609999999999401</v>
      </c>
      <c r="AD9038">
        <v>-0.112333</v>
      </c>
      <c r="AE9038">
        <v>-2.4499999999988999E-2</v>
      </c>
      <c r="AF9038">
        <v>6.2009988955943098E-2</v>
      </c>
      <c r="AG9038">
        <v>-0.112333</v>
      </c>
      <c r="AH9038">
        <v>0.48944840073825602</v>
      </c>
      <c r="AI9038">
        <v>102.826959862096</v>
      </c>
      <c r="AJ9038">
        <v>82.779459339248703</v>
      </c>
      <c r="AK9038">
        <v>0.50598782456157299</v>
      </c>
      <c r="AL9038">
        <v>97.897261116250604</v>
      </c>
      <c r="AM9038">
        <v>84.290505055818898</v>
      </c>
      <c r="AN9038">
        <v>1.00000002174258</v>
      </c>
    </row>
    <row r="9039" spans="1:40" x14ac:dyDescent="0.25">
      <c r="A9039" t="str">
        <f>"20190303154355258"</f>
        <v>20190303154355258</v>
      </c>
      <c r="B9039" t="str">
        <f>"1551599035249581"</f>
        <v>1551599035249581</v>
      </c>
      <c r="C9039" t="s">
        <v>40</v>
      </c>
      <c r="D9039">
        <v>5.5776870000000001</v>
      </c>
      <c r="E9039">
        <v>0.49218299999999998</v>
      </c>
      <c r="F9039" t="s">
        <v>42</v>
      </c>
      <c r="G9039">
        <v>-170.69980000000001</v>
      </c>
      <c r="H9039">
        <v>0.98940539999999999</v>
      </c>
      <c r="I9039">
        <v>135.53229999999999</v>
      </c>
      <c r="J9039">
        <v>-171.3785</v>
      </c>
      <c r="K9039">
        <v>1.123216</v>
      </c>
      <c r="L9039">
        <v>135.55160000000001</v>
      </c>
      <c r="M9039">
        <v>0.99655749999999999</v>
      </c>
      <c r="N9039">
        <v>-1.3816510000000001E-2</v>
      </c>
      <c r="O9039">
        <v>8.1745079999999998E-2</v>
      </c>
      <c r="P9039">
        <v>0.9887823</v>
      </c>
      <c r="Q9039">
        <v>-0.1487637</v>
      </c>
      <c r="R9039">
        <v>-1.338139E-2</v>
      </c>
      <c r="S9039">
        <v>2.9671020000000001</v>
      </c>
      <c r="T9039">
        <v>-0.44747880000000001</v>
      </c>
      <c r="U9039">
        <v>2.319336E-3</v>
      </c>
      <c r="V9039">
        <v>9.4973020000000005E-2</v>
      </c>
      <c r="W9039">
        <v>-0.13458729999999999</v>
      </c>
      <c r="X9039">
        <v>0.98633990000000005</v>
      </c>
      <c r="Y9039">
        <v>7.9233719999999994E-2</v>
      </c>
      <c r="Z9039">
        <v>-1.7615749999999999E-2</v>
      </c>
      <c r="AA9039">
        <v>0.99670040000000004</v>
      </c>
      <c r="AB9039">
        <v>21</v>
      </c>
      <c r="AC9039">
        <v>0.67869999999999198</v>
      </c>
      <c r="AD9039">
        <v>-0.1338106</v>
      </c>
      <c r="AE9039">
        <v>-1.9300000000015399E-2</v>
      </c>
      <c r="AF9039">
        <v>7.1927447353745205E-2</v>
      </c>
      <c r="AG9039">
        <v>-0.1338106</v>
      </c>
      <c r="AH9039">
        <v>0.64961937959208205</v>
      </c>
      <c r="AI9039">
        <v>101.570386724786</v>
      </c>
      <c r="AJ9039">
        <v>83.681806431409797</v>
      </c>
      <c r="AK9039">
        <v>0.66714629032678296</v>
      </c>
      <c r="AL9039">
        <v>97.734756077011696</v>
      </c>
      <c r="AM9039">
        <v>84.500040874315602</v>
      </c>
      <c r="AN9039">
        <v>1.0000000070906101</v>
      </c>
    </row>
    <row r="9040" spans="1:40" x14ac:dyDescent="0.25">
      <c r="A9040" t="str">
        <f>"20190303154355281"</f>
        <v>20190303154355281</v>
      </c>
      <c r="B9040" t="str">
        <f>"1551599035269101"</f>
        <v>1551599035269101</v>
      </c>
      <c r="C9040" t="s">
        <v>40</v>
      </c>
      <c r="D9040">
        <v>5.5992059999999997</v>
      </c>
      <c r="E9040">
        <v>0.4922089</v>
      </c>
      <c r="F9040" t="s">
        <v>42</v>
      </c>
      <c r="G9040">
        <v>-170.50829999999999</v>
      </c>
      <c r="H9040">
        <v>0.99510160000000003</v>
      </c>
      <c r="I9040">
        <v>135.5581</v>
      </c>
      <c r="J9040">
        <v>-171.16130000000001</v>
      </c>
      <c r="K9040">
        <v>1.1233879999999901</v>
      </c>
      <c r="L9040">
        <v>135.5737</v>
      </c>
      <c r="M9040">
        <v>0.99624400000000002</v>
      </c>
      <c r="N9040">
        <v>-1.3808610000000001E-2</v>
      </c>
      <c r="O9040">
        <v>8.5483690000000001E-2</v>
      </c>
      <c r="P9040">
        <v>0.98951670000000003</v>
      </c>
      <c r="Q9040">
        <v>-0.14423259999999999</v>
      </c>
      <c r="R9040">
        <v>-7.3354029999999999E-3</v>
      </c>
      <c r="S9040">
        <v>2.9685519999999999</v>
      </c>
      <c r="T9040">
        <v>-0.43708609999999998</v>
      </c>
      <c r="U9040">
        <v>2.21405E-2</v>
      </c>
      <c r="V9040">
        <v>9.2722559999999996E-2</v>
      </c>
      <c r="W9040">
        <v>-0.13003390000000001</v>
      </c>
      <c r="X9040">
        <v>0.9871645</v>
      </c>
      <c r="Y9040">
        <v>7.6402150000000002E-2</v>
      </c>
      <c r="Z9040">
        <v>-1.7455519999999999E-2</v>
      </c>
      <c r="AA9040">
        <v>0.99692429999999999</v>
      </c>
      <c r="AB9040">
        <v>21</v>
      </c>
      <c r="AC9040">
        <v>0.65300000000002001</v>
      </c>
      <c r="AD9040">
        <v>-0.128286399999999</v>
      </c>
      <c r="AE9040">
        <v>-1.5600000000006199E-2</v>
      </c>
      <c r="AF9040">
        <v>6.8718356208232398E-2</v>
      </c>
      <c r="AG9040">
        <v>-0.128286399999999</v>
      </c>
      <c r="AH9040">
        <v>0.625161069044055</v>
      </c>
      <c r="AI9040">
        <v>101.52885246721</v>
      </c>
      <c r="AJ9040">
        <v>83.727171416085497</v>
      </c>
      <c r="AK9040">
        <v>0.64187691589059903</v>
      </c>
      <c r="AL9040">
        <v>97.471551127344199</v>
      </c>
      <c r="AM9040">
        <v>84.634055387070504</v>
      </c>
      <c r="AN9040">
        <v>1.0000000191712</v>
      </c>
    </row>
    <row r="9041" spans="1:40" x14ac:dyDescent="0.25">
      <c r="A9041" t="str">
        <f>"20190303154355303"</f>
        <v>20190303154355303</v>
      </c>
      <c r="B9041" t="str">
        <f>"1551599035299357"</f>
        <v>1551599035299357</v>
      </c>
      <c r="C9041" t="s">
        <v>40</v>
      </c>
      <c r="D9041">
        <v>5.601121</v>
      </c>
      <c r="E9041">
        <v>0.49205569999999998</v>
      </c>
      <c r="F9041" t="s">
        <v>42</v>
      </c>
      <c r="G9041">
        <v>-170.3159</v>
      </c>
      <c r="H9041">
        <v>1.003498</v>
      </c>
      <c r="I9041">
        <v>135.58510000000001</v>
      </c>
      <c r="J9041">
        <v>-170.95590000000001</v>
      </c>
      <c r="K9041">
        <v>1.1234500000000001</v>
      </c>
      <c r="L9041">
        <v>135.59559999999999</v>
      </c>
      <c r="M9041">
        <v>0.99591770000000002</v>
      </c>
      <c r="N9041">
        <v>-1.379936E-2</v>
      </c>
      <c r="O9041">
        <v>8.9205140000000002E-2</v>
      </c>
      <c r="P9041">
        <v>0.99025759999999996</v>
      </c>
      <c r="Q9041">
        <v>-0.13921549999999999</v>
      </c>
      <c r="R9041">
        <v>-2.943495E-3</v>
      </c>
      <c r="S9041">
        <v>2.9706730000000001</v>
      </c>
      <c r="T9041">
        <v>-0.42130319999999999</v>
      </c>
      <c r="U9041">
        <v>4.0023799999999998E-2</v>
      </c>
      <c r="V9041">
        <v>9.2071730000000004E-2</v>
      </c>
      <c r="W9041">
        <v>-0.1250136</v>
      </c>
      <c r="X9041">
        <v>0.98787369999999997</v>
      </c>
      <c r="Y9041">
        <v>7.4246870000000006E-2</v>
      </c>
      <c r="Z9041">
        <v>-1.7099779999999998E-2</v>
      </c>
      <c r="AA9041">
        <v>0.99709329999999996</v>
      </c>
      <c r="AB9041">
        <v>21</v>
      </c>
      <c r="AC9041">
        <v>0.640000000000014</v>
      </c>
      <c r="AD9041">
        <v>-0.119952</v>
      </c>
      <c r="AE9041">
        <v>-1.0499999999979E-2</v>
      </c>
      <c r="AF9041">
        <v>6.5262909143988398E-2</v>
      </c>
      <c r="AG9041">
        <v>-0.119952</v>
      </c>
      <c r="AH9041">
        <v>0.61491622102441101</v>
      </c>
      <c r="AI9041">
        <v>100.977953340165</v>
      </c>
      <c r="AJ9041">
        <v>83.941705869822599</v>
      </c>
      <c r="AK9041">
        <v>0.62989656967860896</v>
      </c>
      <c r="AL9041">
        <v>97.181540981316999</v>
      </c>
      <c r="AM9041">
        <v>84.675305359720397</v>
      </c>
      <c r="AN9041">
        <v>1.00000002540092</v>
      </c>
    </row>
    <row r="9042" spans="1:40" x14ac:dyDescent="0.25">
      <c r="A9042" t="str">
        <f>"20190303154355327"</f>
        <v>20190303154355327</v>
      </c>
      <c r="B9042" t="str">
        <f>"1551599035318878"</f>
        <v>1551599035318878</v>
      </c>
      <c r="C9042" t="s">
        <v>40</v>
      </c>
      <c r="D9042">
        <v>5.6301160000000001</v>
      </c>
      <c r="E9042">
        <v>0.49204170000000003</v>
      </c>
      <c r="F9042" t="s">
        <v>42</v>
      </c>
      <c r="G9042">
        <v>-170.12479999999999</v>
      </c>
      <c r="H9042">
        <v>1.0096350000000001</v>
      </c>
      <c r="I9042">
        <v>135.61080000000001</v>
      </c>
      <c r="J9042">
        <v>-170.73599999999999</v>
      </c>
      <c r="K9042">
        <v>1.1234249999999999</v>
      </c>
      <c r="L9042">
        <v>135.62</v>
      </c>
      <c r="M9042">
        <v>0.99554659999999995</v>
      </c>
      <c r="N9042">
        <v>-1.378883E-2</v>
      </c>
      <c r="O9042">
        <v>9.3257160000000006E-2</v>
      </c>
      <c r="P9042">
        <v>0.99098450000000005</v>
      </c>
      <c r="Q9042">
        <v>-0.13397679999999901</v>
      </c>
      <c r="R9042">
        <v>-1.534796E-4</v>
      </c>
      <c r="S9042">
        <v>2.972458</v>
      </c>
      <c r="T9042">
        <v>-0.40704259999999998</v>
      </c>
      <c r="U9042">
        <v>5.4367070000000003E-2</v>
      </c>
      <c r="V9042">
        <v>9.3323439999999994E-2</v>
      </c>
      <c r="W9042">
        <v>-0.11978220000000001</v>
      </c>
      <c r="X9042">
        <v>0.98840430000000001</v>
      </c>
      <c r="Y9042">
        <v>7.3585730000000002E-2</v>
      </c>
      <c r="Z9042">
        <v>-1.6935809999999999E-2</v>
      </c>
      <c r="AA9042">
        <v>0.99714510000000001</v>
      </c>
      <c r="AB9042">
        <v>21</v>
      </c>
      <c r="AC9042">
        <v>0.61119999999999597</v>
      </c>
      <c r="AD9042">
        <v>-0.113789999999999</v>
      </c>
      <c r="AE9042">
        <v>-9.1999999999927695E-3</v>
      </c>
      <c r="AF9042">
        <v>6.3948088370275602E-2</v>
      </c>
      <c r="AG9042">
        <v>-0.113789999999999</v>
      </c>
      <c r="AH9042">
        <v>0.58732518299667702</v>
      </c>
      <c r="AI9042">
        <v>100.90192366939</v>
      </c>
      <c r="AJ9042">
        <v>83.786101482008704</v>
      </c>
      <c r="AK9042">
        <v>0.60165471217991195</v>
      </c>
      <c r="AL9042">
        <v>96.879532547861203</v>
      </c>
      <c r="AM9042">
        <v>84.606220946600004</v>
      </c>
      <c r="AN9042">
        <v>1.00000005007438</v>
      </c>
    </row>
    <row r="9043" spans="1:40" x14ac:dyDescent="0.25">
      <c r="A9043" t="str">
        <f>"20190303154355348"</f>
        <v>20190303154355348</v>
      </c>
      <c r="B9043" t="str">
        <f>"1551599035338709"</f>
        <v>1551599035338709</v>
      </c>
      <c r="C9043" t="s">
        <v>40</v>
      </c>
      <c r="D9043">
        <v>5.6044320000000001</v>
      </c>
      <c r="E9043">
        <v>0.49207610000000002</v>
      </c>
      <c r="F9043" t="s">
        <v>42</v>
      </c>
      <c r="G9043">
        <v>-169.9331</v>
      </c>
      <c r="H9043">
        <v>1.017617</v>
      </c>
      <c r="I9043">
        <v>135.6369</v>
      </c>
      <c r="J9043">
        <v>-170.53129999999999</v>
      </c>
      <c r="K9043">
        <v>1.1233599999999999</v>
      </c>
      <c r="L9043">
        <v>135.64349999999999</v>
      </c>
      <c r="M9043">
        <v>0.99518910000000005</v>
      </c>
      <c r="N9043">
        <v>-1.377914E-2</v>
      </c>
      <c r="O9043">
        <v>9.6999680000000005E-2</v>
      </c>
      <c r="P9043">
        <v>0.99147390000000002</v>
      </c>
      <c r="Q9043">
        <v>-0.13030519999999901</v>
      </c>
      <c r="R9043">
        <v>-1.32065E-4</v>
      </c>
      <c r="S9043">
        <v>2.9742890000000002</v>
      </c>
      <c r="T9043">
        <v>-0.39216960000000001</v>
      </c>
      <c r="U9043">
        <v>6.2789919999999999E-2</v>
      </c>
      <c r="V9043">
        <v>9.7009020000000001E-2</v>
      </c>
      <c r="W9043">
        <v>-0.11611829999999999</v>
      </c>
      <c r="X9043">
        <v>0.98848659999999999</v>
      </c>
      <c r="Y9043">
        <v>7.4597179999999999E-2</v>
      </c>
      <c r="Z9043">
        <v>-1.6794280000000002E-2</v>
      </c>
      <c r="AA9043">
        <v>0.99707230000000002</v>
      </c>
      <c r="AB9043">
        <v>21</v>
      </c>
      <c r="AC9043">
        <v>0.59819999999999096</v>
      </c>
      <c r="AD9043">
        <v>-0.105743</v>
      </c>
      <c r="AE9043">
        <v>-6.5999999999917201E-3</v>
      </c>
      <c r="AF9043">
        <v>6.2642425616531397E-2</v>
      </c>
      <c r="AG9043">
        <v>-0.105743</v>
      </c>
      <c r="AH9043">
        <v>0.57671968629150006</v>
      </c>
      <c r="AI9043">
        <v>100.330479482744</v>
      </c>
      <c r="AJ9043">
        <v>83.800921171233895</v>
      </c>
      <c r="AK9043">
        <v>0.58967046058988604</v>
      </c>
      <c r="AL9043">
        <v>96.668131181511697</v>
      </c>
      <c r="AM9043">
        <v>84.3950017414938</v>
      </c>
      <c r="AN9043">
        <v>0.99999998396790502</v>
      </c>
    </row>
    <row r="9044" spans="1:40" x14ac:dyDescent="0.25">
      <c r="A9044" t="str">
        <f>"20190303154355370"</f>
        <v>20190303154355370</v>
      </c>
      <c r="B9044" t="str">
        <f>"1551599035359205"</f>
        <v>1551599035359205</v>
      </c>
      <c r="C9044" t="s">
        <v>40</v>
      </c>
      <c r="D9044">
        <v>5.5963129999999897</v>
      </c>
      <c r="E9044">
        <v>0.49285230000000002</v>
      </c>
      <c r="F9044" t="s">
        <v>42</v>
      </c>
      <c r="G9044">
        <v>-169.7431</v>
      </c>
      <c r="H9044">
        <v>1.0221119999999999</v>
      </c>
      <c r="I9044">
        <v>135.66</v>
      </c>
      <c r="J9044">
        <v>-170.32320000000001</v>
      </c>
      <c r="K9044">
        <v>1.1232789999999999</v>
      </c>
      <c r="L9044">
        <v>135.66820000000001</v>
      </c>
      <c r="M9044">
        <v>0.9948188</v>
      </c>
      <c r="N9044">
        <v>-1.376959E-2</v>
      </c>
      <c r="O9044">
        <v>0.10072730000000001</v>
      </c>
      <c r="P9044">
        <v>0.9914153</v>
      </c>
      <c r="Q9044">
        <v>-0.13075209999999901</v>
      </c>
      <c r="R9044" s="1">
        <v>8.9493109999999993E-6</v>
      </c>
      <c r="S9044">
        <v>2.9755400000000001</v>
      </c>
      <c r="T9044">
        <v>-0.38241150000000002</v>
      </c>
      <c r="U9044">
        <v>6.2622070000000002E-2</v>
      </c>
      <c r="V9044">
        <v>0.1005322</v>
      </c>
      <c r="W9044">
        <v>-0.11658399999999999</v>
      </c>
      <c r="X9044">
        <v>0.98807970000000001</v>
      </c>
      <c r="Y9044">
        <v>7.8409320000000005E-2</v>
      </c>
      <c r="Z9044">
        <v>-1.704673E-2</v>
      </c>
      <c r="AA9044">
        <v>0.99677550000000004</v>
      </c>
      <c r="AB9044">
        <v>21</v>
      </c>
      <c r="AC9044">
        <v>0.58010000000001505</v>
      </c>
      <c r="AD9044">
        <v>-0.10116699999999899</v>
      </c>
      <c r="AE9044">
        <v>-8.2000000000164094E-3</v>
      </c>
      <c r="AF9044">
        <v>6.4630462072550895E-2</v>
      </c>
      <c r="AG9044">
        <v>-0.10116699999999899</v>
      </c>
      <c r="AH9044">
        <v>0.55931548728270197</v>
      </c>
      <c r="AI9044">
        <v>100.18626004427701</v>
      </c>
      <c r="AJ9044">
        <v>83.408546732257804</v>
      </c>
      <c r="AK9044">
        <v>0.57205390727710004</v>
      </c>
      <c r="AL9044">
        <v>96.694996028778704</v>
      </c>
      <c r="AM9044">
        <v>84.190431063122404</v>
      </c>
      <c r="AN9044">
        <v>1.0000000229224599</v>
      </c>
    </row>
    <row r="9045" spans="1:40" x14ac:dyDescent="0.25">
      <c r="A9045" t="str">
        <f>"20190303154355392"</f>
        <v>20190303154355392</v>
      </c>
      <c r="B9045" t="str">
        <f>"1551599035389461"</f>
        <v>1551599035389461</v>
      </c>
      <c r="C9045" t="s">
        <v>40</v>
      </c>
      <c r="D9045">
        <v>5.6180269999999997</v>
      </c>
      <c r="E9045">
        <v>0.49200909999999898</v>
      </c>
      <c r="F9045" t="s">
        <v>42</v>
      </c>
      <c r="G9045">
        <v>-169.5626</v>
      </c>
      <c r="H9045">
        <v>1.0080129999999901</v>
      </c>
      <c r="I9045">
        <v>135.68289999999999</v>
      </c>
      <c r="J9045">
        <v>-170.11799999999999</v>
      </c>
      <c r="K9045">
        <v>1.1232</v>
      </c>
      <c r="L9045">
        <v>135.69319999999999</v>
      </c>
      <c r="M9045">
        <v>0.9944482</v>
      </c>
      <c r="N9045">
        <v>-1.37606E-2</v>
      </c>
      <c r="O9045">
        <v>0.10432429999999999</v>
      </c>
      <c r="P9045">
        <v>0.99124520000000005</v>
      </c>
      <c r="Q9045">
        <v>-0.13203509999999999</v>
      </c>
      <c r="R9045" s="1">
        <v>6.6087350000000003E-5</v>
      </c>
      <c r="S9045">
        <v>2.9666290000000002</v>
      </c>
      <c r="T9045">
        <v>-0.44985579999999997</v>
      </c>
      <c r="U9045">
        <v>5.7891850000000002E-2</v>
      </c>
      <c r="V9045">
        <v>0.1040083</v>
      </c>
      <c r="W9045">
        <v>-0.1178835</v>
      </c>
      <c r="X9045">
        <v>0.98756560000000004</v>
      </c>
      <c r="Y9045">
        <v>8.2894889999999999E-2</v>
      </c>
      <c r="Z9045">
        <v>-2.1094890000000002E-2</v>
      </c>
      <c r="AA9045">
        <v>0.99633499999999997</v>
      </c>
      <c r="AB9045">
        <v>21</v>
      </c>
      <c r="AC9045">
        <v>0.55539999999999101</v>
      </c>
      <c r="AD9045">
        <v>-0.115187</v>
      </c>
      <c r="AE9045">
        <v>-1.03000000000008E-2</v>
      </c>
      <c r="AF9045">
        <v>6.5379799448121598E-2</v>
      </c>
      <c r="AG9045">
        <v>-0.115187</v>
      </c>
      <c r="AH9045">
        <v>0.52856695406376797</v>
      </c>
      <c r="AI9045">
        <v>102.203685734896</v>
      </c>
      <c r="AJ9045">
        <v>82.948753826037304</v>
      </c>
      <c r="AK9045">
        <v>0.54490878876480497</v>
      </c>
      <c r="AL9045">
        <v>96.769968835403304</v>
      </c>
      <c r="AM9045">
        <v>83.987893955412204</v>
      </c>
      <c r="AN9045">
        <v>1.00000003017224</v>
      </c>
    </row>
    <row r="9046" spans="1:40" x14ac:dyDescent="0.25">
      <c r="A9046" t="str">
        <f>"20190303154355414"</f>
        <v>20190303154355414</v>
      </c>
      <c r="B9046" t="str">
        <f>"1551599035408980"</f>
        <v>1551599035408980</v>
      </c>
      <c r="C9046" t="s">
        <v>40</v>
      </c>
      <c r="D9046">
        <v>5.6412329999999997</v>
      </c>
      <c r="E9046">
        <v>0.4914676</v>
      </c>
      <c r="F9046" t="s">
        <v>42</v>
      </c>
      <c r="G9046">
        <v>-169.3751</v>
      </c>
      <c r="H9046">
        <v>1.0091110000000001</v>
      </c>
      <c r="I9046">
        <v>135.70930000000001</v>
      </c>
      <c r="J9046">
        <v>-169.90809999999999</v>
      </c>
      <c r="K9046">
        <v>1.1231530000000001</v>
      </c>
      <c r="L9046">
        <v>135.71950000000001</v>
      </c>
      <c r="M9046">
        <v>0.99406300000000003</v>
      </c>
      <c r="N9046">
        <v>-1.3752179999999999E-2</v>
      </c>
      <c r="O9046">
        <v>0.1079348</v>
      </c>
      <c r="P9046">
        <v>0.99141800000000002</v>
      </c>
      <c r="Q9046">
        <v>-0.13071489999999999</v>
      </c>
      <c r="R9046">
        <v>2.0546150000000001E-3</v>
      </c>
      <c r="S9046">
        <v>2.9657900000000001</v>
      </c>
      <c r="T9046">
        <v>-0.45573449999999999</v>
      </c>
      <c r="U9046">
        <v>6.4575199999999999E-2</v>
      </c>
      <c r="V9046">
        <v>0.1056068</v>
      </c>
      <c r="W9046">
        <v>-0.1165766</v>
      </c>
      <c r="X9046">
        <v>0.98755110000000002</v>
      </c>
      <c r="Y9046">
        <v>8.4157259999999998E-2</v>
      </c>
      <c r="Z9046">
        <v>-2.1988859999999999E-2</v>
      </c>
      <c r="AA9046">
        <v>0.99620989999999998</v>
      </c>
      <c r="AB9046">
        <v>21</v>
      </c>
      <c r="AC9046">
        <v>0.53299999999998704</v>
      </c>
      <c r="AD9046">
        <v>-0.11404199999999901</v>
      </c>
      <c r="AE9046">
        <v>-1.0199999999997499E-2</v>
      </c>
      <c r="AF9046">
        <v>6.4713581481453702E-2</v>
      </c>
      <c r="AG9046">
        <v>-0.11404199999999901</v>
      </c>
      <c r="AH9046">
        <v>0.50564466318922996</v>
      </c>
      <c r="AI9046">
        <v>102.610184221738</v>
      </c>
      <c r="AJ9046">
        <v>82.706799864258301</v>
      </c>
      <c r="AK9046">
        <v>0.52236955386383899</v>
      </c>
      <c r="AL9046">
        <v>96.694569031119798</v>
      </c>
      <c r="AM9046">
        <v>83.8960974545667</v>
      </c>
      <c r="AN9046">
        <v>1.0000000374925</v>
      </c>
    </row>
    <row r="9047" spans="1:40" x14ac:dyDescent="0.25">
      <c r="A9047" t="str">
        <f>"20190303154355439"</f>
        <v>20190303154355439</v>
      </c>
      <c r="B9047" t="str">
        <f>"1551599035429477"</f>
        <v>1551599035429477</v>
      </c>
      <c r="C9047" t="s">
        <v>40</v>
      </c>
      <c r="D9047">
        <v>5.5892929999999996</v>
      </c>
      <c r="E9047">
        <v>0.48904209999999898</v>
      </c>
      <c r="F9047" t="s">
        <v>42</v>
      </c>
      <c r="G9047">
        <v>-169.1867</v>
      </c>
      <c r="H9047">
        <v>1.013004</v>
      </c>
      <c r="I9047">
        <v>135.73759999999999</v>
      </c>
      <c r="J9047">
        <v>-169.6934</v>
      </c>
      <c r="K9047">
        <v>1.1231370000000001</v>
      </c>
      <c r="L9047">
        <v>135.7474</v>
      </c>
      <c r="M9047">
        <v>0.99365999999999999</v>
      </c>
      <c r="N9047">
        <v>-1.3744299999999999E-2</v>
      </c>
      <c r="O9047">
        <v>0.1115833</v>
      </c>
      <c r="P9047">
        <v>0.99197849999999999</v>
      </c>
      <c r="Q9047">
        <v>-0.12629460000000001</v>
      </c>
      <c r="R9047">
        <v>5.3620940000000004E-3</v>
      </c>
      <c r="S9047">
        <v>2.9660799999999998</v>
      </c>
      <c r="T9047">
        <v>-0.4530593</v>
      </c>
      <c r="U9047">
        <v>7.455444E-2</v>
      </c>
      <c r="V9047">
        <v>0.1059681</v>
      </c>
      <c r="W9047">
        <v>-0.1121635</v>
      </c>
      <c r="X9047">
        <v>0.98802330000000005</v>
      </c>
      <c r="Y9047">
        <v>8.4454600000000005E-2</v>
      </c>
      <c r="Z9047">
        <v>-2.2378200000000001E-2</v>
      </c>
      <c r="AA9047">
        <v>0.99617599999999995</v>
      </c>
      <c r="AB9047">
        <v>21</v>
      </c>
      <c r="AC9047">
        <v>0.50669999999999504</v>
      </c>
      <c r="AD9047">
        <v>-0.11013299999999999</v>
      </c>
      <c r="AE9047">
        <v>-9.8000000000126805E-3</v>
      </c>
      <c r="AF9047">
        <v>6.3294323498402402E-2</v>
      </c>
      <c r="AG9047">
        <v>-0.11013299999999999</v>
      </c>
      <c r="AH9047">
        <v>0.47978375925835798</v>
      </c>
      <c r="AI9047">
        <v>102.82075459084101</v>
      </c>
      <c r="AJ9047">
        <v>82.484788167055001</v>
      </c>
      <c r="AK9047">
        <v>0.49631432049075702</v>
      </c>
      <c r="AL9047">
        <v>96.440047167649098</v>
      </c>
      <c r="AM9047">
        <v>83.878278218774994</v>
      </c>
      <c r="AN9047">
        <v>0.99999996514637401</v>
      </c>
    </row>
    <row r="9048" spans="1:40" x14ac:dyDescent="0.25">
      <c r="A9048" t="str">
        <f>"20190303154355460"</f>
        <v>20190303154355460</v>
      </c>
      <c r="B9048" t="str">
        <f>"1551599035448996"</f>
        <v>1551599035448996</v>
      </c>
      <c r="C9048" t="s">
        <v>40</v>
      </c>
      <c r="D9048">
        <v>5.5815659999999996</v>
      </c>
      <c r="E9048">
        <v>0.48963800000000002</v>
      </c>
      <c r="F9048" t="s">
        <v>42</v>
      </c>
      <c r="G9048">
        <v>-168.8254</v>
      </c>
      <c r="H9048">
        <v>0.98743429999999999</v>
      </c>
      <c r="I9048">
        <v>135.77760000000001</v>
      </c>
      <c r="J9048">
        <v>-169.48779999999999</v>
      </c>
      <c r="K9048">
        <v>1.12312099999999</v>
      </c>
      <c r="L9048">
        <v>135.7748</v>
      </c>
      <c r="M9048">
        <v>0.99326239999999999</v>
      </c>
      <c r="N9048">
        <v>-1.3737360000000001E-2</v>
      </c>
      <c r="O9048">
        <v>0.11506959999999999</v>
      </c>
      <c r="P9048">
        <v>0.99232129999999996</v>
      </c>
      <c r="Q9048">
        <v>-0.1233591</v>
      </c>
      <c r="R9048">
        <v>8.9931969999999996E-3</v>
      </c>
      <c r="S9048">
        <v>2.964661</v>
      </c>
      <c r="T9048">
        <v>-0.46366360000000001</v>
      </c>
      <c r="U9048">
        <v>0.1037445</v>
      </c>
      <c r="V9048">
        <v>0.1058395</v>
      </c>
      <c r="W9048">
        <v>-0.1092366</v>
      </c>
      <c r="X9048">
        <v>0.98836500000000005</v>
      </c>
      <c r="Y9048">
        <v>7.8082639999999995E-2</v>
      </c>
      <c r="Z9048">
        <v>-2.2875719999999999E-2</v>
      </c>
      <c r="AA9048">
        <v>0.99668440000000003</v>
      </c>
      <c r="AB9048">
        <v>21</v>
      </c>
      <c r="AC9048">
        <v>0.662399999999991</v>
      </c>
      <c r="AD9048">
        <v>-0.13568669999999899</v>
      </c>
      <c r="AE9048">
        <v>2.80000000000768E-3</v>
      </c>
      <c r="AF9048">
        <v>7.0490196696027699E-2</v>
      </c>
      <c r="AG9048">
        <v>-0.13568669999999899</v>
      </c>
      <c r="AH9048">
        <v>0.63181112879435997</v>
      </c>
      <c r="AI9048">
        <v>102.048095621325</v>
      </c>
      <c r="AJ9048">
        <v>83.633924773729504</v>
      </c>
      <c r="AK9048">
        <v>0.65005003719370602</v>
      </c>
      <c r="AL9048">
        <v>96.271310762174593</v>
      </c>
      <c r="AM9048">
        <v>83.887748928858699</v>
      </c>
      <c r="AN9048">
        <v>1.0000000038824</v>
      </c>
    </row>
    <row r="9049" spans="1:40" x14ac:dyDescent="0.25">
      <c r="A9049" t="str">
        <f>"20190303154355482"</f>
        <v>20190303154355482</v>
      </c>
      <c r="B9049" t="str">
        <f>"1551599035469494"</f>
        <v>1551599035469494</v>
      </c>
      <c r="C9049" t="s">
        <v>40</v>
      </c>
      <c r="D9049">
        <v>5.5972140000000001</v>
      </c>
      <c r="E9049">
        <v>0.48984329999999998</v>
      </c>
      <c r="F9049" t="s">
        <v>42</v>
      </c>
      <c r="G9049">
        <v>-168.6371</v>
      </c>
      <c r="H9049">
        <v>0.99283659999999996</v>
      </c>
      <c r="I9049">
        <v>135.80619999999999</v>
      </c>
      <c r="J9049">
        <v>-169.28599999999901</v>
      </c>
      <c r="K9049">
        <v>1.1230910000000001</v>
      </c>
      <c r="L9049">
        <v>135.80240000000001</v>
      </c>
      <c r="M9049">
        <v>0.99285820000000002</v>
      </c>
      <c r="N9049">
        <v>-1.373104E-2</v>
      </c>
      <c r="O9049">
        <v>0.1185078</v>
      </c>
      <c r="P9049">
        <v>0.992313</v>
      </c>
      <c r="Q9049">
        <v>-0.12299400000000001</v>
      </c>
      <c r="R9049">
        <v>1.370058E-2</v>
      </c>
      <c r="S9049">
        <v>2.9657290000000001</v>
      </c>
      <c r="T9049">
        <v>-0.45429560000000002</v>
      </c>
      <c r="U9049">
        <v>0.1098938</v>
      </c>
      <c r="V9049">
        <v>0.1045715</v>
      </c>
      <c r="W9049">
        <v>-0.10888829999999999</v>
      </c>
      <c r="X9049">
        <v>0.98853840000000004</v>
      </c>
      <c r="Y9049">
        <v>7.9522780000000001E-2</v>
      </c>
      <c r="Z9049">
        <v>-2.298103E-2</v>
      </c>
      <c r="AA9049">
        <v>0.99656809999999996</v>
      </c>
      <c r="AB9049">
        <v>21</v>
      </c>
      <c r="AC9049">
        <v>0.64889999999996895</v>
      </c>
      <c r="AD9049">
        <v>-0.13025439999999999</v>
      </c>
      <c r="AE9049">
        <v>3.7999999999840301E-3</v>
      </c>
      <c r="AF9049">
        <v>7.0301196580614803E-2</v>
      </c>
      <c r="AG9049">
        <v>-0.13025439999999999</v>
      </c>
      <c r="AH9049">
        <v>0.61980390501728799</v>
      </c>
      <c r="AI9049">
        <v>101.794751060005</v>
      </c>
      <c r="AJ9049">
        <v>83.528888045011897</v>
      </c>
      <c r="AK9049">
        <v>0.63723256950245899</v>
      </c>
      <c r="AL9049">
        <v>96.251234821642697</v>
      </c>
      <c r="AM9049">
        <v>83.961483269971595</v>
      </c>
      <c r="AN9049">
        <v>1.0000000143818499</v>
      </c>
    </row>
    <row r="9050" spans="1:40" x14ac:dyDescent="0.25">
      <c r="A9050" t="str">
        <f>"20190303154355504"</f>
        <v>20190303154355504</v>
      </c>
      <c r="B9050" t="str">
        <f>"1551599035498776"</f>
        <v>1551599035498776</v>
      </c>
      <c r="C9050" t="s">
        <v>40</v>
      </c>
      <c r="D9050">
        <v>5.629804</v>
      </c>
      <c r="E9050">
        <v>0.4896373</v>
      </c>
      <c r="F9050" t="s">
        <v>42</v>
      </c>
      <c r="G9050">
        <v>-168.45099999999999</v>
      </c>
      <c r="H9050">
        <v>0.99465720000000002</v>
      </c>
      <c r="I9050">
        <v>135.83680000000001</v>
      </c>
      <c r="J9050">
        <v>-169.07400000000001</v>
      </c>
      <c r="K9050">
        <v>1.123057</v>
      </c>
      <c r="L9050">
        <v>135.8322</v>
      </c>
      <c r="M9050">
        <v>0.99241670000000004</v>
      </c>
      <c r="N9050">
        <v>-1.3724999999999999E-2</v>
      </c>
      <c r="O9050">
        <v>0.12215090000000001</v>
      </c>
      <c r="P9050">
        <v>0.99209130000000001</v>
      </c>
      <c r="Q9050">
        <v>-0.1239246</v>
      </c>
      <c r="R9050">
        <v>1.9933590000000001E-2</v>
      </c>
      <c r="S9050">
        <v>2.9649960000000002</v>
      </c>
      <c r="T9050">
        <v>-0.45623239999999998</v>
      </c>
      <c r="U9050">
        <v>0.122406</v>
      </c>
      <c r="V9050">
        <v>0.10197730000000001</v>
      </c>
      <c r="W9050">
        <v>-0.1098432</v>
      </c>
      <c r="X9050">
        <v>0.98870369999999996</v>
      </c>
      <c r="Y9050">
        <v>7.8925899999999993E-2</v>
      </c>
      <c r="Z9050">
        <v>-2.3539339999999999E-2</v>
      </c>
      <c r="AA9050">
        <v>0.99660249999999995</v>
      </c>
      <c r="AB9050">
        <v>21</v>
      </c>
      <c r="AC9050">
        <v>0.62300000000001798</v>
      </c>
      <c r="AD9050">
        <v>-0.12839979999999901</v>
      </c>
      <c r="AE9050">
        <v>4.6000000000105904E-3</v>
      </c>
      <c r="AF9050">
        <v>6.86267373769298E-2</v>
      </c>
      <c r="AG9050">
        <v>-0.12839979999999901</v>
      </c>
      <c r="AH9050">
        <v>0.59367947818529698</v>
      </c>
      <c r="AI9050">
        <v>102.12551819127501</v>
      </c>
      <c r="AJ9050">
        <v>83.4061257511175</v>
      </c>
      <c r="AK9050">
        <v>0.61127036615675101</v>
      </c>
      <c r="AL9050">
        <v>96.306277120375796</v>
      </c>
      <c r="AM9050">
        <v>84.111197685049405</v>
      </c>
      <c r="AN9050">
        <v>0.99999995234760797</v>
      </c>
    </row>
    <row r="9051" spans="1:40" x14ac:dyDescent="0.25">
      <c r="A9051" t="str">
        <f>"20190303154355526"</f>
        <v>20190303154355526</v>
      </c>
      <c r="B9051" t="str">
        <f>"1551599035519269"</f>
        <v>1551599035519269</v>
      </c>
      <c r="C9051" t="s">
        <v>40</v>
      </c>
      <c r="D9051">
        <v>5.6308379999999998</v>
      </c>
      <c r="E9051">
        <v>0.49096040000000002</v>
      </c>
      <c r="F9051" t="s">
        <v>42</v>
      </c>
      <c r="G9051">
        <v>-168.2654</v>
      </c>
      <c r="H9051">
        <v>0.99710770000000004</v>
      </c>
      <c r="I9051">
        <v>135.87110000000001</v>
      </c>
      <c r="J9051">
        <v>-168.87379999999999</v>
      </c>
      <c r="K9051">
        <v>1.123016</v>
      </c>
      <c r="L9051">
        <v>135.86099999999999</v>
      </c>
      <c r="M9051">
        <v>0.99198470000000005</v>
      </c>
      <c r="N9051">
        <v>-1.371987E-2</v>
      </c>
      <c r="O9051">
        <v>0.12561169999999999</v>
      </c>
      <c r="P9051">
        <v>0.99185259999999997</v>
      </c>
      <c r="Q9051">
        <v>-0.12467880000000001</v>
      </c>
      <c r="R9051">
        <v>2.6152149999999999E-2</v>
      </c>
      <c r="S9051">
        <v>2.9633790000000002</v>
      </c>
      <c r="T9051">
        <v>-0.4617137</v>
      </c>
      <c r="U9051">
        <v>0.1426239</v>
      </c>
      <c r="V9051">
        <v>9.9216449999999998E-2</v>
      </c>
      <c r="W9051">
        <v>-0.1106205</v>
      </c>
      <c r="X9051">
        <v>0.98889800000000005</v>
      </c>
      <c r="Y9051">
        <v>7.5547929999999999E-2</v>
      </c>
      <c r="Z9051">
        <v>-2.4040240000000001E-2</v>
      </c>
      <c r="AA9051">
        <v>0.99685230000000002</v>
      </c>
      <c r="AB9051">
        <v>21</v>
      </c>
      <c r="AC9051">
        <v>0.60839999999998895</v>
      </c>
      <c r="AD9051">
        <v>-0.1259083</v>
      </c>
      <c r="AE9051">
        <v>1.01000000000226E-2</v>
      </c>
      <c r="AF9051">
        <v>6.3682690799548594E-2</v>
      </c>
      <c r="AG9051">
        <v>-0.1259083</v>
      </c>
      <c r="AH9051">
        <v>0.58001486839969696</v>
      </c>
      <c r="AI9051">
        <v>102.176643959587</v>
      </c>
      <c r="AJ9051">
        <v>83.734311048449996</v>
      </c>
      <c r="AK9051">
        <v>0.59693017404138604</v>
      </c>
      <c r="AL9051">
        <v>96.351085730045099</v>
      </c>
      <c r="AM9051">
        <v>84.270669079553798</v>
      </c>
      <c r="AN9051">
        <v>1.0000000266874201</v>
      </c>
    </row>
    <row r="9052" spans="1:40" x14ac:dyDescent="0.25">
      <c r="A9052" t="str">
        <f>"20190303154355548"</f>
        <v>20190303154355548</v>
      </c>
      <c r="B9052" t="str">
        <f>"1551599035538789"</f>
        <v>1551599035538789</v>
      </c>
      <c r="C9052" t="s">
        <v>40</v>
      </c>
      <c r="D9052">
        <v>5.6173549999999999</v>
      </c>
      <c r="E9052">
        <v>0.4916722</v>
      </c>
      <c r="F9052" t="s">
        <v>42</v>
      </c>
      <c r="G9052">
        <v>-168.0829</v>
      </c>
      <c r="H9052">
        <v>0.99288419999999999</v>
      </c>
      <c r="I9052">
        <v>135.90119999999999</v>
      </c>
      <c r="J9052">
        <v>-168.666</v>
      </c>
      <c r="K9052">
        <v>1.1229769999999999</v>
      </c>
      <c r="L9052">
        <v>135.89169999999999</v>
      </c>
      <c r="M9052">
        <v>0.99152260000000003</v>
      </c>
      <c r="N9052">
        <v>-1.371468E-2</v>
      </c>
      <c r="O9052">
        <v>0.1292085</v>
      </c>
      <c r="P9052">
        <v>0.99150990000000006</v>
      </c>
      <c r="Q9052">
        <v>-0.12574080000000001</v>
      </c>
      <c r="R9052">
        <v>3.3128770000000002E-2</v>
      </c>
      <c r="S9052">
        <v>2.9594420000000001</v>
      </c>
      <c r="T9052">
        <v>-0.4871433</v>
      </c>
      <c r="U9052">
        <v>0.15071109999999999</v>
      </c>
      <c r="V9052">
        <v>9.5831830000000007E-2</v>
      </c>
      <c r="W9052">
        <v>-0.11170860000000001</v>
      </c>
      <c r="X9052">
        <v>0.98910940000000003</v>
      </c>
      <c r="Y9052">
        <v>7.6067780000000002E-2</v>
      </c>
      <c r="Z9052">
        <v>-2.6026319999999999E-2</v>
      </c>
      <c r="AA9052">
        <v>0.99676290000000001</v>
      </c>
      <c r="AB9052">
        <v>21</v>
      </c>
      <c r="AC9052">
        <v>0.58310000000000095</v>
      </c>
      <c r="AD9052">
        <v>-0.13009280000000001</v>
      </c>
      <c r="AE9052">
        <v>9.5000000000027198E-3</v>
      </c>
      <c r="AF9052">
        <v>6.2802958676338602E-2</v>
      </c>
      <c r="AG9052">
        <v>-0.13009280000000001</v>
      </c>
      <c r="AH9052">
        <v>0.55197115338507596</v>
      </c>
      <c r="AI9052">
        <v>103.179843125353</v>
      </c>
      <c r="AJ9052">
        <v>83.508834304176602</v>
      </c>
      <c r="AK9052">
        <v>0.57056156758021603</v>
      </c>
      <c r="AL9052">
        <v>96.413818396720401</v>
      </c>
      <c r="AM9052">
        <v>84.466057266899796</v>
      </c>
      <c r="AN9052">
        <v>0.99999997806173402</v>
      </c>
    </row>
    <row r="9053" spans="1:40" x14ac:dyDescent="0.25">
      <c r="A9053" t="str">
        <f>"20190303154355582"</f>
        <v>20190303154355582</v>
      </c>
      <c r="B9053" t="str">
        <f>"1551599035578805"</f>
        <v>1551599035578805</v>
      </c>
      <c r="C9053" t="s">
        <v>40</v>
      </c>
      <c r="D9053">
        <v>5.5544840000000004</v>
      </c>
      <c r="E9053">
        <v>0.49208649999999998</v>
      </c>
      <c r="F9053" t="s">
        <v>42</v>
      </c>
      <c r="G9053">
        <v>-167.8982</v>
      </c>
      <c r="H9053">
        <v>0.9944904</v>
      </c>
      <c r="I9053">
        <v>135.93459999999999</v>
      </c>
      <c r="J9053">
        <v>-168.36009999999999</v>
      </c>
      <c r="K9053">
        <v>1.122898</v>
      </c>
      <c r="L9053">
        <v>135.93809999999999</v>
      </c>
      <c r="M9053">
        <v>0.99082630000000005</v>
      </c>
      <c r="N9053">
        <v>-1.370616E-2</v>
      </c>
      <c r="O9053">
        <v>0.13444439999999999</v>
      </c>
      <c r="P9053">
        <v>0.99095750000000005</v>
      </c>
      <c r="Q9053">
        <v>-0.1281485</v>
      </c>
      <c r="R9053">
        <v>3.976288E-2</v>
      </c>
      <c r="S9053">
        <v>2.9573670000000001</v>
      </c>
      <c r="T9053">
        <v>-0.49503779999999997</v>
      </c>
      <c r="U9053">
        <v>0.165802</v>
      </c>
      <c r="V9053">
        <v>9.4396170000000001E-2</v>
      </c>
      <c r="W9053">
        <v>-0.11414630000000001</v>
      </c>
      <c r="X9053">
        <v>0.98896910000000005</v>
      </c>
      <c r="Y9053">
        <v>7.6078010000000001E-2</v>
      </c>
      <c r="Z9053">
        <v>-2.72687E-2</v>
      </c>
      <c r="AA9053">
        <v>0.99672899999999998</v>
      </c>
      <c r="AB9053">
        <v>21</v>
      </c>
      <c r="AC9053">
        <v>0.46189999999998499</v>
      </c>
      <c r="AD9053">
        <v>-0.12840759999999901</v>
      </c>
      <c r="AE9053">
        <v>-3.5000000000024998E-3</v>
      </c>
      <c r="AF9053">
        <v>6.0869962744059702E-2</v>
      </c>
      <c r="AG9053">
        <v>-0.12840759999999901</v>
      </c>
      <c r="AH9053">
        <v>0.42443522067848999</v>
      </c>
      <c r="AI9053">
        <v>106.671565892435</v>
      </c>
      <c r="AJ9053">
        <v>81.838631310096602</v>
      </c>
      <c r="AK9053">
        <v>0.44759235991538299</v>
      </c>
      <c r="AL9053">
        <v>96.554387745216303</v>
      </c>
      <c r="AM9053">
        <v>84.547689523241701</v>
      </c>
      <c r="AN9053">
        <v>0.99999994773458301</v>
      </c>
    </row>
    <row r="9054" spans="1:40" x14ac:dyDescent="0.25">
      <c r="A9054" t="str">
        <f>"20190303154355605"</f>
        <v>20190303154355605</v>
      </c>
      <c r="B9054" t="str">
        <f>"1551599035599301"</f>
        <v>1551599035599301</v>
      </c>
      <c r="C9054" t="s">
        <v>40</v>
      </c>
      <c r="D9054">
        <v>5.6127419999999999</v>
      </c>
      <c r="E9054">
        <v>0.49268030000000002</v>
      </c>
      <c r="F9054" t="s">
        <v>42</v>
      </c>
      <c r="G9054">
        <v>-167.5359</v>
      </c>
      <c r="H9054">
        <v>0.98165749999999996</v>
      </c>
      <c r="I9054">
        <v>135.9888</v>
      </c>
      <c r="J9054">
        <v>-168.1525</v>
      </c>
      <c r="K9054">
        <v>1.122843</v>
      </c>
      <c r="L9054">
        <v>135.97049999999999</v>
      </c>
      <c r="M9054">
        <v>0.99034889999999998</v>
      </c>
      <c r="N9054">
        <v>-1.369926E-2</v>
      </c>
      <c r="O9054">
        <v>0.1379184</v>
      </c>
      <c r="P9054">
        <v>0.99081940000000002</v>
      </c>
      <c r="Q9054">
        <v>-0.1284757</v>
      </c>
      <c r="R9054">
        <v>4.2083879999999997E-2</v>
      </c>
      <c r="S9054">
        <v>2.9545750000000002</v>
      </c>
      <c r="T9054">
        <v>-0.50632979999999905</v>
      </c>
      <c r="U9054">
        <v>0.18194579999999999</v>
      </c>
      <c r="V9054">
        <v>9.5527249999999994E-2</v>
      </c>
      <c r="W9054">
        <v>-0.1144888</v>
      </c>
      <c r="X9054">
        <v>0.98882099999999995</v>
      </c>
      <c r="Y9054">
        <v>7.3953080000000004E-2</v>
      </c>
      <c r="Z9054">
        <v>-2.827559E-2</v>
      </c>
      <c r="AA9054">
        <v>0.99686079999999999</v>
      </c>
      <c r="AB9054">
        <v>21</v>
      </c>
      <c r="AC9054">
        <v>0.61660000000000503</v>
      </c>
      <c r="AD9054">
        <v>-0.14118549999999899</v>
      </c>
      <c r="AE9054">
        <v>1.8300000000010599E-2</v>
      </c>
      <c r="AF9054">
        <v>6.3592222759218997E-2</v>
      </c>
      <c r="AG9054">
        <v>-0.14118549999999899</v>
      </c>
      <c r="AH9054">
        <v>0.58270660443382705</v>
      </c>
      <c r="AI9054">
        <v>103.54245161519</v>
      </c>
      <c r="AJ9054">
        <v>83.771816547163297</v>
      </c>
      <c r="AK9054">
        <v>0.60292976627175099</v>
      </c>
      <c r="AL9054">
        <v>96.574140337233999</v>
      </c>
      <c r="AM9054">
        <v>84.481937993476606</v>
      </c>
      <c r="AN9054">
        <v>1.0000000554294901</v>
      </c>
    </row>
    <row r="9055" spans="1:40" x14ac:dyDescent="0.25">
      <c r="A9055" t="str">
        <f>"20190303154355627"</f>
        <v>20190303154355627</v>
      </c>
      <c r="B9055" t="str">
        <f>"1551599035618825"</f>
        <v>1551599035618825</v>
      </c>
      <c r="C9055" t="s">
        <v>40</v>
      </c>
      <c r="D9055">
        <v>5.6098220000000003</v>
      </c>
      <c r="E9055">
        <v>0.49320799999999998</v>
      </c>
      <c r="F9055" t="s">
        <v>42</v>
      </c>
      <c r="G9055">
        <v>-167.35059999999999</v>
      </c>
      <c r="H9055">
        <v>0.98542019999999997</v>
      </c>
      <c r="I9055">
        <v>136.02029999999999</v>
      </c>
      <c r="J9055">
        <v>-167.94810000000001</v>
      </c>
      <c r="K9055">
        <v>1.1227670000000001</v>
      </c>
      <c r="L9055">
        <v>136.00299999999999</v>
      </c>
      <c r="M9055">
        <v>0.98987879999999995</v>
      </c>
      <c r="N9055">
        <v>-1.369185E-2</v>
      </c>
      <c r="O9055">
        <v>0.14125389999999999</v>
      </c>
      <c r="P9055">
        <v>0.99102650000000003</v>
      </c>
      <c r="Q9055">
        <v>-0.12675159999999999</v>
      </c>
      <c r="R9055">
        <v>4.2437679999999998E-2</v>
      </c>
      <c r="S9055">
        <v>2.9543149999999998</v>
      </c>
      <c r="T9055">
        <v>-0.50647540000000002</v>
      </c>
      <c r="U9055">
        <v>0.1838226</v>
      </c>
      <c r="V9055">
        <v>9.8505560000000006E-2</v>
      </c>
      <c r="W9055">
        <v>-0.112774</v>
      </c>
      <c r="X9055">
        <v>0.98872579999999999</v>
      </c>
      <c r="Y9055">
        <v>7.659183E-2</v>
      </c>
      <c r="Z9055">
        <v>-2.9045000000000001E-2</v>
      </c>
      <c r="AA9055">
        <v>0.99663939999999995</v>
      </c>
      <c r="AB9055">
        <v>21</v>
      </c>
      <c r="AC9055">
        <v>0.59750000000002501</v>
      </c>
      <c r="AD9055">
        <v>-0.13734679999999999</v>
      </c>
      <c r="AE9055">
        <v>1.73000000000058E-2</v>
      </c>
      <c r="AF9055">
        <v>6.3906617824340997E-2</v>
      </c>
      <c r="AG9055">
        <v>-0.13734679999999999</v>
      </c>
      <c r="AH9055">
        <v>0.56416642268725603</v>
      </c>
      <c r="AI9055">
        <v>103.598828181481</v>
      </c>
      <c r="AJ9055">
        <v>83.537300980961206</v>
      </c>
      <c r="AK9055">
        <v>0.58415062420553998</v>
      </c>
      <c r="AL9055">
        <v>96.475249275269604</v>
      </c>
      <c r="AM9055">
        <v>84.310465538608199</v>
      </c>
      <c r="AN9055">
        <v>1.0000000140062699</v>
      </c>
    </row>
    <row r="9056" spans="1:40" x14ac:dyDescent="0.25">
      <c r="A9056" t="str">
        <f>"20190303154355650"</f>
        <v>20190303154355650</v>
      </c>
      <c r="B9056" t="str">
        <f>"1551599035639317"</f>
        <v>1551599035639317</v>
      </c>
      <c r="C9056" t="s">
        <v>40</v>
      </c>
      <c r="D9056">
        <v>5.5944710000000004</v>
      </c>
      <c r="E9056">
        <v>0.49367260000000002</v>
      </c>
      <c r="F9056" t="s">
        <v>42</v>
      </c>
      <c r="G9056">
        <v>-167.16470000000001</v>
      </c>
      <c r="H9056">
        <v>0.99053250000000004</v>
      </c>
      <c r="I9056">
        <v>136.05099999999999</v>
      </c>
      <c r="J9056">
        <v>-167.7423</v>
      </c>
      <c r="K9056">
        <v>1.122673</v>
      </c>
      <c r="L9056">
        <v>136.03630000000001</v>
      </c>
      <c r="M9056">
        <v>0.98941049999999997</v>
      </c>
      <c r="N9056">
        <v>-1.3683839999999999E-2</v>
      </c>
      <c r="O9056">
        <v>0.1444983</v>
      </c>
      <c r="P9056">
        <v>0.99109829999999999</v>
      </c>
      <c r="Q9056">
        <v>-0.12661720000000001</v>
      </c>
      <c r="R9056">
        <v>4.1135369999999997E-2</v>
      </c>
      <c r="S9056">
        <v>2.9556269999999998</v>
      </c>
      <c r="T9056">
        <v>-0.49885649999999998</v>
      </c>
      <c r="U9056">
        <v>0.18109130000000001</v>
      </c>
      <c r="V9056">
        <v>0.10301780000000001</v>
      </c>
      <c r="W9056">
        <v>-0.1126529</v>
      </c>
      <c r="X9056">
        <v>0.98827960000000004</v>
      </c>
      <c r="Y9056">
        <v>8.0794539999999998E-2</v>
      </c>
      <c r="Z9056">
        <v>-2.9456019999999999E-2</v>
      </c>
      <c r="AA9056">
        <v>0.9962955</v>
      </c>
      <c r="AB9056">
        <v>21</v>
      </c>
      <c r="AC9056">
        <v>0.57759999999998901</v>
      </c>
      <c r="AD9056">
        <v>-0.13214049999999999</v>
      </c>
      <c r="AE9056">
        <v>1.47000000000048E-2</v>
      </c>
      <c r="AF9056">
        <v>6.5498487968003297E-2</v>
      </c>
      <c r="AG9056">
        <v>-0.13214049999999999</v>
      </c>
      <c r="AH9056">
        <v>0.54514779627676702</v>
      </c>
      <c r="AI9056">
        <v>103.531649800479</v>
      </c>
      <c r="AJ9056">
        <v>83.148860025325305</v>
      </c>
      <c r="AK9056">
        <v>0.56474532618850404</v>
      </c>
      <c r="AL9056">
        <v>96.468266638220001</v>
      </c>
      <c r="AM9056">
        <v>84.049007086446807</v>
      </c>
      <c r="AN9056">
        <v>0.99999995538570396</v>
      </c>
    </row>
    <row r="9057" spans="1:40" x14ac:dyDescent="0.25">
      <c r="A9057" t="str">
        <f>"20190303154355672"</f>
        <v>20190303154355672</v>
      </c>
      <c r="B9057" t="str">
        <f>"1551599035668597"</f>
        <v>1551599035668597</v>
      </c>
      <c r="C9057" t="s">
        <v>40</v>
      </c>
      <c r="D9057">
        <v>5.5248150000000003</v>
      </c>
      <c r="E9057">
        <v>0.49403249999999999</v>
      </c>
      <c r="F9057" t="s">
        <v>42</v>
      </c>
      <c r="G9057">
        <v>-166.9796</v>
      </c>
      <c r="H9057">
        <v>0.99429460000000003</v>
      </c>
      <c r="I9057">
        <v>136.08099999999999</v>
      </c>
      <c r="J9057">
        <v>-167.53649999999999</v>
      </c>
      <c r="K9057">
        <v>1.1225480000000001</v>
      </c>
      <c r="L9057">
        <v>136.0701</v>
      </c>
      <c r="M9057">
        <v>0.98895219999999995</v>
      </c>
      <c r="N9057">
        <v>-1.367523E-2</v>
      </c>
      <c r="O9057">
        <v>0.14760329999999999</v>
      </c>
      <c r="P9057">
        <v>0.99064980000000002</v>
      </c>
      <c r="Q9057">
        <v>-0.13039249999999999</v>
      </c>
      <c r="R9057">
        <v>4.0136959999999999E-2</v>
      </c>
      <c r="S9057">
        <v>2.9561160000000002</v>
      </c>
      <c r="T9057">
        <v>-0.49780000000000002</v>
      </c>
      <c r="U9057">
        <v>0.17407230000000001</v>
      </c>
      <c r="V9057">
        <v>0.1070251</v>
      </c>
      <c r="W9057">
        <v>-0.1164559</v>
      </c>
      <c r="X9057">
        <v>0.98741259999999997</v>
      </c>
      <c r="Y9057">
        <v>8.6183850000000006E-2</v>
      </c>
      <c r="Z9057">
        <v>-3.034864E-2</v>
      </c>
      <c r="AA9057">
        <v>0.9958169</v>
      </c>
      <c r="AB9057">
        <v>21</v>
      </c>
      <c r="AC9057">
        <v>0.55689999999998396</v>
      </c>
      <c r="AD9057">
        <v>-0.12825339999999899</v>
      </c>
      <c r="AE9057">
        <v>1.09000000000207E-2</v>
      </c>
      <c r="AF9057">
        <v>6.7831151389020003E-2</v>
      </c>
      <c r="AG9057">
        <v>-0.12825339999999899</v>
      </c>
      <c r="AH9057">
        <v>0.52459536590189704</v>
      </c>
      <c r="AI9057">
        <v>103.629046901273</v>
      </c>
      <c r="AJ9057">
        <v>82.6324276338065</v>
      </c>
      <c r="AK9057">
        <v>0.54428879984440803</v>
      </c>
      <c r="AL9057">
        <v>96.687606285178305</v>
      </c>
      <c r="AM9057">
        <v>83.813892397137096</v>
      </c>
      <c r="AN9057">
        <v>0.99999999565678899</v>
      </c>
    </row>
    <row r="9058" spans="1:40" x14ac:dyDescent="0.25">
      <c r="A9058" t="str">
        <f>"20190303154355694"</f>
        <v>20190303154355694</v>
      </c>
      <c r="B9058" t="str">
        <f>"1551599035689093"</f>
        <v>1551599035689093</v>
      </c>
      <c r="C9058" t="s">
        <v>40</v>
      </c>
      <c r="D9058">
        <v>5.5693519999999896</v>
      </c>
      <c r="E9058">
        <v>0.4821936</v>
      </c>
      <c r="F9058" t="s">
        <v>42</v>
      </c>
      <c r="G9058">
        <v>-166.79640000000001</v>
      </c>
      <c r="H9058">
        <v>0.99507559999999995</v>
      </c>
      <c r="I9058">
        <v>136.1123</v>
      </c>
      <c r="J9058">
        <v>-167.32980000000001</v>
      </c>
      <c r="K9058">
        <v>1.122422</v>
      </c>
      <c r="L9058">
        <v>136.1046</v>
      </c>
      <c r="M9058">
        <v>0.98850490000000002</v>
      </c>
      <c r="N9058">
        <v>-1.3665979999999999E-2</v>
      </c>
      <c r="O9058">
        <v>0.15057079999999901</v>
      </c>
      <c r="P9058">
        <v>0.98999669999999895</v>
      </c>
      <c r="Q9058">
        <v>-0.13525100000000001</v>
      </c>
      <c r="R9058">
        <v>4.0177480000000002E-2</v>
      </c>
      <c r="S9058">
        <v>2.9545140000000001</v>
      </c>
      <c r="T9058">
        <v>-0.50890479999999905</v>
      </c>
      <c r="U9058">
        <v>0.16841130000000001</v>
      </c>
      <c r="V9058">
        <v>0.10983420000000001</v>
      </c>
      <c r="W9058">
        <v>-0.1213521</v>
      </c>
      <c r="X9058">
        <v>0.98651409999999995</v>
      </c>
      <c r="Y9058">
        <v>9.0788170000000001E-2</v>
      </c>
      <c r="Z9058">
        <v>-3.1954749999999997E-2</v>
      </c>
      <c r="AA9058">
        <v>0.99535739999999995</v>
      </c>
      <c r="AB9058">
        <v>21</v>
      </c>
      <c r="AC9058">
        <v>0.53339999999999999</v>
      </c>
      <c r="AD9058">
        <v>-0.1273464</v>
      </c>
      <c r="AE9058">
        <v>7.6999999999998103E-3</v>
      </c>
      <c r="AF9058">
        <v>6.8789633214436402E-2</v>
      </c>
      <c r="AG9058">
        <v>-0.1273464</v>
      </c>
      <c r="AH9058">
        <v>0.49998450590268401</v>
      </c>
      <c r="AI9058">
        <v>104.16148358231101</v>
      </c>
      <c r="AJ9058">
        <v>82.166226437158898</v>
      </c>
      <c r="AK9058">
        <v>0.52051284842306</v>
      </c>
      <c r="AL9058">
        <v>96.970142693632994</v>
      </c>
      <c r="AM9058">
        <v>83.647099672223703</v>
      </c>
      <c r="AN9058">
        <v>0.99999997658142903</v>
      </c>
    </row>
    <row r="9059" spans="1:40" x14ac:dyDescent="0.25">
      <c r="A9059" t="str">
        <f>"20190303154355717"</f>
        <v>20190303154355717</v>
      </c>
      <c r="B9059" t="str">
        <f>"1551599035708614"</f>
        <v>1551599035708614</v>
      </c>
      <c r="C9059" t="s">
        <v>40</v>
      </c>
      <c r="D9059">
        <v>5.5565709999999999</v>
      </c>
      <c r="E9059">
        <v>0.48223379999999999</v>
      </c>
      <c r="F9059" t="s">
        <v>42</v>
      </c>
      <c r="G9059">
        <v>-166.59979999999999</v>
      </c>
      <c r="H9059">
        <v>1.030729</v>
      </c>
      <c r="I9059">
        <v>136.16909999999999</v>
      </c>
      <c r="J9059">
        <v>-167.12819999999999</v>
      </c>
      <c r="K9059">
        <v>1.122314</v>
      </c>
      <c r="L9059">
        <v>136.1387</v>
      </c>
      <c r="M9059">
        <v>0.98808180000000001</v>
      </c>
      <c r="N9059">
        <v>-1.3656990000000001E-2</v>
      </c>
      <c r="O9059">
        <v>0.15332379999999901</v>
      </c>
      <c r="P9059">
        <v>0.98946449999999997</v>
      </c>
      <c r="Q9059">
        <v>-0.13879649999999999</v>
      </c>
      <c r="R9059">
        <v>4.1180660000000001E-2</v>
      </c>
      <c r="S9059">
        <v>2.9687190000000001</v>
      </c>
      <c r="T9059">
        <v>-0.37292700000000001</v>
      </c>
      <c r="U9059">
        <v>0.26229859999999999</v>
      </c>
      <c r="V9059">
        <v>0.11148909999999999</v>
      </c>
      <c r="W9059">
        <v>-0.124935</v>
      </c>
      <c r="X9059">
        <v>0.98588100000000001</v>
      </c>
      <c r="Y9059">
        <v>6.4279390000000006E-2</v>
      </c>
      <c r="Z9059">
        <v>-2.1421860000000001E-2</v>
      </c>
      <c r="AA9059">
        <v>0.99770199999999998</v>
      </c>
      <c r="AB9059">
        <v>21</v>
      </c>
      <c r="AC9059">
        <v>0.52840000000000398</v>
      </c>
      <c r="AD9059">
        <v>-9.1585E-2</v>
      </c>
      <c r="AE9059">
        <v>3.03999999999859E-2</v>
      </c>
      <c r="AF9059">
        <v>4.9501166818494001E-2</v>
      </c>
      <c r="AG9059">
        <v>-9.1585E-2</v>
      </c>
      <c r="AH9059">
        <v>0.51149701110377699</v>
      </c>
      <c r="AI9059">
        <v>100.10516913707499</v>
      </c>
      <c r="AJ9059">
        <v>84.472298259162002</v>
      </c>
      <c r="AK9059">
        <v>0.52198407074305497</v>
      </c>
      <c r="AL9059">
        <v>97.177002419596306</v>
      </c>
      <c r="AM9059">
        <v>83.548073432813496</v>
      </c>
      <c r="AN9059">
        <v>0.99999995990240398</v>
      </c>
    </row>
    <row r="9060" spans="1:40" x14ac:dyDescent="0.25">
      <c r="A9060" t="str">
        <f>"20190303154355739"</f>
        <v>20190303154355739</v>
      </c>
      <c r="B9060" t="str">
        <f>"1551599035729110"</f>
        <v>1551599035729110</v>
      </c>
      <c r="C9060" t="s">
        <v>40</v>
      </c>
      <c r="D9060">
        <v>5.5290999999999997</v>
      </c>
      <c r="E9060">
        <v>0.48239340000000003</v>
      </c>
      <c r="F9060" t="s">
        <v>42</v>
      </c>
      <c r="G9060">
        <v>-166.2413</v>
      </c>
      <c r="H9060">
        <v>1.0147219999999999</v>
      </c>
      <c r="I9060">
        <v>136.21780000000001</v>
      </c>
      <c r="J9060">
        <v>-166.92609999999999</v>
      </c>
      <c r="K9060">
        <v>1.1222270000000001</v>
      </c>
      <c r="L9060">
        <v>136.17339999999999</v>
      </c>
      <c r="M9060">
        <v>0.98766679999999996</v>
      </c>
      <c r="N9060">
        <v>-1.364862E-2</v>
      </c>
      <c r="O9060">
        <v>0.1559741</v>
      </c>
      <c r="P9060">
        <v>0.98892690000000005</v>
      </c>
      <c r="Q9060">
        <v>-0.14213889999999901</v>
      </c>
      <c r="R9060">
        <v>4.2664849999999997E-2</v>
      </c>
      <c r="S9060">
        <v>2.970367</v>
      </c>
      <c r="T9060">
        <v>-0.36050300000000002</v>
      </c>
      <c r="U9060">
        <v>0.2649994</v>
      </c>
      <c r="V9060">
        <v>0.1125678</v>
      </c>
      <c r="W9060">
        <v>-0.1283098</v>
      </c>
      <c r="X9060">
        <v>0.98532489999999995</v>
      </c>
      <c r="Y9060">
        <v>6.6179539999999995E-2</v>
      </c>
      <c r="Z9060">
        <v>-2.1052979999999999E-2</v>
      </c>
      <c r="AA9060">
        <v>0.99758559999999996</v>
      </c>
      <c r="AB9060">
        <v>21</v>
      </c>
      <c r="AC9060">
        <v>0.68479999999999497</v>
      </c>
      <c r="AD9060">
        <v>-0.107505</v>
      </c>
      <c r="AE9060">
        <v>4.4400000000024399E-2</v>
      </c>
      <c r="AF9060">
        <v>6.14562724697734E-2</v>
      </c>
      <c r="AG9060">
        <v>-0.107505</v>
      </c>
      <c r="AH9060">
        <v>0.66697434575285997</v>
      </c>
      <c r="AI9060">
        <v>99.118386559384405</v>
      </c>
      <c r="AJ9060">
        <v>84.735524065831697</v>
      </c>
      <c r="AK9060">
        <v>0.678372299215803</v>
      </c>
      <c r="AL9060">
        <v>97.3719327550955</v>
      </c>
      <c r="AM9060">
        <v>83.482537859498805</v>
      </c>
      <c r="AN9060">
        <v>1.0000000364664401</v>
      </c>
    </row>
    <row r="9061" spans="1:40" x14ac:dyDescent="0.25">
      <c r="A9061" t="str">
        <f>"20190303154355762"</f>
        <v>20190303154355762</v>
      </c>
      <c r="B9061" t="str">
        <f>"1551599035749355"</f>
        <v>1551599035749355</v>
      </c>
      <c r="C9061" t="s">
        <v>40</v>
      </c>
      <c r="D9061">
        <v>5.5742989999999999</v>
      </c>
      <c r="E9061">
        <v>0.48252539999999999</v>
      </c>
      <c r="F9061" t="s">
        <v>42</v>
      </c>
      <c r="G9061">
        <v>-166.0583</v>
      </c>
      <c r="H9061">
        <v>1.0174719999999999</v>
      </c>
      <c r="I9061">
        <v>136.2516</v>
      </c>
      <c r="J9061">
        <v>-166.72059999999999</v>
      </c>
      <c r="K9061">
        <v>1.122174</v>
      </c>
      <c r="L9061">
        <v>136.20910000000001</v>
      </c>
      <c r="M9061">
        <v>0.98724970000000001</v>
      </c>
      <c r="N9061">
        <v>-1.364109E-2</v>
      </c>
      <c r="O9061">
        <v>0.15859409999999999</v>
      </c>
      <c r="P9061">
        <v>0.98841480000000004</v>
      </c>
      <c r="Q9061">
        <v>-0.1450526</v>
      </c>
      <c r="R9061">
        <v>4.4676720000000003E-2</v>
      </c>
      <c r="S9061">
        <v>2.9704739999999998</v>
      </c>
      <c r="T9061">
        <v>-0.35871839999999999</v>
      </c>
      <c r="U9061">
        <v>0.26797490000000002</v>
      </c>
      <c r="V9061">
        <v>0.11310530000000001</v>
      </c>
      <c r="W9061">
        <v>-0.1312479</v>
      </c>
      <c r="X9061">
        <v>0.98487619999999998</v>
      </c>
      <c r="Y9061">
        <v>6.7826049999999999E-2</v>
      </c>
      <c r="Z9061">
        <v>-2.132469E-2</v>
      </c>
      <c r="AA9061">
        <v>0.99746919999999994</v>
      </c>
      <c r="AB9061">
        <v>21</v>
      </c>
      <c r="AC9061">
        <v>0.66229999999998701</v>
      </c>
      <c r="AD9061">
        <v>-0.104702</v>
      </c>
      <c r="AE9061">
        <v>4.2499999999989699E-2</v>
      </c>
      <c r="AF9061">
        <v>6.1552613137892703E-2</v>
      </c>
      <c r="AG9061">
        <v>-0.104702</v>
      </c>
      <c r="AH9061">
        <v>0.644613068169123</v>
      </c>
      <c r="AI9061">
        <v>99.184701354017193</v>
      </c>
      <c r="AJ9061">
        <v>84.545496094832103</v>
      </c>
      <c r="AK9061">
        <v>0.65595521237544396</v>
      </c>
      <c r="AL9061">
        <v>97.541709818384803</v>
      </c>
      <c r="AM9061">
        <v>83.4487298672734</v>
      </c>
      <c r="AN9061">
        <v>0.999999974734469</v>
      </c>
    </row>
    <row r="9062" spans="1:40" x14ac:dyDescent="0.25">
      <c r="A9062" t="str">
        <f>"20190303154355784"</f>
        <v>20190303154355784</v>
      </c>
      <c r="B9062" t="str">
        <f>"1551599035779611"</f>
        <v>1551599035779611</v>
      </c>
      <c r="C9062" t="s">
        <v>40</v>
      </c>
      <c r="D9062">
        <v>5.5425740000000001</v>
      </c>
      <c r="E9062">
        <v>0.48283939999999997</v>
      </c>
      <c r="F9062" t="s">
        <v>42</v>
      </c>
      <c r="G9062">
        <v>-165.87620000000001</v>
      </c>
      <c r="H9062">
        <v>1.019736</v>
      </c>
      <c r="I9062">
        <v>136.2867</v>
      </c>
      <c r="J9062">
        <v>-166.51660000000001</v>
      </c>
      <c r="K9062">
        <v>1.122163</v>
      </c>
      <c r="L9062">
        <v>136.245</v>
      </c>
      <c r="M9062">
        <v>0.98683520000000002</v>
      </c>
      <c r="N9062">
        <v>-1.36346E-2</v>
      </c>
      <c r="O9062">
        <v>0.16115360000000001</v>
      </c>
      <c r="P9062">
        <v>0.98850020000000005</v>
      </c>
      <c r="Q9062">
        <v>-0.1441683</v>
      </c>
      <c r="R9062">
        <v>4.563905E-2</v>
      </c>
      <c r="S9062">
        <v>2.9699550000000001</v>
      </c>
      <c r="T9062">
        <v>-0.36032579999999997</v>
      </c>
      <c r="U9062">
        <v>0.27316279999999998</v>
      </c>
      <c r="V9062">
        <v>0.11470959999999999</v>
      </c>
      <c r="W9062">
        <v>-0.13036989999999901</v>
      </c>
      <c r="X9062">
        <v>0.98480730000000005</v>
      </c>
      <c r="Y9062">
        <v>6.8634680000000003E-2</v>
      </c>
      <c r="Z9062">
        <v>-2.1753390000000001E-2</v>
      </c>
      <c r="AA9062">
        <v>0.99740469999999903</v>
      </c>
      <c r="AB9062">
        <v>21</v>
      </c>
      <c r="AC9062">
        <v>0.64039999999999897</v>
      </c>
      <c r="AD9062">
        <v>-0.102427</v>
      </c>
      <c r="AE9062">
        <v>4.1699999999991598E-2</v>
      </c>
      <c r="AF9062">
        <v>6.05159497438841E-2</v>
      </c>
      <c r="AG9062">
        <v>-0.102427</v>
      </c>
      <c r="AH9062">
        <v>0.62288172970394196</v>
      </c>
      <c r="AI9062">
        <v>99.295179794311096</v>
      </c>
      <c r="AJ9062">
        <v>84.450855840478894</v>
      </c>
      <c r="AK9062">
        <v>0.63414124586039899</v>
      </c>
      <c r="AL9062">
        <v>97.490967857556399</v>
      </c>
      <c r="AM9062">
        <v>83.356170071578802</v>
      </c>
      <c r="AN9062">
        <v>1.0000000106457301</v>
      </c>
    </row>
    <row r="9063" spans="1:40" x14ac:dyDescent="0.25">
      <c r="A9063" t="str">
        <f>"20190303154355806"</f>
        <v>20190303154355806</v>
      </c>
      <c r="B9063" t="str">
        <f>"1551599035799131"</f>
        <v>1551599035799131</v>
      </c>
      <c r="C9063" t="s">
        <v>40</v>
      </c>
      <c r="D9063">
        <v>5.5599049999999997</v>
      </c>
      <c r="E9063">
        <v>0.48310409999999998</v>
      </c>
      <c r="F9063" t="s">
        <v>42</v>
      </c>
      <c r="G9063">
        <v>-165.69229999999999</v>
      </c>
      <c r="H9063">
        <v>1.025665</v>
      </c>
      <c r="I9063">
        <v>136.32079999999999</v>
      </c>
      <c r="J9063">
        <v>-166.3168</v>
      </c>
      <c r="K9063">
        <v>1.122177</v>
      </c>
      <c r="L9063">
        <v>136.2807</v>
      </c>
      <c r="M9063">
        <v>0.98642609999999997</v>
      </c>
      <c r="N9063">
        <v>-1.3628940000000001E-2</v>
      </c>
      <c r="O9063">
        <v>0.16363939999999999</v>
      </c>
      <c r="P9063">
        <v>0.98898889999999995</v>
      </c>
      <c r="Q9063">
        <v>-0.14117589999999999</v>
      </c>
      <c r="R9063">
        <v>4.4391739999999999E-2</v>
      </c>
      <c r="S9063">
        <v>2.9715120000000002</v>
      </c>
      <c r="T9063">
        <v>-0.34792849999999997</v>
      </c>
      <c r="U9063">
        <v>0.27349849999999998</v>
      </c>
      <c r="V9063">
        <v>0.11848599999999999</v>
      </c>
      <c r="W9063">
        <v>-0.12737109999999999</v>
      </c>
      <c r="X9063">
        <v>0.98475259999999998</v>
      </c>
      <c r="Y9063">
        <v>7.1158100000000002E-2</v>
      </c>
      <c r="Z9063">
        <v>-2.1354809999999998E-2</v>
      </c>
      <c r="AA9063">
        <v>0.99723640000000002</v>
      </c>
      <c r="AB9063">
        <v>21</v>
      </c>
      <c r="AC9063">
        <v>0.62450000000001105</v>
      </c>
      <c r="AD9063">
        <v>-9.6511999999999903E-2</v>
      </c>
      <c r="AE9063">
        <v>4.0099999999995299E-2</v>
      </c>
      <c r="AF9063">
        <v>6.1187563460127402E-2</v>
      </c>
      <c r="AG9063">
        <v>-9.6511999999999903E-2</v>
      </c>
      <c r="AH9063">
        <v>0.60817710654178003</v>
      </c>
      <c r="AI9063">
        <v>98.972559127945104</v>
      </c>
      <c r="AJ9063">
        <v>84.254910451989304</v>
      </c>
      <c r="AK9063">
        <v>0.61881974515016702</v>
      </c>
      <c r="AL9063">
        <v>97.317704470369605</v>
      </c>
      <c r="AM9063">
        <v>83.139120365177106</v>
      </c>
      <c r="AN9063">
        <v>1.00000000625898</v>
      </c>
    </row>
    <row r="9064" spans="1:40" x14ac:dyDescent="0.25">
      <c r="A9064" t="str">
        <f>"20190303154355831"</f>
        <v>20190303154355831</v>
      </c>
      <c r="B9064" t="str">
        <f>"1551599035819628"</f>
        <v>1551599035819628</v>
      </c>
      <c r="C9064" t="s">
        <v>40</v>
      </c>
      <c r="D9064">
        <v>5.5746209999999996</v>
      </c>
      <c r="E9064">
        <v>0.48292689999999999</v>
      </c>
      <c r="F9064" t="s">
        <v>42</v>
      </c>
      <c r="G9064">
        <v>-165.5078</v>
      </c>
      <c r="H9064">
        <v>1.0325740000000001</v>
      </c>
      <c r="I9064">
        <v>136.35329999999999</v>
      </c>
      <c r="J9064">
        <v>-166.09620000000001</v>
      </c>
      <c r="K9064">
        <v>1.122177</v>
      </c>
      <c r="L9064">
        <v>136.32069999999999</v>
      </c>
      <c r="M9064">
        <v>0.98596969999999995</v>
      </c>
      <c r="N9064">
        <v>-1.360782E-2</v>
      </c>
      <c r="O9064">
        <v>0.16636909999999999</v>
      </c>
      <c r="P9064">
        <v>0.98909440000000004</v>
      </c>
      <c r="Q9064">
        <v>-0.1406271</v>
      </c>
      <c r="R9064">
        <v>4.3777780000000002E-2</v>
      </c>
      <c r="S9064">
        <v>2.9743189999999999</v>
      </c>
      <c r="T9064">
        <v>-0.32966289999999998</v>
      </c>
      <c r="U9064">
        <v>0.26745609999999997</v>
      </c>
      <c r="V9064">
        <v>0.1218267</v>
      </c>
      <c r="W9064">
        <v>-0.1268369</v>
      </c>
      <c r="X9064">
        <v>0.98441389999999995</v>
      </c>
      <c r="Y9064">
        <v>7.6119199999999998E-2</v>
      </c>
      <c r="Z9064">
        <v>-2.0700469999999999E-2</v>
      </c>
      <c r="AA9064">
        <v>0.99688379999999999</v>
      </c>
      <c r="AB9064">
        <v>21</v>
      </c>
      <c r="AC9064">
        <v>0.58840000000000703</v>
      </c>
      <c r="AD9064">
        <v>-8.9603000000000099E-2</v>
      </c>
      <c r="AE9064">
        <v>3.26000000000021E-2</v>
      </c>
      <c r="AF9064">
        <v>6.42692125760157E-2</v>
      </c>
      <c r="AG9064">
        <v>-8.9603000000000099E-2</v>
      </c>
      <c r="AH9064">
        <v>0.57238934014117804</v>
      </c>
      <c r="AI9064">
        <v>98.842314610895002</v>
      </c>
      <c r="AJ9064">
        <v>83.593528893697197</v>
      </c>
      <c r="AK9064">
        <v>0.58291404683829195</v>
      </c>
      <c r="AL9064">
        <v>97.286846577751703</v>
      </c>
      <c r="AM9064">
        <v>82.945198214594598</v>
      </c>
      <c r="AN9064">
        <v>1.0000000352738501</v>
      </c>
    </row>
    <row r="9065" spans="1:40" x14ac:dyDescent="0.25">
      <c r="A9065" t="str">
        <f>"20190303154355851"</f>
        <v>20190303154355851</v>
      </c>
      <c r="B9065" t="str">
        <f>"1551599035839147"</f>
        <v>1551599035839147</v>
      </c>
      <c r="C9065" t="s">
        <v>40</v>
      </c>
      <c r="D9065">
        <v>5.6034280000000001</v>
      </c>
      <c r="E9065">
        <v>0.48288979999999998</v>
      </c>
      <c r="F9065" t="s">
        <v>42</v>
      </c>
      <c r="G9065">
        <v>-165.3246</v>
      </c>
      <c r="H9065">
        <v>1.03878</v>
      </c>
      <c r="I9065">
        <v>136.38990000000001</v>
      </c>
      <c r="J9065">
        <v>-165.90899999999999</v>
      </c>
      <c r="K9065">
        <v>1.1221399999999999</v>
      </c>
      <c r="L9065">
        <v>136.35509999999999</v>
      </c>
      <c r="M9065">
        <v>0.9855796</v>
      </c>
      <c r="N9065">
        <v>-1.3543400000000001E-2</v>
      </c>
      <c r="O9065">
        <v>0.1686687</v>
      </c>
      <c r="P9065">
        <v>0.98882329999999996</v>
      </c>
      <c r="Q9065">
        <v>-0.14250839999999901</v>
      </c>
      <c r="R9065">
        <v>4.3816040000000001E-2</v>
      </c>
      <c r="S9065">
        <v>2.975571</v>
      </c>
      <c r="T9065">
        <v>-0.32155299999999998</v>
      </c>
      <c r="U9065">
        <v>0.26652530000000002</v>
      </c>
      <c r="V9065">
        <v>0.1240368</v>
      </c>
      <c r="W9065">
        <v>-0.12878599999999901</v>
      </c>
      <c r="X9065">
        <v>0.98388469999999995</v>
      </c>
      <c r="Y9065">
        <v>7.8830319999999995E-2</v>
      </c>
      <c r="Z9065">
        <v>-2.0527150000000001E-2</v>
      </c>
      <c r="AA9065">
        <v>0.99667669999999997</v>
      </c>
      <c r="AB9065">
        <v>21</v>
      </c>
      <c r="AC9065">
        <v>0.58440000000001602</v>
      </c>
      <c r="AD9065">
        <v>-8.3359999999999795E-2</v>
      </c>
      <c r="AE9065">
        <v>3.4800000000018302E-2</v>
      </c>
      <c r="AF9065">
        <v>6.3000399240052699E-2</v>
      </c>
      <c r="AG9065">
        <v>-8.3359999999999795E-2</v>
      </c>
      <c r="AH9065">
        <v>0.57033243851495696</v>
      </c>
      <c r="AI9065">
        <v>98.265915292245793</v>
      </c>
      <c r="AJ9065">
        <v>83.696515152536605</v>
      </c>
      <c r="AK9065">
        <v>0.57982499974287305</v>
      </c>
      <c r="AL9065">
        <v>97.399445299176605</v>
      </c>
      <c r="AM9065">
        <v>82.814716828741197</v>
      </c>
      <c r="AN9065">
        <v>1.0000000322221601</v>
      </c>
    </row>
    <row r="9066" spans="1:40" x14ac:dyDescent="0.25">
      <c r="A9066" t="str">
        <f>"20190303154355875"</f>
        <v>20190303154355875</v>
      </c>
      <c r="B9066" t="str">
        <f>"1551599035869403"</f>
        <v>1551599035869403</v>
      </c>
      <c r="C9066" t="s">
        <v>40</v>
      </c>
      <c r="D9066">
        <v>5.5838839999999896</v>
      </c>
      <c r="E9066">
        <v>0.48288419999999999</v>
      </c>
      <c r="F9066" t="s">
        <v>42</v>
      </c>
      <c r="G9066">
        <v>-165.14400000000001</v>
      </c>
      <c r="H9066">
        <v>1.039002</v>
      </c>
      <c r="I9066">
        <v>136.42359999999999</v>
      </c>
      <c r="J9066">
        <v>-165.69470000000001</v>
      </c>
      <c r="K9066">
        <v>1.122061</v>
      </c>
      <c r="L9066">
        <v>136.39500000000001</v>
      </c>
      <c r="M9066">
        <v>0.98513790000000001</v>
      </c>
      <c r="N9066">
        <v>-1.340701E-2</v>
      </c>
      <c r="O9066">
        <v>0.171241</v>
      </c>
      <c r="P9066">
        <v>0.98851500000000003</v>
      </c>
      <c r="Q9066">
        <v>-0.1440205</v>
      </c>
      <c r="R9066">
        <v>4.578521E-2</v>
      </c>
      <c r="S9066">
        <v>2.9754330000000002</v>
      </c>
      <c r="T9066">
        <v>-0.323470599999999</v>
      </c>
      <c r="U9066">
        <v>0.2667542</v>
      </c>
      <c r="V9066">
        <v>0.1245983</v>
      </c>
      <c r="W9066">
        <v>-0.13044749999999999</v>
      </c>
      <c r="X9066">
        <v>0.98359479999999999</v>
      </c>
      <c r="Y9066">
        <v>8.1307000000000004E-2</v>
      </c>
      <c r="Z9066">
        <v>-2.1067809999999999E-2</v>
      </c>
      <c r="AA9066">
        <v>0.99646639999999997</v>
      </c>
      <c r="AB9066">
        <v>21</v>
      </c>
      <c r="AC9066">
        <v>0.55070000000000596</v>
      </c>
      <c r="AD9066">
        <v>-8.3058999999999994E-2</v>
      </c>
      <c r="AE9066">
        <v>2.8599999999983E-2</v>
      </c>
      <c r="AF9066">
        <v>6.4666348389973399E-2</v>
      </c>
      <c r="AG9066">
        <v>-8.3058999999999994E-2</v>
      </c>
      <c r="AH9066">
        <v>0.53531751575415598</v>
      </c>
      <c r="AI9066">
        <v>98.756929950577202</v>
      </c>
      <c r="AJ9066">
        <v>83.112045719188799</v>
      </c>
      <c r="AK9066">
        <v>0.54556885612019201</v>
      </c>
      <c r="AL9066">
        <v>97.495452321139695</v>
      </c>
      <c r="AM9066">
        <v>82.7804273404996</v>
      </c>
      <c r="AN9066">
        <v>1.00000000860309</v>
      </c>
    </row>
    <row r="9067" spans="1:40" x14ac:dyDescent="0.25">
      <c r="A9067" t="str">
        <f>"20190303154355895"</f>
        <v>20190303154355895</v>
      </c>
      <c r="B9067" t="str">
        <f>"1551599035888923"</f>
        <v>1551599035888923</v>
      </c>
      <c r="C9067" t="s">
        <v>40</v>
      </c>
      <c r="D9067">
        <v>5.5869049999999998</v>
      </c>
      <c r="E9067">
        <v>0.48294589999999998</v>
      </c>
      <c r="F9067" t="s">
        <v>42</v>
      </c>
      <c r="G9067">
        <v>-164.9623</v>
      </c>
      <c r="H9067">
        <v>1.0426949999999999</v>
      </c>
      <c r="I9067">
        <v>136.46209999999999</v>
      </c>
      <c r="J9067">
        <v>-165.5103</v>
      </c>
      <c r="K9067">
        <v>1.121953</v>
      </c>
      <c r="L9067">
        <v>136.42959999999999</v>
      </c>
      <c r="M9067">
        <v>0.9847707</v>
      </c>
      <c r="N9067">
        <v>-1.326073E-2</v>
      </c>
      <c r="O9067">
        <v>0.17335210000000001</v>
      </c>
      <c r="P9067">
        <v>0.98829100000000003</v>
      </c>
      <c r="Q9067">
        <v>-0.1452454</v>
      </c>
      <c r="R9067">
        <v>4.6741129999999999E-2</v>
      </c>
      <c r="S9067">
        <v>2.975266</v>
      </c>
      <c r="T9067">
        <v>-0.32240210000000002</v>
      </c>
      <c r="U9067">
        <v>0.27252199999999999</v>
      </c>
      <c r="V9067">
        <v>0.12570309999999901</v>
      </c>
      <c r="W9067">
        <v>-0.13183900000000001</v>
      </c>
      <c r="X9067">
        <v>0.98326860000000005</v>
      </c>
      <c r="Y9067">
        <v>8.1518720000000003E-2</v>
      </c>
      <c r="Z9067">
        <v>-2.121928E-2</v>
      </c>
      <c r="AA9067">
        <v>0.9964459</v>
      </c>
      <c r="AB9067">
        <v>21</v>
      </c>
      <c r="AC9067">
        <v>0.54800000000000104</v>
      </c>
      <c r="AD9067">
        <v>-7.9257999999999801E-2</v>
      </c>
      <c r="AE9067">
        <v>3.2499999999998801E-2</v>
      </c>
      <c r="AF9067">
        <v>6.1711075690820197E-2</v>
      </c>
      <c r="AG9067">
        <v>-7.9257999999999801E-2</v>
      </c>
      <c r="AH9067">
        <v>0.53420082762712096</v>
      </c>
      <c r="AI9067">
        <v>98.384304023477299</v>
      </c>
      <c r="AJ9067">
        <v>83.410379658175898</v>
      </c>
      <c r="AK9067">
        <v>0.54356288657745799</v>
      </c>
      <c r="AL9067">
        <v>97.575874300231007</v>
      </c>
      <c r="AM9067">
        <v>82.714706336051606</v>
      </c>
      <c r="AN9067">
        <v>0.99999996550828396</v>
      </c>
    </row>
    <row r="9068" spans="1:40" x14ac:dyDescent="0.25">
      <c r="A9068" t="str">
        <f>"20190303154355918"</f>
        <v>20190303154355918</v>
      </c>
      <c r="B9068" t="str">
        <f>"1551599035909419"</f>
        <v>1551599035909419</v>
      </c>
      <c r="C9068" t="s">
        <v>40</v>
      </c>
      <c r="D9068">
        <v>5.5660119999999997</v>
      </c>
      <c r="E9068">
        <v>0.48316049999999999</v>
      </c>
      <c r="F9068" t="s">
        <v>42</v>
      </c>
      <c r="G9068">
        <v>-164.7818</v>
      </c>
      <c r="H9068">
        <v>1.042618</v>
      </c>
      <c r="I9068">
        <v>136.49690000000001</v>
      </c>
      <c r="J9068">
        <v>-165.31389999999999</v>
      </c>
      <c r="K9068">
        <v>1.121812</v>
      </c>
      <c r="L9068">
        <v>136.46680000000001</v>
      </c>
      <c r="M9068">
        <v>0.98440090000000002</v>
      </c>
      <c r="N9068">
        <v>-1.3113980000000001E-2</v>
      </c>
      <c r="O9068">
        <v>0.17545079999999999</v>
      </c>
      <c r="P9068">
        <v>0.98808099999999999</v>
      </c>
      <c r="Q9068">
        <v>-0.14643310000000001</v>
      </c>
      <c r="R9068">
        <v>4.7468860000000002E-2</v>
      </c>
      <c r="S9068">
        <v>2.9749150000000002</v>
      </c>
      <c r="T9068">
        <v>-0.32407160000000002</v>
      </c>
      <c r="U9068">
        <v>0.27491759999999998</v>
      </c>
      <c r="V9068">
        <v>0.12700880000000001</v>
      </c>
      <c r="W9068">
        <v>-0.13320599999999999</v>
      </c>
      <c r="X9068">
        <v>0.98291649999999997</v>
      </c>
      <c r="Y9068">
        <v>8.2802529999999999E-2</v>
      </c>
      <c r="Z9068">
        <v>-2.1632820000000001E-2</v>
      </c>
      <c r="AA9068">
        <v>0.99633119999999997</v>
      </c>
      <c r="AB9068">
        <v>21</v>
      </c>
      <c r="AC9068">
        <v>0.53209999999998503</v>
      </c>
      <c r="AD9068">
        <v>-7.9193999999999903E-2</v>
      </c>
      <c r="AE9068">
        <v>3.0100000000004401E-2</v>
      </c>
      <c r="AF9068">
        <v>6.2355534607950097E-2</v>
      </c>
      <c r="AG9068">
        <v>-7.9193999999999903E-2</v>
      </c>
      <c r="AH9068">
        <v>0.51769525155219598</v>
      </c>
      <c r="AI9068">
        <v>98.6358827230912</v>
      </c>
      <c r="AJ9068">
        <v>83.131904496501505</v>
      </c>
      <c r="AK9068">
        <v>0.52741660555194403</v>
      </c>
      <c r="AL9068">
        <v>97.654894642997604</v>
      </c>
      <c r="AM9068">
        <v>82.637250656868105</v>
      </c>
      <c r="AN9068">
        <v>0.99999995984284396</v>
      </c>
    </row>
    <row r="9069" spans="1:40" x14ac:dyDescent="0.25">
      <c r="A9069" t="str">
        <f>"20190303154355940"</f>
        <v>20190303154355940</v>
      </c>
      <c r="B9069" t="str">
        <f>"1551599035928939"</f>
        <v>1551599035928939</v>
      </c>
      <c r="C9069" t="s">
        <v>40</v>
      </c>
      <c r="D9069">
        <v>5.6513410000000004</v>
      </c>
      <c r="E9069">
        <v>0.48320000000000002</v>
      </c>
      <c r="F9069" t="s">
        <v>42</v>
      </c>
      <c r="G9069">
        <v>-164.4265</v>
      </c>
      <c r="H9069">
        <v>1.0244979999999999</v>
      </c>
      <c r="I9069">
        <v>136.5489</v>
      </c>
      <c r="J9069">
        <v>-165.10919999999999</v>
      </c>
      <c r="K9069">
        <v>1.1216440000000001</v>
      </c>
      <c r="L9069">
        <v>136.50579999999999</v>
      </c>
      <c r="M9069">
        <v>0.98404809999999998</v>
      </c>
      <c r="N9069">
        <v>-1.297682E-2</v>
      </c>
      <c r="O9069">
        <v>0.17742929999999901</v>
      </c>
      <c r="P9069">
        <v>0.98808169999999995</v>
      </c>
      <c r="Q9069">
        <v>-0.14622479999999999</v>
      </c>
      <c r="R9069">
        <v>4.8094360000000003E-2</v>
      </c>
      <c r="S9069">
        <v>2.9745940000000002</v>
      </c>
      <c r="T9069">
        <v>-0.32633129999999999</v>
      </c>
      <c r="U9069">
        <v>0.2755127</v>
      </c>
      <c r="V9069">
        <v>0.12831890000000001</v>
      </c>
      <c r="W9069">
        <v>-0.13317479999999901</v>
      </c>
      <c r="X9069">
        <v>0.98275060000000003</v>
      </c>
      <c r="Y9069">
        <v>8.4555720000000001E-2</v>
      </c>
      <c r="Z9069">
        <v>-2.2109299999999998E-2</v>
      </c>
      <c r="AA9069">
        <v>0.99617339999999999</v>
      </c>
      <c r="AB9069">
        <v>21</v>
      </c>
      <c r="AC9069">
        <v>0.68269999999998199</v>
      </c>
      <c r="AD9069">
        <v>-9.7146000000000093E-2</v>
      </c>
      <c r="AE9069">
        <v>4.3100000000009603E-2</v>
      </c>
      <c r="AF9069">
        <v>7.71687911138383E-2</v>
      </c>
      <c r="AG9069">
        <v>-9.7146000000000093E-2</v>
      </c>
      <c r="AH9069">
        <v>0.66608048108194595</v>
      </c>
      <c r="AI9069">
        <v>98.243550803517806</v>
      </c>
      <c r="AJ9069">
        <v>83.391456680761806</v>
      </c>
      <c r="AK9069">
        <v>0.67753640117437797</v>
      </c>
      <c r="AL9069">
        <v>97.653090599710794</v>
      </c>
      <c r="AM9069">
        <v>82.560908217129096</v>
      </c>
      <c r="AN9069">
        <v>1.0000000046263</v>
      </c>
    </row>
    <row r="9070" spans="1:40" x14ac:dyDescent="0.25">
      <c r="A9070" t="str">
        <f>"20190303154355961"</f>
        <v>20190303154355961</v>
      </c>
      <c r="B9070" t="str">
        <f>"1551599035959701"</f>
        <v>1551599035959701</v>
      </c>
      <c r="C9070" t="s">
        <v>40</v>
      </c>
      <c r="D9070">
        <v>3.2492109999999998</v>
      </c>
      <c r="E9070">
        <v>0.52174409999999904</v>
      </c>
      <c r="F9070" t="s">
        <v>42</v>
      </c>
      <c r="G9070">
        <v>-164.245</v>
      </c>
      <c r="H9070">
        <v>1.027064</v>
      </c>
      <c r="I9070">
        <v>136.5864</v>
      </c>
      <c r="J9070">
        <v>-164.90989999999999</v>
      </c>
      <c r="K9070">
        <v>1.121499</v>
      </c>
      <c r="L9070">
        <v>136.54399999999899</v>
      </c>
      <c r="M9070">
        <v>0.98373409999999994</v>
      </c>
      <c r="N9070">
        <v>-1.284968E-2</v>
      </c>
      <c r="O9070">
        <v>0.17917079999999999</v>
      </c>
      <c r="P9070">
        <v>0.98813510000000004</v>
      </c>
      <c r="Q9070">
        <v>-0.14562229999999901</v>
      </c>
      <c r="R9070">
        <v>4.8821330000000003E-2</v>
      </c>
      <c r="S9070">
        <v>2.9745330000000001</v>
      </c>
      <c r="T9070">
        <v>-0.32546779999999997</v>
      </c>
      <c r="U9070">
        <v>0.27702329999999997</v>
      </c>
      <c r="V9070">
        <v>0.1293059</v>
      </c>
      <c r="W9070">
        <v>-0.1327362</v>
      </c>
      <c r="X9070">
        <v>0.98268060000000002</v>
      </c>
      <c r="Y9070">
        <v>8.5805549999999994E-2</v>
      </c>
      <c r="Z9070">
        <v>-2.2303380000000001E-2</v>
      </c>
      <c r="AA9070">
        <v>0.99606220000000001</v>
      </c>
      <c r="AB9070">
        <v>21</v>
      </c>
      <c r="AC9070">
        <v>0.66489999999998795</v>
      </c>
      <c r="AD9070">
        <v>-9.4435000000000005E-2</v>
      </c>
      <c r="AE9070">
        <v>4.2400000000014801E-2</v>
      </c>
      <c r="AF9070">
        <v>7.5901822906909694E-2</v>
      </c>
      <c r="AG9070">
        <v>-9.4435000000000005E-2</v>
      </c>
      <c r="AH9070">
        <v>0.648703475561061</v>
      </c>
      <c r="AI9070">
        <v>98.227301065755896</v>
      </c>
      <c r="AJ9070">
        <v>83.326427171838603</v>
      </c>
      <c r="AK9070">
        <v>0.65992064307050802</v>
      </c>
      <c r="AL9070">
        <v>97.627735312184896</v>
      </c>
      <c r="AM9070">
        <v>82.503808736611404</v>
      </c>
      <c r="AN9070">
        <v>1.0000000380908001</v>
      </c>
    </row>
    <row r="9071" spans="1:40" x14ac:dyDescent="0.25">
      <c r="A9071" t="str">
        <f>"20190303154356118"</f>
        <v>20190303154356118</v>
      </c>
      <c r="B9071" t="str">
        <f>"1551599036109028"</f>
        <v>1551599036109028</v>
      </c>
      <c r="C9071" t="s">
        <v>40</v>
      </c>
      <c r="D9071">
        <v>5.585896</v>
      </c>
      <c r="E9071">
        <v>0.51767989999999997</v>
      </c>
      <c r="F9071" t="s">
        <v>41</v>
      </c>
      <c r="G9071">
        <v>-112.15179999999999</v>
      </c>
      <c r="H9071" s="1">
        <v>-3.9882369999999997E-6</v>
      </c>
      <c r="I9071">
        <v>136.01349999999999</v>
      </c>
      <c r="J9071">
        <v>-163.49350000000001</v>
      </c>
      <c r="K9071">
        <v>1.1206259999999999</v>
      </c>
      <c r="L9071">
        <v>136.81659999999999</v>
      </c>
      <c r="M9071">
        <v>0.98251089999999996</v>
      </c>
      <c r="N9071">
        <v>-1.2205280000000001E-2</v>
      </c>
      <c r="O9071">
        <v>0.1858049</v>
      </c>
      <c r="P9071">
        <v>0.98698090000000005</v>
      </c>
      <c r="Q9071">
        <v>-0.146704</v>
      </c>
      <c r="R9071">
        <v>6.5929719999999997E-2</v>
      </c>
      <c r="S9071">
        <v>3.0280459999999998</v>
      </c>
      <c r="T9071">
        <v>-6.436849E-2</v>
      </c>
      <c r="U9071">
        <v>-3.0441280000000001E-2</v>
      </c>
      <c r="V9071">
        <v>0.1186403</v>
      </c>
      <c r="W9071">
        <v>-0.13468740000000001</v>
      </c>
      <c r="X9071">
        <v>0.98375999999999997</v>
      </c>
      <c r="Y9071">
        <v>0.19561029999999999</v>
      </c>
      <c r="Z9071">
        <v>-4.9284410000000004E-3</v>
      </c>
      <c r="AA9071">
        <v>0.98066929999999997</v>
      </c>
      <c r="AB9071">
        <v>21</v>
      </c>
      <c r="AC9071">
        <v>51.341700000000003</v>
      </c>
      <c r="AD9071">
        <v>-1.1206299882369899</v>
      </c>
      <c r="AE9071">
        <v>-0.80310000000000004</v>
      </c>
      <c r="AF9071">
        <v>10.3244453343874</v>
      </c>
      <c r="AG9071">
        <v>-1.1206299882369899</v>
      </c>
      <c r="AH9071">
        <v>50.274358545631301</v>
      </c>
      <c r="AI9071">
        <v>91.250832923890698</v>
      </c>
      <c r="AJ9071">
        <v>78.394967861294106</v>
      </c>
      <c r="AK9071">
        <v>51.335768331719599</v>
      </c>
      <c r="AL9071">
        <v>97.740544318598097</v>
      </c>
      <c r="AM9071">
        <v>83.123405899193102</v>
      </c>
      <c r="AN9071">
        <v>0.99999997705142396</v>
      </c>
    </row>
    <row r="9072" spans="1:40" x14ac:dyDescent="0.25">
      <c r="A9072" t="str">
        <f>"20190303154356141"</f>
        <v>20190303154356141</v>
      </c>
      <c r="B9072" t="str">
        <f>"1551599036129525"</f>
        <v>1551599036129525</v>
      </c>
      <c r="C9072" t="s">
        <v>40</v>
      </c>
      <c r="D9072">
        <v>5.6550640000000003</v>
      </c>
      <c r="E9072">
        <v>0.51739860000000004</v>
      </c>
      <c r="F9072" t="s">
        <v>41</v>
      </c>
      <c r="G9072">
        <v>-128.2491</v>
      </c>
      <c r="H9072" s="1">
        <v>-1.1521799999999901E-6</v>
      </c>
      <c r="I9072">
        <v>137.47299999999899</v>
      </c>
      <c r="J9072">
        <v>-163.2868</v>
      </c>
      <c r="K9072">
        <v>1.120514</v>
      </c>
      <c r="L9072">
        <v>136.8561</v>
      </c>
      <c r="M9072">
        <v>0.98246599999999995</v>
      </c>
      <c r="N9072">
        <v>-1.215129E-2</v>
      </c>
      <c r="O9072">
        <v>0.18604560000000001</v>
      </c>
      <c r="P9072">
        <v>0.98667570000000004</v>
      </c>
      <c r="Q9072">
        <v>-0.149689299999999</v>
      </c>
      <c r="R9072">
        <v>6.3750829999999994E-2</v>
      </c>
      <c r="S9072">
        <v>3.0215299999999998</v>
      </c>
      <c r="T9072">
        <v>-9.6071959999999998E-2</v>
      </c>
      <c r="U9072">
        <v>5.6274409999999997E-2</v>
      </c>
      <c r="V9072">
        <v>0.1209335</v>
      </c>
      <c r="W9072">
        <v>-0.1377621</v>
      </c>
      <c r="X9072">
        <v>0.98305480000000001</v>
      </c>
      <c r="Y9072">
        <v>0.16757929999999999</v>
      </c>
      <c r="Z9072">
        <v>-7.2955819999999897E-3</v>
      </c>
      <c r="AA9072">
        <v>0.98583160000000003</v>
      </c>
      <c r="AB9072">
        <v>21</v>
      </c>
      <c r="AC9072">
        <v>35.037700000000001</v>
      </c>
      <c r="AD9072">
        <v>-1.1205151521799901</v>
      </c>
      <c r="AE9072">
        <v>0.61689999999998602</v>
      </c>
      <c r="AF9072">
        <v>5.90692365582614</v>
      </c>
      <c r="AG9072">
        <v>-1.1205151521799901</v>
      </c>
      <c r="AH9072">
        <v>34.50539055398</v>
      </c>
      <c r="AI9072">
        <v>91.833297848991094</v>
      </c>
      <c r="AJ9072">
        <v>80.2857882353115</v>
      </c>
      <c r="AK9072">
        <v>35.025266288277003</v>
      </c>
      <c r="AL9072">
        <v>97.918369051872801</v>
      </c>
      <c r="AM9072">
        <v>82.986820235933607</v>
      </c>
      <c r="AN9072">
        <v>1.00000002371084</v>
      </c>
    </row>
    <row r="9073" spans="1:40" x14ac:dyDescent="0.25">
      <c r="A9073" t="str">
        <f>"20190303154356163"</f>
        <v>20190303154356163</v>
      </c>
      <c r="B9073" t="str">
        <f>"1551599036158804"</f>
        <v>1551599036158804</v>
      </c>
      <c r="C9073" t="s">
        <v>40</v>
      </c>
      <c r="D9073">
        <v>5.6599430000000002</v>
      </c>
      <c r="E9073">
        <v>0.5116484</v>
      </c>
      <c r="F9073" t="s">
        <v>41</v>
      </c>
      <c r="G9073">
        <v>-133.92910000000001</v>
      </c>
      <c r="H9073" s="1">
        <v>-2.9872439999999999E-6</v>
      </c>
      <c r="I9073">
        <v>137.35810000000001</v>
      </c>
      <c r="J9073">
        <v>-163.08699999999999</v>
      </c>
      <c r="K9073">
        <v>1.1204449999999999</v>
      </c>
      <c r="L9073">
        <v>136.89420000000001</v>
      </c>
      <c r="M9073">
        <v>0.98244819999999999</v>
      </c>
      <c r="N9073">
        <v>-1.210578E-2</v>
      </c>
      <c r="O9073">
        <v>0.1861429</v>
      </c>
      <c r="P9073">
        <v>0.98709959999999997</v>
      </c>
      <c r="Q9073">
        <v>-0.14737510000000001</v>
      </c>
      <c r="R9073">
        <v>6.25719E-2</v>
      </c>
      <c r="S9073">
        <v>3.0196839999999998</v>
      </c>
      <c r="T9073">
        <v>-0.11525440000000001</v>
      </c>
      <c r="U9073">
        <v>5.1635739999999999E-2</v>
      </c>
      <c r="V9073">
        <v>0.1222424</v>
      </c>
      <c r="W9073">
        <v>-0.13551359999999901</v>
      </c>
      <c r="X9073">
        <v>0.98320540000000001</v>
      </c>
      <c r="Y9073">
        <v>0.16910729999999999</v>
      </c>
      <c r="Z9073">
        <v>-9.0538119999999996E-3</v>
      </c>
      <c r="AA9073">
        <v>0.98555610000000005</v>
      </c>
      <c r="AB9073">
        <v>21</v>
      </c>
      <c r="AC9073">
        <v>29.157900000000001</v>
      </c>
      <c r="AD9073">
        <v>-1.1204479872440001</v>
      </c>
      <c r="AE9073">
        <v>0.46389999999999498</v>
      </c>
      <c r="AF9073">
        <v>4.9648128830155702</v>
      </c>
      <c r="AG9073">
        <v>-1.1204479872440001</v>
      </c>
      <c r="AH9073">
        <v>28.692223863477</v>
      </c>
      <c r="AI9073">
        <v>92.203583870582605</v>
      </c>
      <c r="AJ9073">
        <v>80.182926975534897</v>
      </c>
      <c r="AK9073">
        <v>29.1401523827065</v>
      </c>
      <c r="AL9073">
        <v>97.788319932504095</v>
      </c>
      <c r="AM9073">
        <v>82.912757225416399</v>
      </c>
      <c r="AN9073">
        <v>0.99999999936593897</v>
      </c>
    </row>
    <row r="9074" spans="1:40" x14ac:dyDescent="0.25">
      <c r="A9074" t="str">
        <f>"20190303154356186"</f>
        <v>20190303154356186</v>
      </c>
      <c r="B9074" t="str">
        <f>"1551599036179300"</f>
        <v>1551599036179300</v>
      </c>
      <c r="C9074" t="s">
        <v>40</v>
      </c>
      <c r="D9074">
        <v>5.6580409999999999</v>
      </c>
      <c r="E9074">
        <v>0.51001569999999996</v>
      </c>
      <c r="F9074" t="s">
        <v>41</v>
      </c>
      <c r="G9074">
        <v>-141.2921</v>
      </c>
      <c r="H9074" s="1">
        <v>-4.0803590000000003E-6</v>
      </c>
      <c r="I9074">
        <v>137.57320000000001</v>
      </c>
      <c r="J9074">
        <v>-162.8844</v>
      </c>
      <c r="K9074">
        <v>1.1203879999999999</v>
      </c>
      <c r="L9074">
        <v>136.93260000000001</v>
      </c>
      <c r="M9074">
        <v>0.98245610000000005</v>
      </c>
      <c r="N9074">
        <v>-1.206575E-2</v>
      </c>
      <c r="O9074">
        <v>0.18610380000000001</v>
      </c>
      <c r="P9074">
        <v>0.98780449999999997</v>
      </c>
      <c r="Q9074">
        <v>-0.14274979999999901</v>
      </c>
      <c r="R9074">
        <v>6.2168830000000001E-2</v>
      </c>
      <c r="S9074">
        <v>3.0101469999999999</v>
      </c>
      <c r="T9074">
        <v>-0.1547482</v>
      </c>
      <c r="U9074">
        <v>9.3780520000000006E-2</v>
      </c>
      <c r="V9074">
        <v>0.1227092</v>
      </c>
      <c r="W9074">
        <v>-0.13094159999999999</v>
      </c>
      <c r="X9074">
        <v>0.98376660000000005</v>
      </c>
      <c r="Y9074">
        <v>0.15503819999999999</v>
      </c>
      <c r="Z9074">
        <v>-1.2172209999999999E-2</v>
      </c>
      <c r="AA9074">
        <v>0.98783350000000003</v>
      </c>
      <c r="AB9074">
        <v>21</v>
      </c>
      <c r="AC9074">
        <v>21.592299999999899</v>
      </c>
      <c r="AD9074">
        <v>-1.120392080359</v>
      </c>
      <c r="AE9074">
        <v>0.64060000000000605</v>
      </c>
      <c r="AF9074">
        <v>3.3802011859285099</v>
      </c>
      <c r="AG9074">
        <v>-1.120392080359</v>
      </c>
      <c r="AH9074">
        <v>21.277019641690501</v>
      </c>
      <c r="AI9074">
        <v>92.976996684556894</v>
      </c>
      <c r="AJ9074">
        <v>80.973069634212095</v>
      </c>
      <c r="AK9074">
        <v>21.572960003299698</v>
      </c>
      <c r="AL9074">
        <v>97.524007253984394</v>
      </c>
      <c r="AM9074">
        <v>82.889987083391702</v>
      </c>
      <c r="AN9074">
        <v>0.99999998682537905</v>
      </c>
    </row>
    <row r="9075" spans="1:40" x14ac:dyDescent="0.25">
      <c r="A9075" t="str">
        <f>"20190303154356207"</f>
        <v>20190303154356207</v>
      </c>
      <c r="B9075" t="str">
        <f>"1551599036199796"</f>
        <v>1551599036199796</v>
      </c>
      <c r="C9075" t="s">
        <v>40</v>
      </c>
      <c r="D9075">
        <v>5.6680809999999999</v>
      </c>
      <c r="E9075">
        <v>0.50895119999999905</v>
      </c>
      <c r="F9075" t="s">
        <v>41</v>
      </c>
      <c r="G9075">
        <v>-140.64340000000001</v>
      </c>
      <c r="H9075" s="1">
        <v>-4.3327150000000002E-6</v>
      </c>
      <c r="I9075">
        <v>137.71950000000001</v>
      </c>
      <c r="J9075">
        <v>-162.68299999999999</v>
      </c>
      <c r="K9075">
        <v>1.120317</v>
      </c>
      <c r="L9075">
        <v>136.97069999999999</v>
      </c>
      <c r="M9075">
        <v>0.98249310000000001</v>
      </c>
      <c r="N9075">
        <v>-1.2031409999999999E-2</v>
      </c>
      <c r="O9075">
        <v>0.18590989999999999</v>
      </c>
      <c r="P9075">
        <v>0.98788480000000001</v>
      </c>
      <c r="Q9075">
        <v>-0.1421732</v>
      </c>
      <c r="R9075">
        <v>6.2213579999999997E-2</v>
      </c>
      <c r="S9075">
        <v>3.0084529999999998</v>
      </c>
      <c r="T9075">
        <v>-0.1515504</v>
      </c>
      <c r="U9075">
        <v>0.10644530000000001</v>
      </c>
      <c r="V9075">
        <v>0.122462</v>
      </c>
      <c r="W9075">
        <v>-0.13042039999999999</v>
      </c>
      <c r="X9075">
        <v>0.98386660000000004</v>
      </c>
      <c r="Y9075">
        <v>0.15069379999999999</v>
      </c>
      <c r="Z9075">
        <v>-1.1760319999999999E-2</v>
      </c>
      <c r="AA9075">
        <v>0.98851049999999996</v>
      </c>
      <c r="AB9075">
        <v>21</v>
      </c>
      <c r="AC9075">
        <v>22.039599999999901</v>
      </c>
      <c r="AD9075">
        <v>-1.1203213327149999</v>
      </c>
      <c r="AE9075">
        <v>0.74880000000001701</v>
      </c>
      <c r="AF9075">
        <v>3.3532778546655502</v>
      </c>
      <c r="AG9075">
        <v>-1.1203213327149999</v>
      </c>
      <c r="AH9075">
        <v>21.738436978295599</v>
      </c>
      <c r="AI9075">
        <v>92.915783818006602</v>
      </c>
      <c r="AJ9075">
        <v>81.230916325571798</v>
      </c>
      <c r="AK9075">
        <v>22.024060354949398</v>
      </c>
      <c r="AL9075">
        <v>97.493886634997807</v>
      </c>
      <c r="AM9075">
        <v>82.904878052955198</v>
      </c>
      <c r="AN9075">
        <v>0.99999995438785905</v>
      </c>
    </row>
    <row r="9076" spans="1:40" x14ac:dyDescent="0.25">
      <c r="A9076" t="str">
        <f>"20190303154356230"</f>
        <v>20190303154356230</v>
      </c>
      <c r="B9076" t="str">
        <f>"1551599036219317"</f>
        <v>1551599036219317</v>
      </c>
      <c r="C9076" t="s">
        <v>40</v>
      </c>
      <c r="D9076">
        <v>5.6802859999999997</v>
      </c>
      <c r="E9076">
        <v>0.50810679999999997</v>
      </c>
      <c r="F9076" t="s">
        <v>41</v>
      </c>
      <c r="G9076">
        <v>-141.1045</v>
      </c>
      <c r="H9076" s="1">
        <v>-4.1207119999999997E-6</v>
      </c>
      <c r="I9076">
        <v>137.79949999999999</v>
      </c>
      <c r="J9076">
        <v>-162.4787</v>
      </c>
      <c r="K9076">
        <v>1.1202190000000001</v>
      </c>
      <c r="L9076">
        <v>137.00909999999999</v>
      </c>
      <c r="M9076">
        <v>0.98256259999999995</v>
      </c>
      <c r="N9076">
        <v>-1.200175E-2</v>
      </c>
      <c r="O9076">
        <v>0.18554399999999999</v>
      </c>
      <c r="P9076">
        <v>0.98783889999999996</v>
      </c>
      <c r="Q9076">
        <v>-0.1424812</v>
      </c>
      <c r="R9076">
        <v>6.223737E-2</v>
      </c>
      <c r="S9076">
        <v>3.0070649999999999</v>
      </c>
      <c r="T9076">
        <v>-0.1561216</v>
      </c>
      <c r="U9076">
        <v>0.11549379999999999</v>
      </c>
      <c r="V9076">
        <v>0.1220321</v>
      </c>
      <c r="W9076">
        <v>-0.13078719999999999</v>
      </c>
      <c r="X9076">
        <v>0.98387139999999995</v>
      </c>
      <c r="Y9076">
        <v>0.147319799999999</v>
      </c>
      <c r="Z9076">
        <v>-1.2041140000000001E-2</v>
      </c>
      <c r="AA9076">
        <v>0.98901559999999999</v>
      </c>
      <c r="AB9076">
        <v>21</v>
      </c>
      <c r="AC9076">
        <v>21.374199999999998</v>
      </c>
      <c r="AD9076">
        <v>-1.1202231207119999</v>
      </c>
      <c r="AE9076">
        <v>0.79040000000000499</v>
      </c>
      <c r="AF9076">
        <v>3.18074201550656</v>
      </c>
      <c r="AG9076">
        <v>-1.1202231207119999</v>
      </c>
      <c r="AH9076">
        <v>21.091811859574499</v>
      </c>
      <c r="AI9076">
        <v>93.006293797335502</v>
      </c>
      <c r="AJ9076">
        <v>81.424154590523202</v>
      </c>
      <c r="AK9076">
        <v>21.3596944530832</v>
      </c>
      <c r="AL9076">
        <v>97.515083733963195</v>
      </c>
      <c r="AM9076">
        <v>82.929566927786695</v>
      </c>
      <c r="AN9076">
        <v>1.0000000284260999</v>
      </c>
    </row>
    <row r="9077" spans="1:40" x14ac:dyDescent="0.25">
      <c r="A9077" t="str">
        <f>"20190303154356252"</f>
        <v>20190303154356252</v>
      </c>
      <c r="B9077" t="str">
        <f>"1551599036249572"</f>
        <v>1551599036249572</v>
      </c>
      <c r="C9077" t="s">
        <v>40</v>
      </c>
      <c r="D9077">
        <v>5.6469680000000002</v>
      </c>
      <c r="E9077">
        <v>0.50705299999999998</v>
      </c>
      <c r="F9077" t="s">
        <v>41</v>
      </c>
      <c r="G9077">
        <v>-141.79249999999999</v>
      </c>
      <c r="H9077" s="1">
        <v>-3.8166750000000002E-6</v>
      </c>
      <c r="I9077">
        <v>137.84950000000001</v>
      </c>
      <c r="J9077">
        <v>-162.2756</v>
      </c>
      <c r="K9077">
        <v>1.1201110000000001</v>
      </c>
      <c r="L9077">
        <v>137.04689999999999</v>
      </c>
      <c r="M9077">
        <v>0.98266609999999999</v>
      </c>
      <c r="N9077">
        <v>-1.1977160000000001E-2</v>
      </c>
      <c r="O9077">
        <v>0.18499769999999999</v>
      </c>
      <c r="P9077">
        <v>0.98817869999999997</v>
      </c>
      <c r="Q9077">
        <v>-0.14018410000000001</v>
      </c>
      <c r="R9077">
        <v>6.2059629999999998E-2</v>
      </c>
      <c r="S9077">
        <v>3.0057529999999999</v>
      </c>
      <c r="T9077">
        <v>-0.1627712</v>
      </c>
      <c r="U9077">
        <v>0.12211610000000001</v>
      </c>
      <c r="V9077">
        <v>0.1216869</v>
      </c>
      <c r="W9077">
        <v>-0.1285463</v>
      </c>
      <c r="X9077">
        <v>0.98420940000000001</v>
      </c>
      <c r="Y9077">
        <v>0.14454639999999999</v>
      </c>
      <c r="Z9077">
        <v>-1.250457E-2</v>
      </c>
      <c r="AA9077">
        <v>0.98941900000000005</v>
      </c>
      <c r="AB9077">
        <v>21</v>
      </c>
      <c r="AC9077">
        <v>20.4831</v>
      </c>
      <c r="AD9077">
        <v>-1.1201148166749999</v>
      </c>
      <c r="AE9077">
        <v>0.80260000000001197</v>
      </c>
      <c r="AF9077">
        <v>2.9919200131986199</v>
      </c>
      <c r="AG9077">
        <v>-1.1201148166749999</v>
      </c>
      <c r="AH9077">
        <v>20.217612288886802</v>
      </c>
      <c r="AI9077">
        <v>93.137017106596801</v>
      </c>
      <c r="AJ9077">
        <v>81.582131941066507</v>
      </c>
      <c r="AK9077">
        <v>20.468465727348999</v>
      </c>
      <c r="AL9077">
        <v>97.385596643070201</v>
      </c>
      <c r="AM9077">
        <v>82.951762922096293</v>
      </c>
      <c r="AN9077">
        <v>0.99999999796183003</v>
      </c>
    </row>
    <row r="9078" spans="1:40" x14ac:dyDescent="0.25">
      <c r="A9078" t="str">
        <f>"20190303154356275"</f>
        <v>20190303154356275</v>
      </c>
      <c r="B9078" t="str">
        <f>"1551599036269092"</f>
        <v>1551599036269092</v>
      </c>
      <c r="C9078" t="s">
        <v>40</v>
      </c>
      <c r="D9078">
        <v>5.7145440000000001</v>
      </c>
      <c r="E9078">
        <v>0.50656250000000003</v>
      </c>
      <c r="F9078" t="s">
        <v>41</v>
      </c>
      <c r="G9078">
        <v>-141.26410000000001</v>
      </c>
      <c r="H9078" s="1">
        <v>-4.0245799999999998E-6</v>
      </c>
      <c r="I9078">
        <v>137.95529999999999</v>
      </c>
      <c r="J9078">
        <v>-162.06909999999999</v>
      </c>
      <c r="K9078">
        <v>1.1199749999999999</v>
      </c>
      <c r="L9078">
        <v>137.08500000000001</v>
      </c>
      <c r="M9078">
        <v>0.98280970000000001</v>
      </c>
      <c r="N9078">
        <v>-1.195186E-2</v>
      </c>
      <c r="O9078">
        <v>0.18423490000000001</v>
      </c>
      <c r="P9078">
        <v>0.98860320000000002</v>
      </c>
      <c r="Q9078">
        <v>-0.13726250000000001</v>
      </c>
      <c r="R9078">
        <v>6.1830160000000002E-2</v>
      </c>
      <c r="S9078">
        <v>3.0050050000000001</v>
      </c>
      <c r="T9078">
        <v>-0.16019549999999999</v>
      </c>
      <c r="U9078">
        <v>0.12992860000000001</v>
      </c>
      <c r="V9078">
        <v>0.1211884</v>
      </c>
      <c r="W9078">
        <v>-0.12568480000000001</v>
      </c>
      <c r="X9078">
        <v>0.98464039999999997</v>
      </c>
      <c r="Y9078">
        <v>0.14121979999999901</v>
      </c>
      <c r="Z9078">
        <v>-1.2151179999999999E-2</v>
      </c>
      <c r="AA9078">
        <v>0.98990370000000005</v>
      </c>
      <c r="AB9078">
        <v>21</v>
      </c>
      <c r="AC9078">
        <v>20.8049999999999</v>
      </c>
      <c r="AD9078">
        <v>-1.1199790245800001</v>
      </c>
      <c r="AE9078">
        <v>0.87029999999998597</v>
      </c>
      <c r="AF9078">
        <v>2.9692904411594299</v>
      </c>
      <c r="AG9078">
        <v>-1.1199790245800001</v>
      </c>
      <c r="AH9078">
        <v>20.549717746031</v>
      </c>
      <c r="AI9078">
        <v>93.087585630102595</v>
      </c>
      <c r="AJ9078">
        <v>81.778065395390499</v>
      </c>
      <c r="AK9078">
        <v>20.793314747317201</v>
      </c>
      <c r="AL9078">
        <v>97.220303773191105</v>
      </c>
      <c r="AM9078">
        <v>82.983389962234</v>
      </c>
      <c r="AN9078">
        <v>1.0000000072788799</v>
      </c>
    </row>
    <row r="9079" spans="1:40" x14ac:dyDescent="0.25">
      <c r="A9079" t="str">
        <f>"20190303154356297"</f>
        <v>20190303154356297</v>
      </c>
      <c r="B9079" t="str">
        <f>"1551599036289592"</f>
        <v>1551599036289592</v>
      </c>
      <c r="C9079" t="s">
        <v>40</v>
      </c>
      <c r="D9079">
        <v>5.6941750000000004</v>
      </c>
      <c r="E9079">
        <v>0.50608549999999997</v>
      </c>
      <c r="F9079" t="s">
        <v>41</v>
      </c>
      <c r="G9079">
        <v>-140.26009999999999</v>
      </c>
      <c r="H9079" s="1">
        <v>-4.4382500000000002E-6</v>
      </c>
      <c r="I9079">
        <v>138.0515</v>
      </c>
      <c r="J9079">
        <v>-161.87</v>
      </c>
      <c r="K9079">
        <v>1.1198399999999999</v>
      </c>
      <c r="L9079">
        <v>137.12119999999999</v>
      </c>
      <c r="M9079">
        <v>0.98299179999999997</v>
      </c>
      <c r="N9079">
        <v>-1.192007E-2</v>
      </c>
      <c r="O9079">
        <v>0.1832626</v>
      </c>
      <c r="P9079">
        <v>0.9886703</v>
      </c>
      <c r="Q9079">
        <v>-0.1372015</v>
      </c>
      <c r="R9079">
        <v>6.0886049999999997E-2</v>
      </c>
      <c r="S9079">
        <v>3.0048370000000002</v>
      </c>
      <c r="T9079">
        <v>-0.15431010000000001</v>
      </c>
      <c r="U9079">
        <v>0.13317870000000001</v>
      </c>
      <c r="V9079">
        <v>0.12111379999999999</v>
      </c>
      <c r="W9079">
        <v>-0.1256958</v>
      </c>
      <c r="X9079">
        <v>0.98464819999999997</v>
      </c>
      <c r="Y9079">
        <v>0.13920339999999901</v>
      </c>
      <c r="Z9079">
        <v>-1.155779E-2</v>
      </c>
      <c r="AA9079">
        <v>0.99019630000000003</v>
      </c>
      <c r="AB9079">
        <v>21</v>
      </c>
      <c r="AC9079">
        <v>21.6099</v>
      </c>
      <c r="AD9079">
        <v>-1.1198444382499999</v>
      </c>
      <c r="AE9079">
        <v>0.930300000000016</v>
      </c>
      <c r="AF9079">
        <v>3.0378825175994701</v>
      </c>
      <c r="AG9079">
        <v>-1.1198444382499999</v>
      </c>
      <c r="AH9079">
        <v>21.3571171060116</v>
      </c>
      <c r="AI9079">
        <v>92.971655026537107</v>
      </c>
      <c r="AJ9079">
        <v>81.904431689690199</v>
      </c>
      <c r="AK9079">
        <v>21.601139618930102</v>
      </c>
      <c r="AL9079">
        <v>97.220938883825298</v>
      </c>
      <c r="AM9079">
        <v>82.9877211606657</v>
      </c>
      <c r="AN9079">
        <v>1.0000000322256499</v>
      </c>
    </row>
    <row r="9080" spans="1:40" x14ac:dyDescent="0.25">
      <c r="A9080" t="str">
        <f>"20190303154356320"</f>
        <v>20190303154356320</v>
      </c>
      <c r="B9080" t="str">
        <f>"1551599036309109"</f>
        <v>1551599036309109</v>
      </c>
      <c r="C9080" t="s">
        <v>40</v>
      </c>
      <c r="D9080">
        <v>5.7042780000000004</v>
      </c>
      <c r="E9080">
        <v>0.50564869999999995</v>
      </c>
      <c r="F9080" t="s">
        <v>41</v>
      </c>
      <c r="G9080">
        <v>-140.4195</v>
      </c>
      <c r="H9080" s="1">
        <v>-4.3650809999999996E-6</v>
      </c>
      <c r="I9080">
        <v>138.07849999999999</v>
      </c>
      <c r="J9080">
        <v>-161.65969999999999</v>
      </c>
      <c r="K9080">
        <v>1.1196839999999999</v>
      </c>
      <c r="L9080">
        <v>137.15899999999999</v>
      </c>
      <c r="M9080">
        <v>0.98322940000000003</v>
      </c>
      <c r="N9080">
        <v>-1.187817E-2</v>
      </c>
      <c r="O9080">
        <v>0.1819858</v>
      </c>
      <c r="P9080">
        <v>0.98856790000000005</v>
      </c>
      <c r="Q9080">
        <v>-0.1385585</v>
      </c>
      <c r="R9080">
        <v>5.9457459999999997E-2</v>
      </c>
      <c r="S9080">
        <v>3.004318</v>
      </c>
      <c r="T9080">
        <v>-0.15684289999999901</v>
      </c>
      <c r="U9080">
        <v>0.134079</v>
      </c>
      <c r="V9080">
        <v>0.1211774</v>
      </c>
      <c r="W9080">
        <v>-0.12713759999999999</v>
      </c>
      <c r="X9080">
        <v>0.98445519999999997</v>
      </c>
      <c r="Y9080">
        <v>0.1376039</v>
      </c>
      <c r="Z9080">
        <v>-1.1675140000000001E-2</v>
      </c>
      <c r="AA9080">
        <v>0.99041860000000004</v>
      </c>
      <c r="AB9080">
        <v>21</v>
      </c>
      <c r="AC9080">
        <v>21.240199999999898</v>
      </c>
      <c r="AD9080">
        <v>-1.1196883650809999</v>
      </c>
      <c r="AE9080">
        <v>0.91949999999999898</v>
      </c>
      <c r="AF9080">
        <v>2.9533525244075398</v>
      </c>
      <c r="AG9080">
        <v>-1.1196883650809999</v>
      </c>
      <c r="AH9080">
        <v>20.994577274298599</v>
      </c>
      <c r="AI9080">
        <v>93.023112388827002</v>
      </c>
      <c r="AJ9080">
        <v>81.992621513483599</v>
      </c>
      <c r="AK9080">
        <v>21.230832958101701</v>
      </c>
      <c r="AL9080">
        <v>97.304216395519404</v>
      </c>
      <c r="AM9080">
        <v>82.982713777981402</v>
      </c>
      <c r="AN9080">
        <v>0.99999998620577901</v>
      </c>
    </row>
    <row r="9081" spans="1:40" x14ac:dyDescent="0.25">
      <c r="A9081" t="str">
        <f>"20190303154356353"</f>
        <v>20190303154356353</v>
      </c>
      <c r="B9081" t="str">
        <f>"1551599036349125"</f>
        <v>1551599036349125</v>
      </c>
      <c r="C9081" t="s">
        <v>40</v>
      </c>
      <c r="D9081">
        <v>5.6583969999999999</v>
      </c>
      <c r="E9081">
        <v>0.5050365</v>
      </c>
      <c r="F9081" t="s">
        <v>41</v>
      </c>
      <c r="G9081">
        <v>-141.24430000000001</v>
      </c>
      <c r="H9081" s="1">
        <v>-4.0136019999999996E-6</v>
      </c>
      <c r="I9081">
        <v>138.0652</v>
      </c>
      <c r="J9081">
        <v>-161.35900000000001</v>
      </c>
      <c r="K9081">
        <v>1.119507</v>
      </c>
      <c r="L9081">
        <v>137.21209999999999</v>
      </c>
      <c r="M9081">
        <v>0.98362769999999999</v>
      </c>
      <c r="N9081">
        <v>-1.181547E-2</v>
      </c>
      <c r="O9081">
        <v>0.17982519999999999</v>
      </c>
      <c r="P9081">
        <v>0.98854430000000004</v>
      </c>
      <c r="Q9081">
        <v>-0.1397815</v>
      </c>
      <c r="R9081">
        <v>5.6933619999999997E-2</v>
      </c>
      <c r="S9081">
        <v>3.0035859999999999</v>
      </c>
      <c r="T9081">
        <v>-0.16473209999999999</v>
      </c>
      <c r="U9081">
        <v>0.13333130000000001</v>
      </c>
      <c r="V9081">
        <v>0.1214437</v>
      </c>
      <c r="W9081">
        <v>-0.12847229999999901</v>
      </c>
      <c r="X9081">
        <v>0.98424909999999999</v>
      </c>
      <c r="Y9081">
        <v>0.13562679999999999</v>
      </c>
      <c r="Z9081">
        <v>-1.2183660000000001E-2</v>
      </c>
      <c r="AA9081">
        <v>0.99068509999999999</v>
      </c>
      <c r="AB9081">
        <v>21</v>
      </c>
      <c r="AC9081">
        <v>20.114699999999999</v>
      </c>
      <c r="AD9081">
        <v>-1.1195110136019999</v>
      </c>
      <c r="AE9081">
        <v>0.85310000000001196</v>
      </c>
      <c r="AF9081">
        <v>2.7696269921720198</v>
      </c>
      <c r="AG9081">
        <v>-1.1195110136019999</v>
      </c>
      <c r="AH9081">
        <v>19.8787089714953</v>
      </c>
      <c r="AI9081">
        <v>93.192553663663006</v>
      </c>
      <c r="AJ9081">
        <v>82.068251186208798</v>
      </c>
      <c r="AK9081">
        <v>20.101920529112501</v>
      </c>
      <c r="AL9081">
        <v>97.381321309049994</v>
      </c>
      <c r="AM9081">
        <v>82.965988956441095</v>
      </c>
      <c r="AN9081">
        <v>0.99999999749389401</v>
      </c>
    </row>
    <row r="9082" spans="1:40" x14ac:dyDescent="0.25">
      <c r="A9082" t="str">
        <f>"20190303154356376"</f>
        <v>20190303154356376</v>
      </c>
      <c r="B9082" t="str">
        <f>"1551599036369621"</f>
        <v>1551599036369621</v>
      </c>
      <c r="C9082" t="s">
        <v>40</v>
      </c>
      <c r="D9082">
        <v>5.6339240000000004</v>
      </c>
      <c r="E9082">
        <v>0.50486560000000003</v>
      </c>
      <c r="F9082" t="s">
        <v>41</v>
      </c>
      <c r="G9082">
        <v>-142.0874</v>
      </c>
      <c r="H9082" s="1">
        <v>-3.6541209999999998E-6</v>
      </c>
      <c r="I9082">
        <v>138.05269999999999</v>
      </c>
      <c r="J9082">
        <v>-161.15129999999999</v>
      </c>
      <c r="K9082">
        <v>1.1194090000000001</v>
      </c>
      <c r="L9082">
        <v>137.24809999999999</v>
      </c>
      <c r="M9082">
        <v>0.9839388</v>
      </c>
      <c r="N9082">
        <v>-1.175733E-2</v>
      </c>
      <c r="O9082">
        <v>0.178119</v>
      </c>
      <c r="P9082">
        <v>0.98855300000000002</v>
      </c>
      <c r="Q9082">
        <v>-0.140283299999999</v>
      </c>
      <c r="R9082">
        <v>5.5530320000000001E-2</v>
      </c>
      <c r="S9082">
        <v>3.0025629999999999</v>
      </c>
      <c r="T9082">
        <v>-0.17442240000000001</v>
      </c>
      <c r="U9082">
        <v>0.1309814</v>
      </c>
      <c r="V9082">
        <v>0.1210938</v>
      </c>
      <c r="W9082">
        <v>-0.1290557</v>
      </c>
      <c r="X9082">
        <v>0.98421590000000003</v>
      </c>
      <c r="Y9082">
        <v>0.13461789999999901</v>
      </c>
      <c r="Z9082">
        <v>-1.287697E-2</v>
      </c>
      <c r="AA9082">
        <v>0.99081390000000003</v>
      </c>
      <c r="AB9082">
        <v>21</v>
      </c>
      <c r="AC9082">
        <v>19.063899999999901</v>
      </c>
      <c r="AD9082">
        <v>-1.1194126541210001</v>
      </c>
      <c r="AE9082">
        <v>0.80459999999999299</v>
      </c>
      <c r="AF9082">
        <v>2.5952132441328</v>
      </c>
      <c r="AG9082">
        <v>-1.1194126541210001</v>
      </c>
      <c r="AH9082">
        <v>18.837495657277501</v>
      </c>
      <c r="AI9082">
        <v>93.369037790411298</v>
      </c>
      <c r="AJ9082">
        <v>82.155826400647399</v>
      </c>
      <c r="AK9082">
        <v>19.048345311618998</v>
      </c>
      <c r="AL9082">
        <v>97.415028175966697</v>
      </c>
      <c r="AM9082">
        <v>82.985818749566704</v>
      </c>
      <c r="AN9082">
        <v>1.00000000995687</v>
      </c>
    </row>
    <row r="9083" spans="1:40" x14ac:dyDescent="0.25">
      <c r="A9083" t="str">
        <f>"20190303154356397"</f>
        <v>20190303154356397</v>
      </c>
      <c r="B9083" t="str">
        <f>"1551599036389141"</f>
        <v>1551599036389141</v>
      </c>
      <c r="C9083" t="s">
        <v>40</v>
      </c>
      <c r="D9083">
        <v>5.7560349999999998</v>
      </c>
      <c r="E9083">
        <v>0.50466670000000002</v>
      </c>
      <c r="F9083" t="s">
        <v>41</v>
      </c>
      <c r="G9083">
        <v>-142.2345</v>
      </c>
      <c r="H9083" s="1">
        <v>-3.5905440000000001E-6</v>
      </c>
      <c r="I9083">
        <v>138.05529999999999</v>
      </c>
      <c r="J9083">
        <v>-160.94999999999999</v>
      </c>
      <c r="K9083">
        <v>1.1193029999999999</v>
      </c>
      <c r="L9083">
        <v>137.2824</v>
      </c>
      <c r="M9083">
        <v>0.98427039999999999</v>
      </c>
      <c r="N9083">
        <v>-1.1653220000000001E-2</v>
      </c>
      <c r="O9083">
        <v>0.1762841</v>
      </c>
      <c r="P9083">
        <v>0.98835059999999997</v>
      </c>
      <c r="Q9083">
        <v>-0.14213310000000001</v>
      </c>
      <c r="R9083">
        <v>5.4418210000000002E-2</v>
      </c>
      <c r="S9083">
        <v>3.002335</v>
      </c>
      <c r="T9083">
        <v>-0.17766479999999901</v>
      </c>
      <c r="U9083">
        <v>0.12812809999999999</v>
      </c>
      <c r="V9083">
        <v>0.1202912</v>
      </c>
      <c r="W9083">
        <v>-0.13102929999999999</v>
      </c>
      <c r="X9083">
        <v>0.98405359999999997</v>
      </c>
      <c r="Y9083">
        <v>0.133691899999999</v>
      </c>
      <c r="Z9083">
        <v>-1.30354999999999E-2</v>
      </c>
      <c r="AA9083">
        <v>0.99093719999999996</v>
      </c>
      <c r="AB9083">
        <v>21</v>
      </c>
      <c r="AC9083">
        <v>18.715499999999899</v>
      </c>
      <c r="AD9083">
        <v>-1.1193065905440001</v>
      </c>
      <c r="AE9083">
        <v>0.77289999999999204</v>
      </c>
      <c r="AF9083">
        <v>2.5296420995228899</v>
      </c>
      <c r="AG9083">
        <v>-1.1193065905440001</v>
      </c>
      <c r="AH9083">
        <v>18.4925900860793</v>
      </c>
      <c r="AI9083">
        <v>93.43185092265</v>
      </c>
      <c r="AJ9083">
        <v>82.210728687461199</v>
      </c>
      <c r="AK9083">
        <v>18.698337479227199</v>
      </c>
      <c r="AL9083">
        <v>97.529075140698893</v>
      </c>
      <c r="AM9083">
        <v>83.030711669738693</v>
      </c>
      <c r="AN9083">
        <v>1.0000000689644399</v>
      </c>
    </row>
    <row r="9084" spans="1:40" x14ac:dyDescent="0.25">
      <c r="A9084" t="str">
        <f>"20190303154356419"</f>
        <v>20190303154356419</v>
      </c>
      <c r="B9084" t="str">
        <f>"1551599036409637"</f>
        <v>1551599036409637</v>
      </c>
      <c r="C9084" t="s">
        <v>40</v>
      </c>
      <c r="D9084">
        <v>5.7547889999999997</v>
      </c>
      <c r="E9084">
        <v>0.50444789999999995</v>
      </c>
      <c r="F9084" t="s">
        <v>41</v>
      </c>
      <c r="G9084">
        <v>-142.7458</v>
      </c>
      <c r="H9084" s="1">
        <v>-3.3726780000000002E-6</v>
      </c>
      <c r="I9084">
        <v>138.047</v>
      </c>
      <c r="J9084">
        <v>-160.7458</v>
      </c>
      <c r="K9084">
        <v>1.1191979999999999</v>
      </c>
      <c r="L9084">
        <v>137.3167</v>
      </c>
      <c r="M9084">
        <v>0.98462499999999997</v>
      </c>
      <c r="N9084">
        <v>-1.1517970000000001E-2</v>
      </c>
      <c r="O9084">
        <v>0.17430119999999999</v>
      </c>
      <c r="P9084">
        <v>0.98825830000000003</v>
      </c>
      <c r="Q9084">
        <v>-0.1431124</v>
      </c>
      <c r="R9084">
        <v>5.3521779999999998E-2</v>
      </c>
      <c r="S9084">
        <v>3.0018769999999999</v>
      </c>
      <c r="T9084">
        <v>-0.18457380000000001</v>
      </c>
      <c r="U9084">
        <v>0.12608339999999901</v>
      </c>
      <c r="V9084">
        <v>0.1191542</v>
      </c>
      <c r="W9084">
        <v>-0.1321571</v>
      </c>
      <c r="X9084">
        <v>0.98404100000000005</v>
      </c>
      <c r="Y9084">
        <v>0.13232769999999999</v>
      </c>
      <c r="Z9084">
        <v>-1.346222E-2</v>
      </c>
      <c r="AA9084">
        <v>0.99111459999999996</v>
      </c>
      <c r="AB9084">
        <v>21</v>
      </c>
      <c r="AC9084">
        <v>18</v>
      </c>
      <c r="AD9084">
        <v>-1.1192013726779999</v>
      </c>
      <c r="AE9084">
        <v>0.73029999999999895</v>
      </c>
      <c r="AF9084">
        <v>2.4092115264235501</v>
      </c>
      <c r="AG9084">
        <v>-1.1192013726779999</v>
      </c>
      <c r="AH9084">
        <v>17.783088720396101</v>
      </c>
      <c r="AI9084">
        <v>93.568717031633497</v>
      </c>
      <c r="AJ9084">
        <v>82.284675001803393</v>
      </c>
      <c r="AK9084">
        <v>17.980410349297799</v>
      </c>
      <c r="AL9084">
        <v>97.594261044341906</v>
      </c>
      <c r="AM9084">
        <v>83.095859479841806</v>
      </c>
      <c r="AN9084">
        <v>0.99999995606952397</v>
      </c>
    </row>
    <row r="9085" spans="1:40" x14ac:dyDescent="0.25">
      <c r="A9085" t="str">
        <f>"20190303154356443"</f>
        <v>20190303154356443</v>
      </c>
      <c r="B9085" t="str">
        <f>"1551599036438916"</f>
        <v>1551599036438916</v>
      </c>
      <c r="C9085" t="s">
        <v>40</v>
      </c>
      <c r="D9085">
        <v>5.749987</v>
      </c>
      <c r="E9085">
        <v>0.50417679999999998</v>
      </c>
      <c r="F9085" t="s">
        <v>41</v>
      </c>
      <c r="G9085">
        <v>-142.9786</v>
      </c>
      <c r="H9085" s="1">
        <v>-3.2715259999999998E-6</v>
      </c>
      <c r="I9085">
        <v>138.05430000000001</v>
      </c>
      <c r="J9085">
        <v>-160.52979999999999</v>
      </c>
      <c r="K9085">
        <v>1.1191009999999999</v>
      </c>
      <c r="L9085">
        <v>137.35239999999999</v>
      </c>
      <c r="M9085">
        <v>0.98501399999999995</v>
      </c>
      <c r="N9085">
        <v>-1.134573E-2</v>
      </c>
      <c r="O9085">
        <v>0.172101799999999</v>
      </c>
      <c r="P9085">
        <v>0.98822840000000001</v>
      </c>
      <c r="Q9085">
        <v>-0.1439616</v>
      </c>
      <c r="R9085">
        <v>5.176886E-2</v>
      </c>
      <c r="S9085">
        <v>3.0014949999999998</v>
      </c>
      <c r="T9085">
        <v>-0.18907209999999999</v>
      </c>
      <c r="U9085">
        <v>0.1246033</v>
      </c>
      <c r="V9085">
        <v>0.1186593</v>
      </c>
      <c r="W9085">
        <v>-0.1331918</v>
      </c>
      <c r="X9085">
        <v>0.98396130000000004</v>
      </c>
      <c r="Y9085">
        <v>0.13057560000000001</v>
      </c>
      <c r="Z9085">
        <v>-1.3664819999999999E-2</v>
      </c>
      <c r="AA9085">
        <v>0.99134420000000001</v>
      </c>
      <c r="AB9085">
        <v>21</v>
      </c>
      <c r="AC9085">
        <v>17.551199999999898</v>
      </c>
      <c r="AD9085">
        <v>-1.119104271526</v>
      </c>
      <c r="AE9085">
        <v>0.70190000000002295</v>
      </c>
      <c r="AF9085">
        <v>2.3199443575680601</v>
      </c>
      <c r="AG9085">
        <v>-1.119104271526</v>
      </c>
      <c r="AH9085">
        <v>17.3397094345545</v>
      </c>
      <c r="AI9085">
        <v>93.660220915370601</v>
      </c>
      <c r="AJ9085">
        <v>82.379440320638594</v>
      </c>
      <c r="AK9085">
        <v>17.529976025868802</v>
      </c>
      <c r="AL9085">
        <v>97.654073707678293</v>
      </c>
      <c r="AM9085">
        <v>83.123708746343198</v>
      </c>
      <c r="AN9085">
        <v>0.99999996248070899</v>
      </c>
    </row>
    <row r="9086" spans="1:40" x14ac:dyDescent="0.25">
      <c r="A9086" t="str">
        <f>"20190303154356465"</f>
        <v>20190303154356465</v>
      </c>
      <c r="B9086" t="str">
        <f>"1551599036459413"</f>
        <v>1551599036459413</v>
      </c>
      <c r="C9086" t="s">
        <v>40</v>
      </c>
      <c r="D9086">
        <v>5.6893979999999997</v>
      </c>
      <c r="E9086">
        <v>0.50408319999999995</v>
      </c>
      <c r="F9086" t="s">
        <v>41</v>
      </c>
      <c r="G9086">
        <v>-143.1892</v>
      </c>
      <c r="H9086" s="1">
        <v>-3.1816690000000002E-6</v>
      </c>
      <c r="I9086">
        <v>138.0515</v>
      </c>
      <c r="J9086">
        <v>-160.32749999999999</v>
      </c>
      <c r="K9086">
        <v>1.119016</v>
      </c>
      <c r="L9086">
        <v>137.3853</v>
      </c>
      <c r="M9086">
        <v>0.98538820000000005</v>
      </c>
      <c r="N9086">
        <v>-1.1149010000000001E-2</v>
      </c>
      <c r="O9086">
        <v>0.16995879999999999</v>
      </c>
      <c r="P9086">
        <v>0.9883111</v>
      </c>
      <c r="Q9086">
        <v>-0.14360129999999999</v>
      </c>
      <c r="R9086">
        <v>5.11876E-2</v>
      </c>
      <c r="S9086">
        <v>3.0011749999999999</v>
      </c>
      <c r="T9086">
        <v>-0.1936853</v>
      </c>
      <c r="U9086">
        <v>0.1210022</v>
      </c>
      <c r="V9086">
        <v>0.11709410000000001</v>
      </c>
      <c r="W9086">
        <v>-0.1330306</v>
      </c>
      <c r="X9086">
        <v>0.98417060000000001</v>
      </c>
      <c r="Y9086">
        <v>0.12957859999999999</v>
      </c>
      <c r="Z9086">
        <v>-1.3900859999999999E-2</v>
      </c>
      <c r="AA9086">
        <v>0.99147169999999896</v>
      </c>
      <c r="AB9086">
        <v>21</v>
      </c>
      <c r="AC9086">
        <v>17.138299999999902</v>
      </c>
      <c r="AD9086">
        <v>-1.1190191816689901</v>
      </c>
      <c r="AE9086">
        <v>0.66620000000000301</v>
      </c>
      <c r="AF9086">
        <v>2.2469146245726002</v>
      </c>
      <c r="AG9086">
        <v>-1.1190191816689901</v>
      </c>
      <c r="AH9086">
        <v>16.930092056093301</v>
      </c>
      <c r="AI9086">
        <v>93.748771739812597</v>
      </c>
      <c r="AJ9086">
        <v>82.440043938448795</v>
      </c>
      <c r="AK9086">
        <v>17.1151642202713</v>
      </c>
      <c r="AL9086">
        <v>97.644754646003193</v>
      </c>
      <c r="AM9086">
        <v>83.214990145899307</v>
      </c>
      <c r="AN9086">
        <v>0.99999996934776403</v>
      </c>
    </row>
    <row r="9087" spans="1:40" x14ac:dyDescent="0.25">
      <c r="A9087" t="str">
        <f>"20190303154356486"</f>
        <v>20190303154356486</v>
      </c>
      <c r="B9087" t="str">
        <f>"1551599036478932"</f>
        <v>1551599036478932</v>
      </c>
      <c r="C9087" t="s">
        <v>40</v>
      </c>
      <c r="D9087">
        <v>5.7466339999999896</v>
      </c>
      <c r="E9087">
        <v>0.50393759999999999</v>
      </c>
      <c r="F9087" t="s">
        <v>41</v>
      </c>
      <c r="G9087">
        <v>-142.9674</v>
      </c>
      <c r="H9087" s="1">
        <v>-3.2718409999999998E-6</v>
      </c>
      <c r="I9087">
        <v>138.0795</v>
      </c>
      <c r="J9087">
        <v>-160.12430000000001</v>
      </c>
      <c r="K9087">
        <v>1.1189249999999999</v>
      </c>
      <c r="L9087">
        <v>137.4177</v>
      </c>
      <c r="M9087">
        <v>0.98577170000000003</v>
      </c>
      <c r="N9087">
        <v>-1.091989E-2</v>
      </c>
      <c r="O9087">
        <v>0.1677341</v>
      </c>
      <c r="P9087">
        <v>0.98839399999999999</v>
      </c>
      <c r="Q9087">
        <v>-0.14367769999999999</v>
      </c>
      <c r="R9087">
        <v>4.9337150000000003E-2</v>
      </c>
      <c r="S9087">
        <v>3.0011749999999999</v>
      </c>
      <c r="T9087">
        <v>-0.19345390000000001</v>
      </c>
      <c r="U9087">
        <v>0.1200256</v>
      </c>
      <c r="V9087">
        <v>0.11669939999999999</v>
      </c>
      <c r="W9087">
        <v>-0.133342299999999</v>
      </c>
      <c r="X9087">
        <v>0.98417529999999998</v>
      </c>
      <c r="Y9087">
        <v>0.127669899999999</v>
      </c>
      <c r="Z9087">
        <v>-1.3718559999999999E-2</v>
      </c>
      <c r="AA9087">
        <v>0.99172179999999999</v>
      </c>
      <c r="AB9087">
        <v>21</v>
      </c>
      <c r="AC9087">
        <v>17.1569</v>
      </c>
      <c r="AD9087">
        <v>-1.1189282718410001</v>
      </c>
      <c r="AE9087">
        <v>0.66179999999999894</v>
      </c>
      <c r="AF9087">
        <v>2.2161344696522098</v>
      </c>
      <c r="AG9087">
        <v>-1.1189282718410001</v>
      </c>
      <c r="AH9087">
        <v>16.9528111460208</v>
      </c>
      <c r="AI9087">
        <v>93.7444224724767</v>
      </c>
      <c r="AJ9087">
        <v>82.552314905319193</v>
      </c>
      <c r="AK9087">
        <v>17.133623616087501</v>
      </c>
      <c r="AL9087">
        <v>97.662774272762604</v>
      </c>
      <c r="AM9087">
        <v>83.237680850670102</v>
      </c>
      <c r="AN9087">
        <v>0.99999997002986896</v>
      </c>
    </row>
    <row r="9088" spans="1:40" x14ac:dyDescent="0.25">
      <c r="A9088" t="str">
        <f>"20190303154356509"</f>
        <v>20190303154356509</v>
      </c>
      <c r="B9088" t="str">
        <f>"1551599036499429"</f>
        <v>1551599036499429</v>
      </c>
      <c r="C9088" t="s">
        <v>40</v>
      </c>
      <c r="D9088">
        <v>5.7766570000000002</v>
      </c>
      <c r="E9088">
        <v>0.50380769999999997</v>
      </c>
      <c r="F9088" t="s">
        <v>41</v>
      </c>
      <c r="G9088">
        <v>-142.8689</v>
      </c>
      <c r="H9088" s="1">
        <v>-3.3134930000000001E-6</v>
      </c>
      <c r="I9088">
        <v>138.0831</v>
      </c>
      <c r="J9088">
        <v>-159.91730000000001</v>
      </c>
      <c r="K9088">
        <v>1.1188389999999999</v>
      </c>
      <c r="L9088">
        <v>137.4503</v>
      </c>
      <c r="M9088">
        <v>0.98616899999999996</v>
      </c>
      <c r="N9088">
        <v>-1.0665910000000001E-2</v>
      </c>
      <c r="O9088">
        <v>0.16539989999999999</v>
      </c>
      <c r="P9088">
        <v>0.98836469999999998</v>
      </c>
      <c r="Q9088">
        <v>-0.14470069999999999</v>
      </c>
      <c r="R9088">
        <v>4.6875010000000002E-2</v>
      </c>
      <c r="S9088">
        <v>3.00116</v>
      </c>
      <c r="T9088">
        <v>-0.19460949999999999</v>
      </c>
      <c r="U9088">
        <v>0.115722699999999</v>
      </c>
      <c r="V9088">
        <v>0.1167793</v>
      </c>
      <c r="W9088">
        <v>-0.13462750000000001</v>
      </c>
      <c r="X9088">
        <v>0.98399080000000005</v>
      </c>
      <c r="Y9088">
        <v>0.1267385</v>
      </c>
      <c r="Z9088">
        <v>-1.367522E-2</v>
      </c>
      <c r="AA9088">
        <v>0.99184190000000005</v>
      </c>
      <c r="AB9088">
        <v>21</v>
      </c>
      <c r="AC9088">
        <v>17.048400000000001</v>
      </c>
      <c r="AD9088">
        <v>-1.1188423134929999</v>
      </c>
      <c r="AE9088">
        <v>0.63280000000000303</v>
      </c>
      <c r="AF9088">
        <v>2.1864765122952399</v>
      </c>
      <c r="AG9088">
        <v>-1.1188423134929999</v>
      </c>
      <c r="AH9088">
        <v>16.845775217558199</v>
      </c>
      <c r="AI9088">
        <v>93.768304626425106</v>
      </c>
      <c r="AJ9088">
        <v>82.604708453862699</v>
      </c>
      <c r="AK9088">
        <v>17.0238841144369</v>
      </c>
      <c r="AL9088">
        <v>97.737081109933499</v>
      </c>
      <c r="AM9088">
        <v>83.231836809579505</v>
      </c>
      <c r="AN9088">
        <v>0.99999993157468703</v>
      </c>
    </row>
    <row r="9089" spans="1:40" x14ac:dyDescent="0.25">
      <c r="A9089" t="str">
        <f>"20190303154356531"</f>
        <v>20190303154356531</v>
      </c>
      <c r="B9089" t="str">
        <f>"1551599036518949"</f>
        <v>1551599036518949</v>
      </c>
      <c r="C9089" t="s">
        <v>40</v>
      </c>
      <c r="D9089">
        <v>5.7470280000000002</v>
      </c>
      <c r="E9089">
        <v>0.50366049999999996</v>
      </c>
      <c r="F9089" t="s">
        <v>41</v>
      </c>
      <c r="G9089">
        <v>-142.9888</v>
      </c>
      <c r="H9089" s="1">
        <v>-3.2652329999999999E-6</v>
      </c>
      <c r="I9089">
        <v>138.065</v>
      </c>
      <c r="J9089">
        <v>-159.71080000000001</v>
      </c>
      <c r="K9089">
        <v>1.1187609999999999</v>
      </c>
      <c r="L9089">
        <v>137.48220000000001</v>
      </c>
      <c r="M9089">
        <v>0.98656909999999998</v>
      </c>
      <c r="N9089">
        <v>-1.040222E-2</v>
      </c>
      <c r="O9089">
        <v>0.16301280000000001</v>
      </c>
      <c r="P9089">
        <v>0.9883364</v>
      </c>
      <c r="Q9089">
        <v>-0.14561939999999901</v>
      </c>
      <c r="R9089">
        <v>4.4567790000000003E-2</v>
      </c>
      <c r="S9089">
        <v>3.0011139999999998</v>
      </c>
      <c r="T9089">
        <v>-0.19834969999999999</v>
      </c>
      <c r="U9089">
        <v>0.10899349999999999</v>
      </c>
      <c r="V9089">
        <v>0.1166577</v>
      </c>
      <c r="W9089">
        <v>-0.13581579999999999</v>
      </c>
      <c r="X9089">
        <v>0.98384199999999999</v>
      </c>
      <c r="Y9089">
        <v>0.12653819999999999</v>
      </c>
      <c r="Z9089">
        <v>-1.3848640000000001E-2</v>
      </c>
      <c r="AA9089">
        <v>0.991865</v>
      </c>
      <c r="AB9089">
        <v>21</v>
      </c>
      <c r="AC9089">
        <v>16.722000000000001</v>
      </c>
      <c r="AD9089">
        <v>-1.1187642652330001</v>
      </c>
      <c r="AE9089">
        <v>0.58279999999999099</v>
      </c>
      <c r="AF9089">
        <v>2.1414701591140299</v>
      </c>
      <c r="AG9089">
        <v>-1.1187642652330001</v>
      </c>
      <c r="AH9089">
        <v>16.519457190900798</v>
      </c>
      <c r="AI9089">
        <v>93.842332414962897</v>
      </c>
      <c r="AJ9089">
        <v>82.613755453637594</v>
      </c>
      <c r="AK9089">
        <v>16.695208708055802</v>
      </c>
      <c r="AL9089">
        <v>97.805796160891603</v>
      </c>
      <c r="AM9089">
        <v>83.237805970592206</v>
      </c>
      <c r="AN9089">
        <v>1.0000000157314599</v>
      </c>
    </row>
    <row r="9090" spans="1:40" x14ac:dyDescent="0.25">
      <c r="A9090" t="str">
        <f>"20190303154356554"</f>
        <v>20190303154356554</v>
      </c>
      <c r="B9090" t="str">
        <f>"1551599036549205"</f>
        <v>1551599036549205</v>
      </c>
      <c r="C9090" t="s">
        <v>40</v>
      </c>
      <c r="D9090">
        <v>5.6801149999999998</v>
      </c>
      <c r="E9090">
        <v>0.50343130000000003</v>
      </c>
      <c r="F9090" t="s">
        <v>41</v>
      </c>
      <c r="G9090">
        <v>-143.0864</v>
      </c>
      <c r="H9090" s="1">
        <v>-3.2252379999999998E-6</v>
      </c>
      <c r="I9090">
        <v>138.05439999999999</v>
      </c>
      <c r="J9090">
        <v>-159.4965</v>
      </c>
      <c r="K9090">
        <v>1.118692</v>
      </c>
      <c r="L9090">
        <v>137.5147</v>
      </c>
      <c r="M9090">
        <v>0.98698699999999995</v>
      </c>
      <c r="N9090">
        <v>-1.0122239999999999E-2</v>
      </c>
      <c r="O9090">
        <v>0.16048189999999901</v>
      </c>
      <c r="P9090">
        <v>0.98869879999999999</v>
      </c>
      <c r="Q9090">
        <v>-0.1435303</v>
      </c>
      <c r="R9090">
        <v>4.328448E-2</v>
      </c>
      <c r="S9090">
        <v>3.001007</v>
      </c>
      <c r="T9090">
        <v>-0.20195759999999999</v>
      </c>
      <c r="U9090">
        <v>0.103302</v>
      </c>
      <c r="V9090">
        <v>0.11545850000000001</v>
      </c>
      <c r="W9090">
        <v>-0.13400229999999999</v>
      </c>
      <c r="X9090">
        <v>0.98423210000000005</v>
      </c>
      <c r="Y9090">
        <v>0.12585350000000001</v>
      </c>
      <c r="Z9090">
        <v>-1.3979719999999999E-2</v>
      </c>
      <c r="AA9090">
        <v>0.99195029999999995</v>
      </c>
      <c r="AB9090">
        <v>21</v>
      </c>
      <c r="AC9090">
        <v>16.4101</v>
      </c>
      <c r="AD9090">
        <v>-1.118695225238</v>
      </c>
      <c r="AE9090">
        <v>0.53969999999998197</v>
      </c>
      <c r="AF9090">
        <v>2.0912463699072199</v>
      </c>
      <c r="AG9090">
        <v>-1.118695225238</v>
      </c>
      <c r="AH9090">
        <v>16.208754134938498</v>
      </c>
      <c r="AI9090">
        <v>93.915822286484001</v>
      </c>
      <c r="AJ9090">
        <v>82.648336121551196</v>
      </c>
      <c r="AK9090">
        <v>16.3813461288597</v>
      </c>
      <c r="AL9090">
        <v>97.700931279956805</v>
      </c>
      <c r="AM9090">
        <v>83.309313843566102</v>
      </c>
      <c r="AN9090">
        <v>1.00000005414897</v>
      </c>
    </row>
    <row r="9091" spans="1:40" x14ac:dyDescent="0.25">
      <c r="A9091" t="str">
        <f>"20190303154356577"</f>
        <v>20190303154356577</v>
      </c>
      <c r="B9091" t="str">
        <f>"1551599036568725"</f>
        <v>1551599036568725</v>
      </c>
      <c r="C9091" t="s">
        <v>40</v>
      </c>
      <c r="D9091">
        <v>5.7496019999999897</v>
      </c>
      <c r="E9091">
        <v>0.50335920000000001</v>
      </c>
      <c r="F9091" t="s">
        <v>41</v>
      </c>
      <c r="G9091">
        <v>-142.46129999999999</v>
      </c>
      <c r="H9091" s="1">
        <v>-3.4867719999999999E-6</v>
      </c>
      <c r="I9091">
        <v>138.09200000000001</v>
      </c>
      <c r="J9091">
        <v>-159.2885</v>
      </c>
      <c r="K9091">
        <v>1.1186400000000001</v>
      </c>
      <c r="L9091">
        <v>137.54560000000001</v>
      </c>
      <c r="M9091">
        <v>0.98739370000000004</v>
      </c>
      <c r="N9091">
        <v>-9.8481190000000007E-3</v>
      </c>
      <c r="O9091">
        <v>0.15797710000000001</v>
      </c>
      <c r="P9091">
        <v>0.98911179999999999</v>
      </c>
      <c r="Q9091">
        <v>-0.1411743</v>
      </c>
      <c r="R9091">
        <v>4.1564219999999999E-2</v>
      </c>
      <c r="S9091">
        <v>3.0012050000000001</v>
      </c>
      <c r="T9091">
        <v>-0.19708790000000001</v>
      </c>
      <c r="U9091">
        <v>0.1017151</v>
      </c>
      <c r="V9091">
        <v>0.1147261</v>
      </c>
      <c r="W9091">
        <v>-0.13191729999999999</v>
      </c>
      <c r="X9091">
        <v>0.98459929999999996</v>
      </c>
      <c r="Y9091">
        <v>0.12389840000000001</v>
      </c>
      <c r="Z9091">
        <v>-1.343425E-2</v>
      </c>
      <c r="AA9091">
        <v>0.99220399999999997</v>
      </c>
      <c r="AB9091">
        <v>21</v>
      </c>
      <c r="AC9091">
        <v>16.827200000000001</v>
      </c>
      <c r="AD9091">
        <v>-1.1186434867720001</v>
      </c>
      <c r="AE9091">
        <v>0.54640000000000499</v>
      </c>
      <c r="AF9091">
        <v>2.1095897972880202</v>
      </c>
      <c r="AG9091">
        <v>-1.1186434867720001</v>
      </c>
      <c r="AH9091">
        <v>16.6287880910889</v>
      </c>
      <c r="AI9091">
        <v>93.818063910242401</v>
      </c>
      <c r="AJ9091">
        <v>82.769867814037994</v>
      </c>
      <c r="AK9091">
        <v>16.799354920402699</v>
      </c>
      <c r="AL9091">
        <v>97.580399697278494</v>
      </c>
      <c r="AM9091">
        <v>83.353831783124093</v>
      </c>
      <c r="AN9091">
        <v>1.0000000168104899</v>
      </c>
    </row>
    <row r="9092" spans="1:40" x14ac:dyDescent="0.25">
      <c r="A9092" t="str">
        <f>"20190303154356598"</f>
        <v>20190303154356598</v>
      </c>
      <c r="B9092" t="str">
        <f>"1551599036589221"</f>
        <v>1551599036589221</v>
      </c>
      <c r="C9092" t="s">
        <v>40</v>
      </c>
      <c r="D9092">
        <v>5.678763</v>
      </c>
      <c r="E9092">
        <v>0.50322140000000004</v>
      </c>
      <c r="F9092" t="s">
        <v>41</v>
      </c>
      <c r="G9092">
        <v>-141.62739999999999</v>
      </c>
      <c r="H9092" s="1">
        <v>-3.8403229999999999E-6</v>
      </c>
      <c r="I9092">
        <v>138.1156</v>
      </c>
      <c r="J9092">
        <v>-159.0737</v>
      </c>
      <c r="K9092">
        <v>1.1185860000000001</v>
      </c>
      <c r="L9092">
        <v>137.57689999999999</v>
      </c>
      <c r="M9092">
        <v>0.98781470000000005</v>
      </c>
      <c r="N9092">
        <v>-9.5730009999999994E-3</v>
      </c>
      <c r="O9092">
        <v>0.15534020000000001</v>
      </c>
      <c r="P9092">
        <v>0.98957280000000003</v>
      </c>
      <c r="Q9092">
        <v>-0.13844000000000001</v>
      </c>
      <c r="R9092">
        <v>3.9751199999999903E-2</v>
      </c>
      <c r="S9092">
        <v>3.0018159999999998</v>
      </c>
      <c r="T9092">
        <v>-0.19013269999999999</v>
      </c>
      <c r="U9092">
        <v>9.6878049999999993E-2</v>
      </c>
      <c r="V9092">
        <v>0.1139627</v>
      </c>
      <c r="W9092">
        <v>-0.12945470000000001</v>
      </c>
      <c r="X9092">
        <v>0.98501470000000002</v>
      </c>
      <c r="Y9092">
        <v>0.1228972</v>
      </c>
      <c r="Z9092">
        <v>-1.277592E-2</v>
      </c>
      <c r="AA9092">
        <v>0.99233720000000003</v>
      </c>
      <c r="AB9092">
        <v>21</v>
      </c>
      <c r="AC9092">
        <v>17.446300000000001</v>
      </c>
      <c r="AD9092">
        <v>-1.1185898403229999</v>
      </c>
      <c r="AE9092">
        <v>0.53870000000000495</v>
      </c>
      <c r="AF9092">
        <v>2.1691669492016401</v>
      </c>
      <c r="AG9092">
        <v>-1.1185898403229999</v>
      </c>
      <c r="AH9092">
        <v>17.247351742214601</v>
      </c>
      <c r="AI9092">
        <v>93.681839449699794</v>
      </c>
      <c r="AJ9092">
        <v>82.831654976752105</v>
      </c>
      <c r="AK9092">
        <v>17.4191753709542</v>
      </c>
      <c r="AL9092">
        <v>97.438082752919698</v>
      </c>
      <c r="AM9092">
        <v>83.400424139342206</v>
      </c>
      <c r="AN9092">
        <v>0.99999998777973498</v>
      </c>
    </row>
    <row r="9093" spans="1:40" x14ac:dyDescent="0.25">
      <c r="A9093" t="str">
        <f>"20190303154356621"</f>
        <v>20190303154356621</v>
      </c>
      <c r="B9093" t="str">
        <f>"1551599036608741"</f>
        <v>1551599036608741</v>
      </c>
      <c r="C9093" t="s">
        <v>40</v>
      </c>
      <c r="D9093">
        <v>5.6368260000000001</v>
      </c>
      <c r="E9093">
        <v>0.5033204</v>
      </c>
      <c r="F9093" t="s">
        <v>41</v>
      </c>
      <c r="G9093">
        <v>-140.63050000000001</v>
      </c>
      <c r="H9093" s="1">
        <v>-4.2633710000000004E-6</v>
      </c>
      <c r="I9093">
        <v>138.14160000000001</v>
      </c>
      <c r="J9093">
        <v>-158.86240000000001</v>
      </c>
      <c r="K9093">
        <v>1.1185320000000001</v>
      </c>
      <c r="L9093">
        <v>137.6071</v>
      </c>
      <c r="M9093">
        <v>0.98822670000000001</v>
      </c>
      <c r="N9093">
        <v>-9.3219219999999998E-3</v>
      </c>
      <c r="O9093">
        <v>0.1527124</v>
      </c>
      <c r="P9093">
        <v>0.98960999999999999</v>
      </c>
      <c r="Q9093">
        <v>-0.13841199999999901</v>
      </c>
      <c r="R9093">
        <v>3.8911620000000001E-2</v>
      </c>
      <c r="S9093">
        <v>3.0024410000000001</v>
      </c>
      <c r="T9093">
        <v>-0.18209919999999999</v>
      </c>
      <c r="U9093">
        <v>9.1934199999999994E-2</v>
      </c>
      <c r="V9093">
        <v>0.1121723</v>
      </c>
      <c r="W9093">
        <v>-0.12967219999999999</v>
      </c>
      <c r="X9093">
        <v>0.98519159999999995</v>
      </c>
      <c r="Y9093">
        <v>0.12194430000000001</v>
      </c>
      <c r="Z9093">
        <v>-1.205435E-2</v>
      </c>
      <c r="AA9093">
        <v>0.99246380000000001</v>
      </c>
      <c r="AB9093">
        <v>21</v>
      </c>
      <c r="AC9093">
        <v>18.2319</v>
      </c>
      <c r="AD9093">
        <v>-1.1185362633710001</v>
      </c>
      <c r="AE9093">
        <v>0.53450000000000797</v>
      </c>
      <c r="AF9093">
        <v>2.24767535383923</v>
      </c>
      <c r="AG9093">
        <v>-1.1185362633710001</v>
      </c>
      <c r="AH9093">
        <v>18.031850190527599</v>
      </c>
      <c r="AI9093">
        <v>93.522384589047505</v>
      </c>
      <c r="AJ9093">
        <v>82.894713151597102</v>
      </c>
      <c r="AK9093">
        <v>18.205789990065298</v>
      </c>
      <c r="AL9093">
        <v>97.450650451624</v>
      </c>
      <c r="AM9093">
        <v>83.504369312609697</v>
      </c>
      <c r="AN9093">
        <v>0.99999999652534499</v>
      </c>
    </row>
    <row r="9094" spans="1:40" x14ac:dyDescent="0.25">
      <c r="A9094" t="str">
        <f>"20190303154356643"</f>
        <v>20190303154356643</v>
      </c>
      <c r="B9094" t="str">
        <f>"1551599036638997"</f>
        <v>1551599036638997</v>
      </c>
      <c r="C9094" t="s">
        <v>40</v>
      </c>
      <c r="D9094">
        <v>5.7489879999999998</v>
      </c>
      <c r="E9094">
        <v>0.52050669999999999</v>
      </c>
      <c r="F9094" t="s">
        <v>41</v>
      </c>
      <c r="G9094">
        <v>-140.31780000000001</v>
      </c>
      <c r="H9094" s="1">
        <v>-4.3946579999999997E-6</v>
      </c>
      <c r="I9094">
        <v>138.1576</v>
      </c>
      <c r="J9094">
        <v>-158.64879999999999</v>
      </c>
      <c r="K9094">
        <v>1.1184769999999999</v>
      </c>
      <c r="L9094">
        <v>137.637</v>
      </c>
      <c r="M9094">
        <v>0.98864110000000005</v>
      </c>
      <c r="N9094">
        <v>-9.0934480000000005E-3</v>
      </c>
      <c r="O9094">
        <v>0.1500203</v>
      </c>
      <c r="P9094">
        <v>0.98958100000000004</v>
      </c>
      <c r="Q9094">
        <v>-0.13876720000000001</v>
      </c>
      <c r="R9094">
        <v>3.8379669999999998E-2</v>
      </c>
      <c r="S9094">
        <v>3.00264</v>
      </c>
      <c r="T9094">
        <v>-0.1811074</v>
      </c>
      <c r="U9094">
        <v>8.9141849999999995E-2</v>
      </c>
      <c r="V9094">
        <v>0.110003</v>
      </c>
      <c r="W9094">
        <v>-0.130249</v>
      </c>
      <c r="X9094">
        <v>0.98536009999999996</v>
      </c>
      <c r="Y9094">
        <v>0.1201762</v>
      </c>
      <c r="Z9094">
        <v>-1.1807460000000001E-2</v>
      </c>
      <c r="AA9094">
        <v>0.99268230000000002</v>
      </c>
      <c r="AB9094">
        <v>21</v>
      </c>
      <c r="AC9094">
        <v>18.3309999999999</v>
      </c>
      <c r="AD9094">
        <v>-1.1184813946579999</v>
      </c>
      <c r="AE9094">
        <v>0.52060000000000095</v>
      </c>
      <c r="AF9094">
        <v>2.2271431602676</v>
      </c>
      <c r="AG9094">
        <v>-1.1184813946579999</v>
      </c>
      <c r="AH9094">
        <v>18.134175179285702</v>
      </c>
      <c r="AI9094">
        <v>93.5031688162438</v>
      </c>
      <c r="AJ9094">
        <v>82.998299196797603</v>
      </c>
      <c r="AK9094">
        <v>18.304629925774101</v>
      </c>
      <c r="AL9094">
        <v>97.483981348193495</v>
      </c>
      <c r="AM9094">
        <v>83.630025854290594</v>
      </c>
      <c r="AN9094">
        <v>0.99999999434100495</v>
      </c>
    </row>
    <row r="9095" spans="1:40" x14ac:dyDescent="0.25">
      <c r="A9095" t="str">
        <f>"20190303154356666"</f>
        <v>20190303154356666</v>
      </c>
      <c r="B9095" t="str">
        <f>"1551599036659493"</f>
        <v>1551599036659493</v>
      </c>
      <c r="C9095" t="s">
        <v>40</v>
      </c>
      <c r="D9095">
        <v>5.6927180000000002</v>
      </c>
      <c r="E9095">
        <v>0.52276499999999904</v>
      </c>
      <c r="F9095" t="s">
        <v>41</v>
      </c>
      <c r="G9095">
        <v>-144.7944</v>
      </c>
      <c r="H9095" s="1">
        <v>-2.6060600000000001E-6</v>
      </c>
      <c r="I9095">
        <v>137.4143</v>
      </c>
      <c r="J9095">
        <v>-158.43029999999999</v>
      </c>
      <c r="K9095">
        <v>1.1184350000000001</v>
      </c>
      <c r="L9095">
        <v>137.667</v>
      </c>
      <c r="M9095">
        <v>0.98906360000000004</v>
      </c>
      <c r="N9095">
        <v>-8.885024E-3</v>
      </c>
      <c r="O9095">
        <v>0.14722180000000001</v>
      </c>
      <c r="P9095">
        <v>0.98964240000000003</v>
      </c>
      <c r="Q9095">
        <v>-0.13844699999999999</v>
      </c>
      <c r="R9095">
        <v>3.7953859999999999E-2</v>
      </c>
      <c r="S9095">
        <v>2.9995120000000002</v>
      </c>
      <c r="T9095">
        <v>-0.24215400000000001</v>
      </c>
      <c r="U9095">
        <v>-4.8202509999999997E-2</v>
      </c>
      <c r="V9095">
        <v>0.10763830000000001</v>
      </c>
      <c r="W9095">
        <v>-0.13012989999999999</v>
      </c>
      <c r="X9095">
        <v>0.98563690000000004</v>
      </c>
      <c r="Y9095">
        <v>0.16213900000000001</v>
      </c>
      <c r="Z9095">
        <v>-1.77824E-2</v>
      </c>
      <c r="AA9095">
        <v>0.98660769999999998</v>
      </c>
      <c r="AB9095">
        <v>21</v>
      </c>
      <c r="AC9095">
        <v>13.6358999999999</v>
      </c>
      <c r="AD9095">
        <v>-1.1184376060600001</v>
      </c>
      <c r="AE9095">
        <v>-0.25270000000000398</v>
      </c>
      <c r="AF9095">
        <v>2.24244626266628</v>
      </c>
      <c r="AG9095">
        <v>-1.1184376060600001</v>
      </c>
      <c r="AH9095">
        <v>13.360249581732599</v>
      </c>
      <c r="AI9095">
        <v>94.719577921149394</v>
      </c>
      <c r="AJ9095">
        <v>80.472021672561596</v>
      </c>
      <c r="AK9095">
        <v>13.593223929803401</v>
      </c>
      <c r="AL9095">
        <v>97.477099203980899</v>
      </c>
      <c r="AM9095">
        <v>83.767606282192801</v>
      </c>
      <c r="AN9095">
        <v>0.99999994657125302</v>
      </c>
    </row>
    <row r="9096" spans="1:40" x14ac:dyDescent="0.25">
      <c r="A9096" t="str">
        <f>"20190303154356688"</f>
        <v>20190303154356688</v>
      </c>
      <c r="B9096" t="str">
        <f>"1551599036679013"</f>
        <v>1551599036679013</v>
      </c>
      <c r="C9096" t="s">
        <v>40</v>
      </c>
      <c r="D9096">
        <v>5.6662800000000004</v>
      </c>
      <c r="E9096">
        <v>0.52330100000000002</v>
      </c>
      <c r="F9096" t="s">
        <v>41</v>
      </c>
      <c r="G9096">
        <v>-144.1833</v>
      </c>
      <c r="H9096" s="1">
        <v>-2.8802229999999898E-6</v>
      </c>
      <c r="I9096">
        <v>137.3467</v>
      </c>
      <c r="J9096">
        <v>-158.21559999999999</v>
      </c>
      <c r="K9096">
        <v>1.118393</v>
      </c>
      <c r="L9096">
        <v>137.69569999999999</v>
      </c>
      <c r="M9096">
        <v>0.98947819999999997</v>
      </c>
      <c r="N9096">
        <v>-8.7028939999999992E-3</v>
      </c>
      <c r="O9096">
        <v>0.1444204</v>
      </c>
      <c r="P9096">
        <v>0.99007120000000004</v>
      </c>
      <c r="Q9096">
        <v>-0.1356185</v>
      </c>
      <c r="R9096">
        <v>3.6967939999999998E-2</v>
      </c>
      <c r="S9096">
        <v>3.001007</v>
      </c>
      <c r="T9096">
        <v>-0.2355891</v>
      </c>
      <c r="U9096">
        <v>-6.744385E-2</v>
      </c>
      <c r="V9096">
        <v>0.1058866</v>
      </c>
      <c r="W9096">
        <v>-0.12747849999999999</v>
      </c>
      <c r="X9096">
        <v>0.98617299999999997</v>
      </c>
      <c r="Y9096">
        <v>0.165706399999999</v>
      </c>
      <c r="Z9096">
        <v>-1.725138E-2</v>
      </c>
      <c r="AA9096">
        <v>0.98602420000000002</v>
      </c>
      <c r="AB9096">
        <v>22</v>
      </c>
      <c r="AC9096">
        <v>14.0322999999999</v>
      </c>
      <c r="AD9096">
        <v>-1.1183958802230001</v>
      </c>
      <c r="AE9096">
        <v>-0.34899999999998899</v>
      </c>
      <c r="AF9096">
        <v>2.3570047520388502</v>
      </c>
      <c r="AG9096">
        <v>-1.1183958802230001</v>
      </c>
      <c r="AH9096">
        <v>13.7475007215698</v>
      </c>
      <c r="AI9096">
        <v>94.5843235799952</v>
      </c>
      <c r="AJ9096">
        <v>80.271245930939301</v>
      </c>
      <c r="AK9096">
        <v>13.992857350648499</v>
      </c>
      <c r="AL9096">
        <v>97.323908930501702</v>
      </c>
      <c r="AM9096">
        <v>83.871560909067298</v>
      </c>
      <c r="AN9096">
        <v>0.99999996297540406</v>
      </c>
    </row>
    <row r="9097" spans="1:40" x14ac:dyDescent="0.25">
      <c r="A9097" t="str">
        <f>"20190303154356710"</f>
        <v>20190303154356710</v>
      </c>
      <c r="B9097" t="str">
        <f>"1551599036699509"</f>
        <v>1551599036699509</v>
      </c>
      <c r="C9097" t="s">
        <v>40</v>
      </c>
      <c r="D9097">
        <v>5.656847</v>
      </c>
      <c r="E9097">
        <v>0.52406790000000003</v>
      </c>
      <c r="F9097" t="s">
        <v>41</v>
      </c>
      <c r="G9097">
        <v>-143.1113</v>
      </c>
      <c r="H9097" s="1">
        <v>-3.344663E-6</v>
      </c>
      <c r="I9097">
        <v>137.321</v>
      </c>
      <c r="J9097">
        <v>-158.00200000000001</v>
      </c>
      <c r="K9097">
        <v>1.1183479999999999</v>
      </c>
      <c r="L9097">
        <v>137.7236</v>
      </c>
      <c r="M9097">
        <v>0.98989050000000001</v>
      </c>
      <c r="N9097">
        <v>-8.5429069999999902E-3</v>
      </c>
      <c r="O9097">
        <v>0.14157719999999999</v>
      </c>
      <c r="P9097">
        <v>0.99052390000000001</v>
      </c>
      <c r="Q9097">
        <v>-0.1326146</v>
      </c>
      <c r="R9097">
        <v>3.5724020000000002E-2</v>
      </c>
      <c r="S9097">
        <v>3.0023960000000001</v>
      </c>
      <c r="T9097">
        <v>-0.2223125</v>
      </c>
      <c r="U9097">
        <v>-7.4478150000000007E-2</v>
      </c>
      <c r="V9097">
        <v>0.10434939999999999</v>
      </c>
      <c r="W9097">
        <v>-0.1246329</v>
      </c>
      <c r="X9097">
        <v>0.98670049999999998</v>
      </c>
      <c r="Y9097">
        <v>0.16528139999999999</v>
      </c>
      <c r="Z9097">
        <v>-1.6051849999999999E-2</v>
      </c>
      <c r="AA9097">
        <v>0.98611579999999999</v>
      </c>
      <c r="AB9097">
        <v>22</v>
      </c>
      <c r="AC9097">
        <v>14.890700000000001</v>
      </c>
      <c r="AD9097">
        <v>-1.11835134466299</v>
      </c>
      <c r="AE9097">
        <v>-0.40260000000000601</v>
      </c>
      <c r="AF9097">
        <v>2.49275425329254</v>
      </c>
      <c r="AG9097">
        <v>-1.11835134466299</v>
      </c>
      <c r="AH9097">
        <v>14.6013965442709</v>
      </c>
      <c r="AI9097">
        <v>94.317625516740407</v>
      </c>
      <c r="AJ9097">
        <v>80.311850598478699</v>
      </c>
      <c r="AK9097">
        <v>14.8548077921077</v>
      </c>
      <c r="AL9097">
        <v>97.159556599404198</v>
      </c>
      <c r="AM9097">
        <v>83.963072792284606</v>
      </c>
      <c r="AN9097">
        <v>1.0000000168715</v>
      </c>
    </row>
    <row r="9098" spans="1:40" x14ac:dyDescent="0.25">
      <c r="A9098" t="str">
        <f>"20190303154356732"</f>
        <v>20190303154356732</v>
      </c>
      <c r="B9098" t="str">
        <f>"1551599036728789"</f>
        <v>1551599036728789</v>
      </c>
      <c r="C9098" t="s">
        <v>40</v>
      </c>
      <c r="D9098">
        <v>5.6874589999999996</v>
      </c>
      <c r="E9098">
        <v>0.52442739999999999</v>
      </c>
      <c r="F9098" t="s">
        <v>41</v>
      </c>
      <c r="G9098">
        <v>-141.94409999999999</v>
      </c>
      <c r="H9098" s="1">
        <v>-3.8534750000000004E-6</v>
      </c>
      <c r="I9098">
        <v>137.27549999999999</v>
      </c>
      <c r="J9098">
        <v>-157.7885</v>
      </c>
      <c r="K9098">
        <v>1.118298</v>
      </c>
      <c r="L9098">
        <v>137.7509</v>
      </c>
      <c r="M9098">
        <v>0.99030220000000002</v>
      </c>
      <c r="N9098">
        <v>-8.4030069999999901E-3</v>
      </c>
      <c r="O9098">
        <v>0.13867639999999901</v>
      </c>
      <c r="P9098">
        <v>0.99088200000000004</v>
      </c>
      <c r="Q9098">
        <v>-0.13015860000000001</v>
      </c>
      <c r="R9098">
        <v>3.4813049999999998E-2</v>
      </c>
      <c r="S9098">
        <v>3.0037379999999998</v>
      </c>
      <c r="T9098">
        <v>-0.2091944</v>
      </c>
      <c r="U9098">
        <v>-8.381653E-2</v>
      </c>
      <c r="V9098">
        <v>0.1024076</v>
      </c>
      <c r="W9098">
        <v>-0.1223154</v>
      </c>
      <c r="X9098">
        <v>0.98719380000000001</v>
      </c>
      <c r="Y9098">
        <v>0.16554349999999901</v>
      </c>
      <c r="Z9098">
        <v>-1.4912770000000001E-2</v>
      </c>
      <c r="AA9098">
        <v>0.98608969999999996</v>
      </c>
      <c r="AB9098">
        <v>22</v>
      </c>
      <c r="AC9098">
        <v>15.8444</v>
      </c>
      <c r="AD9098">
        <v>-1.118301853475</v>
      </c>
      <c r="AE9098">
        <v>-0.47540000000000698</v>
      </c>
      <c r="AF9098">
        <v>2.6549141965404099</v>
      </c>
      <c r="AG9098">
        <v>-1.118301853475</v>
      </c>
      <c r="AH9098">
        <v>15.547983758294601</v>
      </c>
      <c r="AI9098">
        <v>94.055463748500003</v>
      </c>
      <c r="AJ9098">
        <v>80.309851396652405</v>
      </c>
      <c r="AK9098">
        <v>15.812620509411801</v>
      </c>
      <c r="AL9098">
        <v>97.025749898986007</v>
      </c>
      <c r="AM9098">
        <v>84.077544866463398</v>
      </c>
      <c r="AN9098">
        <v>0.99999998618667996</v>
      </c>
    </row>
    <row r="9099" spans="1:40" x14ac:dyDescent="0.25">
      <c r="A9099" t="str">
        <f>"20190303154356755"</f>
        <v>20190303154356755</v>
      </c>
      <c r="B9099" t="str">
        <f>"1551599036749285"</f>
        <v>1551599036749285</v>
      </c>
      <c r="C9099" t="s">
        <v>40</v>
      </c>
      <c r="D9099">
        <v>5.6056800000000004</v>
      </c>
      <c r="E9099">
        <v>0.52455280000000004</v>
      </c>
      <c r="F9099" t="s">
        <v>41</v>
      </c>
      <c r="G9099">
        <v>-141.14340000000001</v>
      </c>
      <c r="H9099" s="1">
        <v>-4.2003350000000002E-6</v>
      </c>
      <c r="I9099">
        <v>137.25640000000001</v>
      </c>
      <c r="J9099">
        <v>-157.56790000000001</v>
      </c>
      <c r="K9099">
        <v>1.1182399999999999</v>
      </c>
      <c r="L9099">
        <v>137.7783</v>
      </c>
      <c r="M9099">
        <v>0.99072700000000002</v>
      </c>
      <c r="N9099">
        <v>-8.2773389999999999E-3</v>
      </c>
      <c r="O9099">
        <v>0.13561619999999999</v>
      </c>
      <c r="P9099">
        <v>0.9911103</v>
      </c>
      <c r="Q9099">
        <v>-0.12912290000000001</v>
      </c>
      <c r="R9099">
        <v>3.2065539999999997E-2</v>
      </c>
      <c r="S9099">
        <v>3.0042270000000002</v>
      </c>
      <c r="T9099">
        <v>-0.2018393</v>
      </c>
      <c r="U9099">
        <v>-8.9248659999999994E-2</v>
      </c>
      <c r="V9099">
        <v>0.10210080000000001</v>
      </c>
      <c r="W9099">
        <v>-0.1214148</v>
      </c>
      <c r="X9099">
        <v>0.98733680000000001</v>
      </c>
      <c r="Y9099">
        <v>0.16433149999999999</v>
      </c>
      <c r="Z9099">
        <v>-1.415335E-2</v>
      </c>
      <c r="AA9099">
        <v>0.98630359999999995</v>
      </c>
      <c r="AB9099">
        <v>22</v>
      </c>
      <c r="AC9099">
        <v>16.424499999999899</v>
      </c>
      <c r="AD9099">
        <v>-1.1182442003349999</v>
      </c>
      <c r="AE9099">
        <v>-0.52189999999998804</v>
      </c>
      <c r="AF9099">
        <v>2.7319314957749898</v>
      </c>
      <c r="AG9099">
        <v>-1.1182442003349999</v>
      </c>
      <c r="AH9099">
        <v>16.127289144661901</v>
      </c>
      <c r="AI9099">
        <v>93.910922646564003</v>
      </c>
      <c r="AJ9099">
        <v>80.385477905097204</v>
      </c>
      <c r="AK9099">
        <v>16.395224150487302</v>
      </c>
      <c r="AL9099">
        <v>96.973761443361795</v>
      </c>
      <c r="AM9099">
        <v>84.096011407796993</v>
      </c>
      <c r="AN9099">
        <v>1.0000000418269499</v>
      </c>
    </row>
    <row r="9100" spans="1:40" x14ac:dyDescent="0.25">
      <c r="A9100" t="str">
        <f>"20190303154356778"</f>
        <v>20190303154356778</v>
      </c>
      <c r="B9100" t="str">
        <f>"1551599036768805"</f>
        <v>1551599036768805</v>
      </c>
      <c r="C9100" t="s">
        <v>40</v>
      </c>
      <c r="D9100">
        <v>5.5616589999999997</v>
      </c>
      <c r="E9100">
        <v>0.52469250000000001</v>
      </c>
      <c r="F9100" t="s">
        <v>41</v>
      </c>
      <c r="G9100">
        <v>-140.50110000000001</v>
      </c>
      <c r="H9100" s="1">
        <v>-4.4826549999999997E-6</v>
      </c>
      <c r="I9100">
        <v>137.2183</v>
      </c>
      <c r="J9100">
        <v>-157.34719999999999</v>
      </c>
      <c r="K9100">
        <v>1.1181829999999999</v>
      </c>
      <c r="L9100">
        <v>137.8049</v>
      </c>
      <c r="M9100">
        <v>0.99115070000000005</v>
      </c>
      <c r="N9100">
        <v>-8.169595E-3</v>
      </c>
      <c r="O9100">
        <v>0.13249059999999999</v>
      </c>
      <c r="P9100">
        <v>0.99123969999999995</v>
      </c>
      <c r="Q9100">
        <v>-0.12889310000000001</v>
      </c>
      <c r="R9100">
        <v>2.8827999999999999E-2</v>
      </c>
      <c r="S9100">
        <v>3.0044710000000001</v>
      </c>
      <c r="T9100">
        <v>-0.1968579</v>
      </c>
      <c r="U9100">
        <v>-9.8571779999999998E-2</v>
      </c>
      <c r="V9100">
        <v>0.10220079999999999</v>
      </c>
      <c r="W9100">
        <v>-0.1213045</v>
      </c>
      <c r="X9100">
        <v>0.98734</v>
      </c>
      <c r="Y9100">
        <v>0.16431279999999901</v>
      </c>
      <c r="Z9100">
        <v>-1.361996E-2</v>
      </c>
      <c r="AA9100">
        <v>0.98631420000000003</v>
      </c>
      <c r="AB9100">
        <v>22</v>
      </c>
      <c r="AC9100">
        <v>16.8460999999999</v>
      </c>
      <c r="AD9100">
        <v>-1.118187482655</v>
      </c>
      <c r="AE9100">
        <v>-0.58660000000000401</v>
      </c>
      <c r="AF9100">
        <v>2.80112607142682</v>
      </c>
      <c r="AG9100">
        <v>-1.118187482655</v>
      </c>
      <c r="AH9100">
        <v>16.547042067391001</v>
      </c>
      <c r="AI9100">
        <v>93.811889069448895</v>
      </c>
      <c r="AJ9100">
        <v>80.391909647435995</v>
      </c>
      <c r="AK9100">
        <v>16.819668596449802</v>
      </c>
      <c r="AL9100">
        <v>96.967394739577699</v>
      </c>
      <c r="AM9100">
        <v>84.090288821656202</v>
      </c>
      <c r="AN9100">
        <v>1.0000000304204399</v>
      </c>
    </row>
    <row r="9101" spans="1:40" x14ac:dyDescent="0.25">
      <c r="A9101" t="str">
        <f>"20190303154356800"</f>
        <v>20190303154356800</v>
      </c>
      <c r="B9101" t="str">
        <f>"1551599036789302"</f>
        <v>1551599036789302</v>
      </c>
      <c r="C9101" t="s">
        <v>40</v>
      </c>
      <c r="D9101">
        <v>5.5458809999999996</v>
      </c>
      <c r="E9101">
        <v>0.52486109999999997</v>
      </c>
      <c r="F9101" t="s">
        <v>41</v>
      </c>
      <c r="G9101">
        <v>-140.1979</v>
      </c>
      <c r="H9101" s="1">
        <v>-4.6195959999999997E-6</v>
      </c>
      <c r="I9101">
        <v>137.17959999999999</v>
      </c>
      <c r="J9101">
        <v>-157.1275</v>
      </c>
      <c r="K9101">
        <v>1.118133</v>
      </c>
      <c r="L9101">
        <v>137.8306</v>
      </c>
      <c r="M9101">
        <v>0.99156920000000004</v>
      </c>
      <c r="N9101">
        <v>-8.077295E-3</v>
      </c>
      <c r="O9101">
        <v>0.1293261</v>
      </c>
      <c r="P9101">
        <v>0.99125609999999997</v>
      </c>
      <c r="Q9101">
        <v>-0.1295627</v>
      </c>
      <c r="R9101">
        <v>2.5002719999999999E-2</v>
      </c>
      <c r="S9101">
        <v>3.0042420000000001</v>
      </c>
      <c r="T9101">
        <v>-0.19588610000000001</v>
      </c>
      <c r="U9101">
        <v>-0.1095428</v>
      </c>
      <c r="V9101">
        <v>0.1028308</v>
      </c>
      <c r="W9101">
        <v>-0.12208040000000001</v>
      </c>
      <c r="X9101">
        <v>0.98717889999999997</v>
      </c>
      <c r="Y9101">
        <v>0.16477429999999901</v>
      </c>
      <c r="Z9101">
        <v>-1.339396E-2</v>
      </c>
      <c r="AA9101">
        <v>0.98624040000000002</v>
      </c>
      <c r="AB9101">
        <v>22</v>
      </c>
      <c r="AC9101">
        <v>16.929599999999901</v>
      </c>
      <c r="AD9101">
        <v>-1.118137619596</v>
      </c>
      <c r="AE9101">
        <v>-0.65100000000001002</v>
      </c>
      <c r="AF9101">
        <v>2.8227482583430499</v>
      </c>
      <c r="AG9101">
        <v>-1.118137619596</v>
      </c>
      <c r="AH9101">
        <v>16.630785561778499</v>
      </c>
      <c r="AI9101">
        <v>93.792303064023002</v>
      </c>
      <c r="AJ9101">
        <v>80.366973866498995</v>
      </c>
      <c r="AK9101">
        <v>16.9056549079944</v>
      </c>
      <c r="AL9101">
        <v>97.012183702152001</v>
      </c>
      <c r="AM9101">
        <v>84.053156204612904</v>
      </c>
      <c r="AN9101">
        <v>0.999999989049004</v>
      </c>
    </row>
    <row r="9102" spans="1:40" x14ac:dyDescent="0.25">
      <c r="A9102" t="str">
        <f>"20190303154356821"</f>
        <v>20190303154356821</v>
      </c>
      <c r="B9102" t="str">
        <f>"1551599036819557"</f>
        <v>1551599036819557</v>
      </c>
      <c r="C9102" t="s">
        <v>40</v>
      </c>
      <c r="D9102">
        <v>5.509182</v>
      </c>
      <c r="E9102">
        <v>0.52499319999999905</v>
      </c>
      <c r="F9102" t="s">
        <v>41</v>
      </c>
      <c r="G9102">
        <v>-140.3537</v>
      </c>
      <c r="H9102" s="1">
        <v>-4.5583939999999997E-6</v>
      </c>
      <c r="I9102">
        <v>137.14789999999999</v>
      </c>
      <c r="J9102">
        <v>-156.9092</v>
      </c>
      <c r="K9102">
        <v>1.118096</v>
      </c>
      <c r="L9102">
        <v>137.8554</v>
      </c>
      <c r="M9102">
        <v>0.99197970000000002</v>
      </c>
      <c r="N9102">
        <v>-7.9978150000000001E-3</v>
      </c>
      <c r="O9102">
        <v>0.1261447</v>
      </c>
      <c r="P9102">
        <v>0.99137889999999995</v>
      </c>
      <c r="Q9102">
        <v>-0.12920490000000001</v>
      </c>
      <c r="R9102">
        <v>2.177252E-2</v>
      </c>
      <c r="S9102">
        <v>3.0033720000000002</v>
      </c>
      <c r="T9102">
        <v>-0.20020379999999999</v>
      </c>
      <c r="U9102">
        <v>-0.12223820000000001</v>
      </c>
      <c r="V9102">
        <v>0.102878399999999</v>
      </c>
      <c r="W9102">
        <v>-0.12180920000000001</v>
      </c>
      <c r="X9102">
        <v>0.98720750000000002</v>
      </c>
      <c r="Y9102">
        <v>0.16575870000000001</v>
      </c>
      <c r="Z9102">
        <v>-1.3555899999999999E-2</v>
      </c>
      <c r="AA9102">
        <v>0.98607319999999998</v>
      </c>
      <c r="AB9102">
        <v>22</v>
      </c>
      <c r="AC9102">
        <v>16.555499999999899</v>
      </c>
      <c r="AD9102">
        <v>-1.118100558394</v>
      </c>
      <c r="AE9102">
        <v>-0.70750000000001001</v>
      </c>
      <c r="AF9102">
        <v>2.77765692100626</v>
      </c>
      <c r="AG9102">
        <v>-1.118100558394</v>
      </c>
      <c r="AH9102">
        <v>16.2599641148913</v>
      </c>
      <c r="AI9102">
        <v>93.877698077108406</v>
      </c>
      <c r="AJ9102">
        <v>80.305853410872103</v>
      </c>
      <c r="AK9102">
        <v>16.533359000730901</v>
      </c>
      <c r="AL9102">
        <v>96.996527838995704</v>
      </c>
      <c r="AM9102">
        <v>84.050594300026106</v>
      </c>
      <c r="AN9102">
        <v>1.00000004722372</v>
      </c>
    </row>
    <row r="9103" spans="1:40" x14ac:dyDescent="0.25">
      <c r="A9103" t="str">
        <f>"20190303154356856"</f>
        <v>20190303154356856</v>
      </c>
      <c r="B9103" t="str">
        <f>"1551599036848837"</f>
        <v>1551599036848837</v>
      </c>
      <c r="C9103" t="s">
        <v>40</v>
      </c>
      <c r="D9103">
        <v>5.4307910000000001</v>
      </c>
      <c r="E9103">
        <v>0.52491089999999996</v>
      </c>
      <c r="F9103" t="s">
        <v>41</v>
      </c>
      <c r="G9103">
        <v>-140.16069999999999</v>
      </c>
      <c r="H9103" s="1">
        <v>-4.6473270000000001E-6</v>
      </c>
      <c r="I9103">
        <v>137.1131</v>
      </c>
      <c r="J9103">
        <v>-156.5675</v>
      </c>
      <c r="K9103">
        <v>1.1180540000000001</v>
      </c>
      <c r="L9103">
        <v>137.8929</v>
      </c>
      <c r="M9103">
        <v>0.99260599999999999</v>
      </c>
      <c r="N9103">
        <v>-7.8978980000000004E-3</v>
      </c>
      <c r="O9103">
        <v>0.12112439999999999</v>
      </c>
      <c r="P9103">
        <v>0.99144690000000002</v>
      </c>
      <c r="Q9103">
        <v>-0.1294042</v>
      </c>
      <c r="R9103">
        <v>1.6962580000000001E-2</v>
      </c>
      <c r="S9103">
        <v>3.002869</v>
      </c>
      <c r="T9103">
        <v>-0.2004668</v>
      </c>
      <c r="U9103">
        <v>-0.13308719999999999</v>
      </c>
      <c r="V9103">
        <v>0.102659</v>
      </c>
      <c r="W9103">
        <v>-0.1221144</v>
      </c>
      <c r="X9103">
        <v>0.98719259999999998</v>
      </c>
      <c r="Y9103">
        <v>0.16434260000000001</v>
      </c>
      <c r="Z9103">
        <v>-1.323422E-2</v>
      </c>
      <c r="AA9103">
        <v>0.98631449999999998</v>
      </c>
      <c r="AB9103">
        <v>22</v>
      </c>
      <c r="AC9103">
        <v>16.4068</v>
      </c>
      <c r="AD9103">
        <v>-1.118058647327</v>
      </c>
      <c r="AE9103">
        <v>-0.77979999999999405</v>
      </c>
      <c r="AF9103">
        <v>2.7486482221358601</v>
      </c>
      <c r="AG9103">
        <v>-1.118058647327</v>
      </c>
      <c r="AH9103">
        <v>16.1168627935443</v>
      </c>
      <c r="AI9103">
        <v>93.912058586866706</v>
      </c>
      <c r="AJ9103">
        <v>80.321615711867395</v>
      </c>
      <c r="AK9103">
        <v>16.387751172563199</v>
      </c>
      <c r="AL9103">
        <v>97.014146273194896</v>
      </c>
      <c r="AM9103">
        <v>84.063102409197199</v>
      </c>
      <c r="AN9103">
        <v>1.0000000132315501</v>
      </c>
    </row>
    <row r="9104" spans="1:40" x14ac:dyDescent="0.25">
      <c r="A9104" t="str">
        <f>"20190303154356879"</f>
        <v>20190303154356879</v>
      </c>
      <c r="B9104" t="str">
        <f>"1551599036869334"</f>
        <v>1551599036869334</v>
      </c>
      <c r="C9104" t="s">
        <v>40</v>
      </c>
      <c r="D9104">
        <v>5.3816300000000004</v>
      </c>
      <c r="E9104">
        <v>0.52476599999999995</v>
      </c>
      <c r="F9104" t="s">
        <v>41</v>
      </c>
      <c r="G9104">
        <v>-140.03039999999999</v>
      </c>
      <c r="H9104" s="1">
        <v>-4.7085150000000001E-6</v>
      </c>
      <c r="I9104">
        <v>137.08330000000001</v>
      </c>
      <c r="J9104">
        <v>-156.34280000000001</v>
      </c>
      <c r="K9104">
        <v>1.1180349999999999</v>
      </c>
      <c r="L9104">
        <v>137.91650000000001</v>
      </c>
      <c r="M9104">
        <v>0.99300500000000003</v>
      </c>
      <c r="N9104">
        <v>-7.8573099999999993E-3</v>
      </c>
      <c r="O9104">
        <v>0.11781170000000001</v>
      </c>
      <c r="P9104">
        <v>0.99140229999999996</v>
      </c>
      <c r="Q9104">
        <v>-0.13004830000000001</v>
      </c>
      <c r="R9104">
        <v>1.446068E-2</v>
      </c>
      <c r="S9104">
        <v>3.0019070000000001</v>
      </c>
      <c r="T9104">
        <v>-0.2029561</v>
      </c>
      <c r="U9104">
        <v>-0.14695739999999999</v>
      </c>
      <c r="V9104">
        <v>0.10184</v>
      </c>
      <c r="W9104">
        <v>-0.1227974</v>
      </c>
      <c r="X9104">
        <v>0.98719270000000003</v>
      </c>
      <c r="Y9104">
        <v>0.16559939999999901</v>
      </c>
      <c r="Z9104">
        <v>-1.325806E-2</v>
      </c>
      <c r="AA9104">
        <v>0.98610399999999998</v>
      </c>
      <c r="AB9104">
        <v>22</v>
      </c>
      <c r="AC9104">
        <v>16.3124</v>
      </c>
      <c r="AD9104">
        <v>-1.118039708515</v>
      </c>
      <c r="AE9104">
        <v>-0.83320000000000505</v>
      </c>
      <c r="AF9104">
        <v>2.73642657754004</v>
      </c>
      <c r="AG9104">
        <v>-1.118039708515</v>
      </c>
      <c r="AH9104">
        <v>16.0255427779753</v>
      </c>
      <c r="AI9104">
        <v>93.9340787887554</v>
      </c>
      <c r="AJ9104">
        <v>80.309968710883197</v>
      </c>
      <c r="AK9104">
        <v>16.295891032183501</v>
      </c>
      <c r="AL9104">
        <v>97.053576085316493</v>
      </c>
      <c r="AM9104">
        <v>84.110132497569793</v>
      </c>
      <c r="AN9104">
        <v>1.0000000069900199</v>
      </c>
    </row>
    <row r="9105" spans="1:40" x14ac:dyDescent="0.25">
      <c r="A9105" t="str">
        <f>"20190303154356900"</f>
        <v>20190303154356900</v>
      </c>
      <c r="B9105" t="str">
        <f>"1551599036888855"</f>
        <v>1551599036888855</v>
      </c>
      <c r="C9105" t="s">
        <v>40</v>
      </c>
      <c r="D9105">
        <v>5.4673959999999999</v>
      </c>
      <c r="E9105">
        <v>0.52480890000000002</v>
      </c>
      <c r="F9105" t="s">
        <v>41</v>
      </c>
      <c r="G9105">
        <v>-140.0384</v>
      </c>
      <c r="H9105" s="1">
        <v>-4.7048140000000002E-6</v>
      </c>
      <c r="I9105">
        <v>137.0848</v>
      </c>
      <c r="J9105">
        <v>-156.12530000000001</v>
      </c>
      <c r="K9105">
        <v>1.118026</v>
      </c>
      <c r="L9105">
        <v>137.93860000000001</v>
      </c>
      <c r="M9105">
        <v>0.99337969999999998</v>
      </c>
      <c r="N9105">
        <v>-7.8314159999999904E-3</v>
      </c>
      <c r="O9105">
        <v>0.11461</v>
      </c>
      <c r="P9105">
        <v>0.99145280000000002</v>
      </c>
      <c r="Q9105">
        <v>-0.12994639999999999</v>
      </c>
      <c r="R9105">
        <v>1.1631809999999999E-2</v>
      </c>
      <c r="S9105">
        <v>3.0012509999999999</v>
      </c>
      <c r="T9105">
        <v>-0.20580490000000001</v>
      </c>
      <c r="U9105">
        <v>-0.15309139999999999</v>
      </c>
      <c r="V9105">
        <v>0.1014746</v>
      </c>
      <c r="W9105">
        <v>-0.1227208</v>
      </c>
      <c r="X9105">
        <v>0.9872398</v>
      </c>
      <c r="Y9105">
        <v>0.1644321</v>
      </c>
      <c r="Z9105">
        <v>-1.32133999999999E-2</v>
      </c>
      <c r="AA9105">
        <v>0.98629990000000001</v>
      </c>
      <c r="AB9105">
        <v>22</v>
      </c>
      <c r="AC9105">
        <v>16.0869</v>
      </c>
      <c r="AD9105">
        <v>-1.1180307048139999</v>
      </c>
      <c r="AE9105">
        <v>-0.853800000000006</v>
      </c>
      <c r="AF9105">
        <v>2.67904582501918</v>
      </c>
      <c r="AG9105">
        <v>-1.1180307048139999</v>
      </c>
      <c r="AH9105">
        <v>15.8068972624569</v>
      </c>
      <c r="AI9105">
        <v>93.989123289346395</v>
      </c>
      <c r="AJ9105">
        <v>80.380586865015601</v>
      </c>
      <c r="AK9105">
        <v>16.0712563371793</v>
      </c>
      <c r="AL9105">
        <v>97.049154142135393</v>
      </c>
      <c r="AM9105">
        <v>84.131395502398107</v>
      </c>
      <c r="AN9105">
        <v>0.99999995595091895</v>
      </c>
    </row>
    <row r="9106" spans="1:40" x14ac:dyDescent="0.25">
      <c r="A9106" t="str">
        <f>"20190303154356923"</f>
        <v>20190303154356923</v>
      </c>
      <c r="B9106" t="str">
        <f>"1551599036919109"</f>
        <v>1551599036919109</v>
      </c>
      <c r="C9106" t="s">
        <v>40</v>
      </c>
      <c r="D9106">
        <v>5.291817</v>
      </c>
      <c r="E9106">
        <v>0.52464540000000004</v>
      </c>
      <c r="F9106" t="s">
        <v>41</v>
      </c>
      <c r="G9106">
        <v>-139.80930000000001</v>
      </c>
      <c r="H9106" s="1">
        <v>-7.3166719999999899E-7</v>
      </c>
      <c r="I9106">
        <v>137.05789999999999</v>
      </c>
      <c r="J9106">
        <v>-155.90100000000001</v>
      </c>
      <c r="K9106">
        <v>1.11802</v>
      </c>
      <c r="L9106">
        <v>137.9607</v>
      </c>
      <c r="M9106">
        <v>0.99375440000000004</v>
      </c>
      <c r="N9106">
        <v>-7.8173740000000002E-3</v>
      </c>
      <c r="O9106">
        <v>0.111315899999999</v>
      </c>
      <c r="P9106">
        <v>0.9917127</v>
      </c>
      <c r="Q9106">
        <v>-0.12819710000000001</v>
      </c>
      <c r="R9106">
        <v>8.4728210000000002E-3</v>
      </c>
      <c r="S9106">
        <v>3.0007929999999998</v>
      </c>
      <c r="T9106">
        <v>-0.205623</v>
      </c>
      <c r="U9106">
        <v>-0.161972</v>
      </c>
      <c r="V9106">
        <v>0.10137880000000001</v>
      </c>
      <c r="W9106">
        <v>-0.1209848</v>
      </c>
      <c r="X9106">
        <v>0.98746400000000001</v>
      </c>
      <c r="Y9106">
        <v>0.1640886</v>
      </c>
      <c r="Z9106">
        <v>-1.2991630000000001E-2</v>
      </c>
      <c r="AA9106">
        <v>0.98636009999999996</v>
      </c>
      <c r="AB9106">
        <v>22</v>
      </c>
      <c r="AC9106">
        <v>16.091699999999999</v>
      </c>
      <c r="AD9106">
        <v>-1.1180207316672</v>
      </c>
      <c r="AE9106">
        <v>-0.90280000000001304</v>
      </c>
      <c r="AF9106">
        <v>2.6756301984425299</v>
      </c>
      <c r="AG9106">
        <v>-1.1180207316672</v>
      </c>
      <c r="AH9106">
        <v>15.815082951739599</v>
      </c>
      <c r="AI9106">
        <v>93.987228463004001</v>
      </c>
      <c r="AJ9106">
        <v>80.397502357388603</v>
      </c>
      <c r="AK9106">
        <v>16.078738012843498</v>
      </c>
      <c r="AL9106">
        <v>96.948941111563499</v>
      </c>
      <c r="AM9106">
        <v>84.138219236498998</v>
      </c>
      <c r="AN9106">
        <v>1.0000000671082301</v>
      </c>
    </row>
    <row r="9107" spans="1:40" x14ac:dyDescent="0.25">
      <c r="A9107" t="str">
        <f>"20190303154356946"</f>
        <v>20190303154356946</v>
      </c>
      <c r="B9107" t="str">
        <f>"1551599036939608"</f>
        <v>1551599036939608</v>
      </c>
      <c r="C9107" t="s">
        <v>40</v>
      </c>
      <c r="D9107">
        <v>5.2285519999999996</v>
      </c>
      <c r="E9107">
        <v>0.50868970000000002</v>
      </c>
      <c r="F9107" t="s">
        <v>41</v>
      </c>
      <c r="G9107">
        <v>-139.27680000000001</v>
      </c>
      <c r="H9107" s="1">
        <v>-9.2380180000000002E-7</v>
      </c>
      <c r="I9107">
        <v>137.01679999999999</v>
      </c>
      <c r="J9107">
        <v>-155.66579999999999</v>
      </c>
      <c r="K9107">
        <v>1.1180060000000001</v>
      </c>
      <c r="L9107">
        <v>137.98310000000001</v>
      </c>
      <c r="M9107">
        <v>0.99413390000000001</v>
      </c>
      <c r="N9107">
        <v>-7.8185619999999994E-3</v>
      </c>
      <c r="O9107">
        <v>0.107873499999999</v>
      </c>
      <c r="P9107">
        <v>0.9919289</v>
      </c>
      <c r="Q9107">
        <v>-0.12666839999999999</v>
      </c>
      <c r="R9107">
        <v>5.7047919999999898E-3</v>
      </c>
      <c r="S9107">
        <v>3.0004430000000002</v>
      </c>
      <c r="T9107">
        <v>-0.20178750000000001</v>
      </c>
      <c r="U9107">
        <v>-0.1703644</v>
      </c>
      <c r="V9107">
        <v>0.10074230000000001</v>
      </c>
      <c r="W9107">
        <v>-0.1194515</v>
      </c>
      <c r="X9107">
        <v>0.98771569999999997</v>
      </c>
      <c r="Y9107">
        <v>0.1634602</v>
      </c>
      <c r="Z9107">
        <v>-1.2519499999999999E-2</v>
      </c>
      <c r="AA9107">
        <v>0.98647050000000003</v>
      </c>
      <c r="AB9107">
        <v>23</v>
      </c>
      <c r="AC9107">
        <v>16.3889999999999</v>
      </c>
      <c r="AD9107">
        <v>-1.1180069238018</v>
      </c>
      <c r="AE9107">
        <v>-0.96630000000001803</v>
      </c>
      <c r="AF9107">
        <v>2.7160582186840498</v>
      </c>
      <c r="AG9107">
        <v>-1.1180069238018</v>
      </c>
      <c r="AH9107">
        <v>16.114387611066199</v>
      </c>
      <c r="AI9107">
        <v>93.913760568353396</v>
      </c>
      <c r="AJ9107">
        <v>80.432794735353099</v>
      </c>
      <c r="AK9107">
        <v>16.379877893581298</v>
      </c>
      <c r="AL9107">
        <v>96.8604482367777</v>
      </c>
      <c r="AM9107">
        <v>84.176242396375002</v>
      </c>
      <c r="AN9107">
        <v>0.99999998794401401</v>
      </c>
    </row>
    <row r="9108" spans="1:40" x14ac:dyDescent="0.25">
      <c r="A9108" t="str">
        <f>"20190303154356966"</f>
        <v>20190303154356966</v>
      </c>
      <c r="B9108" t="str">
        <f>"1551599036959125"</f>
        <v>1551599036959125</v>
      </c>
      <c r="C9108" t="s">
        <v>40</v>
      </c>
      <c r="D9108">
        <v>5.2022120000000003</v>
      </c>
      <c r="E9108">
        <v>0.47755059999999999</v>
      </c>
      <c r="F9108" t="s">
        <v>42</v>
      </c>
      <c r="G9108">
        <v>-154.81370000000001</v>
      </c>
      <c r="H9108">
        <v>1.0528139999999999</v>
      </c>
      <c r="I9108">
        <v>137.9683</v>
      </c>
      <c r="J9108">
        <v>-155.44820000000001</v>
      </c>
      <c r="K9108">
        <v>1.1180019999999999</v>
      </c>
      <c r="L9108">
        <v>138.00309999999999</v>
      </c>
      <c r="M9108">
        <v>0.9944731</v>
      </c>
      <c r="N9108">
        <v>-7.8369100000000008E-3</v>
      </c>
      <c r="O9108">
        <v>0.1046996</v>
      </c>
      <c r="P9108">
        <v>0.99200670000000002</v>
      </c>
      <c r="Q9108">
        <v>-0.12612219999999999</v>
      </c>
      <c r="R9108">
        <v>4.0174629999999998E-3</v>
      </c>
      <c r="S9108">
        <v>2.9954529999999999</v>
      </c>
      <c r="T9108">
        <v>-0.2291617</v>
      </c>
      <c r="U9108">
        <v>-5.1742549999999998E-2</v>
      </c>
      <c r="V9108">
        <v>9.9278989999999998E-2</v>
      </c>
      <c r="W9108">
        <v>-0.11888</v>
      </c>
      <c r="X9108">
        <v>0.98793280000000006</v>
      </c>
      <c r="Y9108">
        <v>0.1212271</v>
      </c>
      <c r="Z9108">
        <v>-1.2273849999999999E-2</v>
      </c>
      <c r="AA9108">
        <v>0.99254889999999996</v>
      </c>
      <c r="AB9108">
        <v>23</v>
      </c>
      <c r="AC9108">
        <v>0.63450000000000195</v>
      </c>
      <c r="AD9108">
        <v>-6.5187999999999996E-2</v>
      </c>
      <c r="AE9108">
        <v>-3.4799999999989902E-2</v>
      </c>
      <c r="AF9108">
        <v>9.9990387624914606E-2</v>
      </c>
      <c r="AG9108">
        <v>-6.5187999999999996E-2</v>
      </c>
      <c r="AH9108">
        <v>0.62083537593918503</v>
      </c>
      <c r="AI9108">
        <v>95.918401689853297</v>
      </c>
      <c r="AJ9108">
        <v>80.850637495142706</v>
      </c>
      <c r="AK9108">
        <v>0.63220575525609501</v>
      </c>
      <c r="AL9108">
        <v>96.827468651146901</v>
      </c>
      <c r="AM9108">
        <v>84.261518069107296</v>
      </c>
      <c r="AN9108">
        <v>0.99999999478562995</v>
      </c>
    </row>
    <row r="9109" spans="1:40" x14ac:dyDescent="0.25">
      <c r="A9109" t="str">
        <f>"20190303154356989"</f>
        <v>20190303154356989</v>
      </c>
      <c r="B9109" t="str">
        <f>"1551599036979622"</f>
        <v>1551599036979622</v>
      </c>
      <c r="C9109" t="s">
        <v>40</v>
      </c>
      <c r="D9109">
        <v>5.1462180000000002</v>
      </c>
      <c r="E9109">
        <v>0.47626790000000002</v>
      </c>
      <c r="F9109" t="s">
        <v>42</v>
      </c>
      <c r="G9109">
        <v>-154.62960000000001</v>
      </c>
      <c r="H9109">
        <v>1.0476350000000001</v>
      </c>
      <c r="I9109">
        <v>138.05529999999999</v>
      </c>
      <c r="J9109">
        <v>-155.21780000000001</v>
      </c>
      <c r="K9109">
        <v>1.117996</v>
      </c>
      <c r="L9109">
        <v>138.02350000000001</v>
      </c>
      <c r="M9109">
        <v>0.99481989999999998</v>
      </c>
      <c r="N9109">
        <v>-7.8783969999999901E-3</v>
      </c>
      <c r="O9109">
        <v>0.1013487</v>
      </c>
      <c r="P9109">
        <v>0.99193439999999999</v>
      </c>
      <c r="Q9109">
        <v>-0.12674069999999901</v>
      </c>
      <c r="R9109">
        <v>1.806532E-3</v>
      </c>
      <c r="S9109">
        <v>2.9907379999999999</v>
      </c>
      <c r="T9109">
        <v>-0.25706649999999998</v>
      </c>
      <c r="U9109">
        <v>0.19134519999999999</v>
      </c>
      <c r="V9109">
        <v>9.8140660000000005E-2</v>
      </c>
      <c r="W9109">
        <v>-0.1194532</v>
      </c>
      <c r="X9109">
        <v>0.98797740000000001</v>
      </c>
      <c r="Y9109">
        <v>3.7170719999999997E-2</v>
      </c>
      <c r="Z9109">
        <v>-9.6100309999999998E-3</v>
      </c>
      <c r="AA9109">
        <v>0.99926280000000001</v>
      </c>
      <c r="AB9109">
        <v>23</v>
      </c>
      <c r="AC9109">
        <v>0.58819999999999995</v>
      </c>
      <c r="AD9109">
        <v>-7.0360999999999896E-2</v>
      </c>
      <c r="AE9109">
        <v>3.1799999999975598E-2</v>
      </c>
      <c r="AF9109">
        <v>2.7585324864729099E-2</v>
      </c>
      <c r="AG9109">
        <v>-7.0360999999999896E-2</v>
      </c>
      <c r="AH9109">
        <v>0.58011734090503997</v>
      </c>
      <c r="AI9109">
        <v>96.9077554880527</v>
      </c>
      <c r="AJ9109">
        <v>87.277562761071493</v>
      </c>
      <c r="AK9109">
        <v>0.58501944385432803</v>
      </c>
      <c r="AL9109">
        <v>96.860546262223394</v>
      </c>
      <c r="AM9109">
        <v>84.327138098578303</v>
      </c>
      <c r="AN9109">
        <v>0.99999999952311702</v>
      </c>
    </row>
    <row r="9110" spans="1:40" x14ac:dyDescent="0.25">
      <c r="A9110" t="str">
        <f>"20190303154357011"</f>
        <v>20190303154357011</v>
      </c>
      <c r="B9110" t="str">
        <f>"1551599036999141"</f>
        <v>1551599036999141</v>
      </c>
      <c r="C9110" t="s">
        <v>40</v>
      </c>
      <c r="D9110">
        <v>5.1238849999999996</v>
      </c>
      <c r="E9110">
        <v>0.47562589999999999</v>
      </c>
      <c r="F9110" t="s">
        <v>42</v>
      </c>
      <c r="G9110">
        <v>-154.42580000000001</v>
      </c>
      <c r="H9110">
        <v>1.0474399999999999</v>
      </c>
      <c r="I9110">
        <v>138.07499999999999</v>
      </c>
      <c r="J9110">
        <v>-154.9974</v>
      </c>
      <c r="K9110">
        <v>1.118007</v>
      </c>
      <c r="L9110">
        <v>138.04230000000001</v>
      </c>
      <c r="M9110">
        <v>0.99513980000000002</v>
      </c>
      <c r="N9110">
        <v>-7.9369769999999996E-3</v>
      </c>
      <c r="O9110">
        <v>9.8152639999999999E-2</v>
      </c>
      <c r="P9110">
        <v>0.99194360000000004</v>
      </c>
      <c r="Q9110">
        <v>-0.12667929999999999</v>
      </c>
      <c r="R9110">
        <v>-6.4755390000000002E-4</v>
      </c>
      <c r="S9110">
        <v>2.990005</v>
      </c>
      <c r="T9110">
        <v>-0.2663162</v>
      </c>
      <c r="U9110">
        <v>0.19453429999999999</v>
      </c>
      <c r="V9110">
        <v>9.7411780000000003E-2</v>
      </c>
      <c r="W9110">
        <v>-0.119331199999999</v>
      </c>
      <c r="X9110">
        <v>0.98806430000000001</v>
      </c>
      <c r="Y9110">
        <v>3.2877400000000001E-2</v>
      </c>
      <c r="Z9110">
        <v>-9.5106649999999997E-3</v>
      </c>
      <c r="AA9110">
        <v>0.99941409999999997</v>
      </c>
      <c r="AB9110">
        <v>23</v>
      </c>
      <c r="AC9110">
        <v>0.57159999999998901</v>
      </c>
      <c r="AD9110">
        <v>-7.0567000000000005E-2</v>
      </c>
      <c r="AE9110">
        <v>3.2699999999976997E-2</v>
      </c>
      <c r="AF9110">
        <v>2.3211107037275299E-2</v>
      </c>
      <c r="AG9110">
        <v>-7.0567000000000005E-2</v>
      </c>
      <c r="AH9110">
        <v>0.56348924334855799</v>
      </c>
      <c r="AI9110">
        <v>97.132129785138503</v>
      </c>
      <c r="AJ9110">
        <v>87.641220167586496</v>
      </c>
      <c r="AK9110">
        <v>0.56836483384215997</v>
      </c>
      <c r="AL9110">
        <v>96.853505638745006</v>
      </c>
      <c r="AM9110">
        <v>84.369490113818998</v>
      </c>
      <c r="AN9110">
        <v>1.0000000255553401</v>
      </c>
    </row>
    <row r="9111" spans="1:40" x14ac:dyDescent="0.25">
      <c r="A9111" t="str">
        <f>"20190303154357034"</f>
        <v>20190303154357034</v>
      </c>
      <c r="B9111" t="str">
        <f>"1551599037029397"</f>
        <v>1551599037029397</v>
      </c>
      <c r="C9111" t="s">
        <v>40</v>
      </c>
      <c r="D9111">
        <v>5.1077399999999997</v>
      </c>
      <c r="E9111">
        <v>0.47540650000000001</v>
      </c>
      <c r="F9111" t="s">
        <v>42</v>
      </c>
      <c r="G9111">
        <v>-154.22049999999999</v>
      </c>
      <c r="H9111">
        <v>1.0481480000000001</v>
      </c>
      <c r="I9111">
        <v>138.09190000000001</v>
      </c>
      <c r="J9111">
        <v>-154.76390000000001</v>
      </c>
      <c r="K9111">
        <v>1.118012</v>
      </c>
      <c r="L9111">
        <v>138.06139999999999</v>
      </c>
      <c r="M9111">
        <v>0.99546659999999998</v>
      </c>
      <c r="N9111">
        <v>-8.0152409999999993E-3</v>
      </c>
      <c r="O9111">
        <v>9.4773609999999994E-2</v>
      </c>
      <c r="P9111">
        <v>0.99192040000000004</v>
      </c>
      <c r="Q9111">
        <v>-0.12675</v>
      </c>
      <c r="R9111">
        <v>-5.3577440000000002E-3</v>
      </c>
      <c r="S9111">
        <v>2.9901580000000001</v>
      </c>
      <c r="T9111">
        <v>-0.2687987</v>
      </c>
      <c r="U9111">
        <v>0.19178770000000001</v>
      </c>
      <c r="V9111">
        <v>9.8745289999999999E-2</v>
      </c>
      <c r="W9111">
        <v>-0.1193336</v>
      </c>
      <c r="X9111">
        <v>0.98793160000000002</v>
      </c>
      <c r="Y9111">
        <v>3.0415069999999999E-2</v>
      </c>
      <c r="Z9111">
        <v>-9.2040879999999992E-3</v>
      </c>
      <c r="AA9111">
        <v>0.99949500000000002</v>
      </c>
      <c r="AB9111">
        <v>23</v>
      </c>
      <c r="AC9111">
        <v>0.54340000000001898</v>
      </c>
      <c r="AD9111">
        <v>-6.9864000000000107E-2</v>
      </c>
      <c r="AE9111">
        <v>3.05000000000177E-2</v>
      </c>
      <c r="AF9111">
        <v>2.0796248768215099E-2</v>
      </c>
      <c r="AG9111">
        <v>-6.9864000000000107E-2</v>
      </c>
      <c r="AH9111">
        <v>0.53502846619882605</v>
      </c>
      <c r="AI9111">
        <v>97.434036362249302</v>
      </c>
      <c r="AJ9111">
        <v>87.774066555747297</v>
      </c>
      <c r="AK9111">
        <v>0.53997122340167203</v>
      </c>
      <c r="AL9111">
        <v>96.853644360184504</v>
      </c>
      <c r="AM9111">
        <v>84.292155641931004</v>
      </c>
      <c r="AN9111">
        <v>0.99999999333235201</v>
      </c>
    </row>
    <row r="9112" spans="1:40" x14ac:dyDescent="0.25">
      <c r="A9112" t="str">
        <f>"20190303154357056"</f>
        <v>20190303154357056</v>
      </c>
      <c r="B9112" t="str">
        <f>"1551599037048917"</f>
        <v>1551599037048917</v>
      </c>
      <c r="C9112" t="s">
        <v>40</v>
      </c>
      <c r="D9112">
        <v>5.0881589999999903</v>
      </c>
      <c r="E9112">
        <v>0.47494170000000002</v>
      </c>
      <c r="F9112" t="s">
        <v>42</v>
      </c>
      <c r="G9112">
        <v>-154.01349999999999</v>
      </c>
      <c r="H9112">
        <v>1.0502819999999999</v>
      </c>
      <c r="I9112">
        <v>138.1063</v>
      </c>
      <c r="J9112">
        <v>-154.53440000000001</v>
      </c>
      <c r="K9112">
        <v>1.1180209999999999</v>
      </c>
      <c r="L9112">
        <v>138.0795</v>
      </c>
      <c r="M9112">
        <v>0.99577530000000003</v>
      </c>
      <c r="N9112">
        <v>-8.1155910000000001E-3</v>
      </c>
      <c r="O9112">
        <v>9.1463639999999999E-2</v>
      </c>
      <c r="P9112">
        <v>0.99166489999999996</v>
      </c>
      <c r="Q9112">
        <v>-0.1284351</v>
      </c>
      <c r="R9112">
        <v>-1.0238219999999999E-2</v>
      </c>
      <c r="S9112">
        <v>2.9909210000000002</v>
      </c>
      <c r="T9112">
        <v>-0.26987719999999998</v>
      </c>
      <c r="U9112">
        <v>0.17915339999999999</v>
      </c>
      <c r="V9112">
        <v>0.10029159999999999</v>
      </c>
      <c r="W9112">
        <v>-0.1209311</v>
      </c>
      <c r="X9112">
        <v>0.98758159999999895</v>
      </c>
      <c r="Y9112">
        <v>3.13183E-2</v>
      </c>
      <c r="Z9112">
        <v>-9.0093989999999995E-3</v>
      </c>
      <c r="AA9112">
        <v>0.99946889999999999</v>
      </c>
      <c r="AB9112">
        <v>23</v>
      </c>
      <c r="AC9112">
        <v>0.52090000000001102</v>
      </c>
      <c r="AD9112">
        <v>-6.7738999999999994E-2</v>
      </c>
      <c r="AE9112">
        <v>2.6800000000008602E-2</v>
      </c>
      <c r="AF9112">
        <v>2.0609712802968999E-2</v>
      </c>
      <c r="AG9112">
        <v>-6.7738999999999994E-2</v>
      </c>
      <c r="AH9112">
        <v>0.51252337438957696</v>
      </c>
      <c r="AI9112">
        <v>97.522999902415606</v>
      </c>
      <c r="AJ9112">
        <v>87.697249044765798</v>
      </c>
      <c r="AK9112">
        <v>0.51739109161107399</v>
      </c>
      <c r="AL9112">
        <v>96.945841506155304</v>
      </c>
      <c r="AM9112">
        <v>84.201336871213499</v>
      </c>
      <c r="AN9112">
        <v>1.00000007631816</v>
      </c>
    </row>
    <row r="9113" spans="1:40" x14ac:dyDescent="0.25">
      <c r="A9113" t="str">
        <f>"20190303154357081"</f>
        <v>20190303154357081</v>
      </c>
      <c r="B9113" t="str">
        <f>"1551599037069413"</f>
        <v>1551599037069413</v>
      </c>
      <c r="C9113" t="s">
        <v>40</v>
      </c>
      <c r="D9113">
        <v>5.0853409999999997</v>
      </c>
      <c r="E9113">
        <v>0.4744099</v>
      </c>
      <c r="F9113" t="s">
        <v>42</v>
      </c>
      <c r="G9113">
        <v>-153.61320000000001</v>
      </c>
      <c r="H9113">
        <v>1.0331980000000001</v>
      </c>
      <c r="I9113">
        <v>138.1311</v>
      </c>
      <c r="J9113">
        <v>-154.28450000000001</v>
      </c>
      <c r="K9113">
        <v>1.118031</v>
      </c>
      <c r="L9113">
        <v>138.09819999999999</v>
      </c>
      <c r="M9113">
        <v>0.99609729999999996</v>
      </c>
      <c r="N9113">
        <v>-8.2707279999999998E-3</v>
      </c>
      <c r="O9113">
        <v>8.7873049999999994E-2</v>
      </c>
      <c r="P9113">
        <v>0.99140499999999998</v>
      </c>
      <c r="Q9113">
        <v>-0.12992010000000001</v>
      </c>
      <c r="R9113">
        <v>-1.53974E-2</v>
      </c>
      <c r="S9113">
        <v>2.9912719999999999</v>
      </c>
      <c r="T9113">
        <v>-0.27546039999999999</v>
      </c>
      <c r="U9113">
        <v>0.16775509999999999</v>
      </c>
      <c r="V9113">
        <v>0.1018433</v>
      </c>
      <c r="W9113">
        <v>-0.1222741</v>
      </c>
      <c r="X9113">
        <v>0.9872573</v>
      </c>
      <c r="Y9113">
        <v>3.1510629999999998E-2</v>
      </c>
      <c r="Z9113">
        <v>-8.9073099999999999E-3</v>
      </c>
      <c r="AA9113">
        <v>0.99946369999999896</v>
      </c>
      <c r="AB9113">
        <v>23</v>
      </c>
      <c r="AC9113">
        <v>0.67130000000000201</v>
      </c>
      <c r="AD9113">
        <v>-8.4832999999999895E-2</v>
      </c>
      <c r="AE9113">
        <v>3.29000000000121E-2</v>
      </c>
      <c r="AF9113">
        <v>2.5807327880519901E-2</v>
      </c>
      <c r="AG9113">
        <v>-8.4832999999999895E-2</v>
      </c>
      <c r="AH9113">
        <v>0.66106247848983801</v>
      </c>
      <c r="AI9113">
        <v>97.307194536594395</v>
      </c>
      <c r="AJ9113">
        <v>87.764355836581998</v>
      </c>
      <c r="AK9113">
        <v>0.66698295070298497</v>
      </c>
      <c r="AL9113">
        <v>97.023365625834302</v>
      </c>
      <c r="AM9113">
        <v>84.110325684915793</v>
      </c>
      <c r="AN9113">
        <v>0.99999999484449498</v>
      </c>
    </row>
    <row r="9114" spans="1:40" x14ac:dyDescent="0.25">
      <c r="A9114" t="str">
        <f>"20190303154357104"</f>
        <v>20190303154357104</v>
      </c>
      <c r="B9114" t="str">
        <f>"1551599037099670"</f>
        <v>1551599037099670</v>
      </c>
      <c r="C9114" t="s">
        <v>40</v>
      </c>
      <c r="D9114">
        <v>5.1714099999999998</v>
      </c>
      <c r="E9114">
        <v>0.4739794</v>
      </c>
      <c r="F9114" t="s">
        <v>42</v>
      </c>
      <c r="G9114">
        <v>-153.40600000000001</v>
      </c>
      <c r="H9114">
        <v>1.035115</v>
      </c>
      <c r="I9114">
        <v>138.14410000000001</v>
      </c>
      <c r="J9114">
        <v>-154.04490000000001</v>
      </c>
      <c r="K9114">
        <v>1.11805</v>
      </c>
      <c r="L9114">
        <v>138.11529999999999</v>
      </c>
      <c r="M9114">
        <v>0.99639319999999998</v>
      </c>
      <c r="N9114">
        <v>-8.4427819999999994E-3</v>
      </c>
      <c r="O9114">
        <v>8.4435140000000006E-2</v>
      </c>
      <c r="P9114">
        <v>0.99112060000000002</v>
      </c>
      <c r="Q9114">
        <v>-0.1314409</v>
      </c>
      <c r="R9114">
        <v>-2.008157E-2</v>
      </c>
      <c r="S9114">
        <v>2.991425</v>
      </c>
      <c r="T9114">
        <v>-0.28230229999999901</v>
      </c>
      <c r="U9114">
        <v>0.15652469999999999</v>
      </c>
      <c r="V9114">
        <v>0.103075399999999</v>
      </c>
      <c r="W9114">
        <v>-0.1236346</v>
      </c>
      <c r="X9114">
        <v>0.9869599</v>
      </c>
      <c r="Y9114">
        <v>3.1793960000000003E-2</v>
      </c>
      <c r="Z9114">
        <v>-8.8521450000000005E-3</v>
      </c>
      <c r="AA9114">
        <v>0.99945530000000005</v>
      </c>
      <c r="AB9114">
        <v>23</v>
      </c>
      <c r="AC9114">
        <v>0.63890000000000602</v>
      </c>
      <c r="AD9114">
        <v>-8.2934999999999898E-2</v>
      </c>
      <c r="AE9114">
        <v>2.8800000000018099E-2</v>
      </c>
      <c r="AF9114">
        <v>2.4832793278686802E-2</v>
      </c>
      <c r="AG9114">
        <v>-8.2934999999999898E-2</v>
      </c>
      <c r="AH9114">
        <v>0.62848144814582896</v>
      </c>
      <c r="AI9114">
        <v>97.511576083943496</v>
      </c>
      <c r="AJ9114">
        <v>87.737284847805498</v>
      </c>
      <c r="AK9114">
        <v>0.63441611936527997</v>
      </c>
      <c r="AL9114">
        <v>97.101912861050707</v>
      </c>
      <c r="AM9114">
        <v>84.037799232744405</v>
      </c>
      <c r="AN9114">
        <v>0.99999994830516303</v>
      </c>
    </row>
    <row r="9115" spans="1:40" x14ac:dyDescent="0.25">
      <c r="A9115" t="str">
        <f>"20190303154357124"</f>
        <v>20190303154357124</v>
      </c>
      <c r="B9115" t="str">
        <f>"1551599037119189"</f>
        <v>1551599037119189</v>
      </c>
      <c r="C9115" t="s">
        <v>40</v>
      </c>
      <c r="D9115">
        <v>5.1402080000000003</v>
      </c>
      <c r="E9115">
        <v>0.46575800000000001</v>
      </c>
      <c r="F9115" t="s">
        <v>42</v>
      </c>
      <c r="G9115">
        <v>-153.19890000000001</v>
      </c>
      <c r="H9115">
        <v>1.03634</v>
      </c>
      <c r="I9115">
        <v>138.1566</v>
      </c>
      <c r="J9115">
        <v>-153.83860000000001</v>
      </c>
      <c r="K9115">
        <v>1.118061</v>
      </c>
      <c r="L9115">
        <v>138.1294</v>
      </c>
      <c r="M9115">
        <v>0.99663760000000001</v>
      </c>
      <c r="N9115">
        <v>-8.6132340000000009E-3</v>
      </c>
      <c r="O9115">
        <v>8.1481390000000001E-2</v>
      </c>
      <c r="P9115">
        <v>0.99090710000000004</v>
      </c>
      <c r="Q9115">
        <v>-0.132402399999999</v>
      </c>
      <c r="R9115">
        <v>-2.3932269999999999E-2</v>
      </c>
      <c r="S9115">
        <v>2.9915159999999998</v>
      </c>
      <c r="T9115">
        <v>-0.28890840000000001</v>
      </c>
      <c r="U9115">
        <v>0.14598079999999999</v>
      </c>
      <c r="V9115">
        <v>0.1039683</v>
      </c>
      <c r="W9115">
        <v>-0.12443510000000001</v>
      </c>
      <c r="X9115">
        <v>0.98676569999999997</v>
      </c>
      <c r="Y9115">
        <v>3.2333250000000001E-2</v>
      </c>
      <c r="Z9115">
        <v>-8.8313869999999996E-3</v>
      </c>
      <c r="AA9115">
        <v>0.9994381</v>
      </c>
      <c r="AB9115">
        <v>23</v>
      </c>
      <c r="AC9115">
        <v>0.63970000000000404</v>
      </c>
      <c r="AD9115">
        <v>-8.1720999999999905E-2</v>
      </c>
      <c r="AE9115">
        <v>2.71999999999934E-2</v>
      </c>
      <c r="AF9115">
        <v>2.46150440838897E-2</v>
      </c>
      <c r="AG9115">
        <v>-8.1720999999999905E-2</v>
      </c>
      <c r="AH9115">
        <v>0.629533807575688</v>
      </c>
      <c r="AI9115">
        <v>97.390730496597897</v>
      </c>
      <c r="AJ9115">
        <v>87.760850884837296</v>
      </c>
      <c r="AK9115">
        <v>0.63529287507180099</v>
      </c>
      <c r="AL9115">
        <v>97.148134525859604</v>
      </c>
      <c r="AM9115">
        <v>83.985353170079804</v>
      </c>
      <c r="AN9115">
        <v>1.00000002410669</v>
      </c>
    </row>
    <row r="9116" spans="1:40" x14ac:dyDescent="0.25">
      <c r="A9116" t="str">
        <f>"20190303154357146"</f>
        <v>20190303154357146</v>
      </c>
      <c r="B9116" t="str">
        <f>"1551599037139689"</f>
        <v>1551599037139689</v>
      </c>
      <c r="C9116" t="s">
        <v>40</v>
      </c>
      <c r="D9116">
        <v>5.1859060000000001</v>
      </c>
      <c r="E9116">
        <v>0.46565590000000001</v>
      </c>
      <c r="F9116" t="s">
        <v>42</v>
      </c>
      <c r="G9116">
        <v>-153.0017</v>
      </c>
      <c r="H9116">
        <v>1.018907</v>
      </c>
      <c r="I9116">
        <v>138.18549999999999</v>
      </c>
      <c r="J9116">
        <v>-153.607</v>
      </c>
      <c r="K9116">
        <v>1.11808</v>
      </c>
      <c r="L9116">
        <v>138.14449999999999</v>
      </c>
      <c r="M9116">
        <v>0.99690049999999997</v>
      </c>
      <c r="N9116">
        <v>-8.846029E-3</v>
      </c>
      <c r="O9116">
        <v>7.8173709999999993E-2</v>
      </c>
      <c r="P9116">
        <v>0.99067099999999997</v>
      </c>
      <c r="Q9116">
        <v>-0.13354549999999901</v>
      </c>
      <c r="R9116">
        <v>-2.71396E-2</v>
      </c>
      <c r="S9116">
        <v>2.9851230000000002</v>
      </c>
      <c r="T9116">
        <v>-0.35360180000000002</v>
      </c>
      <c r="U9116">
        <v>0.20069890000000001</v>
      </c>
      <c r="V9116">
        <v>0.1038704</v>
      </c>
      <c r="W9116">
        <v>-0.12535009999999999</v>
      </c>
      <c r="X9116">
        <v>0.98666019999999999</v>
      </c>
      <c r="Y9116">
        <v>1.0581E-2</v>
      </c>
      <c r="Z9116">
        <v>-9.1856909999999993E-3</v>
      </c>
      <c r="AA9116">
        <v>0.99990179999999995</v>
      </c>
      <c r="AB9116">
        <v>23</v>
      </c>
      <c r="AC9116">
        <v>0.60529999999999895</v>
      </c>
      <c r="AD9116">
        <v>-9.91729999999999E-2</v>
      </c>
      <c r="AE9116">
        <v>4.0999999999996803E-2</v>
      </c>
      <c r="AF9116">
        <v>6.2781189204852896E-3</v>
      </c>
      <c r="AG9116">
        <v>-9.91729999999999E-2</v>
      </c>
      <c r="AH9116">
        <v>0.59086407951764797</v>
      </c>
      <c r="AI9116">
        <v>99.527415695612007</v>
      </c>
      <c r="AJ9116">
        <v>89.391237013641202</v>
      </c>
      <c r="AK9116">
        <v>0.59916196405514299</v>
      </c>
      <c r="AL9116">
        <v>97.200973848031495</v>
      </c>
      <c r="AM9116">
        <v>83.9903374815446</v>
      </c>
      <c r="AN9116">
        <v>1.0000000289151001</v>
      </c>
    </row>
    <row r="9117" spans="1:40" x14ac:dyDescent="0.25">
      <c r="A9117" t="str">
        <f>"20190303154357168"</f>
        <v>20190303154357168</v>
      </c>
      <c r="B9117" t="str">
        <f>"1551599037159206"</f>
        <v>1551599037159206</v>
      </c>
      <c r="C9117" t="s">
        <v>40</v>
      </c>
      <c r="D9117">
        <v>5.2051619999999996</v>
      </c>
      <c r="E9117">
        <v>0.46535300000000002</v>
      </c>
      <c r="F9117" t="s">
        <v>42</v>
      </c>
      <c r="G9117">
        <v>-152.7945</v>
      </c>
      <c r="H9117">
        <v>1.0195339999999999</v>
      </c>
      <c r="I9117">
        <v>138.19669999999999</v>
      </c>
      <c r="J9117">
        <v>-153.381</v>
      </c>
      <c r="K9117">
        <v>1.118117</v>
      </c>
      <c r="L9117">
        <v>138.1585</v>
      </c>
      <c r="M9117">
        <v>0.99714539999999996</v>
      </c>
      <c r="N9117">
        <v>-9.1191599999999994E-3</v>
      </c>
      <c r="O9117">
        <v>7.4953389999999995E-2</v>
      </c>
      <c r="P9117">
        <v>0.9906684</v>
      </c>
      <c r="Q9117">
        <v>-0.13300770000000001</v>
      </c>
      <c r="R9117">
        <v>-2.97515E-2</v>
      </c>
      <c r="S9117">
        <v>2.9846949999999999</v>
      </c>
      <c r="T9117">
        <v>-0.36205090000000001</v>
      </c>
      <c r="U9117">
        <v>0.1919556</v>
      </c>
      <c r="V9117">
        <v>0.1032946</v>
      </c>
      <c r="W9117">
        <v>-0.12453939999999999</v>
      </c>
      <c r="X9117">
        <v>0.98682329999999996</v>
      </c>
      <c r="Y9117">
        <v>1.025482E-2</v>
      </c>
      <c r="Z9117">
        <v>-9.0224060000000002E-3</v>
      </c>
      <c r="AA9117">
        <v>0.99990670000000004</v>
      </c>
      <c r="AB9117">
        <v>23</v>
      </c>
      <c r="AC9117">
        <v>0.58650000000000002</v>
      </c>
      <c r="AD9117">
        <v>-9.8583000000000004E-2</v>
      </c>
      <c r="AE9117">
        <v>3.8199999999989097E-2</v>
      </c>
      <c r="AF9117">
        <v>5.7088408436435497E-3</v>
      </c>
      <c r="AG9117">
        <v>-9.8583000000000004E-2</v>
      </c>
      <c r="AH9117">
        <v>0.57163119814880103</v>
      </c>
      <c r="AI9117">
        <v>99.784449275671804</v>
      </c>
      <c r="AJ9117">
        <v>89.4278100751647</v>
      </c>
      <c r="AK9117">
        <v>0.58009777231929804</v>
      </c>
      <c r="AL9117">
        <v>97.154157276183398</v>
      </c>
      <c r="AM9117">
        <v>84.024390577145894</v>
      </c>
      <c r="AN9117">
        <v>1.0000000309821999</v>
      </c>
    </row>
    <row r="9118" spans="1:40" x14ac:dyDescent="0.25">
      <c r="A9118" t="str">
        <f>"20190303154357190"</f>
        <v>20190303154357190</v>
      </c>
      <c r="B9118" t="str">
        <f>"1551599037179702"</f>
        <v>1551599037179702</v>
      </c>
      <c r="C9118" t="s">
        <v>40</v>
      </c>
      <c r="D9118">
        <v>5.2080789999999997</v>
      </c>
      <c r="E9118">
        <v>0.46465269999999997</v>
      </c>
      <c r="F9118" t="s">
        <v>42</v>
      </c>
      <c r="G9118">
        <v>-152.58600000000001</v>
      </c>
      <c r="H9118">
        <v>1.022902</v>
      </c>
      <c r="I9118">
        <v>138.2081</v>
      </c>
      <c r="J9118">
        <v>-153.14760000000001</v>
      </c>
      <c r="K9118">
        <v>1.1181719999999999</v>
      </c>
      <c r="L9118">
        <v>138.1721</v>
      </c>
      <c r="M9118">
        <v>0.9973862</v>
      </c>
      <c r="N9118">
        <v>-9.4494699999999997E-3</v>
      </c>
      <c r="O9118">
        <v>7.1634799999999998E-2</v>
      </c>
      <c r="P9118">
        <v>0.99081839999999999</v>
      </c>
      <c r="Q9118">
        <v>-0.1312005</v>
      </c>
      <c r="R9118">
        <v>-3.263957E-2</v>
      </c>
      <c r="S9118">
        <v>2.98584</v>
      </c>
      <c r="T9118">
        <v>-0.35756870000000002</v>
      </c>
      <c r="U9118">
        <v>0.18640139999999999</v>
      </c>
      <c r="V9118">
        <v>0.10291640000000001</v>
      </c>
      <c r="W9118">
        <v>-0.1224017</v>
      </c>
      <c r="X9118">
        <v>0.98713019999999996</v>
      </c>
      <c r="Y9118">
        <v>8.8524509999999904E-3</v>
      </c>
      <c r="Z9118">
        <v>-8.424417E-3</v>
      </c>
      <c r="AA9118">
        <v>0.99992530000000002</v>
      </c>
      <c r="AB9118">
        <v>23</v>
      </c>
      <c r="AC9118">
        <v>0.56159999999999799</v>
      </c>
      <c r="AD9118">
        <v>-9.5269999999999896E-2</v>
      </c>
      <c r="AE9118">
        <v>3.6000000000001302E-2</v>
      </c>
      <c r="AF9118">
        <v>4.2039090839242803E-3</v>
      </c>
      <c r="AG9118">
        <v>-9.5269999999999896E-2</v>
      </c>
      <c r="AH9118">
        <v>0.54705734728677402</v>
      </c>
      <c r="AI9118">
        <v>99.878694749104994</v>
      </c>
      <c r="AJ9118">
        <v>89.559714336992101</v>
      </c>
      <c r="AK9118">
        <v>0.555306930419591</v>
      </c>
      <c r="AL9118">
        <v>97.030731886275206</v>
      </c>
      <c r="AM9118">
        <v>84.047949839695093</v>
      </c>
      <c r="AN9118">
        <v>0.99999999665194395</v>
      </c>
    </row>
    <row r="9119" spans="1:40" x14ac:dyDescent="0.25">
      <c r="A9119" t="str">
        <f>"20190303154357212"</f>
        <v>20190303154357212</v>
      </c>
      <c r="B9119" t="str">
        <f>"1551599037208981"</f>
        <v>1551599037208981</v>
      </c>
      <c r="C9119" t="s">
        <v>40</v>
      </c>
      <c r="D9119">
        <v>5.1878250000000001</v>
      </c>
      <c r="E9119">
        <v>0.46379979999999998</v>
      </c>
      <c r="F9119" t="s">
        <v>42</v>
      </c>
      <c r="G9119">
        <v>-152.37690000000001</v>
      </c>
      <c r="H9119">
        <v>1.0277259999999999</v>
      </c>
      <c r="I9119">
        <v>138.21940000000001</v>
      </c>
      <c r="J9119">
        <v>-152.92019999999999</v>
      </c>
      <c r="K9119">
        <v>1.1182430000000001</v>
      </c>
      <c r="L9119">
        <v>138.18469999999999</v>
      </c>
      <c r="M9119">
        <v>0.99760879999999996</v>
      </c>
      <c r="N9119">
        <v>-9.8226860000000006E-3</v>
      </c>
      <c r="O9119">
        <v>6.8413630000000003E-2</v>
      </c>
      <c r="P9119">
        <v>0.99069130000000005</v>
      </c>
      <c r="Q9119">
        <v>-0.13128699999999999</v>
      </c>
      <c r="R9119">
        <v>-3.5984229999999999E-2</v>
      </c>
      <c r="S9119">
        <v>2.9874109999999998</v>
      </c>
      <c r="T9119">
        <v>-0.35057129999999997</v>
      </c>
      <c r="U9119">
        <v>0.18316650000000001</v>
      </c>
      <c r="V9119">
        <v>0.1030639</v>
      </c>
      <c r="W9119">
        <v>-0.12211900000000001</v>
      </c>
      <c r="X9119">
        <v>0.98714979999999997</v>
      </c>
      <c r="Y9119">
        <v>6.7922819999999898E-3</v>
      </c>
      <c r="Z9119">
        <v>-7.7448350000000003E-3</v>
      </c>
      <c r="AA9119">
        <v>0.99994700000000003</v>
      </c>
      <c r="AB9119">
        <v>23</v>
      </c>
      <c r="AC9119">
        <v>0.54329999999998702</v>
      </c>
      <c r="AD9119">
        <v>-9.0517000000000097E-2</v>
      </c>
      <c r="AE9119">
        <v>3.4700000000014997E-2</v>
      </c>
      <c r="AF9119">
        <v>2.48356508368754E-3</v>
      </c>
      <c r="AG9119">
        <v>-9.0517000000000097E-2</v>
      </c>
      <c r="AH9119">
        <v>0.52975603478938604</v>
      </c>
      <c r="AI9119">
        <v>99.696127370739902</v>
      </c>
      <c r="AJ9119">
        <v>89.731391913239094</v>
      </c>
      <c r="AK9119">
        <v>0.53743925403741999</v>
      </c>
      <c r="AL9119">
        <v>97.014412107347098</v>
      </c>
      <c r="AM9119">
        <v>84.039598214216895</v>
      </c>
      <c r="AN9119">
        <v>0.99999997264212404</v>
      </c>
    </row>
    <row r="9120" spans="1:40" x14ac:dyDescent="0.25">
      <c r="A9120" t="str">
        <f>"20190303154357235"</f>
        <v>20190303154357235</v>
      </c>
      <c r="B9120" t="str">
        <f>"1551599037229477"</f>
        <v>1551599037229477</v>
      </c>
      <c r="C9120" t="s">
        <v>40</v>
      </c>
      <c r="D9120">
        <v>5.2216529999999999</v>
      </c>
      <c r="E9120">
        <v>0.46033429999999997</v>
      </c>
      <c r="F9120" t="s">
        <v>42</v>
      </c>
      <c r="G9120">
        <v>-152.16899999999899</v>
      </c>
      <c r="H9120">
        <v>1.0306040000000001</v>
      </c>
      <c r="I9120">
        <v>138.22980000000001</v>
      </c>
      <c r="J9120">
        <v>-152.6875</v>
      </c>
      <c r="K9120">
        <v>1.1183190000000001</v>
      </c>
      <c r="L9120">
        <v>138.1968</v>
      </c>
      <c r="M9120">
        <v>0.99782409999999999</v>
      </c>
      <c r="N9120">
        <v>-1.0238580000000001E-2</v>
      </c>
      <c r="O9120">
        <v>6.5133090000000005E-2</v>
      </c>
      <c r="P9120">
        <v>0.99038669999999995</v>
      </c>
      <c r="Q9120">
        <v>-0.13255310000000001</v>
      </c>
      <c r="R9120">
        <v>-3.9544500000000003E-2</v>
      </c>
      <c r="S9120">
        <v>2.9884949999999999</v>
      </c>
      <c r="T9120">
        <v>-0.34863090000000002</v>
      </c>
      <c r="U9120">
        <v>0.1796875</v>
      </c>
      <c r="V9120">
        <v>0.1033553</v>
      </c>
      <c r="W9120">
        <v>-0.1229739</v>
      </c>
      <c r="X9120">
        <v>0.98701320000000003</v>
      </c>
      <c r="Y9120">
        <v>4.7284229999999998E-3</v>
      </c>
      <c r="Z9120">
        <v>-7.1921449999999996E-3</v>
      </c>
      <c r="AA9120">
        <v>0.99996300000000005</v>
      </c>
      <c r="AB9120">
        <v>23</v>
      </c>
      <c r="AC9120">
        <v>0.51850000000001695</v>
      </c>
      <c r="AD9120">
        <v>-8.7714999999999904E-2</v>
      </c>
      <c r="AE9120">
        <v>3.3000000000015399E-2</v>
      </c>
      <c r="AF9120">
        <v>8.1998382129735905E-4</v>
      </c>
      <c r="AG9120">
        <v>-8.7714999999999904E-2</v>
      </c>
      <c r="AH9120">
        <v>0.50514997656392102</v>
      </c>
      <c r="AI9120">
        <v>99.850692027409295</v>
      </c>
      <c r="AJ9120">
        <v>89.906994807196696</v>
      </c>
      <c r="AK9120">
        <v>0.51270955951785901</v>
      </c>
      <c r="AL9120">
        <v>97.063766230574302</v>
      </c>
      <c r="AM9120">
        <v>84.022046541583705</v>
      </c>
      <c r="AN9120">
        <v>0.99999997754676895</v>
      </c>
    </row>
    <row r="9121" spans="1:40" x14ac:dyDescent="0.25">
      <c r="A9121" t="str">
        <f>"20190303154357258"</f>
        <v>20190303154357258</v>
      </c>
      <c r="B9121" t="str">
        <f>"1551599037248998"</f>
        <v>1551599037248998</v>
      </c>
      <c r="C9121" t="s">
        <v>40</v>
      </c>
      <c r="D9121">
        <v>5.2617269999999996</v>
      </c>
      <c r="E9121">
        <v>0.45920250000000001</v>
      </c>
      <c r="F9121" t="s">
        <v>42</v>
      </c>
      <c r="G9121">
        <v>-151.95660000000001</v>
      </c>
      <c r="H9121">
        <v>1.0391709999999901</v>
      </c>
      <c r="I9121">
        <v>138.24469999999999</v>
      </c>
      <c r="J9121">
        <v>-152.4562</v>
      </c>
      <c r="K9121">
        <v>1.1183890000000001</v>
      </c>
      <c r="L9121">
        <v>138.2081</v>
      </c>
      <c r="M9121">
        <v>0.99802610000000003</v>
      </c>
      <c r="N9121">
        <v>-1.064064E-2</v>
      </c>
      <c r="O9121">
        <v>6.1891839999999997E-2</v>
      </c>
      <c r="P9121">
        <v>0.9903092</v>
      </c>
      <c r="Q9121">
        <v>-0.1322169</v>
      </c>
      <c r="R9121">
        <v>-4.250367E-2</v>
      </c>
      <c r="S9121">
        <v>2.9935610000000001</v>
      </c>
      <c r="T9121">
        <v>-0.32416250000000002</v>
      </c>
      <c r="U9121">
        <v>0.1959534</v>
      </c>
      <c r="V9121">
        <v>0.1031123</v>
      </c>
      <c r="W9121">
        <v>-0.1222333</v>
      </c>
      <c r="X9121">
        <v>0.98713059999999997</v>
      </c>
      <c r="Y9121">
        <v>-3.698692E-3</v>
      </c>
      <c r="Z9121">
        <v>-5.7928329999999998E-3</v>
      </c>
      <c r="AA9121">
        <v>0.99997639999999999</v>
      </c>
      <c r="AB9121">
        <v>23</v>
      </c>
      <c r="AC9121">
        <v>0.499599999999986</v>
      </c>
      <c r="AD9121">
        <v>-7.9217999999999997E-2</v>
      </c>
      <c r="AE9121">
        <v>3.6599999999992798E-2</v>
      </c>
      <c r="AF9121">
        <v>-5.4701132511119598E-3</v>
      </c>
      <c r="AG9121">
        <v>-7.9217999999999997E-2</v>
      </c>
      <c r="AH9121">
        <v>0.48868640693232102</v>
      </c>
      <c r="AI9121">
        <v>99.2072101076335</v>
      </c>
      <c r="AJ9121">
        <v>90.641313753732106</v>
      </c>
      <c r="AK9121">
        <v>0.49509576647695402</v>
      </c>
      <c r="AL9121">
        <v>97.021010439233706</v>
      </c>
      <c r="AM9121">
        <v>84.036704155334903</v>
      </c>
      <c r="AN9121">
        <v>0.99999997374826899</v>
      </c>
    </row>
    <row r="9122" spans="1:40" x14ac:dyDescent="0.25">
      <c r="A9122" t="str">
        <f>"20190303154357281"</f>
        <v>20190303154357281</v>
      </c>
      <c r="B9122" t="str">
        <f>"1551599037269494"</f>
        <v>1551599037269494</v>
      </c>
      <c r="C9122" t="s">
        <v>40</v>
      </c>
      <c r="D9122">
        <v>5.2423520000000003</v>
      </c>
      <c r="E9122">
        <v>0.45833469999999998</v>
      </c>
      <c r="F9122" t="s">
        <v>42</v>
      </c>
      <c r="G9122">
        <v>-151.55889999999999</v>
      </c>
      <c r="H9122">
        <v>1.015409</v>
      </c>
      <c r="I9122">
        <v>138.267</v>
      </c>
      <c r="J9122">
        <v>-152.22290000000001</v>
      </c>
      <c r="K9122">
        <v>1.11846</v>
      </c>
      <c r="L9122">
        <v>138.21870000000001</v>
      </c>
      <c r="M9122">
        <v>0.99821749999999998</v>
      </c>
      <c r="N9122">
        <v>-1.100903E-2</v>
      </c>
      <c r="O9122">
        <v>5.865919E-2</v>
      </c>
      <c r="P9122">
        <v>0.99011870000000002</v>
      </c>
      <c r="Q9122">
        <v>-0.13252249999999999</v>
      </c>
      <c r="R9122">
        <v>-4.585935E-2</v>
      </c>
      <c r="S9122">
        <v>2.991959</v>
      </c>
      <c r="T9122">
        <v>-0.34334750000000003</v>
      </c>
      <c r="U9122">
        <v>0.1965179</v>
      </c>
      <c r="V9122">
        <v>0.1032667</v>
      </c>
      <c r="W9122">
        <v>-0.1221695</v>
      </c>
      <c r="X9122">
        <v>0.98712239999999996</v>
      </c>
      <c r="Y9122">
        <v>-7.1527200000000004E-3</v>
      </c>
      <c r="Z9122">
        <v>-5.6042820000000004E-3</v>
      </c>
      <c r="AA9122">
        <v>0.99995869999999998</v>
      </c>
      <c r="AB9122">
        <v>23</v>
      </c>
      <c r="AC9122">
        <v>0.66400000000001502</v>
      </c>
      <c r="AD9122">
        <v>-0.103051</v>
      </c>
      <c r="AE9122">
        <v>4.8299999999983301E-2</v>
      </c>
      <c r="AF9122">
        <v>-9.0479789075434899E-3</v>
      </c>
      <c r="AG9122">
        <v>-0.103051</v>
      </c>
      <c r="AH9122">
        <v>0.65011356236839002</v>
      </c>
      <c r="AI9122">
        <v>99.006288835625995</v>
      </c>
      <c r="AJ9122">
        <v>90.797364594017793</v>
      </c>
      <c r="AK9122">
        <v>0.65829250223485802</v>
      </c>
      <c r="AL9122">
        <v>97.017327071760604</v>
      </c>
      <c r="AM9122">
        <v>84.027789973700806</v>
      </c>
      <c r="AN9122">
        <v>1.00000001532044</v>
      </c>
    </row>
    <row r="9123" spans="1:40" x14ac:dyDescent="0.25">
      <c r="A9123" t="str">
        <f>"20190303154357305"</f>
        <v>20190303154357305</v>
      </c>
      <c r="B9123" t="str">
        <f>"1551599037298773"</f>
        <v>1551599037298773</v>
      </c>
      <c r="C9123" t="s">
        <v>40</v>
      </c>
      <c r="D9123">
        <v>5.1997489999999997</v>
      </c>
      <c r="E9123">
        <v>0.45783370000000001</v>
      </c>
      <c r="F9123" t="s">
        <v>42</v>
      </c>
      <c r="G9123">
        <v>-151.35319999999999</v>
      </c>
      <c r="H9123">
        <v>1.01562</v>
      </c>
      <c r="I9123">
        <v>138.2747</v>
      </c>
      <c r="J9123">
        <v>-151.97309999999999</v>
      </c>
      <c r="K9123">
        <v>1.1185179999999999</v>
      </c>
      <c r="L9123">
        <v>138.22929999999999</v>
      </c>
      <c r="M9123">
        <v>0.99840810000000002</v>
      </c>
      <c r="N9123">
        <v>-1.136616E-2</v>
      </c>
      <c r="O9123">
        <v>5.5247009999999999E-2</v>
      </c>
      <c r="P9123">
        <v>0.98971549999999997</v>
      </c>
      <c r="Q9123">
        <v>-0.13399269999999999</v>
      </c>
      <c r="R9123">
        <v>-5.0094769999999997E-2</v>
      </c>
      <c r="S9123">
        <v>2.9915769999999999</v>
      </c>
      <c r="T9123">
        <v>-0.35364250000000003</v>
      </c>
      <c r="U9123">
        <v>0.19335939999999999</v>
      </c>
      <c r="V9123">
        <v>0.104108199999999</v>
      </c>
      <c r="W9123">
        <v>-0.1232861</v>
      </c>
      <c r="X9123">
        <v>0.98689510000000003</v>
      </c>
      <c r="Y9123">
        <v>-9.5060230000000006E-3</v>
      </c>
      <c r="Z9123">
        <v>-5.2566509999999898E-3</v>
      </c>
      <c r="AA9123">
        <v>0.99994099999999997</v>
      </c>
      <c r="AB9123">
        <v>23</v>
      </c>
      <c r="AC9123">
        <v>0.61990000000000101</v>
      </c>
      <c r="AD9123">
        <v>-0.102898</v>
      </c>
      <c r="AE9123">
        <v>4.5400000000000697E-2</v>
      </c>
      <c r="AF9123">
        <v>-1.07852397140133E-2</v>
      </c>
      <c r="AG9123">
        <v>-0.102898</v>
      </c>
      <c r="AH9123">
        <v>0.60488397561384</v>
      </c>
      <c r="AI9123">
        <v>99.652774577031593</v>
      </c>
      <c r="AJ9123">
        <v>91.021490514422396</v>
      </c>
      <c r="AK9123">
        <v>0.61366843144657002</v>
      </c>
      <c r="AL9123">
        <v>97.081791264454907</v>
      </c>
      <c r="AM9123">
        <v>83.978103173027307</v>
      </c>
      <c r="AN9123">
        <v>0.99999995908222905</v>
      </c>
    </row>
    <row r="9124" spans="1:40" x14ac:dyDescent="0.25">
      <c r="A9124" t="str">
        <f>"20190303154357327"</f>
        <v>20190303154357327</v>
      </c>
      <c r="B9124" t="str">
        <f>"1551599037319270"</f>
        <v>1551599037319270</v>
      </c>
      <c r="C9124" t="s">
        <v>40</v>
      </c>
      <c r="D9124">
        <v>5.1924089999999996</v>
      </c>
      <c r="E9124">
        <v>0.45750289999999999</v>
      </c>
      <c r="F9124" t="s">
        <v>42</v>
      </c>
      <c r="G9124">
        <v>-151.14599999999999</v>
      </c>
      <c r="H9124">
        <v>1.0196069999999999</v>
      </c>
      <c r="I9124">
        <v>138.28020000000001</v>
      </c>
      <c r="J9124">
        <v>-151.76740000000001</v>
      </c>
      <c r="K9124">
        <v>1.1185620000000001</v>
      </c>
      <c r="L9124">
        <v>138.23740000000001</v>
      </c>
      <c r="M9124">
        <v>0.99855389999999999</v>
      </c>
      <c r="N9124">
        <v>-1.163583E-2</v>
      </c>
      <c r="O9124">
        <v>5.2485230000000001E-2</v>
      </c>
      <c r="P9124">
        <v>0.98912230000000001</v>
      </c>
      <c r="Q9124">
        <v>-0.13665639999999901</v>
      </c>
      <c r="R9124">
        <v>-5.442495E-2</v>
      </c>
      <c r="S9124">
        <v>2.9920650000000002</v>
      </c>
      <c r="T9124">
        <v>-0.3577901</v>
      </c>
      <c r="U9124">
        <v>0.18441769999999999</v>
      </c>
      <c r="V9124">
        <v>0.1056742</v>
      </c>
      <c r="W9124">
        <v>-0.12568850000000001</v>
      </c>
      <c r="X9124">
        <v>0.98642549999999996</v>
      </c>
      <c r="Y9124">
        <v>-9.2754090000000001E-3</v>
      </c>
      <c r="Z9124">
        <v>-5.0283740000000004E-3</v>
      </c>
      <c r="AA9124">
        <v>0.99994430000000001</v>
      </c>
      <c r="AB9124">
        <v>23</v>
      </c>
      <c r="AC9124">
        <v>0.62139999999999396</v>
      </c>
      <c r="AD9124">
        <v>-9.8955000000000098E-2</v>
      </c>
      <c r="AE9124">
        <v>4.2799999999999699E-2</v>
      </c>
      <c r="AF9124">
        <v>-9.8752265413821396E-3</v>
      </c>
      <c r="AG9124">
        <v>-9.8955000000000098E-2</v>
      </c>
      <c r="AH9124">
        <v>0.60745810210611995</v>
      </c>
      <c r="AI9124">
        <v>99.251019226446999</v>
      </c>
      <c r="AJ9124">
        <v>90.931354713745094</v>
      </c>
      <c r="AK9124">
        <v>0.61554444026293698</v>
      </c>
      <c r="AL9124">
        <v>97.220517868376803</v>
      </c>
      <c r="AM9124">
        <v>83.885314536528497</v>
      </c>
      <c r="AN9124">
        <v>0.99999995131406805</v>
      </c>
    </row>
    <row r="9125" spans="1:40" x14ac:dyDescent="0.25">
      <c r="A9125" t="str">
        <f>"20190303154357351"</f>
        <v>20190303154357351</v>
      </c>
      <c r="B9125" t="str">
        <f>"1551599037338790"</f>
        <v>1551599037338790</v>
      </c>
      <c r="C9125" t="s">
        <v>40</v>
      </c>
      <c r="D9125">
        <v>5.2520429999999996</v>
      </c>
      <c r="E9125">
        <v>0.45654810000000001</v>
      </c>
      <c r="F9125" t="s">
        <v>42</v>
      </c>
      <c r="G9125">
        <v>-150.94149999999999</v>
      </c>
      <c r="H9125">
        <v>1.01854</v>
      </c>
      <c r="I9125">
        <v>138.2852</v>
      </c>
      <c r="J9125">
        <v>-151.5044</v>
      </c>
      <c r="K9125">
        <v>1.1186389999999999</v>
      </c>
      <c r="L9125">
        <v>138.24700000000001</v>
      </c>
      <c r="M9125">
        <v>0.99872590000000006</v>
      </c>
      <c r="N9125">
        <v>-1.1946969999999999E-2</v>
      </c>
      <c r="O9125">
        <v>4.9028530000000001E-2</v>
      </c>
      <c r="P9125">
        <v>0.98864479999999999</v>
      </c>
      <c r="Q9125">
        <v>-0.1381309</v>
      </c>
      <c r="R9125">
        <v>-5.9174320000000002E-2</v>
      </c>
      <c r="S9125">
        <v>2.9925079999999999</v>
      </c>
      <c r="T9125">
        <v>-0.36232330000000001</v>
      </c>
      <c r="U9125">
        <v>0.17381289999999999</v>
      </c>
      <c r="V9125">
        <v>0.10699699999999999</v>
      </c>
      <c r="W9125">
        <v>-0.1268512</v>
      </c>
      <c r="X9125">
        <v>0.98613410000000001</v>
      </c>
      <c r="Y9125">
        <v>-9.1816550000000004E-3</v>
      </c>
      <c r="Z9125">
        <v>-4.7136060000000004E-3</v>
      </c>
      <c r="AA9125">
        <v>0.99994669999999997</v>
      </c>
      <c r="AB9125">
        <v>23</v>
      </c>
      <c r="AC9125">
        <v>0.56290000000001295</v>
      </c>
      <c r="AD9125">
        <v>-0.10009899999999899</v>
      </c>
      <c r="AE9125">
        <v>3.8199999999989097E-2</v>
      </c>
      <c r="AF9125">
        <v>-1.0231849346364799E-2</v>
      </c>
      <c r="AG9125">
        <v>-0.10009899999999899</v>
      </c>
      <c r="AH9125">
        <v>0.546881460314118</v>
      </c>
      <c r="AI9125">
        <v>100.370599958273</v>
      </c>
      <c r="AJ9125">
        <v>91.071847260710001</v>
      </c>
      <c r="AK9125">
        <v>0.55606099681361298</v>
      </c>
      <c r="AL9125">
        <v>97.287672661372497</v>
      </c>
      <c r="AM9125">
        <v>83.807548202163304</v>
      </c>
      <c r="AN9125">
        <v>1.00000002406662</v>
      </c>
    </row>
    <row r="9126" spans="1:40" x14ac:dyDescent="0.25">
      <c r="A9126" t="str">
        <f>"20190303154357371"</f>
        <v>20190303154357371</v>
      </c>
      <c r="B9126" t="str">
        <f>"1551599037369046"</f>
        <v>1551599037369046</v>
      </c>
      <c r="C9126" t="s">
        <v>40</v>
      </c>
      <c r="D9126">
        <v>5.2754000000000003</v>
      </c>
      <c r="E9126">
        <v>0.45560200000000001</v>
      </c>
      <c r="F9126" t="s">
        <v>42</v>
      </c>
      <c r="G9126">
        <v>-150.73410000000001</v>
      </c>
      <c r="H9126">
        <v>1.0241610000000001</v>
      </c>
      <c r="I9126">
        <v>138.29</v>
      </c>
      <c r="J9126">
        <v>-151.28659999999999</v>
      </c>
      <c r="K9126">
        <v>1.118716</v>
      </c>
      <c r="L9126">
        <v>138.2544</v>
      </c>
      <c r="M9126">
        <v>0.99885610000000002</v>
      </c>
      <c r="N9126">
        <v>-1.217289E-2</v>
      </c>
      <c r="O9126">
        <v>4.6244260000000002E-2</v>
      </c>
      <c r="P9126">
        <v>0.98834560000000005</v>
      </c>
      <c r="Q9126">
        <v>-0.13874690000000001</v>
      </c>
      <c r="R9126">
        <v>-6.2628799999999998E-2</v>
      </c>
      <c r="S9126">
        <v>2.9931640000000002</v>
      </c>
      <c r="T9126">
        <v>-0.36706909999999998</v>
      </c>
      <c r="U9126">
        <v>0.16696169999999999</v>
      </c>
      <c r="V9126">
        <v>0.1077066</v>
      </c>
      <c r="W9126">
        <v>-0.1272334</v>
      </c>
      <c r="X9126">
        <v>0.98600759999999998</v>
      </c>
      <c r="Y9126">
        <v>-9.6593979999999996E-3</v>
      </c>
      <c r="Z9126">
        <v>-4.4327059999999998E-3</v>
      </c>
      <c r="AA9126">
        <v>0.99994349999999999</v>
      </c>
      <c r="AB9126">
        <v>23</v>
      </c>
      <c r="AC9126">
        <v>0.55249999999998001</v>
      </c>
      <c r="AD9126">
        <v>-9.4554999999999903E-2</v>
      </c>
      <c r="AE9126">
        <v>3.5599999999988002E-2</v>
      </c>
      <c r="AF9126">
        <v>-9.72636646000429E-3</v>
      </c>
      <c r="AG9126">
        <v>-9.4554999999999903E-2</v>
      </c>
      <c r="AH9126">
        <v>0.53786680276926202</v>
      </c>
      <c r="AI9126">
        <v>99.968911948424207</v>
      </c>
      <c r="AJ9126">
        <v>91.035979564358598</v>
      </c>
      <c r="AK9126">
        <v>0.54620138021680498</v>
      </c>
      <c r="AL9126">
        <v>97.309750034759105</v>
      </c>
      <c r="AM9126">
        <v>83.766008922009107</v>
      </c>
      <c r="AN9126">
        <v>1.0000000185084399</v>
      </c>
    </row>
    <row r="9127" spans="1:40" x14ac:dyDescent="0.25">
      <c r="A9127" t="str">
        <f>"20190303154357393"</f>
        <v>20190303154357393</v>
      </c>
      <c r="B9127" t="str">
        <f>"1551599037389542"</f>
        <v>1551599037389542</v>
      </c>
      <c r="C9127" t="s">
        <v>40</v>
      </c>
      <c r="D9127">
        <v>5.2750120000000003</v>
      </c>
      <c r="E9127">
        <v>0.45526290000000003</v>
      </c>
      <c r="F9127" t="s">
        <v>42</v>
      </c>
      <c r="G9127">
        <v>-150.5299</v>
      </c>
      <c r="H9127">
        <v>1.0237179999999999</v>
      </c>
      <c r="I9127">
        <v>138.29589999999999</v>
      </c>
      <c r="J9127">
        <v>-151.06780000000001</v>
      </c>
      <c r="K9127">
        <v>1.1187860000000001</v>
      </c>
      <c r="L9127">
        <v>138.26130000000001</v>
      </c>
      <c r="M9127">
        <v>0.99897530000000001</v>
      </c>
      <c r="N9127">
        <v>-1.237247E-2</v>
      </c>
      <c r="O9127">
        <v>4.3535549999999999E-2</v>
      </c>
      <c r="P9127">
        <v>0.98806490000000002</v>
      </c>
      <c r="Q9127">
        <v>-0.1393161</v>
      </c>
      <c r="R9127">
        <v>-6.571805E-2</v>
      </c>
      <c r="S9127">
        <v>2.993042</v>
      </c>
      <c r="T9127">
        <v>-0.37573909999999999</v>
      </c>
      <c r="U9127">
        <v>0.16436770000000001</v>
      </c>
      <c r="V9127">
        <v>0.1081326</v>
      </c>
      <c r="W9127">
        <v>-0.12758949999999999</v>
      </c>
      <c r="X9127">
        <v>0.98591490000000004</v>
      </c>
      <c r="Y9127">
        <v>-1.148628E-2</v>
      </c>
      <c r="Z9127">
        <v>-4.1113199999999999E-3</v>
      </c>
      <c r="AA9127">
        <v>0.99992559999999997</v>
      </c>
      <c r="AB9127">
        <v>23</v>
      </c>
      <c r="AC9127">
        <v>0.53790000000000704</v>
      </c>
      <c r="AD9127">
        <v>-9.5067999999999903E-2</v>
      </c>
      <c r="AE9127">
        <v>3.4599999999983297E-2</v>
      </c>
      <c r="AF9127">
        <v>-1.08113075044003E-2</v>
      </c>
      <c r="AG9127">
        <v>-9.5067999999999903E-2</v>
      </c>
      <c r="AH9127">
        <v>0.52263813417097704</v>
      </c>
      <c r="AI9127">
        <v>100.307239546246</v>
      </c>
      <c r="AJ9127">
        <v>91.185053132657401</v>
      </c>
      <c r="AK9127">
        <v>0.53132422143515601</v>
      </c>
      <c r="AL9127">
        <v>97.330321109010399</v>
      </c>
      <c r="AM9127">
        <v>83.740963806020105</v>
      </c>
      <c r="AN9127">
        <v>0.99999996486750897</v>
      </c>
    </row>
    <row r="9128" spans="1:40" x14ac:dyDescent="0.25">
      <c r="A9128" t="str">
        <f>"20190303154357414"</f>
        <v>20190303154357414</v>
      </c>
      <c r="B9128" t="str">
        <f>"1551599037409061"</f>
        <v>1551599037409061</v>
      </c>
      <c r="C9128" t="s">
        <v>40</v>
      </c>
      <c r="D9128">
        <v>5.3002649999999996</v>
      </c>
      <c r="E9128">
        <v>0.45485239999999999</v>
      </c>
      <c r="F9128" t="s">
        <v>42</v>
      </c>
      <c r="G9128">
        <v>-150.32560000000001</v>
      </c>
      <c r="H9128">
        <v>1.0244420000000001</v>
      </c>
      <c r="I9128">
        <v>138.3004</v>
      </c>
      <c r="J9128">
        <v>-150.85079999999999</v>
      </c>
      <c r="K9128">
        <v>1.118868</v>
      </c>
      <c r="L9128">
        <v>138.26769999999999</v>
      </c>
      <c r="M9128">
        <v>0.99908229999999998</v>
      </c>
      <c r="N9128">
        <v>-1.2546099999999999E-2</v>
      </c>
      <c r="O9128">
        <v>4.0954240000000003E-2</v>
      </c>
      <c r="P9128">
        <v>0.98773080000000002</v>
      </c>
      <c r="Q9128">
        <v>-0.14060980000000001</v>
      </c>
      <c r="R9128">
        <v>-6.794683E-2</v>
      </c>
      <c r="S9128">
        <v>2.9931030000000001</v>
      </c>
      <c r="T9128">
        <v>-0.38039329999999999</v>
      </c>
      <c r="U9128">
        <v>0.15774540000000001</v>
      </c>
      <c r="V9128">
        <v>0.10782360000000001</v>
      </c>
      <c r="W9128">
        <v>-0.12869030000000001</v>
      </c>
      <c r="X9128">
        <v>0.98580570000000001</v>
      </c>
      <c r="Y9128">
        <v>-1.1847119999999999E-2</v>
      </c>
      <c r="Z9128">
        <v>-3.8421179999999998E-3</v>
      </c>
      <c r="AA9128">
        <v>0.99992250000000005</v>
      </c>
      <c r="AB9128">
        <v>23</v>
      </c>
      <c r="AC9128">
        <v>0.52519999999998301</v>
      </c>
      <c r="AD9128">
        <v>-9.4425999999999899E-2</v>
      </c>
      <c r="AE9128">
        <v>3.2700000000005502E-2</v>
      </c>
      <c r="AF9128">
        <v>-1.0813509261752599E-2</v>
      </c>
      <c r="AG9128">
        <v>-9.4425999999999899E-2</v>
      </c>
      <c r="AH9128">
        <v>0.509686786427336</v>
      </c>
      <c r="AI9128">
        <v>100.493467462737</v>
      </c>
      <c r="AJ9128">
        <v>91.215404292092103</v>
      </c>
      <c r="AK9128">
        <v>0.51847258530917395</v>
      </c>
      <c r="AL9128">
        <v>97.393916321448501</v>
      </c>
      <c r="AM9128">
        <v>83.758022385793296</v>
      </c>
      <c r="AN9128">
        <v>1.0000000000917699</v>
      </c>
    </row>
    <row r="9129" spans="1:40" x14ac:dyDescent="0.25">
      <c r="A9129" t="str">
        <f>"20190303154357436"</f>
        <v>20190303154357436</v>
      </c>
      <c r="B9129" t="str">
        <f>"1551599037429558"</f>
        <v>1551599037429558</v>
      </c>
      <c r="C9129" t="s">
        <v>40</v>
      </c>
      <c r="D9129">
        <v>5.2838390000000004</v>
      </c>
      <c r="E9129">
        <v>0.45441680000000001</v>
      </c>
      <c r="F9129" t="s">
        <v>42</v>
      </c>
      <c r="G9129">
        <v>-150.1217</v>
      </c>
      <c r="H9129">
        <v>1.024564</v>
      </c>
      <c r="I9129">
        <v>138.30529999999999</v>
      </c>
      <c r="J9129">
        <v>-150.6311</v>
      </c>
      <c r="K9129">
        <v>1.118957</v>
      </c>
      <c r="L9129">
        <v>138.27369999999999</v>
      </c>
      <c r="M9129">
        <v>0.99917929999999999</v>
      </c>
      <c r="N9129">
        <v>-1.2699480000000001E-2</v>
      </c>
      <c r="O9129">
        <v>3.8463440000000002E-2</v>
      </c>
      <c r="P9129">
        <v>0.98733990000000005</v>
      </c>
      <c r="Q9129">
        <v>-0.14232590000000001</v>
      </c>
      <c r="R9129">
        <v>-7.0026550000000007E-2</v>
      </c>
      <c r="S9129">
        <v>2.9927830000000002</v>
      </c>
      <c r="T9129">
        <v>-0.38708019999999999</v>
      </c>
      <c r="U9129">
        <v>0.1544189</v>
      </c>
      <c r="V9129">
        <v>0.10745589999999999</v>
      </c>
      <c r="W9129">
        <v>-0.13023180000000001</v>
      </c>
      <c r="X9129">
        <v>0.98564339999999995</v>
      </c>
      <c r="Y9129">
        <v>-1.321396E-2</v>
      </c>
      <c r="Z9129">
        <v>-3.527428E-3</v>
      </c>
      <c r="AA9129">
        <v>0.99990650000000003</v>
      </c>
      <c r="AB9129">
        <v>23</v>
      </c>
      <c r="AC9129">
        <v>0.50939999999999896</v>
      </c>
      <c r="AD9129">
        <v>-9.4392999999999894E-2</v>
      </c>
      <c r="AE9129">
        <v>3.1599999999997401E-2</v>
      </c>
      <c r="AF9129">
        <v>-1.15854711067544E-2</v>
      </c>
      <c r="AG9129">
        <v>-9.4392999999999894E-2</v>
      </c>
      <c r="AH9129">
        <v>0.49336289436198799</v>
      </c>
      <c r="AI9129">
        <v>100.82834506085599</v>
      </c>
      <c r="AJ9129">
        <v>91.345209848714504</v>
      </c>
      <c r="AK9129">
        <v>0.50244522798311397</v>
      </c>
      <c r="AL9129">
        <v>97.482987336560996</v>
      </c>
      <c r="AM9129">
        <v>83.778125280798903</v>
      </c>
      <c r="AN9129">
        <v>1.0000000020698001</v>
      </c>
    </row>
    <row r="9130" spans="1:40" x14ac:dyDescent="0.25">
      <c r="A9130" t="str">
        <f>"20190303154357458"</f>
        <v>20190303154357458</v>
      </c>
      <c r="B9130" t="str">
        <f>"1551599037448802"</f>
        <v>1551599037448802</v>
      </c>
      <c r="C9130" t="s">
        <v>40</v>
      </c>
      <c r="D9130">
        <v>5.2841189999999996</v>
      </c>
      <c r="E9130">
        <v>0.45420509999999997</v>
      </c>
      <c r="F9130" t="s">
        <v>42</v>
      </c>
      <c r="G9130">
        <v>-149.72730000000001</v>
      </c>
      <c r="H9130">
        <v>0.99977020000000005</v>
      </c>
      <c r="I9130">
        <v>138.3194</v>
      </c>
      <c r="J9130">
        <v>-150.40309999999999</v>
      </c>
      <c r="K9130">
        <v>1.119048</v>
      </c>
      <c r="L9130">
        <v>138.27950000000001</v>
      </c>
      <c r="M9130">
        <v>0.99926879999999996</v>
      </c>
      <c r="N9130">
        <v>-1.2836729999999999E-2</v>
      </c>
      <c r="O9130">
        <v>3.6017859999999999E-2</v>
      </c>
      <c r="P9130">
        <v>0.98711300000000002</v>
      </c>
      <c r="Q9130">
        <v>-0.14332899999999901</v>
      </c>
      <c r="R9130">
        <v>-7.1166190000000004E-2</v>
      </c>
      <c r="S9130">
        <v>2.99234</v>
      </c>
      <c r="T9130">
        <v>-0.3946327</v>
      </c>
      <c r="U9130">
        <v>0.15164179999999999</v>
      </c>
      <c r="V9130">
        <v>0.10620590000000001</v>
      </c>
      <c r="W9130">
        <v>-0.13106999999999999</v>
      </c>
      <c r="X9130">
        <v>0.98566779999999998</v>
      </c>
      <c r="Y9130">
        <v>-1.4717869999999999E-2</v>
      </c>
      <c r="Z9130">
        <v>-3.203614E-3</v>
      </c>
      <c r="AA9130">
        <v>0.99988659999999996</v>
      </c>
      <c r="AB9130">
        <v>23</v>
      </c>
      <c r="AC9130">
        <v>0.67579999999998097</v>
      </c>
      <c r="AD9130">
        <v>-0.1192778</v>
      </c>
      <c r="AE9130">
        <v>3.9899999999988701E-2</v>
      </c>
      <c r="AF9130">
        <v>-1.50636054067321E-2</v>
      </c>
      <c r="AG9130">
        <v>-0.1192778</v>
      </c>
      <c r="AH9130">
        <v>0.65642101400780695</v>
      </c>
      <c r="AI9130">
        <v>100.296154573083</v>
      </c>
      <c r="AJ9130">
        <v>91.314597704523706</v>
      </c>
      <c r="AK9130">
        <v>0.66733998337558598</v>
      </c>
      <c r="AL9130">
        <v>97.531427697637696</v>
      </c>
      <c r="AM9130">
        <v>83.850095552261607</v>
      </c>
      <c r="AN9130">
        <v>1.0000000250258201</v>
      </c>
    </row>
    <row r="9131" spans="1:40" x14ac:dyDescent="0.25">
      <c r="A9131" t="str">
        <f>"20190303154357482"</f>
        <v>20190303154357482</v>
      </c>
      <c r="B9131" t="str">
        <f>"1551599037479058"</f>
        <v>1551599037479058</v>
      </c>
      <c r="C9131" t="s">
        <v>40</v>
      </c>
      <c r="D9131">
        <v>5.3172730000000001</v>
      </c>
      <c r="E9131">
        <v>0.44725910000000002</v>
      </c>
      <c r="F9131" t="s">
        <v>42</v>
      </c>
      <c r="G9131">
        <v>-149.52350000000001</v>
      </c>
      <c r="H9131">
        <v>1.0018129999999901</v>
      </c>
      <c r="I9131">
        <v>138.3236</v>
      </c>
      <c r="J9131">
        <v>-150.16399999999999</v>
      </c>
      <c r="K9131">
        <v>1.119143</v>
      </c>
      <c r="L9131">
        <v>138.2852</v>
      </c>
      <c r="M9131">
        <v>0.99935229999999997</v>
      </c>
      <c r="N9131">
        <v>-1.2960879999999999E-2</v>
      </c>
      <c r="O9131">
        <v>3.3573520000000003E-2</v>
      </c>
      <c r="P9131">
        <v>0.98698869999999905</v>
      </c>
      <c r="Q9131">
        <v>-0.14392070000000001</v>
      </c>
      <c r="R9131">
        <v>-7.1697029999999995E-2</v>
      </c>
      <c r="S9131">
        <v>2.9920650000000002</v>
      </c>
      <c r="T9131">
        <v>-0.39878930000000001</v>
      </c>
      <c r="U9131">
        <v>0.1499481</v>
      </c>
      <c r="V9131">
        <v>0.1043511</v>
      </c>
      <c r="W9131">
        <v>-0.13150899999999999</v>
      </c>
      <c r="X9131">
        <v>0.9858074</v>
      </c>
      <c r="Y9131">
        <v>-1.6570629999999999E-2</v>
      </c>
      <c r="Z9131">
        <v>-2.8107039999999998E-3</v>
      </c>
      <c r="AA9131">
        <v>0.99985869999999999</v>
      </c>
      <c r="AB9131">
        <v>23</v>
      </c>
      <c r="AC9131">
        <v>0.64049999999997398</v>
      </c>
      <c r="AD9131">
        <v>-0.11733</v>
      </c>
      <c r="AE9131">
        <v>3.8399999999995701E-2</v>
      </c>
      <c r="AF9131">
        <v>-1.6326792575872402E-2</v>
      </c>
      <c r="AG9131">
        <v>-0.11733</v>
      </c>
      <c r="AH9131">
        <v>0.62067495097459502</v>
      </c>
      <c r="AI9131">
        <v>100.70104089462799</v>
      </c>
      <c r="AJ9131">
        <v>91.506812274840996</v>
      </c>
      <c r="AK9131">
        <v>0.63187838056316803</v>
      </c>
      <c r="AL9131">
        <v>97.556800360550895</v>
      </c>
      <c r="AM9131">
        <v>83.957546322755107</v>
      </c>
      <c r="AN9131">
        <v>0.99999999952348495</v>
      </c>
    </row>
    <row r="9132" spans="1:40" x14ac:dyDescent="0.25">
      <c r="A9132" t="str">
        <f>"20190303154357508"</f>
        <v>20190303154357508</v>
      </c>
      <c r="B9132" t="str">
        <f>"1551599037499554"</f>
        <v>1551599037499554</v>
      </c>
      <c r="C9132" t="s">
        <v>40</v>
      </c>
      <c r="D9132">
        <v>5.2542220000000004</v>
      </c>
      <c r="E9132">
        <v>0.4591055</v>
      </c>
      <c r="F9132" t="s">
        <v>42</v>
      </c>
      <c r="G9132">
        <v>-149.3219</v>
      </c>
      <c r="H9132">
        <v>1.000086</v>
      </c>
      <c r="I9132">
        <v>138.3425</v>
      </c>
      <c r="J9132">
        <v>-149.91040000000001</v>
      </c>
      <c r="K9132">
        <v>1.1192260000000001</v>
      </c>
      <c r="L9132">
        <v>138.29069999999999</v>
      </c>
      <c r="M9132">
        <v>0.99943070000000001</v>
      </c>
      <c r="N9132">
        <v>-1.3073680000000001E-2</v>
      </c>
      <c r="O9132">
        <v>3.110541E-2</v>
      </c>
      <c r="P9132">
        <v>0.98696430000000002</v>
      </c>
      <c r="Q9132">
        <v>-0.1439462</v>
      </c>
      <c r="R9132">
        <v>-7.1979210000000002E-2</v>
      </c>
      <c r="S9132">
        <v>2.9927060000000001</v>
      </c>
      <c r="T9132">
        <v>-0.4230527</v>
      </c>
      <c r="U9132">
        <v>0.20420840000000001</v>
      </c>
      <c r="V9132">
        <v>0.1022267</v>
      </c>
      <c r="W9132">
        <v>-0.13139410000000001</v>
      </c>
      <c r="X9132">
        <v>0.98604530000000001</v>
      </c>
      <c r="Y9132">
        <v>-3.686267E-2</v>
      </c>
      <c r="Z9132">
        <v>-1.1319380000000001E-3</v>
      </c>
      <c r="AA9132">
        <v>0.99931970000000003</v>
      </c>
      <c r="AB9132">
        <v>23</v>
      </c>
      <c r="AC9132">
        <v>0.58850000000001002</v>
      </c>
      <c r="AD9132">
        <v>-0.11914</v>
      </c>
      <c r="AE9132">
        <v>5.1800000000014203E-2</v>
      </c>
      <c r="AF9132">
        <v>-3.2159901467503797E-2</v>
      </c>
      <c r="AG9132">
        <v>-0.11914</v>
      </c>
      <c r="AH9132">
        <v>0.56677599544718205</v>
      </c>
      <c r="AI9132">
        <v>101.852586033645</v>
      </c>
      <c r="AJ9132">
        <v>93.247584445993695</v>
      </c>
      <c r="AK9132">
        <v>0.58005484902511095</v>
      </c>
      <c r="AL9132">
        <v>97.550159288947498</v>
      </c>
      <c r="AM9132">
        <v>84.081095298247703</v>
      </c>
      <c r="AN9132">
        <v>1.00000002067989</v>
      </c>
    </row>
    <row r="9133" spans="1:40" x14ac:dyDescent="0.25">
      <c r="A9133" t="str">
        <f>"20190303154357527"</f>
        <v>20190303154357527</v>
      </c>
      <c r="B9133" t="str">
        <f>"1551599037519074"</f>
        <v>1551599037519074</v>
      </c>
      <c r="C9133" t="s">
        <v>40</v>
      </c>
      <c r="D9133">
        <v>5.2281000000000004</v>
      </c>
      <c r="E9133">
        <v>0.47477839999999999</v>
      </c>
      <c r="F9133" t="s">
        <v>42</v>
      </c>
      <c r="G9133">
        <v>-149.10769999999999</v>
      </c>
      <c r="H9133">
        <v>1.0243709999999999</v>
      </c>
      <c r="I9133">
        <v>138.3194</v>
      </c>
      <c r="J9133">
        <v>-149.7072</v>
      </c>
      <c r="K9133">
        <v>1.119292</v>
      </c>
      <c r="L9133">
        <v>138.29480000000001</v>
      </c>
      <c r="M9133">
        <v>0.99948650000000006</v>
      </c>
      <c r="N9133">
        <v>-1.3151390000000001E-2</v>
      </c>
      <c r="O9133">
        <v>2.9218750000000002E-2</v>
      </c>
      <c r="P9133">
        <v>0.98700960000000004</v>
      </c>
      <c r="Q9133">
        <v>-0.14376140000000001</v>
      </c>
      <c r="R9133">
        <v>-7.1727429999999995E-2</v>
      </c>
      <c r="S9133">
        <v>2.995819</v>
      </c>
      <c r="T9133">
        <v>-0.3540527</v>
      </c>
      <c r="U9133">
        <v>0.10736080000000001</v>
      </c>
      <c r="V9133">
        <v>0.10013610000000001</v>
      </c>
      <c r="W9133">
        <v>-0.1311097</v>
      </c>
      <c r="X9133">
        <v>0.9862976</v>
      </c>
      <c r="Y9133">
        <v>-6.7045560000000004E-3</v>
      </c>
      <c r="Z9133">
        <v>-2.6172320000000002E-3</v>
      </c>
      <c r="AA9133">
        <v>0.99997409999999998</v>
      </c>
      <c r="AB9133">
        <v>23</v>
      </c>
      <c r="AC9133">
        <v>0.59950000000000603</v>
      </c>
      <c r="AD9133">
        <v>-9.4921000000000005E-2</v>
      </c>
      <c r="AE9133">
        <v>2.4599999999992399E-2</v>
      </c>
      <c r="AF9133">
        <v>-6.8986829388056198E-3</v>
      </c>
      <c r="AG9133">
        <v>-9.4921000000000005E-2</v>
      </c>
      <c r="AH9133">
        <v>0.58531395595201496</v>
      </c>
      <c r="AI9133">
        <v>99.210895963294604</v>
      </c>
      <c r="AJ9133">
        <v>90.675273690474995</v>
      </c>
      <c r="AK9133">
        <v>0.59300085590114304</v>
      </c>
      <c r="AL9133">
        <v>97.533722527630601</v>
      </c>
      <c r="AM9133">
        <v>84.2027804571334</v>
      </c>
      <c r="AN9133">
        <v>0.99999997386152895</v>
      </c>
    </row>
    <row r="9134" spans="1:40" x14ac:dyDescent="0.25">
      <c r="A9134" t="str">
        <f>"20190303154357548"</f>
        <v>20190303154357548</v>
      </c>
      <c r="B9134" t="str">
        <f>"1551599037539571"</f>
        <v>1551599037539571</v>
      </c>
      <c r="C9134" t="s">
        <v>40</v>
      </c>
      <c r="D9134">
        <v>5.2467300000000003</v>
      </c>
      <c r="E9134">
        <v>0.48319519999999999</v>
      </c>
      <c r="F9134" t="s">
        <v>42</v>
      </c>
      <c r="G9134">
        <v>-148.9</v>
      </c>
      <c r="H9134">
        <v>1.0354589999999999</v>
      </c>
      <c r="I9134">
        <v>138.28989999999999</v>
      </c>
      <c r="J9134">
        <v>-149.50120000000001</v>
      </c>
      <c r="K9134">
        <v>1.119348</v>
      </c>
      <c r="L9134">
        <v>138.29859999999999</v>
      </c>
      <c r="M9134">
        <v>0.99953780000000003</v>
      </c>
      <c r="N9134">
        <v>-1.3219969999999999E-2</v>
      </c>
      <c r="O9134">
        <v>2.7377809999999999E-2</v>
      </c>
      <c r="P9134">
        <v>0.98700339999999998</v>
      </c>
      <c r="Q9134">
        <v>-0.14377010000000001</v>
      </c>
      <c r="R9134">
        <v>-7.1795919999999999E-2</v>
      </c>
      <c r="S9134">
        <v>2.9929350000000001</v>
      </c>
      <c r="T9134">
        <v>-0.31083129999999998</v>
      </c>
      <c r="U9134">
        <v>-1.7532349999999999E-2</v>
      </c>
      <c r="V9134">
        <v>9.84072E-2</v>
      </c>
      <c r="W9134">
        <v>-0.13103110000000001</v>
      </c>
      <c r="X9134">
        <v>0.98648210000000003</v>
      </c>
      <c r="Y9134">
        <v>3.292349E-2</v>
      </c>
      <c r="Z9134">
        <v>-4.3976650000000003E-3</v>
      </c>
      <c r="AA9134">
        <v>0.99944820000000001</v>
      </c>
      <c r="AB9134">
        <v>23</v>
      </c>
      <c r="AC9134">
        <v>0.60120000000000495</v>
      </c>
      <c r="AD9134">
        <v>-8.3889000000000102E-2</v>
      </c>
      <c r="AE9134">
        <v>-8.7000000000045895E-3</v>
      </c>
      <c r="AF9134">
        <v>2.4677341095848199E-2</v>
      </c>
      <c r="AG9134">
        <v>-8.3889000000000102E-2</v>
      </c>
      <c r="AH9134">
        <v>0.58926563556762301</v>
      </c>
      <c r="AI9134">
        <v>98.0952935598783</v>
      </c>
      <c r="AJ9134">
        <v>87.601961292068694</v>
      </c>
      <c r="AK9134">
        <v>0.59571832668256497</v>
      </c>
      <c r="AL9134">
        <v>97.529179465826104</v>
      </c>
      <c r="AM9134">
        <v>84.3032666831066</v>
      </c>
      <c r="AN9134">
        <v>1.00000002989972</v>
      </c>
    </row>
    <row r="9135" spans="1:40" x14ac:dyDescent="0.25">
      <c r="A9135" t="str">
        <f>"20190303154357570"</f>
        <v>20190303154357570</v>
      </c>
      <c r="B9135" t="str">
        <f>"1551599037559090"</f>
        <v>1551599037559090</v>
      </c>
      <c r="C9135" t="s">
        <v>40</v>
      </c>
      <c r="D9135">
        <v>5.2003729999999999</v>
      </c>
      <c r="E9135">
        <v>0.48809190000000002</v>
      </c>
      <c r="F9135" t="s">
        <v>42</v>
      </c>
      <c r="G9135">
        <v>-148.69479999999999</v>
      </c>
      <c r="H9135">
        <v>1.042157</v>
      </c>
      <c r="I9135">
        <v>138.27549999999999</v>
      </c>
      <c r="J9135">
        <v>-149.27160000000001</v>
      </c>
      <c r="K9135">
        <v>1.1194090000000001</v>
      </c>
      <c r="L9135">
        <v>138.30250000000001</v>
      </c>
      <c r="M9135">
        <v>0.99958939999999996</v>
      </c>
      <c r="N9135">
        <v>-1.3286009999999999E-2</v>
      </c>
      <c r="O9135">
        <v>2.539369E-2</v>
      </c>
      <c r="P9135">
        <v>0.987012</v>
      </c>
      <c r="Q9135">
        <v>-0.14305300000000001</v>
      </c>
      <c r="R9135">
        <v>-7.3099499999999998E-2</v>
      </c>
      <c r="S9135">
        <v>2.9915620000000001</v>
      </c>
      <c r="T9135">
        <v>-0.28637639999999998</v>
      </c>
      <c r="U9135">
        <v>-8.5357669999999997E-2</v>
      </c>
      <c r="V9135">
        <v>9.7774479999999997E-2</v>
      </c>
      <c r="W9135">
        <v>-0.1302325</v>
      </c>
      <c r="X9135">
        <v>0.98665069999999999</v>
      </c>
      <c r="Y9135">
        <v>5.3532900000000001E-2</v>
      </c>
      <c r="Z9135">
        <v>-5.0007860000000001E-3</v>
      </c>
      <c r="AA9135">
        <v>0.99855360000000004</v>
      </c>
      <c r="AB9135">
        <v>22</v>
      </c>
      <c r="AC9135">
        <v>0.57680000000001996</v>
      </c>
      <c r="AD9135">
        <v>-7.7252000000000098E-2</v>
      </c>
      <c r="AE9135">
        <v>-2.7000000000015199E-2</v>
      </c>
      <c r="AF9135">
        <v>4.0907477208262502E-2</v>
      </c>
      <c r="AG9135">
        <v>-7.7252000000000098E-2</v>
      </c>
      <c r="AH9135">
        <v>0.565801241154266</v>
      </c>
      <c r="AI9135">
        <v>97.754842751580796</v>
      </c>
      <c r="AJ9135">
        <v>85.864705794636706</v>
      </c>
      <c r="AK9135">
        <v>0.57251405020947099</v>
      </c>
      <c r="AL9135">
        <v>97.483027966224199</v>
      </c>
      <c r="AM9135">
        <v>84.340616811548202</v>
      </c>
      <c r="AN9135">
        <v>0.99999997840300403</v>
      </c>
    </row>
    <row r="9136" spans="1:40" x14ac:dyDescent="0.25">
      <c r="A9136" t="str">
        <f>"20190303154357592"</f>
        <v>20190303154357592</v>
      </c>
      <c r="B9136" t="str">
        <f>"1551599037589347"</f>
        <v>1551599037589347</v>
      </c>
      <c r="C9136" t="s">
        <v>40</v>
      </c>
      <c r="D9136">
        <v>5.1818980000000003</v>
      </c>
      <c r="E9136">
        <v>0.49206139999999998</v>
      </c>
      <c r="F9136" t="s">
        <v>42</v>
      </c>
      <c r="G9136">
        <v>-148.48759999999999</v>
      </c>
      <c r="H9136">
        <v>1.049215</v>
      </c>
      <c r="I9136">
        <v>138.26859999999999</v>
      </c>
      <c r="J9136">
        <v>-149.0538</v>
      </c>
      <c r="K9136">
        <v>1.1194660000000001</v>
      </c>
      <c r="L9136">
        <v>138.3058</v>
      </c>
      <c r="M9136">
        <v>0.99963349999999995</v>
      </c>
      <c r="N9136">
        <v>-1.3339810000000001E-2</v>
      </c>
      <c r="O9136">
        <v>2.3560560000000001E-2</v>
      </c>
      <c r="P9136">
        <v>0.98706930000000004</v>
      </c>
      <c r="Q9136">
        <v>-0.14222839999999901</v>
      </c>
      <c r="R9136">
        <v>-7.3928430000000003E-2</v>
      </c>
      <c r="S9136">
        <v>2.9911650000000001</v>
      </c>
      <c r="T9136">
        <v>-0.26781729999999998</v>
      </c>
      <c r="U9136">
        <v>-0.1285095</v>
      </c>
      <c r="V9136">
        <v>9.6813659999999996E-2</v>
      </c>
      <c r="W9136">
        <v>-0.1293398</v>
      </c>
      <c r="X9136">
        <v>0.98686289999999999</v>
      </c>
      <c r="Y9136">
        <v>6.6080849999999997E-2</v>
      </c>
      <c r="Z9136">
        <v>-5.1838910000000004E-3</v>
      </c>
      <c r="AA9136">
        <v>0.99780080000000004</v>
      </c>
      <c r="AB9136">
        <v>22</v>
      </c>
      <c r="AC9136">
        <v>0.56620000000000903</v>
      </c>
      <c r="AD9136">
        <v>-7.0250999999999994E-2</v>
      </c>
      <c r="AE9136">
        <v>-3.7200000000012702E-2</v>
      </c>
      <c r="AF9136">
        <v>4.9767987037397203E-2</v>
      </c>
      <c r="AG9136">
        <v>-7.0250999999999994E-2</v>
      </c>
      <c r="AH9136">
        <v>0.55663400509545402</v>
      </c>
      <c r="AI9136">
        <v>97.164805620054096</v>
      </c>
      <c r="AJ9136">
        <v>84.8908374293419</v>
      </c>
      <c r="AK9136">
        <v>0.56325258202991002</v>
      </c>
      <c r="AL9136">
        <v>97.4314433660319</v>
      </c>
      <c r="AM9136">
        <v>84.397072595937303</v>
      </c>
      <c r="AN9136">
        <v>1.00000002601152</v>
      </c>
    </row>
    <row r="9137" spans="1:40" x14ac:dyDescent="0.25">
      <c r="A9137" t="str">
        <f>"20190303154357615"</f>
        <v>20190303154357615</v>
      </c>
      <c r="B9137" t="str">
        <f>"1551599037608866"</f>
        <v>1551599037608866</v>
      </c>
      <c r="C9137" t="s">
        <v>40</v>
      </c>
      <c r="D9137">
        <v>5.2041690000000003</v>
      </c>
      <c r="E9137">
        <v>0.49338330000000002</v>
      </c>
      <c r="F9137" t="s">
        <v>42</v>
      </c>
      <c r="G9137">
        <v>-148.27940000000001</v>
      </c>
      <c r="H9137">
        <v>1.0536350000000001</v>
      </c>
      <c r="I9137">
        <v>138.2637</v>
      </c>
      <c r="J9137">
        <v>-148.8212</v>
      </c>
      <c r="K9137">
        <v>1.119515</v>
      </c>
      <c r="L9137">
        <v>138.309</v>
      </c>
      <c r="M9137">
        <v>0.99967629999999996</v>
      </c>
      <c r="N9137">
        <v>-1.3389409999999999E-2</v>
      </c>
      <c r="O9137">
        <v>2.1637989999999999E-2</v>
      </c>
      <c r="P9137">
        <v>0.98717630000000001</v>
      </c>
      <c r="Q9137">
        <v>-0.14074489999999901</v>
      </c>
      <c r="R9137">
        <v>-7.5329110000000005E-2</v>
      </c>
      <c r="S9137">
        <v>2.990494</v>
      </c>
      <c r="T9137">
        <v>-0.2542045</v>
      </c>
      <c r="U9137">
        <v>-0.16265869999999999</v>
      </c>
      <c r="V9137">
        <v>9.6335229999999994E-2</v>
      </c>
      <c r="W9137">
        <v>-0.1277954</v>
      </c>
      <c r="X9137">
        <v>0.98711090000000001</v>
      </c>
      <c r="Y9137">
        <v>7.5536939999999997E-2</v>
      </c>
      <c r="Z9137">
        <v>-5.2552569999999897E-3</v>
      </c>
      <c r="AA9137">
        <v>0.99712909999999999</v>
      </c>
      <c r="AB9137">
        <v>22</v>
      </c>
      <c r="AC9137">
        <v>0.54179999999999495</v>
      </c>
      <c r="AD9137">
        <v>-6.5879999999999897E-2</v>
      </c>
      <c r="AE9137">
        <v>-4.5299999999997398E-2</v>
      </c>
      <c r="AF9137">
        <v>5.6188904319142099E-2</v>
      </c>
      <c r="AG9137">
        <v>-6.5879999999999897E-2</v>
      </c>
      <c r="AH9137">
        <v>0.53286892252433504</v>
      </c>
      <c r="AI9137">
        <v>97.009394860623303</v>
      </c>
      <c r="AJ9137">
        <v>83.980632123616104</v>
      </c>
      <c r="AK9137">
        <v>0.53985799610715401</v>
      </c>
      <c r="AL9137">
        <v>97.342215165005996</v>
      </c>
      <c r="AM9137">
        <v>84.425977973174</v>
      </c>
      <c r="AN9137">
        <v>1.0000000348495599</v>
      </c>
    </row>
    <row r="9138" spans="1:40" x14ac:dyDescent="0.25">
      <c r="A9138" t="str">
        <f>"20190303154357638"</f>
        <v>20190303154357638</v>
      </c>
      <c r="B9138" t="str">
        <f>"1551599037629363"</f>
        <v>1551599037629363</v>
      </c>
      <c r="C9138" t="s">
        <v>40</v>
      </c>
      <c r="D9138">
        <v>5.1966029999999996</v>
      </c>
      <c r="E9138">
        <v>0.49454049999999999</v>
      </c>
      <c r="F9138" t="s">
        <v>41</v>
      </c>
      <c r="G9138">
        <v>-135.14779999999999</v>
      </c>
      <c r="H9138" s="1">
        <v>-2.4394170000000001E-6</v>
      </c>
      <c r="I9138">
        <v>137.4991</v>
      </c>
      <c r="J9138">
        <v>-148.60550000000001</v>
      </c>
      <c r="K9138">
        <v>1.11954</v>
      </c>
      <c r="L9138">
        <v>138.3116</v>
      </c>
      <c r="M9138">
        <v>0.99971239999999995</v>
      </c>
      <c r="N9138">
        <v>-1.342866E-2</v>
      </c>
      <c r="O9138">
        <v>1.9877220000000001E-2</v>
      </c>
      <c r="P9138">
        <v>0.98730329999999999</v>
      </c>
      <c r="Q9138">
        <v>-0.139074</v>
      </c>
      <c r="R9138">
        <v>-7.675419E-2</v>
      </c>
      <c r="S9138">
        <v>2.9905400000000002</v>
      </c>
      <c r="T9138">
        <v>-0.24485170000000001</v>
      </c>
      <c r="U9138">
        <v>-0.177139299999999</v>
      </c>
      <c r="V9138">
        <v>9.6035659999999995E-2</v>
      </c>
      <c r="W9138">
        <v>-0.12607839999999901</v>
      </c>
      <c r="X9138">
        <v>0.98736080000000004</v>
      </c>
      <c r="Y9138">
        <v>7.8610319999999997E-2</v>
      </c>
      <c r="Z9138">
        <v>-5.0964510000000001E-3</v>
      </c>
      <c r="AA9138">
        <v>0.99689240000000001</v>
      </c>
      <c r="AB9138">
        <v>22</v>
      </c>
      <c r="AC9138">
        <v>13.457700000000001</v>
      </c>
      <c r="AD9138">
        <v>-1.1195424394169999</v>
      </c>
      <c r="AE9138">
        <v>-0.8125</v>
      </c>
      <c r="AF9138">
        <v>1.0724700809443199</v>
      </c>
      <c r="AG9138">
        <v>-1.1195424394169999</v>
      </c>
      <c r="AH9138">
        <v>13.3468570885552</v>
      </c>
      <c r="AI9138">
        <v>94.779447092437294</v>
      </c>
      <c r="AJ9138">
        <v>85.405939548547906</v>
      </c>
      <c r="AK9138">
        <v>13.436597839129201</v>
      </c>
      <c r="AL9138">
        <v>97.2430364199287</v>
      </c>
      <c r="AM9138">
        <v>84.444600263392203</v>
      </c>
      <c r="AN9138">
        <v>0.99999998015741698</v>
      </c>
    </row>
    <row r="9139" spans="1:40" x14ac:dyDescent="0.25">
      <c r="A9139" t="str">
        <f>"20190303154357659"</f>
        <v>20190303154357659</v>
      </c>
      <c r="B9139" t="str">
        <f>"1551599037649389"</f>
        <v>1551599037649389</v>
      </c>
      <c r="C9139" t="s">
        <v>40</v>
      </c>
      <c r="D9139">
        <v>5.2062119999999998</v>
      </c>
      <c r="E9139">
        <v>0.49517159999999899</v>
      </c>
      <c r="F9139" t="s">
        <v>42</v>
      </c>
      <c r="G9139">
        <v>-147.68719999999999</v>
      </c>
      <c r="H9139">
        <v>1.0467139999999999</v>
      </c>
      <c r="I9139">
        <v>138.25299999999999</v>
      </c>
      <c r="J9139">
        <v>-148.38329999999999</v>
      </c>
      <c r="K9139">
        <v>1.1195520000000001</v>
      </c>
      <c r="L9139">
        <v>138.31389999999999</v>
      </c>
      <c r="M9139">
        <v>0.99974600000000002</v>
      </c>
      <c r="N9139">
        <v>-1.346341E-2</v>
      </c>
      <c r="O9139">
        <v>1.8073880000000001E-2</v>
      </c>
      <c r="P9139">
        <v>0.98733660000000001</v>
      </c>
      <c r="Q9139">
        <v>-0.13812279999999999</v>
      </c>
      <c r="R9139">
        <v>-7.8029989999999994E-2</v>
      </c>
      <c r="S9139">
        <v>2.9903719999999998</v>
      </c>
      <c r="T9139">
        <v>-0.2371422</v>
      </c>
      <c r="U9139">
        <v>-0.19047549999999999</v>
      </c>
      <c r="V9139">
        <v>9.5536869999999996E-2</v>
      </c>
      <c r="W9139">
        <v>-0.1250889</v>
      </c>
      <c r="X9139">
        <v>0.9875351</v>
      </c>
      <c r="Y9139">
        <v>8.125947E-2</v>
      </c>
      <c r="Z9139">
        <v>-4.9493100000000002E-3</v>
      </c>
      <c r="AA9139">
        <v>0.99668069999999997</v>
      </c>
      <c r="AB9139">
        <v>22</v>
      </c>
      <c r="AC9139">
        <v>0.69610000000000105</v>
      </c>
      <c r="AD9139">
        <v>-7.2838000000000097E-2</v>
      </c>
      <c r="AE9139">
        <v>-6.0900000000003701E-2</v>
      </c>
      <c r="AF9139">
        <v>7.2682664198573096E-2</v>
      </c>
      <c r="AG9139">
        <v>-7.2838000000000097E-2</v>
      </c>
      <c r="AH9139">
        <v>0.68741615572399295</v>
      </c>
      <c r="AI9139">
        <v>96.015158988342904</v>
      </c>
      <c r="AJ9139">
        <v>83.964362823082396</v>
      </c>
      <c r="AK9139">
        <v>0.69507489889173502</v>
      </c>
      <c r="AL9139">
        <v>97.185889309655295</v>
      </c>
      <c r="AM9139">
        <v>84.4742442202826</v>
      </c>
      <c r="AN9139">
        <v>1.0000000500823001</v>
      </c>
    </row>
    <row r="9140" spans="1:40" x14ac:dyDescent="0.25">
      <c r="A9140" t="str">
        <f>"20190303154357685"</f>
        <v>20190303154357685</v>
      </c>
      <c r="B9140" t="str">
        <f>"1551599037678669"</f>
        <v>1551599037678669</v>
      </c>
      <c r="C9140" t="s">
        <v>40</v>
      </c>
      <c r="D9140">
        <v>5.2598919999999998</v>
      </c>
      <c r="E9140">
        <v>0.49611719999999998</v>
      </c>
      <c r="F9140" t="s">
        <v>42</v>
      </c>
      <c r="G9140">
        <v>-147.4847</v>
      </c>
      <c r="H9140">
        <v>1.04965</v>
      </c>
      <c r="I9140">
        <v>138.25389999999999</v>
      </c>
      <c r="J9140">
        <v>-148.12370000000001</v>
      </c>
      <c r="K9140">
        <v>1.119556</v>
      </c>
      <c r="L9140">
        <v>138.316</v>
      </c>
      <c r="M9140">
        <v>0.99978149999999999</v>
      </c>
      <c r="N9140">
        <v>-1.3497779999999999E-2</v>
      </c>
      <c r="O9140">
        <v>1.59639E-2</v>
      </c>
      <c r="P9140">
        <v>0.98720260000000004</v>
      </c>
      <c r="Q9140">
        <v>-0.13816199999999901</v>
      </c>
      <c r="R9140">
        <v>-7.9639059999999998E-2</v>
      </c>
      <c r="S9140">
        <v>2.990173</v>
      </c>
      <c r="T9140">
        <v>-0.23264190000000001</v>
      </c>
      <c r="U9140">
        <v>-0.19935610000000001</v>
      </c>
      <c r="V9140">
        <v>9.506059E-2</v>
      </c>
      <c r="W9140">
        <v>-0.12509400000000001</v>
      </c>
      <c r="X9140">
        <v>0.98758040000000002</v>
      </c>
      <c r="Y9140">
        <v>8.2121130000000001E-2</v>
      </c>
      <c r="Z9140">
        <v>-4.7660539999999996E-3</v>
      </c>
      <c r="AA9140">
        <v>0.99661089999999997</v>
      </c>
      <c r="AB9140">
        <v>22</v>
      </c>
      <c r="AC9140">
        <v>0.63900000000001</v>
      </c>
      <c r="AD9140">
        <v>-6.9905999999999996E-2</v>
      </c>
      <c r="AE9140">
        <v>-6.2100000000015101E-2</v>
      </c>
      <c r="AF9140">
        <v>7.1446859436422205E-2</v>
      </c>
      <c r="AG9140">
        <v>-6.9905999999999996E-2</v>
      </c>
      <c r="AH9140">
        <v>0.630452352720556</v>
      </c>
      <c r="AI9140">
        <v>96.287321344737407</v>
      </c>
      <c r="AJ9140">
        <v>83.534463350739898</v>
      </c>
      <c r="AK9140">
        <v>0.63832724492239301</v>
      </c>
      <c r="AL9140">
        <v>97.186183936608202</v>
      </c>
      <c r="AM9140">
        <v>84.501873200804297</v>
      </c>
      <c r="AN9140">
        <v>1.00000003553565</v>
      </c>
    </row>
    <row r="9141" spans="1:40" x14ac:dyDescent="0.25">
      <c r="A9141" t="str">
        <f>"20190303154357705"</f>
        <v>20190303154357705</v>
      </c>
      <c r="B9141" t="str">
        <f>"1551599037699164"</f>
        <v>1551599037699164</v>
      </c>
      <c r="C9141" t="s">
        <v>40</v>
      </c>
      <c r="D9141">
        <v>5.217079</v>
      </c>
      <c r="E9141">
        <v>0.4965311</v>
      </c>
      <c r="F9141" t="s">
        <v>42</v>
      </c>
      <c r="G9141">
        <v>-147.2715</v>
      </c>
      <c r="H9141">
        <v>1.053348</v>
      </c>
      <c r="I9141">
        <v>138.25559999999999</v>
      </c>
      <c r="J9141">
        <v>-147.92140000000001</v>
      </c>
      <c r="K9141">
        <v>1.119556</v>
      </c>
      <c r="L9141">
        <v>138.31729999999999</v>
      </c>
      <c r="M9141">
        <v>0.99980619999999998</v>
      </c>
      <c r="N9141">
        <v>-1.352068E-2</v>
      </c>
      <c r="O9141">
        <v>1.4311320000000001E-2</v>
      </c>
      <c r="P9141">
        <v>0.98721639999999999</v>
      </c>
      <c r="Q9141">
        <v>-0.13767789999999999</v>
      </c>
      <c r="R9141">
        <v>-8.0303979999999997E-2</v>
      </c>
      <c r="S9141">
        <v>2.9892880000000002</v>
      </c>
      <c r="T9141">
        <v>-0.232265</v>
      </c>
      <c r="U9141">
        <v>-0.21171570000000001</v>
      </c>
      <c r="V9141">
        <v>9.4095020000000001E-2</v>
      </c>
      <c r="W9141">
        <v>-0.1245846</v>
      </c>
      <c r="X9141">
        <v>0.98773719999999998</v>
      </c>
      <c r="Y9141">
        <v>8.4589940000000002E-2</v>
      </c>
      <c r="Z9141">
        <v>-4.7668800000000002E-3</v>
      </c>
      <c r="AA9141">
        <v>0.99640450000000003</v>
      </c>
      <c r="AB9141">
        <v>22</v>
      </c>
      <c r="AC9141">
        <v>0.64990000000000203</v>
      </c>
      <c r="AD9141">
        <v>-6.6208000000000003E-2</v>
      </c>
      <c r="AE9141">
        <v>-6.1700000000001802E-2</v>
      </c>
      <c r="AF9141">
        <v>7.0272658079490305E-2</v>
      </c>
      <c r="AG9141">
        <v>-6.6208000000000003E-2</v>
      </c>
      <c r="AH9141">
        <v>0.64234343209665301</v>
      </c>
      <c r="AI9141">
        <v>95.850182430988795</v>
      </c>
      <c r="AJ9141">
        <v>83.756644932401002</v>
      </c>
      <c r="AK9141">
        <v>0.64955895074678505</v>
      </c>
      <c r="AL9141">
        <v>97.156767698240998</v>
      </c>
      <c r="AM9141">
        <v>84.558241724862398</v>
      </c>
      <c r="AN9141">
        <v>0.99999998580490002</v>
      </c>
    </row>
    <row r="9142" spans="1:40" x14ac:dyDescent="0.25">
      <c r="A9142" t="str">
        <f>"20190303154357727"</f>
        <v>20190303154357727</v>
      </c>
      <c r="B9142" t="str">
        <f>"1551599037718685"</f>
        <v>1551599037718685</v>
      </c>
      <c r="C9142" t="s">
        <v>40</v>
      </c>
      <c r="D9142">
        <v>5.2366999999999999</v>
      </c>
      <c r="E9142">
        <v>0.4970038</v>
      </c>
      <c r="F9142" t="s">
        <v>41</v>
      </c>
      <c r="G9142">
        <v>-133.52269999999999</v>
      </c>
      <c r="H9142" s="1">
        <v>-3.1769329999999999E-6</v>
      </c>
      <c r="I9142">
        <v>137.27160000000001</v>
      </c>
      <c r="J9142">
        <v>-147.70699999999999</v>
      </c>
      <c r="K9142">
        <v>1.1195569999999999</v>
      </c>
      <c r="L9142">
        <v>138.31829999999999</v>
      </c>
      <c r="M9142">
        <v>0.99982959999999999</v>
      </c>
      <c r="N9142">
        <v>-1.3541640000000001E-2</v>
      </c>
      <c r="O9142">
        <v>1.254622E-2</v>
      </c>
      <c r="P9142">
        <v>0.98725249999999998</v>
      </c>
      <c r="Q9142">
        <v>-0.13673569999999999</v>
      </c>
      <c r="R9142">
        <v>-8.1461039999999998E-2</v>
      </c>
      <c r="S9142">
        <v>2.988785</v>
      </c>
      <c r="T9142">
        <v>-0.23239000000000001</v>
      </c>
      <c r="U9142">
        <v>-0.21705630000000001</v>
      </c>
      <c r="V9142">
        <v>9.3511590000000006E-2</v>
      </c>
      <c r="W9142">
        <v>-0.1236197</v>
      </c>
      <c r="X9142">
        <v>0.98791379999999995</v>
      </c>
      <c r="Y9142">
        <v>8.4617150000000002E-2</v>
      </c>
      <c r="Z9142">
        <v>-4.6585330000000003E-3</v>
      </c>
      <c r="AA9142">
        <v>0.99640260000000003</v>
      </c>
      <c r="AB9142">
        <v>22</v>
      </c>
      <c r="AC9142">
        <v>14.1843</v>
      </c>
      <c r="AD9142">
        <v>-1.1195601769329999</v>
      </c>
      <c r="AE9142">
        <v>-1.04669999999998</v>
      </c>
      <c r="AF9142">
        <v>1.2170522535102899</v>
      </c>
      <c r="AG9142">
        <v>-1.1195601769329999</v>
      </c>
      <c r="AH9142">
        <v>14.0827912424294</v>
      </c>
      <c r="AI9142">
        <v>94.528557579791595</v>
      </c>
      <c r="AJ9142">
        <v>85.060700009927004</v>
      </c>
      <c r="AK9142">
        <v>14.179550075915399</v>
      </c>
      <c r="AL9142">
        <v>97.101052456780394</v>
      </c>
      <c r="AM9142">
        <v>84.592743357636493</v>
      </c>
      <c r="AN9142">
        <v>0.99999996196142804</v>
      </c>
    </row>
    <row r="9143" spans="1:40" x14ac:dyDescent="0.25">
      <c r="A9143" t="str">
        <f>"20190303154357748"</f>
        <v>20190303154357748</v>
      </c>
      <c r="B9143" t="str">
        <f>"1551599037739180"</f>
        <v>1551599037739180</v>
      </c>
      <c r="C9143" t="s">
        <v>40</v>
      </c>
      <c r="D9143">
        <v>5.2291439999999998</v>
      </c>
      <c r="E9143">
        <v>0.497421</v>
      </c>
      <c r="F9143" t="s">
        <v>41</v>
      </c>
      <c r="G9143">
        <v>-133.22489999999999</v>
      </c>
      <c r="H9143" s="1">
        <v>-3.311677E-6</v>
      </c>
      <c r="I9143">
        <v>137.23240000000001</v>
      </c>
      <c r="J9143">
        <v>-147.48759999999999</v>
      </c>
      <c r="K9143">
        <v>1.1195619999999999</v>
      </c>
      <c r="L9143">
        <v>138.31899999999999</v>
      </c>
      <c r="M9143">
        <v>0.99985060000000003</v>
      </c>
      <c r="N9143">
        <v>-1.3560010000000001E-2</v>
      </c>
      <c r="O9143">
        <v>1.072706E-2</v>
      </c>
      <c r="P9143">
        <v>0.9871953</v>
      </c>
      <c r="Q9143">
        <v>-0.1360963</v>
      </c>
      <c r="R9143">
        <v>-8.3208560000000001E-2</v>
      </c>
      <c r="S9143">
        <v>2.988251</v>
      </c>
      <c r="T9143">
        <v>-0.2310102</v>
      </c>
      <c r="U9143">
        <v>-0.22407530000000001</v>
      </c>
      <c r="V9143">
        <v>9.3463669999999999E-2</v>
      </c>
      <c r="W9143">
        <v>-0.1229624</v>
      </c>
      <c r="X9143">
        <v>0.9880004</v>
      </c>
      <c r="Y9143">
        <v>8.5150240000000002E-2</v>
      </c>
      <c r="Z9143">
        <v>-4.5428680000000003E-3</v>
      </c>
      <c r="AA9143">
        <v>0.99635770000000001</v>
      </c>
      <c r="AB9143">
        <v>22</v>
      </c>
      <c r="AC9143">
        <v>14.262699999999899</v>
      </c>
      <c r="AD9143">
        <v>-1.1195653116769999</v>
      </c>
      <c r="AE9143">
        <v>-1.08659999999997</v>
      </c>
      <c r="AF9143">
        <v>1.23200103845713</v>
      </c>
      <c r="AG9143">
        <v>-1.1195653116769999</v>
      </c>
      <c r="AH9143">
        <v>14.1634558044657</v>
      </c>
      <c r="AI9143">
        <v>94.502675843651502</v>
      </c>
      <c r="AJ9143">
        <v>85.028668602862496</v>
      </c>
      <c r="AK9143">
        <v>14.260951348732799</v>
      </c>
      <c r="AL9143">
        <v>97.063102131425197</v>
      </c>
      <c r="AM9143">
        <v>84.595968803988896</v>
      </c>
      <c r="AN9143">
        <v>0.99999999991189403</v>
      </c>
    </row>
    <row r="9144" spans="1:40" x14ac:dyDescent="0.25">
      <c r="A9144" t="str">
        <f>"20190303154357772"</f>
        <v>20190303154357772</v>
      </c>
      <c r="B9144" t="str">
        <f>"1551599037769436"</f>
        <v>1551599037769436</v>
      </c>
      <c r="C9144" t="s">
        <v>40</v>
      </c>
      <c r="D9144">
        <v>5.2546039999999996</v>
      </c>
      <c r="E9144">
        <v>0.4978882</v>
      </c>
      <c r="F9144" t="s">
        <v>41</v>
      </c>
      <c r="G9144">
        <v>-132.90520000000001</v>
      </c>
      <c r="H9144" s="1">
        <v>-3.4574280000000001E-6</v>
      </c>
      <c r="I9144">
        <v>137.18389999999999</v>
      </c>
      <c r="J9144">
        <v>-147.26519999999999</v>
      </c>
      <c r="K9144">
        <v>1.1195660000000001</v>
      </c>
      <c r="L9144">
        <v>138.3192</v>
      </c>
      <c r="M9144">
        <v>0.99986850000000005</v>
      </c>
      <c r="N9144">
        <v>-1.357587E-2</v>
      </c>
      <c r="O9144">
        <v>8.8742100000000004E-3</v>
      </c>
      <c r="P9144">
        <v>0.98707339999999999</v>
      </c>
      <c r="Q9144">
        <v>-0.13583809999999999</v>
      </c>
      <c r="R9144">
        <v>-8.5056359999999998E-2</v>
      </c>
      <c r="S9144">
        <v>2.9876860000000001</v>
      </c>
      <c r="T9144">
        <v>-0.2293789</v>
      </c>
      <c r="U9144">
        <v>-0.2325439</v>
      </c>
      <c r="V9144">
        <v>9.3481610000000007E-2</v>
      </c>
      <c r="W9144">
        <v>-0.1226894</v>
      </c>
      <c r="X9144">
        <v>0.98803260000000004</v>
      </c>
      <c r="Y9144">
        <v>8.6130159999999997E-2</v>
      </c>
      <c r="Z9144">
        <v>-4.4422519999999998E-3</v>
      </c>
      <c r="AA9144">
        <v>0.99627399999999999</v>
      </c>
      <c r="AB9144">
        <v>22</v>
      </c>
      <c r="AC9144">
        <v>14.3599999999999</v>
      </c>
      <c r="AD9144">
        <v>-1.119569457428</v>
      </c>
      <c r="AE9144">
        <v>-1.1353</v>
      </c>
      <c r="AF9144">
        <v>1.2551188894595999</v>
      </c>
      <c r="AG9144">
        <v>-1.119569457428</v>
      </c>
      <c r="AH9144">
        <v>14.263198954767599</v>
      </c>
      <c r="AI9144">
        <v>94.470941587336696</v>
      </c>
      <c r="AJ9144">
        <v>84.971096302948894</v>
      </c>
      <c r="AK9144">
        <v>14.362019482648201</v>
      </c>
      <c r="AL9144">
        <v>97.047341330732905</v>
      </c>
      <c r="AM9144">
        <v>84.595112770967901</v>
      </c>
      <c r="AN9144">
        <v>0.99999995947165499</v>
      </c>
    </row>
    <row r="9145" spans="1:40" x14ac:dyDescent="0.25">
      <c r="A9145" t="str">
        <f>"20190303154357793"</f>
        <v>20190303154357793</v>
      </c>
      <c r="B9145" t="str">
        <f>"1551599037788973"</f>
        <v>1551599037788973</v>
      </c>
      <c r="C9145" t="s">
        <v>40</v>
      </c>
      <c r="D9145">
        <v>5.2081759999999999</v>
      </c>
      <c r="E9145">
        <v>0.4980522</v>
      </c>
      <c r="F9145" t="s">
        <v>41</v>
      </c>
      <c r="G9145">
        <v>-132.79239999999999</v>
      </c>
      <c r="H9145" s="1">
        <v>-3.5121709999999999E-6</v>
      </c>
      <c r="I9145">
        <v>137.148</v>
      </c>
      <c r="J9145">
        <v>-147.04499999999999</v>
      </c>
      <c r="K9145">
        <v>1.1195729999999999</v>
      </c>
      <c r="L9145">
        <v>138.31899999999999</v>
      </c>
      <c r="M9145">
        <v>0.99988299999999997</v>
      </c>
      <c r="N9145">
        <v>-1.358911E-2</v>
      </c>
      <c r="O9145">
        <v>7.0329859999999998E-3</v>
      </c>
      <c r="P9145">
        <v>0.98695440000000001</v>
      </c>
      <c r="Q9145">
        <v>-0.13523750000000001</v>
      </c>
      <c r="R9145">
        <v>-8.7360729999999998E-2</v>
      </c>
      <c r="S9145">
        <v>2.9866489999999999</v>
      </c>
      <c r="T9145">
        <v>-0.23103670000000001</v>
      </c>
      <c r="U9145">
        <v>-0.24168400000000001</v>
      </c>
      <c r="V9145">
        <v>9.3969490000000003E-2</v>
      </c>
      <c r="W9145">
        <v>-0.1220774</v>
      </c>
      <c r="X9145">
        <v>0.98806210000000005</v>
      </c>
      <c r="Y9145">
        <v>8.7347110000000006E-2</v>
      </c>
      <c r="Z9145">
        <v>-4.4105209999999997E-3</v>
      </c>
      <c r="AA9145">
        <v>0.99616819999999895</v>
      </c>
      <c r="AB9145">
        <v>22</v>
      </c>
      <c r="AC9145">
        <v>14.252599999999999</v>
      </c>
      <c r="AD9145">
        <v>-1.119576512171</v>
      </c>
      <c r="AE9145">
        <v>-1.17099999999999</v>
      </c>
      <c r="AF9145">
        <v>1.26347464150252</v>
      </c>
      <c r="AG9145">
        <v>-1.119576512171</v>
      </c>
      <c r="AH9145">
        <v>14.157239744282</v>
      </c>
      <c r="AI9145">
        <v>94.503802664856494</v>
      </c>
      <c r="AJ9145">
        <v>84.900101762972</v>
      </c>
      <c r="AK9145">
        <v>14.2575333390248</v>
      </c>
      <c r="AL9145">
        <v>97.012010900024507</v>
      </c>
      <c r="AM9145">
        <v>84.567234279048094</v>
      </c>
      <c r="AN9145">
        <v>0.99999993504901297</v>
      </c>
    </row>
    <row r="9146" spans="1:40" x14ac:dyDescent="0.25">
      <c r="A9146" t="str">
        <f>"20190303154357817"</f>
        <v>20190303154357817</v>
      </c>
      <c r="B9146" t="str">
        <f>"1551599037809452"</f>
        <v>1551599037809452</v>
      </c>
      <c r="C9146" t="s">
        <v>40</v>
      </c>
      <c r="D9146">
        <v>5.2638239999999996</v>
      </c>
      <c r="E9146">
        <v>0.49818469999999998</v>
      </c>
      <c r="F9146" t="s">
        <v>41</v>
      </c>
      <c r="G9146">
        <v>-132.64230000000001</v>
      </c>
      <c r="H9146" s="1">
        <v>-3.5825640000000001E-6</v>
      </c>
      <c r="I9146">
        <v>137.11420000000001</v>
      </c>
      <c r="J9146">
        <v>-146.81700000000001</v>
      </c>
      <c r="K9146">
        <v>1.11958</v>
      </c>
      <c r="L9146">
        <v>138.3184</v>
      </c>
      <c r="M9146">
        <v>0.99989450000000002</v>
      </c>
      <c r="N9146">
        <v>-1.3600569999999999E-2</v>
      </c>
      <c r="O9146">
        <v>5.1253499999999999E-3</v>
      </c>
      <c r="P9146">
        <v>0.98685069999999997</v>
      </c>
      <c r="Q9146">
        <v>-0.13442989999999999</v>
      </c>
      <c r="R9146">
        <v>-8.9747750000000001E-2</v>
      </c>
      <c r="S9146">
        <v>2.9857480000000001</v>
      </c>
      <c r="T9146">
        <v>-0.23209369999999999</v>
      </c>
      <c r="U9146">
        <v>-0.2497559</v>
      </c>
      <c r="V9146">
        <v>9.4475589999999998E-2</v>
      </c>
      <c r="W9146">
        <v>-0.12125950000000001</v>
      </c>
      <c r="X9146">
        <v>0.98811459999999995</v>
      </c>
      <c r="Y9146">
        <v>8.8143959999999993E-2</v>
      </c>
      <c r="Z9146">
        <v>-4.3439639999999996E-3</v>
      </c>
      <c r="AA9146">
        <v>0.99609829999999999</v>
      </c>
      <c r="AB9146">
        <v>22</v>
      </c>
      <c r="AC9146">
        <v>14.1747</v>
      </c>
      <c r="AD9146">
        <v>-1.1195835825639999</v>
      </c>
      <c r="AE9146">
        <v>-1.20419999999998</v>
      </c>
      <c r="AF9146">
        <v>1.26898128353008</v>
      </c>
      <c r="AG9146">
        <v>-1.1195835825639999</v>
      </c>
      <c r="AH9146">
        <v>14.0811246002306</v>
      </c>
      <c r="AI9146">
        <v>94.527724951900296</v>
      </c>
      <c r="AJ9146">
        <v>84.8504542773276</v>
      </c>
      <c r="AK9146">
        <v>14.1824486920812</v>
      </c>
      <c r="AL9146">
        <v>96.964797586470993</v>
      </c>
      <c r="AM9146">
        <v>84.538439451482603</v>
      </c>
      <c r="AN9146">
        <v>0.99999998308962801</v>
      </c>
    </row>
    <row r="9147" spans="1:40" x14ac:dyDescent="0.25">
      <c r="A9147" t="str">
        <f>"20190303154357839"</f>
        <v>20190303154357839</v>
      </c>
      <c r="B9147" t="str">
        <f>"1551599037828973"</f>
        <v>1551599037828973</v>
      </c>
      <c r="C9147" t="s">
        <v>40</v>
      </c>
      <c r="D9147">
        <v>5.2339440000000002</v>
      </c>
      <c r="E9147">
        <v>0.4984092</v>
      </c>
      <c r="F9147" t="s">
        <v>42</v>
      </c>
      <c r="G9147">
        <v>-145.89599999999999</v>
      </c>
      <c r="H9147">
        <v>1.047928</v>
      </c>
      <c r="I9147">
        <v>138.2389</v>
      </c>
      <c r="J9147">
        <v>-146.5899</v>
      </c>
      <c r="K9147">
        <v>1.119588</v>
      </c>
      <c r="L9147">
        <v>138.31729999999999</v>
      </c>
      <c r="M9147">
        <v>0.99990239999999997</v>
      </c>
      <c r="N9147">
        <v>-1.3609939999999999E-2</v>
      </c>
      <c r="O9147">
        <v>3.2245569999999999E-3</v>
      </c>
      <c r="P9147">
        <v>0.98671319999999996</v>
      </c>
      <c r="Q9147">
        <v>-0.133715</v>
      </c>
      <c r="R9147">
        <v>-9.2294310000000004E-2</v>
      </c>
      <c r="S9147">
        <v>2.9849239999999999</v>
      </c>
      <c r="T9147">
        <v>-0.23220679999999999</v>
      </c>
      <c r="U9147">
        <v>-0.2576599</v>
      </c>
      <c r="V9147">
        <v>9.5148129999999997E-2</v>
      </c>
      <c r="W9147">
        <v>-0.1205368</v>
      </c>
      <c r="X9147">
        <v>0.98813850000000003</v>
      </c>
      <c r="Y9147">
        <v>8.8892819999999997E-2</v>
      </c>
      <c r="Z9147">
        <v>-4.2594290000000003E-3</v>
      </c>
      <c r="AA9147">
        <v>0.99603209999999998</v>
      </c>
      <c r="AB9147">
        <v>22</v>
      </c>
      <c r="AC9147">
        <v>0.69389999999998497</v>
      </c>
      <c r="AD9147">
        <v>-7.1660000000000001E-2</v>
      </c>
      <c r="AE9147">
        <v>-7.8399999999987799E-2</v>
      </c>
      <c r="AF9147">
        <v>7.9797013011196599E-2</v>
      </c>
      <c r="AG9147">
        <v>-7.1660000000000001E-2</v>
      </c>
      <c r="AH9147">
        <v>0.68641523534587501</v>
      </c>
      <c r="AI9147">
        <v>95.920358701787805</v>
      </c>
      <c r="AJ9147">
        <v>83.369026465212698</v>
      </c>
      <c r="AK9147">
        <v>0.69474354563424401</v>
      </c>
      <c r="AL9147">
        <v>96.923083897018202</v>
      </c>
      <c r="AM9147">
        <v>84.499930234653505</v>
      </c>
      <c r="AN9147">
        <v>0.99999999098949299</v>
      </c>
    </row>
    <row r="9148" spans="1:40" x14ac:dyDescent="0.25">
      <c r="A9148" t="str">
        <f>"20190303154357984"</f>
        <v>20190303154357984</v>
      </c>
      <c r="B9148" t="str">
        <f>"1551599037979276"</f>
        <v>1551599037979276</v>
      </c>
      <c r="C9148" t="s">
        <v>40</v>
      </c>
      <c r="D9148">
        <v>5.7368410000000001</v>
      </c>
      <c r="E9148">
        <v>0.4846029</v>
      </c>
      <c r="F9148" t="s">
        <v>42</v>
      </c>
      <c r="G9148">
        <v>-144.5941</v>
      </c>
      <c r="H9148">
        <v>0.89380820000000005</v>
      </c>
      <c r="I9148">
        <v>138.25899999999999</v>
      </c>
      <c r="J9148">
        <v>-145.17019999999999</v>
      </c>
      <c r="K9148">
        <v>1.1196619999999999</v>
      </c>
      <c r="L9148">
        <v>138.30080000000001</v>
      </c>
      <c r="M9148">
        <v>0.99986989999999998</v>
      </c>
      <c r="N9148">
        <v>-1.3639439999999999E-2</v>
      </c>
      <c r="O9148">
        <v>-8.6262230000000006E-3</v>
      </c>
      <c r="P9148">
        <v>0.98700580000000004</v>
      </c>
      <c r="Q9148">
        <v>-0.1273589</v>
      </c>
      <c r="R9148">
        <v>-9.7978629999999997E-2</v>
      </c>
      <c r="S9148">
        <v>2.9156650000000002</v>
      </c>
      <c r="T9148">
        <v>-0.82820839999999996</v>
      </c>
      <c r="U9148">
        <v>-0.1667023</v>
      </c>
      <c r="V9148">
        <v>8.9155010000000007E-2</v>
      </c>
      <c r="W9148">
        <v>-0.1141128</v>
      </c>
      <c r="X9148">
        <v>0.98945930000000004</v>
      </c>
      <c r="Y9148">
        <v>4.6835420000000003E-2</v>
      </c>
      <c r="Z9148">
        <v>-4.5586659999999899E-3</v>
      </c>
      <c r="AA9148">
        <v>0.99889220000000001</v>
      </c>
      <c r="AB9148">
        <v>22</v>
      </c>
      <c r="AC9148">
        <v>0.57609999999999595</v>
      </c>
      <c r="AD9148">
        <v>-0.22585379999999999</v>
      </c>
      <c r="AE9148">
        <v>-4.1800000000023298E-2</v>
      </c>
      <c r="AF9148">
        <v>3.1944435219146E-2</v>
      </c>
      <c r="AG9148">
        <v>-0.22585379999999999</v>
      </c>
      <c r="AH9148">
        <v>0.49999500069267699</v>
      </c>
      <c r="AI9148">
        <v>114.265519030213</v>
      </c>
      <c r="AJ9148">
        <v>86.344369298220002</v>
      </c>
      <c r="AK9148">
        <v>0.54956836393080399</v>
      </c>
      <c r="AL9148">
        <v>96.552455193039805</v>
      </c>
      <c r="AM9148">
        <v>84.8512804295151</v>
      </c>
      <c r="AN9148">
        <v>1.0000000266442099</v>
      </c>
    </row>
    <row r="9149" spans="1:40" x14ac:dyDescent="0.25">
      <c r="A9149" t="str">
        <f>"20190303154358005"</f>
        <v>20190303154358005</v>
      </c>
      <c r="B9149" t="str">
        <f>"1551599037998797"</f>
        <v>1551599037998797</v>
      </c>
      <c r="C9149" t="s">
        <v>40</v>
      </c>
      <c r="D9149">
        <v>5.6293959999999998</v>
      </c>
      <c r="E9149">
        <v>0.49286000000000002</v>
      </c>
      <c r="F9149" t="s">
        <v>42</v>
      </c>
      <c r="G9149">
        <v>-144.39519999999999</v>
      </c>
      <c r="H9149">
        <v>0.90029110000000001</v>
      </c>
      <c r="I9149">
        <v>138.25640000000001</v>
      </c>
      <c r="J9149">
        <v>-144.95429999999999</v>
      </c>
      <c r="K9149">
        <v>1.119678</v>
      </c>
      <c r="L9149">
        <v>138.29679999999999</v>
      </c>
      <c r="M9149">
        <v>0.99985270000000004</v>
      </c>
      <c r="N9149">
        <v>-1.3640899999999999E-2</v>
      </c>
      <c r="O9149">
        <v>-1.042013E-2</v>
      </c>
      <c r="P9149">
        <v>0.98710659999999895</v>
      </c>
      <c r="Q9149">
        <v>-0.12609569999999901</v>
      </c>
      <c r="R9149">
        <v>-9.8593630000000002E-2</v>
      </c>
      <c r="S9149">
        <v>2.9164430000000001</v>
      </c>
      <c r="T9149">
        <v>-0.82548180000000004</v>
      </c>
      <c r="U9149">
        <v>-0.16667179999999901</v>
      </c>
      <c r="V9149">
        <v>8.8001590000000005E-2</v>
      </c>
      <c r="W9149">
        <v>-0.1128402</v>
      </c>
      <c r="X9149">
        <v>0.98970840000000004</v>
      </c>
      <c r="Y9149">
        <v>4.5161140000000002E-2</v>
      </c>
      <c r="Z9149">
        <v>-3.8272309999999999E-3</v>
      </c>
      <c r="AA9149">
        <v>0.99897239999999998</v>
      </c>
      <c r="AB9149">
        <v>22</v>
      </c>
      <c r="AC9149">
        <v>0.55910000000000004</v>
      </c>
      <c r="AD9149">
        <v>-0.2193869</v>
      </c>
      <c r="AE9149">
        <v>-4.0399999999976899E-2</v>
      </c>
      <c r="AF9149">
        <v>2.9979357681435202E-2</v>
      </c>
      <c r="AG9149">
        <v>-0.2193869</v>
      </c>
      <c r="AH9149">
        <v>0.48517517689519002</v>
      </c>
      <c r="AI9149">
        <v>114.290609934239</v>
      </c>
      <c r="AJ9149">
        <v>86.464144008456401</v>
      </c>
      <c r="AK9149">
        <v>0.533314472008664</v>
      </c>
      <c r="AL9149">
        <v>96.479067014022903</v>
      </c>
      <c r="AM9149">
        <v>84.918812031429795</v>
      </c>
      <c r="AN9149">
        <v>0.99999995380456297</v>
      </c>
    </row>
    <row r="9150" spans="1:40" x14ac:dyDescent="0.25">
      <c r="A9150" t="str">
        <f>"20190303154358028"</f>
        <v>20190303154358028</v>
      </c>
      <c r="B9150" t="str">
        <f>"1551599038019293"</f>
        <v>1551599038019293</v>
      </c>
      <c r="C9150" t="s">
        <v>40</v>
      </c>
      <c r="D9150">
        <v>5.4854219999999998</v>
      </c>
      <c r="E9150">
        <v>0.49313240000000003</v>
      </c>
      <c r="F9150" t="s">
        <v>41</v>
      </c>
      <c r="G9150">
        <v>-127.5288</v>
      </c>
      <c r="H9150" s="1">
        <v>-1.5524679999999999E-6</v>
      </c>
      <c r="I9150">
        <v>136.88980000000001</v>
      </c>
      <c r="J9150">
        <v>-144.73670000000001</v>
      </c>
      <c r="K9150">
        <v>1.1196980000000001</v>
      </c>
      <c r="L9150">
        <v>138.29239999999999</v>
      </c>
      <c r="M9150">
        <v>0.99983230000000001</v>
      </c>
      <c r="N9150">
        <v>-1.3641729999999999E-2</v>
      </c>
      <c r="O9150">
        <v>-1.2219229999999999E-2</v>
      </c>
      <c r="P9150">
        <v>0.98720350000000001</v>
      </c>
      <c r="Q9150">
        <v>-0.12496740000000001</v>
      </c>
      <c r="R9150">
        <v>-9.9060129999999996E-2</v>
      </c>
      <c r="S9150">
        <v>2.9905240000000002</v>
      </c>
      <c r="T9150">
        <v>-0.19215679999999999</v>
      </c>
      <c r="U9150">
        <v>-0.2414703</v>
      </c>
      <c r="V9150">
        <v>8.6694099999999996E-2</v>
      </c>
      <c r="W9150">
        <v>-0.1117023</v>
      </c>
      <c r="X9150">
        <v>0.98995290000000002</v>
      </c>
      <c r="Y9150">
        <v>6.814257E-2</v>
      </c>
      <c r="Z9150">
        <v>-2.0329649999999999E-3</v>
      </c>
      <c r="AA9150">
        <v>0.99767349999999999</v>
      </c>
      <c r="AB9150">
        <v>22</v>
      </c>
      <c r="AC9150">
        <v>17.207899999999999</v>
      </c>
      <c r="AD9150">
        <v>-1.11969955246799</v>
      </c>
      <c r="AE9150">
        <v>-1.4025999999999701</v>
      </c>
      <c r="AF9150">
        <v>1.18721496229817</v>
      </c>
      <c r="AG9150">
        <v>-1.11969955246799</v>
      </c>
      <c r="AH9150">
        <v>17.1516152878832</v>
      </c>
      <c r="AI9150">
        <v>93.726218324783503</v>
      </c>
      <c r="AJ9150">
        <v>86.040368244984506</v>
      </c>
      <c r="AK9150">
        <v>17.229077556214399</v>
      </c>
      <c r="AL9150">
        <v>96.413454970280398</v>
      </c>
      <c r="AM9150">
        <v>84.995149782281899</v>
      </c>
      <c r="AN9150">
        <v>1.0000000075092501</v>
      </c>
    </row>
    <row r="9151" spans="1:40" x14ac:dyDescent="0.25">
      <c r="A9151" t="str">
        <f>"20190303154358051"</f>
        <v>20190303154358051</v>
      </c>
      <c r="B9151" t="str">
        <f>"1551599038038813"</f>
        <v>1551599038038813</v>
      </c>
      <c r="C9151" t="s">
        <v>40</v>
      </c>
      <c r="D9151">
        <v>5.332929</v>
      </c>
      <c r="E9151">
        <v>0.48985699999999999</v>
      </c>
      <c r="F9151" t="s">
        <v>41</v>
      </c>
      <c r="G9151">
        <v>-127.23260000000001</v>
      </c>
      <c r="H9151" s="1">
        <v>-1.6620360000000001E-6</v>
      </c>
      <c r="I9151">
        <v>136.85679999999999</v>
      </c>
      <c r="J9151">
        <v>-144.51169999999999</v>
      </c>
      <c r="K9151">
        <v>1.1197170000000001</v>
      </c>
      <c r="L9151">
        <v>138.28749999999999</v>
      </c>
      <c r="M9151">
        <v>0.99980800000000003</v>
      </c>
      <c r="N9151">
        <v>-1.364195E-2</v>
      </c>
      <c r="O9151">
        <v>-1.406544E-2</v>
      </c>
      <c r="P9151">
        <v>0.98708280000000004</v>
      </c>
      <c r="Q9151">
        <v>-0.12531320000000001</v>
      </c>
      <c r="R9151">
        <v>-9.982067E-2</v>
      </c>
      <c r="S9151">
        <v>2.9900820000000001</v>
      </c>
      <c r="T9151">
        <v>-0.1912683</v>
      </c>
      <c r="U9151">
        <v>-0.245224</v>
      </c>
      <c r="V9151">
        <v>8.5633710000000002E-2</v>
      </c>
      <c r="W9151">
        <v>-0.11204169999999999</v>
      </c>
      <c r="X9151">
        <v>0.99000679999999996</v>
      </c>
      <c r="Y9151">
        <v>6.7561339999999998E-2</v>
      </c>
      <c r="Z9151">
        <v>-1.911537E-3</v>
      </c>
      <c r="AA9151">
        <v>0.99771330000000003</v>
      </c>
      <c r="AB9151">
        <v>22</v>
      </c>
      <c r="AC9151">
        <v>17.2790999999999</v>
      </c>
      <c r="AD9151">
        <v>-1.119718662036</v>
      </c>
      <c r="AE9151">
        <v>-1.4307000000000001</v>
      </c>
      <c r="AF9151">
        <v>1.18256555959197</v>
      </c>
      <c r="AG9151">
        <v>-1.119718662036</v>
      </c>
      <c r="AH9151">
        <v>17.225672663845401</v>
      </c>
      <c r="AI9151">
        <v>93.710450452002306</v>
      </c>
      <c r="AJ9151">
        <v>86.072729813097595</v>
      </c>
      <c r="AK9151">
        <v>17.302486234839101</v>
      </c>
      <c r="AL9151">
        <v>96.433024245888902</v>
      </c>
      <c r="AM9151">
        <v>85.056328655369896</v>
      </c>
      <c r="AN9151">
        <v>0.99999996943674596</v>
      </c>
    </row>
    <row r="9152" spans="1:40" x14ac:dyDescent="0.25">
      <c r="A9152" t="str">
        <f>"20190303154358072"</f>
        <v>20190303154358072</v>
      </c>
      <c r="B9152" t="str">
        <f>"1551599038069069"</f>
        <v>1551599038069069</v>
      </c>
      <c r="C9152" t="s">
        <v>40</v>
      </c>
      <c r="D9152">
        <v>5.4002840000000001</v>
      </c>
      <c r="E9152">
        <v>0.48811779999999999</v>
      </c>
      <c r="F9152" t="s">
        <v>41</v>
      </c>
      <c r="G9152">
        <v>-129.3252</v>
      </c>
      <c r="H9152" s="1">
        <v>-8.6800880000000004E-7</v>
      </c>
      <c r="I9152">
        <v>137.16460000000001</v>
      </c>
      <c r="J9152">
        <v>-144.30170000000001</v>
      </c>
      <c r="K9152">
        <v>1.1197360000000001</v>
      </c>
      <c r="L9152">
        <v>138.2825</v>
      </c>
      <c r="M9152">
        <v>0.99978259999999997</v>
      </c>
      <c r="N9152">
        <v>-1.364169E-2</v>
      </c>
      <c r="O9152">
        <v>-1.5769020000000002E-2</v>
      </c>
      <c r="P9152">
        <v>0.9870565</v>
      </c>
      <c r="Q9152">
        <v>-0.12519369999999999</v>
      </c>
      <c r="R9152">
        <v>-0.10023079999999999</v>
      </c>
      <c r="S9152">
        <v>2.988937</v>
      </c>
      <c r="T9152">
        <v>-0.22037699999999999</v>
      </c>
      <c r="U9152">
        <v>-0.22099299999999999</v>
      </c>
      <c r="V9152">
        <v>8.4364789999999995E-2</v>
      </c>
      <c r="W9152">
        <v>-0.1119141</v>
      </c>
      <c r="X9152">
        <v>0.99013019999999996</v>
      </c>
      <c r="Y9152">
        <v>5.7842039999999997E-2</v>
      </c>
      <c r="Z9152">
        <v>-1.5776379999999999E-3</v>
      </c>
      <c r="AA9152">
        <v>0.99832449999999995</v>
      </c>
      <c r="AB9152">
        <v>22</v>
      </c>
      <c r="AC9152">
        <v>14.9765</v>
      </c>
      <c r="AD9152">
        <v>-1.1197368680088</v>
      </c>
      <c r="AE9152">
        <v>-1.1178999999999899</v>
      </c>
      <c r="AF9152">
        <v>0.876700673830065</v>
      </c>
      <c r="AG9152">
        <v>-1.1197368680088</v>
      </c>
      <c r="AH9152">
        <v>14.9093857433321</v>
      </c>
      <c r="AI9152">
        <v>94.287632791977003</v>
      </c>
      <c r="AJ9152">
        <v>86.6347725607</v>
      </c>
      <c r="AK9152">
        <v>14.977055717615</v>
      </c>
      <c r="AL9152">
        <v>96.425666846451705</v>
      </c>
      <c r="AM9152">
        <v>85.129833026219004</v>
      </c>
      <c r="AN9152">
        <v>0.99999999826129604</v>
      </c>
    </row>
    <row r="9153" spans="1:40" x14ac:dyDescent="0.25">
      <c r="A9153" t="str">
        <f>"20190303154358098"</f>
        <v>20190303154358098</v>
      </c>
      <c r="B9153" t="str">
        <f>"1551599038089565"</f>
        <v>1551599038089565</v>
      </c>
      <c r="C9153" t="s">
        <v>40</v>
      </c>
      <c r="D9153">
        <v>5.3680479999999999</v>
      </c>
      <c r="E9153">
        <v>0.4872956</v>
      </c>
      <c r="F9153" t="s">
        <v>41</v>
      </c>
      <c r="G9153">
        <v>-129.89709999999999</v>
      </c>
      <c r="H9153" s="1">
        <v>-6.4287120000000005E-7</v>
      </c>
      <c r="I9153">
        <v>137.27930000000001</v>
      </c>
      <c r="J9153">
        <v>-144.05789999999999</v>
      </c>
      <c r="K9153">
        <v>1.119756</v>
      </c>
      <c r="L9153">
        <v>138.2764</v>
      </c>
      <c r="M9153">
        <v>0.99975000000000003</v>
      </c>
      <c r="N9153">
        <v>-1.3640899999999999E-2</v>
      </c>
      <c r="O9153">
        <v>-1.771646E-2</v>
      </c>
      <c r="P9153">
        <v>0.98693830000000005</v>
      </c>
      <c r="Q9153">
        <v>-0.12506600000000001</v>
      </c>
      <c r="R9153">
        <v>-0.10154530000000001</v>
      </c>
      <c r="S9153">
        <v>2.9887389999999998</v>
      </c>
      <c r="T9153">
        <v>-0.2323279</v>
      </c>
      <c r="U9153">
        <v>-0.2081451</v>
      </c>
      <c r="V9153">
        <v>8.3762119999999995E-2</v>
      </c>
      <c r="W9153">
        <v>-0.1117799</v>
      </c>
      <c r="X9153">
        <v>0.99019650000000003</v>
      </c>
      <c r="Y9153">
        <v>5.1642390000000003E-2</v>
      </c>
      <c r="Z9153">
        <v>-1.2229999999999999E-3</v>
      </c>
      <c r="AA9153">
        <v>0.99866489999999997</v>
      </c>
      <c r="AB9153">
        <v>22</v>
      </c>
      <c r="AC9153">
        <v>14.160799999999901</v>
      </c>
      <c r="AD9153">
        <v>-1.1197566428712</v>
      </c>
      <c r="AE9153">
        <v>-0.997099999999989</v>
      </c>
      <c r="AF9153">
        <v>0.741427789264547</v>
      </c>
      <c r="AG9153">
        <v>-1.1197566428712</v>
      </c>
      <c r="AH9153">
        <v>14.088585857676801</v>
      </c>
      <c r="AI9153">
        <v>94.538045433319994</v>
      </c>
      <c r="AJ9153">
        <v>86.987523679413101</v>
      </c>
      <c r="AK9153">
        <v>14.152449313637501</v>
      </c>
      <c r="AL9153">
        <v>96.4179293607895</v>
      </c>
      <c r="AM9153">
        <v>85.1647803277706</v>
      </c>
      <c r="AN9153">
        <v>0.99999997370157601</v>
      </c>
    </row>
    <row r="9154" spans="1:40" x14ac:dyDescent="0.25">
      <c r="A9154" t="str">
        <f>"20190303154358120"</f>
        <v>20190303154358120</v>
      </c>
      <c r="B9154" t="str">
        <f>"1551599038109084"</f>
        <v>1551599038109084</v>
      </c>
      <c r="C9154" t="s">
        <v>40</v>
      </c>
      <c r="D9154">
        <v>5.3942430000000003</v>
      </c>
      <c r="E9154">
        <v>0.48640410000000001</v>
      </c>
      <c r="F9154" t="s">
        <v>42</v>
      </c>
      <c r="G9154">
        <v>-143.1532</v>
      </c>
      <c r="H9154">
        <v>1.047455</v>
      </c>
      <c r="I9154">
        <v>138.2141</v>
      </c>
      <c r="J9154">
        <v>-143.83840000000001</v>
      </c>
      <c r="K9154">
        <v>1.1197870000000001</v>
      </c>
      <c r="L9154">
        <v>138.2704</v>
      </c>
      <c r="M9154">
        <v>0.99971810000000005</v>
      </c>
      <c r="N9154">
        <v>-1.3639729999999999E-2</v>
      </c>
      <c r="O9154">
        <v>-1.9434050000000001E-2</v>
      </c>
      <c r="P9154">
        <v>0.98673659999999996</v>
      </c>
      <c r="Q9154">
        <v>-0.12523809999999999</v>
      </c>
      <c r="R9154">
        <v>-0.10327649999999999</v>
      </c>
      <c r="S9154">
        <v>2.9882810000000002</v>
      </c>
      <c r="T9154">
        <v>-0.23887220000000001</v>
      </c>
      <c r="U9154">
        <v>-0.20545959999999999</v>
      </c>
      <c r="V9154">
        <v>8.3804760000000006E-2</v>
      </c>
      <c r="W9154">
        <v>-0.1119486</v>
      </c>
      <c r="X9154">
        <v>0.99017390000000005</v>
      </c>
      <c r="Y9154">
        <v>4.9050110000000001E-2</v>
      </c>
      <c r="Z9154">
        <v>-1.0061930000000001E-3</v>
      </c>
      <c r="AA9154">
        <v>0.99879580000000001</v>
      </c>
      <c r="AB9154">
        <v>22</v>
      </c>
      <c r="AC9154">
        <v>0.68520000000000802</v>
      </c>
      <c r="AD9154">
        <v>-7.2331999999999994E-2</v>
      </c>
      <c r="AE9154">
        <v>-5.6299999999993099E-2</v>
      </c>
      <c r="AF9154">
        <v>4.2501471251337401E-2</v>
      </c>
      <c r="AG9154">
        <v>-7.2331999999999994E-2</v>
      </c>
      <c r="AH9154">
        <v>0.67865287446753597</v>
      </c>
      <c r="AI9154">
        <v>96.071910182910599</v>
      </c>
      <c r="AJ9154">
        <v>86.416461356638294</v>
      </c>
      <c r="AK9154">
        <v>0.68381870207356699</v>
      </c>
      <c r="AL9154">
        <v>96.427655784676602</v>
      </c>
      <c r="AM9154">
        <v>85.162220694059599</v>
      </c>
      <c r="AN9154">
        <v>1.0000000395409101</v>
      </c>
    </row>
    <row r="9155" spans="1:40" x14ac:dyDescent="0.25">
      <c r="A9155" t="str">
        <f>"20190303154358141"</f>
        <v>20190303154358141</v>
      </c>
      <c r="B9155" t="str">
        <f>"1551599038129581"</f>
        <v>1551599038129581</v>
      </c>
      <c r="C9155" t="s">
        <v>40</v>
      </c>
      <c r="D9155">
        <v>5.3317079999999999</v>
      </c>
      <c r="E9155">
        <v>0.48681239999999998</v>
      </c>
      <c r="F9155" t="s">
        <v>42</v>
      </c>
      <c r="G9155">
        <v>-142.95930000000001</v>
      </c>
      <c r="H9155">
        <v>1.0472790000000001</v>
      </c>
      <c r="I9155">
        <v>138.2105</v>
      </c>
      <c r="J9155">
        <v>-143.64259999999999</v>
      </c>
      <c r="K9155">
        <v>1.1197999999999999</v>
      </c>
      <c r="L9155">
        <v>138.26480000000001</v>
      </c>
      <c r="M9155">
        <v>0.99968769999999996</v>
      </c>
      <c r="N9155">
        <v>-1.36383999999999E-2</v>
      </c>
      <c r="O9155">
        <v>-2.0941189999999998E-2</v>
      </c>
      <c r="P9155">
        <v>0.98671439999999999</v>
      </c>
      <c r="Q9155">
        <v>-0.1229972</v>
      </c>
      <c r="R9155">
        <v>-0.106142899999999</v>
      </c>
      <c r="S9155">
        <v>2.987762</v>
      </c>
      <c r="T9155">
        <v>-0.24643370000000001</v>
      </c>
      <c r="U9155">
        <v>-0.2034454</v>
      </c>
      <c r="V9155">
        <v>8.5191920000000004E-2</v>
      </c>
      <c r="W9155">
        <v>-0.1097059</v>
      </c>
      <c r="X9155">
        <v>0.99030649999999998</v>
      </c>
      <c r="Y9155">
        <v>4.6890380000000002E-2</v>
      </c>
      <c r="Z9155">
        <v>-8.1206609999999999E-4</v>
      </c>
      <c r="AA9155">
        <v>0.99889969999999995</v>
      </c>
      <c r="AB9155">
        <v>22</v>
      </c>
      <c r="AC9155">
        <v>0.68329999999997404</v>
      </c>
      <c r="AD9155">
        <v>-7.2520999999999794E-2</v>
      </c>
      <c r="AE9155">
        <v>-5.4300000000011998E-2</v>
      </c>
      <c r="AF9155">
        <v>3.9535103331487E-2</v>
      </c>
      <c r="AG9155">
        <v>-7.2520999999999794E-2</v>
      </c>
      <c r="AH9155">
        <v>0.67671247731892104</v>
      </c>
      <c r="AI9155">
        <v>96.106517020914396</v>
      </c>
      <c r="AJ9155">
        <v>86.656449019749303</v>
      </c>
      <c r="AK9155">
        <v>0.68173462343902003</v>
      </c>
      <c r="AL9155">
        <v>96.298362239775003</v>
      </c>
      <c r="AM9155">
        <v>85.083189100644802</v>
      </c>
      <c r="AN9155">
        <v>1.0000000058351699</v>
      </c>
    </row>
    <row r="9156" spans="1:40" x14ac:dyDescent="0.25">
      <c r="A9156" t="str">
        <f>"20190303154358348"</f>
        <v>20190303154358348</v>
      </c>
      <c r="B9156" t="str">
        <f>"1551599038339420"</f>
        <v>1551599038339420</v>
      </c>
      <c r="C9156" t="s">
        <v>40</v>
      </c>
      <c r="D9156">
        <v>5.4446680000000001</v>
      </c>
      <c r="E9156">
        <v>0.4879445</v>
      </c>
      <c r="F9156" t="s">
        <v>42</v>
      </c>
      <c r="G9156">
        <v>-141.03540000000001</v>
      </c>
      <c r="H9156">
        <v>1.0460989999999999</v>
      </c>
      <c r="I9156">
        <v>138.14230000000001</v>
      </c>
      <c r="J9156">
        <v>-141.65629999999999</v>
      </c>
      <c r="K9156">
        <v>1.1202289999999999</v>
      </c>
      <c r="L9156">
        <v>138.19560000000001</v>
      </c>
      <c r="M9156">
        <v>0.99934120000000004</v>
      </c>
      <c r="N9156">
        <v>-1.3613979999999999E-2</v>
      </c>
      <c r="O9156">
        <v>-3.364342E-2</v>
      </c>
      <c r="P9156">
        <v>0.98668650000000002</v>
      </c>
      <c r="Q9156">
        <v>-0.1249851</v>
      </c>
      <c r="R9156">
        <v>-0.1040592</v>
      </c>
      <c r="S9156">
        <v>2.985306</v>
      </c>
      <c r="T9156">
        <v>-0.25754729999999998</v>
      </c>
      <c r="U9156">
        <v>-0.2167664</v>
      </c>
      <c r="V9156">
        <v>7.0644330000000005E-2</v>
      </c>
      <c r="W9156">
        <v>-0.11160050000000001</v>
      </c>
      <c r="X9156">
        <v>0.99123899999999998</v>
      </c>
      <c r="Y9156">
        <v>3.874346E-2</v>
      </c>
      <c r="Z9156">
        <v>5.0448029999999996E-4</v>
      </c>
      <c r="AA9156">
        <v>0.99924900000000005</v>
      </c>
      <c r="AB9156">
        <v>21</v>
      </c>
      <c r="AC9156">
        <v>0.62089999999997703</v>
      </c>
      <c r="AD9156">
        <v>-7.4130000000000196E-2</v>
      </c>
      <c r="AE9156">
        <v>-5.3300000000007203E-2</v>
      </c>
      <c r="AF9156">
        <v>3.19269207301624E-2</v>
      </c>
      <c r="AG9156">
        <v>-7.4130000000000196E-2</v>
      </c>
      <c r="AH9156">
        <v>0.61365854255406704</v>
      </c>
      <c r="AI9156">
        <v>96.878745320298194</v>
      </c>
      <c r="AJ9156">
        <v>87.021747687817196</v>
      </c>
      <c r="AK9156">
        <v>0.61894377128854905</v>
      </c>
      <c r="AL9156">
        <v>96.407585454732498</v>
      </c>
      <c r="AM9156">
        <v>85.923495917071605</v>
      </c>
      <c r="AN9156">
        <v>1.0000000240411899</v>
      </c>
    </row>
    <row r="9157" spans="1:40" x14ac:dyDescent="0.25">
      <c r="A9157" t="str">
        <f>"20190303154358366"</f>
        <v>20190303154358366</v>
      </c>
      <c r="B9157" t="str">
        <f>"1551599038358941"</f>
        <v>1551599038358941</v>
      </c>
      <c r="C9157" t="s">
        <v>40</v>
      </c>
      <c r="D9157">
        <v>5.4589259999999999</v>
      </c>
      <c r="E9157">
        <v>0.48785970000000001</v>
      </c>
      <c r="F9157" t="s">
        <v>42</v>
      </c>
      <c r="G9157">
        <v>-140.83770000000001</v>
      </c>
      <c r="H9157">
        <v>1.0498379999999901</v>
      </c>
      <c r="I9157">
        <v>138.13589999999999</v>
      </c>
      <c r="J9157">
        <v>-141.47139999999999</v>
      </c>
      <c r="K9157">
        <v>1.120288</v>
      </c>
      <c r="L9157">
        <v>138.1883</v>
      </c>
      <c r="M9157">
        <v>0.99931270000000005</v>
      </c>
      <c r="N9157">
        <v>-1.3611120000000001E-2</v>
      </c>
      <c r="O9157">
        <v>-3.4480469999999999E-2</v>
      </c>
      <c r="P9157">
        <v>0.98716440000000005</v>
      </c>
      <c r="Q9157">
        <v>-0.12277</v>
      </c>
      <c r="R9157">
        <v>-0.10214810000000001</v>
      </c>
      <c r="S9157">
        <v>2.9850620000000001</v>
      </c>
      <c r="T9157">
        <v>-0.25673380000000001</v>
      </c>
      <c r="U9157">
        <v>-0.2172394</v>
      </c>
      <c r="V9157">
        <v>6.7903829999999998E-2</v>
      </c>
      <c r="W9157">
        <v>-0.1093708</v>
      </c>
      <c r="X9157">
        <v>0.99167899999999998</v>
      </c>
      <c r="Y9157">
        <v>3.8075240000000003E-2</v>
      </c>
      <c r="Z9157">
        <v>5.9438730000000003E-4</v>
      </c>
      <c r="AA9157">
        <v>0.99927469999999996</v>
      </c>
      <c r="AB9157">
        <v>21</v>
      </c>
      <c r="AC9157">
        <v>0.63369999999997595</v>
      </c>
      <c r="AD9157">
        <v>-7.0450000000000096E-2</v>
      </c>
      <c r="AE9157">
        <v>-5.2400000000005699E-2</v>
      </c>
      <c r="AF9157">
        <v>3.0146478277220001E-2</v>
      </c>
      <c r="AG9157">
        <v>-7.0450000000000096E-2</v>
      </c>
      <c r="AH9157">
        <v>0.62742813473957804</v>
      </c>
      <c r="AI9157">
        <v>96.399231565386401</v>
      </c>
      <c r="AJ9157">
        <v>87.249185146546907</v>
      </c>
      <c r="AK9157">
        <v>0.63209024428107197</v>
      </c>
      <c r="AL9157">
        <v>96.2790457832496</v>
      </c>
      <c r="AM9157">
        <v>86.082866146151105</v>
      </c>
      <c r="AN9157">
        <v>1.00000007053115</v>
      </c>
    </row>
    <row r="9158" spans="1:40" x14ac:dyDescent="0.25">
      <c r="A9158" t="str">
        <f>"20190303154358390"</f>
        <v>20190303154358390</v>
      </c>
      <c r="B9158" t="str">
        <f>"1551599038379440"</f>
        <v>1551599038379440</v>
      </c>
      <c r="C9158" t="s">
        <v>40</v>
      </c>
      <c r="D9158">
        <v>5.5004249999999999</v>
      </c>
      <c r="E9158">
        <v>0.4878401</v>
      </c>
      <c r="F9158" t="s">
        <v>42</v>
      </c>
      <c r="G9158">
        <v>-140.64269999999999</v>
      </c>
      <c r="H9158">
        <v>1.049652</v>
      </c>
      <c r="I9158">
        <v>138.12970000000001</v>
      </c>
      <c r="J9158">
        <v>-141.25450000000001</v>
      </c>
      <c r="K9158">
        <v>1.1203529999999999</v>
      </c>
      <c r="L9158">
        <v>138.1797</v>
      </c>
      <c r="M9158">
        <v>0.99928189999999995</v>
      </c>
      <c r="N9158">
        <v>-1.360772E-2</v>
      </c>
      <c r="O9158">
        <v>-3.536243E-2</v>
      </c>
      <c r="P9158">
        <v>0.98757450000000002</v>
      </c>
      <c r="Q9158">
        <v>-0.1208563</v>
      </c>
      <c r="R9158">
        <v>-0.1004514</v>
      </c>
      <c r="S9158">
        <v>2.9855499999999999</v>
      </c>
      <c r="T9158">
        <v>-0.2545811</v>
      </c>
      <c r="U9158">
        <v>-0.2107086</v>
      </c>
      <c r="V9158">
        <v>6.5338060000000003E-2</v>
      </c>
      <c r="W9158">
        <v>-0.1074422</v>
      </c>
      <c r="X9158">
        <v>0.992062</v>
      </c>
      <c r="Y9158">
        <v>3.502239E-2</v>
      </c>
      <c r="Z9158">
        <v>7.9693829999999996E-4</v>
      </c>
      <c r="AA9158">
        <v>0.9993862</v>
      </c>
      <c r="AB9158">
        <v>21</v>
      </c>
      <c r="AC9158">
        <v>0.611800000000016</v>
      </c>
      <c r="AD9158">
        <v>-7.0701000000000097E-2</v>
      </c>
      <c r="AE9158">
        <v>-4.9999999999982898E-2</v>
      </c>
      <c r="AF9158">
        <v>2.7961051496244699E-2</v>
      </c>
      <c r="AG9158">
        <v>-7.0701000000000097E-2</v>
      </c>
      <c r="AH9158">
        <v>0.60515752617041096</v>
      </c>
      <c r="AI9158">
        <v>96.656661286196496</v>
      </c>
      <c r="AJ9158">
        <v>87.354553851755298</v>
      </c>
      <c r="AK9158">
        <v>0.60991481641493805</v>
      </c>
      <c r="AL9158">
        <v>96.167890798626303</v>
      </c>
      <c r="AM9158">
        <v>86.231892444735806</v>
      </c>
      <c r="AN9158">
        <v>0.9999999501347</v>
      </c>
    </row>
    <row r="9159" spans="1:40" x14ac:dyDescent="0.25">
      <c r="A9159" t="str">
        <f>"20190303154358412"</f>
        <v>20190303154358412</v>
      </c>
      <c r="B9159" t="str">
        <f>"1551599038409693"</f>
        <v>1551599038409693</v>
      </c>
      <c r="C9159" t="s">
        <v>40</v>
      </c>
      <c r="D9159">
        <v>5.5079960000000003</v>
      </c>
      <c r="E9159">
        <v>0.48780319999999999</v>
      </c>
      <c r="F9159" t="s">
        <v>41</v>
      </c>
      <c r="G9159">
        <v>-128.02379999999999</v>
      </c>
      <c r="H9159" s="1">
        <v>-1.2828429999999999E-6</v>
      </c>
      <c r="I9159">
        <v>137.27000000000001</v>
      </c>
      <c r="J9159">
        <v>-141.042</v>
      </c>
      <c r="K9159">
        <v>1.12043</v>
      </c>
      <c r="L9159">
        <v>138.1712</v>
      </c>
      <c r="M9159">
        <v>0.99925509999999995</v>
      </c>
      <c r="N9159">
        <v>-1.3604460000000001E-2</v>
      </c>
      <c r="O9159">
        <v>-3.6112610000000003E-2</v>
      </c>
      <c r="P9159">
        <v>0.98792480000000005</v>
      </c>
      <c r="Q9159">
        <v>-0.1196305</v>
      </c>
      <c r="R9159">
        <v>-9.8455150000000005E-2</v>
      </c>
      <c r="S9159">
        <v>2.985916</v>
      </c>
      <c r="T9159">
        <v>-0.25284230000000002</v>
      </c>
      <c r="U9159">
        <v>-0.20530699999999999</v>
      </c>
      <c r="V9159">
        <v>6.2606170000000003E-2</v>
      </c>
      <c r="W9159">
        <v>-0.1062015</v>
      </c>
      <c r="X9159">
        <v>0.99237169999999997</v>
      </c>
      <c r="Y9159">
        <v>3.2477020000000002E-2</v>
      </c>
      <c r="Z9159">
        <v>9.6460800000000005E-4</v>
      </c>
      <c r="AA9159">
        <v>0.99947200000000003</v>
      </c>
      <c r="AB9159">
        <v>21</v>
      </c>
      <c r="AC9159">
        <v>13.0182</v>
      </c>
      <c r="AD9159">
        <v>-1.1204312828430001</v>
      </c>
      <c r="AE9159">
        <v>-0.90119999999998801</v>
      </c>
      <c r="AF9159">
        <v>0.427297275607606</v>
      </c>
      <c r="AG9159">
        <v>-1.1204312828430001</v>
      </c>
      <c r="AH9159">
        <v>12.9468092945783</v>
      </c>
      <c r="AI9159">
        <v>94.943439037488901</v>
      </c>
      <c r="AJ9159">
        <v>88.109692784916405</v>
      </c>
      <c r="AK9159">
        <v>13.002223661031801</v>
      </c>
      <c r="AL9159">
        <v>96.096394884952204</v>
      </c>
      <c r="AM9159">
        <v>86.390141141376205</v>
      </c>
      <c r="AN9159">
        <v>0.99999994104260204</v>
      </c>
    </row>
    <row r="9160" spans="1:40" x14ac:dyDescent="0.25">
      <c r="A9160" t="str">
        <f>"20190303154358432"</f>
        <v>20190303154358432</v>
      </c>
      <c r="B9160" t="str">
        <f>"1551599038429213"</f>
        <v>1551599038429213</v>
      </c>
      <c r="C9160" t="s">
        <v>40</v>
      </c>
      <c r="D9160">
        <v>5.5096299999999996</v>
      </c>
      <c r="E9160">
        <v>0.48793130000000001</v>
      </c>
      <c r="F9160" t="s">
        <v>41</v>
      </c>
      <c r="G9160">
        <v>-127.9455</v>
      </c>
      <c r="H9160" s="1">
        <v>-1.3017679999999999E-6</v>
      </c>
      <c r="I9160">
        <v>137.29910000000001</v>
      </c>
      <c r="J9160">
        <v>-140.85159999999999</v>
      </c>
      <c r="K9160">
        <v>1.1205069999999999</v>
      </c>
      <c r="L9160">
        <v>138.1636</v>
      </c>
      <c r="M9160">
        <v>0.99923470000000003</v>
      </c>
      <c r="N9160">
        <v>-1.360155E-2</v>
      </c>
      <c r="O9160">
        <v>-3.667869E-2</v>
      </c>
      <c r="P9160">
        <v>0.98812279999999997</v>
      </c>
      <c r="Q9160">
        <v>-0.1195447</v>
      </c>
      <c r="R9160">
        <v>-9.6553739999999999E-2</v>
      </c>
      <c r="S9160">
        <v>2.9859010000000001</v>
      </c>
      <c r="T9160">
        <v>-0.25544869999999997</v>
      </c>
      <c r="U9160">
        <v>-0.19883729999999999</v>
      </c>
      <c r="V9160">
        <v>6.0156679999999997E-2</v>
      </c>
      <c r="W9160">
        <v>-0.10610319999999999</v>
      </c>
      <c r="X9160">
        <v>0.99253380000000002</v>
      </c>
      <c r="Y9160">
        <v>2.976784E-2</v>
      </c>
      <c r="Z9160">
        <v>1.156715E-3</v>
      </c>
      <c r="AA9160">
        <v>0.99955620000000001</v>
      </c>
      <c r="AB9160">
        <v>21</v>
      </c>
      <c r="AC9160">
        <v>12.906099999999901</v>
      </c>
      <c r="AD9160">
        <v>-1.120508301768</v>
      </c>
      <c r="AE9160">
        <v>-0.86449999999999205</v>
      </c>
      <c r="AF9160">
        <v>0.38758714450170201</v>
      </c>
      <c r="AG9160">
        <v>-1.120508301768</v>
      </c>
      <c r="AH9160">
        <v>12.8328274621052</v>
      </c>
      <c r="AI9160">
        <v>94.987906428363701</v>
      </c>
      <c r="AJ9160">
        <v>88.270033721730101</v>
      </c>
      <c r="AK9160">
        <v>12.887483203522599</v>
      </c>
      <c r="AL9160">
        <v>96.090730164331006</v>
      </c>
      <c r="AM9160">
        <v>86.531591501844105</v>
      </c>
      <c r="AN9160">
        <v>1.0000000296706499</v>
      </c>
    </row>
    <row r="9161" spans="1:40" x14ac:dyDescent="0.25">
      <c r="A9161" t="str">
        <f>"20190303154358465"</f>
        <v>20190303154358465</v>
      </c>
      <c r="B9161" t="str">
        <f>"1551599038459472"</f>
        <v>1551599038459472</v>
      </c>
      <c r="C9161" t="s">
        <v>40</v>
      </c>
      <c r="D9161">
        <v>5.5250870000000001</v>
      </c>
      <c r="E9161">
        <v>0.48809659999999999</v>
      </c>
      <c r="F9161" t="s">
        <v>41</v>
      </c>
      <c r="G9161">
        <v>-127.9187</v>
      </c>
      <c r="H9161" s="1">
        <v>-1.304572E-6</v>
      </c>
      <c r="I9161">
        <v>137.3227</v>
      </c>
      <c r="J9161">
        <v>-140.54040000000001</v>
      </c>
      <c r="K9161">
        <v>1.120654</v>
      </c>
      <c r="L9161">
        <v>138.15119999999999</v>
      </c>
      <c r="M9161">
        <v>0.99920929999999997</v>
      </c>
      <c r="N9161">
        <v>-1.35967E-2</v>
      </c>
      <c r="O9161">
        <v>-3.7361230000000002E-2</v>
      </c>
      <c r="P9161">
        <v>0.98846829999999997</v>
      </c>
      <c r="Q9161">
        <v>-0.1190345</v>
      </c>
      <c r="R9161">
        <v>-9.3602439999999995E-2</v>
      </c>
      <c r="S9161">
        <v>2.9858090000000002</v>
      </c>
      <c r="T9161">
        <v>-0.25869019999999998</v>
      </c>
      <c r="U9161">
        <v>-0.1941223</v>
      </c>
      <c r="V9161">
        <v>5.6553140000000002E-2</v>
      </c>
      <c r="W9161">
        <v>-0.1055722</v>
      </c>
      <c r="X9161">
        <v>0.99280219999999997</v>
      </c>
      <c r="Y9161">
        <v>2.7526800000000001E-2</v>
      </c>
      <c r="Z9161">
        <v>1.3423409999999999E-3</v>
      </c>
      <c r="AA9161">
        <v>0.99962010000000001</v>
      </c>
      <c r="AB9161">
        <v>21</v>
      </c>
      <c r="AC9161">
        <v>12.621700000000001</v>
      </c>
      <c r="AD9161">
        <v>-1.120655304572</v>
      </c>
      <c r="AE9161">
        <v>-0.82849999999999102</v>
      </c>
      <c r="AF9161">
        <v>0.353540502794297</v>
      </c>
      <c r="AG9161">
        <v>-1.120655304572</v>
      </c>
      <c r="AH9161">
        <v>12.5453681842262</v>
      </c>
      <c r="AI9161">
        <v>95.102565865267493</v>
      </c>
      <c r="AJ9161">
        <v>88.385777233370405</v>
      </c>
      <c r="AK9161">
        <v>12.6002826189168</v>
      </c>
      <c r="AL9161">
        <v>96.060134577725506</v>
      </c>
      <c r="AM9161">
        <v>86.739775167672207</v>
      </c>
      <c r="AN9161">
        <v>0.99999997769076898</v>
      </c>
    </row>
    <row r="9162" spans="1:40" x14ac:dyDescent="0.25">
      <c r="A9162" t="str">
        <f>"20190303154358487"</f>
        <v>20190303154358487</v>
      </c>
      <c r="B9162" t="str">
        <f>"1551599038478989"</f>
        <v>1551599038478989</v>
      </c>
      <c r="C9162" t="s">
        <v>40</v>
      </c>
      <c r="D9162">
        <v>5.5565660000000001</v>
      </c>
      <c r="E9162">
        <v>0.488203</v>
      </c>
      <c r="F9162" t="s">
        <v>42</v>
      </c>
      <c r="G9162">
        <v>-139.70259999999999</v>
      </c>
      <c r="H9162">
        <v>1.0469539999999999</v>
      </c>
      <c r="I9162">
        <v>138.09870000000001</v>
      </c>
      <c r="J9162">
        <v>-140.32550000000001</v>
      </c>
      <c r="K9162">
        <v>1.1207590000000001</v>
      </c>
      <c r="L9162">
        <v>138.14279999999999</v>
      </c>
      <c r="M9162">
        <v>0.99919829999999998</v>
      </c>
      <c r="N9162">
        <v>-1.35935E-2</v>
      </c>
      <c r="O9162">
        <v>-3.766278E-2</v>
      </c>
      <c r="P9162">
        <v>0.98884799999999995</v>
      </c>
      <c r="Q9162">
        <v>-0.1179896</v>
      </c>
      <c r="R9162">
        <v>-9.0876799999999994E-2</v>
      </c>
      <c r="S9162">
        <v>2.9856720000000001</v>
      </c>
      <c r="T9162">
        <v>-0.26269330000000002</v>
      </c>
      <c r="U9162">
        <v>-0.186615</v>
      </c>
      <c r="V9162">
        <v>5.3539860000000002E-2</v>
      </c>
      <c r="W9162">
        <v>-0.1045132</v>
      </c>
      <c r="X9162">
        <v>0.99308129999999994</v>
      </c>
      <c r="Y9162">
        <v>2.4738130000000001E-2</v>
      </c>
      <c r="Z9162">
        <v>1.537872E-3</v>
      </c>
      <c r="AA9162">
        <v>0.99969280000000005</v>
      </c>
      <c r="AB9162">
        <v>21</v>
      </c>
      <c r="AC9162">
        <v>0.622900000000015</v>
      </c>
      <c r="AD9162">
        <v>-7.3804999999999898E-2</v>
      </c>
      <c r="AE9162">
        <v>-4.4099999999985998E-2</v>
      </c>
      <c r="AF9162">
        <v>2.0322514030280101E-2</v>
      </c>
      <c r="AG9162">
        <v>-7.3804999999999898E-2</v>
      </c>
      <c r="AH9162">
        <v>0.61552088077384803</v>
      </c>
      <c r="AI9162">
        <v>96.833807889538704</v>
      </c>
      <c r="AJ9162">
        <v>88.108965120480406</v>
      </c>
      <c r="AK9162">
        <v>0.62026295816381405</v>
      </c>
      <c r="AL9162">
        <v>95.999120680871101</v>
      </c>
      <c r="AM9162">
        <v>86.914007860290695</v>
      </c>
      <c r="AN9162">
        <v>0.99999999699637399</v>
      </c>
    </row>
    <row r="9163" spans="1:40" x14ac:dyDescent="0.25">
      <c r="A9163" t="str">
        <f>"20190303154358511"</f>
        <v>20190303154358511</v>
      </c>
      <c r="B9163" t="str">
        <f>"1551599038499485"</f>
        <v>1551599038499485</v>
      </c>
      <c r="C9163" t="s">
        <v>40</v>
      </c>
      <c r="D9163">
        <v>5.5528329999999997</v>
      </c>
      <c r="E9163">
        <v>0.48823280000000002</v>
      </c>
      <c r="F9163" t="s">
        <v>41</v>
      </c>
      <c r="G9163">
        <v>-127.6023</v>
      </c>
      <c r="H9163" s="1">
        <v>-1.407589E-6</v>
      </c>
      <c r="I9163">
        <v>137.37989999999999</v>
      </c>
      <c r="J9163">
        <v>-140.10900000000001</v>
      </c>
      <c r="K9163">
        <v>1.120852</v>
      </c>
      <c r="L9163">
        <v>138.1343</v>
      </c>
      <c r="M9163">
        <v>0.99919179999999996</v>
      </c>
      <c r="N9163">
        <v>-1.3590430000000001E-2</v>
      </c>
      <c r="O9163">
        <v>-3.7832329999999997E-2</v>
      </c>
      <c r="P9163">
        <v>0.98941809999999997</v>
      </c>
      <c r="Q9163">
        <v>-0.1159825</v>
      </c>
      <c r="R9163">
        <v>-8.7177279999999996E-2</v>
      </c>
      <c r="S9163">
        <v>2.9859770000000001</v>
      </c>
      <c r="T9163">
        <v>-0.26302789999999998</v>
      </c>
      <c r="U9163">
        <v>-0.17901610000000001</v>
      </c>
      <c r="V9163">
        <v>4.9674280000000001E-2</v>
      </c>
      <c r="W9163">
        <v>-0.1024925</v>
      </c>
      <c r="X9163">
        <v>0.99349270000000001</v>
      </c>
      <c r="Y9163">
        <v>2.2040029999999999E-2</v>
      </c>
      <c r="Z9163">
        <v>1.6902729999999999E-3</v>
      </c>
      <c r="AA9163">
        <v>0.99975570000000002</v>
      </c>
      <c r="AB9163">
        <v>21</v>
      </c>
      <c r="AC9163">
        <v>12.5067</v>
      </c>
      <c r="AD9163">
        <v>-1.120853407589</v>
      </c>
      <c r="AE9163">
        <v>-0.75440000000000396</v>
      </c>
      <c r="AF9163">
        <v>0.27843039251151802</v>
      </c>
      <c r="AG9163">
        <v>-1.120853407589</v>
      </c>
      <c r="AH9163">
        <v>12.426840264492199</v>
      </c>
      <c r="AI9163">
        <v>95.1526276057308</v>
      </c>
      <c r="AJ9163">
        <v>88.716470370283204</v>
      </c>
      <c r="AK9163">
        <v>12.480392413862001</v>
      </c>
      <c r="AL9163">
        <v>95.882717904282799</v>
      </c>
      <c r="AM9163">
        <v>87.137615196060295</v>
      </c>
      <c r="AN9163">
        <v>0.99999999580152898</v>
      </c>
    </row>
    <row r="9164" spans="1:40" x14ac:dyDescent="0.25">
      <c r="A9164" t="str">
        <f>"20190303154358539"</f>
        <v>20190303154358539</v>
      </c>
      <c r="B9164" t="str">
        <f>"1551599038529741"</f>
        <v>1551599038529741</v>
      </c>
      <c r="C9164" t="s">
        <v>40</v>
      </c>
      <c r="D9164">
        <v>5.5995189999999999</v>
      </c>
      <c r="E9164">
        <v>0.4883575</v>
      </c>
      <c r="F9164" t="s">
        <v>41</v>
      </c>
      <c r="G9164">
        <v>-127.2503</v>
      </c>
      <c r="H9164" s="1">
        <v>-1.5531389999999901E-6</v>
      </c>
      <c r="I9164">
        <v>137.41079999999999</v>
      </c>
      <c r="J9164">
        <v>-139.8415</v>
      </c>
      <c r="K9164">
        <v>1.1209439999999999</v>
      </c>
      <c r="L9164">
        <v>138.1241</v>
      </c>
      <c r="M9164">
        <v>0.99919080000000005</v>
      </c>
      <c r="N9164">
        <v>-1.358672E-2</v>
      </c>
      <c r="O9164">
        <v>-3.7858049999999997E-2</v>
      </c>
      <c r="P9164">
        <v>0.99002889999999999</v>
      </c>
      <c r="Q9164">
        <v>-0.1140442</v>
      </c>
      <c r="R9164">
        <v>-8.2685830000000002E-2</v>
      </c>
      <c r="S9164">
        <v>2.986755</v>
      </c>
      <c r="T9164">
        <v>-0.26034580000000002</v>
      </c>
      <c r="U9164">
        <v>-0.168045</v>
      </c>
      <c r="V9164">
        <v>4.5158780000000003E-2</v>
      </c>
      <c r="W9164">
        <v>-0.1005423</v>
      </c>
      <c r="X9164">
        <v>0.9939074</v>
      </c>
      <c r="Y9164">
        <v>1.8354140000000001E-2</v>
      </c>
      <c r="Z9164">
        <v>1.8534160000000001E-3</v>
      </c>
      <c r="AA9164">
        <v>0.99982979999999999</v>
      </c>
      <c r="AB9164">
        <v>21</v>
      </c>
      <c r="AC9164">
        <v>12.591200000000001</v>
      </c>
      <c r="AD9164">
        <v>-1.120945553139</v>
      </c>
      <c r="AE9164">
        <v>-0.71330000000000304</v>
      </c>
      <c r="AF9164">
        <v>0.23421592355269699</v>
      </c>
      <c r="AG9164">
        <v>-1.120945553139</v>
      </c>
      <c r="AH9164">
        <v>12.510343294222301</v>
      </c>
      <c r="AI9164">
        <v>95.119222660158101</v>
      </c>
      <c r="AJ9164">
        <v>88.927446189866401</v>
      </c>
      <c r="AK9164">
        <v>12.562645635822101</v>
      </c>
      <c r="AL9164">
        <v>95.770399398922393</v>
      </c>
      <c r="AM9164">
        <v>87.398521001005506</v>
      </c>
      <c r="AN9164">
        <v>0.99999999463756895</v>
      </c>
    </row>
    <row r="9165" spans="1:40" x14ac:dyDescent="0.25">
      <c r="A9165" t="str">
        <f>"20190303154358557"</f>
        <v>20190303154358557</v>
      </c>
      <c r="B9165" t="str">
        <f>"1551599038549261"</f>
        <v>1551599038549261</v>
      </c>
      <c r="C9165" t="s">
        <v>40</v>
      </c>
      <c r="D9165">
        <v>5.5931689999999996</v>
      </c>
      <c r="E9165">
        <v>0.48846200000000001</v>
      </c>
      <c r="F9165" t="s">
        <v>42</v>
      </c>
      <c r="G9165">
        <v>-138.94999999999999</v>
      </c>
      <c r="H9165">
        <v>1.04392</v>
      </c>
      <c r="I9165">
        <v>138.07759999999999</v>
      </c>
      <c r="J9165">
        <v>-139.67269999999999</v>
      </c>
      <c r="K9165">
        <v>1.1209979999999999</v>
      </c>
      <c r="L9165">
        <v>138.11779999999999</v>
      </c>
      <c r="M9165">
        <v>0.99919389999999997</v>
      </c>
      <c r="N9165">
        <v>-1.358445E-2</v>
      </c>
      <c r="O9165">
        <v>-3.777867E-2</v>
      </c>
      <c r="P9165">
        <v>0.99054560000000003</v>
      </c>
      <c r="Q9165">
        <v>-0.1135029</v>
      </c>
      <c r="R9165">
        <v>-7.7048899999999906E-2</v>
      </c>
      <c r="S9165">
        <v>2.9874879999999999</v>
      </c>
      <c r="T9165">
        <v>-0.25812479999999999</v>
      </c>
      <c r="U9165">
        <v>-0.15559389999999901</v>
      </c>
      <c r="V9165">
        <v>3.9597340000000002E-2</v>
      </c>
      <c r="W9165">
        <v>-9.9995319999999999E-2</v>
      </c>
      <c r="X9165">
        <v>0.99419970000000002</v>
      </c>
      <c r="Y9165">
        <v>1.428135E-2</v>
      </c>
      <c r="Z9165">
        <v>2.0295259999999998E-3</v>
      </c>
      <c r="AA9165">
        <v>0.99989589999999995</v>
      </c>
      <c r="AB9165">
        <v>21</v>
      </c>
      <c r="AC9165">
        <v>0.72270000000000301</v>
      </c>
      <c r="AD9165">
        <v>-7.7077999999999702E-2</v>
      </c>
      <c r="AE9165">
        <v>-4.0199999999998598E-2</v>
      </c>
      <c r="AF9165">
        <v>1.27218730551301E-2</v>
      </c>
      <c r="AG9165">
        <v>-7.7077999999999702E-2</v>
      </c>
      <c r="AH9165">
        <v>0.71558824996758197</v>
      </c>
      <c r="AI9165">
        <v>96.146821325069695</v>
      </c>
      <c r="AJ9165">
        <v>88.981491305927605</v>
      </c>
      <c r="AK9165">
        <v>0.71983984859807304</v>
      </c>
      <c r="AL9165">
        <v>95.738900818582394</v>
      </c>
      <c r="AM9165">
        <v>87.719208767542099</v>
      </c>
      <c r="AN9165">
        <v>1.00000002841853</v>
      </c>
    </row>
    <row r="9166" spans="1:40" x14ac:dyDescent="0.25">
      <c r="A9166" t="str">
        <f>"20190303154358576"</f>
        <v>20190303154358576</v>
      </c>
      <c r="B9166" t="str">
        <f>"1551599038569757"</f>
        <v>1551599038569757</v>
      </c>
      <c r="C9166" t="s">
        <v>40</v>
      </c>
      <c r="D9166">
        <v>5.5971630000000001</v>
      </c>
      <c r="E9166">
        <v>0.4886161</v>
      </c>
      <c r="F9166" t="s">
        <v>42</v>
      </c>
      <c r="G9166">
        <v>-138.76310000000001</v>
      </c>
      <c r="H9166">
        <v>1.04196</v>
      </c>
      <c r="I9166">
        <v>138.0753</v>
      </c>
      <c r="J9166">
        <v>-139.49</v>
      </c>
      <c r="K9166">
        <v>1.121046</v>
      </c>
      <c r="L9166">
        <v>138.11099999999999</v>
      </c>
      <c r="M9166">
        <v>0.99919959999999997</v>
      </c>
      <c r="N9166">
        <v>-1.358208E-2</v>
      </c>
      <c r="O9166">
        <v>-3.762832E-2</v>
      </c>
      <c r="P9166">
        <v>0.99107330000000005</v>
      </c>
      <c r="Q9166">
        <v>-0.1129517</v>
      </c>
      <c r="R9166">
        <v>-7.0823269999999994E-2</v>
      </c>
      <c r="S9166">
        <v>2.9880520000000002</v>
      </c>
      <c r="T9166">
        <v>-0.25973279999999999</v>
      </c>
      <c r="U9166">
        <v>-0.13916020000000001</v>
      </c>
      <c r="V9166">
        <v>3.3516379999999998E-2</v>
      </c>
      <c r="W9166">
        <v>-9.9440520000000004E-2</v>
      </c>
      <c r="X9166">
        <v>0.99447890000000005</v>
      </c>
      <c r="Y9166">
        <v>8.9594630000000008E-3</v>
      </c>
      <c r="Z9166">
        <v>2.3019160000000002E-3</v>
      </c>
      <c r="AA9166">
        <v>0.99995719999999999</v>
      </c>
      <c r="AB9166">
        <v>21</v>
      </c>
      <c r="AC9166">
        <v>0.72689999999999999</v>
      </c>
      <c r="AD9166">
        <v>-7.9085999999999906E-2</v>
      </c>
      <c r="AE9166">
        <v>-3.5699999999991398E-2</v>
      </c>
      <c r="AF9166">
        <v>8.22306250474647E-3</v>
      </c>
      <c r="AG9166">
        <v>-7.9085999999999906E-2</v>
      </c>
      <c r="AH9166">
        <v>0.71923530864348495</v>
      </c>
      <c r="AI9166">
        <v>96.274539518930595</v>
      </c>
      <c r="AJ9166">
        <v>89.344962290499893</v>
      </c>
      <c r="AK9166">
        <v>0.72361705573628199</v>
      </c>
      <c r="AL9166">
        <v>95.706953916340495</v>
      </c>
      <c r="AM9166">
        <v>88.069722208528503</v>
      </c>
      <c r="AN9166">
        <v>1.0000000236456901</v>
      </c>
    </row>
    <row r="9167" spans="1:40" x14ac:dyDescent="0.25">
      <c r="A9167" t="str">
        <f>"20190303154358600"</f>
        <v>20190303154358600</v>
      </c>
      <c r="B9167" t="str">
        <f>"1551599038589277"</f>
        <v>1551599038589277</v>
      </c>
      <c r="C9167" t="s">
        <v>40</v>
      </c>
      <c r="D9167">
        <v>5.5898329999999996</v>
      </c>
      <c r="E9167">
        <v>0.48880960000000001</v>
      </c>
      <c r="F9167" t="s">
        <v>42</v>
      </c>
      <c r="G9167">
        <v>-138.5752</v>
      </c>
      <c r="H9167">
        <v>1.041221</v>
      </c>
      <c r="I9167">
        <v>138.0737</v>
      </c>
      <c r="J9167">
        <v>-139.2664</v>
      </c>
      <c r="K9167">
        <v>1.121105</v>
      </c>
      <c r="L9167">
        <v>138.10290000000001</v>
      </c>
      <c r="M9167">
        <v>0.99921000000000004</v>
      </c>
      <c r="N9167">
        <v>-1.3578969999999999E-2</v>
      </c>
      <c r="O9167">
        <v>-3.7351849999999999E-2</v>
      </c>
      <c r="P9167">
        <v>0.99158939999999995</v>
      </c>
      <c r="Q9167">
        <v>-0.1119913</v>
      </c>
      <c r="R9167">
        <v>-6.4874589999999996E-2</v>
      </c>
      <c r="S9167">
        <v>2.9886170000000001</v>
      </c>
      <c r="T9167">
        <v>-0.26079419999999998</v>
      </c>
      <c r="U9167">
        <v>-0.1216125</v>
      </c>
      <c r="V9167">
        <v>2.7839760000000002E-2</v>
      </c>
      <c r="W9167">
        <v>-9.8478090000000004E-2</v>
      </c>
      <c r="X9167">
        <v>0.99474969999999996</v>
      </c>
      <c r="Y9167">
        <v>3.3915450000000001E-3</v>
      </c>
      <c r="Z9167">
        <v>2.573601E-3</v>
      </c>
      <c r="AA9167">
        <v>0.99999090000000002</v>
      </c>
      <c r="AB9167">
        <v>21</v>
      </c>
      <c r="AC9167">
        <v>0.69120000000000903</v>
      </c>
      <c r="AD9167">
        <v>-7.9883999999999997E-2</v>
      </c>
      <c r="AE9167">
        <v>-2.9200000000002901E-2</v>
      </c>
      <c r="AF9167">
        <v>3.31543701492436E-3</v>
      </c>
      <c r="AG9167">
        <v>-7.9883999999999997E-2</v>
      </c>
      <c r="AH9167">
        <v>0.68270562841562998</v>
      </c>
      <c r="AI9167">
        <v>96.673804554895</v>
      </c>
      <c r="AJ9167">
        <v>89.721755545907399</v>
      </c>
      <c r="AK9167">
        <v>0.68737138480517301</v>
      </c>
      <c r="AL9167">
        <v>95.651539001765897</v>
      </c>
      <c r="AM9167">
        <v>88.396898748272093</v>
      </c>
      <c r="AN9167">
        <v>0.999999976048497</v>
      </c>
    </row>
    <row r="9168" spans="1:40" x14ac:dyDescent="0.25">
      <c r="A9168" t="str">
        <f>"20190303154358621"</f>
        <v>20190303154358621</v>
      </c>
      <c r="B9168" t="str">
        <f>"1551599038609773"</f>
        <v>1551599038609773</v>
      </c>
      <c r="C9168" t="s">
        <v>40</v>
      </c>
      <c r="D9168">
        <v>5.5750299999999999</v>
      </c>
      <c r="E9168">
        <v>0.48902780000000001</v>
      </c>
      <c r="F9168" t="s">
        <v>41</v>
      </c>
      <c r="G9168">
        <v>-126.4143</v>
      </c>
      <c r="H9168" s="1">
        <v>-1.86913E-6</v>
      </c>
      <c r="I9168">
        <v>137.65129999999999</v>
      </c>
      <c r="J9168">
        <v>-139.06960000000001</v>
      </c>
      <c r="K9168">
        <v>1.1211610000000001</v>
      </c>
      <c r="L9168">
        <v>138.0959</v>
      </c>
      <c r="M9168">
        <v>0.99922230000000001</v>
      </c>
      <c r="N9168">
        <v>-1.356577E-2</v>
      </c>
      <c r="O9168">
        <v>-3.7028449999999997E-2</v>
      </c>
      <c r="P9168">
        <v>0.99198960000000003</v>
      </c>
      <c r="Q9168">
        <v>-0.111391</v>
      </c>
      <c r="R9168">
        <v>-5.9574019999999998E-2</v>
      </c>
      <c r="S9168">
        <v>2.9891049999999999</v>
      </c>
      <c r="T9168">
        <v>-0.26074340000000001</v>
      </c>
      <c r="U9168">
        <v>-0.1050262</v>
      </c>
      <c r="V9168">
        <v>2.2860559999999999E-2</v>
      </c>
      <c r="W9168">
        <v>-9.7888329999999996E-2</v>
      </c>
      <c r="X9168">
        <v>0.99493480000000001</v>
      </c>
      <c r="Y9168">
        <v>-1.8104270000000001E-3</v>
      </c>
      <c r="Z9168">
        <v>2.811399E-3</v>
      </c>
      <c r="AA9168">
        <v>0.99999439999999995</v>
      </c>
      <c r="AB9168">
        <v>21</v>
      </c>
      <c r="AC9168">
        <v>12.6553</v>
      </c>
      <c r="AD9168">
        <v>-1.12116286913</v>
      </c>
      <c r="AE9168">
        <v>-0.44460000000000799</v>
      </c>
      <c r="AF9168">
        <v>-2.4164720032111099E-2</v>
      </c>
      <c r="AG9168">
        <v>-1.12116286913</v>
      </c>
      <c r="AH9168">
        <v>12.5645909501589</v>
      </c>
      <c r="AI9168">
        <v>95.099099381183194</v>
      </c>
      <c r="AJ9168">
        <v>90.110193381494497</v>
      </c>
      <c r="AK9168">
        <v>12.6145366881873</v>
      </c>
      <c r="AL9168">
        <v>95.617584086693796</v>
      </c>
      <c r="AM9168">
        <v>88.683749751905907</v>
      </c>
      <c r="AN9168">
        <v>0.99999999330237099</v>
      </c>
    </row>
    <row r="9169" spans="1:40" x14ac:dyDescent="0.25">
      <c r="A9169" t="str">
        <f>"20190303154358825"</f>
        <v>20190303154358825</v>
      </c>
      <c r="B9169" t="str">
        <f>"1551599038819729"</f>
        <v>1551599038819729</v>
      </c>
      <c r="C9169" t="s">
        <v>40</v>
      </c>
      <c r="D9169">
        <v>5.2355039999999997</v>
      </c>
      <c r="E9169">
        <v>0.4896124</v>
      </c>
      <c r="F9169" t="s">
        <v>41</v>
      </c>
      <c r="G9169">
        <v>-126.2818</v>
      </c>
      <c r="H9169" s="1">
        <v>-1.915832E-6</v>
      </c>
      <c r="I9169">
        <v>137.70830000000001</v>
      </c>
      <c r="J9169">
        <v>-137.14750000000001</v>
      </c>
      <c r="K9169">
        <v>1.121346</v>
      </c>
      <c r="L9169">
        <v>138.03890000000001</v>
      </c>
      <c r="M9169">
        <v>0.99950749999999999</v>
      </c>
      <c r="N9169">
        <v>-1.136509E-2</v>
      </c>
      <c r="O9169">
        <v>-2.9255989999999999E-2</v>
      </c>
      <c r="P9169">
        <v>0.99456219999999995</v>
      </c>
      <c r="Q9169">
        <v>-0.1010895</v>
      </c>
      <c r="R9169">
        <v>-2.5037360000000002E-2</v>
      </c>
      <c r="S9169">
        <v>2.9893489999999998</v>
      </c>
      <c r="T9169">
        <v>-0.26208999999999999</v>
      </c>
      <c r="U9169">
        <v>-9.0591430000000001E-2</v>
      </c>
      <c r="V9169">
        <v>-3.9078619999999998E-3</v>
      </c>
      <c r="W9169">
        <v>-8.9783500000000002E-2</v>
      </c>
      <c r="X9169">
        <v>0.99595359999999999</v>
      </c>
      <c r="Y9169">
        <v>1.1134770000000001E-3</v>
      </c>
      <c r="Z9169">
        <v>2.1719539999999998E-3</v>
      </c>
      <c r="AA9169">
        <v>0.99999700000000002</v>
      </c>
      <c r="AB9169">
        <v>21</v>
      </c>
      <c r="AC9169">
        <v>10.8657</v>
      </c>
      <c r="AD9169">
        <v>-1.1213479158320001</v>
      </c>
      <c r="AE9169">
        <v>-0.330600000000003</v>
      </c>
      <c r="AF9169">
        <v>1.2419032404055799E-2</v>
      </c>
      <c r="AG9169">
        <v>-1.1213479158320001</v>
      </c>
      <c r="AH9169">
        <v>10.756268555431999</v>
      </c>
      <c r="AI9169">
        <v>95.951618930132895</v>
      </c>
      <c r="AJ9169">
        <v>89.933847149451793</v>
      </c>
      <c r="AK9169">
        <v>10.814568350945899</v>
      </c>
      <c r="AL9169">
        <v>95.151152333614604</v>
      </c>
      <c r="AM9169">
        <v>90.224812531904206</v>
      </c>
      <c r="AN9169">
        <v>0.99999996080530895</v>
      </c>
    </row>
    <row r="9170" spans="1:40" x14ac:dyDescent="0.25">
      <c r="A9170" t="str">
        <f>"20190303154358846"</f>
        <v>20190303154358846</v>
      </c>
      <c r="B9170" t="str">
        <f>"1551599038839249"</f>
        <v>1551599038839249</v>
      </c>
      <c r="C9170" t="s">
        <v>40</v>
      </c>
      <c r="D9170">
        <v>5.2421439999999997</v>
      </c>
      <c r="E9170">
        <v>0.52988239999999998</v>
      </c>
      <c r="F9170" t="s">
        <v>41</v>
      </c>
      <c r="G9170">
        <v>-122.715</v>
      </c>
      <c r="H9170" s="1">
        <v>-3.3795940000000001E-6</v>
      </c>
      <c r="I9170">
        <v>138.08260000000001</v>
      </c>
      <c r="J9170">
        <v>-136.9537</v>
      </c>
      <c r="K9170">
        <v>1.121335</v>
      </c>
      <c r="L9170">
        <v>138.03450000000001</v>
      </c>
      <c r="M9170">
        <v>0.99954350000000003</v>
      </c>
      <c r="N9170">
        <v>-1.1118279999999999E-2</v>
      </c>
      <c r="O9170">
        <v>-2.8090440000000001E-2</v>
      </c>
      <c r="P9170">
        <v>0.99477740000000003</v>
      </c>
      <c r="Q9170">
        <v>-0.10012989999999999</v>
      </c>
      <c r="R9170">
        <v>-1.979935E-2</v>
      </c>
      <c r="S9170">
        <v>2.9929809999999999</v>
      </c>
      <c r="T9170">
        <v>-0.232543</v>
      </c>
      <c r="U9170">
        <v>9.0637210000000003E-3</v>
      </c>
      <c r="V9170">
        <v>-7.9863580000000007E-3</v>
      </c>
      <c r="W9170">
        <v>-8.9076950000000002E-2</v>
      </c>
      <c r="X9170">
        <v>0.99599269999999995</v>
      </c>
      <c r="Y9170">
        <v>-3.095036E-2</v>
      </c>
      <c r="Z9170">
        <v>3.2399949999999999E-3</v>
      </c>
      <c r="AA9170">
        <v>0.99951570000000001</v>
      </c>
      <c r="AB9170">
        <v>21</v>
      </c>
      <c r="AC9170">
        <v>14.2386999999999</v>
      </c>
      <c r="AD9170">
        <v>-1.121338379594</v>
      </c>
      <c r="AE9170">
        <v>4.8100000000005097E-2</v>
      </c>
      <c r="AF9170">
        <v>-0.44531528917969898</v>
      </c>
      <c r="AG9170">
        <v>-1.121338379594</v>
      </c>
      <c r="AH9170">
        <v>14.1440089459481</v>
      </c>
      <c r="AI9170">
        <v>94.530698082206797</v>
      </c>
      <c r="AJ9170">
        <v>91.803326137433999</v>
      </c>
      <c r="AK9170">
        <v>14.195375815081</v>
      </c>
      <c r="AL9170">
        <v>95.110507080677706</v>
      </c>
      <c r="AM9170">
        <v>90.459415817481997</v>
      </c>
      <c r="AN9170">
        <v>0.99999997169434696</v>
      </c>
    </row>
    <row r="9171" spans="1:40" x14ac:dyDescent="0.25">
      <c r="A9171" t="str">
        <f>"20190303154358877"</f>
        <v>20190303154358877</v>
      </c>
      <c r="B9171" t="str">
        <f>"1551599038869508"</f>
        <v>1551599038869508</v>
      </c>
      <c r="C9171" t="s">
        <v>40</v>
      </c>
      <c r="D9171">
        <v>5.2765380000000004</v>
      </c>
      <c r="E9171">
        <v>0.52491019999999999</v>
      </c>
      <c r="F9171" t="s">
        <v>41</v>
      </c>
      <c r="G9171">
        <v>-116.4207</v>
      </c>
      <c r="H9171" s="1">
        <v>-2.1629399999999999E-6</v>
      </c>
      <c r="I9171">
        <v>136.0127</v>
      </c>
      <c r="J9171">
        <v>-136.65039999999999</v>
      </c>
      <c r="K9171">
        <v>1.1213139999999999</v>
      </c>
      <c r="L9171">
        <v>138.0282</v>
      </c>
      <c r="M9171">
        <v>0.99959929999999997</v>
      </c>
      <c r="N9171">
        <v>-1.071946E-2</v>
      </c>
      <c r="O9171">
        <v>-2.6201180000000001E-2</v>
      </c>
      <c r="P9171">
        <v>0.99482599999999999</v>
      </c>
      <c r="Q9171">
        <v>-0.1005043</v>
      </c>
      <c r="R9171">
        <v>-1.48465E-2</v>
      </c>
      <c r="S9171">
        <v>2.9934229999999999</v>
      </c>
      <c r="T9171">
        <v>-0.1634747</v>
      </c>
      <c r="U9171">
        <v>-0.29475400000000002</v>
      </c>
      <c r="V9171">
        <v>-1.1051190000000001E-2</v>
      </c>
      <c r="W9171">
        <v>-8.9855630000000006E-2</v>
      </c>
      <c r="X9171">
        <v>0.99589349999999999</v>
      </c>
      <c r="Y9171">
        <v>7.178118E-2</v>
      </c>
      <c r="Z9171">
        <v>-1.1942140000000001E-3</v>
      </c>
      <c r="AA9171">
        <v>0.99741970000000002</v>
      </c>
      <c r="AB9171">
        <v>21</v>
      </c>
      <c r="AC9171">
        <v>20.229699999999902</v>
      </c>
      <c r="AD9171">
        <v>-1.1213161629399999</v>
      </c>
      <c r="AE9171">
        <v>-2.0154999999999998</v>
      </c>
      <c r="AF9171">
        <v>1.4802323966867801</v>
      </c>
      <c r="AG9171">
        <v>-1.1213161629399999</v>
      </c>
      <c r="AH9171">
        <v>20.214070433052999</v>
      </c>
      <c r="AI9171">
        <v>93.166599498552003</v>
      </c>
      <c r="AJ9171">
        <v>85.811830148076098</v>
      </c>
      <c r="AK9171">
        <v>20.299189179814501</v>
      </c>
      <c r="AL9171">
        <v>95.155301579673406</v>
      </c>
      <c r="AM9171">
        <v>90.635771352790499</v>
      </c>
      <c r="AN9171">
        <v>1.0000000131926801</v>
      </c>
    </row>
    <row r="9172" spans="1:40" x14ac:dyDescent="0.25">
      <c r="A9172" t="str">
        <f>"20190303154358899"</f>
        <v>20190303154358899</v>
      </c>
      <c r="B9172" t="str">
        <f>"1551599038889025"</f>
        <v>1551599038889025</v>
      </c>
      <c r="C9172" t="s">
        <v>40</v>
      </c>
      <c r="D9172">
        <v>5.2744600000000004</v>
      </c>
      <c r="E9172">
        <v>0.52352200000000004</v>
      </c>
      <c r="F9172" t="s">
        <v>41</v>
      </c>
      <c r="G9172">
        <v>-120.12990000000001</v>
      </c>
      <c r="H9172" s="1">
        <v>-4.7342679999999997E-6</v>
      </c>
      <c r="I9172">
        <v>136.6977</v>
      </c>
      <c r="J9172">
        <v>-136.43559999999999</v>
      </c>
      <c r="K9172">
        <v>1.1212959999999901</v>
      </c>
      <c r="L9172">
        <v>138.02420000000001</v>
      </c>
      <c r="M9172">
        <v>0.99963690000000005</v>
      </c>
      <c r="N9172">
        <v>-1.044223E-2</v>
      </c>
      <c r="O9172">
        <v>-2.4837410000000001E-2</v>
      </c>
      <c r="P9172">
        <v>0.99485889999999999</v>
      </c>
      <c r="Q9172">
        <v>-0.1004033</v>
      </c>
      <c r="R9172">
        <v>-1.323039E-2</v>
      </c>
      <c r="S9172">
        <v>2.9914860000000001</v>
      </c>
      <c r="T9172">
        <v>-0.20304440000000001</v>
      </c>
      <c r="U9172">
        <v>-0.240921</v>
      </c>
      <c r="V9172">
        <v>-1.130839E-2</v>
      </c>
      <c r="W9172">
        <v>-9.0031470000000002E-2</v>
      </c>
      <c r="X9172">
        <v>0.9958747</v>
      </c>
      <c r="Y9172">
        <v>5.5386739999999997E-2</v>
      </c>
      <c r="Z9172">
        <v>-7.4267789999999897E-4</v>
      </c>
      <c r="AA9172">
        <v>0.99846469999999998</v>
      </c>
      <c r="AB9172">
        <v>21</v>
      </c>
      <c r="AC9172">
        <v>16.305699999999899</v>
      </c>
      <c r="AD9172">
        <v>-1.1213007342679999</v>
      </c>
      <c r="AE9172">
        <v>-1.32650000000001</v>
      </c>
      <c r="AF9172">
        <v>0.91677040659883102</v>
      </c>
      <c r="AG9172">
        <v>-1.1213007342679999</v>
      </c>
      <c r="AH9172">
        <v>16.257243488225999</v>
      </c>
      <c r="AI9172">
        <v>93.939338601237594</v>
      </c>
      <c r="AJ9172">
        <v>86.772423173475403</v>
      </c>
      <c r="AK9172">
        <v>16.321634389685101</v>
      </c>
      <c r="AL9172">
        <v>95.165417633674195</v>
      </c>
      <c r="AM9172">
        <v>90.650579007803699</v>
      </c>
      <c r="AN9172">
        <v>0.99999998168742099</v>
      </c>
    </row>
    <row r="9173" spans="1:40" x14ac:dyDescent="0.25">
      <c r="A9173" t="str">
        <f>"20190303154358925"</f>
        <v>20190303154358925</v>
      </c>
      <c r="B9173" t="str">
        <f>"1551599038919280"</f>
        <v>1551599038919280</v>
      </c>
      <c r="C9173" t="s">
        <v>40</v>
      </c>
      <c r="D9173">
        <v>5.2578360000000002</v>
      </c>
      <c r="E9173">
        <v>0.52256480000000005</v>
      </c>
      <c r="F9173" t="s">
        <v>41</v>
      </c>
      <c r="G9173">
        <v>-120.8128</v>
      </c>
      <c r="H9173" s="1">
        <v>-4.4146949999999999E-6</v>
      </c>
      <c r="I9173">
        <v>136.8476</v>
      </c>
      <c r="J9173">
        <v>-136.19489999999999</v>
      </c>
      <c r="K9173">
        <v>1.121275</v>
      </c>
      <c r="L9173">
        <v>138.01990000000001</v>
      </c>
      <c r="M9173">
        <v>0.99967689999999998</v>
      </c>
      <c r="N9173">
        <v>-1.0158260000000001E-2</v>
      </c>
      <c r="O9173">
        <v>-2.3307410000000001E-2</v>
      </c>
      <c r="P9173">
        <v>0.99505730000000003</v>
      </c>
      <c r="Q9173">
        <v>-9.8677260000000003E-2</v>
      </c>
      <c r="R9173">
        <v>-1.112133E-2</v>
      </c>
      <c r="S9173">
        <v>2.9908600000000001</v>
      </c>
      <c r="T9173">
        <v>-0.21466350000000001</v>
      </c>
      <c r="U9173">
        <v>-0.22523499999999999</v>
      </c>
      <c r="V9173">
        <v>-1.19002E-2</v>
      </c>
      <c r="W9173">
        <v>-8.8587899999999997E-2</v>
      </c>
      <c r="X9173">
        <v>0.99599729999999997</v>
      </c>
      <c r="Y9173">
        <v>5.1724720000000002E-2</v>
      </c>
      <c r="Z9173">
        <v>-6.8308259999999999E-4</v>
      </c>
      <c r="AA9173">
        <v>0.99866120000000003</v>
      </c>
      <c r="AB9173">
        <v>21</v>
      </c>
      <c r="AC9173">
        <v>15.3820999999999</v>
      </c>
      <c r="AD9173">
        <v>-1.121279414695</v>
      </c>
      <c r="AE9173">
        <v>-1.1722999999999999</v>
      </c>
      <c r="AF9173">
        <v>0.80917129708032598</v>
      </c>
      <c r="AG9173">
        <v>-1.121279414695</v>
      </c>
      <c r="AH9173">
        <v>15.3242873074422</v>
      </c>
      <c r="AI9173">
        <v>94.179078025508204</v>
      </c>
      <c r="AJ9173">
        <v>86.977406997574903</v>
      </c>
      <c r="AK9173">
        <v>15.386546304966201</v>
      </c>
      <c r="AL9173">
        <v>95.082375084541596</v>
      </c>
      <c r="AM9173">
        <v>90.684538796577002</v>
      </c>
      <c r="AN9173">
        <v>1.00000002619686</v>
      </c>
    </row>
    <row r="9174" spans="1:40" x14ac:dyDescent="0.25">
      <c r="A9174" t="str">
        <f>"20190303154358950"</f>
        <v>20190303154358950</v>
      </c>
      <c r="B9174" t="str">
        <f>"1551599038939777"</f>
        <v>1551599038939777</v>
      </c>
      <c r="C9174" t="s">
        <v>40</v>
      </c>
      <c r="D9174">
        <v>5.2829800000000002</v>
      </c>
      <c r="E9174">
        <v>0.52215869999999998</v>
      </c>
      <c r="F9174" t="s">
        <v>41</v>
      </c>
      <c r="G9174">
        <v>-120.789</v>
      </c>
      <c r="H9174" s="1">
        <v>-4.4099559999999998E-6</v>
      </c>
      <c r="I9174">
        <v>136.93180000000001</v>
      </c>
      <c r="J9174">
        <v>-135.95240000000001</v>
      </c>
      <c r="K9174">
        <v>1.121264</v>
      </c>
      <c r="L9174">
        <v>138.01609999999999</v>
      </c>
      <c r="M9174">
        <v>0.99971390000000004</v>
      </c>
      <c r="N9174">
        <v>-9.9038830000000005E-3</v>
      </c>
      <c r="O9174">
        <v>-2.1772130000000001E-2</v>
      </c>
      <c r="P9174">
        <v>0.9951873</v>
      </c>
      <c r="Q9174">
        <v>-9.7543779999999997E-2</v>
      </c>
      <c r="R9174">
        <v>-9.3615629999999998E-3</v>
      </c>
      <c r="S9174">
        <v>2.990936</v>
      </c>
      <c r="T9174">
        <v>-0.2176882</v>
      </c>
      <c r="U9174">
        <v>-0.21124270000000001</v>
      </c>
      <c r="V9174">
        <v>-1.213672E-2</v>
      </c>
      <c r="W9174">
        <v>-8.7707149999999998E-2</v>
      </c>
      <c r="X9174">
        <v>0.99607239999999997</v>
      </c>
      <c r="Y9174">
        <v>4.861364E-2</v>
      </c>
      <c r="Z9174">
        <v>-6.4097839999999998E-4</v>
      </c>
      <c r="AA9174">
        <v>0.99881739999999997</v>
      </c>
      <c r="AB9174">
        <v>22</v>
      </c>
      <c r="AC9174">
        <v>15.163399999999999</v>
      </c>
      <c r="AD9174">
        <v>-1.121268409956</v>
      </c>
      <c r="AE9174">
        <v>-1.0842999999999801</v>
      </c>
      <c r="AF9174">
        <v>0.74980817235909003</v>
      </c>
      <c r="AG9174">
        <v>-1.121268409956</v>
      </c>
      <c r="AH9174">
        <v>15.1012608415567</v>
      </c>
      <c r="AI9174">
        <v>94.241213030259203</v>
      </c>
      <c r="AJ9174">
        <v>87.157482929767596</v>
      </c>
      <c r="AK9174">
        <v>15.161382989267</v>
      </c>
      <c r="AL9174">
        <v>95.031714582201403</v>
      </c>
      <c r="AM9174">
        <v>90.698090242351498</v>
      </c>
      <c r="AN9174">
        <v>1.0000000350876199</v>
      </c>
    </row>
    <row r="9175" spans="1:40" x14ac:dyDescent="0.25">
      <c r="A9175" t="str">
        <f>"20190303154358971"</f>
        <v>20190303154358971</v>
      </c>
      <c r="B9175" t="str">
        <f>"1551599038959297"</f>
        <v>1551599038959297</v>
      </c>
      <c r="C9175" t="s">
        <v>40</v>
      </c>
      <c r="D9175">
        <v>5.2660090000000004</v>
      </c>
      <c r="E9175">
        <v>0.52196969999999998</v>
      </c>
      <c r="F9175" t="s">
        <v>41</v>
      </c>
      <c r="G9175">
        <v>-120.7276</v>
      </c>
      <c r="H9175" s="1">
        <v>-4.4269979999999997E-6</v>
      </c>
      <c r="I9175">
        <v>136.98429999999999</v>
      </c>
      <c r="J9175">
        <v>-135.7431</v>
      </c>
      <c r="K9175">
        <v>1.1212519999999999</v>
      </c>
      <c r="L9175">
        <v>138.01300000000001</v>
      </c>
      <c r="M9175">
        <v>0.99974379999999996</v>
      </c>
      <c r="N9175">
        <v>-9.7077099999999996E-3</v>
      </c>
      <c r="O9175">
        <v>-2.0454779999999999E-2</v>
      </c>
      <c r="P9175">
        <v>0.99529900000000004</v>
      </c>
      <c r="Q9175">
        <v>-9.6452819999999995E-2</v>
      </c>
      <c r="R9175">
        <v>-8.7833240000000003E-3</v>
      </c>
      <c r="S9175">
        <v>2.9910130000000001</v>
      </c>
      <c r="T9175">
        <v>-0.2202808</v>
      </c>
      <c r="U9175">
        <v>-0.20268249999999999</v>
      </c>
      <c r="V9175">
        <v>-1.140854E-2</v>
      </c>
      <c r="W9175">
        <v>-8.6808930000000006E-2</v>
      </c>
      <c r="X9175">
        <v>0.99615969999999998</v>
      </c>
      <c r="Y9175">
        <v>4.7083519999999997E-2</v>
      </c>
      <c r="Z9175">
        <v>-6.5443130000000002E-4</v>
      </c>
      <c r="AA9175">
        <v>0.99889079999999997</v>
      </c>
      <c r="AB9175">
        <v>22</v>
      </c>
      <c r="AC9175">
        <v>15.015499999999999</v>
      </c>
      <c r="AD9175">
        <v>-1.1212564269980001</v>
      </c>
      <c r="AE9175">
        <v>-1.0287000000000099</v>
      </c>
      <c r="AF9175">
        <v>0.71735025045508505</v>
      </c>
      <c r="AG9175">
        <v>-1.1212564269980001</v>
      </c>
      <c r="AH9175">
        <v>14.9504253985061</v>
      </c>
      <c r="AI9175">
        <v>94.284145830472994</v>
      </c>
      <c r="AJ9175">
        <v>87.252944831037297</v>
      </c>
      <c r="AK9175">
        <v>15.009564515774899</v>
      </c>
      <c r="AL9175">
        <v>94.980053260801697</v>
      </c>
      <c r="AM9175">
        <v>90.656152438745806</v>
      </c>
      <c r="AN9175">
        <v>1.00000004650838</v>
      </c>
    </row>
    <row r="9176" spans="1:40" x14ac:dyDescent="0.25">
      <c r="A9176" t="str">
        <f>"20190303154358990"</f>
        <v>20190303154358990</v>
      </c>
      <c r="B9176" t="str">
        <f>"1551599038979794"</f>
        <v>1551599038979794</v>
      </c>
      <c r="C9176" t="s">
        <v>40</v>
      </c>
      <c r="D9176">
        <v>5.2781099999999999</v>
      </c>
      <c r="E9176">
        <v>0.52189750000000001</v>
      </c>
      <c r="F9176" t="s">
        <v>41</v>
      </c>
      <c r="G9176">
        <v>-120.64060000000001</v>
      </c>
      <c r="H9176" s="1">
        <v>-4.4605970000000002E-6</v>
      </c>
      <c r="I9176">
        <v>137.00540000000001</v>
      </c>
      <c r="J9176">
        <v>-135.5609</v>
      </c>
      <c r="K9176">
        <v>1.121232</v>
      </c>
      <c r="L9176">
        <v>138.01060000000001</v>
      </c>
      <c r="M9176">
        <v>0.99976770000000004</v>
      </c>
      <c r="N9176">
        <v>-9.5503410000000004E-3</v>
      </c>
      <c r="O9176">
        <v>-1.9313429999999999E-2</v>
      </c>
      <c r="P9176">
        <v>0.99532880000000001</v>
      </c>
      <c r="Q9176">
        <v>-9.6131969999999997E-2</v>
      </c>
      <c r="R9176">
        <v>-8.8916120000000001E-3</v>
      </c>
      <c r="S9176">
        <v>2.9909210000000002</v>
      </c>
      <c r="T9176">
        <v>-0.222054</v>
      </c>
      <c r="U9176">
        <v>-0.1995392</v>
      </c>
      <c r="V9176">
        <v>-1.016559E-2</v>
      </c>
      <c r="W9176">
        <v>-8.6641949999999995E-2</v>
      </c>
      <c r="X9176">
        <v>0.99618759999999995</v>
      </c>
      <c r="Y9176">
        <v>4.7177299999999998E-2</v>
      </c>
      <c r="Z9176">
        <v>-7.2686440000000005E-4</v>
      </c>
      <c r="AA9176">
        <v>0.9988863</v>
      </c>
      <c r="AB9176">
        <v>22</v>
      </c>
      <c r="AC9176">
        <v>14.9202999999999</v>
      </c>
      <c r="AD9176">
        <v>-1.121236460597</v>
      </c>
      <c r="AE9176">
        <v>-1.0052000000000001</v>
      </c>
      <c r="AF9176">
        <v>0.71282977162905203</v>
      </c>
      <c r="AG9176">
        <v>-1.121236460597</v>
      </c>
      <c r="AH9176">
        <v>14.853429071564101</v>
      </c>
      <c r="AI9176">
        <v>94.311938771153095</v>
      </c>
      <c r="AJ9176">
        <v>87.2524306955047</v>
      </c>
      <c r="AK9176">
        <v>14.9127345804811</v>
      </c>
      <c r="AL9176">
        <v>94.970450306776797</v>
      </c>
      <c r="AM9176">
        <v>90.584654122893497</v>
      </c>
      <c r="AN9176">
        <v>0.99999995055680402</v>
      </c>
    </row>
    <row r="9177" spans="1:40" x14ac:dyDescent="0.25">
      <c r="A9177" t="str">
        <f>"20190303154359014"</f>
        <v>20190303154359014</v>
      </c>
      <c r="B9177" t="str">
        <f>"1551599039009073"</f>
        <v>1551599039009073</v>
      </c>
      <c r="C9177" t="s">
        <v>40</v>
      </c>
      <c r="D9177">
        <v>5.2878619999999996</v>
      </c>
      <c r="E9177">
        <v>0.52171889999999999</v>
      </c>
      <c r="F9177" t="s">
        <v>41</v>
      </c>
      <c r="G9177">
        <v>-120.6514</v>
      </c>
      <c r="H9177" s="1">
        <v>-4.4540369999999996E-6</v>
      </c>
      <c r="I9177">
        <v>137.0163</v>
      </c>
      <c r="J9177">
        <v>-135.32339999999999</v>
      </c>
      <c r="K9177">
        <v>1.1212059999999999</v>
      </c>
      <c r="L9177">
        <v>138.0077</v>
      </c>
      <c r="M9177">
        <v>0.9997973</v>
      </c>
      <c r="N9177">
        <v>-9.3525770000000008E-3</v>
      </c>
      <c r="O9177">
        <v>-1.783423E-2</v>
      </c>
      <c r="P9177">
        <v>0.99528130000000004</v>
      </c>
      <c r="Q9177">
        <v>-9.6635380000000007E-2</v>
      </c>
      <c r="R9177">
        <v>-8.7862670000000004E-3</v>
      </c>
      <c r="S9177">
        <v>2.99057</v>
      </c>
      <c r="T9177">
        <v>-0.22489880000000001</v>
      </c>
      <c r="U9177">
        <v>-0.19943240000000001</v>
      </c>
      <c r="V9177">
        <v>-8.7974650000000008E-3</v>
      </c>
      <c r="W9177">
        <v>-8.7339890000000003E-2</v>
      </c>
      <c r="X9177">
        <v>0.99613969999999996</v>
      </c>
      <c r="Y9177">
        <v>4.8617899999999999E-2</v>
      </c>
      <c r="Z9177">
        <v>-8.8035309999999999E-4</v>
      </c>
      <c r="AA9177">
        <v>0.99881710000000001</v>
      </c>
      <c r="AB9177">
        <v>22</v>
      </c>
      <c r="AC9177">
        <v>14.671999999999899</v>
      </c>
      <c r="AD9177">
        <v>-1.12121045403699</v>
      </c>
      <c r="AE9177">
        <v>-0.99139999999999795</v>
      </c>
      <c r="AF9177">
        <v>0.72535044028288298</v>
      </c>
      <c r="AG9177">
        <v>-1.12121045403699</v>
      </c>
      <c r="AH9177">
        <v>14.602460541861699</v>
      </c>
      <c r="AI9177">
        <v>94.385300855046395</v>
      </c>
      <c r="AJ9177">
        <v>87.156274612102493</v>
      </c>
      <c r="AK9177">
        <v>14.663393195986</v>
      </c>
      <c r="AL9177">
        <v>95.010591364956795</v>
      </c>
      <c r="AM9177">
        <v>90.505997813994298</v>
      </c>
      <c r="AN9177">
        <v>0.99999997684586295</v>
      </c>
    </row>
    <row r="9178" spans="1:40" x14ac:dyDescent="0.25">
      <c r="A9178" t="str">
        <f>"20190303154359034"</f>
        <v>20190303154359034</v>
      </c>
      <c r="B9178" t="str">
        <f>"1551599039029568"</f>
        <v>1551599039029568</v>
      </c>
      <c r="C9178" t="s">
        <v>40</v>
      </c>
      <c r="D9178">
        <v>5.347486</v>
      </c>
      <c r="E9178">
        <v>0.52157200000000004</v>
      </c>
      <c r="F9178" t="s">
        <v>41</v>
      </c>
      <c r="G9178">
        <v>-120.9306</v>
      </c>
      <c r="H9178" s="1">
        <v>-4.327328E-6</v>
      </c>
      <c r="I9178">
        <v>137.05529999999999</v>
      </c>
      <c r="J9178">
        <v>-135.13409999999999</v>
      </c>
      <c r="K9178">
        <v>1.1211850000000001</v>
      </c>
      <c r="L9178">
        <v>138.00559999999999</v>
      </c>
      <c r="M9178">
        <v>0.99981889999999995</v>
      </c>
      <c r="N9178">
        <v>-9.1985330000000001E-3</v>
      </c>
      <c r="O9178">
        <v>-1.666082E-2</v>
      </c>
      <c r="P9178">
        <v>0.99526199999999998</v>
      </c>
      <c r="Q9178">
        <v>-9.6869220000000006E-2</v>
      </c>
      <c r="R9178">
        <v>-8.3634590000000002E-3</v>
      </c>
      <c r="S9178">
        <v>2.9898829999999998</v>
      </c>
      <c r="T9178">
        <v>-0.23291329999999999</v>
      </c>
      <c r="U9178">
        <v>-0.19783020000000001</v>
      </c>
      <c r="V9178">
        <v>-8.0514439999999996E-3</v>
      </c>
      <c r="W9178">
        <v>-8.7725830000000005E-2</v>
      </c>
      <c r="X9178">
        <v>0.99611209999999994</v>
      </c>
      <c r="Y9178">
        <v>4.9260690000000003E-2</v>
      </c>
      <c r="Z9178">
        <v>-9.9955029999999998E-4</v>
      </c>
      <c r="AA9178">
        <v>0.99878540000000005</v>
      </c>
      <c r="AB9178">
        <v>22</v>
      </c>
      <c r="AC9178">
        <v>14.203499999999901</v>
      </c>
      <c r="AD9178">
        <v>-1.121189327328</v>
      </c>
      <c r="AE9178">
        <v>-0.95029999999999804</v>
      </c>
      <c r="AF9178">
        <v>0.70911720691120395</v>
      </c>
      <c r="AG9178">
        <v>-1.121189327328</v>
      </c>
      <c r="AH9178">
        <v>14.129710054248701</v>
      </c>
      <c r="AI9178">
        <v>94.531222252596507</v>
      </c>
      <c r="AJ9178">
        <v>87.126949960923099</v>
      </c>
      <c r="AK9178">
        <v>14.1918504409393</v>
      </c>
      <c r="AL9178">
        <v>95.032789279704502</v>
      </c>
      <c r="AM9178">
        <v>90.463104217162496</v>
      </c>
      <c r="AN9178">
        <v>0.99999998138304103</v>
      </c>
    </row>
    <row r="9179" spans="1:40" x14ac:dyDescent="0.25">
      <c r="A9179" t="str">
        <f>"20190303154359055"</f>
        <v>20190303154359055</v>
      </c>
      <c r="B9179" t="str">
        <f>"1551599039049089"</f>
        <v>1551599039049089</v>
      </c>
      <c r="C9179" t="s">
        <v>40</v>
      </c>
      <c r="D9179">
        <v>5.3754059999999999</v>
      </c>
      <c r="E9179">
        <v>0.52153640000000001</v>
      </c>
      <c r="F9179" t="s">
        <v>41</v>
      </c>
      <c r="G9179">
        <v>-120.70310000000001</v>
      </c>
      <c r="H9179" s="1">
        <v>-4.4236460000000003E-6</v>
      </c>
      <c r="I9179">
        <v>137.0624</v>
      </c>
      <c r="J9179">
        <v>-134.91909999999999</v>
      </c>
      <c r="K9179">
        <v>1.1211679999999999</v>
      </c>
      <c r="L9179">
        <v>138.00360000000001</v>
      </c>
      <c r="M9179">
        <v>0.9998418</v>
      </c>
      <c r="N9179">
        <v>-9.0255939999999996E-3</v>
      </c>
      <c r="O9179">
        <v>-1.533321E-2</v>
      </c>
      <c r="P9179">
        <v>0.99535390000000001</v>
      </c>
      <c r="Q9179">
        <v>-9.5978709999999995E-2</v>
      </c>
      <c r="R9179">
        <v>-7.6774950000000003E-3</v>
      </c>
      <c r="S9179">
        <v>2.9900359999999999</v>
      </c>
      <c r="T9179">
        <v>-0.2323055</v>
      </c>
      <c r="U9179">
        <v>-0.19543460000000001</v>
      </c>
      <c r="V9179">
        <v>-7.4182839999999998E-3</v>
      </c>
      <c r="W9179">
        <v>-8.7005559999999996E-2</v>
      </c>
      <c r="X9179">
        <v>0.99618019999999996</v>
      </c>
      <c r="Y9179">
        <v>4.9783040000000001E-2</v>
      </c>
      <c r="Z9179">
        <v>-1.104261E-3</v>
      </c>
      <c r="AA9179">
        <v>0.99875939999999996</v>
      </c>
      <c r="AB9179">
        <v>22</v>
      </c>
      <c r="AC9179">
        <v>14.2159999999999</v>
      </c>
      <c r="AD9179">
        <v>-1.1211724236459999</v>
      </c>
      <c r="AE9179">
        <v>-0.94120000000000903</v>
      </c>
      <c r="AF9179">
        <v>0.71865306219534597</v>
      </c>
      <c r="AG9179">
        <v>-1.1211724236459999</v>
      </c>
      <c r="AH9179">
        <v>14.1411865980574</v>
      </c>
      <c r="AI9179">
        <v>94.527348271005394</v>
      </c>
      <c r="AJ9179">
        <v>87.090739572255501</v>
      </c>
      <c r="AK9179">
        <v>14.2037547229043</v>
      </c>
      <c r="AL9179">
        <v>94.991362377072207</v>
      </c>
      <c r="AM9179">
        <v>90.426658257278604</v>
      </c>
      <c r="AN9179">
        <v>0.99999999464022904</v>
      </c>
    </row>
    <row r="9180" spans="1:40" x14ac:dyDescent="0.25">
      <c r="A9180" t="str">
        <f>"20190303154359078"</f>
        <v>20190303154359078</v>
      </c>
      <c r="B9180" t="str">
        <f>"1551599039069586"</f>
        <v>1551599039069586</v>
      </c>
      <c r="C9180" t="s">
        <v>40</v>
      </c>
      <c r="D9180">
        <v>5.3602379999999998</v>
      </c>
      <c r="E9180">
        <v>0.52154309999999904</v>
      </c>
      <c r="F9180" t="s">
        <v>42</v>
      </c>
      <c r="G9180">
        <v>-133.99440000000001</v>
      </c>
      <c r="H9180">
        <v>1.0489790000000001</v>
      </c>
      <c r="I9180">
        <v>137.94380000000001</v>
      </c>
      <c r="J9180">
        <v>-134.69820000000001</v>
      </c>
      <c r="K9180">
        <v>1.1211549999999999</v>
      </c>
      <c r="L9180">
        <v>138.0018</v>
      </c>
      <c r="M9180">
        <v>0.9998631</v>
      </c>
      <c r="N9180">
        <v>-8.8582319999999902E-3</v>
      </c>
      <c r="O9180">
        <v>-1.3971880000000001E-2</v>
      </c>
      <c r="P9180">
        <v>0.99539909999999998</v>
      </c>
      <c r="Q9180">
        <v>-9.5543149999999993E-2</v>
      </c>
      <c r="R9180">
        <v>-7.2446809999999898E-3</v>
      </c>
      <c r="S9180">
        <v>2.990005</v>
      </c>
      <c r="T9180">
        <v>-0.2333963</v>
      </c>
      <c r="U9180">
        <v>-0.1932526</v>
      </c>
      <c r="V9180">
        <v>-6.4973799999999996E-3</v>
      </c>
      <c r="W9180">
        <v>-8.6734549999999994E-2</v>
      </c>
      <c r="X9180">
        <v>0.99621029999999999</v>
      </c>
      <c r="Y9180">
        <v>5.041176E-2</v>
      </c>
      <c r="Z9180">
        <v>-1.2222050000000001E-3</v>
      </c>
      <c r="AA9180">
        <v>0.99872780000000005</v>
      </c>
      <c r="AB9180">
        <v>22</v>
      </c>
      <c r="AC9180">
        <v>0.70380000000000098</v>
      </c>
      <c r="AD9180">
        <v>-7.2175999999999796E-2</v>
      </c>
      <c r="AE9180">
        <v>-5.7999999999992703E-2</v>
      </c>
      <c r="AF9180">
        <v>4.76626612333097E-2</v>
      </c>
      <c r="AG9180">
        <v>-7.2175999999999796E-2</v>
      </c>
      <c r="AH9180">
        <v>0.69725817803736101</v>
      </c>
      <c r="AI9180">
        <v>95.896205994003495</v>
      </c>
      <c r="AJ9180">
        <v>86.0895005961913</v>
      </c>
      <c r="AK9180">
        <v>0.70260235630961398</v>
      </c>
      <c r="AL9180">
        <v>94.975775548523998</v>
      </c>
      <c r="AM9180">
        <v>90.373683321165899</v>
      </c>
      <c r="AN9180">
        <v>1.00000002996832</v>
      </c>
    </row>
    <row r="9181" spans="1:40" x14ac:dyDescent="0.25">
      <c r="A9181" t="str">
        <f>"20190303154359100"</f>
        <v>20190303154359100</v>
      </c>
      <c r="B9181" t="str">
        <f>"1551599039089106"</f>
        <v>1551599039089106</v>
      </c>
      <c r="C9181" t="s">
        <v>40</v>
      </c>
      <c r="D9181">
        <v>5.424677</v>
      </c>
      <c r="E9181">
        <v>0.52141110000000002</v>
      </c>
      <c r="F9181" t="s">
        <v>42</v>
      </c>
      <c r="G9181">
        <v>-133.79570000000001</v>
      </c>
      <c r="H9181">
        <v>1.0502370000000001</v>
      </c>
      <c r="I9181">
        <v>137.94370000000001</v>
      </c>
      <c r="J9181">
        <v>-134.47890000000001</v>
      </c>
      <c r="K9181">
        <v>1.1211390000000001</v>
      </c>
      <c r="L9181">
        <v>138.00020000000001</v>
      </c>
      <c r="M9181">
        <v>0.99988250000000001</v>
      </c>
      <c r="N9181">
        <v>-8.7089000000000003E-3</v>
      </c>
      <c r="O9181">
        <v>-1.262229E-2</v>
      </c>
      <c r="P9181">
        <v>0.99543769999999998</v>
      </c>
      <c r="Q9181">
        <v>-9.5163639999999994E-2</v>
      </c>
      <c r="R9181">
        <v>-6.9178919999999897E-3</v>
      </c>
      <c r="S9181">
        <v>2.9899140000000002</v>
      </c>
      <c r="T9181">
        <v>-0.2350188</v>
      </c>
      <c r="U9181">
        <v>-0.1920471</v>
      </c>
      <c r="V9181">
        <v>-5.4809239999999999E-3</v>
      </c>
      <c r="W9181">
        <v>-8.6501549999999996E-2</v>
      </c>
      <c r="X9181">
        <v>0.99623660000000003</v>
      </c>
      <c r="Y9181">
        <v>5.1352979999999999E-2</v>
      </c>
      <c r="Z9181">
        <v>-1.3575079999999999E-3</v>
      </c>
      <c r="AA9181">
        <v>0.9986796</v>
      </c>
      <c r="AB9181">
        <v>22</v>
      </c>
      <c r="AC9181">
        <v>0.68319999999999903</v>
      </c>
      <c r="AD9181">
        <v>-7.0901999999999799E-2</v>
      </c>
      <c r="AE9181">
        <v>-5.6499999999999703E-2</v>
      </c>
      <c r="AF9181">
        <v>4.7364961803932099E-2</v>
      </c>
      <c r="AG9181">
        <v>-7.0901999999999799E-2</v>
      </c>
      <c r="AH9181">
        <v>0.676620955045386</v>
      </c>
      <c r="AI9181">
        <v>95.967600913899204</v>
      </c>
      <c r="AJ9181">
        <v>85.995701085220105</v>
      </c>
      <c r="AK9181">
        <v>0.68197247013147</v>
      </c>
      <c r="AL9181">
        <v>94.962375612029206</v>
      </c>
      <c r="AM9181">
        <v>90.315216932108299</v>
      </c>
      <c r="AN9181">
        <v>0.99999996092992705</v>
      </c>
    </row>
    <row r="9182" spans="1:40" x14ac:dyDescent="0.25">
      <c r="A9182" t="str">
        <f>"20190303154359126"</f>
        <v>20190303154359126</v>
      </c>
      <c r="B9182" t="str">
        <f>"1551599039119361"</f>
        <v>1551599039119361</v>
      </c>
      <c r="C9182" t="s">
        <v>40</v>
      </c>
      <c r="D9182">
        <v>5.4105420000000004</v>
      </c>
      <c r="E9182">
        <v>0.49045050000000001</v>
      </c>
      <c r="F9182" t="s">
        <v>42</v>
      </c>
      <c r="G9182">
        <v>-133.59639999999999</v>
      </c>
      <c r="H9182">
        <v>1.051493</v>
      </c>
      <c r="I9182">
        <v>137.94399999999999</v>
      </c>
      <c r="J9182">
        <v>-134.2321</v>
      </c>
      <c r="K9182">
        <v>1.1211249999999999</v>
      </c>
      <c r="L9182">
        <v>137.99889999999999</v>
      </c>
      <c r="M9182">
        <v>0.9999017</v>
      </c>
      <c r="N9182">
        <v>-8.5592020000000001E-3</v>
      </c>
      <c r="O9182">
        <v>-1.110331E-2</v>
      </c>
      <c r="P9182">
        <v>0.99542200000000003</v>
      </c>
      <c r="Q9182">
        <v>-9.5354359999999999E-2</v>
      </c>
      <c r="R9182">
        <v>-6.5254429999999997E-3</v>
      </c>
      <c r="S9182">
        <v>2.989868</v>
      </c>
      <c r="T9182">
        <v>-0.2360024</v>
      </c>
      <c r="U9182">
        <v>-0.19015499999999999</v>
      </c>
      <c r="V9182">
        <v>-4.3596909999999997E-3</v>
      </c>
      <c r="W9182">
        <v>-8.6839360000000004E-2</v>
      </c>
      <c r="X9182">
        <v>0.99621280000000001</v>
      </c>
      <c r="Y9182">
        <v>5.2234210000000003E-2</v>
      </c>
      <c r="Z9182">
        <v>-1.5011359999999999E-3</v>
      </c>
      <c r="AA9182">
        <v>0.99863369999999996</v>
      </c>
      <c r="AB9182">
        <v>22</v>
      </c>
      <c r="AC9182">
        <v>0.63570000000001403</v>
      </c>
      <c r="AD9182">
        <v>-6.9631999999999902E-2</v>
      </c>
      <c r="AE9182">
        <v>-5.4900000000003502E-2</v>
      </c>
      <c r="AF9182">
        <v>4.7274970813443097E-2</v>
      </c>
      <c r="AG9182">
        <v>-6.9631999999999902E-2</v>
      </c>
      <c r="AH9182">
        <v>0.62878205028516998</v>
      </c>
      <c r="AI9182">
        <v>96.301605905389394</v>
      </c>
      <c r="AJ9182">
        <v>85.700307079441401</v>
      </c>
      <c r="AK9182">
        <v>0.63438978952236702</v>
      </c>
      <c r="AL9182">
        <v>94.981803552111003</v>
      </c>
      <c r="AM9182">
        <v>90.250739901809695</v>
      </c>
      <c r="AN9182">
        <v>1.00000001211733</v>
      </c>
    </row>
    <row r="9183" spans="1:40" x14ac:dyDescent="0.25">
      <c r="A9183" t="str">
        <f>"20190303154359150"</f>
        <v>20190303154359150</v>
      </c>
      <c r="B9183" t="str">
        <f>"1551599039138881"</f>
        <v>1551599039138881</v>
      </c>
      <c r="C9183" t="s">
        <v>40</v>
      </c>
      <c r="D9183">
        <v>5.4330619999999996</v>
      </c>
      <c r="E9183">
        <v>0.48723689999999997</v>
      </c>
      <c r="F9183" t="s">
        <v>41</v>
      </c>
      <c r="G9183">
        <v>-122.78019999999999</v>
      </c>
      <c r="H9183" s="1">
        <v>-3.3281189999999998E-6</v>
      </c>
      <c r="I9183">
        <v>138.21510000000001</v>
      </c>
      <c r="J9183">
        <v>-133.9855</v>
      </c>
      <c r="K9183">
        <v>1.1211100000000001</v>
      </c>
      <c r="L9183">
        <v>137.99780000000001</v>
      </c>
      <c r="M9183">
        <v>0.99991870000000005</v>
      </c>
      <c r="N9183">
        <v>-8.4208040000000005E-3</v>
      </c>
      <c r="O9183">
        <v>-9.5850769999999991E-3</v>
      </c>
      <c r="P9183">
        <v>0.99540419999999996</v>
      </c>
      <c r="Q9183">
        <v>-9.5520830000000001E-2</v>
      </c>
      <c r="R9183">
        <v>-6.8249299999999999E-3</v>
      </c>
      <c r="S9183">
        <v>2.9861599999999999</v>
      </c>
      <c r="T9183">
        <v>-0.2923404</v>
      </c>
      <c r="U9183">
        <v>5.6396479999999999E-2</v>
      </c>
      <c r="V9183">
        <v>-2.5468980000000001E-3</v>
      </c>
      <c r="W9183">
        <v>-8.7140309999999999E-2</v>
      </c>
      <c r="X9183">
        <v>0.99619279999999999</v>
      </c>
      <c r="Y9183">
        <v>-2.8280329999999999E-2</v>
      </c>
      <c r="Z9183">
        <v>2.3557909999999999E-3</v>
      </c>
      <c r="AA9183">
        <v>0.99959730000000002</v>
      </c>
      <c r="AB9183">
        <v>22</v>
      </c>
      <c r="AC9183">
        <v>11.205299999999999</v>
      </c>
      <c r="AD9183">
        <v>-1.121113328119</v>
      </c>
      <c r="AE9183">
        <v>0.217299999999994</v>
      </c>
      <c r="AF9183">
        <v>-0.32148053471982302</v>
      </c>
      <c r="AG9183">
        <v>-1.121113328119</v>
      </c>
      <c r="AH9183">
        <v>11.0917114181802</v>
      </c>
      <c r="AI9183">
        <v>95.769258437096696</v>
      </c>
      <c r="AJ9183">
        <v>91.660187674726501</v>
      </c>
      <c r="AK9183">
        <v>11.1528609339881</v>
      </c>
      <c r="AL9183">
        <v>94.999112353864703</v>
      </c>
      <c r="AM9183">
        <v>90.146483881743094</v>
      </c>
      <c r="AN9183">
        <v>1.00000000754407</v>
      </c>
    </row>
    <row r="9184" spans="1:40" x14ac:dyDescent="0.25">
      <c r="A9184" t="str">
        <f>"20190303154359172"</f>
        <v>20190303154359172</v>
      </c>
      <c r="B9184" t="str">
        <f>"1551599039159377"</f>
        <v>1551599039159377</v>
      </c>
      <c r="C9184" t="s">
        <v>40</v>
      </c>
      <c r="D9184">
        <v>5.3906980000000004</v>
      </c>
      <c r="E9184">
        <v>0.48541109999999998</v>
      </c>
      <c r="F9184" t="s">
        <v>41</v>
      </c>
      <c r="G9184">
        <v>-122.5034</v>
      </c>
      <c r="H9184" s="1">
        <v>-3.4299719999999998E-6</v>
      </c>
      <c r="I9184">
        <v>138.31030000000001</v>
      </c>
      <c r="J9184">
        <v>-133.7705</v>
      </c>
      <c r="K9184">
        <v>1.121102</v>
      </c>
      <c r="L9184">
        <v>137.99719999999999</v>
      </c>
      <c r="M9184">
        <v>0.99993129999999997</v>
      </c>
      <c r="N9184">
        <v>-8.3176989999999996E-3</v>
      </c>
      <c r="O9184">
        <v>-8.2607940000000001E-3</v>
      </c>
      <c r="P9184">
        <v>0.99546619999999997</v>
      </c>
      <c r="Q9184">
        <v>-9.4831680000000002E-2</v>
      </c>
      <c r="R9184">
        <v>-7.3472310000000001E-3</v>
      </c>
      <c r="S9184">
        <v>2.9864199999999999</v>
      </c>
      <c r="T9184">
        <v>-0.29159429999999997</v>
      </c>
      <c r="U9184">
        <v>8.1268309999999996E-2</v>
      </c>
      <c r="V9184">
        <v>-7.0669690000000002E-4</v>
      </c>
      <c r="W9184">
        <v>-8.654974E-2</v>
      </c>
      <c r="X9184">
        <v>0.99624729999999995</v>
      </c>
      <c r="Y9184">
        <v>-3.5244959999999999E-2</v>
      </c>
      <c r="Z9184">
        <v>2.5992390000000002E-3</v>
      </c>
      <c r="AA9184">
        <v>0.99937529999999997</v>
      </c>
      <c r="AB9184">
        <v>22</v>
      </c>
      <c r="AC9184">
        <v>11.267099999999999</v>
      </c>
      <c r="AD9184">
        <v>-1.121105429972</v>
      </c>
      <c r="AE9184">
        <v>0.31310000000001897</v>
      </c>
      <c r="AF9184">
        <v>-0.40218882336054002</v>
      </c>
      <c r="AG9184">
        <v>-1.121105429972</v>
      </c>
      <c r="AH9184">
        <v>11.153783245004201</v>
      </c>
      <c r="AI9184">
        <v>95.736016956174197</v>
      </c>
      <c r="AJ9184">
        <v>92.065105816561498</v>
      </c>
      <c r="AK9184">
        <v>11.217197239564101</v>
      </c>
      <c r="AL9184">
        <v>94.9651467966262</v>
      </c>
      <c r="AM9184">
        <v>90.0406432649538</v>
      </c>
      <c r="AN9184">
        <v>1.00000001983593</v>
      </c>
    </row>
    <row r="9185" spans="1:40" x14ac:dyDescent="0.25">
      <c r="A9185" t="str">
        <f>"20190303154359190"</f>
        <v>20190303154359190</v>
      </c>
      <c r="B9185" t="str">
        <f>"1551599039179874"</f>
        <v>1551599039179874</v>
      </c>
      <c r="C9185" t="s">
        <v>40</v>
      </c>
      <c r="D9185">
        <v>5.3199709999999998</v>
      </c>
      <c r="E9185">
        <v>0.48424830000000002</v>
      </c>
      <c r="F9185" t="s">
        <v>41</v>
      </c>
      <c r="G9185">
        <v>-122.1371</v>
      </c>
      <c r="H9185" s="1">
        <v>-3.5775239999999999E-6</v>
      </c>
      <c r="I9185">
        <v>138.36429999999999</v>
      </c>
      <c r="J9185">
        <v>-133.58330000000001</v>
      </c>
      <c r="K9185">
        <v>1.121102</v>
      </c>
      <c r="L9185">
        <v>137.99700000000001</v>
      </c>
      <c r="M9185">
        <v>0.99994079999999996</v>
      </c>
      <c r="N9185">
        <v>-8.2532730000000002E-3</v>
      </c>
      <c r="O9185">
        <v>-7.108774E-3</v>
      </c>
      <c r="P9185">
        <v>0.99542439999999999</v>
      </c>
      <c r="Q9185">
        <v>-9.5205620000000005E-2</v>
      </c>
      <c r="R9185">
        <v>-8.1361179999999995E-3</v>
      </c>
      <c r="S9185">
        <v>2.9869690000000002</v>
      </c>
      <c r="T9185">
        <v>-0.28785280000000002</v>
      </c>
      <c r="U9185">
        <v>9.4253539999999997E-2</v>
      </c>
      <c r="V9185">
        <v>1.231207E-3</v>
      </c>
      <c r="W9185">
        <v>-8.6984339999999993E-2</v>
      </c>
      <c r="X9185">
        <v>0.99620889999999995</v>
      </c>
      <c r="Y9185">
        <v>-3.8423239999999997E-2</v>
      </c>
      <c r="Z9185">
        <v>2.6304779999999999E-3</v>
      </c>
      <c r="AA9185">
        <v>0.99925810000000004</v>
      </c>
      <c r="AB9185">
        <v>22</v>
      </c>
      <c r="AC9185">
        <v>11.446199999999999</v>
      </c>
      <c r="AD9185">
        <v>-1.121105577524</v>
      </c>
      <c r="AE9185">
        <v>0.36729999999997098</v>
      </c>
      <c r="AF9185">
        <v>-0.44440299979850101</v>
      </c>
      <c r="AG9185">
        <v>-1.121105577524</v>
      </c>
      <c r="AH9185">
        <v>11.3346739608169</v>
      </c>
      <c r="AI9185">
        <v>95.644408621147804</v>
      </c>
      <c r="AJ9185">
        <v>92.2452680414018</v>
      </c>
      <c r="AK9185">
        <v>11.398649285779699</v>
      </c>
      <c r="AL9185">
        <v>94.990141997570305</v>
      </c>
      <c r="AM9185">
        <v>89.929188618079394</v>
      </c>
      <c r="AN9185">
        <v>0.999999981857561</v>
      </c>
    </row>
    <row r="9186" spans="1:40" x14ac:dyDescent="0.25">
      <c r="A9186" t="str">
        <f>"20190303154359213"</f>
        <v>20190303154359213</v>
      </c>
      <c r="B9186" t="str">
        <f>"1551599039209154"</f>
        <v>1551599039209154</v>
      </c>
      <c r="C9186" t="s">
        <v>40</v>
      </c>
      <c r="D9186">
        <v>5.3100259999999997</v>
      </c>
      <c r="E9186">
        <v>0.48345120000000003</v>
      </c>
      <c r="F9186" t="s">
        <v>41</v>
      </c>
      <c r="G9186">
        <v>-121.97709999999999</v>
      </c>
      <c r="H9186" s="1">
        <v>-3.6416469999999998E-6</v>
      </c>
      <c r="I9186">
        <v>138.38990000000001</v>
      </c>
      <c r="J9186">
        <v>-133.36240000000001</v>
      </c>
      <c r="K9186">
        <v>1.1211100000000001</v>
      </c>
      <c r="L9186">
        <v>137.99690000000001</v>
      </c>
      <c r="M9186">
        <v>0.9999498</v>
      </c>
      <c r="N9186">
        <v>-8.2088259999999903E-3</v>
      </c>
      <c r="O9186">
        <v>-5.7493900000000001E-3</v>
      </c>
      <c r="P9186">
        <v>0.99539690000000003</v>
      </c>
      <c r="Q9186">
        <v>-9.5509960000000005E-2</v>
      </c>
      <c r="R9186">
        <v>-7.9342379999999997E-3</v>
      </c>
      <c r="S9186">
        <v>2.987015</v>
      </c>
      <c r="T9186">
        <v>-0.28853069999999997</v>
      </c>
      <c r="U9186">
        <v>0.10112</v>
      </c>
      <c r="V9186">
        <v>2.384686E-3</v>
      </c>
      <c r="W9186">
        <v>-8.7330889999999994E-2</v>
      </c>
      <c r="X9186">
        <v>0.99617650000000002</v>
      </c>
      <c r="Y9186">
        <v>-3.9358530000000003E-2</v>
      </c>
      <c r="Z9186">
        <v>2.5648099999999998E-3</v>
      </c>
      <c r="AA9186">
        <v>0.9992219</v>
      </c>
      <c r="AB9186">
        <v>22</v>
      </c>
      <c r="AC9186">
        <v>11.385300000000001</v>
      </c>
      <c r="AD9186">
        <v>-1.121113641647</v>
      </c>
      <c r="AE9186">
        <v>0.39300000000000002</v>
      </c>
      <c r="AF9186">
        <v>-0.45405676393743299</v>
      </c>
      <c r="AG9186">
        <v>-1.121113641647</v>
      </c>
      <c r="AH9186">
        <v>11.273668373153001</v>
      </c>
      <c r="AI9186">
        <v>95.674555117222297</v>
      </c>
      <c r="AJ9186">
        <v>92.3063906133562</v>
      </c>
      <c r="AK9186">
        <v>11.338371220338299</v>
      </c>
      <c r="AL9186">
        <v>95.010073633250599</v>
      </c>
      <c r="AM9186">
        <v>89.862843399462093</v>
      </c>
      <c r="AN9186">
        <v>0.99999999511388005</v>
      </c>
    </row>
    <row r="9187" spans="1:40" x14ac:dyDescent="0.25">
      <c r="A9187" t="str">
        <f>"20190303154359235"</f>
        <v>20190303154359235</v>
      </c>
      <c r="B9187" t="str">
        <f>"1551599039229649"</f>
        <v>1551599039229649</v>
      </c>
      <c r="C9187" t="s">
        <v>40</v>
      </c>
      <c r="D9187">
        <v>5.2795129999999997</v>
      </c>
      <c r="E9187">
        <v>0.48270829999999998</v>
      </c>
      <c r="F9187" t="s">
        <v>41</v>
      </c>
      <c r="G9187">
        <v>-121.7114</v>
      </c>
      <c r="H9187" s="1">
        <v>-3.7504780000000002E-6</v>
      </c>
      <c r="I9187">
        <v>138.41890000000001</v>
      </c>
      <c r="J9187">
        <v>-133.13200000000001</v>
      </c>
      <c r="K9187">
        <v>1.1211230000000001</v>
      </c>
      <c r="L9187">
        <v>137.99719999999999</v>
      </c>
      <c r="M9187">
        <v>0.99995699999999998</v>
      </c>
      <c r="N9187">
        <v>-8.2048429999999999E-3</v>
      </c>
      <c r="O9187">
        <v>-4.3330299999999999E-3</v>
      </c>
      <c r="P9187">
        <v>0.99537399999999998</v>
      </c>
      <c r="Q9187">
        <v>-9.5819979999999999E-2</v>
      </c>
      <c r="R9187">
        <v>-7.0354149999999997E-3</v>
      </c>
      <c r="S9187">
        <v>2.9871370000000002</v>
      </c>
      <c r="T9187">
        <v>-0.287435099999999</v>
      </c>
      <c r="U9187">
        <v>0.10820009999999999</v>
      </c>
      <c r="V9187">
        <v>2.8976980000000002E-3</v>
      </c>
      <c r="W9187">
        <v>-8.7644050000000001E-2</v>
      </c>
      <c r="X9187">
        <v>0.99614760000000002</v>
      </c>
      <c r="Y9187">
        <v>-4.0309629999999999E-2</v>
      </c>
      <c r="Z9187">
        <v>2.48051E-3</v>
      </c>
      <c r="AA9187">
        <v>0.99918410000000002</v>
      </c>
      <c r="AB9187">
        <v>23</v>
      </c>
      <c r="AC9187">
        <v>11.4206</v>
      </c>
      <c r="AD9187">
        <v>-1.12112675047799</v>
      </c>
      <c r="AE9187">
        <v>0.42170000000001501</v>
      </c>
      <c r="AF9187">
        <v>-0.46669222366992702</v>
      </c>
      <c r="AG9187">
        <v>-1.12112675047799</v>
      </c>
      <c r="AH9187">
        <v>11.3098236840358</v>
      </c>
      <c r="AI9187">
        <v>95.656372107436297</v>
      </c>
      <c r="AJ9187">
        <v>92.362931035830201</v>
      </c>
      <c r="AK9187">
        <v>11.3748335630131</v>
      </c>
      <c r="AL9187">
        <v>95.028085628071295</v>
      </c>
      <c r="AM9187">
        <v>89.833332532831903</v>
      </c>
      <c r="AN9187">
        <v>0.99999995856992996</v>
      </c>
    </row>
    <row r="9188" spans="1:40" x14ac:dyDescent="0.25">
      <c r="A9188" t="str">
        <f>"20190303154359257"</f>
        <v>20190303154359257</v>
      </c>
      <c r="B9188" t="str">
        <f>"1551599039249169"</f>
        <v>1551599039249169</v>
      </c>
      <c r="C9188" t="s">
        <v>40</v>
      </c>
      <c r="D9188">
        <v>5.2827060000000001</v>
      </c>
      <c r="E9188">
        <v>0.48214249999999997</v>
      </c>
      <c r="F9188" t="s">
        <v>41</v>
      </c>
      <c r="G9188">
        <v>-121.5286</v>
      </c>
      <c r="H9188" s="1">
        <v>-3.8232829999999996E-6</v>
      </c>
      <c r="I9188">
        <v>138.45070000000001</v>
      </c>
      <c r="J9188">
        <v>-132.91220000000001</v>
      </c>
      <c r="K9188">
        <v>1.121146</v>
      </c>
      <c r="L9188">
        <v>137.99780000000001</v>
      </c>
      <c r="M9188">
        <v>0.9999614</v>
      </c>
      <c r="N9188">
        <v>-8.2693890000000003E-3</v>
      </c>
      <c r="O9188">
        <v>-2.985915E-3</v>
      </c>
      <c r="P9188">
        <v>0.99534820000000002</v>
      </c>
      <c r="Q9188">
        <v>-9.6205769999999996E-2</v>
      </c>
      <c r="R9188">
        <v>-5.1197509999999996E-3</v>
      </c>
      <c r="S9188">
        <v>2.9869690000000002</v>
      </c>
      <c r="T9188">
        <v>-0.2886012</v>
      </c>
      <c r="U9188">
        <v>0.116745</v>
      </c>
      <c r="V9188">
        <v>2.3247989999999998E-3</v>
      </c>
      <c r="W9188">
        <v>-8.796698E-2</v>
      </c>
      <c r="X9188">
        <v>0.99612069999999997</v>
      </c>
      <c r="Y9188">
        <v>-4.1815720000000001E-2</v>
      </c>
      <c r="Z9188">
        <v>2.4511559999999999E-3</v>
      </c>
      <c r="AA9188">
        <v>0.99912230000000002</v>
      </c>
      <c r="AB9188">
        <v>23</v>
      </c>
      <c r="AC9188">
        <v>11.383599999999999</v>
      </c>
      <c r="AD9188">
        <v>-1.1211498232829999</v>
      </c>
      <c r="AE9188">
        <v>0.45289999999999903</v>
      </c>
      <c r="AF9188">
        <v>-0.48221950604974501</v>
      </c>
      <c r="AG9188">
        <v>-1.1211498232829999</v>
      </c>
      <c r="AH9188">
        <v>11.273022303135001</v>
      </c>
      <c r="AI9188">
        <v>95.674475756337202</v>
      </c>
      <c r="AJ9188">
        <v>92.4494149034998</v>
      </c>
      <c r="AK9188">
        <v>11.338895203027599</v>
      </c>
      <c r="AL9188">
        <v>95.046659576581007</v>
      </c>
      <c r="AM9188">
        <v>89.866280332218807</v>
      </c>
      <c r="AN9188">
        <v>1.0000000216146001</v>
      </c>
    </row>
    <row r="9189" spans="1:40" x14ac:dyDescent="0.25">
      <c r="A9189" t="str">
        <f>"20190303154359280"</f>
        <v>20190303154359280</v>
      </c>
      <c r="B9189" t="str">
        <f>"1551599039269825"</f>
        <v>1551599039269825</v>
      </c>
      <c r="C9189" t="s">
        <v>40</v>
      </c>
      <c r="D9189">
        <v>5.2464589999999998</v>
      </c>
      <c r="E9189">
        <v>0.48161920000000003</v>
      </c>
      <c r="F9189" t="s">
        <v>41</v>
      </c>
      <c r="G9189">
        <v>-121.29559999999999</v>
      </c>
      <c r="H9189" s="1">
        <v>-3.915875E-6</v>
      </c>
      <c r="I9189">
        <v>138.49209999999999</v>
      </c>
      <c r="J9189">
        <v>-132.67939999999999</v>
      </c>
      <c r="K9189">
        <v>1.1211979999999999</v>
      </c>
      <c r="L9189">
        <v>137.99870000000001</v>
      </c>
      <c r="M9189">
        <v>0.99996300000000005</v>
      </c>
      <c r="N9189">
        <v>-8.4515379999999998E-3</v>
      </c>
      <c r="O9189">
        <v>-1.5664629999999999E-3</v>
      </c>
      <c r="P9189">
        <v>0.99536279999999999</v>
      </c>
      <c r="Q9189">
        <v>-9.6140310000000007E-2</v>
      </c>
      <c r="R9189">
        <v>-3.1536519999999998E-3</v>
      </c>
      <c r="S9189">
        <v>2.986847</v>
      </c>
      <c r="T9189">
        <v>-0.28826689999999999</v>
      </c>
      <c r="U9189">
        <v>0.12712100000000001</v>
      </c>
      <c r="V9189">
        <v>1.7718650000000001E-3</v>
      </c>
      <c r="W9189">
        <v>-8.7721090000000002E-2</v>
      </c>
      <c r="X9189">
        <v>0.99614349999999996</v>
      </c>
      <c r="Y9189">
        <v>-4.3859420000000003E-2</v>
      </c>
      <c r="Z9189">
        <v>2.4340820000000002E-3</v>
      </c>
      <c r="AA9189">
        <v>0.9990348</v>
      </c>
      <c r="AB9189">
        <v>23</v>
      </c>
      <c r="AC9189">
        <v>11.3837999999999</v>
      </c>
      <c r="AD9189">
        <v>-1.121201915875</v>
      </c>
      <c r="AE9189">
        <v>0.49339999999997902</v>
      </c>
      <c r="AF9189">
        <v>-0.50632990130988798</v>
      </c>
      <c r="AG9189">
        <v>-1.121201915875</v>
      </c>
      <c r="AH9189">
        <v>11.2738563695585</v>
      </c>
      <c r="AI9189">
        <v>95.673793837002904</v>
      </c>
      <c r="AJ9189">
        <v>92.571532180961199</v>
      </c>
      <c r="AK9189">
        <v>11.340780446977901</v>
      </c>
      <c r="AL9189">
        <v>95.0325165483749</v>
      </c>
      <c r="AM9189">
        <v>89.898086692026098</v>
      </c>
      <c r="AN9189">
        <v>1.0000000008643</v>
      </c>
    </row>
    <row r="9190" spans="1:40" x14ac:dyDescent="0.25">
      <c r="A9190" t="str">
        <f>"20190303154359301"</f>
        <v>20190303154359301</v>
      </c>
      <c r="B9190" t="str">
        <f>"1551599039289345"</f>
        <v>1551599039289345</v>
      </c>
      <c r="C9190" t="s">
        <v>40</v>
      </c>
      <c r="D9190">
        <v>5.2215249999999997</v>
      </c>
      <c r="E9190">
        <v>0.4812072</v>
      </c>
      <c r="F9190" t="s">
        <v>41</v>
      </c>
      <c r="G9190">
        <v>-120.995</v>
      </c>
      <c r="H9190" s="1">
        <v>-4.0371109999999999E-6</v>
      </c>
      <c r="I9190">
        <v>138.53559999999999</v>
      </c>
      <c r="J9190">
        <v>-132.46199999999999</v>
      </c>
      <c r="K9190">
        <v>1.1212500000000001</v>
      </c>
      <c r="L9190">
        <v>137.9999</v>
      </c>
      <c r="M9190">
        <v>0.99996240000000003</v>
      </c>
      <c r="N9190">
        <v>-8.688444E-3</v>
      </c>
      <c r="O9190">
        <v>-2.4721969999999999E-4</v>
      </c>
      <c r="P9190">
        <v>0.99531239999999999</v>
      </c>
      <c r="Q9190">
        <v>-9.6692730000000005E-2</v>
      </c>
      <c r="R9190">
        <v>-1.9725749999999998E-3</v>
      </c>
      <c r="S9190">
        <v>2.9867249999999999</v>
      </c>
      <c r="T9190">
        <v>-0.28659699999999999</v>
      </c>
      <c r="U9190">
        <v>0.13725279999999901</v>
      </c>
      <c r="V9190">
        <v>1.9056629999999999E-3</v>
      </c>
      <c r="W9190">
        <v>-8.8037669999999998E-2</v>
      </c>
      <c r="X9190">
        <v>0.99611530000000004</v>
      </c>
      <c r="Y9190">
        <v>-4.5922190000000002E-2</v>
      </c>
      <c r="Z9190">
        <v>2.418693E-3</v>
      </c>
      <c r="AA9190">
        <v>0.99894210000000006</v>
      </c>
      <c r="AB9190">
        <v>23</v>
      </c>
      <c r="AC9190">
        <v>11.467000000000001</v>
      </c>
      <c r="AD9190">
        <v>-1.121254037111</v>
      </c>
      <c r="AE9190">
        <v>0.53569999999999096</v>
      </c>
      <c r="AF9190">
        <v>-0.53344573092157899</v>
      </c>
      <c r="AG9190">
        <v>-1.121254037111</v>
      </c>
      <c r="AH9190">
        <v>11.358503777424399</v>
      </c>
      <c r="AI9190">
        <v>95.631517256859695</v>
      </c>
      <c r="AJ9190">
        <v>92.688888244923504</v>
      </c>
      <c r="AK9190">
        <v>11.426170969548</v>
      </c>
      <c r="AL9190">
        <v>95.050725816652502</v>
      </c>
      <c r="AM9190">
        <v>89.890387875911998</v>
      </c>
      <c r="AN9190">
        <v>0.99999997689229403</v>
      </c>
    </row>
    <row r="9191" spans="1:40" x14ac:dyDescent="0.25">
      <c r="A9191" t="str">
        <f>"20190303154359327"</f>
        <v>20190303154359327</v>
      </c>
      <c r="B9191" t="str">
        <f>"1551599039319602"</f>
        <v>1551599039319602</v>
      </c>
      <c r="C9191" t="s">
        <v>40</v>
      </c>
      <c r="D9191">
        <v>5.1994540000000002</v>
      </c>
      <c r="E9191">
        <v>0.48087829999999898</v>
      </c>
      <c r="F9191" t="s">
        <v>41</v>
      </c>
      <c r="G9191">
        <v>-120.7906</v>
      </c>
      <c r="H9191" s="1">
        <v>-4.1199250000000002E-6</v>
      </c>
      <c r="I9191">
        <v>138.56309999999999</v>
      </c>
      <c r="J9191">
        <v>-132.2045</v>
      </c>
      <c r="K9191">
        <v>1.1213200000000001</v>
      </c>
      <c r="L9191">
        <v>138.0017</v>
      </c>
      <c r="M9191">
        <v>0.99995809999999996</v>
      </c>
      <c r="N9191">
        <v>-9.0758350000000008E-3</v>
      </c>
      <c r="O9191">
        <v>1.2960879999999999E-3</v>
      </c>
      <c r="P9191">
        <v>0.99517670000000003</v>
      </c>
      <c r="Q9191">
        <v>-9.8097829999999997E-2</v>
      </c>
      <c r="R9191">
        <v>-8.0586549999999996E-4</v>
      </c>
      <c r="S9191">
        <v>2.986526</v>
      </c>
      <c r="T9191">
        <v>-0.28691070000000002</v>
      </c>
      <c r="U9191">
        <v>0.14411930000000001</v>
      </c>
      <c r="V9191">
        <v>2.2769470000000001E-3</v>
      </c>
      <c r="W9191">
        <v>-8.9057299999999895E-2</v>
      </c>
      <c r="X9191">
        <v>0.99602389999999996</v>
      </c>
      <c r="Y9191">
        <v>-4.667582E-2</v>
      </c>
      <c r="Z9191">
        <v>2.3356420000000002E-3</v>
      </c>
      <c r="AA9191">
        <v>0.9989074</v>
      </c>
      <c r="AB9191">
        <v>23</v>
      </c>
      <c r="AC9191">
        <v>11.4138999999999</v>
      </c>
      <c r="AD9191">
        <v>-1.1213241199249999</v>
      </c>
      <c r="AE9191">
        <v>0.56139999999999102</v>
      </c>
      <c r="AF9191">
        <v>-0.54139286683953902</v>
      </c>
      <c r="AG9191">
        <v>-1.1213241199249999</v>
      </c>
      <c r="AH9191">
        <v>11.3057639819573</v>
      </c>
      <c r="AI9191">
        <v>95.657723538787394</v>
      </c>
      <c r="AJ9191">
        <v>92.7415969883114</v>
      </c>
      <c r="AK9191">
        <v>11.374127361424801</v>
      </c>
      <c r="AL9191">
        <v>95.109376589974602</v>
      </c>
      <c r="AM9191">
        <v>89.869019984342799</v>
      </c>
      <c r="AN9191">
        <v>0.99999999827107</v>
      </c>
    </row>
    <row r="9192" spans="1:40" x14ac:dyDescent="0.25">
      <c r="A9192" t="str">
        <f>"20190303154359354"</f>
        <v>20190303154359354</v>
      </c>
      <c r="B9192" t="str">
        <f>"1551599039348881"</f>
        <v>1551599039348881</v>
      </c>
      <c r="C9192" t="s">
        <v>40</v>
      </c>
      <c r="D9192">
        <v>5.1428450000000003</v>
      </c>
      <c r="E9192">
        <v>0.48041010000000001</v>
      </c>
      <c r="F9192" t="s">
        <v>41</v>
      </c>
      <c r="G9192">
        <v>-120.65</v>
      </c>
      <c r="H9192" s="1">
        <v>-4.1767430000000003E-6</v>
      </c>
      <c r="I9192">
        <v>138.5829</v>
      </c>
      <c r="J9192">
        <v>-131.93119999999999</v>
      </c>
      <c r="K9192">
        <v>1.1213869999999999</v>
      </c>
      <c r="L9192">
        <v>138.00399999999999</v>
      </c>
      <c r="M9192">
        <v>0.99994959999999999</v>
      </c>
      <c r="N9192">
        <v>-9.6100079999999997E-3</v>
      </c>
      <c r="O9192">
        <v>2.9091770000000002E-3</v>
      </c>
      <c r="P9192">
        <v>0.99497899999999995</v>
      </c>
      <c r="Q9192">
        <v>-0.10008359999999999</v>
      </c>
      <c r="R9192">
        <v>3.7579079999999998E-4</v>
      </c>
      <c r="S9192">
        <v>2.9860989999999998</v>
      </c>
      <c r="T9192">
        <v>-0.2897902</v>
      </c>
      <c r="U9192">
        <v>0.15022279999999999</v>
      </c>
      <c r="V9192">
        <v>2.6997700000000002E-3</v>
      </c>
      <c r="W9192">
        <v>-9.0512029999999993E-2</v>
      </c>
      <c r="X9192">
        <v>0.99589170000000005</v>
      </c>
      <c r="Y9192">
        <v>-4.7106299999999997E-2</v>
      </c>
      <c r="Z9192">
        <v>2.2524379999999998E-3</v>
      </c>
      <c r="AA9192">
        <v>0.99888739999999998</v>
      </c>
      <c r="AB9192">
        <v>23</v>
      </c>
      <c r="AC9192">
        <v>11.281199999999901</v>
      </c>
      <c r="AD9192">
        <v>-1.121391176743</v>
      </c>
      <c r="AE9192">
        <v>0.57890000000000397</v>
      </c>
      <c r="AF9192">
        <v>-0.54074789623069697</v>
      </c>
      <c r="AG9192">
        <v>-1.121391176743</v>
      </c>
      <c r="AH9192">
        <v>11.1727279738571</v>
      </c>
      <c r="AI9192">
        <v>95.724846478496602</v>
      </c>
      <c r="AJ9192">
        <v>92.770891271347693</v>
      </c>
      <c r="AK9192">
        <v>11.241876037226399</v>
      </c>
      <c r="AL9192">
        <v>95.193064491045504</v>
      </c>
      <c r="AM9192">
        <v>89.844676838124997</v>
      </c>
      <c r="AN9192">
        <v>0.99999999723083099</v>
      </c>
    </row>
    <row r="9193" spans="1:40" x14ac:dyDescent="0.25">
      <c r="A9193" t="str">
        <f>"20190303154359376"</f>
        <v>20190303154359376</v>
      </c>
      <c r="B9193" t="str">
        <f>"1551599039369377"</f>
        <v>1551599039369377</v>
      </c>
      <c r="C9193" t="s">
        <v>40</v>
      </c>
      <c r="D9193">
        <v>5.1645149999999997</v>
      </c>
      <c r="E9193">
        <v>0.48025479999999998</v>
      </c>
      <c r="F9193" t="s">
        <v>41</v>
      </c>
      <c r="G9193">
        <v>-120.61839999999999</v>
      </c>
      <c r="H9193" s="1">
        <v>-4.1871409999999998E-6</v>
      </c>
      <c r="I9193">
        <v>138.60059999999999</v>
      </c>
      <c r="J9193">
        <v>-131.7165</v>
      </c>
      <c r="K9193">
        <v>1.1214230000000001</v>
      </c>
      <c r="L9193">
        <v>138.0061</v>
      </c>
      <c r="M9193">
        <v>0.99994099999999997</v>
      </c>
      <c r="N9193">
        <v>-1.004061E-2</v>
      </c>
      <c r="O9193">
        <v>4.1676869999999998E-3</v>
      </c>
      <c r="P9193">
        <v>0.99485100000000004</v>
      </c>
      <c r="Q9193">
        <v>-0.101351</v>
      </c>
      <c r="R9193">
        <v>5.1071150000000002E-4</v>
      </c>
      <c r="S9193">
        <v>2.9853209999999999</v>
      </c>
      <c r="T9193">
        <v>-0.29592160000000001</v>
      </c>
      <c r="U9193">
        <v>0.1574402</v>
      </c>
      <c r="V9193">
        <v>3.8128789999999999E-3</v>
      </c>
      <c r="W9193">
        <v>-9.1349780000000005E-2</v>
      </c>
      <c r="X9193">
        <v>0.99581160000000002</v>
      </c>
      <c r="Y9193">
        <v>-4.8258889999999999E-2</v>
      </c>
      <c r="Z9193">
        <v>2.2573620000000002E-3</v>
      </c>
      <c r="AA9193">
        <v>0.99883230000000001</v>
      </c>
      <c r="AB9193">
        <v>23</v>
      </c>
      <c r="AC9193">
        <v>11.098100000000001</v>
      </c>
      <c r="AD9193">
        <v>-1.121427187141</v>
      </c>
      <c r="AE9193">
        <v>0.59449999999998204</v>
      </c>
      <c r="AF9193">
        <v>-0.54271360702900895</v>
      </c>
      <c r="AG9193">
        <v>-1.121427187141</v>
      </c>
      <c r="AH9193">
        <v>10.988603859350301</v>
      </c>
      <c r="AI9193">
        <v>95.820024909492801</v>
      </c>
      <c r="AJ9193">
        <v>92.8274704876915</v>
      </c>
      <c r="AK9193">
        <v>11.0590031997934</v>
      </c>
      <c r="AL9193">
        <v>95.241263531221193</v>
      </c>
      <c r="AM9193">
        <v>89.780620343336494</v>
      </c>
      <c r="AN9193">
        <v>1.0000000315234301</v>
      </c>
    </row>
    <row r="9194" spans="1:40" x14ac:dyDescent="0.25">
      <c r="A9194" t="str">
        <f>"20190303154359395"</f>
        <v>20190303154359395</v>
      </c>
      <c r="B9194" t="str">
        <f>"1551599039388897"</f>
        <v>1551599039388897</v>
      </c>
      <c r="C9194" t="s">
        <v>40</v>
      </c>
      <c r="D9194">
        <v>5.1325279999999998</v>
      </c>
      <c r="E9194">
        <v>0.48012739999999998</v>
      </c>
      <c r="F9194" t="s">
        <v>41</v>
      </c>
      <c r="G9194">
        <v>-120.54430000000001</v>
      </c>
      <c r="H9194" s="1">
        <v>-4.2187099999999998E-6</v>
      </c>
      <c r="I9194">
        <v>138.6018</v>
      </c>
      <c r="J9194">
        <v>-131.52090000000001</v>
      </c>
      <c r="K9194">
        <v>1.1214459999999999</v>
      </c>
      <c r="L9194">
        <v>138.00819999999999</v>
      </c>
      <c r="M9194">
        <v>0.99993200000000004</v>
      </c>
      <c r="N9194">
        <v>-1.039586E-2</v>
      </c>
      <c r="O9194">
        <v>5.2936579999999997E-3</v>
      </c>
      <c r="P9194">
        <v>0.99486560000000002</v>
      </c>
      <c r="Q9194">
        <v>-0.10120510000000001</v>
      </c>
      <c r="R9194">
        <v>-4.008126E-4</v>
      </c>
      <c r="S9194">
        <v>2.984909</v>
      </c>
      <c r="T9194">
        <v>-0.29961510000000002</v>
      </c>
      <c r="U9194">
        <v>0.15916440000000001</v>
      </c>
      <c r="V9194">
        <v>5.8387459999999997E-3</v>
      </c>
      <c r="W9194">
        <v>-9.0846490000000002E-2</v>
      </c>
      <c r="X9194">
        <v>0.99584779999999995</v>
      </c>
      <c r="Y9194">
        <v>-4.771748E-2</v>
      </c>
      <c r="Z9194">
        <v>2.1613140000000001E-3</v>
      </c>
      <c r="AA9194">
        <v>0.99885849999999998</v>
      </c>
      <c r="AB9194">
        <v>23</v>
      </c>
      <c r="AC9194">
        <v>10.976599999999999</v>
      </c>
      <c r="AD9194">
        <v>-1.1214502187099999</v>
      </c>
      <c r="AE9194">
        <v>0.59360000000000901</v>
      </c>
      <c r="AF9194">
        <v>-0.52996642994163701</v>
      </c>
      <c r="AG9194">
        <v>-1.1214502187099999</v>
      </c>
      <c r="AH9194">
        <v>10.866493126522199</v>
      </c>
      <c r="AI9194">
        <v>95.885267016409898</v>
      </c>
      <c r="AJ9194">
        <v>92.792142652823401</v>
      </c>
      <c r="AK9194">
        <v>10.937055722572801</v>
      </c>
      <c r="AL9194">
        <v>95.212306856011807</v>
      </c>
      <c r="AM9194">
        <v>89.6640734957533</v>
      </c>
      <c r="AN9194">
        <v>1.0000000082325</v>
      </c>
    </row>
    <row r="9195" spans="1:40" x14ac:dyDescent="0.25">
      <c r="A9195" t="str">
        <f>"20190303154359416"</f>
        <v>20190303154359416</v>
      </c>
      <c r="B9195" t="str">
        <f>"1551599039409393"</f>
        <v>1551599039409393</v>
      </c>
      <c r="C9195" t="s">
        <v>40</v>
      </c>
      <c r="D9195">
        <v>5.1272729999999997</v>
      </c>
      <c r="E9195">
        <v>0.4800275</v>
      </c>
      <c r="F9195" t="s">
        <v>41</v>
      </c>
      <c r="G9195">
        <v>-120.331</v>
      </c>
      <c r="H9195" s="1">
        <v>-4.3108939999999999E-6</v>
      </c>
      <c r="I9195">
        <v>138.59799999999899</v>
      </c>
      <c r="J9195">
        <v>-131.3117</v>
      </c>
      <c r="K9195">
        <v>1.121453</v>
      </c>
      <c r="L9195">
        <v>138.01060000000001</v>
      </c>
      <c r="M9195">
        <v>0.99992159999999997</v>
      </c>
      <c r="N9195">
        <v>-1.0745309999999999E-2</v>
      </c>
      <c r="O9195">
        <v>6.4552919999999996E-3</v>
      </c>
      <c r="P9195">
        <v>0.99490330000000005</v>
      </c>
      <c r="Q9195">
        <v>-0.10083259999999999</v>
      </c>
      <c r="R9195">
        <v>-7.0846009999999998E-4</v>
      </c>
      <c r="S9195">
        <v>2.9851070000000002</v>
      </c>
      <c r="T9195">
        <v>-0.29916789999999999</v>
      </c>
      <c r="U9195">
        <v>0.15734860000000001</v>
      </c>
      <c r="V9195">
        <v>7.2952219999999996E-3</v>
      </c>
      <c r="W9195">
        <v>-9.0123389999999998E-2</v>
      </c>
      <c r="X9195">
        <v>0.99590389999999995</v>
      </c>
      <c r="Y9195">
        <v>-4.5961639999999998E-2</v>
      </c>
      <c r="Z9195">
        <v>1.9679089999999999E-3</v>
      </c>
      <c r="AA9195">
        <v>0.99894119999999997</v>
      </c>
      <c r="AB9195">
        <v>23</v>
      </c>
      <c r="AC9195">
        <v>10.980700000000001</v>
      </c>
      <c r="AD9195">
        <v>-1.121457310894</v>
      </c>
      <c r="AE9195">
        <v>0.58739999999997305</v>
      </c>
      <c r="AF9195">
        <v>-0.51118336661647501</v>
      </c>
      <c r="AG9195">
        <v>-1.121457310894</v>
      </c>
      <c r="AH9195">
        <v>10.8711947187684</v>
      </c>
      <c r="AI9195">
        <v>95.883264754684802</v>
      </c>
      <c r="AJ9195">
        <v>92.692168853094202</v>
      </c>
      <c r="AK9195">
        <v>10.940834042605699</v>
      </c>
      <c r="AL9195">
        <v>95.170705602848599</v>
      </c>
      <c r="AM9195">
        <v>89.5803029235731</v>
      </c>
      <c r="AN9195">
        <v>1.0000000118621599</v>
      </c>
    </row>
    <row r="9196" spans="1:40" x14ac:dyDescent="0.25">
      <c r="A9196" t="str">
        <f>"20190303154359436"</f>
        <v>20190303154359436</v>
      </c>
      <c r="B9196" t="str">
        <f>"1551599039428913"</f>
        <v>1551599039428913</v>
      </c>
      <c r="C9196" t="s">
        <v>40</v>
      </c>
      <c r="D9196">
        <v>5.1514129999999998</v>
      </c>
      <c r="E9196">
        <v>0.48016189999999997</v>
      </c>
      <c r="F9196" t="s">
        <v>41</v>
      </c>
      <c r="G9196">
        <v>-120.03449999999999</v>
      </c>
      <c r="H9196" s="1">
        <v>-4.4368779999999996E-6</v>
      </c>
      <c r="I9196">
        <v>138.60480000000001</v>
      </c>
      <c r="J9196">
        <v>-131.10929999999999</v>
      </c>
      <c r="K9196">
        <v>1.1214459999999999</v>
      </c>
      <c r="L9196">
        <v>138.01320000000001</v>
      </c>
      <c r="M9196">
        <v>0.99991050000000004</v>
      </c>
      <c r="N9196">
        <v>-1.106415E-2</v>
      </c>
      <c r="O9196">
        <v>7.5248049999999999E-3</v>
      </c>
      <c r="P9196">
        <v>0.99479819999999997</v>
      </c>
      <c r="Q9196">
        <v>-0.10186240000000001</v>
      </c>
      <c r="R9196">
        <v>-8.7056079999999999E-4</v>
      </c>
      <c r="S9196">
        <v>2.9853969999999999</v>
      </c>
      <c r="T9196">
        <v>-0.29688130000000001</v>
      </c>
      <c r="U9196">
        <v>0.1573029</v>
      </c>
      <c r="V9196">
        <v>8.5155079999999998E-3</v>
      </c>
      <c r="W9196">
        <v>-9.0835180000000001E-2</v>
      </c>
      <c r="X9196">
        <v>0.99582950000000003</v>
      </c>
      <c r="Y9196">
        <v>-4.4885170000000002E-2</v>
      </c>
      <c r="Z9196">
        <v>1.8110540000000001E-3</v>
      </c>
      <c r="AA9196">
        <v>0.9989905</v>
      </c>
      <c r="AB9196">
        <v>23</v>
      </c>
      <c r="AC9196">
        <v>11.0747999999999</v>
      </c>
      <c r="AD9196">
        <v>-1.1214504368779901</v>
      </c>
      <c r="AE9196">
        <v>0.59159999999999902</v>
      </c>
      <c r="AF9196">
        <v>-0.50309840519197602</v>
      </c>
      <c r="AG9196">
        <v>-1.1214504368779901</v>
      </c>
      <c r="AH9196">
        <v>10.9668059839208</v>
      </c>
      <c r="AI9196">
        <v>95.832600619721205</v>
      </c>
      <c r="AJ9196">
        <v>92.626582430830794</v>
      </c>
      <c r="AK9196">
        <v>11.035469748798301</v>
      </c>
      <c r="AL9196">
        <v>95.211656358337507</v>
      </c>
      <c r="AM9196">
        <v>89.510065952949304</v>
      </c>
      <c r="AN9196">
        <v>0.99999996843618899</v>
      </c>
    </row>
    <row r="9197" spans="1:40" x14ac:dyDescent="0.25">
      <c r="A9197" t="str">
        <f>"20190303154359459"</f>
        <v>20190303154359459</v>
      </c>
      <c r="B9197" t="str">
        <f>"1551599039449409"</f>
        <v>1551599039449409</v>
      </c>
      <c r="C9197" t="s">
        <v>40</v>
      </c>
      <c r="D9197">
        <v>5.1791119999999999</v>
      </c>
      <c r="E9197">
        <v>0.48021419999999998</v>
      </c>
      <c r="F9197" t="s">
        <v>41</v>
      </c>
      <c r="G9197">
        <v>-119.9588</v>
      </c>
      <c r="H9197" s="1">
        <v>-4.4711089999999999E-6</v>
      </c>
      <c r="I9197">
        <v>138.5951</v>
      </c>
      <c r="J9197">
        <v>-130.87200000000001</v>
      </c>
      <c r="K9197">
        <v>1.1214230000000001</v>
      </c>
      <c r="L9197">
        <v>138.01650000000001</v>
      </c>
      <c r="M9197">
        <v>0.99989700000000004</v>
      </c>
      <c r="N9197">
        <v>-1.140963E-2</v>
      </c>
      <c r="O9197">
        <v>8.7032289999999998E-3</v>
      </c>
      <c r="P9197">
        <v>0.99460780000000004</v>
      </c>
      <c r="Q9197">
        <v>-0.103706199999999</v>
      </c>
      <c r="R9197">
        <v>-4.6832839999999998E-4</v>
      </c>
      <c r="S9197">
        <v>2.9850620000000001</v>
      </c>
      <c r="T9197">
        <v>-0.30021730000000002</v>
      </c>
      <c r="U9197">
        <v>0.155777</v>
      </c>
      <c r="V9197">
        <v>9.2766859999999993E-3</v>
      </c>
      <c r="W9197">
        <v>-9.2336710000000002E-2</v>
      </c>
      <c r="X9197">
        <v>0.99568460000000003</v>
      </c>
      <c r="Y9197">
        <v>-4.3212830000000001E-2</v>
      </c>
      <c r="Z9197">
        <v>1.6400430000000001E-3</v>
      </c>
      <c r="AA9197">
        <v>0.99906459999999997</v>
      </c>
      <c r="AB9197">
        <v>22</v>
      </c>
      <c r="AC9197">
        <v>10.9132</v>
      </c>
      <c r="AD9197">
        <v>-1.121427471109</v>
      </c>
      <c r="AE9197">
        <v>0.57859999999999401</v>
      </c>
      <c r="AF9197">
        <v>-0.47855276588102003</v>
      </c>
      <c r="AG9197">
        <v>-1.121427471109</v>
      </c>
      <c r="AH9197">
        <v>10.8040583358246</v>
      </c>
      <c r="AI9197">
        <v>95.920138725409103</v>
      </c>
      <c r="AJ9197">
        <v>92.536189871391898</v>
      </c>
      <c r="AK9197">
        <v>10.872639460894099</v>
      </c>
      <c r="AL9197">
        <v>95.298050773449106</v>
      </c>
      <c r="AM9197">
        <v>89.466196848704698</v>
      </c>
      <c r="AN9197">
        <v>0.99999997379696304</v>
      </c>
    </row>
    <row r="9198" spans="1:40" x14ac:dyDescent="0.25">
      <c r="A9198" t="str">
        <f>"20190303154359481"</f>
        <v>20190303154359481</v>
      </c>
      <c r="B9198" t="str">
        <f>"1551599039469436"</f>
        <v>1551599039469436</v>
      </c>
      <c r="C9198" t="s">
        <v>40</v>
      </c>
      <c r="D9198">
        <v>5.195621</v>
      </c>
      <c r="E9198">
        <v>0.50299970000000005</v>
      </c>
      <c r="F9198" t="s">
        <v>41</v>
      </c>
      <c r="G9198">
        <v>-119.9151</v>
      </c>
      <c r="H9198" s="1">
        <v>-2.8778979999999997E-7</v>
      </c>
      <c r="I9198">
        <v>138.5909</v>
      </c>
      <c r="J9198">
        <v>-130.65860000000001</v>
      </c>
      <c r="K9198">
        <v>1.121389</v>
      </c>
      <c r="L9198">
        <v>138.0196</v>
      </c>
      <c r="M9198">
        <v>0.99988460000000001</v>
      </c>
      <c r="N9198">
        <v>-1.1688550000000001E-2</v>
      </c>
      <c r="O9198">
        <v>9.7127940000000003E-3</v>
      </c>
      <c r="P9198">
        <v>0.99449880000000002</v>
      </c>
      <c r="Q9198">
        <v>-0.10474700000000001</v>
      </c>
      <c r="R9198">
        <v>-1.659938E-4</v>
      </c>
      <c r="S9198">
        <v>2.9844970000000002</v>
      </c>
      <c r="T9198">
        <v>-0.30545630000000001</v>
      </c>
      <c r="U9198">
        <v>0.15646360000000001</v>
      </c>
      <c r="V9198">
        <v>9.9684730000000003E-3</v>
      </c>
      <c r="W9198">
        <v>-9.3101050000000005E-2</v>
      </c>
      <c r="X9198">
        <v>0.99560680000000001</v>
      </c>
      <c r="Y9198">
        <v>-4.2444120000000002E-2</v>
      </c>
      <c r="Z9198">
        <v>1.5363060000000001E-3</v>
      </c>
      <c r="AA9198">
        <v>0.99909760000000003</v>
      </c>
      <c r="AB9198">
        <v>22</v>
      </c>
      <c r="AC9198">
        <v>10.743499999999999</v>
      </c>
      <c r="AD9198">
        <v>-1.1213892877898</v>
      </c>
      <c r="AE9198">
        <v>0.57130000000000702</v>
      </c>
      <c r="AF9198">
        <v>-0.46189840206622301</v>
      </c>
      <c r="AG9198">
        <v>-1.1213892877898</v>
      </c>
      <c r="AH9198">
        <v>10.633023915178599</v>
      </c>
      <c r="AI9198">
        <v>96.0146927049271</v>
      </c>
      <c r="AJ9198">
        <v>92.487364024850706</v>
      </c>
      <c r="AK9198">
        <v>10.7019653171443</v>
      </c>
      <c r="AL9198">
        <v>95.342033351456095</v>
      </c>
      <c r="AM9198">
        <v>89.426347483379104</v>
      </c>
      <c r="AN9198">
        <v>1.00000003808564</v>
      </c>
    </row>
    <row r="9199" spans="1:40" x14ac:dyDescent="0.25">
      <c r="A9199" t="str">
        <f>"20190303154359503"</f>
        <v>20190303154359503</v>
      </c>
      <c r="B9199" t="str">
        <f>"1551599039499692"</f>
        <v>1551599039499692</v>
      </c>
      <c r="C9199" t="s">
        <v>40</v>
      </c>
      <c r="D9199">
        <v>5.1309170000000002</v>
      </c>
      <c r="E9199">
        <v>0.51096739999999996</v>
      </c>
      <c r="F9199" t="s">
        <v>41</v>
      </c>
      <c r="G9199">
        <v>-116.7441</v>
      </c>
      <c r="H9199" s="1">
        <v>-1.6811629999999999E-6</v>
      </c>
      <c r="I9199">
        <v>137.91319999999999</v>
      </c>
      <c r="J9199">
        <v>-130.43879999999999</v>
      </c>
      <c r="K9199">
        <v>1.1213439999999999</v>
      </c>
      <c r="L9199">
        <v>138.02289999999999</v>
      </c>
      <c r="M9199">
        <v>0.99987159999999997</v>
      </c>
      <c r="N9199">
        <v>-1.1941469999999999E-2</v>
      </c>
      <c r="O9199">
        <v>1.069063E-2</v>
      </c>
      <c r="P9199">
        <v>0.99448769999999997</v>
      </c>
      <c r="Q9199">
        <v>-0.1048526</v>
      </c>
      <c r="R9199">
        <v>4.8602610000000001E-4</v>
      </c>
      <c r="S9199">
        <v>2.991196</v>
      </c>
      <c r="T9199">
        <v>-0.24106569999999999</v>
      </c>
      <c r="U9199">
        <v>-2.285767E-2</v>
      </c>
      <c r="V9199">
        <v>1.027702E-2</v>
      </c>
      <c r="W9199">
        <v>-9.2955789999999996E-2</v>
      </c>
      <c r="X9199">
        <v>0.99561719999999998</v>
      </c>
      <c r="Y9199">
        <v>1.823899E-2</v>
      </c>
      <c r="Z9199">
        <v>-1.575541E-3</v>
      </c>
      <c r="AA9199">
        <v>0.99983239999999995</v>
      </c>
      <c r="AB9199">
        <v>22</v>
      </c>
      <c r="AC9199">
        <v>13.6946999999999</v>
      </c>
      <c r="AD9199">
        <v>-1.121345681163</v>
      </c>
      <c r="AE9199">
        <v>-0.109700000000003</v>
      </c>
      <c r="AF9199">
        <v>0.25440356377496398</v>
      </c>
      <c r="AG9199">
        <v>-1.121345681163</v>
      </c>
      <c r="AH9199">
        <v>13.6015570581995</v>
      </c>
      <c r="AI9199">
        <v>94.712125650467698</v>
      </c>
      <c r="AJ9199">
        <v>88.928464512709994</v>
      </c>
      <c r="AK9199">
        <v>13.650072956485699</v>
      </c>
      <c r="AL9199">
        <v>95.333674507929999</v>
      </c>
      <c r="AM9199">
        <v>89.408599047687503</v>
      </c>
      <c r="AN9199">
        <v>1.00000000248522</v>
      </c>
    </row>
    <row r="9200" spans="1:40" x14ac:dyDescent="0.25">
      <c r="A9200" t="str">
        <f>"20190303154359527"</f>
        <v>20190303154359527</v>
      </c>
      <c r="B9200" t="str">
        <f>"1551599039519211"</f>
        <v>1551599039519211</v>
      </c>
      <c r="C9200" t="s">
        <v>40</v>
      </c>
      <c r="D9200">
        <v>5.0920459999999999</v>
      </c>
      <c r="E9200">
        <v>0.51311240000000002</v>
      </c>
      <c r="F9200" t="s">
        <v>41</v>
      </c>
      <c r="G9200">
        <v>-115.56019999999999</v>
      </c>
      <c r="H9200" s="1">
        <v>-2.243561E-6</v>
      </c>
      <c r="I9200">
        <v>137.60589999999999</v>
      </c>
      <c r="J9200">
        <v>-130.1978</v>
      </c>
      <c r="K9200">
        <v>1.121289</v>
      </c>
      <c r="L9200">
        <v>138.02670000000001</v>
      </c>
      <c r="M9200">
        <v>0.99985780000000002</v>
      </c>
      <c r="N9200">
        <v>-1.2183950000000001E-2</v>
      </c>
      <c r="O9200">
        <v>1.166408E-2</v>
      </c>
      <c r="P9200">
        <v>0.99440879999999998</v>
      </c>
      <c r="Q9200">
        <v>-0.1055914</v>
      </c>
      <c r="R9200">
        <v>1.3886860000000001E-3</v>
      </c>
      <c r="S9200">
        <v>2.9928889999999999</v>
      </c>
      <c r="T9200">
        <v>-0.2255634</v>
      </c>
      <c r="U9200">
        <v>-8.3877560000000004E-2</v>
      </c>
      <c r="V9200">
        <v>1.032744E-2</v>
      </c>
      <c r="W9200">
        <v>-9.3455540000000004E-2</v>
      </c>
      <c r="X9200">
        <v>0.99556990000000001</v>
      </c>
      <c r="Y9200">
        <v>3.9519680000000001E-2</v>
      </c>
      <c r="Z9200">
        <v>-2.463799E-3</v>
      </c>
      <c r="AA9200">
        <v>0.99921579999999999</v>
      </c>
      <c r="AB9200">
        <v>22</v>
      </c>
      <c r="AC9200">
        <v>14.637600000000001</v>
      </c>
      <c r="AD9200">
        <v>-1.1212912435609901</v>
      </c>
      <c r="AE9200">
        <v>-0.420800000000014</v>
      </c>
      <c r="AF9200">
        <v>0.58807016907797105</v>
      </c>
      <c r="AG9200">
        <v>-1.1212912435609901</v>
      </c>
      <c r="AH9200">
        <v>14.5464062785869</v>
      </c>
      <c r="AI9200">
        <v>94.404272364616602</v>
      </c>
      <c r="AJ9200">
        <v>87.684953925571904</v>
      </c>
      <c r="AK9200">
        <v>14.6014059664938</v>
      </c>
      <c r="AL9200">
        <v>95.362433224608395</v>
      </c>
      <c r="AM9200">
        <v>89.405669554572398</v>
      </c>
      <c r="AN9200">
        <v>1.0000000098798201</v>
      </c>
    </row>
    <row r="9201" spans="1:40" x14ac:dyDescent="0.25">
      <c r="A9201" t="str">
        <f>"20190303154359552"</f>
        <v>20190303154359552</v>
      </c>
      <c r="B9201" t="str">
        <f>"1551599039539709"</f>
        <v>1551599039539709</v>
      </c>
      <c r="C9201" t="s">
        <v>40</v>
      </c>
      <c r="D9201">
        <v>5.2045059999999896</v>
      </c>
      <c r="E9201">
        <v>0.5148509</v>
      </c>
      <c r="F9201" t="s">
        <v>41</v>
      </c>
      <c r="G9201">
        <v>-115.13379999999999</v>
      </c>
      <c r="H9201" s="1">
        <v>-2.4394240000000001E-6</v>
      </c>
      <c r="I9201">
        <v>137.53299999999999</v>
      </c>
      <c r="J9201">
        <v>-129.9496</v>
      </c>
      <c r="K9201">
        <v>1.12121</v>
      </c>
      <c r="L9201">
        <v>138.0308</v>
      </c>
      <c r="M9201">
        <v>0.99984459999999997</v>
      </c>
      <c r="N9201">
        <v>-1.240172E-2</v>
      </c>
      <c r="O9201">
        <v>1.2536540000000001E-2</v>
      </c>
      <c r="P9201">
        <v>0.99433539999999998</v>
      </c>
      <c r="Q9201">
        <v>-0.106263</v>
      </c>
      <c r="R9201">
        <v>2.3397040000000002E-3</v>
      </c>
      <c r="S9201">
        <v>2.9933320000000001</v>
      </c>
      <c r="T9201">
        <v>-0.22280839999999999</v>
      </c>
      <c r="U9201">
        <v>-9.8098749999999998E-2</v>
      </c>
      <c r="V9201">
        <v>1.022547E-2</v>
      </c>
      <c r="W9201">
        <v>-9.3913259999999998E-2</v>
      </c>
      <c r="X9201">
        <v>0.99552790000000002</v>
      </c>
      <c r="Y9201">
        <v>4.5113460000000001E-2</v>
      </c>
      <c r="Z9201">
        <v>-2.7329120000000001E-3</v>
      </c>
      <c r="AA9201">
        <v>0.99897809999999998</v>
      </c>
      <c r="AB9201">
        <v>22</v>
      </c>
      <c r="AC9201">
        <v>14.815799999999999</v>
      </c>
      <c r="AD9201">
        <v>-1.121212439424</v>
      </c>
      <c r="AE9201">
        <v>-0.49780000000001201</v>
      </c>
      <c r="AF9201">
        <v>0.67962619482448705</v>
      </c>
      <c r="AG9201">
        <v>-1.121212439424</v>
      </c>
      <c r="AH9201">
        <v>14.724164450347599</v>
      </c>
      <c r="AI9201">
        <v>94.349929356759205</v>
      </c>
      <c r="AJ9201">
        <v>87.357262986375403</v>
      </c>
      <c r="AK9201">
        <v>14.7824229360376</v>
      </c>
      <c r="AL9201">
        <v>95.388774389547194</v>
      </c>
      <c r="AM9201">
        <v>89.411512553105396</v>
      </c>
      <c r="AN9201">
        <v>1.00000003015947</v>
      </c>
    </row>
    <row r="9202" spans="1:40" x14ac:dyDescent="0.25">
      <c r="A9202" t="str">
        <f>"20190303154359572"</f>
        <v>20190303154359572</v>
      </c>
      <c r="B9202" t="str">
        <f>"1551599039569496"</f>
        <v>1551599039569496</v>
      </c>
      <c r="C9202" t="s">
        <v>40</v>
      </c>
      <c r="D9202">
        <v>5.108924</v>
      </c>
      <c r="E9202">
        <v>0.51618929999999996</v>
      </c>
      <c r="F9202" t="s">
        <v>41</v>
      </c>
      <c r="G9202">
        <v>-114.6474</v>
      </c>
      <c r="H9202" s="1">
        <v>-2.6586409999999999E-6</v>
      </c>
      <c r="I9202">
        <v>137.4735</v>
      </c>
      <c r="J9202">
        <v>-129.7457</v>
      </c>
      <c r="K9202">
        <v>1.1211310000000001</v>
      </c>
      <c r="L9202">
        <v>138.0341</v>
      </c>
      <c r="M9202">
        <v>0.99983500000000003</v>
      </c>
      <c r="N9202">
        <v>-1.255714E-2</v>
      </c>
      <c r="O9202">
        <v>1.3132349999999999E-2</v>
      </c>
      <c r="P9202">
        <v>0.99426630000000005</v>
      </c>
      <c r="Q9202">
        <v>-0.1068958</v>
      </c>
      <c r="R9202">
        <v>2.8301110000000002E-3</v>
      </c>
      <c r="S9202">
        <v>2.9939119999999999</v>
      </c>
      <c r="T9202">
        <v>-0.21936820000000001</v>
      </c>
      <c r="U9202">
        <v>-0.109024</v>
      </c>
      <c r="V9202">
        <v>1.0308990000000001E-2</v>
      </c>
      <c r="W9202">
        <v>-9.4393980000000002E-2</v>
      </c>
      <c r="X9202">
        <v>0.99548159999999997</v>
      </c>
      <c r="Y9202">
        <v>4.9333719999999998E-2</v>
      </c>
      <c r="Z9202">
        <v>-2.9106959999999999E-3</v>
      </c>
      <c r="AA9202">
        <v>0.9987781</v>
      </c>
      <c r="AB9202">
        <v>22</v>
      </c>
      <c r="AC9202">
        <v>15.098299999999901</v>
      </c>
      <c r="AD9202">
        <v>-1.1211336586409999</v>
      </c>
      <c r="AE9202">
        <v>-0.56059999999999299</v>
      </c>
      <c r="AF9202">
        <v>0.75468788506376905</v>
      </c>
      <c r="AG9202">
        <v>-1.1211336586409999</v>
      </c>
      <c r="AH9202">
        <v>15.007002098667799</v>
      </c>
      <c r="AI9202">
        <v>94.267107914452794</v>
      </c>
      <c r="AJ9202">
        <v>87.121074944035698</v>
      </c>
      <c r="AK9202">
        <v>15.0677339528483</v>
      </c>
      <c r="AL9202">
        <v>95.4164403702394</v>
      </c>
      <c r="AM9202">
        <v>89.406678631948907</v>
      </c>
      <c r="AN9202">
        <v>1.0000000573368</v>
      </c>
    </row>
    <row r="9203" spans="1:40" x14ac:dyDescent="0.25">
      <c r="A9203" t="str">
        <f>"20190303154359593"</f>
        <v>20190303154359593</v>
      </c>
      <c r="B9203" t="str">
        <f>"1551599039589016"</f>
        <v>1551599039589016</v>
      </c>
      <c r="C9203" t="s">
        <v>40</v>
      </c>
      <c r="D9203">
        <v>5.0922280000000004</v>
      </c>
      <c r="E9203">
        <v>0.51666000000000001</v>
      </c>
      <c r="F9203" t="s">
        <v>41</v>
      </c>
      <c r="G9203">
        <v>-114.13890000000001</v>
      </c>
      <c r="H9203" s="1">
        <v>-2.886407E-6</v>
      </c>
      <c r="I9203">
        <v>137.41929999999999</v>
      </c>
      <c r="J9203">
        <v>-129.53569999999999</v>
      </c>
      <c r="K9203">
        <v>1.1210439999999999</v>
      </c>
      <c r="L9203">
        <v>138.0376</v>
      </c>
      <c r="M9203">
        <v>0.99982660000000001</v>
      </c>
      <c r="N9203">
        <v>-1.269785E-2</v>
      </c>
      <c r="O9203">
        <v>1.362316E-2</v>
      </c>
      <c r="P9203">
        <v>0.99424310000000005</v>
      </c>
      <c r="Q9203">
        <v>-0.10708479999999999</v>
      </c>
      <c r="R9203">
        <v>3.7032269999999999E-3</v>
      </c>
      <c r="S9203">
        <v>2.9944760000000001</v>
      </c>
      <c r="T9203">
        <v>-0.215112</v>
      </c>
      <c r="U9203">
        <v>-0.11796570000000001</v>
      </c>
      <c r="V9203">
        <v>9.9030990000000003E-3</v>
      </c>
      <c r="W9203">
        <v>-9.4445589999999996E-2</v>
      </c>
      <c r="X9203">
        <v>0.99548080000000005</v>
      </c>
      <c r="Y9203">
        <v>5.2790240000000002E-2</v>
      </c>
      <c r="Z9203">
        <v>-3.0330750000000001E-3</v>
      </c>
      <c r="AA9203">
        <v>0.99860099999999996</v>
      </c>
      <c r="AB9203">
        <v>22</v>
      </c>
      <c r="AC9203">
        <v>15.396799999999899</v>
      </c>
      <c r="AD9203">
        <v>-1.121046886407</v>
      </c>
      <c r="AE9203">
        <v>-0.61830000000000496</v>
      </c>
      <c r="AF9203">
        <v>0.82365314388644095</v>
      </c>
      <c r="AG9203">
        <v>-1.121046886407</v>
      </c>
      <c r="AH9203">
        <v>15.3059355697357</v>
      </c>
      <c r="AI9203">
        <v>94.182982662857299</v>
      </c>
      <c r="AJ9203">
        <v>86.919732548453595</v>
      </c>
      <c r="AK9203">
        <v>15.3690212534129</v>
      </c>
      <c r="AL9203">
        <v>95.419410812865095</v>
      </c>
      <c r="AM9203">
        <v>89.430037163586405</v>
      </c>
      <c r="AN9203">
        <v>1.00000003200444</v>
      </c>
    </row>
    <row r="9204" spans="1:40" x14ac:dyDescent="0.25">
      <c r="A9204" t="str">
        <f>"20190303154359614"</f>
        <v>20190303154359614</v>
      </c>
      <c r="B9204" t="str">
        <f>"1551599039609512"</f>
        <v>1551599039609512</v>
      </c>
      <c r="C9204" t="s">
        <v>40</v>
      </c>
      <c r="D9204">
        <v>5.0700890000000003</v>
      </c>
      <c r="E9204">
        <v>0.51710889999999998</v>
      </c>
      <c r="F9204" t="s">
        <v>41</v>
      </c>
      <c r="G9204">
        <v>-113.86920000000001</v>
      </c>
      <c r="H9204" s="1">
        <v>-3.0028740000000002E-6</v>
      </c>
      <c r="I9204">
        <v>137.41489999999999</v>
      </c>
      <c r="J9204">
        <v>-129.328</v>
      </c>
      <c r="K9204">
        <v>1.120954</v>
      </c>
      <c r="L9204">
        <v>138.04089999999999</v>
      </c>
      <c r="M9204">
        <v>0.99982020000000005</v>
      </c>
      <c r="N9204">
        <v>-1.2819550000000001E-2</v>
      </c>
      <c r="O9204">
        <v>1.398022E-2</v>
      </c>
      <c r="P9204">
        <v>0.99422549999999998</v>
      </c>
      <c r="Q9204">
        <v>-0.10724060000000001</v>
      </c>
      <c r="R9204">
        <v>3.9284050000000003E-3</v>
      </c>
      <c r="S9204">
        <v>2.9947360000000001</v>
      </c>
      <c r="T9204">
        <v>-0.21429400000000001</v>
      </c>
      <c r="U9204">
        <v>-0.1190186</v>
      </c>
      <c r="V9204">
        <v>1.0011010000000001E-2</v>
      </c>
      <c r="W9204">
        <v>-9.4482689999999994E-2</v>
      </c>
      <c r="X9204">
        <v>0.99547620000000003</v>
      </c>
      <c r="Y9204">
        <v>5.3492520000000002E-2</v>
      </c>
      <c r="Z9204">
        <v>-3.0740189999999999E-3</v>
      </c>
      <c r="AA9204">
        <v>0.99856350000000005</v>
      </c>
      <c r="AB9204">
        <v>22</v>
      </c>
      <c r="AC9204">
        <v>15.458799999999901</v>
      </c>
      <c r="AD9204">
        <v>-1.1209570028739999</v>
      </c>
      <c r="AE9204">
        <v>-0.626000000000004</v>
      </c>
      <c r="AF9204">
        <v>0.83767662271145205</v>
      </c>
      <c r="AG9204">
        <v>-1.1209570028739999</v>
      </c>
      <c r="AH9204">
        <v>15.367863646482499</v>
      </c>
      <c r="AI9204">
        <v>94.165697107688203</v>
      </c>
      <c r="AJ9204">
        <v>86.879990164729193</v>
      </c>
      <c r="AK9204">
        <v>15.431444513829801</v>
      </c>
      <c r="AL9204">
        <v>95.421546034936696</v>
      </c>
      <c r="AM9204">
        <v>89.423824209418697</v>
      </c>
      <c r="AN9204">
        <v>1.00000003189864</v>
      </c>
    </row>
    <row r="9205" spans="1:40" x14ac:dyDescent="0.25">
      <c r="A9205" t="str">
        <f>"20190303154359636"</f>
        <v>20190303154359636</v>
      </c>
      <c r="B9205" t="str">
        <f>"1551599039629032"</f>
        <v>1551599039629032</v>
      </c>
      <c r="C9205" t="s">
        <v>40</v>
      </c>
      <c r="D9205">
        <v>5.0873210000000002</v>
      </c>
      <c r="E9205">
        <v>0.51759480000000002</v>
      </c>
      <c r="F9205" t="s">
        <v>41</v>
      </c>
      <c r="G9205">
        <v>-113.67019999999999</v>
      </c>
      <c r="H9205" s="1">
        <v>-3.0903049999999998E-6</v>
      </c>
      <c r="I9205">
        <v>137.4033</v>
      </c>
      <c r="J9205">
        <v>-129.10720000000001</v>
      </c>
      <c r="K9205">
        <v>1.120857</v>
      </c>
      <c r="L9205">
        <v>138.04429999999999</v>
      </c>
      <c r="M9205">
        <v>0.99981529999999996</v>
      </c>
      <c r="N9205">
        <v>-1.293215E-2</v>
      </c>
      <c r="O9205">
        <v>1.4221080000000001E-2</v>
      </c>
      <c r="P9205">
        <v>0.99417480000000003</v>
      </c>
      <c r="Q9205">
        <v>-0.10769769999999899</v>
      </c>
      <c r="R9205">
        <v>4.2608380000000003E-3</v>
      </c>
      <c r="S9205">
        <v>2.9947970000000002</v>
      </c>
      <c r="T9205">
        <v>-0.21440010000000001</v>
      </c>
      <c r="U9205">
        <v>-0.12194820000000001</v>
      </c>
      <c r="V9205">
        <v>9.8951660000000004E-3</v>
      </c>
      <c r="W9205">
        <v>-9.4830659999999997E-2</v>
      </c>
      <c r="X9205">
        <v>0.9954442</v>
      </c>
      <c r="Y9205">
        <v>5.4703160000000001E-2</v>
      </c>
      <c r="Z9205">
        <v>-3.1420089999999999E-3</v>
      </c>
      <c r="AA9205">
        <v>0.99849770000000004</v>
      </c>
      <c r="AB9205">
        <v>22</v>
      </c>
      <c r="AC9205">
        <v>15.436999999999999</v>
      </c>
      <c r="AD9205">
        <v>-1.1208600903049999</v>
      </c>
      <c r="AE9205">
        <v>-0.64099999999999102</v>
      </c>
      <c r="AF9205">
        <v>0.85597935496452904</v>
      </c>
      <c r="AG9205">
        <v>-1.1208600903049999</v>
      </c>
      <c r="AH9205">
        <v>15.345559368135101</v>
      </c>
      <c r="AI9205">
        <v>94.171080407289594</v>
      </c>
      <c r="AJ9205">
        <v>86.807334801386801</v>
      </c>
      <c r="AK9205">
        <v>15.410231027441601</v>
      </c>
      <c r="AL9205">
        <v>95.441573551419097</v>
      </c>
      <c r="AM9205">
        <v>89.430472771338898</v>
      </c>
      <c r="AN9205">
        <v>0.99999996184992002</v>
      </c>
    </row>
    <row r="9206" spans="1:40" x14ac:dyDescent="0.25">
      <c r="A9206" t="str">
        <f>"20190303154359659"</f>
        <v>20190303154359659</v>
      </c>
      <c r="B9206" t="str">
        <f>"1551599039649528"</f>
        <v>1551599039649528</v>
      </c>
      <c r="C9206" t="s">
        <v>40</v>
      </c>
      <c r="D9206">
        <v>5.2738880000000004</v>
      </c>
      <c r="E9206">
        <v>0.51787470000000002</v>
      </c>
      <c r="F9206" t="s">
        <v>41</v>
      </c>
      <c r="G9206">
        <v>-113.4922</v>
      </c>
      <c r="H9206" s="1">
        <v>-3.1686160000000001E-6</v>
      </c>
      <c r="I9206">
        <v>137.39240000000001</v>
      </c>
      <c r="J9206">
        <v>-128.88149999999999</v>
      </c>
      <c r="K9206">
        <v>1.120773</v>
      </c>
      <c r="L9206">
        <v>138.0478</v>
      </c>
      <c r="M9206">
        <v>0.99981249999999999</v>
      </c>
      <c r="N9206">
        <v>-1.303091E-2</v>
      </c>
      <c r="O9206">
        <v>1.432786E-2</v>
      </c>
      <c r="P9206">
        <v>0.99409970000000003</v>
      </c>
      <c r="Q9206">
        <v>-0.108381199999999</v>
      </c>
      <c r="R9206">
        <v>4.4067400000000001E-3</v>
      </c>
      <c r="S9206">
        <v>2.9948269999999999</v>
      </c>
      <c r="T9206">
        <v>-0.2149711</v>
      </c>
      <c r="U9206">
        <v>-0.12503049999999999</v>
      </c>
      <c r="V9206">
        <v>9.8348600000000008E-3</v>
      </c>
      <c r="W9206">
        <v>-9.5418790000000003E-2</v>
      </c>
      <c r="X9206">
        <v>0.99538859999999996</v>
      </c>
      <c r="Y9206">
        <v>5.5830600000000001E-2</v>
      </c>
      <c r="Z9206">
        <v>-3.205149E-3</v>
      </c>
      <c r="AA9206">
        <v>0.99843510000000002</v>
      </c>
      <c r="AB9206">
        <v>22</v>
      </c>
      <c r="AC9206">
        <v>15.389299999999899</v>
      </c>
      <c r="AD9206">
        <v>-1.120776168616</v>
      </c>
      <c r="AE9206">
        <v>-0.65539999999998599</v>
      </c>
      <c r="AF9206">
        <v>0.87123453231093795</v>
      </c>
      <c r="AG9206">
        <v>-1.120776168616</v>
      </c>
      <c r="AH9206">
        <v>15.2973392139696</v>
      </c>
      <c r="AI9206">
        <v>94.183594880195102</v>
      </c>
      <c r="AJ9206">
        <v>86.740335493323599</v>
      </c>
      <c r="AK9206">
        <v>15.3630653145028</v>
      </c>
      <c r="AL9206">
        <v>95.475424390532496</v>
      </c>
      <c r="AM9206">
        <v>89.433911906866797</v>
      </c>
      <c r="AN9206">
        <v>0.99999996748312103</v>
      </c>
    </row>
    <row r="9207" spans="1:40" x14ac:dyDescent="0.25">
      <c r="A9207" t="str">
        <f>"20190303154359682"</f>
        <v>20190303154359682</v>
      </c>
      <c r="B9207" t="str">
        <f>"1551599039669554"</f>
        <v>1551599039669554</v>
      </c>
      <c r="C9207" t="s">
        <v>40</v>
      </c>
      <c r="D9207">
        <v>5.0467079999999997</v>
      </c>
      <c r="E9207">
        <v>0.51821539999999999</v>
      </c>
      <c r="F9207" t="s">
        <v>41</v>
      </c>
      <c r="G9207">
        <v>-113.4726</v>
      </c>
      <c r="H9207" s="1">
        <v>-3.1765209999999999E-6</v>
      </c>
      <c r="I9207">
        <v>137.39529999999999</v>
      </c>
      <c r="J9207">
        <v>-128.6626</v>
      </c>
      <c r="K9207">
        <v>1.120716</v>
      </c>
      <c r="L9207">
        <v>138.05099999999999</v>
      </c>
      <c r="M9207">
        <v>0.99981120000000001</v>
      </c>
      <c r="N9207">
        <v>-1.311383E-2</v>
      </c>
      <c r="O9207">
        <v>1.4337890000000001E-2</v>
      </c>
      <c r="P9207">
        <v>0.99416070000000001</v>
      </c>
      <c r="Q9207">
        <v>-0.1078163</v>
      </c>
      <c r="R9207">
        <v>4.5145790000000003E-3</v>
      </c>
      <c r="S9207">
        <v>2.9946139999999999</v>
      </c>
      <c r="T9207">
        <v>-0.2178137</v>
      </c>
      <c r="U9207">
        <v>-0.12680050000000001</v>
      </c>
      <c r="V9207">
        <v>9.7238040000000008E-3</v>
      </c>
      <c r="W9207">
        <v>-9.4772040000000002E-2</v>
      </c>
      <c r="X9207">
        <v>0.99545150000000004</v>
      </c>
      <c r="Y9207">
        <v>5.6425740000000002E-2</v>
      </c>
      <c r="Z9207">
        <v>-3.2725279999999998E-3</v>
      </c>
      <c r="AA9207">
        <v>0.99840150000000005</v>
      </c>
      <c r="AB9207">
        <v>22</v>
      </c>
      <c r="AC9207">
        <v>15.1899999999999</v>
      </c>
      <c r="AD9207">
        <v>-1.1207191765210001</v>
      </c>
      <c r="AE9207">
        <v>-0.65570000000002404</v>
      </c>
      <c r="AF9207">
        <v>0.86872376687311403</v>
      </c>
      <c r="AG9207">
        <v>-1.1207191765210001</v>
      </c>
      <c r="AH9207">
        <v>15.097008458086901</v>
      </c>
      <c r="AI9207">
        <v>94.238551530754293</v>
      </c>
      <c r="AJ9207">
        <v>86.706673546616003</v>
      </c>
      <c r="AK9207">
        <v>15.163454647252999</v>
      </c>
      <c r="AL9207">
        <v>95.438199521793905</v>
      </c>
      <c r="AM9207">
        <v>89.440339171943094</v>
      </c>
      <c r="AN9207">
        <v>0.99999999039112097</v>
      </c>
    </row>
    <row r="9208" spans="1:40" x14ac:dyDescent="0.25">
      <c r="A9208" t="str">
        <f>"20190303154359706"</f>
        <v>20190303154359706</v>
      </c>
      <c r="B9208" t="str">
        <f>"1551599039699810"</f>
        <v>1551599039699810</v>
      </c>
      <c r="C9208" t="s">
        <v>40</v>
      </c>
      <c r="D9208">
        <v>5.036797</v>
      </c>
      <c r="E9208">
        <v>0.51872159999999901</v>
      </c>
      <c r="F9208" t="s">
        <v>41</v>
      </c>
      <c r="G9208">
        <v>-112.926</v>
      </c>
      <c r="H9208" s="1">
        <v>-3.4151230000000001E-6</v>
      </c>
      <c r="I9208">
        <v>137.37209999999999</v>
      </c>
      <c r="J9208">
        <v>-128.4281</v>
      </c>
      <c r="K9208">
        <v>1.120684</v>
      </c>
      <c r="L9208">
        <v>138.05439999999999</v>
      </c>
      <c r="M9208">
        <v>0.99981109999999895</v>
      </c>
      <c r="N9208">
        <v>-1.319013E-2</v>
      </c>
      <c r="O9208">
        <v>1.4280549999999999E-2</v>
      </c>
      <c r="P9208">
        <v>0.994232</v>
      </c>
      <c r="Q9208">
        <v>-0.1071474</v>
      </c>
      <c r="R9208">
        <v>4.7344409999999998E-3</v>
      </c>
      <c r="S9208">
        <v>2.9950869999999998</v>
      </c>
      <c r="T9208">
        <v>-0.21330189999999999</v>
      </c>
      <c r="U9208">
        <v>-0.1292114</v>
      </c>
      <c r="V9208">
        <v>9.4393810000000002E-3</v>
      </c>
      <c r="W9208">
        <v>-9.4027120000000006E-2</v>
      </c>
      <c r="X9208">
        <v>0.99552490000000005</v>
      </c>
      <c r="Y9208">
        <v>5.7169749999999998E-2</v>
      </c>
      <c r="Z9208">
        <v>-3.2372529999999998E-3</v>
      </c>
      <c r="AA9208">
        <v>0.9983592</v>
      </c>
      <c r="AB9208">
        <v>22</v>
      </c>
      <c r="AC9208">
        <v>15.5021</v>
      </c>
      <c r="AD9208">
        <v>-1.120687415123</v>
      </c>
      <c r="AE9208">
        <v>-0.68229999999999702</v>
      </c>
      <c r="AF9208">
        <v>0.898939196870149</v>
      </c>
      <c r="AG9208">
        <v>-1.120687415123</v>
      </c>
      <c r="AH9208">
        <v>15.4103920473936</v>
      </c>
      <c r="AI9208">
        <v>94.152355417823003</v>
      </c>
      <c r="AJ9208">
        <v>86.661530713206105</v>
      </c>
      <c r="AK9208">
        <v>15.477215996956801</v>
      </c>
      <c r="AL9208">
        <v>95.395327170575698</v>
      </c>
      <c r="AM9208">
        <v>89.456748409350894</v>
      </c>
      <c r="AN9208">
        <v>1.0000000138645799</v>
      </c>
    </row>
    <row r="9209" spans="1:40" x14ac:dyDescent="0.25">
      <c r="A9209" t="str">
        <f>"20190303154359726"</f>
        <v>20190303154359726</v>
      </c>
      <c r="B9209" t="str">
        <f>"1551599039719330"</f>
        <v>1551599039719330</v>
      </c>
      <c r="C9209" t="s">
        <v>40</v>
      </c>
      <c r="D9209">
        <v>5.0445890000000002</v>
      </c>
      <c r="E9209">
        <v>0.51901940000000002</v>
      </c>
      <c r="F9209" t="s">
        <v>41</v>
      </c>
      <c r="G9209">
        <v>-112.3938</v>
      </c>
      <c r="H9209" s="1">
        <v>-3.6483630000000001E-6</v>
      </c>
      <c r="I9209">
        <v>137.3442</v>
      </c>
      <c r="J9209">
        <v>-128.2235</v>
      </c>
      <c r="K9209">
        <v>1.120682</v>
      </c>
      <c r="L9209">
        <v>138.05719999999999</v>
      </c>
      <c r="M9209">
        <v>0.99981140000000002</v>
      </c>
      <c r="N9209">
        <v>-1.324753E-2</v>
      </c>
      <c r="O9209">
        <v>1.4202279999999999E-2</v>
      </c>
      <c r="P9209">
        <v>0.99419060000000004</v>
      </c>
      <c r="Q9209">
        <v>-0.107520699999999</v>
      </c>
      <c r="R9209">
        <v>4.9350050000000001E-3</v>
      </c>
      <c r="S9209">
        <v>2.9954830000000001</v>
      </c>
      <c r="T9209">
        <v>-0.20936360000000001</v>
      </c>
      <c r="U9209">
        <v>-0.1326599</v>
      </c>
      <c r="V9209">
        <v>9.1573950000000005E-3</v>
      </c>
      <c r="W9209">
        <v>-9.4343949999999996E-2</v>
      </c>
      <c r="X9209">
        <v>0.99549750000000004</v>
      </c>
      <c r="Y9209">
        <v>5.8236910000000003E-2</v>
      </c>
      <c r="Z9209">
        <v>-3.2213540000000001E-3</v>
      </c>
      <c r="AA9209">
        <v>0.99829760000000001</v>
      </c>
      <c r="AB9209">
        <v>22</v>
      </c>
      <c r="AC9209">
        <v>15.829700000000001</v>
      </c>
      <c r="AD9209">
        <v>-1.1206856483630001</v>
      </c>
      <c r="AE9209">
        <v>-0.71299999999999297</v>
      </c>
      <c r="AF9209">
        <v>0.933098293385205</v>
      </c>
      <c r="AG9209">
        <v>-1.1206856483630001</v>
      </c>
      <c r="AH9209">
        <v>15.739248635745099</v>
      </c>
      <c r="AI9209">
        <v>94.065657623597005</v>
      </c>
      <c r="AJ9209">
        <v>86.607202015171495</v>
      </c>
      <c r="AK9209">
        <v>15.806661771714101</v>
      </c>
      <c r="AL9209">
        <v>95.413561564978707</v>
      </c>
      <c r="AM9209">
        <v>89.472961723729</v>
      </c>
      <c r="AN9209">
        <v>0.99999995564551802</v>
      </c>
    </row>
    <row r="9210" spans="1:40" x14ac:dyDescent="0.25">
      <c r="A9210" t="str">
        <f>"20190303154359750"</f>
        <v>20190303154359750</v>
      </c>
      <c r="B9210" t="str">
        <f>"1551599039739826"</f>
        <v>1551599039739826</v>
      </c>
      <c r="C9210" t="s">
        <v>40</v>
      </c>
      <c r="D9210">
        <v>5.066217</v>
      </c>
      <c r="E9210">
        <v>0.51928129999999995</v>
      </c>
      <c r="F9210" t="s">
        <v>41</v>
      </c>
      <c r="G9210">
        <v>-112.1854</v>
      </c>
      <c r="H9210" s="1">
        <v>-3.738833E-6</v>
      </c>
      <c r="I9210">
        <v>137.3383</v>
      </c>
      <c r="J9210">
        <v>-127.98569999999999</v>
      </c>
      <c r="K9210">
        <v>1.1206849999999999</v>
      </c>
      <c r="L9210">
        <v>138.06049999999999</v>
      </c>
      <c r="M9210">
        <v>0.99981200000000003</v>
      </c>
      <c r="N9210">
        <v>-1.3304939999999999E-2</v>
      </c>
      <c r="O9210">
        <v>1.41052E-2</v>
      </c>
      <c r="P9210">
        <v>0.99418960000000001</v>
      </c>
      <c r="Q9210">
        <v>-0.10753790000000001</v>
      </c>
      <c r="R9210">
        <v>4.8048860000000004E-3</v>
      </c>
      <c r="S9210">
        <v>2.9955599999999998</v>
      </c>
      <c r="T9210">
        <v>-0.209318</v>
      </c>
      <c r="U9210">
        <v>-0.13427729999999999</v>
      </c>
      <c r="V9210">
        <v>9.1915139999999996E-3</v>
      </c>
      <c r="W9210">
        <v>-9.4303880000000007E-2</v>
      </c>
      <c r="X9210">
        <v>0.99550099999999997</v>
      </c>
      <c r="Y9210">
        <v>5.8675730000000002E-2</v>
      </c>
      <c r="Z9210">
        <v>-3.2342019999999998E-3</v>
      </c>
      <c r="AA9210">
        <v>0.99827189999999999</v>
      </c>
      <c r="AB9210">
        <v>22</v>
      </c>
      <c r="AC9210">
        <v>15.800299999999901</v>
      </c>
      <c r="AD9210">
        <v>-1.120688738833</v>
      </c>
      <c r="AE9210">
        <v>-0.72219999999998596</v>
      </c>
      <c r="AF9210">
        <v>0.94029366714799401</v>
      </c>
      <c r="AG9210">
        <v>-1.120688738833</v>
      </c>
      <c r="AH9210">
        <v>15.7096723136245</v>
      </c>
      <c r="AI9210">
        <v>94.073160155114394</v>
      </c>
      <c r="AJ9210">
        <v>86.574679664666206</v>
      </c>
      <c r="AK9210">
        <v>15.777639228708599</v>
      </c>
      <c r="AL9210">
        <v>95.411255345151702</v>
      </c>
      <c r="AM9210">
        <v>89.471000033934999</v>
      </c>
      <c r="AN9210">
        <v>0.99999997335683199</v>
      </c>
    </row>
    <row r="9211" spans="1:40" x14ac:dyDescent="0.25">
      <c r="A9211" t="str">
        <f>"20190303154359775"</f>
        <v>20190303154359775</v>
      </c>
      <c r="B9211" t="str">
        <f>"1551599039769611"</f>
        <v>1551599039769611</v>
      </c>
      <c r="C9211" t="s">
        <v>40</v>
      </c>
      <c r="D9211">
        <v>5.0464840000000004</v>
      </c>
      <c r="E9211">
        <v>0.51966829999999997</v>
      </c>
      <c r="F9211" t="s">
        <v>41</v>
      </c>
      <c r="G9211">
        <v>-111.8943</v>
      </c>
      <c r="H9211" s="1">
        <v>-3.866004E-6</v>
      </c>
      <c r="I9211">
        <v>137.3254</v>
      </c>
      <c r="J9211">
        <v>-127.7424</v>
      </c>
      <c r="K9211">
        <v>1.120706</v>
      </c>
      <c r="L9211">
        <v>138.06389999999999</v>
      </c>
      <c r="M9211">
        <v>0.9998127</v>
      </c>
      <c r="N9211">
        <v>-1.3354980000000001E-2</v>
      </c>
      <c r="O9211">
        <v>1.4021550000000001E-2</v>
      </c>
      <c r="P9211">
        <v>0.99424239999999997</v>
      </c>
      <c r="Q9211">
        <v>-0.1070583</v>
      </c>
      <c r="R9211">
        <v>4.5943729999999997E-3</v>
      </c>
      <c r="S9211">
        <v>2.9956360000000002</v>
      </c>
      <c r="T9211">
        <v>-0.20863119999999999</v>
      </c>
      <c r="U9211">
        <v>-0.13685610000000001</v>
      </c>
      <c r="V9211">
        <v>9.3233759999999995E-3</v>
      </c>
      <c r="W9211">
        <v>-9.3773529999999994E-2</v>
      </c>
      <c r="X9211">
        <v>0.99554989999999999</v>
      </c>
      <c r="Y9211">
        <v>5.9447710000000001E-2</v>
      </c>
      <c r="Z9211">
        <v>-3.2522200000000001E-3</v>
      </c>
      <c r="AA9211">
        <v>0.99822610000000001</v>
      </c>
      <c r="AB9211">
        <v>22</v>
      </c>
      <c r="AC9211">
        <v>15.848100000000001</v>
      </c>
      <c r="AD9211">
        <v>-1.120709866004</v>
      </c>
      <c r="AE9211">
        <v>-0.73849999999998694</v>
      </c>
      <c r="AF9211">
        <v>0.95589230313842999</v>
      </c>
      <c r="AG9211">
        <v>-1.120709866004</v>
      </c>
      <c r="AH9211">
        <v>15.757557614144501</v>
      </c>
      <c r="AI9211">
        <v>94.060703740407703</v>
      </c>
      <c r="AJ9211">
        <v>86.528550787808996</v>
      </c>
      <c r="AK9211">
        <v>15.8262548526821</v>
      </c>
      <c r="AL9211">
        <v>95.380733116354307</v>
      </c>
      <c r="AM9211">
        <v>89.463437764864906</v>
      </c>
      <c r="AN9211">
        <v>1.00000000182935</v>
      </c>
    </row>
    <row r="9212" spans="1:40" x14ac:dyDescent="0.25">
      <c r="A9212" t="str">
        <f>"20190303154359794"</f>
        <v>20190303154359794</v>
      </c>
      <c r="B9212" t="str">
        <f>"1551599039789131"</f>
        <v>1551599039789131</v>
      </c>
      <c r="C9212" t="s">
        <v>40</v>
      </c>
      <c r="D9212">
        <v>5.0530080000000002</v>
      </c>
      <c r="E9212">
        <v>0.51993420000000001</v>
      </c>
      <c r="F9212" t="s">
        <v>41</v>
      </c>
      <c r="G9212">
        <v>-111.45820000000001</v>
      </c>
      <c r="H9212" s="1">
        <v>-4.0577059999999999E-6</v>
      </c>
      <c r="I9212">
        <v>137.29929999999999</v>
      </c>
      <c r="J9212">
        <v>-127.5616</v>
      </c>
      <c r="K9212">
        <v>1.1207309999999999</v>
      </c>
      <c r="L9212">
        <v>138.06630000000001</v>
      </c>
      <c r="M9212">
        <v>0.99981279999999995</v>
      </c>
      <c r="N9212">
        <v>-1.338661E-2</v>
      </c>
      <c r="O9212">
        <v>1.3979750000000001E-2</v>
      </c>
      <c r="P9212">
        <v>0.99433179999999999</v>
      </c>
      <c r="Q9212">
        <v>-0.1062608</v>
      </c>
      <c r="R9212">
        <v>3.5945339999999999E-3</v>
      </c>
      <c r="S9212">
        <v>2.9958339999999999</v>
      </c>
      <c r="T9212">
        <v>-0.206179</v>
      </c>
      <c r="U9212">
        <v>-0.14065549999999999</v>
      </c>
      <c r="V9212">
        <v>1.0286719999999999E-2</v>
      </c>
      <c r="W9212">
        <v>-9.2943479999999995E-2</v>
      </c>
      <c r="X9212">
        <v>0.99561820000000001</v>
      </c>
      <c r="Y9212">
        <v>6.0667140000000001E-2</v>
      </c>
      <c r="Z9212">
        <v>-3.264528E-3</v>
      </c>
      <c r="AA9212">
        <v>0.9981527</v>
      </c>
      <c r="AB9212">
        <v>22</v>
      </c>
      <c r="AC9212">
        <v>16.103399999999901</v>
      </c>
      <c r="AD9212">
        <v>-1.120735057706</v>
      </c>
      <c r="AE9212">
        <v>-0.767000000000024</v>
      </c>
      <c r="AF9212">
        <v>0.98729541635607998</v>
      </c>
      <c r="AG9212">
        <v>-1.120735057706</v>
      </c>
      <c r="AH9212">
        <v>16.013713738856499</v>
      </c>
      <c r="AI9212">
        <v>93.995809773936202</v>
      </c>
      <c r="AJ9212">
        <v>86.472002002103693</v>
      </c>
      <c r="AK9212">
        <v>16.0832156927267</v>
      </c>
      <c r="AL9212">
        <v>95.332966391499397</v>
      </c>
      <c r="AM9212">
        <v>89.408041486128099</v>
      </c>
      <c r="AN9212">
        <v>0.99999995362705296</v>
      </c>
    </row>
    <row r="9213" spans="1:40" x14ac:dyDescent="0.25">
      <c r="A9213" t="str">
        <f>"20190303154359818"</f>
        <v>20190303154359818</v>
      </c>
      <c r="B9213" t="str">
        <f>"1551599039809627"</f>
        <v>1551599039809627</v>
      </c>
      <c r="C9213" t="s">
        <v>40</v>
      </c>
      <c r="D9213">
        <v>5.0775160000000001</v>
      </c>
      <c r="E9213">
        <v>0.52003319999999997</v>
      </c>
      <c r="F9213" t="s">
        <v>41</v>
      </c>
      <c r="G9213">
        <v>-111.02119999999999</v>
      </c>
      <c r="H9213" s="1">
        <v>-4.2518819999999998E-6</v>
      </c>
      <c r="I9213">
        <v>137.26150000000001</v>
      </c>
      <c r="J9213">
        <v>-127.3203</v>
      </c>
      <c r="K9213">
        <v>1.120768</v>
      </c>
      <c r="L9213">
        <v>138.06960000000001</v>
      </c>
      <c r="M9213">
        <v>0.9998127</v>
      </c>
      <c r="N9213">
        <v>-1.342319E-2</v>
      </c>
      <c r="O9213">
        <v>1.3949380000000001E-2</v>
      </c>
      <c r="P9213">
        <v>0.99438970000000004</v>
      </c>
      <c r="Q9213">
        <v>-0.1057433</v>
      </c>
      <c r="R9213">
        <v>2.8125989999999998E-3</v>
      </c>
      <c r="S9213">
        <v>2.9959259999999999</v>
      </c>
      <c r="T9213">
        <v>-0.2029955</v>
      </c>
      <c r="U9213">
        <v>-0.14578250000000001</v>
      </c>
      <c r="V9213">
        <v>1.1043799999999999E-2</v>
      </c>
      <c r="W9213">
        <v>-9.2388659999999997E-2</v>
      </c>
      <c r="X9213">
        <v>0.99566180000000004</v>
      </c>
      <c r="Y9213">
        <v>6.2340630000000001E-2</v>
      </c>
      <c r="Z9213">
        <v>-3.284225E-3</v>
      </c>
      <c r="AA9213">
        <v>0.99804950000000003</v>
      </c>
      <c r="AB9213">
        <v>22</v>
      </c>
      <c r="AC9213">
        <v>16.299099999999999</v>
      </c>
      <c r="AD9213">
        <v>-1.120772251882</v>
      </c>
      <c r="AE9213">
        <v>-0.80809999999999504</v>
      </c>
      <c r="AF9213">
        <v>1.0305433650320901</v>
      </c>
      <c r="AG9213">
        <v>-1.120772251882</v>
      </c>
      <c r="AH9213">
        <v>16.2097831348139</v>
      </c>
      <c r="AI9213">
        <v>93.947290041711696</v>
      </c>
      <c r="AJ9213">
        <v>86.362293914150001</v>
      </c>
      <c r="AK9213">
        <v>16.281130776008698</v>
      </c>
      <c r="AL9213">
        <v>95.301039795024295</v>
      </c>
      <c r="AM9213">
        <v>89.364505917626303</v>
      </c>
      <c r="AN9213">
        <v>1.0000000249971299</v>
      </c>
    </row>
    <row r="9214" spans="1:40" x14ac:dyDescent="0.25">
      <c r="A9214" t="str">
        <f>"20190303154359839"</f>
        <v>20190303154359839</v>
      </c>
      <c r="B9214" t="str">
        <f>"1551599039829147"</f>
        <v>1551599039829147</v>
      </c>
      <c r="C9214" t="s">
        <v>40</v>
      </c>
      <c r="D9214">
        <v>5.0706179999999996</v>
      </c>
      <c r="E9214">
        <v>0.52015990000000001</v>
      </c>
      <c r="F9214" t="s">
        <v>41</v>
      </c>
      <c r="G9214">
        <v>-110.61499999999999</v>
      </c>
      <c r="H9214" s="1">
        <v>-4.4300339999999996E-6</v>
      </c>
      <c r="I9214">
        <v>137.2397</v>
      </c>
      <c r="J9214">
        <v>-127.1069</v>
      </c>
      <c r="K9214">
        <v>1.1207929999999999</v>
      </c>
      <c r="L9214">
        <v>138.07259999999999</v>
      </c>
      <c r="M9214">
        <v>0.99981249999999999</v>
      </c>
      <c r="N9214">
        <v>-1.3450470000000001E-2</v>
      </c>
      <c r="O9214">
        <v>1.394363E-2</v>
      </c>
      <c r="P9214">
        <v>0.99453970000000003</v>
      </c>
      <c r="Q9214">
        <v>-0.1043393</v>
      </c>
      <c r="R9214">
        <v>2.1294230000000001E-3</v>
      </c>
      <c r="S9214">
        <v>2.9959720000000001</v>
      </c>
      <c r="T9214">
        <v>-0.20100199999999999</v>
      </c>
      <c r="U9214">
        <v>-0.1488495</v>
      </c>
      <c r="V9214">
        <v>1.172715E-2</v>
      </c>
      <c r="W9214">
        <v>-9.0955350000000004E-2</v>
      </c>
      <c r="X9214">
        <v>0.9957859</v>
      </c>
      <c r="Y9214">
        <v>6.3354190000000005E-2</v>
      </c>
      <c r="Z9214">
        <v>-3.2951370000000001E-3</v>
      </c>
      <c r="AA9214">
        <v>0.99798569999999998</v>
      </c>
      <c r="AB9214">
        <v>22</v>
      </c>
      <c r="AC9214">
        <v>16.491900000000001</v>
      </c>
      <c r="AD9214">
        <v>-1.120797430034</v>
      </c>
      <c r="AE9214">
        <v>-0.83289999999999498</v>
      </c>
      <c r="AF9214">
        <v>1.0579230053191999</v>
      </c>
      <c r="AG9214">
        <v>-1.120797430034</v>
      </c>
      <c r="AH9214">
        <v>16.403114595664899</v>
      </c>
      <c r="AI9214">
        <v>93.900769957086595</v>
      </c>
      <c r="AJ9214">
        <v>86.309805237090501</v>
      </c>
      <c r="AK9214">
        <v>16.475362102329299</v>
      </c>
      <c r="AL9214">
        <v>95.218570151071404</v>
      </c>
      <c r="AM9214">
        <v>89.325271486518403</v>
      </c>
      <c r="AN9214">
        <v>0.99999998018977698</v>
      </c>
    </row>
    <row r="9215" spans="1:40" x14ac:dyDescent="0.25">
      <c r="A9215" t="str">
        <f>"20190303154359871"</f>
        <v>20190303154359871</v>
      </c>
      <c r="B9215" t="str">
        <f>"1551599039859407"</f>
        <v>1551599039859407</v>
      </c>
      <c r="C9215" t="s">
        <v>40</v>
      </c>
      <c r="D9215">
        <v>5.1157510000000004</v>
      </c>
      <c r="E9215">
        <v>0.52035050000000005</v>
      </c>
      <c r="F9215" t="s">
        <v>41</v>
      </c>
      <c r="G9215">
        <v>-109.99290000000001</v>
      </c>
      <c r="H9215" s="1">
        <v>-4.703026E-6</v>
      </c>
      <c r="I9215">
        <v>137.20509999999999</v>
      </c>
      <c r="J9215">
        <v>-126.80159999999999</v>
      </c>
      <c r="K9215">
        <v>1.120817</v>
      </c>
      <c r="L9215">
        <v>138.07679999999999</v>
      </c>
      <c r="M9215">
        <v>0.99981180000000003</v>
      </c>
      <c r="N9215">
        <v>-1.3482849999999999E-2</v>
      </c>
      <c r="O9215">
        <v>1.395476E-2</v>
      </c>
      <c r="P9215">
        <v>0.99476030000000004</v>
      </c>
      <c r="Q9215">
        <v>-0.10222970000000001</v>
      </c>
      <c r="R9215">
        <v>1.2561639999999999E-3</v>
      </c>
      <c r="S9215">
        <v>2.9962010000000001</v>
      </c>
      <c r="T9215">
        <v>-0.19622139999999999</v>
      </c>
      <c r="U9215">
        <v>-0.1518707</v>
      </c>
      <c r="V9215">
        <v>1.261901E-2</v>
      </c>
      <c r="W9215">
        <v>-8.8810319999999998E-2</v>
      </c>
      <c r="X9215">
        <v>0.99596859999999998</v>
      </c>
      <c r="Y9215">
        <v>6.437118E-2</v>
      </c>
      <c r="Z9215">
        <v>-3.2635730000000001E-3</v>
      </c>
      <c r="AA9215">
        <v>0.99792069999999999</v>
      </c>
      <c r="AB9215">
        <v>22</v>
      </c>
      <c r="AC9215">
        <v>16.808699999999899</v>
      </c>
      <c r="AD9215">
        <v>-1.1208217030259999</v>
      </c>
      <c r="AE9215">
        <v>-0.87170000000000403</v>
      </c>
      <c r="AF9215">
        <v>1.1013140775347099</v>
      </c>
      <c r="AG9215">
        <v>-1.1208217030259999</v>
      </c>
      <c r="AH9215">
        <v>16.720750437676699</v>
      </c>
      <c r="AI9215">
        <v>93.826634667237599</v>
      </c>
      <c r="AJ9215">
        <v>86.231650154658794</v>
      </c>
      <c r="AK9215">
        <v>16.794422561863101</v>
      </c>
      <c r="AL9215">
        <v>95.095169464521604</v>
      </c>
      <c r="AM9215">
        <v>89.274096262172307</v>
      </c>
      <c r="AN9215">
        <v>0.99999998226892095</v>
      </c>
    </row>
    <row r="9216" spans="1:40" x14ac:dyDescent="0.25">
      <c r="A9216" t="str">
        <f>"20190303154359894"</f>
        <v>20190303154359894</v>
      </c>
      <c r="B9216" t="str">
        <f>"1551599039889659"</f>
        <v>1551599039889659</v>
      </c>
      <c r="C9216" t="s">
        <v>40</v>
      </c>
      <c r="D9216">
        <v>5.1534750000000003</v>
      </c>
      <c r="E9216">
        <v>0.52047559999999904</v>
      </c>
      <c r="F9216" t="s">
        <v>41</v>
      </c>
      <c r="G9216">
        <v>-109.0724</v>
      </c>
      <c r="H9216" s="1">
        <v>-9.9574980000000007E-7</v>
      </c>
      <c r="I9216">
        <v>137.1534</v>
      </c>
      <c r="J9216">
        <v>-126.5804</v>
      </c>
      <c r="K9216">
        <v>1.1208340000000001</v>
      </c>
      <c r="L9216">
        <v>138.07990000000001</v>
      </c>
      <c r="M9216">
        <v>0.99981140000000002</v>
      </c>
      <c r="N9216">
        <v>-1.3502210000000001E-2</v>
      </c>
      <c r="O9216">
        <v>1.3968329999999999E-2</v>
      </c>
      <c r="P9216">
        <v>0.99484589999999995</v>
      </c>
      <c r="Q9216">
        <v>-0.10139040000000001</v>
      </c>
      <c r="R9216">
        <v>1.4219600000000001E-3</v>
      </c>
      <c r="S9216">
        <v>2.996521</v>
      </c>
      <c r="T9216">
        <v>-0.1894364</v>
      </c>
      <c r="U9216">
        <v>-0.15606689999999901</v>
      </c>
      <c r="V9216">
        <v>1.247039E-2</v>
      </c>
      <c r="W9216">
        <v>-8.7950310000000004E-2</v>
      </c>
      <c r="X9216">
        <v>0.99604680000000001</v>
      </c>
      <c r="Y9216">
        <v>6.5781539999999999E-2</v>
      </c>
      <c r="Z9216">
        <v>-3.2141140000000001E-3</v>
      </c>
      <c r="AA9216">
        <v>0.99782890000000002</v>
      </c>
      <c r="AB9216">
        <v>22</v>
      </c>
      <c r="AC9216">
        <v>17.5079999999999</v>
      </c>
      <c r="AD9216">
        <v>-1.1208349957498001</v>
      </c>
      <c r="AE9216">
        <v>-0.92650000000000399</v>
      </c>
      <c r="AF9216">
        <v>1.1662231211396701</v>
      </c>
      <c r="AG9216">
        <v>-1.1208349957498001</v>
      </c>
      <c r="AH9216">
        <v>17.4221458789049</v>
      </c>
      <c r="AI9216">
        <v>93.672792676756998</v>
      </c>
      <c r="AJ9216">
        <v>86.170384069154593</v>
      </c>
      <c r="AK9216">
        <v>17.497071597322201</v>
      </c>
      <c r="AL9216">
        <v>95.045700860489504</v>
      </c>
      <c r="AM9216">
        <v>89.282700986209406</v>
      </c>
      <c r="AN9216">
        <v>0.99999999772304404</v>
      </c>
    </row>
    <row r="9217" spans="1:40" x14ac:dyDescent="0.25">
      <c r="A9217" t="str">
        <f>"20190303154359916"</f>
        <v>20190303154359916</v>
      </c>
      <c r="B9217" t="str">
        <f>"1551599039909180"</f>
        <v>1551599039909180</v>
      </c>
      <c r="C9217" t="s">
        <v>40</v>
      </c>
      <c r="D9217">
        <v>5.1765919999999896</v>
      </c>
      <c r="E9217">
        <v>0.52054840000000002</v>
      </c>
      <c r="F9217" t="s">
        <v>41</v>
      </c>
      <c r="G9217">
        <v>-108.6467</v>
      </c>
      <c r="H9217" s="1">
        <v>-1.162199E-6</v>
      </c>
      <c r="I9217">
        <v>137.1422</v>
      </c>
      <c r="J9217">
        <v>-126.364</v>
      </c>
      <c r="K9217">
        <v>1.1208579999999999</v>
      </c>
      <c r="L9217">
        <v>138.0829</v>
      </c>
      <c r="M9217">
        <v>0.99981100000000001</v>
      </c>
      <c r="N9217">
        <v>-1.3518250000000001E-2</v>
      </c>
      <c r="O9217">
        <v>1.398158E-2</v>
      </c>
      <c r="P9217">
        <v>0.99502080000000004</v>
      </c>
      <c r="Q9217">
        <v>-9.9659910000000004E-2</v>
      </c>
      <c r="R9217">
        <v>1.28093E-3</v>
      </c>
      <c r="S9217">
        <v>2.9966740000000001</v>
      </c>
      <c r="T9217">
        <v>-0.18728829999999999</v>
      </c>
      <c r="U9217">
        <v>-0.15667719999999999</v>
      </c>
      <c r="V9217">
        <v>1.2628820000000001E-2</v>
      </c>
      <c r="W9217">
        <v>-8.6201470000000002E-2</v>
      </c>
      <c r="X9217">
        <v>0.99619769999999996</v>
      </c>
      <c r="Y9217">
        <v>6.5998029999999999E-2</v>
      </c>
      <c r="Z9217">
        <v>-3.1896390000000002E-3</v>
      </c>
      <c r="AA9217">
        <v>0.99781470000000005</v>
      </c>
      <c r="AB9217">
        <v>22</v>
      </c>
      <c r="AC9217">
        <v>17.717299999999899</v>
      </c>
      <c r="AD9217">
        <v>-1.1208591621989901</v>
      </c>
      <c r="AE9217">
        <v>-0.94069999999999199</v>
      </c>
      <c r="AF9217">
        <v>1.1836226173147</v>
      </c>
      <c r="AG9217">
        <v>-1.1208591621989901</v>
      </c>
      <c r="AH9217">
        <v>17.632044271316399</v>
      </c>
      <c r="AI9217">
        <v>93.629220103974106</v>
      </c>
      <c r="AJ9217">
        <v>86.159549824546502</v>
      </c>
      <c r="AK9217">
        <v>17.707237868944102</v>
      </c>
      <c r="AL9217">
        <v>94.945117543434506</v>
      </c>
      <c r="AM9217">
        <v>89.273699057284205</v>
      </c>
      <c r="AN9217">
        <v>1.00000001900502</v>
      </c>
    </row>
    <row r="9218" spans="1:40" x14ac:dyDescent="0.25">
      <c r="A9218" t="str">
        <f>"20190303154359939"</f>
        <v>20190303154359939</v>
      </c>
      <c r="B9218" t="str">
        <f>"1551599039929676"</f>
        <v>1551599039929676</v>
      </c>
      <c r="C9218" t="s">
        <v>40</v>
      </c>
      <c r="D9218">
        <v>5.162204</v>
      </c>
      <c r="E9218">
        <v>0.52057770000000003</v>
      </c>
      <c r="F9218" t="s">
        <v>41</v>
      </c>
      <c r="G9218">
        <v>-107.9363</v>
      </c>
      <c r="H9218" s="1">
        <v>-1.44298399999999E-6</v>
      </c>
      <c r="I9218">
        <v>137.1122</v>
      </c>
      <c r="J9218">
        <v>-126.13890000000001</v>
      </c>
      <c r="K9218">
        <v>1.1208739999999999</v>
      </c>
      <c r="L9218">
        <v>138.08600000000001</v>
      </c>
      <c r="M9218">
        <v>0.99981059999999999</v>
      </c>
      <c r="N9218">
        <v>-1.35321E-2</v>
      </c>
      <c r="O9218">
        <v>1.399276E-2</v>
      </c>
      <c r="P9218">
        <v>0.99514669999999905</v>
      </c>
      <c r="Q9218">
        <v>-9.8381609999999994E-2</v>
      </c>
      <c r="R9218">
        <v>2.1332640000000002E-3</v>
      </c>
      <c r="S9218">
        <v>2.9969480000000002</v>
      </c>
      <c r="T9218">
        <v>-0.1822889</v>
      </c>
      <c r="U9218">
        <v>-0.15786739999999999</v>
      </c>
      <c r="V9218">
        <v>1.179029E-2</v>
      </c>
      <c r="W9218">
        <v>-8.4907499999999997E-2</v>
      </c>
      <c r="X9218">
        <v>0.99631910000000001</v>
      </c>
      <c r="Y9218">
        <v>6.6407289999999994E-2</v>
      </c>
      <c r="Z9218">
        <v>-3.127211E-3</v>
      </c>
      <c r="AA9218">
        <v>0.99778770000000006</v>
      </c>
      <c r="AB9218">
        <v>22</v>
      </c>
      <c r="AC9218">
        <v>18.2026</v>
      </c>
      <c r="AD9218">
        <v>-1.120875442984</v>
      </c>
      <c r="AE9218">
        <v>-0.97380000000001099</v>
      </c>
      <c r="AF9218">
        <v>1.2238053537820801</v>
      </c>
      <c r="AG9218">
        <v>-1.120875442984</v>
      </c>
      <c r="AH9218">
        <v>18.118683438495299</v>
      </c>
      <c r="AI9218">
        <v>93.5319483627419</v>
      </c>
      <c r="AJ9218">
        <v>86.135892462603607</v>
      </c>
      <c r="AK9218">
        <v>18.1945252987549</v>
      </c>
      <c r="AL9218">
        <v>94.870705674704595</v>
      </c>
      <c r="AM9218">
        <v>89.322002032313605</v>
      </c>
      <c r="AN9218">
        <v>1.0000000217596701</v>
      </c>
    </row>
    <row r="9219" spans="1:40" x14ac:dyDescent="0.25">
      <c r="A9219" t="str">
        <f>"20190303154359963"</f>
        <v>20190303154359963</v>
      </c>
      <c r="B9219" t="str">
        <f>"1551599039958955"</f>
        <v>1551599039958955</v>
      </c>
      <c r="C9219" t="s">
        <v>40</v>
      </c>
      <c r="D9219">
        <v>5.1597600000000003</v>
      </c>
      <c r="E9219">
        <v>0.52052330000000002</v>
      </c>
      <c r="F9219" t="s">
        <v>41</v>
      </c>
      <c r="G9219">
        <v>-107.41240000000001</v>
      </c>
      <c r="H9219" s="1">
        <v>-1.6476070000000001E-6</v>
      </c>
      <c r="I9219">
        <v>137.11340000000001</v>
      </c>
      <c r="J9219">
        <v>-125.90430000000001</v>
      </c>
      <c r="K9219">
        <v>1.1208910000000001</v>
      </c>
      <c r="L9219">
        <v>138.08930000000001</v>
      </c>
      <c r="M9219">
        <v>0.99981030000000004</v>
      </c>
      <c r="N9219">
        <v>-1.354413E-2</v>
      </c>
      <c r="O9219">
        <v>1.4001100000000001E-2</v>
      </c>
      <c r="P9219">
        <v>0.99523240000000002</v>
      </c>
      <c r="Q9219">
        <v>-9.7481070000000003E-2</v>
      </c>
      <c r="R9219">
        <v>3.1331340000000001E-3</v>
      </c>
      <c r="S9219">
        <v>2.997223</v>
      </c>
      <c r="T9219">
        <v>-0.179398799999999</v>
      </c>
      <c r="U9219">
        <v>-0.15567020000000001</v>
      </c>
      <c r="V9219">
        <v>1.08004E-2</v>
      </c>
      <c r="W9219">
        <v>-8.3993620000000005E-2</v>
      </c>
      <c r="X9219">
        <v>0.99640770000000001</v>
      </c>
      <c r="Y9219">
        <v>6.5687809999999999E-2</v>
      </c>
      <c r="Z9219">
        <v>-3.0558529999999999E-3</v>
      </c>
      <c r="AA9219">
        <v>0.99783549999999999</v>
      </c>
      <c r="AB9219">
        <v>22</v>
      </c>
      <c r="AC9219">
        <v>18.491900000000001</v>
      </c>
      <c r="AD9219">
        <v>-1.120892647607</v>
      </c>
      <c r="AE9219">
        <v>-0.97589999999999499</v>
      </c>
      <c r="AF9219">
        <v>1.23022743196966</v>
      </c>
      <c r="AG9219">
        <v>-1.120892647607</v>
      </c>
      <c r="AH9219">
        <v>18.408971439854</v>
      </c>
      <c r="AI9219">
        <v>93.476610697786597</v>
      </c>
      <c r="AJ9219">
        <v>86.176745101394303</v>
      </c>
      <c r="AK9219">
        <v>18.484049592424</v>
      </c>
      <c r="AL9219">
        <v>94.818156875317896</v>
      </c>
      <c r="AM9219">
        <v>89.378975991902095</v>
      </c>
      <c r="AN9219">
        <v>0.99999994073007503</v>
      </c>
    </row>
    <row r="9220" spans="1:40" x14ac:dyDescent="0.25">
      <c r="A9220" t="str">
        <f>"20190303154359987"</f>
        <v>20190303154359987</v>
      </c>
      <c r="B9220" t="str">
        <f>"1551599039979452"</f>
        <v>1551599039979452</v>
      </c>
      <c r="C9220" t="s">
        <v>40</v>
      </c>
      <c r="D9220">
        <v>5.1883400000000002</v>
      </c>
      <c r="E9220">
        <v>0.52051550000000002</v>
      </c>
      <c r="F9220" t="s">
        <v>41</v>
      </c>
      <c r="G9220">
        <v>-107.04049999999999</v>
      </c>
      <c r="H9220" s="1">
        <v>-1.8202190000000001E-6</v>
      </c>
      <c r="I9220">
        <v>137.13140000000001</v>
      </c>
      <c r="J9220">
        <v>-125.6789</v>
      </c>
      <c r="K9220">
        <v>1.1209169999999999</v>
      </c>
      <c r="L9220">
        <v>138.0925</v>
      </c>
      <c r="M9220">
        <v>0.99981010000000003</v>
      </c>
      <c r="N9220">
        <v>-1.355372E-2</v>
      </c>
      <c r="O9220">
        <v>1.400586E-2</v>
      </c>
      <c r="P9220">
        <v>0.99543179999999998</v>
      </c>
      <c r="Q9220">
        <v>-9.5347509999999996E-2</v>
      </c>
      <c r="R9220">
        <v>4.9567730000000003E-3</v>
      </c>
      <c r="S9220">
        <v>2.9974059999999998</v>
      </c>
      <c r="T9220">
        <v>-0.17810699999999999</v>
      </c>
      <c r="U9220">
        <v>-0.15220639999999999</v>
      </c>
      <c r="V9220">
        <v>8.9845159999999997E-3</v>
      </c>
      <c r="W9220">
        <v>-8.1847619999999996E-2</v>
      </c>
      <c r="X9220">
        <v>0.99660439999999995</v>
      </c>
      <c r="Y9220">
        <v>6.4543929999999999E-2</v>
      </c>
      <c r="Z9220">
        <v>-2.994315E-3</v>
      </c>
      <c r="AA9220">
        <v>0.99791039999999998</v>
      </c>
      <c r="AB9220">
        <v>22</v>
      </c>
      <c r="AC9220">
        <v>18.638400000000001</v>
      </c>
      <c r="AD9220">
        <v>-1.1209188202189999</v>
      </c>
      <c r="AE9220">
        <v>-0.96109999999998696</v>
      </c>
      <c r="AF9220">
        <v>1.2176839933998</v>
      </c>
      <c r="AG9220">
        <v>-1.1209188202189999</v>
      </c>
      <c r="AH9220">
        <v>18.556172220827801</v>
      </c>
      <c r="AI9220">
        <v>93.449452572113799</v>
      </c>
      <c r="AJ9220">
        <v>86.245547522916894</v>
      </c>
      <c r="AK9220">
        <v>18.629834695947299</v>
      </c>
      <c r="AL9220">
        <v>94.6947747158044</v>
      </c>
      <c r="AM9220">
        <v>89.4834852196486</v>
      </c>
      <c r="AN9220">
        <v>1.0000000422633799</v>
      </c>
    </row>
    <row r="9221" spans="1:40" x14ac:dyDescent="0.25">
      <c r="A9221" t="str">
        <f>"20190303154400018"</f>
        <v>20190303154400018</v>
      </c>
      <c r="B9221" t="str">
        <f>"1551599040009708"</f>
        <v>1551599040009708</v>
      </c>
      <c r="C9221" t="s">
        <v>40</v>
      </c>
      <c r="D9221">
        <v>5.2138010000000001</v>
      </c>
      <c r="E9221">
        <v>0.52054509999999998</v>
      </c>
      <c r="F9221" t="s">
        <v>41</v>
      </c>
      <c r="G9221">
        <v>-106.21210000000001</v>
      </c>
      <c r="H9221" s="1">
        <v>-2.210244E-6</v>
      </c>
      <c r="I9221">
        <v>137.14019999999999</v>
      </c>
      <c r="J9221">
        <v>-125.3814</v>
      </c>
      <c r="K9221">
        <v>1.1209389999999999</v>
      </c>
      <c r="L9221">
        <v>138.0966</v>
      </c>
      <c r="M9221">
        <v>0.99980999999999998</v>
      </c>
      <c r="N9221">
        <v>-1.356395E-2</v>
      </c>
      <c r="O9221">
        <v>1.4007790000000001E-2</v>
      </c>
      <c r="P9221">
        <v>0.99570340000000002</v>
      </c>
      <c r="Q9221">
        <v>-9.2259289999999994E-2</v>
      </c>
      <c r="R9221">
        <v>7.9615999999999992E-3</v>
      </c>
      <c r="S9221">
        <v>2.9979550000000001</v>
      </c>
      <c r="T9221">
        <v>-0.17262549999999999</v>
      </c>
      <c r="U9221">
        <v>-0.14665220000000001</v>
      </c>
      <c r="V9221">
        <v>5.9854770000000003E-3</v>
      </c>
      <c r="W9221">
        <v>-7.8745120000000002E-2</v>
      </c>
      <c r="X9221">
        <v>0.99687680000000001</v>
      </c>
      <c r="Y9221">
        <v>6.2704889999999999E-2</v>
      </c>
      <c r="Z9221">
        <v>-2.8444299999999998E-3</v>
      </c>
      <c r="AA9221">
        <v>0.99802800000000003</v>
      </c>
      <c r="AB9221">
        <v>22</v>
      </c>
      <c r="AC9221">
        <v>19.1693</v>
      </c>
      <c r="AD9221">
        <v>-1.120941210244</v>
      </c>
      <c r="AE9221">
        <v>-0.95640000000000203</v>
      </c>
      <c r="AF9221">
        <v>1.2206866656450801</v>
      </c>
      <c r="AG9221">
        <v>-1.120941210244</v>
      </c>
      <c r="AH9221">
        <v>19.088909568313799</v>
      </c>
      <c r="AI9221">
        <v>93.353835555173006</v>
      </c>
      <c r="AJ9221">
        <v>86.341064314468497</v>
      </c>
      <c r="AK9221">
        <v>19.160716417706499</v>
      </c>
      <c r="AL9221">
        <v>94.516438902654102</v>
      </c>
      <c r="AM9221">
        <v>89.655987129555896</v>
      </c>
      <c r="AN9221">
        <v>0.99999998711848603</v>
      </c>
    </row>
    <row r="9222" spans="1:40" x14ac:dyDescent="0.25">
      <c r="A9222" t="str">
        <f>"20190303154400039"</f>
        <v>20190303154400039</v>
      </c>
      <c r="B9222" t="str">
        <f>"1551599040029227"</f>
        <v>1551599040029227</v>
      </c>
      <c r="C9222" t="s">
        <v>40</v>
      </c>
      <c r="D9222">
        <v>5.2087329999999996</v>
      </c>
      <c r="E9222">
        <v>0.52058950000000004</v>
      </c>
      <c r="F9222" t="s">
        <v>41</v>
      </c>
      <c r="G9222">
        <v>-104.95950000000001</v>
      </c>
      <c r="H9222" s="1">
        <v>-2.7991239999999998E-6</v>
      </c>
      <c r="I9222">
        <v>137.15860000000001</v>
      </c>
      <c r="J9222">
        <v>-125.1593</v>
      </c>
      <c r="K9222">
        <v>1.120957</v>
      </c>
      <c r="L9222">
        <v>138.09979999999999</v>
      </c>
      <c r="M9222">
        <v>0.99980979999999997</v>
      </c>
      <c r="N9222">
        <v>-1.356985E-2</v>
      </c>
      <c r="O9222">
        <v>1.4006889999999999E-2</v>
      </c>
      <c r="P9222">
        <v>0.99590259999999997</v>
      </c>
      <c r="Q9222">
        <v>-8.9832590000000004E-2</v>
      </c>
      <c r="R9222">
        <v>1.0405299999999999E-2</v>
      </c>
      <c r="S9222">
        <v>2.9987949999999999</v>
      </c>
      <c r="T9222">
        <v>-0.16460129999999901</v>
      </c>
      <c r="U9222">
        <v>-0.13774110000000001</v>
      </c>
      <c r="V9222">
        <v>3.543633E-3</v>
      </c>
      <c r="W9222">
        <v>-7.6309539999999995E-2</v>
      </c>
      <c r="X9222">
        <v>0.99707789999999996</v>
      </c>
      <c r="Y9222">
        <v>5.9748750000000003E-2</v>
      </c>
      <c r="Z9222">
        <v>-2.6217129999999999E-3</v>
      </c>
      <c r="AA9222">
        <v>0.99821000000000004</v>
      </c>
      <c r="AB9222">
        <v>22</v>
      </c>
      <c r="AC9222">
        <v>20.1998</v>
      </c>
      <c r="AD9222">
        <v>-1.1209597991239999</v>
      </c>
      <c r="AE9222">
        <v>-0.94119999999998005</v>
      </c>
      <c r="AF9222">
        <v>1.22032020015103</v>
      </c>
      <c r="AG9222">
        <v>-1.1209597991239999</v>
      </c>
      <c r="AH9222">
        <v>20.1227987794401</v>
      </c>
      <c r="AI9222">
        <v>93.182586200423998</v>
      </c>
      <c r="AJ9222">
        <v>86.529624250483096</v>
      </c>
      <c r="AK9222">
        <v>20.1909079285698</v>
      </c>
      <c r="AL9222">
        <v>94.3764689852961</v>
      </c>
      <c r="AM9222">
        <v>89.796370614371497</v>
      </c>
      <c r="AN9222">
        <v>1.00000002094913</v>
      </c>
    </row>
    <row r="9223" spans="1:40" x14ac:dyDescent="0.25">
      <c r="A9223" t="str">
        <f>"20190303154400062"</f>
        <v>20190303154400062</v>
      </c>
      <c r="B9223" t="str">
        <f>"1551599040059484"</f>
        <v>1551599040059484</v>
      </c>
      <c r="C9223" t="s">
        <v>40</v>
      </c>
      <c r="D9223">
        <v>5.2180679999999997</v>
      </c>
      <c r="E9223">
        <v>0.5206269</v>
      </c>
      <c r="F9223" t="s">
        <v>41</v>
      </c>
      <c r="G9223">
        <v>-103.9251</v>
      </c>
      <c r="H9223" s="1">
        <v>-3.2852669999999998E-6</v>
      </c>
      <c r="I9223">
        <v>137.17439999999999</v>
      </c>
      <c r="J9223">
        <v>-124.9513</v>
      </c>
      <c r="K9223">
        <v>1.1209739999999999</v>
      </c>
      <c r="L9223">
        <v>138.1027</v>
      </c>
      <c r="M9223">
        <v>0.99980990000000003</v>
      </c>
      <c r="N9223">
        <v>-1.3574360000000001E-2</v>
      </c>
      <c r="O9223">
        <v>1.400499E-2</v>
      </c>
      <c r="P9223">
        <v>0.9960213</v>
      </c>
      <c r="Q9223">
        <v>-8.8246080000000005E-2</v>
      </c>
      <c r="R9223">
        <v>1.243915E-2</v>
      </c>
      <c r="S9223">
        <v>2.9994200000000002</v>
      </c>
      <c r="T9223">
        <v>-0.1583406</v>
      </c>
      <c r="U9223">
        <v>-0.13070680000000001</v>
      </c>
      <c r="V9223">
        <v>1.5095830000000001E-3</v>
      </c>
      <c r="W9223">
        <v>-7.4716610000000003E-2</v>
      </c>
      <c r="X9223">
        <v>0.99720359999999997</v>
      </c>
      <c r="Y9223">
        <v>5.7413649999999997E-2</v>
      </c>
      <c r="Z9223">
        <v>-2.4524770000000002E-3</v>
      </c>
      <c r="AA9223">
        <v>0.99834750000000005</v>
      </c>
      <c r="AB9223">
        <v>22</v>
      </c>
      <c r="AC9223">
        <v>21.026199999999999</v>
      </c>
      <c r="AD9223">
        <v>-1.1209772852669999</v>
      </c>
      <c r="AE9223">
        <v>-0.92830000000000701</v>
      </c>
      <c r="AF9223">
        <v>1.2192490132634199</v>
      </c>
      <c r="AG9223">
        <v>-1.1209772852669999</v>
      </c>
      <c r="AH9223">
        <v>20.951699996545202</v>
      </c>
      <c r="AI9223">
        <v>93.0574092071423</v>
      </c>
      <c r="AJ9223">
        <v>86.669524405238406</v>
      </c>
      <c r="AK9223">
        <v>21.017061901599298</v>
      </c>
      <c r="AL9223">
        <v>94.284939845201194</v>
      </c>
      <c r="AM9223">
        <v>89.913264784990005</v>
      </c>
      <c r="AN9223">
        <v>0.99999993525184006</v>
      </c>
    </row>
    <row r="9224" spans="1:40" x14ac:dyDescent="0.25">
      <c r="A9224" t="str">
        <f>"20190303154400083"</f>
        <v>20190303154400083</v>
      </c>
      <c r="B9224" t="str">
        <f>"1551599040079004"</f>
        <v>1551599040079004</v>
      </c>
      <c r="C9224" t="s">
        <v>40</v>
      </c>
      <c r="D9224">
        <v>5.2028019999999904</v>
      </c>
      <c r="E9224">
        <v>0.52099010000000001</v>
      </c>
      <c r="F9224" t="s">
        <v>41</v>
      </c>
      <c r="G9224">
        <v>-103.4058</v>
      </c>
      <c r="H9224" s="1">
        <v>-3.5252480000000002E-6</v>
      </c>
      <c r="I9224">
        <v>137.20529999999999</v>
      </c>
      <c r="J9224">
        <v>-124.739</v>
      </c>
      <c r="K9224">
        <v>1.120981</v>
      </c>
      <c r="L9224">
        <v>138.10570000000001</v>
      </c>
      <c r="M9224">
        <v>0.99980979999999997</v>
      </c>
      <c r="N9224">
        <v>-1.3578079999999999E-2</v>
      </c>
      <c r="O9224">
        <v>1.4003109999999999E-2</v>
      </c>
      <c r="P9224">
        <v>0.99605790000000005</v>
      </c>
      <c r="Q9224">
        <v>-8.742142E-2</v>
      </c>
      <c r="R9224">
        <v>1.5042949999999999E-2</v>
      </c>
      <c r="S9224">
        <v>2.9997099999999999</v>
      </c>
      <c r="T9224">
        <v>-0.1560705</v>
      </c>
      <c r="U9224">
        <v>-0.12493899999999999</v>
      </c>
      <c r="V9224">
        <v>-1.095455E-3</v>
      </c>
      <c r="W9224">
        <v>-7.3887240000000007E-2</v>
      </c>
      <c r="X9224">
        <v>0.99726599999999999</v>
      </c>
      <c r="Y9224">
        <v>5.5497570000000003E-2</v>
      </c>
      <c r="Z9224">
        <v>-2.3572369999999999E-3</v>
      </c>
      <c r="AA9224">
        <v>0.99845609999999996</v>
      </c>
      <c r="AB9224">
        <v>22</v>
      </c>
      <c r="AC9224">
        <v>21.333199999999898</v>
      </c>
      <c r="AD9224">
        <v>-1.120984525248</v>
      </c>
      <c r="AE9224">
        <v>-0.90040000000001896</v>
      </c>
      <c r="AF9224">
        <v>1.19577455497819</v>
      </c>
      <c r="AG9224">
        <v>-1.120984525248</v>
      </c>
      <c r="AH9224">
        <v>21.259901349913701</v>
      </c>
      <c r="AI9224">
        <v>93.013522269254693</v>
      </c>
      <c r="AJ9224">
        <v>86.780760042705296</v>
      </c>
      <c r="AK9224">
        <v>21.322989670781201</v>
      </c>
      <c r="AL9224">
        <v>94.237288449662003</v>
      </c>
      <c r="AM9224">
        <v>90.062936992640104</v>
      </c>
      <c r="AN9224">
        <v>0.99999999950623697</v>
      </c>
    </row>
    <row r="9225" spans="1:40" x14ac:dyDescent="0.25">
      <c r="A9225" t="str">
        <f>"20190303154400106"</f>
        <v>20190303154400106</v>
      </c>
      <c r="B9225" t="str">
        <f>"1551599040099500"</f>
        <v>1551599040099500</v>
      </c>
      <c r="C9225" t="s">
        <v>40</v>
      </c>
      <c r="D9225">
        <v>5.2043689999999998</v>
      </c>
      <c r="E9225">
        <v>0.52166559999999995</v>
      </c>
      <c r="F9225" t="s">
        <v>41</v>
      </c>
      <c r="G9225">
        <v>-108.955</v>
      </c>
      <c r="H9225" s="1">
        <v>-9.5741090000000008E-7</v>
      </c>
      <c r="I9225">
        <v>137.46690000000001</v>
      </c>
      <c r="J9225">
        <v>-124.5286</v>
      </c>
      <c r="K9225">
        <v>1.1209769999999999</v>
      </c>
      <c r="L9225">
        <v>138.1087</v>
      </c>
      <c r="M9225">
        <v>0.99980990000000003</v>
      </c>
      <c r="N9225">
        <v>-1.3580979999999999E-2</v>
      </c>
      <c r="O9225">
        <v>1.4001420000000001E-2</v>
      </c>
      <c r="P9225">
        <v>0.99599340000000003</v>
      </c>
      <c r="Q9225">
        <v>-8.7662729999999994E-2</v>
      </c>
      <c r="R9225">
        <v>1.7686859999999999E-2</v>
      </c>
      <c r="S9225">
        <v>2.9950410000000001</v>
      </c>
      <c r="T9225">
        <v>-0.21270919999999999</v>
      </c>
      <c r="U9225">
        <v>-0.1212158</v>
      </c>
      <c r="V9225">
        <v>-3.7417259999999999E-3</v>
      </c>
      <c r="W9225">
        <v>-7.412589E-2</v>
      </c>
      <c r="X9225">
        <v>0.99724190000000001</v>
      </c>
      <c r="Y9225">
        <v>5.4240730000000001E-2</v>
      </c>
      <c r="Z9225">
        <v>-3.0948299999999998E-3</v>
      </c>
      <c r="AA9225">
        <v>0.9985231</v>
      </c>
      <c r="AB9225">
        <v>22</v>
      </c>
      <c r="AC9225">
        <v>15.573600000000001</v>
      </c>
      <c r="AD9225">
        <v>-1.12097795741089</v>
      </c>
      <c r="AE9225">
        <v>-0.64179999999998905</v>
      </c>
      <c r="AF9225">
        <v>0.85538540415329001</v>
      </c>
      <c r="AG9225">
        <v>-1.12097795741089</v>
      </c>
      <c r="AH9225">
        <v>15.483004277219001</v>
      </c>
      <c r="AI9225">
        <v>94.134736963962794</v>
      </c>
      <c r="AJ9225">
        <v>86.837809963569498</v>
      </c>
      <c r="AK9225">
        <v>15.547080022275001</v>
      </c>
      <c r="AL9225">
        <v>94.250999567425197</v>
      </c>
      <c r="AM9225">
        <v>90.214977030006906</v>
      </c>
      <c r="AN9225">
        <v>1.00000002759868</v>
      </c>
    </row>
    <row r="9226" spans="1:40" x14ac:dyDescent="0.25">
      <c r="A9226" t="str">
        <f>"20190303154400128"</f>
        <v>20190303154400128</v>
      </c>
      <c r="B9226" t="str">
        <f>"1551599040119020"</f>
        <v>1551599040119020</v>
      </c>
      <c r="C9226" t="s">
        <v>40</v>
      </c>
      <c r="D9226">
        <v>5.1791239999999998</v>
      </c>
      <c r="E9226">
        <v>0.52204649999999997</v>
      </c>
      <c r="F9226" t="s">
        <v>41</v>
      </c>
      <c r="G9226">
        <v>-108.8567</v>
      </c>
      <c r="H9226" s="1">
        <v>-9.8963009999999994E-7</v>
      </c>
      <c r="I9226">
        <v>137.48779999999999</v>
      </c>
      <c r="J9226">
        <v>-124.31229999999999</v>
      </c>
      <c r="K9226">
        <v>1.1209800000000001</v>
      </c>
      <c r="L9226">
        <v>138.11170000000001</v>
      </c>
      <c r="M9226">
        <v>0.99980970000000002</v>
      </c>
      <c r="N9226">
        <v>-1.358326E-2</v>
      </c>
      <c r="O9226">
        <v>1.400327E-2</v>
      </c>
      <c r="P9226">
        <v>0.9957878</v>
      </c>
      <c r="Q9226">
        <v>-8.9352749999999995E-2</v>
      </c>
      <c r="R9226">
        <v>2.05709E-2</v>
      </c>
      <c r="S9226">
        <v>2.9953159999999999</v>
      </c>
      <c r="T9226">
        <v>-0.2142482</v>
      </c>
      <c r="U9226">
        <v>-0.1186676</v>
      </c>
      <c r="V9226">
        <v>-6.6263290000000002E-3</v>
      </c>
      <c r="W9226">
        <v>-7.5815610000000005E-2</v>
      </c>
      <c r="X9226">
        <v>0.99709979999999998</v>
      </c>
      <c r="Y9226">
        <v>5.3390760000000002E-2</v>
      </c>
      <c r="Z9226">
        <v>-3.0796579999999999E-3</v>
      </c>
      <c r="AA9226">
        <v>0.99856900000000004</v>
      </c>
      <c r="AB9226">
        <v>22</v>
      </c>
      <c r="AC9226">
        <v>15.455599999999899</v>
      </c>
      <c r="AD9226">
        <v>-1.1209809896301</v>
      </c>
      <c r="AE9226">
        <v>-0.62390000000001999</v>
      </c>
      <c r="AF9226">
        <v>0.83589765710096597</v>
      </c>
      <c r="AG9226">
        <v>-1.1209809896301</v>
      </c>
      <c r="AH9226">
        <v>15.364653000429801</v>
      </c>
      <c r="AI9226">
        <v>94.166676897144001</v>
      </c>
      <c r="AJ9226">
        <v>86.8859537448878</v>
      </c>
      <c r="AK9226">
        <v>15.4281523552199</v>
      </c>
      <c r="AL9226">
        <v>94.348086911134601</v>
      </c>
      <c r="AM9226">
        <v>90.380759374736002</v>
      </c>
      <c r="AN9226">
        <v>0.99999996305786298</v>
      </c>
    </row>
    <row r="9227" spans="1:40" x14ac:dyDescent="0.25">
      <c r="A9227" t="str">
        <f>"20190303154400152"</f>
        <v>20190303154400152</v>
      </c>
      <c r="B9227" t="str">
        <f>"1551599040139516"</f>
        <v>1551599040139516</v>
      </c>
      <c r="C9227" t="s">
        <v>40</v>
      </c>
      <c r="D9227">
        <v>5.1473579999999997</v>
      </c>
      <c r="E9227">
        <v>0.52223030000000004</v>
      </c>
      <c r="F9227" t="s">
        <v>41</v>
      </c>
      <c r="G9227">
        <v>-108.9842</v>
      </c>
      <c r="H9227" s="1">
        <v>-9.2853209999999996E-7</v>
      </c>
      <c r="I9227">
        <v>137.5333</v>
      </c>
      <c r="J9227">
        <v>-124.087</v>
      </c>
      <c r="K9227">
        <v>1.1210039999999999</v>
      </c>
      <c r="L9227">
        <v>138.11490000000001</v>
      </c>
      <c r="M9227">
        <v>0.99980939999999996</v>
      </c>
      <c r="N9227">
        <v>-1.358497E-2</v>
      </c>
      <c r="O9227">
        <v>1.4019459999999999E-2</v>
      </c>
      <c r="P9227">
        <v>0.99591200000000002</v>
      </c>
      <c r="Q9227">
        <v>-8.7223819999999994E-2</v>
      </c>
      <c r="R9227">
        <v>2.348623E-2</v>
      </c>
      <c r="S9227">
        <v>2.9953609999999999</v>
      </c>
      <c r="T9227">
        <v>-0.21905849999999999</v>
      </c>
      <c r="U9227">
        <v>-0.11302189999999999</v>
      </c>
      <c r="V9227">
        <v>-9.5223889999999992E-3</v>
      </c>
      <c r="W9227">
        <v>-7.3682999999999998E-2</v>
      </c>
      <c r="X9227">
        <v>0.99723629999999996</v>
      </c>
      <c r="Y9227">
        <v>5.1524699999999903E-2</v>
      </c>
      <c r="Z9227">
        <v>-3.0649739999999998E-3</v>
      </c>
      <c r="AA9227">
        <v>0.99866699999999997</v>
      </c>
      <c r="AB9227">
        <v>22</v>
      </c>
      <c r="AC9227">
        <v>15.1028</v>
      </c>
      <c r="AD9227">
        <v>-1.1210049285321</v>
      </c>
      <c r="AE9227">
        <v>-0.581600000000008</v>
      </c>
      <c r="AF9227">
        <v>0.78895528758720102</v>
      </c>
      <c r="AG9227">
        <v>-1.1210049285321</v>
      </c>
      <c r="AH9227">
        <v>15.0105849323997</v>
      </c>
      <c r="AI9227">
        <v>94.2651101850808</v>
      </c>
      <c r="AJ9227">
        <v>86.991306374981804</v>
      </c>
      <c r="AK9227">
        <v>15.0730475521174</v>
      </c>
      <c r="AL9227">
        <v>94.225554164045207</v>
      </c>
      <c r="AM9227">
        <v>90.547088106657597</v>
      </c>
      <c r="AN9227">
        <v>1.0000000492094701</v>
      </c>
    </row>
    <row r="9228" spans="1:40" x14ac:dyDescent="0.25">
      <c r="A9228" t="str">
        <f>"20190303154400179"</f>
        <v>20190303154400179</v>
      </c>
      <c r="B9228" t="str">
        <f>"1551599040169772"</f>
        <v>1551599040169772</v>
      </c>
      <c r="C9228" t="s">
        <v>40</v>
      </c>
      <c r="D9228">
        <v>5.1832770000000004</v>
      </c>
      <c r="E9228">
        <v>0.52273950000000002</v>
      </c>
      <c r="F9228" t="s">
        <v>41</v>
      </c>
      <c r="G9228">
        <v>-108.5628</v>
      </c>
      <c r="H9228" s="1">
        <v>-1.0814510000000001E-6</v>
      </c>
      <c r="I9228">
        <v>137.5668</v>
      </c>
      <c r="J9228">
        <v>-123.8274</v>
      </c>
      <c r="K9228">
        <v>1.1210530000000001</v>
      </c>
      <c r="L9228">
        <v>138.11859999999999</v>
      </c>
      <c r="M9228">
        <v>0.99980869999999999</v>
      </c>
      <c r="N9228">
        <v>-1.3586229999999999E-2</v>
      </c>
      <c r="O9228">
        <v>1.40757E-2</v>
      </c>
      <c r="P9228">
        <v>0.99637659999999995</v>
      </c>
      <c r="Q9228">
        <v>-8.1352590000000002E-2</v>
      </c>
      <c r="R9228">
        <v>2.4810019999999999E-2</v>
      </c>
      <c r="S9228">
        <v>2.9958499999999999</v>
      </c>
      <c r="T9228">
        <v>-0.21633089999999999</v>
      </c>
      <c r="U9228">
        <v>-0.1057587</v>
      </c>
      <c r="V9228">
        <v>-1.077988E-2</v>
      </c>
      <c r="W9228">
        <v>-6.7804980000000001E-2</v>
      </c>
      <c r="X9228">
        <v>0.99764039999999998</v>
      </c>
      <c r="Y9228">
        <v>4.9168339999999998E-2</v>
      </c>
      <c r="Z9228">
        <v>-2.9308450000000001E-3</v>
      </c>
      <c r="AA9228">
        <v>0.99878619999999996</v>
      </c>
      <c r="AB9228">
        <v>21</v>
      </c>
      <c r="AC9228">
        <v>15.2646</v>
      </c>
      <c r="AD9228">
        <v>-1.1210540814509999</v>
      </c>
      <c r="AE9228">
        <v>-0.55179999999998497</v>
      </c>
      <c r="AF9228">
        <v>0.76251768998446601</v>
      </c>
      <c r="AG9228">
        <v>-1.1210540814509999</v>
      </c>
      <c r="AH9228">
        <v>15.173585694364199</v>
      </c>
      <c r="AI9228">
        <v>94.220140695044194</v>
      </c>
      <c r="AJ9228">
        <v>87.123137201772906</v>
      </c>
      <c r="AK9228">
        <v>15.2340374919222</v>
      </c>
      <c r="AL9228">
        <v>93.887922031217599</v>
      </c>
      <c r="AM9228">
        <v>90.619078368839098</v>
      </c>
      <c r="AN9228">
        <v>1.0000000444188799</v>
      </c>
    </row>
    <row r="9229" spans="1:40" x14ac:dyDescent="0.25">
      <c r="A9229" t="str">
        <f>"20190303154400206"</f>
        <v>20190303154400206</v>
      </c>
      <c r="B9229" t="str">
        <f>"1551599040199055"</f>
        <v>1551599040199055</v>
      </c>
      <c r="C9229" t="s">
        <v>40</v>
      </c>
      <c r="D9229">
        <v>5.1705990000000002</v>
      </c>
      <c r="E9229">
        <v>0.52190349999999996</v>
      </c>
      <c r="F9229" t="s">
        <v>41</v>
      </c>
      <c r="G9229">
        <v>-106.8266</v>
      </c>
      <c r="H9229" s="1">
        <v>-1.8527770000000001E-6</v>
      </c>
      <c r="I9229">
        <v>137.5179</v>
      </c>
      <c r="J9229">
        <v>-123.565</v>
      </c>
      <c r="K9229">
        <v>1.1211009999999999</v>
      </c>
      <c r="L9229">
        <v>138.1224</v>
      </c>
      <c r="M9229">
        <v>0.99980709999999995</v>
      </c>
      <c r="N9229">
        <v>-1.3586920000000001E-2</v>
      </c>
      <c r="O9229">
        <v>1.41919E-2</v>
      </c>
      <c r="P9229">
        <v>0.99658139999999995</v>
      </c>
      <c r="Q9229">
        <v>-7.8654230000000006E-2</v>
      </c>
      <c r="R9229">
        <v>2.5288310000000001E-2</v>
      </c>
      <c r="S9229">
        <v>2.9974059999999998</v>
      </c>
      <c r="T9229">
        <v>-0.19765269999999999</v>
      </c>
      <c r="U9229">
        <v>-0.1059113</v>
      </c>
      <c r="V9229">
        <v>-1.113391E-2</v>
      </c>
      <c r="W9229">
        <v>-6.5104229999999999E-2</v>
      </c>
      <c r="X9229">
        <v>0.99781629999999999</v>
      </c>
      <c r="Y9229">
        <v>4.9344489999999998E-2</v>
      </c>
      <c r="Z9229">
        <v>-2.7023870000000001E-3</v>
      </c>
      <c r="AA9229">
        <v>0.99877819999999995</v>
      </c>
      <c r="AB9229">
        <v>21</v>
      </c>
      <c r="AC9229">
        <v>16.738399999999999</v>
      </c>
      <c r="AD9229">
        <v>-1.1211028527769999</v>
      </c>
      <c r="AE9229">
        <v>-0.60450000000000104</v>
      </c>
      <c r="AF9229">
        <v>0.83825516097755703</v>
      </c>
      <c r="AG9229">
        <v>-1.1211028527769999</v>
      </c>
      <c r="AH9229">
        <v>16.653523129455799</v>
      </c>
      <c r="AI9229">
        <v>93.846443640803699</v>
      </c>
      <c r="AJ9229">
        <v>87.118448619079004</v>
      </c>
      <c r="AK9229">
        <v>16.712252270257501</v>
      </c>
      <c r="AL9229">
        <v>93.7328379572903</v>
      </c>
      <c r="AM9229">
        <v>90.639295608829698</v>
      </c>
      <c r="AN9229">
        <v>0.99999994663073399</v>
      </c>
    </row>
    <row r="9230" spans="1:40" x14ac:dyDescent="0.25">
      <c r="A9230" t="str">
        <f>"20190303154400231"</f>
        <v>20190303154400231</v>
      </c>
      <c r="B9230" t="str">
        <f>"1551599040219548"</f>
        <v>1551599040219548</v>
      </c>
      <c r="C9230" t="s">
        <v>40</v>
      </c>
      <c r="D9230">
        <v>5.1409349999999998</v>
      </c>
      <c r="E9230">
        <v>0.52071769999999995</v>
      </c>
      <c r="F9230" t="s">
        <v>41</v>
      </c>
      <c r="G9230">
        <v>-107.4455</v>
      </c>
      <c r="H9230" s="1">
        <v>-1.5466149999999999E-6</v>
      </c>
      <c r="I9230">
        <v>137.59460000000001</v>
      </c>
      <c r="J9230">
        <v>-123.3317</v>
      </c>
      <c r="K9230">
        <v>1.121129</v>
      </c>
      <c r="L9230">
        <v>138.1259</v>
      </c>
      <c r="M9230">
        <v>0.9998049</v>
      </c>
      <c r="N9230">
        <v>-1.3587159999999999E-2</v>
      </c>
      <c r="O9230">
        <v>1.4344620000000001E-2</v>
      </c>
      <c r="P9230">
        <v>0.99640960000000001</v>
      </c>
      <c r="Q9230">
        <v>-8.0922480000000005E-2</v>
      </c>
      <c r="R9230">
        <v>2.488974E-2</v>
      </c>
      <c r="S9230">
        <v>2.9963380000000002</v>
      </c>
      <c r="T9230">
        <v>-0.2083933</v>
      </c>
      <c r="U9230">
        <v>-9.8114010000000001E-2</v>
      </c>
      <c r="V9230">
        <v>-1.0579440000000001E-2</v>
      </c>
      <c r="W9230">
        <v>-6.7375270000000001E-2</v>
      </c>
      <c r="X9230">
        <v>0.99767159999999999</v>
      </c>
      <c r="Y9230">
        <v>4.6904210000000002E-2</v>
      </c>
      <c r="Z9230">
        <v>-2.749441E-3</v>
      </c>
      <c r="AA9230">
        <v>0.99889559999999999</v>
      </c>
      <c r="AB9230">
        <v>21</v>
      </c>
      <c r="AC9230">
        <v>15.886200000000001</v>
      </c>
      <c r="AD9230">
        <v>-1.1211305466149999</v>
      </c>
      <c r="AE9230">
        <v>-0.531299999999987</v>
      </c>
      <c r="AF9230">
        <v>0.75538982965841495</v>
      </c>
      <c r="AG9230">
        <v>-1.1211305466149999</v>
      </c>
      <c r="AH9230">
        <v>15.798347531581999</v>
      </c>
      <c r="AI9230">
        <v>94.054576273280404</v>
      </c>
      <c r="AJ9230">
        <v>87.262516784623898</v>
      </c>
      <c r="AK9230">
        <v>15.856081868669399</v>
      </c>
      <c r="AL9230">
        <v>93.863245254755697</v>
      </c>
      <c r="AM9230">
        <v>90.607549160302298</v>
      </c>
      <c r="AN9230">
        <v>0.99999998650242305</v>
      </c>
    </row>
    <row r="9231" spans="1:40" x14ac:dyDescent="0.25">
      <c r="A9231" t="str">
        <f>"20190303154400252"</f>
        <v>20190303154400252</v>
      </c>
      <c r="B9231" t="str">
        <f>"1551599040239068"</f>
        <v>1551599040239068</v>
      </c>
      <c r="C9231" t="s">
        <v>40</v>
      </c>
      <c r="D9231">
        <v>5.138471</v>
      </c>
      <c r="E9231">
        <v>0.51962779999999997</v>
      </c>
      <c r="F9231" t="s">
        <v>41</v>
      </c>
      <c r="G9231">
        <v>-108.87390000000001</v>
      </c>
      <c r="H9231" s="1">
        <v>-9.2926349999999999E-7</v>
      </c>
      <c r="I9231">
        <v>137.68969999999999</v>
      </c>
      <c r="J9231">
        <v>-123.1237</v>
      </c>
      <c r="K9231">
        <v>1.121164</v>
      </c>
      <c r="L9231">
        <v>138.12909999999999</v>
      </c>
      <c r="M9231">
        <v>0.99980219999999997</v>
      </c>
      <c r="N9231">
        <v>-1.358705E-2</v>
      </c>
      <c r="O9231">
        <v>1.4532710000000001E-2</v>
      </c>
      <c r="P9231">
        <v>0.9963455</v>
      </c>
      <c r="Q9231">
        <v>-8.2123249999999995E-2</v>
      </c>
      <c r="R9231">
        <v>2.3486460000000001E-2</v>
      </c>
      <c r="S9231">
        <v>2.994202</v>
      </c>
      <c r="T9231">
        <v>-0.23218520000000001</v>
      </c>
      <c r="U9231">
        <v>-9.0332029999999994E-2</v>
      </c>
      <c r="V9231">
        <v>-8.9845269999999904E-3</v>
      </c>
      <c r="W9231">
        <v>-6.8577540000000006E-2</v>
      </c>
      <c r="X9231">
        <v>0.99760530000000003</v>
      </c>
      <c r="Y9231">
        <v>4.449293E-2</v>
      </c>
      <c r="Z9231">
        <v>-2.952859E-3</v>
      </c>
      <c r="AA9231">
        <v>0.99900529999999998</v>
      </c>
      <c r="AB9231">
        <v>21</v>
      </c>
      <c r="AC9231">
        <v>14.249799999999899</v>
      </c>
      <c r="AD9231">
        <v>-1.1211649292635</v>
      </c>
      <c r="AE9231">
        <v>-0.43940000000000601</v>
      </c>
      <c r="AF9231">
        <v>0.64248739046118597</v>
      </c>
      <c r="AG9231">
        <v>-1.1211649292635</v>
      </c>
      <c r="AH9231">
        <v>14.1543700703001</v>
      </c>
      <c r="AI9231">
        <v>94.524292545285903</v>
      </c>
      <c r="AJ9231">
        <v>87.401045420355203</v>
      </c>
      <c r="AK9231">
        <v>14.2132330218188</v>
      </c>
      <c r="AL9231">
        <v>93.932290036297005</v>
      </c>
      <c r="AM9231">
        <v>90.515997219473903</v>
      </c>
      <c r="AN9231">
        <v>0.99999996765297705</v>
      </c>
    </row>
    <row r="9232" spans="1:40" x14ac:dyDescent="0.25">
      <c r="A9232" t="str">
        <f>"20190303154400275"</f>
        <v>20190303154400275</v>
      </c>
      <c r="B9232" t="str">
        <f>"1551599040269324"</f>
        <v>1551599040269324</v>
      </c>
      <c r="C9232" t="s">
        <v>40</v>
      </c>
      <c r="D9232">
        <v>5.1405640000000004</v>
      </c>
      <c r="E9232">
        <v>0.51851539999999996</v>
      </c>
      <c r="F9232" t="s">
        <v>41</v>
      </c>
      <c r="G9232">
        <v>-109.8597</v>
      </c>
      <c r="H9232" s="1">
        <v>-5.3553109999999899E-7</v>
      </c>
      <c r="I9232">
        <v>137.7467</v>
      </c>
      <c r="J9232">
        <v>-122.91330000000001</v>
      </c>
      <c r="K9232">
        <v>1.1212029999999999</v>
      </c>
      <c r="L9232">
        <v>138.13239999999999</v>
      </c>
      <c r="M9232">
        <v>0.99979850000000003</v>
      </c>
      <c r="N9232">
        <v>-1.358668E-2</v>
      </c>
      <c r="O9232">
        <v>1.477874E-2</v>
      </c>
      <c r="P9232">
        <v>0.99633780000000005</v>
      </c>
      <c r="Q9232">
        <v>-8.2537840000000001E-2</v>
      </c>
      <c r="R9232">
        <v>2.2324400000000001E-2</v>
      </c>
      <c r="S9232">
        <v>2.9921880000000001</v>
      </c>
      <c r="T9232">
        <v>-0.2529206</v>
      </c>
      <c r="U9232">
        <v>-8.6257929999999997E-2</v>
      </c>
      <c r="V9232">
        <v>-7.5714839999999999E-3</v>
      </c>
      <c r="W9232">
        <v>-6.8992990000000004E-2</v>
      </c>
      <c r="X9232">
        <v>0.99758840000000004</v>
      </c>
      <c r="Y9232">
        <v>4.3369980000000002E-2</v>
      </c>
      <c r="Z9232">
        <v>-3.1709339999999998E-3</v>
      </c>
      <c r="AA9232">
        <v>0.99905409999999994</v>
      </c>
      <c r="AB9232">
        <v>21</v>
      </c>
      <c r="AC9232">
        <v>13.053599999999999</v>
      </c>
      <c r="AD9232">
        <v>-1.1212035355311001</v>
      </c>
      <c r="AE9232">
        <v>-0.385699999999985</v>
      </c>
      <c r="AF9232">
        <v>0.57435781358313598</v>
      </c>
      <c r="AG9232">
        <v>-1.1212035355311001</v>
      </c>
      <c r="AH9232">
        <v>12.951010905987999</v>
      </c>
      <c r="AI9232">
        <v>94.943077220125602</v>
      </c>
      <c r="AJ9232">
        <v>87.460682431164301</v>
      </c>
      <c r="AK9232">
        <v>13.012135403273801</v>
      </c>
      <c r="AL9232">
        <v>93.956150001295796</v>
      </c>
      <c r="AM9232">
        <v>90.434854443178594</v>
      </c>
      <c r="AN9232">
        <v>0.99999998792683098</v>
      </c>
    </row>
    <row r="9233" spans="1:40" x14ac:dyDescent="0.25">
      <c r="A9233" t="str">
        <f>"20190303154400297"</f>
        <v>20190303154400297</v>
      </c>
      <c r="B9233" t="str">
        <f>"1551599040288844"</f>
        <v>1551599040288844</v>
      </c>
      <c r="C9233" t="s">
        <v>40</v>
      </c>
      <c r="D9233">
        <v>5.2261230000000003</v>
      </c>
      <c r="E9233">
        <v>0.51803359999999998</v>
      </c>
      <c r="F9233" t="s">
        <v>41</v>
      </c>
      <c r="G9233">
        <v>-110.3866</v>
      </c>
      <c r="H9233" s="1">
        <v>-4.4299349999999996E-6</v>
      </c>
      <c r="I9233">
        <v>137.79259999999999</v>
      </c>
      <c r="J9233">
        <v>-122.7034</v>
      </c>
      <c r="K9233">
        <v>1.1212329999999999</v>
      </c>
      <c r="L9233">
        <v>138.13579999999999</v>
      </c>
      <c r="M9233">
        <v>0.99979399999999996</v>
      </c>
      <c r="N9233">
        <v>-1.358617E-2</v>
      </c>
      <c r="O9233">
        <v>1.5079779999999999E-2</v>
      </c>
      <c r="P9233">
        <v>0.99630200000000002</v>
      </c>
      <c r="Q9233">
        <v>-8.3178920000000003E-2</v>
      </c>
      <c r="R9233">
        <v>2.153091E-2</v>
      </c>
      <c r="S9233">
        <v>2.9906769999999998</v>
      </c>
      <c r="T9233">
        <v>-0.26768059999999899</v>
      </c>
      <c r="U9233">
        <v>-8.1130980000000005E-2</v>
      </c>
      <c r="V9233">
        <v>-6.4728290000000003E-3</v>
      </c>
      <c r="W9233">
        <v>-6.9635260000000004E-2</v>
      </c>
      <c r="X9233">
        <v>0.99755150000000004</v>
      </c>
      <c r="Y9233">
        <v>4.1954020000000002E-2</v>
      </c>
      <c r="Z9233">
        <v>-3.301488E-3</v>
      </c>
      <c r="AA9233">
        <v>0.9991141</v>
      </c>
      <c r="AB9233">
        <v>21</v>
      </c>
      <c r="AC9233">
        <v>12.316800000000001</v>
      </c>
      <c r="AD9233">
        <v>-1.1212374299350001</v>
      </c>
      <c r="AE9233">
        <v>-0.34319999999999501</v>
      </c>
      <c r="AF9233">
        <v>0.52456899359558995</v>
      </c>
      <c r="AG9233">
        <v>-1.1212374299350001</v>
      </c>
      <c r="AH9233">
        <v>12.2091243876666</v>
      </c>
      <c r="AI9233">
        <v>95.242289006101799</v>
      </c>
      <c r="AJ9233">
        <v>87.539781355098398</v>
      </c>
      <c r="AK9233">
        <v>12.271718067037099</v>
      </c>
      <c r="AL9233">
        <v>93.993038110317798</v>
      </c>
      <c r="AM9233">
        <v>90.371770859381698</v>
      </c>
      <c r="AN9233">
        <v>0.99999998105138999</v>
      </c>
    </row>
    <row r="9234" spans="1:40" x14ac:dyDescent="0.25">
      <c r="A9234" t="str">
        <f>"20190303154400319"</f>
        <v>20190303154400319</v>
      </c>
      <c r="B9234" t="str">
        <f>"1551599040309340"</f>
        <v>1551599040309340</v>
      </c>
      <c r="C9234" t="s">
        <v>40</v>
      </c>
      <c r="D9234">
        <v>5.1183759999999996</v>
      </c>
      <c r="E9234">
        <v>0.51688339999999999</v>
      </c>
      <c r="F9234" t="s">
        <v>42</v>
      </c>
      <c r="G9234">
        <v>-121.7993</v>
      </c>
      <c r="H9234">
        <v>1.03752</v>
      </c>
      <c r="I9234">
        <v>138.11160000000001</v>
      </c>
      <c r="J9234">
        <v>-122.4913</v>
      </c>
      <c r="K9234">
        <v>1.1212599999999999</v>
      </c>
      <c r="L9234">
        <v>138.13939999999999</v>
      </c>
      <c r="M9234">
        <v>0.99978860000000003</v>
      </c>
      <c r="N9234">
        <v>-1.3585470000000001E-2</v>
      </c>
      <c r="O9234">
        <v>1.543139E-2</v>
      </c>
      <c r="P9234">
        <v>0.99620929999999996</v>
      </c>
      <c r="Q9234">
        <v>-8.4381650000000002E-2</v>
      </c>
      <c r="R9234">
        <v>2.1136249999999999E-2</v>
      </c>
      <c r="S9234">
        <v>2.9897459999999998</v>
      </c>
      <c r="T9234">
        <v>-0.2768447</v>
      </c>
      <c r="U9234">
        <v>-7.991028E-2</v>
      </c>
      <c r="V9234">
        <v>-5.7236359999999998E-3</v>
      </c>
      <c r="W9234">
        <v>-7.0839990000000005E-2</v>
      </c>
      <c r="X9234">
        <v>0.99747129999999995</v>
      </c>
      <c r="Y9234">
        <v>4.188915E-2</v>
      </c>
      <c r="Z9234">
        <v>-3.4366620000000001E-3</v>
      </c>
      <c r="AA9234">
        <v>0.99911640000000002</v>
      </c>
      <c r="AB9234">
        <v>21</v>
      </c>
      <c r="AC9234">
        <v>0.69199999999999295</v>
      </c>
      <c r="AD9234">
        <v>-8.3740000000000106E-2</v>
      </c>
      <c r="AE9234">
        <v>-2.7799999999984899E-2</v>
      </c>
      <c r="AF9234">
        <v>3.7921773015633597E-2</v>
      </c>
      <c r="AG9234">
        <v>-8.3740000000000106E-2</v>
      </c>
      <c r="AH9234">
        <v>0.68152452896924298</v>
      </c>
      <c r="AI9234">
        <v>96.994200501083498</v>
      </c>
      <c r="AJ9234">
        <v>86.815199959956701</v>
      </c>
      <c r="AK9234">
        <v>0.68769624984828703</v>
      </c>
      <c r="AL9234">
        <v>94.062234760449499</v>
      </c>
      <c r="AM9234">
        <v>90.328767942548694</v>
      </c>
      <c r="AN9234">
        <v>1.00000002925797</v>
      </c>
    </row>
    <row r="9235" spans="1:40" x14ac:dyDescent="0.25">
      <c r="A9235" t="str">
        <f>"20190303154400345"</f>
        <v>20190303154400345</v>
      </c>
      <c r="B9235" t="str">
        <f>"1551599040339596"</f>
        <v>1551599040339596</v>
      </c>
      <c r="C9235" t="s">
        <v>40</v>
      </c>
      <c r="D9235">
        <v>5.1823790000000001</v>
      </c>
      <c r="E9235">
        <v>0.5165535</v>
      </c>
      <c r="F9235" t="s">
        <v>42</v>
      </c>
      <c r="G9235">
        <v>-121.6096</v>
      </c>
      <c r="H9235">
        <v>1.038259</v>
      </c>
      <c r="I9235">
        <v>138.1181</v>
      </c>
      <c r="J9235">
        <v>-122.24630000000001</v>
      </c>
      <c r="K9235">
        <v>1.1212850000000001</v>
      </c>
      <c r="L9235">
        <v>138.1437</v>
      </c>
      <c r="M9235">
        <v>0.9997817</v>
      </c>
      <c r="N9235">
        <v>-1.358441E-2</v>
      </c>
      <c r="O9235">
        <v>1.5877390000000002E-2</v>
      </c>
      <c r="P9235">
        <v>0.99616749999999998</v>
      </c>
      <c r="Q9235">
        <v>-8.4719810000000007E-2</v>
      </c>
      <c r="R9235">
        <v>2.1756270000000001E-2</v>
      </c>
      <c r="S9235">
        <v>2.9891049999999999</v>
      </c>
      <c r="T9235">
        <v>-0.28147050000000001</v>
      </c>
      <c r="U9235">
        <v>-7.1975709999999998E-2</v>
      </c>
      <c r="V9235">
        <v>-5.8951949999999998E-3</v>
      </c>
      <c r="W9235">
        <v>-7.118004E-2</v>
      </c>
      <c r="X9235">
        <v>0.9974461</v>
      </c>
      <c r="Y9235">
        <v>3.9691240000000003E-2</v>
      </c>
      <c r="Z9235">
        <v>-3.4110619999999999E-3</v>
      </c>
      <c r="AA9235">
        <v>0.99920620000000004</v>
      </c>
      <c r="AB9235">
        <v>21</v>
      </c>
      <c r="AC9235">
        <v>0.63670000000000404</v>
      </c>
      <c r="AD9235">
        <v>-8.3026000000000003E-2</v>
      </c>
      <c r="AE9235">
        <v>-2.5599999999997101E-2</v>
      </c>
      <c r="AF9235">
        <v>3.5110769028964102E-2</v>
      </c>
      <c r="AG9235">
        <v>-8.3026000000000003E-2</v>
      </c>
      <c r="AH9235">
        <v>0.62559263835335099</v>
      </c>
      <c r="AI9235">
        <v>97.5481327392</v>
      </c>
      <c r="AJ9235">
        <v>86.787700940418105</v>
      </c>
      <c r="AK9235">
        <v>0.63205397865982305</v>
      </c>
      <c r="AL9235">
        <v>94.081767466893893</v>
      </c>
      <c r="AM9235">
        <v>90.338630688968195</v>
      </c>
      <c r="AN9235">
        <v>1.00000003691184</v>
      </c>
    </row>
    <row r="9236" spans="1:40" x14ac:dyDescent="0.25">
      <c r="A9236" t="str">
        <f>"20190303154400370"</f>
        <v>20190303154400370</v>
      </c>
      <c r="B9236" t="str">
        <f>"1551599040360093"</f>
        <v>1551599040360093</v>
      </c>
      <c r="C9236" t="s">
        <v>40</v>
      </c>
      <c r="D9236">
        <v>5.1881789999999999</v>
      </c>
      <c r="E9236">
        <v>0.51639880000000005</v>
      </c>
      <c r="F9236" t="s">
        <v>42</v>
      </c>
      <c r="G9236">
        <v>-121.41930000000001</v>
      </c>
      <c r="H9236">
        <v>1.0407439999999999</v>
      </c>
      <c r="I9236">
        <v>138.1249</v>
      </c>
      <c r="J9236">
        <v>-122.0074</v>
      </c>
      <c r="K9236">
        <v>1.12131</v>
      </c>
      <c r="L9236">
        <v>138.1481</v>
      </c>
      <c r="M9236">
        <v>0.9997743</v>
      </c>
      <c r="N9236">
        <v>-1.3583100000000001E-2</v>
      </c>
      <c r="O9236">
        <v>1.6342120000000002E-2</v>
      </c>
      <c r="P9236">
        <v>0.99627540000000003</v>
      </c>
      <c r="Q9236">
        <v>-8.3303050000000003E-2</v>
      </c>
      <c r="R9236">
        <v>2.2269509999999999E-2</v>
      </c>
      <c r="S9236">
        <v>2.9882810000000002</v>
      </c>
      <c r="T9236">
        <v>-0.29108679999999998</v>
      </c>
      <c r="U9236">
        <v>-6.7749019999999993E-2</v>
      </c>
      <c r="V9236">
        <v>-5.9414519999999998E-3</v>
      </c>
      <c r="W9236">
        <v>-6.9763350000000002E-2</v>
      </c>
      <c r="X9236">
        <v>0.99754589999999999</v>
      </c>
      <c r="Y9236">
        <v>3.8735940000000003E-2</v>
      </c>
      <c r="Z9236">
        <v>-3.512191E-3</v>
      </c>
      <c r="AA9236">
        <v>0.99924329999999995</v>
      </c>
      <c r="AB9236">
        <v>21</v>
      </c>
      <c r="AC9236">
        <v>0.58809999999999696</v>
      </c>
      <c r="AD9236">
        <v>-8.0565999999999902E-2</v>
      </c>
      <c r="AE9236">
        <v>-2.3200000000002701E-2</v>
      </c>
      <c r="AF9236">
        <v>3.2205124386528401E-2</v>
      </c>
      <c r="AG9236">
        <v>-8.0565999999999902E-2</v>
      </c>
      <c r="AH9236">
        <v>0.57683350495711005</v>
      </c>
      <c r="AI9236">
        <v>97.938827324470793</v>
      </c>
      <c r="AJ9236">
        <v>86.804443512933005</v>
      </c>
      <c r="AK9236">
        <v>0.58332233184908699</v>
      </c>
      <c r="AL9236">
        <v>94.000394845504502</v>
      </c>
      <c r="AM9236">
        <v>90.341253568808199</v>
      </c>
      <c r="AN9236">
        <v>1.0000000242309499</v>
      </c>
    </row>
    <row r="9237" spans="1:40" x14ac:dyDescent="0.25">
      <c r="A9237" t="str">
        <f>"20190303154400391"</f>
        <v>20190303154400391</v>
      </c>
      <c r="B9237" t="str">
        <f>"1551599040379612"</f>
        <v>1551599040379612</v>
      </c>
      <c r="C9237" t="s">
        <v>40</v>
      </c>
      <c r="D9237">
        <v>5.2463249999999997</v>
      </c>
      <c r="E9237">
        <v>0.51622100000000004</v>
      </c>
      <c r="F9237" t="s">
        <v>42</v>
      </c>
      <c r="G9237">
        <v>-121.2265</v>
      </c>
      <c r="H9237">
        <v>1.0451029999999999</v>
      </c>
      <c r="I9237">
        <v>138.1311</v>
      </c>
      <c r="J9237">
        <v>-121.8122</v>
      </c>
      <c r="K9237">
        <v>1.121326</v>
      </c>
      <c r="L9237">
        <v>138.15170000000001</v>
      </c>
      <c r="M9237">
        <v>0.99976779999999998</v>
      </c>
      <c r="N9237">
        <v>-1.3581889999999999E-2</v>
      </c>
      <c r="O9237">
        <v>1.6736770000000002E-2</v>
      </c>
      <c r="P9237">
        <v>0.99654410000000004</v>
      </c>
      <c r="Q9237">
        <v>-7.9748059999999996E-2</v>
      </c>
      <c r="R9237">
        <v>2.3247339999999998E-2</v>
      </c>
      <c r="S9237">
        <v>2.9882810000000002</v>
      </c>
      <c r="T9237">
        <v>-0.29162700000000003</v>
      </c>
      <c r="U9237">
        <v>-6.5048220000000004E-2</v>
      </c>
      <c r="V9237">
        <v>-6.5228730000000002E-3</v>
      </c>
      <c r="W9237">
        <v>-6.6206429999999997E-2</v>
      </c>
      <c r="X9237">
        <v>0.99778460000000002</v>
      </c>
      <c r="Y9237">
        <v>3.8228079999999998E-2</v>
      </c>
      <c r="Z9237">
        <v>-3.5235179999999998E-3</v>
      </c>
      <c r="AA9237">
        <v>0.99926280000000001</v>
      </c>
      <c r="AB9237">
        <v>21</v>
      </c>
      <c r="AC9237">
        <v>0.585700000000002</v>
      </c>
      <c r="AD9237">
        <v>-7.6222999999999902E-2</v>
      </c>
      <c r="AE9237">
        <v>-2.06000000000017E-2</v>
      </c>
      <c r="AF9237">
        <v>2.9895053670155599E-2</v>
      </c>
      <c r="AG9237">
        <v>-7.6222999999999902E-2</v>
      </c>
      <c r="AH9237">
        <v>0.57553763278411596</v>
      </c>
      <c r="AI9237">
        <v>97.534189432148594</v>
      </c>
      <c r="AJ9237">
        <v>87.0265672829441</v>
      </c>
      <c r="AK9237">
        <v>0.58133228597221898</v>
      </c>
      <c r="AL9237">
        <v>93.796125822075993</v>
      </c>
      <c r="AM9237">
        <v>90.374557564084</v>
      </c>
      <c r="AN9237">
        <v>0.99999997362133897</v>
      </c>
    </row>
    <row r="9238" spans="1:40" x14ac:dyDescent="0.25">
      <c r="A9238" t="str">
        <f>"20190303154400415"</f>
        <v>20190303154400415</v>
      </c>
      <c r="B9238" t="str">
        <f>"1551599040408892"</f>
        <v>1551599040408892</v>
      </c>
      <c r="C9238" t="s">
        <v>40</v>
      </c>
      <c r="D9238">
        <v>5.2742500000000003</v>
      </c>
      <c r="E9238">
        <v>0.51571540000000005</v>
      </c>
      <c r="F9238" t="s">
        <v>42</v>
      </c>
      <c r="G9238">
        <v>-121.0359</v>
      </c>
      <c r="H9238">
        <v>1.0472600000000001</v>
      </c>
      <c r="I9238">
        <v>138.13589999999999</v>
      </c>
      <c r="J9238">
        <v>-121.58329999999999</v>
      </c>
      <c r="K9238">
        <v>1.1213329999999999</v>
      </c>
      <c r="L9238">
        <v>138.15610000000001</v>
      </c>
      <c r="M9238">
        <v>0.99975990000000003</v>
      </c>
      <c r="N9238">
        <v>-1.358034E-2</v>
      </c>
      <c r="O9238">
        <v>1.7205769999999999E-2</v>
      </c>
      <c r="P9238">
        <v>0.99666509999999997</v>
      </c>
      <c r="Q9238">
        <v>-7.7930100000000002E-2</v>
      </c>
      <c r="R9238">
        <v>2.4207329999999999E-2</v>
      </c>
      <c r="S9238">
        <v>2.988998</v>
      </c>
      <c r="T9238">
        <v>-0.28518529999999997</v>
      </c>
      <c r="U9238">
        <v>-6.0928339999999998E-2</v>
      </c>
      <c r="V9238">
        <v>-7.0142379999999999E-3</v>
      </c>
      <c r="W9238">
        <v>-6.4388559999999997E-2</v>
      </c>
      <c r="X9238">
        <v>0.99790020000000001</v>
      </c>
      <c r="Y9238">
        <v>3.7329569999999999E-2</v>
      </c>
      <c r="Z9238">
        <v>-3.4353510000000001E-3</v>
      </c>
      <c r="AA9238">
        <v>0.99929710000000005</v>
      </c>
      <c r="AB9238">
        <v>21</v>
      </c>
      <c r="AC9238">
        <v>0.547399999999996</v>
      </c>
      <c r="AD9238">
        <v>-7.4072999999999806E-2</v>
      </c>
      <c r="AE9238">
        <v>-2.0200000000016798E-2</v>
      </c>
      <c r="AF9238">
        <v>2.9084475421114898E-2</v>
      </c>
      <c r="AG9238">
        <v>-7.4072999999999806E-2</v>
      </c>
      <c r="AH9238">
        <v>0.53714904437019095</v>
      </c>
      <c r="AI9238">
        <v>97.840242287631796</v>
      </c>
      <c r="AJ9238">
        <v>86.90068885302</v>
      </c>
      <c r="AK9238">
        <v>0.54301179720824699</v>
      </c>
      <c r="AL9238">
        <v>93.691746860460299</v>
      </c>
      <c r="AM9238">
        <v>90.4027252579547</v>
      </c>
      <c r="AN9238">
        <v>0.99999994767681499</v>
      </c>
    </row>
    <row r="9239" spans="1:40" x14ac:dyDescent="0.25">
      <c r="A9239" t="str">
        <f>"20190303154400435"</f>
        <v>20190303154400435</v>
      </c>
      <c r="B9239" t="str">
        <f>"1551599040429388"</f>
        <v>1551599040429388</v>
      </c>
      <c r="C9239" t="s">
        <v>40</v>
      </c>
      <c r="D9239">
        <v>5.3279189999999996</v>
      </c>
      <c r="E9239">
        <v>0.51547270000000001</v>
      </c>
      <c r="F9239" t="s">
        <v>41</v>
      </c>
      <c r="G9239">
        <v>-109.79179999999999</v>
      </c>
      <c r="H9239" s="1">
        <v>-5.0952320000000004E-7</v>
      </c>
      <c r="I9239">
        <v>137.9425</v>
      </c>
      <c r="J9239">
        <v>-121.40009999999999</v>
      </c>
      <c r="K9239">
        <v>1.1213360000000001</v>
      </c>
      <c r="L9239">
        <v>138.15969999999999</v>
      </c>
      <c r="M9239">
        <v>0.99975340000000001</v>
      </c>
      <c r="N9239">
        <v>-1.3579010000000001E-2</v>
      </c>
      <c r="O9239">
        <v>1.7578650000000001E-2</v>
      </c>
      <c r="P9239">
        <v>0.99663919999999995</v>
      </c>
      <c r="Q9239">
        <v>-7.7889689999999998E-2</v>
      </c>
      <c r="R9239">
        <v>2.5370199999999999E-2</v>
      </c>
      <c r="S9239">
        <v>2.9891359999999998</v>
      </c>
      <c r="T9239">
        <v>-0.28425820000000002</v>
      </c>
      <c r="U9239">
        <v>-5.4153439999999997E-2</v>
      </c>
      <c r="V9239">
        <v>-7.8060469999999896E-3</v>
      </c>
      <c r="W9239">
        <v>-6.4349939999999994E-2</v>
      </c>
      <c r="X9239">
        <v>0.99789689999999998</v>
      </c>
      <c r="Y9239">
        <v>3.5447289999999999E-2</v>
      </c>
      <c r="Z9239">
        <v>-3.3524079999999999E-3</v>
      </c>
      <c r="AA9239">
        <v>0.99936590000000003</v>
      </c>
      <c r="AB9239">
        <v>21</v>
      </c>
      <c r="AC9239">
        <v>11.6083</v>
      </c>
      <c r="AD9239">
        <v>-1.1213365095232</v>
      </c>
      <c r="AE9239">
        <v>-0.21719999999999101</v>
      </c>
      <c r="AF9239">
        <v>0.41735047235420603</v>
      </c>
      <c r="AG9239">
        <v>-1.1213365095232</v>
      </c>
      <c r="AH9239">
        <v>11.4954593681846</v>
      </c>
      <c r="AI9239">
        <v>95.567704853558396</v>
      </c>
      <c r="AJ9239">
        <v>87.920750981796601</v>
      </c>
      <c r="AK9239">
        <v>11.5575586985291</v>
      </c>
      <c r="AL9239">
        <v>93.689529172212602</v>
      </c>
      <c r="AM9239">
        <v>90.448187007508594</v>
      </c>
      <c r="AN9239">
        <v>1.00000003608868</v>
      </c>
    </row>
    <row r="9240" spans="1:40" x14ac:dyDescent="0.25">
      <c r="A9240" t="str">
        <f>"20190303154400456"</f>
        <v>20190303154400456</v>
      </c>
      <c r="B9240" t="str">
        <f>"1551599040449884"</f>
        <v>1551599040449884</v>
      </c>
      <c r="C9240" t="s">
        <v>40</v>
      </c>
      <c r="D9240">
        <v>5.3197760000000001</v>
      </c>
      <c r="E9240">
        <v>0.51522199999999996</v>
      </c>
      <c r="F9240" t="s">
        <v>42</v>
      </c>
      <c r="G9240">
        <v>-120.6575</v>
      </c>
      <c r="H9240">
        <v>1.0491870000000001</v>
      </c>
      <c r="I9240">
        <v>138.14760000000001</v>
      </c>
      <c r="J9240">
        <v>-121.205</v>
      </c>
      <c r="K9240">
        <v>1.1213409999999999</v>
      </c>
      <c r="L9240">
        <v>138.1636</v>
      </c>
      <c r="M9240">
        <v>0.99974629999999998</v>
      </c>
      <c r="N9240">
        <v>-1.3577499999999999E-2</v>
      </c>
      <c r="O9240">
        <v>1.797002E-2</v>
      </c>
      <c r="P9240">
        <v>0.99667539999999999</v>
      </c>
      <c r="Q9240">
        <v>-7.696828E-2</v>
      </c>
      <c r="R9240">
        <v>2.6727649999999999E-2</v>
      </c>
      <c r="S9240">
        <v>2.9886629999999998</v>
      </c>
      <c r="T9240">
        <v>-0.29032469999999999</v>
      </c>
      <c r="U9240">
        <v>-4.899597E-2</v>
      </c>
      <c r="V9240">
        <v>-8.7739319999999999E-3</v>
      </c>
      <c r="W9240">
        <v>-6.3429689999999997E-2</v>
      </c>
      <c r="X9240">
        <v>0.99794780000000005</v>
      </c>
      <c r="Y9240">
        <v>3.4112690000000001E-2</v>
      </c>
      <c r="Z9240">
        <v>-3.3830470000000001E-3</v>
      </c>
      <c r="AA9240">
        <v>0.99941219999999997</v>
      </c>
      <c r="AB9240">
        <v>21</v>
      </c>
      <c r="AC9240">
        <v>0.54749999999999899</v>
      </c>
      <c r="AD9240">
        <v>-7.2153999999999802E-2</v>
      </c>
      <c r="AE9240">
        <v>-1.5999999999991101E-2</v>
      </c>
      <c r="AF9240">
        <v>2.5396201541993599E-2</v>
      </c>
      <c r="AG9240">
        <v>-7.2153999999999802E-2</v>
      </c>
      <c r="AH9240">
        <v>0.53779157649213805</v>
      </c>
      <c r="AI9240">
        <v>97.633175900568204</v>
      </c>
      <c r="AJ9240">
        <v>87.296322515762199</v>
      </c>
      <c r="AK9240">
        <v>0.54320433219430497</v>
      </c>
      <c r="AL9240">
        <v>93.6366947030902</v>
      </c>
      <c r="AM9240">
        <v>90.503730075852104</v>
      </c>
      <c r="AN9240">
        <v>1.0000000594905301</v>
      </c>
    </row>
    <row r="9241" spans="1:40" x14ac:dyDescent="0.25">
      <c r="A9241" t="str">
        <f>"20190303154400475"</f>
        <v>20190303154400475</v>
      </c>
      <c r="B9241" t="str">
        <f>"1551599040469404"</f>
        <v>1551599040469404</v>
      </c>
      <c r="C9241" t="s">
        <v>40</v>
      </c>
      <c r="D9241">
        <v>5.3436890000000004</v>
      </c>
      <c r="E9241">
        <v>0.51501220000000003</v>
      </c>
      <c r="F9241" t="s">
        <v>42</v>
      </c>
      <c r="G9241">
        <v>-120.4696</v>
      </c>
      <c r="H9241">
        <v>1.0490159999999999</v>
      </c>
      <c r="I9241">
        <v>138.15299999999999</v>
      </c>
      <c r="J9241">
        <v>-121.0198</v>
      </c>
      <c r="K9241">
        <v>1.121346</v>
      </c>
      <c r="L9241">
        <v>138.16739999999999</v>
      </c>
      <c r="M9241">
        <v>0.99973970000000001</v>
      </c>
      <c r="N9241">
        <v>-1.357613E-2</v>
      </c>
      <c r="O9241">
        <v>1.833475E-2</v>
      </c>
      <c r="P9241">
        <v>0.99677839999999995</v>
      </c>
      <c r="Q9241">
        <v>-7.5434520000000005E-2</v>
      </c>
      <c r="R9241">
        <v>2.7247879999999999E-2</v>
      </c>
      <c r="S9241">
        <v>2.988464</v>
      </c>
      <c r="T9241">
        <v>-0.29392449999999998</v>
      </c>
      <c r="U9241">
        <v>-4.3212889999999997E-2</v>
      </c>
      <c r="V9241">
        <v>-8.9303999999999998E-3</v>
      </c>
      <c r="W9241">
        <v>-6.1895840000000001E-2</v>
      </c>
      <c r="X9241">
        <v>0.9980426</v>
      </c>
      <c r="Y9241">
        <v>3.254597E-2</v>
      </c>
      <c r="Z9241">
        <v>-3.368542E-3</v>
      </c>
      <c r="AA9241">
        <v>0.99946460000000004</v>
      </c>
      <c r="AB9241">
        <v>21</v>
      </c>
      <c r="AC9241">
        <v>0.55020000000000302</v>
      </c>
      <c r="AD9241">
        <v>-7.2329999999999894E-2</v>
      </c>
      <c r="AE9241">
        <v>-1.4399999999994801E-2</v>
      </c>
      <c r="AF9241">
        <v>2.4070583734598899E-2</v>
      </c>
      <c r="AG9241">
        <v>-7.2329999999999894E-2</v>
      </c>
      <c r="AH9241">
        <v>0.54050873637319896</v>
      </c>
      <c r="AI9241">
        <v>97.614488828875594</v>
      </c>
      <c r="AJ9241">
        <v>87.450120338676001</v>
      </c>
      <c r="AK9241">
        <v>0.54585778000966201</v>
      </c>
      <c r="AL9241">
        <v>93.548638943745402</v>
      </c>
      <c r="AM9241">
        <v>90.512664062893805</v>
      </c>
      <c r="AN9241">
        <v>0.99999993923411001</v>
      </c>
    </row>
    <row r="9242" spans="1:40" x14ac:dyDescent="0.25">
      <c r="A9242" t="str">
        <f>"20190303154400497"</f>
        <v>20190303154400497</v>
      </c>
      <c r="B9242" t="str">
        <f>"1551599040489900"</f>
        <v>1551599040489900</v>
      </c>
      <c r="C9242" t="s">
        <v>40</v>
      </c>
      <c r="D9242">
        <v>5.3152970000000002</v>
      </c>
      <c r="E9242">
        <v>0.51475850000000001</v>
      </c>
      <c r="F9242" t="s">
        <v>42</v>
      </c>
      <c r="G9242">
        <v>-120.2825</v>
      </c>
      <c r="H9242">
        <v>1.0484039999999999</v>
      </c>
      <c r="I9242">
        <v>138.1576</v>
      </c>
      <c r="J9242">
        <v>-120.8156</v>
      </c>
      <c r="K9242">
        <v>1.1213759999999999</v>
      </c>
      <c r="L9242">
        <v>138.17169999999999</v>
      </c>
      <c r="M9242">
        <v>0.99973190000000001</v>
      </c>
      <c r="N9242">
        <v>-1.363665E-2</v>
      </c>
      <c r="O9242">
        <v>1.871842E-2</v>
      </c>
      <c r="P9242">
        <v>0.99679930000000005</v>
      </c>
      <c r="Q9242">
        <v>-7.4940480000000004E-2</v>
      </c>
      <c r="R9242">
        <v>2.7847440000000001E-2</v>
      </c>
      <c r="S9242">
        <v>2.9884189999999999</v>
      </c>
      <c r="T9242">
        <v>-0.29562060000000001</v>
      </c>
      <c r="U9242">
        <v>-4.0039060000000001E-2</v>
      </c>
      <c r="V9242">
        <v>-9.1477250000000006E-3</v>
      </c>
      <c r="W9242">
        <v>-6.1340980000000003E-2</v>
      </c>
      <c r="X9242">
        <v>0.99807489999999999</v>
      </c>
      <c r="Y9242">
        <v>3.186804E-2</v>
      </c>
      <c r="Z9242">
        <v>-3.3825550000000002E-3</v>
      </c>
      <c r="AA9242">
        <v>0.9994864</v>
      </c>
      <c r="AB9242">
        <v>21</v>
      </c>
      <c r="AC9242">
        <v>0.53310000000000402</v>
      </c>
      <c r="AD9242">
        <v>-7.2971999999999801E-2</v>
      </c>
      <c r="AE9242">
        <v>-1.4099999999984901E-2</v>
      </c>
      <c r="AF9242">
        <v>2.36347166629035E-2</v>
      </c>
      <c r="AG9242">
        <v>-7.2971999999999801E-2</v>
      </c>
      <c r="AH9242">
        <v>0.52295105354549898</v>
      </c>
      <c r="AI9242">
        <v>97.935698791578801</v>
      </c>
      <c r="AJ9242">
        <v>87.4122843145432</v>
      </c>
      <c r="AK9242">
        <v>0.52854641898331201</v>
      </c>
      <c r="AL9242">
        <v>93.516787237334199</v>
      </c>
      <c r="AM9242">
        <v>90.525122272045195</v>
      </c>
      <c r="AN9242">
        <v>0.99999995135502096</v>
      </c>
    </row>
    <row r="9243" spans="1:40" x14ac:dyDescent="0.25">
      <c r="A9243" t="str">
        <f>"20190303154400520"</f>
        <v>20190303154400520</v>
      </c>
      <c r="B9243" t="str">
        <f>"1551599040509421"</f>
        <v>1551599040509421</v>
      </c>
      <c r="C9243" t="s">
        <v>40</v>
      </c>
      <c r="D9243">
        <v>5.4527479999999997</v>
      </c>
      <c r="E9243">
        <v>0.51453009999999999</v>
      </c>
      <c r="F9243" t="s">
        <v>42</v>
      </c>
      <c r="G9243">
        <v>-119.9211</v>
      </c>
      <c r="H9243">
        <v>1.0311699999999999</v>
      </c>
      <c r="I9243">
        <v>138.16069999999999</v>
      </c>
      <c r="J9243">
        <v>-120.60639999999999</v>
      </c>
      <c r="K9243">
        <v>1.1214630000000001</v>
      </c>
      <c r="L9243">
        <v>138.17609999999999</v>
      </c>
      <c r="M9243">
        <v>0.99971969999999999</v>
      </c>
      <c r="N9243">
        <v>-1.398425E-2</v>
      </c>
      <c r="O9243">
        <v>1.911057E-2</v>
      </c>
      <c r="P9243">
        <v>0.99683639999999996</v>
      </c>
      <c r="Q9243">
        <v>-7.4410889999999993E-2</v>
      </c>
      <c r="R9243">
        <v>2.7940799999999998E-2</v>
      </c>
      <c r="S9243">
        <v>2.9879910000000001</v>
      </c>
      <c r="T9243">
        <v>-0.30133320000000002</v>
      </c>
      <c r="U9243">
        <v>-3.6544800000000002E-2</v>
      </c>
      <c r="V9243">
        <v>-8.8517019999999995E-3</v>
      </c>
      <c r="W9243">
        <v>-6.0463459999999997E-2</v>
      </c>
      <c r="X9243">
        <v>0.9981312</v>
      </c>
      <c r="Y9243">
        <v>3.1086869999999999E-2</v>
      </c>
      <c r="Z9243">
        <v>-3.4371229999999998E-3</v>
      </c>
      <c r="AA9243">
        <v>0.99951080000000003</v>
      </c>
      <c r="AB9243">
        <v>21</v>
      </c>
      <c r="AC9243">
        <v>0.68529999999999702</v>
      </c>
      <c r="AD9243">
        <v>-9.0292999999999707E-2</v>
      </c>
      <c r="AE9243">
        <v>-1.53999999999996E-2</v>
      </c>
      <c r="AF9243">
        <v>2.8008953145448701E-2</v>
      </c>
      <c r="AG9243">
        <v>-9.0292999999999707E-2</v>
      </c>
      <c r="AH9243">
        <v>0.673199724712221</v>
      </c>
      <c r="AI9243">
        <v>97.632687442191596</v>
      </c>
      <c r="AJ9243">
        <v>87.617542431945907</v>
      </c>
      <c r="AK9243">
        <v>0.67980526377626305</v>
      </c>
      <c r="AL9243">
        <v>93.466415238635307</v>
      </c>
      <c r="AM9243">
        <v>90.508101411096902</v>
      </c>
      <c r="AN9243">
        <v>1.0000000375184499</v>
      </c>
    </row>
    <row r="9244" spans="1:40" x14ac:dyDescent="0.25">
      <c r="A9244" t="str">
        <f>"20190303154400553"</f>
        <v>20190303154400553</v>
      </c>
      <c r="B9244" t="str">
        <f>"1551599040549436"</f>
        <v>1551599040549436</v>
      </c>
      <c r="C9244" t="s">
        <v>40</v>
      </c>
      <c r="D9244">
        <v>5.5765399999999996</v>
      </c>
      <c r="E9244">
        <v>0.49353799999999998</v>
      </c>
      <c r="F9244" t="s">
        <v>42</v>
      </c>
      <c r="G9244">
        <v>-119.7353</v>
      </c>
      <c r="H9244">
        <v>1.0338480000000001</v>
      </c>
      <c r="I9244">
        <v>138.166</v>
      </c>
      <c r="J9244">
        <v>-120.30110000000001</v>
      </c>
      <c r="K9244">
        <v>1.1216809999999999</v>
      </c>
      <c r="L9244">
        <v>138.18260000000001</v>
      </c>
      <c r="M9244">
        <v>0.99969319999999895</v>
      </c>
      <c r="N9244">
        <v>-1.5030150000000001E-2</v>
      </c>
      <c r="O9244">
        <v>1.9688689999999998E-2</v>
      </c>
      <c r="P9244">
        <v>0.99670950000000003</v>
      </c>
      <c r="Q9244">
        <v>-7.6338199999999995E-2</v>
      </c>
      <c r="R9244">
        <v>2.725201E-2</v>
      </c>
      <c r="S9244">
        <v>2.9880520000000002</v>
      </c>
      <c r="T9244">
        <v>-0.3006356</v>
      </c>
      <c r="U9244">
        <v>-3.4454350000000002E-2</v>
      </c>
      <c r="V9244">
        <v>-7.5905039999999997E-3</v>
      </c>
      <c r="W9244">
        <v>-6.1347449999999998E-2</v>
      </c>
      <c r="X9244">
        <v>0.99808759999999996</v>
      </c>
      <c r="Y9244">
        <v>3.0965599999999999E-2</v>
      </c>
      <c r="Z9244">
        <v>-3.4677269999999999E-3</v>
      </c>
      <c r="AA9244">
        <v>0.99951449999999997</v>
      </c>
      <c r="AB9244">
        <v>21</v>
      </c>
      <c r="AC9244">
        <v>0.56580000000000996</v>
      </c>
      <c r="AD9244">
        <v>-8.7832999999999994E-2</v>
      </c>
      <c r="AE9244">
        <v>-1.6600000000010998E-2</v>
      </c>
      <c r="AF9244">
        <v>2.7085736990169099E-2</v>
      </c>
      <c r="AG9244">
        <v>-8.7832999999999994E-2</v>
      </c>
      <c r="AH9244">
        <v>0.55207080859219204</v>
      </c>
      <c r="AI9244">
        <v>99.029161237771504</v>
      </c>
      <c r="AJ9244">
        <v>87.191202648349403</v>
      </c>
      <c r="AK9244">
        <v>0.55966994803807202</v>
      </c>
      <c r="AL9244">
        <v>93.517158499769394</v>
      </c>
      <c r="AM9244">
        <v>90.435728747048501</v>
      </c>
      <c r="AN9244">
        <v>0.99999999132311801</v>
      </c>
    </row>
    <row r="9245" spans="1:40" x14ac:dyDescent="0.25">
      <c r="A9245" t="str">
        <f>"20190303154400582"</f>
        <v>20190303154400582</v>
      </c>
      <c r="B9245" t="str">
        <f>"1551599040569932"</f>
        <v>1551599040569932</v>
      </c>
      <c r="C9245" t="s">
        <v>40</v>
      </c>
      <c r="D9245">
        <v>5.3597539999999997</v>
      </c>
      <c r="E9245">
        <v>0.49343120000000001</v>
      </c>
      <c r="F9245" t="s">
        <v>41</v>
      </c>
      <c r="G9245">
        <v>-108.2167</v>
      </c>
      <c r="H9245" s="1">
        <v>-9.8315800000000007E-7</v>
      </c>
      <c r="I9245">
        <v>138.71600000000001</v>
      </c>
      <c r="J9245">
        <v>-120.0437</v>
      </c>
      <c r="K9245">
        <v>1.1218669999999999</v>
      </c>
      <c r="L9245">
        <v>138.1883</v>
      </c>
      <c r="M9245">
        <v>0.99966759999999999</v>
      </c>
      <c r="N9245">
        <v>-1.60608E-2</v>
      </c>
      <c r="O9245">
        <v>2.0173799999999999E-2</v>
      </c>
      <c r="P9245">
        <v>0.99662569999999995</v>
      </c>
      <c r="Q9245">
        <v>-7.7731869999999995E-2</v>
      </c>
      <c r="R9245">
        <v>2.6368349999999999E-2</v>
      </c>
      <c r="S9245">
        <v>2.985077</v>
      </c>
      <c r="T9245">
        <v>-0.27707710000000002</v>
      </c>
      <c r="U9245">
        <v>0.13174439999999901</v>
      </c>
      <c r="V9245">
        <v>-6.2258799999999996E-3</v>
      </c>
      <c r="W9245">
        <v>-6.1712910000000003E-2</v>
      </c>
      <c r="X9245">
        <v>0.99807449999999998</v>
      </c>
      <c r="Y9245">
        <v>-2.3864630000000001E-2</v>
      </c>
      <c r="Z9245">
        <v>-2.470889E-4</v>
      </c>
      <c r="AA9245">
        <v>0.99971509999999997</v>
      </c>
      <c r="AB9245">
        <v>21</v>
      </c>
      <c r="AC9245">
        <v>11.8269999999999</v>
      </c>
      <c r="AD9245">
        <v>-1.1218679831579901</v>
      </c>
      <c r="AE9245">
        <v>0.52770000000000905</v>
      </c>
      <c r="AF9245">
        <v>-0.28639450805678501</v>
      </c>
      <c r="AG9245">
        <v>-1.1218679831579901</v>
      </c>
      <c r="AH9245">
        <v>11.729906367272299</v>
      </c>
      <c r="AI9245">
        <v>95.461629332634999</v>
      </c>
      <c r="AJ9245">
        <v>91.398641777116595</v>
      </c>
      <c r="AK9245">
        <v>11.7869127837129</v>
      </c>
      <c r="AL9245">
        <v>93.538137619884395</v>
      </c>
      <c r="AM9245">
        <v>90.357400195170996</v>
      </c>
      <c r="AN9245">
        <v>0.99999997619634595</v>
      </c>
    </row>
    <row r="9246" spans="1:40" x14ac:dyDescent="0.25">
      <c r="A9246" t="str">
        <f>"20190303154400603"</f>
        <v>20190303154400603</v>
      </c>
      <c r="B9246" t="str">
        <f>"1551599040599212"</f>
        <v>1551599040599212</v>
      </c>
      <c r="C9246" t="s">
        <v>40</v>
      </c>
      <c r="D9246">
        <v>5.3918290000000004</v>
      </c>
      <c r="E9246">
        <v>0.4939501</v>
      </c>
      <c r="F9246" t="s">
        <v>41</v>
      </c>
      <c r="G9246">
        <v>-108.25149999999999</v>
      </c>
      <c r="H9246" s="1">
        <v>-9.693038E-7</v>
      </c>
      <c r="I9246">
        <v>138.70140000000001</v>
      </c>
      <c r="J9246">
        <v>-119.8484</v>
      </c>
      <c r="K9246">
        <v>1.122004</v>
      </c>
      <c r="L9246">
        <v>138.1927</v>
      </c>
      <c r="M9246">
        <v>0.9996467</v>
      </c>
      <c r="N9246">
        <v>-1.688974E-2</v>
      </c>
      <c r="O9246">
        <v>2.0531440000000001E-2</v>
      </c>
      <c r="P9246">
        <v>0.99658579999999997</v>
      </c>
      <c r="Q9246">
        <v>-7.8727169999999999E-2</v>
      </c>
      <c r="R9246">
        <v>2.4875060000000001E-2</v>
      </c>
      <c r="S9246">
        <v>2.9845730000000001</v>
      </c>
      <c r="T9246">
        <v>-0.28394190000000002</v>
      </c>
      <c r="U9246">
        <v>0.1298523</v>
      </c>
      <c r="V9246">
        <v>-4.3764019999999997E-3</v>
      </c>
      <c r="W9246">
        <v>-6.1880890000000001E-2</v>
      </c>
      <c r="X9246">
        <v>0.99807389999999996</v>
      </c>
      <c r="Y9246">
        <v>-2.28836E-2</v>
      </c>
      <c r="Z9246">
        <v>-3.2216960000000001E-4</v>
      </c>
      <c r="AA9246">
        <v>0.99973809999999996</v>
      </c>
      <c r="AB9246">
        <v>20</v>
      </c>
      <c r="AC9246">
        <v>11.5969</v>
      </c>
      <c r="AD9246">
        <v>-1.1220049693037999</v>
      </c>
      <c r="AE9246">
        <v>0.50870000000000404</v>
      </c>
      <c r="AF9246">
        <v>-0.26795434561922299</v>
      </c>
      <c r="AG9246">
        <v>-1.1220049693037999</v>
      </c>
      <c r="AH9246">
        <v>11.497483434466799</v>
      </c>
      <c r="AI9246">
        <v>95.572171575109806</v>
      </c>
      <c r="AJ9246">
        <v>91.335063844653902</v>
      </c>
      <c r="AK9246">
        <v>11.5552074844339</v>
      </c>
      <c r="AL9246">
        <v>93.5477806754391</v>
      </c>
      <c r="AM9246">
        <v>90.251231654317095</v>
      </c>
      <c r="AN9246">
        <v>0.99999995365143202</v>
      </c>
    </row>
    <row r="9247" spans="1:40" x14ac:dyDescent="0.25">
      <c r="A9247" t="str">
        <f>"20190303154400619"</f>
        <v>20190303154400619</v>
      </c>
      <c r="B9247" t="str">
        <f>"1551599040609949"</f>
        <v>1551599040609949</v>
      </c>
      <c r="C9247" t="s">
        <v>40</v>
      </c>
      <c r="D9247">
        <v>5.3758660000000003</v>
      </c>
      <c r="E9247">
        <v>0.49402400000000002</v>
      </c>
      <c r="F9247" t="s">
        <v>41</v>
      </c>
      <c r="G9247">
        <v>-108.04900000000001</v>
      </c>
      <c r="H9247" s="1">
        <v>-1.0701159999999999E-6</v>
      </c>
      <c r="I9247">
        <v>138.67269999999999</v>
      </c>
      <c r="J9247">
        <v>-119.702</v>
      </c>
      <c r="K9247">
        <v>1.1221080000000001</v>
      </c>
      <c r="L9247">
        <v>138.196</v>
      </c>
      <c r="M9247">
        <v>0.9996292</v>
      </c>
      <c r="N9247">
        <v>-1.7579750000000002E-2</v>
      </c>
      <c r="O9247">
        <v>2.0796120000000001E-2</v>
      </c>
      <c r="P9247">
        <v>0.99650819999999996</v>
      </c>
      <c r="Q9247">
        <v>-8.0338720000000002E-2</v>
      </c>
      <c r="R9247">
        <v>2.27493E-2</v>
      </c>
      <c r="S9247">
        <v>2.9848330000000001</v>
      </c>
      <c r="T9247">
        <v>-0.28382610000000003</v>
      </c>
      <c r="U9247">
        <v>0.12142940000000001</v>
      </c>
      <c r="V9247">
        <v>-1.9881170000000002E-3</v>
      </c>
      <c r="W9247">
        <v>-6.2804360000000004E-2</v>
      </c>
      <c r="X9247">
        <v>0.99802389999999996</v>
      </c>
      <c r="Y9247">
        <v>-1.9813979999999998E-2</v>
      </c>
      <c r="Z9247">
        <v>-4.9280310000000003E-4</v>
      </c>
      <c r="AA9247">
        <v>0.99980349999999996</v>
      </c>
      <c r="AB9247">
        <v>20</v>
      </c>
      <c r="AC9247">
        <v>11.653</v>
      </c>
      <c r="AD9247">
        <v>-1.1221090701159999</v>
      </c>
      <c r="AE9247">
        <v>0.47669999999999302</v>
      </c>
      <c r="AF9247">
        <v>-0.23207394183764099</v>
      </c>
      <c r="AG9247">
        <v>-1.1221090701159999</v>
      </c>
      <c r="AH9247">
        <v>11.5534443574296</v>
      </c>
      <c r="AI9247">
        <v>95.546246497830197</v>
      </c>
      <c r="AJ9247">
        <v>91.150745098432793</v>
      </c>
      <c r="AK9247">
        <v>11.610127630648099</v>
      </c>
      <c r="AL9247">
        <v>93.600794487289704</v>
      </c>
      <c r="AM9247">
        <v>90.114136106963102</v>
      </c>
      <c r="AN9247">
        <v>1.0000000226077099</v>
      </c>
    </row>
    <row r="9248" spans="1:40" x14ac:dyDescent="0.25">
      <c r="A9248" t="str">
        <f>"20190303154400644"</f>
        <v>20190303154400644</v>
      </c>
      <c r="B9248" t="str">
        <f>"1551599040639229"</f>
        <v>1551599040639229</v>
      </c>
      <c r="C9248" t="s">
        <v>40</v>
      </c>
      <c r="D9248">
        <v>5.4115449999999896</v>
      </c>
      <c r="E9248">
        <v>0.49416460000000001</v>
      </c>
      <c r="F9248" t="s">
        <v>41</v>
      </c>
      <c r="G9248">
        <v>-108.0782</v>
      </c>
      <c r="H9248" s="1">
        <v>-1.0617309999999999E-6</v>
      </c>
      <c r="I9248">
        <v>138.642</v>
      </c>
      <c r="J9248">
        <v>-119.49469999999999</v>
      </c>
      <c r="K9248">
        <v>1.122266</v>
      </c>
      <c r="L9248">
        <v>138.20089999999999</v>
      </c>
      <c r="M9248">
        <v>0.99960179999999998</v>
      </c>
      <c r="N9248">
        <v>-1.8655370000000001E-2</v>
      </c>
      <c r="O9248">
        <v>2.117556E-2</v>
      </c>
      <c r="P9248">
        <v>0.99644049999999995</v>
      </c>
      <c r="Q9248">
        <v>-8.1731570000000003E-2</v>
      </c>
      <c r="R9248">
        <v>2.0655369999999999E-2</v>
      </c>
      <c r="S9248">
        <v>2.9846650000000001</v>
      </c>
      <c r="T9248">
        <v>-0.28812769999999999</v>
      </c>
      <c r="U9248">
        <v>0.11450200000000001</v>
      </c>
      <c r="V9248">
        <v>4.8226520000000002E-4</v>
      </c>
      <c r="W9248">
        <v>-6.3124189999999997E-2</v>
      </c>
      <c r="X9248">
        <v>0.99800560000000005</v>
      </c>
      <c r="Y9248">
        <v>-1.713191E-2</v>
      </c>
      <c r="Z9248">
        <v>-6.5912679999999995E-4</v>
      </c>
      <c r="AA9248">
        <v>0.99985299999999999</v>
      </c>
      <c r="AB9248">
        <v>20</v>
      </c>
      <c r="AC9248">
        <v>11.416499999999999</v>
      </c>
      <c r="AD9248">
        <v>-1.122267061731</v>
      </c>
      <c r="AE9248">
        <v>0.44110000000000499</v>
      </c>
      <c r="AF9248">
        <v>-0.19730444775658601</v>
      </c>
      <c r="AG9248">
        <v>-1.122267061731</v>
      </c>
      <c r="AH9248">
        <v>11.314112435712801</v>
      </c>
      <c r="AI9248">
        <v>95.663885366141002</v>
      </c>
      <c r="AJ9248">
        <v>90.999067884888404</v>
      </c>
      <c r="AK9248">
        <v>11.3713478801284</v>
      </c>
      <c r="AL9248">
        <v>93.6191557776434</v>
      </c>
      <c r="AM9248">
        <v>89.972313022677099</v>
      </c>
      <c r="AN9248">
        <v>1.00000003678711</v>
      </c>
    </row>
    <row r="9249" spans="1:40" x14ac:dyDescent="0.25">
      <c r="A9249" t="str">
        <f>"20190303154400664"</f>
        <v>20190303154400664</v>
      </c>
      <c r="B9249" t="str">
        <f>"1551599040659724"</f>
        <v>1551599040659724</v>
      </c>
      <c r="C9249" t="s">
        <v>40</v>
      </c>
      <c r="D9249">
        <v>5.400455</v>
      </c>
      <c r="E9249">
        <v>0.49403639999999999</v>
      </c>
      <c r="F9249" t="s">
        <v>41</v>
      </c>
      <c r="G9249">
        <v>-107.9966</v>
      </c>
      <c r="H9249" s="1">
        <v>-1.1053719999999999E-6</v>
      </c>
      <c r="I9249">
        <v>138.61340000000001</v>
      </c>
      <c r="J9249">
        <v>-119.31610000000001</v>
      </c>
      <c r="K9249">
        <v>1.122401</v>
      </c>
      <c r="L9249">
        <v>138.20500000000001</v>
      </c>
      <c r="M9249">
        <v>0.99957600000000002</v>
      </c>
      <c r="N9249">
        <v>-1.962763E-2</v>
      </c>
      <c r="O9249">
        <v>2.1511140000000002E-2</v>
      </c>
      <c r="P9249">
        <v>0.99649169999999998</v>
      </c>
      <c r="Q9249">
        <v>-8.1742099999999998E-2</v>
      </c>
      <c r="R9249">
        <v>1.7962829999999999E-2</v>
      </c>
      <c r="S9249">
        <v>2.9846189999999999</v>
      </c>
      <c r="T9249">
        <v>-0.29131410000000002</v>
      </c>
      <c r="U9249">
        <v>0.10708620000000001</v>
      </c>
      <c r="V9249">
        <v>3.5088879999999999E-3</v>
      </c>
      <c r="W9249">
        <v>-6.2162969999999998E-2</v>
      </c>
      <c r="X9249">
        <v>0.9980599</v>
      </c>
      <c r="Y9249">
        <v>-1.432989E-2</v>
      </c>
      <c r="Z9249">
        <v>-8.3369979999999998E-4</v>
      </c>
      <c r="AA9249">
        <v>0.99989700000000004</v>
      </c>
      <c r="AB9249">
        <v>20</v>
      </c>
      <c r="AC9249">
        <v>11.3195</v>
      </c>
      <c r="AD9249">
        <v>-1.1224021053719999</v>
      </c>
      <c r="AE9249">
        <v>0.40839999999999999</v>
      </c>
      <c r="AF9249">
        <v>-0.16316110004471701</v>
      </c>
      <c r="AG9249">
        <v>-1.1224021053719999</v>
      </c>
      <c r="AH9249">
        <v>11.2155386286826</v>
      </c>
      <c r="AI9249">
        <v>95.714282894020201</v>
      </c>
      <c r="AJ9249">
        <v>90.833467148773295</v>
      </c>
      <c r="AK9249">
        <v>11.2727421137087</v>
      </c>
      <c r="AL9249">
        <v>93.563973481360506</v>
      </c>
      <c r="AM9249">
        <v>89.798565552154599</v>
      </c>
      <c r="AN9249">
        <v>1.0000000555611099</v>
      </c>
    </row>
    <row r="9250" spans="1:40" x14ac:dyDescent="0.25">
      <c r="A9250" t="str">
        <f>"20190303154400687"</f>
        <v>20190303154400687</v>
      </c>
      <c r="B9250" t="str">
        <f>"1551599040679244"</f>
        <v>1551599040679244</v>
      </c>
      <c r="C9250" t="s">
        <v>40</v>
      </c>
      <c r="D9250">
        <v>5.3678319999999999</v>
      </c>
      <c r="E9250">
        <v>0.493867</v>
      </c>
      <c r="F9250" t="s">
        <v>41</v>
      </c>
      <c r="G9250">
        <v>-107.8407</v>
      </c>
      <c r="H9250" s="1">
        <v>-1.1833069999999999E-6</v>
      </c>
      <c r="I9250">
        <v>138.58969999999999</v>
      </c>
      <c r="J9250">
        <v>-119.1313</v>
      </c>
      <c r="K9250">
        <v>1.1225320000000001</v>
      </c>
      <c r="L9250">
        <v>138.20939999999999</v>
      </c>
      <c r="M9250">
        <v>0.99954799999999999</v>
      </c>
      <c r="N9250">
        <v>-2.0639370000000001E-2</v>
      </c>
      <c r="O9250">
        <v>2.1862159999999999E-2</v>
      </c>
      <c r="P9250">
        <v>0.99654109999999996</v>
      </c>
      <c r="Q9250">
        <v>-8.1751169999999998E-2</v>
      </c>
      <c r="R9250">
        <v>1.491937E-2</v>
      </c>
      <c r="S9250">
        <v>2.9848180000000002</v>
      </c>
      <c r="T9250">
        <v>-0.29194179999999997</v>
      </c>
      <c r="U9250">
        <v>0.1000519</v>
      </c>
      <c r="V9250">
        <v>6.9019160000000001E-3</v>
      </c>
      <c r="W9250">
        <v>-6.1160970000000002E-2</v>
      </c>
      <c r="X9250">
        <v>0.99810399999999999</v>
      </c>
      <c r="Y9250">
        <v>-1.1636489999999999E-2</v>
      </c>
      <c r="Z9250">
        <v>-9.9390140000000008E-4</v>
      </c>
      <c r="AA9250">
        <v>0.99993180000000004</v>
      </c>
      <c r="AB9250">
        <v>19</v>
      </c>
      <c r="AC9250">
        <v>11.2905999999999</v>
      </c>
      <c r="AD9250">
        <v>-1.12253318330699</v>
      </c>
      <c r="AE9250">
        <v>0.38030000000000502</v>
      </c>
      <c r="AF9250">
        <v>-0.13201612673999699</v>
      </c>
      <c r="AG9250">
        <v>-1.12253318330699</v>
      </c>
      <c r="AH9250">
        <v>11.1857733579163</v>
      </c>
      <c r="AI9250">
        <v>95.730258044388293</v>
      </c>
      <c r="AJ9250">
        <v>90.676181742700706</v>
      </c>
      <c r="AK9250">
        <v>11.2427325246141</v>
      </c>
      <c r="AL9250">
        <v>93.506454034498901</v>
      </c>
      <c r="AM9250">
        <v>89.603804458886103</v>
      </c>
      <c r="AN9250">
        <v>0.99999994775590395</v>
      </c>
    </row>
    <row r="9251" spans="1:40" x14ac:dyDescent="0.25">
      <c r="A9251" t="str">
        <f>"20190303154400709"</f>
        <v>20190303154400709</v>
      </c>
      <c r="B9251" t="str">
        <f>"1551599040699740"</f>
        <v>1551599040699740</v>
      </c>
      <c r="C9251" t="s">
        <v>40</v>
      </c>
      <c r="D9251">
        <v>5.4314400000000003</v>
      </c>
      <c r="E9251">
        <v>0.4933399</v>
      </c>
      <c r="F9251" t="s">
        <v>41</v>
      </c>
      <c r="G9251">
        <v>-107.6703</v>
      </c>
      <c r="H9251" s="1">
        <v>-1.2685180000000001E-6</v>
      </c>
      <c r="I9251">
        <v>138.5634</v>
      </c>
      <c r="J9251">
        <v>-118.94459999999999</v>
      </c>
      <c r="K9251">
        <v>1.1226480000000001</v>
      </c>
      <c r="L9251">
        <v>138.214</v>
      </c>
      <c r="M9251">
        <v>0.99951909999999999</v>
      </c>
      <c r="N9251">
        <v>-2.163588E-2</v>
      </c>
      <c r="O9251">
        <v>2.2214210000000002E-2</v>
      </c>
      <c r="P9251">
        <v>0.9965889</v>
      </c>
      <c r="Q9251">
        <v>-8.1878839999999994E-2</v>
      </c>
      <c r="R9251">
        <v>1.0323000000000001E-2</v>
      </c>
      <c r="S9251">
        <v>2.9850310000000002</v>
      </c>
      <c r="T9251">
        <v>-0.29236390000000001</v>
      </c>
      <c r="U9251">
        <v>9.2193600000000001E-2</v>
      </c>
      <c r="V9251">
        <v>1.1848549999999999E-2</v>
      </c>
      <c r="W9251">
        <v>-6.0292949999999998E-2</v>
      </c>
      <c r="X9251">
        <v>0.99811039999999995</v>
      </c>
      <c r="Y9251">
        <v>-8.6679229999999993E-3</v>
      </c>
      <c r="Z9251">
        <v>-1.1725189999999999E-3</v>
      </c>
      <c r="AA9251">
        <v>0.99996169999999995</v>
      </c>
      <c r="AB9251">
        <v>19</v>
      </c>
      <c r="AC9251">
        <v>11.274299999999901</v>
      </c>
      <c r="AD9251">
        <v>-1.1226492685179901</v>
      </c>
      <c r="AE9251">
        <v>0.34940000000000199</v>
      </c>
      <c r="AF9251">
        <v>-9.7836281396690095E-2</v>
      </c>
      <c r="AG9251">
        <v>-1.1226492685179901</v>
      </c>
      <c r="AH9251">
        <v>11.1686450299696</v>
      </c>
      <c r="AI9251">
        <v>95.739755230311403</v>
      </c>
      <c r="AJ9251">
        <v>90.501892809289004</v>
      </c>
      <c r="AK9251">
        <v>11.225352783923</v>
      </c>
      <c r="AL9251">
        <v>93.456628011655795</v>
      </c>
      <c r="AM9251">
        <v>89.319874813323096</v>
      </c>
      <c r="AN9251">
        <v>0.99999999927248195</v>
      </c>
    </row>
    <row r="9252" spans="1:40" x14ac:dyDescent="0.25">
      <c r="A9252" t="str">
        <f>"20190303154400731"</f>
        <v>20190303154400731</v>
      </c>
      <c r="B9252" t="str">
        <f>"1551599040719261"</f>
        <v>1551599040719261</v>
      </c>
      <c r="C9252" t="s">
        <v>40</v>
      </c>
      <c r="D9252">
        <v>5.4419490000000001</v>
      </c>
      <c r="E9252">
        <v>0.49275150000000001</v>
      </c>
      <c r="F9252" t="s">
        <v>41</v>
      </c>
      <c r="G9252">
        <v>-107.5909</v>
      </c>
      <c r="H9252" s="1">
        <v>-1.312296E-6</v>
      </c>
      <c r="I9252">
        <v>138.52799999999999</v>
      </c>
      <c r="J9252">
        <v>-118.7657</v>
      </c>
      <c r="K9252">
        <v>1.122722</v>
      </c>
      <c r="L9252">
        <v>138.2184</v>
      </c>
      <c r="M9252">
        <v>0.99949149999999998</v>
      </c>
      <c r="N9252">
        <v>-2.2543199999999999E-2</v>
      </c>
      <c r="O9252">
        <v>2.255099E-2</v>
      </c>
      <c r="P9252">
        <v>0.99652269999999998</v>
      </c>
      <c r="Q9252">
        <v>-8.3178760000000004E-2</v>
      </c>
      <c r="R9252">
        <v>4.9154309999999996E-3</v>
      </c>
      <c r="S9252">
        <v>2.9851679999999998</v>
      </c>
      <c r="T9252">
        <v>-0.2951723</v>
      </c>
      <c r="U9252">
        <v>8.2565310000000003E-2</v>
      </c>
      <c r="V9252">
        <v>1.7588889999999999E-2</v>
      </c>
      <c r="W9252">
        <v>-6.0688859999999997E-2</v>
      </c>
      <c r="X9252">
        <v>0.99800180000000005</v>
      </c>
      <c r="Y9252">
        <v>-5.1275380000000001E-3</v>
      </c>
      <c r="Z9252">
        <v>-1.4053889999999999E-3</v>
      </c>
      <c r="AA9252">
        <v>0.99998589999999998</v>
      </c>
      <c r="AB9252">
        <v>19</v>
      </c>
      <c r="AC9252">
        <v>11.1747999999999</v>
      </c>
      <c r="AD9252">
        <v>-1.1227233122959901</v>
      </c>
      <c r="AE9252">
        <v>0.309599999999989</v>
      </c>
      <c r="AF9252">
        <v>-5.6880649766911803E-2</v>
      </c>
      <c r="AG9252">
        <v>-1.1227233122959901</v>
      </c>
      <c r="AH9252">
        <v>11.067311851298999</v>
      </c>
      <c r="AI9252">
        <v>95.792477338250507</v>
      </c>
      <c r="AJ9252">
        <v>90.294470104082293</v>
      </c>
      <c r="AK9252">
        <v>11.1242588363537</v>
      </c>
      <c r="AL9252">
        <v>93.479353424169105</v>
      </c>
      <c r="AM9252">
        <v>88.990317610656007</v>
      </c>
      <c r="AN9252">
        <v>1.0000000497913799</v>
      </c>
    </row>
    <row r="9253" spans="1:40" x14ac:dyDescent="0.25">
      <c r="A9253" t="str">
        <f>"20190303154400758"</f>
        <v>20190303154400758</v>
      </c>
      <c r="B9253" t="str">
        <f>"1551599040749518"</f>
        <v>1551599040749518</v>
      </c>
      <c r="C9253" t="s">
        <v>40</v>
      </c>
      <c r="D9253">
        <v>5.3633249999999997</v>
      </c>
      <c r="E9253">
        <v>0.4921411</v>
      </c>
      <c r="F9253" t="s">
        <v>41</v>
      </c>
      <c r="G9253">
        <v>-107.6404</v>
      </c>
      <c r="H9253" s="1">
        <v>-1.2969499999999999E-6</v>
      </c>
      <c r="I9253">
        <v>138.48269999999999</v>
      </c>
      <c r="J9253">
        <v>-118.55419999999999</v>
      </c>
      <c r="K9253">
        <v>1.1227830000000001</v>
      </c>
      <c r="L9253">
        <v>138.22370000000001</v>
      </c>
      <c r="M9253">
        <v>0.9994596</v>
      </c>
      <c r="N9253">
        <v>-2.3531679999999999E-2</v>
      </c>
      <c r="O9253">
        <v>2.2954949999999998E-2</v>
      </c>
      <c r="P9253">
        <v>0.99640019999999996</v>
      </c>
      <c r="Q9253">
        <v>-8.4771369999999999E-2</v>
      </c>
      <c r="R9253">
        <v>5.4767749999999995E-4</v>
      </c>
      <c r="S9253">
        <v>2.9849700000000001</v>
      </c>
      <c r="T9253">
        <v>-0.30123080000000002</v>
      </c>
      <c r="U9253">
        <v>7.0922849999999996E-2</v>
      </c>
      <c r="V9253">
        <v>2.2354800000000001E-2</v>
      </c>
      <c r="W9253">
        <v>-6.1298209999999999E-2</v>
      </c>
      <c r="X9253">
        <v>0.99786909999999895</v>
      </c>
      <c r="Y9253">
        <v>-8.5529859999999998E-4</v>
      </c>
      <c r="Z9253">
        <v>-1.717688E-3</v>
      </c>
      <c r="AA9253">
        <v>0.99999819999999995</v>
      </c>
      <c r="AB9253">
        <v>18</v>
      </c>
      <c r="AC9253">
        <v>10.913799999999901</v>
      </c>
      <c r="AD9253">
        <v>-1.1227842969499999</v>
      </c>
      <c r="AE9253">
        <v>0.25899999999998602</v>
      </c>
      <c r="AF9253">
        <v>-8.2493507475819502E-3</v>
      </c>
      <c r="AG9253">
        <v>-1.1227842969499999</v>
      </c>
      <c r="AH9253">
        <v>10.802601630982</v>
      </c>
      <c r="AI9253">
        <v>95.933813393389499</v>
      </c>
      <c r="AJ9253">
        <v>90.043753616566505</v>
      </c>
      <c r="AK9253">
        <v>10.8607971450976</v>
      </c>
      <c r="AL9253">
        <v>93.514331996233594</v>
      </c>
      <c r="AM9253">
        <v>88.716643812519607</v>
      </c>
      <c r="AN9253">
        <v>0.99999997418352604</v>
      </c>
    </row>
    <row r="9254" spans="1:40" x14ac:dyDescent="0.25">
      <c r="A9254" t="str">
        <f>"20190303154400781"</f>
        <v>20190303154400781</v>
      </c>
      <c r="B9254" t="str">
        <f>"1551599040769036"</f>
        <v>1551599040769036</v>
      </c>
      <c r="C9254" t="s">
        <v>40</v>
      </c>
      <c r="D9254">
        <v>5.344697</v>
      </c>
      <c r="E9254">
        <v>0.49195729999999999</v>
      </c>
      <c r="F9254" t="s">
        <v>42</v>
      </c>
      <c r="G9254">
        <v>-117.6854</v>
      </c>
      <c r="H9254">
        <v>1.033396</v>
      </c>
      <c r="I9254">
        <v>138.24180000000001</v>
      </c>
      <c r="J9254">
        <v>-118.3698</v>
      </c>
      <c r="K9254">
        <v>1.1228119999999999</v>
      </c>
      <c r="L9254">
        <v>138.22839999999999</v>
      </c>
      <c r="M9254">
        <v>0.99943320000000002</v>
      </c>
      <c r="N9254">
        <v>-2.429365E-2</v>
      </c>
      <c r="O9254">
        <v>2.330921E-2</v>
      </c>
      <c r="P9254">
        <v>0.99620310000000001</v>
      </c>
      <c r="Q9254">
        <v>-8.7057739999999995E-2</v>
      </c>
      <c r="R9254">
        <v>-7.3721840000000002E-4</v>
      </c>
      <c r="S9254">
        <v>2.9846650000000001</v>
      </c>
      <c r="T9254">
        <v>-0.30722280000000002</v>
      </c>
      <c r="U9254">
        <v>6.2820429999999997E-2</v>
      </c>
      <c r="V9254">
        <v>2.3987229999999998E-2</v>
      </c>
      <c r="W9254">
        <v>-6.2828969999999998E-2</v>
      </c>
      <c r="X9254">
        <v>0.99773599999999996</v>
      </c>
      <c r="Y9254">
        <v>2.1874770000000002E-3</v>
      </c>
      <c r="Z9254">
        <v>-1.9661280000000001E-3</v>
      </c>
      <c r="AA9254">
        <v>0.99999559999999998</v>
      </c>
      <c r="AB9254">
        <v>18</v>
      </c>
      <c r="AC9254">
        <v>0.68439999999999601</v>
      </c>
      <c r="AD9254">
        <v>-8.9416000000000107E-2</v>
      </c>
      <c r="AE9254">
        <v>1.34000000000185E-2</v>
      </c>
      <c r="AF9254">
        <v>2.5182070085339701E-3</v>
      </c>
      <c r="AG9254">
        <v>-8.9416000000000107E-2</v>
      </c>
      <c r="AH9254">
        <v>0.67304255225966203</v>
      </c>
      <c r="AI9254">
        <v>97.567572197580603</v>
      </c>
      <c r="AJ9254">
        <v>89.785627283477993</v>
      </c>
      <c r="AK9254">
        <v>0.67896085275569296</v>
      </c>
      <c r="AL9254">
        <v>93.602207421936896</v>
      </c>
      <c r="AM9254">
        <v>88.6227796354638</v>
      </c>
      <c r="AN9254">
        <v>0.999999996185166</v>
      </c>
    </row>
    <row r="9255" spans="1:40" x14ac:dyDescent="0.25">
      <c r="A9255" t="str">
        <f>"20190303154400805"</f>
        <v>20190303154400805</v>
      </c>
      <c r="B9255" t="str">
        <f>"1551599040799292"</f>
        <v>1551599040799292</v>
      </c>
      <c r="C9255" t="s">
        <v>40</v>
      </c>
      <c r="D9255">
        <v>5.3132590000000004</v>
      </c>
      <c r="E9255">
        <v>0.4913593</v>
      </c>
      <c r="F9255" t="s">
        <v>42</v>
      </c>
      <c r="G9255">
        <v>-117.5301</v>
      </c>
      <c r="H9255">
        <v>1.034724</v>
      </c>
      <c r="I9255">
        <v>138.24539999999999</v>
      </c>
      <c r="J9255">
        <v>-118.1931</v>
      </c>
      <c r="K9255">
        <v>1.122825</v>
      </c>
      <c r="L9255">
        <v>138.2329</v>
      </c>
      <c r="M9255">
        <v>0.99941009999999997</v>
      </c>
      <c r="N9255">
        <v>-2.4913769999999998E-2</v>
      </c>
      <c r="O9255">
        <v>2.3641829999999999E-2</v>
      </c>
      <c r="P9255">
        <v>0.99608759999999996</v>
      </c>
      <c r="Q9255">
        <v>-8.8372220000000001E-2</v>
      </c>
      <c r="R9255">
        <v>-3.824551E-4</v>
      </c>
      <c r="S9255">
        <v>2.9841000000000002</v>
      </c>
      <c r="T9255">
        <v>-0.3130677</v>
      </c>
      <c r="U9255">
        <v>6.0623169999999997E-2</v>
      </c>
      <c r="V9255">
        <v>2.3960499999999999E-2</v>
      </c>
      <c r="W9255">
        <v>-6.3527520000000004E-2</v>
      </c>
      <c r="X9255">
        <v>0.99769240000000003</v>
      </c>
      <c r="Y9255">
        <v>3.241383E-3</v>
      </c>
      <c r="Z9255">
        <v>-2.0951339999999998E-3</v>
      </c>
      <c r="AA9255">
        <v>0.99999249999999995</v>
      </c>
      <c r="AB9255">
        <v>17</v>
      </c>
      <c r="AC9255">
        <v>0.66299999999999604</v>
      </c>
      <c r="AD9255">
        <v>-8.8100999999999902E-2</v>
      </c>
      <c r="AE9255">
        <v>1.24999999999886E-2</v>
      </c>
      <c r="AF9255">
        <v>3.1276865240078399E-3</v>
      </c>
      <c r="AG9255">
        <v>-8.8100999999999902E-2</v>
      </c>
      <c r="AH9255">
        <v>0.65160835702840803</v>
      </c>
      <c r="AI9255">
        <v>97.699920443962199</v>
      </c>
      <c r="AJ9255">
        <v>89.724985323929005</v>
      </c>
      <c r="AK9255">
        <v>0.65754469017189598</v>
      </c>
      <c r="AL9255">
        <v>93.642311536432203</v>
      </c>
      <c r="AM9255">
        <v>88.624253645596696</v>
      </c>
      <c r="AN9255">
        <v>0.99999998818767999</v>
      </c>
    </row>
    <row r="9256" spans="1:40" x14ac:dyDescent="0.25">
      <c r="A9256" t="str">
        <f>"20190303154400828"</f>
        <v>20190303154400828</v>
      </c>
      <c r="B9256" t="str">
        <f>"1551599040819788"</f>
        <v>1551599040819788</v>
      </c>
      <c r="C9256" t="s">
        <v>40</v>
      </c>
      <c r="D9256">
        <v>5.3143560000000001</v>
      </c>
      <c r="E9256">
        <v>0.49094470000000001</v>
      </c>
      <c r="F9256" t="s">
        <v>41</v>
      </c>
      <c r="G9256">
        <v>-107.5613</v>
      </c>
      <c r="H9256" s="1">
        <v>-1.3365949999999999E-6</v>
      </c>
      <c r="I9256">
        <v>138.47</v>
      </c>
      <c r="J9256">
        <v>-118.017</v>
      </c>
      <c r="K9256">
        <v>1.1228180000000001</v>
      </c>
      <c r="L9256">
        <v>138.23750000000001</v>
      </c>
      <c r="M9256">
        <v>0.99938990000000005</v>
      </c>
      <c r="N9256">
        <v>-2.54138E-2</v>
      </c>
      <c r="O9256">
        <v>2.3958150000000001E-2</v>
      </c>
      <c r="P9256">
        <v>0.99592849999999999</v>
      </c>
      <c r="Q9256">
        <v>-9.0147989999999997E-2</v>
      </c>
      <c r="R9256">
        <v>5.0725559999999995E-4</v>
      </c>
      <c r="S9256">
        <v>2.9838559999999998</v>
      </c>
      <c r="T9256">
        <v>-0.31512679999999998</v>
      </c>
      <c r="U9256">
        <v>6.6543580000000005E-2</v>
      </c>
      <c r="V9256">
        <v>2.338111E-2</v>
      </c>
      <c r="W9256">
        <v>-6.4808309999999994E-2</v>
      </c>
      <c r="X9256">
        <v>0.99762379999999995</v>
      </c>
      <c r="Y9256">
        <v>1.5830149999999999E-3</v>
      </c>
      <c r="Z9256">
        <v>-2.0184040000000001E-3</v>
      </c>
      <c r="AA9256">
        <v>0.99999669999999896</v>
      </c>
      <c r="AB9256">
        <v>17</v>
      </c>
      <c r="AC9256">
        <v>10.4557</v>
      </c>
      <c r="AD9256">
        <v>-1.1228193365950001</v>
      </c>
      <c r="AE9256">
        <v>0.23249999999998699</v>
      </c>
      <c r="AF9256">
        <v>1.79401503084963E-2</v>
      </c>
      <c r="AG9256">
        <v>-1.1228193365950001</v>
      </c>
      <c r="AH9256">
        <v>10.3390949895636</v>
      </c>
      <c r="AI9256">
        <v>96.197987176781197</v>
      </c>
      <c r="AJ9256">
        <v>89.900581833715705</v>
      </c>
      <c r="AK9256">
        <v>10.3999004954299</v>
      </c>
      <c r="AL9256">
        <v>93.7158468340523</v>
      </c>
      <c r="AM9256">
        <v>88.657416028401997</v>
      </c>
      <c r="AN9256">
        <v>1.00000001983816</v>
      </c>
    </row>
    <row r="9257" spans="1:40" x14ac:dyDescent="0.25">
      <c r="A9257" t="str">
        <f>"20190303154400848"</f>
        <v>20190303154400848</v>
      </c>
      <c r="B9257" t="str">
        <f>"1551599040839308"</f>
        <v>1551599040839308</v>
      </c>
      <c r="C9257" t="s">
        <v>40</v>
      </c>
      <c r="D9257">
        <v>5.3075000000000001</v>
      </c>
      <c r="E9257">
        <v>0.49072189999999999</v>
      </c>
      <c r="F9257" t="s">
        <v>41</v>
      </c>
      <c r="G9257">
        <v>-107.5419</v>
      </c>
      <c r="H9257" s="1">
        <v>-1.3418180000000001E-6</v>
      </c>
      <c r="I9257">
        <v>138.4923</v>
      </c>
      <c r="J9257">
        <v>-117.87139999999999</v>
      </c>
      <c r="K9257">
        <v>1.1227720000000001</v>
      </c>
      <c r="L9257">
        <v>138.2413</v>
      </c>
      <c r="M9257">
        <v>0.99937699999999996</v>
      </c>
      <c r="N9257">
        <v>-2.569691E-2</v>
      </c>
      <c r="O9257">
        <v>2.4199720000000001E-2</v>
      </c>
      <c r="P9257">
        <v>0.99582230000000005</v>
      </c>
      <c r="Q9257">
        <v>-9.1306079999999998E-2</v>
      </c>
      <c r="R9257">
        <v>1.1359339999999999E-3</v>
      </c>
      <c r="S9257">
        <v>2.9832920000000001</v>
      </c>
      <c r="T9257">
        <v>-0.31977709999999998</v>
      </c>
      <c r="U9257">
        <v>7.2570800000000005E-2</v>
      </c>
      <c r="V9257">
        <v>2.2988479999999999E-2</v>
      </c>
      <c r="W9257">
        <v>-6.5687060000000005E-2</v>
      </c>
      <c r="X9257">
        <v>0.9975754</v>
      </c>
      <c r="Y9257">
        <v>-1.895364E-4</v>
      </c>
      <c r="Z9257">
        <v>-1.952603E-3</v>
      </c>
      <c r="AA9257">
        <v>0.9999981</v>
      </c>
      <c r="AB9257">
        <v>17</v>
      </c>
      <c r="AC9257">
        <v>10.3294999999999</v>
      </c>
      <c r="AD9257">
        <v>-1.1227733418179999</v>
      </c>
      <c r="AE9257">
        <v>0.251000000000004</v>
      </c>
      <c r="AF9257">
        <v>-8.6272052359162501E-4</v>
      </c>
      <c r="AG9257">
        <v>-1.1227733418179999</v>
      </c>
      <c r="AH9257">
        <v>10.2119681359372</v>
      </c>
      <c r="AI9257">
        <v>96.274287441027695</v>
      </c>
      <c r="AJ9257">
        <v>90.004840422935601</v>
      </c>
      <c r="AK9257">
        <v>10.273505435379899</v>
      </c>
      <c r="AL9257">
        <v>93.766303208390397</v>
      </c>
      <c r="AM9257">
        <v>88.679889457123494</v>
      </c>
      <c r="AN9257">
        <v>0.99999996937465596</v>
      </c>
    </row>
    <row r="9258" spans="1:40" x14ac:dyDescent="0.25">
      <c r="A9258" t="str">
        <f>"20190303154400867"</f>
        <v>20190303154400867</v>
      </c>
      <c r="B9258" t="str">
        <f>"1551599040859804"</f>
        <v>1551599040859804</v>
      </c>
      <c r="C9258" t="s">
        <v>40</v>
      </c>
      <c r="D9258">
        <v>5.2957450000000001</v>
      </c>
      <c r="E9258">
        <v>0.483126</v>
      </c>
      <c r="F9258" t="s">
        <v>41</v>
      </c>
      <c r="G9258">
        <v>-107.49379999999999</v>
      </c>
      <c r="H9258" s="1">
        <v>-1.3620559999999999E-6</v>
      </c>
      <c r="I9258">
        <v>138.50640000000001</v>
      </c>
      <c r="J9258">
        <v>-117.7308</v>
      </c>
      <c r="K9258">
        <v>1.122681</v>
      </c>
      <c r="L9258">
        <v>138.245</v>
      </c>
      <c r="M9258">
        <v>0.99936919999999996</v>
      </c>
      <c r="N9258">
        <v>-2.5803070000000001E-2</v>
      </c>
      <c r="O9258">
        <v>2.440467E-2</v>
      </c>
      <c r="P9258">
        <v>0.99557410000000002</v>
      </c>
      <c r="Q9258">
        <v>-9.3970719999999994E-2</v>
      </c>
      <c r="R9258">
        <v>1.3993359999999999E-3</v>
      </c>
      <c r="S9258">
        <v>2.9828950000000001</v>
      </c>
      <c r="T9258">
        <v>-0.32272519999999999</v>
      </c>
      <c r="U9258">
        <v>7.6202389999999995E-2</v>
      </c>
      <c r="V9258">
        <v>2.291996E-2</v>
      </c>
      <c r="W9258">
        <v>-6.8252590000000002E-2</v>
      </c>
      <c r="X9258">
        <v>0.99740479999999998</v>
      </c>
      <c r="Y9258">
        <v>-1.1994659999999999E-3</v>
      </c>
      <c r="Z9258">
        <v>-1.9232380000000001E-3</v>
      </c>
      <c r="AA9258">
        <v>0.99999740000000004</v>
      </c>
      <c r="AB9258">
        <v>17</v>
      </c>
      <c r="AC9258">
        <v>10.237</v>
      </c>
      <c r="AD9258">
        <v>-1.122682362056</v>
      </c>
      <c r="AE9258">
        <v>0.26140000000000801</v>
      </c>
      <c r="AF9258">
        <v>-1.12728063288685E-2</v>
      </c>
      <c r="AG9258">
        <v>-1.122682362056</v>
      </c>
      <c r="AH9258">
        <v>10.1187089851931</v>
      </c>
      <c r="AI9258">
        <v>96.3311341595915</v>
      </c>
      <c r="AJ9258">
        <v>90.063830668482595</v>
      </c>
      <c r="AK9258">
        <v>10.180806170891399</v>
      </c>
      <c r="AL9258">
        <v>93.913627770879899</v>
      </c>
      <c r="AM9258">
        <v>88.6835977784025</v>
      </c>
      <c r="AN9258">
        <v>1.00000003783557</v>
      </c>
    </row>
    <row r="9259" spans="1:40" x14ac:dyDescent="0.25">
      <c r="A9259" t="str">
        <f>"20190303154400890"</f>
        <v>20190303154400890</v>
      </c>
      <c r="B9259" t="str">
        <f>"1551599040879324"</f>
        <v>1551599040879324</v>
      </c>
      <c r="C9259" t="s">
        <v>40</v>
      </c>
      <c r="D9259">
        <v>5.2938809999999998</v>
      </c>
      <c r="E9259">
        <v>0.48260039999999998</v>
      </c>
      <c r="F9259" t="s">
        <v>41</v>
      </c>
      <c r="G9259">
        <v>-107.4628</v>
      </c>
      <c r="H9259" s="1">
        <v>-1.3389269999999999E-6</v>
      </c>
      <c r="I9259">
        <v>138.7193</v>
      </c>
      <c r="J9259">
        <v>-117.5658</v>
      </c>
      <c r="K9259">
        <v>1.1225270000000001</v>
      </c>
      <c r="L9259">
        <v>138.24930000000001</v>
      </c>
      <c r="M9259">
        <v>0.99936720000000001</v>
      </c>
      <c r="N9259">
        <v>-2.5701020000000002E-2</v>
      </c>
      <c r="O9259">
        <v>2.4595260000000001E-2</v>
      </c>
      <c r="P9259">
        <v>0.99529500000000004</v>
      </c>
      <c r="Q9259">
        <v>-9.6880170000000002E-2</v>
      </c>
      <c r="R9259">
        <v>1.5291199999999999E-3</v>
      </c>
      <c r="S9259">
        <v>2.982361</v>
      </c>
      <c r="T9259">
        <v>-0.32608470000000001</v>
      </c>
      <c r="U9259">
        <v>0.1377563</v>
      </c>
      <c r="V9259">
        <v>2.2966879999999999E-2</v>
      </c>
      <c r="W9259">
        <v>-7.1272269999999999E-2</v>
      </c>
      <c r="X9259">
        <v>0.99719239999999998</v>
      </c>
      <c r="Y9259">
        <v>-2.147756E-2</v>
      </c>
      <c r="Z9259">
        <v>-6.0135769999999998E-4</v>
      </c>
      <c r="AA9259">
        <v>0.99976920000000002</v>
      </c>
      <c r="AB9259">
        <v>16</v>
      </c>
      <c r="AC9259">
        <v>10.1029999999999</v>
      </c>
      <c r="AD9259">
        <v>-1.122528338927</v>
      </c>
      <c r="AE9259">
        <v>0.46999999999999797</v>
      </c>
      <c r="AF9259">
        <v>-0.21859697056491301</v>
      </c>
      <c r="AG9259">
        <v>-1.122528338927</v>
      </c>
      <c r="AH9259">
        <v>9.9884632256500403</v>
      </c>
      <c r="AI9259">
        <v>96.410615577973999</v>
      </c>
      <c r="AJ9259">
        <v>91.253714865841403</v>
      </c>
      <c r="AK9259">
        <v>10.053718322958799</v>
      </c>
      <c r="AL9259">
        <v>94.087065674596502</v>
      </c>
      <c r="AM9259">
        <v>88.680623025457393</v>
      </c>
      <c r="AN9259">
        <v>0.99999994833282202</v>
      </c>
    </row>
    <row r="9260" spans="1:40" x14ac:dyDescent="0.25">
      <c r="A9260" t="str">
        <f>"20190303154400911"</f>
        <v>20190303154400911</v>
      </c>
      <c r="B9260" t="str">
        <f>"1551599040899821"</f>
        <v>1551599040899821</v>
      </c>
      <c r="C9260" t="s">
        <v>40</v>
      </c>
      <c r="D9260">
        <v>5.3425580000000004</v>
      </c>
      <c r="E9260">
        <v>0.48302659999999997</v>
      </c>
      <c r="F9260" t="s">
        <v>41</v>
      </c>
      <c r="G9260">
        <v>-107.26730000000001</v>
      </c>
      <c r="H9260" s="1">
        <v>-1.4274070000000001E-6</v>
      </c>
      <c r="I9260">
        <v>138.7415</v>
      </c>
      <c r="J9260">
        <v>-117.41549999999999</v>
      </c>
      <c r="K9260">
        <v>1.1223749999999999</v>
      </c>
      <c r="L9260">
        <v>138.25319999999999</v>
      </c>
      <c r="M9260">
        <v>0.99937089999999995</v>
      </c>
      <c r="N9260">
        <v>-2.544252E-2</v>
      </c>
      <c r="O9260">
        <v>2.4708129999999998E-2</v>
      </c>
      <c r="P9260">
        <v>0.99525949999999996</v>
      </c>
      <c r="Q9260">
        <v>-9.7245860000000003E-2</v>
      </c>
      <c r="R9260">
        <v>1.4659639999999999E-3</v>
      </c>
      <c r="S9260">
        <v>2.9823149999999998</v>
      </c>
      <c r="T9260">
        <v>-0.32507219999999998</v>
      </c>
      <c r="U9260">
        <v>0.14251710000000001</v>
      </c>
      <c r="V9260">
        <v>2.3133819999999999E-2</v>
      </c>
      <c r="W9260">
        <v>-7.1899149999999995E-2</v>
      </c>
      <c r="X9260">
        <v>0.99714360000000002</v>
      </c>
      <c r="Y9260">
        <v>-2.2948610000000001E-2</v>
      </c>
      <c r="Z9260">
        <v>-5.1650060000000002E-4</v>
      </c>
      <c r="AA9260">
        <v>0.99973650000000003</v>
      </c>
      <c r="AB9260">
        <v>16</v>
      </c>
      <c r="AC9260">
        <v>10.1481999999999</v>
      </c>
      <c r="AD9260">
        <v>-1.1223764274069901</v>
      </c>
      <c r="AE9260">
        <v>0.488300000000009</v>
      </c>
      <c r="AF9260">
        <v>-0.23446522602733</v>
      </c>
      <c r="AG9260">
        <v>-1.1223764274069901</v>
      </c>
      <c r="AH9260">
        <v>10.0347072562941</v>
      </c>
      <c r="AI9260">
        <v>96.380248793570203</v>
      </c>
      <c r="AJ9260">
        <v>91.338496843181005</v>
      </c>
      <c r="AK9260">
        <v>10.1000025993332</v>
      </c>
      <c r="AL9260">
        <v>94.123075385053497</v>
      </c>
      <c r="AM9260">
        <v>88.670971244331795</v>
      </c>
      <c r="AN9260">
        <v>1.00000001020973</v>
      </c>
    </row>
    <row r="9261" spans="1:40" x14ac:dyDescent="0.25">
      <c r="A9261" t="str">
        <f>"20190303154400934"</f>
        <v>20190303154400934</v>
      </c>
      <c r="B9261" t="str">
        <f>"1551599040929101"</f>
        <v>1551599040929101</v>
      </c>
      <c r="C9261" t="s">
        <v>40</v>
      </c>
      <c r="D9261">
        <v>5.4392820000000004</v>
      </c>
      <c r="E9261">
        <v>0.48283809999999999</v>
      </c>
      <c r="F9261" t="s">
        <v>41</v>
      </c>
      <c r="G9261">
        <v>-107.57259999999999</v>
      </c>
      <c r="H9261" s="1">
        <v>-1.288545E-6</v>
      </c>
      <c r="I9261">
        <v>138.71080000000001</v>
      </c>
      <c r="J9261">
        <v>-117.251</v>
      </c>
      <c r="K9261">
        <v>1.122223</v>
      </c>
      <c r="L9261">
        <v>138.25739999999999</v>
      </c>
      <c r="M9261">
        <v>0.99937960000000003</v>
      </c>
      <c r="N9261">
        <v>-2.50487E-2</v>
      </c>
      <c r="O9261">
        <v>2.4761269999999998E-2</v>
      </c>
      <c r="P9261">
        <v>0.99541990000000002</v>
      </c>
      <c r="Q9261">
        <v>-9.5586900000000002E-2</v>
      </c>
      <c r="R9261">
        <v>1.67432E-3</v>
      </c>
      <c r="S9261">
        <v>2.9808650000000001</v>
      </c>
      <c r="T9261">
        <v>-0.33990550000000003</v>
      </c>
      <c r="U9261">
        <v>0.1385651</v>
      </c>
      <c r="V9261">
        <v>2.2973520000000001E-2</v>
      </c>
      <c r="W9261">
        <v>-7.0632230000000004E-2</v>
      </c>
      <c r="X9261">
        <v>0.99723790000000001</v>
      </c>
      <c r="Y9261">
        <v>-2.16049E-2</v>
      </c>
      <c r="Z9261">
        <v>-6.9468570000000003E-4</v>
      </c>
      <c r="AA9261">
        <v>0.9997663</v>
      </c>
      <c r="AB9261">
        <v>16</v>
      </c>
      <c r="AC9261">
        <v>9.6783999999999999</v>
      </c>
      <c r="AD9261">
        <v>-1.122224288545</v>
      </c>
      <c r="AE9261">
        <v>0.45340000000001601</v>
      </c>
      <c r="AF9261">
        <v>-0.21070949125968999</v>
      </c>
      <c r="AG9261">
        <v>-1.122224288545</v>
      </c>
      <c r="AH9261">
        <v>9.5584317973404893</v>
      </c>
      <c r="AI9261">
        <v>96.694643306229395</v>
      </c>
      <c r="AJ9261">
        <v>91.262844133521696</v>
      </c>
      <c r="AK9261">
        <v>9.6263910302831999</v>
      </c>
      <c r="AL9261">
        <v>94.050300964268402</v>
      </c>
      <c r="AM9261">
        <v>88.6803019066937</v>
      </c>
      <c r="AN9261">
        <v>1.00000006186618</v>
      </c>
    </row>
    <row r="9262" spans="1:40" x14ac:dyDescent="0.25">
      <c r="A9262" t="str">
        <f>"20190303154400955"</f>
        <v>20190303154400955</v>
      </c>
      <c r="B9262" t="str">
        <f>"1551599040949596"</f>
        <v>1551599040949596</v>
      </c>
      <c r="C9262" t="s">
        <v>40</v>
      </c>
      <c r="D9262">
        <v>5.3260209999999999</v>
      </c>
      <c r="E9262">
        <v>0.48254999999999998</v>
      </c>
      <c r="F9262" t="s">
        <v>41</v>
      </c>
      <c r="G9262">
        <v>-107.6841</v>
      </c>
      <c r="H9262" s="1">
        <v>-1.236394E-6</v>
      </c>
      <c r="I9262">
        <v>138.70769999999999</v>
      </c>
      <c r="J9262">
        <v>-117.104</v>
      </c>
      <c r="K9262">
        <v>1.122093</v>
      </c>
      <c r="L9262">
        <v>138.261</v>
      </c>
      <c r="M9262">
        <v>0.99939160000000005</v>
      </c>
      <c r="N9262">
        <v>-2.459358E-2</v>
      </c>
      <c r="O9262">
        <v>2.4734860000000001E-2</v>
      </c>
      <c r="P9262">
        <v>0.99565329999999996</v>
      </c>
      <c r="Q9262">
        <v>-9.3103619999999998E-2</v>
      </c>
      <c r="R9262">
        <v>2.5592570000000001E-3</v>
      </c>
      <c r="S9262">
        <v>2.9800110000000002</v>
      </c>
      <c r="T9262">
        <v>-0.34956159999999997</v>
      </c>
      <c r="U9262">
        <v>0.14025879999999999</v>
      </c>
      <c r="V9262">
        <v>2.2061069999999999E-2</v>
      </c>
      <c r="W9262">
        <v>-6.8599629999999995E-2</v>
      </c>
      <c r="X9262">
        <v>0.99740030000000002</v>
      </c>
      <c r="Y9262">
        <v>-2.2206690000000001E-2</v>
      </c>
      <c r="Z9262">
        <v>-7.1106730000000001E-4</v>
      </c>
      <c r="AA9262">
        <v>0.99975320000000001</v>
      </c>
      <c r="AB9262">
        <v>16</v>
      </c>
      <c r="AC9262">
        <v>9.4198999999999895</v>
      </c>
      <c r="AD9262">
        <v>-1.1220942363940001</v>
      </c>
      <c r="AE9262">
        <v>0.44669999999999199</v>
      </c>
      <c r="AF9262">
        <v>-0.210512512160447</v>
      </c>
      <c r="AG9262">
        <v>-1.1220942363940001</v>
      </c>
      <c r="AH9262">
        <v>9.2964528685317607</v>
      </c>
      <c r="AI9262">
        <v>96.880636066153002</v>
      </c>
      <c r="AJ9262">
        <v>91.297206332807406</v>
      </c>
      <c r="AK9262">
        <v>9.3662931264164992</v>
      </c>
      <c r="AL9262">
        <v>93.933558642082303</v>
      </c>
      <c r="AM9262">
        <v>88.732905802614994</v>
      </c>
      <c r="AN9262">
        <v>0.99999997924288497</v>
      </c>
    </row>
    <row r="9263" spans="1:40" x14ac:dyDescent="0.25">
      <c r="A9263" t="str">
        <f>"20190303154400982"</f>
        <v>20190303154400982</v>
      </c>
      <c r="B9263" t="str">
        <f>"1551599040979852"</f>
        <v>1551599040979852</v>
      </c>
      <c r="C9263" t="s">
        <v>40</v>
      </c>
      <c r="D9263">
        <v>5.4185249999999998</v>
      </c>
      <c r="E9263">
        <v>0.48179080000000002</v>
      </c>
      <c r="F9263" t="s">
        <v>41</v>
      </c>
      <c r="G9263">
        <v>-107.5239</v>
      </c>
      <c r="H9263" s="1">
        <v>-1.3087150000000001E-6</v>
      </c>
      <c r="I9263">
        <v>138.7268</v>
      </c>
      <c r="J9263">
        <v>-116.9152</v>
      </c>
      <c r="K9263">
        <v>1.1219159999999999</v>
      </c>
      <c r="L9263">
        <v>138.26560000000001</v>
      </c>
      <c r="M9263">
        <v>0.99941429999999998</v>
      </c>
      <c r="N9263">
        <v>-2.3817129999999999E-2</v>
      </c>
      <c r="O9263">
        <v>2.457521E-2</v>
      </c>
      <c r="P9263">
        <v>0.99581830000000005</v>
      </c>
      <c r="Q9263">
        <v>-9.130183E-2</v>
      </c>
      <c r="R9263">
        <v>3.2557810000000001E-3</v>
      </c>
      <c r="S9263">
        <v>2.9800870000000002</v>
      </c>
      <c r="T9263">
        <v>-0.34905249999999999</v>
      </c>
      <c r="U9263">
        <v>0.14488219999999999</v>
      </c>
      <c r="V9263">
        <v>2.1200859999999998E-2</v>
      </c>
      <c r="W9263">
        <v>-6.757109E-2</v>
      </c>
      <c r="X9263">
        <v>0.99748919999999996</v>
      </c>
      <c r="Y9263">
        <v>-2.3901410000000001E-2</v>
      </c>
      <c r="Z9263">
        <v>-6.0254280000000002E-4</v>
      </c>
      <c r="AA9263">
        <v>0.99971410000000005</v>
      </c>
      <c r="AB9263">
        <v>16</v>
      </c>
      <c r="AC9263">
        <v>9.3912999999999993</v>
      </c>
      <c r="AD9263">
        <v>-1.1219173087149901</v>
      </c>
      <c r="AE9263">
        <v>0.46119999999999101</v>
      </c>
      <c r="AF9263">
        <v>-0.22697056836264001</v>
      </c>
      <c r="AG9263">
        <v>-1.1219173087149901</v>
      </c>
      <c r="AH9263">
        <v>9.2678512548120597</v>
      </c>
      <c r="AI9263">
        <v>96.9002911373329</v>
      </c>
      <c r="AJ9263">
        <v>91.402898724521407</v>
      </c>
      <c r="AK9263">
        <v>9.3382696988156599</v>
      </c>
      <c r="AL9263">
        <v>93.874490425500198</v>
      </c>
      <c r="AM9263">
        <v>88.782405928547504</v>
      </c>
      <c r="AN9263">
        <v>1.00000001639258</v>
      </c>
    </row>
    <row r="9264" spans="1:40" x14ac:dyDescent="0.25">
      <c r="A9264" t="str">
        <f>"20190303154401007"</f>
        <v>20190303154401007</v>
      </c>
      <c r="B9264" t="str">
        <f>"1551599040999373"</f>
        <v>1551599040999373</v>
      </c>
      <c r="C9264" t="s">
        <v>40</v>
      </c>
      <c r="D9264">
        <v>5.3441739999999998</v>
      </c>
      <c r="E9264">
        <v>0.48189959999999998</v>
      </c>
      <c r="F9264" t="s">
        <v>42</v>
      </c>
      <c r="G9264">
        <v>-116.0951</v>
      </c>
      <c r="H9264">
        <v>1.024629</v>
      </c>
      <c r="I9264">
        <v>138.30760000000001</v>
      </c>
      <c r="J9264">
        <v>-116.74639999999999</v>
      </c>
      <c r="K9264">
        <v>1.1218170000000001</v>
      </c>
      <c r="L9264">
        <v>138.26949999999999</v>
      </c>
      <c r="M9264">
        <v>0.99943369999999998</v>
      </c>
      <c r="N9264">
        <v>-2.3233199999999999E-2</v>
      </c>
      <c r="O9264">
        <v>2.4344089999999999E-2</v>
      </c>
      <c r="P9264">
        <v>0.99575749999999996</v>
      </c>
      <c r="Q9264">
        <v>-9.194157E-2</v>
      </c>
      <c r="R9264">
        <v>3.745324E-3</v>
      </c>
      <c r="S9264">
        <v>2.9796909999999999</v>
      </c>
      <c r="T9264">
        <v>-0.35345959999999899</v>
      </c>
      <c r="U9264">
        <v>0.1526642</v>
      </c>
      <c r="V9264">
        <v>2.0472230000000001E-2</v>
      </c>
      <c r="W9264">
        <v>-6.8796090000000004E-2</v>
      </c>
      <c r="X9264">
        <v>0.99742070000000005</v>
      </c>
      <c r="Y9264">
        <v>-2.67201E-2</v>
      </c>
      <c r="Z9264">
        <v>-4.21125E-4</v>
      </c>
      <c r="AA9264">
        <v>0.99964280000000005</v>
      </c>
      <c r="AB9264">
        <v>16</v>
      </c>
      <c r="AC9264">
        <v>0.651299999999992</v>
      </c>
      <c r="AD9264">
        <v>-9.7187999999999997E-2</v>
      </c>
      <c r="AE9264">
        <v>3.8100000000014199E-2</v>
      </c>
      <c r="AF9264">
        <v>-2.17465365748425E-2</v>
      </c>
      <c r="AG9264">
        <v>-9.7187999999999997E-2</v>
      </c>
      <c r="AH9264">
        <v>0.63787936953971203</v>
      </c>
      <c r="AI9264">
        <v>98.658069861229194</v>
      </c>
      <c r="AJ9264">
        <v>91.952567274313907</v>
      </c>
      <c r="AK9264">
        <v>0.64560708583579096</v>
      </c>
      <c r="AL9264">
        <v>93.944841412750094</v>
      </c>
      <c r="AM9264">
        <v>88.824159454264205</v>
      </c>
      <c r="AN9264">
        <v>1.0000000334944701</v>
      </c>
    </row>
    <row r="9265" spans="1:40" x14ac:dyDescent="0.25">
      <c r="A9265" t="str">
        <f>"20190303154401029"</f>
        <v>20190303154401029</v>
      </c>
      <c r="B9265" t="str">
        <f>"1551599041019869"</f>
        <v>1551599041019869</v>
      </c>
      <c r="C9265" t="s">
        <v>40</v>
      </c>
      <c r="D9265">
        <v>5.3519730000000001</v>
      </c>
      <c r="E9265">
        <v>0.48187970000000002</v>
      </c>
      <c r="F9265" t="s">
        <v>41</v>
      </c>
      <c r="G9265">
        <v>-107.3712</v>
      </c>
      <c r="H9265" s="1">
        <v>-1.3765000000000001E-6</v>
      </c>
      <c r="I9265">
        <v>138.7516</v>
      </c>
      <c r="J9265">
        <v>-116.593</v>
      </c>
      <c r="K9265">
        <v>1.121821</v>
      </c>
      <c r="L9265">
        <v>138.27289999999999</v>
      </c>
      <c r="M9265">
        <v>0.99944529999999998</v>
      </c>
      <c r="N9265">
        <v>-2.3009689999999999E-2</v>
      </c>
      <c r="O9265">
        <v>2.407685E-2</v>
      </c>
      <c r="P9265">
        <v>0.99567159999999999</v>
      </c>
      <c r="Q9265">
        <v>-9.2846509999999993E-2</v>
      </c>
      <c r="R9265">
        <v>4.2301029999999998E-3</v>
      </c>
      <c r="S9265">
        <v>2.9792939999999999</v>
      </c>
      <c r="T9265">
        <v>-0.35649629999999999</v>
      </c>
      <c r="U9265">
        <v>0.1532135</v>
      </c>
      <c r="V9265">
        <v>1.9714240000000001E-2</v>
      </c>
      <c r="W9265">
        <v>-6.9926240000000001E-2</v>
      </c>
      <c r="X9265">
        <v>0.99735739999999995</v>
      </c>
      <c r="Y9265">
        <v>-2.7172740000000001E-2</v>
      </c>
      <c r="Z9265">
        <v>-3.8290230000000001E-4</v>
      </c>
      <c r="AA9265">
        <v>0.99963069999999998</v>
      </c>
      <c r="AB9265">
        <v>16</v>
      </c>
      <c r="AC9265">
        <v>9.2217999999999805</v>
      </c>
      <c r="AD9265">
        <v>-1.1218223764999999</v>
      </c>
      <c r="AE9265">
        <v>0.47870000000000301</v>
      </c>
      <c r="AF9265">
        <v>-0.25274034710626703</v>
      </c>
      <c r="AG9265">
        <v>-1.1218223764999999</v>
      </c>
      <c r="AH9265">
        <v>9.0964028370697694</v>
      </c>
      <c r="AI9265">
        <v>97.027870653786294</v>
      </c>
      <c r="AJ9265">
        <v>91.591533578520199</v>
      </c>
      <c r="AK9265">
        <v>9.1688007777311</v>
      </c>
      <c r="AL9265">
        <v>94.009750471909499</v>
      </c>
      <c r="AM9265">
        <v>88.867611877574006</v>
      </c>
      <c r="AN9265">
        <v>1.00000005681703</v>
      </c>
    </row>
    <row r="9266" spans="1:40" x14ac:dyDescent="0.25">
      <c r="A9266" t="str">
        <f>"20190303154401053"</f>
        <v>20190303154401053</v>
      </c>
      <c r="B9266" t="str">
        <f>"1551599041039389"</f>
        <v>1551599041039389</v>
      </c>
      <c r="C9266" t="s">
        <v>40</v>
      </c>
      <c r="D9266">
        <v>5.3637169999999896</v>
      </c>
      <c r="E9266">
        <v>0.48189720000000003</v>
      </c>
      <c r="F9266" t="s">
        <v>41</v>
      </c>
      <c r="G9266">
        <v>-107.30589999999999</v>
      </c>
      <c r="H9266" s="1">
        <v>-1.406661E-6</v>
      </c>
      <c r="I9266">
        <v>138.75569999999999</v>
      </c>
      <c r="J9266">
        <v>-116.43819999999999</v>
      </c>
      <c r="K9266">
        <v>1.121815</v>
      </c>
      <c r="L9266">
        <v>138.27629999999999</v>
      </c>
      <c r="M9266">
        <v>0.99946060000000003</v>
      </c>
      <c r="N9266">
        <v>-2.2705389999999999E-2</v>
      </c>
      <c r="O9266">
        <v>2.37326E-2</v>
      </c>
      <c r="P9266">
        <v>0.99565420000000004</v>
      </c>
      <c r="Q9266">
        <v>-9.2991809999999994E-2</v>
      </c>
      <c r="R9266">
        <v>5.0273779999999999E-3</v>
      </c>
      <c r="S9266">
        <v>2.9788209999999999</v>
      </c>
      <c r="T9266">
        <v>-0.35982019999999998</v>
      </c>
      <c r="U9266">
        <v>0.15483089999999999</v>
      </c>
      <c r="V9266">
        <v>1.856944E-2</v>
      </c>
      <c r="W9266">
        <v>-7.0375380000000001E-2</v>
      </c>
      <c r="X9266">
        <v>0.99734769999999995</v>
      </c>
      <c r="Y9266">
        <v>-2.8057229999999999E-2</v>
      </c>
      <c r="Z9266">
        <v>-3.092533E-4</v>
      </c>
      <c r="AA9266">
        <v>0.99960629999999995</v>
      </c>
      <c r="AB9266">
        <v>15</v>
      </c>
      <c r="AC9266">
        <v>9.1323000000000008</v>
      </c>
      <c r="AD9266">
        <v>-1.1218164066609999</v>
      </c>
      <c r="AE9266">
        <v>0.47939999999999799</v>
      </c>
      <c r="AF9266">
        <v>-0.25858455692780702</v>
      </c>
      <c r="AG9266">
        <v>-1.1218164066609999</v>
      </c>
      <c r="AH9266">
        <v>9.0055878422019902</v>
      </c>
      <c r="AI9266">
        <v>97.097800781903501</v>
      </c>
      <c r="AJ9266">
        <v>91.644727056727803</v>
      </c>
      <c r="AK9266">
        <v>9.0788738512522293</v>
      </c>
      <c r="AL9266">
        <v>94.035548176414096</v>
      </c>
      <c r="AM9266">
        <v>88.933343284135205</v>
      </c>
      <c r="AN9266">
        <v>0.999999976453673</v>
      </c>
    </row>
    <row r="9267" spans="1:40" x14ac:dyDescent="0.25">
      <c r="A9267" t="str">
        <f>"20190303154401071"</f>
        <v>20190303154401071</v>
      </c>
      <c r="B9267" t="str">
        <f>"1551599041059885"</f>
        <v>1551599041059885</v>
      </c>
      <c r="C9267" t="s">
        <v>40</v>
      </c>
      <c r="D9267">
        <v>5.3416759999999996</v>
      </c>
      <c r="E9267">
        <v>0.4815642</v>
      </c>
      <c r="F9267" t="s">
        <v>41</v>
      </c>
      <c r="G9267">
        <v>-107.1789</v>
      </c>
      <c r="H9267" s="1">
        <v>-1.465101E-6</v>
      </c>
      <c r="I9267">
        <v>138.7645</v>
      </c>
      <c r="J9267">
        <v>-116.3125</v>
      </c>
      <c r="K9267">
        <v>1.1217710000000001</v>
      </c>
      <c r="L9267">
        <v>138.27889999999999</v>
      </c>
      <c r="M9267">
        <v>0.99947680000000005</v>
      </c>
      <c r="N9267">
        <v>-2.2326519999999999E-2</v>
      </c>
      <c r="O9267">
        <v>2.3402269999999999E-2</v>
      </c>
      <c r="P9267">
        <v>0.99584019999999995</v>
      </c>
      <c r="Q9267">
        <v>-9.0939859999999997E-2</v>
      </c>
      <c r="R9267">
        <v>5.6888900000000003E-3</v>
      </c>
      <c r="S9267">
        <v>2.9785919999999999</v>
      </c>
      <c r="T9267">
        <v>-0.36087540000000001</v>
      </c>
      <c r="U9267">
        <v>0.1570587</v>
      </c>
      <c r="V9267">
        <v>1.758096E-2</v>
      </c>
      <c r="W9267">
        <v>-6.8697530000000007E-2</v>
      </c>
      <c r="X9267">
        <v>0.9974826</v>
      </c>
      <c r="Y9267">
        <v>-2.912754E-2</v>
      </c>
      <c r="Z9267">
        <v>-2.17992E-4</v>
      </c>
      <c r="AA9267">
        <v>0.99957569999999996</v>
      </c>
      <c r="AB9267">
        <v>15</v>
      </c>
      <c r="AC9267">
        <v>9.1335999999999995</v>
      </c>
      <c r="AD9267">
        <v>-1.1217724651009999</v>
      </c>
      <c r="AE9267">
        <v>0.48560000000000503</v>
      </c>
      <c r="AF9267">
        <v>-0.26764087716514501</v>
      </c>
      <c r="AG9267">
        <v>-1.1217724651009999</v>
      </c>
      <c r="AH9267">
        <v>9.0069830977381198</v>
      </c>
      <c r="AI9267">
        <v>97.096232105172007</v>
      </c>
      <c r="AJ9267">
        <v>91.702032917077901</v>
      </c>
      <c r="AK9267">
        <v>9.0805148326253295</v>
      </c>
      <c r="AL9267">
        <v>93.939181124420998</v>
      </c>
      <c r="AM9267">
        <v>88.990247530112597</v>
      </c>
      <c r="AN9267">
        <v>0.99999998904269105</v>
      </c>
    </row>
    <row r="9268" spans="1:40" x14ac:dyDescent="0.25">
      <c r="A9268" t="str">
        <f>"20190303154401090"</f>
        <v>20190303154401090</v>
      </c>
      <c r="B9268" t="str">
        <f>"1551599041079405"</f>
        <v>1551599041079405</v>
      </c>
      <c r="C9268" t="s">
        <v>40</v>
      </c>
      <c r="D9268">
        <v>5.3505289999999999</v>
      </c>
      <c r="E9268">
        <v>0.48146739999999999</v>
      </c>
      <c r="F9268" t="s">
        <v>41</v>
      </c>
      <c r="G9268">
        <v>-106.9469</v>
      </c>
      <c r="H9268" s="1">
        <v>-1.570814E-6</v>
      </c>
      <c r="I9268">
        <v>138.78700000000001</v>
      </c>
      <c r="J9268">
        <v>-116.19070000000001</v>
      </c>
      <c r="K9268">
        <v>1.1217520000000001</v>
      </c>
      <c r="L9268">
        <v>138.28139999999999</v>
      </c>
      <c r="M9268">
        <v>0.99949120000000002</v>
      </c>
      <c r="N9268">
        <v>-2.203751E-2</v>
      </c>
      <c r="O9268">
        <v>2.3061740000000001E-2</v>
      </c>
      <c r="P9268">
        <v>0.99598469999999995</v>
      </c>
      <c r="Q9268">
        <v>-8.9318359999999999E-2</v>
      </c>
      <c r="R9268">
        <v>6.0640640000000001E-3</v>
      </c>
      <c r="S9268">
        <v>2.9790190000000001</v>
      </c>
      <c r="T9268">
        <v>-0.35681269999999998</v>
      </c>
      <c r="U9268">
        <v>0.1615906</v>
      </c>
      <c r="V9268">
        <v>1.686851E-2</v>
      </c>
      <c r="W9268">
        <v>-6.7361399999999905E-2</v>
      </c>
      <c r="X9268">
        <v>0.99758599999999997</v>
      </c>
      <c r="Y9268">
        <v>-3.09631E-2</v>
      </c>
      <c r="Z9268" s="1">
        <v>-5.3960130000000001E-5</v>
      </c>
      <c r="AA9268">
        <v>0.99952050000000003</v>
      </c>
      <c r="AB9268">
        <v>15</v>
      </c>
      <c r="AC9268">
        <v>9.2438000000000091</v>
      </c>
      <c r="AD9268">
        <v>-1.1217535708140001</v>
      </c>
      <c r="AE9268">
        <v>0.50560000000001504</v>
      </c>
      <c r="AF9268">
        <v>-0.28800695875246002</v>
      </c>
      <c r="AG9268">
        <v>-1.1217535708140001</v>
      </c>
      <c r="AH9268">
        <v>9.1191128987394592</v>
      </c>
      <c r="AI9268">
        <v>97.009335511052697</v>
      </c>
      <c r="AJ9268">
        <v>91.808958837136402</v>
      </c>
      <c r="AK9268">
        <v>9.1923609122945198</v>
      </c>
      <c r="AL9268">
        <v>93.862448831622501</v>
      </c>
      <c r="AM9268">
        <v>89.031259129169698</v>
      </c>
      <c r="AN9268">
        <v>0.99999996611778896</v>
      </c>
    </row>
    <row r="9269" spans="1:40" x14ac:dyDescent="0.25">
      <c r="A9269" t="str">
        <f>"20190303154401112"</f>
        <v>20190303154401112</v>
      </c>
      <c r="B9269" t="str">
        <f>"1551599041099901"</f>
        <v>1551599041099901</v>
      </c>
      <c r="C9269" t="s">
        <v>40</v>
      </c>
      <c r="D9269">
        <v>5.4360629999999999</v>
      </c>
      <c r="E9269">
        <v>0.481381</v>
      </c>
      <c r="F9269" t="s">
        <v>41</v>
      </c>
      <c r="G9269">
        <v>-106.7351</v>
      </c>
      <c r="H9269" s="1">
        <v>-1.668546E-6</v>
      </c>
      <c r="I9269">
        <v>138.8004</v>
      </c>
      <c r="J9269">
        <v>-116.044</v>
      </c>
      <c r="K9269">
        <v>1.121799</v>
      </c>
      <c r="L9269">
        <v>138.2843</v>
      </c>
      <c r="M9269">
        <v>0.99950309999999998</v>
      </c>
      <c r="N9269">
        <v>-2.1939440000000001E-2</v>
      </c>
      <c r="O9269">
        <v>2.2639530000000001E-2</v>
      </c>
      <c r="P9269">
        <v>0.996035</v>
      </c>
      <c r="Q9269">
        <v>-8.8777289999999995E-2</v>
      </c>
      <c r="R9269">
        <v>5.7510929999999997E-3</v>
      </c>
      <c r="S9269">
        <v>2.9794010000000002</v>
      </c>
      <c r="T9269">
        <v>-0.35345729999999997</v>
      </c>
      <c r="U9269">
        <v>0.16352839999999999</v>
      </c>
      <c r="V9269">
        <v>1.6761040000000001E-2</v>
      </c>
      <c r="W9269">
        <v>-6.691735E-2</v>
      </c>
      <c r="X9269">
        <v>0.99761770000000005</v>
      </c>
      <c r="Y9269">
        <v>-3.2018339999999999E-2</v>
      </c>
      <c r="Z9269" s="1">
        <v>6.5408059999999999E-5</v>
      </c>
      <c r="AA9269">
        <v>0.99948729999999997</v>
      </c>
      <c r="AB9269">
        <v>15</v>
      </c>
      <c r="AC9269">
        <v>9.3088999999999906</v>
      </c>
      <c r="AD9269">
        <v>-1.121800668546</v>
      </c>
      <c r="AE9269">
        <v>0.51609999999999401</v>
      </c>
      <c r="AF9269">
        <v>-0.300812732816922</v>
      </c>
      <c r="AG9269">
        <v>-1.121800668546</v>
      </c>
      <c r="AH9269">
        <v>9.1852184727507193</v>
      </c>
      <c r="AI9269">
        <v>96.959417075227805</v>
      </c>
      <c r="AJ9269">
        <v>91.875746578996996</v>
      </c>
      <c r="AK9269">
        <v>9.2583564109584895</v>
      </c>
      <c r="AL9269">
        <v>93.836949088181299</v>
      </c>
      <c r="AM9269">
        <v>89.037460434390297</v>
      </c>
      <c r="AN9269">
        <v>0.99999996977309602</v>
      </c>
    </row>
    <row r="9270" spans="1:40" x14ac:dyDescent="0.25">
      <c r="A9270" t="str">
        <f>"20190303154401136"</f>
        <v>20190303154401136</v>
      </c>
      <c r="B9270" t="str">
        <f>"1551599041129181"</f>
        <v>1551599041129181</v>
      </c>
      <c r="C9270" t="s">
        <v>40</v>
      </c>
      <c r="D9270">
        <v>5.3420100000000001</v>
      </c>
      <c r="E9270">
        <v>0.48165770000000002</v>
      </c>
      <c r="F9270" t="s">
        <v>41</v>
      </c>
      <c r="G9270">
        <v>-106.60769999999999</v>
      </c>
      <c r="H9270" s="1">
        <v>-1.728589E-6</v>
      </c>
      <c r="I9270">
        <v>138.8013</v>
      </c>
      <c r="J9270">
        <v>-115.893</v>
      </c>
      <c r="K9270">
        <v>1.1219170000000001</v>
      </c>
      <c r="L9270">
        <v>138.28710000000001</v>
      </c>
      <c r="M9270">
        <v>0.99950950000000005</v>
      </c>
      <c r="N9270">
        <v>-2.210436E-2</v>
      </c>
      <c r="O9270">
        <v>2.2190430000000001E-2</v>
      </c>
      <c r="P9270">
        <v>0.99603220000000003</v>
      </c>
      <c r="Q9270">
        <v>-8.8816549999999994E-2</v>
      </c>
      <c r="R9270">
        <v>5.6155220000000004E-3</v>
      </c>
      <c r="S9270">
        <v>2.9794459999999998</v>
      </c>
      <c r="T9270">
        <v>-0.35420180000000001</v>
      </c>
      <c r="U9270">
        <v>0.16323850000000001</v>
      </c>
      <c r="V9270">
        <v>1.6450949999999999E-2</v>
      </c>
      <c r="W9270">
        <v>-6.6791429999999999E-2</v>
      </c>
      <c r="X9270">
        <v>0.9976313</v>
      </c>
      <c r="Y9270">
        <v>-3.2363410000000002E-2</v>
      </c>
      <c r="Z9270">
        <v>1.3765589999999999E-4</v>
      </c>
      <c r="AA9270">
        <v>0.99947609999999998</v>
      </c>
      <c r="AB9270">
        <v>15</v>
      </c>
      <c r="AC9270">
        <v>9.2852999999999906</v>
      </c>
      <c r="AD9270">
        <v>-1.121918728589</v>
      </c>
      <c r="AE9270">
        <v>0.514199999999988</v>
      </c>
      <c r="AF9270">
        <v>-0.30355999143909201</v>
      </c>
      <c r="AG9270">
        <v>-1.121918728589</v>
      </c>
      <c r="AH9270">
        <v>9.1610893515497303</v>
      </c>
      <c r="AI9270">
        <v>96.978206107165406</v>
      </c>
      <c r="AJ9270">
        <v>91.897846887114895</v>
      </c>
      <c r="AK9270">
        <v>9.2345226411027408</v>
      </c>
      <c r="AL9270">
        <v>93.829718225965607</v>
      </c>
      <c r="AM9270">
        <v>89.055277652938599</v>
      </c>
      <c r="AN9270">
        <v>0.99999996980851802</v>
      </c>
    </row>
    <row r="9271" spans="1:40" x14ac:dyDescent="0.25">
      <c r="A9271" t="str">
        <f>"20190303154401156"</f>
        <v>20190303154401156</v>
      </c>
      <c r="B9271" t="str">
        <f>"1551599041149677"</f>
        <v>1551599041149677</v>
      </c>
      <c r="C9271" t="s">
        <v>40</v>
      </c>
      <c r="D9271">
        <v>5.3102679999999998</v>
      </c>
      <c r="E9271">
        <v>0.48165940000000002</v>
      </c>
      <c r="F9271" t="s">
        <v>42</v>
      </c>
      <c r="G9271">
        <v>-115.0453</v>
      </c>
      <c r="H9271">
        <v>1.020804</v>
      </c>
      <c r="I9271">
        <v>138.33279999999999</v>
      </c>
      <c r="J9271">
        <v>-115.7641</v>
      </c>
      <c r="K9271">
        <v>1.1220300000000001</v>
      </c>
      <c r="L9271">
        <v>138.2895</v>
      </c>
      <c r="M9271">
        <v>0.99951310000000004</v>
      </c>
      <c r="N9271">
        <v>-2.232951E-2</v>
      </c>
      <c r="O9271">
        <v>2.1797210000000001E-2</v>
      </c>
      <c r="P9271">
        <v>0.99601099999999998</v>
      </c>
      <c r="Q9271">
        <v>-8.9050770000000001E-2</v>
      </c>
      <c r="R9271">
        <v>5.6812429999999999E-3</v>
      </c>
      <c r="S9271">
        <v>2.979355</v>
      </c>
      <c r="T9271">
        <v>-0.3554137</v>
      </c>
      <c r="U9271">
        <v>0.160553</v>
      </c>
      <c r="V9271">
        <v>1.5996E-2</v>
      </c>
      <c r="W9271">
        <v>-6.6800209999999999E-2</v>
      </c>
      <c r="X9271">
        <v>0.99763820000000003</v>
      </c>
      <c r="Y9271">
        <v>-3.186054E-2</v>
      </c>
      <c r="Z9271">
        <v>1.462686E-4</v>
      </c>
      <c r="AA9271">
        <v>0.9994923</v>
      </c>
      <c r="AB9271">
        <v>14</v>
      </c>
      <c r="AC9271">
        <v>0.71880000000000099</v>
      </c>
      <c r="AD9271">
        <v>-0.101225999999999</v>
      </c>
      <c r="AE9271">
        <v>4.3299999999987897E-2</v>
      </c>
      <c r="AF9271">
        <v>-2.70828005900857E-2</v>
      </c>
      <c r="AG9271">
        <v>-0.101225999999999</v>
      </c>
      <c r="AH9271">
        <v>0.70562969283932198</v>
      </c>
      <c r="AI9271">
        <v>98.157735126054007</v>
      </c>
      <c r="AJ9271">
        <v>92.197992667147901</v>
      </c>
      <c r="AK9271">
        <v>0.713367678396154</v>
      </c>
      <c r="AL9271">
        <v>93.8302220664728</v>
      </c>
      <c r="AM9271">
        <v>89.081405702517898</v>
      </c>
      <c r="AN9271">
        <v>1.0000000590856399</v>
      </c>
    </row>
    <row r="9272" spans="1:40" x14ac:dyDescent="0.25">
      <c r="A9272" t="str">
        <f>"20190303154401182"</f>
        <v>20190303154401182</v>
      </c>
      <c r="B9272" t="str">
        <f>"1551599041169196"</f>
        <v>1551599041169196</v>
      </c>
      <c r="C9272" t="s">
        <v>40</v>
      </c>
      <c r="D9272">
        <v>5.4014350000000002</v>
      </c>
      <c r="E9272">
        <v>0.48161520000000002</v>
      </c>
      <c r="F9272" t="s">
        <v>42</v>
      </c>
      <c r="G9272">
        <v>-114.9213</v>
      </c>
      <c r="H9272">
        <v>1.0210269999999999</v>
      </c>
      <c r="I9272">
        <v>138.33500000000001</v>
      </c>
      <c r="J9272">
        <v>-115.6045</v>
      </c>
      <c r="K9272">
        <v>1.122147</v>
      </c>
      <c r="L9272">
        <v>138.29239999999999</v>
      </c>
      <c r="M9272">
        <v>0.99951699999999999</v>
      </c>
      <c r="N9272">
        <v>-2.2619759999999999E-2</v>
      </c>
      <c r="O9272">
        <v>2.1319850000000001E-2</v>
      </c>
      <c r="P9272">
        <v>0.99609239999999999</v>
      </c>
      <c r="Q9272">
        <v>-8.8171410000000006E-2</v>
      </c>
      <c r="R9272">
        <v>5.1131340000000001E-3</v>
      </c>
      <c r="S9272">
        <v>2.979187</v>
      </c>
      <c r="T9272">
        <v>-0.3570316</v>
      </c>
      <c r="U9272">
        <v>0.1607971</v>
      </c>
      <c r="V9272">
        <v>1.6094600000000001E-2</v>
      </c>
      <c r="W9272">
        <v>-6.5628800000000001E-2</v>
      </c>
      <c r="X9272">
        <v>0.99771430000000005</v>
      </c>
      <c r="Y9272">
        <v>-3.2413230000000001E-2</v>
      </c>
      <c r="Z9272">
        <v>2.3947549999999999E-4</v>
      </c>
      <c r="AA9272">
        <v>0.99947450000000004</v>
      </c>
      <c r="AB9272">
        <v>14</v>
      </c>
      <c r="AC9272">
        <v>0.68319999999999903</v>
      </c>
      <c r="AD9272">
        <v>-0.101119999999999</v>
      </c>
      <c r="AE9272">
        <v>4.2600000000021503E-2</v>
      </c>
      <c r="AF9272">
        <v>-2.7422455265540099E-2</v>
      </c>
      <c r="AG9272">
        <v>-0.101119999999999</v>
      </c>
      <c r="AH9272">
        <v>0.66934665554212902</v>
      </c>
      <c r="AI9272">
        <v>98.583770988978898</v>
      </c>
      <c r="AJ9272">
        <v>92.346038129090502</v>
      </c>
      <c r="AK9272">
        <v>0.67749700422822901</v>
      </c>
      <c r="AL9272">
        <v>93.762957822376094</v>
      </c>
      <c r="AM9272">
        <v>89.075814913577204</v>
      </c>
      <c r="AN9272">
        <v>0.99999999998154498</v>
      </c>
    </row>
    <row r="9273" spans="1:40" x14ac:dyDescent="0.25">
      <c r="A9273" t="str">
        <f>"20190303154401210"</f>
        <v>20190303154401210</v>
      </c>
      <c r="B9273" t="str">
        <f>"1551599041199452"</f>
        <v>1551599041199452</v>
      </c>
      <c r="C9273" t="s">
        <v>40</v>
      </c>
      <c r="D9273">
        <v>5.3631630000000001</v>
      </c>
      <c r="E9273">
        <v>0.48186639999999997</v>
      </c>
      <c r="F9273" t="s">
        <v>42</v>
      </c>
      <c r="G9273">
        <v>-114.78700000000001</v>
      </c>
      <c r="H9273">
        <v>1.0243340000000001</v>
      </c>
      <c r="I9273">
        <v>138.33619999999999</v>
      </c>
      <c r="J9273">
        <v>-115.438</v>
      </c>
      <c r="K9273">
        <v>1.122263</v>
      </c>
      <c r="L9273">
        <v>138.2953</v>
      </c>
      <c r="M9273">
        <v>0.99951849999999998</v>
      </c>
      <c r="N9273">
        <v>-2.2983170000000001E-2</v>
      </c>
      <c r="O9273">
        <v>2.0851270000000002E-2</v>
      </c>
      <c r="P9273">
        <v>0.9960521</v>
      </c>
      <c r="Q9273">
        <v>-8.8681499999999996E-2</v>
      </c>
      <c r="R9273">
        <v>3.9883949999999996E-3</v>
      </c>
      <c r="S9273">
        <v>2.9793850000000002</v>
      </c>
      <c r="T9273">
        <v>-0.35653439999999997</v>
      </c>
      <c r="U9273">
        <v>0.15963749999999999</v>
      </c>
      <c r="V9273">
        <v>1.6755659999999999E-2</v>
      </c>
      <c r="W9273">
        <v>-6.5776699999999994E-2</v>
      </c>
      <c r="X9273">
        <v>0.99769370000000002</v>
      </c>
      <c r="Y9273">
        <v>-3.2486229999999998E-2</v>
      </c>
      <c r="Z9273">
        <v>3.0427079999999999E-4</v>
      </c>
      <c r="AA9273">
        <v>0.99947209999999997</v>
      </c>
      <c r="AB9273">
        <v>14</v>
      </c>
      <c r="AC9273">
        <v>0.65099999999998204</v>
      </c>
      <c r="AD9273">
        <v>-9.7928999999999905E-2</v>
      </c>
      <c r="AE9273">
        <v>4.0899999999993497E-2</v>
      </c>
      <c r="AF9273">
        <v>-2.67112750059702E-2</v>
      </c>
      <c r="AG9273">
        <v>-9.7928999999999905E-2</v>
      </c>
      <c r="AH9273">
        <v>0.63734579416753001</v>
      </c>
      <c r="AI9273">
        <v>98.7277114451378</v>
      </c>
      <c r="AJ9273">
        <v>92.399871819579403</v>
      </c>
      <c r="AK9273">
        <v>0.645378371652231</v>
      </c>
      <c r="AL9273">
        <v>93.771450132352399</v>
      </c>
      <c r="AM9273">
        <v>89.037842619416907</v>
      </c>
      <c r="AN9273">
        <v>1.0000000227123</v>
      </c>
    </row>
    <row r="9274" spans="1:40" x14ac:dyDescent="0.25">
      <c r="A9274" t="str">
        <f>"20190303154401226"</f>
        <v>20190303154401226</v>
      </c>
      <c r="B9274" t="str">
        <f>"1551599041218973"</f>
        <v>1551599041218973</v>
      </c>
      <c r="C9274" t="s">
        <v>40</v>
      </c>
      <c r="D9274">
        <v>5.2784409999999999</v>
      </c>
      <c r="E9274">
        <v>0.52217159999999996</v>
      </c>
      <c r="F9274" t="s">
        <v>41</v>
      </c>
      <c r="G9274">
        <v>-106.0872</v>
      </c>
      <c r="H9274" s="1">
        <v>-1.9784820000000001E-6</v>
      </c>
      <c r="I9274">
        <v>138.77979999999999</v>
      </c>
      <c r="J9274">
        <v>-115.3389</v>
      </c>
      <c r="K9274">
        <v>1.122336</v>
      </c>
      <c r="L9274">
        <v>138.297</v>
      </c>
      <c r="M9274">
        <v>0.99951730000000005</v>
      </c>
      <c r="N9274">
        <v>-2.3274240000000002E-2</v>
      </c>
      <c r="O9274">
        <v>2.0585550000000001E-2</v>
      </c>
      <c r="P9274">
        <v>0.99584899999999998</v>
      </c>
      <c r="Q9274">
        <v>-9.1002050000000001E-2</v>
      </c>
      <c r="R9274">
        <v>1.9264169999999999E-3</v>
      </c>
      <c r="S9274">
        <v>2.9794459999999998</v>
      </c>
      <c r="T9274">
        <v>-0.35758699999999999</v>
      </c>
      <c r="U9274">
        <v>0.15437319999999999</v>
      </c>
      <c r="V9274">
        <v>1.8550179999999999E-2</v>
      </c>
      <c r="W9274">
        <v>-6.7811839999999998E-2</v>
      </c>
      <c r="X9274">
        <v>0.99752560000000001</v>
      </c>
      <c r="Y9274">
        <v>-3.099917E-2</v>
      </c>
      <c r="Z9274">
        <v>2.327757E-4</v>
      </c>
      <c r="AA9274">
        <v>0.99951939999999995</v>
      </c>
      <c r="AB9274">
        <v>14</v>
      </c>
      <c r="AC9274">
        <v>9.2516999999999996</v>
      </c>
      <c r="AD9274">
        <v>-1.122337978482</v>
      </c>
      <c r="AE9274">
        <v>0.48279999999999701</v>
      </c>
      <c r="AF9274">
        <v>-0.28796835386107</v>
      </c>
      <c r="AG9274">
        <v>-1.122337978482</v>
      </c>
      <c r="AH9274">
        <v>9.1257456490239104</v>
      </c>
      <c r="AI9274">
        <v>97.007910374941005</v>
      </c>
      <c r="AJ9274">
        <v>91.807402788305097</v>
      </c>
      <c r="AK9274">
        <v>9.1990109229985908</v>
      </c>
      <c r="AL9274">
        <v>93.888316398541207</v>
      </c>
      <c r="AM9274">
        <v>88.934639340329696</v>
      </c>
      <c r="AN9274">
        <v>0.99999993873878701</v>
      </c>
    </row>
    <row r="9275" spans="1:40" x14ac:dyDescent="0.25">
      <c r="A9275" t="str">
        <f>"20190303154401246"</f>
        <v>20190303154401246</v>
      </c>
      <c r="B9275" t="str">
        <f>"1551599041239469"</f>
        <v>1551599041239469</v>
      </c>
      <c r="C9275" t="s">
        <v>40</v>
      </c>
      <c r="D9275">
        <v>5.3893789999999999</v>
      </c>
      <c r="E9275">
        <v>0.52868549999999903</v>
      </c>
      <c r="F9275" t="s">
        <v>42</v>
      </c>
      <c r="G9275">
        <v>-114.5746</v>
      </c>
      <c r="H9275">
        <v>1.0033030000000001</v>
      </c>
      <c r="I9275">
        <v>138.25190000000001</v>
      </c>
      <c r="J9275">
        <v>-115.22580000000001</v>
      </c>
      <c r="K9275">
        <v>1.1224240000000001</v>
      </c>
      <c r="L9275">
        <v>138.29900000000001</v>
      </c>
      <c r="M9275">
        <v>0.99951389999999996</v>
      </c>
      <c r="N9275">
        <v>-2.3673960000000001E-2</v>
      </c>
      <c r="O9275">
        <v>2.0288339999999998E-2</v>
      </c>
      <c r="P9275">
        <v>0.99548570000000003</v>
      </c>
      <c r="Q9275">
        <v>-9.4913739999999996E-2</v>
      </c>
      <c r="R9275">
        <v>-1.6914520000000001E-4</v>
      </c>
      <c r="S9275">
        <v>2.9705509999999999</v>
      </c>
      <c r="T9275">
        <v>-0.4626594</v>
      </c>
      <c r="U9275">
        <v>-0.1754608</v>
      </c>
      <c r="V9275">
        <v>2.0343880000000002E-2</v>
      </c>
      <c r="W9275">
        <v>-7.133283E-2</v>
      </c>
      <c r="X9275">
        <v>0.9972451</v>
      </c>
      <c r="Y9275">
        <v>7.7953830000000002E-2</v>
      </c>
      <c r="Z9275">
        <v>-9.6201919999999996E-3</v>
      </c>
      <c r="AA9275">
        <v>0.99691059999999998</v>
      </c>
      <c r="AB9275">
        <v>13</v>
      </c>
      <c r="AC9275">
        <v>0.651200000000002</v>
      </c>
      <c r="AD9275">
        <v>-0.119121</v>
      </c>
      <c r="AE9275">
        <v>-4.7100000000000301E-2</v>
      </c>
      <c r="AF9275">
        <v>5.8363008468441398E-2</v>
      </c>
      <c r="AG9275">
        <v>-0.119121</v>
      </c>
      <c r="AH9275">
        <v>0.62916662334031903</v>
      </c>
      <c r="AI9275">
        <v>100.67621447031</v>
      </c>
      <c r="AJ9275">
        <v>84.700272176299507</v>
      </c>
      <c r="AK9275">
        <v>0.64299820631471905</v>
      </c>
      <c r="AL9275">
        <v>94.090544076800697</v>
      </c>
      <c r="AM9275">
        <v>88.831323605982604</v>
      </c>
      <c r="AN9275">
        <v>1.0000000177816299</v>
      </c>
    </row>
    <row r="9276" spans="1:40" x14ac:dyDescent="0.25">
      <c r="A9276" t="str">
        <f>"20190303154401268"</f>
        <v>20190303154401268</v>
      </c>
      <c r="B9276" t="str">
        <f>"1551599041258989"</f>
        <v>1551599041258989</v>
      </c>
      <c r="C9276" t="s">
        <v>40</v>
      </c>
      <c r="D9276">
        <v>5.2709489999999999</v>
      </c>
      <c r="E9276">
        <v>0.53237609999999902</v>
      </c>
      <c r="F9276" t="s">
        <v>42</v>
      </c>
      <c r="G9276">
        <v>-114.47199999999999</v>
      </c>
      <c r="H9276">
        <v>0.97960510000000001</v>
      </c>
      <c r="I9276">
        <v>138.2389</v>
      </c>
      <c r="J9276">
        <v>-115.104</v>
      </c>
      <c r="K9276">
        <v>1.1225240000000001</v>
      </c>
      <c r="L9276">
        <v>138.30099999999999</v>
      </c>
      <c r="M9276">
        <v>0.99950870000000003</v>
      </c>
      <c r="N9276">
        <v>-2.4154559999999999E-2</v>
      </c>
      <c r="O9276">
        <v>1.9971940000000001E-2</v>
      </c>
      <c r="P9276">
        <v>0.99531409999999998</v>
      </c>
      <c r="Q9276">
        <v>-9.6679719999999997E-2</v>
      </c>
      <c r="R9276">
        <v>-1.722901E-3</v>
      </c>
      <c r="S9276">
        <v>2.960083</v>
      </c>
      <c r="T9276">
        <v>-0.56087640000000005</v>
      </c>
      <c r="U9276">
        <v>-0.235733</v>
      </c>
      <c r="V9276">
        <v>2.158206E-2</v>
      </c>
      <c r="W9276">
        <v>-7.2623069999999998E-2</v>
      </c>
      <c r="X9276">
        <v>0.99712590000000001</v>
      </c>
      <c r="Y9276">
        <v>9.7074779999999999E-2</v>
      </c>
      <c r="Z9276">
        <v>-1.35555E-2</v>
      </c>
      <c r="AA9276">
        <v>0.99518479999999998</v>
      </c>
      <c r="AB9276">
        <v>13</v>
      </c>
      <c r="AC9276">
        <v>0.63199999999999001</v>
      </c>
      <c r="AD9276">
        <v>-0.14291889999999999</v>
      </c>
      <c r="AE9276">
        <v>-6.2100000000015101E-2</v>
      </c>
      <c r="AF9276">
        <v>7.1111803707050905E-2</v>
      </c>
      <c r="AG9276">
        <v>-0.14291889999999999</v>
      </c>
      <c r="AH9276">
        <v>0.60023200496046902</v>
      </c>
      <c r="AI9276">
        <v>103.303389607855</v>
      </c>
      <c r="AJ9276">
        <v>83.243442075492695</v>
      </c>
      <c r="AK9276">
        <v>0.62109673995485204</v>
      </c>
      <c r="AL9276">
        <v>94.164661797486303</v>
      </c>
      <c r="AM9276">
        <v>88.760068406169296</v>
      </c>
      <c r="AN9276">
        <v>0.99999997803043905</v>
      </c>
    </row>
    <row r="9277" spans="1:40" x14ac:dyDescent="0.25">
      <c r="A9277" t="str">
        <f>"20190303154401290"</f>
        <v>20190303154401290</v>
      </c>
      <c r="B9277" t="str">
        <f>"1551599041279013"</f>
        <v>1551599041279013</v>
      </c>
      <c r="C9277" t="s">
        <v>40</v>
      </c>
      <c r="D9277">
        <v>5.3282740000000004</v>
      </c>
      <c r="E9277">
        <v>0.53332630000000003</v>
      </c>
      <c r="F9277" t="s">
        <v>42</v>
      </c>
      <c r="G9277">
        <v>-114.36190000000001</v>
      </c>
      <c r="H9277">
        <v>0.97593549999999996</v>
      </c>
      <c r="I9277">
        <v>138.23330000000001</v>
      </c>
      <c r="J9277">
        <v>-114.9777</v>
      </c>
      <c r="K9277">
        <v>1.1226149999999999</v>
      </c>
      <c r="L9277">
        <v>138.3031</v>
      </c>
      <c r="M9277">
        <v>0.99950300000000003</v>
      </c>
      <c r="N9277">
        <v>-2.4650450000000001E-2</v>
      </c>
      <c r="O9277">
        <v>1.964809E-2</v>
      </c>
      <c r="P9277">
        <v>0.99526490000000001</v>
      </c>
      <c r="Q9277">
        <v>-9.7162689999999996E-2</v>
      </c>
      <c r="R9277">
        <v>-2.6976690000000002E-3</v>
      </c>
      <c r="S9277">
        <v>2.9569239999999999</v>
      </c>
      <c r="T9277">
        <v>-0.58408689999999996</v>
      </c>
      <c r="U9277">
        <v>-0.26991270000000001</v>
      </c>
      <c r="V9277">
        <v>2.223605E-2</v>
      </c>
      <c r="W9277">
        <v>-7.2612170000000004E-2</v>
      </c>
      <c r="X9277">
        <v>0.99711229999999995</v>
      </c>
      <c r="Y9277">
        <v>0.1078378</v>
      </c>
      <c r="Z9277">
        <v>-1.5231450000000001E-2</v>
      </c>
      <c r="AA9277">
        <v>0.99405180000000004</v>
      </c>
      <c r="AB9277">
        <v>13</v>
      </c>
      <c r="AC9277">
        <v>0.61579999999999202</v>
      </c>
      <c r="AD9277">
        <v>-0.14667949999999899</v>
      </c>
      <c r="AE9277">
        <v>-6.9799999999986498E-2</v>
      </c>
      <c r="AF9277">
        <v>7.7545660092731603E-2</v>
      </c>
      <c r="AG9277">
        <v>-0.14667949999999899</v>
      </c>
      <c r="AH9277">
        <v>0.58172315747134096</v>
      </c>
      <c r="AI9277">
        <v>104.032775903241</v>
      </c>
      <c r="AJ9277">
        <v>82.407043152817096</v>
      </c>
      <c r="AK9277">
        <v>0.60492151313859999</v>
      </c>
      <c r="AL9277">
        <v>94.164035720594796</v>
      </c>
      <c r="AM9277">
        <v>88.722490250285702</v>
      </c>
      <c r="AN9277">
        <v>0.99999995398149899</v>
      </c>
    </row>
    <row r="9278" spans="1:40" x14ac:dyDescent="0.25">
      <c r="A9278" t="str">
        <f>"20190303154401313"</f>
        <v>20190303154401313</v>
      </c>
      <c r="B9278" t="str">
        <f>"1551599041309269"</f>
        <v>1551599041309269</v>
      </c>
      <c r="C9278" t="s">
        <v>40</v>
      </c>
      <c r="D9278">
        <v>5.2391769999999998</v>
      </c>
      <c r="E9278">
        <v>0.53500579999999998</v>
      </c>
      <c r="F9278" t="s">
        <v>42</v>
      </c>
      <c r="G9278">
        <v>-114.25360000000001</v>
      </c>
      <c r="H9278">
        <v>0.97393070000000004</v>
      </c>
      <c r="I9278">
        <v>138.23429999999999</v>
      </c>
      <c r="J9278">
        <v>-114.8593</v>
      </c>
      <c r="K9278">
        <v>1.122671</v>
      </c>
      <c r="L9278">
        <v>138.30510000000001</v>
      </c>
      <c r="M9278">
        <v>0.999498</v>
      </c>
      <c r="N9278">
        <v>-2.5087870000000002E-2</v>
      </c>
      <c r="O9278">
        <v>1.9348899999999999E-2</v>
      </c>
      <c r="P9278">
        <v>0.99521289999999996</v>
      </c>
      <c r="Q9278">
        <v>-9.7684729999999997E-2</v>
      </c>
      <c r="R9278">
        <v>-3.0824419999999999E-3</v>
      </c>
      <c r="S9278">
        <v>2.9542999999999999</v>
      </c>
      <c r="T9278">
        <v>-0.60662059999999995</v>
      </c>
      <c r="U9278">
        <v>-0.28068539999999997</v>
      </c>
      <c r="V9278">
        <v>2.2323740000000002E-2</v>
      </c>
      <c r="W9278">
        <v>-7.2698600000000002E-2</v>
      </c>
      <c r="X9278">
        <v>0.99710410000000005</v>
      </c>
      <c r="Y9278">
        <v>0.1109416</v>
      </c>
      <c r="Z9278">
        <v>-1.610313E-2</v>
      </c>
      <c r="AA9278">
        <v>0.99369649999999998</v>
      </c>
      <c r="AB9278">
        <v>12</v>
      </c>
      <c r="AC9278">
        <v>0.60569999999999802</v>
      </c>
      <c r="AD9278">
        <v>-0.14874029999999999</v>
      </c>
      <c r="AE9278">
        <v>-7.0800000000019694E-2</v>
      </c>
      <c r="AF9278">
        <v>7.7877098936848202E-2</v>
      </c>
      <c r="AG9278">
        <v>-0.14874029999999999</v>
      </c>
      <c r="AH9278">
        <v>0.57028933749653099</v>
      </c>
      <c r="AI9278">
        <v>104.489236329528</v>
      </c>
      <c r="AJ9278">
        <v>82.223947941659503</v>
      </c>
      <c r="AK9278">
        <v>0.59449007379866503</v>
      </c>
      <c r="AL9278">
        <v>94.169000679315204</v>
      </c>
      <c r="AM9278">
        <v>88.717443403381694</v>
      </c>
      <c r="AN9278">
        <v>1.0000000110231699</v>
      </c>
    </row>
    <row r="9279" spans="1:40" x14ac:dyDescent="0.25">
      <c r="A9279" t="str">
        <f>"20190303154401342"</f>
        <v>20190303154401342</v>
      </c>
      <c r="B9279" t="str">
        <f>"1551599041329765"</f>
        <v>1551599041329765</v>
      </c>
      <c r="C9279" t="s">
        <v>40</v>
      </c>
      <c r="D9279">
        <v>5.3355069999999998</v>
      </c>
      <c r="E9279">
        <v>0.53644950000000002</v>
      </c>
      <c r="F9279" t="s">
        <v>42</v>
      </c>
      <c r="G9279">
        <v>-114.1465</v>
      </c>
      <c r="H9279">
        <v>0.97450630000000005</v>
      </c>
      <c r="I9279">
        <v>138.2337</v>
      </c>
      <c r="J9279">
        <v>-114.71429999999999</v>
      </c>
      <c r="K9279">
        <v>1.1229530000000001</v>
      </c>
      <c r="L9279">
        <v>138.3074</v>
      </c>
      <c r="M9279">
        <v>0.99946970000000002</v>
      </c>
      <c r="N9279">
        <v>-2.644676E-2</v>
      </c>
      <c r="O9279">
        <v>1.89988E-2</v>
      </c>
      <c r="P9279">
        <v>0.99511609999999995</v>
      </c>
      <c r="Q9279">
        <v>-9.8652779999999995E-2</v>
      </c>
      <c r="R9279">
        <v>-3.431595E-3</v>
      </c>
      <c r="S9279">
        <v>2.9532620000000001</v>
      </c>
      <c r="T9279">
        <v>-0.61385849999999997</v>
      </c>
      <c r="U9279">
        <v>-0.29545589999999999</v>
      </c>
      <c r="V9279">
        <v>2.232702E-2</v>
      </c>
      <c r="W9279">
        <v>-7.2312299999999996E-2</v>
      </c>
      <c r="X9279">
        <v>0.99713209999999997</v>
      </c>
      <c r="Y9279">
        <v>0.1153706</v>
      </c>
      <c r="Z9279">
        <v>-1.678466E-2</v>
      </c>
      <c r="AA9279">
        <v>0.99318070000000003</v>
      </c>
      <c r="AB9279">
        <v>12</v>
      </c>
      <c r="AC9279">
        <v>0.56779999999999098</v>
      </c>
      <c r="AD9279">
        <v>-0.14844669999999999</v>
      </c>
      <c r="AE9279">
        <v>-7.3700000000002305E-2</v>
      </c>
      <c r="AF9279">
        <v>7.9157092353043093E-2</v>
      </c>
      <c r="AG9279">
        <v>-0.14844669999999999</v>
      </c>
      <c r="AH9279">
        <v>0.53062825305175898</v>
      </c>
      <c r="AI9279">
        <v>105.466485323116</v>
      </c>
      <c r="AJ9279">
        <v>81.515403070011502</v>
      </c>
      <c r="AK9279">
        <v>0.55665843292582995</v>
      </c>
      <c r="AL9279">
        <v>94.146808979219898</v>
      </c>
      <c r="AM9279">
        <v>88.717291029984295</v>
      </c>
      <c r="AN9279">
        <v>0.99999999470189005</v>
      </c>
    </row>
    <row r="9280" spans="1:40" x14ac:dyDescent="0.25">
      <c r="A9280" t="str">
        <f>"20190303154401361"</f>
        <v>20190303154401361</v>
      </c>
      <c r="B9280" t="str">
        <f>"1551599041349286"</f>
        <v>1551599041349286</v>
      </c>
      <c r="C9280" t="s">
        <v>40</v>
      </c>
      <c r="D9280">
        <v>5.2056089999999999</v>
      </c>
      <c r="E9280">
        <v>0.53690150000000003</v>
      </c>
      <c r="F9280" t="s">
        <v>42</v>
      </c>
      <c r="G9280">
        <v>-113.95229999999999</v>
      </c>
      <c r="H9280">
        <v>0.96291280000000001</v>
      </c>
      <c r="I9280">
        <v>138.2278</v>
      </c>
      <c r="J9280">
        <v>-114.6206</v>
      </c>
      <c r="K9280">
        <v>1.1231979999999999</v>
      </c>
      <c r="L9280">
        <v>138.30889999999999</v>
      </c>
      <c r="M9280">
        <v>0.99944109999999997</v>
      </c>
      <c r="N9280">
        <v>-2.765534E-2</v>
      </c>
      <c r="O9280">
        <v>1.8776870000000001E-2</v>
      </c>
      <c r="P9280">
        <v>0.99517800000000001</v>
      </c>
      <c r="Q9280">
        <v>-9.8002119999999998E-2</v>
      </c>
      <c r="R9280">
        <v>-4.0328780000000002E-3</v>
      </c>
      <c r="S9280">
        <v>2.9521790000000001</v>
      </c>
      <c r="T9280">
        <v>-0.6200736</v>
      </c>
      <c r="U9280">
        <v>-0.30833440000000001</v>
      </c>
      <c r="V9280">
        <v>2.2712240000000002E-2</v>
      </c>
      <c r="W9280">
        <v>-7.0453959999999996E-2</v>
      </c>
      <c r="X9280">
        <v>0.99725649999999999</v>
      </c>
      <c r="Y9280">
        <v>0.1193096</v>
      </c>
      <c r="Z9280">
        <v>-1.7415440000000001E-2</v>
      </c>
      <c r="AA9280">
        <v>0.99270429999999998</v>
      </c>
      <c r="AB9280">
        <v>11</v>
      </c>
      <c r="AC9280">
        <v>0.668300000000002</v>
      </c>
      <c r="AD9280">
        <v>-0.16028519999999899</v>
      </c>
      <c r="AE9280">
        <v>-8.1099999999992095E-2</v>
      </c>
      <c r="AF9280">
        <v>8.8615590786808501E-2</v>
      </c>
      <c r="AG9280">
        <v>-0.16028519999999899</v>
      </c>
      <c r="AH9280">
        <v>0.63089425466290805</v>
      </c>
      <c r="AI9280">
        <v>104.12198621354101</v>
      </c>
      <c r="AJ9280">
        <v>82.004525462779498</v>
      </c>
      <c r="AK9280">
        <v>0.65694111519694098</v>
      </c>
      <c r="AL9280">
        <v>94.040061317635804</v>
      </c>
      <c r="AM9280">
        <v>88.695330064986905</v>
      </c>
      <c r="AN9280">
        <v>1.00000006655887</v>
      </c>
    </row>
    <row r="9281" spans="1:40" x14ac:dyDescent="0.25">
      <c r="A9281" t="str">
        <f>"20190303154401403"</f>
        <v>20190303154401403</v>
      </c>
      <c r="B9281" t="str">
        <f>"1551599041399569"</f>
        <v>1551599041399569</v>
      </c>
      <c r="C9281" t="s">
        <v>40</v>
      </c>
      <c r="D9281">
        <v>5.3308059999999999</v>
      </c>
      <c r="E9281">
        <v>0.53800369999999997</v>
      </c>
      <c r="F9281" t="s">
        <v>42</v>
      </c>
      <c r="G9281">
        <v>-113.8578</v>
      </c>
      <c r="H9281">
        <v>0.96482789999999996</v>
      </c>
      <c r="I9281">
        <v>138.2277</v>
      </c>
      <c r="J9281">
        <v>-114.4315</v>
      </c>
      <c r="K9281">
        <v>1.1233930000000001</v>
      </c>
      <c r="L9281">
        <v>138.31190000000001</v>
      </c>
      <c r="M9281">
        <v>0.99940079999999998</v>
      </c>
      <c r="N9281">
        <v>-2.937681E-2</v>
      </c>
      <c r="O9281">
        <v>1.8307480000000001E-2</v>
      </c>
      <c r="P9281">
        <v>0.99567220000000001</v>
      </c>
      <c r="Q9281">
        <v>-9.2936420000000006E-2</v>
      </c>
      <c r="R9281">
        <v>-4.3214579999999999E-4</v>
      </c>
      <c r="S9281">
        <v>2.952896</v>
      </c>
      <c r="T9281">
        <v>-0.61313149999999905</v>
      </c>
      <c r="U9281">
        <v>-0.314422599999999</v>
      </c>
      <c r="V9281">
        <v>1.865764E-2</v>
      </c>
      <c r="W9281">
        <v>-6.3654840000000004E-2</v>
      </c>
      <c r="X9281">
        <v>0.9977975</v>
      </c>
      <c r="Y9281">
        <v>0.120868</v>
      </c>
      <c r="Z9281">
        <v>-1.740421E-2</v>
      </c>
      <c r="AA9281">
        <v>0.99251599999999995</v>
      </c>
      <c r="AB9281">
        <v>11</v>
      </c>
      <c r="AC9281">
        <v>0.57370000000000199</v>
      </c>
      <c r="AD9281">
        <v>-0.15856509999999999</v>
      </c>
      <c r="AE9281">
        <v>-8.4200000000009795E-2</v>
      </c>
      <c r="AF9281">
        <v>8.81048621510023E-2</v>
      </c>
      <c r="AG9281">
        <v>-0.15856509999999999</v>
      </c>
      <c r="AH9281">
        <v>0.53225888130048404</v>
      </c>
      <c r="AI9281">
        <v>106.378607527906</v>
      </c>
      <c r="AJ9281">
        <v>80.601050293788006</v>
      </c>
      <c r="AK9281">
        <v>0.56232097097289502</v>
      </c>
      <c r="AL9281">
        <v>93.649621374442006</v>
      </c>
      <c r="AM9281">
        <v>88.928761133594094</v>
      </c>
      <c r="AN9281">
        <v>0.99999994859602104</v>
      </c>
    </row>
    <row r="9282" spans="1:40" x14ac:dyDescent="0.25">
      <c r="A9282" t="str">
        <f>"20190303154401425"</f>
        <v>20190303154401425</v>
      </c>
      <c r="B9282" t="str">
        <f>"1551599041419089"</f>
        <v>1551599041419089</v>
      </c>
      <c r="C9282" t="s">
        <v>40</v>
      </c>
      <c r="D9282">
        <v>5.336576</v>
      </c>
      <c r="E9282">
        <v>0.53777459999999999</v>
      </c>
      <c r="F9282" t="s">
        <v>42</v>
      </c>
      <c r="G9282">
        <v>-113.6755</v>
      </c>
      <c r="H9282">
        <v>0.96953089999999997</v>
      </c>
      <c r="I9282">
        <v>138.2319</v>
      </c>
      <c r="J9282">
        <v>-114.3271</v>
      </c>
      <c r="K9282">
        <v>1.123135</v>
      </c>
      <c r="L9282">
        <v>138.3135</v>
      </c>
      <c r="M9282">
        <v>0.99941380000000002</v>
      </c>
      <c r="N9282">
        <v>-2.9111209999999998E-2</v>
      </c>
      <c r="O9282">
        <v>1.8022079999999999E-2</v>
      </c>
      <c r="P9282">
        <v>0.99547399999999997</v>
      </c>
      <c r="Q9282">
        <v>-9.4997129999999999E-2</v>
      </c>
      <c r="R9282">
        <v>2.6952460000000001E-3</v>
      </c>
      <c r="S9282">
        <v>2.9567410000000001</v>
      </c>
      <c r="T9282">
        <v>-0.60174680000000003</v>
      </c>
      <c r="U9282">
        <v>-0.3124847</v>
      </c>
      <c r="V9282">
        <v>1.524025E-2</v>
      </c>
      <c r="W9282">
        <v>-6.5983710000000001E-2</v>
      </c>
      <c r="X9282">
        <v>0.99770429999999999</v>
      </c>
      <c r="Y9282">
        <v>0.1199528</v>
      </c>
      <c r="Z9282">
        <v>-1.692395E-2</v>
      </c>
      <c r="AA9282">
        <v>0.99263539999999995</v>
      </c>
      <c r="AB9282">
        <v>10</v>
      </c>
      <c r="AC9282">
        <v>0.65160000000000196</v>
      </c>
      <c r="AD9282">
        <v>-0.15360409999999899</v>
      </c>
      <c r="AE9282">
        <v>-8.1600000000008693E-2</v>
      </c>
      <c r="AF9282">
        <v>8.8493227926546403E-2</v>
      </c>
      <c r="AG9282">
        <v>-0.15360409999999899</v>
      </c>
      <c r="AH9282">
        <v>0.61630344222364697</v>
      </c>
      <c r="AI9282">
        <v>103.85838532650899</v>
      </c>
      <c r="AJ9282">
        <v>81.828914488114705</v>
      </c>
      <c r="AK9282">
        <v>0.64129182422855302</v>
      </c>
      <c r="AL9282">
        <v>93.783336868266503</v>
      </c>
      <c r="AM9282">
        <v>89.124856836900804</v>
      </c>
      <c r="AN9282">
        <v>0.99999999272195805</v>
      </c>
    </row>
    <row r="9283" spans="1:40" x14ac:dyDescent="0.25">
      <c r="A9283" t="str">
        <f>"20190303154401450"</f>
        <v>20190303154401450</v>
      </c>
      <c r="B9283" t="str">
        <f>"1551599041439586"</f>
        <v>1551599041439586</v>
      </c>
      <c r="C9283" t="s">
        <v>40</v>
      </c>
      <c r="D9283">
        <v>5.3876140000000001</v>
      </c>
      <c r="E9283">
        <v>0.53753490000000004</v>
      </c>
      <c r="F9283" t="s">
        <v>42</v>
      </c>
      <c r="G9283">
        <v>-113.587</v>
      </c>
      <c r="H9283">
        <v>0.96922160000000002</v>
      </c>
      <c r="I9283">
        <v>138.2381</v>
      </c>
      <c r="J9283">
        <v>-114.2235</v>
      </c>
      <c r="K9283">
        <v>1.1228209999999901</v>
      </c>
      <c r="L9283">
        <v>138.3151</v>
      </c>
      <c r="M9283">
        <v>0.99943979999999999</v>
      </c>
      <c r="N9283">
        <v>-2.8384980000000001E-2</v>
      </c>
      <c r="O9283">
        <v>1.7732649999999999E-2</v>
      </c>
      <c r="P9283">
        <v>0.9952493</v>
      </c>
      <c r="Q9283">
        <v>-9.7196879999999999E-2</v>
      </c>
      <c r="R9283">
        <v>5.6447939999999999E-3</v>
      </c>
      <c r="S9283">
        <v>2.9558110000000002</v>
      </c>
      <c r="T9283">
        <v>-0.61467130000000003</v>
      </c>
      <c r="U9283">
        <v>-0.301178</v>
      </c>
      <c r="V9283">
        <v>1.1995550000000001E-2</v>
      </c>
      <c r="W9283">
        <v>-6.8911970000000003E-2</v>
      </c>
      <c r="X9283">
        <v>0.99755059999999995</v>
      </c>
      <c r="Y9283">
        <v>0.1159198</v>
      </c>
      <c r="Z9283">
        <v>-1.67076E-2</v>
      </c>
      <c r="AA9283">
        <v>0.99311799999999995</v>
      </c>
      <c r="AB9283">
        <v>10</v>
      </c>
      <c r="AC9283">
        <v>0.63649999999999796</v>
      </c>
      <c r="AD9283">
        <v>-0.153599399999999</v>
      </c>
      <c r="AE9283">
        <v>-7.6999999999998098E-2</v>
      </c>
      <c r="AF9283">
        <v>8.3487515382669894E-2</v>
      </c>
      <c r="AG9283">
        <v>-0.153599399999999</v>
      </c>
      <c r="AH9283">
        <v>0.60056459332165801</v>
      </c>
      <c r="AI9283">
        <v>104.215259283473</v>
      </c>
      <c r="AJ9283">
        <v>82.085745867996593</v>
      </c>
      <c r="AK9283">
        <v>0.62549242334079502</v>
      </c>
      <c r="AL9283">
        <v>93.951496868795303</v>
      </c>
      <c r="AM9283">
        <v>89.311051225815405</v>
      </c>
      <c r="AN9283">
        <v>0.99999997619472103</v>
      </c>
    </row>
    <row r="9284" spans="1:40" x14ac:dyDescent="0.25">
      <c r="A9284" t="str">
        <f>"20190303154401471"</f>
        <v>20190303154401471</v>
      </c>
      <c r="B9284" t="str">
        <f>"1551599041459105"</f>
        <v>1551599041459105</v>
      </c>
      <c r="C9284" t="s">
        <v>40</v>
      </c>
      <c r="D9284">
        <v>5.2560769999999897</v>
      </c>
      <c r="E9284">
        <v>0.536999</v>
      </c>
      <c r="F9284" t="s">
        <v>42</v>
      </c>
      <c r="G9284">
        <v>-113.4997</v>
      </c>
      <c r="H9284">
        <v>0.96921970000000002</v>
      </c>
      <c r="I9284">
        <v>138.2439</v>
      </c>
      <c r="J9284">
        <v>-114.1289</v>
      </c>
      <c r="K9284">
        <v>1.1226449999999999</v>
      </c>
      <c r="L9284">
        <v>138.31639999999999</v>
      </c>
      <c r="M9284">
        <v>0.99946120000000005</v>
      </c>
      <c r="N9284">
        <v>-2.7788159999999999E-2</v>
      </c>
      <c r="O9284">
        <v>1.7467050000000001E-2</v>
      </c>
      <c r="P9284">
        <v>0.99543079999999995</v>
      </c>
      <c r="Q9284">
        <v>-9.5135700000000004E-2</v>
      </c>
      <c r="R9284">
        <v>8.1652500000000006E-3</v>
      </c>
      <c r="S9284">
        <v>2.954742</v>
      </c>
      <c r="T9284">
        <v>-0.62702040000000003</v>
      </c>
      <c r="U9284">
        <v>-0.2903442</v>
      </c>
      <c r="V9284">
        <v>9.2138919999999996E-3</v>
      </c>
      <c r="W9284">
        <v>-6.7440230000000004E-2</v>
      </c>
      <c r="X9284">
        <v>0.99768080000000003</v>
      </c>
      <c r="Y9284">
        <v>0.11207</v>
      </c>
      <c r="Z9284">
        <v>-1.6491570000000001E-2</v>
      </c>
      <c r="AA9284">
        <v>0.99356350000000004</v>
      </c>
      <c r="AB9284">
        <v>10</v>
      </c>
      <c r="AC9284">
        <v>0.62919999999999698</v>
      </c>
      <c r="AD9284">
        <v>-0.15342529999999999</v>
      </c>
      <c r="AE9284">
        <v>-7.2499999999990905E-2</v>
      </c>
      <c r="AF9284">
        <v>7.8856182276628606E-2</v>
      </c>
      <c r="AG9284">
        <v>-0.15342529999999999</v>
      </c>
      <c r="AH9284">
        <v>0.59303776739971903</v>
      </c>
      <c r="AI9284">
        <v>104.38372464960899</v>
      </c>
      <c r="AJ9284">
        <v>82.425816160815103</v>
      </c>
      <c r="AK9284">
        <v>0.61761753029344801</v>
      </c>
      <c r="AL9284">
        <v>93.866975506690594</v>
      </c>
      <c r="AM9284">
        <v>89.470870726985495</v>
      </c>
      <c r="AN9284">
        <v>1.0000000295584399</v>
      </c>
    </row>
    <row r="9285" spans="1:40" x14ac:dyDescent="0.25">
      <c r="A9285" t="str">
        <f>"20190303154401493"</f>
        <v>20190303154401493</v>
      </c>
      <c r="B9285" t="str">
        <f>"1551599041489870"</f>
        <v>1551599041489870</v>
      </c>
      <c r="C9285" t="s">
        <v>40</v>
      </c>
      <c r="D9285">
        <v>5.2681969999999998</v>
      </c>
      <c r="E9285">
        <v>0.52376809999999996</v>
      </c>
      <c r="F9285" t="s">
        <v>42</v>
      </c>
      <c r="G9285">
        <v>-113.41370000000001</v>
      </c>
      <c r="H9285">
        <v>0.97068379999999999</v>
      </c>
      <c r="I9285">
        <v>138.249</v>
      </c>
      <c r="J9285">
        <v>-114.0367</v>
      </c>
      <c r="K9285">
        <v>1.122573</v>
      </c>
      <c r="L9285">
        <v>138.3177</v>
      </c>
      <c r="M9285">
        <v>0.99947779999999997</v>
      </c>
      <c r="N9285">
        <v>-2.7353840000000001E-2</v>
      </c>
      <c r="O9285">
        <v>1.720381E-2</v>
      </c>
      <c r="P9285">
        <v>0.99576830000000005</v>
      </c>
      <c r="Q9285">
        <v>-9.1384350000000003E-2</v>
      </c>
      <c r="R9285">
        <v>9.7212719999999996E-3</v>
      </c>
      <c r="S9285">
        <v>2.9560240000000002</v>
      </c>
      <c r="T9285">
        <v>-0.62803999999999904</v>
      </c>
      <c r="U9285">
        <v>-0.27876279999999998</v>
      </c>
      <c r="V9285">
        <v>7.4036099999999997E-3</v>
      </c>
      <c r="W9285">
        <v>-6.4113139999999999E-2</v>
      </c>
      <c r="X9285">
        <v>0.99791510000000005</v>
      </c>
      <c r="Y9285">
        <v>0.1080101</v>
      </c>
      <c r="Z9285">
        <v>-1.5964699999999998E-2</v>
      </c>
      <c r="AA9285">
        <v>0.99402159999999995</v>
      </c>
      <c r="AB9285">
        <v>10</v>
      </c>
      <c r="AC9285">
        <v>0.62299999999999001</v>
      </c>
      <c r="AD9285">
        <v>-0.1518892</v>
      </c>
      <c r="AE9285">
        <v>-6.8700000000006797E-2</v>
      </c>
      <c r="AF9285">
        <v>7.5006970596792302E-2</v>
      </c>
      <c r="AG9285">
        <v>-0.1518892</v>
      </c>
      <c r="AH9285">
        <v>0.58723932267090895</v>
      </c>
      <c r="AI9285">
        <v>104.38972301680199</v>
      </c>
      <c r="AJ9285">
        <v>82.721131075070801</v>
      </c>
      <c r="AK9285">
        <v>0.61118442127212003</v>
      </c>
      <c r="AL9285">
        <v>93.675933857007905</v>
      </c>
      <c r="AM9285">
        <v>89.574925939633502</v>
      </c>
      <c r="AN9285">
        <v>0.99999992748484801</v>
      </c>
    </row>
    <row r="9286" spans="1:40" x14ac:dyDescent="0.25">
      <c r="A9286" t="str">
        <f>"20190303154401715"</f>
        <v>20190303154401715</v>
      </c>
      <c r="B9286" t="str">
        <f>"1551599041709002"</f>
        <v>1551599041709002</v>
      </c>
      <c r="C9286" t="s">
        <v>40</v>
      </c>
      <c r="D9286">
        <v>5.3514109999999997</v>
      </c>
      <c r="E9286">
        <v>0.52396980000000004</v>
      </c>
      <c r="F9286" t="s">
        <v>42</v>
      </c>
      <c r="G9286">
        <v>-112.589</v>
      </c>
      <c r="H9286">
        <v>0.93327070000000001</v>
      </c>
      <c r="I9286">
        <v>138.28129999999999</v>
      </c>
      <c r="J9286">
        <v>-113.1992</v>
      </c>
      <c r="K9286">
        <v>1.1223019999999999</v>
      </c>
      <c r="L9286">
        <v>138.32859999999999</v>
      </c>
      <c r="M9286">
        <v>0.99962660000000003</v>
      </c>
      <c r="N9286">
        <v>-2.286291E-2</v>
      </c>
      <c r="O9286">
        <v>1.4966190000000001E-2</v>
      </c>
      <c r="P9286">
        <v>0.99704280000000001</v>
      </c>
      <c r="Q9286">
        <v>-7.6640589999999995E-2</v>
      </c>
      <c r="R9286">
        <v>5.6582510000000004E-3</v>
      </c>
      <c r="S9286">
        <v>2.9480740000000001</v>
      </c>
      <c r="T9286">
        <v>-0.80775580000000002</v>
      </c>
      <c r="U9286">
        <v>-0.1977081</v>
      </c>
      <c r="V9286">
        <v>9.262078E-3</v>
      </c>
      <c r="W9286">
        <v>-5.382692E-2</v>
      </c>
      <c r="X9286">
        <v>0.99850729999999999</v>
      </c>
      <c r="Y9286">
        <v>7.8258729999999999E-2</v>
      </c>
      <c r="Z9286">
        <v>-1.5115689999999999E-2</v>
      </c>
      <c r="AA9286">
        <v>0.99681850000000005</v>
      </c>
      <c r="AB9286">
        <v>8</v>
      </c>
      <c r="AC9286">
        <v>0.61020000000000596</v>
      </c>
      <c r="AD9286">
        <v>-0.18903130000000001</v>
      </c>
      <c r="AE9286">
        <v>-4.7300000000007003E-2</v>
      </c>
      <c r="AF9286">
        <v>5.1515211382005599E-2</v>
      </c>
      <c r="AG9286">
        <v>-0.18903130000000001</v>
      </c>
      <c r="AH9286">
        <v>0.55635096140415097</v>
      </c>
      <c r="AI9286">
        <v>108.691841227993</v>
      </c>
      <c r="AJ9286">
        <v>84.709792845179905</v>
      </c>
      <c r="AK9286">
        <v>0.58984153943135098</v>
      </c>
      <c r="AL9286">
        <v>93.085546618151</v>
      </c>
      <c r="AM9286">
        <v>89.468543936161097</v>
      </c>
      <c r="AN9286">
        <v>0.99999997577942601</v>
      </c>
    </row>
    <row r="9287" spans="1:40" x14ac:dyDescent="0.25">
      <c r="A9287" t="str">
        <f>"20190303154401737"</f>
        <v>20190303154401737</v>
      </c>
      <c r="B9287" t="str">
        <f>"1551599041729497"</f>
        <v>1551599041729497</v>
      </c>
      <c r="C9287" t="s">
        <v>40</v>
      </c>
      <c r="D9287">
        <v>5.3311640000000002</v>
      </c>
      <c r="E9287">
        <v>0.52396709999999902</v>
      </c>
      <c r="F9287" t="s">
        <v>42</v>
      </c>
      <c r="G9287">
        <v>-112.52119999999999</v>
      </c>
      <c r="H9287">
        <v>0.93381449999999999</v>
      </c>
      <c r="I9287">
        <v>138.28489999999999</v>
      </c>
      <c r="J9287">
        <v>-113.1288</v>
      </c>
      <c r="K9287">
        <v>1.122463</v>
      </c>
      <c r="L9287">
        <v>138.3295</v>
      </c>
      <c r="M9287">
        <v>0.99962090000000003</v>
      </c>
      <c r="N9287">
        <v>-2.3224890000000002E-2</v>
      </c>
      <c r="O9287">
        <v>1.4794170000000001E-2</v>
      </c>
      <c r="P9287">
        <v>0.99710010000000004</v>
      </c>
      <c r="Q9287">
        <v>-7.5831809999999999E-2</v>
      </c>
      <c r="R9287">
        <v>6.4023589999999998E-3</v>
      </c>
      <c r="S9287">
        <v>2.947006</v>
      </c>
      <c r="T9287">
        <v>-0.81930800000000004</v>
      </c>
      <c r="U9287">
        <v>-0.1902161</v>
      </c>
      <c r="V9287">
        <v>8.3485460000000001E-3</v>
      </c>
      <c r="W9287">
        <v>-5.2654949999999999E-2</v>
      </c>
      <c r="X9287">
        <v>0.99857790000000002</v>
      </c>
      <c r="Y9287">
        <v>7.5597590000000006E-2</v>
      </c>
      <c r="Z9287">
        <v>-1.4894889999999999E-2</v>
      </c>
      <c r="AA9287">
        <v>0.9970272</v>
      </c>
      <c r="AB9287">
        <v>8</v>
      </c>
      <c r="AC9287">
        <v>0.60760000000000502</v>
      </c>
      <c r="AD9287">
        <v>-0.1886485</v>
      </c>
      <c r="AE9287">
        <v>-4.4600000000002603E-2</v>
      </c>
      <c r="AF9287">
        <v>4.8898033229837802E-2</v>
      </c>
      <c r="AG9287">
        <v>-0.1886485</v>
      </c>
      <c r="AH9287">
        <v>0.55377625142039899</v>
      </c>
      <c r="AI9287">
        <v>108.744029088172</v>
      </c>
      <c r="AJ9287">
        <v>84.953912286773601</v>
      </c>
      <c r="AK9287">
        <v>0.58706678567538195</v>
      </c>
      <c r="AL9287">
        <v>93.018302134639995</v>
      </c>
      <c r="AM9287">
        <v>89.520993498257397</v>
      </c>
      <c r="AN9287">
        <v>1.00000003217411</v>
      </c>
    </row>
    <row r="9288" spans="1:40" x14ac:dyDescent="0.25">
      <c r="A9288" t="str">
        <f>"20190303154401759"</f>
        <v>20190303154401759</v>
      </c>
      <c r="B9288" t="str">
        <f>"1551599041749018"</f>
        <v>1551599041749018</v>
      </c>
      <c r="C9288" t="s">
        <v>40</v>
      </c>
      <c r="D9288">
        <v>5.3526449999999999</v>
      </c>
      <c r="E9288">
        <v>0.49735980000000002</v>
      </c>
      <c r="F9288" t="s">
        <v>42</v>
      </c>
      <c r="G9288">
        <v>-112.3993</v>
      </c>
      <c r="H9288">
        <v>0.91998420000000003</v>
      </c>
      <c r="I9288">
        <v>138.28290000000001</v>
      </c>
      <c r="J9288">
        <v>-113.05589999999999</v>
      </c>
      <c r="K9288">
        <v>1.1224780000000001</v>
      </c>
      <c r="L9288">
        <v>138.33029999999999</v>
      </c>
      <c r="M9288">
        <v>0.99962519999999999</v>
      </c>
      <c r="N9288">
        <v>-2.315039E-2</v>
      </c>
      <c r="O9288">
        <v>1.461083E-2</v>
      </c>
      <c r="P9288">
        <v>0.99722560000000005</v>
      </c>
      <c r="Q9288">
        <v>-7.4099120000000004E-2</v>
      </c>
      <c r="R9288">
        <v>7.0922379999999998E-3</v>
      </c>
      <c r="S9288">
        <v>2.947708</v>
      </c>
      <c r="T9288">
        <v>-0.81820789999999999</v>
      </c>
      <c r="U9288">
        <v>-0.1878204</v>
      </c>
      <c r="V9288">
        <v>7.4776139999999996E-3</v>
      </c>
      <c r="W9288">
        <v>-5.0993900000000002E-2</v>
      </c>
      <c r="X9288">
        <v>0.99867099999999998</v>
      </c>
      <c r="Y9288">
        <v>7.4648290000000006E-2</v>
      </c>
      <c r="Z9288">
        <v>-1.468536E-2</v>
      </c>
      <c r="AA9288">
        <v>0.99710180000000004</v>
      </c>
      <c r="AB9288">
        <v>7</v>
      </c>
      <c r="AC9288">
        <v>0.65659999999999696</v>
      </c>
      <c r="AD9288">
        <v>-0.2024938</v>
      </c>
      <c r="AE9288">
        <v>-4.7399999999981901E-2</v>
      </c>
      <c r="AF9288">
        <v>5.2064818960401701E-2</v>
      </c>
      <c r="AG9288">
        <v>-0.2024938</v>
      </c>
      <c r="AH9288">
        <v>0.59914816969324902</v>
      </c>
      <c r="AI9288">
        <v>108.60841120806199</v>
      </c>
      <c r="AJ9288">
        <v>85.033583252910205</v>
      </c>
      <c r="AK9288">
        <v>0.63458097486340503</v>
      </c>
      <c r="AL9288">
        <v>92.923002918230196</v>
      </c>
      <c r="AM9288">
        <v>89.5710021451074</v>
      </c>
      <c r="AN9288">
        <v>1.00000002939467</v>
      </c>
    </row>
    <row r="9289" spans="1:40" x14ac:dyDescent="0.25">
      <c r="A9289" t="str">
        <f>"20190303154401783"</f>
        <v>20190303154401783</v>
      </c>
      <c r="B9289" t="str">
        <f>"1551599041779274"</f>
        <v>1551599041779274</v>
      </c>
      <c r="C9289" t="s">
        <v>40</v>
      </c>
      <c r="D9289">
        <v>5.3539479999999999</v>
      </c>
      <c r="E9289">
        <v>0.49167230000000001</v>
      </c>
      <c r="F9289" t="s">
        <v>42</v>
      </c>
      <c r="G9289">
        <v>-112.2945</v>
      </c>
      <c r="H9289">
        <v>1.001412</v>
      </c>
      <c r="I9289">
        <v>138.33940000000001</v>
      </c>
      <c r="J9289">
        <v>-112.9821</v>
      </c>
      <c r="K9289">
        <v>1.122357</v>
      </c>
      <c r="L9289">
        <v>138.3312</v>
      </c>
      <c r="M9289">
        <v>0.999641</v>
      </c>
      <c r="N9289">
        <v>-2.2580389999999999E-2</v>
      </c>
      <c r="O9289">
        <v>1.442032E-2</v>
      </c>
      <c r="P9289">
        <v>0.99743219999999999</v>
      </c>
      <c r="Q9289">
        <v>-7.1293529999999994E-2</v>
      </c>
      <c r="R9289">
        <v>6.7822519999999999E-3</v>
      </c>
      <c r="S9289">
        <v>2.9729610000000002</v>
      </c>
      <c r="T9289">
        <v>-0.47274470000000002</v>
      </c>
      <c r="U9289">
        <v>3.5659789999999997E-2</v>
      </c>
      <c r="V9289">
        <v>7.5999700000000002E-3</v>
      </c>
      <c r="W9289">
        <v>-4.8753959999999999E-2</v>
      </c>
      <c r="X9289">
        <v>0.9987819</v>
      </c>
      <c r="Y9289">
        <v>2.2645159999999998E-3</v>
      </c>
      <c r="Z9289">
        <v>-2.1592909999999998E-3</v>
      </c>
      <c r="AA9289">
        <v>0.99999510000000003</v>
      </c>
      <c r="AB9289">
        <v>7</v>
      </c>
      <c r="AC9289">
        <v>0.68760000000000299</v>
      </c>
      <c r="AD9289">
        <v>-0.120944999999999</v>
      </c>
      <c r="AE9289">
        <v>8.2000000000164094E-3</v>
      </c>
      <c r="AF9289">
        <v>1.6672196017481801E-3</v>
      </c>
      <c r="AG9289">
        <v>-0.120944999999999</v>
      </c>
      <c r="AH9289">
        <v>0.66701306529578397</v>
      </c>
      <c r="AI9289">
        <v>100.27736452501701</v>
      </c>
      <c r="AJ9289">
        <v>89.856787741144004</v>
      </c>
      <c r="AK9289">
        <v>0.67789151191136598</v>
      </c>
      <c r="AL9289">
        <v>92.794503965708699</v>
      </c>
      <c r="AM9289">
        <v>89.564031144805995</v>
      </c>
      <c r="AN9289">
        <v>0.99999999596364597</v>
      </c>
    </row>
    <row r="9290" spans="1:40" x14ac:dyDescent="0.25">
      <c r="A9290" t="str">
        <f>"20190303154401808"</f>
        <v>20190303154401808</v>
      </c>
      <c r="B9290" t="str">
        <f>"1551599041799769"</f>
        <v>1551599041799769</v>
      </c>
      <c r="C9290" t="s">
        <v>40</v>
      </c>
      <c r="D9290">
        <v>5.3854110000000004</v>
      </c>
      <c r="E9290">
        <v>0.49009839999999999</v>
      </c>
      <c r="F9290" t="s">
        <v>42</v>
      </c>
      <c r="G9290">
        <v>-112.21850000000001</v>
      </c>
      <c r="H9290">
        <v>1.024559</v>
      </c>
      <c r="I9290">
        <v>138.35220000000001</v>
      </c>
      <c r="J9290">
        <v>-112.9028</v>
      </c>
      <c r="K9290">
        <v>1.1222559999999999</v>
      </c>
      <c r="L9290">
        <v>138.33199999999999</v>
      </c>
      <c r="M9290">
        <v>0.99965660000000001</v>
      </c>
      <c r="N9290">
        <v>-2.2017129999999999E-2</v>
      </c>
      <c r="O9290">
        <v>1.421326E-2</v>
      </c>
      <c r="P9290">
        <v>0.99763710000000005</v>
      </c>
      <c r="Q9290">
        <v>-6.8440490000000007E-2</v>
      </c>
      <c r="R9290">
        <v>6.0135880000000003E-3</v>
      </c>
      <c r="S9290">
        <v>2.9798740000000001</v>
      </c>
      <c r="T9290">
        <v>-0.38166329999999998</v>
      </c>
      <c r="U9290">
        <v>8.2229609999999995E-2</v>
      </c>
      <c r="V9290">
        <v>8.1644860000000003E-3</v>
      </c>
      <c r="W9290">
        <v>-4.6460130000000002E-2</v>
      </c>
      <c r="X9290">
        <v>0.99888679999999996</v>
      </c>
      <c r="Y9290">
        <v>-1.332233E-2</v>
      </c>
      <c r="Z9290">
        <v>-5.0373650000000002E-4</v>
      </c>
      <c r="AA9290">
        <v>0.99991110000000005</v>
      </c>
      <c r="AB9290">
        <v>7</v>
      </c>
      <c r="AC9290">
        <v>0.68429999999999302</v>
      </c>
      <c r="AD9290">
        <v>-9.7696999999999895E-2</v>
      </c>
      <c r="AE9290">
        <v>2.0200000000016798E-2</v>
      </c>
      <c r="AF9290">
        <v>-1.0260508430720801E-2</v>
      </c>
      <c r="AG9290">
        <v>-9.7696999999999895E-2</v>
      </c>
      <c r="AH9290">
        <v>0.67085583098734203</v>
      </c>
      <c r="AI9290">
        <v>98.284803787157401</v>
      </c>
      <c r="AJ9290">
        <v>90.876250853744594</v>
      </c>
      <c r="AK9290">
        <v>0.67800997618912195</v>
      </c>
      <c r="AL9290">
        <v>92.662927903308599</v>
      </c>
      <c r="AM9290">
        <v>89.531698513979407</v>
      </c>
      <c r="AN9290">
        <v>1.00000002086275</v>
      </c>
    </row>
    <row r="9291" spans="1:40" x14ac:dyDescent="0.25">
      <c r="A9291" t="str">
        <f>"20190303154401834"</f>
        <v>20190303154401834</v>
      </c>
      <c r="B9291" t="str">
        <f>"1551599041829049"</f>
        <v>1551599041829049</v>
      </c>
      <c r="C9291" t="s">
        <v>40</v>
      </c>
      <c r="D9291">
        <v>5.3373010000000001</v>
      </c>
      <c r="E9291">
        <v>0.4889404</v>
      </c>
      <c r="F9291" t="s">
        <v>42</v>
      </c>
      <c r="G9291">
        <v>-112.143</v>
      </c>
      <c r="H9291">
        <v>1.0310809999999999</v>
      </c>
      <c r="I9291">
        <v>138.35560000000001</v>
      </c>
      <c r="J9291">
        <v>-112.8258</v>
      </c>
      <c r="K9291">
        <v>1.1222540000000001</v>
      </c>
      <c r="L9291">
        <v>138.3329</v>
      </c>
      <c r="M9291">
        <v>0.99966580000000005</v>
      </c>
      <c r="N9291">
        <v>-2.1730639999999999E-2</v>
      </c>
      <c r="O9291">
        <v>1.4009300000000001E-2</v>
      </c>
      <c r="P9291">
        <v>0.99773489999999998</v>
      </c>
      <c r="Q9291">
        <v>-6.7116850000000006E-2</v>
      </c>
      <c r="R9291">
        <v>4.5492220000000003E-3</v>
      </c>
      <c r="S9291">
        <v>2.981995</v>
      </c>
      <c r="T9291">
        <v>-0.3579001</v>
      </c>
      <c r="U9291">
        <v>9.2910770000000004E-2</v>
      </c>
      <c r="V9291">
        <v>9.4267380000000005E-3</v>
      </c>
      <c r="W9291">
        <v>-4.5421429999999999E-2</v>
      </c>
      <c r="X9291">
        <v>0.99892340000000002</v>
      </c>
      <c r="Y9291">
        <v>-1.705601E-2</v>
      </c>
      <c r="Z9291">
        <v>-1.65530099999999E-4</v>
      </c>
      <c r="AA9291">
        <v>0.99985449999999998</v>
      </c>
      <c r="AB9291">
        <v>7</v>
      </c>
      <c r="AC9291">
        <v>0.68280000000001395</v>
      </c>
      <c r="AD9291">
        <v>-9.1173000000000101E-2</v>
      </c>
      <c r="AE9291">
        <v>2.2700000000014601E-2</v>
      </c>
      <c r="AF9291">
        <v>-1.29002091608608E-2</v>
      </c>
      <c r="AG9291">
        <v>-9.1173000000000101E-2</v>
      </c>
      <c r="AH9291">
        <v>0.67109872993622499</v>
      </c>
      <c r="AI9291">
        <v>97.735215648682896</v>
      </c>
      <c r="AJ9291">
        <v>91.101233678121801</v>
      </c>
      <c r="AK9291">
        <v>0.67738647509926597</v>
      </c>
      <c r="AL9291">
        <v>92.603352020360802</v>
      </c>
      <c r="AM9291">
        <v>89.459321636081896</v>
      </c>
      <c r="AN9291">
        <v>0.999999964380062</v>
      </c>
    </row>
    <row r="9292" spans="1:40" x14ac:dyDescent="0.25">
      <c r="A9292" t="str">
        <f>"20190303154401851"</f>
        <v>20190303154401851</v>
      </c>
      <c r="B9292" t="str">
        <f>"1551599041839786"</f>
        <v>1551599041839786</v>
      </c>
      <c r="C9292" t="s">
        <v>40</v>
      </c>
      <c r="D9292">
        <v>5.3641160000000001</v>
      </c>
      <c r="E9292">
        <v>0.48863469999999998</v>
      </c>
      <c r="F9292" t="s">
        <v>41</v>
      </c>
      <c r="G9292">
        <v>-103.0025</v>
      </c>
      <c r="H9292" s="1">
        <v>-3.4584869999999999E-6</v>
      </c>
      <c r="I9292">
        <v>138.6566</v>
      </c>
      <c r="J9292">
        <v>-112.7747</v>
      </c>
      <c r="K9292">
        <v>1.1222490000000001</v>
      </c>
      <c r="L9292">
        <v>138.33340000000001</v>
      </c>
      <c r="M9292">
        <v>0.99967169999999905</v>
      </c>
      <c r="N9292">
        <v>-2.154532E-2</v>
      </c>
      <c r="O9292">
        <v>1.387036E-2</v>
      </c>
      <c r="P9292">
        <v>0.99781980000000003</v>
      </c>
      <c r="Q9292">
        <v>-6.5897600000000001E-2</v>
      </c>
      <c r="R9292">
        <v>3.6170270000000001E-3</v>
      </c>
      <c r="S9292">
        <v>2.983444</v>
      </c>
      <c r="T9292">
        <v>-0.34084209999999998</v>
      </c>
      <c r="U9292">
        <v>9.8327639999999994E-2</v>
      </c>
      <c r="V9292">
        <v>1.0221920000000001E-2</v>
      </c>
      <c r="W9292">
        <v>-4.4386059999999998E-2</v>
      </c>
      <c r="X9292">
        <v>0.99896220000000002</v>
      </c>
      <c r="Y9292">
        <v>-1.8983179999999999E-2</v>
      </c>
      <c r="Z9292" s="1">
        <v>5.0341480000000003E-6</v>
      </c>
      <c r="AA9292">
        <v>0.99981980000000004</v>
      </c>
      <c r="AB9292">
        <v>7</v>
      </c>
      <c r="AC9292">
        <v>9.7721999999999891</v>
      </c>
      <c r="AD9292">
        <v>-1.1222524584869999</v>
      </c>
      <c r="AE9292">
        <v>0.323199999999985</v>
      </c>
      <c r="AF9292">
        <v>-0.18515425355498399</v>
      </c>
      <c r="AG9292">
        <v>-1.1222524584869999</v>
      </c>
      <c r="AH9292">
        <v>9.6486312039521192</v>
      </c>
      <c r="AI9292">
        <v>96.633170958778393</v>
      </c>
      <c r="AJ9292">
        <v>91.099353387122406</v>
      </c>
      <c r="AK9292">
        <v>9.7154421818087204</v>
      </c>
      <c r="AL9292">
        <v>92.543969585144197</v>
      </c>
      <c r="AM9292">
        <v>89.413739143611096</v>
      </c>
      <c r="AN9292">
        <v>1.00000004349982</v>
      </c>
    </row>
    <row r="9293" spans="1:40" x14ac:dyDescent="0.25">
      <c r="A9293" t="str">
        <f>"20190303154401871"</f>
        <v>20190303154401871</v>
      </c>
      <c r="B9293" t="str">
        <f>"1551599041869066"</f>
        <v>1551599041869066</v>
      </c>
      <c r="C9293" t="s">
        <v>40</v>
      </c>
      <c r="D9293">
        <v>5.4024900000000002</v>
      </c>
      <c r="E9293">
        <v>0.48796689999999998</v>
      </c>
      <c r="F9293" t="s">
        <v>41</v>
      </c>
      <c r="G9293">
        <v>-102.7801</v>
      </c>
      <c r="H9293" s="1">
        <v>-3.562648E-6</v>
      </c>
      <c r="I9293">
        <v>138.66200000000001</v>
      </c>
      <c r="J9293">
        <v>-112.7137</v>
      </c>
      <c r="K9293">
        <v>1.122206</v>
      </c>
      <c r="L9293">
        <v>138.33410000000001</v>
      </c>
      <c r="M9293">
        <v>0.99968109999999999</v>
      </c>
      <c r="N9293">
        <v>-2.1215589999999999E-2</v>
      </c>
      <c r="O9293">
        <v>1.3702799999999999E-2</v>
      </c>
      <c r="P9293">
        <v>0.99787650000000006</v>
      </c>
      <c r="Q9293">
        <v>-6.5095769999999997E-2</v>
      </c>
      <c r="R9293">
        <v>2.332378E-3</v>
      </c>
      <c r="S9293">
        <v>2.9840849999999999</v>
      </c>
      <c r="T9293">
        <v>-0.33506970000000003</v>
      </c>
      <c r="U9293">
        <v>9.8098749999999998E-2</v>
      </c>
      <c r="V9293">
        <v>1.1340050000000001E-2</v>
      </c>
      <c r="W9293">
        <v>-4.3913050000000002E-2</v>
      </c>
      <c r="X9293">
        <v>0.99897100000000005</v>
      </c>
      <c r="Y9293">
        <v>-1.9068740000000001E-2</v>
      </c>
      <c r="Z9293" s="1">
        <v>2.6718889999999999E-5</v>
      </c>
      <c r="AA9293">
        <v>0.99981810000000004</v>
      </c>
      <c r="AB9293">
        <v>7</v>
      </c>
      <c r="AC9293">
        <v>9.9335999999999895</v>
      </c>
      <c r="AD9293">
        <v>-1.122209562648</v>
      </c>
      <c r="AE9293">
        <v>0.32789999999999903</v>
      </c>
      <c r="AF9293">
        <v>-0.18930703902429899</v>
      </c>
      <c r="AG9293">
        <v>-1.122209562648</v>
      </c>
      <c r="AH9293">
        <v>9.8120711710702508</v>
      </c>
      <c r="AI9293">
        <v>96.523382330852897</v>
      </c>
      <c r="AJ9293">
        <v>91.105286404914295</v>
      </c>
      <c r="AK9293">
        <v>9.8778505821697191</v>
      </c>
      <c r="AL9293">
        <v>92.516841752884105</v>
      </c>
      <c r="AM9293">
        <v>89.349621662825001</v>
      </c>
      <c r="AN9293">
        <v>1.0000000057676499</v>
      </c>
    </row>
    <row r="9294" spans="1:40" x14ac:dyDescent="0.25">
      <c r="A9294" t="str">
        <f>"20190303154401896"</f>
        <v>20190303154401896</v>
      </c>
      <c r="B9294" t="str">
        <f>"1551599041889561"</f>
        <v>1551599041889561</v>
      </c>
      <c r="C9294" t="s">
        <v>40</v>
      </c>
      <c r="D9294">
        <v>5.4127330000000002</v>
      </c>
      <c r="E9294">
        <v>0.48750090000000001</v>
      </c>
      <c r="F9294" t="s">
        <v>41</v>
      </c>
      <c r="G9294">
        <v>-102.4683</v>
      </c>
      <c r="H9294" s="1">
        <v>-3.7073699999999999E-6</v>
      </c>
      <c r="I9294">
        <v>138.67699999999999</v>
      </c>
      <c r="J9294">
        <v>-112.64530000000001</v>
      </c>
      <c r="K9294">
        <v>1.122136</v>
      </c>
      <c r="L9294">
        <v>138.3348</v>
      </c>
      <c r="M9294">
        <v>0.99969330000000001</v>
      </c>
      <c r="N9294">
        <v>-2.0748430000000002E-2</v>
      </c>
      <c r="O9294">
        <v>1.351778E-2</v>
      </c>
      <c r="P9294">
        <v>0.99785650000000004</v>
      </c>
      <c r="Q9294">
        <v>-6.5430089999999996E-2</v>
      </c>
      <c r="R9294">
        <v>1.131674E-3</v>
      </c>
      <c r="S9294">
        <v>2.9848180000000002</v>
      </c>
      <c r="T9294">
        <v>-0.32693800000000001</v>
      </c>
      <c r="U9294">
        <v>9.9899290000000002E-2</v>
      </c>
      <c r="V9294">
        <v>1.235574E-2</v>
      </c>
      <c r="W9294">
        <v>-4.4714829999999997E-2</v>
      </c>
      <c r="X9294">
        <v>0.99892340000000002</v>
      </c>
      <c r="Y9294">
        <v>-1.9846099999999998E-2</v>
      </c>
      <c r="Z9294" s="1">
        <v>9.4123069999999903E-5</v>
      </c>
      <c r="AA9294">
        <v>0.99980309999999994</v>
      </c>
      <c r="AB9294">
        <v>7</v>
      </c>
      <c r="AC9294">
        <v>10.177</v>
      </c>
      <c r="AD9294">
        <v>-1.1221397073699999</v>
      </c>
      <c r="AE9294">
        <v>0.34220000000001899</v>
      </c>
      <c r="AF9294">
        <v>-0.20211416149786801</v>
      </c>
      <c r="AG9294">
        <v>-1.1221397073699999</v>
      </c>
      <c r="AH9294">
        <v>10.0585450355983</v>
      </c>
      <c r="AI9294">
        <v>96.364369506296995</v>
      </c>
      <c r="AJ9294">
        <v>91.151133709516799</v>
      </c>
      <c r="AK9294">
        <v>10.1229628019811</v>
      </c>
      <c r="AL9294">
        <v>92.562825500171996</v>
      </c>
      <c r="AM9294">
        <v>89.2913414030794</v>
      </c>
      <c r="AN9294">
        <v>1.0000000197002099</v>
      </c>
    </row>
    <row r="9295" spans="1:40" x14ac:dyDescent="0.25">
      <c r="A9295" t="str">
        <f>"20190303154401916"</f>
        <v>20190303154401916</v>
      </c>
      <c r="B9295" t="str">
        <f>"1551599041909082"</f>
        <v>1551599041909082</v>
      </c>
      <c r="C9295" t="s">
        <v>40</v>
      </c>
      <c r="D9295">
        <v>5.3276570000000003</v>
      </c>
      <c r="E9295">
        <v>0.48717270000000001</v>
      </c>
      <c r="F9295" t="s">
        <v>41</v>
      </c>
      <c r="G9295">
        <v>-102.2623</v>
      </c>
      <c r="H9295" s="1">
        <v>-3.8036770000000001E-6</v>
      </c>
      <c r="I9295">
        <v>138.6832</v>
      </c>
      <c r="J9295">
        <v>-112.5869</v>
      </c>
      <c r="K9295">
        <v>1.1220810000000001</v>
      </c>
      <c r="L9295">
        <v>138.33539999999999</v>
      </c>
      <c r="M9295">
        <v>0.99970329999999996</v>
      </c>
      <c r="N9295">
        <v>-2.0364179999999999E-2</v>
      </c>
      <c r="O9295">
        <v>1.336412E-2</v>
      </c>
      <c r="P9295">
        <v>0.99784790000000001</v>
      </c>
      <c r="Q9295">
        <v>-6.5571809999999994E-2</v>
      </c>
      <c r="R9295">
        <v>-4.2344790000000001E-4</v>
      </c>
      <c r="S9295">
        <v>2.9851679999999998</v>
      </c>
      <c r="T9295">
        <v>-0.32262059999999998</v>
      </c>
      <c r="U9295">
        <v>0.100174</v>
      </c>
      <c r="V9295">
        <v>1.3757170000000001E-2</v>
      </c>
      <c r="W9295">
        <v>-4.5241120000000003E-2</v>
      </c>
      <c r="X9295">
        <v>0.99888129999999997</v>
      </c>
      <c r="Y9295">
        <v>-2.0088149999999999E-2</v>
      </c>
      <c r="Z9295">
        <v>1.1924760000000001E-4</v>
      </c>
      <c r="AA9295">
        <v>0.99979819999999997</v>
      </c>
      <c r="AB9295">
        <v>7</v>
      </c>
      <c r="AC9295">
        <v>10.3246</v>
      </c>
      <c r="AD9295">
        <v>-1.1220848036769999</v>
      </c>
      <c r="AE9295">
        <v>0.34780000000000599</v>
      </c>
      <c r="AF9295">
        <v>-0.20731518732992099</v>
      </c>
      <c r="AG9295">
        <v>-1.1220848036769999</v>
      </c>
      <c r="AH9295">
        <v>10.2078927818684</v>
      </c>
      <c r="AI9295">
        <v>96.271670883035497</v>
      </c>
      <c r="AJ9295">
        <v>91.163477397747897</v>
      </c>
      <c r="AK9295">
        <v>10.2714716053573</v>
      </c>
      <c r="AL9295">
        <v>92.593010462905497</v>
      </c>
      <c r="AM9295">
        <v>89.210939331150897</v>
      </c>
      <c r="AN9295">
        <v>0.99999993507747398</v>
      </c>
    </row>
    <row r="9296" spans="1:40" x14ac:dyDescent="0.25">
      <c r="A9296" t="str">
        <f>"20190303154401938"</f>
        <v>20190303154401938</v>
      </c>
      <c r="B9296" t="str">
        <f>"1551599041929578"</f>
        <v>1551599041929578</v>
      </c>
      <c r="C9296" t="s">
        <v>40</v>
      </c>
      <c r="D9296">
        <v>5.3775120000000003</v>
      </c>
      <c r="E9296">
        <v>0.48692730000000001</v>
      </c>
      <c r="F9296" t="s">
        <v>41</v>
      </c>
      <c r="G9296">
        <v>-102.11969999999999</v>
      </c>
      <c r="H9296" s="1">
        <v>-3.8716490000000002E-6</v>
      </c>
      <c r="I9296">
        <v>138.6799</v>
      </c>
      <c r="J9296">
        <v>-112.52500000000001</v>
      </c>
      <c r="K9296">
        <v>1.12205</v>
      </c>
      <c r="L9296">
        <v>138.33600000000001</v>
      </c>
      <c r="M9296">
        <v>0.99971259999999995</v>
      </c>
      <c r="N9296">
        <v>-2.001549E-2</v>
      </c>
      <c r="O9296">
        <v>1.320347E-2</v>
      </c>
      <c r="P9296">
        <v>0.99788100000000002</v>
      </c>
      <c r="Q9296">
        <v>-6.503958E-2</v>
      </c>
      <c r="R9296">
        <v>-1.906488E-3</v>
      </c>
      <c r="S9296">
        <v>2.9855040000000002</v>
      </c>
      <c r="T9296">
        <v>-0.3200462</v>
      </c>
      <c r="U9296">
        <v>9.8266599999999996E-2</v>
      </c>
      <c r="V9296">
        <v>1.508016E-2</v>
      </c>
      <c r="W9296">
        <v>-4.5057140000000002E-2</v>
      </c>
      <c r="X9296">
        <v>0.99887060000000005</v>
      </c>
      <c r="Y9296">
        <v>-1.9611549999999998E-2</v>
      </c>
      <c r="Z9296" s="1">
        <v>9.7653999999999997E-5</v>
      </c>
      <c r="AA9296">
        <v>0.99980769999999997</v>
      </c>
      <c r="AB9296">
        <v>6</v>
      </c>
      <c r="AC9296">
        <v>10.4053</v>
      </c>
      <c r="AD9296">
        <v>-1.1220538716490001</v>
      </c>
      <c r="AE9296">
        <v>0.34389999999998999</v>
      </c>
      <c r="AF9296">
        <v>-0.20408583930330701</v>
      </c>
      <c r="AG9296">
        <v>-1.1220538716490001</v>
      </c>
      <c r="AH9296">
        <v>10.2894157888836</v>
      </c>
      <c r="AI9296">
        <v>96.222260397271</v>
      </c>
      <c r="AJ9296">
        <v>91.136286494905093</v>
      </c>
      <c r="AK9296">
        <v>10.3524264400774</v>
      </c>
      <c r="AL9296">
        <v>92.582458214392801</v>
      </c>
      <c r="AM9296">
        <v>89.135059249424202</v>
      </c>
      <c r="AN9296">
        <v>1.00000001631748</v>
      </c>
    </row>
    <row r="9297" spans="1:40" x14ac:dyDescent="0.25">
      <c r="A9297" t="str">
        <f>"20190303154401959"</f>
        <v>20190303154401959</v>
      </c>
      <c r="B9297" t="str">
        <f>"1551599041949097"</f>
        <v>1551599041949097</v>
      </c>
      <c r="C9297" t="s">
        <v>40</v>
      </c>
      <c r="D9297">
        <v>5.3214370000000004</v>
      </c>
      <c r="E9297">
        <v>0.48672490000000002</v>
      </c>
      <c r="F9297" t="s">
        <v>41</v>
      </c>
      <c r="G9297">
        <v>-101.9542</v>
      </c>
      <c r="H9297" s="1">
        <v>-3.9505900000000001E-6</v>
      </c>
      <c r="I9297">
        <v>138.67580000000001</v>
      </c>
      <c r="J9297">
        <v>-112.4667</v>
      </c>
      <c r="K9297">
        <v>1.1220349999999999</v>
      </c>
      <c r="L9297">
        <v>138.3366</v>
      </c>
      <c r="M9297">
        <v>0.99972059999999996</v>
      </c>
      <c r="N9297">
        <v>-1.9715130000000001E-2</v>
      </c>
      <c r="O9297">
        <v>1.305217E-2</v>
      </c>
      <c r="P9297">
        <v>0.99800409999999995</v>
      </c>
      <c r="Q9297">
        <v>-6.3076919999999995E-2</v>
      </c>
      <c r="R9297">
        <v>-3.0728019999999999E-3</v>
      </c>
      <c r="S9297">
        <v>2.9859010000000001</v>
      </c>
      <c r="T9297">
        <v>-0.31694480000000003</v>
      </c>
      <c r="U9297">
        <v>9.5993040000000002E-2</v>
      </c>
      <c r="V9297">
        <v>1.6097179999999999E-2</v>
      </c>
      <c r="W9297">
        <v>-4.3392840000000002E-2</v>
      </c>
      <c r="X9297">
        <v>0.99892840000000005</v>
      </c>
      <c r="Y9297">
        <v>-1.900344E-2</v>
      </c>
      <c r="Z9297" s="1">
        <v>6.911648E-5</v>
      </c>
      <c r="AA9297">
        <v>0.99981940000000002</v>
      </c>
      <c r="AB9297">
        <v>6</v>
      </c>
      <c r="AC9297">
        <v>10.512499999999999</v>
      </c>
      <c r="AD9297">
        <v>-1.1220389505899999</v>
      </c>
      <c r="AE9297">
        <v>0.339200000000005</v>
      </c>
      <c r="AF9297">
        <v>-0.19966130963369999</v>
      </c>
      <c r="AG9297">
        <v>-1.1220389505899999</v>
      </c>
      <c r="AH9297">
        <v>10.3977038154284</v>
      </c>
      <c r="AI9297">
        <v>96.1579525538084</v>
      </c>
      <c r="AJ9297">
        <v>91.100083712125993</v>
      </c>
      <c r="AK9297">
        <v>10.4599751758109</v>
      </c>
      <c r="AL9297">
        <v>92.487007482678294</v>
      </c>
      <c r="AM9297">
        <v>89.076790032628395</v>
      </c>
      <c r="AN9297">
        <v>1.0000000030468801</v>
      </c>
    </row>
    <row r="9298" spans="1:40" x14ac:dyDescent="0.25">
      <c r="A9298" t="str">
        <f>"20190303154401982"</f>
        <v>20190303154401982</v>
      </c>
      <c r="B9298" t="str">
        <f>"1551599041969594"</f>
        <v>1551599041969594</v>
      </c>
      <c r="C9298" t="s">
        <v>40</v>
      </c>
      <c r="D9298">
        <v>5.3060989999999997</v>
      </c>
      <c r="E9298">
        <v>0.48644290000000001</v>
      </c>
      <c r="F9298" t="s">
        <v>41</v>
      </c>
      <c r="G9298">
        <v>-101.63330000000001</v>
      </c>
      <c r="H9298" s="1">
        <v>-4.1018019999999999E-6</v>
      </c>
      <c r="I9298">
        <v>138.67869999999999</v>
      </c>
      <c r="J9298">
        <v>-112.4059</v>
      </c>
      <c r="K9298">
        <v>1.1220159999999999</v>
      </c>
      <c r="L9298">
        <v>138.3372</v>
      </c>
      <c r="M9298">
        <v>0.99972859999999997</v>
      </c>
      <c r="N9298">
        <v>-1.9409719999999998E-2</v>
      </c>
      <c r="O9298">
        <v>1.289413E-2</v>
      </c>
      <c r="P9298">
        <v>0.99811269999999996</v>
      </c>
      <c r="Q9298">
        <v>-6.130008E-2</v>
      </c>
      <c r="R9298">
        <v>-3.7236109999999999E-3</v>
      </c>
      <c r="S9298">
        <v>2.9867400000000002</v>
      </c>
      <c r="T9298">
        <v>-0.30934329999999999</v>
      </c>
      <c r="U9298">
        <v>9.4329830000000003E-2</v>
      </c>
      <c r="V9298">
        <v>1.659153E-2</v>
      </c>
      <c r="W9298">
        <v>-4.191947E-2</v>
      </c>
      <c r="X9298">
        <v>0.99898319999999996</v>
      </c>
      <c r="Y9298">
        <v>-1.860171E-2</v>
      </c>
      <c r="Z9298" s="1">
        <v>5.988538E-5</v>
      </c>
      <c r="AA9298">
        <v>0.99982700000000002</v>
      </c>
      <c r="AB9298">
        <v>6</v>
      </c>
      <c r="AC9298">
        <v>10.772599999999899</v>
      </c>
      <c r="AD9298">
        <v>-1.122020101802</v>
      </c>
      <c r="AE9298">
        <v>0.34149999999999597</v>
      </c>
      <c r="AF9298">
        <v>-0.200370649650945</v>
      </c>
      <c r="AG9298">
        <v>-1.122020101802</v>
      </c>
      <c r="AH9298">
        <v>10.660575655932901</v>
      </c>
      <c r="AI9298">
        <v>96.007177940484397</v>
      </c>
      <c r="AJ9298">
        <v>91.076774962915195</v>
      </c>
      <c r="AK9298">
        <v>10.7213315787713</v>
      </c>
      <c r="AL9298">
        <v>92.402512748188897</v>
      </c>
      <c r="AM9298">
        <v>89.048495257468105</v>
      </c>
      <c r="AN9298">
        <v>0.99999997735752999</v>
      </c>
    </row>
    <row r="9299" spans="1:40" x14ac:dyDescent="0.25">
      <c r="A9299" t="str">
        <f>"20190303154402011"</f>
        <v>20190303154402011</v>
      </c>
      <c r="B9299" t="str">
        <f>"1551599041999849"</f>
        <v>1551599041999849</v>
      </c>
      <c r="C9299" t="s">
        <v>40</v>
      </c>
      <c r="D9299">
        <v>5.2497429999999996</v>
      </c>
      <c r="E9299">
        <v>0.48624200000000001</v>
      </c>
      <c r="F9299" t="s">
        <v>41</v>
      </c>
      <c r="G9299">
        <v>-101.3897</v>
      </c>
      <c r="H9299" s="1">
        <v>-4.2156410000000004E-6</v>
      </c>
      <c r="I9299">
        <v>138.68610000000001</v>
      </c>
      <c r="J9299">
        <v>-112.3291</v>
      </c>
      <c r="K9299">
        <v>1.121985</v>
      </c>
      <c r="L9299">
        <v>138.33789999999999</v>
      </c>
      <c r="M9299">
        <v>0.99973820000000002</v>
      </c>
      <c r="N9299">
        <v>-1.9037740000000001E-2</v>
      </c>
      <c r="O9299">
        <v>1.2694270000000001E-2</v>
      </c>
      <c r="P9299">
        <v>0.99815920000000002</v>
      </c>
      <c r="Q9299">
        <v>-6.0466230000000003E-2</v>
      </c>
      <c r="R9299">
        <v>-4.7144939999999996E-3</v>
      </c>
      <c r="S9299">
        <v>2.9873349999999999</v>
      </c>
      <c r="T9299">
        <v>-0.30426449999999999</v>
      </c>
      <c r="U9299">
        <v>9.4619750000000002E-2</v>
      </c>
      <c r="V9299">
        <v>1.738369E-2</v>
      </c>
      <c r="W9299">
        <v>-4.1456760000000002E-2</v>
      </c>
      <c r="X9299">
        <v>0.99898900000000002</v>
      </c>
      <c r="Y9299">
        <v>-1.889236E-2</v>
      </c>
      <c r="Z9299" s="1">
        <v>9.179174E-5</v>
      </c>
      <c r="AA9299">
        <v>0.99982150000000003</v>
      </c>
      <c r="AB9299">
        <v>6</v>
      </c>
      <c r="AC9299">
        <v>10.9393999999999</v>
      </c>
      <c r="AD9299">
        <v>-1.1219892156410001</v>
      </c>
      <c r="AE9299">
        <v>0.34820000000001899</v>
      </c>
      <c r="AF9299">
        <v>-0.207102679563124</v>
      </c>
      <c r="AG9299">
        <v>-1.1219892156410001</v>
      </c>
      <c r="AH9299">
        <v>10.829138594415101</v>
      </c>
      <c r="AI9299">
        <v>95.914141823833603</v>
      </c>
      <c r="AJ9299">
        <v>91.0956239044</v>
      </c>
      <c r="AK9299">
        <v>10.8890768211519</v>
      </c>
      <c r="AL9299">
        <v>92.375978441621101</v>
      </c>
      <c r="AM9299">
        <v>89.003080559178997</v>
      </c>
      <c r="AN9299">
        <v>0.99999993887435501</v>
      </c>
    </row>
    <row r="9300" spans="1:40" x14ac:dyDescent="0.25">
      <c r="A9300" t="str">
        <f>"20190303154402034"</f>
        <v>20190303154402034</v>
      </c>
      <c r="B9300" t="str">
        <f>"1551599042029130"</f>
        <v>1551599042029130</v>
      </c>
      <c r="C9300" t="s">
        <v>40</v>
      </c>
      <c r="D9300">
        <v>5.2606659999999996</v>
      </c>
      <c r="E9300">
        <v>0.48591580000000001</v>
      </c>
      <c r="F9300" t="s">
        <v>41</v>
      </c>
      <c r="G9300">
        <v>-101.13590000000001</v>
      </c>
      <c r="H9300" s="1">
        <v>-4.3352749999999998E-6</v>
      </c>
      <c r="I9300">
        <v>138.68799999999999</v>
      </c>
      <c r="J9300">
        <v>-112.2704</v>
      </c>
      <c r="K9300">
        <v>1.1219730000000001</v>
      </c>
      <c r="L9300">
        <v>138.33850000000001</v>
      </c>
      <c r="M9300">
        <v>0.99974510000000005</v>
      </c>
      <c r="N9300">
        <v>-1.8777499999999999E-2</v>
      </c>
      <c r="O9300">
        <v>1.2541709999999999E-2</v>
      </c>
      <c r="P9300">
        <v>0.99824199999999996</v>
      </c>
      <c r="Q9300">
        <v>-5.9017920000000001E-2</v>
      </c>
      <c r="R9300">
        <v>-5.5120940000000004E-3</v>
      </c>
      <c r="S9300">
        <v>2.9878390000000001</v>
      </c>
      <c r="T9300">
        <v>-0.29949500000000001</v>
      </c>
      <c r="U9300">
        <v>9.3429570000000003E-2</v>
      </c>
      <c r="V9300">
        <v>1.8030020000000001E-2</v>
      </c>
      <c r="W9300">
        <v>-4.0267339999999999E-2</v>
      </c>
      <c r="X9300">
        <v>0.99902619999999998</v>
      </c>
      <c r="Y9300">
        <v>-1.864495E-2</v>
      </c>
      <c r="Z9300" s="1">
        <v>8.8914759999999995E-5</v>
      </c>
      <c r="AA9300">
        <v>0.9998262</v>
      </c>
      <c r="AB9300">
        <v>6</v>
      </c>
      <c r="AC9300">
        <v>11.1344999999999</v>
      </c>
      <c r="AD9300">
        <v>-1.121977335275</v>
      </c>
      <c r="AE9300">
        <v>0.349499999999977</v>
      </c>
      <c r="AF9300">
        <v>-0.207695404397397</v>
      </c>
      <c r="AG9300">
        <v>-1.121977335275</v>
      </c>
      <c r="AH9300">
        <v>11.0261613049791</v>
      </c>
      <c r="AI9300">
        <v>95.809163724291295</v>
      </c>
      <c r="AJ9300">
        <v>91.079130135633307</v>
      </c>
      <c r="AK9300">
        <v>11.085044142686</v>
      </c>
      <c r="AL9300">
        <v>92.3077727092559</v>
      </c>
      <c r="AM9300">
        <v>88.966061237529601</v>
      </c>
      <c r="AN9300">
        <v>0.99999994428915595</v>
      </c>
    </row>
    <row r="9301" spans="1:40" x14ac:dyDescent="0.25">
      <c r="A9301" t="str">
        <f>"20190303154402052"</f>
        <v>20190303154402052</v>
      </c>
      <c r="B9301" t="str">
        <f>"1551599042049625"</f>
        <v>1551599042049625</v>
      </c>
      <c r="C9301" t="s">
        <v>40</v>
      </c>
      <c r="D9301">
        <v>5.2336669999999996</v>
      </c>
      <c r="E9301">
        <v>0.48574610000000001</v>
      </c>
      <c r="F9301" t="s">
        <v>41</v>
      </c>
      <c r="G9301">
        <v>-100.8544</v>
      </c>
      <c r="H9301" s="1">
        <v>-4.466863E-6</v>
      </c>
      <c r="I9301">
        <v>138.69630000000001</v>
      </c>
      <c r="J9301">
        <v>-112.2239</v>
      </c>
      <c r="K9301">
        <v>1.1219699999999999</v>
      </c>
      <c r="L9301">
        <v>138.3389</v>
      </c>
      <c r="M9301">
        <v>0.99975029999999998</v>
      </c>
      <c r="N9301">
        <v>-1.8587469999999998E-2</v>
      </c>
      <c r="O9301">
        <v>1.2420580000000001E-2</v>
      </c>
      <c r="P9301">
        <v>0.99843890000000002</v>
      </c>
      <c r="Q9301">
        <v>-5.551884E-2</v>
      </c>
      <c r="R9301">
        <v>-6.1508229999999997E-3</v>
      </c>
      <c r="S9301">
        <v>2.9884339999999998</v>
      </c>
      <c r="T9301">
        <v>-0.29370669999999999</v>
      </c>
      <c r="U9301">
        <v>9.3658450000000004E-2</v>
      </c>
      <c r="V9301">
        <v>1.8550589999999999E-2</v>
      </c>
      <c r="W9301">
        <v>-3.6955189999999999E-2</v>
      </c>
      <c r="X9301">
        <v>0.9991447</v>
      </c>
      <c r="Y9301">
        <v>-1.883727E-2</v>
      </c>
      <c r="Z9301">
        <v>1.118528E-4</v>
      </c>
      <c r="AA9301">
        <v>0.99982260000000001</v>
      </c>
      <c r="AB9301">
        <v>6</v>
      </c>
      <c r="AC9301">
        <v>11.3695</v>
      </c>
      <c r="AD9301">
        <v>-1.1219744668629901</v>
      </c>
      <c r="AE9301">
        <v>0.35740000000001199</v>
      </c>
      <c r="AF9301">
        <v>-0.21404984203761501</v>
      </c>
      <c r="AG9301">
        <v>-1.1219744668629901</v>
      </c>
      <c r="AH9301">
        <v>11.263483635778099</v>
      </c>
      <c r="AI9301">
        <v>95.687542983573593</v>
      </c>
      <c r="AJ9301">
        <v>91.088710818258605</v>
      </c>
      <c r="AK9301">
        <v>11.3212502689681</v>
      </c>
      <c r="AL9301">
        <v>92.117858721225303</v>
      </c>
      <c r="AM9301">
        <v>88.936341842159493</v>
      </c>
      <c r="AN9301">
        <v>0.99999997099768601</v>
      </c>
    </row>
    <row r="9302" spans="1:40" x14ac:dyDescent="0.25">
      <c r="A9302" t="str">
        <f>"20190303154402073"</f>
        <v>20190303154402073</v>
      </c>
      <c r="B9302" t="str">
        <f>"1551599042069146"</f>
        <v>1551599042069146</v>
      </c>
      <c r="C9302" t="s">
        <v>40</v>
      </c>
      <c r="D9302">
        <v>5.225117</v>
      </c>
      <c r="E9302">
        <v>0.48558069999999998</v>
      </c>
      <c r="F9302" t="s">
        <v>41</v>
      </c>
      <c r="G9302">
        <v>-100.3686</v>
      </c>
      <c r="H9302" s="1">
        <v>-4.6944469999999997E-6</v>
      </c>
      <c r="I9302">
        <v>138.7079</v>
      </c>
      <c r="J9302">
        <v>-112.1722</v>
      </c>
      <c r="K9302">
        <v>1.121966</v>
      </c>
      <c r="L9302">
        <v>138.33940000000001</v>
      </c>
      <c r="M9302">
        <v>0.99975550000000002</v>
      </c>
      <c r="N9302">
        <v>-1.839008E-2</v>
      </c>
      <c r="O9302">
        <v>1.2285910000000001E-2</v>
      </c>
      <c r="P9302">
        <v>0.99858369999999996</v>
      </c>
      <c r="Q9302">
        <v>-5.2821689999999998E-2</v>
      </c>
      <c r="R9302">
        <v>-6.3746310000000004E-3</v>
      </c>
      <c r="S9302">
        <v>2.9895320000000001</v>
      </c>
      <c r="T9302">
        <v>-0.28292640000000002</v>
      </c>
      <c r="U9302">
        <v>9.3032840000000006E-2</v>
      </c>
      <c r="V9302">
        <v>1.8641870000000001E-2</v>
      </c>
      <c r="W9302">
        <v>-3.4453060000000001E-2</v>
      </c>
      <c r="X9302">
        <v>0.99923240000000002</v>
      </c>
      <c r="Y9302">
        <v>-1.8755589999999999E-2</v>
      </c>
      <c r="Z9302">
        <v>1.2402250000000001E-4</v>
      </c>
      <c r="AA9302">
        <v>0.99982409999999999</v>
      </c>
      <c r="AB9302">
        <v>6</v>
      </c>
      <c r="AC9302">
        <v>11.803599999999999</v>
      </c>
      <c r="AD9302">
        <v>-1.121970694447</v>
      </c>
      <c r="AE9302">
        <v>0.36849999999998301</v>
      </c>
      <c r="AF9302">
        <v>-0.221430988762706</v>
      </c>
      <c r="AG9302">
        <v>-1.121970694447</v>
      </c>
      <c r="AH9302">
        <v>11.7016143711158</v>
      </c>
      <c r="AI9302">
        <v>95.475899882578005</v>
      </c>
      <c r="AJ9302">
        <v>91.084085211392406</v>
      </c>
      <c r="AK9302">
        <v>11.7573648753573</v>
      </c>
      <c r="AL9302">
        <v>91.9744057455666</v>
      </c>
      <c r="AM9302">
        <v>88.931203011010496</v>
      </c>
      <c r="AN9302">
        <v>0.99999996093510901</v>
      </c>
    </row>
    <row r="9303" spans="1:40" x14ac:dyDescent="0.25">
      <c r="A9303" t="str">
        <f>"20190303154402094"</f>
        <v>20190303154402094</v>
      </c>
      <c r="B9303" t="str">
        <f>"1551599042089641"</f>
        <v>1551599042089641</v>
      </c>
      <c r="C9303" t="s">
        <v>40</v>
      </c>
      <c r="D9303">
        <v>5.2334490000000002</v>
      </c>
      <c r="E9303">
        <v>0.4854096</v>
      </c>
      <c r="F9303" t="s">
        <v>41</v>
      </c>
      <c r="G9303">
        <v>-99.984989999999996</v>
      </c>
      <c r="H9303" s="1">
        <v>-4.8733399999999998E-6</v>
      </c>
      <c r="I9303">
        <v>138.7217</v>
      </c>
      <c r="J9303">
        <v>-112.1182</v>
      </c>
      <c r="K9303">
        <v>1.1219570000000001</v>
      </c>
      <c r="L9303">
        <v>138.3399</v>
      </c>
      <c r="M9303">
        <v>0.9997606</v>
      </c>
      <c r="N9303">
        <v>-1.8194439999999999E-2</v>
      </c>
      <c r="O9303">
        <v>1.2145009999999999E-2</v>
      </c>
      <c r="P9303">
        <v>0.99866379999999999</v>
      </c>
      <c r="Q9303">
        <v>-5.1255009999999997E-2</v>
      </c>
      <c r="R9303">
        <v>-6.6042030000000003E-3</v>
      </c>
      <c r="S9303">
        <v>2.9903110000000002</v>
      </c>
      <c r="T9303">
        <v>-0.27529189999999998</v>
      </c>
      <c r="U9303">
        <v>9.3795779999999995E-2</v>
      </c>
      <c r="V9303">
        <v>1.87318E-2</v>
      </c>
      <c r="W9303">
        <v>-3.308067E-2</v>
      </c>
      <c r="X9303">
        <v>0.99927710000000003</v>
      </c>
      <c r="Y9303">
        <v>-1.914387E-2</v>
      </c>
      <c r="Z9303">
        <v>1.5898010000000001E-4</v>
      </c>
      <c r="AA9303">
        <v>0.9998167</v>
      </c>
      <c r="AB9303">
        <v>6</v>
      </c>
      <c r="AC9303">
        <v>12.13321</v>
      </c>
      <c r="AD9303">
        <v>-1.1219618733400001</v>
      </c>
      <c r="AE9303">
        <v>0.38179999999999797</v>
      </c>
      <c r="AF9303">
        <v>-0.23240419631821199</v>
      </c>
      <c r="AG9303">
        <v>-1.1219618733400001</v>
      </c>
      <c r="AH9303">
        <v>12.034153194767701</v>
      </c>
      <c r="AI9303">
        <v>95.325386008740395</v>
      </c>
      <c r="AJ9303">
        <v>91.106361565111101</v>
      </c>
      <c r="AK9303">
        <v>12.0885753201455</v>
      </c>
      <c r="AL9303">
        <v>91.895728703668794</v>
      </c>
      <c r="AM9303">
        <v>88.926096275301305</v>
      </c>
      <c r="AN9303">
        <v>0.99999996682164805</v>
      </c>
    </row>
    <row r="9304" spans="1:40" x14ac:dyDescent="0.25">
      <c r="A9304" t="str">
        <f>"20190303154402118"</f>
        <v>20190303154402118</v>
      </c>
      <c r="B9304" t="str">
        <f>"1551599042109162"</f>
        <v>1551599042109162</v>
      </c>
      <c r="C9304" t="s">
        <v>40</v>
      </c>
      <c r="D9304">
        <v>5.2936030000000001</v>
      </c>
      <c r="E9304">
        <v>0.48515920000000001</v>
      </c>
      <c r="F9304" t="s">
        <v>41</v>
      </c>
      <c r="G9304">
        <v>-99.697329999999994</v>
      </c>
      <c r="H9304" s="1">
        <v>-3.2424009999999898E-7</v>
      </c>
      <c r="I9304">
        <v>138.73249999999999</v>
      </c>
      <c r="J9304">
        <v>-112.06019999999999</v>
      </c>
      <c r="K9304">
        <v>1.121947</v>
      </c>
      <c r="L9304">
        <v>138.34039999999999</v>
      </c>
      <c r="M9304">
        <v>0.99976620000000005</v>
      </c>
      <c r="N9304">
        <v>-1.7995500000000001E-2</v>
      </c>
      <c r="O9304">
        <v>1.1994039999999999E-2</v>
      </c>
      <c r="P9304">
        <v>0.99864209999999998</v>
      </c>
      <c r="Q9304">
        <v>-5.1648069999999997E-2</v>
      </c>
      <c r="R9304">
        <v>-6.8192919999999898E-3</v>
      </c>
      <c r="S9304">
        <v>2.9907680000000001</v>
      </c>
      <c r="T9304">
        <v>-0.27015129999999998</v>
      </c>
      <c r="U9304">
        <v>9.4528200000000007E-2</v>
      </c>
      <c r="V9304">
        <v>1.8795860000000001E-2</v>
      </c>
      <c r="W9304">
        <v>-3.3672859999999999E-2</v>
      </c>
      <c r="X9304">
        <v>0.99925609999999998</v>
      </c>
      <c r="Y9304">
        <v>-1.9534530000000001E-2</v>
      </c>
      <c r="Z9304">
        <v>1.9110660000000001E-4</v>
      </c>
      <c r="AA9304">
        <v>0.99980910000000001</v>
      </c>
      <c r="AB9304">
        <v>6</v>
      </c>
      <c r="AC9304">
        <v>12.3628699999999</v>
      </c>
      <c r="AD9304">
        <v>-1.1219473242400999</v>
      </c>
      <c r="AE9304">
        <v>0.392099999999999</v>
      </c>
      <c r="AF9304">
        <v>-0.24177779017346299</v>
      </c>
      <c r="AG9304">
        <v>-1.1219473242400999</v>
      </c>
      <c r="AH9304">
        <v>12.265767044987401</v>
      </c>
      <c r="AI9304">
        <v>95.225281118591496</v>
      </c>
      <c r="AJ9304">
        <v>91.129244764254096</v>
      </c>
      <c r="AK9304">
        <v>12.3193450921748</v>
      </c>
      <c r="AL9304">
        <v>91.929677641121202</v>
      </c>
      <c r="AM9304">
        <v>88.922401906465794</v>
      </c>
      <c r="AN9304">
        <v>0.99999994962046301</v>
      </c>
    </row>
    <row r="9305" spans="1:40" x14ac:dyDescent="0.25">
      <c r="A9305" t="str">
        <f>"20190303154402150"</f>
        <v>20190303154402150</v>
      </c>
      <c r="B9305" t="str">
        <f>"1551599042139418"</f>
        <v>1551599042139418</v>
      </c>
      <c r="C9305" t="s">
        <v>40</v>
      </c>
      <c r="D9305">
        <v>5.3112199999999996</v>
      </c>
      <c r="E9305">
        <v>0.4847513</v>
      </c>
      <c r="F9305" t="s">
        <v>41</v>
      </c>
      <c r="G9305">
        <v>-99.810649999999995</v>
      </c>
      <c r="H9305" s="1">
        <v>-2.8556020000000001E-7</v>
      </c>
      <c r="I9305">
        <v>138.7329</v>
      </c>
      <c r="J9305">
        <v>-111.9834</v>
      </c>
      <c r="K9305">
        <v>1.1219319999999999</v>
      </c>
      <c r="L9305">
        <v>138.34110000000001</v>
      </c>
      <c r="M9305">
        <v>0.99977309999999997</v>
      </c>
      <c r="N9305">
        <v>-1.7745029999999998E-2</v>
      </c>
      <c r="O9305">
        <v>1.1795299999999899E-2</v>
      </c>
      <c r="P9305">
        <v>0.99866460000000001</v>
      </c>
      <c r="Q9305">
        <v>-5.1189739999999997E-2</v>
      </c>
      <c r="R9305">
        <v>-7.0073359999999899E-3</v>
      </c>
      <c r="S9305">
        <v>2.9905550000000001</v>
      </c>
      <c r="T9305">
        <v>-0.27390789999999998</v>
      </c>
      <c r="U9305">
        <v>9.5825199999999999E-2</v>
      </c>
      <c r="V9305">
        <v>1.8785550000000002E-2</v>
      </c>
      <c r="W9305">
        <v>-3.3464470000000003E-2</v>
      </c>
      <c r="X9305">
        <v>0.99926329999999997</v>
      </c>
      <c r="Y9305">
        <v>-2.016416E-2</v>
      </c>
      <c r="Z9305">
        <v>2.3186659999999999E-4</v>
      </c>
      <c r="AA9305">
        <v>0.99979660000000004</v>
      </c>
      <c r="AB9305">
        <v>5</v>
      </c>
      <c r="AC9305">
        <v>12.172750000000001</v>
      </c>
      <c r="AD9305">
        <v>-1.1219322855602001</v>
      </c>
      <c r="AE9305">
        <v>0.39179999999998899</v>
      </c>
      <c r="AF9305">
        <v>-0.24608064931583701</v>
      </c>
      <c r="AG9305">
        <v>-1.1219322855602001</v>
      </c>
      <c r="AH9305">
        <v>12.074063784416801</v>
      </c>
      <c r="AI9305">
        <v>95.3076326683574</v>
      </c>
      <c r="AJ9305">
        <v>91.167579627901503</v>
      </c>
      <c r="AK9305">
        <v>12.1285738654433</v>
      </c>
      <c r="AL9305">
        <v>91.917731029388705</v>
      </c>
      <c r="AM9305">
        <v>88.923000615086707</v>
      </c>
      <c r="AN9305">
        <v>0.99999995518403495</v>
      </c>
    </row>
    <row r="9306" spans="1:40" x14ac:dyDescent="0.25">
      <c r="A9306" t="str">
        <f>"20190303154402172"</f>
        <v>20190303154402172</v>
      </c>
      <c r="B9306" t="str">
        <f>"1551599042158939"</f>
        <v>1551599042158939</v>
      </c>
      <c r="C9306" t="s">
        <v>40</v>
      </c>
      <c r="D9306">
        <v>5.2598690000000001</v>
      </c>
      <c r="E9306">
        <v>0.48464829999999998</v>
      </c>
      <c r="F9306" t="s">
        <v>41</v>
      </c>
      <c r="G9306">
        <v>-99.758470000000003</v>
      </c>
      <c r="H9306" s="1">
        <v>-3.0021060000000002E-7</v>
      </c>
      <c r="I9306">
        <v>138.74459999999999</v>
      </c>
      <c r="J9306">
        <v>-111.93259999999999</v>
      </c>
      <c r="K9306">
        <v>1.1219269999999999</v>
      </c>
      <c r="L9306">
        <v>138.3415</v>
      </c>
      <c r="M9306">
        <v>0.99977740000000004</v>
      </c>
      <c r="N9306">
        <v>-1.7592010000000002E-2</v>
      </c>
      <c r="O9306">
        <v>1.16636E-2</v>
      </c>
      <c r="P9306">
        <v>0.99875270000000005</v>
      </c>
      <c r="Q9306">
        <v>-4.9433129999999999E-2</v>
      </c>
      <c r="R9306">
        <v>-7.063003E-3</v>
      </c>
      <c r="S9306">
        <v>2.990631</v>
      </c>
      <c r="T9306">
        <v>-0.27446199999999998</v>
      </c>
      <c r="U9306">
        <v>9.8709110000000003E-2</v>
      </c>
      <c r="V9306">
        <v>1.8710979999999999E-2</v>
      </c>
      <c r="W9306">
        <v>-3.1859440000000003E-2</v>
      </c>
      <c r="X9306">
        <v>0.99931720000000002</v>
      </c>
      <c r="Y9306">
        <v>-2.1252429999999999E-2</v>
      </c>
      <c r="Z9306">
        <v>2.97371E-4</v>
      </c>
      <c r="AA9306">
        <v>0.9997741</v>
      </c>
      <c r="AB9306">
        <v>5</v>
      </c>
      <c r="AC9306">
        <v>12.17413</v>
      </c>
      <c r="AD9306">
        <v>-1.1219273002106001</v>
      </c>
      <c r="AE9306">
        <v>0.40309999999999402</v>
      </c>
      <c r="AF9306">
        <v>-0.258860382781748</v>
      </c>
      <c r="AG9306">
        <v>-1.1219273002106001</v>
      </c>
      <c r="AH9306">
        <v>12.0755603242244</v>
      </c>
      <c r="AI9306">
        <v>95.306838763956193</v>
      </c>
      <c r="AJ9306">
        <v>91.228045388712701</v>
      </c>
      <c r="AK9306">
        <v>12.1303292085876</v>
      </c>
      <c r="AL9306">
        <v>91.825720405137503</v>
      </c>
      <c r="AM9306">
        <v>88.927332652560096</v>
      </c>
      <c r="AN9306">
        <v>0.99999999545275697</v>
      </c>
    </row>
    <row r="9307" spans="1:40" x14ac:dyDescent="0.25">
      <c r="A9307" t="str">
        <f>"20190303154402196"</f>
        <v>20190303154402196</v>
      </c>
      <c r="B9307" t="str">
        <f>"1551599042189194"</f>
        <v>1551599042189194</v>
      </c>
      <c r="C9307" t="s">
        <v>40</v>
      </c>
      <c r="D9307">
        <v>5.3025949999999904</v>
      </c>
      <c r="E9307">
        <v>0.5210302</v>
      </c>
      <c r="F9307" t="s">
        <v>41</v>
      </c>
      <c r="G9307">
        <v>-99.503249999999994</v>
      </c>
      <c r="H9307" s="1">
        <v>-3.8451380000000001E-7</v>
      </c>
      <c r="I9307">
        <v>138.7542</v>
      </c>
      <c r="J9307">
        <v>-111.8788</v>
      </c>
      <c r="K9307">
        <v>1.12192</v>
      </c>
      <c r="L9307">
        <v>138.34200000000001</v>
      </c>
      <c r="M9307">
        <v>0.99978140000000004</v>
      </c>
      <c r="N9307">
        <v>-1.7445860000000001E-2</v>
      </c>
      <c r="O9307">
        <v>1.15245E-2</v>
      </c>
      <c r="P9307">
        <v>0.99883279999999997</v>
      </c>
      <c r="Q9307">
        <v>-4.768559E-2</v>
      </c>
      <c r="R9307">
        <v>-7.6817909999999899E-3</v>
      </c>
      <c r="S9307">
        <v>2.9910739999999998</v>
      </c>
      <c r="T9307">
        <v>-0.26998719999999998</v>
      </c>
      <c r="U9307">
        <v>9.9304199999999995E-2</v>
      </c>
      <c r="V9307">
        <v>1.9191960000000001E-2</v>
      </c>
      <c r="W9307">
        <v>-3.025694E-2</v>
      </c>
      <c r="X9307">
        <v>0.99935790000000002</v>
      </c>
      <c r="Y9307">
        <v>-2.158556E-2</v>
      </c>
      <c r="Z9307">
        <v>3.2368099999999998E-4</v>
      </c>
      <c r="AA9307">
        <v>0.99976690000000001</v>
      </c>
      <c r="AB9307">
        <v>5</v>
      </c>
      <c r="AC9307">
        <v>12.37555</v>
      </c>
      <c r="AD9307">
        <v>-1.1219203845137999</v>
      </c>
      <c r="AE9307">
        <v>0.41219999999998402</v>
      </c>
      <c r="AF9307">
        <v>-0.267334220000985</v>
      </c>
      <c r="AG9307">
        <v>-1.1219203845137999</v>
      </c>
      <c r="AH9307">
        <v>12.2786779533883</v>
      </c>
      <c r="AI9307">
        <v>95.219470744508897</v>
      </c>
      <c r="AJ9307">
        <v>91.247259925935694</v>
      </c>
      <c r="AK9307">
        <v>12.3327249712866</v>
      </c>
      <c r="AL9307">
        <v>91.733859562047499</v>
      </c>
      <c r="AM9307">
        <v>88.8998104112775</v>
      </c>
      <c r="AN9307">
        <v>1.0000000130196001</v>
      </c>
    </row>
    <row r="9308" spans="1:40" x14ac:dyDescent="0.25">
      <c r="A9308" t="str">
        <f>"20190303154402223"</f>
        <v>20190303154402223</v>
      </c>
      <c r="B9308" t="str">
        <f>"1551599042219450"</f>
        <v>1551599042219450</v>
      </c>
      <c r="C9308" t="s">
        <v>40</v>
      </c>
      <c r="D9308">
        <v>5.2624110000000002</v>
      </c>
      <c r="E9308">
        <v>0.52972229999999998</v>
      </c>
      <c r="F9308" t="s">
        <v>41</v>
      </c>
      <c r="G9308">
        <v>-99.00179</v>
      </c>
      <c r="H9308" s="1">
        <v>-8.8573549999999997E-7</v>
      </c>
      <c r="I9308">
        <v>137.51169999999999</v>
      </c>
      <c r="J9308">
        <v>-111.8167</v>
      </c>
      <c r="K9308">
        <v>1.121902</v>
      </c>
      <c r="L9308">
        <v>138.3426</v>
      </c>
      <c r="M9308">
        <v>0.99978630000000002</v>
      </c>
      <c r="N9308">
        <v>-1.727219E-2</v>
      </c>
      <c r="O9308">
        <v>1.136363E-2</v>
      </c>
      <c r="P9308">
        <v>0.99884830000000002</v>
      </c>
      <c r="Q9308">
        <v>-4.7233570000000002E-2</v>
      </c>
      <c r="R9308">
        <v>-8.4414639999999992E-3</v>
      </c>
      <c r="S9308">
        <v>2.9895779999999998</v>
      </c>
      <c r="T9308">
        <v>-0.26046970000000003</v>
      </c>
      <c r="U9308">
        <v>-0.192749</v>
      </c>
      <c r="V9308">
        <v>1.979096E-2</v>
      </c>
      <c r="W9308">
        <v>-2.9978399999999999E-2</v>
      </c>
      <c r="X9308">
        <v>0.99935459999999998</v>
      </c>
      <c r="Y9308">
        <v>7.530924E-2</v>
      </c>
      <c r="Z9308">
        <v>-4.715159E-3</v>
      </c>
      <c r="AA9308">
        <v>0.99714910000000001</v>
      </c>
      <c r="AB9308">
        <v>5</v>
      </c>
      <c r="AC9308">
        <v>12.8149099999999</v>
      </c>
      <c r="AD9308">
        <v>-1.1219028857355</v>
      </c>
      <c r="AE9308">
        <v>-0.83090000000001396</v>
      </c>
      <c r="AF9308">
        <v>0.96909548726976102</v>
      </c>
      <c r="AG9308">
        <v>-1.1219028857355</v>
      </c>
      <c r="AH9308">
        <v>12.7076498244319</v>
      </c>
      <c r="AI9308">
        <v>95.030780594624204</v>
      </c>
      <c r="AJ9308">
        <v>85.6390192569487</v>
      </c>
      <c r="AK9308">
        <v>12.7938335227895</v>
      </c>
      <c r="AL9308">
        <v>91.717893172482306</v>
      </c>
      <c r="AM9308">
        <v>88.865477502881504</v>
      </c>
      <c r="AN9308">
        <v>1.00000000155272</v>
      </c>
    </row>
    <row r="9309" spans="1:40" x14ac:dyDescent="0.25">
      <c r="A9309" t="str">
        <f>"20190303154402244"</f>
        <v>20190303154402244</v>
      </c>
      <c r="B9309" t="str">
        <f>"1551599042238969"</f>
        <v>1551599042238969</v>
      </c>
      <c r="C9309" t="s">
        <v>40</v>
      </c>
      <c r="D9309">
        <v>5.0956039999999998</v>
      </c>
      <c r="E9309">
        <v>0.53298259999999997</v>
      </c>
      <c r="F9309" t="s">
        <v>42</v>
      </c>
      <c r="G9309">
        <v>-111.05159999999999</v>
      </c>
      <c r="H9309">
        <v>1.049356</v>
      </c>
      <c r="I9309">
        <v>138.2747</v>
      </c>
      <c r="J9309">
        <v>-111.76739999999999</v>
      </c>
      <c r="K9309">
        <v>1.121883</v>
      </c>
      <c r="L9309">
        <v>138.34299999999999</v>
      </c>
      <c r="M9309">
        <v>0.99979030000000002</v>
      </c>
      <c r="N9309">
        <v>-1.712603E-2</v>
      </c>
      <c r="O9309">
        <v>1.12357E-2</v>
      </c>
      <c r="P9309">
        <v>0.99886299999999995</v>
      </c>
      <c r="Q9309">
        <v>-4.6942289999999998E-2</v>
      </c>
      <c r="R9309">
        <v>-8.3388279999999995E-3</v>
      </c>
      <c r="S9309">
        <v>2.9878230000000001</v>
      </c>
      <c r="T9309">
        <v>-0.28338730000000001</v>
      </c>
      <c r="U9309">
        <v>-0.26461790000000002</v>
      </c>
      <c r="V9309">
        <v>1.9560629999999999E-2</v>
      </c>
      <c r="W9309">
        <v>-2.9832890000000001E-2</v>
      </c>
      <c r="X9309">
        <v>0.99936349999999996</v>
      </c>
      <c r="Y9309">
        <v>9.8853819999999995E-2</v>
      </c>
      <c r="Z9309">
        <v>-6.3885210000000003E-3</v>
      </c>
      <c r="AA9309">
        <v>0.99508149999999995</v>
      </c>
      <c r="AB9309">
        <v>5</v>
      </c>
      <c r="AC9309">
        <v>0.71580000000000099</v>
      </c>
      <c r="AD9309">
        <v>-7.2526999999999994E-2</v>
      </c>
      <c r="AE9309">
        <v>-6.8299999999993505E-2</v>
      </c>
      <c r="AF9309">
        <v>7.5570546724822704E-2</v>
      </c>
      <c r="AG9309">
        <v>-7.2526999999999994E-2</v>
      </c>
      <c r="AH9309">
        <v>0.70778646989137295</v>
      </c>
      <c r="AI9309">
        <v>95.817848935526996</v>
      </c>
      <c r="AJ9309">
        <v>83.9056031169346</v>
      </c>
      <c r="AK9309">
        <v>0.71549476603437101</v>
      </c>
      <c r="AL9309">
        <v>91.709552314504293</v>
      </c>
      <c r="AM9309">
        <v>88.878687829153094</v>
      </c>
      <c r="AN9309">
        <v>1.0000000123519901</v>
      </c>
    </row>
    <row r="9310" spans="1:40" x14ac:dyDescent="0.25">
      <c r="A9310" t="str">
        <f>"20190303154402273"</f>
        <v>20190303154402273</v>
      </c>
      <c r="B9310" t="str">
        <f>"1551599042269226"</f>
        <v>1551599042269226</v>
      </c>
      <c r="C9310" t="s">
        <v>40</v>
      </c>
      <c r="D9310">
        <v>5.2436749999999996</v>
      </c>
      <c r="E9310">
        <v>0.5351918</v>
      </c>
      <c r="F9310" t="s">
        <v>42</v>
      </c>
      <c r="G9310">
        <v>-111.0063</v>
      </c>
      <c r="H9310">
        <v>1.0504610000000001</v>
      </c>
      <c r="I9310">
        <v>138.26900000000001</v>
      </c>
      <c r="J9310">
        <v>-111.7071</v>
      </c>
      <c r="K9310">
        <v>1.121861</v>
      </c>
      <c r="L9310">
        <v>138.34350000000001</v>
      </c>
      <c r="M9310">
        <v>0.99979510000000005</v>
      </c>
      <c r="N9310">
        <v>-1.6946619999999999E-2</v>
      </c>
      <c r="O9310">
        <v>1.107932E-2</v>
      </c>
      <c r="P9310">
        <v>0.99886180000000002</v>
      </c>
      <c r="Q9310">
        <v>-4.6940259999999998E-2</v>
      </c>
      <c r="R9310">
        <v>-8.475738E-3</v>
      </c>
      <c r="S9310">
        <v>2.9878390000000001</v>
      </c>
      <c r="T9310">
        <v>-0.28041860000000002</v>
      </c>
      <c r="U9310">
        <v>-0.29035949999999999</v>
      </c>
      <c r="V9310">
        <v>1.954154E-2</v>
      </c>
      <c r="W9310">
        <v>-3.0010169999999999E-2</v>
      </c>
      <c r="X9310">
        <v>0.99935850000000004</v>
      </c>
      <c r="Y9310">
        <v>0.10716349999999999</v>
      </c>
      <c r="Z9310">
        <v>-6.7669260000000004E-3</v>
      </c>
      <c r="AA9310">
        <v>0.99421839999999995</v>
      </c>
      <c r="AB9310">
        <v>5</v>
      </c>
      <c r="AC9310">
        <v>0.70080000000000098</v>
      </c>
      <c r="AD9310">
        <v>-7.1399999999999894E-2</v>
      </c>
      <c r="AE9310">
        <v>-7.4500000000000399E-2</v>
      </c>
      <c r="AF9310">
        <v>8.1425158830990704E-2</v>
      </c>
      <c r="AG9310">
        <v>-7.1399999999999894E-2</v>
      </c>
      <c r="AH9310">
        <v>0.69282015901786498</v>
      </c>
      <c r="AI9310">
        <v>95.844020861684299</v>
      </c>
      <c r="AJ9310">
        <v>83.296941388944404</v>
      </c>
      <c r="AK9310">
        <v>0.70123304915854601</v>
      </c>
      <c r="AL9310">
        <v>91.719714372942306</v>
      </c>
      <c r="AM9310">
        <v>88.879776280228697</v>
      </c>
      <c r="AN9310">
        <v>0.99999994680562398</v>
      </c>
    </row>
    <row r="9311" spans="1:40" x14ac:dyDescent="0.25">
      <c r="A9311" t="str">
        <f>"20190303154402295"</f>
        <v>20190303154402295</v>
      </c>
      <c r="B9311" t="str">
        <f>"1551599042289722"</f>
        <v>1551599042289722</v>
      </c>
      <c r="C9311" t="s">
        <v>40</v>
      </c>
      <c r="D9311">
        <v>5.1839209999999998</v>
      </c>
      <c r="E9311">
        <v>0.53603990000000001</v>
      </c>
      <c r="F9311" t="s">
        <v>41</v>
      </c>
      <c r="G9311">
        <v>-98.897170000000003</v>
      </c>
      <c r="H9311" s="1">
        <v>-1.051499E-6</v>
      </c>
      <c r="I9311">
        <v>137.02260000000001</v>
      </c>
      <c r="J9311">
        <v>-111.6592</v>
      </c>
      <c r="K9311">
        <v>1.121839</v>
      </c>
      <c r="L9311">
        <v>138.34379999999999</v>
      </c>
      <c r="M9311">
        <v>0.99979859999999998</v>
      </c>
      <c r="N9311">
        <v>-1.6815650000000001E-2</v>
      </c>
      <c r="O9311">
        <v>1.095523E-2</v>
      </c>
      <c r="P9311">
        <v>0.9988688</v>
      </c>
      <c r="Q9311">
        <v>-4.6803190000000001E-2</v>
      </c>
      <c r="R9311">
        <v>-8.4164010000000004E-3</v>
      </c>
      <c r="S9311">
        <v>2.9884949999999999</v>
      </c>
      <c r="T9311">
        <v>-0.26172380000000001</v>
      </c>
      <c r="U9311">
        <v>-0.30815120000000001</v>
      </c>
      <c r="V9311">
        <v>1.9358150000000001E-2</v>
      </c>
      <c r="W9311">
        <v>-3.000382E-2</v>
      </c>
      <c r="X9311">
        <v>0.99936230000000004</v>
      </c>
      <c r="Y9311">
        <v>0.1129235</v>
      </c>
      <c r="Z9311">
        <v>-6.648256E-3</v>
      </c>
      <c r="AA9311">
        <v>0.99358150000000001</v>
      </c>
      <c r="AB9311">
        <v>5</v>
      </c>
      <c r="AC9311">
        <v>12.762029999999999</v>
      </c>
      <c r="AD9311">
        <v>-1.1218400514989999</v>
      </c>
      <c r="AE9311">
        <v>-1.32119999999997</v>
      </c>
      <c r="AF9311">
        <v>1.4498668195565501</v>
      </c>
      <c r="AG9311">
        <v>-1.1218400514989999</v>
      </c>
      <c r="AH9311">
        <v>12.6500746630156</v>
      </c>
      <c r="AI9311">
        <v>95.035082316899306</v>
      </c>
      <c r="AJ9311">
        <v>83.461671567072599</v>
      </c>
      <c r="AK9311">
        <v>12.7822152960849</v>
      </c>
      <c r="AL9311">
        <v>91.719350311815603</v>
      </c>
      <c r="AM9311">
        <v>88.890290735530201</v>
      </c>
      <c r="AN9311">
        <v>0.999999986923652</v>
      </c>
    </row>
    <row r="9312" spans="1:40" x14ac:dyDescent="0.25">
      <c r="A9312" t="str">
        <f>"20190303154402319"</f>
        <v>20190303154402319</v>
      </c>
      <c r="B9312" t="str">
        <f>"1551599042309242"</f>
        <v>1551599042309242</v>
      </c>
      <c r="C9312" t="s">
        <v>40</v>
      </c>
      <c r="D9312">
        <v>5.2425369999999996</v>
      </c>
      <c r="E9312">
        <v>0.53613159999999904</v>
      </c>
      <c r="F9312" t="s">
        <v>41</v>
      </c>
      <c r="G9312">
        <v>-98.238730000000004</v>
      </c>
      <c r="H9312" s="1">
        <v>-1.2998119999999999E-6</v>
      </c>
      <c r="I9312">
        <v>136.9314</v>
      </c>
      <c r="J9312">
        <v>-111.6113</v>
      </c>
      <c r="K9312">
        <v>1.121823</v>
      </c>
      <c r="L9312">
        <v>138.3442</v>
      </c>
      <c r="M9312">
        <v>0.99980210000000003</v>
      </c>
      <c r="N9312">
        <v>-1.668799E-2</v>
      </c>
      <c r="O9312">
        <v>1.0830930000000001E-2</v>
      </c>
      <c r="P9312">
        <v>0.99882269999999895</v>
      </c>
      <c r="Q9312">
        <v>-4.778715E-2</v>
      </c>
      <c r="R9312">
        <v>-8.353882E-3</v>
      </c>
      <c r="S9312">
        <v>2.9890289999999999</v>
      </c>
      <c r="T9312">
        <v>-0.2498571</v>
      </c>
      <c r="U9312">
        <v>-0.3145599</v>
      </c>
      <c r="V9312">
        <v>1.9171029999999999E-2</v>
      </c>
      <c r="W9312">
        <v>-3.111593E-2</v>
      </c>
      <c r="X9312">
        <v>0.99933190000000005</v>
      </c>
      <c r="Y9312">
        <v>0.114926399999999</v>
      </c>
      <c r="Z9312">
        <v>-6.4670159999999999E-3</v>
      </c>
      <c r="AA9312">
        <v>0.99335289999999998</v>
      </c>
      <c r="AB9312">
        <v>5</v>
      </c>
      <c r="AC9312">
        <v>13.3725699999999</v>
      </c>
      <c r="AD9312">
        <v>-1.121824299812</v>
      </c>
      <c r="AE9312">
        <v>-1.4128000000000001</v>
      </c>
      <c r="AF9312">
        <v>1.5468091013193299</v>
      </c>
      <c r="AG9312">
        <v>-1.121824299812</v>
      </c>
      <c r="AH9312">
        <v>13.264164853334901</v>
      </c>
      <c r="AI9312">
        <v>94.801931167405201</v>
      </c>
      <c r="AJ9312">
        <v>83.3484592054958</v>
      </c>
      <c r="AK9312">
        <v>13.40108866518</v>
      </c>
      <c r="AL9312">
        <v>91.783099298248302</v>
      </c>
      <c r="AM9312">
        <v>88.900981354702793</v>
      </c>
      <c r="AN9312">
        <v>0.99999998792431699</v>
      </c>
    </row>
    <row r="9313" spans="1:40" x14ac:dyDescent="0.25">
      <c r="A9313" t="str">
        <f>"20190303154402342"</f>
        <v>20190303154402342</v>
      </c>
      <c r="B9313" t="str">
        <f>"1551599042329742"</f>
        <v>1551599042329742</v>
      </c>
      <c r="C9313" t="s">
        <v>40</v>
      </c>
      <c r="D9313">
        <v>5.2396379999999896</v>
      </c>
      <c r="E9313">
        <v>0.53622479999999995</v>
      </c>
      <c r="F9313" t="s">
        <v>41</v>
      </c>
      <c r="G9313">
        <v>-98.94229</v>
      </c>
      <c r="H9313" s="1">
        <v>-1.040177E-6</v>
      </c>
      <c r="I9313">
        <v>137.00739999999999</v>
      </c>
      <c r="J9313">
        <v>-111.5615</v>
      </c>
      <c r="K9313">
        <v>1.121799</v>
      </c>
      <c r="L9313">
        <v>138.34460000000001</v>
      </c>
      <c r="M9313">
        <v>0.99980599999999997</v>
      </c>
      <c r="N9313">
        <v>-1.654452E-2</v>
      </c>
      <c r="O9313">
        <v>1.070139E-2</v>
      </c>
      <c r="P9313">
        <v>0.99881089999999995</v>
      </c>
      <c r="Q9313">
        <v>-4.8029830000000003E-2</v>
      </c>
      <c r="R9313">
        <v>-8.371369E-3</v>
      </c>
      <c r="S9313">
        <v>2.988235</v>
      </c>
      <c r="T9313">
        <v>-0.26460420000000001</v>
      </c>
      <c r="U9313">
        <v>-0.31530760000000002</v>
      </c>
      <c r="V9313">
        <v>1.9058800000000001E-2</v>
      </c>
      <c r="W9313">
        <v>-3.1502080000000002E-2</v>
      </c>
      <c r="X9313">
        <v>0.99932189999999999</v>
      </c>
      <c r="Y9313">
        <v>0.1150147</v>
      </c>
      <c r="Z9313">
        <v>-6.7915739999999999E-3</v>
      </c>
      <c r="AA9313">
        <v>0.99334060000000002</v>
      </c>
      <c r="AB9313">
        <v>5</v>
      </c>
      <c r="AC9313">
        <v>12.619209999999899</v>
      </c>
      <c r="AD9313">
        <v>-1.1218000401770001</v>
      </c>
      <c r="AE9313">
        <v>-1.3372000000000199</v>
      </c>
      <c r="AF9313">
        <v>1.46076936107371</v>
      </c>
      <c r="AG9313">
        <v>-1.1218000401770001</v>
      </c>
      <c r="AH9313">
        <v>12.5064401750792</v>
      </c>
      <c r="AI9313">
        <v>95.091160996295898</v>
      </c>
      <c r="AJ9313">
        <v>83.337960711702394</v>
      </c>
      <c r="AK9313">
        <v>12.6413341190409</v>
      </c>
      <c r="AL9313">
        <v>91.805235003532104</v>
      </c>
      <c r="AM9313">
        <v>88.907402675003297</v>
      </c>
      <c r="AN9313">
        <v>0.99999993936068599</v>
      </c>
    </row>
    <row r="9314" spans="1:40" x14ac:dyDescent="0.25">
      <c r="A9314" t="str">
        <f>"20190303154402365"</f>
        <v>20190303154402365</v>
      </c>
      <c r="B9314" t="str">
        <f>"1551599042359018"</f>
        <v>1551599042359018</v>
      </c>
      <c r="C9314" t="s">
        <v>40</v>
      </c>
      <c r="D9314">
        <v>5.2482439999999997</v>
      </c>
      <c r="E9314">
        <v>0.53632279999999999</v>
      </c>
      <c r="F9314" t="s">
        <v>42</v>
      </c>
      <c r="G9314">
        <v>-110.7899</v>
      </c>
      <c r="H9314">
        <v>1.050983</v>
      </c>
      <c r="I9314">
        <v>138.2629</v>
      </c>
      <c r="J9314">
        <v>-111.5128</v>
      </c>
      <c r="K9314">
        <v>1.1217760000000001</v>
      </c>
      <c r="L9314">
        <v>138.345</v>
      </c>
      <c r="M9314">
        <v>0.99980959999999997</v>
      </c>
      <c r="N9314">
        <v>-1.640349E-2</v>
      </c>
      <c r="O9314">
        <v>1.0574790000000001E-2</v>
      </c>
      <c r="P9314">
        <v>0.99883330000000004</v>
      </c>
      <c r="Q9314">
        <v>-4.7660769999999998E-2</v>
      </c>
      <c r="R9314">
        <v>-7.7740500000000002E-3</v>
      </c>
      <c r="S9314">
        <v>2.9877470000000002</v>
      </c>
      <c r="T9314">
        <v>-0.27421610000000002</v>
      </c>
      <c r="U9314">
        <v>-0.31623839999999998</v>
      </c>
      <c r="V9314">
        <v>1.8335500000000001E-2</v>
      </c>
      <c r="W9314">
        <v>-3.1273460000000003E-2</v>
      </c>
      <c r="X9314">
        <v>0.99934270000000003</v>
      </c>
      <c r="Y9314">
        <v>0.115173499999999</v>
      </c>
      <c r="Z9314">
        <v>-7.0025590000000002E-3</v>
      </c>
      <c r="AA9314">
        <v>0.99332069999999995</v>
      </c>
      <c r="AB9314">
        <v>5</v>
      </c>
      <c r="AC9314">
        <v>0.72289999999999499</v>
      </c>
      <c r="AD9314">
        <v>-7.0793000000000106E-2</v>
      </c>
      <c r="AE9314">
        <v>-8.2099999999996898E-2</v>
      </c>
      <c r="AF9314">
        <v>8.8899253641427797E-2</v>
      </c>
      <c r="AG9314">
        <v>-7.0793000000000106E-2</v>
      </c>
      <c r="AH9314">
        <v>0.71521956063132097</v>
      </c>
      <c r="AI9314">
        <v>95.6098787127452</v>
      </c>
      <c r="AJ9314">
        <v>82.914677265504807</v>
      </c>
      <c r="AK9314">
        <v>0.72419178817262397</v>
      </c>
      <c r="AL9314">
        <v>91.792129429094103</v>
      </c>
      <c r="AM9314">
        <v>88.948880192770801</v>
      </c>
      <c r="AN9314">
        <v>1.0000000259519499</v>
      </c>
    </row>
    <row r="9315" spans="1:40" x14ac:dyDescent="0.25">
      <c r="A9315" t="str">
        <f>"20190303154402390"</f>
        <v>20190303154402390</v>
      </c>
      <c r="B9315" t="str">
        <f>"1551599042379514"</f>
        <v>1551599042379514</v>
      </c>
      <c r="C9315" t="s">
        <v>40</v>
      </c>
      <c r="D9315">
        <v>5.2916249999999998</v>
      </c>
      <c r="E9315">
        <v>0.53641689999999997</v>
      </c>
      <c r="F9315" t="s">
        <v>42</v>
      </c>
      <c r="G9315">
        <v>-110.755</v>
      </c>
      <c r="H9315">
        <v>1.0500989999999999</v>
      </c>
      <c r="I9315">
        <v>138.26480000000001</v>
      </c>
      <c r="J9315">
        <v>-111.46429999999999</v>
      </c>
      <c r="K9315">
        <v>1.1217680000000001</v>
      </c>
      <c r="L9315">
        <v>138.34540000000001</v>
      </c>
      <c r="M9315">
        <v>0.99981299999999995</v>
      </c>
      <c r="N9315">
        <v>-1.627661E-2</v>
      </c>
      <c r="O9315">
        <v>1.0448900000000001E-2</v>
      </c>
      <c r="P9315">
        <v>0.99885619999999997</v>
      </c>
      <c r="Q9315">
        <v>-4.725352E-2</v>
      </c>
      <c r="R9315">
        <v>-7.3233069999999898E-3</v>
      </c>
      <c r="S9315">
        <v>2.9875639999999999</v>
      </c>
      <c r="T9315">
        <v>-0.28267599999999998</v>
      </c>
      <c r="U9315">
        <v>-0.31558229999999998</v>
      </c>
      <c r="V9315">
        <v>1.7759230000000001E-2</v>
      </c>
      <c r="W9315">
        <v>-3.0992519999999999E-2</v>
      </c>
      <c r="X9315">
        <v>0.99936179999999997</v>
      </c>
      <c r="Y9315">
        <v>0.1148069</v>
      </c>
      <c r="Z9315">
        <v>-7.1583159999999996E-3</v>
      </c>
      <c r="AA9315">
        <v>0.99336199999999997</v>
      </c>
      <c r="AB9315">
        <v>5</v>
      </c>
      <c r="AC9315">
        <v>0.70929999999999804</v>
      </c>
      <c r="AD9315">
        <v>-7.1669000000000205E-2</v>
      </c>
      <c r="AE9315">
        <v>-8.0600000000004002E-2</v>
      </c>
      <c r="AF9315">
        <v>8.7129776851830404E-2</v>
      </c>
      <c r="AG9315">
        <v>-7.1669000000000205E-2</v>
      </c>
      <c r="AH9315">
        <v>0.70134985210319001</v>
      </c>
      <c r="AI9315">
        <v>95.790438178160997</v>
      </c>
      <c r="AJ9315">
        <v>82.918339507215407</v>
      </c>
      <c r="AK9315">
        <v>0.71036586251059097</v>
      </c>
      <c r="AL9315">
        <v>91.776025051401604</v>
      </c>
      <c r="AM9315">
        <v>88.9819284296034</v>
      </c>
      <c r="AN9315">
        <v>0.999999966922691</v>
      </c>
    </row>
    <row r="9316" spans="1:40" x14ac:dyDescent="0.25">
      <c r="A9316" t="str">
        <f>"20190303154402414"</f>
        <v>20190303154402414</v>
      </c>
      <c r="B9316" t="str">
        <f>"1551599042409770"</f>
        <v>1551599042409770</v>
      </c>
      <c r="C9316" t="s">
        <v>40</v>
      </c>
      <c r="D9316">
        <v>5.3314329999999996</v>
      </c>
      <c r="E9316">
        <v>0.53667349999999903</v>
      </c>
      <c r="F9316" t="s">
        <v>42</v>
      </c>
      <c r="G9316">
        <v>-110.7154</v>
      </c>
      <c r="H9316">
        <v>1.0498799999999999</v>
      </c>
      <c r="I9316">
        <v>138.2664</v>
      </c>
      <c r="J9316">
        <v>-111.4169</v>
      </c>
      <c r="K9316">
        <v>1.1217549999999901</v>
      </c>
      <c r="L9316">
        <v>138.34569999999999</v>
      </c>
      <c r="M9316">
        <v>0.99981609999999999</v>
      </c>
      <c r="N9316">
        <v>-1.6160689999999998E-2</v>
      </c>
      <c r="O9316">
        <v>1.0326129999999999E-2</v>
      </c>
      <c r="P9316">
        <v>0.99885809999999997</v>
      </c>
      <c r="Q9316">
        <v>-4.7295700000000003E-2</v>
      </c>
      <c r="R9316">
        <v>-6.7511450000000001E-3</v>
      </c>
      <c r="S9316">
        <v>2.9875639999999999</v>
      </c>
      <c r="T9316">
        <v>-0.28678690000000001</v>
      </c>
      <c r="U9316">
        <v>-0.31492609999999999</v>
      </c>
      <c r="V9316">
        <v>1.70645E-2</v>
      </c>
      <c r="W9316">
        <v>-3.115035E-2</v>
      </c>
      <c r="X9316">
        <v>0.99936899999999995</v>
      </c>
      <c r="Y9316">
        <v>0.11445470000000001</v>
      </c>
      <c r="Z9316">
        <v>-7.2160119999999999E-3</v>
      </c>
      <c r="AA9316">
        <v>0.99340220000000001</v>
      </c>
      <c r="AB9316">
        <v>5</v>
      </c>
      <c r="AC9316">
        <v>0.70149999999999502</v>
      </c>
      <c r="AD9316">
        <v>-7.1874999999999897E-2</v>
      </c>
      <c r="AE9316">
        <v>-7.9299999999989199E-2</v>
      </c>
      <c r="AF9316">
        <v>8.5652673557401304E-2</v>
      </c>
      <c r="AG9316">
        <v>-7.1874999999999897E-2</v>
      </c>
      <c r="AH9316">
        <v>0.69345567979401801</v>
      </c>
      <c r="AI9316">
        <v>95.873123530793194</v>
      </c>
      <c r="AJ9316">
        <v>82.958733844214507</v>
      </c>
      <c r="AK9316">
        <v>0.70241239735009997</v>
      </c>
      <c r="AL9316">
        <v>91.785072407799703</v>
      </c>
      <c r="AM9316">
        <v>89.021753903941701</v>
      </c>
      <c r="AN9316">
        <v>0.99999996981318495</v>
      </c>
    </row>
    <row r="9317" spans="1:40" x14ac:dyDescent="0.25">
      <c r="A9317" t="str">
        <f>"20190303154402435"</f>
        <v>20190303154402435</v>
      </c>
      <c r="B9317" t="str">
        <f>"1551599042429290"</f>
        <v>1551599042429290</v>
      </c>
      <c r="C9317" t="s">
        <v>40</v>
      </c>
      <c r="D9317">
        <v>5.4869450000000004</v>
      </c>
      <c r="E9317">
        <v>0.53678800000000004</v>
      </c>
      <c r="F9317" t="s">
        <v>42</v>
      </c>
      <c r="G9317">
        <v>-110.67659999999999</v>
      </c>
      <c r="H9317">
        <v>1.0492300000000001</v>
      </c>
      <c r="I9317">
        <v>138.26750000000001</v>
      </c>
      <c r="J9317">
        <v>-111.37560000000001</v>
      </c>
      <c r="K9317">
        <v>1.1217330000000001</v>
      </c>
      <c r="L9317">
        <v>138.346</v>
      </c>
      <c r="M9317">
        <v>0.99981889999999995</v>
      </c>
      <c r="N9317">
        <v>-1.605782E-2</v>
      </c>
      <c r="O9317">
        <v>1.021916E-2</v>
      </c>
      <c r="P9317">
        <v>0.99881520000000001</v>
      </c>
      <c r="Q9317">
        <v>-4.8196820000000001E-2</v>
      </c>
      <c r="R9317">
        <v>-6.7404329999999997E-3</v>
      </c>
      <c r="S9317">
        <v>2.9874420000000002</v>
      </c>
      <c r="T9317">
        <v>-0.2927823</v>
      </c>
      <c r="U9317">
        <v>-0.31533810000000001</v>
      </c>
      <c r="V9317">
        <v>1.6946409999999999E-2</v>
      </c>
      <c r="W9317">
        <v>-3.2154799999999997E-2</v>
      </c>
      <c r="X9317">
        <v>0.99933919999999998</v>
      </c>
      <c r="Y9317">
        <v>0.1144635</v>
      </c>
      <c r="Z9317">
        <v>-7.3375150000000002E-3</v>
      </c>
      <c r="AA9317">
        <v>0.99340030000000001</v>
      </c>
      <c r="AB9317">
        <v>4</v>
      </c>
      <c r="AC9317">
        <v>0.69900000000001195</v>
      </c>
      <c r="AD9317">
        <v>-7.2503000000000206E-2</v>
      </c>
      <c r="AE9317">
        <v>-7.8499999999991105E-2</v>
      </c>
      <c r="AF9317">
        <v>8.4739684203555807E-2</v>
      </c>
      <c r="AG9317">
        <v>-7.2503000000000206E-2</v>
      </c>
      <c r="AH9317">
        <v>0.69082144924481204</v>
      </c>
      <c r="AI9317">
        <v>95.947112920622004</v>
      </c>
      <c r="AJ9317">
        <v>83.006742878454205</v>
      </c>
      <c r="AK9317">
        <v>0.69976551345763005</v>
      </c>
      <c r="AL9317">
        <v>91.842652000712206</v>
      </c>
      <c r="AM9317">
        <v>89.028493311201103</v>
      </c>
      <c r="AN9317">
        <v>0.99999997431578302</v>
      </c>
    </row>
    <row r="9318" spans="1:40" x14ac:dyDescent="0.25">
      <c r="A9318" t="str">
        <f>"20190303154402457"</f>
        <v>20190303154402457</v>
      </c>
      <c r="B9318" t="str">
        <f>"1551599042449786"</f>
        <v>1551599042449786</v>
      </c>
      <c r="C9318" t="s">
        <v>40</v>
      </c>
      <c r="D9318">
        <v>5.2513430000000003</v>
      </c>
      <c r="E9318">
        <v>0.53648899999999999</v>
      </c>
      <c r="F9318" t="s">
        <v>42</v>
      </c>
      <c r="G9318">
        <v>-110.639</v>
      </c>
      <c r="H9318">
        <v>1.047965</v>
      </c>
      <c r="I9318">
        <v>138.2679</v>
      </c>
      <c r="J9318">
        <v>-111.3325</v>
      </c>
      <c r="K9318">
        <v>1.1217200000000001</v>
      </c>
      <c r="L9318">
        <v>138.34630000000001</v>
      </c>
      <c r="M9318">
        <v>0.99982170000000004</v>
      </c>
      <c r="N9318">
        <v>-1.5953620000000002E-2</v>
      </c>
      <c r="O9318">
        <v>1.010779E-2</v>
      </c>
      <c r="P9318">
        <v>0.99880610000000003</v>
      </c>
      <c r="Q9318">
        <v>-4.8421930000000002E-2</v>
      </c>
      <c r="R9318">
        <v>-6.4646060000000003E-3</v>
      </c>
      <c r="S9318">
        <v>2.9869840000000001</v>
      </c>
      <c r="T9318">
        <v>-0.29919370000000001</v>
      </c>
      <c r="U9318">
        <v>-0.31639099999999998</v>
      </c>
      <c r="V9318">
        <v>1.655935E-2</v>
      </c>
      <c r="W9318">
        <v>-3.248405E-2</v>
      </c>
      <c r="X9318">
        <v>0.99933510000000003</v>
      </c>
      <c r="Y9318">
        <v>0.1146867</v>
      </c>
      <c r="Z9318">
        <v>-7.4805019999999896E-3</v>
      </c>
      <c r="AA9318">
        <v>0.99337359999999997</v>
      </c>
      <c r="AB9318">
        <v>4</v>
      </c>
      <c r="AC9318">
        <v>0.69350000000000001</v>
      </c>
      <c r="AD9318">
        <v>-7.3755000000000001E-2</v>
      </c>
      <c r="AE9318">
        <v>-7.8400000000016207E-2</v>
      </c>
      <c r="AF9318">
        <v>8.4463352724370194E-2</v>
      </c>
      <c r="AG9318">
        <v>-7.3755000000000001E-2</v>
      </c>
      <c r="AH9318">
        <v>0.68502170059656597</v>
      </c>
      <c r="AI9318">
        <v>96.099418215091404</v>
      </c>
      <c r="AJ9318">
        <v>82.970893365890305</v>
      </c>
      <c r="AK9318">
        <v>0.69413873848579599</v>
      </c>
      <c r="AL9318">
        <v>91.861526386061001</v>
      </c>
      <c r="AM9318">
        <v>89.050674750686099</v>
      </c>
      <c r="AN9318">
        <v>1.0000000338344099</v>
      </c>
    </row>
    <row r="9319" spans="1:40" x14ac:dyDescent="0.25">
      <c r="A9319" t="str">
        <f>"20190303154402476"</f>
        <v>20190303154402476</v>
      </c>
      <c r="B9319" t="str">
        <f>"1551599042469305"</f>
        <v>1551599042469305</v>
      </c>
      <c r="C9319" t="s">
        <v>40</v>
      </c>
      <c r="D9319">
        <v>5.3803109999999998</v>
      </c>
      <c r="E9319">
        <v>0.50369419999999998</v>
      </c>
      <c r="F9319" t="s">
        <v>42</v>
      </c>
      <c r="G9319">
        <v>-110.5652</v>
      </c>
      <c r="H9319">
        <v>1.045064</v>
      </c>
      <c r="I9319">
        <v>138.26580000000001</v>
      </c>
      <c r="J9319">
        <v>-111.2974</v>
      </c>
      <c r="K9319">
        <v>1.121713</v>
      </c>
      <c r="L9319">
        <v>138.3466</v>
      </c>
      <c r="M9319">
        <v>0.99982389999999999</v>
      </c>
      <c r="N9319">
        <v>-1.587674E-2</v>
      </c>
      <c r="O9319">
        <v>1.0018010000000001E-2</v>
      </c>
      <c r="P9319">
        <v>0.99886169999999996</v>
      </c>
      <c r="Q9319">
        <v>-4.7373619999999998E-2</v>
      </c>
      <c r="R9319">
        <v>-5.5959670000000003E-3</v>
      </c>
      <c r="S9319">
        <v>2.9870909999999999</v>
      </c>
      <c r="T9319">
        <v>-0.29850589999999999</v>
      </c>
      <c r="U9319">
        <v>-0.31321719999999997</v>
      </c>
      <c r="V9319">
        <v>1.560163E-2</v>
      </c>
      <c r="W9319">
        <v>-3.1511579999999997E-2</v>
      </c>
      <c r="X9319">
        <v>0.99938159999999998</v>
      </c>
      <c r="Y9319">
        <v>0.11355990000000001</v>
      </c>
      <c r="Z9319">
        <v>-7.3890099999999997E-3</v>
      </c>
      <c r="AA9319">
        <v>0.99350369999999999</v>
      </c>
      <c r="AB9319">
        <v>4</v>
      </c>
      <c r="AC9319">
        <v>0.73219999999999097</v>
      </c>
      <c r="AD9319">
        <v>-7.6648999999999898E-2</v>
      </c>
      <c r="AE9319">
        <v>-8.0799999999982206E-2</v>
      </c>
      <c r="AF9319">
        <v>8.7188094093450894E-2</v>
      </c>
      <c r="AG9319">
        <v>-7.6648999999999898E-2</v>
      </c>
      <c r="AH9319">
        <v>0.72352034051352698</v>
      </c>
      <c r="AI9319">
        <v>96.004182973505195</v>
      </c>
      <c r="AJ9319">
        <v>83.128683163702107</v>
      </c>
      <c r="AK9319">
        <v>0.73277453291545203</v>
      </c>
      <c r="AL9319">
        <v>91.805779498727304</v>
      </c>
      <c r="AM9319">
        <v>89.105611966020106</v>
      </c>
      <c r="AN9319">
        <v>0.99999998647565602</v>
      </c>
    </row>
    <row r="9320" spans="1:40" x14ac:dyDescent="0.25">
      <c r="A9320" t="str">
        <f>"20190303154402496"</f>
        <v>20190303154402496</v>
      </c>
      <c r="B9320" t="str">
        <f>"1551599042489802"</f>
        <v>1551599042489802</v>
      </c>
      <c r="C9320" t="s">
        <v>40</v>
      </c>
      <c r="D9320">
        <v>5.3847930000000002</v>
      </c>
      <c r="E9320">
        <v>0.50330079999999999</v>
      </c>
      <c r="F9320" t="s">
        <v>42</v>
      </c>
      <c r="G9320">
        <v>-110.5264</v>
      </c>
      <c r="H9320">
        <v>1.0447979999999999</v>
      </c>
      <c r="I9320">
        <v>138.3339</v>
      </c>
      <c r="J9320">
        <v>-111.25920000000001</v>
      </c>
      <c r="K9320">
        <v>1.121712</v>
      </c>
      <c r="L9320">
        <v>138.3468</v>
      </c>
      <c r="M9320">
        <v>0.99982590000000005</v>
      </c>
      <c r="N9320">
        <v>-1.5803040000000001E-2</v>
      </c>
      <c r="O9320">
        <v>9.9218829999999994E-3</v>
      </c>
      <c r="P9320">
        <v>0.99890489999999998</v>
      </c>
      <c r="Q9320">
        <v>-4.6555609999999997E-2</v>
      </c>
      <c r="R9320">
        <v>-4.6585669999999997E-3</v>
      </c>
      <c r="S9320">
        <v>2.988998</v>
      </c>
      <c r="T9320">
        <v>-0.29826770000000002</v>
      </c>
      <c r="U9320">
        <v>-4.8965450000000001E-2</v>
      </c>
      <c r="V9320">
        <v>1.456878E-2</v>
      </c>
      <c r="W9320">
        <v>-3.0766390000000001E-2</v>
      </c>
      <c r="X9320">
        <v>0.99942039999999999</v>
      </c>
      <c r="Y9320">
        <v>2.6115469999999998E-2</v>
      </c>
      <c r="Z9320">
        <v>-2.3377810000000001E-3</v>
      </c>
      <c r="AA9320">
        <v>0.99965619999999999</v>
      </c>
      <c r="AB9320">
        <v>4</v>
      </c>
      <c r="AC9320">
        <v>0.732800000000011</v>
      </c>
      <c r="AD9320">
        <v>-7.6914000000000093E-2</v>
      </c>
      <c r="AE9320">
        <v>-1.29000000000019E-2</v>
      </c>
      <c r="AF9320">
        <v>1.9951305185850001E-2</v>
      </c>
      <c r="AG9320">
        <v>-7.6914000000000093E-2</v>
      </c>
      <c r="AH9320">
        <v>0.72465528935180201</v>
      </c>
      <c r="AI9320">
        <v>96.0563409481978</v>
      </c>
      <c r="AJ9320">
        <v>88.422923430890606</v>
      </c>
      <c r="AK9320">
        <v>0.72899870120608801</v>
      </c>
      <c r="AL9320">
        <v>91.763062555152999</v>
      </c>
      <c r="AM9320">
        <v>89.164845455691705</v>
      </c>
      <c r="AN9320">
        <v>0.99999997802023999</v>
      </c>
    </row>
    <row r="9321" spans="1:40" x14ac:dyDescent="0.25">
      <c r="A9321" t="str">
        <f>"20190303154402520"</f>
        <v>20190303154402520</v>
      </c>
      <c r="B9321" t="str">
        <f>"1551599042509322"</f>
        <v>1551599042509322</v>
      </c>
      <c r="C9321" t="s">
        <v>40</v>
      </c>
      <c r="D9321">
        <v>5.3853039999999996</v>
      </c>
      <c r="E9321">
        <v>0.50356920000000005</v>
      </c>
      <c r="F9321" t="s">
        <v>42</v>
      </c>
      <c r="G9321">
        <v>-110.494</v>
      </c>
      <c r="H9321">
        <v>1.0397299999999901</v>
      </c>
      <c r="I9321">
        <v>138.3357</v>
      </c>
      <c r="J9321">
        <v>-111.2166</v>
      </c>
      <c r="K9321">
        <v>1.1217060000000001</v>
      </c>
      <c r="L9321">
        <v>138.34710000000001</v>
      </c>
      <c r="M9321">
        <v>0.99982819999999994</v>
      </c>
      <c r="N9321">
        <v>-1.5729489999999999E-2</v>
      </c>
      <c r="O9321">
        <v>9.8161140000000008E-3</v>
      </c>
      <c r="P9321">
        <v>0.99894550000000004</v>
      </c>
      <c r="Q9321">
        <v>-4.5692620000000003E-2</v>
      </c>
      <c r="R9321">
        <v>-4.4982399999999997E-3</v>
      </c>
      <c r="S9321">
        <v>2.988159</v>
      </c>
      <c r="T9321">
        <v>-0.32015900000000003</v>
      </c>
      <c r="U9321">
        <v>-4.3365479999999998E-2</v>
      </c>
      <c r="V9321">
        <v>1.4303379999999999E-2</v>
      </c>
      <c r="W9321">
        <v>-2.9976260000000001E-2</v>
      </c>
      <c r="X9321">
        <v>0.99944820000000001</v>
      </c>
      <c r="Y9321">
        <v>2.4127160000000002E-2</v>
      </c>
      <c r="Z9321">
        <v>-2.3738100000000001E-3</v>
      </c>
      <c r="AA9321">
        <v>0.99970610000000004</v>
      </c>
      <c r="AB9321">
        <v>4</v>
      </c>
      <c r="AC9321">
        <v>0.72259999999999902</v>
      </c>
      <c r="AD9321">
        <v>-8.1975999999999993E-2</v>
      </c>
      <c r="AE9321">
        <v>-1.14000000000089E-2</v>
      </c>
      <c r="AF9321">
        <v>1.8258523347206099E-2</v>
      </c>
      <c r="AG9321">
        <v>-8.1975999999999993E-2</v>
      </c>
      <c r="AH9321">
        <v>0.71327570690179598</v>
      </c>
      <c r="AI9321">
        <v>96.554048137289698</v>
      </c>
      <c r="AJ9321">
        <v>88.533655486860496</v>
      </c>
      <c r="AK9321">
        <v>0.71820308569865998</v>
      </c>
      <c r="AL9321">
        <v>91.717770621038397</v>
      </c>
      <c r="AM9321">
        <v>89.180080204189906</v>
      </c>
      <c r="AN9321">
        <v>0.99999993366312301</v>
      </c>
    </row>
    <row r="9322" spans="1:40" x14ac:dyDescent="0.25">
      <c r="A9322" t="str">
        <f>"20190303154402543"</f>
        <v>20190303154402543</v>
      </c>
      <c r="B9322" t="str">
        <f>"1551599042539578"</f>
        <v>1551599042539578</v>
      </c>
      <c r="C9322" t="s">
        <v>40</v>
      </c>
      <c r="D9322">
        <v>5.4297890000000004</v>
      </c>
      <c r="E9322">
        <v>0.50375000000000003</v>
      </c>
      <c r="F9322" t="s">
        <v>42</v>
      </c>
      <c r="G9322">
        <v>-110.45910000000001</v>
      </c>
      <c r="H9322">
        <v>1.0383389999999999</v>
      </c>
      <c r="I9322">
        <v>138.3356</v>
      </c>
      <c r="J9322">
        <v>-111.17449999999999</v>
      </c>
      <c r="K9322">
        <v>1.1216999999999999</v>
      </c>
      <c r="L9322">
        <v>138.34739999999999</v>
      </c>
      <c r="M9322">
        <v>0.9998302</v>
      </c>
      <c r="N9322">
        <v>-1.5662769999999999E-2</v>
      </c>
      <c r="O9322">
        <v>9.7147039999999994E-3</v>
      </c>
      <c r="P9322">
        <v>0.998915</v>
      </c>
      <c r="Q9322">
        <v>-4.6318039999999998E-2</v>
      </c>
      <c r="R9322">
        <v>-4.8578420000000002E-3</v>
      </c>
      <c r="S9322">
        <v>2.9879150000000001</v>
      </c>
      <c r="T9322">
        <v>-0.32888230000000002</v>
      </c>
      <c r="U9322">
        <v>-4.5318600000000001E-2</v>
      </c>
      <c r="V9322">
        <v>1.456153E-2</v>
      </c>
      <c r="W9322">
        <v>-3.066876E-2</v>
      </c>
      <c r="X9322">
        <v>0.99942350000000002</v>
      </c>
      <c r="Y9322">
        <v>2.4666190000000001E-2</v>
      </c>
      <c r="Z9322">
        <v>-2.4614749999999999E-3</v>
      </c>
      <c r="AA9322">
        <v>0.99969269999999999</v>
      </c>
      <c r="AB9322">
        <v>4</v>
      </c>
      <c r="AC9322">
        <v>0.71539999999998805</v>
      </c>
      <c r="AD9322">
        <v>-8.3361000000000005E-2</v>
      </c>
      <c r="AE9322">
        <v>-1.17999999999938E-2</v>
      </c>
      <c r="AF9322">
        <v>1.8499086729852399E-2</v>
      </c>
      <c r="AG9322">
        <v>-8.3361000000000005E-2</v>
      </c>
      <c r="AH9322">
        <v>0.70567273988548995</v>
      </c>
      <c r="AI9322">
        <v>96.734825861551997</v>
      </c>
      <c r="AJ9322">
        <v>88.498345144453396</v>
      </c>
      <c r="AK9322">
        <v>0.71082015190084002</v>
      </c>
      <c r="AL9322">
        <v>91.757466138298298</v>
      </c>
      <c r="AM9322">
        <v>89.165263591554506</v>
      </c>
      <c r="AN9322">
        <v>0.99999997167406396</v>
      </c>
    </row>
    <row r="9323" spans="1:40" x14ac:dyDescent="0.25">
      <c r="A9323" t="str">
        <f>"20190303154402563"</f>
        <v>20190303154402563</v>
      </c>
      <c r="B9323" t="str">
        <f>"1551599042559099"</f>
        <v>1551599042559099</v>
      </c>
      <c r="C9323" t="s">
        <v>40</v>
      </c>
      <c r="D9323">
        <v>5.4699159999999996</v>
      </c>
      <c r="E9323">
        <v>0.50386179999999903</v>
      </c>
      <c r="F9323" t="s">
        <v>42</v>
      </c>
      <c r="G9323">
        <v>-110.4252</v>
      </c>
      <c r="H9323">
        <v>1.036079</v>
      </c>
      <c r="I9323">
        <v>138.33529999999999</v>
      </c>
      <c r="J9323">
        <v>-111.1387</v>
      </c>
      <c r="K9323">
        <v>1.1216980000000001</v>
      </c>
      <c r="L9323">
        <v>138.3477</v>
      </c>
      <c r="M9323">
        <v>0.99983180000000005</v>
      </c>
      <c r="N9323">
        <v>-1.5611470000000001E-2</v>
      </c>
      <c r="O9323">
        <v>9.6317659999999999E-3</v>
      </c>
      <c r="P9323">
        <v>0.99890069999999997</v>
      </c>
      <c r="Q9323">
        <v>-4.6557800000000003E-2</v>
      </c>
      <c r="R9323">
        <v>-5.501054E-3</v>
      </c>
      <c r="S9323">
        <v>2.9871979999999998</v>
      </c>
      <c r="T9323">
        <v>-0.34141369999999999</v>
      </c>
      <c r="U9323">
        <v>-4.795837E-2</v>
      </c>
      <c r="V9323">
        <v>1.512169E-2</v>
      </c>
      <c r="W9323">
        <v>-3.0960029999999999E-2</v>
      </c>
      <c r="X9323">
        <v>0.99940620000000002</v>
      </c>
      <c r="Y9323">
        <v>2.5448370000000001E-2</v>
      </c>
      <c r="Z9323">
        <v>-2.5961270000000002E-3</v>
      </c>
      <c r="AA9323">
        <v>0.99967280000000003</v>
      </c>
      <c r="AB9323">
        <v>4</v>
      </c>
      <c r="AC9323">
        <v>0.71349999999999603</v>
      </c>
      <c r="AD9323">
        <v>-8.5618999999999598E-2</v>
      </c>
      <c r="AE9323">
        <v>-1.24000000000137E-2</v>
      </c>
      <c r="AF9323">
        <v>1.8999029871246E-2</v>
      </c>
      <c r="AG9323">
        <v>-8.5618999999999598E-2</v>
      </c>
      <c r="AH9323">
        <v>0.70322431069181301</v>
      </c>
      <c r="AI9323">
        <v>96.939205370244494</v>
      </c>
      <c r="AJ9323">
        <v>88.452414868173605</v>
      </c>
      <c r="AK9323">
        <v>0.708672002724127</v>
      </c>
      <c r="AL9323">
        <v>91.774162610869197</v>
      </c>
      <c r="AM9323">
        <v>89.133142352527301</v>
      </c>
      <c r="AN9323">
        <v>0.999999970782248</v>
      </c>
    </row>
    <row r="9324" spans="1:40" x14ac:dyDescent="0.25">
      <c r="A9324" t="str">
        <f>"20190303154402586"</f>
        <v>20190303154402586</v>
      </c>
      <c r="B9324" t="str">
        <f>"1551599042579594"</f>
        <v>1551599042579594</v>
      </c>
      <c r="C9324" t="s">
        <v>40</v>
      </c>
      <c r="D9324">
        <v>5.4969289999999997</v>
      </c>
      <c r="E9324">
        <v>0.50392380000000003</v>
      </c>
      <c r="F9324" t="s">
        <v>42</v>
      </c>
      <c r="G9324">
        <v>-110.39060000000001</v>
      </c>
      <c r="H9324">
        <v>1.0348219999999999</v>
      </c>
      <c r="I9324">
        <v>138.3348</v>
      </c>
      <c r="J9324">
        <v>-111.099</v>
      </c>
      <c r="K9324">
        <v>1.121699</v>
      </c>
      <c r="L9324">
        <v>138.34790000000001</v>
      </c>
      <c r="M9324">
        <v>0.99983330000000004</v>
      </c>
      <c r="N9324">
        <v>-1.5561180000000001E-2</v>
      </c>
      <c r="O9324">
        <v>9.5440030000000006E-3</v>
      </c>
      <c r="P9324">
        <v>0.99890959999999995</v>
      </c>
      <c r="Q9324">
        <v>-4.6285779999999999E-2</v>
      </c>
      <c r="R9324">
        <v>-6.1134429999999997E-3</v>
      </c>
      <c r="S9324">
        <v>2.986847</v>
      </c>
      <c r="T9324">
        <v>-0.34696830000000001</v>
      </c>
      <c r="U9324">
        <v>-5.0888059999999999E-2</v>
      </c>
      <c r="V9324">
        <v>1.564668E-2</v>
      </c>
      <c r="W9324">
        <v>-3.073816E-2</v>
      </c>
      <c r="X9324">
        <v>0.99940499999999999</v>
      </c>
      <c r="Y9324">
        <v>2.6328899999999999E-2</v>
      </c>
      <c r="Z9324">
        <v>-2.6864969999999999E-3</v>
      </c>
      <c r="AA9324">
        <v>0.99964969999999997</v>
      </c>
      <c r="AB9324">
        <v>4</v>
      </c>
      <c r="AC9324">
        <v>0.70839999999998304</v>
      </c>
      <c r="AD9324">
        <v>-8.6876999999999996E-2</v>
      </c>
      <c r="AE9324">
        <v>-1.3100000000008501E-2</v>
      </c>
      <c r="AF9324">
        <v>1.9567003816141199E-2</v>
      </c>
      <c r="AG9324">
        <v>-8.6876999999999996E-2</v>
      </c>
      <c r="AH9324">
        <v>0.697751971008161</v>
      </c>
      <c r="AI9324">
        <v>97.094603125789007</v>
      </c>
      <c r="AJ9324">
        <v>88.393679932043895</v>
      </c>
      <c r="AK9324">
        <v>0.70341189484761701</v>
      </c>
      <c r="AL9324">
        <v>91.761444284917303</v>
      </c>
      <c r="AM9324">
        <v>89.103050823251806</v>
      </c>
      <c r="AN9324">
        <v>1.0000000035501</v>
      </c>
    </row>
    <row r="9325" spans="1:40" x14ac:dyDescent="0.25">
      <c r="A9325" t="str">
        <f>"20190303154402611"</f>
        <v>20190303154402611</v>
      </c>
      <c r="B9325" t="str">
        <f>"1551599042599114"</f>
        <v>1551599042599114</v>
      </c>
      <c r="C9325" t="s">
        <v>40</v>
      </c>
      <c r="D9325">
        <v>5.5218309999999997</v>
      </c>
      <c r="E9325">
        <v>0.50387669999999996</v>
      </c>
      <c r="F9325" t="s">
        <v>42</v>
      </c>
      <c r="G9325">
        <v>-110.3561</v>
      </c>
      <c r="H9325">
        <v>1.0345629999999999</v>
      </c>
      <c r="I9325">
        <v>138.3347</v>
      </c>
      <c r="J9325">
        <v>-111.0556</v>
      </c>
      <c r="K9325">
        <v>1.121704</v>
      </c>
      <c r="L9325">
        <v>138.34829999999999</v>
      </c>
      <c r="M9325">
        <v>0.99983520000000004</v>
      </c>
      <c r="N9325">
        <v>-1.550752E-2</v>
      </c>
      <c r="O9325">
        <v>9.4543660000000005E-3</v>
      </c>
      <c r="P9325">
        <v>0.99895270000000003</v>
      </c>
      <c r="Q9325">
        <v>-4.5291570000000003E-2</v>
      </c>
      <c r="R9325">
        <v>-6.4916219999999998E-3</v>
      </c>
      <c r="S9325">
        <v>2.98671</v>
      </c>
      <c r="T9325">
        <v>-0.3503426</v>
      </c>
      <c r="U9325">
        <v>-5.316162E-2</v>
      </c>
      <c r="V9325">
        <v>1.5936260000000001E-2</v>
      </c>
      <c r="W9325">
        <v>-2.9796960000000001E-2</v>
      </c>
      <c r="X9325">
        <v>0.99942889999999995</v>
      </c>
      <c r="Y9325">
        <v>2.6991339999999999E-2</v>
      </c>
      <c r="Z9325">
        <v>-2.7466029999999998E-3</v>
      </c>
      <c r="AA9325">
        <v>0.99963190000000002</v>
      </c>
      <c r="AB9325">
        <v>4</v>
      </c>
      <c r="AC9325">
        <v>0.69950000000000001</v>
      </c>
      <c r="AD9325">
        <v>-8.7141000000000093E-2</v>
      </c>
      <c r="AE9325">
        <v>-1.35999999999967E-2</v>
      </c>
      <c r="AF9325">
        <v>1.9904726475316499E-2</v>
      </c>
      <c r="AG9325">
        <v>-8.7141000000000093E-2</v>
      </c>
      <c r="AH9325">
        <v>0.68865676326601899</v>
      </c>
      <c r="AI9325">
        <v>97.208765764418999</v>
      </c>
      <c r="AJ9325">
        <v>88.344401084703094</v>
      </c>
      <c r="AK9325">
        <v>0.69443350265456405</v>
      </c>
      <c r="AL9325">
        <v>91.707492825910194</v>
      </c>
      <c r="AM9325">
        <v>89.086475219972399</v>
      </c>
      <c r="AN9325">
        <v>0.99999997468161905</v>
      </c>
    </row>
    <row r="9326" spans="1:40" x14ac:dyDescent="0.25">
      <c r="A9326" t="str">
        <f>"20190303154402637"</f>
        <v>20190303154402637</v>
      </c>
      <c r="B9326" t="str">
        <f>"1551599042629370"</f>
        <v>1551599042629370</v>
      </c>
      <c r="C9326" t="s">
        <v>40</v>
      </c>
      <c r="D9326">
        <v>5.5908199999999999</v>
      </c>
      <c r="E9326">
        <v>0.50391279999999905</v>
      </c>
      <c r="F9326" t="s">
        <v>42</v>
      </c>
      <c r="G9326">
        <v>-110.3215</v>
      </c>
      <c r="H9326">
        <v>1.0355190000000001</v>
      </c>
      <c r="I9326">
        <v>138.3349</v>
      </c>
      <c r="J9326">
        <v>-111.0127</v>
      </c>
      <c r="K9326">
        <v>1.1217079999999999</v>
      </c>
      <c r="L9326">
        <v>138.3486</v>
      </c>
      <c r="M9326">
        <v>0.99983670000000002</v>
      </c>
      <c r="N9326">
        <v>-1.544717E-2</v>
      </c>
      <c r="O9326">
        <v>9.3730050000000002E-3</v>
      </c>
      <c r="P9326">
        <v>0.99900409999999995</v>
      </c>
      <c r="Q9326">
        <v>-4.4173049999999998E-2</v>
      </c>
      <c r="R9326">
        <v>-6.2898729999999996E-3</v>
      </c>
      <c r="S9326">
        <v>2.9868929999999998</v>
      </c>
      <c r="T9326">
        <v>-0.35065960000000002</v>
      </c>
      <c r="U9326">
        <v>-5.4031370000000002E-2</v>
      </c>
      <c r="V9326">
        <v>1.565366E-2</v>
      </c>
      <c r="W9326">
        <v>-2.873794E-2</v>
      </c>
      <c r="X9326">
        <v>0.99946440000000003</v>
      </c>
      <c r="Y9326">
        <v>2.719831E-2</v>
      </c>
      <c r="Z9326">
        <v>-2.7540440000000002E-3</v>
      </c>
      <c r="AA9326">
        <v>0.99962629999999997</v>
      </c>
      <c r="AB9326">
        <v>4</v>
      </c>
      <c r="AC9326">
        <v>0.69119999999999404</v>
      </c>
      <c r="AD9326">
        <v>-8.6188999999999794E-2</v>
      </c>
      <c r="AE9326">
        <v>-1.37E-2</v>
      </c>
      <c r="AF9326">
        <v>1.9869960283997599E-2</v>
      </c>
      <c r="AG9326">
        <v>-8.6188999999999794E-2</v>
      </c>
      <c r="AH9326">
        <v>0.68046496175480198</v>
      </c>
      <c r="AI9326">
        <v>97.215710049120105</v>
      </c>
      <c r="AJ9326">
        <v>88.327406239267006</v>
      </c>
      <c r="AK9326">
        <v>0.68618942225791602</v>
      </c>
      <c r="AL9326">
        <v>91.646789404723904</v>
      </c>
      <c r="AM9326">
        <v>89.102704081106907</v>
      </c>
      <c r="AN9326">
        <v>0.99999999656709904</v>
      </c>
    </row>
    <row r="9327" spans="1:40" x14ac:dyDescent="0.25">
      <c r="A9327" t="str">
        <f>"20190303154402675"</f>
        <v>20190303154402675</v>
      </c>
      <c r="B9327" t="str">
        <f>"1551599042669386"</f>
        <v>1551599042669386</v>
      </c>
      <c r="C9327" t="s">
        <v>40</v>
      </c>
      <c r="D9327">
        <v>5.5602729999999996</v>
      </c>
      <c r="E9327">
        <v>0.50377799999999995</v>
      </c>
      <c r="F9327" t="s">
        <v>42</v>
      </c>
      <c r="G9327">
        <v>-110.2559</v>
      </c>
      <c r="H9327">
        <v>1.0329619999999999</v>
      </c>
      <c r="I9327">
        <v>138.3348</v>
      </c>
      <c r="J9327">
        <v>-110.9486</v>
      </c>
      <c r="K9327">
        <v>1.12169599999999</v>
      </c>
      <c r="L9327">
        <v>138.34909999999999</v>
      </c>
      <c r="M9327">
        <v>0.99983909999999998</v>
      </c>
      <c r="N9327">
        <v>-1.5361049999999999E-2</v>
      </c>
      <c r="O9327">
        <v>9.2652089999999999E-3</v>
      </c>
      <c r="P9327">
        <v>0.99902639999999998</v>
      </c>
      <c r="Q9327">
        <v>-4.3714660000000002E-2</v>
      </c>
      <c r="R9327">
        <v>-5.9558049999999998E-3</v>
      </c>
      <c r="S9327">
        <v>2.987152</v>
      </c>
      <c r="T9327">
        <v>-0.35036590000000001</v>
      </c>
      <c r="U9327">
        <v>-5.3848269999999997E-2</v>
      </c>
      <c r="V9327">
        <v>1.5212399999999999E-2</v>
      </c>
      <c r="W9327">
        <v>-2.8365109999999999E-2</v>
      </c>
      <c r="X9327">
        <v>0.99948190000000003</v>
      </c>
      <c r="Y9327">
        <v>2.703009E-2</v>
      </c>
      <c r="Z9327">
        <v>-2.7291279999999999E-3</v>
      </c>
      <c r="AA9327">
        <v>0.99963089999999999</v>
      </c>
      <c r="AB9327">
        <v>4</v>
      </c>
      <c r="AC9327">
        <v>0.69270000000000198</v>
      </c>
      <c r="AD9327">
        <v>-8.8733999999999605E-2</v>
      </c>
      <c r="AE9327">
        <v>-1.42999999999915E-2</v>
      </c>
      <c r="AF9327">
        <v>2.0383812201896299E-2</v>
      </c>
      <c r="AG9327">
        <v>-8.8733999999999605E-2</v>
      </c>
      <c r="AH9327">
        <v>0.68136185192710397</v>
      </c>
      <c r="AI9327">
        <v>97.416609947228594</v>
      </c>
      <c r="AJ9327">
        <v>88.286434478076401</v>
      </c>
      <c r="AK9327">
        <v>0.68741777385911096</v>
      </c>
      <c r="AL9327">
        <v>91.625419048425499</v>
      </c>
      <c r="AM9327">
        <v>89.128009200544199</v>
      </c>
      <c r="AN9327">
        <v>1.00000003250334</v>
      </c>
    </row>
    <row r="9328" spans="1:40" x14ac:dyDescent="0.25">
      <c r="A9328" t="str">
        <f>"20190303154402698"</f>
        <v>20190303154402698</v>
      </c>
      <c r="B9328" t="str">
        <f>"1551599042689014"</f>
        <v>1551599042689014</v>
      </c>
      <c r="C9328" t="s">
        <v>40</v>
      </c>
      <c r="D9328">
        <v>5.5757450000000004</v>
      </c>
      <c r="E9328">
        <v>0.50368550000000001</v>
      </c>
      <c r="F9328" t="s">
        <v>42</v>
      </c>
      <c r="G9328">
        <v>-110.2218</v>
      </c>
      <c r="H9328">
        <v>1.0356970000000001</v>
      </c>
      <c r="I9328">
        <v>138.3365</v>
      </c>
      <c r="J9328">
        <v>-110.9123</v>
      </c>
      <c r="K9328">
        <v>1.121691</v>
      </c>
      <c r="L9328">
        <v>138.3494</v>
      </c>
      <c r="M9328">
        <v>0.99984010000000001</v>
      </c>
      <c r="N9328">
        <v>-1.5321049999999999E-2</v>
      </c>
      <c r="O9328">
        <v>9.2111829999999995E-3</v>
      </c>
      <c r="P9328">
        <v>0.99902709999999995</v>
      </c>
      <c r="Q9328">
        <v>-4.3759159999999998E-2</v>
      </c>
      <c r="R9328">
        <v>-5.4605919999999898E-3</v>
      </c>
      <c r="S9328">
        <v>2.9871370000000002</v>
      </c>
      <c r="T9328">
        <v>-0.35345270000000001</v>
      </c>
      <c r="U9328">
        <v>-5.2062990000000003E-2</v>
      </c>
      <c r="V9328">
        <v>1.466333E-2</v>
      </c>
      <c r="W9328">
        <v>-2.8449459999999999E-2</v>
      </c>
      <c r="X9328">
        <v>0.99948769999999998</v>
      </c>
      <c r="Y9328">
        <v>2.6379880000000001E-2</v>
      </c>
      <c r="Z9328">
        <v>-2.7034200000000002E-3</v>
      </c>
      <c r="AA9328">
        <v>0.99964830000000005</v>
      </c>
      <c r="AB9328">
        <v>4</v>
      </c>
      <c r="AC9328">
        <v>0.6905</v>
      </c>
      <c r="AD9328">
        <v>-8.5994000000000098E-2</v>
      </c>
      <c r="AE9328">
        <v>-1.29000000000019E-2</v>
      </c>
      <c r="AF9328">
        <v>1.8966456540516902E-2</v>
      </c>
      <c r="AG9328">
        <v>-8.5994000000000098E-2</v>
      </c>
      <c r="AH9328">
        <v>0.67981172953239699</v>
      </c>
      <c r="AI9328">
        <v>97.206666233300595</v>
      </c>
      <c r="AJ9328">
        <v>88.401886817129196</v>
      </c>
      <c r="AK9328">
        <v>0.68549156239849696</v>
      </c>
      <c r="AL9328">
        <v>91.630253912760693</v>
      </c>
      <c r="AM9328">
        <v>89.159482748603807</v>
      </c>
      <c r="AN9328">
        <v>1.00000002373613</v>
      </c>
    </row>
    <row r="9329" spans="1:40" x14ac:dyDescent="0.25">
      <c r="A9329" t="str">
        <f>"20190303154402730"</f>
        <v>20190303154402730</v>
      </c>
      <c r="B9329" t="str">
        <f>"1551599042719269"</f>
        <v>1551599042719269</v>
      </c>
      <c r="C9329" t="s">
        <v>40</v>
      </c>
      <c r="D9329">
        <v>5.566141</v>
      </c>
      <c r="E9329">
        <v>0.50315699999999997</v>
      </c>
      <c r="F9329" t="s">
        <v>42</v>
      </c>
      <c r="G9329">
        <v>-110.1598</v>
      </c>
      <c r="H9329">
        <v>1.0320819999999999</v>
      </c>
      <c r="I9329">
        <v>138.33680000000001</v>
      </c>
      <c r="J9329">
        <v>-110.8605</v>
      </c>
      <c r="K9329">
        <v>1.121678</v>
      </c>
      <c r="L9329">
        <v>138.34979999999999</v>
      </c>
      <c r="M9329">
        <v>0.99984170000000006</v>
      </c>
      <c r="N9329">
        <v>-1.5263530000000001E-2</v>
      </c>
      <c r="O9329">
        <v>9.1435270000000003E-3</v>
      </c>
      <c r="P9329">
        <v>0.99905460000000001</v>
      </c>
      <c r="Q9329">
        <v>-4.3251610000000003E-2</v>
      </c>
      <c r="R9329">
        <v>-4.3754579999999996E-3</v>
      </c>
      <c r="S9329">
        <v>2.9870760000000001</v>
      </c>
      <c r="T9329">
        <v>-0.35570309999999999</v>
      </c>
      <c r="U9329">
        <v>-4.9850459999999999E-2</v>
      </c>
      <c r="V9329">
        <v>1.351104E-2</v>
      </c>
      <c r="W9329">
        <v>-2.7998820000000001E-2</v>
      </c>
      <c r="X9329">
        <v>0.99951670000000004</v>
      </c>
      <c r="Y9329">
        <v>2.557595E-2</v>
      </c>
      <c r="Z9329">
        <v>-2.6591140000000002E-3</v>
      </c>
      <c r="AA9329">
        <v>0.99966940000000004</v>
      </c>
      <c r="AB9329">
        <v>4</v>
      </c>
      <c r="AC9329">
        <v>0.70069999999999699</v>
      </c>
      <c r="AD9329">
        <v>-8.9596000000000203E-2</v>
      </c>
      <c r="AE9329">
        <v>-1.2999999999976799E-2</v>
      </c>
      <c r="AF9329">
        <v>1.90949801555889E-2</v>
      </c>
      <c r="AG9329">
        <v>-8.9596000000000203E-2</v>
      </c>
      <c r="AH9329">
        <v>0.68928599717354</v>
      </c>
      <c r="AI9329">
        <v>97.403189630931195</v>
      </c>
      <c r="AJ9329">
        <v>88.413166619273397</v>
      </c>
      <c r="AK9329">
        <v>0.69534685401076202</v>
      </c>
      <c r="AL9329">
        <v>91.604423798136594</v>
      </c>
      <c r="AM9329">
        <v>89.225547283642697</v>
      </c>
      <c r="AN9329">
        <v>1.0000000578510799</v>
      </c>
    </row>
    <row r="9330" spans="1:40" x14ac:dyDescent="0.25">
      <c r="A9330" t="str">
        <f>"20190303154402754"</f>
        <v>20190303154402754</v>
      </c>
      <c r="B9330" t="str">
        <f>"1551599042749525"</f>
        <v>1551599042749525</v>
      </c>
      <c r="C9330" t="s">
        <v>40</v>
      </c>
      <c r="D9330">
        <v>5.5663739999999997</v>
      </c>
      <c r="E9330">
        <v>0.4844735</v>
      </c>
      <c r="F9330" t="s">
        <v>42</v>
      </c>
      <c r="G9330">
        <v>-110.12690000000001</v>
      </c>
      <c r="H9330">
        <v>1.035433</v>
      </c>
      <c r="I9330">
        <v>138.33930000000001</v>
      </c>
      <c r="J9330">
        <v>-110.82510000000001</v>
      </c>
      <c r="K9330">
        <v>1.1216759999999999</v>
      </c>
      <c r="L9330">
        <v>138.3501</v>
      </c>
      <c r="M9330">
        <v>0.99984289999999998</v>
      </c>
      <c r="N9330">
        <v>-1.521454E-2</v>
      </c>
      <c r="O9330">
        <v>9.1027920000000002E-3</v>
      </c>
      <c r="P9330">
        <v>0.99901260000000003</v>
      </c>
      <c r="Q9330">
        <v>-4.429831E-2</v>
      </c>
      <c r="R9330">
        <v>-3.4282010000000001E-3</v>
      </c>
      <c r="S9330">
        <v>2.9874420000000002</v>
      </c>
      <c r="T9330">
        <v>-0.35127910000000001</v>
      </c>
      <c r="U9330">
        <v>-4.2495730000000002E-2</v>
      </c>
      <c r="V9330">
        <v>1.252261E-2</v>
      </c>
      <c r="W9330">
        <v>-2.909484E-2</v>
      </c>
      <c r="X9330">
        <v>0.9994982</v>
      </c>
      <c r="Y9330">
        <v>2.3098319999999999E-2</v>
      </c>
      <c r="Z9330">
        <v>-2.4582480000000001E-3</v>
      </c>
      <c r="AA9330">
        <v>0.99973020000000001</v>
      </c>
      <c r="AB9330">
        <v>4</v>
      </c>
      <c r="AC9330">
        <v>0.69819999999999904</v>
      </c>
      <c r="AD9330">
        <v>-8.6243E-2</v>
      </c>
      <c r="AE9330">
        <v>-1.0799999999989001E-2</v>
      </c>
      <c r="AF9330">
        <v>1.6898093269089101E-2</v>
      </c>
      <c r="AG9330">
        <v>-8.6243E-2</v>
      </c>
      <c r="AH9330">
        <v>0.68758432405279701</v>
      </c>
      <c r="AI9330">
        <v>97.1470799445555</v>
      </c>
      <c r="AJ9330">
        <v>88.592180565899497</v>
      </c>
      <c r="AK9330">
        <v>0.69317790161564796</v>
      </c>
      <c r="AL9330">
        <v>91.667246836433904</v>
      </c>
      <c r="AM9330">
        <v>89.282184637616794</v>
      </c>
      <c r="AN9330">
        <v>0.99999998863953798</v>
      </c>
    </row>
    <row r="9331" spans="1:40" x14ac:dyDescent="0.25">
      <c r="A9331" t="str">
        <f>"20190303154402775"</f>
        <v>20190303154402775</v>
      </c>
      <c r="B9331" t="str">
        <f>"1551599042770021"</f>
        <v>1551599042770021</v>
      </c>
      <c r="C9331" t="s">
        <v>40</v>
      </c>
      <c r="D9331">
        <v>5.5111619999999997</v>
      </c>
      <c r="E9331">
        <v>0.48408909999999999</v>
      </c>
      <c r="F9331" t="s">
        <v>41</v>
      </c>
      <c r="G9331">
        <v>-101.2196</v>
      </c>
      <c r="H9331" s="1">
        <v>-4.2931880000000003E-6</v>
      </c>
      <c r="I9331">
        <v>138.7022</v>
      </c>
      <c r="J9331">
        <v>-110.792</v>
      </c>
      <c r="K9331">
        <v>1.1216680000000001</v>
      </c>
      <c r="L9331">
        <v>138.3503</v>
      </c>
      <c r="M9331">
        <v>0.99984390000000001</v>
      </c>
      <c r="N9331">
        <v>-1.5167389999999999E-2</v>
      </c>
      <c r="O9331">
        <v>9.0699700000000001E-3</v>
      </c>
      <c r="P9331">
        <v>0.99898659999999995</v>
      </c>
      <c r="Q9331">
        <v>-4.4953489999999999E-2</v>
      </c>
      <c r="R9331">
        <v>-2.3061739999999998E-3</v>
      </c>
      <c r="S9331">
        <v>2.9878689999999999</v>
      </c>
      <c r="T9331">
        <v>-0.34890739999999998</v>
      </c>
      <c r="U9331">
        <v>0.1095428</v>
      </c>
      <c r="V9331">
        <v>1.136763E-2</v>
      </c>
      <c r="W9331">
        <v>-2.9797279999999999E-2</v>
      </c>
      <c r="X9331">
        <v>0.99949129999999997</v>
      </c>
      <c r="Y9331">
        <v>-2.740774E-2</v>
      </c>
      <c r="Z9331">
        <v>8.8502570000000003E-4</v>
      </c>
      <c r="AA9331">
        <v>0.99962399999999996</v>
      </c>
      <c r="AB9331">
        <v>3</v>
      </c>
      <c r="AC9331">
        <v>9.5724</v>
      </c>
      <c r="AD9331">
        <v>-1.1216722931880001</v>
      </c>
      <c r="AE9331">
        <v>0.35189999999999999</v>
      </c>
      <c r="AF9331">
        <v>-0.26146887303926802</v>
      </c>
      <c r="AG9331">
        <v>-1.1216722931880001</v>
      </c>
      <c r="AH9331">
        <v>9.4456782293636294</v>
      </c>
      <c r="AI9331">
        <v>96.769578985613904</v>
      </c>
      <c r="AJ9331">
        <v>91.585618083990298</v>
      </c>
      <c r="AK9331">
        <v>9.5156372312918798</v>
      </c>
      <c r="AL9331">
        <v>91.707511159891894</v>
      </c>
      <c r="AM9331">
        <v>89.348379379967497</v>
      </c>
      <c r="AN9331">
        <v>0.99999997984145195</v>
      </c>
    </row>
    <row r="9332" spans="1:40" x14ac:dyDescent="0.25">
      <c r="A9332" t="str">
        <f>"20190303154402798"</f>
        <v>20190303154402798</v>
      </c>
      <c r="B9332" t="str">
        <f>"1551599042789541"</f>
        <v>1551599042789541</v>
      </c>
      <c r="C9332" t="s">
        <v>40</v>
      </c>
      <c r="D9332">
        <v>5.5251869999999998</v>
      </c>
      <c r="E9332">
        <v>0.48419139999999999</v>
      </c>
      <c r="F9332" t="s">
        <v>41</v>
      </c>
      <c r="G9332">
        <v>-100.6797</v>
      </c>
      <c r="H9332" s="1">
        <v>-4.5408900000000002E-6</v>
      </c>
      <c r="I9332">
        <v>138.74459999999999</v>
      </c>
      <c r="J9332">
        <v>-110.7585</v>
      </c>
      <c r="K9332">
        <v>1.121664</v>
      </c>
      <c r="L9332">
        <v>138.35059999999999</v>
      </c>
      <c r="M9332">
        <v>0.99984470000000003</v>
      </c>
      <c r="N9332">
        <v>-1.5125899999999999E-2</v>
      </c>
      <c r="O9332">
        <v>9.0436119999999995E-3</v>
      </c>
      <c r="P9332">
        <v>0.99893580000000004</v>
      </c>
      <c r="Q9332">
        <v>-4.6114530000000001E-2</v>
      </c>
      <c r="R9332">
        <v>-1.054765E-3</v>
      </c>
      <c r="S9332">
        <v>2.988388</v>
      </c>
      <c r="T9332">
        <v>-0.33147690000000002</v>
      </c>
      <c r="U9332">
        <v>0.1165161</v>
      </c>
      <c r="V9332">
        <v>1.008968E-2</v>
      </c>
      <c r="W9332">
        <v>-3.1000219999999998E-2</v>
      </c>
      <c r="X9332">
        <v>0.99946840000000003</v>
      </c>
      <c r="Y9332">
        <v>-2.975471E-2</v>
      </c>
      <c r="Z9332">
        <v>1.00723E-3</v>
      </c>
      <c r="AA9332">
        <v>0.99955669999999996</v>
      </c>
      <c r="AB9332">
        <v>3</v>
      </c>
      <c r="AC9332">
        <v>10.078799999999999</v>
      </c>
      <c r="AD9332">
        <v>-1.12166854089</v>
      </c>
      <c r="AE9332">
        <v>0.39400000000000501</v>
      </c>
      <c r="AF9332">
        <v>-0.29912555017561299</v>
      </c>
      <c r="AG9332">
        <v>-1.12166854089</v>
      </c>
      <c r="AH9332">
        <v>9.9587954760153092</v>
      </c>
      <c r="AI9332">
        <v>96.423322806592793</v>
      </c>
      <c r="AJ9332">
        <v>91.720437009986</v>
      </c>
      <c r="AK9332">
        <v>10.026226794936001</v>
      </c>
      <c r="AL9332">
        <v>91.776466472962298</v>
      </c>
      <c r="AM9332">
        <v>89.421616087190699</v>
      </c>
      <c r="AN9332">
        <v>0.999999948940554</v>
      </c>
    </row>
    <row r="9333" spans="1:40" x14ac:dyDescent="0.25">
      <c r="A9333" t="str">
        <f>"20190303154402825"</f>
        <v>20190303154402825</v>
      </c>
      <c r="B9333" t="str">
        <f>"1551599042819797"</f>
        <v>1551599042819797</v>
      </c>
      <c r="C9333" t="s">
        <v>40</v>
      </c>
      <c r="D9333">
        <v>5.515841</v>
      </c>
      <c r="E9333">
        <v>0.48365940000000002</v>
      </c>
      <c r="F9333" t="s">
        <v>41</v>
      </c>
      <c r="G9333">
        <v>-100.31310000000001</v>
      </c>
      <c r="H9333" s="1">
        <v>-4.709633E-6</v>
      </c>
      <c r="I9333">
        <v>138.77010000000001</v>
      </c>
      <c r="J9333">
        <v>-110.7191</v>
      </c>
      <c r="K9333">
        <v>1.1216569999999999</v>
      </c>
      <c r="L9333">
        <v>138.3509</v>
      </c>
      <c r="M9333">
        <v>0.99984569999999995</v>
      </c>
      <c r="N9333">
        <v>-1.5083340000000001E-2</v>
      </c>
      <c r="O9333">
        <v>9.0219819999999996E-3</v>
      </c>
      <c r="P9333">
        <v>0.99891399999999997</v>
      </c>
      <c r="Q9333">
        <v>-4.65975E-2</v>
      </c>
      <c r="R9333">
        <v>-3.6071289999999999E-4</v>
      </c>
      <c r="S9333">
        <v>2.9884949999999999</v>
      </c>
      <c r="T9333">
        <v>-0.320916799999999</v>
      </c>
      <c r="U9333">
        <v>0.1200256</v>
      </c>
      <c r="V9333">
        <v>9.3737969999999997E-3</v>
      </c>
      <c r="W9333">
        <v>-3.1525860000000003E-2</v>
      </c>
      <c r="X9333">
        <v>0.99945899999999999</v>
      </c>
      <c r="Y9333">
        <v>-3.0948340000000001E-2</v>
      </c>
      <c r="Z9333">
        <v>1.0606330000000001E-3</v>
      </c>
      <c r="AA9333">
        <v>0.99952039999999998</v>
      </c>
      <c r="AB9333">
        <v>3</v>
      </c>
      <c r="AC9333">
        <v>10.405999999999899</v>
      </c>
      <c r="AD9333">
        <v>-1.1216617096329999</v>
      </c>
      <c r="AE9333">
        <v>0.419200000000017</v>
      </c>
      <c r="AF9333">
        <v>-0.32155948650382099</v>
      </c>
      <c r="AG9333">
        <v>-1.1216617096329999</v>
      </c>
      <c r="AH9333">
        <v>10.289996541448501</v>
      </c>
      <c r="AI9333">
        <v>96.217956661277896</v>
      </c>
      <c r="AJ9333">
        <v>91.789894446365594</v>
      </c>
      <c r="AK9333">
        <v>10.3559429467934</v>
      </c>
      <c r="AL9333">
        <v>91.806598028049706</v>
      </c>
      <c r="AM9333">
        <v>89.462646032292994</v>
      </c>
      <c r="AN9333">
        <v>1.0000000202999599</v>
      </c>
    </row>
    <row r="9334" spans="1:40" x14ac:dyDescent="0.25">
      <c r="A9334" t="str">
        <f>"20190303154402851"</f>
        <v>20190303154402851</v>
      </c>
      <c r="B9334" t="str">
        <f>"1551599042839317"</f>
        <v>1551599042839317</v>
      </c>
      <c r="C9334" t="s">
        <v>40</v>
      </c>
      <c r="D9334">
        <v>5.5097379999999996</v>
      </c>
      <c r="E9334">
        <v>0.48359649999999998</v>
      </c>
      <c r="F9334" t="s">
        <v>41</v>
      </c>
      <c r="G9334">
        <v>-99.920990000000003</v>
      </c>
      <c r="H9334" s="1">
        <v>-2.280657E-7</v>
      </c>
      <c r="I9334">
        <v>138.80789999999999</v>
      </c>
      <c r="J9334">
        <v>-110.6829</v>
      </c>
      <c r="K9334">
        <v>1.1216539999999999</v>
      </c>
      <c r="L9334">
        <v>138.35120000000001</v>
      </c>
      <c r="M9334">
        <v>0.99984620000000002</v>
      </c>
      <c r="N9334">
        <v>-1.504663E-2</v>
      </c>
      <c r="O9334">
        <v>9.0103690000000007E-3</v>
      </c>
      <c r="P9334">
        <v>0.99887939999999997</v>
      </c>
      <c r="Q9334">
        <v>-4.732621E-2</v>
      </c>
      <c r="R9334">
        <v>4.4160500000000002E-4</v>
      </c>
      <c r="S9334">
        <v>2.9888309999999998</v>
      </c>
      <c r="T9334">
        <v>-0.3104635</v>
      </c>
      <c r="U9334">
        <v>0.12648010000000001</v>
      </c>
      <c r="V9334">
        <v>8.5599279999999996E-3</v>
      </c>
      <c r="W9334">
        <v>-3.2291559999999997E-2</v>
      </c>
      <c r="X9334">
        <v>0.99944189999999999</v>
      </c>
      <c r="Y9334">
        <v>-3.310635E-2</v>
      </c>
      <c r="Z9334">
        <v>1.1662899999999999E-3</v>
      </c>
      <c r="AA9334">
        <v>0.99945119999999998</v>
      </c>
      <c r="AB9334">
        <v>3</v>
      </c>
      <c r="AC9334">
        <v>10.76191</v>
      </c>
      <c r="AD9334">
        <v>-1.1216542280657</v>
      </c>
      <c r="AE9334">
        <v>0.45669999999998301</v>
      </c>
      <c r="AF9334">
        <v>-0.35584321517286099</v>
      </c>
      <c r="AG9334">
        <v>-1.1216542280657</v>
      </c>
      <c r="AH9334">
        <v>10.6501071803218</v>
      </c>
      <c r="AI9334">
        <v>96.008818373659807</v>
      </c>
      <c r="AJ9334">
        <v>91.913664542617099</v>
      </c>
      <c r="AK9334">
        <v>10.7149202308493</v>
      </c>
      <c r="AL9334">
        <v>91.850491676311407</v>
      </c>
      <c r="AM9334">
        <v>89.509290379234699</v>
      </c>
      <c r="AN9334">
        <v>1.0000000643450999</v>
      </c>
    </row>
    <row r="9335" spans="1:40" x14ac:dyDescent="0.25">
      <c r="A9335" t="str">
        <f>"20190303154402872"</f>
        <v>20190303154402872</v>
      </c>
      <c r="B9335" t="str">
        <f>"1551599042859813"</f>
        <v>1551599042859813</v>
      </c>
      <c r="C9335" t="s">
        <v>40</v>
      </c>
      <c r="D9335">
        <v>5.5619730000000001</v>
      </c>
      <c r="E9335">
        <v>0.48353069999999998</v>
      </c>
      <c r="F9335" t="s">
        <v>41</v>
      </c>
      <c r="G9335">
        <v>-99.819310000000002</v>
      </c>
      <c r="H9335" s="1">
        <v>-2.5899490000000001E-7</v>
      </c>
      <c r="I9335">
        <v>138.82169999999999</v>
      </c>
      <c r="J9335">
        <v>-110.65260000000001</v>
      </c>
      <c r="K9335">
        <v>1.121648</v>
      </c>
      <c r="L9335">
        <v>138.35149999999999</v>
      </c>
      <c r="M9335">
        <v>0.99984680000000004</v>
      </c>
      <c r="N9335">
        <v>-1.5018180000000001E-2</v>
      </c>
      <c r="O9335">
        <v>9.0070819999999996E-3</v>
      </c>
      <c r="P9335">
        <v>0.99890449999999997</v>
      </c>
      <c r="Q9335">
        <v>-4.6792489999999999E-2</v>
      </c>
      <c r="R9335">
        <v>8.4902399999999998E-4</v>
      </c>
      <c r="S9335">
        <v>2.988693</v>
      </c>
      <c r="T9335">
        <v>-0.30857859999999998</v>
      </c>
      <c r="U9335">
        <v>0.12942500000000001</v>
      </c>
      <c r="V9335">
        <v>8.1494840000000002E-3</v>
      </c>
      <c r="W9335">
        <v>-3.1785889999999997E-2</v>
      </c>
      <c r="X9335">
        <v>0.9994615</v>
      </c>
      <c r="Y9335">
        <v>-3.4090450000000001E-2</v>
      </c>
      <c r="Z9335">
        <v>1.219213E-3</v>
      </c>
      <c r="AA9335">
        <v>0.99941800000000003</v>
      </c>
      <c r="AB9335">
        <v>3</v>
      </c>
      <c r="AC9335">
        <v>10.83329</v>
      </c>
      <c r="AD9335">
        <v>-1.1216482589948999</v>
      </c>
      <c r="AE9335">
        <v>0.470200000000005</v>
      </c>
      <c r="AF9335">
        <v>-0.36864913116915998</v>
      </c>
      <c r="AG9335">
        <v>-1.1216482589948999</v>
      </c>
      <c r="AH9335">
        <v>10.722359067555701</v>
      </c>
      <c r="AI9335">
        <v>95.968395660889001</v>
      </c>
      <c r="AJ9335">
        <v>91.969130345002199</v>
      </c>
      <c r="AK9335">
        <v>10.7871674211728</v>
      </c>
      <c r="AL9335">
        <v>91.821504114146904</v>
      </c>
      <c r="AM9335">
        <v>89.532827736989304</v>
      </c>
      <c r="AN9335">
        <v>1.0000000234374</v>
      </c>
    </row>
    <row r="9336" spans="1:40" x14ac:dyDescent="0.25">
      <c r="A9336" t="str">
        <f>"20190303154402891"</f>
        <v>20190303154402891</v>
      </c>
      <c r="B9336" t="str">
        <f>"1551599042879334"</f>
        <v>1551599042879334</v>
      </c>
      <c r="C9336" t="s">
        <v>40</v>
      </c>
      <c r="D9336">
        <v>5.5335919999999996</v>
      </c>
      <c r="E9336">
        <v>0.48338059999999999</v>
      </c>
      <c r="F9336" t="s">
        <v>41</v>
      </c>
      <c r="G9336">
        <v>-99.712680000000006</v>
      </c>
      <c r="H9336" s="1">
        <v>-2.9243210000000003E-7</v>
      </c>
      <c r="I9336">
        <v>138.83240000000001</v>
      </c>
      <c r="J9336">
        <v>-110.6272</v>
      </c>
      <c r="K9336">
        <v>1.1216429999999999</v>
      </c>
      <c r="L9336">
        <v>138.35169999999999</v>
      </c>
      <c r="M9336">
        <v>0.99984700000000004</v>
      </c>
      <c r="N9336">
        <v>-1.4996880000000001E-2</v>
      </c>
      <c r="O9336">
        <v>9.0087350000000004E-3</v>
      </c>
      <c r="P9336">
        <v>0.99889329999999998</v>
      </c>
      <c r="Q9336">
        <v>-4.7020859999999998E-2</v>
      </c>
      <c r="R9336">
        <v>1.1491450000000001E-3</v>
      </c>
      <c r="S9336">
        <v>2.9888150000000002</v>
      </c>
      <c r="T9336">
        <v>-0.30643569999999998</v>
      </c>
      <c r="U9336">
        <v>0.1313782</v>
      </c>
      <c r="V9336">
        <v>7.8509619999999995E-3</v>
      </c>
      <c r="W9336">
        <v>-3.2035660000000001E-2</v>
      </c>
      <c r="X9336">
        <v>0.99945589999999995</v>
      </c>
      <c r="Y9336">
        <v>-3.4737200000000003E-2</v>
      </c>
      <c r="Z9336">
        <v>1.2506679999999999E-3</v>
      </c>
      <c r="AA9336">
        <v>0.9993957</v>
      </c>
      <c r="AB9336">
        <v>3</v>
      </c>
      <c r="AC9336">
        <v>10.9145199999999</v>
      </c>
      <c r="AD9336">
        <v>-1.1216432924321</v>
      </c>
      <c r="AE9336">
        <v>0.48070000000001201</v>
      </c>
      <c r="AF9336">
        <v>-0.37835538465635898</v>
      </c>
      <c r="AG9336">
        <v>-1.1216432924321</v>
      </c>
      <c r="AH9336">
        <v>10.804523571566</v>
      </c>
      <c r="AI9336">
        <v>95.9231762321334</v>
      </c>
      <c r="AJ9336">
        <v>92.005577749111296</v>
      </c>
      <c r="AK9336">
        <v>10.869175041422499</v>
      </c>
      <c r="AL9336">
        <v>91.835822199860402</v>
      </c>
      <c r="AM9336">
        <v>89.549937385022503</v>
      </c>
      <c r="AN9336">
        <v>1.00000000858038</v>
      </c>
    </row>
    <row r="9337" spans="1:40" x14ac:dyDescent="0.25">
      <c r="A9337" t="str">
        <f>"20190303154402910"</f>
        <v>20190303154402910</v>
      </c>
      <c r="B9337" t="str">
        <f>"1551599042899830"</f>
        <v>1551599042899830</v>
      </c>
      <c r="C9337" t="s">
        <v>40</v>
      </c>
      <c r="D9337">
        <v>5.4969010000000003</v>
      </c>
      <c r="E9337">
        <v>0.48318990000000001</v>
      </c>
      <c r="F9337" t="s">
        <v>41</v>
      </c>
      <c r="G9337">
        <v>-99.719759999999994</v>
      </c>
      <c r="H9337" s="1">
        <v>-2.8839720000000002E-7</v>
      </c>
      <c r="I9337">
        <v>138.83850000000001</v>
      </c>
      <c r="J9337">
        <v>-110.59990000000001</v>
      </c>
      <c r="K9337">
        <v>1.1216269999999999</v>
      </c>
      <c r="L9337">
        <v>138.352</v>
      </c>
      <c r="M9337">
        <v>0.99984720000000005</v>
      </c>
      <c r="N9337">
        <v>-1.497651E-2</v>
      </c>
      <c r="O9337">
        <v>9.0151450000000004E-3</v>
      </c>
      <c r="P9337">
        <v>0.99886229999999998</v>
      </c>
      <c r="Q9337">
        <v>-4.7678169999999999E-2</v>
      </c>
      <c r="R9337">
        <v>9.9975480000000011E-4</v>
      </c>
      <c r="S9337">
        <v>2.9887079999999999</v>
      </c>
      <c r="T9337">
        <v>-0.3073362</v>
      </c>
      <c r="U9337">
        <v>0.1333771</v>
      </c>
      <c r="V9337">
        <v>8.00645E-3</v>
      </c>
      <c r="W9337">
        <v>-3.2713739999999998E-2</v>
      </c>
      <c r="X9337">
        <v>0.99943269999999995</v>
      </c>
      <c r="Y9337">
        <v>-3.539465E-2</v>
      </c>
      <c r="Z9337">
        <v>1.2907280000000001E-3</v>
      </c>
      <c r="AA9337">
        <v>0.99937260000000006</v>
      </c>
      <c r="AB9337">
        <v>3</v>
      </c>
      <c r="AC9337">
        <v>10.880140000000001</v>
      </c>
      <c r="AD9337">
        <v>-1.1216272883972001</v>
      </c>
      <c r="AE9337">
        <v>0.48650000000000598</v>
      </c>
      <c r="AF9337">
        <v>-0.38430713665190103</v>
      </c>
      <c r="AG9337">
        <v>-1.1216272883972001</v>
      </c>
      <c r="AH9337">
        <v>10.7698566321722</v>
      </c>
      <c r="AI9337">
        <v>95.941883295641503</v>
      </c>
      <c r="AJ9337">
        <v>92.0436519299802</v>
      </c>
      <c r="AK9337">
        <v>10.834922779000401</v>
      </c>
      <c r="AL9337">
        <v>91.874693701907205</v>
      </c>
      <c r="AM9337">
        <v>89.541013636056803</v>
      </c>
      <c r="AN9337">
        <v>1.0000000069278301</v>
      </c>
    </row>
    <row r="9338" spans="1:40" x14ac:dyDescent="0.25">
      <c r="A9338" t="str">
        <f>"20190303154402932"</f>
        <v>20190303154402932</v>
      </c>
      <c r="B9338" t="str">
        <f>"1551599042919349"</f>
        <v>1551599042919349</v>
      </c>
      <c r="C9338" t="s">
        <v>40</v>
      </c>
      <c r="D9338">
        <v>5.4719239999999996</v>
      </c>
      <c r="E9338">
        <v>0.48297180000000001</v>
      </c>
      <c r="F9338" t="s">
        <v>41</v>
      </c>
      <c r="G9338">
        <v>-99.809430000000006</v>
      </c>
      <c r="H9338" s="1">
        <v>-2.5825129999999998E-7</v>
      </c>
      <c r="I9338">
        <v>138.83709999999999</v>
      </c>
      <c r="J9338">
        <v>-110.5719</v>
      </c>
      <c r="K9338">
        <v>1.121624</v>
      </c>
      <c r="L9338">
        <v>138.35230000000001</v>
      </c>
      <c r="M9338">
        <v>0.9998475</v>
      </c>
      <c r="N9338">
        <v>-1.495792E-2</v>
      </c>
      <c r="O9338">
        <v>9.0270290000000006E-3</v>
      </c>
      <c r="P9338">
        <v>0.99884709999999999</v>
      </c>
      <c r="Q9338">
        <v>-4.7986439999999998E-2</v>
      </c>
      <c r="R9338">
        <v>1.366824E-3</v>
      </c>
      <c r="S9338">
        <v>2.9884490000000001</v>
      </c>
      <c r="T9338">
        <v>-0.31063750000000001</v>
      </c>
      <c r="U9338">
        <v>0.13435359999999999</v>
      </c>
      <c r="V9338">
        <v>7.6512369999999904E-3</v>
      </c>
      <c r="W9338">
        <v>-3.3040729999999997E-2</v>
      </c>
      <c r="X9338">
        <v>0.99942470000000005</v>
      </c>
      <c r="Y9338">
        <v>-3.5707280000000001E-2</v>
      </c>
      <c r="Z9338">
        <v>1.317311E-3</v>
      </c>
      <c r="AA9338">
        <v>0.99936139999999996</v>
      </c>
      <c r="AB9338">
        <v>3</v>
      </c>
      <c r="AC9338">
        <v>10.762469999999899</v>
      </c>
      <c r="AD9338">
        <v>-1.1216242582513001</v>
      </c>
      <c r="AE9338">
        <v>0.48479999999997803</v>
      </c>
      <c r="AF9338">
        <v>-0.38345992085644798</v>
      </c>
      <c r="AG9338">
        <v>-1.1216242582513001</v>
      </c>
      <c r="AH9338">
        <v>10.650962051657</v>
      </c>
      <c r="AI9338">
        <v>96.007644747354604</v>
      </c>
      <c r="AJ9338">
        <v>92.061893543538602</v>
      </c>
      <c r="AK9338">
        <v>10.716719419366999</v>
      </c>
      <c r="AL9338">
        <v>91.893439031434596</v>
      </c>
      <c r="AM9338">
        <v>89.5613726336056</v>
      </c>
      <c r="AN9338">
        <v>0.999999981118326</v>
      </c>
    </row>
    <row r="9339" spans="1:40" x14ac:dyDescent="0.25">
      <c r="A9339" t="str">
        <f>"20190303154402955"</f>
        <v>20190303154402955</v>
      </c>
      <c r="B9339" t="str">
        <f>"1551599042949605"</f>
        <v>1551599042949605</v>
      </c>
      <c r="C9339" t="s">
        <v>40</v>
      </c>
      <c r="D9339">
        <v>5.4390260000000001</v>
      </c>
      <c r="E9339">
        <v>0.48284389999999999</v>
      </c>
      <c r="F9339" t="s">
        <v>41</v>
      </c>
      <c r="G9339">
        <v>-99.862849999999995</v>
      </c>
      <c r="H9339" s="1">
        <v>-2.383901E-7</v>
      </c>
      <c r="I9339">
        <v>138.8434</v>
      </c>
      <c r="J9339">
        <v>-110.5411</v>
      </c>
      <c r="K9339">
        <v>1.1216219999999999</v>
      </c>
      <c r="L9339">
        <v>138.3526</v>
      </c>
      <c r="M9339">
        <v>0.99984759999999995</v>
      </c>
      <c r="N9339">
        <v>-1.4939350000000001E-2</v>
      </c>
      <c r="O9339">
        <v>9.0473310000000005E-3</v>
      </c>
      <c r="P9339">
        <v>0.99884870000000003</v>
      </c>
      <c r="Q9339">
        <v>-4.794321E-2</v>
      </c>
      <c r="R9339">
        <v>1.749441E-3</v>
      </c>
      <c r="S9339">
        <v>2.988235</v>
      </c>
      <c r="T9339">
        <v>-0.31297580000000003</v>
      </c>
      <c r="U9339">
        <v>0.13705439999999999</v>
      </c>
      <c r="V9339">
        <v>7.2889679999999998E-3</v>
      </c>
      <c r="W9339">
        <v>-3.3015999999999997E-2</v>
      </c>
      <c r="X9339">
        <v>0.99942830000000005</v>
      </c>
      <c r="Y9339">
        <v>-3.6583709999999998E-2</v>
      </c>
      <c r="Z9339">
        <v>1.374218E-3</v>
      </c>
      <c r="AA9339">
        <v>0.99932960000000004</v>
      </c>
      <c r="AB9339">
        <v>3</v>
      </c>
      <c r="AC9339">
        <v>10.67825</v>
      </c>
      <c r="AD9339">
        <v>-1.1216222383901</v>
      </c>
      <c r="AE9339">
        <v>0.49080000000000701</v>
      </c>
      <c r="AF9339">
        <v>-0.38986714498046998</v>
      </c>
      <c r="AG9339">
        <v>-1.1216222383901</v>
      </c>
      <c r="AH9339">
        <v>10.5659258303196</v>
      </c>
      <c r="AI9339">
        <v>96.055430464261306</v>
      </c>
      <c r="AJ9339">
        <v>92.113171432985894</v>
      </c>
      <c r="AK9339">
        <v>10.632441934391199</v>
      </c>
      <c r="AL9339">
        <v>91.892021191432704</v>
      </c>
      <c r="AM9339">
        <v>89.582141411110698</v>
      </c>
      <c r="AN9339">
        <v>1.0000000560756901</v>
      </c>
    </row>
    <row r="9340" spans="1:40" x14ac:dyDescent="0.25">
      <c r="A9340" t="str">
        <f>"20190303154402977"</f>
        <v>20190303154402977</v>
      </c>
      <c r="B9340" t="str">
        <f>"1551599042969125"</f>
        <v>1551599042969125</v>
      </c>
      <c r="C9340" t="s">
        <v>40</v>
      </c>
      <c r="D9340">
        <v>5.4032999999999998</v>
      </c>
      <c r="E9340">
        <v>0.48280309999999999</v>
      </c>
      <c r="F9340" t="s">
        <v>41</v>
      </c>
      <c r="G9340">
        <v>-99.878889999999998</v>
      </c>
      <c r="H9340" s="1">
        <v>-2.3168010000000001E-7</v>
      </c>
      <c r="I9340">
        <v>138.84809999999999</v>
      </c>
      <c r="J9340">
        <v>-110.5129</v>
      </c>
      <c r="K9340">
        <v>1.1216120000000001</v>
      </c>
      <c r="L9340">
        <v>138.35290000000001</v>
      </c>
      <c r="M9340">
        <v>0.99984759999999995</v>
      </c>
      <c r="N9340">
        <v>-1.492431E-2</v>
      </c>
      <c r="O9340">
        <v>9.073935E-3</v>
      </c>
      <c r="P9340">
        <v>0.99882969999999904</v>
      </c>
      <c r="Q9340">
        <v>-4.8349419999999997E-2</v>
      </c>
      <c r="R9340">
        <v>1.3081220000000001E-3</v>
      </c>
      <c r="S9340">
        <v>2.9881289999999998</v>
      </c>
      <c r="T9340">
        <v>-0.31433870000000003</v>
      </c>
      <c r="U9340">
        <v>0.1388855</v>
      </c>
      <c r="V9340">
        <v>7.7568860000000002E-3</v>
      </c>
      <c r="W9340">
        <v>-3.3437500000000002E-2</v>
      </c>
      <c r="X9340">
        <v>0.99941069999999999</v>
      </c>
      <c r="Y9340">
        <v>-3.7164820000000001E-2</v>
      </c>
      <c r="Z9340">
        <v>1.4104370000000001E-3</v>
      </c>
      <c r="AA9340">
        <v>0.99930819999999998</v>
      </c>
      <c r="AB9340">
        <v>3</v>
      </c>
      <c r="AC9340">
        <v>10.63401</v>
      </c>
      <c r="AD9340">
        <v>-1.1216122316801</v>
      </c>
      <c r="AE9340">
        <v>0.49519999999998199</v>
      </c>
      <c r="AF9340">
        <v>-0.39429955611572398</v>
      </c>
      <c r="AG9340">
        <v>-1.1216122316801</v>
      </c>
      <c r="AH9340">
        <v>10.5212724765041</v>
      </c>
      <c r="AI9340">
        <v>96.080754811063997</v>
      </c>
      <c r="AJ9340">
        <v>92.146235908380007</v>
      </c>
      <c r="AK9340">
        <v>10.5882321783691</v>
      </c>
      <c r="AL9340">
        <v>91.916184827290095</v>
      </c>
      <c r="AM9340">
        <v>89.555310038248706</v>
      </c>
      <c r="AN9340">
        <v>0.99999999148057805</v>
      </c>
    </row>
    <row r="9341" spans="1:40" x14ac:dyDescent="0.25">
      <c r="A9341" t="str">
        <f>"20190303154402999"</f>
        <v>20190303154402999</v>
      </c>
      <c r="B9341" t="str">
        <f>"1551599042989622"</f>
        <v>1551599042989622</v>
      </c>
      <c r="C9341" t="s">
        <v>40</v>
      </c>
      <c r="D9341">
        <v>5.4164120000000002</v>
      </c>
      <c r="E9341">
        <v>0.48278880000000002</v>
      </c>
      <c r="F9341" t="s">
        <v>41</v>
      </c>
      <c r="G9341">
        <v>-99.90992</v>
      </c>
      <c r="H9341" s="1">
        <v>-2.228225E-7</v>
      </c>
      <c r="I9341">
        <v>138.8417</v>
      </c>
      <c r="J9341">
        <v>-110.4858</v>
      </c>
      <c r="K9341">
        <v>1.1216029999999999</v>
      </c>
      <c r="L9341">
        <v>138.35310000000001</v>
      </c>
      <c r="M9341">
        <v>0.99984740000000005</v>
      </c>
      <c r="N9341">
        <v>-1.491166E-2</v>
      </c>
      <c r="O9341">
        <v>9.1071320000000004E-3</v>
      </c>
      <c r="P9341">
        <v>0.99876830000000005</v>
      </c>
      <c r="Q9341">
        <v>-4.9619410000000003E-2</v>
      </c>
      <c r="R9341">
        <v>3.6364550000000001E-4</v>
      </c>
      <c r="S9341">
        <v>2.9880520000000002</v>
      </c>
      <c r="T9341">
        <v>-0.31608370000000002</v>
      </c>
      <c r="U9341">
        <v>0.13777159999999999</v>
      </c>
      <c r="V9341">
        <v>8.733925E-3</v>
      </c>
      <c r="W9341">
        <v>-3.472099E-2</v>
      </c>
      <c r="X9341">
        <v>0.99935890000000005</v>
      </c>
      <c r="Y9341">
        <v>-3.6761849999999999E-2</v>
      </c>
      <c r="Z9341">
        <v>1.388364E-3</v>
      </c>
      <c r="AA9341">
        <v>0.99932310000000002</v>
      </c>
      <c r="AB9341">
        <v>3</v>
      </c>
      <c r="AC9341">
        <v>10.5758799999999</v>
      </c>
      <c r="AD9341">
        <v>-1.1216032228224999</v>
      </c>
      <c r="AE9341">
        <v>0.48859999999999099</v>
      </c>
      <c r="AF9341">
        <v>-0.38789959068156099</v>
      </c>
      <c r="AG9341">
        <v>-1.1216032228224999</v>
      </c>
      <c r="AH9341">
        <v>10.4624684191109</v>
      </c>
      <c r="AI9341">
        <v>96.114715210016001</v>
      </c>
      <c r="AJ9341">
        <v>92.123288077273699</v>
      </c>
      <c r="AK9341">
        <v>10.5295633956394</v>
      </c>
      <c r="AL9341">
        <v>91.989766077554407</v>
      </c>
      <c r="AM9341">
        <v>89.499274683841307</v>
      </c>
      <c r="AN9341">
        <v>1.0000000198008401</v>
      </c>
    </row>
    <row r="9342" spans="1:40" x14ac:dyDescent="0.25">
      <c r="A9342" t="str">
        <f>"20190303154403023"</f>
        <v>20190303154403023</v>
      </c>
      <c r="B9342" t="str">
        <f>"1551599043019877"</f>
        <v>1551599043019877</v>
      </c>
      <c r="C9342" t="s">
        <v>40</v>
      </c>
      <c r="D9342">
        <v>5.3797129999999997</v>
      </c>
      <c r="E9342">
        <v>0.48281879999999999</v>
      </c>
      <c r="F9342" t="s">
        <v>41</v>
      </c>
      <c r="G9342">
        <v>-100.0117</v>
      </c>
      <c r="H9342" s="1">
        <v>-4.8420049999999999E-6</v>
      </c>
      <c r="I9342">
        <v>138.827</v>
      </c>
      <c r="J9342">
        <v>-110.4559</v>
      </c>
      <c r="K9342">
        <v>1.1215980000000001</v>
      </c>
      <c r="L9342">
        <v>138.3535</v>
      </c>
      <c r="M9342">
        <v>0.99984720000000005</v>
      </c>
      <c r="N9342">
        <v>-1.4899539999999999E-2</v>
      </c>
      <c r="O9342">
        <v>9.1505019999999996E-3</v>
      </c>
      <c r="P9342">
        <v>0.9986718</v>
      </c>
      <c r="Q9342">
        <v>-5.1521850000000001E-2</v>
      </c>
      <c r="R9342">
        <v>-5.301037E-4</v>
      </c>
      <c r="S9342">
        <v>2.987762</v>
      </c>
      <c r="T9342">
        <v>-0.31994210000000001</v>
      </c>
      <c r="U9342">
        <v>0.13516239999999999</v>
      </c>
      <c r="V9342">
        <v>9.6702360000000005E-3</v>
      </c>
      <c r="W9342">
        <v>-3.663686E-2</v>
      </c>
      <c r="X9342">
        <v>0.99928189999999995</v>
      </c>
      <c r="Y9342">
        <v>-3.5853830000000003E-2</v>
      </c>
      <c r="Z9342">
        <v>1.3407929999999901E-3</v>
      </c>
      <c r="AA9342">
        <v>0.99935620000000003</v>
      </c>
      <c r="AB9342">
        <v>3</v>
      </c>
      <c r="AC9342">
        <v>10.444199999999899</v>
      </c>
      <c r="AD9342">
        <v>-1.1216028420049999</v>
      </c>
      <c r="AE9342">
        <v>0.47350000000000098</v>
      </c>
      <c r="AF9342">
        <v>-0.3736001465612</v>
      </c>
      <c r="AG9342">
        <v>-1.1216028420049999</v>
      </c>
      <c r="AH9342">
        <v>10.329217321157699</v>
      </c>
      <c r="AI9342">
        <v>96.193189967050202</v>
      </c>
      <c r="AJ9342">
        <v>92.071442961381294</v>
      </c>
      <c r="AK9342">
        <v>10.396648521153701</v>
      </c>
      <c r="AL9342">
        <v>92.099607241252798</v>
      </c>
      <c r="AM9342">
        <v>89.445555438329706</v>
      </c>
      <c r="AN9342">
        <v>1.00000004432128</v>
      </c>
    </row>
    <row r="9343" spans="1:40" x14ac:dyDescent="0.25">
      <c r="A9343" t="str">
        <f>"20190303154403050"</f>
        <v>20190303154403050</v>
      </c>
      <c r="B9343" t="str">
        <f>"1551599043039398"</f>
        <v>1551599043039398</v>
      </c>
      <c r="C9343" t="s">
        <v>40</v>
      </c>
      <c r="D9343">
        <v>5.2834059999999896</v>
      </c>
      <c r="E9343">
        <v>0.48289209999999999</v>
      </c>
      <c r="F9343" t="s">
        <v>41</v>
      </c>
      <c r="G9343">
        <v>-100.0976</v>
      </c>
      <c r="H9343" s="1">
        <v>-4.8038849999999997E-6</v>
      </c>
      <c r="I9343">
        <v>138.81309999999999</v>
      </c>
      <c r="J9343">
        <v>-110.4238</v>
      </c>
      <c r="K9343">
        <v>1.121591</v>
      </c>
      <c r="L9343">
        <v>138.35380000000001</v>
      </c>
      <c r="M9343">
        <v>0.99984689999999998</v>
      </c>
      <c r="N9343">
        <v>-1.4888230000000001E-2</v>
      </c>
      <c r="O9343">
        <v>9.2031309999999998E-3</v>
      </c>
      <c r="P9343">
        <v>0.99862110000000004</v>
      </c>
      <c r="Q9343">
        <v>-5.2481340000000001E-2</v>
      </c>
      <c r="R9343">
        <v>-1.4637809999999999E-3</v>
      </c>
      <c r="S9343">
        <v>2.9873660000000002</v>
      </c>
      <c r="T9343">
        <v>-0.32347389999999998</v>
      </c>
      <c r="U9343">
        <v>0.13255310000000001</v>
      </c>
      <c r="V9343">
        <v>1.0655670000000001E-2</v>
      </c>
      <c r="W9343">
        <v>-3.7608460000000003E-2</v>
      </c>
      <c r="X9343">
        <v>0.99923569999999995</v>
      </c>
      <c r="Y9343">
        <v>-3.4938520000000001E-2</v>
      </c>
      <c r="Z9343">
        <v>1.289793E-3</v>
      </c>
      <c r="AA9343">
        <v>0.99938859999999996</v>
      </c>
      <c r="AB9343">
        <v>3</v>
      </c>
      <c r="AC9343">
        <v>10.3262</v>
      </c>
      <c r="AD9343">
        <v>-1.121595803885</v>
      </c>
      <c r="AE9343">
        <v>0.459299999999984</v>
      </c>
      <c r="AF9343">
        <v>-0.359997940914555</v>
      </c>
      <c r="AG9343">
        <v>-1.121595803885</v>
      </c>
      <c r="AH9343">
        <v>10.2097775623948</v>
      </c>
      <c r="AI9343">
        <v>96.2652311166419</v>
      </c>
      <c r="AJ9343">
        <v>92.019419209383301</v>
      </c>
      <c r="AK9343">
        <v>10.277506192571</v>
      </c>
      <c r="AL9343">
        <v>92.155314396071304</v>
      </c>
      <c r="AM9343">
        <v>89.389031258494995</v>
      </c>
      <c r="AN9343">
        <v>0.99999996186060403</v>
      </c>
    </row>
    <row r="9344" spans="1:40" x14ac:dyDescent="0.25">
      <c r="A9344" t="str">
        <f>"20190303154403071"</f>
        <v>20190303154403071</v>
      </c>
      <c r="B9344" t="str">
        <f>"1551599043059894"</f>
        <v>1551599043059894</v>
      </c>
      <c r="C9344" t="s">
        <v>40</v>
      </c>
      <c r="D9344">
        <v>5.277901</v>
      </c>
      <c r="E9344">
        <v>0.48307090000000003</v>
      </c>
      <c r="F9344" t="s">
        <v>41</v>
      </c>
      <c r="G9344">
        <v>-100.0949</v>
      </c>
      <c r="H9344" s="1">
        <v>-4.8074599999999999E-6</v>
      </c>
      <c r="I9344">
        <v>138.80009999999999</v>
      </c>
      <c r="J9344">
        <v>-110.3993</v>
      </c>
      <c r="K9344">
        <v>1.1215889999999999</v>
      </c>
      <c r="L9344">
        <v>138.35409999999999</v>
      </c>
      <c r="M9344">
        <v>0.99984649999999997</v>
      </c>
      <c r="N9344">
        <v>-1.488071E-2</v>
      </c>
      <c r="O9344">
        <v>9.2465919999999997E-3</v>
      </c>
      <c r="P9344">
        <v>0.9986604</v>
      </c>
      <c r="Q9344">
        <v>-5.1735490000000002E-2</v>
      </c>
      <c r="R9344">
        <v>-8.8759899999999998E-4</v>
      </c>
      <c r="S9344">
        <v>2.9872740000000002</v>
      </c>
      <c r="T9344">
        <v>-0.32438430000000001</v>
      </c>
      <c r="U9344">
        <v>0.1290588</v>
      </c>
      <c r="V9344">
        <v>1.012327E-2</v>
      </c>
      <c r="W9344">
        <v>-3.686963E-2</v>
      </c>
      <c r="X9344">
        <v>0.99926879999999996</v>
      </c>
      <c r="Y9344">
        <v>-3.37369E-2</v>
      </c>
      <c r="Z9344">
        <v>1.2140829999999999E-3</v>
      </c>
      <c r="AA9344">
        <v>0.99943000000000004</v>
      </c>
      <c r="AB9344">
        <v>3</v>
      </c>
      <c r="AC9344">
        <v>10.304399999999999</v>
      </c>
      <c r="AD9344">
        <v>-1.12159380746</v>
      </c>
      <c r="AE9344">
        <v>0.44599999999999801</v>
      </c>
      <c r="AF9344">
        <v>-0.346591240588766</v>
      </c>
      <c r="AG9344">
        <v>-1.12159380746</v>
      </c>
      <c r="AH9344">
        <v>10.1876120328716</v>
      </c>
      <c r="AI9344">
        <v>96.279009820306499</v>
      </c>
      <c r="AJ9344">
        <v>91.948499720340294</v>
      </c>
      <c r="AK9344">
        <v>10.255024967755899</v>
      </c>
      <c r="AL9344">
        <v>92.112953105751998</v>
      </c>
      <c r="AM9344">
        <v>89.419574788619897</v>
      </c>
      <c r="AN9344">
        <v>0.99999999243263404</v>
      </c>
    </row>
    <row r="9345" spans="1:40" x14ac:dyDescent="0.25">
      <c r="A9345" t="str">
        <f>"20190303154403090"</f>
        <v>20190303154403090</v>
      </c>
      <c r="B9345" t="str">
        <f>"1551599043079414"</f>
        <v>1551599043079414</v>
      </c>
      <c r="C9345" t="s">
        <v>40</v>
      </c>
      <c r="D9345">
        <v>5.2361279999999999</v>
      </c>
      <c r="E9345">
        <v>0.48334470000000002</v>
      </c>
      <c r="F9345" t="s">
        <v>41</v>
      </c>
      <c r="G9345">
        <v>-99.95514</v>
      </c>
      <c r="H9345" s="1">
        <v>-2.170886E-7</v>
      </c>
      <c r="I9345">
        <v>138.80539999999999</v>
      </c>
      <c r="J9345">
        <v>-110.3779</v>
      </c>
      <c r="K9345">
        <v>1.1215930000000001</v>
      </c>
      <c r="L9345">
        <v>138.3544</v>
      </c>
      <c r="M9345">
        <v>0.99984629999999997</v>
      </c>
      <c r="N9345">
        <v>-1.487488E-2</v>
      </c>
      <c r="O9345">
        <v>9.2849679999999993E-3</v>
      </c>
      <c r="P9345">
        <v>0.99870159999999997</v>
      </c>
      <c r="Q9345">
        <v>-5.0943639999999998E-2</v>
      </c>
      <c r="R9345" s="1">
        <v>3.4883389999999998E-5</v>
      </c>
      <c r="S9345">
        <v>2.9875180000000001</v>
      </c>
      <c r="T9345">
        <v>-0.32082739999999998</v>
      </c>
      <c r="U9345">
        <v>0.12910460000000001</v>
      </c>
      <c r="V9345">
        <v>9.239255E-3</v>
      </c>
      <c r="W9345">
        <v>-3.6083030000000002E-2</v>
      </c>
      <c r="X9345">
        <v>0.99930609999999997</v>
      </c>
      <c r="Y9345">
        <v>-3.3714250000000001E-2</v>
      </c>
      <c r="Z9345">
        <v>1.199943E-3</v>
      </c>
      <c r="AA9345">
        <v>0.99943079999999995</v>
      </c>
      <c r="AB9345">
        <v>3</v>
      </c>
      <c r="AC9345">
        <v>10.422759999999901</v>
      </c>
      <c r="AD9345">
        <v>-1.1215932170886</v>
      </c>
      <c r="AE9345">
        <v>0.45099999999999302</v>
      </c>
      <c r="AF9345">
        <v>-0.35014775555310501</v>
      </c>
      <c r="AG9345">
        <v>-1.1215932170886</v>
      </c>
      <c r="AH9345">
        <v>10.307363297715</v>
      </c>
      <c r="AI9345">
        <v>96.206640003163002</v>
      </c>
      <c r="AJ9345">
        <v>91.9456262625215</v>
      </c>
      <c r="AK9345">
        <v>10.374117453857</v>
      </c>
      <c r="AL9345">
        <v>92.067854184470605</v>
      </c>
      <c r="AM9345">
        <v>89.470277191176905</v>
      </c>
      <c r="AN9345">
        <v>1.00000001519207</v>
      </c>
    </row>
    <row r="9346" spans="1:40" x14ac:dyDescent="0.25">
      <c r="A9346" t="str">
        <f>"20190303154403111"</f>
        <v>20190303154403111</v>
      </c>
      <c r="B9346" t="str">
        <f>"1551599043099910"</f>
        <v>1551599043099910</v>
      </c>
      <c r="C9346" t="s">
        <v>40</v>
      </c>
      <c r="D9346">
        <v>5.2364759999999997</v>
      </c>
      <c r="E9346">
        <v>0.48352590000000001</v>
      </c>
      <c r="F9346" t="s">
        <v>41</v>
      </c>
      <c r="G9346">
        <v>-99.803939999999997</v>
      </c>
      <c r="H9346" s="1">
        <v>-2.6649159999999998E-7</v>
      </c>
      <c r="I9346">
        <v>138.81319999999999</v>
      </c>
      <c r="J9346">
        <v>-110.35429999999999</v>
      </c>
      <c r="K9346">
        <v>1.1215839999999999</v>
      </c>
      <c r="L9346">
        <v>138.3546</v>
      </c>
      <c r="M9346">
        <v>0.99984609999999996</v>
      </c>
      <c r="N9346">
        <v>-1.4869179999999999E-2</v>
      </c>
      <c r="O9346">
        <v>9.3275560000000007E-3</v>
      </c>
      <c r="P9346">
        <v>0.99870130000000001</v>
      </c>
      <c r="Q9346">
        <v>-5.0942309999999998E-2</v>
      </c>
      <c r="R9346">
        <v>9.8168439999999995E-4</v>
      </c>
      <c r="S9346">
        <v>2.9877319999999998</v>
      </c>
      <c r="T9346">
        <v>-0.31691069999999999</v>
      </c>
      <c r="U9346">
        <v>0.1296387</v>
      </c>
      <c r="V9346">
        <v>8.3345989999999998E-3</v>
      </c>
      <c r="W9346">
        <v>-3.6087359999999999E-2</v>
      </c>
      <c r="X9346">
        <v>0.99931389999999998</v>
      </c>
      <c r="Y9346">
        <v>-3.3850159999999997E-2</v>
      </c>
      <c r="Z9346">
        <v>1.1942140000000001E-3</v>
      </c>
      <c r="AA9346">
        <v>0.99942620000000004</v>
      </c>
      <c r="AB9346">
        <v>3</v>
      </c>
      <c r="AC9346">
        <v>10.5503599999999</v>
      </c>
      <c r="AD9346">
        <v>-1.12158426649159</v>
      </c>
      <c r="AE9346">
        <v>0.45859999999998902</v>
      </c>
      <c r="AF9346">
        <v>-0.35614281250093399</v>
      </c>
      <c r="AG9346">
        <v>-1.12158426649159</v>
      </c>
      <c r="AH9346">
        <v>10.436455702297399</v>
      </c>
      <c r="AI9346">
        <v>96.130375517334201</v>
      </c>
      <c r="AJ9346">
        <v>91.954453254378706</v>
      </c>
      <c r="AK9346">
        <v>10.502589994651499</v>
      </c>
      <c r="AL9346">
        <v>92.068102433314493</v>
      </c>
      <c r="AM9346">
        <v>89.522145869837104</v>
      </c>
      <c r="AN9346">
        <v>1.0000000169127301</v>
      </c>
    </row>
    <row r="9347" spans="1:40" x14ac:dyDescent="0.25">
      <c r="A9347" t="str">
        <f>"20190303154403132"</f>
        <v>20190303154403132</v>
      </c>
      <c r="B9347" t="str">
        <f>"1551599043119429"</f>
        <v>1551599043119429</v>
      </c>
      <c r="C9347" t="s">
        <v>40</v>
      </c>
      <c r="D9347">
        <v>5.2325599999999897</v>
      </c>
      <c r="E9347">
        <v>0.48371720000000001</v>
      </c>
      <c r="F9347" t="s">
        <v>41</v>
      </c>
      <c r="G9347">
        <v>-99.716819999999998</v>
      </c>
      <c r="H9347" s="1">
        <v>-2.9400120000000002E-7</v>
      </c>
      <c r="I9347">
        <v>138.8212</v>
      </c>
      <c r="J9347">
        <v>-110.33069999999999</v>
      </c>
      <c r="K9347">
        <v>1.1215759999999999</v>
      </c>
      <c r="L9347">
        <v>138.35489999999999</v>
      </c>
      <c r="M9347">
        <v>0.99984569999999995</v>
      </c>
      <c r="N9347">
        <v>-1.486415E-2</v>
      </c>
      <c r="O9347">
        <v>9.3688250000000008E-3</v>
      </c>
      <c r="P9347">
        <v>0.99860079999999996</v>
      </c>
      <c r="Q9347">
        <v>-5.2854560000000002E-2</v>
      </c>
      <c r="R9347">
        <v>1.7851469999999999E-3</v>
      </c>
      <c r="S9347">
        <v>2.9877009999999999</v>
      </c>
      <c r="T9347">
        <v>-0.31501459999999998</v>
      </c>
      <c r="U9347">
        <v>0.13104250000000001</v>
      </c>
      <c r="V9347">
        <v>7.571108E-3</v>
      </c>
      <c r="W9347">
        <v>-3.8005879999999999E-2</v>
      </c>
      <c r="X9347">
        <v>0.9992489</v>
      </c>
      <c r="Y9347">
        <v>-3.42774E-2</v>
      </c>
      <c r="Z9347">
        <v>1.2112119999999999E-3</v>
      </c>
      <c r="AA9347">
        <v>0.99941159999999996</v>
      </c>
      <c r="AB9347">
        <v>3</v>
      </c>
      <c r="AC9347">
        <v>10.613879999999901</v>
      </c>
      <c r="AD9347">
        <v>-1.1215762940012</v>
      </c>
      <c r="AE9347">
        <v>0.46630000000001798</v>
      </c>
      <c r="AF9347">
        <v>-0.36278579472347</v>
      </c>
      <c r="AG9347">
        <v>-1.1215762940012</v>
      </c>
      <c r="AH9347">
        <v>10.5007545381944</v>
      </c>
      <c r="AI9347">
        <v>96.092990027569897</v>
      </c>
      <c r="AJ9347">
        <v>91.978698829593299</v>
      </c>
      <c r="AK9347">
        <v>10.5667115408499</v>
      </c>
      <c r="AL9347">
        <v>92.178100949373999</v>
      </c>
      <c r="AM9347">
        <v>89.565889705871299</v>
      </c>
      <c r="AN9347">
        <v>1.00000006637106</v>
      </c>
    </row>
    <row r="9348" spans="1:40" x14ac:dyDescent="0.25">
      <c r="A9348" t="str">
        <f>"20190303154403155"</f>
        <v>20190303154403155</v>
      </c>
      <c r="B9348" t="str">
        <f>"1551599043149686"</f>
        <v>1551599043149686</v>
      </c>
      <c r="C9348" t="s">
        <v>40</v>
      </c>
      <c r="D9348">
        <v>5.2370720000000004</v>
      </c>
      <c r="E9348">
        <v>0.48386649999999998</v>
      </c>
      <c r="F9348" t="s">
        <v>41</v>
      </c>
      <c r="G9348">
        <v>-99.820390000000003</v>
      </c>
      <c r="H9348" s="1">
        <v>-2.592182E-7</v>
      </c>
      <c r="I9348">
        <v>138.8194</v>
      </c>
      <c r="J9348">
        <v>-110.3065</v>
      </c>
      <c r="K9348">
        <v>1.1215649999999999</v>
      </c>
      <c r="L9348">
        <v>138.3552</v>
      </c>
      <c r="M9348">
        <v>0.9998454</v>
      </c>
      <c r="N9348">
        <v>-1.485965E-2</v>
      </c>
      <c r="O9348">
        <v>9.4090819999999992E-3</v>
      </c>
      <c r="P9348">
        <v>0.99850989999999995</v>
      </c>
      <c r="Q9348">
        <v>-5.453305E-2</v>
      </c>
      <c r="R9348">
        <v>2.1388330000000001E-3</v>
      </c>
      <c r="S9348">
        <v>2.9870909999999999</v>
      </c>
      <c r="T9348">
        <v>-0.31875799999999999</v>
      </c>
      <c r="U9348">
        <v>0.13203429999999999</v>
      </c>
      <c r="V9348">
        <v>7.2563609999999898E-3</v>
      </c>
      <c r="W9348">
        <v>-3.9690049999999998E-2</v>
      </c>
      <c r="X9348">
        <v>0.99918569999999995</v>
      </c>
      <c r="Y9348">
        <v>-3.4571739999999997E-2</v>
      </c>
      <c r="Z9348">
        <v>1.2350779999999999E-3</v>
      </c>
      <c r="AA9348">
        <v>0.99940150000000005</v>
      </c>
      <c r="AB9348">
        <v>2</v>
      </c>
      <c r="AC9348">
        <v>10.486109999999901</v>
      </c>
      <c r="AD9348">
        <v>-1.1215652592181999</v>
      </c>
      <c r="AE9348">
        <v>0.464200000000005</v>
      </c>
      <c r="AF9348">
        <v>-0.36137786889802098</v>
      </c>
      <c r="AG9348">
        <v>-1.1215652592181999</v>
      </c>
      <c r="AH9348">
        <v>10.3715964577259</v>
      </c>
      <c r="AI9348">
        <v>96.168162336380107</v>
      </c>
      <c r="AJ9348">
        <v>91.995551391652796</v>
      </c>
      <c r="AK9348">
        <v>10.438319581078501</v>
      </c>
      <c r="AL9348">
        <v>92.274669814627003</v>
      </c>
      <c r="AM9348">
        <v>89.583909626582795</v>
      </c>
      <c r="AN9348">
        <v>1.00000000896422</v>
      </c>
    </row>
    <row r="9349" spans="1:40" x14ac:dyDescent="0.25">
      <c r="A9349" t="str">
        <f>"20190303154403177"</f>
        <v>20190303154403177</v>
      </c>
      <c r="B9349" t="str">
        <f>"1551599043169206"</f>
        <v>1551599043169206</v>
      </c>
      <c r="C9349" t="s">
        <v>40</v>
      </c>
      <c r="D9349">
        <v>5.3006219999999997</v>
      </c>
      <c r="E9349">
        <v>0.4844002</v>
      </c>
      <c r="F9349" t="s">
        <v>41</v>
      </c>
      <c r="G9349">
        <v>-99.910709999999995</v>
      </c>
      <c r="H9349" s="1">
        <v>-2.297193E-7</v>
      </c>
      <c r="I9349">
        <v>138.81479999999999</v>
      </c>
      <c r="J9349">
        <v>-110.28319999999999</v>
      </c>
      <c r="K9349">
        <v>1.121553</v>
      </c>
      <c r="L9349">
        <v>138.3554</v>
      </c>
      <c r="M9349">
        <v>0.99984510000000004</v>
      </c>
      <c r="N9349">
        <v>-1.485588E-2</v>
      </c>
      <c r="O9349">
        <v>9.4464230000000007E-3</v>
      </c>
      <c r="P9349">
        <v>0.99843850000000001</v>
      </c>
      <c r="Q9349">
        <v>-5.5833939999999999E-2</v>
      </c>
      <c r="R9349">
        <v>1.8367699999999999E-3</v>
      </c>
      <c r="S9349">
        <v>2.9865879999999998</v>
      </c>
      <c r="T9349">
        <v>-0.3222119</v>
      </c>
      <c r="U9349">
        <v>0.13204959999999999</v>
      </c>
      <c r="V9349">
        <v>7.594796E-3</v>
      </c>
      <c r="W9349">
        <v>-4.0995749999999997E-2</v>
      </c>
      <c r="X9349">
        <v>0.99913039999999997</v>
      </c>
      <c r="Y9349">
        <v>-3.4543690000000002E-2</v>
      </c>
      <c r="Z9349">
        <v>1.2389759999999999E-3</v>
      </c>
      <c r="AA9349">
        <v>0.99940240000000002</v>
      </c>
      <c r="AB9349">
        <v>2</v>
      </c>
      <c r="AC9349">
        <v>10.372490000000001</v>
      </c>
      <c r="AD9349">
        <v>-1.1215532297193</v>
      </c>
      <c r="AE9349">
        <v>0.45939999999998798</v>
      </c>
      <c r="AF9349">
        <v>-0.35721749780790402</v>
      </c>
      <c r="AG9349">
        <v>-1.1215532297193</v>
      </c>
      <c r="AH9349">
        <v>10.256685031800799</v>
      </c>
      <c r="AI9349">
        <v>96.236663058337598</v>
      </c>
      <c r="AJ9349">
        <v>91.994678164826695</v>
      </c>
      <c r="AK9349">
        <v>10.324004737958999</v>
      </c>
      <c r="AL9349">
        <v>92.349542024378493</v>
      </c>
      <c r="AM9349">
        <v>89.564479895547606</v>
      </c>
      <c r="AN9349">
        <v>0.99999994432424999</v>
      </c>
    </row>
    <row r="9350" spans="1:40" x14ac:dyDescent="0.25">
      <c r="A9350" t="str">
        <f>"20190303154403200"</f>
        <v>20190303154403200</v>
      </c>
      <c r="B9350" t="str">
        <f>"1551599043189477"</f>
        <v>1551599043189477</v>
      </c>
      <c r="C9350" t="s">
        <v>40</v>
      </c>
      <c r="D9350">
        <v>5.2344309999999998</v>
      </c>
      <c r="E9350">
        <v>0.52564200000000005</v>
      </c>
      <c r="F9350" t="s">
        <v>41</v>
      </c>
      <c r="G9350">
        <v>-99.98621</v>
      </c>
      <c r="H9350" s="1">
        <v>-4.8601299999999998E-6</v>
      </c>
      <c r="I9350">
        <v>138.7929</v>
      </c>
      <c r="J9350">
        <v>-110.26</v>
      </c>
      <c r="K9350">
        <v>1.121553</v>
      </c>
      <c r="L9350">
        <v>138.35570000000001</v>
      </c>
      <c r="M9350">
        <v>0.99984490000000004</v>
      </c>
      <c r="N9350">
        <v>-1.485263E-2</v>
      </c>
      <c r="O9350">
        <v>9.4815109999999998E-3</v>
      </c>
      <c r="P9350">
        <v>0.99842900000000001</v>
      </c>
      <c r="Q9350">
        <v>-5.601064E-2</v>
      </c>
      <c r="R9350">
        <v>1.541827E-3</v>
      </c>
      <c r="S9350">
        <v>2.9862820000000001</v>
      </c>
      <c r="T9350">
        <v>-0.32526909999999998</v>
      </c>
      <c r="U9350">
        <v>0.12686159999999999</v>
      </c>
      <c r="V9350">
        <v>7.9245800000000005E-3</v>
      </c>
      <c r="W9350">
        <v>-4.1175929999999999E-2</v>
      </c>
      <c r="X9350">
        <v>0.99912049999999997</v>
      </c>
      <c r="Y9350">
        <v>-3.2788820000000003E-2</v>
      </c>
      <c r="Z9350">
        <v>1.135327E-3</v>
      </c>
      <c r="AA9350">
        <v>0.99946170000000001</v>
      </c>
      <c r="AB9350">
        <v>2</v>
      </c>
      <c r="AC9350">
        <v>10.27379</v>
      </c>
      <c r="AD9350">
        <v>-1.12155786013</v>
      </c>
      <c r="AE9350">
        <v>0.43719999999998999</v>
      </c>
      <c r="AF9350">
        <v>-0.33576435060316501</v>
      </c>
      <c r="AG9350">
        <v>-1.12155786013</v>
      </c>
      <c r="AH9350">
        <v>10.1566516438041</v>
      </c>
      <c r="AI9350">
        <v>96.297997644531407</v>
      </c>
      <c r="AJ9350">
        <v>91.893426820833099</v>
      </c>
      <c r="AK9350">
        <v>10.2239034789235</v>
      </c>
      <c r="AL9350">
        <v>92.359874136360503</v>
      </c>
      <c r="AM9350">
        <v>89.545564856777801</v>
      </c>
      <c r="AN9350">
        <v>1.00000001484989</v>
      </c>
    </row>
    <row r="9351" spans="1:40" x14ac:dyDescent="0.25">
      <c r="A9351" t="str">
        <f>"20190303154403234"</f>
        <v>20190303154403234</v>
      </c>
      <c r="B9351" t="str">
        <f>"1551599043229493"</f>
        <v>1551599043229493</v>
      </c>
      <c r="C9351" t="s">
        <v>40</v>
      </c>
      <c r="D9351">
        <v>5.2352790000000002</v>
      </c>
      <c r="E9351">
        <v>0.52966930000000001</v>
      </c>
      <c r="F9351" t="s">
        <v>42</v>
      </c>
      <c r="G9351">
        <v>-109.52030000000001</v>
      </c>
      <c r="H9351">
        <v>1.032311</v>
      </c>
      <c r="I9351">
        <v>138.30510000000001</v>
      </c>
      <c r="J9351">
        <v>-110.2268</v>
      </c>
      <c r="K9351">
        <v>1.121556</v>
      </c>
      <c r="L9351">
        <v>138.3561</v>
      </c>
      <c r="M9351">
        <v>0.99984430000000002</v>
      </c>
      <c r="N9351">
        <v>-1.4848689999999999E-2</v>
      </c>
      <c r="O9351">
        <v>9.5304980000000001E-3</v>
      </c>
      <c r="P9351">
        <v>0.99843669999999995</v>
      </c>
      <c r="Q9351">
        <v>-5.5890830000000002E-2</v>
      </c>
      <c r="R9351">
        <v>6.761375E-4</v>
      </c>
      <c r="S9351">
        <v>2.9848330000000001</v>
      </c>
      <c r="T9351">
        <v>-0.36019800000000002</v>
      </c>
      <c r="U9351">
        <v>-0.2037659</v>
      </c>
      <c r="V9351">
        <v>8.8387669999999904E-3</v>
      </c>
      <c r="W9351">
        <v>-4.1060140000000002E-2</v>
      </c>
      <c r="X9351">
        <v>0.99911760000000005</v>
      </c>
      <c r="Y9351">
        <v>7.6937140000000001E-2</v>
      </c>
      <c r="Z9351">
        <v>-6.1981600000000003E-3</v>
      </c>
      <c r="AA9351">
        <v>0.99701669999999998</v>
      </c>
      <c r="AB9351">
        <v>2</v>
      </c>
      <c r="AC9351">
        <v>0.70649999999999102</v>
      </c>
      <c r="AD9351">
        <v>-8.9245000000000005E-2</v>
      </c>
      <c r="AE9351">
        <v>-5.0999999999987701E-2</v>
      </c>
      <c r="AF9351">
        <v>5.6829609758074197E-2</v>
      </c>
      <c r="AG9351">
        <v>-8.9245000000000005E-2</v>
      </c>
      <c r="AH9351">
        <v>0.69495016170564905</v>
      </c>
      <c r="AI9351">
        <v>97.293747697437496</v>
      </c>
      <c r="AJ9351">
        <v>85.325034896212301</v>
      </c>
      <c r="AK9351">
        <v>0.70295803702992299</v>
      </c>
      <c r="AL9351">
        <v>92.3532342335442</v>
      </c>
      <c r="AM9351">
        <v>89.493141913833696</v>
      </c>
      <c r="AN9351">
        <v>1.0000000187643201</v>
      </c>
    </row>
    <row r="9352" spans="1:40" x14ac:dyDescent="0.25">
      <c r="A9352" t="str">
        <f>"20190303154403260"</f>
        <v>20190303154403260</v>
      </c>
      <c r="B9352" t="str">
        <f>"1551599043249989"</f>
        <v>1551599043249989</v>
      </c>
      <c r="C9352" t="s">
        <v>40</v>
      </c>
      <c r="D9352">
        <v>5.3567549999999997</v>
      </c>
      <c r="E9352">
        <v>0.529837</v>
      </c>
      <c r="F9352" t="s">
        <v>42</v>
      </c>
      <c r="G9352">
        <v>-109.49930000000001</v>
      </c>
      <c r="H9352">
        <v>1.0352939999999999</v>
      </c>
      <c r="I9352">
        <v>138.29810000000001</v>
      </c>
      <c r="J9352">
        <v>-110.2015</v>
      </c>
      <c r="K9352">
        <v>1.121567</v>
      </c>
      <c r="L9352">
        <v>138.3563</v>
      </c>
      <c r="M9352">
        <v>0.99984410000000001</v>
      </c>
      <c r="N9352">
        <v>-1.484624E-2</v>
      </c>
      <c r="O9352">
        <v>9.5672220000000002E-3</v>
      </c>
      <c r="P9352">
        <v>0.99846109999999999</v>
      </c>
      <c r="Q9352">
        <v>-5.5459809999999998E-2</v>
      </c>
      <c r="R9352">
        <v>-1.5257889999999901E-4</v>
      </c>
      <c r="S9352">
        <v>2.9850310000000002</v>
      </c>
      <c r="T9352">
        <v>-0.35392940000000001</v>
      </c>
      <c r="U9352">
        <v>-0.23808289999999999</v>
      </c>
      <c r="V9352">
        <v>9.7042959999999994E-3</v>
      </c>
      <c r="W9352">
        <v>-4.0631420000000001E-2</v>
      </c>
      <c r="X9352">
        <v>0.99912710000000005</v>
      </c>
      <c r="Y9352">
        <v>8.8297199999999895E-2</v>
      </c>
      <c r="Z9352">
        <v>-6.8545910000000002E-3</v>
      </c>
      <c r="AA9352">
        <v>0.99607060000000003</v>
      </c>
      <c r="AB9352">
        <v>2</v>
      </c>
      <c r="AC9352">
        <v>0.70219999999999005</v>
      </c>
      <c r="AD9352">
        <v>-8.6272999999999794E-2</v>
      </c>
      <c r="AE9352">
        <v>-5.8199999999999301E-2</v>
      </c>
      <c r="AF9352">
        <v>6.3957340711679495E-2</v>
      </c>
      <c r="AG9352">
        <v>-8.6272999999999794E-2</v>
      </c>
      <c r="AH9352">
        <v>0.69124790302814099</v>
      </c>
      <c r="AI9352">
        <v>97.084213481594901</v>
      </c>
      <c r="AJ9352">
        <v>84.713789200841205</v>
      </c>
      <c r="AK9352">
        <v>0.69954073176671505</v>
      </c>
      <c r="AL9352">
        <v>92.3286498589205</v>
      </c>
      <c r="AM9352">
        <v>89.443516525090601</v>
      </c>
      <c r="AN9352">
        <v>1.00000002380324</v>
      </c>
    </row>
    <row r="9353" spans="1:40" x14ac:dyDescent="0.25">
      <c r="A9353" t="str">
        <f>"20190303154403278"</f>
        <v>20190303154403278</v>
      </c>
      <c r="B9353" t="str">
        <f>"1551599043269510"</f>
        <v>1551599043269510</v>
      </c>
      <c r="C9353" t="s">
        <v>40</v>
      </c>
      <c r="D9353">
        <v>5.3543529999999997</v>
      </c>
      <c r="E9353">
        <v>0.52902879999999997</v>
      </c>
      <c r="F9353" t="s">
        <v>42</v>
      </c>
      <c r="G9353">
        <v>-109.4624</v>
      </c>
      <c r="H9353">
        <v>1.03376</v>
      </c>
      <c r="I9353">
        <v>138.29650000000001</v>
      </c>
      <c r="J9353">
        <v>-110.18470000000001</v>
      </c>
      <c r="K9353">
        <v>1.121564</v>
      </c>
      <c r="L9353">
        <v>138.35650000000001</v>
      </c>
      <c r="M9353">
        <v>0.99984390000000001</v>
      </c>
      <c r="N9353">
        <v>-1.484485E-2</v>
      </c>
      <c r="O9353">
        <v>9.5923870000000008E-3</v>
      </c>
      <c r="P9353">
        <v>0.99844219999999895</v>
      </c>
      <c r="Q9353">
        <v>-5.5791239999999999E-2</v>
      </c>
      <c r="R9353">
        <v>-9.7362160000000002E-4</v>
      </c>
      <c r="S9353">
        <v>2.9848940000000002</v>
      </c>
      <c r="T9353">
        <v>-0.35466809999999999</v>
      </c>
      <c r="U9353">
        <v>-0.2416992</v>
      </c>
      <c r="V9353">
        <v>1.0550230000000001E-2</v>
      </c>
      <c r="W9353">
        <v>-4.0964630000000002E-2</v>
      </c>
      <c r="X9353">
        <v>0.99910489999999996</v>
      </c>
      <c r="Y9353">
        <v>8.9512229999999998E-2</v>
      </c>
      <c r="Z9353">
        <v>-6.9512030000000004E-3</v>
      </c>
      <c r="AA9353">
        <v>0.99596150000000006</v>
      </c>
      <c r="AB9353">
        <v>2</v>
      </c>
      <c r="AC9353">
        <v>0.72230000000000405</v>
      </c>
      <c r="AD9353">
        <v>-8.7803999999999993E-2</v>
      </c>
      <c r="AE9353">
        <v>-6.0000000000002197E-2</v>
      </c>
      <c r="AF9353">
        <v>6.5958576576835598E-2</v>
      </c>
      <c r="AG9353">
        <v>-8.7803999999999993E-2</v>
      </c>
      <c r="AH9353">
        <v>0.71125282715759597</v>
      </c>
      <c r="AI9353">
        <v>97.007776963265499</v>
      </c>
      <c r="AJ9353">
        <v>84.701785334914106</v>
      </c>
      <c r="AK9353">
        <v>0.71968094346016598</v>
      </c>
      <c r="AL9353">
        <v>92.347757338623893</v>
      </c>
      <c r="AM9353">
        <v>89.394997276696301</v>
      </c>
      <c r="AN9353">
        <v>1.00000000473404</v>
      </c>
    </row>
    <row r="9354" spans="1:40" x14ac:dyDescent="0.25">
      <c r="A9354" t="str">
        <f>"20190303154403300"</f>
        <v>20190303154403300</v>
      </c>
      <c r="B9354" t="str">
        <f>"1551599043289732"</f>
        <v>1551599043289732</v>
      </c>
      <c r="C9354" t="s">
        <v>40</v>
      </c>
      <c r="D9354">
        <v>5.2561260000000001</v>
      </c>
      <c r="E9354">
        <v>0.52971809999999997</v>
      </c>
      <c r="F9354" t="s">
        <v>42</v>
      </c>
      <c r="G9354">
        <v>-109.4465</v>
      </c>
      <c r="H9354">
        <v>1.0295319999999999</v>
      </c>
      <c r="I9354">
        <v>138.29759999999999</v>
      </c>
      <c r="J9354">
        <v>-110.1653</v>
      </c>
      <c r="K9354">
        <v>1.121561</v>
      </c>
      <c r="L9354">
        <v>138.35669999999999</v>
      </c>
      <c r="M9354">
        <v>0.99984360000000005</v>
      </c>
      <c r="N9354">
        <v>-1.4843459999999999E-2</v>
      </c>
      <c r="O9354">
        <v>9.6228049999999999E-3</v>
      </c>
      <c r="P9354">
        <v>0.99840289999999998</v>
      </c>
      <c r="Q9354">
        <v>-5.649237E-2</v>
      </c>
      <c r="R9354">
        <v>-7.5282129999999997E-4</v>
      </c>
      <c r="S9354">
        <v>2.983673</v>
      </c>
      <c r="T9354">
        <v>-0.37207790000000002</v>
      </c>
      <c r="U9354">
        <v>-0.23767089999999999</v>
      </c>
      <c r="V9354">
        <v>1.0359480000000001E-2</v>
      </c>
      <c r="W9354">
        <v>-4.1667610000000001E-2</v>
      </c>
      <c r="X9354">
        <v>0.99907780000000002</v>
      </c>
      <c r="Y9354">
        <v>8.8177270000000002E-2</v>
      </c>
      <c r="Z9354">
        <v>-7.1780840000000004E-3</v>
      </c>
      <c r="AA9354">
        <v>0.99607889999999999</v>
      </c>
      <c r="AB9354">
        <v>2</v>
      </c>
      <c r="AC9354">
        <v>0.71880000000000099</v>
      </c>
      <c r="AD9354">
        <v>-9.2029000000000097E-2</v>
      </c>
      <c r="AE9354">
        <v>-5.9100000000000798E-2</v>
      </c>
      <c r="AF9354">
        <v>6.4957263962555994E-2</v>
      </c>
      <c r="AG9354">
        <v>-9.2029000000000097E-2</v>
      </c>
      <c r="AH9354">
        <v>0.70669160261813402</v>
      </c>
      <c r="AI9354">
        <v>97.3887946498361</v>
      </c>
      <c r="AJ9354">
        <v>84.748277260985205</v>
      </c>
      <c r="AK9354">
        <v>0.71561288710690996</v>
      </c>
      <c r="AL9354">
        <v>92.388069608248799</v>
      </c>
      <c r="AM9354">
        <v>89.405918927519295</v>
      </c>
      <c r="AN9354">
        <v>0.99999997950091102</v>
      </c>
    </row>
    <row r="9355" spans="1:40" x14ac:dyDescent="0.25">
      <c r="A9355" t="str">
        <f>"20190303154403323"</f>
        <v>20190303154403323</v>
      </c>
      <c r="B9355" t="str">
        <f>"1551599043319988"</f>
        <v>1551599043319988</v>
      </c>
      <c r="C9355" t="s">
        <v>40</v>
      </c>
      <c r="D9355">
        <v>5.261031</v>
      </c>
      <c r="E9355">
        <v>0.52979370000000003</v>
      </c>
      <c r="F9355" t="s">
        <v>42</v>
      </c>
      <c r="G9355">
        <v>-109.4282</v>
      </c>
      <c r="H9355">
        <v>1.0307569999999999</v>
      </c>
      <c r="I9355">
        <v>138.29679999999999</v>
      </c>
      <c r="J9355">
        <v>-110.145</v>
      </c>
      <c r="K9355">
        <v>1.121559</v>
      </c>
      <c r="L9355">
        <v>138.3569</v>
      </c>
      <c r="M9355">
        <v>0.99984320000000004</v>
      </c>
      <c r="N9355">
        <v>-1.4842259999999999E-2</v>
      </c>
      <c r="O9355">
        <v>9.6568699999999997E-3</v>
      </c>
      <c r="P9355">
        <v>0.99841360000000001</v>
      </c>
      <c r="Q9355">
        <v>-5.6306120000000001E-2</v>
      </c>
      <c r="R9355" s="1">
        <v>-6.2496169999999896E-5</v>
      </c>
      <c r="S9355">
        <v>2.9838100000000001</v>
      </c>
      <c r="T9355">
        <v>-0.36767420000000001</v>
      </c>
      <c r="U9355">
        <v>-0.24240110000000001</v>
      </c>
      <c r="V9355">
        <v>9.7035609999999994E-3</v>
      </c>
      <c r="W9355">
        <v>-4.1482270000000002E-2</v>
      </c>
      <c r="X9355">
        <v>0.99909210000000004</v>
      </c>
      <c r="Y9355">
        <v>8.9781250000000007E-2</v>
      </c>
      <c r="Z9355">
        <v>-7.2129910000000002E-3</v>
      </c>
      <c r="AA9355">
        <v>0.99593540000000003</v>
      </c>
      <c r="AB9355">
        <v>2</v>
      </c>
      <c r="AC9355">
        <v>0.716799999999992</v>
      </c>
      <c r="AD9355">
        <v>-9.0801999999999994E-2</v>
      </c>
      <c r="AE9355">
        <v>-6.0100000000005503E-2</v>
      </c>
      <c r="AF9355">
        <v>6.5968790490041104E-2</v>
      </c>
      <c r="AG9355">
        <v>-9.0801999999999994E-2</v>
      </c>
      <c r="AH9355">
        <v>0.70495269644894498</v>
      </c>
      <c r="AI9355">
        <v>97.308035498755203</v>
      </c>
      <c r="AJ9355">
        <v>84.653885547074097</v>
      </c>
      <c r="AK9355">
        <v>0.71383134475403698</v>
      </c>
      <c r="AL9355">
        <v>92.377441215123397</v>
      </c>
      <c r="AM9355">
        <v>89.443539178386402</v>
      </c>
      <c r="AN9355">
        <v>0.99999998105142096</v>
      </c>
    </row>
    <row r="9356" spans="1:40" x14ac:dyDescent="0.25">
      <c r="A9356" t="str">
        <f>"20190303154403347"</f>
        <v>20190303154403347</v>
      </c>
      <c r="B9356" t="str">
        <f>"1551599043339508"</f>
        <v>1551599043339508</v>
      </c>
      <c r="C9356" t="s">
        <v>40</v>
      </c>
      <c r="D9356">
        <v>5.3930540000000002</v>
      </c>
      <c r="E9356">
        <v>0.529761699999999</v>
      </c>
      <c r="F9356" t="s">
        <v>42</v>
      </c>
      <c r="G9356">
        <v>-109.41079999999999</v>
      </c>
      <c r="H9356">
        <v>1.0313349999999999</v>
      </c>
      <c r="I9356">
        <v>138.29750000000001</v>
      </c>
      <c r="J9356">
        <v>-110.1249</v>
      </c>
      <c r="K9356">
        <v>1.1215489999999999</v>
      </c>
      <c r="L9356">
        <v>138.3571</v>
      </c>
      <c r="M9356">
        <v>0.99984289999999998</v>
      </c>
      <c r="N9356">
        <v>-1.484124E-2</v>
      </c>
      <c r="O9356">
        <v>9.6946410000000004E-3</v>
      </c>
      <c r="P9356">
        <v>0.9983744</v>
      </c>
      <c r="Q9356">
        <v>-5.699133E-2</v>
      </c>
      <c r="R9356">
        <v>7.6057049999999997E-4</v>
      </c>
      <c r="S9356">
        <v>2.98407</v>
      </c>
      <c r="T9356">
        <v>-0.36680190000000001</v>
      </c>
      <c r="U9356">
        <v>-0.24095150000000001</v>
      </c>
      <c r="V9356">
        <v>8.9180200000000005E-3</v>
      </c>
      <c r="W9356">
        <v>-4.2168820000000003E-2</v>
      </c>
      <c r="X9356">
        <v>0.99907069999999998</v>
      </c>
      <c r="Y9356">
        <v>8.9338529999999999E-2</v>
      </c>
      <c r="Z9356">
        <v>-7.1704259999999997E-3</v>
      </c>
      <c r="AA9356">
        <v>0.99597550000000001</v>
      </c>
      <c r="AB9356">
        <v>2</v>
      </c>
      <c r="AC9356">
        <v>0.71410000000000196</v>
      </c>
      <c r="AD9356">
        <v>-9.0213999999999794E-2</v>
      </c>
      <c r="AE9356">
        <v>-5.9599999999989002E-2</v>
      </c>
      <c r="AF9356">
        <v>6.5483031852289E-2</v>
      </c>
      <c r="AG9356">
        <v>-9.0213999999999794E-2</v>
      </c>
      <c r="AH9356">
        <v>0.70235658198893702</v>
      </c>
      <c r="AI9356">
        <v>97.2880004313472</v>
      </c>
      <c r="AJ9356">
        <v>84.673522358647503</v>
      </c>
      <c r="AK9356">
        <v>0.71114791817156497</v>
      </c>
      <c r="AL9356">
        <v>92.416812035649102</v>
      </c>
      <c r="AM9356">
        <v>89.488573394068297</v>
      </c>
      <c r="AN9356">
        <v>1.0000000020297</v>
      </c>
    </row>
    <row r="9357" spans="1:40" x14ac:dyDescent="0.25">
      <c r="A9357" t="str">
        <f>"20190303154403371"</f>
        <v>20190303154403371</v>
      </c>
      <c r="B9357" t="str">
        <f>"1551599043360004"</f>
        <v>1551599043360004</v>
      </c>
      <c r="C9357" t="s">
        <v>40</v>
      </c>
      <c r="D9357">
        <v>5.2704069999999996</v>
      </c>
      <c r="E9357">
        <v>0.53022060000000004</v>
      </c>
      <c r="F9357" t="s">
        <v>42</v>
      </c>
      <c r="G9357">
        <v>-109.3944</v>
      </c>
      <c r="H9357">
        <v>1.0308219999999999</v>
      </c>
      <c r="I9357">
        <v>138.2988</v>
      </c>
      <c r="J9357">
        <v>-110.1054</v>
      </c>
      <c r="K9357">
        <v>1.121542</v>
      </c>
      <c r="L9357">
        <v>138.35740000000001</v>
      </c>
      <c r="M9357">
        <v>0.99984249999999997</v>
      </c>
      <c r="N9357">
        <v>-1.484042E-2</v>
      </c>
      <c r="O9357">
        <v>9.7366520000000002E-3</v>
      </c>
      <c r="P9357">
        <v>0.99830419999999997</v>
      </c>
      <c r="Q9357">
        <v>-5.8199210000000001E-2</v>
      </c>
      <c r="R9357">
        <v>1.2968159999999999E-3</v>
      </c>
      <c r="S9357">
        <v>2.9839169999999999</v>
      </c>
      <c r="T9357">
        <v>-0.37067889999999998</v>
      </c>
      <c r="U9357">
        <v>-0.23808289999999999</v>
      </c>
      <c r="V9357">
        <v>8.423313E-3</v>
      </c>
      <c r="W9357">
        <v>-4.337829E-2</v>
      </c>
      <c r="X9357">
        <v>0.9990232</v>
      </c>
      <c r="Y9357">
        <v>8.8424119999999995E-2</v>
      </c>
      <c r="Z9357">
        <v>-7.1820080000000001E-3</v>
      </c>
      <c r="AA9357">
        <v>0.99605699999999997</v>
      </c>
      <c r="AB9357">
        <v>2</v>
      </c>
      <c r="AC9357">
        <v>0.71099999999999797</v>
      </c>
      <c r="AD9357">
        <v>-9.0720000000000106E-2</v>
      </c>
      <c r="AE9357">
        <v>-5.86000000000126E-2</v>
      </c>
      <c r="AF9357">
        <v>6.4478092534182005E-2</v>
      </c>
      <c r="AG9357">
        <v>-9.0720000000000106E-2</v>
      </c>
      <c r="AH9357">
        <v>0.6990909236549</v>
      </c>
      <c r="AI9357">
        <v>97.362964202062201</v>
      </c>
      <c r="AJ9357">
        <v>84.730441788697107</v>
      </c>
      <c r="AK9357">
        <v>0.707895234023728</v>
      </c>
      <c r="AL9357">
        <v>92.4861730728759</v>
      </c>
      <c r="AM9357">
        <v>89.516919278501405</v>
      </c>
      <c r="AN9357">
        <v>0.99999999119173</v>
      </c>
    </row>
    <row r="9358" spans="1:40" x14ac:dyDescent="0.25">
      <c r="A9358" t="str">
        <f>"20190303154403394"</f>
        <v>20190303154403394</v>
      </c>
      <c r="B9358" t="str">
        <f>"1551599043389683"</f>
        <v>1551599043389683</v>
      </c>
      <c r="C9358" t="s">
        <v>40</v>
      </c>
      <c r="D9358">
        <v>5.3833719999999996</v>
      </c>
      <c r="E9358">
        <v>0.53010449999999998</v>
      </c>
      <c r="F9358" t="s">
        <v>42</v>
      </c>
      <c r="G9358">
        <v>-109.378</v>
      </c>
      <c r="H9358">
        <v>1.03112</v>
      </c>
      <c r="I9358">
        <v>138.2989</v>
      </c>
      <c r="J9358">
        <v>-110.087</v>
      </c>
      <c r="K9358">
        <v>1.1215469999999901</v>
      </c>
      <c r="L9358">
        <v>138.35759999999999</v>
      </c>
      <c r="M9358">
        <v>0.99984220000000001</v>
      </c>
      <c r="N9358">
        <v>-1.483984E-2</v>
      </c>
      <c r="O9358">
        <v>9.7818260000000004E-3</v>
      </c>
      <c r="P9358">
        <v>0.99817149999999999</v>
      </c>
      <c r="Q9358">
        <v>-6.0437459999999998E-2</v>
      </c>
      <c r="R9358">
        <v>1.2046719999999999E-3</v>
      </c>
      <c r="S9358">
        <v>2.983765</v>
      </c>
      <c r="T9358">
        <v>-0.37100430000000001</v>
      </c>
      <c r="U9358">
        <v>-0.239563</v>
      </c>
      <c r="V9358">
        <v>8.5595069999999992E-3</v>
      </c>
      <c r="W9358">
        <v>-4.5618810000000003E-2</v>
      </c>
      <c r="X9358">
        <v>0.99892219999999998</v>
      </c>
      <c r="Y9358">
        <v>8.8957820000000007E-2</v>
      </c>
      <c r="Z9358">
        <v>-7.229928E-3</v>
      </c>
      <c r="AA9358">
        <v>0.99600920000000004</v>
      </c>
      <c r="AB9358">
        <v>2</v>
      </c>
      <c r="AC9358">
        <v>0.70900000000001695</v>
      </c>
      <c r="AD9358">
        <v>-9.0426999999999799E-2</v>
      </c>
      <c r="AE9358">
        <v>-5.8699999999987498E-2</v>
      </c>
      <c r="AF9358">
        <v>6.4589748676540396E-2</v>
      </c>
      <c r="AG9358">
        <v>-9.0426999999999799E-2</v>
      </c>
      <c r="AH9358">
        <v>0.69712891858312098</v>
      </c>
      <c r="AI9358">
        <v>97.359593585310705</v>
      </c>
      <c r="AJ9358">
        <v>84.7065960969407</v>
      </c>
      <c r="AK9358">
        <v>0.705930313195269</v>
      </c>
      <c r="AL9358">
        <v>92.614672830782993</v>
      </c>
      <c r="AM9358">
        <v>89.509059240555899</v>
      </c>
      <c r="AN9358">
        <v>0.99999995131936803</v>
      </c>
    </row>
    <row r="9359" spans="1:40" x14ac:dyDescent="0.25">
      <c r="A9359" t="str">
        <f>"20190303154403417"</f>
        <v>20190303154403417</v>
      </c>
      <c r="B9359" t="str">
        <f>"1551599043409203"</f>
        <v>1551599043409203</v>
      </c>
      <c r="C9359" t="s">
        <v>40</v>
      </c>
      <c r="D9359">
        <v>5.4276849999999897</v>
      </c>
      <c r="E9359">
        <v>0.53002159999999998</v>
      </c>
      <c r="F9359" t="s">
        <v>42</v>
      </c>
      <c r="G9359">
        <v>-109.3634</v>
      </c>
      <c r="H9359">
        <v>1.028931</v>
      </c>
      <c r="I9359">
        <v>138.2996</v>
      </c>
      <c r="J9359">
        <v>-110.0701</v>
      </c>
      <c r="K9359">
        <v>1.1215489999999999</v>
      </c>
      <c r="L9359">
        <v>138.3578</v>
      </c>
      <c r="M9359">
        <v>0.9998416</v>
      </c>
      <c r="N9359">
        <v>-1.4839420000000001E-2</v>
      </c>
      <c r="O9359">
        <v>9.8308760000000005E-3</v>
      </c>
      <c r="P9359">
        <v>0.99819080000000004</v>
      </c>
      <c r="Q9359">
        <v>-6.0107929999999997E-2</v>
      </c>
      <c r="R9359">
        <v>1.4843759999999999E-3</v>
      </c>
      <c r="S9359">
        <v>2.982666</v>
      </c>
      <c r="T9359">
        <v>-0.3818917</v>
      </c>
      <c r="U9359">
        <v>-0.2385254</v>
      </c>
      <c r="V9359">
        <v>8.3293399999999993E-3</v>
      </c>
      <c r="W9359">
        <v>-4.5289349999999999E-2</v>
      </c>
      <c r="X9359">
        <v>0.99893920000000003</v>
      </c>
      <c r="Y9359">
        <v>8.8646829999999996E-2</v>
      </c>
      <c r="Z9359">
        <v>-7.4114630000000001E-3</v>
      </c>
      <c r="AA9359">
        <v>0.99603560000000002</v>
      </c>
      <c r="AB9359">
        <v>2</v>
      </c>
      <c r="AC9359">
        <v>0.706699999999997</v>
      </c>
      <c r="AD9359">
        <v>-9.2617999999999798E-2</v>
      </c>
      <c r="AE9359">
        <v>-5.8199999999999301E-2</v>
      </c>
      <c r="AF9359">
        <v>6.4052677933195995E-2</v>
      </c>
      <c r="AG9359">
        <v>-9.2617999999999798E-2</v>
      </c>
      <c r="AH9359">
        <v>0.69424955999839399</v>
      </c>
      <c r="AI9359">
        <v>97.567047351922099</v>
      </c>
      <c r="AJ9359">
        <v>84.728714229683504</v>
      </c>
      <c r="AK9359">
        <v>0.703323034623762</v>
      </c>
      <c r="AL9359">
        <v>92.595776468329404</v>
      </c>
      <c r="AM9359">
        <v>89.522268253570203</v>
      </c>
      <c r="AN9359">
        <v>1.0000000142124399</v>
      </c>
    </row>
    <row r="9360" spans="1:40" x14ac:dyDescent="0.25">
      <c r="A9360" t="str">
        <f>"20190303154403440"</f>
        <v>20190303154403440</v>
      </c>
      <c r="B9360" t="str">
        <f>"1551599043429698"</f>
        <v>1551599043429698</v>
      </c>
      <c r="C9360" t="s">
        <v>40</v>
      </c>
      <c r="D9360">
        <v>5.4310470000000004</v>
      </c>
      <c r="E9360">
        <v>0.52944009999999997</v>
      </c>
      <c r="F9360" t="s">
        <v>42</v>
      </c>
      <c r="G9360">
        <v>-109.3349</v>
      </c>
      <c r="H9360">
        <v>1.0258339999999999</v>
      </c>
      <c r="I9360">
        <v>138.29939999999999</v>
      </c>
      <c r="J9360">
        <v>-110.0531</v>
      </c>
      <c r="K9360">
        <v>1.1215630000000001</v>
      </c>
      <c r="L9360">
        <v>138.358</v>
      </c>
      <c r="M9360">
        <v>0.99984099999999998</v>
      </c>
      <c r="N9360">
        <v>-1.4839140000000001E-2</v>
      </c>
      <c r="O9360">
        <v>9.8888120000000003E-3</v>
      </c>
      <c r="P9360">
        <v>0.99828629999999996</v>
      </c>
      <c r="Q9360">
        <v>-5.8505359999999999E-2</v>
      </c>
      <c r="R9360">
        <v>1.359325E-3</v>
      </c>
      <c r="S9360">
        <v>2.9824069999999998</v>
      </c>
      <c r="T9360">
        <v>-0.38833879999999998</v>
      </c>
      <c r="U9360">
        <v>-0.23661799999999999</v>
      </c>
      <c r="V9360">
        <v>8.5132890000000003E-3</v>
      </c>
      <c r="W9360">
        <v>-4.3685759999999997E-2</v>
      </c>
      <c r="X9360">
        <v>0.99900909999999998</v>
      </c>
      <c r="Y9360">
        <v>8.8055159999999993E-2</v>
      </c>
      <c r="Z9360">
        <v>-7.4916919999999899E-3</v>
      </c>
      <c r="AA9360">
        <v>0.99608739999999996</v>
      </c>
      <c r="AB9360">
        <v>2</v>
      </c>
      <c r="AC9360">
        <v>0.71819999999999595</v>
      </c>
      <c r="AD9360">
        <v>-9.5728999999999898E-2</v>
      </c>
      <c r="AE9360">
        <v>-5.86000000000126E-2</v>
      </c>
      <c r="AF9360">
        <v>6.4560644638928202E-2</v>
      </c>
      <c r="AG9360">
        <v>-9.5728999999999898E-2</v>
      </c>
      <c r="AH9360">
        <v>0.70514046232421401</v>
      </c>
      <c r="AI9360">
        <v>97.6993249133034</v>
      </c>
      <c r="AJ9360">
        <v>84.768747070164096</v>
      </c>
      <c r="AK9360">
        <v>0.71453144779218802</v>
      </c>
      <c r="AL9360">
        <v>92.503806370525695</v>
      </c>
      <c r="AM9360">
        <v>89.511752472945105</v>
      </c>
      <c r="AN9360">
        <v>1.00000005179959</v>
      </c>
    </row>
    <row r="9361" spans="1:40" x14ac:dyDescent="0.25">
      <c r="A9361" t="str">
        <f>"20190303154403463"</f>
        <v>20190303154403463</v>
      </c>
      <c r="B9361" t="str">
        <f>"1551599043459954"</f>
        <v>1551599043459954</v>
      </c>
      <c r="C9361" t="s">
        <v>40</v>
      </c>
      <c r="D9361">
        <v>5.3755870000000003</v>
      </c>
      <c r="E9361">
        <v>0.49230309999999999</v>
      </c>
      <c r="F9361" t="s">
        <v>42</v>
      </c>
      <c r="G9361">
        <v>-109.3199</v>
      </c>
      <c r="H9361">
        <v>1.0272250000000001</v>
      </c>
      <c r="I9361">
        <v>138.30080000000001</v>
      </c>
      <c r="J9361">
        <v>-110.0361</v>
      </c>
      <c r="K9361">
        <v>1.1215790000000001</v>
      </c>
      <c r="L9361">
        <v>138.35820000000001</v>
      </c>
      <c r="M9361">
        <v>0.99984039999999996</v>
      </c>
      <c r="N9361">
        <v>-1.483899E-2</v>
      </c>
      <c r="O9361">
        <v>9.9544179999999996E-3</v>
      </c>
      <c r="P9361">
        <v>0.99842039999999999</v>
      </c>
      <c r="Q9361">
        <v>-5.6181250000000002E-2</v>
      </c>
      <c r="R9361">
        <v>5.9698010000000003E-4</v>
      </c>
      <c r="S9361">
        <v>2.9829560000000002</v>
      </c>
      <c r="T9361">
        <v>-0.38395770000000001</v>
      </c>
      <c r="U9361">
        <v>-0.23216249999999999</v>
      </c>
      <c r="V9361">
        <v>9.3429949999999998E-3</v>
      </c>
      <c r="W9361">
        <v>-4.1360149999999998E-2</v>
      </c>
      <c r="X9361">
        <v>0.99910060000000001</v>
      </c>
      <c r="Y9361">
        <v>8.6658949999999998E-2</v>
      </c>
      <c r="Z9361">
        <v>-7.3202509999999998E-3</v>
      </c>
      <c r="AA9361">
        <v>0.99621119999999996</v>
      </c>
      <c r="AB9361">
        <v>2</v>
      </c>
      <c r="AC9361">
        <v>0.71619999999999995</v>
      </c>
      <c r="AD9361">
        <v>-9.4353999999999993E-2</v>
      </c>
      <c r="AE9361">
        <v>-5.74000000000012E-2</v>
      </c>
      <c r="AF9361">
        <v>6.3433365356157803E-2</v>
      </c>
      <c r="AG9361">
        <v>-9.4353999999999993E-2</v>
      </c>
      <c r="AH9361">
        <v>0.70346163731198796</v>
      </c>
      <c r="AI9361">
        <v>97.608874101440307</v>
      </c>
      <c r="AJ9361">
        <v>84.847393442610397</v>
      </c>
      <c r="AK9361">
        <v>0.71259016575172496</v>
      </c>
      <c r="AL9361">
        <v>92.370438243804301</v>
      </c>
      <c r="AM9361">
        <v>89.464219540916602</v>
      </c>
      <c r="AN9361">
        <v>0.99999998124197598</v>
      </c>
    </row>
    <row r="9362" spans="1:40" x14ac:dyDescent="0.25">
      <c r="A9362" t="str">
        <f>"20190303154403483"</f>
        <v>20190303154403483</v>
      </c>
      <c r="B9362" t="str">
        <f>"1551599043479474"</f>
        <v>1551599043479474</v>
      </c>
      <c r="C9362" t="s">
        <v>40</v>
      </c>
      <c r="D9362">
        <v>5.386863</v>
      </c>
      <c r="E9362">
        <v>0.48914980000000002</v>
      </c>
      <c r="F9362" t="s">
        <v>41</v>
      </c>
      <c r="G9362">
        <v>-98.253780000000006</v>
      </c>
      <c r="H9362" s="1">
        <v>-9.1108420000000002E-7</v>
      </c>
      <c r="I9362">
        <v>138.6036</v>
      </c>
      <c r="J9362">
        <v>-110.0231</v>
      </c>
      <c r="K9362">
        <v>1.121583</v>
      </c>
      <c r="L9362">
        <v>138.35839999999999</v>
      </c>
      <c r="M9362">
        <v>0.99983979999999995</v>
      </c>
      <c r="N9362">
        <v>-1.483892E-2</v>
      </c>
      <c r="O9362">
        <v>1.001082E-2</v>
      </c>
      <c r="P9362">
        <v>0.99843610000000005</v>
      </c>
      <c r="Q9362">
        <v>-5.5905669999999998E-2</v>
      </c>
      <c r="R9362">
        <v>2.1978960000000001E-4</v>
      </c>
      <c r="S9362">
        <v>2.988693</v>
      </c>
      <c r="T9362">
        <v>-0.28449730000000001</v>
      </c>
      <c r="U9362">
        <v>6.2240599999999903E-2</v>
      </c>
      <c r="V9362">
        <v>9.7766820000000001E-3</v>
      </c>
      <c r="W9362">
        <v>-4.108448E-2</v>
      </c>
      <c r="X9362">
        <v>0.99910779999999999</v>
      </c>
      <c r="Y9362">
        <v>-1.0785899999999999E-2</v>
      </c>
      <c r="Z9362">
        <v>-2.0999340000000001E-4</v>
      </c>
      <c r="AA9362">
        <v>0.99994179999999999</v>
      </c>
      <c r="AB9362">
        <v>2</v>
      </c>
      <c r="AC9362">
        <v>11.769319999999899</v>
      </c>
      <c r="AD9362">
        <v>-1.1215839110842001</v>
      </c>
      <c r="AE9362">
        <v>0.24520000000001099</v>
      </c>
      <c r="AF9362">
        <v>-0.12620852081953399</v>
      </c>
      <c r="AG9362">
        <v>-1.1215839110842001</v>
      </c>
      <c r="AH9362">
        <v>11.665291869691201</v>
      </c>
      <c r="AI9362">
        <v>95.491621783449403</v>
      </c>
      <c r="AJ9362">
        <v>90.619867341053094</v>
      </c>
      <c r="AK9362">
        <v>11.719765930487499</v>
      </c>
      <c r="AL9362">
        <v>92.354630136044094</v>
      </c>
      <c r="AM9362">
        <v>89.439355054637204</v>
      </c>
      <c r="AN9362">
        <v>0.99999995701431799</v>
      </c>
    </row>
    <row r="9363" spans="1:40" x14ac:dyDescent="0.25">
      <c r="A9363" t="str">
        <f>"20190303154403503"</f>
        <v>20190303154403503</v>
      </c>
      <c r="B9363" t="str">
        <f>"1551599043499970"</f>
        <v>1551599043499970</v>
      </c>
      <c r="C9363" t="s">
        <v>40</v>
      </c>
      <c r="D9363">
        <v>5.3985190000000003</v>
      </c>
      <c r="E9363">
        <v>0.48731540000000001</v>
      </c>
      <c r="F9363" t="s">
        <v>41</v>
      </c>
      <c r="G9363">
        <v>-97.623019999999997</v>
      </c>
      <c r="H9363" s="1">
        <v>-1.1614870000000001E-6</v>
      </c>
      <c r="I9363">
        <v>138.7174</v>
      </c>
      <c r="J9363">
        <v>-110.0089</v>
      </c>
      <c r="K9363">
        <v>1.12158</v>
      </c>
      <c r="L9363">
        <v>138.3586</v>
      </c>
      <c r="M9363">
        <v>0.99983920000000004</v>
      </c>
      <c r="N9363">
        <v>-1.483891E-2</v>
      </c>
      <c r="O9363">
        <v>1.007824E-2</v>
      </c>
      <c r="P9363">
        <v>0.99834979999999995</v>
      </c>
      <c r="Q9363">
        <v>-5.742601E-2</v>
      </c>
      <c r="R9363">
        <v>-1.571365E-4</v>
      </c>
      <c r="S9363">
        <v>2.9895320000000001</v>
      </c>
      <c r="T9363">
        <v>-0.27040229999999998</v>
      </c>
      <c r="U9363">
        <v>8.6563109999999999E-2</v>
      </c>
      <c r="V9363">
        <v>1.0220079999999999E-2</v>
      </c>
      <c r="W9363">
        <v>-4.2605980000000002E-2</v>
      </c>
      <c r="X9363">
        <v>0.99903960000000003</v>
      </c>
      <c r="Y9363">
        <v>-1.880604E-2</v>
      </c>
      <c r="Z9363">
        <v>2.282865E-4</v>
      </c>
      <c r="AA9363">
        <v>0.99982320000000002</v>
      </c>
      <c r="AB9363">
        <v>2</v>
      </c>
      <c r="AC9363">
        <v>12.38588</v>
      </c>
      <c r="AD9363">
        <v>-1.1215811614869999</v>
      </c>
      <c r="AE9363">
        <v>0.35880000000000201</v>
      </c>
      <c r="AF9363">
        <v>-0.23203907094592799</v>
      </c>
      <c r="AG9363">
        <v>-1.1215811614869999</v>
      </c>
      <c r="AH9363">
        <v>12.2881900534263</v>
      </c>
      <c r="AI9363">
        <v>95.214188876975996</v>
      </c>
      <c r="AJ9363">
        <v>91.081793131376003</v>
      </c>
      <c r="AK9363">
        <v>12.341450531496401</v>
      </c>
      <c r="AL9363">
        <v>92.441882188449796</v>
      </c>
      <c r="AM9363">
        <v>89.413890075189997</v>
      </c>
      <c r="AN9363">
        <v>0.99999992096755996</v>
      </c>
    </row>
    <row r="9364" spans="1:40" x14ac:dyDescent="0.25">
      <c r="A9364" t="str">
        <f>"20190303154403526"</f>
        <v>20190303154403526</v>
      </c>
      <c r="B9364" t="str">
        <f>"1551599043519491"</f>
        <v>1551599043519491</v>
      </c>
      <c r="C9364" t="s">
        <v>40</v>
      </c>
      <c r="D9364">
        <v>5.3753679999999999</v>
      </c>
      <c r="E9364">
        <v>0.48695670000000002</v>
      </c>
      <c r="F9364" t="s">
        <v>41</v>
      </c>
      <c r="G9364">
        <v>-97.896010000000004</v>
      </c>
      <c r="H9364" s="1">
        <v>-1.035982E-6</v>
      </c>
      <c r="I9364">
        <v>138.7647</v>
      </c>
      <c r="J9364">
        <v>-109.99460000000001</v>
      </c>
      <c r="K9364">
        <v>1.1215710000000001</v>
      </c>
      <c r="L9364">
        <v>138.3588</v>
      </c>
      <c r="M9364">
        <v>0.99983849999999996</v>
      </c>
      <c r="N9364">
        <v>-1.483893E-2</v>
      </c>
      <c r="O9364">
        <v>1.0153580000000001E-2</v>
      </c>
      <c r="P9364">
        <v>0.99827929999999998</v>
      </c>
      <c r="Q9364">
        <v>-5.86355E-2</v>
      </c>
      <c r="R9364">
        <v>-5.7178239999999998E-4</v>
      </c>
      <c r="S9364">
        <v>2.9890590000000001</v>
      </c>
      <c r="T9364">
        <v>-0.27676830000000002</v>
      </c>
      <c r="U9364">
        <v>0.10021969999999999</v>
      </c>
      <c r="V9364">
        <v>1.070926E-2</v>
      </c>
      <c r="W9364">
        <v>-4.3816430000000003E-2</v>
      </c>
      <c r="X9364">
        <v>0.99898220000000004</v>
      </c>
      <c r="Y9364">
        <v>-2.3274420000000001E-2</v>
      </c>
      <c r="Z9364">
        <v>4.6063810000000001E-4</v>
      </c>
      <c r="AA9364">
        <v>0.99972899999999998</v>
      </c>
      <c r="AB9364">
        <v>1</v>
      </c>
      <c r="AC9364">
        <v>12.09859</v>
      </c>
      <c r="AD9364">
        <v>-1.1215720359819901</v>
      </c>
      <c r="AE9364">
        <v>0.40590000000000198</v>
      </c>
      <c r="AF9364">
        <v>-0.28061274637747602</v>
      </c>
      <c r="AG9364">
        <v>-1.1215720359819901</v>
      </c>
      <c r="AH9364">
        <v>11.9990862706782</v>
      </c>
      <c r="AI9364">
        <v>95.338552923552697</v>
      </c>
      <c r="AJ9364">
        <v>91.339685003254303</v>
      </c>
      <c r="AK9364">
        <v>12.0546563068594</v>
      </c>
      <c r="AL9364">
        <v>92.511300510965597</v>
      </c>
      <c r="AM9364">
        <v>89.385802974155197</v>
      </c>
      <c r="AN9364">
        <v>1.0000000018522599</v>
      </c>
    </row>
    <row r="9365" spans="1:40" x14ac:dyDescent="0.25">
      <c r="A9365" t="str">
        <f>"20190303154403546"</f>
        <v>20190303154403546</v>
      </c>
      <c r="B9365" t="str">
        <f>"1551599043539987"</f>
        <v>1551599043539987</v>
      </c>
      <c r="C9365" t="s">
        <v>40</v>
      </c>
      <c r="D9365">
        <v>5.3974250000000001</v>
      </c>
      <c r="E9365">
        <v>0.48653220000000003</v>
      </c>
      <c r="F9365" t="s">
        <v>41</v>
      </c>
      <c r="G9365">
        <v>-97.924090000000007</v>
      </c>
      <c r="H9365" s="1">
        <v>-1.0228979999999999E-6</v>
      </c>
      <c r="I9365">
        <v>138.7706</v>
      </c>
      <c r="J9365">
        <v>-109.9823</v>
      </c>
      <c r="K9365">
        <v>1.121567</v>
      </c>
      <c r="L9365">
        <v>138.35910000000001</v>
      </c>
      <c r="M9365">
        <v>0.9998378</v>
      </c>
      <c r="N9365">
        <v>-1.483901E-2</v>
      </c>
      <c r="O9365">
        <v>1.022384E-2</v>
      </c>
      <c r="P9365">
        <v>0.99827880000000002</v>
      </c>
      <c r="Q9365">
        <v>-5.8650040000000001E-2</v>
      </c>
      <c r="R9365">
        <v>-1.875527E-4</v>
      </c>
      <c r="S9365">
        <v>2.9889070000000002</v>
      </c>
      <c r="T9365">
        <v>-0.27772340000000001</v>
      </c>
      <c r="U9365">
        <v>0.1019592</v>
      </c>
      <c r="V9365">
        <v>1.0395140000000001E-2</v>
      </c>
      <c r="W9365">
        <v>-4.3830859999999999E-2</v>
      </c>
      <c r="X9365">
        <v>0.99898489999999995</v>
      </c>
      <c r="Y9365">
        <v>-2.378421E-2</v>
      </c>
      <c r="Z9365">
        <v>4.8306610000000002E-4</v>
      </c>
      <c r="AA9365">
        <v>0.99971699999999997</v>
      </c>
      <c r="AB9365">
        <v>1</v>
      </c>
      <c r="AC9365">
        <v>12.0582099999999</v>
      </c>
      <c r="AD9365">
        <v>-1.1215680228980001</v>
      </c>
      <c r="AE9365">
        <v>0.41149999999998899</v>
      </c>
      <c r="AF9365">
        <v>-0.28571477217897701</v>
      </c>
      <c r="AG9365">
        <v>-1.1215680228980001</v>
      </c>
      <c r="AH9365">
        <v>11.9584504216102</v>
      </c>
      <c r="AI9365">
        <v>95.356505711326307</v>
      </c>
      <c r="AJ9365">
        <v>91.368667021233406</v>
      </c>
      <c r="AK9365">
        <v>12.0143282894691</v>
      </c>
      <c r="AL9365">
        <v>92.512128046486396</v>
      </c>
      <c r="AM9365">
        <v>89.403818662316695</v>
      </c>
      <c r="AN9365">
        <v>1.0000000168259799</v>
      </c>
    </row>
    <row r="9366" spans="1:40" x14ac:dyDescent="0.25">
      <c r="A9366" t="str">
        <f>"20190303154403570"</f>
        <v>20190303154403570</v>
      </c>
      <c r="B9366" t="str">
        <f>"1551599043559507"</f>
        <v>1551599043559507</v>
      </c>
      <c r="C9366" t="s">
        <v>40</v>
      </c>
      <c r="D9366">
        <v>5.3822049999999999</v>
      </c>
      <c r="E9366">
        <v>0.48598950000000002</v>
      </c>
      <c r="F9366" t="s">
        <v>41</v>
      </c>
      <c r="G9366">
        <v>-97.831620000000001</v>
      </c>
      <c r="H9366" s="1">
        <v>-1.0587239999999999E-6</v>
      </c>
      <c r="I9366">
        <v>138.79220000000001</v>
      </c>
      <c r="J9366">
        <v>-109.9689</v>
      </c>
      <c r="K9366">
        <v>1.121567</v>
      </c>
      <c r="L9366">
        <v>138.35929999999999</v>
      </c>
      <c r="M9366">
        <v>0.99983670000000002</v>
      </c>
      <c r="N9366">
        <v>-1.4839140000000001E-2</v>
      </c>
      <c r="O9366">
        <v>1.030697E-2</v>
      </c>
      <c r="P9366">
        <v>0.99832149999999997</v>
      </c>
      <c r="Q9366">
        <v>-5.7913319999999997E-2</v>
      </c>
      <c r="R9366">
        <v>4.1392810000000002E-4</v>
      </c>
      <c r="S9366">
        <v>2.9889830000000002</v>
      </c>
      <c r="T9366">
        <v>-0.27589629999999998</v>
      </c>
      <c r="U9366">
        <v>0.10656740000000001</v>
      </c>
      <c r="V9366">
        <v>9.8770769999999997E-3</v>
      </c>
      <c r="W9366">
        <v>-4.3093399999999997E-2</v>
      </c>
      <c r="X9366">
        <v>0.99902219999999997</v>
      </c>
      <c r="Y9366">
        <v>-2.523367E-2</v>
      </c>
      <c r="Z9366">
        <v>5.5314470000000001E-4</v>
      </c>
      <c r="AA9366">
        <v>0.99968140000000005</v>
      </c>
      <c r="AB9366">
        <v>1</v>
      </c>
      <c r="AC9366">
        <v>12.137280000000001</v>
      </c>
      <c r="AD9366">
        <v>-1.121568058724</v>
      </c>
      <c r="AE9366">
        <v>0.43290000000001699</v>
      </c>
      <c r="AF9366">
        <v>-0.30516215682411002</v>
      </c>
      <c r="AG9366">
        <v>-1.121568058724</v>
      </c>
      <c r="AH9366">
        <v>12.038431606002201</v>
      </c>
      <c r="AI9366">
        <v>95.320933541188793</v>
      </c>
      <c r="AJ9366">
        <v>91.452079527736004</v>
      </c>
      <c r="AK9366">
        <v>12.094415007957201</v>
      </c>
      <c r="AL9366">
        <v>92.4698348352659</v>
      </c>
      <c r="AM9366">
        <v>89.433549736785295</v>
      </c>
      <c r="AN9366">
        <v>0.99999997693323095</v>
      </c>
    </row>
    <row r="9367" spans="1:40" x14ac:dyDescent="0.25">
      <c r="A9367" t="str">
        <f>"20190303154403590"</f>
        <v>20190303154403590</v>
      </c>
      <c r="B9367" t="str">
        <f>"1551599043580005"</f>
        <v>1551599043580005</v>
      </c>
      <c r="C9367" t="s">
        <v>40</v>
      </c>
      <c r="D9367">
        <v>5.3925549999999998</v>
      </c>
      <c r="E9367">
        <v>0.48535200000000001</v>
      </c>
      <c r="F9367" t="s">
        <v>41</v>
      </c>
      <c r="G9367">
        <v>-97.578800000000001</v>
      </c>
      <c r="H9367" s="1">
        <v>-1.1612289999999999E-6</v>
      </c>
      <c r="I9367">
        <v>138.82579999999999</v>
      </c>
      <c r="J9367">
        <v>-109.9573</v>
      </c>
      <c r="K9367">
        <v>1.1215580000000001</v>
      </c>
      <c r="L9367">
        <v>138.3595</v>
      </c>
      <c r="M9367">
        <v>0.99983599999999995</v>
      </c>
      <c r="N9367">
        <v>-1.483928E-2</v>
      </c>
      <c r="O9367">
        <v>1.038359E-2</v>
      </c>
      <c r="P9367">
        <v>0.9983687</v>
      </c>
      <c r="Q9367">
        <v>-5.7065989999999997E-2</v>
      </c>
      <c r="R9367">
        <v>1.9276969999999999E-3</v>
      </c>
      <c r="S9367">
        <v>2.9892880000000002</v>
      </c>
      <c r="T9367">
        <v>-0.2705941</v>
      </c>
      <c r="U9367">
        <v>0.1125641</v>
      </c>
      <c r="V9367">
        <v>8.4401579999999997E-3</v>
      </c>
      <c r="W9367">
        <v>-4.2245129999999999E-2</v>
      </c>
      <c r="X9367">
        <v>0.99907159999999995</v>
      </c>
      <c r="Y9367">
        <v>-2.7150250000000001E-2</v>
      </c>
      <c r="Z9367">
        <v>6.4406070000000003E-4</v>
      </c>
      <c r="AA9367">
        <v>0.99963120000000005</v>
      </c>
      <c r="AB9367">
        <v>1</v>
      </c>
      <c r="AC9367">
        <v>12.378500000000001</v>
      </c>
      <c r="AD9367">
        <v>-1.1215591612289999</v>
      </c>
      <c r="AE9367">
        <v>0.466299999999989</v>
      </c>
      <c r="AF9367">
        <v>-0.33498135646474098</v>
      </c>
      <c r="AG9367">
        <v>-1.1215591612289999</v>
      </c>
      <c r="AH9367">
        <v>12.281990734115499</v>
      </c>
      <c r="AI9367">
        <v>95.215700429764496</v>
      </c>
      <c r="AJ9367">
        <v>91.562308698095606</v>
      </c>
      <c r="AK9367">
        <v>12.337641746063699</v>
      </c>
      <c r="AL9367">
        <v>92.421188242653898</v>
      </c>
      <c r="AM9367">
        <v>89.515976704748098</v>
      </c>
      <c r="AN9367">
        <v>0.99999997460116996</v>
      </c>
    </row>
    <row r="9368" spans="1:40" x14ac:dyDescent="0.25">
      <c r="A9368" t="str">
        <f>"20190303154403614"</f>
        <v>20190303154403614</v>
      </c>
      <c r="B9368" t="str">
        <f>"1551599043609283"</f>
        <v>1551599043609283</v>
      </c>
      <c r="C9368" t="s">
        <v>40</v>
      </c>
      <c r="D9368">
        <v>5.3912909999999998</v>
      </c>
      <c r="E9368">
        <v>0.48497639999999997</v>
      </c>
      <c r="F9368" t="s">
        <v>41</v>
      </c>
      <c r="G9368">
        <v>-97.516589999999994</v>
      </c>
      <c r="H9368" s="1">
        <v>-1.1803820000000001E-6</v>
      </c>
      <c r="I9368">
        <v>138.8683</v>
      </c>
      <c r="J9368">
        <v>-109.9452</v>
      </c>
      <c r="K9368">
        <v>1.121543</v>
      </c>
      <c r="L9368">
        <v>138.3597</v>
      </c>
      <c r="M9368">
        <v>0.99983509999999998</v>
      </c>
      <c r="N9368">
        <v>-1.4839440000000001E-2</v>
      </c>
      <c r="O9368">
        <v>1.0467890000000001E-2</v>
      </c>
      <c r="P9368">
        <v>0.998251</v>
      </c>
      <c r="Q9368">
        <v>-5.9056570000000003E-2</v>
      </c>
      <c r="R9368">
        <v>2.7244869999999998E-3</v>
      </c>
      <c r="S9368">
        <v>2.9892729999999998</v>
      </c>
      <c r="T9368">
        <v>-0.26949050000000002</v>
      </c>
      <c r="U9368">
        <v>0.122253399999999</v>
      </c>
      <c r="V9368">
        <v>7.7261329999999996E-3</v>
      </c>
      <c r="W9368">
        <v>-4.423701E-2</v>
      </c>
      <c r="X9368">
        <v>0.99899119999999997</v>
      </c>
      <c r="Y9368">
        <v>-3.0287339999999999E-2</v>
      </c>
      <c r="Z9368">
        <v>8.0095759999999905E-4</v>
      </c>
      <c r="AA9368">
        <v>0.99954089999999995</v>
      </c>
      <c r="AB9368">
        <v>1</v>
      </c>
      <c r="AC9368">
        <v>12.4286099999999</v>
      </c>
      <c r="AD9368">
        <v>-1.1215441803820001</v>
      </c>
      <c r="AE9368">
        <v>0.50860000000000105</v>
      </c>
      <c r="AF9368">
        <v>-0.37540464701311199</v>
      </c>
      <c r="AG9368">
        <v>-1.1215441803820001</v>
      </c>
      <c r="AH9368">
        <v>12.332993031927799</v>
      </c>
      <c r="AI9368">
        <v>95.193709103573795</v>
      </c>
      <c r="AJ9368">
        <v>91.743491018952398</v>
      </c>
      <c r="AK9368">
        <v>12.389572515754001</v>
      </c>
      <c r="AL9368">
        <v>92.535421333163598</v>
      </c>
      <c r="AM9368">
        <v>89.556887000446096</v>
      </c>
      <c r="AN9368">
        <v>1.0000000119311501</v>
      </c>
    </row>
    <row r="9369" spans="1:40" x14ac:dyDescent="0.25">
      <c r="A9369" t="str">
        <f>"20190303154403644"</f>
        <v>20190303154403644</v>
      </c>
      <c r="B9369" t="str">
        <f>"1551599043639539"</f>
        <v>1551599043639539</v>
      </c>
      <c r="C9369" t="s">
        <v>40</v>
      </c>
      <c r="D9369">
        <v>5.4268419999999997</v>
      </c>
      <c r="E9369">
        <v>0.48468270000000002</v>
      </c>
      <c r="F9369" t="s">
        <v>41</v>
      </c>
      <c r="G9369">
        <v>-97.726879999999994</v>
      </c>
      <c r="H9369" s="1">
        <v>-1.0877800000000001E-6</v>
      </c>
      <c r="I9369">
        <v>138.8818</v>
      </c>
      <c r="J9369">
        <v>-109.9302</v>
      </c>
      <c r="K9369">
        <v>1.121537</v>
      </c>
      <c r="L9369">
        <v>138.36000000000001</v>
      </c>
      <c r="M9369">
        <v>0.99983390000000005</v>
      </c>
      <c r="N9369">
        <v>-1.4839649999999999E-2</v>
      </c>
      <c r="O9369">
        <v>1.0577369999999999E-2</v>
      </c>
      <c r="P9369">
        <v>0.99819279999999999</v>
      </c>
      <c r="Q9369">
        <v>-6.000175E-2</v>
      </c>
      <c r="R9369">
        <v>3.3014189999999999E-3</v>
      </c>
      <c r="S9369">
        <v>2.9886780000000002</v>
      </c>
      <c r="T9369">
        <v>-0.27433659999999999</v>
      </c>
      <c r="U9369">
        <v>0.1277008</v>
      </c>
      <c r="V9369">
        <v>7.2575239999999996E-3</v>
      </c>
      <c r="W9369">
        <v>-4.5182729999999997E-2</v>
      </c>
      <c r="X9369">
        <v>0.99895239999999996</v>
      </c>
      <c r="Y9369">
        <v>-3.199308E-2</v>
      </c>
      <c r="Z9369">
        <v>8.9095560000000001E-4</v>
      </c>
      <c r="AA9369">
        <v>0.99948769999999998</v>
      </c>
      <c r="AB9369">
        <v>1</v>
      </c>
      <c r="AC9369">
        <v>12.2033199999999</v>
      </c>
      <c r="AD9369">
        <v>-1.1215380877800001</v>
      </c>
      <c r="AE9369">
        <v>0.52179999999998405</v>
      </c>
      <c r="AF9369">
        <v>-0.389394569276097</v>
      </c>
      <c r="AG9369">
        <v>-1.1215380877800001</v>
      </c>
      <c r="AH9369">
        <v>12.1060906809544</v>
      </c>
      <c r="AI9369">
        <v>95.290194035175901</v>
      </c>
      <c r="AJ9369">
        <v>91.842293813095395</v>
      </c>
      <c r="AK9369">
        <v>12.164164886600901</v>
      </c>
      <c r="AL9369">
        <v>92.589661306861998</v>
      </c>
      <c r="AM9369">
        <v>89.583745752963694</v>
      </c>
      <c r="AN9369">
        <v>1.00000002410531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TxtToExcel_Tem_Txt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吕泽众</dc:creator>
  <cp:lastModifiedBy>吕泽众</cp:lastModifiedBy>
  <dcterms:created xsi:type="dcterms:W3CDTF">2020-05-20T14:49:07Z</dcterms:created>
  <dcterms:modified xsi:type="dcterms:W3CDTF">2020-05-20T14:49:08Z</dcterms:modified>
</cp:coreProperties>
</file>